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-15" yWindow="-15" windowWidth="10800" windowHeight="10155"/>
  </bookViews>
  <sheets>
    <sheet name="New Tables 1-12" sheetId="1" r:id="rId1"/>
    <sheet name="Old 1-12" sheetId="24" r:id="rId2"/>
    <sheet name="Pivot Table for 1-11" sheetId="14" r:id="rId3"/>
    <sheet name="Pivot Table for 12" sheetId="18" r:id="rId4"/>
    <sheet name="Pivot Table for Trends" sheetId="19" r:id="rId5"/>
    <sheet name="Degree data" sheetId="4" r:id="rId6"/>
    <sheet name="Formats 1-11 pivot" sheetId="20" r:id="rId7"/>
    <sheet name="Formats 12 pivot" sheetId="21" r:id="rId8"/>
    <sheet name="Formats trends pivot" sheetId="22" r:id="rId9"/>
  </sheet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4">#REF!</definedName>
    <definedName name="APPHEAD">#REF!</definedName>
    <definedName name="CHHEAD" localSheetId="1">#REF!</definedName>
    <definedName name="CHHEAD" localSheetId="3">#REF!</definedName>
    <definedName name="CHHEAD" localSheetId="4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4">#REF!</definedName>
    <definedName name="PAGE_17">#REF!</definedName>
    <definedName name="PAGE1" localSheetId="1">#REF!</definedName>
    <definedName name="PAGE1" localSheetId="3">#REF!</definedName>
    <definedName name="PAGE1" localSheetId="4">#REF!</definedName>
    <definedName name="PAGE1">#REF!</definedName>
    <definedName name="PAGE10" localSheetId="1">#REF!</definedName>
    <definedName name="PAGE10" localSheetId="3">#REF!</definedName>
    <definedName name="PAGE10" localSheetId="4">#REF!</definedName>
    <definedName name="PAGE10">#REF!</definedName>
    <definedName name="PAGE11" localSheetId="1">#REF!</definedName>
    <definedName name="PAGE11" localSheetId="3">#REF!</definedName>
    <definedName name="PAGE11" localSheetId="4">#REF!</definedName>
    <definedName name="PAGE11">#REF!</definedName>
    <definedName name="PAGE12" localSheetId="1">#REF!</definedName>
    <definedName name="PAGE12" localSheetId="3">#REF!</definedName>
    <definedName name="PAGE12" localSheetId="4">#REF!</definedName>
    <definedName name="PAGE12">#REF!</definedName>
    <definedName name="PAGE13" localSheetId="1">#REF!</definedName>
    <definedName name="PAGE13" localSheetId="3">#REF!</definedName>
    <definedName name="PAGE13" localSheetId="4">#REF!</definedName>
    <definedName name="PAGE13">#REF!</definedName>
    <definedName name="PAGE14" localSheetId="1">#REF!</definedName>
    <definedName name="PAGE14" localSheetId="3">#REF!</definedName>
    <definedName name="PAGE14" localSheetId="4">#REF!</definedName>
    <definedName name="PAGE14">#REF!</definedName>
    <definedName name="PAGE15" localSheetId="1">#REF!</definedName>
    <definedName name="PAGE15" localSheetId="3">#REF!</definedName>
    <definedName name="PAGE15" localSheetId="4">#REF!</definedName>
    <definedName name="PAGE15">#REF!</definedName>
    <definedName name="PAGE16" localSheetId="1">#REF!</definedName>
    <definedName name="PAGE16" localSheetId="3">#REF!</definedName>
    <definedName name="PAGE16" localSheetId="4">#REF!</definedName>
    <definedName name="PAGE16">#REF!</definedName>
    <definedName name="PAGE17" localSheetId="1">#REF!</definedName>
    <definedName name="PAGE17" localSheetId="3">#REF!</definedName>
    <definedName name="PAGE17" localSheetId="4">#REF!</definedName>
    <definedName name="PAGE17">#REF!</definedName>
    <definedName name="PAGE18" localSheetId="1">#REF!</definedName>
    <definedName name="PAGE18" localSheetId="3">#REF!</definedName>
    <definedName name="PAGE18" localSheetId="4">#REF!</definedName>
    <definedName name="PAGE18">#REF!</definedName>
    <definedName name="PAGE19" localSheetId="1">#REF!</definedName>
    <definedName name="PAGE19" localSheetId="3">#REF!</definedName>
    <definedName name="PAGE19" localSheetId="4">#REF!</definedName>
    <definedName name="PAGE19">#REF!</definedName>
    <definedName name="PAGE2" localSheetId="1">'Degree data'!#REF!</definedName>
    <definedName name="PAGE2" localSheetId="3">'Degree data'!#REF!</definedName>
    <definedName name="PAGE2" localSheetId="4">'Degree data'!#REF!</definedName>
    <definedName name="PAGE2">'Degree data'!#REF!</definedName>
    <definedName name="PAGE20" localSheetId="1">#REF!</definedName>
    <definedName name="PAGE20" localSheetId="3">#REF!</definedName>
    <definedName name="PAGE20" localSheetId="4">#REF!</definedName>
    <definedName name="PAGE20">#REF!</definedName>
    <definedName name="PAGE3" localSheetId="1">'Degree data'!#REF!</definedName>
    <definedName name="PAGE3" localSheetId="3">'Degree data'!#REF!</definedName>
    <definedName name="PAGE3" localSheetId="4">'Degree data'!#REF!</definedName>
    <definedName name="PAGE3">'Degree data'!#REF!</definedName>
    <definedName name="PAGE4" localSheetId="1">'Degree data'!#REF!</definedName>
    <definedName name="PAGE4" localSheetId="3">'Degree data'!#REF!</definedName>
    <definedName name="PAGE4" localSheetId="4">'Degree data'!#REF!</definedName>
    <definedName name="PAGE4">'Degree data'!#REF!</definedName>
    <definedName name="PAGE5" localSheetId="1">'Degree data'!#REF!</definedName>
    <definedName name="PAGE5" localSheetId="3">'Degree data'!#REF!</definedName>
    <definedName name="PAGE5" localSheetId="4">'Degree data'!#REF!</definedName>
    <definedName name="PAGE5">'Degree data'!#REF!</definedName>
    <definedName name="PAGE6" localSheetId="1">#REF!</definedName>
    <definedName name="PAGE6" localSheetId="3">#REF!</definedName>
    <definedName name="PAGE6" localSheetId="4">#REF!</definedName>
    <definedName name="PAGE6">#REF!</definedName>
    <definedName name="PAGE7" localSheetId="1">#REF!</definedName>
    <definedName name="PAGE7" localSheetId="3">#REF!</definedName>
    <definedName name="PAGE7" localSheetId="4">#REF!</definedName>
    <definedName name="PAGE7">#REF!</definedName>
    <definedName name="PAGE8" localSheetId="1">#REF!</definedName>
    <definedName name="PAGE8" localSheetId="3">#REF!</definedName>
    <definedName name="PAGE8" localSheetId="4">#REF!</definedName>
    <definedName name="PAGE8">#REF!</definedName>
    <definedName name="PAGE9" localSheetId="1">#REF!</definedName>
    <definedName name="PAGE9" localSheetId="3">#REF!</definedName>
    <definedName name="PAGE9" localSheetId="4">#REF!</definedName>
    <definedName name="PAGE9">#REF!</definedName>
    <definedName name="PART1" localSheetId="1">'Degree data'!#REF!</definedName>
    <definedName name="PART1" localSheetId="3">'Degree data'!#REF!</definedName>
    <definedName name="PART1" localSheetId="4">'Degree data'!#REF!</definedName>
    <definedName name="PART1">'Degree data'!#REF!</definedName>
    <definedName name="PART2" localSheetId="1">#REF!</definedName>
    <definedName name="PART2" localSheetId="3">#REF!</definedName>
    <definedName name="PART2" localSheetId="4">#REF!</definedName>
    <definedName name="PART2">#REF!</definedName>
    <definedName name="PART3" localSheetId="1">#REF!</definedName>
    <definedName name="PART3" localSheetId="3">#REF!</definedName>
    <definedName name="PART3" localSheetId="4">#REF!</definedName>
    <definedName name="PART3">#REF!</definedName>
    <definedName name="PART4A" localSheetId="1">#REF!</definedName>
    <definedName name="PART4A" localSheetId="3">#REF!</definedName>
    <definedName name="PART4A" localSheetId="4">#REF!</definedName>
    <definedName name="PART4A">#REF!</definedName>
    <definedName name="PART4B" localSheetId="1">#REF!</definedName>
    <definedName name="PART4B" localSheetId="3">#REF!</definedName>
    <definedName name="PART4B" localSheetId="4">#REF!</definedName>
    <definedName name="PART4B">#REF!</definedName>
    <definedName name="PART5" localSheetId="1">#REF!</definedName>
    <definedName name="PART5" localSheetId="3">#REF!</definedName>
    <definedName name="PART5" localSheetId="4">#REF!</definedName>
    <definedName name="PART5">#REF!</definedName>
    <definedName name="PART6A" localSheetId="1">#REF!</definedName>
    <definedName name="PART6A" localSheetId="3">#REF!</definedName>
    <definedName name="PART6A" localSheetId="4">#REF!</definedName>
    <definedName name="PART6A">#REF!</definedName>
    <definedName name="PART6B" localSheetId="1">#REF!</definedName>
    <definedName name="PART6B" localSheetId="3">#REF!</definedName>
    <definedName name="PART6B" localSheetId="4">#REF!</definedName>
    <definedName name="PART6B">#REF!</definedName>
    <definedName name="PART6C" localSheetId="1">#REF!</definedName>
    <definedName name="PART6C" localSheetId="3">#REF!</definedName>
    <definedName name="PART6C" localSheetId="4">#REF!</definedName>
    <definedName name="PART6C">#REF!</definedName>
    <definedName name="PART7B" localSheetId="1">#REF!</definedName>
    <definedName name="PART7B" localSheetId="3">#REF!</definedName>
    <definedName name="PART7B" localSheetId="4">#REF!</definedName>
    <definedName name="PART7B">#REF!</definedName>
    <definedName name="PART7C" localSheetId="1">#REF!</definedName>
    <definedName name="PART7C" localSheetId="3">#REF!</definedName>
    <definedName name="PART7C" localSheetId="4">#REF!</definedName>
    <definedName name="PART7C">#REF!</definedName>
    <definedName name="PART8" localSheetId="1">#REF!</definedName>
    <definedName name="PART8" localSheetId="3">#REF!</definedName>
    <definedName name="PART8" localSheetId="4">#REF!</definedName>
    <definedName name="PART8">#REF!</definedName>
    <definedName name="_xlnm.Print_Area" localSheetId="0">'New Tables 1-12'!$A$1:$P$372</definedName>
    <definedName name="_xlnm.Print_Area" localSheetId="1">'Old 1-12'!$A$1:$P$373</definedName>
    <definedName name="_xlnm.Print_Area" localSheetId="3">#REF!</definedName>
    <definedName name="_xlnm.Print_Area" localSheetId="4">#REF!</definedName>
    <definedName name="_xlnm.Print_Area">#REF!</definedName>
    <definedName name="RATIONALE" localSheetId="1">#REF!</definedName>
    <definedName name="RATIONALE" localSheetId="3">#REF!</definedName>
    <definedName name="RATIONALE" localSheetId="4">#REF!</definedName>
    <definedName name="RATIONALE">#REF!</definedName>
    <definedName name="RATIONALE2" localSheetId="1">#REF!</definedName>
    <definedName name="RATIONALE2" localSheetId="3">#REF!</definedName>
    <definedName name="RATIONALE2" localSheetId="4">#REF!</definedName>
    <definedName name="RATIONALE2">#REF!</definedName>
    <definedName name="SALHEAD" localSheetId="1">#REF!</definedName>
    <definedName name="SALHEAD" localSheetId="3">#REF!</definedName>
    <definedName name="SALHEAD" localSheetId="4">#REF!</definedName>
    <definedName name="SALHEAD">#REF!</definedName>
  </definedNames>
  <calcPr calcId="145621"/>
  <pivotCaches>
    <pivotCache cacheId="0" r:id="rId10"/>
  </pivotCaches>
</workbook>
</file>

<file path=xl/calcChain.xml><?xml version="1.0" encoding="utf-8"?>
<calcChain xmlns="http://schemas.openxmlformats.org/spreadsheetml/2006/main">
  <c r="FN11" i="4" l="1"/>
  <c r="FO11" i="4"/>
  <c r="FN12" i="4"/>
  <c r="FO12" i="4"/>
  <c r="FN13" i="4"/>
  <c r="FO13" i="4"/>
  <c r="FN14" i="4"/>
  <c r="FO14" i="4"/>
  <c r="FN15" i="4"/>
  <c r="FO15" i="4"/>
  <c r="FN16" i="4"/>
  <c r="FO16" i="4"/>
  <c r="FN17" i="4"/>
  <c r="FO17" i="4"/>
  <c r="FN18" i="4"/>
  <c r="FO18" i="4"/>
  <c r="FN19" i="4"/>
  <c r="FO19" i="4"/>
  <c r="FN20" i="4"/>
  <c r="FO20" i="4"/>
  <c r="FN21" i="4"/>
  <c r="FO21" i="4"/>
  <c r="FN22" i="4"/>
  <c r="FO22" i="4"/>
  <c r="FN23" i="4"/>
  <c r="FO23" i="4"/>
  <c r="FN24" i="4"/>
  <c r="FO24" i="4"/>
  <c r="FN25" i="4"/>
  <c r="FO25" i="4"/>
  <c r="FN26" i="4"/>
  <c r="FO26" i="4"/>
  <c r="FN27" i="4"/>
  <c r="FO27" i="4"/>
  <c r="FN28" i="4"/>
  <c r="FO28" i="4"/>
  <c r="FN29" i="4"/>
  <c r="FO29" i="4"/>
  <c r="FN30" i="4"/>
  <c r="FO30" i="4"/>
  <c r="FN31" i="4"/>
  <c r="FO31" i="4"/>
  <c r="FN32" i="4"/>
  <c r="FO32" i="4"/>
  <c r="FN33" i="4"/>
  <c r="FO33" i="4"/>
  <c r="FN34" i="4"/>
  <c r="FO34" i="4"/>
  <c r="FN35" i="4"/>
  <c r="FO35" i="4"/>
  <c r="FN36" i="4"/>
  <c r="FO36" i="4"/>
  <c r="FN37" i="4"/>
  <c r="FO37" i="4"/>
  <c r="FN38" i="4"/>
  <c r="FO38" i="4"/>
  <c r="FN39" i="4"/>
  <c r="FO39" i="4"/>
  <c r="FN40" i="4"/>
  <c r="FO40" i="4"/>
  <c r="FN41" i="4"/>
  <c r="FO41" i="4"/>
  <c r="FN42" i="4"/>
  <c r="FO42" i="4"/>
  <c r="FN43" i="4"/>
  <c r="FO43" i="4"/>
  <c r="FN44" i="4"/>
  <c r="FO44" i="4"/>
  <c r="FN45" i="4"/>
  <c r="FO45" i="4"/>
  <c r="FN46" i="4"/>
  <c r="FO46" i="4"/>
  <c r="FN47" i="4"/>
  <c r="FO47" i="4"/>
  <c r="FN48" i="4"/>
  <c r="FO48" i="4"/>
  <c r="FN49" i="4"/>
  <c r="FO49" i="4"/>
  <c r="FN50" i="4"/>
  <c r="FO50" i="4"/>
  <c r="FN51" i="4"/>
  <c r="FO51" i="4"/>
  <c r="FN52" i="4"/>
  <c r="FO52" i="4"/>
  <c r="FN53" i="4"/>
  <c r="FO53" i="4"/>
  <c r="FN54" i="4"/>
  <c r="FO54" i="4"/>
  <c r="FN55" i="4"/>
  <c r="FO55" i="4"/>
  <c r="FN56" i="4"/>
  <c r="FO56" i="4"/>
  <c r="FN57" i="4"/>
  <c r="FO57" i="4"/>
  <c r="FN58" i="4"/>
  <c r="FO58" i="4"/>
  <c r="FN59" i="4"/>
  <c r="FO59" i="4"/>
  <c r="FN60" i="4"/>
  <c r="FO60" i="4"/>
  <c r="FN61" i="4"/>
  <c r="FO61" i="4"/>
  <c r="FN62" i="4"/>
  <c r="FO62" i="4"/>
  <c r="FN63" i="4"/>
  <c r="FO63" i="4"/>
  <c r="FN64" i="4"/>
  <c r="FO64" i="4"/>
  <c r="FN65" i="4"/>
  <c r="FO65" i="4"/>
  <c r="FN66" i="4"/>
  <c r="FO66" i="4"/>
  <c r="FN67" i="4"/>
  <c r="FO67" i="4"/>
  <c r="FN68" i="4"/>
  <c r="FO68" i="4"/>
  <c r="FN69" i="4"/>
  <c r="FO69" i="4"/>
  <c r="FN70" i="4"/>
  <c r="FO70" i="4"/>
  <c r="FN71" i="4"/>
  <c r="FO71" i="4"/>
  <c r="FN72" i="4"/>
  <c r="FO72" i="4"/>
  <c r="FN73" i="4"/>
  <c r="FO73" i="4"/>
  <c r="FN74" i="4"/>
  <c r="FO74" i="4"/>
  <c r="FN75" i="4"/>
  <c r="FO75" i="4"/>
  <c r="FN76" i="4"/>
  <c r="FO76" i="4"/>
  <c r="FN77" i="4"/>
  <c r="FO77" i="4"/>
  <c r="FN78" i="4"/>
  <c r="FO78" i="4"/>
  <c r="FN79" i="4"/>
  <c r="FO79" i="4"/>
  <c r="FN80" i="4"/>
  <c r="FO80" i="4"/>
  <c r="FN81" i="4"/>
  <c r="FO81" i="4"/>
  <c r="FN82" i="4"/>
  <c r="FO82" i="4"/>
  <c r="FN83" i="4"/>
  <c r="FO83" i="4"/>
  <c r="FN84" i="4"/>
  <c r="FO84" i="4"/>
  <c r="FN85" i="4"/>
  <c r="FO85" i="4"/>
  <c r="FN86" i="4"/>
  <c r="FO86" i="4"/>
  <c r="FN87" i="4"/>
  <c r="FO87" i="4"/>
  <c r="FN88" i="4"/>
  <c r="FO88" i="4"/>
  <c r="FN89" i="4"/>
  <c r="FO89" i="4"/>
  <c r="FN90" i="4"/>
  <c r="FO90" i="4"/>
  <c r="FN91" i="4"/>
  <c r="FO91" i="4"/>
  <c r="FN92" i="4"/>
  <c r="FO92" i="4"/>
  <c r="FN93" i="4"/>
  <c r="FO93" i="4"/>
  <c r="FN94" i="4"/>
  <c r="FO94" i="4"/>
  <c r="FN95" i="4"/>
  <c r="FO95" i="4"/>
  <c r="FN96" i="4"/>
  <c r="FO96" i="4"/>
  <c r="FN97" i="4"/>
  <c r="FO97" i="4"/>
  <c r="FN98" i="4"/>
  <c r="FO98" i="4"/>
  <c r="FN99" i="4"/>
  <c r="FO99" i="4"/>
  <c r="FN100" i="4"/>
  <c r="FO100" i="4"/>
  <c r="FN101" i="4"/>
  <c r="FO101" i="4"/>
  <c r="FN102" i="4"/>
  <c r="FO102" i="4"/>
  <c r="FN103" i="4"/>
  <c r="FO103" i="4"/>
  <c r="FN104" i="4"/>
  <c r="FO104" i="4"/>
  <c r="FN105" i="4"/>
  <c r="FO105" i="4"/>
  <c r="FN106" i="4"/>
  <c r="FO106" i="4"/>
  <c r="FN107" i="4"/>
  <c r="FO107" i="4"/>
  <c r="FN108" i="4"/>
  <c r="FO108" i="4"/>
  <c r="FN109" i="4"/>
  <c r="FO109" i="4"/>
  <c r="FN110" i="4"/>
  <c r="FO110" i="4"/>
  <c r="FN111" i="4"/>
  <c r="FO111" i="4"/>
  <c r="FN112" i="4"/>
  <c r="FO112" i="4"/>
  <c r="FN113" i="4"/>
  <c r="FO113" i="4"/>
  <c r="FN114" i="4"/>
  <c r="FO114" i="4"/>
  <c r="FN115" i="4"/>
  <c r="FO115" i="4"/>
  <c r="FN116" i="4"/>
  <c r="FO116" i="4"/>
  <c r="FN117" i="4"/>
  <c r="FO117" i="4"/>
  <c r="FN118" i="4"/>
  <c r="FO118" i="4"/>
  <c r="FN119" i="4"/>
  <c r="FO119" i="4"/>
  <c r="FN120" i="4"/>
  <c r="FO120" i="4"/>
  <c r="FN121" i="4"/>
  <c r="FO121" i="4"/>
  <c r="FN122" i="4"/>
  <c r="FO122" i="4"/>
  <c r="FN123" i="4"/>
  <c r="FO123" i="4"/>
  <c r="FN124" i="4"/>
  <c r="FO124" i="4"/>
  <c r="FN125" i="4"/>
  <c r="FO125" i="4"/>
  <c r="FN126" i="4"/>
  <c r="FO126" i="4"/>
  <c r="FN127" i="4"/>
  <c r="FO127" i="4"/>
  <c r="FN128" i="4"/>
  <c r="FO128" i="4"/>
  <c r="FN129" i="4"/>
  <c r="FO129" i="4"/>
  <c r="FN130" i="4"/>
  <c r="FO130" i="4"/>
  <c r="FN131" i="4"/>
  <c r="FO131" i="4"/>
  <c r="FN132" i="4"/>
  <c r="FO132" i="4"/>
  <c r="FN133" i="4"/>
  <c r="FO133" i="4"/>
  <c r="FN134" i="4"/>
  <c r="FO134" i="4"/>
  <c r="FN135" i="4"/>
  <c r="FO135" i="4"/>
  <c r="FN136" i="4"/>
  <c r="FO136" i="4"/>
  <c r="FN137" i="4"/>
  <c r="FO137" i="4"/>
  <c r="FN138" i="4"/>
  <c r="FO138" i="4"/>
  <c r="FN139" i="4"/>
  <c r="FO139" i="4"/>
  <c r="FN140" i="4"/>
  <c r="FO140" i="4"/>
  <c r="FN141" i="4"/>
  <c r="FO141" i="4"/>
  <c r="FN142" i="4"/>
  <c r="FO142" i="4"/>
  <c r="FN143" i="4"/>
  <c r="FO143" i="4"/>
  <c r="FN144" i="4"/>
  <c r="FO144" i="4"/>
  <c r="FN145" i="4"/>
  <c r="FO145" i="4"/>
  <c r="FN146" i="4"/>
  <c r="FO146" i="4"/>
  <c r="FN147" i="4"/>
  <c r="FO147" i="4"/>
  <c r="FN148" i="4"/>
  <c r="FO148" i="4"/>
  <c r="FN149" i="4"/>
  <c r="FO149" i="4"/>
  <c r="FN150" i="4"/>
  <c r="FO150" i="4"/>
  <c r="FN151" i="4"/>
  <c r="FO151" i="4"/>
  <c r="FN152" i="4"/>
  <c r="FO152" i="4"/>
  <c r="FN153" i="4"/>
  <c r="FO153" i="4"/>
  <c r="FN154" i="4"/>
  <c r="FO154" i="4"/>
  <c r="FN155" i="4"/>
  <c r="FO155" i="4"/>
  <c r="FN156" i="4"/>
  <c r="FO156" i="4"/>
  <c r="FN157" i="4"/>
  <c r="FO157" i="4"/>
  <c r="FN158" i="4"/>
  <c r="FO158" i="4"/>
  <c r="FN159" i="4"/>
  <c r="FO159" i="4"/>
  <c r="FN160" i="4"/>
  <c r="FO160" i="4"/>
  <c r="FN161" i="4"/>
  <c r="FO161" i="4"/>
  <c r="FN162" i="4"/>
  <c r="FO162" i="4"/>
  <c r="FN163" i="4"/>
  <c r="FO163" i="4"/>
  <c r="FN164" i="4"/>
  <c r="FO164" i="4"/>
  <c r="FN165" i="4"/>
  <c r="FO165" i="4"/>
  <c r="FN166" i="4"/>
  <c r="FO166" i="4"/>
  <c r="FN167" i="4"/>
  <c r="FO167" i="4"/>
  <c r="FN168" i="4"/>
  <c r="FO168" i="4"/>
  <c r="FN169" i="4"/>
  <c r="FO169" i="4"/>
  <c r="FN170" i="4"/>
  <c r="FO170" i="4"/>
  <c r="FN171" i="4"/>
  <c r="FO171" i="4"/>
  <c r="FN172" i="4"/>
  <c r="FO172" i="4"/>
  <c r="FN173" i="4"/>
  <c r="FO173" i="4"/>
  <c r="FN174" i="4"/>
  <c r="FO174" i="4"/>
  <c r="FN175" i="4"/>
  <c r="FO175" i="4"/>
  <c r="FN176" i="4"/>
  <c r="FO176" i="4"/>
  <c r="FN177" i="4"/>
  <c r="FO177" i="4"/>
  <c r="FN178" i="4"/>
  <c r="FO178" i="4"/>
  <c r="FN179" i="4"/>
  <c r="FO179" i="4"/>
  <c r="FN180" i="4"/>
  <c r="FO180" i="4"/>
  <c r="FN181" i="4"/>
  <c r="FO181" i="4"/>
  <c r="FN182" i="4"/>
  <c r="FO182" i="4"/>
  <c r="FN183" i="4"/>
  <c r="FO183" i="4"/>
  <c r="FN184" i="4"/>
  <c r="FO184" i="4"/>
  <c r="FN185" i="4"/>
  <c r="FO185" i="4"/>
  <c r="FN186" i="4"/>
  <c r="FO186" i="4"/>
  <c r="FN187" i="4"/>
  <c r="FO187" i="4"/>
  <c r="FN188" i="4"/>
  <c r="FO188" i="4"/>
  <c r="FN189" i="4"/>
  <c r="FO189" i="4"/>
  <c r="FN190" i="4"/>
  <c r="FO190" i="4"/>
  <c r="FN191" i="4"/>
  <c r="FO191" i="4"/>
  <c r="FN192" i="4"/>
  <c r="FO192" i="4"/>
  <c r="FN193" i="4"/>
  <c r="FO193" i="4"/>
  <c r="FN194" i="4"/>
  <c r="FO194" i="4"/>
  <c r="FN195" i="4"/>
  <c r="FO195" i="4"/>
  <c r="FN196" i="4"/>
  <c r="FO196" i="4"/>
  <c r="FN197" i="4"/>
  <c r="FO197" i="4"/>
  <c r="FN198" i="4"/>
  <c r="FO198" i="4"/>
  <c r="FN199" i="4"/>
  <c r="FO199" i="4"/>
  <c r="FN200" i="4"/>
  <c r="FO200" i="4"/>
  <c r="AU200" i="4" s="1"/>
  <c r="FN201" i="4"/>
  <c r="FO201" i="4"/>
  <c r="FN202" i="4"/>
  <c r="FO202" i="4"/>
  <c r="FN203" i="4"/>
  <c r="FO203" i="4"/>
  <c r="FN204" i="4"/>
  <c r="FO204" i="4"/>
  <c r="FN205" i="4"/>
  <c r="FO205" i="4"/>
  <c r="FN206" i="4"/>
  <c r="FO206" i="4"/>
  <c r="FN207" i="4"/>
  <c r="FO207" i="4"/>
  <c r="FN208" i="4"/>
  <c r="FO208" i="4"/>
  <c r="FN209" i="4"/>
  <c r="FO209" i="4"/>
  <c r="FN210" i="4"/>
  <c r="FO210" i="4"/>
  <c r="FN211" i="4"/>
  <c r="FO211" i="4"/>
  <c r="FN212" i="4"/>
  <c r="FO212" i="4"/>
  <c r="FN213" i="4"/>
  <c r="FO213" i="4"/>
  <c r="FK212" i="4"/>
  <c r="FJ212" i="4"/>
  <c r="FK211" i="4"/>
  <c r="FJ211" i="4"/>
  <c r="FK210" i="4"/>
  <c r="FJ210" i="4"/>
  <c r="FK209" i="4"/>
  <c r="FJ209" i="4"/>
  <c r="FK208" i="4"/>
  <c r="FJ208" i="4"/>
  <c r="FK207" i="4"/>
  <c r="FJ207" i="4"/>
  <c r="FK206" i="4"/>
  <c r="FJ206" i="4"/>
  <c r="FK205" i="4"/>
  <c r="FJ205" i="4"/>
  <c r="FK204" i="4"/>
  <c r="FJ204" i="4"/>
  <c r="FK203" i="4"/>
  <c r="FJ203" i="4"/>
  <c r="FK202" i="4"/>
  <c r="FJ202" i="4"/>
  <c r="FK201" i="4"/>
  <c r="FJ201" i="4"/>
  <c r="FK200" i="4"/>
  <c r="FJ200" i="4"/>
  <c r="FK199" i="4"/>
  <c r="FJ199" i="4"/>
  <c r="FK198" i="4"/>
  <c r="FJ198" i="4"/>
  <c r="FK197" i="4"/>
  <c r="FJ197" i="4"/>
  <c r="FK196" i="4"/>
  <c r="FJ196" i="4"/>
  <c r="FK195" i="4"/>
  <c r="FJ195" i="4"/>
  <c r="FK194" i="4"/>
  <c r="FJ194" i="4"/>
  <c r="FK193" i="4"/>
  <c r="FJ193" i="4"/>
  <c r="FK192" i="4"/>
  <c r="FJ192" i="4"/>
  <c r="FK191" i="4"/>
  <c r="FJ191" i="4"/>
  <c r="FK190" i="4"/>
  <c r="FJ190" i="4"/>
  <c r="FK189" i="4"/>
  <c r="FJ189" i="4"/>
  <c r="FK188" i="4"/>
  <c r="FJ188" i="4"/>
  <c r="FK187" i="4"/>
  <c r="FJ187" i="4"/>
  <c r="FK186" i="4"/>
  <c r="FJ186" i="4"/>
  <c r="FK185" i="4"/>
  <c r="FJ185" i="4"/>
  <c r="FK184" i="4"/>
  <c r="FJ184" i="4"/>
  <c r="FK183" i="4"/>
  <c r="FJ183" i="4"/>
  <c r="FK182" i="4"/>
  <c r="FJ182" i="4"/>
  <c r="FK181" i="4"/>
  <c r="FJ181" i="4"/>
  <c r="FK180" i="4"/>
  <c r="FJ180" i="4"/>
  <c r="FK179" i="4"/>
  <c r="FJ179" i="4"/>
  <c r="FK178" i="4"/>
  <c r="FJ178" i="4"/>
  <c r="FK177" i="4"/>
  <c r="FJ177" i="4"/>
  <c r="FK176" i="4"/>
  <c r="FJ176" i="4"/>
  <c r="FK175" i="4"/>
  <c r="FJ175" i="4"/>
  <c r="FK174" i="4"/>
  <c r="FJ174" i="4"/>
  <c r="FK173" i="4"/>
  <c r="FJ173" i="4"/>
  <c r="FK172" i="4"/>
  <c r="FJ172" i="4"/>
  <c r="FK171" i="4"/>
  <c r="FJ171" i="4"/>
  <c r="FK170" i="4"/>
  <c r="FJ170" i="4"/>
  <c r="FK169" i="4"/>
  <c r="FJ169" i="4"/>
  <c r="FK168" i="4"/>
  <c r="FJ168" i="4"/>
  <c r="FK167" i="4"/>
  <c r="FJ167" i="4"/>
  <c r="FK166" i="4"/>
  <c r="FJ166" i="4"/>
  <c r="FK165" i="4"/>
  <c r="FJ165" i="4"/>
  <c r="FK164" i="4"/>
  <c r="FJ164" i="4"/>
  <c r="FK163" i="4"/>
  <c r="FJ163" i="4"/>
  <c r="FK162" i="4"/>
  <c r="FJ162" i="4"/>
  <c r="FK161" i="4"/>
  <c r="FJ161" i="4"/>
  <c r="FK160" i="4"/>
  <c r="FJ160" i="4"/>
  <c r="FK159" i="4"/>
  <c r="FJ159" i="4"/>
  <c r="FK158" i="4"/>
  <c r="FJ158" i="4"/>
  <c r="FK157" i="4"/>
  <c r="FJ157" i="4"/>
  <c r="FK156" i="4"/>
  <c r="FJ156" i="4"/>
  <c r="FK155" i="4"/>
  <c r="FJ155" i="4"/>
  <c r="FK154" i="4"/>
  <c r="FJ154" i="4"/>
  <c r="FK153" i="4"/>
  <c r="FJ153" i="4"/>
  <c r="FK152" i="4"/>
  <c r="FJ152" i="4"/>
  <c r="FK151" i="4"/>
  <c r="FJ151" i="4"/>
  <c r="FK150" i="4"/>
  <c r="FJ150" i="4"/>
  <c r="FK149" i="4"/>
  <c r="FJ149" i="4"/>
  <c r="FK148" i="4"/>
  <c r="FJ148" i="4"/>
  <c r="FK147" i="4"/>
  <c r="FJ147" i="4"/>
  <c r="FK146" i="4"/>
  <c r="FJ146" i="4"/>
  <c r="FK145" i="4"/>
  <c r="FJ145" i="4"/>
  <c r="FK144" i="4"/>
  <c r="FJ144" i="4"/>
  <c r="FK143" i="4"/>
  <c r="FJ143" i="4"/>
  <c r="FK142" i="4"/>
  <c r="FJ142" i="4"/>
  <c r="FK141" i="4"/>
  <c r="FJ141" i="4"/>
  <c r="FK140" i="4"/>
  <c r="FJ140" i="4"/>
  <c r="FK139" i="4"/>
  <c r="FJ139" i="4"/>
  <c r="FK138" i="4"/>
  <c r="FJ138" i="4"/>
  <c r="FK137" i="4"/>
  <c r="FJ137" i="4"/>
  <c r="FK136" i="4"/>
  <c r="FJ136" i="4"/>
  <c r="FK135" i="4"/>
  <c r="FJ135" i="4"/>
  <c r="FK134" i="4"/>
  <c r="FJ134" i="4"/>
  <c r="FK133" i="4"/>
  <c r="FJ133" i="4"/>
  <c r="FK132" i="4"/>
  <c r="FJ132" i="4"/>
  <c r="FK131" i="4"/>
  <c r="FJ131" i="4"/>
  <c r="FK130" i="4"/>
  <c r="FJ130" i="4"/>
  <c r="FK129" i="4"/>
  <c r="FJ129" i="4"/>
  <c r="FK128" i="4"/>
  <c r="FJ128" i="4"/>
  <c r="FK127" i="4"/>
  <c r="FJ127" i="4"/>
  <c r="FK126" i="4"/>
  <c r="FJ126" i="4"/>
  <c r="FK125" i="4"/>
  <c r="FJ125" i="4"/>
  <c r="FK124" i="4"/>
  <c r="FJ124" i="4"/>
  <c r="FK123" i="4"/>
  <c r="FJ123" i="4"/>
  <c r="FK122" i="4"/>
  <c r="FJ122" i="4"/>
  <c r="FK121" i="4"/>
  <c r="FJ121" i="4"/>
  <c r="FK120" i="4"/>
  <c r="FJ120" i="4"/>
  <c r="FK119" i="4"/>
  <c r="FJ119" i="4"/>
  <c r="FK118" i="4"/>
  <c r="FJ118" i="4"/>
  <c r="FK117" i="4"/>
  <c r="FJ117" i="4"/>
  <c r="FK116" i="4"/>
  <c r="FJ116" i="4"/>
  <c r="FK115" i="4"/>
  <c r="FJ115" i="4"/>
  <c r="FK114" i="4"/>
  <c r="FJ114" i="4"/>
  <c r="FK113" i="4"/>
  <c r="FJ113" i="4"/>
  <c r="FK112" i="4"/>
  <c r="FJ112" i="4"/>
  <c r="FK111" i="4"/>
  <c r="FJ111" i="4"/>
  <c r="FK110" i="4"/>
  <c r="FJ110" i="4"/>
  <c r="FK109" i="4"/>
  <c r="FJ109" i="4"/>
  <c r="FK108" i="4"/>
  <c r="FJ108" i="4"/>
  <c r="FK107" i="4"/>
  <c r="FJ107" i="4"/>
  <c r="FK106" i="4"/>
  <c r="FJ106" i="4"/>
  <c r="FK105" i="4"/>
  <c r="FJ105" i="4"/>
  <c r="FK104" i="4"/>
  <c r="FJ104" i="4"/>
  <c r="FK103" i="4"/>
  <c r="FJ103" i="4"/>
  <c r="FK102" i="4"/>
  <c r="FJ102" i="4"/>
  <c r="FK101" i="4"/>
  <c r="FJ101" i="4"/>
  <c r="FK100" i="4"/>
  <c r="FJ100" i="4"/>
  <c r="FK99" i="4"/>
  <c r="FJ99" i="4"/>
  <c r="FK98" i="4"/>
  <c r="FJ98" i="4"/>
  <c r="FK97" i="4"/>
  <c r="FJ97" i="4"/>
  <c r="FK96" i="4"/>
  <c r="FJ96" i="4"/>
  <c r="FK95" i="4"/>
  <c r="FJ95" i="4"/>
  <c r="FK94" i="4"/>
  <c r="FJ94" i="4"/>
  <c r="FK93" i="4"/>
  <c r="FJ93" i="4"/>
  <c r="FK92" i="4"/>
  <c r="FJ92" i="4"/>
  <c r="FK91" i="4"/>
  <c r="FJ91" i="4"/>
  <c r="FK90" i="4"/>
  <c r="FJ90" i="4"/>
  <c r="FK89" i="4"/>
  <c r="FJ89" i="4"/>
  <c r="FK88" i="4"/>
  <c r="FJ88" i="4"/>
  <c r="FK87" i="4"/>
  <c r="FJ87" i="4"/>
  <c r="FK86" i="4"/>
  <c r="FJ86" i="4"/>
  <c r="FK85" i="4"/>
  <c r="FJ85" i="4"/>
  <c r="FK84" i="4"/>
  <c r="FJ84" i="4"/>
  <c r="FK83" i="4"/>
  <c r="FJ83" i="4"/>
  <c r="FK82" i="4"/>
  <c r="FJ82" i="4"/>
  <c r="FK81" i="4"/>
  <c r="FJ81" i="4"/>
  <c r="FK80" i="4"/>
  <c r="FJ80" i="4"/>
  <c r="FK79" i="4"/>
  <c r="FJ79" i="4"/>
  <c r="FK78" i="4"/>
  <c r="FJ78" i="4"/>
  <c r="FK77" i="4"/>
  <c r="FJ77" i="4"/>
  <c r="FK76" i="4"/>
  <c r="FJ76" i="4"/>
  <c r="FK75" i="4"/>
  <c r="FJ75" i="4"/>
  <c r="FK74" i="4"/>
  <c r="FJ74" i="4"/>
  <c r="FK73" i="4"/>
  <c r="FJ73" i="4"/>
  <c r="FK72" i="4"/>
  <c r="FJ72" i="4"/>
  <c r="FK71" i="4"/>
  <c r="FJ71" i="4"/>
  <c r="FK70" i="4"/>
  <c r="FJ70" i="4"/>
  <c r="FK69" i="4"/>
  <c r="FJ69" i="4"/>
  <c r="FK68" i="4"/>
  <c r="FJ68" i="4"/>
  <c r="FK67" i="4"/>
  <c r="FJ67" i="4"/>
  <c r="FK66" i="4"/>
  <c r="FJ66" i="4"/>
  <c r="FK65" i="4"/>
  <c r="FJ65" i="4"/>
  <c r="FK64" i="4"/>
  <c r="FJ64" i="4"/>
  <c r="FK63" i="4"/>
  <c r="FJ63" i="4"/>
  <c r="FK62" i="4"/>
  <c r="FJ62" i="4"/>
  <c r="FK61" i="4"/>
  <c r="FJ61" i="4"/>
  <c r="FK60" i="4"/>
  <c r="FJ60" i="4"/>
  <c r="FK59" i="4"/>
  <c r="FJ59" i="4"/>
  <c r="FK58" i="4"/>
  <c r="FJ58" i="4"/>
  <c r="FK57" i="4"/>
  <c r="FJ57" i="4"/>
  <c r="FK56" i="4"/>
  <c r="FJ56" i="4"/>
  <c r="FK55" i="4"/>
  <c r="FJ55" i="4"/>
  <c r="FK54" i="4"/>
  <c r="FJ54" i="4"/>
  <c r="FK53" i="4"/>
  <c r="FJ53" i="4"/>
  <c r="FK52" i="4"/>
  <c r="FJ52" i="4"/>
  <c r="FK51" i="4"/>
  <c r="FJ51" i="4"/>
  <c r="FK50" i="4"/>
  <c r="FJ50" i="4"/>
  <c r="FK49" i="4"/>
  <c r="FJ49" i="4"/>
  <c r="FK48" i="4"/>
  <c r="FJ48" i="4"/>
  <c r="FK47" i="4"/>
  <c r="FJ47" i="4"/>
  <c r="FK46" i="4"/>
  <c r="FJ46" i="4"/>
  <c r="FK45" i="4"/>
  <c r="FJ45" i="4"/>
  <c r="FK44" i="4"/>
  <c r="FJ44" i="4"/>
  <c r="FK43" i="4"/>
  <c r="FJ43" i="4"/>
  <c r="FK42" i="4"/>
  <c r="FJ42" i="4"/>
  <c r="FK41" i="4"/>
  <c r="FJ41" i="4"/>
  <c r="FK40" i="4"/>
  <c r="FJ40" i="4"/>
  <c r="FK39" i="4"/>
  <c r="FJ39" i="4"/>
  <c r="FK38" i="4"/>
  <c r="FJ38" i="4"/>
  <c r="FK37" i="4"/>
  <c r="FJ37" i="4"/>
  <c r="FK36" i="4"/>
  <c r="FJ36" i="4"/>
  <c r="FK35" i="4"/>
  <c r="FJ35" i="4"/>
  <c r="FK34" i="4"/>
  <c r="FJ34" i="4"/>
  <c r="FK33" i="4"/>
  <c r="FJ33" i="4"/>
  <c r="FK32" i="4"/>
  <c r="FJ32" i="4"/>
  <c r="FK31" i="4"/>
  <c r="FJ31" i="4"/>
  <c r="FK30" i="4"/>
  <c r="FJ30" i="4"/>
  <c r="FK29" i="4"/>
  <c r="FJ29" i="4"/>
  <c r="FK28" i="4"/>
  <c r="FJ28" i="4"/>
  <c r="FK27" i="4"/>
  <c r="FJ27" i="4"/>
  <c r="FK26" i="4"/>
  <c r="FJ26" i="4"/>
  <c r="FK25" i="4"/>
  <c r="FJ25" i="4"/>
  <c r="FK24" i="4"/>
  <c r="FJ24" i="4"/>
  <c r="FK23" i="4"/>
  <c r="FJ23" i="4"/>
  <c r="FK22" i="4"/>
  <c r="FJ22" i="4"/>
  <c r="FK21" i="4"/>
  <c r="FJ21" i="4"/>
  <c r="FK20" i="4"/>
  <c r="FJ20" i="4"/>
  <c r="FK19" i="4"/>
  <c r="FJ19" i="4"/>
  <c r="FK18" i="4"/>
  <c r="FJ18" i="4"/>
  <c r="FK17" i="4"/>
  <c r="FJ17" i="4"/>
  <c r="FK16" i="4"/>
  <c r="FJ16" i="4"/>
  <c r="FK15" i="4"/>
  <c r="FJ15" i="4"/>
  <c r="FK14" i="4"/>
  <c r="FJ14" i="4"/>
  <c r="FK13" i="4"/>
  <c r="FJ13" i="4"/>
  <c r="FK12" i="4"/>
  <c r="FJ12" i="4"/>
  <c r="FK11" i="4"/>
  <c r="FJ11" i="4"/>
  <c r="EH11" i="4"/>
  <c r="EJ11" i="4" s="1"/>
  <c r="EI11" i="4"/>
  <c r="EK11" i="4"/>
  <c r="EL11" i="4"/>
  <c r="EM11" i="4"/>
  <c r="EO11" i="4"/>
  <c r="EH12" i="4"/>
  <c r="EJ12" i="4" s="1"/>
  <c r="EI12" i="4"/>
  <c r="EK12" i="4"/>
  <c r="EM12" i="4" s="1"/>
  <c r="EL12" i="4"/>
  <c r="EO12" i="4"/>
  <c r="EH13" i="4"/>
  <c r="EJ13" i="4" s="1"/>
  <c r="EI13" i="4"/>
  <c r="EK13" i="4"/>
  <c r="EL13" i="4"/>
  <c r="EM13" i="4"/>
  <c r="EO13" i="4"/>
  <c r="EH14" i="4"/>
  <c r="EJ14" i="4" s="1"/>
  <c r="EI14" i="4"/>
  <c r="EK14" i="4"/>
  <c r="EM14" i="4" s="1"/>
  <c r="EL14" i="4"/>
  <c r="EO14" i="4"/>
  <c r="EH15" i="4"/>
  <c r="EI15" i="4"/>
  <c r="EK15" i="4"/>
  <c r="EL15" i="4"/>
  <c r="EM15" i="4"/>
  <c r="EO15" i="4"/>
  <c r="EH16" i="4"/>
  <c r="EI16" i="4"/>
  <c r="EK16" i="4"/>
  <c r="EM16" i="4" s="1"/>
  <c r="EL16" i="4"/>
  <c r="EO16" i="4"/>
  <c r="EH17" i="4"/>
  <c r="EI17" i="4"/>
  <c r="EK17" i="4"/>
  <c r="EL17" i="4"/>
  <c r="EM17" i="4"/>
  <c r="EO17" i="4"/>
  <c r="EH18" i="4"/>
  <c r="EI18" i="4"/>
  <c r="EK18" i="4"/>
  <c r="EM18" i="4" s="1"/>
  <c r="EL18" i="4"/>
  <c r="EO18" i="4"/>
  <c r="EH19" i="4"/>
  <c r="EI19" i="4"/>
  <c r="EK19" i="4"/>
  <c r="EL19" i="4"/>
  <c r="EM19" i="4"/>
  <c r="EO19" i="4"/>
  <c r="EH20" i="4"/>
  <c r="EI20" i="4"/>
  <c r="EK20" i="4"/>
  <c r="EM20" i="4" s="1"/>
  <c r="EL20" i="4"/>
  <c r="EO20" i="4"/>
  <c r="EH21" i="4"/>
  <c r="EI21" i="4"/>
  <c r="EK21" i="4"/>
  <c r="EL21" i="4"/>
  <c r="EM21" i="4"/>
  <c r="EO21" i="4"/>
  <c r="EH22" i="4"/>
  <c r="EI22" i="4"/>
  <c r="EK22" i="4"/>
  <c r="EM22" i="4" s="1"/>
  <c r="EL22" i="4"/>
  <c r="EH23" i="4"/>
  <c r="EI23" i="4"/>
  <c r="EK23" i="4"/>
  <c r="EL23" i="4"/>
  <c r="EM23" i="4"/>
  <c r="EO23" i="4"/>
  <c r="EH24" i="4"/>
  <c r="EI24" i="4"/>
  <c r="EK24" i="4"/>
  <c r="EM24" i="4" s="1"/>
  <c r="EL24" i="4"/>
  <c r="EO24" i="4"/>
  <c r="EH25" i="4"/>
  <c r="EI25" i="4"/>
  <c r="EK25" i="4"/>
  <c r="EL25" i="4"/>
  <c r="EM25" i="4"/>
  <c r="EO25" i="4"/>
  <c r="EH26" i="4"/>
  <c r="EI26" i="4"/>
  <c r="EK26" i="4"/>
  <c r="EL26" i="4"/>
  <c r="EH27" i="4"/>
  <c r="EN27" i="4" s="1"/>
  <c r="EI27" i="4"/>
  <c r="EK27" i="4"/>
  <c r="EO27" i="4" s="1"/>
  <c r="EL27" i="4"/>
  <c r="EM27" i="4"/>
  <c r="EH28" i="4"/>
  <c r="EI28" i="4"/>
  <c r="EK28" i="4"/>
  <c r="EL28" i="4"/>
  <c r="EM28" i="4"/>
  <c r="EO28" i="4"/>
  <c r="EH29" i="4"/>
  <c r="EN29" i="4" s="1"/>
  <c r="EI29" i="4"/>
  <c r="EJ29" i="4"/>
  <c r="EK29" i="4"/>
  <c r="EL29" i="4"/>
  <c r="EM29" i="4"/>
  <c r="EO29" i="4"/>
  <c r="EH30" i="4"/>
  <c r="EN30" i="4" s="1"/>
  <c r="EI30" i="4"/>
  <c r="EJ30" i="4"/>
  <c r="EK30" i="4"/>
  <c r="EM30" i="4" s="1"/>
  <c r="EL30" i="4"/>
  <c r="EO30" i="4"/>
  <c r="EH31" i="4"/>
  <c r="EI31" i="4"/>
  <c r="EK31" i="4"/>
  <c r="EL31" i="4"/>
  <c r="EH32" i="4"/>
  <c r="EI32" i="4"/>
  <c r="EK32" i="4"/>
  <c r="EL32" i="4"/>
  <c r="EM32" i="4"/>
  <c r="EO32" i="4"/>
  <c r="EH33" i="4"/>
  <c r="EN33" i="4" s="1"/>
  <c r="EI33" i="4"/>
  <c r="EJ33" i="4"/>
  <c r="EK33" i="4"/>
  <c r="EO33" i="4" s="1"/>
  <c r="EL33" i="4"/>
  <c r="EM33" i="4"/>
  <c r="EH34" i="4"/>
  <c r="EN34" i="4" s="1"/>
  <c r="EI34" i="4"/>
  <c r="EJ34" i="4"/>
  <c r="EK34" i="4"/>
  <c r="EL34" i="4"/>
  <c r="EH35" i="4"/>
  <c r="EN35" i="4" s="1"/>
  <c r="EI35" i="4"/>
  <c r="EK35" i="4"/>
  <c r="EO35" i="4" s="1"/>
  <c r="EL35" i="4"/>
  <c r="EM35" i="4"/>
  <c r="EH36" i="4"/>
  <c r="EI36" i="4"/>
  <c r="EK36" i="4"/>
  <c r="EL36" i="4"/>
  <c r="EM36" i="4"/>
  <c r="EO36" i="4"/>
  <c r="EH37" i="4"/>
  <c r="EN37" i="4" s="1"/>
  <c r="EI37" i="4"/>
  <c r="EJ37" i="4"/>
  <c r="EK37" i="4"/>
  <c r="EL37" i="4"/>
  <c r="EM37" i="4"/>
  <c r="EO37" i="4"/>
  <c r="EH38" i="4"/>
  <c r="EN38" i="4" s="1"/>
  <c r="EI38" i="4"/>
  <c r="EJ38" i="4"/>
  <c r="EK38" i="4"/>
  <c r="EM38" i="4" s="1"/>
  <c r="EL38" i="4"/>
  <c r="EO38" i="4"/>
  <c r="EH39" i="4"/>
  <c r="EI39" i="4"/>
  <c r="EK39" i="4"/>
  <c r="EL39" i="4"/>
  <c r="EH40" i="4"/>
  <c r="EN40" i="4" s="1"/>
  <c r="EI40" i="4"/>
  <c r="EJ40" i="4"/>
  <c r="EK40" i="4"/>
  <c r="EL40" i="4"/>
  <c r="EM40" i="4"/>
  <c r="EO40" i="4"/>
  <c r="EH41" i="4"/>
  <c r="EN41" i="4" s="1"/>
  <c r="EI41" i="4"/>
  <c r="EJ41" i="4"/>
  <c r="EK41" i="4"/>
  <c r="EL41" i="4"/>
  <c r="EH42" i="4"/>
  <c r="EN42" i="4" s="1"/>
  <c r="EI42" i="4"/>
  <c r="EJ42" i="4"/>
  <c r="EK42" i="4"/>
  <c r="EM42" i="4" s="1"/>
  <c r="EL42" i="4"/>
  <c r="EO42" i="4"/>
  <c r="EH43" i="4"/>
  <c r="EN43" i="4" s="1"/>
  <c r="EI43" i="4"/>
  <c r="EK43" i="4"/>
  <c r="EO43" i="4" s="1"/>
  <c r="EL43" i="4"/>
  <c r="EM43" i="4"/>
  <c r="EH44" i="4"/>
  <c r="EI44" i="4"/>
  <c r="EK44" i="4"/>
  <c r="EL44" i="4"/>
  <c r="EM44" i="4"/>
  <c r="EO44" i="4"/>
  <c r="EH45" i="4"/>
  <c r="EN45" i="4" s="1"/>
  <c r="EI45" i="4"/>
  <c r="EJ45" i="4"/>
  <c r="EK45" i="4"/>
  <c r="EL45" i="4"/>
  <c r="EM45" i="4"/>
  <c r="EO45" i="4"/>
  <c r="EH46" i="4"/>
  <c r="EN46" i="4" s="1"/>
  <c r="EI46" i="4"/>
  <c r="EK46" i="4"/>
  <c r="EM46" i="4" s="1"/>
  <c r="EL46" i="4"/>
  <c r="EO46" i="4"/>
  <c r="EH47" i="4"/>
  <c r="EI47" i="4"/>
  <c r="EK47" i="4"/>
  <c r="EL47" i="4"/>
  <c r="EH48" i="4"/>
  <c r="EN48" i="4" s="1"/>
  <c r="EI48" i="4"/>
  <c r="EJ48" i="4"/>
  <c r="EK48" i="4"/>
  <c r="EL48" i="4"/>
  <c r="EM48" i="4"/>
  <c r="EO48" i="4"/>
  <c r="EH49" i="4"/>
  <c r="EN49" i="4" s="1"/>
  <c r="EI49" i="4"/>
  <c r="EJ49" i="4"/>
  <c r="EK49" i="4"/>
  <c r="EL49" i="4"/>
  <c r="EH50" i="4"/>
  <c r="EN50" i="4" s="1"/>
  <c r="EI50" i="4"/>
  <c r="EJ50" i="4"/>
  <c r="EK50" i="4"/>
  <c r="EM50" i="4" s="1"/>
  <c r="EL50" i="4"/>
  <c r="EO50" i="4"/>
  <c r="EH51" i="4"/>
  <c r="EN51" i="4" s="1"/>
  <c r="EI51" i="4"/>
  <c r="EK51" i="4"/>
  <c r="EO51" i="4" s="1"/>
  <c r="EL51" i="4"/>
  <c r="EH52" i="4"/>
  <c r="EI52" i="4"/>
  <c r="EK52" i="4"/>
  <c r="EL52" i="4"/>
  <c r="EM52" i="4"/>
  <c r="EO52" i="4"/>
  <c r="EH53" i="4"/>
  <c r="EN53" i="4" s="1"/>
  <c r="EI53" i="4"/>
  <c r="EJ53" i="4"/>
  <c r="EK53" i="4"/>
  <c r="EL53" i="4"/>
  <c r="EM53" i="4"/>
  <c r="EO53" i="4"/>
  <c r="EH54" i="4"/>
  <c r="EN54" i="4" s="1"/>
  <c r="EI54" i="4"/>
  <c r="EK54" i="4"/>
  <c r="EM54" i="4" s="1"/>
  <c r="EL54" i="4"/>
  <c r="EO54" i="4"/>
  <c r="EH55" i="4"/>
  <c r="EI55" i="4"/>
  <c r="EK55" i="4"/>
  <c r="EL55" i="4"/>
  <c r="EH56" i="4"/>
  <c r="EN56" i="4" s="1"/>
  <c r="EI56" i="4"/>
  <c r="EJ56" i="4"/>
  <c r="EK56" i="4"/>
  <c r="EL56" i="4"/>
  <c r="EM56" i="4"/>
  <c r="EO56" i="4"/>
  <c r="EH57" i="4"/>
  <c r="EN57" i="4" s="1"/>
  <c r="EI57" i="4"/>
  <c r="EJ57" i="4"/>
  <c r="EK57" i="4"/>
  <c r="EO57" i="4" s="1"/>
  <c r="EL57" i="4"/>
  <c r="EM57" i="4"/>
  <c r="EH58" i="4"/>
  <c r="EN58" i="4" s="1"/>
  <c r="EI58" i="4"/>
  <c r="EJ58" i="4"/>
  <c r="EK58" i="4"/>
  <c r="EM58" i="4" s="1"/>
  <c r="EL58" i="4"/>
  <c r="EO58" i="4"/>
  <c r="EH59" i="4"/>
  <c r="EN59" i="4" s="1"/>
  <c r="EI59" i="4"/>
  <c r="EK59" i="4"/>
  <c r="EO59" i="4" s="1"/>
  <c r="EL59" i="4"/>
  <c r="EM59" i="4"/>
  <c r="EH60" i="4"/>
  <c r="EI60" i="4"/>
  <c r="EK60" i="4"/>
  <c r="EL60" i="4"/>
  <c r="EM60" i="4"/>
  <c r="EO60" i="4"/>
  <c r="EH61" i="4"/>
  <c r="EN61" i="4" s="1"/>
  <c r="EI61" i="4"/>
  <c r="EJ61" i="4"/>
  <c r="EK61" i="4"/>
  <c r="EL61" i="4"/>
  <c r="EM61" i="4"/>
  <c r="EO61" i="4"/>
  <c r="EH62" i="4"/>
  <c r="EN62" i="4" s="1"/>
  <c r="EI62" i="4"/>
  <c r="EJ62" i="4"/>
  <c r="EK62" i="4"/>
  <c r="EM62" i="4" s="1"/>
  <c r="EL62" i="4"/>
  <c r="EO62" i="4"/>
  <c r="EH63" i="4"/>
  <c r="EI63" i="4"/>
  <c r="EK63" i="4"/>
  <c r="EL63" i="4"/>
  <c r="EH64" i="4"/>
  <c r="EN64" i="4" s="1"/>
  <c r="EI64" i="4"/>
  <c r="EJ64" i="4"/>
  <c r="EK64" i="4"/>
  <c r="EL64" i="4"/>
  <c r="EM64" i="4"/>
  <c r="EO64" i="4"/>
  <c r="EH65" i="4"/>
  <c r="EN65" i="4" s="1"/>
  <c r="EI65" i="4"/>
  <c r="EJ65" i="4"/>
  <c r="EK65" i="4"/>
  <c r="EO65" i="4" s="1"/>
  <c r="EL65" i="4"/>
  <c r="EM65" i="4"/>
  <c r="EH66" i="4"/>
  <c r="EN66" i="4" s="1"/>
  <c r="EI66" i="4"/>
  <c r="EJ66" i="4"/>
  <c r="EK66" i="4"/>
  <c r="EM66" i="4" s="1"/>
  <c r="EL66" i="4"/>
  <c r="EO66" i="4"/>
  <c r="EH67" i="4"/>
  <c r="EN67" i="4" s="1"/>
  <c r="EI67" i="4"/>
  <c r="EK67" i="4"/>
  <c r="EL67" i="4"/>
  <c r="EH68" i="4"/>
  <c r="EI68" i="4"/>
  <c r="EK68" i="4"/>
  <c r="EL68" i="4"/>
  <c r="EM68" i="4"/>
  <c r="EO68" i="4"/>
  <c r="EH69" i="4"/>
  <c r="EN69" i="4" s="1"/>
  <c r="EI69" i="4"/>
  <c r="EJ69" i="4"/>
  <c r="EK69" i="4"/>
  <c r="EL69" i="4"/>
  <c r="EM69" i="4"/>
  <c r="EO69" i="4"/>
  <c r="EH70" i="4"/>
  <c r="EI70" i="4"/>
  <c r="EK70" i="4"/>
  <c r="EM70" i="4" s="1"/>
  <c r="EL70" i="4"/>
  <c r="EO70" i="4"/>
  <c r="EH71" i="4"/>
  <c r="EI71" i="4"/>
  <c r="EK71" i="4"/>
  <c r="EL71" i="4"/>
  <c r="EH72" i="4"/>
  <c r="EN72" i="4" s="1"/>
  <c r="EI72" i="4"/>
  <c r="EK72" i="4"/>
  <c r="EL72" i="4"/>
  <c r="EM72" i="4"/>
  <c r="EO72" i="4"/>
  <c r="EH73" i="4"/>
  <c r="EN73" i="4" s="1"/>
  <c r="EI73" i="4"/>
  <c r="EJ73" i="4"/>
  <c r="EK73" i="4"/>
  <c r="EO73" i="4" s="1"/>
  <c r="EL73" i="4"/>
  <c r="EM73" i="4"/>
  <c r="EH74" i="4"/>
  <c r="EN74" i="4" s="1"/>
  <c r="EI74" i="4"/>
  <c r="EJ74" i="4"/>
  <c r="EK74" i="4"/>
  <c r="EM74" i="4" s="1"/>
  <c r="EL74" i="4"/>
  <c r="EH75" i="4"/>
  <c r="EN75" i="4" s="1"/>
  <c r="EI75" i="4"/>
  <c r="EK75" i="4"/>
  <c r="EL75" i="4"/>
  <c r="EH76" i="4"/>
  <c r="EI76" i="4"/>
  <c r="EK76" i="4"/>
  <c r="EL76" i="4"/>
  <c r="EM76" i="4"/>
  <c r="EO76" i="4"/>
  <c r="EH77" i="4"/>
  <c r="EN77" i="4" s="1"/>
  <c r="EI77" i="4"/>
  <c r="EJ77" i="4"/>
  <c r="EK77" i="4"/>
  <c r="EL77" i="4"/>
  <c r="EM77" i="4"/>
  <c r="EO77" i="4"/>
  <c r="EH78" i="4"/>
  <c r="EI78" i="4"/>
  <c r="EK78" i="4"/>
  <c r="EM78" i="4" s="1"/>
  <c r="EL78" i="4"/>
  <c r="EO78" i="4"/>
  <c r="EH79" i="4"/>
  <c r="EI79" i="4"/>
  <c r="EK79" i="4"/>
  <c r="EL79" i="4"/>
  <c r="EH80" i="4"/>
  <c r="EN80" i="4" s="1"/>
  <c r="EI80" i="4"/>
  <c r="EJ80" i="4"/>
  <c r="EK80" i="4"/>
  <c r="EL80" i="4"/>
  <c r="EM80" i="4"/>
  <c r="EO80" i="4"/>
  <c r="EH81" i="4"/>
  <c r="EN81" i="4" s="1"/>
  <c r="EI81" i="4"/>
  <c r="EJ81" i="4"/>
  <c r="EK81" i="4"/>
  <c r="EO81" i="4" s="1"/>
  <c r="EL81" i="4"/>
  <c r="EM81" i="4"/>
  <c r="EH82" i="4"/>
  <c r="EN82" i="4" s="1"/>
  <c r="EI82" i="4"/>
  <c r="EJ82" i="4"/>
  <c r="EK82" i="4"/>
  <c r="EM82" i="4" s="1"/>
  <c r="EL82" i="4"/>
  <c r="EO82" i="4"/>
  <c r="EH83" i="4"/>
  <c r="EN83" i="4" s="1"/>
  <c r="EI83" i="4"/>
  <c r="EK83" i="4"/>
  <c r="EO83" i="4" s="1"/>
  <c r="EL83" i="4"/>
  <c r="EM83" i="4"/>
  <c r="EH84" i="4"/>
  <c r="EI84" i="4"/>
  <c r="EK84" i="4"/>
  <c r="EL84" i="4"/>
  <c r="EM84" i="4"/>
  <c r="EO84" i="4"/>
  <c r="EH85" i="4"/>
  <c r="EN85" i="4" s="1"/>
  <c r="EI85" i="4"/>
  <c r="EJ85" i="4"/>
  <c r="EK85" i="4"/>
  <c r="EL85" i="4"/>
  <c r="EM85" i="4"/>
  <c r="EO85" i="4"/>
  <c r="EH86" i="4"/>
  <c r="EN86" i="4" s="1"/>
  <c r="EI86" i="4"/>
  <c r="EJ86" i="4"/>
  <c r="EK86" i="4"/>
  <c r="EM86" i="4" s="1"/>
  <c r="EL86" i="4"/>
  <c r="EO86" i="4"/>
  <c r="EH87" i="4"/>
  <c r="EI87" i="4"/>
  <c r="EK87" i="4"/>
  <c r="EL87" i="4"/>
  <c r="EH88" i="4"/>
  <c r="EI88" i="4"/>
  <c r="EK88" i="4"/>
  <c r="EL88" i="4"/>
  <c r="EM88" i="4"/>
  <c r="EO88" i="4"/>
  <c r="EH89" i="4"/>
  <c r="EN89" i="4" s="1"/>
  <c r="EI89" i="4"/>
  <c r="EJ89" i="4"/>
  <c r="EK89" i="4"/>
  <c r="EO89" i="4" s="1"/>
  <c r="EL89" i="4"/>
  <c r="EH90" i="4"/>
  <c r="EN90" i="4" s="1"/>
  <c r="EI90" i="4"/>
  <c r="EJ90" i="4"/>
  <c r="EK90" i="4"/>
  <c r="EL90" i="4"/>
  <c r="EH91" i="4"/>
  <c r="EN91" i="4" s="1"/>
  <c r="EI91" i="4"/>
  <c r="EK91" i="4"/>
  <c r="EO91" i="4" s="1"/>
  <c r="EL91" i="4"/>
  <c r="EM91" i="4"/>
  <c r="EH92" i="4"/>
  <c r="EI92" i="4"/>
  <c r="EK92" i="4"/>
  <c r="EL92" i="4"/>
  <c r="EM92" i="4"/>
  <c r="EO92" i="4"/>
  <c r="EH93" i="4"/>
  <c r="EN93" i="4" s="1"/>
  <c r="EI93" i="4"/>
  <c r="EJ93" i="4"/>
  <c r="EK93" i="4"/>
  <c r="EL93" i="4"/>
  <c r="EM93" i="4"/>
  <c r="EO93" i="4"/>
  <c r="EH94" i="4"/>
  <c r="EN94" i="4" s="1"/>
  <c r="EI94" i="4"/>
  <c r="EJ94" i="4"/>
  <c r="EK94" i="4"/>
  <c r="EM94" i="4" s="1"/>
  <c r="EL94" i="4"/>
  <c r="EO94" i="4"/>
  <c r="EH95" i="4"/>
  <c r="EI95" i="4"/>
  <c r="EK95" i="4"/>
  <c r="EL95" i="4"/>
  <c r="EH96" i="4"/>
  <c r="EI96" i="4"/>
  <c r="EK96" i="4"/>
  <c r="EL96" i="4"/>
  <c r="EM96" i="4"/>
  <c r="EO96" i="4"/>
  <c r="EH97" i="4"/>
  <c r="EN97" i="4" s="1"/>
  <c r="EI97" i="4"/>
  <c r="EJ97" i="4"/>
  <c r="EK97" i="4"/>
  <c r="EL97" i="4"/>
  <c r="EM97" i="4"/>
  <c r="EO97" i="4"/>
  <c r="EH98" i="4"/>
  <c r="EN98" i="4" s="1"/>
  <c r="EI98" i="4"/>
  <c r="EJ98" i="4"/>
  <c r="EK98" i="4"/>
  <c r="EL98" i="4"/>
  <c r="EM98" i="4"/>
  <c r="EO98" i="4"/>
  <c r="EH99" i="4"/>
  <c r="EN99" i="4" s="1"/>
  <c r="EI99" i="4"/>
  <c r="EJ99" i="4"/>
  <c r="EK99" i="4"/>
  <c r="EL99" i="4"/>
  <c r="EM99" i="4"/>
  <c r="EO99" i="4"/>
  <c r="EH100" i="4"/>
  <c r="EN100" i="4" s="1"/>
  <c r="EI100" i="4"/>
  <c r="EJ100" i="4"/>
  <c r="EK100" i="4"/>
  <c r="EL100" i="4"/>
  <c r="EM100" i="4"/>
  <c r="EO100" i="4"/>
  <c r="EH101" i="4"/>
  <c r="EN101" i="4" s="1"/>
  <c r="EI101" i="4"/>
  <c r="EK101" i="4"/>
  <c r="EL101" i="4"/>
  <c r="EM101" i="4"/>
  <c r="EO101" i="4"/>
  <c r="EH102" i="4"/>
  <c r="EN102" i="4" s="1"/>
  <c r="EI102" i="4"/>
  <c r="EJ102" i="4"/>
  <c r="EK102" i="4"/>
  <c r="EL102" i="4"/>
  <c r="EM102" i="4"/>
  <c r="EO102" i="4"/>
  <c r="EH103" i="4"/>
  <c r="EI103" i="4"/>
  <c r="EK103" i="4"/>
  <c r="EL103" i="4"/>
  <c r="EM103" i="4"/>
  <c r="EO103" i="4"/>
  <c r="EH104" i="4"/>
  <c r="EI104" i="4"/>
  <c r="EK104" i="4"/>
  <c r="EL104" i="4"/>
  <c r="EM104" i="4"/>
  <c r="EO104" i="4"/>
  <c r="EH105" i="4"/>
  <c r="EN105" i="4" s="1"/>
  <c r="EI105" i="4"/>
  <c r="EJ105" i="4"/>
  <c r="EK105" i="4"/>
  <c r="EL105" i="4"/>
  <c r="EM105" i="4"/>
  <c r="EO105" i="4"/>
  <c r="EH106" i="4"/>
  <c r="EN106" i="4" s="1"/>
  <c r="EI106" i="4"/>
  <c r="EJ106" i="4"/>
  <c r="EK106" i="4"/>
  <c r="EL106" i="4"/>
  <c r="EM106" i="4"/>
  <c r="EO106" i="4"/>
  <c r="EH107" i="4"/>
  <c r="EN107" i="4" s="1"/>
  <c r="EI107" i="4"/>
  <c r="EJ107" i="4"/>
  <c r="EK107" i="4"/>
  <c r="EL107" i="4"/>
  <c r="EM107" i="4"/>
  <c r="EO107" i="4"/>
  <c r="EH108" i="4"/>
  <c r="EN108" i="4" s="1"/>
  <c r="EI108" i="4"/>
  <c r="EJ108" i="4"/>
  <c r="EK108" i="4"/>
  <c r="EL108" i="4"/>
  <c r="EM108" i="4"/>
  <c r="EO108" i="4"/>
  <c r="EH109" i="4"/>
  <c r="EN109" i="4" s="1"/>
  <c r="EI109" i="4"/>
  <c r="EK109" i="4"/>
  <c r="EL109" i="4"/>
  <c r="EM109" i="4"/>
  <c r="EO109" i="4"/>
  <c r="EH110" i="4"/>
  <c r="EN110" i="4" s="1"/>
  <c r="EI110" i="4"/>
  <c r="EJ110" i="4"/>
  <c r="EK110" i="4"/>
  <c r="EL110" i="4"/>
  <c r="EM110" i="4"/>
  <c r="EO110" i="4"/>
  <c r="EH111" i="4"/>
  <c r="EI111" i="4"/>
  <c r="EK111" i="4"/>
  <c r="EL111" i="4"/>
  <c r="EM111" i="4"/>
  <c r="EO111" i="4"/>
  <c r="EH112" i="4"/>
  <c r="EI112" i="4"/>
  <c r="EK112" i="4"/>
  <c r="EL112" i="4"/>
  <c r="EM112" i="4"/>
  <c r="EO112" i="4"/>
  <c r="EH113" i="4"/>
  <c r="EN113" i="4" s="1"/>
  <c r="EI113" i="4"/>
  <c r="EJ113" i="4"/>
  <c r="EK113" i="4"/>
  <c r="EL113" i="4"/>
  <c r="EM113" i="4"/>
  <c r="EO113" i="4"/>
  <c r="EH114" i="4"/>
  <c r="EN114" i="4" s="1"/>
  <c r="EI114" i="4"/>
  <c r="EJ114" i="4"/>
  <c r="EK114" i="4"/>
  <c r="EL114" i="4"/>
  <c r="EM114" i="4"/>
  <c r="EO114" i="4"/>
  <c r="EH115" i="4"/>
  <c r="EN115" i="4" s="1"/>
  <c r="EI115" i="4"/>
  <c r="EJ115" i="4"/>
  <c r="EK115" i="4"/>
  <c r="EL115" i="4"/>
  <c r="EM115" i="4"/>
  <c r="EO115" i="4"/>
  <c r="EH116" i="4"/>
  <c r="EN116" i="4" s="1"/>
  <c r="EI116" i="4"/>
  <c r="EJ116" i="4"/>
  <c r="EK116" i="4"/>
  <c r="EL116" i="4"/>
  <c r="EM116" i="4"/>
  <c r="EO116" i="4"/>
  <c r="EH117" i="4"/>
  <c r="EN117" i="4" s="1"/>
  <c r="EI117" i="4"/>
  <c r="EK117" i="4"/>
  <c r="EL117" i="4"/>
  <c r="EM117" i="4"/>
  <c r="EO117" i="4"/>
  <c r="EH118" i="4"/>
  <c r="EN118" i="4" s="1"/>
  <c r="EI118" i="4"/>
  <c r="EJ118" i="4"/>
  <c r="EK118" i="4"/>
  <c r="EL118" i="4"/>
  <c r="EM118" i="4"/>
  <c r="EO118" i="4"/>
  <c r="EH119" i="4"/>
  <c r="EI119" i="4"/>
  <c r="EK119" i="4"/>
  <c r="EL119" i="4"/>
  <c r="EM119" i="4"/>
  <c r="EO119" i="4"/>
  <c r="EH120" i="4"/>
  <c r="EI120" i="4"/>
  <c r="EK120" i="4"/>
  <c r="EL120" i="4"/>
  <c r="EM120" i="4"/>
  <c r="EO120" i="4"/>
  <c r="EH121" i="4"/>
  <c r="EN121" i="4" s="1"/>
  <c r="EI121" i="4"/>
  <c r="EJ121" i="4"/>
  <c r="EK121" i="4"/>
  <c r="EL121" i="4"/>
  <c r="EM121" i="4"/>
  <c r="EO121" i="4"/>
  <c r="EH122" i="4"/>
  <c r="EN122" i="4" s="1"/>
  <c r="EI122" i="4"/>
  <c r="EJ122" i="4"/>
  <c r="EK122" i="4"/>
  <c r="EL122" i="4"/>
  <c r="EM122" i="4"/>
  <c r="EO122" i="4"/>
  <c r="EH123" i="4"/>
  <c r="EN123" i="4" s="1"/>
  <c r="EI123" i="4"/>
  <c r="EJ123" i="4"/>
  <c r="EK123" i="4"/>
  <c r="EL123" i="4"/>
  <c r="EM123" i="4"/>
  <c r="EO123" i="4"/>
  <c r="EH124" i="4"/>
  <c r="EN124" i="4" s="1"/>
  <c r="EI124" i="4"/>
  <c r="EJ124" i="4"/>
  <c r="EK124" i="4"/>
  <c r="EL124" i="4"/>
  <c r="EM124" i="4"/>
  <c r="EO124" i="4"/>
  <c r="EH125" i="4"/>
  <c r="EN125" i="4" s="1"/>
  <c r="EI125" i="4"/>
  <c r="EK125" i="4"/>
  <c r="EL125" i="4"/>
  <c r="EM125" i="4"/>
  <c r="EO125" i="4"/>
  <c r="EH126" i="4"/>
  <c r="EN126" i="4" s="1"/>
  <c r="EI126" i="4"/>
  <c r="EJ126" i="4"/>
  <c r="EK126" i="4"/>
  <c r="EL126" i="4"/>
  <c r="EM126" i="4"/>
  <c r="EO126" i="4"/>
  <c r="EH127" i="4"/>
  <c r="EI127" i="4"/>
  <c r="EK127" i="4"/>
  <c r="EL127" i="4"/>
  <c r="EM127" i="4"/>
  <c r="EO127" i="4"/>
  <c r="EH128" i="4"/>
  <c r="EI128" i="4"/>
  <c r="EK128" i="4"/>
  <c r="EL128" i="4"/>
  <c r="EM128" i="4"/>
  <c r="EO128" i="4"/>
  <c r="EH129" i="4"/>
  <c r="EN129" i="4" s="1"/>
  <c r="EI129" i="4"/>
  <c r="EJ129" i="4"/>
  <c r="EK129" i="4"/>
  <c r="EL129" i="4"/>
  <c r="EM129" i="4"/>
  <c r="EO129" i="4"/>
  <c r="EH130" i="4"/>
  <c r="EN130" i="4" s="1"/>
  <c r="EI130" i="4"/>
  <c r="EJ130" i="4"/>
  <c r="EK130" i="4"/>
  <c r="EL130" i="4"/>
  <c r="EM130" i="4"/>
  <c r="EO130" i="4"/>
  <c r="EH131" i="4"/>
  <c r="EN131" i="4" s="1"/>
  <c r="EI131" i="4"/>
  <c r="EJ131" i="4"/>
  <c r="EK131" i="4"/>
  <c r="EL131" i="4"/>
  <c r="EM131" i="4"/>
  <c r="EO131" i="4"/>
  <c r="EH132" i="4"/>
  <c r="EN132" i="4" s="1"/>
  <c r="EI132" i="4"/>
  <c r="EJ132" i="4"/>
  <c r="EK132" i="4"/>
  <c r="EL132" i="4"/>
  <c r="EM132" i="4"/>
  <c r="EO132" i="4"/>
  <c r="EH133" i="4"/>
  <c r="EN133" i="4" s="1"/>
  <c r="EI133" i="4"/>
  <c r="EK133" i="4"/>
  <c r="EL133" i="4"/>
  <c r="EM133" i="4"/>
  <c r="EO133" i="4"/>
  <c r="EH134" i="4"/>
  <c r="EN134" i="4" s="1"/>
  <c r="EI134" i="4"/>
  <c r="EJ134" i="4"/>
  <c r="EK134" i="4"/>
  <c r="EL134" i="4"/>
  <c r="EM134" i="4"/>
  <c r="EO134" i="4"/>
  <c r="EH135" i="4"/>
  <c r="EI135" i="4"/>
  <c r="EK135" i="4"/>
  <c r="EL135" i="4"/>
  <c r="EM135" i="4"/>
  <c r="EO135" i="4"/>
  <c r="EH136" i="4"/>
  <c r="EI136" i="4"/>
  <c r="EK136" i="4"/>
  <c r="EL136" i="4"/>
  <c r="EM136" i="4"/>
  <c r="EO136" i="4"/>
  <c r="EH137" i="4"/>
  <c r="EN137" i="4" s="1"/>
  <c r="EI137" i="4"/>
  <c r="EJ137" i="4"/>
  <c r="EK137" i="4"/>
  <c r="EL137" i="4"/>
  <c r="EM137" i="4"/>
  <c r="EO137" i="4"/>
  <c r="EH138" i="4"/>
  <c r="EN138" i="4" s="1"/>
  <c r="EI138" i="4"/>
  <c r="EJ138" i="4"/>
  <c r="EK138" i="4"/>
  <c r="EL138" i="4"/>
  <c r="EM138" i="4"/>
  <c r="EO138" i="4"/>
  <c r="EH139" i="4"/>
  <c r="EN139" i="4" s="1"/>
  <c r="EI139" i="4"/>
  <c r="EJ139" i="4"/>
  <c r="EK139" i="4"/>
  <c r="EL139" i="4"/>
  <c r="EM139" i="4"/>
  <c r="EO139" i="4"/>
  <c r="EH140" i="4"/>
  <c r="EN140" i="4" s="1"/>
  <c r="EI140" i="4"/>
  <c r="EJ140" i="4"/>
  <c r="EK140" i="4"/>
  <c r="EL140" i="4"/>
  <c r="EM140" i="4"/>
  <c r="EO140" i="4"/>
  <c r="EH141" i="4"/>
  <c r="EN141" i="4" s="1"/>
  <c r="EI141" i="4"/>
  <c r="EK141" i="4"/>
  <c r="EL141" i="4"/>
  <c r="EM141" i="4"/>
  <c r="EO141" i="4"/>
  <c r="EH142" i="4"/>
  <c r="EN142" i="4" s="1"/>
  <c r="EI142" i="4"/>
  <c r="EJ142" i="4"/>
  <c r="EK142" i="4"/>
  <c r="EM142" i="4" s="1"/>
  <c r="EL142" i="4"/>
  <c r="EO142" i="4"/>
  <c r="EH143" i="4"/>
  <c r="EI143" i="4"/>
  <c r="EK143" i="4"/>
  <c r="EM143" i="4" s="1"/>
  <c r="EL143" i="4"/>
  <c r="EH144" i="4"/>
  <c r="EN144" i="4" s="1"/>
  <c r="EI144" i="4"/>
  <c r="EJ144" i="4"/>
  <c r="EK144" i="4"/>
  <c r="EM144" i="4" s="1"/>
  <c r="EL144" i="4"/>
  <c r="EH145" i="4"/>
  <c r="EN145" i="4" s="1"/>
  <c r="EI145" i="4"/>
  <c r="EJ145" i="4"/>
  <c r="EK145" i="4"/>
  <c r="EM145" i="4" s="1"/>
  <c r="EL145" i="4"/>
  <c r="EH146" i="4"/>
  <c r="EN146" i="4" s="1"/>
  <c r="EI146" i="4"/>
  <c r="EJ146" i="4"/>
  <c r="EK146" i="4"/>
  <c r="EM146" i="4" s="1"/>
  <c r="EL146" i="4"/>
  <c r="EH147" i="4"/>
  <c r="EN147" i="4" s="1"/>
  <c r="EI147" i="4"/>
  <c r="EJ147" i="4"/>
  <c r="EK147" i="4"/>
  <c r="EM147" i="4" s="1"/>
  <c r="EL147" i="4"/>
  <c r="EH148" i="4"/>
  <c r="EI148" i="4"/>
  <c r="EK148" i="4"/>
  <c r="EM148" i="4" s="1"/>
  <c r="EL148" i="4"/>
  <c r="EH149" i="4"/>
  <c r="EN149" i="4" s="1"/>
  <c r="EI149" i="4"/>
  <c r="EJ149" i="4"/>
  <c r="EK149" i="4"/>
  <c r="EL149" i="4"/>
  <c r="EH150" i="4"/>
  <c r="EN150" i="4" s="1"/>
  <c r="EI150" i="4"/>
  <c r="EK150" i="4"/>
  <c r="EL150" i="4"/>
  <c r="EH151" i="4"/>
  <c r="EI151" i="4"/>
  <c r="EK151" i="4"/>
  <c r="EL151" i="4"/>
  <c r="EH152" i="4"/>
  <c r="EN152" i="4" s="1"/>
  <c r="EI152" i="4"/>
  <c r="EJ152" i="4"/>
  <c r="EK152" i="4"/>
  <c r="EL152" i="4"/>
  <c r="EH153" i="4"/>
  <c r="EN153" i="4" s="1"/>
  <c r="EI153" i="4"/>
  <c r="EJ153" i="4"/>
  <c r="EK153" i="4"/>
  <c r="EL153" i="4"/>
  <c r="EH154" i="4"/>
  <c r="EN154" i="4" s="1"/>
  <c r="EI154" i="4"/>
  <c r="EJ154" i="4"/>
  <c r="EK154" i="4"/>
  <c r="EL154" i="4"/>
  <c r="EH155" i="4"/>
  <c r="EN155" i="4" s="1"/>
  <c r="EI155" i="4"/>
  <c r="EJ155" i="4"/>
  <c r="EK155" i="4"/>
  <c r="EL155" i="4"/>
  <c r="EH156" i="4"/>
  <c r="EI156" i="4"/>
  <c r="EK156" i="4"/>
  <c r="EL156" i="4"/>
  <c r="EH157" i="4"/>
  <c r="EN157" i="4" s="1"/>
  <c r="EI157" i="4"/>
  <c r="EJ157" i="4"/>
  <c r="EK157" i="4"/>
  <c r="EL157" i="4"/>
  <c r="EH158" i="4"/>
  <c r="EN158" i="4" s="1"/>
  <c r="EI158" i="4"/>
  <c r="EK158" i="4"/>
  <c r="EL158" i="4"/>
  <c r="EH159" i="4"/>
  <c r="EI159" i="4"/>
  <c r="EK159" i="4"/>
  <c r="EL159" i="4"/>
  <c r="EH160" i="4"/>
  <c r="EN160" i="4" s="1"/>
  <c r="EI160" i="4"/>
  <c r="EJ160" i="4"/>
  <c r="EK160" i="4"/>
  <c r="EL160" i="4"/>
  <c r="EH161" i="4"/>
  <c r="EN161" i="4" s="1"/>
  <c r="EI161" i="4"/>
  <c r="EJ161" i="4"/>
  <c r="EK161" i="4"/>
  <c r="EL161" i="4"/>
  <c r="EH162" i="4"/>
  <c r="EN162" i="4" s="1"/>
  <c r="EI162" i="4"/>
  <c r="EJ162" i="4"/>
  <c r="EK162" i="4"/>
  <c r="EL162" i="4"/>
  <c r="EH163" i="4"/>
  <c r="EI163" i="4"/>
  <c r="EJ163" i="4"/>
  <c r="EK163" i="4"/>
  <c r="EL163" i="4"/>
  <c r="EN163" i="4"/>
  <c r="EH164" i="4"/>
  <c r="EI164" i="4"/>
  <c r="EJ164" i="4"/>
  <c r="EK164" i="4"/>
  <c r="EM164" i="4" s="1"/>
  <c r="EL164" i="4"/>
  <c r="EN164" i="4"/>
  <c r="EO164" i="4"/>
  <c r="EH165" i="4"/>
  <c r="EI165" i="4"/>
  <c r="EK165" i="4"/>
  <c r="EM165" i="4" s="1"/>
  <c r="EL165" i="4"/>
  <c r="EO165" i="4"/>
  <c r="EH166" i="4"/>
  <c r="EI166" i="4"/>
  <c r="EK166" i="4"/>
  <c r="EM166" i="4" s="1"/>
  <c r="EL166" i="4"/>
  <c r="EO166" i="4"/>
  <c r="EH167" i="4"/>
  <c r="EI167" i="4"/>
  <c r="EK167" i="4"/>
  <c r="EM167" i="4" s="1"/>
  <c r="EL167" i="4"/>
  <c r="EO167" i="4"/>
  <c r="EH168" i="4"/>
  <c r="EI168" i="4"/>
  <c r="EK168" i="4"/>
  <c r="EM168" i="4" s="1"/>
  <c r="EL168" i="4"/>
  <c r="EO168" i="4"/>
  <c r="EH169" i="4"/>
  <c r="EI169" i="4"/>
  <c r="EK169" i="4"/>
  <c r="EM169" i="4" s="1"/>
  <c r="EL169" i="4"/>
  <c r="EO169" i="4"/>
  <c r="EH170" i="4"/>
  <c r="EI170" i="4"/>
  <c r="EK170" i="4"/>
  <c r="EM170" i="4" s="1"/>
  <c r="EL170" i="4"/>
  <c r="EO170" i="4"/>
  <c r="EH171" i="4"/>
  <c r="EI171" i="4"/>
  <c r="EK171" i="4"/>
  <c r="EM171" i="4" s="1"/>
  <c r="EL171" i="4"/>
  <c r="EO171" i="4"/>
  <c r="EH172" i="4"/>
  <c r="EI172" i="4"/>
  <c r="EK172" i="4"/>
  <c r="EM172" i="4" s="1"/>
  <c r="EL172" i="4"/>
  <c r="EO172" i="4"/>
  <c r="EH173" i="4"/>
  <c r="EI173" i="4"/>
  <c r="EK173" i="4"/>
  <c r="EM173" i="4" s="1"/>
  <c r="EL173" i="4"/>
  <c r="EO173" i="4"/>
  <c r="EH174" i="4"/>
  <c r="EI174" i="4"/>
  <c r="EK174" i="4"/>
  <c r="EM174" i="4" s="1"/>
  <c r="EL174" i="4"/>
  <c r="EO174" i="4"/>
  <c r="EH175" i="4"/>
  <c r="EI175" i="4"/>
  <c r="EK175" i="4"/>
  <c r="EM175" i="4" s="1"/>
  <c r="EL175" i="4"/>
  <c r="EO175" i="4"/>
  <c r="EH176" i="4"/>
  <c r="EI176" i="4"/>
  <c r="EK176" i="4"/>
  <c r="EM176" i="4" s="1"/>
  <c r="EL176" i="4"/>
  <c r="EO176" i="4"/>
  <c r="EH177" i="4"/>
  <c r="EI177" i="4"/>
  <c r="EK177" i="4"/>
  <c r="EM177" i="4" s="1"/>
  <c r="EL177" i="4"/>
  <c r="EO177" i="4"/>
  <c r="EH178" i="4"/>
  <c r="EI178" i="4"/>
  <c r="EK178" i="4"/>
  <c r="EM178" i="4" s="1"/>
  <c r="EL178" i="4"/>
  <c r="EO178" i="4"/>
  <c r="EH179" i="4"/>
  <c r="EI179" i="4"/>
  <c r="EK179" i="4"/>
  <c r="EM179" i="4" s="1"/>
  <c r="EL179" i="4"/>
  <c r="EO179" i="4"/>
  <c r="EH180" i="4"/>
  <c r="EI180" i="4"/>
  <c r="EK180" i="4"/>
  <c r="EM180" i="4" s="1"/>
  <c r="EL180" i="4"/>
  <c r="EH181" i="4"/>
  <c r="EI181" i="4"/>
  <c r="EK181" i="4"/>
  <c r="EM181" i="4" s="1"/>
  <c r="EL181" i="4"/>
  <c r="EH182" i="4"/>
  <c r="EI182" i="4"/>
  <c r="EK182" i="4"/>
  <c r="EM182" i="4" s="1"/>
  <c r="EL182" i="4"/>
  <c r="EH183" i="4"/>
  <c r="EI183" i="4"/>
  <c r="EK183" i="4"/>
  <c r="EM183" i="4" s="1"/>
  <c r="EL183" i="4"/>
  <c r="EH184" i="4"/>
  <c r="EI184" i="4"/>
  <c r="EK184" i="4"/>
  <c r="EL184" i="4"/>
  <c r="EH185" i="4"/>
  <c r="EI185" i="4"/>
  <c r="EK185" i="4"/>
  <c r="EL185" i="4"/>
  <c r="EH186" i="4"/>
  <c r="EI186" i="4"/>
  <c r="EK186" i="4"/>
  <c r="EL186" i="4"/>
  <c r="EH187" i="4"/>
  <c r="EI187" i="4"/>
  <c r="EK187" i="4"/>
  <c r="EL187" i="4"/>
  <c r="EH188" i="4"/>
  <c r="EI188" i="4"/>
  <c r="EK188" i="4"/>
  <c r="EL188" i="4"/>
  <c r="EH189" i="4"/>
  <c r="EI189" i="4"/>
  <c r="EK189" i="4"/>
  <c r="EL189" i="4"/>
  <c r="EH190" i="4"/>
  <c r="EI190" i="4"/>
  <c r="EK190" i="4"/>
  <c r="EL190" i="4"/>
  <c r="EH191" i="4"/>
  <c r="EI191" i="4"/>
  <c r="EK191" i="4"/>
  <c r="EL191" i="4"/>
  <c r="EH192" i="4"/>
  <c r="EI192" i="4"/>
  <c r="EK192" i="4"/>
  <c r="EL192" i="4"/>
  <c r="EH193" i="4"/>
  <c r="EI193" i="4"/>
  <c r="EK193" i="4"/>
  <c r="EL193" i="4"/>
  <c r="EH194" i="4"/>
  <c r="EI194" i="4"/>
  <c r="EK194" i="4"/>
  <c r="EL194" i="4"/>
  <c r="EH195" i="4"/>
  <c r="EI195" i="4"/>
  <c r="EK195" i="4"/>
  <c r="EL195" i="4"/>
  <c r="EH196" i="4"/>
  <c r="EI196" i="4"/>
  <c r="EK196" i="4"/>
  <c r="EL196" i="4"/>
  <c r="EH197" i="4"/>
  <c r="EI197" i="4"/>
  <c r="EK197" i="4"/>
  <c r="EL197" i="4"/>
  <c r="EH198" i="4"/>
  <c r="EI198" i="4"/>
  <c r="EK198" i="4"/>
  <c r="EM198" i="4" s="1"/>
  <c r="EL198" i="4"/>
  <c r="EH199" i="4"/>
  <c r="EI199" i="4"/>
  <c r="EK199" i="4"/>
  <c r="EM199" i="4" s="1"/>
  <c r="EL199" i="4"/>
  <c r="EO199" i="4"/>
  <c r="AU199" i="4" s="1"/>
  <c r="EH200" i="4"/>
  <c r="EI200" i="4"/>
  <c r="EK200" i="4"/>
  <c r="EM200" i="4" s="1"/>
  <c r="EL200" i="4"/>
  <c r="EO200" i="4"/>
  <c r="EH201" i="4"/>
  <c r="EI201" i="4"/>
  <c r="EK201" i="4"/>
  <c r="EM201" i="4" s="1"/>
  <c r="EL201" i="4"/>
  <c r="EH202" i="4"/>
  <c r="EI202" i="4"/>
  <c r="EK202" i="4"/>
  <c r="EM202" i="4" s="1"/>
  <c r="EL202" i="4"/>
  <c r="EO202" i="4"/>
  <c r="EH203" i="4"/>
  <c r="EI203" i="4"/>
  <c r="EK203" i="4"/>
  <c r="EM203" i="4" s="1"/>
  <c r="EL203" i="4"/>
  <c r="EO203" i="4"/>
  <c r="EH204" i="4"/>
  <c r="EI204" i="4"/>
  <c r="EK204" i="4"/>
  <c r="EM204" i="4" s="1"/>
  <c r="EL204" i="4"/>
  <c r="EH205" i="4"/>
  <c r="EI205" i="4"/>
  <c r="EK205" i="4"/>
  <c r="EM205" i="4" s="1"/>
  <c r="EL205" i="4"/>
  <c r="EO205" i="4"/>
  <c r="EH206" i="4"/>
  <c r="EI206" i="4"/>
  <c r="EK206" i="4"/>
  <c r="EM206" i="4" s="1"/>
  <c r="EL206" i="4"/>
  <c r="EH207" i="4"/>
  <c r="EI207" i="4"/>
  <c r="EK207" i="4"/>
  <c r="EM207" i="4" s="1"/>
  <c r="EL207" i="4"/>
  <c r="EO207" i="4"/>
  <c r="EH208" i="4"/>
  <c r="EI208" i="4"/>
  <c r="EK208" i="4"/>
  <c r="EM208" i="4" s="1"/>
  <c r="EL208" i="4"/>
  <c r="EO208" i="4"/>
  <c r="AU208" i="4" s="1"/>
  <c r="EH209" i="4"/>
  <c r="EI209" i="4"/>
  <c r="EK209" i="4"/>
  <c r="EM209" i="4" s="1"/>
  <c r="EL209" i="4"/>
  <c r="EH210" i="4"/>
  <c r="EI210" i="4"/>
  <c r="EK210" i="4"/>
  <c r="EM210" i="4" s="1"/>
  <c r="EL210" i="4"/>
  <c r="EO210" i="4"/>
  <c r="EH211" i="4"/>
  <c r="EI211" i="4"/>
  <c r="EK211" i="4"/>
  <c r="EM211" i="4" s="1"/>
  <c r="EL211" i="4"/>
  <c r="EO211" i="4"/>
  <c r="EH212" i="4"/>
  <c r="EI212" i="4"/>
  <c r="EK212" i="4"/>
  <c r="EM212" i="4" s="1"/>
  <c r="EL212" i="4"/>
  <c r="EH213" i="4"/>
  <c r="EI213" i="4"/>
  <c r="EK213" i="4"/>
  <c r="EM213" i="4" s="1"/>
  <c r="EL213" i="4"/>
  <c r="EO213" i="4"/>
  <c r="EH214" i="4"/>
  <c r="EI214" i="4"/>
  <c r="EK214" i="4"/>
  <c r="EM214" i="4" s="1"/>
  <c r="EL214" i="4"/>
  <c r="EH215" i="4"/>
  <c r="EI215" i="4"/>
  <c r="EK215" i="4"/>
  <c r="EM215" i="4" s="1"/>
  <c r="EL215" i="4"/>
  <c r="EO215" i="4"/>
  <c r="EH216" i="4"/>
  <c r="EI216" i="4"/>
  <c r="EK216" i="4"/>
  <c r="EM216" i="4" s="1"/>
  <c r="EL216" i="4"/>
  <c r="EO216" i="4"/>
  <c r="EH217" i="4"/>
  <c r="EI217" i="4"/>
  <c r="EK217" i="4"/>
  <c r="EM217" i="4" s="1"/>
  <c r="EL217" i="4"/>
  <c r="EH218" i="4"/>
  <c r="EI218" i="4"/>
  <c r="EK218" i="4"/>
  <c r="EM218" i="4" s="1"/>
  <c r="EL218" i="4"/>
  <c r="EO218" i="4"/>
  <c r="EH219" i="4"/>
  <c r="EI219" i="4"/>
  <c r="EK219" i="4"/>
  <c r="EM219" i="4" s="1"/>
  <c r="EL219" i="4"/>
  <c r="EO219" i="4"/>
  <c r="EH220" i="4"/>
  <c r="EI220" i="4"/>
  <c r="EK220" i="4"/>
  <c r="EM220" i="4" s="1"/>
  <c r="EL220" i="4"/>
  <c r="EH221" i="4"/>
  <c r="EI221" i="4"/>
  <c r="EK221" i="4"/>
  <c r="EM221" i="4" s="1"/>
  <c r="EL221" i="4"/>
  <c r="EO221" i="4"/>
  <c r="EH222" i="4"/>
  <c r="EI222" i="4"/>
  <c r="EK222" i="4"/>
  <c r="EM222" i="4" s="1"/>
  <c r="EL222" i="4"/>
  <c r="EH223" i="4"/>
  <c r="EI223" i="4"/>
  <c r="EK223" i="4"/>
  <c r="EM223" i="4" s="1"/>
  <c r="EL223" i="4"/>
  <c r="EO223" i="4"/>
  <c r="EH224" i="4"/>
  <c r="EI224" i="4"/>
  <c r="EK224" i="4"/>
  <c r="EM224" i="4" s="1"/>
  <c r="EL224" i="4"/>
  <c r="EO224" i="4"/>
  <c r="EH225" i="4"/>
  <c r="EI225" i="4"/>
  <c r="EK225" i="4"/>
  <c r="EM225" i="4" s="1"/>
  <c r="EL225" i="4"/>
  <c r="EH226" i="4"/>
  <c r="EI226" i="4"/>
  <c r="EK226" i="4"/>
  <c r="EM226" i="4" s="1"/>
  <c r="EL226" i="4"/>
  <c r="EO226" i="4"/>
  <c r="EH227" i="4"/>
  <c r="EI227" i="4"/>
  <c r="EK227" i="4"/>
  <c r="EM227" i="4" s="1"/>
  <c r="EL227" i="4"/>
  <c r="EO227" i="4"/>
  <c r="EH228" i="4"/>
  <c r="EI228" i="4"/>
  <c r="EK228" i="4"/>
  <c r="EM228" i="4" s="1"/>
  <c r="EL228" i="4"/>
  <c r="EH229" i="4"/>
  <c r="EI229" i="4"/>
  <c r="EK229" i="4"/>
  <c r="EM229" i="4" s="1"/>
  <c r="EL229" i="4"/>
  <c r="EO229" i="4"/>
  <c r="EH230" i="4"/>
  <c r="EI230" i="4"/>
  <c r="EK230" i="4"/>
  <c r="EM230" i="4" s="1"/>
  <c r="EL230" i="4"/>
  <c r="CN11" i="4"/>
  <c r="CO11" i="4"/>
  <c r="CP11" i="4"/>
  <c r="CQ11" i="4"/>
  <c r="CN12" i="4"/>
  <c r="CO12" i="4"/>
  <c r="CP12" i="4"/>
  <c r="CQ12" i="4"/>
  <c r="CN13" i="4"/>
  <c r="CO13" i="4"/>
  <c r="CP13" i="4"/>
  <c r="CQ13" i="4"/>
  <c r="CN14" i="4"/>
  <c r="CO14" i="4"/>
  <c r="CP14" i="4"/>
  <c r="CQ14" i="4"/>
  <c r="CN15" i="4"/>
  <c r="CO15" i="4"/>
  <c r="CP15" i="4"/>
  <c r="CQ15" i="4"/>
  <c r="CN16" i="4"/>
  <c r="CO16" i="4"/>
  <c r="CP16" i="4"/>
  <c r="CQ16" i="4"/>
  <c r="CN17" i="4"/>
  <c r="CO17" i="4"/>
  <c r="CP17" i="4"/>
  <c r="CQ17" i="4"/>
  <c r="CN18" i="4"/>
  <c r="CO18" i="4"/>
  <c r="CP18" i="4"/>
  <c r="CQ18" i="4"/>
  <c r="CN19" i="4"/>
  <c r="CO19" i="4"/>
  <c r="CP19" i="4"/>
  <c r="CQ19" i="4"/>
  <c r="CN20" i="4"/>
  <c r="CO20" i="4"/>
  <c r="CP20" i="4"/>
  <c r="CQ20" i="4"/>
  <c r="CN21" i="4"/>
  <c r="CO21" i="4"/>
  <c r="CP21" i="4"/>
  <c r="CQ21" i="4"/>
  <c r="CN22" i="4"/>
  <c r="CO22" i="4"/>
  <c r="CP22" i="4"/>
  <c r="CQ22" i="4"/>
  <c r="CN23" i="4"/>
  <c r="CO23" i="4"/>
  <c r="CP23" i="4"/>
  <c r="CQ23" i="4"/>
  <c r="CN24" i="4"/>
  <c r="CO24" i="4"/>
  <c r="CP24" i="4"/>
  <c r="CQ24" i="4"/>
  <c r="CN25" i="4"/>
  <c r="CO25" i="4"/>
  <c r="CP25" i="4"/>
  <c r="CQ25" i="4"/>
  <c r="CN26" i="4"/>
  <c r="CO26" i="4"/>
  <c r="CP26" i="4"/>
  <c r="CQ26" i="4"/>
  <c r="CN27" i="4"/>
  <c r="CO27" i="4"/>
  <c r="CP27" i="4"/>
  <c r="CQ27" i="4"/>
  <c r="CN28" i="4"/>
  <c r="CO28" i="4"/>
  <c r="CP28" i="4"/>
  <c r="CQ28" i="4"/>
  <c r="CN29" i="4"/>
  <c r="CO29" i="4"/>
  <c r="CP29" i="4"/>
  <c r="CQ29" i="4"/>
  <c r="CN30" i="4"/>
  <c r="CO30" i="4"/>
  <c r="CP30" i="4"/>
  <c r="CQ30" i="4"/>
  <c r="CN31" i="4"/>
  <c r="CO31" i="4"/>
  <c r="CP31" i="4"/>
  <c r="CQ31" i="4"/>
  <c r="CN32" i="4"/>
  <c r="CO32" i="4"/>
  <c r="CP32" i="4"/>
  <c r="CQ32" i="4"/>
  <c r="CN33" i="4"/>
  <c r="CO33" i="4"/>
  <c r="CP33" i="4"/>
  <c r="CQ33" i="4"/>
  <c r="CN34" i="4"/>
  <c r="CO34" i="4"/>
  <c r="CP34" i="4"/>
  <c r="CQ34" i="4"/>
  <c r="CN35" i="4"/>
  <c r="CO35" i="4"/>
  <c r="CP35" i="4"/>
  <c r="CQ35" i="4"/>
  <c r="CN36" i="4"/>
  <c r="CO36" i="4"/>
  <c r="CP36" i="4"/>
  <c r="CQ36" i="4"/>
  <c r="CN37" i="4"/>
  <c r="CO37" i="4"/>
  <c r="CP37" i="4"/>
  <c r="CQ37" i="4"/>
  <c r="CN38" i="4"/>
  <c r="CO38" i="4"/>
  <c r="CP38" i="4"/>
  <c r="CQ38" i="4"/>
  <c r="CN39" i="4"/>
  <c r="CO39" i="4"/>
  <c r="CP39" i="4"/>
  <c r="CQ39" i="4"/>
  <c r="CN40" i="4"/>
  <c r="CO40" i="4"/>
  <c r="CP40" i="4"/>
  <c r="CQ40" i="4"/>
  <c r="CN41" i="4"/>
  <c r="CO41" i="4"/>
  <c r="CP41" i="4"/>
  <c r="CQ41" i="4"/>
  <c r="CN42" i="4"/>
  <c r="CO42" i="4"/>
  <c r="CP42" i="4"/>
  <c r="CQ42" i="4"/>
  <c r="CN43" i="4"/>
  <c r="CO43" i="4"/>
  <c r="CP43" i="4"/>
  <c r="CQ43" i="4"/>
  <c r="CN44" i="4"/>
  <c r="CO44" i="4"/>
  <c r="CP44" i="4"/>
  <c r="CQ44" i="4"/>
  <c r="CN45" i="4"/>
  <c r="CO45" i="4"/>
  <c r="CP45" i="4"/>
  <c r="CQ45" i="4"/>
  <c r="CN46" i="4"/>
  <c r="CO46" i="4"/>
  <c r="CP46" i="4"/>
  <c r="CQ46" i="4"/>
  <c r="CN47" i="4"/>
  <c r="CO47" i="4"/>
  <c r="CP47" i="4"/>
  <c r="CQ47" i="4"/>
  <c r="CN48" i="4"/>
  <c r="CO48" i="4"/>
  <c r="CP48" i="4"/>
  <c r="CQ48" i="4"/>
  <c r="CN49" i="4"/>
  <c r="CO49" i="4"/>
  <c r="CP49" i="4"/>
  <c r="CQ49" i="4"/>
  <c r="CN50" i="4"/>
  <c r="CO50" i="4"/>
  <c r="CP50" i="4"/>
  <c r="CQ50" i="4"/>
  <c r="CN51" i="4"/>
  <c r="CO51" i="4"/>
  <c r="CP51" i="4"/>
  <c r="CQ51" i="4"/>
  <c r="CN52" i="4"/>
  <c r="CO52" i="4"/>
  <c r="CP52" i="4"/>
  <c r="CQ52" i="4"/>
  <c r="CN53" i="4"/>
  <c r="CO53" i="4"/>
  <c r="CP53" i="4"/>
  <c r="CQ53" i="4"/>
  <c r="CN54" i="4"/>
  <c r="CO54" i="4"/>
  <c r="CP54" i="4"/>
  <c r="CQ54" i="4"/>
  <c r="CN55" i="4"/>
  <c r="CO55" i="4"/>
  <c r="CP55" i="4"/>
  <c r="CQ55" i="4"/>
  <c r="CN56" i="4"/>
  <c r="CO56" i="4"/>
  <c r="CP56" i="4"/>
  <c r="CQ56" i="4"/>
  <c r="CN57" i="4"/>
  <c r="CO57" i="4"/>
  <c r="CP57" i="4"/>
  <c r="CQ57" i="4"/>
  <c r="CN58" i="4"/>
  <c r="CO58" i="4"/>
  <c r="CP58" i="4"/>
  <c r="CQ58" i="4"/>
  <c r="CN59" i="4"/>
  <c r="CO59" i="4"/>
  <c r="CP59" i="4"/>
  <c r="CQ59" i="4"/>
  <c r="CN60" i="4"/>
  <c r="CO60" i="4"/>
  <c r="CP60" i="4"/>
  <c r="CQ60" i="4"/>
  <c r="CN61" i="4"/>
  <c r="CO61" i="4"/>
  <c r="CP61" i="4"/>
  <c r="CQ61" i="4"/>
  <c r="CN62" i="4"/>
  <c r="CO62" i="4"/>
  <c r="CP62" i="4"/>
  <c r="CQ62" i="4"/>
  <c r="CN63" i="4"/>
  <c r="CO63" i="4"/>
  <c r="CP63" i="4"/>
  <c r="CQ63" i="4"/>
  <c r="CN64" i="4"/>
  <c r="CO64" i="4"/>
  <c r="CP64" i="4"/>
  <c r="CQ64" i="4"/>
  <c r="CN65" i="4"/>
  <c r="CO65" i="4"/>
  <c r="CP65" i="4"/>
  <c r="CQ65" i="4"/>
  <c r="CN66" i="4"/>
  <c r="CO66" i="4"/>
  <c r="CP66" i="4"/>
  <c r="CQ66" i="4"/>
  <c r="CN67" i="4"/>
  <c r="CO67" i="4"/>
  <c r="CP67" i="4"/>
  <c r="CQ67" i="4"/>
  <c r="CN68" i="4"/>
  <c r="CO68" i="4"/>
  <c r="CP68" i="4"/>
  <c r="CQ68" i="4"/>
  <c r="CN69" i="4"/>
  <c r="CO69" i="4"/>
  <c r="CP69" i="4"/>
  <c r="CQ69" i="4"/>
  <c r="CN70" i="4"/>
  <c r="CO70" i="4"/>
  <c r="CP70" i="4"/>
  <c r="CQ70" i="4"/>
  <c r="CN71" i="4"/>
  <c r="CO71" i="4"/>
  <c r="CP71" i="4"/>
  <c r="CQ71" i="4"/>
  <c r="CN72" i="4"/>
  <c r="CO72" i="4"/>
  <c r="CP72" i="4"/>
  <c r="CQ72" i="4"/>
  <c r="CN73" i="4"/>
  <c r="CO73" i="4"/>
  <c r="CP73" i="4"/>
  <c r="CQ73" i="4"/>
  <c r="CN74" i="4"/>
  <c r="CO74" i="4"/>
  <c r="CP74" i="4"/>
  <c r="CQ74" i="4"/>
  <c r="CN75" i="4"/>
  <c r="CO75" i="4"/>
  <c r="CP75" i="4"/>
  <c r="CQ75" i="4"/>
  <c r="CN76" i="4"/>
  <c r="CO76" i="4"/>
  <c r="CP76" i="4"/>
  <c r="CQ76" i="4"/>
  <c r="CN77" i="4"/>
  <c r="CO77" i="4"/>
  <c r="CP77" i="4"/>
  <c r="CQ77" i="4"/>
  <c r="CN78" i="4"/>
  <c r="CO78" i="4"/>
  <c r="CP78" i="4"/>
  <c r="CQ78" i="4"/>
  <c r="CN79" i="4"/>
  <c r="CO79" i="4"/>
  <c r="CP79" i="4"/>
  <c r="CQ79" i="4"/>
  <c r="CN80" i="4"/>
  <c r="CO80" i="4"/>
  <c r="CP80" i="4"/>
  <c r="CQ80" i="4"/>
  <c r="CN81" i="4"/>
  <c r="CO81" i="4"/>
  <c r="CP81" i="4"/>
  <c r="CQ81" i="4"/>
  <c r="CN82" i="4"/>
  <c r="CO82" i="4"/>
  <c r="CP82" i="4"/>
  <c r="CQ82" i="4"/>
  <c r="CN83" i="4"/>
  <c r="CO83" i="4"/>
  <c r="CP83" i="4"/>
  <c r="CQ83" i="4"/>
  <c r="CN84" i="4"/>
  <c r="CO84" i="4"/>
  <c r="CP84" i="4"/>
  <c r="CQ84" i="4"/>
  <c r="CN85" i="4"/>
  <c r="CO85" i="4"/>
  <c r="CP85" i="4"/>
  <c r="CQ85" i="4"/>
  <c r="CN86" i="4"/>
  <c r="CO86" i="4"/>
  <c r="CP86" i="4"/>
  <c r="CQ86" i="4"/>
  <c r="CN87" i="4"/>
  <c r="CO87" i="4"/>
  <c r="CP87" i="4"/>
  <c r="CQ87" i="4"/>
  <c r="CN88" i="4"/>
  <c r="CO88" i="4"/>
  <c r="CP88" i="4"/>
  <c r="CQ88" i="4"/>
  <c r="CN89" i="4"/>
  <c r="CO89" i="4"/>
  <c r="CP89" i="4"/>
  <c r="CQ89" i="4"/>
  <c r="CN90" i="4"/>
  <c r="CO90" i="4"/>
  <c r="CP90" i="4"/>
  <c r="CQ90" i="4"/>
  <c r="CN91" i="4"/>
  <c r="CO91" i="4"/>
  <c r="CP91" i="4"/>
  <c r="CQ91" i="4"/>
  <c r="CN92" i="4"/>
  <c r="CO92" i="4"/>
  <c r="CP92" i="4"/>
  <c r="CQ92" i="4"/>
  <c r="CN93" i="4"/>
  <c r="CO93" i="4"/>
  <c r="CP93" i="4"/>
  <c r="CQ93" i="4"/>
  <c r="CN94" i="4"/>
  <c r="CO94" i="4"/>
  <c r="CP94" i="4"/>
  <c r="CQ94" i="4"/>
  <c r="CN95" i="4"/>
  <c r="CO95" i="4"/>
  <c r="CP95" i="4"/>
  <c r="CQ95" i="4"/>
  <c r="CN96" i="4"/>
  <c r="CO96" i="4"/>
  <c r="CP96" i="4"/>
  <c r="CQ96" i="4"/>
  <c r="CN97" i="4"/>
  <c r="CO97" i="4"/>
  <c r="CP97" i="4"/>
  <c r="CQ97" i="4"/>
  <c r="CN98" i="4"/>
  <c r="CO98" i="4"/>
  <c r="CP98" i="4"/>
  <c r="CQ98" i="4"/>
  <c r="CN99" i="4"/>
  <c r="CO99" i="4"/>
  <c r="CP99" i="4"/>
  <c r="CQ99" i="4"/>
  <c r="CN100" i="4"/>
  <c r="CO100" i="4"/>
  <c r="CP100" i="4"/>
  <c r="CQ100" i="4"/>
  <c r="CN101" i="4"/>
  <c r="CO101" i="4"/>
  <c r="CP101" i="4"/>
  <c r="CQ101" i="4"/>
  <c r="CN102" i="4"/>
  <c r="CO102" i="4"/>
  <c r="CP102" i="4"/>
  <c r="CQ102" i="4"/>
  <c r="CN103" i="4"/>
  <c r="CO103" i="4"/>
  <c r="CP103" i="4"/>
  <c r="CQ103" i="4"/>
  <c r="CN104" i="4"/>
  <c r="CO104" i="4"/>
  <c r="CP104" i="4"/>
  <c r="CQ104" i="4"/>
  <c r="CN105" i="4"/>
  <c r="CO105" i="4"/>
  <c r="CP105" i="4"/>
  <c r="CQ105" i="4"/>
  <c r="CN106" i="4"/>
  <c r="CO106" i="4"/>
  <c r="CP106" i="4"/>
  <c r="CQ106" i="4"/>
  <c r="CN107" i="4"/>
  <c r="CO107" i="4"/>
  <c r="CP107" i="4"/>
  <c r="CQ107" i="4"/>
  <c r="CN108" i="4"/>
  <c r="CO108" i="4"/>
  <c r="CP108" i="4"/>
  <c r="CQ108" i="4"/>
  <c r="CN109" i="4"/>
  <c r="CO109" i="4"/>
  <c r="CP109" i="4"/>
  <c r="CQ109" i="4"/>
  <c r="CN110" i="4"/>
  <c r="CO110" i="4"/>
  <c r="CP110" i="4"/>
  <c r="CQ110" i="4"/>
  <c r="CN111" i="4"/>
  <c r="CO111" i="4"/>
  <c r="CP111" i="4"/>
  <c r="CQ111" i="4"/>
  <c r="CN112" i="4"/>
  <c r="CO112" i="4"/>
  <c r="CP112" i="4"/>
  <c r="CQ112" i="4"/>
  <c r="CN113" i="4"/>
  <c r="CO113" i="4"/>
  <c r="CP113" i="4"/>
  <c r="CQ113" i="4"/>
  <c r="CN114" i="4"/>
  <c r="CO114" i="4"/>
  <c r="CP114" i="4"/>
  <c r="CQ114" i="4"/>
  <c r="CN115" i="4"/>
  <c r="CO115" i="4"/>
  <c r="CP115" i="4"/>
  <c r="CQ115" i="4"/>
  <c r="CN116" i="4"/>
  <c r="CO116" i="4"/>
  <c r="CP116" i="4"/>
  <c r="CQ116" i="4"/>
  <c r="CN117" i="4"/>
  <c r="CO117" i="4"/>
  <c r="CP117" i="4"/>
  <c r="CQ117" i="4"/>
  <c r="CN118" i="4"/>
  <c r="CO118" i="4"/>
  <c r="CP118" i="4"/>
  <c r="CQ118" i="4"/>
  <c r="CN119" i="4"/>
  <c r="CO119" i="4"/>
  <c r="CP119" i="4"/>
  <c r="CQ119" i="4"/>
  <c r="CN120" i="4"/>
  <c r="CO120" i="4"/>
  <c r="CP120" i="4"/>
  <c r="CQ120" i="4"/>
  <c r="CN121" i="4"/>
  <c r="CO121" i="4"/>
  <c r="CP121" i="4"/>
  <c r="CQ121" i="4"/>
  <c r="CN122" i="4"/>
  <c r="CO122" i="4"/>
  <c r="CP122" i="4"/>
  <c r="CQ122" i="4"/>
  <c r="CN123" i="4"/>
  <c r="CO123" i="4"/>
  <c r="CP123" i="4"/>
  <c r="CQ123" i="4"/>
  <c r="CN124" i="4"/>
  <c r="CO124" i="4"/>
  <c r="CP124" i="4"/>
  <c r="CQ124" i="4"/>
  <c r="CN125" i="4"/>
  <c r="CO125" i="4"/>
  <c r="CP125" i="4"/>
  <c r="CQ125" i="4"/>
  <c r="CN126" i="4"/>
  <c r="CO126" i="4"/>
  <c r="CP126" i="4"/>
  <c r="CQ126" i="4"/>
  <c r="CN127" i="4"/>
  <c r="CO127" i="4"/>
  <c r="CP127" i="4"/>
  <c r="CQ127" i="4"/>
  <c r="CN128" i="4"/>
  <c r="CO128" i="4"/>
  <c r="CP128" i="4"/>
  <c r="CQ128" i="4"/>
  <c r="CN129" i="4"/>
  <c r="CO129" i="4"/>
  <c r="CP129" i="4"/>
  <c r="CQ129" i="4"/>
  <c r="CN130" i="4"/>
  <c r="CO130" i="4"/>
  <c r="CP130" i="4"/>
  <c r="CQ130" i="4"/>
  <c r="CN131" i="4"/>
  <c r="CO131" i="4"/>
  <c r="CP131" i="4"/>
  <c r="CQ131" i="4"/>
  <c r="CN132" i="4"/>
  <c r="CO132" i="4"/>
  <c r="CP132" i="4"/>
  <c r="CQ132" i="4"/>
  <c r="CN133" i="4"/>
  <c r="CO133" i="4"/>
  <c r="CP133" i="4"/>
  <c r="CQ133" i="4"/>
  <c r="CN134" i="4"/>
  <c r="CO134" i="4"/>
  <c r="CP134" i="4"/>
  <c r="CQ134" i="4"/>
  <c r="CN135" i="4"/>
  <c r="CO135" i="4"/>
  <c r="CP135" i="4"/>
  <c r="CQ135" i="4"/>
  <c r="CN136" i="4"/>
  <c r="CO136" i="4"/>
  <c r="CP136" i="4"/>
  <c r="CQ136" i="4"/>
  <c r="CN137" i="4"/>
  <c r="CO137" i="4"/>
  <c r="CP137" i="4"/>
  <c r="CQ137" i="4"/>
  <c r="CN138" i="4"/>
  <c r="CO138" i="4"/>
  <c r="CP138" i="4"/>
  <c r="CQ138" i="4"/>
  <c r="CN139" i="4"/>
  <c r="CO139" i="4"/>
  <c r="CP139" i="4"/>
  <c r="CQ139" i="4"/>
  <c r="CN140" i="4"/>
  <c r="CO140" i="4"/>
  <c r="CP140" i="4"/>
  <c r="CQ140" i="4"/>
  <c r="CN141" i="4"/>
  <c r="CO141" i="4"/>
  <c r="CP141" i="4"/>
  <c r="CQ141" i="4"/>
  <c r="CN142" i="4"/>
  <c r="CO142" i="4"/>
  <c r="CP142" i="4"/>
  <c r="CQ142" i="4"/>
  <c r="CN143" i="4"/>
  <c r="CO143" i="4"/>
  <c r="CP143" i="4"/>
  <c r="CQ143" i="4"/>
  <c r="CN144" i="4"/>
  <c r="CO144" i="4"/>
  <c r="CP144" i="4"/>
  <c r="CQ144" i="4"/>
  <c r="CN145" i="4"/>
  <c r="CO145" i="4"/>
  <c r="CP145" i="4"/>
  <c r="CQ145" i="4"/>
  <c r="CN146" i="4"/>
  <c r="CO146" i="4"/>
  <c r="CP146" i="4"/>
  <c r="CQ146" i="4"/>
  <c r="CN147" i="4"/>
  <c r="CO147" i="4"/>
  <c r="CP147" i="4"/>
  <c r="CQ147" i="4"/>
  <c r="CN148" i="4"/>
  <c r="CO148" i="4"/>
  <c r="CP148" i="4"/>
  <c r="CQ148" i="4"/>
  <c r="CN149" i="4"/>
  <c r="CO149" i="4"/>
  <c r="CP149" i="4"/>
  <c r="CQ149" i="4"/>
  <c r="CN150" i="4"/>
  <c r="CO150" i="4"/>
  <c r="CP150" i="4"/>
  <c r="CQ150" i="4"/>
  <c r="CN151" i="4"/>
  <c r="CO151" i="4"/>
  <c r="CP151" i="4"/>
  <c r="CQ151" i="4"/>
  <c r="CN152" i="4"/>
  <c r="CO152" i="4"/>
  <c r="CP152" i="4"/>
  <c r="CQ152" i="4"/>
  <c r="CN153" i="4"/>
  <c r="CO153" i="4"/>
  <c r="CP153" i="4"/>
  <c r="CQ153" i="4"/>
  <c r="CN154" i="4"/>
  <c r="CO154" i="4"/>
  <c r="CP154" i="4"/>
  <c r="CQ154" i="4"/>
  <c r="CN155" i="4"/>
  <c r="CO155" i="4"/>
  <c r="CP155" i="4"/>
  <c r="CQ155" i="4"/>
  <c r="CN156" i="4"/>
  <c r="CO156" i="4"/>
  <c r="CP156" i="4"/>
  <c r="CQ156" i="4"/>
  <c r="CN157" i="4"/>
  <c r="CO157" i="4"/>
  <c r="CP157" i="4"/>
  <c r="CQ157" i="4"/>
  <c r="CN158" i="4"/>
  <c r="CO158" i="4"/>
  <c r="CP158" i="4"/>
  <c r="CQ158" i="4"/>
  <c r="CN159" i="4"/>
  <c r="CO159" i="4"/>
  <c r="CP159" i="4"/>
  <c r="CQ159" i="4"/>
  <c r="CN160" i="4"/>
  <c r="CO160" i="4"/>
  <c r="CP160" i="4"/>
  <c r="CQ160" i="4"/>
  <c r="CN161" i="4"/>
  <c r="CO161" i="4"/>
  <c r="CP161" i="4"/>
  <c r="CQ161" i="4"/>
  <c r="CN162" i="4"/>
  <c r="CO162" i="4"/>
  <c r="CP162" i="4"/>
  <c r="CQ162" i="4"/>
  <c r="CN163" i="4"/>
  <c r="CO163" i="4"/>
  <c r="CP163" i="4"/>
  <c r="CQ163" i="4"/>
  <c r="CN164" i="4"/>
  <c r="CO164" i="4"/>
  <c r="CP164" i="4"/>
  <c r="CQ164" i="4"/>
  <c r="CN165" i="4"/>
  <c r="CO165" i="4"/>
  <c r="CP165" i="4"/>
  <c r="CQ165" i="4"/>
  <c r="CN166" i="4"/>
  <c r="CO166" i="4"/>
  <c r="CP166" i="4"/>
  <c r="CQ166" i="4"/>
  <c r="CN167" i="4"/>
  <c r="CO167" i="4"/>
  <c r="CP167" i="4"/>
  <c r="CQ167" i="4"/>
  <c r="CN168" i="4"/>
  <c r="CO168" i="4"/>
  <c r="CP168" i="4"/>
  <c r="CQ168" i="4"/>
  <c r="CN169" i="4"/>
  <c r="CO169" i="4"/>
  <c r="CP169" i="4"/>
  <c r="CQ169" i="4"/>
  <c r="CN170" i="4"/>
  <c r="CO170" i="4"/>
  <c r="CP170" i="4"/>
  <c r="CQ170" i="4"/>
  <c r="CN171" i="4"/>
  <c r="CO171" i="4"/>
  <c r="CP171" i="4"/>
  <c r="CQ171" i="4"/>
  <c r="CN172" i="4"/>
  <c r="CO172" i="4"/>
  <c r="CP172" i="4"/>
  <c r="CQ172" i="4"/>
  <c r="CN173" i="4"/>
  <c r="CO173" i="4"/>
  <c r="CP173" i="4"/>
  <c r="CQ173" i="4"/>
  <c r="CN174" i="4"/>
  <c r="CO174" i="4"/>
  <c r="CP174" i="4"/>
  <c r="CQ174" i="4"/>
  <c r="CN175" i="4"/>
  <c r="CO175" i="4"/>
  <c r="CP175" i="4"/>
  <c r="CQ175" i="4"/>
  <c r="CN176" i="4"/>
  <c r="CO176" i="4"/>
  <c r="CP176" i="4"/>
  <c r="CQ176" i="4"/>
  <c r="CN177" i="4"/>
  <c r="CO177" i="4"/>
  <c r="CP177" i="4"/>
  <c r="CQ177" i="4"/>
  <c r="CN178" i="4"/>
  <c r="CO178" i="4"/>
  <c r="CP178" i="4"/>
  <c r="CQ178" i="4"/>
  <c r="CN179" i="4"/>
  <c r="CO179" i="4"/>
  <c r="CP179" i="4"/>
  <c r="CQ179" i="4"/>
  <c r="CN180" i="4"/>
  <c r="CO180" i="4"/>
  <c r="CP180" i="4"/>
  <c r="CQ180" i="4"/>
  <c r="CN181" i="4"/>
  <c r="CO181" i="4"/>
  <c r="CP181" i="4"/>
  <c r="CQ181" i="4"/>
  <c r="CN182" i="4"/>
  <c r="CO182" i="4"/>
  <c r="CP182" i="4"/>
  <c r="CQ182" i="4"/>
  <c r="CN183" i="4"/>
  <c r="CO183" i="4"/>
  <c r="CP183" i="4"/>
  <c r="CQ183" i="4"/>
  <c r="CN184" i="4"/>
  <c r="CO184" i="4"/>
  <c r="CP184" i="4"/>
  <c r="CQ184" i="4"/>
  <c r="CN185" i="4"/>
  <c r="CO185" i="4"/>
  <c r="CP185" i="4"/>
  <c r="CQ185" i="4"/>
  <c r="CN186" i="4"/>
  <c r="CO186" i="4"/>
  <c r="CP186" i="4"/>
  <c r="CQ186" i="4"/>
  <c r="CN187" i="4"/>
  <c r="CO187" i="4"/>
  <c r="CP187" i="4"/>
  <c r="CQ187" i="4"/>
  <c r="CN188" i="4"/>
  <c r="CO188" i="4"/>
  <c r="CP188" i="4"/>
  <c r="CQ188" i="4"/>
  <c r="CN189" i="4"/>
  <c r="CO189" i="4"/>
  <c r="CP189" i="4"/>
  <c r="CQ189" i="4"/>
  <c r="CN190" i="4"/>
  <c r="CO190" i="4"/>
  <c r="CP190" i="4"/>
  <c r="CQ190" i="4"/>
  <c r="CN191" i="4"/>
  <c r="CO191" i="4"/>
  <c r="CP191" i="4"/>
  <c r="CQ191" i="4"/>
  <c r="CN192" i="4"/>
  <c r="CO192" i="4"/>
  <c r="CP192" i="4"/>
  <c r="CQ192" i="4"/>
  <c r="CN193" i="4"/>
  <c r="CO193" i="4"/>
  <c r="CP193" i="4"/>
  <c r="CQ193" i="4"/>
  <c r="CN194" i="4"/>
  <c r="CO194" i="4"/>
  <c r="CP194" i="4"/>
  <c r="CQ194" i="4"/>
  <c r="CN195" i="4"/>
  <c r="CO195" i="4"/>
  <c r="CP195" i="4"/>
  <c r="CQ195" i="4"/>
  <c r="CN196" i="4"/>
  <c r="CO196" i="4"/>
  <c r="CP196" i="4"/>
  <c r="CQ196" i="4"/>
  <c r="CN197" i="4"/>
  <c r="CO197" i="4"/>
  <c r="CP197" i="4"/>
  <c r="CQ197" i="4"/>
  <c r="CN198" i="4"/>
  <c r="CO198" i="4"/>
  <c r="CP198" i="4"/>
  <c r="CQ198" i="4"/>
  <c r="CN199" i="4"/>
  <c r="CO199" i="4"/>
  <c r="CP199" i="4"/>
  <c r="CQ199" i="4"/>
  <c r="CN200" i="4"/>
  <c r="CO200" i="4"/>
  <c r="CP200" i="4"/>
  <c r="CQ200" i="4"/>
  <c r="CN201" i="4"/>
  <c r="CO201" i="4"/>
  <c r="CP201" i="4"/>
  <c r="CQ201" i="4"/>
  <c r="CN202" i="4"/>
  <c r="CO202" i="4"/>
  <c r="CP202" i="4"/>
  <c r="CQ202" i="4"/>
  <c r="CN203" i="4"/>
  <c r="CO203" i="4"/>
  <c r="CP203" i="4"/>
  <c r="CQ203" i="4"/>
  <c r="CN204" i="4"/>
  <c r="CO204" i="4"/>
  <c r="CP204" i="4"/>
  <c r="CQ204" i="4"/>
  <c r="CN205" i="4"/>
  <c r="CO205" i="4"/>
  <c r="CP205" i="4"/>
  <c r="CQ205" i="4"/>
  <c r="CN206" i="4"/>
  <c r="CO206" i="4"/>
  <c r="CP206" i="4"/>
  <c r="CQ206" i="4"/>
  <c r="CN207" i="4"/>
  <c r="CO207" i="4"/>
  <c r="CP207" i="4"/>
  <c r="CQ207" i="4"/>
  <c r="CN208" i="4"/>
  <c r="CO208" i="4"/>
  <c r="CP208" i="4"/>
  <c r="CQ208" i="4"/>
  <c r="CN209" i="4"/>
  <c r="CO209" i="4"/>
  <c r="CP209" i="4"/>
  <c r="CQ209" i="4"/>
  <c r="CN210" i="4"/>
  <c r="CO210" i="4"/>
  <c r="CP210" i="4"/>
  <c r="CQ210" i="4"/>
  <c r="CN211" i="4"/>
  <c r="CO211" i="4"/>
  <c r="CP211" i="4"/>
  <c r="CQ211" i="4"/>
  <c r="CN212" i="4"/>
  <c r="CO212" i="4"/>
  <c r="CP212" i="4"/>
  <c r="CQ212" i="4"/>
  <c r="AR11" i="4"/>
  <c r="AT11" i="4"/>
  <c r="AR12" i="4"/>
  <c r="AT12" i="4"/>
  <c r="AR13" i="4"/>
  <c r="AT13" i="4"/>
  <c r="AR14" i="4"/>
  <c r="AT14" i="4"/>
  <c r="AR15" i="4"/>
  <c r="AT15" i="4"/>
  <c r="AR16" i="4"/>
  <c r="AT16" i="4"/>
  <c r="AR17" i="4"/>
  <c r="AT17" i="4"/>
  <c r="AR18" i="4"/>
  <c r="AT18" i="4"/>
  <c r="AR19" i="4"/>
  <c r="AT19" i="4"/>
  <c r="AR20" i="4"/>
  <c r="AT20" i="4"/>
  <c r="AR21" i="4"/>
  <c r="AT21" i="4"/>
  <c r="AR22" i="4"/>
  <c r="AT22" i="4"/>
  <c r="AR23" i="4"/>
  <c r="AT23" i="4"/>
  <c r="AR24" i="4"/>
  <c r="AT24" i="4"/>
  <c r="AR25" i="4"/>
  <c r="AT25" i="4"/>
  <c r="AR26" i="4"/>
  <c r="AT26" i="4"/>
  <c r="AR27" i="4"/>
  <c r="AT27" i="4"/>
  <c r="AR28" i="4"/>
  <c r="AT28" i="4"/>
  <c r="AR29" i="4"/>
  <c r="AT29" i="4"/>
  <c r="AR30" i="4"/>
  <c r="AT30" i="4"/>
  <c r="AR31" i="4"/>
  <c r="AT31" i="4"/>
  <c r="AR32" i="4"/>
  <c r="AT32" i="4"/>
  <c r="AR33" i="4"/>
  <c r="AT33" i="4"/>
  <c r="AR34" i="4"/>
  <c r="AT34" i="4"/>
  <c r="AR35" i="4"/>
  <c r="AT35" i="4"/>
  <c r="AR36" i="4"/>
  <c r="AT36" i="4"/>
  <c r="AR37" i="4"/>
  <c r="AT37" i="4"/>
  <c r="AR38" i="4"/>
  <c r="AT38" i="4"/>
  <c r="AR39" i="4"/>
  <c r="AT39" i="4"/>
  <c r="AR40" i="4"/>
  <c r="AT40" i="4"/>
  <c r="AR41" i="4"/>
  <c r="AT41" i="4"/>
  <c r="AR42" i="4"/>
  <c r="AT42" i="4"/>
  <c r="AR43" i="4"/>
  <c r="AT43" i="4"/>
  <c r="AR44" i="4"/>
  <c r="AT44" i="4"/>
  <c r="AR45" i="4"/>
  <c r="AT45" i="4"/>
  <c r="AR46" i="4"/>
  <c r="AT46" i="4"/>
  <c r="AR47" i="4"/>
  <c r="AT47" i="4"/>
  <c r="AR48" i="4"/>
  <c r="AT48" i="4"/>
  <c r="AR49" i="4"/>
  <c r="AT49" i="4"/>
  <c r="AR50" i="4"/>
  <c r="AT50" i="4"/>
  <c r="AR51" i="4"/>
  <c r="AT51" i="4"/>
  <c r="AR52" i="4"/>
  <c r="AT52" i="4"/>
  <c r="AR53" i="4"/>
  <c r="AT53" i="4"/>
  <c r="AR54" i="4"/>
  <c r="AT54" i="4"/>
  <c r="AR55" i="4"/>
  <c r="AT55" i="4"/>
  <c r="AR56" i="4"/>
  <c r="AT56" i="4"/>
  <c r="AR57" i="4"/>
  <c r="AT57" i="4"/>
  <c r="AR58" i="4"/>
  <c r="AT58" i="4"/>
  <c r="AR59" i="4"/>
  <c r="AT59" i="4"/>
  <c r="AR60" i="4"/>
  <c r="AT60" i="4"/>
  <c r="AR61" i="4"/>
  <c r="AT61" i="4"/>
  <c r="AR62" i="4"/>
  <c r="AT62" i="4"/>
  <c r="AR63" i="4"/>
  <c r="AT63" i="4"/>
  <c r="AR64" i="4"/>
  <c r="AT64" i="4"/>
  <c r="AR65" i="4"/>
  <c r="AT65" i="4"/>
  <c r="AR66" i="4"/>
  <c r="AT66" i="4"/>
  <c r="AR67" i="4"/>
  <c r="AT67" i="4"/>
  <c r="AR68" i="4"/>
  <c r="AT68" i="4"/>
  <c r="AR69" i="4"/>
  <c r="AT69" i="4"/>
  <c r="AR70" i="4"/>
  <c r="AT70" i="4"/>
  <c r="AR71" i="4"/>
  <c r="AT71" i="4"/>
  <c r="AR72" i="4"/>
  <c r="AT72" i="4"/>
  <c r="AR73" i="4"/>
  <c r="AT73" i="4"/>
  <c r="AR74" i="4"/>
  <c r="AT74" i="4"/>
  <c r="AR75" i="4"/>
  <c r="AT75" i="4"/>
  <c r="AR76" i="4"/>
  <c r="AT76" i="4"/>
  <c r="AR77" i="4"/>
  <c r="AT77" i="4"/>
  <c r="AR78" i="4"/>
  <c r="AT78" i="4"/>
  <c r="AR79" i="4"/>
  <c r="AT79" i="4"/>
  <c r="AR80" i="4"/>
  <c r="AT80" i="4"/>
  <c r="AR81" i="4"/>
  <c r="AT81" i="4"/>
  <c r="AR82" i="4"/>
  <c r="AT82" i="4"/>
  <c r="AR83" i="4"/>
  <c r="AT83" i="4"/>
  <c r="AR84" i="4"/>
  <c r="AT84" i="4"/>
  <c r="AR85" i="4"/>
  <c r="AT85" i="4"/>
  <c r="AR86" i="4"/>
  <c r="AT86" i="4"/>
  <c r="AR87" i="4"/>
  <c r="AT87" i="4"/>
  <c r="AR88" i="4"/>
  <c r="AT88" i="4"/>
  <c r="AR89" i="4"/>
  <c r="AT89" i="4"/>
  <c r="AR90" i="4"/>
  <c r="AT90" i="4"/>
  <c r="AR91" i="4"/>
  <c r="AT91" i="4"/>
  <c r="AR92" i="4"/>
  <c r="AT92" i="4"/>
  <c r="AR93" i="4"/>
  <c r="AT93" i="4"/>
  <c r="AR94" i="4"/>
  <c r="AT94" i="4"/>
  <c r="AR95" i="4"/>
  <c r="AT95" i="4"/>
  <c r="AR96" i="4"/>
  <c r="AT96" i="4"/>
  <c r="AR97" i="4"/>
  <c r="AT97" i="4"/>
  <c r="AR98" i="4"/>
  <c r="AT98" i="4"/>
  <c r="AR99" i="4"/>
  <c r="AT99" i="4"/>
  <c r="AR100" i="4"/>
  <c r="AT100" i="4"/>
  <c r="AR101" i="4"/>
  <c r="AT101" i="4"/>
  <c r="AR102" i="4"/>
  <c r="AT102" i="4"/>
  <c r="AR103" i="4"/>
  <c r="AT103" i="4"/>
  <c r="AR104" i="4"/>
  <c r="AT104" i="4"/>
  <c r="AR105" i="4"/>
  <c r="AT105" i="4"/>
  <c r="AR106" i="4"/>
  <c r="AT106" i="4"/>
  <c r="AR107" i="4"/>
  <c r="AT107" i="4"/>
  <c r="AR108" i="4"/>
  <c r="AT108" i="4"/>
  <c r="AR109" i="4"/>
  <c r="AT109" i="4"/>
  <c r="AR110" i="4"/>
  <c r="AT110" i="4"/>
  <c r="AR111" i="4"/>
  <c r="AT111" i="4"/>
  <c r="AR112" i="4"/>
  <c r="AT112" i="4"/>
  <c r="AR113" i="4"/>
  <c r="AT113" i="4"/>
  <c r="AR114" i="4"/>
  <c r="AT114" i="4"/>
  <c r="AR115" i="4"/>
  <c r="AT115" i="4"/>
  <c r="AR116" i="4"/>
  <c r="AT116" i="4"/>
  <c r="AR117" i="4"/>
  <c r="AT117" i="4"/>
  <c r="AR118" i="4"/>
  <c r="AT118" i="4"/>
  <c r="AR119" i="4"/>
  <c r="AT119" i="4"/>
  <c r="AR120" i="4"/>
  <c r="AT120" i="4"/>
  <c r="AR121" i="4"/>
  <c r="AT121" i="4"/>
  <c r="AR122" i="4"/>
  <c r="AT122" i="4"/>
  <c r="AR123" i="4"/>
  <c r="AT123" i="4"/>
  <c r="AR124" i="4"/>
  <c r="AT124" i="4"/>
  <c r="AR125" i="4"/>
  <c r="AT125" i="4"/>
  <c r="AR126" i="4"/>
  <c r="AT126" i="4"/>
  <c r="AR127" i="4"/>
  <c r="AT127" i="4"/>
  <c r="AR128" i="4"/>
  <c r="AT128" i="4"/>
  <c r="AR129" i="4"/>
  <c r="AT129" i="4"/>
  <c r="AR130" i="4"/>
  <c r="AT130" i="4"/>
  <c r="AR131" i="4"/>
  <c r="AT131" i="4"/>
  <c r="AR132" i="4"/>
  <c r="AT132" i="4"/>
  <c r="AR133" i="4"/>
  <c r="AT133" i="4"/>
  <c r="AR134" i="4"/>
  <c r="AT134" i="4"/>
  <c r="AR135" i="4"/>
  <c r="AT135" i="4"/>
  <c r="AR136" i="4"/>
  <c r="AT136" i="4"/>
  <c r="AR137" i="4"/>
  <c r="AT137" i="4"/>
  <c r="AR138" i="4"/>
  <c r="AT138" i="4"/>
  <c r="AR139" i="4"/>
  <c r="AT139" i="4"/>
  <c r="AR140" i="4"/>
  <c r="AT140" i="4"/>
  <c r="AR141" i="4"/>
  <c r="AT141" i="4"/>
  <c r="AR142" i="4"/>
  <c r="AT142" i="4"/>
  <c r="AR143" i="4"/>
  <c r="AT143" i="4"/>
  <c r="AR144" i="4"/>
  <c r="AT144" i="4"/>
  <c r="AR145" i="4"/>
  <c r="AT145" i="4"/>
  <c r="AR146" i="4"/>
  <c r="AT146" i="4"/>
  <c r="AR147" i="4"/>
  <c r="AT147" i="4"/>
  <c r="AR148" i="4"/>
  <c r="AT148" i="4"/>
  <c r="AR149" i="4"/>
  <c r="AT149" i="4"/>
  <c r="AR150" i="4"/>
  <c r="AT150" i="4"/>
  <c r="AR151" i="4"/>
  <c r="AT151" i="4"/>
  <c r="AR152" i="4"/>
  <c r="AT152" i="4"/>
  <c r="AR153" i="4"/>
  <c r="AT153" i="4"/>
  <c r="AR154" i="4"/>
  <c r="AT154" i="4"/>
  <c r="AR155" i="4"/>
  <c r="AT155" i="4"/>
  <c r="AR156" i="4"/>
  <c r="AT156" i="4"/>
  <c r="AR157" i="4"/>
  <c r="AT157" i="4"/>
  <c r="AR158" i="4"/>
  <c r="AT158" i="4"/>
  <c r="AR159" i="4"/>
  <c r="AT159" i="4"/>
  <c r="AR160" i="4"/>
  <c r="AT160" i="4"/>
  <c r="AR161" i="4"/>
  <c r="AT161" i="4"/>
  <c r="AR162" i="4"/>
  <c r="AT162" i="4"/>
  <c r="AR163" i="4"/>
  <c r="AT163" i="4"/>
  <c r="AR164" i="4"/>
  <c r="AT164" i="4"/>
  <c r="AR165" i="4"/>
  <c r="AT165" i="4"/>
  <c r="AR166" i="4"/>
  <c r="AT166" i="4"/>
  <c r="AR167" i="4"/>
  <c r="AT167" i="4"/>
  <c r="AR168" i="4"/>
  <c r="AT168" i="4"/>
  <c r="AR169" i="4"/>
  <c r="AT169" i="4"/>
  <c r="AR170" i="4"/>
  <c r="AT170" i="4"/>
  <c r="AR171" i="4"/>
  <c r="AT171" i="4"/>
  <c r="AR172" i="4"/>
  <c r="AT172" i="4"/>
  <c r="AR173" i="4"/>
  <c r="AT173" i="4"/>
  <c r="AR174" i="4"/>
  <c r="AT174" i="4"/>
  <c r="AR175" i="4"/>
  <c r="AT175" i="4"/>
  <c r="AR176" i="4"/>
  <c r="AT176" i="4"/>
  <c r="AR177" i="4"/>
  <c r="AT177" i="4"/>
  <c r="AR178" i="4"/>
  <c r="AT178" i="4"/>
  <c r="AR179" i="4"/>
  <c r="AT179" i="4"/>
  <c r="AR180" i="4"/>
  <c r="AT180" i="4"/>
  <c r="AR181" i="4"/>
  <c r="AT181" i="4"/>
  <c r="AR182" i="4"/>
  <c r="AT182" i="4"/>
  <c r="AR183" i="4"/>
  <c r="AT183" i="4"/>
  <c r="AR184" i="4"/>
  <c r="AT184" i="4"/>
  <c r="AR185" i="4"/>
  <c r="AT185" i="4"/>
  <c r="AR186" i="4"/>
  <c r="AT186" i="4"/>
  <c r="AR187" i="4"/>
  <c r="AT187" i="4"/>
  <c r="AR188" i="4"/>
  <c r="AT188" i="4"/>
  <c r="AR189" i="4"/>
  <c r="AT189" i="4"/>
  <c r="AR190" i="4"/>
  <c r="AT190" i="4"/>
  <c r="AR191" i="4"/>
  <c r="AT191" i="4"/>
  <c r="AR192" i="4"/>
  <c r="AT192" i="4"/>
  <c r="AR193" i="4"/>
  <c r="AT193" i="4"/>
  <c r="AR194" i="4"/>
  <c r="AT194" i="4"/>
  <c r="AR195" i="4"/>
  <c r="AT195" i="4"/>
  <c r="AR196" i="4"/>
  <c r="AT196" i="4"/>
  <c r="AR197" i="4"/>
  <c r="AT197" i="4"/>
  <c r="AR198" i="4"/>
  <c r="AT198" i="4"/>
  <c r="AR199" i="4"/>
  <c r="AT199" i="4"/>
  <c r="AR200" i="4"/>
  <c r="AT200" i="4"/>
  <c r="AR201" i="4"/>
  <c r="AT201" i="4"/>
  <c r="AR202" i="4"/>
  <c r="AT202" i="4"/>
  <c r="AR203" i="4"/>
  <c r="AT203" i="4"/>
  <c r="AR204" i="4"/>
  <c r="AT204" i="4"/>
  <c r="AR205" i="4"/>
  <c r="AT205" i="4"/>
  <c r="AR206" i="4"/>
  <c r="AT206" i="4"/>
  <c r="AR207" i="4"/>
  <c r="AT207" i="4"/>
  <c r="AR208" i="4"/>
  <c r="AT208" i="4"/>
  <c r="AR209" i="4"/>
  <c r="AT209" i="4"/>
  <c r="AR210" i="4"/>
  <c r="AT210" i="4"/>
  <c r="AR211" i="4"/>
  <c r="AT211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AU207" i="4" l="1"/>
  <c r="AU210" i="4"/>
  <c r="AU203" i="4"/>
  <c r="AU205" i="4"/>
  <c r="AU202" i="4"/>
  <c r="EN227" i="4"/>
  <c r="EJ227" i="4"/>
  <c r="EN211" i="4"/>
  <c r="EJ211" i="4"/>
  <c r="EN203" i="4"/>
  <c r="AS203" i="4" s="1"/>
  <c r="EJ203" i="4"/>
  <c r="EN206" i="4"/>
  <c r="EJ206" i="4"/>
  <c r="EN196" i="4"/>
  <c r="EJ196" i="4"/>
  <c r="EN190" i="4"/>
  <c r="EJ190" i="4"/>
  <c r="EN184" i="4"/>
  <c r="AS184" i="4" s="1"/>
  <c r="EJ184" i="4"/>
  <c r="EN172" i="4"/>
  <c r="EJ172" i="4"/>
  <c r="EN156" i="4"/>
  <c r="EJ156" i="4"/>
  <c r="EN151" i="4"/>
  <c r="EJ151" i="4"/>
  <c r="EN111" i="4"/>
  <c r="AS111" i="4" s="1"/>
  <c r="EJ111" i="4"/>
  <c r="EN167" i="4"/>
  <c r="EJ167" i="4"/>
  <c r="EN228" i="4"/>
  <c r="EJ228" i="4"/>
  <c r="EM197" i="4"/>
  <c r="EO197" i="4"/>
  <c r="AU197" i="4" s="1"/>
  <c r="EM191" i="4"/>
  <c r="EO191" i="4"/>
  <c r="AU191" i="4" s="1"/>
  <c r="EM185" i="4"/>
  <c r="EO185" i="4"/>
  <c r="EO67" i="4"/>
  <c r="EM67" i="4"/>
  <c r="EN55" i="4"/>
  <c r="EJ55" i="4"/>
  <c r="EM26" i="4"/>
  <c r="EO26" i="4"/>
  <c r="EN223" i="4"/>
  <c r="EJ223" i="4"/>
  <c r="EN215" i="4"/>
  <c r="EJ215" i="4"/>
  <c r="EN207" i="4"/>
  <c r="AS207" i="4" s="1"/>
  <c r="EJ207" i="4"/>
  <c r="EN119" i="4"/>
  <c r="AS119" i="4" s="1"/>
  <c r="EJ119" i="4"/>
  <c r="EN92" i="4"/>
  <c r="EJ92" i="4"/>
  <c r="EN70" i="4"/>
  <c r="EJ70" i="4"/>
  <c r="EN63" i="4"/>
  <c r="EJ63" i="4"/>
  <c r="EN28" i="4"/>
  <c r="AS28" i="4" s="1"/>
  <c r="EJ28" i="4"/>
  <c r="EO230" i="4"/>
  <c r="EN226" i="4"/>
  <c r="FN226" i="4" s="1"/>
  <c r="EJ226" i="4"/>
  <c r="EO222" i="4"/>
  <c r="EN218" i="4"/>
  <c r="EJ218" i="4"/>
  <c r="EO214" i="4"/>
  <c r="FO214" i="4" s="1"/>
  <c r="EN210" i="4"/>
  <c r="AS210" i="4" s="1"/>
  <c r="EJ210" i="4"/>
  <c r="EO206" i="4"/>
  <c r="AU206" i="4" s="1"/>
  <c r="EN202" i="4"/>
  <c r="EJ202" i="4"/>
  <c r="EO198" i="4"/>
  <c r="AU198" i="4" s="1"/>
  <c r="EN197" i="4"/>
  <c r="AS197" i="4" s="1"/>
  <c r="EJ197" i="4"/>
  <c r="EN195" i="4"/>
  <c r="AS195" i="4" s="1"/>
  <c r="EJ195" i="4"/>
  <c r="EN193" i="4"/>
  <c r="AS193" i="4" s="1"/>
  <c r="EJ193" i="4"/>
  <c r="EN191" i="4"/>
  <c r="AS191" i="4" s="1"/>
  <c r="EJ191" i="4"/>
  <c r="EN189" i="4"/>
  <c r="AS189" i="4" s="1"/>
  <c r="EJ189" i="4"/>
  <c r="EN187" i="4"/>
  <c r="AS187" i="4" s="1"/>
  <c r="EJ187" i="4"/>
  <c r="EN185" i="4"/>
  <c r="EJ185" i="4"/>
  <c r="EN183" i="4"/>
  <c r="EJ183" i="4"/>
  <c r="EN181" i="4"/>
  <c r="EJ181" i="4"/>
  <c r="EN176" i="4"/>
  <c r="AS176" i="4" s="1"/>
  <c r="EJ176" i="4"/>
  <c r="EN168" i="4"/>
  <c r="AS168" i="4" s="1"/>
  <c r="EJ168" i="4"/>
  <c r="EM160" i="4"/>
  <c r="EO160" i="4"/>
  <c r="EN96" i="4"/>
  <c r="AS96" i="4" s="1"/>
  <c r="EJ96" i="4"/>
  <c r="EM71" i="4"/>
  <c r="EO71" i="4"/>
  <c r="EN32" i="4"/>
  <c r="EJ32" i="4"/>
  <c r="EN169" i="4"/>
  <c r="EJ169" i="4"/>
  <c r="EN104" i="4"/>
  <c r="EJ104" i="4"/>
  <c r="EO75" i="4"/>
  <c r="EM75" i="4"/>
  <c r="EN230" i="4"/>
  <c r="FN230" i="4" s="1"/>
  <c r="EJ230" i="4"/>
  <c r="EN222" i="4"/>
  <c r="EJ222" i="4"/>
  <c r="EN198" i="4"/>
  <c r="EJ198" i="4"/>
  <c r="EN192" i="4"/>
  <c r="AS192" i="4" s="1"/>
  <c r="EJ192" i="4"/>
  <c r="EN186" i="4"/>
  <c r="AS186" i="4" s="1"/>
  <c r="EJ186" i="4"/>
  <c r="EN180" i="4"/>
  <c r="EJ180" i="4"/>
  <c r="EN88" i="4"/>
  <c r="EJ88" i="4"/>
  <c r="EN78" i="4"/>
  <c r="EJ78" i="4"/>
  <c r="EN225" i="4"/>
  <c r="FN225" i="4" s="1"/>
  <c r="EJ225" i="4"/>
  <c r="EN217" i="4"/>
  <c r="EJ217" i="4"/>
  <c r="EN175" i="4"/>
  <c r="EJ175" i="4"/>
  <c r="EN135" i="4"/>
  <c r="AS135" i="4" s="1"/>
  <c r="EJ135" i="4"/>
  <c r="EM79" i="4"/>
  <c r="EO79" i="4"/>
  <c r="EN204" i="4"/>
  <c r="EJ204" i="4"/>
  <c r="EM195" i="4"/>
  <c r="EO195" i="4"/>
  <c r="AU195" i="4" s="1"/>
  <c r="EM189" i="4"/>
  <c r="EO189" i="4"/>
  <c r="AU189" i="4" s="1"/>
  <c r="EN178" i="4"/>
  <c r="EJ178" i="4"/>
  <c r="EM90" i="4"/>
  <c r="EO90" i="4"/>
  <c r="EN199" i="4"/>
  <c r="AS199" i="4" s="1"/>
  <c r="EJ199" i="4"/>
  <c r="EN136" i="4"/>
  <c r="EJ136" i="4"/>
  <c r="EN229" i="4"/>
  <c r="FN229" i="4" s="1"/>
  <c r="EJ229" i="4"/>
  <c r="EO225" i="4"/>
  <c r="EN221" i="4"/>
  <c r="EJ221" i="4"/>
  <c r="EO217" i="4"/>
  <c r="FO217" i="4" s="1"/>
  <c r="EN213" i="4"/>
  <c r="EJ213" i="4"/>
  <c r="EO209" i="4"/>
  <c r="AU209" i="4" s="1"/>
  <c r="EN205" i="4"/>
  <c r="AS205" i="4" s="1"/>
  <c r="EJ205" i="4"/>
  <c r="EO201" i="4"/>
  <c r="AU201" i="4" s="1"/>
  <c r="EN179" i="4"/>
  <c r="AS179" i="4" s="1"/>
  <c r="EJ179" i="4"/>
  <c r="EN171" i="4"/>
  <c r="EJ171" i="4"/>
  <c r="EN148" i="4"/>
  <c r="AS148" i="4" s="1"/>
  <c r="EJ148" i="4"/>
  <c r="EN143" i="4"/>
  <c r="EJ143" i="4"/>
  <c r="EN120" i="4"/>
  <c r="EJ120" i="4"/>
  <c r="EN103" i="4"/>
  <c r="AS103" i="4" s="1"/>
  <c r="EJ103" i="4"/>
  <c r="EO41" i="4"/>
  <c r="AU41" i="4" s="1"/>
  <c r="EM41" i="4"/>
  <c r="EM34" i="4"/>
  <c r="EO34" i="4"/>
  <c r="EN219" i="4"/>
  <c r="FN219" i="4" s="1"/>
  <c r="EJ219" i="4"/>
  <c r="EN177" i="4"/>
  <c r="AS177" i="4" s="1"/>
  <c r="EJ177" i="4"/>
  <c r="EN214" i="4"/>
  <c r="FN214" i="4" s="1"/>
  <c r="EJ214" i="4"/>
  <c r="EN194" i="4"/>
  <c r="EJ194" i="4"/>
  <c r="EN188" i="4"/>
  <c r="AS188" i="4" s="1"/>
  <c r="EJ188" i="4"/>
  <c r="EN182" i="4"/>
  <c r="AS182" i="4" s="1"/>
  <c r="EJ182" i="4"/>
  <c r="EN128" i="4"/>
  <c r="AS128" i="4" s="1"/>
  <c r="EJ128" i="4"/>
  <c r="EO49" i="4"/>
  <c r="EM49" i="4"/>
  <c r="EN209" i="4"/>
  <c r="AS209" i="4" s="1"/>
  <c r="EJ209" i="4"/>
  <c r="EN201" i="4"/>
  <c r="AS201" i="4" s="1"/>
  <c r="EJ201" i="4"/>
  <c r="EM157" i="4"/>
  <c r="EO157" i="4"/>
  <c r="EM152" i="4"/>
  <c r="EO152" i="4"/>
  <c r="EN220" i="4"/>
  <c r="EJ220" i="4"/>
  <c r="EN212" i="4"/>
  <c r="EJ212" i="4"/>
  <c r="EM193" i="4"/>
  <c r="EO193" i="4"/>
  <c r="AU193" i="4" s="1"/>
  <c r="EM187" i="4"/>
  <c r="EO187" i="4"/>
  <c r="AU187" i="4" s="1"/>
  <c r="EN170" i="4"/>
  <c r="AS170" i="4" s="1"/>
  <c r="EJ170" i="4"/>
  <c r="EN112" i="4"/>
  <c r="EJ112" i="4"/>
  <c r="EJ25" i="4"/>
  <c r="EN25" i="4"/>
  <c r="EN173" i="4"/>
  <c r="EJ173" i="4"/>
  <c r="EN165" i="4"/>
  <c r="EJ165" i="4"/>
  <c r="EN159" i="4"/>
  <c r="AS159" i="4" s="1"/>
  <c r="EJ159" i="4"/>
  <c r="EO228" i="4"/>
  <c r="EN224" i="4"/>
  <c r="EJ224" i="4"/>
  <c r="EO220" i="4"/>
  <c r="EN216" i="4"/>
  <c r="EJ216" i="4"/>
  <c r="EO212" i="4"/>
  <c r="EN208" i="4"/>
  <c r="EJ208" i="4"/>
  <c r="EO204" i="4"/>
  <c r="AU204" i="4" s="1"/>
  <c r="EN200" i="4"/>
  <c r="EJ200" i="4"/>
  <c r="EM196" i="4"/>
  <c r="EO196" i="4"/>
  <c r="AU196" i="4" s="1"/>
  <c r="EM194" i="4"/>
  <c r="EO194" i="4"/>
  <c r="AU194" i="4" s="1"/>
  <c r="EM192" i="4"/>
  <c r="EO192" i="4"/>
  <c r="AU192" i="4" s="1"/>
  <c r="EO190" i="4"/>
  <c r="AU190" i="4" s="1"/>
  <c r="EM190" i="4"/>
  <c r="EM188" i="4"/>
  <c r="EO188" i="4"/>
  <c r="AU188" i="4" s="1"/>
  <c r="EM186" i="4"/>
  <c r="EO186" i="4"/>
  <c r="EM184" i="4"/>
  <c r="EO184" i="4"/>
  <c r="EN174" i="4"/>
  <c r="EJ174" i="4"/>
  <c r="EN166" i="4"/>
  <c r="AS166" i="4" s="1"/>
  <c r="EJ166" i="4"/>
  <c r="EM149" i="4"/>
  <c r="EO149" i="4"/>
  <c r="EN127" i="4"/>
  <c r="AS127" i="4" s="1"/>
  <c r="EJ127" i="4"/>
  <c r="EN36" i="4"/>
  <c r="EJ36" i="4"/>
  <c r="EM159" i="4"/>
  <c r="EO159" i="4"/>
  <c r="AU159" i="4" s="1"/>
  <c r="EM151" i="4"/>
  <c r="EO151" i="4"/>
  <c r="EN76" i="4"/>
  <c r="EJ76" i="4"/>
  <c r="EM55" i="4"/>
  <c r="EO55" i="4"/>
  <c r="EN39" i="4"/>
  <c r="EJ39" i="4"/>
  <c r="EJ21" i="4"/>
  <c r="EN21" i="4"/>
  <c r="EM162" i="4"/>
  <c r="EO162" i="4"/>
  <c r="EM154" i="4"/>
  <c r="EO154" i="4"/>
  <c r="EN84" i="4"/>
  <c r="EJ84" i="4"/>
  <c r="EM63" i="4"/>
  <c r="EO63" i="4"/>
  <c r="EN47" i="4"/>
  <c r="EJ47" i="4"/>
  <c r="EO183" i="4"/>
  <c r="EO181" i="4"/>
  <c r="EM155" i="4"/>
  <c r="EO155" i="4"/>
  <c r="EM87" i="4"/>
  <c r="EO87" i="4"/>
  <c r="EN44" i="4"/>
  <c r="EJ44" i="4"/>
  <c r="EM158" i="4"/>
  <c r="EO158" i="4"/>
  <c r="EM150" i="4"/>
  <c r="EO150" i="4"/>
  <c r="EM95" i="4"/>
  <c r="EO95" i="4"/>
  <c r="EN79" i="4"/>
  <c r="EJ79" i="4"/>
  <c r="EN52" i="4"/>
  <c r="EJ52" i="4"/>
  <c r="EJ46" i="4"/>
  <c r="EM31" i="4"/>
  <c r="EO31" i="4"/>
  <c r="EO182" i="4"/>
  <c r="EO180" i="4"/>
  <c r="EM163" i="4"/>
  <c r="EO163" i="4"/>
  <c r="EN71" i="4"/>
  <c r="EJ71" i="4"/>
  <c r="EM161" i="4"/>
  <c r="EO161" i="4"/>
  <c r="EJ158" i="4"/>
  <c r="EM153" i="4"/>
  <c r="EO153" i="4"/>
  <c r="EJ150" i="4"/>
  <c r="EJ141" i="4"/>
  <c r="EJ133" i="4"/>
  <c r="EJ125" i="4"/>
  <c r="EJ117" i="4"/>
  <c r="EJ109" i="4"/>
  <c r="EJ101" i="4"/>
  <c r="EM89" i="4"/>
  <c r="EN87" i="4"/>
  <c r="EJ87" i="4"/>
  <c r="EO74" i="4"/>
  <c r="EJ72" i="4"/>
  <c r="EN60" i="4"/>
  <c r="EJ60" i="4"/>
  <c r="EJ54" i="4"/>
  <c r="EM51" i="4"/>
  <c r="EM39" i="4"/>
  <c r="EO39" i="4"/>
  <c r="EO22" i="4"/>
  <c r="EJ17" i="4"/>
  <c r="EN17" i="4"/>
  <c r="AS17" i="4" s="1"/>
  <c r="AS208" i="4"/>
  <c r="AS206" i="4"/>
  <c r="AS204" i="4"/>
  <c r="AS202" i="4"/>
  <c r="AS200" i="4"/>
  <c r="AS198" i="4"/>
  <c r="AS196" i="4"/>
  <c r="AS194" i="4"/>
  <c r="AS190" i="4"/>
  <c r="EM156" i="4"/>
  <c r="EO156" i="4"/>
  <c r="EN95" i="4"/>
  <c r="AS95" i="4" s="1"/>
  <c r="EJ95" i="4"/>
  <c r="EN68" i="4"/>
  <c r="EJ68" i="4"/>
  <c r="EM47" i="4"/>
  <c r="EO47" i="4"/>
  <c r="EN31" i="4"/>
  <c r="EJ31" i="4"/>
  <c r="EJ24" i="4"/>
  <c r="EN24" i="4"/>
  <c r="AS24" i="4" s="1"/>
  <c r="EJ20" i="4"/>
  <c r="EN20" i="4"/>
  <c r="AS20" i="4" s="1"/>
  <c r="EJ16" i="4"/>
  <c r="EN16" i="4"/>
  <c r="EO148" i="4"/>
  <c r="EO147" i="4"/>
  <c r="EO146" i="4"/>
  <c r="EO145" i="4"/>
  <c r="EO144" i="4"/>
  <c r="EO143" i="4"/>
  <c r="EJ91" i="4"/>
  <c r="EJ83" i="4"/>
  <c r="EJ75" i="4"/>
  <c r="EJ67" i="4"/>
  <c r="EJ59" i="4"/>
  <c r="EJ51" i="4"/>
  <c r="EJ43" i="4"/>
  <c r="EJ35" i="4"/>
  <c r="EJ27" i="4"/>
  <c r="EJ26" i="4"/>
  <c r="EN26" i="4"/>
  <c r="EJ22" i="4"/>
  <c r="EN22" i="4"/>
  <c r="EJ18" i="4"/>
  <c r="EN18" i="4"/>
  <c r="EJ23" i="4"/>
  <c r="EN23" i="4"/>
  <c r="EJ19" i="4"/>
  <c r="EN19" i="4"/>
  <c r="EJ15" i="4"/>
  <c r="EN15" i="4"/>
  <c r="AS15" i="4" s="1"/>
  <c r="EN14" i="4"/>
  <c r="AS14" i="4" s="1"/>
  <c r="EN13" i="4"/>
  <c r="EN12" i="4"/>
  <c r="EN11" i="4"/>
  <c r="FO289" i="4"/>
  <c r="FN289" i="4"/>
  <c r="FO288" i="4"/>
  <c r="FN288" i="4"/>
  <c r="FO287" i="4"/>
  <c r="FN287" i="4"/>
  <c r="FO286" i="4"/>
  <c r="FN286" i="4"/>
  <c r="FO285" i="4"/>
  <c r="FN285" i="4"/>
  <c r="FO284" i="4"/>
  <c r="FN284" i="4"/>
  <c r="FO283" i="4"/>
  <c r="FN283" i="4"/>
  <c r="FO282" i="4"/>
  <c r="FN282" i="4"/>
  <c r="FO281" i="4"/>
  <c r="FN281" i="4"/>
  <c r="FO280" i="4"/>
  <c r="FN280" i="4"/>
  <c r="FO279" i="4"/>
  <c r="FN279" i="4"/>
  <c r="FO278" i="4"/>
  <c r="FN278" i="4"/>
  <c r="FO277" i="4"/>
  <c r="FN277" i="4"/>
  <c r="FO276" i="4"/>
  <c r="FN276" i="4"/>
  <c r="FO275" i="4"/>
  <c r="FN275" i="4"/>
  <c r="FO274" i="4"/>
  <c r="FN274" i="4"/>
  <c r="FO273" i="4"/>
  <c r="FN273" i="4"/>
  <c r="FO272" i="4"/>
  <c r="FN272" i="4"/>
  <c r="FO271" i="4"/>
  <c r="FN271" i="4"/>
  <c r="FO270" i="4"/>
  <c r="FN270" i="4"/>
  <c r="FO269" i="4"/>
  <c r="FN269" i="4"/>
  <c r="FO268" i="4"/>
  <c r="FN268" i="4"/>
  <c r="FO267" i="4"/>
  <c r="FN267" i="4"/>
  <c r="FO266" i="4"/>
  <c r="FN266" i="4"/>
  <c r="FO265" i="4"/>
  <c r="FN265" i="4"/>
  <c r="FO264" i="4"/>
  <c r="FN264" i="4"/>
  <c r="FO263" i="4"/>
  <c r="FN263" i="4"/>
  <c r="FO262" i="4"/>
  <c r="FN262" i="4"/>
  <c r="FO261" i="4"/>
  <c r="FN261" i="4"/>
  <c r="FO260" i="4"/>
  <c r="FN260" i="4"/>
  <c r="FO259" i="4"/>
  <c r="FN259" i="4"/>
  <c r="FO258" i="4"/>
  <c r="FN258" i="4"/>
  <c r="FO257" i="4"/>
  <c r="FN257" i="4"/>
  <c r="FO256" i="4"/>
  <c r="FN256" i="4"/>
  <c r="FO255" i="4"/>
  <c r="FN255" i="4"/>
  <c r="FO254" i="4"/>
  <c r="FN254" i="4"/>
  <c r="FO253" i="4"/>
  <c r="FN253" i="4"/>
  <c r="FO252" i="4"/>
  <c r="FN252" i="4"/>
  <c r="FO251" i="4"/>
  <c r="FN251" i="4"/>
  <c r="FO250" i="4"/>
  <c r="FN250" i="4"/>
  <c r="FO249" i="4"/>
  <c r="FN249" i="4"/>
  <c r="FO248" i="4"/>
  <c r="FN248" i="4"/>
  <c r="FO247" i="4"/>
  <c r="FN247" i="4"/>
  <c r="FO246" i="4"/>
  <c r="FN246" i="4"/>
  <c r="FO245" i="4"/>
  <c r="FN245" i="4"/>
  <c r="FO244" i="4"/>
  <c r="FN244" i="4"/>
  <c r="FO243" i="4"/>
  <c r="FN243" i="4"/>
  <c r="FO242" i="4"/>
  <c r="FN242" i="4"/>
  <c r="FO241" i="4"/>
  <c r="FN241" i="4"/>
  <c r="FO240" i="4"/>
  <c r="FN240" i="4"/>
  <c r="FO239" i="4"/>
  <c r="FN239" i="4"/>
  <c r="FO238" i="4"/>
  <c r="FN238" i="4"/>
  <c r="FO237" i="4"/>
  <c r="FN237" i="4"/>
  <c r="FO236" i="4"/>
  <c r="FN236" i="4"/>
  <c r="FO235" i="4"/>
  <c r="FN235" i="4"/>
  <c r="FO234" i="4"/>
  <c r="FN234" i="4"/>
  <c r="FO233" i="4"/>
  <c r="FN233" i="4"/>
  <c r="FO232" i="4"/>
  <c r="FN232" i="4"/>
  <c r="FO231" i="4"/>
  <c r="FN231" i="4"/>
  <c r="FO230" i="4"/>
  <c r="FO229" i="4"/>
  <c r="FO228" i="4"/>
  <c r="FN228" i="4"/>
  <c r="FO227" i="4"/>
  <c r="FN227" i="4"/>
  <c r="FO226" i="4"/>
  <c r="FO225" i="4"/>
  <c r="FO224" i="4"/>
  <c r="FN224" i="4"/>
  <c r="FO223" i="4"/>
  <c r="FN223" i="4"/>
  <c r="FO222" i="4"/>
  <c r="FN222" i="4"/>
  <c r="FO221" i="4"/>
  <c r="FN221" i="4"/>
  <c r="FO220" i="4"/>
  <c r="FN220" i="4"/>
  <c r="FO219" i="4"/>
  <c r="FO218" i="4"/>
  <c r="FN218" i="4"/>
  <c r="FN217" i="4"/>
  <c r="FO216" i="4"/>
  <c r="FN216" i="4"/>
  <c r="FO215" i="4"/>
  <c r="FN215" i="4"/>
  <c r="AU211" i="4"/>
  <c r="AS211" i="4"/>
  <c r="AS183" i="4"/>
  <c r="AS180" i="4"/>
  <c r="AS175" i="4"/>
  <c r="AS172" i="4"/>
  <c r="AS171" i="4"/>
  <c r="AS167" i="4"/>
  <c r="AS164" i="4"/>
  <c r="AS163" i="4"/>
  <c r="AS158" i="4"/>
  <c r="AS156" i="4"/>
  <c r="AS152" i="4"/>
  <c r="AS151" i="4"/>
  <c r="AS150" i="4"/>
  <c r="AS147" i="4"/>
  <c r="AS143" i="4"/>
  <c r="AS142" i="4"/>
  <c r="AS140" i="4"/>
  <c r="AS136" i="4"/>
  <c r="AS134" i="4"/>
  <c r="AS132" i="4"/>
  <c r="AS131" i="4"/>
  <c r="AS126" i="4"/>
  <c r="AS124" i="4"/>
  <c r="AS120" i="4"/>
  <c r="AS118" i="4"/>
  <c r="AS116" i="4"/>
  <c r="AS115" i="4"/>
  <c r="AS110" i="4"/>
  <c r="AS108" i="4"/>
  <c r="AS104" i="4"/>
  <c r="AS102" i="4"/>
  <c r="AS100" i="4"/>
  <c r="AS99" i="4"/>
  <c r="AS91" i="4"/>
  <c r="AU83" i="4"/>
  <c r="AS83" i="4"/>
  <c r="AS82" i="4"/>
  <c r="AS79" i="4"/>
  <c r="AS75" i="4"/>
  <c r="AS74" i="4"/>
  <c r="AS71" i="4"/>
  <c r="AU67" i="4"/>
  <c r="AS67" i="4"/>
  <c r="AS66" i="4"/>
  <c r="AS63" i="4"/>
  <c r="AS59" i="4"/>
  <c r="AS58" i="4"/>
  <c r="AS55" i="4"/>
  <c r="AU51" i="4"/>
  <c r="AS51" i="4"/>
  <c r="AS50" i="4"/>
  <c r="AS47" i="4"/>
  <c r="AS43" i="4"/>
  <c r="AS39" i="4"/>
  <c r="AU35" i="4"/>
  <c r="AS35" i="4"/>
  <c r="AS34" i="4"/>
  <c r="AS32" i="4"/>
  <c r="AS31" i="4"/>
  <c r="AS30" i="4"/>
  <c r="AU27" i="4"/>
  <c r="AS27" i="4"/>
  <c r="AS26" i="4"/>
  <c r="AS23" i="4"/>
  <c r="AU19" i="4"/>
  <c r="AS19" i="4"/>
  <c r="AS16" i="4"/>
  <c r="AS11" i="4"/>
  <c r="FJ213" i="4"/>
  <c r="FK213" i="4"/>
  <c r="FJ214" i="4"/>
  <c r="FK214" i="4"/>
  <c r="FJ215" i="4"/>
  <c r="FK215" i="4"/>
  <c r="FJ216" i="4"/>
  <c r="FK216" i="4"/>
  <c r="FJ217" i="4"/>
  <c r="FK217" i="4"/>
  <c r="FJ218" i="4"/>
  <c r="FK218" i="4"/>
  <c r="FJ219" i="4"/>
  <c r="FK219" i="4"/>
  <c r="FJ220" i="4"/>
  <c r="FK220" i="4"/>
  <c r="FJ221" i="4"/>
  <c r="FK221" i="4"/>
  <c r="FJ222" i="4"/>
  <c r="FK222" i="4"/>
  <c r="FJ223" i="4"/>
  <c r="FK223" i="4"/>
  <c r="FJ224" i="4"/>
  <c r="FK224" i="4"/>
  <c r="FJ225" i="4"/>
  <c r="FK225" i="4"/>
  <c r="FJ226" i="4"/>
  <c r="FK226" i="4"/>
  <c r="FJ227" i="4"/>
  <c r="FK227" i="4"/>
  <c r="FJ228" i="4"/>
  <c r="FK228" i="4"/>
  <c r="FJ229" i="4"/>
  <c r="FK229" i="4"/>
  <c r="FJ230" i="4"/>
  <c r="FK230" i="4"/>
  <c r="FJ231" i="4"/>
  <c r="FK231" i="4"/>
  <c r="FJ232" i="4"/>
  <c r="FK232" i="4"/>
  <c r="FJ233" i="4"/>
  <c r="FK233" i="4"/>
  <c r="FJ234" i="4"/>
  <c r="FK234" i="4"/>
  <c r="FJ235" i="4"/>
  <c r="FK235" i="4"/>
  <c r="FJ236" i="4"/>
  <c r="FK236" i="4"/>
  <c r="FJ237" i="4"/>
  <c r="FK237" i="4"/>
  <c r="FJ238" i="4"/>
  <c r="FK238" i="4"/>
  <c r="FJ239" i="4"/>
  <c r="FK239" i="4"/>
  <c r="FJ240" i="4"/>
  <c r="FK240" i="4"/>
  <c r="FJ241" i="4"/>
  <c r="FK241" i="4"/>
  <c r="FJ242" i="4"/>
  <c r="FK242" i="4"/>
  <c r="FJ243" i="4"/>
  <c r="FK243" i="4"/>
  <c r="FJ244" i="4"/>
  <c r="FK244" i="4"/>
  <c r="FJ245" i="4"/>
  <c r="FK245" i="4"/>
  <c r="FJ246" i="4"/>
  <c r="FK246" i="4"/>
  <c r="FJ247" i="4"/>
  <c r="FK247" i="4"/>
  <c r="FJ248" i="4"/>
  <c r="FK248" i="4"/>
  <c r="FJ249" i="4"/>
  <c r="FK249" i="4"/>
  <c r="FJ250" i="4"/>
  <c r="FK250" i="4"/>
  <c r="FJ251" i="4"/>
  <c r="FK251" i="4"/>
  <c r="FJ252" i="4"/>
  <c r="FK252" i="4"/>
  <c r="FJ253" i="4"/>
  <c r="FK253" i="4"/>
  <c r="FJ254" i="4"/>
  <c r="FK254" i="4"/>
  <c r="FJ255" i="4"/>
  <c r="FK255" i="4"/>
  <c r="FJ256" i="4"/>
  <c r="FK256" i="4"/>
  <c r="FJ257" i="4"/>
  <c r="FK257" i="4"/>
  <c r="FJ258" i="4"/>
  <c r="FK258" i="4"/>
  <c r="FJ259" i="4"/>
  <c r="FK259" i="4"/>
  <c r="FJ260" i="4"/>
  <c r="FK260" i="4"/>
  <c r="FJ261" i="4"/>
  <c r="FK261" i="4"/>
  <c r="FJ262" i="4"/>
  <c r="FK262" i="4"/>
  <c r="FJ263" i="4"/>
  <c r="FK263" i="4"/>
  <c r="FJ264" i="4"/>
  <c r="FK264" i="4"/>
  <c r="FJ265" i="4"/>
  <c r="FK265" i="4"/>
  <c r="FJ266" i="4"/>
  <c r="FK266" i="4"/>
  <c r="FJ267" i="4"/>
  <c r="FK267" i="4"/>
  <c r="FJ268" i="4"/>
  <c r="FK268" i="4"/>
  <c r="FJ269" i="4"/>
  <c r="FK269" i="4"/>
  <c r="FJ270" i="4"/>
  <c r="FK270" i="4"/>
  <c r="FJ271" i="4"/>
  <c r="FK271" i="4"/>
  <c r="FJ272" i="4"/>
  <c r="FK272" i="4"/>
  <c r="FJ273" i="4"/>
  <c r="FK273" i="4"/>
  <c r="FJ274" i="4"/>
  <c r="FK274" i="4"/>
  <c r="FJ275" i="4"/>
  <c r="FK275" i="4"/>
  <c r="FJ276" i="4"/>
  <c r="FK276" i="4"/>
  <c r="FJ277" i="4"/>
  <c r="FK277" i="4"/>
  <c r="FJ278" i="4"/>
  <c r="FK278" i="4"/>
  <c r="FJ279" i="4"/>
  <c r="FK279" i="4"/>
  <c r="FJ280" i="4"/>
  <c r="FK280" i="4"/>
  <c r="FJ281" i="4"/>
  <c r="FK281" i="4"/>
  <c r="FJ282" i="4"/>
  <c r="FK282" i="4"/>
  <c r="FJ283" i="4"/>
  <c r="FK283" i="4"/>
  <c r="FJ284" i="4"/>
  <c r="FK284" i="4"/>
  <c r="FJ285" i="4"/>
  <c r="FK285" i="4"/>
  <c r="FJ286" i="4"/>
  <c r="FK286" i="4"/>
  <c r="FJ287" i="4"/>
  <c r="FK287" i="4"/>
  <c r="AU11" i="4"/>
  <c r="AS12" i="4"/>
  <c r="AU12" i="4"/>
  <c r="AS13" i="4"/>
  <c r="AU17" i="4"/>
  <c r="AS18" i="4"/>
  <c r="AU20" i="4"/>
  <c r="AU21" i="4"/>
  <c r="AS21" i="4"/>
  <c r="AS22" i="4"/>
  <c r="AU24" i="4"/>
  <c r="AS25" i="4"/>
  <c r="AU25" i="4"/>
  <c r="AU28" i="4"/>
  <c r="AU29" i="4"/>
  <c r="AS29" i="4"/>
  <c r="AU30" i="4"/>
  <c r="AU32" i="4"/>
  <c r="AS33" i="4"/>
  <c r="AU33" i="4"/>
  <c r="AU34" i="4"/>
  <c r="AU36" i="4"/>
  <c r="AU37" i="4"/>
  <c r="AS37" i="4"/>
  <c r="AU38" i="4"/>
  <c r="AU40" i="4"/>
  <c r="AS41" i="4"/>
  <c r="AS42" i="4"/>
  <c r="AU43" i="4"/>
  <c r="AU44" i="4"/>
  <c r="AU45" i="4"/>
  <c r="AU48" i="4"/>
  <c r="AS49" i="4"/>
  <c r="AU49" i="4"/>
  <c r="AU52" i="4"/>
  <c r="AU53" i="4"/>
  <c r="AU56" i="4"/>
  <c r="AS57" i="4"/>
  <c r="AU57" i="4"/>
  <c r="AU58" i="4"/>
  <c r="AU59" i="4"/>
  <c r="AU60" i="4"/>
  <c r="AU61" i="4"/>
  <c r="AS61" i="4"/>
  <c r="AU64" i="4"/>
  <c r="AS65" i="4"/>
  <c r="AU65" i="4"/>
  <c r="AU68" i="4"/>
  <c r="AU69" i="4"/>
  <c r="AS69" i="4"/>
  <c r="AU70" i="4"/>
  <c r="AS73" i="4"/>
  <c r="AU73" i="4"/>
  <c r="AU74" i="4"/>
  <c r="AU75" i="4"/>
  <c r="AU76" i="4"/>
  <c r="AU77" i="4"/>
  <c r="AU80" i="4"/>
  <c r="AS81" i="4"/>
  <c r="AU81" i="4"/>
  <c r="AU82" i="4"/>
  <c r="AU84" i="4"/>
  <c r="AU85" i="4"/>
  <c r="AS87" i="4"/>
  <c r="AU88" i="4"/>
  <c r="AS89" i="4"/>
  <c r="AU89" i="4"/>
  <c r="AU90" i="4"/>
  <c r="AS90" i="4"/>
  <c r="AU91" i="4"/>
  <c r="AU92" i="4"/>
  <c r="AU93" i="4"/>
  <c r="AS93" i="4"/>
  <c r="AU94" i="4"/>
  <c r="AS101" i="4"/>
  <c r="AS107" i="4"/>
  <c r="AS109" i="4"/>
  <c r="AS112" i="4"/>
  <c r="AS117" i="4"/>
  <c r="AS123" i="4"/>
  <c r="AS125" i="4"/>
  <c r="AS133" i="4"/>
  <c r="AS139" i="4"/>
  <c r="AS141" i="4"/>
  <c r="AS144" i="4"/>
  <c r="AS149" i="4"/>
  <c r="AS155" i="4"/>
  <c r="AS157" i="4"/>
  <c r="AS161" i="4"/>
  <c r="AS162" i="4"/>
  <c r="AU162" i="4"/>
  <c r="AS165" i="4"/>
  <c r="AS169" i="4"/>
  <c r="AS173" i="4"/>
  <c r="AS174" i="4"/>
  <c r="AS178" i="4"/>
  <c r="AS181" i="4"/>
  <c r="AS185" i="4"/>
  <c r="EH231" i="4"/>
  <c r="EI231" i="4"/>
  <c r="EJ231" i="4"/>
  <c r="EK231" i="4"/>
  <c r="EO231" i="4" s="1"/>
  <c r="EL231" i="4"/>
  <c r="EN231" i="4"/>
  <c r="EH232" i="4"/>
  <c r="EI232" i="4"/>
  <c r="EJ232" i="4"/>
  <c r="EK232" i="4"/>
  <c r="EO232" i="4" s="1"/>
  <c r="EL232" i="4"/>
  <c r="EM232" i="4"/>
  <c r="EN232" i="4"/>
  <c r="EH233" i="4"/>
  <c r="EI233" i="4"/>
  <c r="EJ233" i="4"/>
  <c r="EK233" i="4"/>
  <c r="EO233" i="4" s="1"/>
  <c r="EL233" i="4"/>
  <c r="EN233" i="4"/>
  <c r="EH234" i="4"/>
  <c r="EI234" i="4"/>
  <c r="EJ234" i="4"/>
  <c r="EK234" i="4"/>
  <c r="EO234" i="4" s="1"/>
  <c r="EL234" i="4"/>
  <c r="EN234" i="4"/>
  <c r="EH235" i="4"/>
  <c r="EI235" i="4"/>
  <c r="EJ235" i="4"/>
  <c r="EK235" i="4"/>
  <c r="EO235" i="4" s="1"/>
  <c r="EL235" i="4"/>
  <c r="EM235" i="4"/>
  <c r="EN235" i="4"/>
  <c r="EH236" i="4"/>
  <c r="EI236" i="4"/>
  <c r="EJ236" i="4"/>
  <c r="EK236" i="4"/>
  <c r="EO236" i="4" s="1"/>
  <c r="EL236" i="4"/>
  <c r="EM236" i="4"/>
  <c r="EN236" i="4"/>
  <c r="EH237" i="4"/>
  <c r="EI237" i="4"/>
  <c r="EJ237" i="4"/>
  <c r="EK237" i="4"/>
  <c r="EO237" i="4" s="1"/>
  <c r="EL237" i="4"/>
  <c r="EN237" i="4"/>
  <c r="EH238" i="4"/>
  <c r="EI238" i="4"/>
  <c r="EJ238" i="4"/>
  <c r="EK238" i="4"/>
  <c r="EO238" i="4" s="1"/>
  <c r="EL238" i="4"/>
  <c r="EN238" i="4"/>
  <c r="EH239" i="4"/>
  <c r="EI239" i="4"/>
  <c r="EJ239" i="4"/>
  <c r="EK239" i="4"/>
  <c r="EO239" i="4" s="1"/>
  <c r="EL239" i="4"/>
  <c r="EN239" i="4"/>
  <c r="EH240" i="4"/>
  <c r="EI240" i="4"/>
  <c r="EJ240" i="4"/>
  <c r="EK240" i="4"/>
  <c r="EO240" i="4" s="1"/>
  <c r="EL240" i="4"/>
  <c r="EM240" i="4"/>
  <c r="EN240" i="4"/>
  <c r="EH241" i="4"/>
  <c r="EI241" i="4"/>
  <c r="EJ241" i="4"/>
  <c r="EK241" i="4"/>
  <c r="EO241" i="4" s="1"/>
  <c r="EL241" i="4"/>
  <c r="EN241" i="4"/>
  <c r="EH242" i="4"/>
  <c r="EI242" i="4"/>
  <c r="EJ242" i="4"/>
  <c r="EK242" i="4"/>
  <c r="EO242" i="4" s="1"/>
  <c r="EL242" i="4"/>
  <c r="EN242" i="4"/>
  <c r="EH243" i="4"/>
  <c r="EI243" i="4"/>
  <c r="EJ243" i="4"/>
  <c r="EK243" i="4"/>
  <c r="EO243" i="4" s="1"/>
  <c r="EL243" i="4"/>
  <c r="EM243" i="4"/>
  <c r="EN243" i="4"/>
  <c r="EH244" i="4"/>
  <c r="EI244" i="4"/>
  <c r="EJ244" i="4"/>
  <c r="EK244" i="4"/>
  <c r="EO244" i="4" s="1"/>
  <c r="EL244" i="4"/>
  <c r="EM244" i="4"/>
  <c r="EN244" i="4"/>
  <c r="EH245" i="4"/>
  <c r="EI245" i="4"/>
  <c r="EJ245" i="4"/>
  <c r="EK245" i="4"/>
  <c r="EO245" i="4" s="1"/>
  <c r="EL245" i="4"/>
  <c r="EN245" i="4"/>
  <c r="EH246" i="4"/>
  <c r="EI246" i="4"/>
  <c r="EJ246" i="4"/>
  <c r="EK246" i="4"/>
  <c r="EO246" i="4" s="1"/>
  <c r="EL246" i="4"/>
  <c r="EN246" i="4"/>
  <c r="EH247" i="4"/>
  <c r="EI247" i="4"/>
  <c r="EJ247" i="4"/>
  <c r="EK247" i="4"/>
  <c r="EO247" i="4" s="1"/>
  <c r="EL247" i="4"/>
  <c r="EN247" i="4"/>
  <c r="EH248" i="4"/>
  <c r="EI248" i="4"/>
  <c r="EJ248" i="4"/>
  <c r="EK248" i="4"/>
  <c r="EO248" i="4" s="1"/>
  <c r="EL248" i="4"/>
  <c r="EM248" i="4"/>
  <c r="EN248" i="4"/>
  <c r="EH249" i="4"/>
  <c r="EI249" i="4"/>
  <c r="EJ249" i="4"/>
  <c r="EK249" i="4"/>
  <c r="EO249" i="4" s="1"/>
  <c r="EL249" i="4"/>
  <c r="EN249" i="4"/>
  <c r="EH250" i="4"/>
  <c r="EI250" i="4"/>
  <c r="EJ250" i="4"/>
  <c r="EK250" i="4"/>
  <c r="EO250" i="4" s="1"/>
  <c r="EL250" i="4"/>
  <c r="EN250" i="4"/>
  <c r="EH251" i="4"/>
  <c r="EI251" i="4"/>
  <c r="EJ251" i="4"/>
  <c r="EK251" i="4"/>
  <c r="EO251" i="4" s="1"/>
  <c r="EL251" i="4"/>
  <c r="EM251" i="4"/>
  <c r="EN251" i="4"/>
  <c r="EH252" i="4"/>
  <c r="EI252" i="4"/>
  <c r="EJ252" i="4"/>
  <c r="EK252" i="4"/>
  <c r="EO252" i="4" s="1"/>
  <c r="EL252" i="4"/>
  <c r="EM252" i="4"/>
  <c r="EN252" i="4"/>
  <c r="EH253" i="4"/>
  <c r="EI253" i="4"/>
  <c r="EJ253" i="4"/>
  <c r="EK253" i="4"/>
  <c r="EO253" i="4" s="1"/>
  <c r="EL253" i="4"/>
  <c r="EN253" i="4"/>
  <c r="EH254" i="4"/>
  <c r="EI254" i="4"/>
  <c r="EJ254" i="4"/>
  <c r="EK254" i="4"/>
  <c r="EO254" i="4" s="1"/>
  <c r="EL254" i="4"/>
  <c r="EN254" i="4"/>
  <c r="EH255" i="4"/>
  <c r="EI255" i="4"/>
  <c r="EJ255" i="4"/>
  <c r="EK255" i="4"/>
  <c r="EO255" i="4" s="1"/>
  <c r="EL255" i="4"/>
  <c r="EN255" i="4"/>
  <c r="EH256" i="4"/>
  <c r="EI256" i="4"/>
  <c r="EJ256" i="4"/>
  <c r="EK256" i="4"/>
  <c r="EO256" i="4" s="1"/>
  <c r="EL256" i="4"/>
  <c r="EM256" i="4"/>
  <c r="EN256" i="4"/>
  <c r="EH257" i="4"/>
  <c r="EI257" i="4"/>
  <c r="EJ257" i="4"/>
  <c r="EK257" i="4"/>
  <c r="EO257" i="4" s="1"/>
  <c r="EL257" i="4"/>
  <c r="EN257" i="4"/>
  <c r="EH258" i="4"/>
  <c r="EI258" i="4"/>
  <c r="EJ258" i="4"/>
  <c r="EK258" i="4"/>
  <c r="EO258" i="4" s="1"/>
  <c r="EL258" i="4"/>
  <c r="EN258" i="4"/>
  <c r="EH259" i="4"/>
  <c r="EI259" i="4"/>
  <c r="EJ259" i="4"/>
  <c r="EK259" i="4"/>
  <c r="EO259" i="4" s="1"/>
  <c r="EL259" i="4"/>
  <c r="EM259" i="4"/>
  <c r="EN259" i="4"/>
  <c r="EH260" i="4"/>
  <c r="EI260" i="4"/>
  <c r="EJ260" i="4"/>
  <c r="EK260" i="4"/>
  <c r="EO260" i="4" s="1"/>
  <c r="EL260" i="4"/>
  <c r="EM260" i="4"/>
  <c r="EN260" i="4"/>
  <c r="EH261" i="4"/>
  <c r="EI261" i="4"/>
  <c r="EJ261" i="4"/>
  <c r="EK261" i="4"/>
  <c r="EO261" i="4" s="1"/>
  <c r="EL261" i="4"/>
  <c r="EN261" i="4"/>
  <c r="EH262" i="4"/>
  <c r="EI262" i="4"/>
  <c r="EJ262" i="4"/>
  <c r="EK262" i="4"/>
  <c r="EO262" i="4" s="1"/>
  <c r="EL262" i="4"/>
  <c r="EN262" i="4"/>
  <c r="EH263" i="4"/>
  <c r="EI263" i="4"/>
  <c r="EJ263" i="4"/>
  <c r="EK263" i="4"/>
  <c r="EO263" i="4" s="1"/>
  <c r="EL263" i="4"/>
  <c r="EN263" i="4"/>
  <c r="EH264" i="4"/>
  <c r="EI264" i="4"/>
  <c r="EJ264" i="4"/>
  <c r="EK264" i="4"/>
  <c r="EO264" i="4" s="1"/>
  <c r="EL264" i="4"/>
  <c r="EM264" i="4"/>
  <c r="EN264" i="4"/>
  <c r="EH265" i="4"/>
  <c r="EI265" i="4"/>
  <c r="EJ265" i="4"/>
  <c r="EK265" i="4"/>
  <c r="EO265" i="4" s="1"/>
  <c r="EL265" i="4"/>
  <c r="EN265" i="4"/>
  <c r="EH266" i="4"/>
  <c r="EI266" i="4"/>
  <c r="EJ266" i="4"/>
  <c r="EK266" i="4"/>
  <c r="EO266" i="4" s="1"/>
  <c r="EL266" i="4"/>
  <c r="EN266" i="4"/>
  <c r="EH267" i="4"/>
  <c r="EI267" i="4"/>
  <c r="EJ267" i="4"/>
  <c r="EK267" i="4"/>
  <c r="EO267" i="4" s="1"/>
  <c r="EL267" i="4"/>
  <c r="EM267" i="4"/>
  <c r="EN267" i="4"/>
  <c r="EH268" i="4"/>
  <c r="EI268" i="4"/>
  <c r="EJ268" i="4"/>
  <c r="EK268" i="4"/>
  <c r="EO268" i="4" s="1"/>
  <c r="EL268" i="4"/>
  <c r="EM268" i="4"/>
  <c r="EN268" i="4"/>
  <c r="EH269" i="4"/>
  <c r="EI269" i="4"/>
  <c r="EJ269" i="4"/>
  <c r="EK269" i="4"/>
  <c r="EO269" i="4" s="1"/>
  <c r="EL269" i="4"/>
  <c r="EN269" i="4"/>
  <c r="EH270" i="4"/>
  <c r="EI270" i="4"/>
  <c r="EJ270" i="4"/>
  <c r="EK270" i="4"/>
  <c r="EO270" i="4" s="1"/>
  <c r="EL270" i="4"/>
  <c r="EN270" i="4"/>
  <c r="EH271" i="4"/>
  <c r="EI271" i="4"/>
  <c r="EJ271" i="4"/>
  <c r="EK271" i="4"/>
  <c r="EO271" i="4" s="1"/>
  <c r="EL271" i="4"/>
  <c r="EN271" i="4"/>
  <c r="EH272" i="4"/>
  <c r="EI272" i="4"/>
  <c r="EJ272" i="4"/>
  <c r="EK272" i="4"/>
  <c r="EO272" i="4" s="1"/>
  <c r="EL272" i="4"/>
  <c r="EM272" i="4"/>
  <c r="EN272" i="4"/>
  <c r="EH273" i="4"/>
  <c r="EI273" i="4"/>
  <c r="EJ273" i="4"/>
  <c r="EK273" i="4"/>
  <c r="EO273" i="4" s="1"/>
  <c r="EL273" i="4"/>
  <c r="EN273" i="4"/>
  <c r="EH274" i="4"/>
  <c r="EI274" i="4"/>
  <c r="EJ274" i="4"/>
  <c r="EK274" i="4"/>
  <c r="EO274" i="4" s="1"/>
  <c r="EL274" i="4"/>
  <c r="EN274" i="4"/>
  <c r="EH275" i="4"/>
  <c r="EI275" i="4"/>
  <c r="EJ275" i="4"/>
  <c r="EK275" i="4"/>
  <c r="EO275" i="4" s="1"/>
  <c r="EL275" i="4"/>
  <c r="EM275" i="4"/>
  <c r="EN275" i="4"/>
  <c r="EH276" i="4"/>
  <c r="EI276" i="4"/>
  <c r="EJ276" i="4"/>
  <c r="EK276" i="4"/>
  <c r="EO276" i="4" s="1"/>
  <c r="EL276" i="4"/>
  <c r="EM276" i="4"/>
  <c r="EN276" i="4"/>
  <c r="EH277" i="4"/>
  <c r="EI277" i="4"/>
  <c r="EJ277" i="4"/>
  <c r="EK277" i="4"/>
  <c r="EO277" i="4" s="1"/>
  <c r="EL277" i="4"/>
  <c r="EN277" i="4"/>
  <c r="EH278" i="4"/>
  <c r="EI278" i="4"/>
  <c r="EJ278" i="4"/>
  <c r="EK278" i="4"/>
  <c r="EO278" i="4" s="1"/>
  <c r="EL278" i="4"/>
  <c r="EN278" i="4"/>
  <c r="EH279" i="4"/>
  <c r="EI279" i="4"/>
  <c r="EJ279" i="4"/>
  <c r="EK279" i="4"/>
  <c r="EO279" i="4" s="1"/>
  <c r="EL279" i="4"/>
  <c r="EN279" i="4"/>
  <c r="EH280" i="4"/>
  <c r="EI280" i="4"/>
  <c r="EJ280" i="4"/>
  <c r="EK280" i="4"/>
  <c r="EO280" i="4" s="1"/>
  <c r="EL280" i="4"/>
  <c r="EM280" i="4"/>
  <c r="EN280" i="4"/>
  <c r="EH281" i="4"/>
  <c r="EI281" i="4"/>
  <c r="EJ281" i="4"/>
  <c r="EK281" i="4"/>
  <c r="EO281" i="4" s="1"/>
  <c r="EL281" i="4"/>
  <c r="EN281" i="4"/>
  <c r="EH282" i="4"/>
  <c r="EI282" i="4"/>
  <c r="EJ282" i="4"/>
  <c r="EK282" i="4"/>
  <c r="EO282" i="4" s="1"/>
  <c r="EL282" i="4"/>
  <c r="EN282" i="4"/>
  <c r="EH283" i="4"/>
  <c r="EI283" i="4"/>
  <c r="EJ283" i="4"/>
  <c r="EK283" i="4"/>
  <c r="EO283" i="4" s="1"/>
  <c r="EL283" i="4"/>
  <c r="EM283" i="4"/>
  <c r="EN283" i="4"/>
  <c r="EH284" i="4"/>
  <c r="EI284" i="4"/>
  <c r="EJ284" i="4"/>
  <c r="EK284" i="4"/>
  <c r="EO284" i="4" s="1"/>
  <c r="EL284" i="4"/>
  <c r="EM284" i="4"/>
  <c r="EN284" i="4"/>
  <c r="EH285" i="4"/>
  <c r="EI285" i="4"/>
  <c r="EJ285" i="4"/>
  <c r="EK285" i="4"/>
  <c r="EO285" i="4" s="1"/>
  <c r="EL285" i="4"/>
  <c r="EN285" i="4"/>
  <c r="EH286" i="4"/>
  <c r="EI286" i="4"/>
  <c r="EJ286" i="4"/>
  <c r="EK286" i="4"/>
  <c r="EO286" i="4" s="1"/>
  <c r="EL286" i="4"/>
  <c r="EN286" i="4"/>
  <c r="EH287" i="4"/>
  <c r="EI287" i="4"/>
  <c r="EJ287" i="4"/>
  <c r="EK287" i="4"/>
  <c r="EO287" i="4" s="1"/>
  <c r="EL287" i="4"/>
  <c r="EN287" i="4"/>
  <c r="EH288" i="4"/>
  <c r="EI288" i="4"/>
  <c r="EJ288" i="4"/>
  <c r="EK288" i="4"/>
  <c r="EO288" i="4" s="1"/>
  <c r="EL288" i="4"/>
  <c r="EM288" i="4"/>
  <c r="EN288" i="4"/>
  <c r="EH289" i="4"/>
  <c r="EI289" i="4"/>
  <c r="EJ289" i="4"/>
  <c r="EK289" i="4"/>
  <c r="EO289" i="4" s="1"/>
  <c r="EL289" i="4"/>
  <c r="EN289" i="4"/>
  <c r="CN213" i="4"/>
  <c r="CO213" i="4"/>
  <c r="CP213" i="4"/>
  <c r="CQ213" i="4"/>
  <c r="CN214" i="4"/>
  <c r="CO214" i="4"/>
  <c r="CP214" i="4"/>
  <c r="CQ214" i="4"/>
  <c r="CN215" i="4"/>
  <c r="CO215" i="4"/>
  <c r="CP215" i="4"/>
  <c r="CQ215" i="4"/>
  <c r="CN216" i="4"/>
  <c r="CO216" i="4"/>
  <c r="CP216" i="4"/>
  <c r="CQ216" i="4"/>
  <c r="CN217" i="4"/>
  <c r="CO217" i="4"/>
  <c r="CP217" i="4"/>
  <c r="CQ217" i="4"/>
  <c r="CN218" i="4"/>
  <c r="CO218" i="4"/>
  <c r="CP218" i="4"/>
  <c r="CQ218" i="4"/>
  <c r="CN219" i="4"/>
  <c r="CO219" i="4"/>
  <c r="CP219" i="4"/>
  <c r="CQ219" i="4"/>
  <c r="CN220" i="4"/>
  <c r="CO220" i="4"/>
  <c r="CP220" i="4"/>
  <c r="CQ220" i="4"/>
  <c r="CN221" i="4"/>
  <c r="CO221" i="4"/>
  <c r="CP221" i="4"/>
  <c r="CQ221" i="4"/>
  <c r="CN222" i="4"/>
  <c r="CO222" i="4"/>
  <c r="CP222" i="4"/>
  <c r="CQ222" i="4"/>
  <c r="CN223" i="4"/>
  <c r="CO223" i="4"/>
  <c r="CP223" i="4"/>
  <c r="CQ223" i="4"/>
  <c r="CN224" i="4"/>
  <c r="CO224" i="4"/>
  <c r="CP224" i="4"/>
  <c r="CQ224" i="4"/>
  <c r="CN225" i="4"/>
  <c r="CO225" i="4"/>
  <c r="CP225" i="4"/>
  <c r="CQ225" i="4"/>
  <c r="CN226" i="4"/>
  <c r="CO226" i="4"/>
  <c r="CP226" i="4"/>
  <c r="CQ226" i="4"/>
  <c r="CN227" i="4"/>
  <c r="CO227" i="4"/>
  <c r="CP227" i="4"/>
  <c r="CQ227" i="4"/>
  <c r="CN228" i="4"/>
  <c r="CO228" i="4"/>
  <c r="CP228" i="4"/>
  <c r="CQ228" i="4"/>
  <c r="CN229" i="4"/>
  <c r="CO229" i="4"/>
  <c r="CP229" i="4"/>
  <c r="CQ229" i="4"/>
  <c r="CN230" i="4"/>
  <c r="CO230" i="4"/>
  <c r="CP230" i="4"/>
  <c r="CQ230" i="4"/>
  <c r="CN231" i="4"/>
  <c r="CO231" i="4"/>
  <c r="CP231" i="4"/>
  <c r="CQ231" i="4"/>
  <c r="CN232" i="4"/>
  <c r="CO232" i="4"/>
  <c r="CP232" i="4"/>
  <c r="CQ232" i="4"/>
  <c r="CN233" i="4"/>
  <c r="CO233" i="4"/>
  <c r="CP233" i="4"/>
  <c r="CQ233" i="4"/>
  <c r="CN234" i="4"/>
  <c r="CO234" i="4"/>
  <c r="CP234" i="4"/>
  <c r="CQ234" i="4"/>
  <c r="CN235" i="4"/>
  <c r="CO235" i="4"/>
  <c r="CP235" i="4"/>
  <c r="CQ235" i="4"/>
  <c r="CN236" i="4"/>
  <c r="CO236" i="4"/>
  <c r="CP236" i="4"/>
  <c r="CQ236" i="4"/>
  <c r="CN237" i="4"/>
  <c r="CO237" i="4"/>
  <c r="CP237" i="4"/>
  <c r="CQ237" i="4"/>
  <c r="CN238" i="4"/>
  <c r="CO238" i="4"/>
  <c r="CP238" i="4"/>
  <c r="CQ238" i="4"/>
  <c r="CN239" i="4"/>
  <c r="CO239" i="4"/>
  <c r="CP239" i="4"/>
  <c r="CQ239" i="4"/>
  <c r="CN240" i="4"/>
  <c r="CO240" i="4"/>
  <c r="CP240" i="4"/>
  <c r="CQ240" i="4"/>
  <c r="CN241" i="4"/>
  <c r="CO241" i="4"/>
  <c r="CP241" i="4"/>
  <c r="CQ241" i="4"/>
  <c r="CN242" i="4"/>
  <c r="CO242" i="4"/>
  <c r="CP242" i="4"/>
  <c r="CQ242" i="4"/>
  <c r="CN243" i="4"/>
  <c r="CO243" i="4"/>
  <c r="CP243" i="4"/>
  <c r="CQ243" i="4"/>
  <c r="CN244" i="4"/>
  <c r="CO244" i="4"/>
  <c r="CP244" i="4"/>
  <c r="CQ244" i="4"/>
  <c r="CN245" i="4"/>
  <c r="CO245" i="4"/>
  <c r="CP245" i="4"/>
  <c r="CQ245" i="4"/>
  <c r="CN246" i="4"/>
  <c r="CO246" i="4"/>
  <c r="CP246" i="4"/>
  <c r="CQ246" i="4"/>
  <c r="CN247" i="4"/>
  <c r="CO247" i="4"/>
  <c r="CP247" i="4"/>
  <c r="CQ247" i="4"/>
  <c r="CN248" i="4"/>
  <c r="CO248" i="4"/>
  <c r="CP248" i="4"/>
  <c r="CQ248" i="4"/>
  <c r="CN249" i="4"/>
  <c r="CO249" i="4"/>
  <c r="CP249" i="4"/>
  <c r="CQ249" i="4"/>
  <c r="CN250" i="4"/>
  <c r="CO250" i="4"/>
  <c r="CP250" i="4"/>
  <c r="CQ250" i="4"/>
  <c r="CN251" i="4"/>
  <c r="CO251" i="4"/>
  <c r="CP251" i="4"/>
  <c r="CQ251" i="4"/>
  <c r="CN252" i="4"/>
  <c r="CO252" i="4"/>
  <c r="CP252" i="4"/>
  <c r="CQ252" i="4"/>
  <c r="CN253" i="4"/>
  <c r="CO253" i="4"/>
  <c r="CP253" i="4"/>
  <c r="CQ253" i="4"/>
  <c r="CN254" i="4"/>
  <c r="CO254" i="4"/>
  <c r="CP254" i="4"/>
  <c r="CQ254" i="4"/>
  <c r="CN255" i="4"/>
  <c r="CO255" i="4"/>
  <c r="CP255" i="4"/>
  <c r="CQ255" i="4"/>
  <c r="CN256" i="4"/>
  <c r="CO256" i="4"/>
  <c r="CP256" i="4"/>
  <c r="CQ256" i="4"/>
  <c r="CN257" i="4"/>
  <c r="CO257" i="4"/>
  <c r="CP257" i="4"/>
  <c r="CQ257" i="4"/>
  <c r="CN258" i="4"/>
  <c r="CO258" i="4"/>
  <c r="CP258" i="4"/>
  <c r="CQ258" i="4"/>
  <c r="CN259" i="4"/>
  <c r="CO259" i="4"/>
  <c r="CP259" i="4"/>
  <c r="CQ259" i="4"/>
  <c r="CN260" i="4"/>
  <c r="CO260" i="4"/>
  <c r="CP260" i="4"/>
  <c r="CQ260" i="4"/>
  <c r="CN261" i="4"/>
  <c r="CO261" i="4"/>
  <c r="CP261" i="4"/>
  <c r="CQ261" i="4"/>
  <c r="CN262" i="4"/>
  <c r="CO262" i="4"/>
  <c r="CP262" i="4"/>
  <c r="CQ262" i="4"/>
  <c r="CN263" i="4"/>
  <c r="CO263" i="4"/>
  <c r="CP263" i="4"/>
  <c r="CQ263" i="4"/>
  <c r="CN264" i="4"/>
  <c r="CO264" i="4"/>
  <c r="CP264" i="4"/>
  <c r="CQ264" i="4"/>
  <c r="CN265" i="4"/>
  <c r="CO265" i="4"/>
  <c r="CP265" i="4"/>
  <c r="CQ265" i="4"/>
  <c r="CN266" i="4"/>
  <c r="CO266" i="4"/>
  <c r="CP266" i="4"/>
  <c r="CQ266" i="4"/>
  <c r="CN267" i="4"/>
  <c r="CO267" i="4"/>
  <c r="CP267" i="4"/>
  <c r="CQ267" i="4"/>
  <c r="CN268" i="4"/>
  <c r="CO268" i="4"/>
  <c r="CP268" i="4"/>
  <c r="CQ268" i="4"/>
  <c r="CN269" i="4"/>
  <c r="CO269" i="4"/>
  <c r="CP269" i="4"/>
  <c r="CQ269" i="4"/>
  <c r="CN270" i="4"/>
  <c r="CO270" i="4"/>
  <c r="CP270" i="4"/>
  <c r="CQ270" i="4"/>
  <c r="CN271" i="4"/>
  <c r="CO271" i="4"/>
  <c r="CP271" i="4"/>
  <c r="CQ271" i="4"/>
  <c r="CN272" i="4"/>
  <c r="CO272" i="4"/>
  <c r="CP272" i="4"/>
  <c r="CQ272" i="4"/>
  <c r="CN273" i="4"/>
  <c r="CO273" i="4"/>
  <c r="CP273" i="4"/>
  <c r="CQ273" i="4"/>
  <c r="CN274" i="4"/>
  <c r="CO274" i="4"/>
  <c r="CP274" i="4"/>
  <c r="CQ274" i="4"/>
  <c r="CN275" i="4"/>
  <c r="CO275" i="4"/>
  <c r="CP275" i="4"/>
  <c r="CQ275" i="4"/>
  <c r="CN276" i="4"/>
  <c r="CO276" i="4"/>
  <c r="CP276" i="4"/>
  <c r="CQ276" i="4"/>
  <c r="CN277" i="4"/>
  <c r="CO277" i="4"/>
  <c r="CP277" i="4"/>
  <c r="CQ277" i="4"/>
  <c r="CN278" i="4"/>
  <c r="CO278" i="4"/>
  <c r="CP278" i="4"/>
  <c r="CQ278" i="4"/>
  <c r="CN279" i="4"/>
  <c r="CO279" i="4"/>
  <c r="CP279" i="4"/>
  <c r="CQ279" i="4"/>
  <c r="CN280" i="4"/>
  <c r="CO280" i="4"/>
  <c r="CP280" i="4"/>
  <c r="CQ280" i="4"/>
  <c r="CN281" i="4"/>
  <c r="CO281" i="4"/>
  <c r="CP281" i="4"/>
  <c r="CQ281" i="4"/>
  <c r="CN282" i="4"/>
  <c r="CO282" i="4"/>
  <c r="CP282" i="4"/>
  <c r="CQ282" i="4"/>
  <c r="CN283" i="4"/>
  <c r="CO283" i="4"/>
  <c r="CP283" i="4"/>
  <c r="CQ283" i="4"/>
  <c r="CN284" i="4"/>
  <c r="CO284" i="4"/>
  <c r="CP284" i="4"/>
  <c r="CQ284" i="4"/>
  <c r="CN285" i="4"/>
  <c r="CO285" i="4"/>
  <c r="CP285" i="4"/>
  <c r="CQ285" i="4"/>
  <c r="CN286" i="4"/>
  <c r="CO286" i="4"/>
  <c r="CP286" i="4"/>
  <c r="CQ286" i="4"/>
  <c r="AR212" i="4"/>
  <c r="AT212" i="4"/>
  <c r="AR213" i="4"/>
  <c r="AT213" i="4"/>
  <c r="AR214" i="4"/>
  <c r="AT214" i="4"/>
  <c r="AR215" i="4"/>
  <c r="AT215" i="4"/>
  <c r="AR216" i="4"/>
  <c r="AT216" i="4"/>
  <c r="AR217" i="4"/>
  <c r="AT217" i="4"/>
  <c r="AR218" i="4"/>
  <c r="AT218" i="4"/>
  <c r="AR219" i="4"/>
  <c r="AT219" i="4"/>
  <c r="AR220" i="4"/>
  <c r="AT220" i="4"/>
  <c r="AR221" i="4"/>
  <c r="AT221" i="4"/>
  <c r="AR222" i="4"/>
  <c r="AT222" i="4"/>
  <c r="AR223" i="4"/>
  <c r="AT223" i="4"/>
  <c r="AR224" i="4"/>
  <c r="AT224" i="4"/>
  <c r="AR225" i="4"/>
  <c r="AT225" i="4"/>
  <c r="AR226" i="4"/>
  <c r="AT226" i="4"/>
  <c r="AR227" i="4"/>
  <c r="AT227" i="4"/>
  <c r="AR228" i="4"/>
  <c r="AT228" i="4"/>
  <c r="AR229" i="4"/>
  <c r="AT229" i="4"/>
  <c r="AR230" i="4"/>
  <c r="AT230" i="4"/>
  <c r="AR231" i="4"/>
  <c r="AT231" i="4"/>
  <c r="AR232" i="4"/>
  <c r="AT232" i="4"/>
  <c r="AR233" i="4"/>
  <c r="AT233" i="4"/>
  <c r="AR234" i="4"/>
  <c r="AT234" i="4"/>
  <c r="AR235" i="4"/>
  <c r="AT235" i="4"/>
  <c r="AR236" i="4"/>
  <c r="AT236" i="4"/>
  <c r="AR237" i="4"/>
  <c r="AT237" i="4"/>
  <c r="AR238" i="4"/>
  <c r="AT238" i="4"/>
  <c r="AR239" i="4"/>
  <c r="AT239" i="4"/>
  <c r="AR240" i="4"/>
  <c r="AT240" i="4"/>
  <c r="AR241" i="4"/>
  <c r="AT241" i="4"/>
  <c r="AR242" i="4"/>
  <c r="AT242" i="4"/>
  <c r="AR243" i="4"/>
  <c r="AT243" i="4"/>
  <c r="AR244" i="4"/>
  <c r="AT244" i="4"/>
  <c r="AR245" i="4"/>
  <c r="AT245" i="4"/>
  <c r="AR246" i="4"/>
  <c r="AT246" i="4"/>
  <c r="AR247" i="4"/>
  <c r="AT247" i="4"/>
  <c r="AR248" i="4"/>
  <c r="AT248" i="4"/>
  <c r="AR249" i="4"/>
  <c r="AT249" i="4"/>
  <c r="AR250" i="4"/>
  <c r="AT250" i="4"/>
  <c r="AR251" i="4"/>
  <c r="AT251" i="4"/>
  <c r="AR252" i="4"/>
  <c r="AT252" i="4"/>
  <c r="AR253" i="4"/>
  <c r="AT253" i="4"/>
  <c r="AR254" i="4"/>
  <c r="AT254" i="4"/>
  <c r="AR255" i="4"/>
  <c r="AT255" i="4"/>
  <c r="AR256" i="4"/>
  <c r="AT256" i="4"/>
  <c r="AR257" i="4"/>
  <c r="AT257" i="4"/>
  <c r="AR258" i="4"/>
  <c r="AT258" i="4"/>
  <c r="AR259" i="4"/>
  <c r="AT259" i="4"/>
  <c r="AR260" i="4"/>
  <c r="AT260" i="4"/>
  <c r="AR261" i="4"/>
  <c r="AT261" i="4"/>
  <c r="AR262" i="4"/>
  <c r="AT262" i="4"/>
  <c r="AR263" i="4"/>
  <c r="AT263" i="4"/>
  <c r="AR264" i="4"/>
  <c r="AT264" i="4"/>
  <c r="AR265" i="4"/>
  <c r="AT265" i="4"/>
  <c r="AR266" i="4"/>
  <c r="AT266" i="4"/>
  <c r="AR267" i="4"/>
  <c r="AT267" i="4"/>
  <c r="AR268" i="4"/>
  <c r="AT268" i="4"/>
  <c r="AR269" i="4"/>
  <c r="AT269" i="4"/>
  <c r="AR270" i="4"/>
  <c r="AT270" i="4"/>
  <c r="AR271" i="4"/>
  <c r="AT271" i="4"/>
  <c r="AR272" i="4"/>
  <c r="AT272" i="4"/>
  <c r="AR273" i="4"/>
  <c r="AT273" i="4"/>
  <c r="AR274" i="4"/>
  <c r="AT274" i="4"/>
  <c r="AR275" i="4"/>
  <c r="AT275" i="4"/>
  <c r="AR276" i="4"/>
  <c r="AT276" i="4"/>
  <c r="AR277" i="4"/>
  <c r="AT277" i="4"/>
  <c r="AR278" i="4"/>
  <c r="AT278" i="4"/>
  <c r="AR279" i="4"/>
  <c r="AT279" i="4"/>
  <c r="AR280" i="4"/>
  <c r="AT280" i="4"/>
  <c r="AR281" i="4"/>
  <c r="AT281" i="4"/>
  <c r="AR282" i="4"/>
  <c r="AT282" i="4"/>
  <c r="AR283" i="4"/>
  <c r="AT283" i="4"/>
  <c r="AR284" i="4"/>
  <c r="AT284" i="4"/>
  <c r="AR285" i="4"/>
  <c r="AT285" i="4"/>
  <c r="AR286" i="4"/>
  <c r="AT286" i="4"/>
  <c r="AR287" i="4"/>
  <c r="AT287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AU178" i="4" l="1"/>
  <c r="AS153" i="4"/>
  <c r="AS146" i="4"/>
  <c r="AS137" i="4"/>
  <c r="AS130" i="4"/>
  <c r="AS121" i="4"/>
  <c r="AS114" i="4"/>
  <c r="AS105" i="4"/>
  <c r="AS98" i="4"/>
  <c r="AS56" i="4"/>
  <c r="AS38" i="4"/>
  <c r="AU16" i="4"/>
  <c r="AU14" i="4"/>
  <c r="EM289" i="4"/>
  <c r="EM281" i="4"/>
  <c r="EM273" i="4"/>
  <c r="EM265" i="4"/>
  <c r="EM257" i="4"/>
  <c r="EM249" i="4"/>
  <c r="EM241" i="4"/>
  <c r="EM233" i="4"/>
  <c r="AU185" i="4"/>
  <c r="AU181" i="4"/>
  <c r="AU177" i="4"/>
  <c r="AU173" i="4"/>
  <c r="AU169" i="4"/>
  <c r="AU165" i="4"/>
  <c r="AU147" i="4"/>
  <c r="AU131" i="4"/>
  <c r="AU115" i="4"/>
  <c r="AU99" i="4"/>
  <c r="AS77" i="4"/>
  <c r="AU42" i="4"/>
  <c r="EM282" i="4"/>
  <c r="EM274" i="4"/>
  <c r="EM266" i="4"/>
  <c r="EM258" i="4"/>
  <c r="EM250" i="4"/>
  <c r="EM242" i="4"/>
  <c r="EM234" i="4"/>
  <c r="AU154" i="4"/>
  <c r="AU138" i="4"/>
  <c r="AU122" i="4"/>
  <c r="AU106" i="4"/>
  <c r="AU78" i="4"/>
  <c r="AS53" i="4"/>
  <c r="AU166" i="4"/>
  <c r="AU55" i="4"/>
  <c r="AS113" i="4"/>
  <c r="AS106" i="4"/>
  <c r="AS68" i="4"/>
  <c r="AU18" i="4"/>
  <c r="EM285" i="4"/>
  <c r="EM277" i="4"/>
  <c r="EM269" i="4"/>
  <c r="EM261" i="4"/>
  <c r="EM253" i="4"/>
  <c r="EM245" i="4"/>
  <c r="EM237" i="4"/>
  <c r="AU183" i="4"/>
  <c r="AU179" i="4"/>
  <c r="AU175" i="4"/>
  <c r="AU171" i="4"/>
  <c r="AU167" i="4"/>
  <c r="AU163" i="4"/>
  <c r="AU160" i="4"/>
  <c r="AU155" i="4"/>
  <c r="AU139" i="4"/>
  <c r="AU123" i="4"/>
  <c r="AU107" i="4"/>
  <c r="AU66" i="4"/>
  <c r="AU186" i="4"/>
  <c r="AU170" i="4"/>
  <c r="AS62" i="4"/>
  <c r="AS154" i="4"/>
  <c r="AS129" i="4"/>
  <c r="AU95" i="4"/>
  <c r="EM286" i="4"/>
  <c r="EM278" i="4"/>
  <c r="EM270" i="4"/>
  <c r="EM262" i="4"/>
  <c r="EM254" i="4"/>
  <c r="EM246" i="4"/>
  <c r="EM238" i="4"/>
  <c r="AU146" i="4"/>
  <c r="AU130" i="4"/>
  <c r="AU114" i="4"/>
  <c r="AU98" i="4"/>
  <c r="AU182" i="4"/>
  <c r="AU174" i="4"/>
  <c r="AS80" i="4"/>
  <c r="AS145" i="4"/>
  <c r="AS138" i="4"/>
  <c r="AS122" i="4"/>
  <c r="AS97" i="4"/>
  <c r="AU72" i="4"/>
  <c r="EM287" i="4"/>
  <c r="EM279" i="4"/>
  <c r="EM271" i="4"/>
  <c r="EM263" i="4"/>
  <c r="EM255" i="4"/>
  <c r="EM247" i="4"/>
  <c r="EM239" i="4"/>
  <c r="EM231" i="4"/>
  <c r="AU184" i="4"/>
  <c r="AU180" i="4"/>
  <c r="AU176" i="4"/>
  <c r="AU172" i="4"/>
  <c r="AU168" i="4"/>
  <c r="AU164" i="4"/>
  <c r="AS160" i="4"/>
  <c r="AS92" i="4"/>
  <c r="AU54" i="4"/>
  <c r="AU23" i="4"/>
  <c r="AU157" i="4"/>
  <c r="AU149" i="4"/>
  <c r="AU141" i="4"/>
  <c r="AU133" i="4"/>
  <c r="AU125" i="4"/>
  <c r="AU117" i="4"/>
  <c r="AU109" i="4"/>
  <c r="AU101" i="4"/>
  <c r="AS76" i="4"/>
  <c r="AS64" i="4"/>
  <c r="AS46" i="4"/>
  <c r="AU39" i="4"/>
  <c r="AU31" i="4"/>
  <c r="AS282" i="4"/>
  <c r="AU152" i="4"/>
  <c r="AU144" i="4"/>
  <c r="AU136" i="4"/>
  <c r="AU128" i="4"/>
  <c r="AU120" i="4"/>
  <c r="AU112" i="4"/>
  <c r="AU104" i="4"/>
  <c r="AU96" i="4"/>
  <c r="AU86" i="4"/>
  <c r="AS84" i="4"/>
  <c r="AS72" i="4"/>
  <c r="AS54" i="4"/>
  <c r="AU47" i="4"/>
  <c r="AS45" i="4"/>
  <c r="AU142" i="4"/>
  <c r="AU63" i="4"/>
  <c r="AU153" i="4"/>
  <c r="AU145" i="4"/>
  <c r="AU137" i="4"/>
  <c r="AU129" i="4"/>
  <c r="AU121" i="4"/>
  <c r="AU113" i="4"/>
  <c r="AU105" i="4"/>
  <c r="AU97" i="4"/>
  <c r="AS78" i="4"/>
  <c r="AU71" i="4"/>
  <c r="AU50" i="4"/>
  <c r="AU46" i="4"/>
  <c r="AS44" i="4"/>
  <c r="AU26" i="4"/>
  <c r="AU15" i="4"/>
  <c r="AU158" i="4"/>
  <c r="AU126" i="4"/>
  <c r="AS88" i="4"/>
  <c r="AS70" i="4"/>
  <c r="AU161" i="4"/>
  <c r="AU156" i="4"/>
  <c r="AU148" i="4"/>
  <c r="AU140" i="4"/>
  <c r="AU132" i="4"/>
  <c r="AU124" i="4"/>
  <c r="AU116" i="4"/>
  <c r="AU108" i="4"/>
  <c r="AU100" i="4"/>
  <c r="AS86" i="4"/>
  <c r="AU79" i="4"/>
  <c r="AS52" i="4"/>
  <c r="AS40" i="4"/>
  <c r="AU22" i="4"/>
  <c r="AU150" i="4"/>
  <c r="AU134" i="4"/>
  <c r="AU118" i="4"/>
  <c r="AU110" i="4"/>
  <c r="AU102" i="4"/>
  <c r="AS36" i="4"/>
  <c r="AU151" i="4"/>
  <c r="AU143" i="4"/>
  <c r="AU135" i="4"/>
  <c r="AU127" i="4"/>
  <c r="AU119" i="4"/>
  <c r="AU111" i="4"/>
  <c r="AU103" i="4"/>
  <c r="AS94" i="4"/>
  <c r="AU87" i="4"/>
  <c r="AS85" i="4"/>
  <c r="AU62" i="4"/>
  <c r="AS60" i="4"/>
  <c r="AS48" i="4"/>
  <c r="AU13" i="4"/>
  <c r="AU282" i="4"/>
  <c r="I349" i="4"/>
  <c r="H349" i="4"/>
  <c r="FJ288" i="4" l="1"/>
  <c r="FK288" i="4"/>
  <c r="FJ289" i="4"/>
  <c r="FK289" i="4"/>
  <c r="FJ290" i="4"/>
  <c r="FK290" i="4"/>
  <c r="FJ291" i="4"/>
  <c r="FK291" i="4"/>
  <c r="FJ292" i="4"/>
  <c r="FK292" i="4"/>
  <c r="FJ293" i="4"/>
  <c r="FK293" i="4"/>
  <c r="FJ294" i="4"/>
  <c r="FK294" i="4"/>
  <c r="FJ295" i="4"/>
  <c r="FK295" i="4"/>
  <c r="FJ296" i="4"/>
  <c r="FK296" i="4"/>
  <c r="FJ297" i="4"/>
  <c r="FK297" i="4"/>
  <c r="FJ298" i="4"/>
  <c r="FK298" i="4"/>
  <c r="FJ299" i="4"/>
  <c r="FK299" i="4"/>
  <c r="FJ300" i="4"/>
  <c r="FK300" i="4"/>
  <c r="FJ301" i="4"/>
  <c r="FK301" i="4"/>
  <c r="FJ302" i="4"/>
  <c r="FK302" i="4"/>
  <c r="FJ303" i="4"/>
  <c r="FK303" i="4"/>
  <c r="FJ304" i="4"/>
  <c r="FK304" i="4"/>
  <c r="FJ305" i="4"/>
  <c r="FK305" i="4"/>
  <c r="FJ306" i="4"/>
  <c r="FK306" i="4"/>
  <c r="FJ307" i="4"/>
  <c r="FK307" i="4"/>
  <c r="FJ308" i="4"/>
  <c r="FK308" i="4"/>
  <c r="FJ309" i="4"/>
  <c r="FK309" i="4"/>
  <c r="FJ310" i="4"/>
  <c r="FK310" i="4"/>
  <c r="FJ311" i="4"/>
  <c r="FK311" i="4"/>
  <c r="FJ312" i="4"/>
  <c r="FK312" i="4"/>
  <c r="FJ313" i="4"/>
  <c r="FK313" i="4"/>
  <c r="FJ314" i="4"/>
  <c r="FK314" i="4"/>
  <c r="FJ315" i="4"/>
  <c r="FK315" i="4"/>
  <c r="FJ316" i="4"/>
  <c r="FK316" i="4"/>
  <c r="FJ317" i="4"/>
  <c r="FK317" i="4"/>
  <c r="FJ318" i="4"/>
  <c r="FK318" i="4"/>
  <c r="FJ319" i="4"/>
  <c r="FK319" i="4"/>
  <c r="FJ320" i="4"/>
  <c r="FK320" i="4"/>
  <c r="FJ321" i="4"/>
  <c r="FK321" i="4"/>
  <c r="FJ322" i="4"/>
  <c r="FK322" i="4"/>
  <c r="FJ323" i="4"/>
  <c r="FK323" i="4"/>
  <c r="FJ324" i="4"/>
  <c r="FK324" i="4"/>
  <c r="FJ325" i="4"/>
  <c r="FK325" i="4"/>
  <c r="FJ326" i="4"/>
  <c r="FK326" i="4"/>
  <c r="FJ327" i="4"/>
  <c r="FK327" i="4"/>
  <c r="FJ328" i="4"/>
  <c r="FK328" i="4"/>
  <c r="FJ329" i="4"/>
  <c r="FK329" i="4"/>
  <c r="FJ330" i="4"/>
  <c r="FK330" i="4"/>
  <c r="FJ331" i="4"/>
  <c r="FK331" i="4"/>
  <c r="FJ332" i="4"/>
  <c r="FK332" i="4"/>
  <c r="FJ333" i="4"/>
  <c r="FK333" i="4"/>
  <c r="FJ334" i="4"/>
  <c r="FK334" i="4"/>
  <c r="FJ335" i="4"/>
  <c r="FK335" i="4"/>
  <c r="FJ336" i="4"/>
  <c r="FK336" i="4"/>
  <c r="FJ337" i="4"/>
  <c r="FK337" i="4"/>
  <c r="FJ338" i="4"/>
  <c r="FK338" i="4"/>
  <c r="FJ339" i="4"/>
  <c r="FK339" i="4"/>
  <c r="FJ340" i="4"/>
  <c r="FK340" i="4"/>
  <c r="FJ341" i="4"/>
  <c r="FK341" i="4"/>
  <c r="FJ342" i="4"/>
  <c r="FK342" i="4"/>
  <c r="FJ343" i="4"/>
  <c r="FK343" i="4"/>
  <c r="FJ344" i="4"/>
  <c r="FK344" i="4"/>
  <c r="FJ345" i="4"/>
  <c r="FK345" i="4"/>
  <c r="FJ346" i="4"/>
  <c r="FK346" i="4"/>
  <c r="FJ347" i="4"/>
  <c r="FK347" i="4"/>
  <c r="FJ348" i="4"/>
  <c r="FK348" i="4"/>
  <c r="FJ349" i="4"/>
  <c r="FK349" i="4"/>
  <c r="FJ350" i="4"/>
  <c r="FK350" i="4"/>
  <c r="FJ351" i="4"/>
  <c r="FK351" i="4"/>
  <c r="FJ352" i="4"/>
  <c r="FK352" i="4"/>
  <c r="FJ353" i="4"/>
  <c r="FK353" i="4"/>
  <c r="FJ354" i="4"/>
  <c r="FK354" i="4"/>
  <c r="FJ355" i="4"/>
  <c r="FK355" i="4"/>
  <c r="FJ356" i="4"/>
  <c r="FK356" i="4"/>
  <c r="FJ357" i="4"/>
  <c r="FK357" i="4"/>
  <c r="FJ358" i="4"/>
  <c r="FK358" i="4"/>
  <c r="FJ359" i="4"/>
  <c r="FK359" i="4"/>
  <c r="FJ360" i="4"/>
  <c r="FK360" i="4"/>
  <c r="FJ361" i="4"/>
  <c r="FK361" i="4"/>
  <c r="FJ362" i="4"/>
  <c r="FK362" i="4"/>
  <c r="FJ363" i="4"/>
  <c r="FK363" i="4"/>
  <c r="FJ364" i="4"/>
  <c r="FK364" i="4"/>
  <c r="FJ365" i="4"/>
  <c r="FK365" i="4"/>
  <c r="FJ366" i="4"/>
  <c r="FK366" i="4"/>
  <c r="FJ367" i="4"/>
  <c r="FK367" i="4"/>
  <c r="FJ368" i="4"/>
  <c r="FK368" i="4"/>
  <c r="FJ369" i="4"/>
  <c r="FK369" i="4"/>
  <c r="FJ370" i="4"/>
  <c r="FK370" i="4"/>
  <c r="FJ371" i="4"/>
  <c r="FK371" i="4"/>
  <c r="FJ372" i="4"/>
  <c r="FK372" i="4"/>
  <c r="FJ373" i="4"/>
  <c r="FK373" i="4"/>
  <c r="FJ374" i="4"/>
  <c r="FK374" i="4"/>
  <c r="FJ375" i="4"/>
  <c r="FK375" i="4"/>
  <c r="FJ376" i="4"/>
  <c r="FK376" i="4"/>
  <c r="FJ377" i="4"/>
  <c r="FK377" i="4"/>
  <c r="FJ378" i="4"/>
  <c r="FK378" i="4"/>
  <c r="FJ379" i="4"/>
  <c r="FK379" i="4"/>
  <c r="FJ380" i="4"/>
  <c r="FK380" i="4"/>
  <c r="FJ381" i="4"/>
  <c r="FK381" i="4"/>
  <c r="FJ382" i="4"/>
  <c r="FK382" i="4"/>
  <c r="FJ383" i="4"/>
  <c r="FK383" i="4"/>
  <c r="FJ384" i="4"/>
  <c r="FK384" i="4"/>
  <c r="FJ385" i="4"/>
  <c r="FK385" i="4"/>
  <c r="FJ386" i="4"/>
  <c r="FK386" i="4"/>
  <c r="FJ387" i="4"/>
  <c r="FK387" i="4"/>
  <c r="FJ388" i="4"/>
  <c r="FK388" i="4"/>
  <c r="FJ389" i="4"/>
  <c r="FK389" i="4"/>
  <c r="FJ390" i="4"/>
  <c r="FK390" i="4"/>
  <c r="FJ391" i="4"/>
  <c r="FK391" i="4"/>
  <c r="FJ392" i="4"/>
  <c r="FK392" i="4"/>
  <c r="FJ393" i="4"/>
  <c r="FK393" i="4"/>
  <c r="FJ394" i="4"/>
  <c r="FK394" i="4"/>
  <c r="FJ395" i="4"/>
  <c r="FK395" i="4"/>
  <c r="FJ396" i="4"/>
  <c r="FK396" i="4"/>
  <c r="FJ397" i="4"/>
  <c r="FK397" i="4"/>
  <c r="FJ398" i="4"/>
  <c r="FK398" i="4"/>
  <c r="FJ399" i="4"/>
  <c r="FK399" i="4"/>
  <c r="FJ400" i="4"/>
  <c r="FK400" i="4"/>
  <c r="FJ401" i="4"/>
  <c r="FK401" i="4"/>
  <c r="FJ402" i="4"/>
  <c r="FK402" i="4"/>
  <c r="FJ403" i="4"/>
  <c r="FK403" i="4"/>
  <c r="FJ404" i="4"/>
  <c r="FK404" i="4"/>
  <c r="FJ405" i="4"/>
  <c r="FK405" i="4"/>
  <c r="FJ406" i="4"/>
  <c r="FK406" i="4"/>
  <c r="FJ407" i="4"/>
  <c r="FK407" i="4"/>
  <c r="FJ408" i="4"/>
  <c r="FK408" i="4"/>
  <c r="FJ409" i="4"/>
  <c r="FK409" i="4"/>
  <c r="FJ410" i="4"/>
  <c r="FK410" i="4"/>
  <c r="FJ411" i="4"/>
  <c r="FK411" i="4"/>
  <c r="FJ412" i="4"/>
  <c r="FK412" i="4"/>
  <c r="FJ413" i="4"/>
  <c r="FK413" i="4"/>
  <c r="FJ414" i="4"/>
  <c r="FK414" i="4"/>
  <c r="FJ415" i="4"/>
  <c r="FK415" i="4"/>
  <c r="FJ416" i="4"/>
  <c r="FK416" i="4"/>
  <c r="FJ417" i="4"/>
  <c r="FK417" i="4"/>
  <c r="FJ418" i="4"/>
  <c r="FK418" i="4"/>
  <c r="FJ419" i="4"/>
  <c r="FK419" i="4"/>
  <c r="FJ420" i="4"/>
  <c r="FK420" i="4"/>
  <c r="FJ421" i="4"/>
  <c r="FK421" i="4"/>
  <c r="FJ422" i="4"/>
  <c r="FK422" i="4"/>
  <c r="FJ423" i="4"/>
  <c r="FK423" i="4"/>
  <c r="FJ424" i="4"/>
  <c r="FK424" i="4"/>
  <c r="FJ425" i="4"/>
  <c r="FK425" i="4"/>
  <c r="FJ426" i="4"/>
  <c r="FK426" i="4"/>
  <c r="FJ427" i="4"/>
  <c r="FK427" i="4"/>
  <c r="FJ428" i="4"/>
  <c r="FK428" i="4"/>
  <c r="FJ429" i="4"/>
  <c r="FK429" i="4"/>
  <c r="FJ430" i="4"/>
  <c r="FK430" i="4"/>
  <c r="FJ431" i="4"/>
  <c r="FK431" i="4"/>
  <c r="FJ432" i="4"/>
  <c r="FK432" i="4"/>
  <c r="FJ433" i="4"/>
  <c r="FK433" i="4"/>
  <c r="FJ434" i="4"/>
  <c r="FK434" i="4"/>
  <c r="FJ435" i="4"/>
  <c r="FK435" i="4"/>
  <c r="FJ436" i="4"/>
  <c r="FK436" i="4"/>
  <c r="FJ437" i="4"/>
  <c r="FK437" i="4"/>
  <c r="FJ438" i="4"/>
  <c r="FK438" i="4"/>
  <c r="FJ439" i="4"/>
  <c r="FK439" i="4"/>
  <c r="FJ440" i="4"/>
  <c r="FK440" i="4"/>
  <c r="FJ441" i="4"/>
  <c r="FK441" i="4"/>
  <c r="FJ442" i="4"/>
  <c r="FK442" i="4"/>
  <c r="FJ443" i="4"/>
  <c r="FK443" i="4"/>
  <c r="FJ444" i="4"/>
  <c r="FK444" i="4"/>
  <c r="FJ445" i="4"/>
  <c r="FK445" i="4"/>
  <c r="FJ446" i="4"/>
  <c r="FK446" i="4"/>
  <c r="FJ447" i="4"/>
  <c r="FK447" i="4"/>
  <c r="FJ448" i="4"/>
  <c r="FK448" i="4"/>
  <c r="FJ449" i="4"/>
  <c r="FK449" i="4"/>
  <c r="FJ450" i="4"/>
  <c r="FK450" i="4"/>
  <c r="FJ451" i="4"/>
  <c r="FK451" i="4"/>
  <c r="FJ452" i="4"/>
  <c r="FK452" i="4"/>
  <c r="FJ453" i="4"/>
  <c r="FK453" i="4"/>
  <c r="FJ454" i="4"/>
  <c r="FK454" i="4"/>
  <c r="FJ455" i="4"/>
  <c r="FK455" i="4"/>
  <c r="FJ456" i="4"/>
  <c r="FK456" i="4"/>
  <c r="FJ457" i="4"/>
  <c r="FK457" i="4"/>
  <c r="FJ459" i="4"/>
  <c r="FK459" i="4"/>
  <c r="FJ460" i="4"/>
  <c r="FK460" i="4"/>
  <c r="FJ461" i="4"/>
  <c r="FK461" i="4"/>
  <c r="FJ463" i="4"/>
  <c r="FK463" i="4"/>
  <c r="FJ464" i="4"/>
  <c r="FK464" i="4"/>
  <c r="FJ465" i="4"/>
  <c r="FK465" i="4"/>
  <c r="FJ466" i="4"/>
  <c r="FK466" i="4"/>
  <c r="FJ458" i="4"/>
  <c r="FK458" i="4"/>
  <c r="FJ467" i="4"/>
  <c r="FK467" i="4"/>
  <c r="FJ462" i="4"/>
  <c r="FK462" i="4"/>
  <c r="FJ468" i="4"/>
  <c r="FK468" i="4"/>
  <c r="FJ469" i="4"/>
  <c r="FK469" i="4"/>
  <c r="FJ470" i="4"/>
  <c r="FK470" i="4"/>
  <c r="FJ471" i="4"/>
  <c r="FK471" i="4"/>
  <c r="FJ472" i="4"/>
  <c r="FK472" i="4"/>
  <c r="FJ473" i="4"/>
  <c r="FK473" i="4"/>
  <c r="FJ474" i="4"/>
  <c r="FK474" i="4"/>
  <c r="FJ475" i="4"/>
  <c r="FK475" i="4"/>
  <c r="FJ476" i="4"/>
  <c r="FK476" i="4"/>
  <c r="FJ477" i="4"/>
  <c r="FK477" i="4"/>
  <c r="FJ478" i="4"/>
  <c r="FK478" i="4"/>
  <c r="FJ479" i="4"/>
  <c r="FK479" i="4"/>
  <c r="FJ480" i="4"/>
  <c r="FK480" i="4"/>
  <c r="FJ481" i="4"/>
  <c r="FK481" i="4"/>
  <c r="FJ482" i="4"/>
  <c r="FK482" i="4"/>
  <c r="FJ483" i="4"/>
  <c r="FK483" i="4"/>
  <c r="FJ484" i="4"/>
  <c r="FK484" i="4"/>
  <c r="FJ485" i="4"/>
  <c r="FK485" i="4"/>
  <c r="FJ486" i="4"/>
  <c r="FK486" i="4"/>
  <c r="FJ487" i="4"/>
  <c r="FK487" i="4"/>
  <c r="FJ488" i="4"/>
  <c r="FK488" i="4"/>
  <c r="FJ489" i="4"/>
  <c r="FK489" i="4"/>
  <c r="FJ490" i="4"/>
  <c r="FK490" i="4"/>
  <c r="FJ491" i="4"/>
  <c r="FK491" i="4"/>
  <c r="FJ492" i="4"/>
  <c r="FK492" i="4"/>
  <c r="FJ493" i="4"/>
  <c r="FK493" i="4"/>
  <c r="FJ494" i="4"/>
  <c r="FK494" i="4"/>
  <c r="FJ495" i="4"/>
  <c r="FK495" i="4"/>
  <c r="FJ496" i="4"/>
  <c r="FK496" i="4"/>
  <c r="FJ497" i="4"/>
  <c r="FK497" i="4"/>
  <c r="FJ498" i="4"/>
  <c r="FK498" i="4"/>
  <c r="FJ499" i="4"/>
  <c r="FK499" i="4"/>
  <c r="FJ500" i="4"/>
  <c r="FK500" i="4"/>
  <c r="FJ501" i="4"/>
  <c r="FK501" i="4"/>
  <c r="FJ502" i="4"/>
  <c r="FK502" i="4"/>
  <c r="FJ503" i="4"/>
  <c r="FK503" i="4"/>
  <c r="FJ504" i="4"/>
  <c r="FK504" i="4"/>
  <c r="FJ505" i="4"/>
  <c r="FK505" i="4"/>
  <c r="FJ506" i="4"/>
  <c r="FK506" i="4"/>
  <c r="FJ507" i="4"/>
  <c r="FK507" i="4"/>
  <c r="FJ508" i="4"/>
  <c r="FK508" i="4"/>
  <c r="FJ509" i="4"/>
  <c r="FK509" i="4"/>
  <c r="FJ510" i="4"/>
  <c r="FK510" i="4"/>
  <c r="FJ511" i="4"/>
  <c r="FK511" i="4"/>
  <c r="FJ512" i="4"/>
  <c r="FK512" i="4"/>
  <c r="FJ513" i="4"/>
  <c r="FK513" i="4"/>
  <c r="FJ514" i="4"/>
  <c r="FK514" i="4"/>
  <c r="FJ515" i="4"/>
  <c r="FK515" i="4"/>
  <c r="FJ516" i="4"/>
  <c r="FK516" i="4"/>
  <c r="FJ517" i="4"/>
  <c r="FK517" i="4"/>
  <c r="FJ518" i="4"/>
  <c r="FK518" i="4"/>
  <c r="FJ519" i="4"/>
  <c r="FK519" i="4"/>
  <c r="FJ520" i="4"/>
  <c r="FK520" i="4"/>
  <c r="FJ521" i="4"/>
  <c r="FK521" i="4"/>
  <c r="FJ522" i="4"/>
  <c r="FK522" i="4"/>
  <c r="FJ523" i="4"/>
  <c r="FK523" i="4"/>
  <c r="FJ524" i="4"/>
  <c r="FK524" i="4"/>
  <c r="FJ525" i="4"/>
  <c r="FK525" i="4"/>
  <c r="FJ526" i="4"/>
  <c r="FK526" i="4"/>
  <c r="FJ527" i="4"/>
  <c r="FK527" i="4"/>
  <c r="FJ528" i="4"/>
  <c r="FK528" i="4"/>
  <c r="FJ529" i="4"/>
  <c r="FK529" i="4"/>
  <c r="FJ530" i="4"/>
  <c r="FK530" i="4"/>
  <c r="FJ531" i="4"/>
  <c r="FK531" i="4"/>
  <c r="FJ532" i="4"/>
  <c r="FK532" i="4"/>
  <c r="FJ533" i="4"/>
  <c r="FK533" i="4"/>
  <c r="FJ534" i="4"/>
  <c r="FK534" i="4"/>
  <c r="FJ535" i="4"/>
  <c r="FK535" i="4"/>
  <c r="FJ536" i="4"/>
  <c r="FK536" i="4"/>
  <c r="FJ537" i="4"/>
  <c r="FK537" i="4"/>
  <c r="FJ538" i="4"/>
  <c r="FK538" i="4"/>
  <c r="FJ539" i="4"/>
  <c r="FK539" i="4"/>
  <c r="FJ540" i="4"/>
  <c r="FK540" i="4"/>
  <c r="FJ541" i="4"/>
  <c r="FK541" i="4"/>
  <c r="FJ542" i="4"/>
  <c r="FK542" i="4"/>
  <c r="FJ543" i="4"/>
  <c r="FK543" i="4"/>
  <c r="FJ544" i="4"/>
  <c r="FK544" i="4"/>
  <c r="FJ545" i="4"/>
  <c r="FK545" i="4"/>
  <c r="FJ546" i="4"/>
  <c r="FK546" i="4"/>
  <c r="FJ547" i="4"/>
  <c r="FK547" i="4"/>
  <c r="FJ548" i="4"/>
  <c r="FK548" i="4"/>
  <c r="FJ549" i="4"/>
  <c r="FK549" i="4"/>
  <c r="FJ550" i="4"/>
  <c r="FK550" i="4"/>
  <c r="FJ551" i="4"/>
  <c r="FK551" i="4"/>
  <c r="FJ552" i="4"/>
  <c r="FK552" i="4"/>
  <c r="FJ553" i="4"/>
  <c r="FK553" i="4"/>
  <c r="FJ554" i="4"/>
  <c r="FK554" i="4"/>
  <c r="FJ555" i="4"/>
  <c r="FK555" i="4"/>
  <c r="FJ556" i="4"/>
  <c r="FK556" i="4"/>
  <c r="FJ557" i="4"/>
  <c r="FK557" i="4"/>
  <c r="FJ558" i="4"/>
  <c r="FK558" i="4"/>
  <c r="FJ559" i="4"/>
  <c r="FK559" i="4"/>
  <c r="FJ560" i="4"/>
  <c r="FK560" i="4"/>
  <c r="FJ561" i="4"/>
  <c r="FK561" i="4"/>
  <c r="FJ562" i="4"/>
  <c r="FK562" i="4"/>
  <c r="FJ563" i="4"/>
  <c r="FK563" i="4"/>
  <c r="FJ564" i="4"/>
  <c r="FK564" i="4"/>
  <c r="FJ565" i="4"/>
  <c r="FK565" i="4"/>
  <c r="FJ566" i="4"/>
  <c r="FK566" i="4"/>
  <c r="FJ567" i="4"/>
  <c r="FK567" i="4"/>
  <c r="FJ568" i="4"/>
  <c r="FK568" i="4"/>
  <c r="FJ569" i="4"/>
  <c r="FK569" i="4"/>
  <c r="FJ570" i="4"/>
  <c r="FK570" i="4"/>
  <c r="FJ571" i="4"/>
  <c r="FK571" i="4"/>
  <c r="FJ572" i="4"/>
  <c r="FK572" i="4"/>
  <c r="FJ573" i="4"/>
  <c r="FK573" i="4"/>
  <c r="FJ574" i="4"/>
  <c r="FK574" i="4"/>
  <c r="FJ575" i="4"/>
  <c r="FK575" i="4"/>
  <c r="FJ576" i="4"/>
  <c r="FK576" i="4"/>
  <c r="FJ577" i="4"/>
  <c r="FK577" i="4"/>
  <c r="FJ578" i="4"/>
  <c r="FK578" i="4"/>
  <c r="FJ579" i="4"/>
  <c r="FK579" i="4"/>
  <c r="FJ580" i="4"/>
  <c r="FK580" i="4"/>
  <c r="FJ581" i="4"/>
  <c r="FK581" i="4"/>
  <c r="FJ582" i="4"/>
  <c r="FK582" i="4"/>
  <c r="FJ583" i="4"/>
  <c r="FK583" i="4"/>
  <c r="FJ584" i="4"/>
  <c r="FK584" i="4"/>
  <c r="FJ585" i="4"/>
  <c r="FK585" i="4"/>
  <c r="FJ586" i="4"/>
  <c r="FK586" i="4"/>
  <c r="FJ587" i="4"/>
  <c r="FK587" i="4"/>
  <c r="FJ588" i="4"/>
  <c r="FK588" i="4"/>
  <c r="FJ589" i="4"/>
  <c r="FK589" i="4"/>
  <c r="FJ590" i="4"/>
  <c r="FK590" i="4"/>
  <c r="FJ591" i="4"/>
  <c r="FK591" i="4"/>
  <c r="FJ592" i="4"/>
  <c r="FK592" i="4"/>
  <c r="FJ593" i="4"/>
  <c r="FK593" i="4"/>
  <c r="FJ594" i="4"/>
  <c r="FK594" i="4"/>
  <c r="FJ595" i="4"/>
  <c r="FK595" i="4"/>
  <c r="FJ596" i="4"/>
  <c r="FK596" i="4"/>
  <c r="FJ597" i="4"/>
  <c r="FK597" i="4"/>
  <c r="FJ598" i="4"/>
  <c r="FK598" i="4"/>
  <c r="FJ599" i="4"/>
  <c r="FK599" i="4"/>
  <c r="FJ600" i="4"/>
  <c r="FK600" i="4"/>
  <c r="FJ601" i="4"/>
  <c r="FK601" i="4"/>
  <c r="FJ602" i="4"/>
  <c r="FK602" i="4"/>
  <c r="FJ603" i="4"/>
  <c r="FK603" i="4"/>
  <c r="FJ604" i="4"/>
  <c r="FK604" i="4"/>
  <c r="FJ605" i="4"/>
  <c r="FK605" i="4"/>
  <c r="FJ606" i="4"/>
  <c r="FK606" i="4"/>
  <c r="FJ607" i="4"/>
  <c r="FK607" i="4"/>
  <c r="FJ608" i="4"/>
  <c r="FK608" i="4"/>
  <c r="FJ609" i="4"/>
  <c r="FK609" i="4"/>
  <c r="FJ610" i="4"/>
  <c r="FK610" i="4"/>
  <c r="FJ611" i="4"/>
  <c r="FK611" i="4"/>
  <c r="FJ612" i="4"/>
  <c r="FK612" i="4"/>
  <c r="FJ613" i="4"/>
  <c r="FK613" i="4"/>
  <c r="FJ614" i="4"/>
  <c r="FK614" i="4"/>
  <c r="FJ615" i="4"/>
  <c r="FK615" i="4"/>
  <c r="FJ616" i="4"/>
  <c r="FK616" i="4"/>
  <c r="FJ617" i="4"/>
  <c r="FK617" i="4"/>
  <c r="FJ618" i="4"/>
  <c r="FK618" i="4"/>
  <c r="FJ619" i="4"/>
  <c r="FK619" i="4"/>
  <c r="FJ620" i="4"/>
  <c r="FK620" i="4"/>
  <c r="FJ621" i="4"/>
  <c r="FK621" i="4"/>
  <c r="FJ622" i="4"/>
  <c r="FK622" i="4"/>
  <c r="FJ623" i="4"/>
  <c r="FK623" i="4"/>
  <c r="FJ624" i="4"/>
  <c r="FK624" i="4"/>
  <c r="FJ625" i="4"/>
  <c r="FK625" i="4"/>
  <c r="FJ626" i="4"/>
  <c r="FK626" i="4"/>
  <c r="FJ627" i="4"/>
  <c r="FK627" i="4"/>
  <c r="FJ628" i="4"/>
  <c r="FK628" i="4"/>
  <c r="FJ629" i="4"/>
  <c r="FK629" i="4"/>
  <c r="FJ630" i="4"/>
  <c r="FK630" i="4"/>
  <c r="FJ631" i="4"/>
  <c r="FK631" i="4"/>
  <c r="FJ632" i="4"/>
  <c r="FK632" i="4"/>
  <c r="FJ633" i="4"/>
  <c r="FK633" i="4"/>
  <c r="FJ634" i="4"/>
  <c r="FK634" i="4"/>
  <c r="FJ635" i="4"/>
  <c r="FK635" i="4"/>
  <c r="FJ636" i="4"/>
  <c r="FK636" i="4"/>
  <c r="FJ637" i="4"/>
  <c r="FK637" i="4"/>
  <c r="FJ638" i="4"/>
  <c r="FK638" i="4"/>
  <c r="FJ639" i="4"/>
  <c r="FK639" i="4"/>
  <c r="FJ640" i="4"/>
  <c r="FK640" i="4"/>
  <c r="FJ641" i="4"/>
  <c r="FK641" i="4"/>
  <c r="FJ642" i="4"/>
  <c r="FK642" i="4"/>
  <c r="FJ643" i="4"/>
  <c r="FK643" i="4"/>
  <c r="FJ644" i="4"/>
  <c r="FK644" i="4"/>
  <c r="FJ645" i="4"/>
  <c r="FK645" i="4"/>
  <c r="FJ646" i="4"/>
  <c r="FK646" i="4"/>
  <c r="FJ647" i="4"/>
  <c r="FK647" i="4"/>
  <c r="FJ648" i="4"/>
  <c r="FK648" i="4"/>
  <c r="FJ649" i="4"/>
  <c r="FK649" i="4"/>
  <c r="FJ650" i="4"/>
  <c r="FK650" i="4"/>
  <c r="FJ651" i="4"/>
  <c r="FK651" i="4"/>
  <c r="FJ652" i="4"/>
  <c r="FK652" i="4"/>
  <c r="FJ653" i="4"/>
  <c r="FK653" i="4"/>
  <c r="FJ654" i="4"/>
  <c r="FK654" i="4"/>
  <c r="FJ655" i="4"/>
  <c r="FK655" i="4"/>
  <c r="FJ656" i="4"/>
  <c r="FK656" i="4"/>
  <c r="FJ657" i="4"/>
  <c r="FK657" i="4"/>
  <c r="FJ658" i="4"/>
  <c r="FK658" i="4"/>
  <c r="FJ659" i="4"/>
  <c r="FK659" i="4"/>
  <c r="FJ660" i="4"/>
  <c r="FK660" i="4"/>
  <c r="FJ661" i="4"/>
  <c r="FK661" i="4"/>
  <c r="FJ662" i="4"/>
  <c r="FK662" i="4"/>
  <c r="FJ663" i="4"/>
  <c r="FK663" i="4"/>
  <c r="FJ664" i="4"/>
  <c r="FK664" i="4"/>
  <c r="FJ665" i="4"/>
  <c r="FK665" i="4"/>
  <c r="FJ666" i="4"/>
  <c r="FK666" i="4"/>
  <c r="FJ668" i="4"/>
  <c r="FK668" i="4"/>
  <c r="FJ669" i="4"/>
  <c r="FK669" i="4"/>
  <c r="FJ670" i="4"/>
  <c r="FK670" i="4"/>
  <c r="FJ671" i="4"/>
  <c r="FK671" i="4"/>
  <c r="FJ672" i="4"/>
  <c r="FK672" i="4"/>
  <c r="FJ673" i="4"/>
  <c r="FK673" i="4"/>
  <c r="FJ674" i="4"/>
  <c r="FK674" i="4"/>
  <c r="FJ675" i="4"/>
  <c r="FK675" i="4"/>
  <c r="FJ676" i="4"/>
  <c r="FK676" i="4"/>
  <c r="FJ667" i="4"/>
  <c r="FK667" i="4"/>
  <c r="FJ677" i="4"/>
  <c r="FK677" i="4"/>
  <c r="FJ678" i="4"/>
  <c r="FK678" i="4"/>
  <c r="FJ679" i="4"/>
  <c r="FK679" i="4"/>
  <c r="FJ680" i="4"/>
  <c r="FK680" i="4"/>
  <c r="FJ681" i="4"/>
  <c r="FK681" i="4"/>
  <c r="FJ682" i="4"/>
  <c r="FJ683" i="4"/>
  <c r="FJ684" i="4"/>
  <c r="FK684" i="4"/>
  <c r="FJ685" i="4"/>
  <c r="FK685" i="4"/>
  <c r="FJ686" i="4"/>
  <c r="FK686" i="4"/>
  <c r="FJ687" i="4"/>
  <c r="FK687" i="4"/>
  <c r="FJ688" i="4"/>
  <c r="FK688" i="4"/>
  <c r="FJ689" i="4"/>
  <c r="FK689" i="4"/>
  <c r="FJ690" i="4"/>
  <c r="FK690" i="4"/>
  <c r="FJ691" i="4"/>
  <c r="FK691" i="4"/>
  <c r="FJ692" i="4"/>
  <c r="FK692" i="4"/>
  <c r="FJ693" i="4"/>
  <c r="FK693" i="4"/>
  <c r="FJ694" i="4"/>
  <c r="FK694" i="4"/>
  <c r="FJ695" i="4"/>
  <c r="FK695" i="4"/>
  <c r="FJ696" i="4"/>
  <c r="FK696" i="4"/>
  <c r="FJ697" i="4"/>
  <c r="FK697" i="4"/>
  <c r="FJ698" i="4"/>
  <c r="FK698" i="4"/>
  <c r="FJ699" i="4"/>
  <c r="FK699" i="4"/>
  <c r="FJ700" i="4"/>
  <c r="FK700" i="4"/>
  <c r="FJ701" i="4"/>
  <c r="FK701" i="4"/>
  <c r="FJ702" i="4"/>
  <c r="FK702" i="4"/>
  <c r="FJ703" i="4"/>
  <c r="FK703" i="4"/>
  <c r="FJ704" i="4"/>
  <c r="FK704" i="4"/>
  <c r="FJ705" i="4"/>
  <c r="FK705" i="4"/>
  <c r="FJ706" i="4"/>
  <c r="FK706" i="4"/>
  <c r="FJ707" i="4"/>
  <c r="FK707" i="4"/>
  <c r="FJ708" i="4"/>
  <c r="FK708" i="4"/>
  <c r="FJ709" i="4"/>
  <c r="FK709" i="4"/>
  <c r="FJ710" i="4"/>
  <c r="FK710" i="4"/>
  <c r="FJ711" i="4"/>
  <c r="FK711" i="4"/>
  <c r="FJ712" i="4"/>
  <c r="FK712" i="4"/>
  <c r="FJ713" i="4"/>
  <c r="FK713" i="4"/>
  <c r="FJ714" i="4"/>
  <c r="FK714" i="4"/>
  <c r="FJ715" i="4"/>
  <c r="FK715" i="4"/>
  <c r="FJ716" i="4"/>
  <c r="FK716" i="4"/>
  <c r="FJ717" i="4"/>
  <c r="FK717" i="4"/>
  <c r="FJ718" i="4"/>
  <c r="FK718" i="4"/>
  <c r="FJ719" i="4"/>
  <c r="FK719" i="4"/>
  <c r="FJ720" i="4"/>
  <c r="FK720" i="4"/>
  <c r="FJ721" i="4"/>
  <c r="FK721" i="4"/>
  <c r="FJ722" i="4"/>
  <c r="FK722" i="4"/>
  <c r="FJ723" i="4"/>
  <c r="FK723" i="4"/>
  <c r="FJ724" i="4"/>
  <c r="FK724" i="4"/>
  <c r="FJ725" i="4"/>
  <c r="FK725" i="4"/>
  <c r="FJ726" i="4"/>
  <c r="FK726" i="4"/>
  <c r="FJ727" i="4"/>
  <c r="FK727" i="4"/>
  <c r="EH290" i="4"/>
  <c r="EJ290" i="4" s="1"/>
  <c r="EI290" i="4"/>
  <c r="EK290" i="4"/>
  <c r="EM290" i="4" s="1"/>
  <c r="EL290" i="4"/>
  <c r="EH291" i="4"/>
  <c r="EJ291" i="4" s="1"/>
  <c r="EI291" i="4"/>
  <c r="EK291" i="4"/>
  <c r="EL291" i="4"/>
  <c r="EH292" i="4"/>
  <c r="EJ292" i="4" s="1"/>
  <c r="EI292" i="4"/>
  <c r="EK292" i="4"/>
  <c r="EM292" i="4" s="1"/>
  <c r="EL292" i="4"/>
  <c r="EH293" i="4"/>
  <c r="EI293" i="4"/>
  <c r="EK293" i="4"/>
  <c r="EM293" i="4" s="1"/>
  <c r="EL293" i="4"/>
  <c r="EH294" i="4"/>
  <c r="EJ294" i="4" s="1"/>
  <c r="EI294" i="4"/>
  <c r="EK294" i="4"/>
  <c r="EL294" i="4"/>
  <c r="EH295" i="4"/>
  <c r="EI295" i="4"/>
  <c r="EK295" i="4"/>
  <c r="EM295" i="4" s="1"/>
  <c r="EL295" i="4"/>
  <c r="EH296" i="4"/>
  <c r="EJ296" i="4" s="1"/>
  <c r="EI296" i="4"/>
  <c r="EK296" i="4"/>
  <c r="EM296" i="4" s="1"/>
  <c r="EL296" i="4"/>
  <c r="EH297" i="4"/>
  <c r="EJ297" i="4" s="1"/>
  <c r="EI297" i="4"/>
  <c r="EK297" i="4"/>
  <c r="EM297" i="4" s="1"/>
  <c r="EL297" i="4"/>
  <c r="EH298" i="4"/>
  <c r="EJ298" i="4" s="1"/>
  <c r="EI298" i="4"/>
  <c r="EK298" i="4"/>
  <c r="EM298" i="4" s="1"/>
  <c r="EL298" i="4"/>
  <c r="EH299" i="4"/>
  <c r="EJ299" i="4" s="1"/>
  <c r="EI299" i="4"/>
  <c r="EK299" i="4"/>
  <c r="EM299" i="4" s="1"/>
  <c r="EL299" i="4"/>
  <c r="EH300" i="4"/>
  <c r="EJ300" i="4" s="1"/>
  <c r="EI300" i="4"/>
  <c r="EK300" i="4"/>
  <c r="EM300" i="4" s="1"/>
  <c r="EL300" i="4"/>
  <c r="EH301" i="4"/>
  <c r="EI301" i="4"/>
  <c r="EK301" i="4"/>
  <c r="EM301" i="4" s="1"/>
  <c r="EL301" i="4"/>
  <c r="EH302" i="4"/>
  <c r="EJ302" i="4" s="1"/>
  <c r="EI302" i="4"/>
  <c r="EK302" i="4"/>
  <c r="EL302" i="4"/>
  <c r="EH303" i="4"/>
  <c r="EI303" i="4"/>
  <c r="EK303" i="4"/>
  <c r="EL303" i="4"/>
  <c r="EH304" i="4"/>
  <c r="EJ304" i="4" s="1"/>
  <c r="EI304" i="4"/>
  <c r="EK304" i="4"/>
  <c r="EM304" i="4" s="1"/>
  <c r="EL304" i="4"/>
  <c r="EH305" i="4"/>
  <c r="EJ305" i="4" s="1"/>
  <c r="EI305" i="4"/>
  <c r="EK305" i="4"/>
  <c r="EL305" i="4"/>
  <c r="EH306" i="4"/>
  <c r="EJ306" i="4" s="1"/>
  <c r="EI306" i="4"/>
  <c r="EK306" i="4"/>
  <c r="EM306" i="4" s="1"/>
  <c r="EL306" i="4"/>
  <c r="EH307" i="4"/>
  <c r="EJ307" i="4" s="1"/>
  <c r="EI307" i="4"/>
  <c r="EK307" i="4"/>
  <c r="EL307" i="4"/>
  <c r="EH308" i="4"/>
  <c r="EJ308" i="4" s="1"/>
  <c r="EI308" i="4"/>
  <c r="EK308" i="4"/>
  <c r="EM308" i="4" s="1"/>
  <c r="EL308" i="4"/>
  <c r="EH309" i="4"/>
  <c r="EI309" i="4"/>
  <c r="EK309" i="4"/>
  <c r="EM309" i="4" s="1"/>
  <c r="EL309" i="4"/>
  <c r="EH310" i="4"/>
  <c r="EJ310" i="4" s="1"/>
  <c r="EI310" i="4"/>
  <c r="EK310" i="4"/>
  <c r="EL310" i="4"/>
  <c r="EH311" i="4"/>
  <c r="EI311" i="4"/>
  <c r="EK311" i="4"/>
  <c r="EM311" i="4" s="1"/>
  <c r="EL311" i="4"/>
  <c r="EH312" i="4"/>
  <c r="EJ312" i="4" s="1"/>
  <c r="EI312" i="4"/>
  <c r="EK312" i="4"/>
  <c r="EM312" i="4" s="1"/>
  <c r="EL312" i="4"/>
  <c r="EH313" i="4"/>
  <c r="EJ313" i="4" s="1"/>
  <c r="EI313" i="4"/>
  <c r="EK313" i="4"/>
  <c r="EM313" i="4" s="1"/>
  <c r="EL313" i="4"/>
  <c r="EH314" i="4"/>
  <c r="EJ314" i="4" s="1"/>
  <c r="EI314" i="4"/>
  <c r="EK314" i="4"/>
  <c r="EM314" i="4" s="1"/>
  <c r="EL314" i="4"/>
  <c r="EH315" i="4"/>
  <c r="EJ315" i="4" s="1"/>
  <c r="EI315" i="4"/>
  <c r="EK315" i="4"/>
  <c r="EM315" i="4" s="1"/>
  <c r="EL315" i="4"/>
  <c r="EH316" i="4"/>
  <c r="EJ316" i="4" s="1"/>
  <c r="EI316" i="4"/>
  <c r="EK316" i="4"/>
  <c r="EM316" i="4" s="1"/>
  <c r="EL316" i="4"/>
  <c r="EH317" i="4"/>
  <c r="EI317" i="4"/>
  <c r="EK317" i="4"/>
  <c r="EM317" i="4" s="1"/>
  <c r="EL317" i="4"/>
  <c r="EH318" i="4"/>
  <c r="EJ318" i="4" s="1"/>
  <c r="EI318" i="4"/>
  <c r="EK318" i="4"/>
  <c r="EL318" i="4"/>
  <c r="EH319" i="4"/>
  <c r="EI319" i="4"/>
  <c r="EK319" i="4"/>
  <c r="EL319" i="4"/>
  <c r="EH320" i="4"/>
  <c r="EJ320" i="4" s="1"/>
  <c r="EI320" i="4"/>
  <c r="EK320" i="4"/>
  <c r="EM320" i="4" s="1"/>
  <c r="EL320" i="4"/>
  <c r="EH321" i="4"/>
  <c r="EJ321" i="4" s="1"/>
  <c r="EI321" i="4"/>
  <c r="EK321" i="4"/>
  <c r="EL321" i="4"/>
  <c r="EH322" i="4"/>
  <c r="EJ322" i="4" s="1"/>
  <c r="EI322" i="4"/>
  <c r="EK322" i="4"/>
  <c r="EM322" i="4" s="1"/>
  <c r="EL322" i="4"/>
  <c r="EH323" i="4"/>
  <c r="EJ323" i="4" s="1"/>
  <c r="EI323" i="4"/>
  <c r="EK323" i="4"/>
  <c r="EL323" i="4"/>
  <c r="EH324" i="4"/>
  <c r="EJ324" i="4" s="1"/>
  <c r="EI324" i="4"/>
  <c r="EK324" i="4"/>
  <c r="EM324" i="4" s="1"/>
  <c r="EL324" i="4"/>
  <c r="EH325" i="4"/>
  <c r="EI325" i="4"/>
  <c r="EK325" i="4"/>
  <c r="EM325" i="4" s="1"/>
  <c r="EL325" i="4"/>
  <c r="EH326" i="4"/>
  <c r="EJ326" i="4" s="1"/>
  <c r="EI326" i="4"/>
  <c r="EK326" i="4"/>
  <c r="EL326" i="4"/>
  <c r="EH327" i="4"/>
  <c r="EI327" i="4"/>
  <c r="EK327" i="4"/>
  <c r="EM327" i="4" s="1"/>
  <c r="EL327" i="4"/>
  <c r="EH328" i="4"/>
  <c r="EJ328" i="4" s="1"/>
  <c r="EI328" i="4"/>
  <c r="EK328" i="4"/>
  <c r="EM328" i="4" s="1"/>
  <c r="EL328" i="4"/>
  <c r="EH329" i="4"/>
  <c r="EJ329" i="4" s="1"/>
  <c r="EI329" i="4"/>
  <c r="EK329" i="4"/>
  <c r="EM329" i="4" s="1"/>
  <c r="EL329" i="4"/>
  <c r="EH330" i="4"/>
  <c r="EJ330" i="4" s="1"/>
  <c r="EI330" i="4"/>
  <c r="EK330" i="4"/>
  <c r="EM330" i="4" s="1"/>
  <c r="EL330" i="4"/>
  <c r="EH331" i="4"/>
  <c r="EJ331" i="4" s="1"/>
  <c r="EI331" i="4"/>
  <c r="EK331" i="4"/>
  <c r="EM331" i="4" s="1"/>
  <c r="EL331" i="4"/>
  <c r="EH332" i="4"/>
  <c r="EJ332" i="4" s="1"/>
  <c r="EI332" i="4"/>
  <c r="EK332" i="4"/>
  <c r="EM332" i="4" s="1"/>
  <c r="EL332" i="4"/>
  <c r="EH333" i="4"/>
  <c r="EI333" i="4"/>
  <c r="EK333" i="4"/>
  <c r="EL333" i="4"/>
  <c r="EH334" i="4"/>
  <c r="EJ334" i="4" s="1"/>
  <c r="EI334" i="4"/>
  <c r="EK334" i="4"/>
  <c r="EL334" i="4"/>
  <c r="EH335" i="4"/>
  <c r="EI335" i="4"/>
  <c r="EK335" i="4"/>
  <c r="EL335" i="4"/>
  <c r="EH336" i="4"/>
  <c r="EJ336" i="4" s="1"/>
  <c r="EI336" i="4"/>
  <c r="EK336" i="4"/>
  <c r="EM336" i="4" s="1"/>
  <c r="EL336" i="4"/>
  <c r="EH337" i="4"/>
  <c r="EJ337" i="4" s="1"/>
  <c r="EI337" i="4"/>
  <c r="EK337" i="4"/>
  <c r="EL337" i="4"/>
  <c r="EH338" i="4"/>
  <c r="EJ338" i="4" s="1"/>
  <c r="EI338" i="4"/>
  <c r="EK338" i="4"/>
  <c r="EM338" i="4" s="1"/>
  <c r="EL338" i="4"/>
  <c r="EH339" i="4"/>
  <c r="EJ339" i="4" s="1"/>
  <c r="EI339" i="4"/>
  <c r="EK339" i="4"/>
  <c r="EL339" i="4"/>
  <c r="EH340" i="4"/>
  <c r="EJ340" i="4" s="1"/>
  <c r="EI340" i="4"/>
  <c r="EK340" i="4"/>
  <c r="EM340" i="4" s="1"/>
  <c r="EL340" i="4"/>
  <c r="EH341" i="4"/>
  <c r="EI341" i="4"/>
  <c r="EK341" i="4"/>
  <c r="EM341" i="4" s="1"/>
  <c r="EL341" i="4"/>
  <c r="EH342" i="4"/>
  <c r="EJ342" i="4" s="1"/>
  <c r="EI342" i="4"/>
  <c r="EK342" i="4"/>
  <c r="EL342" i="4"/>
  <c r="EH343" i="4"/>
  <c r="EI343" i="4"/>
  <c r="EK343" i="4"/>
  <c r="EM343" i="4" s="1"/>
  <c r="EL343" i="4"/>
  <c r="EH344" i="4"/>
  <c r="EJ344" i="4" s="1"/>
  <c r="EI344" i="4"/>
  <c r="EK344" i="4"/>
  <c r="EM344" i="4" s="1"/>
  <c r="EL344" i="4"/>
  <c r="EH345" i="4"/>
  <c r="EJ345" i="4" s="1"/>
  <c r="EI345" i="4"/>
  <c r="EK345" i="4"/>
  <c r="EM345" i="4" s="1"/>
  <c r="EL345" i="4"/>
  <c r="EH346" i="4"/>
  <c r="EJ346" i="4" s="1"/>
  <c r="EI346" i="4"/>
  <c r="EK346" i="4"/>
  <c r="EM346" i="4" s="1"/>
  <c r="EL346" i="4"/>
  <c r="EH347" i="4"/>
  <c r="EJ347" i="4" s="1"/>
  <c r="EI347" i="4"/>
  <c r="EK347" i="4"/>
  <c r="EL347" i="4"/>
  <c r="EM347" i="4"/>
  <c r="EH348" i="4"/>
  <c r="EJ348" i="4" s="1"/>
  <c r="EI348" i="4"/>
  <c r="EK348" i="4"/>
  <c r="EM348" i="4" s="1"/>
  <c r="EL348" i="4"/>
  <c r="EH349" i="4"/>
  <c r="EI349" i="4"/>
  <c r="EK349" i="4"/>
  <c r="EM349" i="4" s="1"/>
  <c r="EL349" i="4"/>
  <c r="EH350" i="4"/>
  <c r="EJ350" i="4" s="1"/>
  <c r="EI350" i="4"/>
  <c r="EK350" i="4"/>
  <c r="EL350" i="4"/>
  <c r="EH351" i="4"/>
  <c r="EI351" i="4"/>
  <c r="EK351" i="4"/>
  <c r="EL351" i="4"/>
  <c r="EH352" i="4"/>
  <c r="EJ352" i="4" s="1"/>
  <c r="EI352" i="4"/>
  <c r="EK352" i="4"/>
  <c r="EM352" i="4" s="1"/>
  <c r="EL352" i="4"/>
  <c r="EH353" i="4"/>
  <c r="EJ353" i="4" s="1"/>
  <c r="EI353" i="4"/>
  <c r="EK353" i="4"/>
  <c r="EL353" i="4"/>
  <c r="EH354" i="4"/>
  <c r="EJ354" i="4" s="1"/>
  <c r="EI354" i="4"/>
  <c r="EK354" i="4"/>
  <c r="EM354" i="4" s="1"/>
  <c r="EL354" i="4"/>
  <c r="EH355" i="4"/>
  <c r="EJ355" i="4" s="1"/>
  <c r="EI355" i="4"/>
  <c r="EK355" i="4"/>
  <c r="EL355" i="4"/>
  <c r="EH356" i="4"/>
  <c r="EJ356" i="4" s="1"/>
  <c r="EI356" i="4"/>
  <c r="EK356" i="4"/>
  <c r="EM356" i="4" s="1"/>
  <c r="EL356" i="4"/>
  <c r="EH357" i="4"/>
  <c r="EI357" i="4"/>
  <c r="EK357" i="4"/>
  <c r="EM357" i="4" s="1"/>
  <c r="EL357" i="4"/>
  <c r="EH358" i="4"/>
  <c r="EJ358" i="4" s="1"/>
  <c r="EI358" i="4"/>
  <c r="EK358" i="4"/>
  <c r="EL358" i="4"/>
  <c r="EH359" i="4"/>
  <c r="EI359" i="4"/>
  <c r="EK359" i="4"/>
  <c r="EM359" i="4" s="1"/>
  <c r="EL359" i="4"/>
  <c r="EH360" i="4"/>
  <c r="EJ360" i="4" s="1"/>
  <c r="EI360" i="4"/>
  <c r="EK360" i="4"/>
  <c r="EM360" i="4" s="1"/>
  <c r="EL360" i="4"/>
  <c r="EH361" i="4"/>
  <c r="EJ361" i="4" s="1"/>
  <c r="EI361" i="4"/>
  <c r="EK361" i="4"/>
  <c r="EL361" i="4"/>
  <c r="EH362" i="4"/>
  <c r="EJ362" i="4" s="1"/>
  <c r="EI362" i="4"/>
  <c r="EK362" i="4"/>
  <c r="EM362" i="4" s="1"/>
  <c r="EL362" i="4"/>
  <c r="EH363" i="4"/>
  <c r="EJ363" i="4" s="1"/>
  <c r="EI363" i="4"/>
  <c r="EK363" i="4"/>
  <c r="EM363" i="4" s="1"/>
  <c r="EL363" i="4"/>
  <c r="EH364" i="4"/>
  <c r="EJ364" i="4" s="1"/>
  <c r="EI364" i="4"/>
  <c r="EK364" i="4"/>
  <c r="EM364" i="4" s="1"/>
  <c r="EL364" i="4"/>
  <c r="EH365" i="4"/>
  <c r="EI365" i="4"/>
  <c r="EK365" i="4"/>
  <c r="EM365" i="4" s="1"/>
  <c r="EL365" i="4"/>
  <c r="EH366" i="4"/>
  <c r="EJ366" i="4" s="1"/>
  <c r="EI366" i="4"/>
  <c r="EK366" i="4"/>
  <c r="EL366" i="4"/>
  <c r="EH367" i="4"/>
  <c r="EI367" i="4"/>
  <c r="EK367" i="4"/>
  <c r="EL367" i="4"/>
  <c r="EH368" i="4"/>
  <c r="EJ368" i="4" s="1"/>
  <c r="EI368" i="4"/>
  <c r="EK368" i="4"/>
  <c r="EM368" i="4" s="1"/>
  <c r="EL368" i="4"/>
  <c r="EH369" i="4"/>
  <c r="EJ369" i="4" s="1"/>
  <c r="EI369" i="4"/>
  <c r="EK369" i="4"/>
  <c r="EL369" i="4"/>
  <c r="EH370" i="4"/>
  <c r="EJ370" i="4" s="1"/>
  <c r="EI370" i="4"/>
  <c r="EK370" i="4"/>
  <c r="EM370" i="4" s="1"/>
  <c r="EL370" i="4"/>
  <c r="EH371" i="4"/>
  <c r="EJ371" i="4" s="1"/>
  <c r="EI371" i="4"/>
  <c r="EK371" i="4"/>
  <c r="EL371" i="4"/>
  <c r="EH372" i="4"/>
  <c r="EJ372" i="4" s="1"/>
  <c r="EI372" i="4"/>
  <c r="EK372" i="4"/>
  <c r="EM372" i="4" s="1"/>
  <c r="EL372" i="4"/>
  <c r="EH373" i="4"/>
  <c r="EI373" i="4"/>
  <c r="EK373" i="4"/>
  <c r="EM373" i="4" s="1"/>
  <c r="EL373" i="4"/>
  <c r="EH374" i="4"/>
  <c r="EJ374" i="4" s="1"/>
  <c r="EI374" i="4"/>
  <c r="EK374" i="4"/>
  <c r="EL374" i="4"/>
  <c r="EH375" i="4"/>
  <c r="EI375" i="4"/>
  <c r="EK375" i="4"/>
  <c r="EM375" i="4" s="1"/>
  <c r="EL375" i="4"/>
  <c r="EH376" i="4"/>
  <c r="EJ376" i="4" s="1"/>
  <c r="EI376" i="4"/>
  <c r="EK376" i="4"/>
  <c r="EM376" i="4" s="1"/>
  <c r="EL376" i="4"/>
  <c r="EH377" i="4"/>
  <c r="EJ377" i="4" s="1"/>
  <c r="EI377" i="4"/>
  <c r="EK377" i="4"/>
  <c r="EM377" i="4" s="1"/>
  <c r="EL377" i="4"/>
  <c r="EH378" i="4"/>
  <c r="EJ378" i="4" s="1"/>
  <c r="EI378" i="4"/>
  <c r="EK378" i="4"/>
  <c r="EM378" i="4" s="1"/>
  <c r="EL378" i="4"/>
  <c r="EH379" i="4"/>
  <c r="EJ379" i="4" s="1"/>
  <c r="EI379" i="4"/>
  <c r="EK379" i="4"/>
  <c r="EM379" i="4" s="1"/>
  <c r="EL379" i="4"/>
  <c r="EH380" i="4"/>
  <c r="EJ380" i="4" s="1"/>
  <c r="EI380" i="4"/>
  <c r="EK380" i="4"/>
  <c r="EM380" i="4" s="1"/>
  <c r="EL380" i="4"/>
  <c r="EH381" i="4"/>
  <c r="EI381" i="4"/>
  <c r="EK381" i="4"/>
  <c r="EM381" i="4" s="1"/>
  <c r="EL381" i="4"/>
  <c r="EH382" i="4"/>
  <c r="EJ382" i="4" s="1"/>
  <c r="EI382" i="4"/>
  <c r="EK382" i="4"/>
  <c r="EM382" i="4" s="1"/>
  <c r="EL382" i="4"/>
  <c r="EH383" i="4"/>
  <c r="EJ383" i="4" s="1"/>
  <c r="EI383" i="4"/>
  <c r="EK383" i="4"/>
  <c r="EM383" i="4" s="1"/>
  <c r="EL383" i="4"/>
  <c r="EH384" i="4"/>
  <c r="EJ384" i="4" s="1"/>
  <c r="EI384" i="4"/>
  <c r="EK384" i="4"/>
  <c r="EM384" i="4" s="1"/>
  <c r="EL384" i="4"/>
  <c r="EH385" i="4"/>
  <c r="EJ385" i="4" s="1"/>
  <c r="EI385" i="4"/>
  <c r="EK385" i="4"/>
  <c r="EM385" i="4" s="1"/>
  <c r="EL385" i="4"/>
  <c r="EH386" i="4"/>
  <c r="EJ386" i="4" s="1"/>
  <c r="EI386" i="4"/>
  <c r="EK386" i="4"/>
  <c r="EM386" i="4" s="1"/>
  <c r="EL386" i="4"/>
  <c r="EH387" i="4"/>
  <c r="EI387" i="4"/>
  <c r="EK387" i="4"/>
  <c r="EM387" i="4" s="1"/>
  <c r="EL387" i="4"/>
  <c r="EH388" i="4"/>
  <c r="EJ388" i="4" s="1"/>
  <c r="EI388" i="4"/>
  <c r="EK388" i="4"/>
  <c r="EM388" i="4" s="1"/>
  <c r="EL388" i="4"/>
  <c r="EH389" i="4"/>
  <c r="EJ389" i="4" s="1"/>
  <c r="EI389" i="4"/>
  <c r="EK389" i="4"/>
  <c r="EM389" i="4" s="1"/>
  <c r="EL389" i="4"/>
  <c r="EH390" i="4"/>
  <c r="EI390" i="4"/>
  <c r="EK390" i="4"/>
  <c r="EM390" i="4" s="1"/>
  <c r="EL390" i="4"/>
  <c r="EH391" i="4"/>
  <c r="EJ391" i="4" s="1"/>
  <c r="EI391" i="4"/>
  <c r="EK391" i="4"/>
  <c r="EM391" i="4" s="1"/>
  <c r="EL391" i="4"/>
  <c r="EH392" i="4"/>
  <c r="EJ392" i="4" s="1"/>
  <c r="EI392" i="4"/>
  <c r="EK392" i="4"/>
  <c r="EM392" i="4" s="1"/>
  <c r="EL392" i="4"/>
  <c r="EH393" i="4"/>
  <c r="EI393" i="4"/>
  <c r="EK393" i="4"/>
  <c r="EM393" i="4" s="1"/>
  <c r="EL393" i="4"/>
  <c r="EH394" i="4"/>
  <c r="EI394" i="4"/>
  <c r="EK394" i="4"/>
  <c r="EM394" i="4" s="1"/>
  <c r="EL394" i="4"/>
  <c r="EH395" i="4"/>
  <c r="EI395" i="4"/>
  <c r="EK395" i="4"/>
  <c r="EM395" i="4" s="1"/>
  <c r="EL395" i="4"/>
  <c r="EH396" i="4"/>
  <c r="EJ396" i="4" s="1"/>
  <c r="EI396" i="4"/>
  <c r="EK396" i="4"/>
  <c r="EM396" i="4" s="1"/>
  <c r="EL396" i="4"/>
  <c r="EH397" i="4"/>
  <c r="EN397" i="4" s="1"/>
  <c r="EI397" i="4"/>
  <c r="EK397" i="4"/>
  <c r="EM397" i="4" s="1"/>
  <c r="EL397" i="4"/>
  <c r="EH398" i="4"/>
  <c r="EI398" i="4"/>
  <c r="EK398" i="4"/>
  <c r="EM398" i="4" s="1"/>
  <c r="EL398" i="4"/>
  <c r="EH399" i="4"/>
  <c r="EN399" i="4" s="1"/>
  <c r="FN399" i="4" s="1"/>
  <c r="EI399" i="4"/>
  <c r="EK399" i="4"/>
  <c r="EM399" i="4" s="1"/>
  <c r="EL399" i="4"/>
  <c r="EH400" i="4"/>
  <c r="EJ400" i="4" s="1"/>
  <c r="EI400" i="4"/>
  <c r="EK400" i="4"/>
  <c r="EL400" i="4"/>
  <c r="EM400" i="4"/>
  <c r="EH401" i="4"/>
  <c r="EJ401" i="4" s="1"/>
  <c r="EI401" i="4"/>
  <c r="EK401" i="4"/>
  <c r="EM401" i="4" s="1"/>
  <c r="EL401" i="4"/>
  <c r="EH402" i="4"/>
  <c r="EI402" i="4"/>
  <c r="EK402" i="4"/>
  <c r="EM402" i="4" s="1"/>
  <c r="EL402" i="4"/>
  <c r="EH403" i="4"/>
  <c r="EJ403" i="4" s="1"/>
  <c r="EI403" i="4"/>
  <c r="EK403" i="4"/>
  <c r="EM403" i="4" s="1"/>
  <c r="EL403" i="4"/>
  <c r="EH404" i="4"/>
  <c r="EJ404" i="4" s="1"/>
  <c r="EI404" i="4"/>
  <c r="EK404" i="4"/>
  <c r="EM404" i="4" s="1"/>
  <c r="EL404" i="4"/>
  <c r="EH405" i="4"/>
  <c r="EI405" i="4"/>
  <c r="EK405" i="4"/>
  <c r="EM405" i="4" s="1"/>
  <c r="EL405" i="4"/>
  <c r="EH406" i="4"/>
  <c r="EI406" i="4"/>
  <c r="EK406" i="4"/>
  <c r="EM406" i="4" s="1"/>
  <c r="EL406" i="4"/>
  <c r="EH407" i="4"/>
  <c r="EJ407" i="4" s="1"/>
  <c r="EI407" i="4"/>
  <c r="EK407" i="4"/>
  <c r="EM407" i="4" s="1"/>
  <c r="EL407" i="4"/>
  <c r="EH408" i="4"/>
  <c r="EJ408" i="4" s="1"/>
  <c r="EI408" i="4"/>
  <c r="EK408" i="4"/>
  <c r="EM408" i="4" s="1"/>
  <c r="EL408" i="4"/>
  <c r="EH409" i="4"/>
  <c r="EI409" i="4"/>
  <c r="EK409" i="4"/>
  <c r="EM409" i="4" s="1"/>
  <c r="EL409" i="4"/>
  <c r="EH410" i="4"/>
  <c r="EJ410" i="4" s="1"/>
  <c r="EI410" i="4"/>
  <c r="EK410" i="4"/>
  <c r="EM410" i="4" s="1"/>
  <c r="EL410" i="4"/>
  <c r="EH411" i="4"/>
  <c r="EI411" i="4"/>
  <c r="EK411" i="4"/>
  <c r="EM411" i="4" s="1"/>
  <c r="EL411" i="4"/>
  <c r="EH412" i="4"/>
  <c r="EJ412" i="4" s="1"/>
  <c r="EI412" i="4"/>
  <c r="EK412" i="4"/>
  <c r="EM412" i="4" s="1"/>
  <c r="EL412" i="4"/>
  <c r="EH413" i="4"/>
  <c r="EJ413" i="4" s="1"/>
  <c r="EI413" i="4"/>
  <c r="EK413" i="4"/>
  <c r="EM413" i="4" s="1"/>
  <c r="EL413" i="4"/>
  <c r="EH414" i="4"/>
  <c r="EI414" i="4"/>
  <c r="EK414" i="4"/>
  <c r="EM414" i="4" s="1"/>
  <c r="EL414" i="4"/>
  <c r="EH415" i="4"/>
  <c r="EI415" i="4"/>
  <c r="EK415" i="4"/>
  <c r="EM415" i="4" s="1"/>
  <c r="EL415" i="4"/>
  <c r="EH416" i="4"/>
  <c r="EJ416" i="4" s="1"/>
  <c r="EI416" i="4"/>
  <c r="EK416" i="4"/>
  <c r="EM416" i="4" s="1"/>
  <c r="EL416" i="4"/>
  <c r="EH417" i="4"/>
  <c r="EI417" i="4"/>
  <c r="EK417" i="4"/>
  <c r="EM417" i="4" s="1"/>
  <c r="EL417" i="4"/>
  <c r="EH418" i="4"/>
  <c r="EJ418" i="4" s="1"/>
  <c r="EI418" i="4"/>
  <c r="EK418" i="4"/>
  <c r="EM418" i="4" s="1"/>
  <c r="EL418" i="4"/>
  <c r="EH419" i="4"/>
  <c r="EJ419" i="4" s="1"/>
  <c r="EI419" i="4"/>
  <c r="EK419" i="4"/>
  <c r="EM419" i="4" s="1"/>
  <c r="EL419" i="4"/>
  <c r="EH420" i="4"/>
  <c r="EJ420" i="4" s="1"/>
  <c r="EI420" i="4"/>
  <c r="EK420" i="4"/>
  <c r="EM420" i="4" s="1"/>
  <c r="EL420" i="4"/>
  <c r="EH421" i="4"/>
  <c r="EI421" i="4"/>
  <c r="EK421" i="4"/>
  <c r="EM421" i="4" s="1"/>
  <c r="EL421" i="4"/>
  <c r="EH422" i="4"/>
  <c r="EI422" i="4"/>
  <c r="EK422" i="4"/>
  <c r="EM422" i="4" s="1"/>
  <c r="EL422" i="4"/>
  <c r="EH423" i="4"/>
  <c r="EI423" i="4"/>
  <c r="EK423" i="4"/>
  <c r="EM423" i="4" s="1"/>
  <c r="EL423" i="4"/>
  <c r="EH424" i="4"/>
  <c r="EJ424" i="4" s="1"/>
  <c r="EI424" i="4"/>
  <c r="EK424" i="4"/>
  <c r="EM424" i="4" s="1"/>
  <c r="EL424" i="4"/>
  <c r="EH425" i="4"/>
  <c r="EJ425" i="4" s="1"/>
  <c r="EI425" i="4"/>
  <c r="EK425" i="4"/>
  <c r="EM425" i="4" s="1"/>
  <c r="EL425" i="4"/>
  <c r="EH426" i="4"/>
  <c r="EI426" i="4"/>
  <c r="EK426" i="4"/>
  <c r="EM426" i="4" s="1"/>
  <c r="EL426" i="4"/>
  <c r="EH427" i="4"/>
  <c r="EJ427" i="4" s="1"/>
  <c r="EI427" i="4"/>
  <c r="EK427" i="4"/>
  <c r="EM427" i="4" s="1"/>
  <c r="EL427" i="4"/>
  <c r="EH428" i="4"/>
  <c r="EI428" i="4"/>
  <c r="EJ428" i="4"/>
  <c r="EK428" i="4"/>
  <c r="EM428" i="4" s="1"/>
  <c r="EL428" i="4"/>
  <c r="EH429" i="4"/>
  <c r="EI429" i="4"/>
  <c r="EK429" i="4"/>
  <c r="EM429" i="4" s="1"/>
  <c r="EL429" i="4"/>
  <c r="EH430" i="4"/>
  <c r="EI430" i="4"/>
  <c r="EK430" i="4"/>
  <c r="EM430" i="4" s="1"/>
  <c r="EL430" i="4"/>
  <c r="EH431" i="4"/>
  <c r="EJ431" i="4" s="1"/>
  <c r="EI431" i="4"/>
  <c r="EK431" i="4"/>
  <c r="EM431" i="4" s="1"/>
  <c r="EL431" i="4"/>
  <c r="EH432" i="4"/>
  <c r="EI432" i="4"/>
  <c r="EK432" i="4"/>
  <c r="EM432" i="4" s="1"/>
  <c r="EL432" i="4"/>
  <c r="EH433" i="4"/>
  <c r="EI433" i="4"/>
  <c r="EK433" i="4"/>
  <c r="EM433" i="4" s="1"/>
  <c r="EL433" i="4"/>
  <c r="EH434" i="4"/>
  <c r="EI434" i="4"/>
  <c r="EK434" i="4"/>
  <c r="EM434" i="4" s="1"/>
  <c r="EL434" i="4"/>
  <c r="EH435" i="4"/>
  <c r="EJ435" i="4" s="1"/>
  <c r="EI435" i="4"/>
  <c r="EK435" i="4"/>
  <c r="EM435" i="4" s="1"/>
  <c r="EL435" i="4"/>
  <c r="EH436" i="4"/>
  <c r="EJ436" i="4" s="1"/>
  <c r="EI436" i="4"/>
  <c r="EK436" i="4"/>
  <c r="EM436" i="4" s="1"/>
  <c r="EL436" i="4"/>
  <c r="EH437" i="4"/>
  <c r="EJ437" i="4" s="1"/>
  <c r="EI437" i="4"/>
  <c r="EK437" i="4"/>
  <c r="EM437" i="4" s="1"/>
  <c r="EL437" i="4"/>
  <c r="EH438" i="4"/>
  <c r="EI438" i="4"/>
  <c r="EK438" i="4"/>
  <c r="EM438" i="4" s="1"/>
  <c r="EL438" i="4"/>
  <c r="EH439" i="4"/>
  <c r="EJ439" i="4" s="1"/>
  <c r="EI439" i="4"/>
  <c r="EK439" i="4"/>
  <c r="EM439" i="4" s="1"/>
  <c r="EL439" i="4"/>
  <c r="EH440" i="4"/>
  <c r="EI440" i="4"/>
  <c r="EK440" i="4"/>
  <c r="EM440" i="4" s="1"/>
  <c r="EL440" i="4"/>
  <c r="EH441" i="4"/>
  <c r="EI441" i="4"/>
  <c r="EK441" i="4"/>
  <c r="EM441" i="4" s="1"/>
  <c r="EL441" i="4"/>
  <c r="EH442" i="4"/>
  <c r="EJ442" i="4" s="1"/>
  <c r="EI442" i="4"/>
  <c r="EK442" i="4"/>
  <c r="EM442" i="4" s="1"/>
  <c r="EL442" i="4"/>
  <c r="EH443" i="4"/>
  <c r="EI443" i="4"/>
  <c r="EK443" i="4"/>
  <c r="EM443" i="4" s="1"/>
  <c r="EL443" i="4"/>
  <c r="EH444" i="4"/>
  <c r="EJ444" i="4" s="1"/>
  <c r="EI444" i="4"/>
  <c r="EK444" i="4"/>
  <c r="EM444" i="4" s="1"/>
  <c r="EL444" i="4"/>
  <c r="EH445" i="4"/>
  <c r="EJ445" i="4" s="1"/>
  <c r="EI445" i="4"/>
  <c r="EK445" i="4"/>
  <c r="EM445" i="4" s="1"/>
  <c r="EL445" i="4"/>
  <c r="EH446" i="4"/>
  <c r="EI446" i="4"/>
  <c r="EK446" i="4"/>
  <c r="EM446" i="4" s="1"/>
  <c r="EL446" i="4"/>
  <c r="EH447" i="4"/>
  <c r="EJ447" i="4" s="1"/>
  <c r="EI447" i="4"/>
  <c r="EK447" i="4"/>
  <c r="EM447" i="4" s="1"/>
  <c r="EL447" i="4"/>
  <c r="EH448" i="4"/>
  <c r="EJ448" i="4" s="1"/>
  <c r="EI448" i="4"/>
  <c r="EK448" i="4"/>
  <c r="EM448" i="4" s="1"/>
  <c r="EL448" i="4"/>
  <c r="EH449" i="4"/>
  <c r="EJ449" i="4" s="1"/>
  <c r="EI449" i="4"/>
  <c r="EK449" i="4"/>
  <c r="EM449" i="4" s="1"/>
  <c r="EL449" i="4"/>
  <c r="EH450" i="4"/>
  <c r="EI450" i="4"/>
  <c r="EK450" i="4"/>
  <c r="EM450" i="4" s="1"/>
  <c r="EL450" i="4"/>
  <c r="EH451" i="4"/>
  <c r="EI451" i="4"/>
  <c r="EK451" i="4"/>
  <c r="EM451" i="4" s="1"/>
  <c r="EL451" i="4"/>
  <c r="EH452" i="4"/>
  <c r="EJ452" i="4" s="1"/>
  <c r="EI452" i="4"/>
  <c r="EK452" i="4"/>
  <c r="EM452" i="4" s="1"/>
  <c r="EL452" i="4"/>
  <c r="EH453" i="4"/>
  <c r="EJ453" i="4" s="1"/>
  <c r="EI453" i="4"/>
  <c r="EK453" i="4"/>
  <c r="EM453" i="4" s="1"/>
  <c r="EL453" i="4"/>
  <c r="EH454" i="4"/>
  <c r="EI454" i="4"/>
  <c r="EK454" i="4"/>
  <c r="EM454" i="4" s="1"/>
  <c r="EL454" i="4"/>
  <c r="EH455" i="4"/>
  <c r="EI455" i="4"/>
  <c r="EK455" i="4"/>
  <c r="EM455" i="4" s="1"/>
  <c r="EL455" i="4"/>
  <c r="EH456" i="4"/>
  <c r="EI456" i="4"/>
  <c r="EK456" i="4"/>
  <c r="EM456" i="4" s="1"/>
  <c r="EL456" i="4"/>
  <c r="EH457" i="4"/>
  <c r="EJ457" i="4" s="1"/>
  <c r="EI457" i="4"/>
  <c r="EK457" i="4"/>
  <c r="EM457" i="4" s="1"/>
  <c r="EL457" i="4"/>
  <c r="EH459" i="4"/>
  <c r="EI459" i="4"/>
  <c r="EK459" i="4"/>
  <c r="EM459" i="4" s="1"/>
  <c r="EL459" i="4"/>
  <c r="EH460" i="4"/>
  <c r="EJ460" i="4" s="1"/>
  <c r="EI460" i="4"/>
  <c r="EK460" i="4"/>
  <c r="EM460" i="4" s="1"/>
  <c r="EL460" i="4"/>
  <c r="EH461" i="4"/>
  <c r="EJ461" i="4" s="1"/>
  <c r="EI461" i="4"/>
  <c r="EK461" i="4"/>
  <c r="EM461" i="4" s="1"/>
  <c r="EL461" i="4"/>
  <c r="EH463" i="4"/>
  <c r="EI463" i="4"/>
  <c r="EK463" i="4"/>
  <c r="EM463" i="4" s="1"/>
  <c r="EL463" i="4"/>
  <c r="EH464" i="4"/>
  <c r="EI464" i="4"/>
  <c r="EK464" i="4"/>
  <c r="EM464" i="4" s="1"/>
  <c r="EL464" i="4"/>
  <c r="EH465" i="4"/>
  <c r="EI465" i="4"/>
  <c r="EK465" i="4"/>
  <c r="EL465" i="4"/>
  <c r="EH466" i="4"/>
  <c r="EJ466" i="4" s="1"/>
  <c r="EI466" i="4"/>
  <c r="EK466" i="4"/>
  <c r="EM466" i="4" s="1"/>
  <c r="EL466" i="4"/>
  <c r="EH458" i="4"/>
  <c r="EJ458" i="4" s="1"/>
  <c r="EI458" i="4"/>
  <c r="EK458" i="4"/>
  <c r="EM458" i="4" s="1"/>
  <c r="EL458" i="4"/>
  <c r="EH467" i="4"/>
  <c r="EI467" i="4"/>
  <c r="EK467" i="4"/>
  <c r="EM467" i="4" s="1"/>
  <c r="EL467" i="4"/>
  <c r="EH462" i="4"/>
  <c r="EI462" i="4"/>
  <c r="EK462" i="4"/>
  <c r="EL462" i="4"/>
  <c r="EH468" i="4"/>
  <c r="EJ468" i="4" s="1"/>
  <c r="EI468" i="4"/>
  <c r="EK468" i="4"/>
  <c r="EM468" i="4" s="1"/>
  <c r="EL468" i="4"/>
  <c r="EH469" i="4"/>
  <c r="EJ469" i="4" s="1"/>
  <c r="EI469" i="4"/>
  <c r="EK469" i="4"/>
  <c r="EM469" i="4" s="1"/>
  <c r="EL469" i="4"/>
  <c r="EH470" i="4"/>
  <c r="EI470" i="4"/>
  <c r="EK470" i="4"/>
  <c r="EM470" i="4" s="1"/>
  <c r="EL470" i="4"/>
  <c r="EH471" i="4"/>
  <c r="EI471" i="4"/>
  <c r="EK471" i="4"/>
  <c r="EL471" i="4"/>
  <c r="EH472" i="4"/>
  <c r="EJ472" i="4" s="1"/>
  <c r="EI472" i="4"/>
  <c r="EK472" i="4"/>
  <c r="EM472" i="4" s="1"/>
  <c r="EL472" i="4"/>
  <c r="EH473" i="4"/>
  <c r="EJ473" i="4" s="1"/>
  <c r="EI473" i="4"/>
  <c r="EK473" i="4"/>
  <c r="EM473" i="4" s="1"/>
  <c r="EL473" i="4"/>
  <c r="EH474" i="4"/>
  <c r="EI474" i="4"/>
  <c r="EK474" i="4"/>
  <c r="EM474" i="4" s="1"/>
  <c r="EL474" i="4"/>
  <c r="EH475" i="4"/>
  <c r="EI475" i="4"/>
  <c r="EK475" i="4"/>
  <c r="EL475" i="4"/>
  <c r="EH476" i="4"/>
  <c r="EJ476" i="4" s="1"/>
  <c r="EI476" i="4"/>
  <c r="EK476" i="4"/>
  <c r="EM476" i="4" s="1"/>
  <c r="EL476" i="4"/>
  <c r="EH477" i="4"/>
  <c r="EI477" i="4"/>
  <c r="EK477" i="4"/>
  <c r="EM477" i="4" s="1"/>
  <c r="EL477" i="4"/>
  <c r="EH478" i="4"/>
  <c r="EJ478" i="4" s="1"/>
  <c r="EI478" i="4"/>
  <c r="EK478" i="4"/>
  <c r="EM478" i="4" s="1"/>
  <c r="EL478" i="4"/>
  <c r="EH479" i="4"/>
  <c r="EI479" i="4"/>
  <c r="EK479" i="4"/>
  <c r="EL479" i="4"/>
  <c r="EH480" i="4"/>
  <c r="EJ480" i="4" s="1"/>
  <c r="EI480" i="4"/>
  <c r="EK480" i="4"/>
  <c r="EM480" i="4" s="1"/>
  <c r="EL480" i="4"/>
  <c r="EH481" i="4"/>
  <c r="EI481" i="4"/>
  <c r="EK481" i="4"/>
  <c r="EM481" i="4" s="1"/>
  <c r="EL481" i="4"/>
  <c r="EH482" i="4"/>
  <c r="EI482" i="4"/>
  <c r="EK482" i="4"/>
  <c r="EM482" i="4" s="1"/>
  <c r="EL482" i="4"/>
  <c r="EH483" i="4"/>
  <c r="EI483" i="4"/>
  <c r="EK483" i="4"/>
  <c r="EL483" i="4"/>
  <c r="EH484" i="4"/>
  <c r="EJ484" i="4" s="1"/>
  <c r="EI484" i="4"/>
  <c r="EK484" i="4"/>
  <c r="EM484" i="4" s="1"/>
  <c r="EL484" i="4"/>
  <c r="EH485" i="4"/>
  <c r="EI485" i="4"/>
  <c r="EK485" i="4"/>
  <c r="EM485" i="4" s="1"/>
  <c r="EL485" i="4"/>
  <c r="EH486" i="4"/>
  <c r="EJ486" i="4" s="1"/>
  <c r="EI486" i="4"/>
  <c r="EK486" i="4"/>
  <c r="EM486" i="4" s="1"/>
  <c r="EL486" i="4"/>
  <c r="EH487" i="4"/>
  <c r="EI487" i="4"/>
  <c r="EK487" i="4"/>
  <c r="EL487" i="4"/>
  <c r="EH488" i="4"/>
  <c r="EJ488" i="4" s="1"/>
  <c r="EI488" i="4"/>
  <c r="EK488" i="4"/>
  <c r="EM488" i="4" s="1"/>
  <c r="EL488" i="4"/>
  <c r="EH489" i="4"/>
  <c r="EJ489" i="4" s="1"/>
  <c r="EI489" i="4"/>
  <c r="EK489" i="4"/>
  <c r="EM489" i="4" s="1"/>
  <c r="EL489" i="4"/>
  <c r="EH490" i="4"/>
  <c r="EI490" i="4"/>
  <c r="EK490" i="4"/>
  <c r="EM490" i="4" s="1"/>
  <c r="EL490" i="4"/>
  <c r="EH491" i="4"/>
  <c r="EI491" i="4"/>
  <c r="EK491" i="4"/>
  <c r="EL491" i="4"/>
  <c r="EH492" i="4"/>
  <c r="EI492" i="4"/>
  <c r="EK492" i="4"/>
  <c r="EM492" i="4" s="1"/>
  <c r="EL492" i="4"/>
  <c r="EH493" i="4"/>
  <c r="EJ493" i="4" s="1"/>
  <c r="EI493" i="4"/>
  <c r="EK493" i="4"/>
  <c r="EM493" i="4" s="1"/>
  <c r="EL493" i="4"/>
  <c r="EH494" i="4"/>
  <c r="EJ494" i="4" s="1"/>
  <c r="EI494" i="4"/>
  <c r="EK494" i="4"/>
  <c r="EM494" i="4" s="1"/>
  <c r="EL494" i="4"/>
  <c r="EH495" i="4"/>
  <c r="EI495" i="4"/>
  <c r="EK495" i="4"/>
  <c r="EL495" i="4"/>
  <c r="EH496" i="4"/>
  <c r="EI496" i="4"/>
  <c r="EK496" i="4"/>
  <c r="EM496" i="4" s="1"/>
  <c r="EL496" i="4"/>
  <c r="EH497" i="4"/>
  <c r="EI497" i="4"/>
  <c r="EK497" i="4"/>
  <c r="EM497" i="4" s="1"/>
  <c r="EL497" i="4"/>
  <c r="EH498" i="4"/>
  <c r="EI498" i="4"/>
  <c r="EK498" i="4"/>
  <c r="EM498" i="4" s="1"/>
  <c r="EL498" i="4"/>
  <c r="EH499" i="4"/>
  <c r="EI499" i="4"/>
  <c r="EK499" i="4"/>
  <c r="EL499" i="4"/>
  <c r="EH500" i="4"/>
  <c r="EI500" i="4"/>
  <c r="EK500" i="4"/>
  <c r="EM500" i="4" s="1"/>
  <c r="EL500" i="4"/>
  <c r="EH501" i="4"/>
  <c r="EJ501" i="4" s="1"/>
  <c r="EI501" i="4"/>
  <c r="EK501" i="4"/>
  <c r="EM501" i="4" s="1"/>
  <c r="EL501" i="4"/>
  <c r="EH502" i="4"/>
  <c r="EI502" i="4"/>
  <c r="EK502" i="4"/>
  <c r="EM502" i="4" s="1"/>
  <c r="EL502" i="4"/>
  <c r="EH503" i="4"/>
  <c r="EI503" i="4"/>
  <c r="EK503" i="4"/>
  <c r="EL503" i="4"/>
  <c r="EH504" i="4"/>
  <c r="EI504" i="4"/>
  <c r="EK504" i="4"/>
  <c r="EM504" i="4" s="1"/>
  <c r="EL504" i="4"/>
  <c r="EH505" i="4"/>
  <c r="EI505" i="4"/>
  <c r="EK505" i="4"/>
  <c r="EM505" i="4" s="1"/>
  <c r="EL505" i="4"/>
  <c r="EH506" i="4"/>
  <c r="EI506" i="4"/>
  <c r="EK506" i="4"/>
  <c r="EM506" i="4" s="1"/>
  <c r="EL506" i="4"/>
  <c r="EH507" i="4"/>
  <c r="EI507" i="4"/>
  <c r="EK507" i="4"/>
  <c r="EL507" i="4"/>
  <c r="EH508" i="4"/>
  <c r="EI508" i="4"/>
  <c r="EK508" i="4"/>
  <c r="EM508" i="4" s="1"/>
  <c r="EL508" i="4"/>
  <c r="EH509" i="4"/>
  <c r="EJ509" i="4" s="1"/>
  <c r="EI509" i="4"/>
  <c r="EK509" i="4"/>
  <c r="EM509" i="4" s="1"/>
  <c r="EL509" i="4"/>
  <c r="EH510" i="4"/>
  <c r="EI510" i="4"/>
  <c r="EK510" i="4"/>
  <c r="EM510" i="4" s="1"/>
  <c r="EL510" i="4"/>
  <c r="EH511" i="4"/>
  <c r="EI511" i="4"/>
  <c r="EK511" i="4"/>
  <c r="EL511" i="4"/>
  <c r="EH512" i="4"/>
  <c r="EI512" i="4"/>
  <c r="EK512" i="4"/>
  <c r="EM512" i="4" s="1"/>
  <c r="EL512" i="4"/>
  <c r="EH513" i="4"/>
  <c r="EJ513" i="4" s="1"/>
  <c r="EI513" i="4"/>
  <c r="EK513" i="4"/>
  <c r="EM513" i="4" s="1"/>
  <c r="EL513" i="4"/>
  <c r="EH514" i="4"/>
  <c r="EJ514" i="4" s="1"/>
  <c r="EI514" i="4"/>
  <c r="EK514" i="4"/>
  <c r="EM514" i="4" s="1"/>
  <c r="EL514" i="4"/>
  <c r="EH515" i="4"/>
  <c r="EI515" i="4"/>
  <c r="EK515" i="4"/>
  <c r="EL515" i="4"/>
  <c r="EH516" i="4"/>
  <c r="EI516" i="4"/>
  <c r="EK516" i="4"/>
  <c r="EM516" i="4" s="1"/>
  <c r="EL516" i="4"/>
  <c r="EH517" i="4"/>
  <c r="EI517" i="4"/>
  <c r="EK517" i="4"/>
  <c r="EM517" i="4" s="1"/>
  <c r="EL517" i="4"/>
  <c r="EH518" i="4"/>
  <c r="EI518" i="4"/>
  <c r="EK518" i="4"/>
  <c r="EM518" i="4" s="1"/>
  <c r="EL518" i="4"/>
  <c r="EH519" i="4"/>
  <c r="EI519" i="4"/>
  <c r="EK519" i="4"/>
  <c r="EL519" i="4"/>
  <c r="EH520" i="4"/>
  <c r="EI520" i="4"/>
  <c r="EK520" i="4"/>
  <c r="EM520" i="4" s="1"/>
  <c r="EL520" i="4"/>
  <c r="EH521" i="4"/>
  <c r="EI521" i="4"/>
  <c r="EK521" i="4"/>
  <c r="EM521" i="4" s="1"/>
  <c r="EL521" i="4"/>
  <c r="EH522" i="4"/>
  <c r="EI522" i="4"/>
  <c r="EK522" i="4"/>
  <c r="EM522" i="4" s="1"/>
  <c r="EL522" i="4"/>
  <c r="EH523" i="4"/>
  <c r="EI523" i="4"/>
  <c r="EK523" i="4"/>
  <c r="EL523" i="4"/>
  <c r="EH524" i="4"/>
  <c r="EI524" i="4"/>
  <c r="EK524" i="4"/>
  <c r="EM524" i="4" s="1"/>
  <c r="EL524" i="4"/>
  <c r="EH525" i="4"/>
  <c r="EJ525" i="4" s="1"/>
  <c r="EI525" i="4"/>
  <c r="EK525" i="4"/>
  <c r="EM525" i="4" s="1"/>
  <c r="EL525" i="4"/>
  <c r="EH526" i="4"/>
  <c r="EI526" i="4"/>
  <c r="EK526" i="4"/>
  <c r="EM526" i="4" s="1"/>
  <c r="EL526" i="4"/>
  <c r="EH527" i="4"/>
  <c r="EI527" i="4"/>
  <c r="EK527" i="4"/>
  <c r="EL527" i="4"/>
  <c r="EH528" i="4"/>
  <c r="EI528" i="4"/>
  <c r="EK528" i="4"/>
  <c r="EM528" i="4" s="1"/>
  <c r="EL528" i="4"/>
  <c r="EH529" i="4"/>
  <c r="EI529" i="4"/>
  <c r="EK529" i="4"/>
  <c r="EM529" i="4" s="1"/>
  <c r="EL529" i="4"/>
  <c r="EH530" i="4"/>
  <c r="EI530" i="4"/>
  <c r="EK530" i="4"/>
  <c r="EM530" i="4" s="1"/>
  <c r="EL530" i="4"/>
  <c r="EH531" i="4"/>
  <c r="EI531" i="4"/>
  <c r="EK531" i="4"/>
  <c r="EL531" i="4"/>
  <c r="EH532" i="4"/>
  <c r="EJ532" i="4" s="1"/>
  <c r="EI532" i="4"/>
  <c r="EK532" i="4"/>
  <c r="EM532" i="4" s="1"/>
  <c r="EL532" i="4"/>
  <c r="EH533" i="4"/>
  <c r="EI533" i="4"/>
  <c r="EK533" i="4"/>
  <c r="EM533" i="4" s="1"/>
  <c r="EL533" i="4"/>
  <c r="EH534" i="4"/>
  <c r="EI534" i="4"/>
  <c r="EK534" i="4"/>
  <c r="EM534" i="4" s="1"/>
  <c r="EL534" i="4"/>
  <c r="EH535" i="4"/>
  <c r="EI535" i="4"/>
  <c r="EK535" i="4"/>
  <c r="EL535" i="4"/>
  <c r="EH536" i="4"/>
  <c r="EI536" i="4"/>
  <c r="EK536" i="4"/>
  <c r="EM536" i="4" s="1"/>
  <c r="EL536" i="4"/>
  <c r="EH537" i="4"/>
  <c r="EI537" i="4"/>
  <c r="EK537" i="4"/>
  <c r="EM537" i="4" s="1"/>
  <c r="EL537" i="4"/>
  <c r="EH538" i="4"/>
  <c r="EI538" i="4"/>
  <c r="EK538" i="4"/>
  <c r="EM538" i="4" s="1"/>
  <c r="EL538" i="4"/>
  <c r="EH539" i="4"/>
  <c r="EI539" i="4"/>
  <c r="EK539" i="4"/>
  <c r="EL539" i="4"/>
  <c r="EH540" i="4"/>
  <c r="EI540" i="4"/>
  <c r="EK540" i="4"/>
  <c r="EM540" i="4" s="1"/>
  <c r="EL540" i="4"/>
  <c r="EH541" i="4"/>
  <c r="EI541" i="4"/>
  <c r="EK541" i="4"/>
  <c r="EM541" i="4" s="1"/>
  <c r="EL541" i="4"/>
  <c r="EH542" i="4"/>
  <c r="EJ542" i="4" s="1"/>
  <c r="EI542" i="4"/>
  <c r="EK542" i="4"/>
  <c r="EM542" i="4" s="1"/>
  <c r="EL542" i="4"/>
  <c r="EH543" i="4"/>
  <c r="EI543" i="4"/>
  <c r="EK543" i="4"/>
  <c r="EL543" i="4"/>
  <c r="EH544" i="4"/>
  <c r="EI544" i="4"/>
  <c r="EK544" i="4"/>
  <c r="EM544" i="4" s="1"/>
  <c r="EL544" i="4"/>
  <c r="EH545" i="4"/>
  <c r="EJ545" i="4" s="1"/>
  <c r="EI545" i="4"/>
  <c r="EK545" i="4"/>
  <c r="EM545" i="4" s="1"/>
  <c r="EL545" i="4"/>
  <c r="EH546" i="4"/>
  <c r="EI546" i="4"/>
  <c r="EK546" i="4"/>
  <c r="EM546" i="4" s="1"/>
  <c r="EL546" i="4"/>
  <c r="EH547" i="4"/>
  <c r="EI547" i="4"/>
  <c r="EK547" i="4"/>
  <c r="EL547" i="4"/>
  <c r="EH548" i="4"/>
  <c r="EI548" i="4"/>
  <c r="EK548" i="4"/>
  <c r="EM548" i="4" s="1"/>
  <c r="EL548" i="4"/>
  <c r="EH549" i="4"/>
  <c r="EJ549" i="4" s="1"/>
  <c r="EI549" i="4"/>
  <c r="EK549" i="4"/>
  <c r="EM549" i="4" s="1"/>
  <c r="EL549" i="4"/>
  <c r="EH550" i="4"/>
  <c r="EI550" i="4"/>
  <c r="EK550" i="4"/>
  <c r="EM550" i="4" s="1"/>
  <c r="EL550" i="4"/>
  <c r="EH551" i="4"/>
  <c r="EI551" i="4"/>
  <c r="EK551" i="4"/>
  <c r="EL551" i="4"/>
  <c r="EH552" i="4"/>
  <c r="EI552" i="4"/>
  <c r="EK552" i="4"/>
  <c r="EM552" i="4" s="1"/>
  <c r="EL552" i="4"/>
  <c r="EH553" i="4"/>
  <c r="EI553" i="4"/>
  <c r="EK553" i="4"/>
  <c r="EM553" i="4" s="1"/>
  <c r="EL553" i="4"/>
  <c r="EH554" i="4"/>
  <c r="EI554" i="4"/>
  <c r="EK554" i="4"/>
  <c r="EM554" i="4" s="1"/>
  <c r="EL554" i="4"/>
  <c r="EH555" i="4"/>
  <c r="EI555" i="4"/>
  <c r="EK555" i="4"/>
  <c r="EL555" i="4"/>
  <c r="EH556" i="4"/>
  <c r="EI556" i="4"/>
  <c r="EK556" i="4"/>
  <c r="EM556" i="4" s="1"/>
  <c r="EL556" i="4"/>
  <c r="EH557" i="4"/>
  <c r="EI557" i="4"/>
  <c r="EK557" i="4"/>
  <c r="EM557" i="4" s="1"/>
  <c r="EL557" i="4"/>
  <c r="EH558" i="4"/>
  <c r="EI558" i="4"/>
  <c r="EK558" i="4"/>
  <c r="EM558" i="4" s="1"/>
  <c r="EL558" i="4"/>
  <c r="EH559" i="4"/>
  <c r="EI559" i="4"/>
  <c r="EK559" i="4"/>
  <c r="EL559" i="4"/>
  <c r="EH560" i="4"/>
  <c r="EI560" i="4"/>
  <c r="EK560" i="4"/>
  <c r="EM560" i="4" s="1"/>
  <c r="EL560" i="4"/>
  <c r="EH561" i="4"/>
  <c r="EJ561" i="4" s="1"/>
  <c r="EI561" i="4"/>
  <c r="EK561" i="4"/>
  <c r="EM561" i="4" s="1"/>
  <c r="EL561" i="4"/>
  <c r="EH562" i="4"/>
  <c r="EI562" i="4"/>
  <c r="EK562" i="4"/>
  <c r="EM562" i="4" s="1"/>
  <c r="EL562" i="4"/>
  <c r="EH563" i="4"/>
  <c r="EI563" i="4"/>
  <c r="EK563" i="4"/>
  <c r="EL563" i="4"/>
  <c r="EH564" i="4"/>
  <c r="EJ564" i="4" s="1"/>
  <c r="EI564" i="4"/>
  <c r="EK564" i="4"/>
  <c r="EM564" i="4" s="1"/>
  <c r="EL564" i="4"/>
  <c r="EH565" i="4"/>
  <c r="EI565" i="4"/>
  <c r="EK565" i="4"/>
  <c r="EM565" i="4" s="1"/>
  <c r="EL565" i="4"/>
  <c r="EH566" i="4"/>
  <c r="EI566" i="4"/>
  <c r="EK566" i="4"/>
  <c r="EM566" i="4" s="1"/>
  <c r="EL566" i="4"/>
  <c r="EH567" i="4"/>
  <c r="EI567" i="4"/>
  <c r="EK567" i="4"/>
  <c r="EL567" i="4"/>
  <c r="EH568" i="4"/>
  <c r="EJ568" i="4" s="1"/>
  <c r="EI568" i="4"/>
  <c r="EK568" i="4"/>
  <c r="EM568" i="4" s="1"/>
  <c r="EL568" i="4"/>
  <c r="EH569" i="4"/>
  <c r="EI569" i="4"/>
  <c r="EK569" i="4"/>
  <c r="EL569" i="4"/>
  <c r="EH570" i="4"/>
  <c r="EI570" i="4"/>
  <c r="EK570" i="4"/>
  <c r="EM570" i="4" s="1"/>
  <c r="EL570" i="4"/>
  <c r="EH571" i="4"/>
  <c r="EI571" i="4"/>
  <c r="EK571" i="4"/>
  <c r="EL571" i="4"/>
  <c r="EH572" i="4"/>
  <c r="EI572" i="4"/>
  <c r="EK572" i="4"/>
  <c r="EM572" i="4" s="1"/>
  <c r="EL572" i="4"/>
  <c r="EH573" i="4"/>
  <c r="EI573" i="4"/>
  <c r="EK573" i="4"/>
  <c r="EM573" i="4" s="1"/>
  <c r="EL573" i="4"/>
  <c r="EH574" i="4"/>
  <c r="EI574" i="4"/>
  <c r="EK574" i="4"/>
  <c r="EM574" i="4" s="1"/>
  <c r="EL574" i="4"/>
  <c r="EH575" i="4"/>
  <c r="EI575" i="4"/>
  <c r="EK575" i="4"/>
  <c r="EM575" i="4" s="1"/>
  <c r="EL575" i="4"/>
  <c r="EH576" i="4"/>
  <c r="EI576" i="4"/>
  <c r="EK576" i="4"/>
  <c r="EM576" i="4" s="1"/>
  <c r="EL576" i="4"/>
  <c r="EH577" i="4"/>
  <c r="EI577" i="4"/>
  <c r="EK577" i="4"/>
  <c r="EM577" i="4" s="1"/>
  <c r="EL577" i="4"/>
  <c r="EH578" i="4"/>
  <c r="EJ578" i="4" s="1"/>
  <c r="EI578" i="4"/>
  <c r="EK578" i="4"/>
  <c r="EM578" i="4" s="1"/>
  <c r="EL578" i="4"/>
  <c r="EH579" i="4"/>
  <c r="EI579" i="4"/>
  <c r="EK579" i="4"/>
  <c r="EM579" i="4" s="1"/>
  <c r="EL579" i="4"/>
  <c r="EH580" i="4"/>
  <c r="EJ580" i="4" s="1"/>
  <c r="EI580" i="4"/>
  <c r="EK580" i="4"/>
  <c r="EM580" i="4" s="1"/>
  <c r="EL580" i="4"/>
  <c r="EH581" i="4"/>
  <c r="EI581" i="4"/>
  <c r="EK581" i="4"/>
  <c r="EM581" i="4" s="1"/>
  <c r="EL581" i="4"/>
  <c r="EH582" i="4"/>
  <c r="EI582" i="4"/>
  <c r="EK582" i="4"/>
  <c r="EM582" i="4" s="1"/>
  <c r="EL582" i="4"/>
  <c r="EH583" i="4"/>
  <c r="EI583" i="4"/>
  <c r="EK583" i="4"/>
  <c r="EL583" i="4"/>
  <c r="EH584" i="4"/>
  <c r="EJ584" i="4" s="1"/>
  <c r="EI584" i="4"/>
  <c r="EK584" i="4"/>
  <c r="EM584" i="4" s="1"/>
  <c r="EL584" i="4"/>
  <c r="EH585" i="4"/>
  <c r="EJ585" i="4" s="1"/>
  <c r="EI585" i="4"/>
  <c r="EK585" i="4"/>
  <c r="EM585" i="4" s="1"/>
  <c r="EL585" i="4"/>
  <c r="EH586" i="4"/>
  <c r="EI586" i="4"/>
  <c r="EK586" i="4"/>
  <c r="EM586" i="4" s="1"/>
  <c r="EL586" i="4"/>
  <c r="EH587" i="4"/>
  <c r="EI587" i="4"/>
  <c r="EK587" i="4"/>
  <c r="EL587" i="4"/>
  <c r="EH588" i="4"/>
  <c r="EI588" i="4"/>
  <c r="EK588" i="4"/>
  <c r="EM588" i="4" s="1"/>
  <c r="EL588" i="4"/>
  <c r="EH589" i="4"/>
  <c r="EJ589" i="4" s="1"/>
  <c r="EI589" i="4"/>
  <c r="EK589" i="4"/>
  <c r="EM589" i="4" s="1"/>
  <c r="EL589" i="4"/>
  <c r="EH590" i="4"/>
  <c r="EJ590" i="4" s="1"/>
  <c r="EI590" i="4"/>
  <c r="EK590" i="4"/>
  <c r="EM590" i="4" s="1"/>
  <c r="EL590" i="4"/>
  <c r="EH591" i="4"/>
  <c r="EI591" i="4"/>
  <c r="EK591" i="4"/>
  <c r="EM591" i="4" s="1"/>
  <c r="EL591" i="4"/>
  <c r="EH592" i="4"/>
  <c r="EI592" i="4"/>
  <c r="EK592" i="4"/>
  <c r="EM592" i="4" s="1"/>
  <c r="EL592" i="4"/>
  <c r="EH593" i="4"/>
  <c r="EI593" i="4"/>
  <c r="EK593" i="4"/>
  <c r="EM593" i="4" s="1"/>
  <c r="EL593" i="4"/>
  <c r="EH594" i="4"/>
  <c r="EJ594" i="4" s="1"/>
  <c r="EI594" i="4"/>
  <c r="EK594" i="4"/>
  <c r="EM594" i="4" s="1"/>
  <c r="EL594" i="4"/>
  <c r="EH595" i="4"/>
  <c r="EI595" i="4"/>
  <c r="EK595" i="4"/>
  <c r="EM595" i="4" s="1"/>
  <c r="EL595" i="4"/>
  <c r="EH596" i="4"/>
  <c r="EJ596" i="4" s="1"/>
  <c r="EI596" i="4"/>
  <c r="EK596" i="4"/>
  <c r="EM596" i="4" s="1"/>
  <c r="EL596" i="4"/>
  <c r="EH597" i="4"/>
  <c r="EI597" i="4"/>
  <c r="EK597" i="4"/>
  <c r="EM597" i="4" s="1"/>
  <c r="EL597" i="4"/>
  <c r="EH598" i="4"/>
  <c r="EI598" i="4"/>
  <c r="EK598" i="4"/>
  <c r="EM598" i="4" s="1"/>
  <c r="EL598" i="4"/>
  <c r="EH599" i="4"/>
  <c r="EI599" i="4"/>
  <c r="EK599" i="4"/>
  <c r="EL599" i="4"/>
  <c r="EH600" i="4"/>
  <c r="EJ600" i="4" s="1"/>
  <c r="EI600" i="4"/>
  <c r="EK600" i="4"/>
  <c r="EM600" i="4" s="1"/>
  <c r="EL600" i="4"/>
  <c r="EH601" i="4"/>
  <c r="EI601" i="4"/>
  <c r="EK601" i="4"/>
  <c r="EM601" i="4" s="1"/>
  <c r="EL601" i="4"/>
  <c r="EH602" i="4"/>
  <c r="EI602" i="4"/>
  <c r="EK602" i="4"/>
  <c r="EM602" i="4" s="1"/>
  <c r="EL602" i="4"/>
  <c r="EH603" i="4"/>
  <c r="EJ603" i="4" s="1"/>
  <c r="EI603" i="4"/>
  <c r="EK603" i="4"/>
  <c r="EM603" i="4" s="1"/>
  <c r="EL603" i="4"/>
  <c r="EH604" i="4"/>
  <c r="EI604" i="4"/>
  <c r="EK604" i="4"/>
  <c r="EM604" i="4" s="1"/>
  <c r="EL604" i="4"/>
  <c r="EH605" i="4"/>
  <c r="EI605" i="4"/>
  <c r="EK605" i="4"/>
  <c r="EM605" i="4" s="1"/>
  <c r="EL605" i="4"/>
  <c r="EH606" i="4"/>
  <c r="EJ606" i="4" s="1"/>
  <c r="EI606" i="4"/>
  <c r="EK606" i="4"/>
  <c r="EM606" i="4" s="1"/>
  <c r="EL606" i="4"/>
  <c r="EH607" i="4"/>
  <c r="EI607" i="4"/>
  <c r="EK607" i="4"/>
  <c r="EM607" i="4" s="1"/>
  <c r="EL607" i="4"/>
  <c r="EH608" i="4"/>
  <c r="EI608" i="4"/>
  <c r="EK608" i="4"/>
  <c r="EM608" i="4" s="1"/>
  <c r="EL608" i="4"/>
  <c r="EH609" i="4"/>
  <c r="EJ609" i="4" s="1"/>
  <c r="EI609" i="4"/>
  <c r="EK609" i="4"/>
  <c r="EM609" i="4" s="1"/>
  <c r="EL609" i="4"/>
  <c r="EH610" i="4"/>
  <c r="EI610" i="4"/>
  <c r="EK610" i="4"/>
  <c r="EM610" i="4" s="1"/>
  <c r="EL610" i="4"/>
  <c r="EH611" i="4"/>
  <c r="EI611" i="4"/>
  <c r="EK611" i="4"/>
  <c r="EM611" i="4" s="1"/>
  <c r="EL611" i="4"/>
  <c r="EH612" i="4"/>
  <c r="EJ612" i="4" s="1"/>
  <c r="EI612" i="4"/>
  <c r="EK612" i="4"/>
  <c r="EL612" i="4"/>
  <c r="EH613" i="4"/>
  <c r="EJ613" i="4" s="1"/>
  <c r="EI613" i="4"/>
  <c r="EK613" i="4"/>
  <c r="EM613" i="4" s="1"/>
  <c r="EL613" i="4"/>
  <c r="EH614" i="4"/>
  <c r="EI614" i="4"/>
  <c r="EK614" i="4"/>
  <c r="EM614" i="4" s="1"/>
  <c r="EL614" i="4"/>
  <c r="EH615" i="4"/>
  <c r="EI615" i="4"/>
  <c r="EK615" i="4"/>
  <c r="EL615" i="4"/>
  <c r="EH616" i="4"/>
  <c r="EI616" i="4"/>
  <c r="EK616" i="4"/>
  <c r="EM616" i="4" s="1"/>
  <c r="EL616" i="4"/>
  <c r="EH617" i="4"/>
  <c r="EI617" i="4"/>
  <c r="EK617" i="4"/>
  <c r="EM617" i="4" s="1"/>
  <c r="EL617" i="4"/>
  <c r="EH618" i="4"/>
  <c r="EI618" i="4"/>
  <c r="EK618" i="4"/>
  <c r="EM618" i="4" s="1"/>
  <c r="EL618" i="4"/>
  <c r="EH619" i="4"/>
  <c r="EI619" i="4"/>
  <c r="EK619" i="4"/>
  <c r="EL619" i="4"/>
  <c r="EH620" i="4"/>
  <c r="EJ620" i="4" s="1"/>
  <c r="EI620" i="4"/>
  <c r="EK620" i="4"/>
  <c r="EM620" i="4" s="1"/>
  <c r="EL620" i="4"/>
  <c r="EH621" i="4"/>
  <c r="EI621" i="4"/>
  <c r="EK621" i="4"/>
  <c r="EM621" i="4" s="1"/>
  <c r="EL621" i="4"/>
  <c r="EH622" i="4"/>
  <c r="EI622" i="4"/>
  <c r="EK622" i="4"/>
  <c r="EM622" i="4" s="1"/>
  <c r="EL622" i="4"/>
  <c r="EH623" i="4"/>
  <c r="EI623" i="4"/>
  <c r="EK623" i="4"/>
  <c r="EM623" i="4" s="1"/>
  <c r="EL623" i="4"/>
  <c r="EH624" i="4"/>
  <c r="EJ624" i="4" s="1"/>
  <c r="EI624" i="4"/>
  <c r="EK624" i="4"/>
  <c r="EM624" i="4" s="1"/>
  <c r="EL624" i="4"/>
  <c r="EH625" i="4"/>
  <c r="EI625" i="4"/>
  <c r="EK625" i="4"/>
  <c r="EM625" i="4" s="1"/>
  <c r="EL625" i="4"/>
  <c r="EH626" i="4"/>
  <c r="EI626" i="4"/>
  <c r="EK626" i="4"/>
  <c r="EM626" i="4" s="1"/>
  <c r="EL626" i="4"/>
  <c r="EH627" i="4"/>
  <c r="EJ627" i="4" s="1"/>
  <c r="EI627" i="4"/>
  <c r="EK627" i="4"/>
  <c r="EL627" i="4"/>
  <c r="EH628" i="4"/>
  <c r="EI628" i="4"/>
  <c r="EK628" i="4"/>
  <c r="EM628" i="4" s="1"/>
  <c r="EL628" i="4"/>
  <c r="EH629" i="4"/>
  <c r="EI629" i="4"/>
  <c r="EK629" i="4"/>
  <c r="EM629" i="4" s="1"/>
  <c r="EL629" i="4"/>
  <c r="EH630" i="4"/>
  <c r="EI630" i="4"/>
  <c r="EK630" i="4"/>
  <c r="EM630" i="4" s="1"/>
  <c r="EL630" i="4"/>
  <c r="EH631" i="4"/>
  <c r="EI631" i="4"/>
  <c r="EK631" i="4"/>
  <c r="EM631" i="4" s="1"/>
  <c r="EL631" i="4"/>
  <c r="EH632" i="4"/>
  <c r="EI632" i="4"/>
  <c r="EK632" i="4"/>
  <c r="EM632" i="4" s="1"/>
  <c r="EL632" i="4"/>
  <c r="EH633" i="4"/>
  <c r="EI633" i="4"/>
  <c r="EK633" i="4"/>
  <c r="EM633" i="4" s="1"/>
  <c r="EL633" i="4"/>
  <c r="EH634" i="4"/>
  <c r="EI634" i="4"/>
  <c r="EK634" i="4"/>
  <c r="EM634" i="4" s="1"/>
  <c r="EL634" i="4"/>
  <c r="EH635" i="4"/>
  <c r="EJ635" i="4" s="1"/>
  <c r="EI635" i="4"/>
  <c r="EK635" i="4"/>
  <c r="EM635" i="4" s="1"/>
  <c r="EL635" i="4"/>
  <c r="EH636" i="4"/>
  <c r="EI636" i="4"/>
  <c r="EK636" i="4"/>
  <c r="EM636" i="4" s="1"/>
  <c r="EL636" i="4"/>
  <c r="EH637" i="4"/>
  <c r="EI637" i="4"/>
  <c r="EK637" i="4"/>
  <c r="EM637" i="4" s="1"/>
  <c r="EL637" i="4"/>
  <c r="EH638" i="4"/>
  <c r="EJ638" i="4" s="1"/>
  <c r="EI638" i="4"/>
  <c r="EK638" i="4"/>
  <c r="EM638" i="4" s="1"/>
  <c r="EL638" i="4"/>
  <c r="EH639" i="4"/>
  <c r="EI639" i="4"/>
  <c r="EK639" i="4"/>
  <c r="EM639" i="4" s="1"/>
  <c r="EL639" i="4"/>
  <c r="EH640" i="4"/>
  <c r="EI640" i="4"/>
  <c r="EK640" i="4"/>
  <c r="EM640" i="4" s="1"/>
  <c r="EL640" i="4"/>
  <c r="EH641" i="4"/>
  <c r="EI641" i="4"/>
  <c r="EK641" i="4"/>
  <c r="EM641" i="4" s="1"/>
  <c r="EL641" i="4"/>
  <c r="EH642" i="4"/>
  <c r="EJ642" i="4" s="1"/>
  <c r="EI642" i="4"/>
  <c r="EK642" i="4"/>
  <c r="EM642" i="4" s="1"/>
  <c r="EL642" i="4"/>
  <c r="EH643" i="4"/>
  <c r="EI643" i="4"/>
  <c r="EK643" i="4"/>
  <c r="EL643" i="4"/>
  <c r="EH644" i="4"/>
  <c r="EI644" i="4"/>
  <c r="EK644" i="4"/>
  <c r="EL644" i="4"/>
  <c r="EH645" i="4"/>
  <c r="EI645" i="4"/>
  <c r="EK645" i="4"/>
  <c r="EM645" i="4" s="1"/>
  <c r="EL645" i="4"/>
  <c r="EH646" i="4"/>
  <c r="EI646" i="4"/>
  <c r="EK646" i="4"/>
  <c r="EM646" i="4" s="1"/>
  <c r="EL646" i="4"/>
  <c r="EH647" i="4"/>
  <c r="EI647" i="4"/>
  <c r="EK647" i="4"/>
  <c r="EM647" i="4" s="1"/>
  <c r="EL647" i="4"/>
  <c r="EH648" i="4"/>
  <c r="EI648" i="4"/>
  <c r="EK648" i="4"/>
  <c r="EM648" i="4" s="1"/>
  <c r="EL648" i="4"/>
  <c r="EH649" i="4"/>
  <c r="EI649" i="4"/>
  <c r="EK649" i="4"/>
  <c r="EM649" i="4" s="1"/>
  <c r="EL649" i="4"/>
  <c r="EH650" i="4"/>
  <c r="EI650" i="4"/>
  <c r="EK650" i="4"/>
  <c r="EM650" i="4" s="1"/>
  <c r="EL650" i="4"/>
  <c r="EH651" i="4"/>
  <c r="EI651" i="4"/>
  <c r="EK651" i="4"/>
  <c r="EL651" i="4"/>
  <c r="EH652" i="4"/>
  <c r="EJ652" i="4" s="1"/>
  <c r="EI652" i="4"/>
  <c r="EK652" i="4"/>
  <c r="EM652" i="4" s="1"/>
  <c r="EL652" i="4"/>
  <c r="EH653" i="4"/>
  <c r="EJ653" i="4" s="1"/>
  <c r="EI653" i="4"/>
  <c r="EK653" i="4"/>
  <c r="EL653" i="4"/>
  <c r="EH654" i="4"/>
  <c r="EI654" i="4"/>
  <c r="EK654" i="4"/>
  <c r="EM654" i="4" s="1"/>
  <c r="EL654" i="4"/>
  <c r="EH655" i="4"/>
  <c r="EI655" i="4"/>
  <c r="EK655" i="4"/>
  <c r="EM655" i="4" s="1"/>
  <c r="EL655" i="4"/>
  <c r="EH656" i="4"/>
  <c r="EI656" i="4"/>
  <c r="EK656" i="4"/>
  <c r="EM656" i="4" s="1"/>
  <c r="EL656" i="4"/>
  <c r="EH657" i="4"/>
  <c r="EI657" i="4"/>
  <c r="EK657" i="4"/>
  <c r="EM657" i="4" s="1"/>
  <c r="EL657" i="4"/>
  <c r="EH658" i="4"/>
  <c r="EI658" i="4"/>
  <c r="EK658" i="4"/>
  <c r="EM658" i="4" s="1"/>
  <c r="EL658" i="4"/>
  <c r="EH659" i="4"/>
  <c r="EI659" i="4"/>
  <c r="EK659" i="4"/>
  <c r="EM659" i="4" s="1"/>
  <c r="EL659" i="4"/>
  <c r="EH660" i="4"/>
  <c r="EI660" i="4"/>
  <c r="EK660" i="4"/>
  <c r="EM660" i="4" s="1"/>
  <c r="EL660" i="4"/>
  <c r="EH661" i="4"/>
  <c r="EI661" i="4"/>
  <c r="EK661" i="4"/>
  <c r="EM661" i="4" s="1"/>
  <c r="EL661" i="4"/>
  <c r="EH662" i="4"/>
  <c r="EJ662" i="4" s="1"/>
  <c r="EI662" i="4"/>
  <c r="EK662" i="4"/>
  <c r="EM662" i="4" s="1"/>
  <c r="EL662" i="4"/>
  <c r="EH663" i="4"/>
  <c r="EI663" i="4"/>
  <c r="EK663" i="4"/>
  <c r="EL663" i="4"/>
  <c r="EH664" i="4"/>
  <c r="EI664" i="4"/>
  <c r="EK664" i="4"/>
  <c r="EM664" i="4" s="1"/>
  <c r="EL664" i="4"/>
  <c r="EH665" i="4"/>
  <c r="EI665" i="4"/>
  <c r="EK665" i="4"/>
  <c r="EM665" i="4" s="1"/>
  <c r="EL665" i="4"/>
  <c r="EH666" i="4"/>
  <c r="EI666" i="4"/>
  <c r="EK666" i="4"/>
  <c r="EM666" i="4" s="1"/>
  <c r="EL666" i="4"/>
  <c r="EH668" i="4"/>
  <c r="EJ668" i="4" s="1"/>
  <c r="EI668" i="4"/>
  <c r="EK668" i="4"/>
  <c r="EL668" i="4"/>
  <c r="EH669" i="4"/>
  <c r="EI669" i="4"/>
  <c r="EK669" i="4"/>
  <c r="EM669" i="4" s="1"/>
  <c r="EL669" i="4"/>
  <c r="EH670" i="4"/>
  <c r="EI670" i="4"/>
  <c r="EK670" i="4"/>
  <c r="EM670" i="4" s="1"/>
  <c r="EL670" i="4"/>
  <c r="EH671" i="4"/>
  <c r="EJ671" i="4" s="1"/>
  <c r="EI671" i="4"/>
  <c r="EK671" i="4"/>
  <c r="EM671" i="4" s="1"/>
  <c r="EL671" i="4"/>
  <c r="EH672" i="4"/>
  <c r="EI672" i="4"/>
  <c r="EK672" i="4"/>
  <c r="EM672" i="4" s="1"/>
  <c r="EL672" i="4"/>
  <c r="EH673" i="4"/>
  <c r="EJ673" i="4" s="1"/>
  <c r="EI673" i="4"/>
  <c r="EK673" i="4"/>
  <c r="EM673" i="4" s="1"/>
  <c r="EL673" i="4"/>
  <c r="EH674" i="4"/>
  <c r="EJ674" i="4" s="1"/>
  <c r="EI674" i="4"/>
  <c r="EK674" i="4"/>
  <c r="EM674" i="4" s="1"/>
  <c r="EL674" i="4"/>
  <c r="EH675" i="4"/>
  <c r="EJ675" i="4" s="1"/>
  <c r="EI675" i="4"/>
  <c r="EK675" i="4"/>
  <c r="EM675" i="4" s="1"/>
  <c r="EL675" i="4"/>
  <c r="EH676" i="4"/>
  <c r="EJ676" i="4" s="1"/>
  <c r="EI676" i="4"/>
  <c r="EK676" i="4"/>
  <c r="EL676" i="4"/>
  <c r="EH667" i="4"/>
  <c r="EJ667" i="4" s="1"/>
  <c r="EI667" i="4"/>
  <c r="EK667" i="4"/>
  <c r="EM667" i="4" s="1"/>
  <c r="EL667" i="4"/>
  <c r="EH677" i="4"/>
  <c r="EI677" i="4"/>
  <c r="EK677" i="4"/>
  <c r="EL677" i="4"/>
  <c r="EH678" i="4"/>
  <c r="EJ678" i="4" s="1"/>
  <c r="EI678" i="4"/>
  <c r="EK678" i="4"/>
  <c r="EM678" i="4" s="1"/>
  <c r="EL678" i="4"/>
  <c r="EH679" i="4"/>
  <c r="EJ679" i="4" s="1"/>
  <c r="EI679" i="4"/>
  <c r="EK679" i="4"/>
  <c r="EL679" i="4"/>
  <c r="EH680" i="4"/>
  <c r="EJ680" i="4" s="1"/>
  <c r="EI680" i="4"/>
  <c r="EK680" i="4"/>
  <c r="EM680" i="4" s="1"/>
  <c r="EL680" i="4"/>
  <c r="EH681" i="4"/>
  <c r="EJ681" i="4" s="1"/>
  <c r="EI681" i="4"/>
  <c r="EK681" i="4"/>
  <c r="EM681" i="4" s="1"/>
  <c r="EL681" i="4"/>
  <c r="EH682" i="4"/>
  <c r="EJ682" i="4" s="1"/>
  <c r="EI682" i="4"/>
  <c r="EK682" i="4"/>
  <c r="EL682" i="4"/>
  <c r="EH683" i="4"/>
  <c r="EJ683" i="4" s="1"/>
  <c r="EI683" i="4"/>
  <c r="EK683" i="4"/>
  <c r="EM683" i="4" s="1"/>
  <c r="EL683" i="4"/>
  <c r="EH684" i="4"/>
  <c r="EJ684" i="4" s="1"/>
  <c r="EI684" i="4"/>
  <c r="EK684" i="4"/>
  <c r="EL684" i="4"/>
  <c r="EH685" i="4"/>
  <c r="EI685" i="4"/>
  <c r="EK685" i="4"/>
  <c r="EM685" i="4" s="1"/>
  <c r="EL685" i="4"/>
  <c r="EH686" i="4"/>
  <c r="EJ686" i="4" s="1"/>
  <c r="EI686" i="4"/>
  <c r="EK686" i="4"/>
  <c r="EL686" i="4"/>
  <c r="EH687" i="4"/>
  <c r="EJ687" i="4" s="1"/>
  <c r="EI687" i="4"/>
  <c r="EK687" i="4"/>
  <c r="EM687" i="4" s="1"/>
  <c r="EL687" i="4"/>
  <c r="EH688" i="4"/>
  <c r="EJ688" i="4" s="1"/>
  <c r="EI688" i="4"/>
  <c r="EK688" i="4"/>
  <c r="EL688" i="4"/>
  <c r="EH689" i="4"/>
  <c r="EJ689" i="4" s="1"/>
  <c r="EI689" i="4"/>
  <c r="EK689" i="4"/>
  <c r="EM689" i="4" s="1"/>
  <c r="EL689" i="4"/>
  <c r="EH690" i="4"/>
  <c r="EJ690" i="4" s="1"/>
  <c r="EI690" i="4"/>
  <c r="EK690" i="4"/>
  <c r="EL690" i="4"/>
  <c r="EH691" i="4"/>
  <c r="EJ691" i="4" s="1"/>
  <c r="EI691" i="4"/>
  <c r="EK691" i="4"/>
  <c r="EM691" i="4" s="1"/>
  <c r="EL691" i="4"/>
  <c r="EH692" i="4"/>
  <c r="EJ692" i="4" s="1"/>
  <c r="EI692" i="4"/>
  <c r="EK692" i="4"/>
  <c r="EL692" i="4"/>
  <c r="EH693" i="4"/>
  <c r="EI693" i="4"/>
  <c r="EK693" i="4"/>
  <c r="EM693" i="4" s="1"/>
  <c r="EL693" i="4"/>
  <c r="EH694" i="4"/>
  <c r="EJ694" i="4" s="1"/>
  <c r="EI694" i="4"/>
  <c r="EK694" i="4"/>
  <c r="EL694" i="4"/>
  <c r="EH695" i="4"/>
  <c r="EJ695" i="4" s="1"/>
  <c r="EI695" i="4"/>
  <c r="EK695" i="4"/>
  <c r="EM695" i="4" s="1"/>
  <c r="EL695" i="4"/>
  <c r="EH696" i="4"/>
  <c r="EJ696" i="4" s="1"/>
  <c r="EI696" i="4"/>
  <c r="EK696" i="4"/>
  <c r="EL696" i="4"/>
  <c r="EH697" i="4"/>
  <c r="EJ697" i="4" s="1"/>
  <c r="EI697" i="4"/>
  <c r="EK697" i="4"/>
  <c r="EM697" i="4" s="1"/>
  <c r="EL697" i="4"/>
  <c r="EH698" i="4"/>
  <c r="EJ698" i="4" s="1"/>
  <c r="EI698" i="4"/>
  <c r="EK698" i="4"/>
  <c r="EL698" i="4"/>
  <c r="EH699" i="4"/>
  <c r="EJ699" i="4" s="1"/>
  <c r="EI699" i="4"/>
  <c r="EK699" i="4"/>
  <c r="EM699" i="4" s="1"/>
  <c r="EL699" i="4"/>
  <c r="EH700" i="4"/>
  <c r="EJ700" i="4" s="1"/>
  <c r="EI700" i="4"/>
  <c r="EK700" i="4"/>
  <c r="EL700" i="4"/>
  <c r="EH701" i="4"/>
  <c r="EI701" i="4"/>
  <c r="EK701" i="4"/>
  <c r="EM701" i="4" s="1"/>
  <c r="EL701" i="4"/>
  <c r="EH702" i="4"/>
  <c r="EJ702" i="4" s="1"/>
  <c r="EI702" i="4"/>
  <c r="EK702" i="4"/>
  <c r="EL702" i="4"/>
  <c r="EH703" i="4"/>
  <c r="EJ703" i="4" s="1"/>
  <c r="EI703" i="4"/>
  <c r="EK703" i="4"/>
  <c r="EM703" i="4" s="1"/>
  <c r="EL703" i="4"/>
  <c r="EH704" i="4"/>
  <c r="EJ704" i="4" s="1"/>
  <c r="EI704" i="4"/>
  <c r="EK704" i="4"/>
  <c r="EL704" i="4"/>
  <c r="EH705" i="4"/>
  <c r="EJ705" i="4" s="1"/>
  <c r="EI705" i="4"/>
  <c r="EK705" i="4"/>
  <c r="EM705" i="4" s="1"/>
  <c r="EL705" i="4"/>
  <c r="EH706" i="4"/>
  <c r="EJ706" i="4" s="1"/>
  <c r="EI706" i="4"/>
  <c r="EK706" i="4"/>
  <c r="EL706" i="4"/>
  <c r="EH707" i="4"/>
  <c r="EJ707" i="4" s="1"/>
  <c r="EI707" i="4"/>
  <c r="EK707" i="4"/>
  <c r="EM707" i="4" s="1"/>
  <c r="EL707" i="4"/>
  <c r="EH708" i="4"/>
  <c r="EJ708" i="4" s="1"/>
  <c r="EI708" i="4"/>
  <c r="EK708" i="4"/>
  <c r="EL708" i="4"/>
  <c r="EH709" i="4"/>
  <c r="EI709" i="4"/>
  <c r="EK709" i="4"/>
  <c r="EM709" i="4" s="1"/>
  <c r="EL709" i="4"/>
  <c r="EH710" i="4"/>
  <c r="EJ710" i="4" s="1"/>
  <c r="EI710" i="4"/>
  <c r="EK710" i="4"/>
  <c r="EL710" i="4"/>
  <c r="EH711" i="4"/>
  <c r="EJ711" i="4" s="1"/>
  <c r="EI711" i="4"/>
  <c r="EK711" i="4"/>
  <c r="EM711" i="4" s="1"/>
  <c r="EL711" i="4"/>
  <c r="EH712" i="4"/>
  <c r="EJ712" i="4" s="1"/>
  <c r="EI712" i="4"/>
  <c r="EK712" i="4"/>
  <c r="EL712" i="4"/>
  <c r="EH713" i="4"/>
  <c r="EJ713" i="4" s="1"/>
  <c r="EI713" i="4"/>
  <c r="EK713" i="4"/>
  <c r="EM713" i="4" s="1"/>
  <c r="EL713" i="4"/>
  <c r="EH714" i="4"/>
  <c r="EJ714" i="4" s="1"/>
  <c r="EI714" i="4"/>
  <c r="EK714" i="4"/>
  <c r="EL714" i="4"/>
  <c r="EH715" i="4"/>
  <c r="EJ715" i="4" s="1"/>
  <c r="EI715" i="4"/>
  <c r="EK715" i="4"/>
  <c r="EM715" i="4" s="1"/>
  <c r="EL715" i="4"/>
  <c r="EH716" i="4"/>
  <c r="EJ716" i="4" s="1"/>
  <c r="EI716" i="4"/>
  <c r="EK716" i="4"/>
  <c r="EL716" i="4"/>
  <c r="EH717" i="4"/>
  <c r="EI717" i="4"/>
  <c r="EK717" i="4"/>
  <c r="EM717" i="4" s="1"/>
  <c r="EL717" i="4"/>
  <c r="EH718" i="4"/>
  <c r="EJ718" i="4" s="1"/>
  <c r="EI718" i="4"/>
  <c r="EK718" i="4"/>
  <c r="EL718" i="4"/>
  <c r="EH719" i="4"/>
  <c r="EJ719" i="4" s="1"/>
  <c r="EI719" i="4"/>
  <c r="EK719" i="4"/>
  <c r="EM719" i="4" s="1"/>
  <c r="EL719" i="4"/>
  <c r="EH720" i="4"/>
  <c r="EJ720" i="4" s="1"/>
  <c r="EI720" i="4"/>
  <c r="EK720" i="4"/>
  <c r="EL720" i="4"/>
  <c r="EH721" i="4"/>
  <c r="EJ721" i="4" s="1"/>
  <c r="EI721" i="4"/>
  <c r="EK721" i="4"/>
  <c r="EM721" i="4" s="1"/>
  <c r="EL721" i="4"/>
  <c r="EH722" i="4"/>
  <c r="EJ722" i="4" s="1"/>
  <c r="EI722" i="4"/>
  <c r="EK722" i="4"/>
  <c r="EL722" i="4"/>
  <c r="EH723" i="4"/>
  <c r="EJ723" i="4" s="1"/>
  <c r="EI723" i="4"/>
  <c r="EK723" i="4"/>
  <c r="EM723" i="4" s="1"/>
  <c r="EL723" i="4"/>
  <c r="EH724" i="4"/>
  <c r="EJ724" i="4" s="1"/>
  <c r="EI724" i="4"/>
  <c r="EK724" i="4"/>
  <c r="EL724" i="4"/>
  <c r="EH725" i="4"/>
  <c r="EJ725" i="4" s="1"/>
  <c r="EI725" i="4"/>
  <c r="EK725" i="4"/>
  <c r="EM725" i="4" s="1"/>
  <c r="EL725" i="4"/>
  <c r="EH726" i="4"/>
  <c r="EJ726" i="4" s="1"/>
  <c r="EI726" i="4"/>
  <c r="EK726" i="4"/>
  <c r="EL726" i="4"/>
  <c r="EH727" i="4"/>
  <c r="EJ727" i="4" s="1"/>
  <c r="EI727" i="4"/>
  <c r="EK727" i="4"/>
  <c r="EM727" i="4" s="1"/>
  <c r="EL727" i="4"/>
  <c r="AU277" i="4"/>
  <c r="AU283" i="4"/>
  <c r="CN287" i="4"/>
  <c r="CO287" i="4"/>
  <c r="CP287" i="4"/>
  <c r="CQ287" i="4"/>
  <c r="CN288" i="4"/>
  <c r="CO288" i="4"/>
  <c r="CP288" i="4"/>
  <c r="CQ288" i="4"/>
  <c r="CN289" i="4"/>
  <c r="CO289" i="4"/>
  <c r="CP289" i="4"/>
  <c r="CQ289" i="4"/>
  <c r="CN290" i="4"/>
  <c r="EN290" i="4" s="1"/>
  <c r="CO290" i="4"/>
  <c r="CP290" i="4"/>
  <c r="CQ290" i="4"/>
  <c r="CN291" i="4"/>
  <c r="CO291" i="4"/>
  <c r="CP291" i="4"/>
  <c r="CQ291" i="4"/>
  <c r="CN292" i="4"/>
  <c r="CO292" i="4"/>
  <c r="CP292" i="4"/>
  <c r="CQ292" i="4"/>
  <c r="CN293" i="4"/>
  <c r="CO293" i="4"/>
  <c r="CP293" i="4"/>
  <c r="CQ293" i="4"/>
  <c r="CN294" i="4"/>
  <c r="EN294" i="4" s="1"/>
  <c r="FN294" i="4" s="1"/>
  <c r="CO294" i="4"/>
  <c r="CP294" i="4"/>
  <c r="CQ294" i="4"/>
  <c r="CN295" i="4"/>
  <c r="CO295" i="4"/>
  <c r="CP295" i="4"/>
  <c r="CQ295" i="4"/>
  <c r="CN296" i="4"/>
  <c r="EN296" i="4" s="1"/>
  <c r="CO296" i="4"/>
  <c r="CP296" i="4"/>
  <c r="CQ296" i="4"/>
  <c r="CN297" i="4"/>
  <c r="CO297" i="4"/>
  <c r="CP297" i="4"/>
  <c r="CQ297" i="4"/>
  <c r="CN298" i="4"/>
  <c r="CO298" i="4"/>
  <c r="CP298" i="4"/>
  <c r="CQ298" i="4"/>
  <c r="CN299" i="4"/>
  <c r="CO299" i="4"/>
  <c r="CP299" i="4"/>
  <c r="EO299" i="4" s="1"/>
  <c r="FO299" i="4" s="1"/>
  <c r="CQ299" i="4"/>
  <c r="CN300" i="4"/>
  <c r="CO300" i="4"/>
  <c r="CP300" i="4"/>
  <c r="CQ300" i="4"/>
  <c r="CN301" i="4"/>
  <c r="CO301" i="4"/>
  <c r="CP301" i="4"/>
  <c r="EO301" i="4" s="1"/>
  <c r="FO301" i="4" s="1"/>
  <c r="CQ301" i="4"/>
  <c r="CN302" i="4"/>
  <c r="CO302" i="4"/>
  <c r="CP302" i="4"/>
  <c r="CQ302" i="4"/>
  <c r="CN303" i="4"/>
  <c r="CO303" i="4"/>
  <c r="CP303" i="4"/>
  <c r="CQ303" i="4"/>
  <c r="CN304" i="4"/>
  <c r="CO304" i="4"/>
  <c r="CP304" i="4"/>
  <c r="CQ304" i="4"/>
  <c r="CN305" i="4"/>
  <c r="CO305" i="4"/>
  <c r="CP305" i="4"/>
  <c r="CQ305" i="4"/>
  <c r="CN306" i="4"/>
  <c r="CO306" i="4"/>
  <c r="CP306" i="4"/>
  <c r="CQ306" i="4"/>
  <c r="CN307" i="4"/>
  <c r="CO307" i="4"/>
  <c r="CP307" i="4"/>
  <c r="CQ307" i="4"/>
  <c r="CN308" i="4"/>
  <c r="CO308" i="4"/>
  <c r="CP308" i="4"/>
  <c r="CQ308" i="4"/>
  <c r="CN309" i="4"/>
  <c r="CO309" i="4"/>
  <c r="CP309" i="4"/>
  <c r="EO309" i="4" s="1"/>
  <c r="FO309" i="4" s="1"/>
  <c r="CQ309" i="4"/>
  <c r="CN310" i="4"/>
  <c r="CO310" i="4"/>
  <c r="CP310" i="4"/>
  <c r="CQ310" i="4"/>
  <c r="CN311" i="4"/>
  <c r="CO311" i="4"/>
  <c r="CP311" i="4"/>
  <c r="CQ311" i="4"/>
  <c r="CN312" i="4"/>
  <c r="CO312" i="4"/>
  <c r="CP312" i="4"/>
  <c r="CQ312" i="4"/>
  <c r="CN313" i="4"/>
  <c r="CO313" i="4"/>
  <c r="CP313" i="4"/>
  <c r="CQ313" i="4"/>
  <c r="CN314" i="4"/>
  <c r="EN314" i="4" s="1"/>
  <c r="CO314" i="4"/>
  <c r="CP314" i="4"/>
  <c r="CQ314" i="4"/>
  <c r="CN315" i="4"/>
  <c r="CO315" i="4"/>
  <c r="CP315" i="4"/>
  <c r="EO315" i="4" s="1"/>
  <c r="FO315" i="4" s="1"/>
  <c r="CQ315" i="4"/>
  <c r="CN316" i="4"/>
  <c r="CO316" i="4"/>
  <c r="CP316" i="4"/>
  <c r="CQ316" i="4"/>
  <c r="CN317" i="4"/>
  <c r="CO317" i="4"/>
  <c r="CP317" i="4"/>
  <c r="EO317" i="4" s="1"/>
  <c r="FO317" i="4" s="1"/>
  <c r="CQ317" i="4"/>
  <c r="CN318" i="4"/>
  <c r="CO318" i="4"/>
  <c r="CP318" i="4"/>
  <c r="CQ318" i="4"/>
  <c r="CN319" i="4"/>
  <c r="CO319" i="4"/>
  <c r="CP319" i="4"/>
  <c r="CQ319" i="4"/>
  <c r="CN320" i="4"/>
  <c r="CO320" i="4"/>
  <c r="CP320" i="4"/>
  <c r="CQ320" i="4"/>
  <c r="CN321" i="4"/>
  <c r="CO321" i="4"/>
  <c r="CP321" i="4"/>
  <c r="CQ321" i="4"/>
  <c r="CN322" i="4"/>
  <c r="CO322" i="4"/>
  <c r="CP322" i="4"/>
  <c r="CQ322" i="4"/>
  <c r="CN323" i="4"/>
  <c r="CO323" i="4"/>
  <c r="CP323" i="4"/>
  <c r="CQ323" i="4"/>
  <c r="CN324" i="4"/>
  <c r="CO324" i="4"/>
  <c r="CP324" i="4"/>
  <c r="CQ324" i="4"/>
  <c r="CN325" i="4"/>
  <c r="CO325" i="4"/>
  <c r="CP325" i="4"/>
  <c r="EO325" i="4" s="1"/>
  <c r="FO325" i="4" s="1"/>
  <c r="CQ325" i="4"/>
  <c r="CN326" i="4"/>
  <c r="CO326" i="4"/>
  <c r="CP326" i="4"/>
  <c r="CQ326" i="4"/>
  <c r="CN327" i="4"/>
  <c r="CO327" i="4"/>
  <c r="CP327" i="4"/>
  <c r="EO327" i="4" s="1"/>
  <c r="FO327" i="4" s="1"/>
  <c r="CQ327" i="4"/>
  <c r="CN328" i="4"/>
  <c r="CO328" i="4"/>
  <c r="CP328" i="4"/>
  <c r="CQ328" i="4"/>
  <c r="CN329" i="4"/>
  <c r="CO329" i="4"/>
  <c r="CP329" i="4"/>
  <c r="CQ329" i="4"/>
  <c r="CN330" i="4"/>
  <c r="CO330" i="4"/>
  <c r="CP330" i="4"/>
  <c r="CQ330" i="4"/>
  <c r="CN331" i="4"/>
  <c r="CO331" i="4"/>
  <c r="CP331" i="4"/>
  <c r="CQ331" i="4"/>
  <c r="CN332" i="4"/>
  <c r="CO332" i="4"/>
  <c r="CP332" i="4"/>
  <c r="CQ332" i="4"/>
  <c r="CN333" i="4"/>
  <c r="CO333" i="4"/>
  <c r="CP333" i="4"/>
  <c r="CQ333" i="4"/>
  <c r="CN334" i="4"/>
  <c r="CO334" i="4"/>
  <c r="CP334" i="4"/>
  <c r="CQ334" i="4"/>
  <c r="CN335" i="4"/>
  <c r="CO335" i="4"/>
  <c r="CP335" i="4"/>
  <c r="CQ335" i="4"/>
  <c r="CN336" i="4"/>
  <c r="CO336" i="4"/>
  <c r="CP336" i="4"/>
  <c r="CQ336" i="4"/>
  <c r="CN337" i="4"/>
  <c r="CO337" i="4"/>
  <c r="CP337" i="4"/>
  <c r="CQ337" i="4"/>
  <c r="CN338" i="4"/>
  <c r="CO338" i="4"/>
  <c r="CP338" i="4"/>
  <c r="CQ338" i="4"/>
  <c r="CN339" i="4"/>
  <c r="CO339" i="4"/>
  <c r="CP339" i="4"/>
  <c r="CQ339" i="4"/>
  <c r="CN340" i="4"/>
  <c r="CO340" i="4"/>
  <c r="CP340" i="4"/>
  <c r="CQ340" i="4"/>
  <c r="CN341" i="4"/>
  <c r="CO341" i="4"/>
  <c r="CP341" i="4"/>
  <c r="CQ341" i="4"/>
  <c r="CN342" i="4"/>
  <c r="CO342" i="4"/>
  <c r="CP342" i="4"/>
  <c r="CQ342" i="4"/>
  <c r="CN343" i="4"/>
  <c r="CO343" i="4"/>
  <c r="CP343" i="4"/>
  <c r="EO343" i="4" s="1"/>
  <c r="FO343" i="4" s="1"/>
  <c r="CQ343" i="4"/>
  <c r="CN344" i="4"/>
  <c r="CO344" i="4"/>
  <c r="CP344" i="4"/>
  <c r="CQ344" i="4"/>
  <c r="CN345" i="4"/>
  <c r="CO345" i="4"/>
  <c r="CP345" i="4"/>
  <c r="CQ345" i="4"/>
  <c r="CN346" i="4"/>
  <c r="CO346" i="4"/>
  <c r="CP346" i="4"/>
  <c r="CQ346" i="4"/>
  <c r="CN347" i="4"/>
  <c r="CO347" i="4"/>
  <c r="CP347" i="4"/>
  <c r="CQ347" i="4"/>
  <c r="CN348" i="4"/>
  <c r="CO348" i="4"/>
  <c r="CP348" i="4"/>
  <c r="CQ348" i="4"/>
  <c r="CN349" i="4"/>
  <c r="CO349" i="4"/>
  <c r="CP349" i="4"/>
  <c r="EO349" i="4" s="1"/>
  <c r="FO349" i="4" s="1"/>
  <c r="CQ349" i="4"/>
  <c r="CN350" i="4"/>
  <c r="CO350" i="4"/>
  <c r="CP350" i="4"/>
  <c r="CQ350" i="4"/>
  <c r="CN351" i="4"/>
  <c r="CO351" i="4"/>
  <c r="CP351" i="4"/>
  <c r="CQ351" i="4"/>
  <c r="CN352" i="4"/>
  <c r="CO352" i="4"/>
  <c r="CP352" i="4"/>
  <c r="CQ352" i="4"/>
  <c r="CN353" i="4"/>
  <c r="CO353" i="4"/>
  <c r="CP353" i="4"/>
  <c r="CQ353" i="4"/>
  <c r="CN354" i="4"/>
  <c r="CO354" i="4"/>
  <c r="CP354" i="4"/>
  <c r="CQ354" i="4"/>
  <c r="CN355" i="4"/>
  <c r="CO355" i="4"/>
  <c r="CP355" i="4"/>
  <c r="CQ355" i="4"/>
  <c r="CN356" i="4"/>
  <c r="CO356" i="4"/>
  <c r="CP356" i="4"/>
  <c r="CQ356" i="4"/>
  <c r="CN357" i="4"/>
  <c r="CO357" i="4"/>
  <c r="CP357" i="4"/>
  <c r="EO357" i="4" s="1"/>
  <c r="FO357" i="4" s="1"/>
  <c r="CQ357" i="4"/>
  <c r="CN358" i="4"/>
  <c r="CO358" i="4"/>
  <c r="CP358" i="4"/>
  <c r="CQ358" i="4"/>
  <c r="CN359" i="4"/>
  <c r="CO359" i="4"/>
  <c r="CP359" i="4"/>
  <c r="CQ359" i="4"/>
  <c r="CN360" i="4"/>
  <c r="CO360" i="4"/>
  <c r="CP360" i="4"/>
  <c r="CQ360" i="4"/>
  <c r="CN361" i="4"/>
  <c r="CO361" i="4"/>
  <c r="CP361" i="4"/>
  <c r="CQ361" i="4"/>
  <c r="CN362" i="4"/>
  <c r="EN362" i="4" s="1"/>
  <c r="CO362" i="4"/>
  <c r="CP362" i="4"/>
  <c r="CQ362" i="4"/>
  <c r="CN363" i="4"/>
  <c r="CO363" i="4"/>
  <c r="CP363" i="4"/>
  <c r="CQ363" i="4"/>
  <c r="CN364" i="4"/>
  <c r="CO364" i="4"/>
  <c r="CP364" i="4"/>
  <c r="CQ364" i="4"/>
  <c r="CN365" i="4"/>
  <c r="CO365" i="4"/>
  <c r="CP365" i="4"/>
  <c r="CQ365" i="4"/>
  <c r="CN366" i="4"/>
  <c r="CO366" i="4"/>
  <c r="CP366" i="4"/>
  <c r="CQ366" i="4"/>
  <c r="CN367" i="4"/>
  <c r="CO367" i="4"/>
  <c r="CP367" i="4"/>
  <c r="CQ367" i="4"/>
  <c r="CN368" i="4"/>
  <c r="CO368" i="4"/>
  <c r="CP368" i="4"/>
  <c r="CQ368" i="4"/>
  <c r="CN369" i="4"/>
  <c r="CO369" i="4"/>
  <c r="CP369" i="4"/>
  <c r="CQ369" i="4"/>
  <c r="CN370" i="4"/>
  <c r="CO370" i="4"/>
  <c r="CP370" i="4"/>
  <c r="CQ370" i="4"/>
  <c r="CN371" i="4"/>
  <c r="CO371" i="4"/>
  <c r="CP371" i="4"/>
  <c r="CQ371" i="4"/>
  <c r="CN372" i="4"/>
  <c r="CO372" i="4"/>
  <c r="CP372" i="4"/>
  <c r="CQ372" i="4"/>
  <c r="CN373" i="4"/>
  <c r="CO373" i="4"/>
  <c r="CP373" i="4"/>
  <c r="CQ373" i="4"/>
  <c r="CN374" i="4"/>
  <c r="EN374" i="4" s="1"/>
  <c r="CO374" i="4"/>
  <c r="CP374" i="4"/>
  <c r="CQ374" i="4"/>
  <c r="CN375" i="4"/>
  <c r="CO375" i="4"/>
  <c r="CP375" i="4"/>
  <c r="CQ375" i="4"/>
  <c r="CN376" i="4"/>
  <c r="EN376" i="4" s="1"/>
  <c r="CO376" i="4"/>
  <c r="CP376" i="4"/>
  <c r="CQ376" i="4"/>
  <c r="CN377" i="4"/>
  <c r="CO377" i="4"/>
  <c r="CP377" i="4"/>
  <c r="CQ377" i="4"/>
  <c r="CN378" i="4"/>
  <c r="CO378" i="4"/>
  <c r="CP378" i="4"/>
  <c r="CQ378" i="4"/>
  <c r="CN379" i="4"/>
  <c r="CO379" i="4"/>
  <c r="CP379" i="4"/>
  <c r="CQ379" i="4"/>
  <c r="CN380" i="4"/>
  <c r="CO380" i="4"/>
  <c r="CP380" i="4"/>
  <c r="CQ380" i="4"/>
  <c r="CN381" i="4"/>
  <c r="CO381" i="4"/>
  <c r="CP381" i="4"/>
  <c r="CQ381" i="4"/>
  <c r="CN382" i="4"/>
  <c r="CO382" i="4"/>
  <c r="CP382" i="4"/>
  <c r="CQ382" i="4"/>
  <c r="CN383" i="4"/>
  <c r="CO383" i="4"/>
  <c r="CP383" i="4"/>
  <c r="CQ383" i="4"/>
  <c r="CN384" i="4"/>
  <c r="CO384" i="4"/>
  <c r="CP384" i="4"/>
  <c r="CQ384" i="4"/>
  <c r="CN385" i="4"/>
  <c r="CO385" i="4"/>
  <c r="CP385" i="4"/>
  <c r="CQ385" i="4"/>
  <c r="CN386" i="4"/>
  <c r="CO386" i="4"/>
  <c r="CP386" i="4"/>
  <c r="CQ386" i="4"/>
  <c r="CN387" i="4"/>
  <c r="CO387" i="4"/>
  <c r="CP387" i="4"/>
  <c r="EO387" i="4" s="1"/>
  <c r="FO387" i="4" s="1"/>
  <c r="CQ387" i="4"/>
  <c r="CN388" i="4"/>
  <c r="CO388" i="4"/>
  <c r="CP388" i="4"/>
  <c r="EO388" i="4" s="1"/>
  <c r="CQ388" i="4"/>
  <c r="CN389" i="4"/>
  <c r="CO389" i="4"/>
  <c r="CP389" i="4"/>
  <c r="EO389" i="4" s="1"/>
  <c r="FO389" i="4" s="1"/>
  <c r="CQ389" i="4"/>
  <c r="CN390" i="4"/>
  <c r="CO390" i="4"/>
  <c r="CP390" i="4"/>
  <c r="EO390" i="4" s="1"/>
  <c r="CQ390" i="4"/>
  <c r="CN391" i="4"/>
  <c r="CO391" i="4"/>
  <c r="CP391" i="4"/>
  <c r="EO391" i="4" s="1"/>
  <c r="FO391" i="4" s="1"/>
  <c r="CQ391" i="4"/>
  <c r="CN392" i="4"/>
  <c r="CO392" i="4"/>
  <c r="CP392" i="4"/>
  <c r="CQ392" i="4"/>
  <c r="CN393" i="4"/>
  <c r="CO393" i="4"/>
  <c r="CP393" i="4"/>
  <c r="EO393" i="4" s="1"/>
  <c r="FO393" i="4" s="1"/>
  <c r="CQ393" i="4"/>
  <c r="CN394" i="4"/>
  <c r="CO394" i="4"/>
  <c r="CP394" i="4"/>
  <c r="CQ394" i="4"/>
  <c r="CN395" i="4"/>
  <c r="CO395" i="4"/>
  <c r="CP395" i="4"/>
  <c r="EO395" i="4" s="1"/>
  <c r="FO395" i="4" s="1"/>
  <c r="CQ395" i="4"/>
  <c r="CN396" i="4"/>
  <c r="CO396" i="4"/>
  <c r="CP396" i="4"/>
  <c r="CQ396" i="4"/>
  <c r="CN397" i="4"/>
  <c r="CO397" i="4"/>
  <c r="CP397" i="4"/>
  <c r="CQ397" i="4"/>
  <c r="CN398" i="4"/>
  <c r="CO398" i="4"/>
  <c r="CP398" i="4"/>
  <c r="CQ398" i="4"/>
  <c r="CN399" i="4"/>
  <c r="CO399" i="4"/>
  <c r="CP399" i="4"/>
  <c r="CQ399" i="4"/>
  <c r="CN400" i="4"/>
  <c r="CO400" i="4"/>
  <c r="CP400" i="4"/>
  <c r="CQ400" i="4"/>
  <c r="CN401" i="4"/>
  <c r="CO401" i="4"/>
  <c r="CP401" i="4"/>
  <c r="CQ401" i="4"/>
  <c r="CN402" i="4"/>
  <c r="CO402" i="4"/>
  <c r="CP402" i="4"/>
  <c r="CQ402" i="4"/>
  <c r="CN403" i="4"/>
  <c r="CO403" i="4"/>
  <c r="CP403" i="4"/>
  <c r="EO403" i="4" s="1"/>
  <c r="FO403" i="4" s="1"/>
  <c r="CQ403" i="4"/>
  <c r="CN404" i="4"/>
  <c r="CO404" i="4"/>
  <c r="CP404" i="4"/>
  <c r="CQ404" i="4"/>
  <c r="CN405" i="4"/>
  <c r="CO405" i="4"/>
  <c r="CP405" i="4"/>
  <c r="CQ405" i="4"/>
  <c r="CN406" i="4"/>
  <c r="CO406" i="4"/>
  <c r="CP406" i="4"/>
  <c r="CQ406" i="4"/>
  <c r="CN407" i="4"/>
  <c r="CO407" i="4"/>
  <c r="CP407" i="4"/>
  <c r="EO407" i="4" s="1"/>
  <c r="FO407" i="4" s="1"/>
  <c r="CQ407" i="4"/>
  <c r="CN408" i="4"/>
  <c r="CO408" i="4"/>
  <c r="CP408" i="4"/>
  <c r="CQ408" i="4"/>
  <c r="CN409" i="4"/>
  <c r="CO409" i="4"/>
  <c r="CP409" i="4"/>
  <c r="CQ409" i="4"/>
  <c r="CN410" i="4"/>
  <c r="CO410" i="4"/>
  <c r="CP410" i="4"/>
  <c r="CQ410" i="4"/>
  <c r="CN411" i="4"/>
  <c r="CO411" i="4"/>
  <c r="CP411" i="4"/>
  <c r="CQ411" i="4"/>
  <c r="CN412" i="4"/>
  <c r="CO412" i="4"/>
  <c r="CP412" i="4"/>
  <c r="CQ412" i="4"/>
  <c r="CN413" i="4"/>
  <c r="CO413" i="4"/>
  <c r="CP413" i="4"/>
  <c r="CQ413" i="4"/>
  <c r="CN414" i="4"/>
  <c r="CO414" i="4"/>
  <c r="CP414" i="4"/>
  <c r="CQ414" i="4"/>
  <c r="CN415" i="4"/>
  <c r="CO415" i="4"/>
  <c r="CP415" i="4"/>
  <c r="CQ415" i="4"/>
  <c r="CN416" i="4"/>
  <c r="CO416" i="4"/>
  <c r="CP416" i="4"/>
  <c r="CQ416" i="4"/>
  <c r="CN417" i="4"/>
  <c r="CO417" i="4"/>
  <c r="CP417" i="4"/>
  <c r="CQ417" i="4"/>
  <c r="CN418" i="4"/>
  <c r="CO418" i="4"/>
  <c r="CP418" i="4"/>
  <c r="CQ418" i="4"/>
  <c r="CN419" i="4"/>
  <c r="CO419" i="4"/>
  <c r="CP419" i="4"/>
  <c r="CQ419" i="4"/>
  <c r="CN420" i="4"/>
  <c r="CO420" i="4"/>
  <c r="CP420" i="4"/>
  <c r="CQ420" i="4"/>
  <c r="CN421" i="4"/>
  <c r="CO421" i="4"/>
  <c r="CP421" i="4"/>
  <c r="CQ421" i="4"/>
  <c r="CN422" i="4"/>
  <c r="CO422" i="4"/>
  <c r="CP422" i="4"/>
  <c r="CQ422" i="4"/>
  <c r="CN423" i="4"/>
  <c r="CO423" i="4"/>
  <c r="CP423" i="4"/>
  <c r="CQ423" i="4"/>
  <c r="CN424" i="4"/>
  <c r="CO424" i="4"/>
  <c r="CP424" i="4"/>
  <c r="CQ424" i="4"/>
  <c r="CN425" i="4"/>
  <c r="CO425" i="4"/>
  <c r="CP425" i="4"/>
  <c r="CQ425" i="4"/>
  <c r="CN426" i="4"/>
  <c r="CO426" i="4"/>
  <c r="CP426" i="4"/>
  <c r="CQ426" i="4"/>
  <c r="CN427" i="4"/>
  <c r="CO427" i="4"/>
  <c r="CP427" i="4"/>
  <c r="CQ427" i="4"/>
  <c r="CN428" i="4"/>
  <c r="CO428" i="4"/>
  <c r="CP428" i="4"/>
  <c r="CQ428" i="4"/>
  <c r="CN429" i="4"/>
  <c r="CO429" i="4"/>
  <c r="CP429" i="4"/>
  <c r="EO429" i="4" s="1"/>
  <c r="FO429" i="4" s="1"/>
  <c r="CQ429" i="4"/>
  <c r="CN430" i="4"/>
  <c r="CO430" i="4"/>
  <c r="CP430" i="4"/>
  <c r="CQ430" i="4"/>
  <c r="CN431" i="4"/>
  <c r="CO431" i="4"/>
  <c r="CP431" i="4"/>
  <c r="EO431" i="4" s="1"/>
  <c r="FO431" i="4" s="1"/>
  <c r="CQ431" i="4"/>
  <c r="CN432" i="4"/>
  <c r="CO432" i="4"/>
  <c r="CP432" i="4"/>
  <c r="CQ432" i="4"/>
  <c r="CN433" i="4"/>
  <c r="CO433" i="4"/>
  <c r="CP433" i="4"/>
  <c r="CQ433" i="4"/>
  <c r="CN434" i="4"/>
  <c r="CO434" i="4"/>
  <c r="CP434" i="4"/>
  <c r="CQ434" i="4"/>
  <c r="CN435" i="4"/>
  <c r="CO435" i="4"/>
  <c r="CP435" i="4"/>
  <c r="CQ435" i="4"/>
  <c r="CN436" i="4"/>
  <c r="CO436" i="4"/>
  <c r="CP436" i="4"/>
  <c r="CQ436" i="4"/>
  <c r="CN437" i="4"/>
  <c r="CO437" i="4"/>
  <c r="CP437" i="4"/>
  <c r="EO437" i="4" s="1"/>
  <c r="FO437" i="4" s="1"/>
  <c r="CQ437" i="4"/>
  <c r="CN438" i="4"/>
  <c r="CO438" i="4"/>
  <c r="CP438" i="4"/>
  <c r="CQ438" i="4"/>
  <c r="CN439" i="4"/>
  <c r="CO439" i="4"/>
  <c r="CP439" i="4"/>
  <c r="CQ439" i="4"/>
  <c r="CN440" i="4"/>
  <c r="CO440" i="4"/>
  <c r="CP440" i="4"/>
  <c r="CQ440" i="4"/>
  <c r="CN441" i="4"/>
  <c r="CO441" i="4"/>
  <c r="CP441" i="4"/>
  <c r="EO441" i="4" s="1"/>
  <c r="FO441" i="4" s="1"/>
  <c r="CQ441" i="4"/>
  <c r="CN442" i="4"/>
  <c r="CO442" i="4"/>
  <c r="CP442" i="4"/>
  <c r="CQ442" i="4"/>
  <c r="CN443" i="4"/>
  <c r="CO443" i="4"/>
  <c r="CP443" i="4"/>
  <c r="CQ443" i="4"/>
  <c r="CN444" i="4"/>
  <c r="CO444" i="4"/>
  <c r="CP444" i="4"/>
  <c r="CQ444" i="4"/>
  <c r="CN445" i="4"/>
  <c r="CO445" i="4"/>
  <c r="CP445" i="4"/>
  <c r="CQ445" i="4"/>
  <c r="CN446" i="4"/>
  <c r="CO446" i="4"/>
  <c r="CP446" i="4"/>
  <c r="CQ446" i="4"/>
  <c r="CN447" i="4"/>
  <c r="CO447" i="4"/>
  <c r="CP447" i="4"/>
  <c r="EO447" i="4" s="1"/>
  <c r="FO447" i="4" s="1"/>
  <c r="CQ447" i="4"/>
  <c r="CN448" i="4"/>
  <c r="CO448" i="4"/>
  <c r="CP448" i="4"/>
  <c r="CQ448" i="4"/>
  <c r="CN449" i="4"/>
  <c r="CO449" i="4"/>
  <c r="CP449" i="4"/>
  <c r="EO449" i="4" s="1"/>
  <c r="FO449" i="4" s="1"/>
  <c r="CQ449" i="4"/>
  <c r="CN450" i="4"/>
  <c r="CO450" i="4"/>
  <c r="CP450" i="4"/>
  <c r="CQ450" i="4"/>
  <c r="CN451" i="4"/>
  <c r="CO451" i="4"/>
  <c r="CP451" i="4"/>
  <c r="CQ451" i="4"/>
  <c r="CN452" i="4"/>
  <c r="CO452" i="4"/>
  <c r="CP452" i="4"/>
  <c r="CQ452" i="4"/>
  <c r="CN453" i="4"/>
  <c r="CO453" i="4"/>
  <c r="CP453" i="4"/>
  <c r="EO453" i="4" s="1"/>
  <c r="FO453" i="4" s="1"/>
  <c r="CQ453" i="4"/>
  <c r="CN454" i="4"/>
  <c r="CO454" i="4"/>
  <c r="CP454" i="4"/>
  <c r="CQ454" i="4"/>
  <c r="CN455" i="4"/>
  <c r="CO455" i="4"/>
  <c r="CP455" i="4"/>
  <c r="EO455" i="4" s="1"/>
  <c r="FO455" i="4" s="1"/>
  <c r="CQ455" i="4"/>
  <c r="CN456" i="4"/>
  <c r="CO456" i="4"/>
  <c r="CP456" i="4"/>
  <c r="CQ456" i="4"/>
  <c r="CN457" i="4"/>
  <c r="CO457" i="4"/>
  <c r="CP457" i="4"/>
  <c r="CQ457" i="4"/>
  <c r="CN459" i="4"/>
  <c r="CO459" i="4"/>
  <c r="CP459" i="4"/>
  <c r="CQ459" i="4"/>
  <c r="CN460" i="4"/>
  <c r="CO460" i="4"/>
  <c r="CP460" i="4"/>
  <c r="EO460" i="4" s="1"/>
  <c r="FO460" i="4" s="1"/>
  <c r="CQ460" i="4"/>
  <c r="CN461" i="4"/>
  <c r="CO461" i="4"/>
  <c r="CP461" i="4"/>
  <c r="CQ461" i="4"/>
  <c r="CN463" i="4"/>
  <c r="CO463" i="4"/>
  <c r="CP463" i="4"/>
  <c r="CQ463" i="4"/>
  <c r="CN464" i="4"/>
  <c r="CO464" i="4"/>
  <c r="CP464" i="4"/>
  <c r="CQ464" i="4"/>
  <c r="CN465" i="4"/>
  <c r="CO465" i="4"/>
  <c r="CP465" i="4"/>
  <c r="CQ465" i="4"/>
  <c r="CN466" i="4"/>
  <c r="CO466" i="4"/>
  <c r="CP466" i="4"/>
  <c r="CQ466" i="4"/>
  <c r="CN458" i="4"/>
  <c r="CO458" i="4"/>
  <c r="CP458" i="4"/>
  <c r="EO458" i="4" s="1"/>
  <c r="FO458" i="4" s="1"/>
  <c r="CQ458" i="4"/>
  <c r="CN467" i="4"/>
  <c r="CO467" i="4"/>
  <c r="CP467" i="4"/>
  <c r="CQ467" i="4"/>
  <c r="CN462" i="4"/>
  <c r="CO462" i="4"/>
  <c r="CP462" i="4"/>
  <c r="CQ462" i="4"/>
  <c r="CN468" i="4"/>
  <c r="CO468" i="4"/>
  <c r="CP468" i="4"/>
  <c r="CQ468" i="4"/>
  <c r="CN469" i="4"/>
  <c r="CO469" i="4"/>
  <c r="CP469" i="4"/>
  <c r="EO469" i="4" s="1"/>
  <c r="FO469" i="4" s="1"/>
  <c r="CQ469" i="4"/>
  <c r="CN470" i="4"/>
  <c r="CO470" i="4"/>
  <c r="CP470" i="4"/>
  <c r="CQ470" i="4"/>
  <c r="CN471" i="4"/>
  <c r="CO471" i="4"/>
  <c r="CP471" i="4"/>
  <c r="CQ471" i="4"/>
  <c r="CN472" i="4"/>
  <c r="CO472" i="4"/>
  <c r="CP472" i="4"/>
  <c r="CQ472" i="4"/>
  <c r="CN473" i="4"/>
  <c r="CO473" i="4"/>
  <c r="CP473" i="4"/>
  <c r="CQ473" i="4"/>
  <c r="CN474" i="4"/>
  <c r="CO474" i="4"/>
  <c r="CP474" i="4"/>
  <c r="CQ474" i="4"/>
  <c r="CN475" i="4"/>
  <c r="CO475" i="4"/>
  <c r="CP475" i="4"/>
  <c r="CQ475" i="4"/>
  <c r="CN476" i="4"/>
  <c r="CO476" i="4"/>
  <c r="CP476" i="4"/>
  <c r="CQ476" i="4"/>
  <c r="CN477" i="4"/>
  <c r="CO477" i="4"/>
  <c r="CP477" i="4"/>
  <c r="CQ477" i="4"/>
  <c r="CN478" i="4"/>
  <c r="CO478" i="4"/>
  <c r="CP478" i="4"/>
  <c r="CQ478" i="4"/>
  <c r="CN479" i="4"/>
  <c r="CO479" i="4"/>
  <c r="CP479" i="4"/>
  <c r="CQ479" i="4"/>
  <c r="CN480" i="4"/>
  <c r="CO480" i="4"/>
  <c r="CP480" i="4"/>
  <c r="CQ480" i="4"/>
  <c r="CN481" i="4"/>
  <c r="CO481" i="4"/>
  <c r="CP481" i="4"/>
  <c r="CQ481" i="4"/>
  <c r="CN482" i="4"/>
  <c r="CO482" i="4"/>
  <c r="CP482" i="4"/>
  <c r="CQ482" i="4"/>
  <c r="CN483" i="4"/>
  <c r="CO483" i="4"/>
  <c r="CP483" i="4"/>
  <c r="CQ483" i="4"/>
  <c r="CN484" i="4"/>
  <c r="CO484" i="4"/>
  <c r="CP484" i="4"/>
  <c r="CQ484" i="4"/>
  <c r="CN485" i="4"/>
  <c r="CO485" i="4"/>
  <c r="CP485" i="4"/>
  <c r="CQ485" i="4"/>
  <c r="CN486" i="4"/>
  <c r="CO486" i="4"/>
  <c r="CP486" i="4"/>
  <c r="CQ486" i="4"/>
  <c r="CN487" i="4"/>
  <c r="CO487" i="4"/>
  <c r="CP487" i="4"/>
  <c r="CQ487" i="4"/>
  <c r="CN488" i="4"/>
  <c r="CO488" i="4"/>
  <c r="CP488" i="4"/>
  <c r="CQ488" i="4"/>
  <c r="CN489" i="4"/>
  <c r="CO489" i="4"/>
  <c r="CP489" i="4"/>
  <c r="EO489" i="4" s="1"/>
  <c r="FO489" i="4" s="1"/>
  <c r="CQ489" i="4"/>
  <c r="CN490" i="4"/>
  <c r="CO490" i="4"/>
  <c r="CP490" i="4"/>
  <c r="CQ490" i="4"/>
  <c r="CN491" i="4"/>
  <c r="CO491" i="4"/>
  <c r="CP491" i="4"/>
  <c r="CQ491" i="4"/>
  <c r="CN492" i="4"/>
  <c r="CO492" i="4"/>
  <c r="CP492" i="4"/>
  <c r="CQ492" i="4"/>
  <c r="CN493" i="4"/>
  <c r="CO493" i="4"/>
  <c r="CP493" i="4"/>
  <c r="CQ493" i="4"/>
  <c r="CN494" i="4"/>
  <c r="CO494" i="4"/>
  <c r="CP494" i="4"/>
  <c r="CQ494" i="4"/>
  <c r="CN495" i="4"/>
  <c r="CO495" i="4"/>
  <c r="CP495" i="4"/>
  <c r="CQ495" i="4"/>
  <c r="CN496" i="4"/>
  <c r="CO496" i="4"/>
  <c r="CP496" i="4"/>
  <c r="CQ496" i="4"/>
  <c r="CN497" i="4"/>
  <c r="CO497" i="4"/>
  <c r="CP497" i="4"/>
  <c r="EO497" i="4" s="1"/>
  <c r="FO497" i="4" s="1"/>
  <c r="CQ497" i="4"/>
  <c r="CN498" i="4"/>
  <c r="CO498" i="4"/>
  <c r="CP498" i="4"/>
  <c r="CQ498" i="4"/>
  <c r="CN499" i="4"/>
  <c r="CO499" i="4"/>
  <c r="CP499" i="4"/>
  <c r="CQ499" i="4"/>
  <c r="CN500" i="4"/>
  <c r="CO500" i="4"/>
  <c r="CP500" i="4"/>
  <c r="CQ500" i="4"/>
  <c r="CN501" i="4"/>
  <c r="CO501" i="4"/>
  <c r="CP501" i="4"/>
  <c r="EO501" i="4" s="1"/>
  <c r="FO501" i="4" s="1"/>
  <c r="CQ501" i="4"/>
  <c r="CN502" i="4"/>
  <c r="CO502" i="4"/>
  <c r="CP502" i="4"/>
  <c r="CQ502" i="4"/>
  <c r="CN503" i="4"/>
  <c r="CO503" i="4"/>
  <c r="CP503" i="4"/>
  <c r="CQ503" i="4"/>
  <c r="CN504" i="4"/>
  <c r="CO504" i="4"/>
  <c r="CP504" i="4"/>
  <c r="CQ504" i="4"/>
  <c r="CN505" i="4"/>
  <c r="CO505" i="4"/>
  <c r="CP505" i="4"/>
  <c r="EO505" i="4" s="1"/>
  <c r="FO505" i="4" s="1"/>
  <c r="CQ505" i="4"/>
  <c r="CN506" i="4"/>
  <c r="CO506" i="4"/>
  <c r="CP506" i="4"/>
  <c r="CQ506" i="4"/>
  <c r="CN507" i="4"/>
  <c r="CO507" i="4"/>
  <c r="CP507" i="4"/>
  <c r="CQ507" i="4"/>
  <c r="CN508" i="4"/>
  <c r="CO508" i="4"/>
  <c r="CP508" i="4"/>
  <c r="CQ508" i="4"/>
  <c r="CN509" i="4"/>
  <c r="CO509" i="4"/>
  <c r="CP509" i="4"/>
  <c r="CQ509" i="4"/>
  <c r="CN510" i="4"/>
  <c r="CO510" i="4"/>
  <c r="CP510" i="4"/>
  <c r="CQ510" i="4"/>
  <c r="CN511" i="4"/>
  <c r="CO511" i="4"/>
  <c r="CP511" i="4"/>
  <c r="CQ511" i="4"/>
  <c r="CN512" i="4"/>
  <c r="CO512" i="4"/>
  <c r="CP512" i="4"/>
  <c r="CQ512" i="4"/>
  <c r="CN513" i="4"/>
  <c r="CO513" i="4"/>
  <c r="CP513" i="4"/>
  <c r="EO513" i="4" s="1"/>
  <c r="FO513" i="4" s="1"/>
  <c r="CQ513" i="4"/>
  <c r="CN514" i="4"/>
  <c r="CO514" i="4"/>
  <c r="CP514" i="4"/>
  <c r="CQ514" i="4"/>
  <c r="CN515" i="4"/>
  <c r="CO515" i="4"/>
  <c r="CP515" i="4"/>
  <c r="CQ515" i="4"/>
  <c r="CN516" i="4"/>
  <c r="CO516" i="4"/>
  <c r="CP516" i="4"/>
  <c r="CQ516" i="4"/>
  <c r="CN517" i="4"/>
  <c r="CO517" i="4"/>
  <c r="CP517" i="4"/>
  <c r="EO517" i="4" s="1"/>
  <c r="FO517" i="4" s="1"/>
  <c r="CQ517" i="4"/>
  <c r="CN518" i="4"/>
  <c r="CO518" i="4"/>
  <c r="CP518" i="4"/>
  <c r="CQ518" i="4"/>
  <c r="CN519" i="4"/>
  <c r="CO519" i="4"/>
  <c r="CP519" i="4"/>
  <c r="CQ519" i="4"/>
  <c r="CN520" i="4"/>
  <c r="CO520" i="4"/>
  <c r="CP520" i="4"/>
  <c r="CQ520" i="4"/>
  <c r="CN521" i="4"/>
  <c r="CO521" i="4"/>
  <c r="CP521" i="4"/>
  <c r="EO521" i="4" s="1"/>
  <c r="FO521" i="4" s="1"/>
  <c r="CQ521" i="4"/>
  <c r="CN522" i="4"/>
  <c r="CO522" i="4"/>
  <c r="CP522" i="4"/>
  <c r="CQ522" i="4"/>
  <c r="CN523" i="4"/>
  <c r="CO523" i="4"/>
  <c r="CP523" i="4"/>
  <c r="CQ523" i="4"/>
  <c r="CN524" i="4"/>
  <c r="CO524" i="4"/>
  <c r="CP524" i="4"/>
  <c r="CQ524" i="4"/>
  <c r="CN525" i="4"/>
  <c r="CO525" i="4"/>
  <c r="CP525" i="4"/>
  <c r="CQ525" i="4"/>
  <c r="CN526" i="4"/>
  <c r="CO526" i="4"/>
  <c r="CP526" i="4"/>
  <c r="CQ526" i="4"/>
  <c r="CN527" i="4"/>
  <c r="CO527" i="4"/>
  <c r="CP527" i="4"/>
  <c r="CQ527" i="4"/>
  <c r="CN528" i="4"/>
  <c r="CO528" i="4"/>
  <c r="CP528" i="4"/>
  <c r="CQ528" i="4"/>
  <c r="CN529" i="4"/>
  <c r="CO529" i="4"/>
  <c r="CP529" i="4"/>
  <c r="CQ529" i="4"/>
  <c r="CN530" i="4"/>
  <c r="CO530" i="4"/>
  <c r="CP530" i="4"/>
  <c r="CQ530" i="4"/>
  <c r="CN531" i="4"/>
  <c r="CO531" i="4"/>
  <c r="CP531" i="4"/>
  <c r="CQ531" i="4"/>
  <c r="CN532" i="4"/>
  <c r="CO532" i="4"/>
  <c r="CP532" i="4"/>
  <c r="CQ532" i="4"/>
  <c r="CN533" i="4"/>
  <c r="CO533" i="4"/>
  <c r="CP533" i="4"/>
  <c r="CQ533" i="4"/>
  <c r="CN534" i="4"/>
  <c r="CO534" i="4"/>
  <c r="CP534" i="4"/>
  <c r="CQ534" i="4"/>
  <c r="CN535" i="4"/>
  <c r="CO535" i="4"/>
  <c r="CP535" i="4"/>
  <c r="CQ535" i="4"/>
  <c r="CN536" i="4"/>
  <c r="CO536" i="4"/>
  <c r="CP536" i="4"/>
  <c r="CQ536" i="4"/>
  <c r="CN537" i="4"/>
  <c r="CO537" i="4"/>
  <c r="CP537" i="4"/>
  <c r="CQ537" i="4"/>
  <c r="CN538" i="4"/>
  <c r="CO538" i="4"/>
  <c r="CP538" i="4"/>
  <c r="CQ538" i="4"/>
  <c r="CN539" i="4"/>
  <c r="CO539" i="4"/>
  <c r="CP539" i="4"/>
  <c r="CQ539" i="4"/>
  <c r="CN540" i="4"/>
  <c r="CO540" i="4"/>
  <c r="CP540" i="4"/>
  <c r="CQ540" i="4"/>
  <c r="CN541" i="4"/>
  <c r="CO541" i="4"/>
  <c r="CP541" i="4"/>
  <c r="CQ541" i="4"/>
  <c r="CN542" i="4"/>
  <c r="CO542" i="4"/>
  <c r="CP542" i="4"/>
  <c r="CQ542" i="4"/>
  <c r="CN543" i="4"/>
  <c r="CO543" i="4"/>
  <c r="CP543" i="4"/>
  <c r="CQ543" i="4"/>
  <c r="CN544" i="4"/>
  <c r="CO544" i="4"/>
  <c r="CP544" i="4"/>
  <c r="CQ544" i="4"/>
  <c r="CN545" i="4"/>
  <c r="CO545" i="4"/>
  <c r="CP545" i="4"/>
  <c r="EO545" i="4" s="1"/>
  <c r="FO545" i="4" s="1"/>
  <c r="CQ545" i="4"/>
  <c r="CN546" i="4"/>
  <c r="CO546" i="4"/>
  <c r="CP546" i="4"/>
  <c r="CQ546" i="4"/>
  <c r="CN547" i="4"/>
  <c r="CO547" i="4"/>
  <c r="CP547" i="4"/>
  <c r="CQ547" i="4"/>
  <c r="CN548" i="4"/>
  <c r="CO548" i="4"/>
  <c r="CP548" i="4"/>
  <c r="CQ548" i="4"/>
  <c r="CN549" i="4"/>
  <c r="CO549" i="4"/>
  <c r="CP549" i="4"/>
  <c r="CQ549" i="4"/>
  <c r="CN550" i="4"/>
  <c r="CO550" i="4"/>
  <c r="CP550" i="4"/>
  <c r="CQ550" i="4"/>
  <c r="CN551" i="4"/>
  <c r="CO551" i="4"/>
  <c r="CP551" i="4"/>
  <c r="CQ551" i="4"/>
  <c r="CN552" i="4"/>
  <c r="CO552" i="4"/>
  <c r="CP552" i="4"/>
  <c r="CQ552" i="4"/>
  <c r="CN553" i="4"/>
  <c r="CO553" i="4"/>
  <c r="CP553" i="4"/>
  <c r="EO553" i="4" s="1"/>
  <c r="FO553" i="4" s="1"/>
  <c r="CQ553" i="4"/>
  <c r="CN554" i="4"/>
  <c r="CO554" i="4"/>
  <c r="CP554" i="4"/>
  <c r="CQ554" i="4"/>
  <c r="CN555" i="4"/>
  <c r="CO555" i="4"/>
  <c r="CP555" i="4"/>
  <c r="CQ555" i="4"/>
  <c r="CN556" i="4"/>
  <c r="CO556" i="4"/>
  <c r="CP556" i="4"/>
  <c r="CQ556" i="4"/>
  <c r="CN557" i="4"/>
  <c r="CO557" i="4"/>
  <c r="CP557" i="4"/>
  <c r="CQ557" i="4"/>
  <c r="CN558" i="4"/>
  <c r="CO558" i="4"/>
  <c r="CP558" i="4"/>
  <c r="CQ558" i="4"/>
  <c r="CN559" i="4"/>
  <c r="CO559" i="4"/>
  <c r="CP559" i="4"/>
  <c r="CQ559" i="4"/>
  <c r="CN560" i="4"/>
  <c r="CO560" i="4"/>
  <c r="CP560" i="4"/>
  <c r="CQ560" i="4"/>
  <c r="CN561" i="4"/>
  <c r="CO561" i="4"/>
  <c r="CP561" i="4"/>
  <c r="CQ561" i="4"/>
  <c r="CN562" i="4"/>
  <c r="CO562" i="4"/>
  <c r="CP562" i="4"/>
  <c r="CQ562" i="4"/>
  <c r="CN563" i="4"/>
  <c r="CO563" i="4"/>
  <c r="CP563" i="4"/>
  <c r="CQ563" i="4"/>
  <c r="CN564" i="4"/>
  <c r="CO564" i="4"/>
  <c r="CP564" i="4"/>
  <c r="CQ564" i="4"/>
  <c r="CN565" i="4"/>
  <c r="CO565" i="4"/>
  <c r="CP565" i="4"/>
  <c r="CQ565" i="4"/>
  <c r="CN566" i="4"/>
  <c r="CO566" i="4"/>
  <c r="CP566" i="4"/>
  <c r="CQ566" i="4"/>
  <c r="CN567" i="4"/>
  <c r="CO567" i="4"/>
  <c r="CP567" i="4"/>
  <c r="CQ567" i="4"/>
  <c r="CN568" i="4"/>
  <c r="CO568" i="4"/>
  <c r="CP568" i="4"/>
  <c r="CQ568" i="4"/>
  <c r="CN569" i="4"/>
  <c r="CO569" i="4"/>
  <c r="CP569" i="4"/>
  <c r="CQ569" i="4"/>
  <c r="CN570" i="4"/>
  <c r="CO570" i="4"/>
  <c r="CP570" i="4"/>
  <c r="CQ570" i="4"/>
  <c r="CN571" i="4"/>
  <c r="CO571" i="4"/>
  <c r="CP571" i="4"/>
  <c r="CQ571" i="4"/>
  <c r="CN572" i="4"/>
  <c r="CO572" i="4"/>
  <c r="CP572" i="4"/>
  <c r="CQ572" i="4"/>
  <c r="CN573" i="4"/>
  <c r="CO573" i="4"/>
  <c r="CP573" i="4"/>
  <c r="CQ573" i="4"/>
  <c r="CN574" i="4"/>
  <c r="CO574" i="4"/>
  <c r="CP574" i="4"/>
  <c r="CQ574" i="4"/>
  <c r="CN575" i="4"/>
  <c r="CO575" i="4"/>
  <c r="CP575" i="4"/>
  <c r="CQ575" i="4"/>
  <c r="CN576" i="4"/>
  <c r="CO576" i="4"/>
  <c r="CP576" i="4"/>
  <c r="CQ576" i="4"/>
  <c r="CN577" i="4"/>
  <c r="CO577" i="4"/>
  <c r="CP577" i="4"/>
  <c r="CQ577" i="4"/>
  <c r="CN578" i="4"/>
  <c r="CO578" i="4"/>
  <c r="CP578" i="4"/>
  <c r="CQ578" i="4"/>
  <c r="CN579" i="4"/>
  <c r="CO579" i="4"/>
  <c r="CP579" i="4"/>
  <c r="CQ579" i="4"/>
  <c r="CN580" i="4"/>
  <c r="CO580" i="4"/>
  <c r="CP580" i="4"/>
  <c r="CQ580" i="4"/>
  <c r="CN581" i="4"/>
  <c r="CO581" i="4"/>
  <c r="CP581" i="4"/>
  <c r="CQ581" i="4"/>
  <c r="CN582" i="4"/>
  <c r="CO582" i="4"/>
  <c r="CP582" i="4"/>
  <c r="CQ582" i="4"/>
  <c r="CN583" i="4"/>
  <c r="CO583" i="4"/>
  <c r="CP583" i="4"/>
  <c r="CQ583" i="4"/>
  <c r="CN584" i="4"/>
  <c r="CO584" i="4"/>
  <c r="CP584" i="4"/>
  <c r="CQ584" i="4"/>
  <c r="CN585" i="4"/>
  <c r="CO585" i="4"/>
  <c r="CP585" i="4"/>
  <c r="CQ585" i="4"/>
  <c r="CN586" i="4"/>
  <c r="CO586" i="4"/>
  <c r="CP586" i="4"/>
  <c r="CQ586" i="4"/>
  <c r="CN587" i="4"/>
  <c r="CO587" i="4"/>
  <c r="CP587" i="4"/>
  <c r="CQ587" i="4"/>
  <c r="CN588" i="4"/>
  <c r="CO588" i="4"/>
  <c r="CP588" i="4"/>
  <c r="CQ588" i="4"/>
  <c r="CN589" i="4"/>
  <c r="CO589" i="4"/>
  <c r="CP589" i="4"/>
  <c r="EO589" i="4" s="1"/>
  <c r="FO589" i="4" s="1"/>
  <c r="CQ589" i="4"/>
  <c r="CN590" i="4"/>
  <c r="CO590" i="4"/>
  <c r="CP590" i="4"/>
  <c r="CQ590" i="4"/>
  <c r="CN591" i="4"/>
  <c r="CO591" i="4"/>
  <c r="CP591" i="4"/>
  <c r="CQ591" i="4"/>
  <c r="CN592" i="4"/>
  <c r="CO592" i="4"/>
  <c r="CP592" i="4"/>
  <c r="CQ592" i="4"/>
  <c r="CN593" i="4"/>
  <c r="CO593" i="4"/>
  <c r="CP593" i="4"/>
  <c r="EO593" i="4" s="1"/>
  <c r="FO593" i="4" s="1"/>
  <c r="CQ593" i="4"/>
  <c r="CN594" i="4"/>
  <c r="CO594" i="4"/>
  <c r="CP594" i="4"/>
  <c r="CQ594" i="4"/>
  <c r="CN595" i="4"/>
  <c r="CO595" i="4"/>
  <c r="CP595" i="4"/>
  <c r="CQ595" i="4"/>
  <c r="CN596" i="4"/>
  <c r="CO596" i="4"/>
  <c r="CP596" i="4"/>
  <c r="CQ596" i="4"/>
  <c r="CN597" i="4"/>
  <c r="CO597" i="4"/>
  <c r="CP597" i="4"/>
  <c r="CQ597" i="4"/>
  <c r="CN598" i="4"/>
  <c r="CO598" i="4"/>
  <c r="CP598" i="4"/>
  <c r="CQ598" i="4"/>
  <c r="CN599" i="4"/>
  <c r="CO599" i="4"/>
  <c r="CP599" i="4"/>
  <c r="CQ599" i="4"/>
  <c r="CN600" i="4"/>
  <c r="CO600" i="4"/>
  <c r="CP600" i="4"/>
  <c r="CQ600" i="4"/>
  <c r="CN601" i="4"/>
  <c r="CO601" i="4"/>
  <c r="CP601" i="4"/>
  <c r="CQ601" i="4"/>
  <c r="CN602" i="4"/>
  <c r="CO602" i="4"/>
  <c r="CP602" i="4"/>
  <c r="CQ602" i="4"/>
  <c r="CN603" i="4"/>
  <c r="CO603" i="4"/>
  <c r="CP603" i="4"/>
  <c r="CQ603" i="4"/>
  <c r="CN604" i="4"/>
  <c r="CO604" i="4"/>
  <c r="CP604" i="4"/>
  <c r="CQ604" i="4"/>
  <c r="CN605" i="4"/>
  <c r="CO605" i="4"/>
  <c r="CP605" i="4"/>
  <c r="EO605" i="4" s="1"/>
  <c r="FO605" i="4" s="1"/>
  <c r="CQ605" i="4"/>
  <c r="CN606" i="4"/>
  <c r="CO606" i="4"/>
  <c r="CP606" i="4"/>
  <c r="CQ606" i="4"/>
  <c r="CN607" i="4"/>
  <c r="CO607" i="4"/>
  <c r="CP607" i="4"/>
  <c r="CQ607" i="4"/>
  <c r="CN608" i="4"/>
  <c r="CO608" i="4"/>
  <c r="CP608" i="4"/>
  <c r="CQ608" i="4"/>
  <c r="CN609" i="4"/>
  <c r="CO609" i="4"/>
  <c r="CP609" i="4"/>
  <c r="CQ609" i="4"/>
  <c r="CN610" i="4"/>
  <c r="CO610" i="4"/>
  <c r="CP610" i="4"/>
  <c r="CQ610" i="4"/>
  <c r="CN611" i="4"/>
  <c r="CO611" i="4"/>
  <c r="CP611" i="4"/>
  <c r="CQ611" i="4"/>
  <c r="CN612" i="4"/>
  <c r="CO612" i="4"/>
  <c r="CP612" i="4"/>
  <c r="CQ612" i="4"/>
  <c r="CN613" i="4"/>
  <c r="CO613" i="4"/>
  <c r="CP613" i="4"/>
  <c r="CQ613" i="4"/>
  <c r="CN614" i="4"/>
  <c r="CO614" i="4"/>
  <c r="CP614" i="4"/>
  <c r="CQ614" i="4"/>
  <c r="CN615" i="4"/>
  <c r="CO615" i="4"/>
  <c r="CP615" i="4"/>
  <c r="CQ615" i="4"/>
  <c r="CN616" i="4"/>
  <c r="CO616" i="4"/>
  <c r="CP616" i="4"/>
  <c r="CQ616" i="4"/>
  <c r="CN617" i="4"/>
  <c r="CO617" i="4"/>
  <c r="CP617" i="4"/>
  <c r="EO617" i="4" s="1"/>
  <c r="FO617" i="4" s="1"/>
  <c r="CQ617" i="4"/>
  <c r="CN618" i="4"/>
  <c r="CO618" i="4"/>
  <c r="CP618" i="4"/>
  <c r="CQ618" i="4"/>
  <c r="CN619" i="4"/>
  <c r="CO619" i="4"/>
  <c r="CP619" i="4"/>
  <c r="CQ619" i="4"/>
  <c r="CN620" i="4"/>
  <c r="CO620" i="4"/>
  <c r="CP620" i="4"/>
  <c r="CQ620" i="4"/>
  <c r="CN621" i="4"/>
  <c r="CO621" i="4"/>
  <c r="CP621" i="4"/>
  <c r="CQ621" i="4"/>
  <c r="CN622" i="4"/>
  <c r="CO622" i="4"/>
  <c r="CP622" i="4"/>
  <c r="CQ622" i="4"/>
  <c r="CN623" i="4"/>
  <c r="CO623" i="4"/>
  <c r="CP623" i="4"/>
  <c r="EO623" i="4" s="1"/>
  <c r="FO623" i="4" s="1"/>
  <c r="CQ623" i="4"/>
  <c r="CN624" i="4"/>
  <c r="CO624" i="4"/>
  <c r="CP624" i="4"/>
  <c r="CQ624" i="4"/>
  <c r="CN625" i="4"/>
  <c r="CO625" i="4"/>
  <c r="CP625" i="4"/>
  <c r="CQ625" i="4"/>
  <c r="CN626" i="4"/>
  <c r="CO626" i="4"/>
  <c r="CP626" i="4"/>
  <c r="CQ626" i="4"/>
  <c r="CN627" i="4"/>
  <c r="CO627" i="4"/>
  <c r="CP627" i="4"/>
  <c r="CQ627" i="4"/>
  <c r="CN628" i="4"/>
  <c r="CO628" i="4"/>
  <c r="CP628" i="4"/>
  <c r="CQ628" i="4"/>
  <c r="CN629" i="4"/>
  <c r="CO629" i="4"/>
  <c r="CP629" i="4"/>
  <c r="EO629" i="4" s="1"/>
  <c r="FO629" i="4" s="1"/>
  <c r="CQ629" i="4"/>
  <c r="CN630" i="4"/>
  <c r="CO630" i="4"/>
  <c r="CP630" i="4"/>
  <c r="CQ630" i="4"/>
  <c r="CN631" i="4"/>
  <c r="CO631" i="4"/>
  <c r="CP631" i="4"/>
  <c r="CQ631" i="4"/>
  <c r="CN632" i="4"/>
  <c r="CO632" i="4"/>
  <c r="CP632" i="4"/>
  <c r="CQ632" i="4"/>
  <c r="CN633" i="4"/>
  <c r="CO633" i="4"/>
  <c r="CP633" i="4"/>
  <c r="CQ633" i="4"/>
  <c r="CN634" i="4"/>
  <c r="CO634" i="4"/>
  <c r="CP634" i="4"/>
  <c r="CQ634" i="4"/>
  <c r="CN635" i="4"/>
  <c r="CO635" i="4"/>
  <c r="CP635" i="4"/>
  <c r="CQ635" i="4"/>
  <c r="CN636" i="4"/>
  <c r="CO636" i="4"/>
  <c r="CP636" i="4"/>
  <c r="CQ636" i="4"/>
  <c r="CN637" i="4"/>
  <c r="CO637" i="4"/>
  <c r="CP637" i="4"/>
  <c r="EO637" i="4" s="1"/>
  <c r="FO637" i="4" s="1"/>
  <c r="CQ637" i="4"/>
  <c r="CN638" i="4"/>
  <c r="CO638" i="4"/>
  <c r="CP638" i="4"/>
  <c r="CQ638" i="4"/>
  <c r="CN639" i="4"/>
  <c r="CO639" i="4"/>
  <c r="CP639" i="4"/>
  <c r="CQ639" i="4"/>
  <c r="CN640" i="4"/>
  <c r="CO640" i="4"/>
  <c r="CP640" i="4"/>
  <c r="CQ640" i="4"/>
  <c r="CN641" i="4"/>
  <c r="CO641" i="4"/>
  <c r="CP641" i="4"/>
  <c r="EO641" i="4" s="1"/>
  <c r="FO641" i="4" s="1"/>
  <c r="CQ641" i="4"/>
  <c r="CN642" i="4"/>
  <c r="CO642" i="4"/>
  <c r="CP642" i="4"/>
  <c r="CQ642" i="4"/>
  <c r="CN643" i="4"/>
  <c r="CO643" i="4"/>
  <c r="CP643" i="4"/>
  <c r="CQ643" i="4"/>
  <c r="CN644" i="4"/>
  <c r="CO644" i="4"/>
  <c r="CP644" i="4"/>
  <c r="CQ644" i="4"/>
  <c r="CN645" i="4"/>
  <c r="CO645" i="4"/>
  <c r="CP645" i="4"/>
  <c r="CQ645" i="4"/>
  <c r="CN646" i="4"/>
  <c r="CO646" i="4"/>
  <c r="CP646" i="4"/>
  <c r="CQ646" i="4"/>
  <c r="CN647" i="4"/>
  <c r="CO647" i="4"/>
  <c r="CP647" i="4"/>
  <c r="CQ647" i="4"/>
  <c r="CN648" i="4"/>
  <c r="CO648" i="4"/>
  <c r="CP648" i="4"/>
  <c r="CQ648" i="4"/>
  <c r="CN649" i="4"/>
  <c r="CO649" i="4"/>
  <c r="CP649" i="4"/>
  <c r="EO649" i="4" s="1"/>
  <c r="FO649" i="4" s="1"/>
  <c r="AU649" i="4" s="1"/>
  <c r="CQ649" i="4"/>
  <c r="CN650" i="4"/>
  <c r="CO650" i="4"/>
  <c r="CP650" i="4"/>
  <c r="CQ650" i="4"/>
  <c r="CN651" i="4"/>
  <c r="CO651" i="4"/>
  <c r="CP651" i="4"/>
  <c r="CQ651" i="4"/>
  <c r="CN652" i="4"/>
  <c r="CO652" i="4"/>
  <c r="CP652" i="4"/>
  <c r="CQ652" i="4"/>
  <c r="CN653" i="4"/>
  <c r="CO653" i="4"/>
  <c r="CP653" i="4"/>
  <c r="CQ653" i="4"/>
  <c r="CN654" i="4"/>
  <c r="CO654" i="4"/>
  <c r="CP654" i="4"/>
  <c r="CQ654" i="4"/>
  <c r="CN655" i="4"/>
  <c r="CO655" i="4"/>
  <c r="CP655" i="4"/>
  <c r="EO655" i="4" s="1"/>
  <c r="FO655" i="4" s="1"/>
  <c r="CQ655" i="4"/>
  <c r="CN656" i="4"/>
  <c r="CO656" i="4"/>
  <c r="CP656" i="4"/>
  <c r="CQ656" i="4"/>
  <c r="CN657" i="4"/>
  <c r="CO657" i="4"/>
  <c r="CP657" i="4"/>
  <c r="CQ657" i="4"/>
  <c r="CN658" i="4"/>
  <c r="CO658" i="4"/>
  <c r="CP658" i="4"/>
  <c r="CQ658" i="4"/>
  <c r="CN659" i="4"/>
  <c r="CO659" i="4"/>
  <c r="CP659" i="4"/>
  <c r="CQ659" i="4"/>
  <c r="CN660" i="4"/>
  <c r="CO660" i="4"/>
  <c r="CP660" i="4"/>
  <c r="CQ660" i="4"/>
  <c r="CN661" i="4"/>
  <c r="CO661" i="4"/>
  <c r="CP661" i="4"/>
  <c r="CQ661" i="4"/>
  <c r="CN662" i="4"/>
  <c r="CO662" i="4"/>
  <c r="CP662" i="4"/>
  <c r="CQ662" i="4"/>
  <c r="CN663" i="4"/>
  <c r="CO663" i="4"/>
  <c r="CP663" i="4"/>
  <c r="CQ663" i="4"/>
  <c r="CN664" i="4"/>
  <c r="CO664" i="4"/>
  <c r="CP664" i="4"/>
  <c r="CQ664" i="4"/>
  <c r="CN665" i="4"/>
  <c r="CO665" i="4"/>
  <c r="CP665" i="4"/>
  <c r="EO665" i="4" s="1"/>
  <c r="FO665" i="4" s="1"/>
  <c r="CQ665" i="4"/>
  <c r="CN666" i="4"/>
  <c r="CO666" i="4"/>
  <c r="CP666" i="4"/>
  <c r="CQ666" i="4"/>
  <c r="CN668" i="4"/>
  <c r="CO668" i="4"/>
  <c r="CP668" i="4"/>
  <c r="CQ668" i="4"/>
  <c r="CN669" i="4"/>
  <c r="CO669" i="4"/>
  <c r="CP669" i="4"/>
  <c r="CQ669" i="4"/>
  <c r="CN670" i="4"/>
  <c r="CO670" i="4"/>
  <c r="CP670" i="4"/>
  <c r="CQ670" i="4"/>
  <c r="CN671" i="4"/>
  <c r="CO671" i="4"/>
  <c r="CP671" i="4"/>
  <c r="CQ671" i="4"/>
  <c r="CN672" i="4"/>
  <c r="CO672" i="4"/>
  <c r="CP672" i="4"/>
  <c r="EO672" i="4" s="1"/>
  <c r="FO672" i="4" s="1"/>
  <c r="CQ672" i="4"/>
  <c r="CN673" i="4"/>
  <c r="CO673" i="4"/>
  <c r="CP673" i="4"/>
  <c r="CQ673" i="4"/>
  <c r="CN674" i="4"/>
  <c r="CO674" i="4"/>
  <c r="CP674" i="4"/>
  <c r="EO674" i="4" s="1"/>
  <c r="FO674" i="4" s="1"/>
  <c r="CQ674" i="4"/>
  <c r="CN675" i="4"/>
  <c r="CO675" i="4"/>
  <c r="CP675" i="4"/>
  <c r="CQ675" i="4"/>
  <c r="CN676" i="4"/>
  <c r="CO676" i="4"/>
  <c r="CP676" i="4"/>
  <c r="CQ676" i="4"/>
  <c r="CN667" i="4"/>
  <c r="CO667" i="4"/>
  <c r="CP667" i="4"/>
  <c r="CQ667" i="4"/>
  <c r="CN677" i="4"/>
  <c r="CO677" i="4"/>
  <c r="CP677" i="4"/>
  <c r="CQ677" i="4"/>
  <c r="CN678" i="4"/>
  <c r="CO678" i="4"/>
  <c r="CP678" i="4"/>
  <c r="CQ678" i="4"/>
  <c r="CN679" i="4"/>
  <c r="CO679" i="4"/>
  <c r="CP679" i="4"/>
  <c r="CQ679" i="4"/>
  <c r="CN680" i="4"/>
  <c r="CO680" i="4"/>
  <c r="CP680" i="4"/>
  <c r="CQ680" i="4"/>
  <c r="CN681" i="4"/>
  <c r="CO681" i="4"/>
  <c r="CP681" i="4"/>
  <c r="CQ681" i="4"/>
  <c r="CN682" i="4"/>
  <c r="CO682" i="4"/>
  <c r="CP682" i="4"/>
  <c r="CQ682" i="4"/>
  <c r="CN683" i="4"/>
  <c r="CO683" i="4"/>
  <c r="CP683" i="4"/>
  <c r="CQ683" i="4"/>
  <c r="CN684" i="4"/>
  <c r="CO684" i="4"/>
  <c r="CP684" i="4"/>
  <c r="CQ684" i="4"/>
  <c r="CN685" i="4"/>
  <c r="CO685" i="4"/>
  <c r="CP685" i="4"/>
  <c r="CQ685" i="4"/>
  <c r="CN686" i="4"/>
  <c r="CO686" i="4"/>
  <c r="CP686" i="4"/>
  <c r="CQ686" i="4"/>
  <c r="CN687" i="4"/>
  <c r="CO687" i="4"/>
  <c r="CP687" i="4"/>
  <c r="CQ687" i="4"/>
  <c r="CN688" i="4"/>
  <c r="CO688" i="4"/>
  <c r="CP688" i="4"/>
  <c r="CQ688" i="4"/>
  <c r="CN689" i="4"/>
  <c r="CO689" i="4"/>
  <c r="CP689" i="4"/>
  <c r="CQ689" i="4"/>
  <c r="CN690" i="4"/>
  <c r="CO690" i="4"/>
  <c r="CP690" i="4"/>
  <c r="CQ690" i="4"/>
  <c r="CN691" i="4"/>
  <c r="CO691" i="4"/>
  <c r="CP691" i="4"/>
  <c r="CQ691" i="4"/>
  <c r="CN692" i="4"/>
  <c r="CO692" i="4"/>
  <c r="CP692" i="4"/>
  <c r="CQ692" i="4"/>
  <c r="CN693" i="4"/>
  <c r="CO693" i="4"/>
  <c r="CP693" i="4"/>
  <c r="CQ693" i="4"/>
  <c r="CN694" i="4"/>
  <c r="CO694" i="4"/>
  <c r="CP694" i="4"/>
  <c r="CQ694" i="4"/>
  <c r="CN695" i="4"/>
  <c r="CO695" i="4"/>
  <c r="CP695" i="4"/>
  <c r="CQ695" i="4"/>
  <c r="CN696" i="4"/>
  <c r="CO696" i="4"/>
  <c r="CP696" i="4"/>
  <c r="CQ696" i="4"/>
  <c r="CN697" i="4"/>
  <c r="CO697" i="4"/>
  <c r="CP697" i="4"/>
  <c r="CQ697" i="4"/>
  <c r="CN698" i="4"/>
  <c r="CO698" i="4"/>
  <c r="CP698" i="4"/>
  <c r="CQ698" i="4"/>
  <c r="CN699" i="4"/>
  <c r="CO699" i="4"/>
  <c r="CP699" i="4"/>
  <c r="CQ699" i="4"/>
  <c r="CN700" i="4"/>
  <c r="CO700" i="4"/>
  <c r="CP700" i="4"/>
  <c r="CQ700" i="4"/>
  <c r="CN701" i="4"/>
  <c r="CO701" i="4"/>
  <c r="CP701" i="4"/>
  <c r="CQ701" i="4"/>
  <c r="CN702" i="4"/>
  <c r="CO702" i="4"/>
  <c r="CP702" i="4"/>
  <c r="CQ702" i="4"/>
  <c r="CN703" i="4"/>
  <c r="CO703" i="4"/>
  <c r="CP703" i="4"/>
  <c r="CQ703" i="4"/>
  <c r="CN704" i="4"/>
  <c r="CO704" i="4"/>
  <c r="CP704" i="4"/>
  <c r="CQ704" i="4"/>
  <c r="CN705" i="4"/>
  <c r="CO705" i="4"/>
  <c r="CP705" i="4"/>
  <c r="CQ705" i="4"/>
  <c r="CN706" i="4"/>
  <c r="CO706" i="4"/>
  <c r="CP706" i="4"/>
  <c r="CQ706" i="4"/>
  <c r="CN707" i="4"/>
  <c r="CO707" i="4"/>
  <c r="CP707" i="4"/>
  <c r="CQ707" i="4"/>
  <c r="CN708" i="4"/>
  <c r="CO708" i="4"/>
  <c r="CP708" i="4"/>
  <c r="CQ708" i="4"/>
  <c r="CN709" i="4"/>
  <c r="CO709" i="4"/>
  <c r="CP709" i="4"/>
  <c r="CQ709" i="4"/>
  <c r="CN710" i="4"/>
  <c r="CO710" i="4"/>
  <c r="CP710" i="4"/>
  <c r="CQ710" i="4"/>
  <c r="CN711" i="4"/>
  <c r="CO711" i="4"/>
  <c r="CP711" i="4"/>
  <c r="CQ711" i="4"/>
  <c r="CN712" i="4"/>
  <c r="CO712" i="4"/>
  <c r="CP712" i="4"/>
  <c r="CQ712" i="4"/>
  <c r="CN713" i="4"/>
  <c r="CO713" i="4"/>
  <c r="CP713" i="4"/>
  <c r="CQ713" i="4"/>
  <c r="CN714" i="4"/>
  <c r="CO714" i="4"/>
  <c r="CP714" i="4"/>
  <c r="CQ714" i="4"/>
  <c r="CN715" i="4"/>
  <c r="CO715" i="4"/>
  <c r="CP715" i="4"/>
  <c r="CQ715" i="4"/>
  <c r="CN716" i="4"/>
  <c r="CO716" i="4"/>
  <c r="CP716" i="4"/>
  <c r="CQ716" i="4"/>
  <c r="CN717" i="4"/>
  <c r="CO717" i="4"/>
  <c r="CP717" i="4"/>
  <c r="CQ717" i="4"/>
  <c r="CN718" i="4"/>
  <c r="EN718" i="4" s="1"/>
  <c r="CO718" i="4"/>
  <c r="CP718" i="4"/>
  <c r="CQ718" i="4"/>
  <c r="CN719" i="4"/>
  <c r="CO719" i="4"/>
  <c r="CP719" i="4"/>
  <c r="CQ719" i="4"/>
  <c r="CN720" i="4"/>
  <c r="EN720" i="4" s="1"/>
  <c r="CO720" i="4"/>
  <c r="CP720" i="4"/>
  <c r="CQ720" i="4"/>
  <c r="CN721" i="4"/>
  <c r="CO721" i="4"/>
  <c r="CP721" i="4"/>
  <c r="CQ721" i="4"/>
  <c r="CN722" i="4"/>
  <c r="EN722" i="4" s="1"/>
  <c r="CO722" i="4"/>
  <c r="CP722" i="4"/>
  <c r="CQ722" i="4"/>
  <c r="CN723" i="4"/>
  <c r="CO723" i="4"/>
  <c r="CP723" i="4"/>
  <c r="CQ723" i="4"/>
  <c r="CN724" i="4"/>
  <c r="EN724" i="4" s="1"/>
  <c r="CO724" i="4"/>
  <c r="CP724" i="4"/>
  <c r="CQ724" i="4"/>
  <c r="CN725" i="4"/>
  <c r="CO725" i="4"/>
  <c r="CP725" i="4"/>
  <c r="CQ725" i="4"/>
  <c r="CN726" i="4"/>
  <c r="EN726" i="4" s="1"/>
  <c r="CO726" i="4"/>
  <c r="CP726" i="4"/>
  <c r="CQ726" i="4"/>
  <c r="CN727" i="4"/>
  <c r="CO727" i="4"/>
  <c r="CP727" i="4"/>
  <c r="CQ727" i="4"/>
  <c r="AR288" i="4"/>
  <c r="AT288" i="4"/>
  <c r="AR289" i="4"/>
  <c r="AT289" i="4"/>
  <c r="AR290" i="4"/>
  <c r="AT290" i="4"/>
  <c r="AR291" i="4"/>
  <c r="AT291" i="4"/>
  <c r="AR292" i="4"/>
  <c r="AT292" i="4"/>
  <c r="AR293" i="4"/>
  <c r="AT293" i="4"/>
  <c r="AR294" i="4"/>
  <c r="AT294" i="4"/>
  <c r="AR295" i="4"/>
  <c r="AT295" i="4"/>
  <c r="AR296" i="4"/>
  <c r="AT296" i="4"/>
  <c r="AR297" i="4"/>
  <c r="AT297" i="4"/>
  <c r="AR298" i="4"/>
  <c r="AT298" i="4"/>
  <c r="AR299" i="4"/>
  <c r="AT299" i="4"/>
  <c r="AR300" i="4"/>
  <c r="AT300" i="4"/>
  <c r="AR301" i="4"/>
  <c r="AT301" i="4"/>
  <c r="AR302" i="4"/>
  <c r="AT302" i="4"/>
  <c r="AR303" i="4"/>
  <c r="AT303" i="4"/>
  <c r="AR304" i="4"/>
  <c r="AT304" i="4"/>
  <c r="AR305" i="4"/>
  <c r="AT305" i="4"/>
  <c r="AR306" i="4"/>
  <c r="AT306" i="4"/>
  <c r="AR307" i="4"/>
  <c r="AT307" i="4"/>
  <c r="AR308" i="4"/>
  <c r="AT308" i="4"/>
  <c r="AR309" i="4"/>
  <c r="AT309" i="4"/>
  <c r="AR310" i="4"/>
  <c r="AT310" i="4"/>
  <c r="AR311" i="4"/>
  <c r="AT311" i="4"/>
  <c r="AR312" i="4"/>
  <c r="AT312" i="4"/>
  <c r="AR313" i="4"/>
  <c r="AT313" i="4"/>
  <c r="AR314" i="4"/>
  <c r="AT314" i="4"/>
  <c r="AR315" i="4"/>
  <c r="AT315" i="4"/>
  <c r="AR316" i="4"/>
  <c r="AT316" i="4"/>
  <c r="AR317" i="4"/>
  <c r="AT317" i="4"/>
  <c r="AR318" i="4"/>
  <c r="AT318" i="4"/>
  <c r="AR319" i="4"/>
  <c r="AT319" i="4"/>
  <c r="AR320" i="4"/>
  <c r="AT320" i="4"/>
  <c r="AR321" i="4"/>
  <c r="AT321" i="4"/>
  <c r="AR322" i="4"/>
  <c r="AT322" i="4"/>
  <c r="AR323" i="4"/>
  <c r="AT323" i="4"/>
  <c r="AR324" i="4"/>
  <c r="AT324" i="4"/>
  <c r="AR325" i="4"/>
  <c r="AT325" i="4"/>
  <c r="AR326" i="4"/>
  <c r="AT326" i="4"/>
  <c r="AR327" i="4"/>
  <c r="AT327" i="4"/>
  <c r="AR328" i="4"/>
  <c r="AT328" i="4"/>
  <c r="AR329" i="4"/>
  <c r="AT329" i="4"/>
  <c r="AR330" i="4"/>
  <c r="AT330" i="4"/>
  <c r="AR331" i="4"/>
  <c r="AT331" i="4"/>
  <c r="AR332" i="4"/>
  <c r="AT332" i="4"/>
  <c r="AR333" i="4"/>
  <c r="AT333" i="4"/>
  <c r="AR334" i="4"/>
  <c r="AT334" i="4"/>
  <c r="AR335" i="4"/>
  <c r="AT335" i="4"/>
  <c r="AR336" i="4"/>
  <c r="AT336" i="4"/>
  <c r="AR337" i="4"/>
  <c r="AT337" i="4"/>
  <c r="AR338" i="4"/>
  <c r="AT338" i="4"/>
  <c r="AR339" i="4"/>
  <c r="AT339" i="4"/>
  <c r="AR340" i="4"/>
  <c r="AT340" i="4"/>
  <c r="AR341" i="4"/>
  <c r="AT341" i="4"/>
  <c r="AR342" i="4"/>
  <c r="AT342" i="4"/>
  <c r="AR343" i="4"/>
  <c r="AT343" i="4"/>
  <c r="AR344" i="4"/>
  <c r="AT344" i="4"/>
  <c r="AR345" i="4"/>
  <c r="AT345" i="4"/>
  <c r="AR346" i="4"/>
  <c r="AT346" i="4"/>
  <c r="AR347" i="4"/>
  <c r="AT347" i="4"/>
  <c r="AR348" i="4"/>
  <c r="AT348" i="4"/>
  <c r="AR349" i="4"/>
  <c r="AT349" i="4"/>
  <c r="AR350" i="4"/>
  <c r="AT350" i="4"/>
  <c r="AR351" i="4"/>
  <c r="AT351" i="4"/>
  <c r="AR352" i="4"/>
  <c r="AT352" i="4"/>
  <c r="AR353" i="4"/>
  <c r="AT353" i="4"/>
  <c r="AR354" i="4"/>
  <c r="AT354" i="4"/>
  <c r="AR355" i="4"/>
  <c r="AT355" i="4"/>
  <c r="AR356" i="4"/>
  <c r="AT356" i="4"/>
  <c r="AR357" i="4"/>
  <c r="AT357" i="4"/>
  <c r="AR358" i="4"/>
  <c r="AT358" i="4"/>
  <c r="AR359" i="4"/>
  <c r="AT359" i="4"/>
  <c r="AR360" i="4"/>
  <c r="AT360" i="4"/>
  <c r="AR361" i="4"/>
  <c r="AT361" i="4"/>
  <c r="AR362" i="4"/>
  <c r="AT362" i="4"/>
  <c r="AR363" i="4"/>
  <c r="AT363" i="4"/>
  <c r="AR364" i="4"/>
  <c r="AT364" i="4"/>
  <c r="AR365" i="4"/>
  <c r="AT365" i="4"/>
  <c r="AR366" i="4"/>
  <c r="AT366" i="4"/>
  <c r="AR367" i="4"/>
  <c r="AT367" i="4"/>
  <c r="AR368" i="4"/>
  <c r="AT368" i="4"/>
  <c r="AR369" i="4"/>
  <c r="AT369" i="4"/>
  <c r="AR370" i="4"/>
  <c r="AT370" i="4"/>
  <c r="AR371" i="4"/>
  <c r="AT371" i="4"/>
  <c r="AR372" i="4"/>
  <c r="AT372" i="4"/>
  <c r="AR373" i="4"/>
  <c r="AT373" i="4"/>
  <c r="AR374" i="4"/>
  <c r="AT374" i="4"/>
  <c r="AR375" i="4"/>
  <c r="AT375" i="4"/>
  <c r="AR376" i="4"/>
  <c r="AT376" i="4"/>
  <c r="AR377" i="4"/>
  <c r="AT377" i="4"/>
  <c r="AR378" i="4"/>
  <c r="AT378" i="4"/>
  <c r="AR379" i="4"/>
  <c r="AT379" i="4"/>
  <c r="AR380" i="4"/>
  <c r="AT380" i="4"/>
  <c r="AR381" i="4"/>
  <c r="AT381" i="4"/>
  <c r="AR382" i="4"/>
  <c r="AT382" i="4"/>
  <c r="AR383" i="4"/>
  <c r="AT383" i="4"/>
  <c r="AR384" i="4"/>
  <c r="AT384" i="4"/>
  <c r="AR385" i="4"/>
  <c r="AT385" i="4"/>
  <c r="AR386" i="4"/>
  <c r="AT386" i="4"/>
  <c r="AR387" i="4"/>
  <c r="AT387" i="4"/>
  <c r="AR388" i="4"/>
  <c r="AT388" i="4"/>
  <c r="AR389" i="4"/>
  <c r="AT389" i="4"/>
  <c r="AR390" i="4"/>
  <c r="AT390" i="4"/>
  <c r="AR391" i="4"/>
  <c r="AT391" i="4"/>
  <c r="AR392" i="4"/>
  <c r="AT392" i="4"/>
  <c r="AR393" i="4"/>
  <c r="AT393" i="4"/>
  <c r="AR394" i="4"/>
  <c r="AT394" i="4"/>
  <c r="AR395" i="4"/>
  <c r="AT395" i="4"/>
  <c r="AR396" i="4"/>
  <c r="AT396" i="4"/>
  <c r="AR397" i="4"/>
  <c r="AT397" i="4"/>
  <c r="AR398" i="4"/>
  <c r="AT398" i="4"/>
  <c r="AR399" i="4"/>
  <c r="AT399" i="4"/>
  <c r="AR400" i="4"/>
  <c r="AT400" i="4"/>
  <c r="AR401" i="4"/>
  <c r="AT401" i="4"/>
  <c r="AR402" i="4"/>
  <c r="AT402" i="4"/>
  <c r="AR403" i="4"/>
  <c r="AT403" i="4"/>
  <c r="AR404" i="4"/>
  <c r="AT404" i="4"/>
  <c r="AR405" i="4"/>
  <c r="AT405" i="4"/>
  <c r="AR406" i="4"/>
  <c r="AT406" i="4"/>
  <c r="AR407" i="4"/>
  <c r="AT407" i="4"/>
  <c r="AR408" i="4"/>
  <c r="AT408" i="4"/>
  <c r="AR409" i="4"/>
  <c r="AT409" i="4"/>
  <c r="AR410" i="4"/>
  <c r="AT410" i="4"/>
  <c r="AR411" i="4"/>
  <c r="AT411" i="4"/>
  <c r="AR412" i="4"/>
  <c r="AT412" i="4"/>
  <c r="AR413" i="4"/>
  <c r="AT413" i="4"/>
  <c r="AR414" i="4"/>
  <c r="AT414" i="4"/>
  <c r="AR415" i="4"/>
  <c r="AT415" i="4"/>
  <c r="AR416" i="4"/>
  <c r="AT416" i="4"/>
  <c r="AR417" i="4"/>
  <c r="AT417" i="4"/>
  <c r="AR418" i="4"/>
  <c r="AT418" i="4"/>
  <c r="AR419" i="4"/>
  <c r="AT419" i="4"/>
  <c r="AR420" i="4"/>
  <c r="AT420" i="4"/>
  <c r="AR421" i="4"/>
  <c r="AT421" i="4"/>
  <c r="AR422" i="4"/>
  <c r="AT422" i="4"/>
  <c r="AR423" i="4"/>
  <c r="AT423" i="4"/>
  <c r="AR424" i="4"/>
  <c r="AT424" i="4"/>
  <c r="AR425" i="4"/>
  <c r="AT425" i="4"/>
  <c r="AR426" i="4"/>
  <c r="AT426" i="4"/>
  <c r="AR427" i="4"/>
  <c r="AT427" i="4"/>
  <c r="AR428" i="4"/>
  <c r="AT428" i="4"/>
  <c r="AR429" i="4"/>
  <c r="AT429" i="4"/>
  <c r="AR430" i="4"/>
  <c r="AT430" i="4"/>
  <c r="AR431" i="4"/>
  <c r="AT431" i="4"/>
  <c r="AR432" i="4"/>
  <c r="AT432" i="4"/>
  <c r="AR433" i="4"/>
  <c r="AT433" i="4"/>
  <c r="AR434" i="4"/>
  <c r="AT434" i="4"/>
  <c r="AR435" i="4"/>
  <c r="AT435" i="4"/>
  <c r="AR436" i="4"/>
  <c r="AT436" i="4"/>
  <c r="AR437" i="4"/>
  <c r="AT437" i="4"/>
  <c r="AR438" i="4"/>
  <c r="AT438" i="4"/>
  <c r="AR439" i="4"/>
  <c r="AT439" i="4"/>
  <c r="AR440" i="4"/>
  <c r="AT440" i="4"/>
  <c r="AR441" i="4"/>
  <c r="AT441" i="4"/>
  <c r="AR442" i="4"/>
  <c r="AT442" i="4"/>
  <c r="AR443" i="4"/>
  <c r="AT443" i="4"/>
  <c r="AR444" i="4"/>
  <c r="AT444" i="4"/>
  <c r="AR445" i="4"/>
  <c r="AT445" i="4"/>
  <c r="AR446" i="4"/>
  <c r="AT446" i="4"/>
  <c r="AR447" i="4"/>
  <c r="AT447" i="4"/>
  <c r="AR448" i="4"/>
  <c r="AT448" i="4"/>
  <c r="AR449" i="4"/>
  <c r="AT449" i="4"/>
  <c r="AR450" i="4"/>
  <c r="AT450" i="4"/>
  <c r="AR451" i="4"/>
  <c r="AT451" i="4"/>
  <c r="AR452" i="4"/>
  <c r="AT452" i="4"/>
  <c r="AR453" i="4"/>
  <c r="AT453" i="4"/>
  <c r="AR454" i="4"/>
  <c r="AT454" i="4"/>
  <c r="AR455" i="4"/>
  <c r="AT455" i="4"/>
  <c r="AR456" i="4"/>
  <c r="AT456" i="4"/>
  <c r="AR457" i="4"/>
  <c r="AT457" i="4"/>
  <c r="AR459" i="4"/>
  <c r="AT459" i="4"/>
  <c r="AR460" i="4"/>
  <c r="AT460" i="4"/>
  <c r="AR461" i="4"/>
  <c r="AT461" i="4"/>
  <c r="AR463" i="4"/>
  <c r="AT463" i="4"/>
  <c r="AR464" i="4"/>
  <c r="AT464" i="4"/>
  <c r="AR465" i="4"/>
  <c r="AT465" i="4"/>
  <c r="AR466" i="4"/>
  <c r="AT466" i="4"/>
  <c r="AR458" i="4"/>
  <c r="AT458" i="4"/>
  <c r="AR467" i="4"/>
  <c r="AT467" i="4"/>
  <c r="AR462" i="4"/>
  <c r="AT462" i="4"/>
  <c r="AR468" i="4"/>
  <c r="AT468" i="4"/>
  <c r="AR469" i="4"/>
  <c r="AT469" i="4"/>
  <c r="AR470" i="4"/>
  <c r="AT470" i="4"/>
  <c r="AR471" i="4"/>
  <c r="AT471" i="4"/>
  <c r="AR472" i="4"/>
  <c r="AT472" i="4"/>
  <c r="AR473" i="4"/>
  <c r="AT473" i="4"/>
  <c r="AR474" i="4"/>
  <c r="AT474" i="4"/>
  <c r="AR475" i="4"/>
  <c r="AT475" i="4"/>
  <c r="AR476" i="4"/>
  <c r="AT476" i="4"/>
  <c r="AR477" i="4"/>
  <c r="AT477" i="4"/>
  <c r="AR478" i="4"/>
  <c r="AT478" i="4"/>
  <c r="AR479" i="4"/>
  <c r="AT479" i="4"/>
  <c r="AR480" i="4"/>
  <c r="AT480" i="4"/>
  <c r="AR481" i="4"/>
  <c r="AT481" i="4"/>
  <c r="AR482" i="4"/>
  <c r="AT482" i="4"/>
  <c r="AR483" i="4"/>
  <c r="AT483" i="4"/>
  <c r="AR484" i="4"/>
  <c r="AT484" i="4"/>
  <c r="AR485" i="4"/>
  <c r="AT485" i="4"/>
  <c r="AR486" i="4"/>
  <c r="AT486" i="4"/>
  <c r="AR487" i="4"/>
  <c r="AT487" i="4"/>
  <c r="AR488" i="4"/>
  <c r="AT488" i="4"/>
  <c r="AR489" i="4"/>
  <c r="AT489" i="4"/>
  <c r="AR490" i="4"/>
  <c r="AT490" i="4"/>
  <c r="AR491" i="4"/>
  <c r="AT491" i="4"/>
  <c r="AR492" i="4"/>
  <c r="AT492" i="4"/>
  <c r="AR493" i="4"/>
  <c r="AT493" i="4"/>
  <c r="AR494" i="4"/>
  <c r="AT494" i="4"/>
  <c r="AR495" i="4"/>
  <c r="AT495" i="4"/>
  <c r="AR496" i="4"/>
  <c r="AT496" i="4"/>
  <c r="AR497" i="4"/>
  <c r="AT497" i="4"/>
  <c r="AR498" i="4"/>
  <c r="AT498" i="4"/>
  <c r="AR499" i="4"/>
  <c r="AT499" i="4"/>
  <c r="AR500" i="4"/>
  <c r="AT500" i="4"/>
  <c r="AR501" i="4"/>
  <c r="AT501" i="4"/>
  <c r="AR502" i="4"/>
  <c r="AT502" i="4"/>
  <c r="AR503" i="4"/>
  <c r="AT503" i="4"/>
  <c r="AR504" i="4"/>
  <c r="AT504" i="4"/>
  <c r="AR505" i="4"/>
  <c r="AT505" i="4"/>
  <c r="AR506" i="4"/>
  <c r="AT506" i="4"/>
  <c r="AR507" i="4"/>
  <c r="AT507" i="4"/>
  <c r="AR508" i="4"/>
  <c r="AT508" i="4"/>
  <c r="AR509" i="4"/>
  <c r="AT509" i="4"/>
  <c r="AR510" i="4"/>
  <c r="AT510" i="4"/>
  <c r="AR511" i="4"/>
  <c r="AT511" i="4"/>
  <c r="AR512" i="4"/>
  <c r="AT512" i="4"/>
  <c r="AR513" i="4"/>
  <c r="AT513" i="4"/>
  <c r="AR514" i="4"/>
  <c r="AT514" i="4"/>
  <c r="AR515" i="4"/>
  <c r="AT515" i="4"/>
  <c r="AR516" i="4"/>
  <c r="AT516" i="4"/>
  <c r="AR517" i="4"/>
  <c r="AT517" i="4"/>
  <c r="AR518" i="4"/>
  <c r="AT518" i="4"/>
  <c r="AR519" i="4"/>
  <c r="AT519" i="4"/>
  <c r="AR520" i="4"/>
  <c r="AT520" i="4"/>
  <c r="AR521" i="4"/>
  <c r="AT521" i="4"/>
  <c r="AR522" i="4"/>
  <c r="AT522" i="4"/>
  <c r="AR523" i="4"/>
  <c r="AT523" i="4"/>
  <c r="AR524" i="4"/>
  <c r="AT524" i="4"/>
  <c r="AR525" i="4"/>
  <c r="AT525" i="4"/>
  <c r="AR526" i="4"/>
  <c r="AT526" i="4"/>
  <c r="AR527" i="4"/>
  <c r="AT527" i="4"/>
  <c r="AR528" i="4"/>
  <c r="AT528" i="4"/>
  <c r="AR529" i="4"/>
  <c r="AT529" i="4"/>
  <c r="AR530" i="4"/>
  <c r="AT530" i="4"/>
  <c r="AR531" i="4"/>
  <c r="AT531" i="4"/>
  <c r="AR532" i="4"/>
  <c r="AT532" i="4"/>
  <c r="AR533" i="4"/>
  <c r="AT533" i="4"/>
  <c r="AR534" i="4"/>
  <c r="AT534" i="4"/>
  <c r="AR535" i="4"/>
  <c r="AT535" i="4"/>
  <c r="AR536" i="4"/>
  <c r="AT536" i="4"/>
  <c r="AR537" i="4"/>
  <c r="AT537" i="4"/>
  <c r="AR538" i="4"/>
  <c r="AT538" i="4"/>
  <c r="AR539" i="4"/>
  <c r="AT539" i="4"/>
  <c r="AR540" i="4"/>
  <c r="AT540" i="4"/>
  <c r="AR541" i="4"/>
  <c r="AT541" i="4"/>
  <c r="AR542" i="4"/>
  <c r="AT542" i="4"/>
  <c r="AR543" i="4"/>
  <c r="AT543" i="4"/>
  <c r="AR544" i="4"/>
  <c r="AT544" i="4"/>
  <c r="AR545" i="4"/>
  <c r="AT545" i="4"/>
  <c r="AR546" i="4"/>
  <c r="AT546" i="4"/>
  <c r="AR547" i="4"/>
  <c r="AT547" i="4"/>
  <c r="AR548" i="4"/>
  <c r="AT548" i="4"/>
  <c r="AR549" i="4"/>
  <c r="AT549" i="4"/>
  <c r="AR550" i="4"/>
  <c r="AT550" i="4"/>
  <c r="AR551" i="4"/>
  <c r="AT551" i="4"/>
  <c r="AR552" i="4"/>
  <c r="AT552" i="4"/>
  <c r="AR553" i="4"/>
  <c r="AT553" i="4"/>
  <c r="AR554" i="4"/>
  <c r="AT554" i="4"/>
  <c r="AR555" i="4"/>
  <c r="AT555" i="4"/>
  <c r="AR556" i="4"/>
  <c r="AT556" i="4"/>
  <c r="AR557" i="4"/>
  <c r="AT557" i="4"/>
  <c r="AR558" i="4"/>
  <c r="AT558" i="4"/>
  <c r="AR559" i="4"/>
  <c r="AT559" i="4"/>
  <c r="AR560" i="4"/>
  <c r="AT560" i="4"/>
  <c r="AR561" i="4"/>
  <c r="AT561" i="4"/>
  <c r="AR562" i="4"/>
  <c r="AT562" i="4"/>
  <c r="AR563" i="4"/>
  <c r="AT563" i="4"/>
  <c r="AR564" i="4"/>
  <c r="AT564" i="4"/>
  <c r="AR565" i="4"/>
  <c r="AT565" i="4"/>
  <c r="AR566" i="4"/>
  <c r="AT566" i="4"/>
  <c r="AR567" i="4"/>
  <c r="AT567" i="4"/>
  <c r="AR568" i="4"/>
  <c r="AT568" i="4"/>
  <c r="AR569" i="4"/>
  <c r="AT569" i="4"/>
  <c r="AR570" i="4"/>
  <c r="AT570" i="4"/>
  <c r="AR571" i="4"/>
  <c r="AT571" i="4"/>
  <c r="AR572" i="4"/>
  <c r="AT572" i="4"/>
  <c r="AR573" i="4"/>
  <c r="AT573" i="4"/>
  <c r="AR574" i="4"/>
  <c r="AT574" i="4"/>
  <c r="AR575" i="4"/>
  <c r="AT575" i="4"/>
  <c r="AR576" i="4"/>
  <c r="AT576" i="4"/>
  <c r="AR577" i="4"/>
  <c r="AT577" i="4"/>
  <c r="AR578" i="4"/>
  <c r="AT578" i="4"/>
  <c r="AR579" i="4"/>
  <c r="AT579" i="4"/>
  <c r="AR580" i="4"/>
  <c r="AT580" i="4"/>
  <c r="AR581" i="4"/>
  <c r="AT581" i="4"/>
  <c r="AR582" i="4"/>
  <c r="AT582" i="4"/>
  <c r="AR583" i="4"/>
  <c r="AT583" i="4"/>
  <c r="AR584" i="4"/>
  <c r="AT584" i="4"/>
  <c r="AR585" i="4"/>
  <c r="AT585" i="4"/>
  <c r="AR586" i="4"/>
  <c r="AT586" i="4"/>
  <c r="AR587" i="4"/>
  <c r="AT587" i="4"/>
  <c r="AR588" i="4"/>
  <c r="AT588" i="4"/>
  <c r="AR589" i="4"/>
  <c r="AT589" i="4"/>
  <c r="AR590" i="4"/>
  <c r="AT590" i="4"/>
  <c r="AR591" i="4"/>
  <c r="AT591" i="4"/>
  <c r="AR592" i="4"/>
  <c r="AT592" i="4"/>
  <c r="AR593" i="4"/>
  <c r="AT593" i="4"/>
  <c r="AR594" i="4"/>
  <c r="AT594" i="4"/>
  <c r="AR595" i="4"/>
  <c r="AT595" i="4"/>
  <c r="AR596" i="4"/>
  <c r="AT596" i="4"/>
  <c r="AR597" i="4"/>
  <c r="AT597" i="4"/>
  <c r="AR598" i="4"/>
  <c r="AT598" i="4"/>
  <c r="AR599" i="4"/>
  <c r="AT599" i="4"/>
  <c r="AR600" i="4"/>
  <c r="AT600" i="4"/>
  <c r="AR601" i="4"/>
  <c r="AT601" i="4"/>
  <c r="AR602" i="4"/>
  <c r="AT602" i="4"/>
  <c r="AR603" i="4"/>
  <c r="AT603" i="4"/>
  <c r="AR604" i="4"/>
  <c r="AT604" i="4"/>
  <c r="AR605" i="4"/>
  <c r="AT605" i="4"/>
  <c r="AR606" i="4"/>
  <c r="AT606" i="4"/>
  <c r="AR607" i="4"/>
  <c r="AT607" i="4"/>
  <c r="AR608" i="4"/>
  <c r="AT608" i="4"/>
  <c r="AR609" i="4"/>
  <c r="AT609" i="4"/>
  <c r="AR610" i="4"/>
  <c r="AT610" i="4"/>
  <c r="AR611" i="4"/>
  <c r="AT611" i="4"/>
  <c r="AR612" i="4"/>
  <c r="AT612" i="4"/>
  <c r="AR613" i="4"/>
  <c r="AT613" i="4"/>
  <c r="AR614" i="4"/>
  <c r="AT614" i="4"/>
  <c r="AR615" i="4"/>
  <c r="AT615" i="4"/>
  <c r="AR616" i="4"/>
  <c r="AT616" i="4"/>
  <c r="AR617" i="4"/>
  <c r="AT617" i="4"/>
  <c r="AR618" i="4"/>
  <c r="AT618" i="4"/>
  <c r="AR619" i="4"/>
  <c r="AT619" i="4"/>
  <c r="AR620" i="4"/>
  <c r="AT620" i="4"/>
  <c r="AR621" i="4"/>
  <c r="AT621" i="4"/>
  <c r="AR622" i="4"/>
  <c r="AT622" i="4"/>
  <c r="AR623" i="4"/>
  <c r="AT623" i="4"/>
  <c r="AR624" i="4"/>
  <c r="AT624" i="4"/>
  <c r="AR625" i="4"/>
  <c r="AT625" i="4"/>
  <c r="AR626" i="4"/>
  <c r="AT626" i="4"/>
  <c r="AR627" i="4"/>
  <c r="AT627" i="4"/>
  <c r="AR628" i="4"/>
  <c r="AT628" i="4"/>
  <c r="AR629" i="4"/>
  <c r="AT629" i="4"/>
  <c r="AR630" i="4"/>
  <c r="AT630" i="4"/>
  <c r="AR631" i="4"/>
  <c r="AT631" i="4"/>
  <c r="AR632" i="4"/>
  <c r="AT632" i="4"/>
  <c r="AR633" i="4"/>
  <c r="AT633" i="4"/>
  <c r="AR634" i="4"/>
  <c r="AT634" i="4"/>
  <c r="AR635" i="4"/>
  <c r="AT635" i="4"/>
  <c r="AR636" i="4"/>
  <c r="AT636" i="4"/>
  <c r="AR637" i="4"/>
  <c r="AT637" i="4"/>
  <c r="AR638" i="4"/>
  <c r="AT638" i="4"/>
  <c r="AR639" i="4"/>
  <c r="AT639" i="4"/>
  <c r="AR640" i="4"/>
  <c r="AT640" i="4"/>
  <c r="AR641" i="4"/>
  <c r="AT641" i="4"/>
  <c r="AR642" i="4"/>
  <c r="AT642" i="4"/>
  <c r="AR643" i="4"/>
  <c r="AT643" i="4"/>
  <c r="AR644" i="4"/>
  <c r="AT644" i="4"/>
  <c r="AR645" i="4"/>
  <c r="AT645" i="4"/>
  <c r="AR646" i="4"/>
  <c r="AT646" i="4"/>
  <c r="AR647" i="4"/>
  <c r="AT647" i="4"/>
  <c r="AR648" i="4"/>
  <c r="AT648" i="4"/>
  <c r="AR649" i="4"/>
  <c r="AT649" i="4"/>
  <c r="AR650" i="4"/>
  <c r="AT650" i="4"/>
  <c r="AR651" i="4"/>
  <c r="AT651" i="4"/>
  <c r="AR652" i="4"/>
  <c r="AT652" i="4"/>
  <c r="AR653" i="4"/>
  <c r="AT653" i="4"/>
  <c r="AR654" i="4"/>
  <c r="AT654" i="4"/>
  <c r="AR655" i="4"/>
  <c r="AT655" i="4"/>
  <c r="AR656" i="4"/>
  <c r="AT656" i="4"/>
  <c r="AR657" i="4"/>
  <c r="AT657" i="4"/>
  <c r="AR658" i="4"/>
  <c r="AT658" i="4"/>
  <c r="AR659" i="4"/>
  <c r="AT659" i="4"/>
  <c r="AR660" i="4"/>
  <c r="AT660" i="4"/>
  <c r="AR661" i="4"/>
  <c r="AT661" i="4"/>
  <c r="AR662" i="4"/>
  <c r="AT662" i="4"/>
  <c r="AR663" i="4"/>
  <c r="AT663" i="4"/>
  <c r="AR664" i="4"/>
  <c r="AT664" i="4"/>
  <c r="AR665" i="4"/>
  <c r="AT665" i="4"/>
  <c r="AR666" i="4"/>
  <c r="AT666" i="4"/>
  <c r="AR668" i="4"/>
  <c r="AT668" i="4"/>
  <c r="AR669" i="4"/>
  <c r="AT669" i="4"/>
  <c r="AR670" i="4"/>
  <c r="AT670" i="4"/>
  <c r="AR671" i="4"/>
  <c r="AT671" i="4"/>
  <c r="AR672" i="4"/>
  <c r="AT672" i="4"/>
  <c r="AR673" i="4"/>
  <c r="AT673" i="4"/>
  <c r="AR674" i="4"/>
  <c r="AT674" i="4"/>
  <c r="AR675" i="4"/>
  <c r="AT675" i="4"/>
  <c r="AR676" i="4"/>
  <c r="AT676" i="4"/>
  <c r="AR667" i="4"/>
  <c r="AT667" i="4"/>
  <c r="AR677" i="4"/>
  <c r="AT677" i="4"/>
  <c r="AR678" i="4"/>
  <c r="AT678" i="4"/>
  <c r="AR679" i="4"/>
  <c r="AT679" i="4"/>
  <c r="AR680" i="4"/>
  <c r="AT680" i="4"/>
  <c r="AR681" i="4"/>
  <c r="AT681" i="4"/>
  <c r="AR682" i="4"/>
  <c r="AT682" i="4"/>
  <c r="AR683" i="4"/>
  <c r="AT683" i="4"/>
  <c r="AR684" i="4"/>
  <c r="AT684" i="4"/>
  <c r="AR685" i="4"/>
  <c r="AT685" i="4"/>
  <c r="AR686" i="4"/>
  <c r="AT686" i="4"/>
  <c r="AR687" i="4"/>
  <c r="AT687" i="4"/>
  <c r="AR688" i="4"/>
  <c r="AT688" i="4"/>
  <c r="AR689" i="4"/>
  <c r="AT689" i="4"/>
  <c r="AR690" i="4"/>
  <c r="AT690" i="4"/>
  <c r="AR691" i="4"/>
  <c r="AT691" i="4"/>
  <c r="AR692" i="4"/>
  <c r="AT692" i="4"/>
  <c r="AR693" i="4"/>
  <c r="AT693" i="4"/>
  <c r="AR694" i="4"/>
  <c r="AT694" i="4"/>
  <c r="AR695" i="4"/>
  <c r="AT695" i="4"/>
  <c r="AR696" i="4"/>
  <c r="AT696" i="4"/>
  <c r="AR697" i="4"/>
  <c r="AT697" i="4"/>
  <c r="AR698" i="4"/>
  <c r="AT698" i="4"/>
  <c r="AR699" i="4"/>
  <c r="AT699" i="4"/>
  <c r="AR700" i="4"/>
  <c r="AT700" i="4"/>
  <c r="AR701" i="4"/>
  <c r="AT701" i="4"/>
  <c r="AR702" i="4"/>
  <c r="AT702" i="4"/>
  <c r="AR703" i="4"/>
  <c r="AT703" i="4"/>
  <c r="AR704" i="4"/>
  <c r="AT704" i="4"/>
  <c r="AR705" i="4"/>
  <c r="AT705" i="4"/>
  <c r="AR706" i="4"/>
  <c r="AT706" i="4"/>
  <c r="AR707" i="4"/>
  <c r="AT707" i="4"/>
  <c r="AR708" i="4"/>
  <c r="AT708" i="4"/>
  <c r="AR709" i="4"/>
  <c r="AT709" i="4"/>
  <c r="AR710" i="4"/>
  <c r="AT710" i="4"/>
  <c r="AR711" i="4"/>
  <c r="AT711" i="4"/>
  <c r="AR712" i="4"/>
  <c r="AT712" i="4"/>
  <c r="AR713" i="4"/>
  <c r="AT713" i="4"/>
  <c r="AR714" i="4"/>
  <c r="AT714" i="4"/>
  <c r="AR715" i="4"/>
  <c r="AT715" i="4"/>
  <c r="AR716" i="4"/>
  <c r="AT716" i="4"/>
  <c r="AR717" i="4"/>
  <c r="AT717" i="4"/>
  <c r="AR718" i="4"/>
  <c r="AT718" i="4"/>
  <c r="AR719" i="4"/>
  <c r="AT719" i="4"/>
  <c r="AR720" i="4"/>
  <c r="AT720" i="4"/>
  <c r="AR721" i="4"/>
  <c r="AT721" i="4"/>
  <c r="AR722" i="4"/>
  <c r="AT722" i="4"/>
  <c r="AR723" i="4"/>
  <c r="AT723" i="4"/>
  <c r="AR724" i="4"/>
  <c r="AT724" i="4"/>
  <c r="AR725" i="4"/>
  <c r="AT725" i="4"/>
  <c r="AR726" i="4"/>
  <c r="AT726" i="4"/>
  <c r="AR727" i="4"/>
  <c r="AT727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9" i="4"/>
  <c r="W460" i="4"/>
  <c r="W461" i="4"/>
  <c r="W463" i="4"/>
  <c r="W464" i="4"/>
  <c r="W465" i="4"/>
  <c r="W466" i="4"/>
  <c r="W458" i="4"/>
  <c r="W467" i="4"/>
  <c r="W462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8" i="4"/>
  <c r="W669" i="4"/>
  <c r="W670" i="4"/>
  <c r="W671" i="4"/>
  <c r="W672" i="4"/>
  <c r="W673" i="4"/>
  <c r="W674" i="4"/>
  <c r="W675" i="4"/>
  <c r="W676" i="4"/>
  <c r="W667" i="4"/>
  <c r="W677" i="4"/>
  <c r="W678" i="4"/>
  <c r="W679" i="4"/>
  <c r="W680" i="4"/>
  <c r="W681" i="4"/>
  <c r="W684" i="4"/>
  <c r="W686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9" i="4"/>
  <c r="R460" i="4"/>
  <c r="R461" i="4"/>
  <c r="R463" i="4"/>
  <c r="R464" i="4"/>
  <c r="R465" i="4"/>
  <c r="R466" i="4"/>
  <c r="R458" i="4"/>
  <c r="R467" i="4"/>
  <c r="R462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8" i="4"/>
  <c r="R669" i="4"/>
  <c r="R670" i="4"/>
  <c r="R671" i="4"/>
  <c r="R672" i="4"/>
  <c r="R673" i="4"/>
  <c r="R674" i="4"/>
  <c r="R675" i="4"/>
  <c r="R676" i="4"/>
  <c r="R667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9" i="4"/>
  <c r="M459" i="4"/>
  <c r="L460" i="4"/>
  <c r="M460" i="4"/>
  <c r="L461" i="4"/>
  <c r="M461" i="4"/>
  <c r="L463" i="4"/>
  <c r="M463" i="4"/>
  <c r="L464" i="4"/>
  <c r="M464" i="4"/>
  <c r="L465" i="4"/>
  <c r="M465" i="4"/>
  <c r="L466" i="4"/>
  <c r="M466" i="4"/>
  <c r="L458" i="4"/>
  <c r="M458" i="4"/>
  <c r="L467" i="4"/>
  <c r="M467" i="4"/>
  <c r="L462" i="4"/>
  <c r="M462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L520" i="4"/>
  <c r="M520" i="4"/>
  <c r="L521" i="4"/>
  <c r="M521" i="4"/>
  <c r="L522" i="4"/>
  <c r="M522" i="4"/>
  <c r="L523" i="4"/>
  <c r="M523" i="4"/>
  <c r="L524" i="4"/>
  <c r="M524" i="4"/>
  <c r="L525" i="4"/>
  <c r="M525" i="4"/>
  <c r="L526" i="4"/>
  <c r="M526" i="4"/>
  <c r="L527" i="4"/>
  <c r="M527" i="4"/>
  <c r="L528" i="4"/>
  <c r="M528" i="4"/>
  <c r="L529" i="4"/>
  <c r="M529" i="4"/>
  <c r="L530" i="4"/>
  <c r="M530" i="4"/>
  <c r="L531" i="4"/>
  <c r="M531" i="4"/>
  <c r="L532" i="4"/>
  <c r="M532" i="4"/>
  <c r="L533" i="4"/>
  <c r="M533" i="4"/>
  <c r="L534" i="4"/>
  <c r="M534" i="4"/>
  <c r="L535" i="4"/>
  <c r="M535" i="4"/>
  <c r="L536" i="4"/>
  <c r="M536" i="4"/>
  <c r="L537" i="4"/>
  <c r="M537" i="4"/>
  <c r="L538" i="4"/>
  <c r="M538" i="4"/>
  <c r="L539" i="4"/>
  <c r="M539" i="4"/>
  <c r="L540" i="4"/>
  <c r="M540" i="4"/>
  <c r="L541" i="4"/>
  <c r="M541" i="4"/>
  <c r="L542" i="4"/>
  <c r="M542" i="4"/>
  <c r="L543" i="4"/>
  <c r="M543" i="4"/>
  <c r="L544" i="4"/>
  <c r="M544" i="4"/>
  <c r="L545" i="4"/>
  <c r="M545" i="4"/>
  <c r="L546" i="4"/>
  <c r="M546" i="4"/>
  <c r="L547" i="4"/>
  <c r="M547" i="4"/>
  <c r="L548" i="4"/>
  <c r="M548" i="4"/>
  <c r="L549" i="4"/>
  <c r="M549" i="4"/>
  <c r="L550" i="4"/>
  <c r="M550" i="4"/>
  <c r="L551" i="4"/>
  <c r="M551" i="4"/>
  <c r="L552" i="4"/>
  <c r="M552" i="4"/>
  <c r="L553" i="4"/>
  <c r="M553" i="4"/>
  <c r="L554" i="4"/>
  <c r="M554" i="4"/>
  <c r="L555" i="4"/>
  <c r="M555" i="4"/>
  <c r="L556" i="4"/>
  <c r="M556" i="4"/>
  <c r="L557" i="4"/>
  <c r="M557" i="4"/>
  <c r="L558" i="4"/>
  <c r="M558" i="4"/>
  <c r="L559" i="4"/>
  <c r="M559" i="4"/>
  <c r="L560" i="4"/>
  <c r="M560" i="4"/>
  <c r="L561" i="4"/>
  <c r="M561" i="4"/>
  <c r="L562" i="4"/>
  <c r="M562" i="4"/>
  <c r="L563" i="4"/>
  <c r="M563" i="4"/>
  <c r="L564" i="4"/>
  <c r="M564" i="4"/>
  <c r="L565" i="4"/>
  <c r="M565" i="4"/>
  <c r="L566" i="4"/>
  <c r="M566" i="4"/>
  <c r="L567" i="4"/>
  <c r="M567" i="4"/>
  <c r="L568" i="4"/>
  <c r="M568" i="4"/>
  <c r="L569" i="4"/>
  <c r="M569" i="4"/>
  <c r="L570" i="4"/>
  <c r="M570" i="4"/>
  <c r="L571" i="4"/>
  <c r="M571" i="4"/>
  <c r="L572" i="4"/>
  <c r="M572" i="4"/>
  <c r="L573" i="4"/>
  <c r="M573" i="4"/>
  <c r="L574" i="4"/>
  <c r="M574" i="4"/>
  <c r="L575" i="4"/>
  <c r="M575" i="4"/>
  <c r="L576" i="4"/>
  <c r="M576" i="4"/>
  <c r="L577" i="4"/>
  <c r="M577" i="4"/>
  <c r="L578" i="4"/>
  <c r="M578" i="4"/>
  <c r="L579" i="4"/>
  <c r="M579" i="4"/>
  <c r="L580" i="4"/>
  <c r="M580" i="4"/>
  <c r="L581" i="4"/>
  <c r="M581" i="4"/>
  <c r="L582" i="4"/>
  <c r="M582" i="4"/>
  <c r="L583" i="4"/>
  <c r="M583" i="4"/>
  <c r="L584" i="4"/>
  <c r="M584" i="4"/>
  <c r="L585" i="4"/>
  <c r="M585" i="4"/>
  <c r="L586" i="4"/>
  <c r="M586" i="4"/>
  <c r="L587" i="4"/>
  <c r="M587" i="4"/>
  <c r="L588" i="4"/>
  <c r="M588" i="4"/>
  <c r="L589" i="4"/>
  <c r="M589" i="4"/>
  <c r="L590" i="4"/>
  <c r="M590" i="4"/>
  <c r="L591" i="4"/>
  <c r="M591" i="4"/>
  <c r="L592" i="4"/>
  <c r="M592" i="4"/>
  <c r="L593" i="4"/>
  <c r="M593" i="4"/>
  <c r="L594" i="4"/>
  <c r="M594" i="4"/>
  <c r="L595" i="4"/>
  <c r="M595" i="4"/>
  <c r="L596" i="4"/>
  <c r="M596" i="4"/>
  <c r="L597" i="4"/>
  <c r="M597" i="4"/>
  <c r="L598" i="4"/>
  <c r="M598" i="4"/>
  <c r="L599" i="4"/>
  <c r="M599" i="4"/>
  <c r="L600" i="4"/>
  <c r="M600" i="4"/>
  <c r="L601" i="4"/>
  <c r="M601" i="4"/>
  <c r="L602" i="4"/>
  <c r="M602" i="4"/>
  <c r="L603" i="4"/>
  <c r="M603" i="4"/>
  <c r="L604" i="4"/>
  <c r="M604" i="4"/>
  <c r="L605" i="4"/>
  <c r="M605" i="4"/>
  <c r="L606" i="4"/>
  <c r="M606" i="4"/>
  <c r="L607" i="4"/>
  <c r="M607" i="4"/>
  <c r="L608" i="4"/>
  <c r="M608" i="4"/>
  <c r="L609" i="4"/>
  <c r="M609" i="4"/>
  <c r="L610" i="4"/>
  <c r="M610" i="4"/>
  <c r="L611" i="4"/>
  <c r="M611" i="4"/>
  <c r="L612" i="4"/>
  <c r="M612" i="4"/>
  <c r="L613" i="4"/>
  <c r="M613" i="4"/>
  <c r="L614" i="4"/>
  <c r="M614" i="4"/>
  <c r="L615" i="4"/>
  <c r="M615" i="4"/>
  <c r="L616" i="4"/>
  <c r="M616" i="4"/>
  <c r="L617" i="4"/>
  <c r="M617" i="4"/>
  <c r="L618" i="4"/>
  <c r="M618" i="4"/>
  <c r="L619" i="4"/>
  <c r="M619" i="4"/>
  <c r="L620" i="4"/>
  <c r="M620" i="4"/>
  <c r="L621" i="4"/>
  <c r="M621" i="4"/>
  <c r="L622" i="4"/>
  <c r="M622" i="4"/>
  <c r="L623" i="4"/>
  <c r="M623" i="4"/>
  <c r="L624" i="4"/>
  <c r="M624" i="4"/>
  <c r="L625" i="4"/>
  <c r="M625" i="4"/>
  <c r="L626" i="4"/>
  <c r="M626" i="4"/>
  <c r="L627" i="4"/>
  <c r="M627" i="4"/>
  <c r="L628" i="4"/>
  <c r="M628" i="4"/>
  <c r="L629" i="4"/>
  <c r="M629" i="4"/>
  <c r="L630" i="4"/>
  <c r="M630" i="4"/>
  <c r="L631" i="4"/>
  <c r="M631" i="4"/>
  <c r="L632" i="4"/>
  <c r="M632" i="4"/>
  <c r="L633" i="4"/>
  <c r="M633" i="4"/>
  <c r="L634" i="4"/>
  <c r="M634" i="4"/>
  <c r="L635" i="4"/>
  <c r="M635" i="4"/>
  <c r="L636" i="4"/>
  <c r="M636" i="4"/>
  <c r="L637" i="4"/>
  <c r="M637" i="4"/>
  <c r="L638" i="4"/>
  <c r="M638" i="4"/>
  <c r="L639" i="4"/>
  <c r="M639" i="4"/>
  <c r="L640" i="4"/>
  <c r="M640" i="4"/>
  <c r="L641" i="4"/>
  <c r="M641" i="4"/>
  <c r="L642" i="4"/>
  <c r="M642" i="4"/>
  <c r="L643" i="4"/>
  <c r="M643" i="4"/>
  <c r="L644" i="4"/>
  <c r="M644" i="4"/>
  <c r="L645" i="4"/>
  <c r="M645" i="4"/>
  <c r="L646" i="4"/>
  <c r="M646" i="4"/>
  <c r="L647" i="4"/>
  <c r="M647" i="4"/>
  <c r="L648" i="4"/>
  <c r="M648" i="4"/>
  <c r="L649" i="4"/>
  <c r="M649" i="4"/>
  <c r="L650" i="4"/>
  <c r="M650" i="4"/>
  <c r="L651" i="4"/>
  <c r="M651" i="4"/>
  <c r="L652" i="4"/>
  <c r="M652" i="4"/>
  <c r="L653" i="4"/>
  <c r="M653" i="4"/>
  <c r="L654" i="4"/>
  <c r="M654" i="4"/>
  <c r="L655" i="4"/>
  <c r="M655" i="4"/>
  <c r="L656" i="4"/>
  <c r="M656" i="4"/>
  <c r="L657" i="4"/>
  <c r="M657" i="4"/>
  <c r="L658" i="4"/>
  <c r="M658" i="4"/>
  <c r="L659" i="4"/>
  <c r="M659" i="4"/>
  <c r="L660" i="4"/>
  <c r="M660" i="4"/>
  <c r="L661" i="4"/>
  <c r="M661" i="4"/>
  <c r="L662" i="4"/>
  <c r="M662" i="4"/>
  <c r="L663" i="4"/>
  <c r="M663" i="4"/>
  <c r="L664" i="4"/>
  <c r="M664" i="4"/>
  <c r="L665" i="4"/>
  <c r="M665" i="4"/>
  <c r="L666" i="4"/>
  <c r="M666" i="4"/>
  <c r="L668" i="4"/>
  <c r="M668" i="4"/>
  <c r="L669" i="4"/>
  <c r="M669" i="4"/>
  <c r="L670" i="4"/>
  <c r="M670" i="4"/>
  <c r="L671" i="4"/>
  <c r="M671" i="4"/>
  <c r="L672" i="4"/>
  <c r="M672" i="4"/>
  <c r="L673" i="4"/>
  <c r="M673" i="4"/>
  <c r="L674" i="4"/>
  <c r="M674" i="4"/>
  <c r="L675" i="4"/>
  <c r="M675" i="4"/>
  <c r="L676" i="4"/>
  <c r="M676" i="4"/>
  <c r="L667" i="4"/>
  <c r="M667" i="4"/>
  <c r="L677" i="4"/>
  <c r="M677" i="4"/>
  <c r="L678" i="4"/>
  <c r="M678" i="4"/>
  <c r="L679" i="4"/>
  <c r="M679" i="4"/>
  <c r="L680" i="4"/>
  <c r="M680" i="4"/>
  <c r="L681" i="4"/>
  <c r="M681" i="4"/>
  <c r="L682" i="4"/>
  <c r="M682" i="4"/>
  <c r="L683" i="4"/>
  <c r="M683" i="4"/>
  <c r="L684" i="4"/>
  <c r="M684" i="4"/>
  <c r="L685" i="4"/>
  <c r="M685" i="4"/>
  <c r="L686" i="4"/>
  <c r="M686" i="4"/>
  <c r="L687" i="4"/>
  <c r="M687" i="4"/>
  <c r="L688" i="4"/>
  <c r="M688" i="4"/>
  <c r="L689" i="4"/>
  <c r="M689" i="4"/>
  <c r="L690" i="4"/>
  <c r="M690" i="4"/>
  <c r="L691" i="4"/>
  <c r="M691" i="4"/>
  <c r="L692" i="4"/>
  <c r="M692" i="4"/>
  <c r="L693" i="4"/>
  <c r="M693" i="4"/>
  <c r="L694" i="4"/>
  <c r="M694" i="4"/>
  <c r="L695" i="4"/>
  <c r="M695" i="4"/>
  <c r="L696" i="4"/>
  <c r="M696" i="4"/>
  <c r="L697" i="4"/>
  <c r="M697" i="4"/>
  <c r="L698" i="4"/>
  <c r="M698" i="4"/>
  <c r="L699" i="4"/>
  <c r="M699" i="4"/>
  <c r="L700" i="4"/>
  <c r="M700" i="4"/>
  <c r="L701" i="4"/>
  <c r="M701" i="4"/>
  <c r="L702" i="4"/>
  <c r="M702" i="4"/>
  <c r="L703" i="4"/>
  <c r="M703" i="4"/>
  <c r="L704" i="4"/>
  <c r="M704" i="4"/>
  <c r="L705" i="4"/>
  <c r="M705" i="4"/>
  <c r="L706" i="4"/>
  <c r="M706" i="4"/>
  <c r="L707" i="4"/>
  <c r="M707" i="4"/>
  <c r="L708" i="4"/>
  <c r="M708" i="4"/>
  <c r="L709" i="4"/>
  <c r="M709" i="4"/>
  <c r="L710" i="4"/>
  <c r="M710" i="4"/>
  <c r="L711" i="4"/>
  <c r="M711" i="4"/>
  <c r="L712" i="4"/>
  <c r="M712" i="4"/>
  <c r="L713" i="4"/>
  <c r="M713" i="4"/>
  <c r="L714" i="4"/>
  <c r="M714" i="4"/>
  <c r="L715" i="4"/>
  <c r="M715" i="4"/>
  <c r="L716" i="4"/>
  <c r="M716" i="4"/>
  <c r="L717" i="4"/>
  <c r="M717" i="4"/>
  <c r="L718" i="4"/>
  <c r="M718" i="4"/>
  <c r="L719" i="4"/>
  <c r="M719" i="4"/>
  <c r="L720" i="4"/>
  <c r="M720" i="4"/>
  <c r="L721" i="4"/>
  <c r="M721" i="4"/>
  <c r="L722" i="4"/>
  <c r="M722" i="4"/>
  <c r="L723" i="4"/>
  <c r="M723" i="4"/>
  <c r="L724" i="4"/>
  <c r="M724" i="4"/>
  <c r="L725" i="4"/>
  <c r="M725" i="4"/>
  <c r="L726" i="4"/>
  <c r="M726" i="4"/>
  <c r="L727" i="4"/>
  <c r="M727" i="4"/>
  <c r="FN722" i="4" l="1"/>
  <c r="EN459" i="4"/>
  <c r="FN459" i="4" s="1"/>
  <c r="EN456" i="4"/>
  <c r="FN726" i="4"/>
  <c r="AS726" i="4" s="1"/>
  <c r="EN383" i="4"/>
  <c r="FN383" i="4" s="1"/>
  <c r="AS235" i="4"/>
  <c r="FN718" i="4"/>
  <c r="EO640" i="4"/>
  <c r="FO640" i="4" s="1"/>
  <c r="EO638" i="4"/>
  <c r="EO632" i="4"/>
  <c r="EO578" i="4"/>
  <c r="EO576" i="4"/>
  <c r="EO556" i="4"/>
  <c r="FO556" i="4" s="1"/>
  <c r="EO554" i="4"/>
  <c r="EO450" i="4"/>
  <c r="EO448" i="4"/>
  <c r="FO448" i="4" s="1"/>
  <c r="EN710" i="4"/>
  <c r="EN708" i="4"/>
  <c r="EN704" i="4"/>
  <c r="EN686" i="4"/>
  <c r="FN686" i="4" s="1"/>
  <c r="AS686" i="4" s="1"/>
  <c r="EN684" i="4"/>
  <c r="FN684" i="4" s="1"/>
  <c r="EN682" i="4"/>
  <c r="EN354" i="4"/>
  <c r="EO421" i="4"/>
  <c r="FO421" i="4" s="1"/>
  <c r="EO415" i="4"/>
  <c r="FO415" i="4" s="1"/>
  <c r="AU251" i="4"/>
  <c r="AU245" i="4"/>
  <c r="AU223" i="4"/>
  <c r="EN723" i="4"/>
  <c r="FN723" i="4" s="1"/>
  <c r="EN683" i="4"/>
  <c r="FN683" i="4" s="1"/>
  <c r="AS683" i="4" s="1"/>
  <c r="EO417" i="4"/>
  <c r="FO417" i="4" s="1"/>
  <c r="EO411" i="4"/>
  <c r="FO411" i="4" s="1"/>
  <c r="AU261" i="4"/>
  <c r="AU253" i="4"/>
  <c r="AU247" i="4"/>
  <c r="AU227" i="4"/>
  <c r="AU215" i="4"/>
  <c r="EO419" i="4"/>
  <c r="FO419" i="4" s="1"/>
  <c r="EO413" i="4"/>
  <c r="FO413" i="4" s="1"/>
  <c r="EO409" i="4"/>
  <c r="FO409" i="4" s="1"/>
  <c r="AU219" i="4"/>
  <c r="FO632" i="4"/>
  <c r="FO576" i="4"/>
  <c r="EO508" i="4"/>
  <c r="FO508" i="4" s="1"/>
  <c r="EO506" i="4"/>
  <c r="EO472" i="4"/>
  <c r="FO472" i="4" s="1"/>
  <c r="EO422" i="4"/>
  <c r="FO388" i="4"/>
  <c r="AU388" i="4" s="1"/>
  <c r="EO362" i="4"/>
  <c r="FO362" i="4" s="1"/>
  <c r="AU362" i="4" s="1"/>
  <c r="EO354" i="4"/>
  <c r="AU264" i="4"/>
  <c r="EN715" i="4"/>
  <c r="FN715" i="4" s="1"/>
  <c r="EN707" i="4"/>
  <c r="EN385" i="4"/>
  <c r="FN385" i="4" s="1"/>
  <c r="EN329" i="4"/>
  <c r="FN329" i="4" s="1"/>
  <c r="EN626" i="4"/>
  <c r="FN626" i="4" s="1"/>
  <c r="EN576" i="4"/>
  <c r="EN470" i="4"/>
  <c r="FN470" i="4" s="1"/>
  <c r="EO658" i="4"/>
  <c r="EO652" i="4"/>
  <c r="FO652" i="4" s="1"/>
  <c r="AU652" i="4" s="1"/>
  <c r="EO650" i="4"/>
  <c r="FO650" i="4" s="1"/>
  <c r="AU650" i="4" s="1"/>
  <c r="EO620" i="4"/>
  <c r="FO620" i="4" s="1"/>
  <c r="AU620" i="4" s="1"/>
  <c r="EO618" i="4"/>
  <c r="FO618" i="4" s="1"/>
  <c r="EO530" i="4"/>
  <c r="FO530" i="4" s="1"/>
  <c r="EO528" i="4"/>
  <c r="FO528" i="4" s="1"/>
  <c r="EO526" i="4"/>
  <c r="EO516" i="4"/>
  <c r="FO516" i="4" s="1"/>
  <c r="EO410" i="4"/>
  <c r="EO384" i="4"/>
  <c r="FO384" i="4" s="1"/>
  <c r="EO330" i="4"/>
  <c r="FO330" i="4" s="1"/>
  <c r="AU330" i="4" s="1"/>
  <c r="EO314" i="4"/>
  <c r="FO314" i="4" s="1"/>
  <c r="AU314" i="4" s="1"/>
  <c r="EO296" i="4"/>
  <c r="FO296" i="4" s="1"/>
  <c r="AU296" i="4" s="1"/>
  <c r="AU272" i="4"/>
  <c r="AU230" i="4"/>
  <c r="FN720" i="4"/>
  <c r="FN708" i="4"/>
  <c r="FN704" i="4"/>
  <c r="EN696" i="4"/>
  <c r="FN696" i="4" s="1"/>
  <c r="EN348" i="4"/>
  <c r="AS272" i="4"/>
  <c r="AS270" i="4"/>
  <c r="AS266" i="4"/>
  <c r="EN450" i="4"/>
  <c r="FN450" i="4" s="1"/>
  <c r="EN577" i="4"/>
  <c r="FN577" i="4" s="1"/>
  <c r="EN481" i="4"/>
  <c r="FN481" i="4" s="1"/>
  <c r="EN432" i="4"/>
  <c r="EO577" i="4"/>
  <c r="FO577" i="4" s="1"/>
  <c r="EO481" i="4"/>
  <c r="FO481" i="4" s="1"/>
  <c r="EO473" i="4"/>
  <c r="FO473" i="4" s="1"/>
  <c r="EO383" i="4"/>
  <c r="FO383" i="4" s="1"/>
  <c r="EO375" i="4"/>
  <c r="FO375" i="4" s="1"/>
  <c r="EO373" i="4"/>
  <c r="FO373" i="4" s="1"/>
  <c r="EO365" i="4"/>
  <c r="FO365" i="4" s="1"/>
  <c r="EO363" i="4"/>
  <c r="FO363" i="4" s="1"/>
  <c r="AU279" i="4"/>
  <c r="EN455" i="4"/>
  <c r="FN455" i="4" s="1"/>
  <c r="EN716" i="4"/>
  <c r="FN716" i="4" s="1"/>
  <c r="EN714" i="4"/>
  <c r="FN714" i="4" s="1"/>
  <c r="EN712" i="4"/>
  <c r="FN712" i="4" s="1"/>
  <c r="EN706" i="4"/>
  <c r="FN706" i="4" s="1"/>
  <c r="EN700" i="4"/>
  <c r="FN700" i="4" s="1"/>
  <c r="EN694" i="4"/>
  <c r="FN694" i="4" s="1"/>
  <c r="AS694" i="4" s="1"/>
  <c r="EN690" i="4"/>
  <c r="FN690" i="4" s="1"/>
  <c r="AS690" i="4" s="1"/>
  <c r="EN678" i="4"/>
  <c r="FN678" i="4" s="1"/>
  <c r="AS678" i="4" s="1"/>
  <c r="EN667" i="4"/>
  <c r="FN667" i="4" s="1"/>
  <c r="AS667" i="4" s="1"/>
  <c r="EN675" i="4"/>
  <c r="FN675" i="4" s="1"/>
  <c r="AS675" i="4" s="1"/>
  <c r="EN386" i="4"/>
  <c r="FN386" i="4" s="1"/>
  <c r="EN384" i="4"/>
  <c r="FN384" i="4" s="1"/>
  <c r="EN370" i="4"/>
  <c r="FN370" i="4" s="1"/>
  <c r="EN368" i="4"/>
  <c r="FN368" i="4" s="1"/>
  <c r="EN366" i="4"/>
  <c r="FN366" i="4" s="1"/>
  <c r="EN360" i="4"/>
  <c r="FN360" i="4" s="1"/>
  <c r="EN358" i="4"/>
  <c r="EN346" i="4"/>
  <c r="FN346" i="4" s="1"/>
  <c r="EN338" i="4"/>
  <c r="FN338" i="4" s="1"/>
  <c r="EN336" i="4"/>
  <c r="FN336" i="4" s="1"/>
  <c r="EN334" i="4"/>
  <c r="FN334" i="4" s="1"/>
  <c r="EN330" i="4"/>
  <c r="FN330" i="4" s="1"/>
  <c r="EN328" i="4"/>
  <c r="FN328" i="4" s="1"/>
  <c r="EN326" i="4"/>
  <c r="FN326" i="4" s="1"/>
  <c r="EN324" i="4"/>
  <c r="FN324" i="4" s="1"/>
  <c r="EN316" i="4"/>
  <c r="EN298" i="4"/>
  <c r="AS274" i="4"/>
  <c r="EN660" i="4"/>
  <c r="EN565" i="4"/>
  <c r="FN565" i="4" s="1"/>
  <c r="EN497" i="4"/>
  <c r="FN497" i="4" s="1"/>
  <c r="EN465" i="4"/>
  <c r="FN465" i="4" s="1"/>
  <c r="EN692" i="4"/>
  <c r="FN692" i="4" s="1"/>
  <c r="EN557" i="4"/>
  <c r="FN557" i="4" s="1"/>
  <c r="EN443" i="4"/>
  <c r="FN443" i="4" s="1"/>
  <c r="EN433" i="4"/>
  <c r="FN433" i="4" s="1"/>
  <c r="EO583" i="4"/>
  <c r="FO583" i="4" s="1"/>
  <c r="EN719" i="4"/>
  <c r="FN719" i="4" s="1"/>
  <c r="AS719" i="4" s="1"/>
  <c r="EN711" i="4"/>
  <c r="FN711" i="4" s="1"/>
  <c r="EN703" i="4"/>
  <c r="FN703" i="4" s="1"/>
  <c r="EN699" i="4"/>
  <c r="FN699" i="4" s="1"/>
  <c r="EN695" i="4"/>
  <c r="FN695" i="4" s="1"/>
  <c r="AS695" i="4" s="1"/>
  <c r="EN691" i="4"/>
  <c r="FN691" i="4" s="1"/>
  <c r="EN687" i="4"/>
  <c r="FN687" i="4" s="1"/>
  <c r="AS687" i="4" s="1"/>
  <c r="EN679" i="4"/>
  <c r="FN679" i="4" s="1"/>
  <c r="AS679" i="4" s="1"/>
  <c r="EN676" i="4"/>
  <c r="EN674" i="4"/>
  <c r="FN674" i="4" s="1"/>
  <c r="EN361" i="4"/>
  <c r="FN361" i="4" s="1"/>
  <c r="AS281" i="4"/>
  <c r="AS241" i="4"/>
  <c r="EO535" i="4"/>
  <c r="FO535" i="4" s="1"/>
  <c r="EO527" i="4"/>
  <c r="FO527" i="4" s="1"/>
  <c r="EN475" i="4"/>
  <c r="FN475" i="4" s="1"/>
  <c r="EN467" i="4"/>
  <c r="FN467" i="4" s="1"/>
  <c r="FN432" i="4"/>
  <c r="EO675" i="4"/>
  <c r="FO675" i="4" s="1"/>
  <c r="AU675" i="4" s="1"/>
  <c r="EO673" i="4"/>
  <c r="FO673" i="4" s="1"/>
  <c r="AU673" i="4" s="1"/>
  <c r="EO671" i="4"/>
  <c r="FO671" i="4" s="1"/>
  <c r="AU671" i="4" s="1"/>
  <c r="EO648" i="4"/>
  <c r="FO648" i="4" s="1"/>
  <c r="EO646" i="4"/>
  <c r="FO646" i="4" s="1"/>
  <c r="AU646" i="4" s="1"/>
  <c r="EO628" i="4"/>
  <c r="FO628" i="4" s="1"/>
  <c r="EO626" i="4"/>
  <c r="FO626" i="4" s="1"/>
  <c r="EO600" i="4"/>
  <c r="FO600" i="4" s="1"/>
  <c r="EO598" i="4"/>
  <c r="FO598" i="4" s="1"/>
  <c r="AU598" i="4" s="1"/>
  <c r="EO596" i="4"/>
  <c r="FO596" i="4" s="1"/>
  <c r="AU596" i="4" s="1"/>
  <c r="EO594" i="4"/>
  <c r="FO594" i="4" s="1"/>
  <c r="EO582" i="4"/>
  <c r="EO580" i="4"/>
  <c r="FO580" i="4" s="1"/>
  <c r="AU580" i="4" s="1"/>
  <c r="EO566" i="4"/>
  <c r="FO566" i="4" s="1"/>
  <c r="EO564" i="4"/>
  <c r="FO564" i="4" s="1"/>
  <c r="EO562" i="4"/>
  <c r="FO562" i="4" s="1"/>
  <c r="EO560" i="4"/>
  <c r="FO560" i="4" s="1"/>
  <c r="EO558" i="4"/>
  <c r="EO548" i="4"/>
  <c r="FO548" i="4" s="1"/>
  <c r="EO546" i="4"/>
  <c r="FO546" i="4" s="1"/>
  <c r="EO544" i="4"/>
  <c r="FO544" i="4" s="1"/>
  <c r="EO542" i="4"/>
  <c r="FO542" i="4" s="1"/>
  <c r="EO492" i="4"/>
  <c r="FO492" i="4" s="1"/>
  <c r="EO490" i="4"/>
  <c r="EO488" i="4"/>
  <c r="FO488" i="4" s="1"/>
  <c r="EO480" i="4"/>
  <c r="FO480" i="4" s="1"/>
  <c r="EO478" i="4"/>
  <c r="FO478" i="4" s="1"/>
  <c r="EO476" i="4"/>
  <c r="FO476" i="4" s="1"/>
  <c r="EO461" i="4"/>
  <c r="FO461" i="4" s="1"/>
  <c r="EO459" i="4"/>
  <c r="FO459" i="4" s="1"/>
  <c r="EO454" i="4"/>
  <c r="FO454" i="4" s="1"/>
  <c r="EO452" i="4"/>
  <c r="FO452" i="4" s="1"/>
  <c r="AU452" i="4" s="1"/>
  <c r="EO440" i="4"/>
  <c r="FO440" i="4" s="1"/>
  <c r="EO436" i="4"/>
  <c r="FO436" i="4" s="1"/>
  <c r="AU436" i="4" s="1"/>
  <c r="EO432" i="4"/>
  <c r="FO432" i="4" s="1"/>
  <c r="EO420" i="4"/>
  <c r="FO420" i="4" s="1"/>
  <c r="EO416" i="4"/>
  <c r="FO416" i="4" s="1"/>
  <c r="EO414" i="4"/>
  <c r="FO414" i="4" s="1"/>
  <c r="AU414" i="4" s="1"/>
  <c r="EO406" i="4"/>
  <c r="FO406" i="4" s="1"/>
  <c r="AU406" i="4" s="1"/>
  <c r="EO386" i="4"/>
  <c r="FO386" i="4" s="1"/>
  <c r="AU386" i="4" s="1"/>
  <c r="EO382" i="4"/>
  <c r="FO382" i="4" s="1"/>
  <c r="AU382" i="4" s="1"/>
  <c r="EO376" i="4"/>
  <c r="FO376" i="4" s="1"/>
  <c r="EO352" i="4"/>
  <c r="FO352" i="4" s="1"/>
  <c r="AU352" i="4" s="1"/>
  <c r="EO328" i="4"/>
  <c r="FO328" i="4" s="1"/>
  <c r="EO322" i="4"/>
  <c r="FO322" i="4" s="1"/>
  <c r="AU322" i="4" s="1"/>
  <c r="EO320" i="4"/>
  <c r="FO320" i="4" s="1"/>
  <c r="AU320" i="4" s="1"/>
  <c r="EO312" i="4"/>
  <c r="FO312" i="4" s="1"/>
  <c r="EO298" i="4"/>
  <c r="FO298" i="4" s="1"/>
  <c r="AU298" i="4" s="1"/>
  <c r="AU280" i="4"/>
  <c r="AU250" i="4"/>
  <c r="EO571" i="4"/>
  <c r="FO571" i="4" s="1"/>
  <c r="EO569" i="4"/>
  <c r="FO569" i="4" s="1"/>
  <c r="EN541" i="4"/>
  <c r="FN541" i="4" s="1"/>
  <c r="EN533" i="4"/>
  <c r="FN533" i="4" s="1"/>
  <c r="EN529" i="4"/>
  <c r="FN529" i="4" s="1"/>
  <c r="EN517" i="4"/>
  <c r="FN517" i="4" s="1"/>
  <c r="EN471" i="4"/>
  <c r="EN451" i="4"/>
  <c r="FN451" i="4" s="1"/>
  <c r="EN423" i="4"/>
  <c r="EN637" i="4"/>
  <c r="FN637" i="4" s="1"/>
  <c r="AS637" i="4" s="1"/>
  <c r="FN376" i="4"/>
  <c r="FN660" i="4"/>
  <c r="AS660" i="4" s="1"/>
  <c r="AU285" i="4"/>
  <c r="EN727" i="4"/>
  <c r="FN727" i="4" s="1"/>
  <c r="AS727" i="4" s="1"/>
  <c r="EN672" i="4"/>
  <c r="FN672" i="4" s="1"/>
  <c r="AS672" i="4" s="1"/>
  <c r="EN617" i="4"/>
  <c r="FN617" i="4" s="1"/>
  <c r="FN456" i="4"/>
  <c r="EM333" i="4"/>
  <c r="EO333" i="4"/>
  <c r="FO333" i="4" s="1"/>
  <c r="EN717" i="4"/>
  <c r="FN717" i="4" s="1"/>
  <c r="FN576" i="4"/>
  <c r="EO631" i="4"/>
  <c r="FO631" i="4" s="1"/>
  <c r="EO609" i="4"/>
  <c r="FO609" i="4" s="1"/>
  <c r="EO537" i="4"/>
  <c r="FO537" i="4" s="1"/>
  <c r="EN663" i="4"/>
  <c r="FN663" i="4" s="1"/>
  <c r="AS663" i="4" s="1"/>
  <c r="EN530" i="4"/>
  <c r="FN530" i="4" s="1"/>
  <c r="EN482" i="4"/>
  <c r="FN482" i="4" s="1"/>
  <c r="EN440" i="4"/>
  <c r="FN440" i="4" s="1"/>
  <c r="EN659" i="4"/>
  <c r="FN659" i="4" s="1"/>
  <c r="AS659" i="4" s="1"/>
  <c r="EN657" i="4"/>
  <c r="FN657" i="4" s="1"/>
  <c r="AS657" i="4" s="1"/>
  <c r="EO643" i="4"/>
  <c r="FO643" i="4" s="1"/>
  <c r="AU643" i="4" s="1"/>
  <c r="EN610" i="4"/>
  <c r="FN610" i="4" s="1"/>
  <c r="EN526" i="4"/>
  <c r="FN526" i="4" s="1"/>
  <c r="EO666" i="4"/>
  <c r="FO666" i="4" s="1"/>
  <c r="AU666" i="4" s="1"/>
  <c r="EO662" i="4"/>
  <c r="FO662" i="4" s="1"/>
  <c r="AU662" i="4" s="1"/>
  <c r="FO658" i="4"/>
  <c r="AU658" i="4" s="1"/>
  <c r="EO656" i="4"/>
  <c r="FO656" i="4" s="1"/>
  <c r="AU656" i="4" s="1"/>
  <c r="FO638" i="4"/>
  <c r="EO624" i="4"/>
  <c r="FO624" i="4" s="1"/>
  <c r="EO616" i="4"/>
  <c r="FO616" i="4" s="1"/>
  <c r="EO608" i="4"/>
  <c r="FO608" i="4" s="1"/>
  <c r="EO606" i="4"/>
  <c r="FO606" i="4" s="1"/>
  <c r="AU606" i="4" s="1"/>
  <c r="EO592" i="4"/>
  <c r="FO592" i="4" s="1"/>
  <c r="EO588" i="4"/>
  <c r="FO588" i="4" s="1"/>
  <c r="AU588" i="4" s="1"/>
  <c r="EO584" i="4"/>
  <c r="FO584" i="4" s="1"/>
  <c r="FO582" i="4"/>
  <c r="FO578" i="4"/>
  <c r="EO572" i="4"/>
  <c r="FO572" i="4" s="1"/>
  <c r="EO568" i="4"/>
  <c r="FO568" i="4" s="1"/>
  <c r="FO558" i="4"/>
  <c r="EN685" i="4"/>
  <c r="FN685" i="4" s="1"/>
  <c r="AS685" i="4" s="1"/>
  <c r="EO679" i="4"/>
  <c r="FO679" i="4" s="1"/>
  <c r="AU679" i="4" s="1"/>
  <c r="EN628" i="4"/>
  <c r="FN628" i="4" s="1"/>
  <c r="EN554" i="4"/>
  <c r="FN554" i="4" s="1"/>
  <c r="EN506" i="4"/>
  <c r="FN506" i="4" s="1"/>
  <c r="EN502" i="4"/>
  <c r="FN502" i="4" s="1"/>
  <c r="FN397" i="4"/>
  <c r="FN710" i="4"/>
  <c r="AS710" i="4" s="1"/>
  <c r="EN702" i="4"/>
  <c r="FN702" i="4" s="1"/>
  <c r="AS702" i="4" s="1"/>
  <c r="EN698" i="4"/>
  <c r="FN698" i="4" s="1"/>
  <c r="AS698" i="4" s="1"/>
  <c r="EN688" i="4"/>
  <c r="FN688" i="4" s="1"/>
  <c r="FN682" i="4"/>
  <c r="EN680" i="4"/>
  <c r="FN680" i="4" s="1"/>
  <c r="AS680" i="4" s="1"/>
  <c r="EN382" i="4"/>
  <c r="FN382" i="4" s="1"/>
  <c r="EN378" i="4"/>
  <c r="FN378" i="4" s="1"/>
  <c r="FN374" i="4"/>
  <c r="FN362" i="4"/>
  <c r="FN358" i="4"/>
  <c r="FN354" i="4"/>
  <c r="EN352" i="4"/>
  <c r="FN352" i="4" s="1"/>
  <c r="EN350" i="4"/>
  <c r="FN350" i="4" s="1"/>
  <c r="FN348" i="4"/>
  <c r="EN344" i="4"/>
  <c r="FN344" i="4" s="1"/>
  <c r="FN316" i="4"/>
  <c r="FN314" i="4"/>
  <c r="EN312" i="4"/>
  <c r="FN312" i="4" s="1"/>
  <c r="EN310" i="4"/>
  <c r="FN310" i="4" s="1"/>
  <c r="EN308" i="4"/>
  <c r="FN308" i="4" s="1"/>
  <c r="EN306" i="4"/>
  <c r="FN306" i="4" s="1"/>
  <c r="EN304" i="4"/>
  <c r="FN304" i="4" s="1"/>
  <c r="EN302" i="4"/>
  <c r="FN302" i="4" s="1"/>
  <c r="FN298" i="4"/>
  <c r="FN296" i="4"/>
  <c r="FN290" i="4"/>
  <c r="AS286" i="4"/>
  <c r="AS280" i="4"/>
  <c r="AS278" i="4"/>
  <c r="AS264" i="4"/>
  <c r="AS262" i="4"/>
  <c r="AS258" i="4"/>
  <c r="AS254" i="4"/>
  <c r="AS252" i="4"/>
  <c r="AS250" i="4"/>
  <c r="AS248" i="4"/>
  <c r="AS246" i="4"/>
  <c r="AS240" i="4"/>
  <c r="AS238" i="4"/>
  <c r="AS236" i="4"/>
  <c r="AS234" i="4"/>
  <c r="EO663" i="4"/>
  <c r="FO663" i="4" s="1"/>
  <c r="AU663" i="4" s="1"/>
  <c r="EN641" i="4"/>
  <c r="FN641" i="4" s="1"/>
  <c r="EN605" i="4"/>
  <c r="FN605" i="4" s="1"/>
  <c r="AS605" i="4" s="1"/>
  <c r="EN601" i="4"/>
  <c r="FN601" i="4" s="1"/>
  <c r="EN490" i="4"/>
  <c r="FN490" i="4" s="1"/>
  <c r="EN426" i="4"/>
  <c r="FN426" i="4" s="1"/>
  <c r="FO554" i="4"/>
  <c r="EO552" i="4"/>
  <c r="FO552" i="4" s="1"/>
  <c r="EO550" i="4"/>
  <c r="FO550" i="4" s="1"/>
  <c r="EO540" i="4"/>
  <c r="FO540" i="4" s="1"/>
  <c r="EO538" i="4"/>
  <c r="FO538" i="4" s="1"/>
  <c r="EO536" i="4"/>
  <c r="FO536" i="4" s="1"/>
  <c r="EO534" i="4"/>
  <c r="FO534" i="4" s="1"/>
  <c r="EO532" i="4"/>
  <c r="FO532" i="4" s="1"/>
  <c r="FO526" i="4"/>
  <c r="EO524" i="4"/>
  <c r="FO524" i="4" s="1"/>
  <c r="EO522" i="4"/>
  <c r="FO522" i="4" s="1"/>
  <c r="EO520" i="4"/>
  <c r="FO520" i="4" s="1"/>
  <c r="EO518" i="4"/>
  <c r="FO518" i="4" s="1"/>
  <c r="EO512" i="4"/>
  <c r="FO512" i="4" s="1"/>
  <c r="FO506" i="4"/>
  <c r="EO504" i="4"/>
  <c r="FO504" i="4" s="1"/>
  <c r="EO502" i="4"/>
  <c r="FO502" i="4" s="1"/>
  <c r="EO500" i="4"/>
  <c r="FO500" i="4" s="1"/>
  <c r="EO496" i="4"/>
  <c r="FO496" i="4" s="1"/>
  <c r="FO490" i="4"/>
  <c r="EO484" i="4"/>
  <c r="FO484" i="4" s="1"/>
  <c r="EO474" i="4"/>
  <c r="FO474" i="4" s="1"/>
  <c r="EO468" i="4"/>
  <c r="FO468" i="4" s="1"/>
  <c r="EO466" i="4"/>
  <c r="FO466" i="4" s="1"/>
  <c r="EO464" i="4"/>
  <c r="FO464" i="4" s="1"/>
  <c r="EO456" i="4"/>
  <c r="FO456" i="4" s="1"/>
  <c r="FO450" i="4"/>
  <c r="AU450" i="4" s="1"/>
  <c r="EO446" i="4"/>
  <c r="FO446" i="4" s="1"/>
  <c r="AU446" i="4" s="1"/>
  <c r="EO444" i="4"/>
  <c r="FO444" i="4" s="1"/>
  <c r="AU444" i="4" s="1"/>
  <c r="EO442" i="4"/>
  <c r="FO442" i="4" s="1"/>
  <c r="AU442" i="4" s="1"/>
  <c r="EO438" i="4"/>
  <c r="FO438" i="4" s="1"/>
  <c r="AU438" i="4" s="1"/>
  <c r="EO434" i="4"/>
  <c r="FO434" i="4" s="1"/>
  <c r="AU434" i="4" s="1"/>
  <c r="EO430" i="4"/>
  <c r="FO430" i="4" s="1"/>
  <c r="AU430" i="4" s="1"/>
  <c r="EO428" i="4"/>
  <c r="FO428" i="4" s="1"/>
  <c r="AU428" i="4" s="1"/>
  <c r="EO426" i="4"/>
  <c r="FO426" i="4" s="1"/>
  <c r="AU426" i="4" s="1"/>
  <c r="EO424" i="4"/>
  <c r="FO424" i="4" s="1"/>
  <c r="FO422" i="4"/>
  <c r="EO418" i="4"/>
  <c r="FO418" i="4" s="1"/>
  <c r="AU418" i="4" s="1"/>
  <c r="EO412" i="4"/>
  <c r="FO412" i="4" s="1"/>
  <c r="FO410" i="4"/>
  <c r="AU410" i="4" s="1"/>
  <c r="EO408" i="4"/>
  <c r="FO408" i="4" s="1"/>
  <c r="EO404" i="4"/>
  <c r="FO404" i="4" s="1"/>
  <c r="AU404" i="4" s="1"/>
  <c r="EO402" i="4"/>
  <c r="FO402" i="4" s="1"/>
  <c r="EO400" i="4"/>
  <c r="FO400" i="4" s="1"/>
  <c r="EO398" i="4"/>
  <c r="FO398" i="4" s="1"/>
  <c r="EO396" i="4"/>
  <c r="FO396" i="4" s="1"/>
  <c r="EO394" i="4"/>
  <c r="FO394" i="4" s="1"/>
  <c r="EO392" i="4"/>
  <c r="FO392" i="4" s="1"/>
  <c r="FO390" i="4"/>
  <c r="EO378" i="4"/>
  <c r="FO378" i="4" s="1"/>
  <c r="AU378" i="4" s="1"/>
  <c r="EO370" i="4"/>
  <c r="FO370" i="4" s="1"/>
  <c r="AU370" i="4" s="1"/>
  <c r="EO368" i="4"/>
  <c r="FO368" i="4" s="1"/>
  <c r="EO360" i="4"/>
  <c r="FO360" i="4" s="1"/>
  <c r="AU360" i="4" s="1"/>
  <c r="FO354" i="4"/>
  <c r="AU354" i="4" s="1"/>
  <c r="EO346" i="4"/>
  <c r="FO346" i="4" s="1"/>
  <c r="AU346" i="4" s="1"/>
  <c r="EO344" i="4"/>
  <c r="FO344" i="4" s="1"/>
  <c r="AU344" i="4" s="1"/>
  <c r="EO338" i="4"/>
  <c r="FO338" i="4" s="1"/>
  <c r="AU338" i="4" s="1"/>
  <c r="EO336" i="4"/>
  <c r="FO336" i="4" s="1"/>
  <c r="AU336" i="4" s="1"/>
  <c r="EO306" i="4"/>
  <c r="FO306" i="4" s="1"/>
  <c r="AU306" i="4" s="1"/>
  <c r="EO304" i="4"/>
  <c r="FO304" i="4" s="1"/>
  <c r="AU304" i="4" s="1"/>
  <c r="EO290" i="4"/>
  <c r="FO290" i="4" s="1"/>
  <c r="AU290" i="4" s="1"/>
  <c r="AU274" i="4"/>
  <c r="AU266" i="4"/>
  <c r="AU258" i="4"/>
  <c r="AU256" i="4"/>
  <c r="AU248" i="4"/>
  <c r="AU214" i="4"/>
  <c r="EN709" i="4"/>
  <c r="FN709" i="4" s="1"/>
  <c r="AS709" i="4" s="1"/>
  <c r="EN677" i="4"/>
  <c r="FN677" i="4" s="1"/>
  <c r="AS677" i="4" s="1"/>
  <c r="EO676" i="4"/>
  <c r="FO676" i="4" s="1"/>
  <c r="EN669" i="4"/>
  <c r="FN669" i="4" s="1"/>
  <c r="AS669" i="4" s="1"/>
  <c r="EO651" i="4"/>
  <c r="FO651" i="4" s="1"/>
  <c r="AU651" i="4" s="1"/>
  <c r="EN648" i="4"/>
  <c r="FN648" i="4" s="1"/>
  <c r="AS648" i="4" s="1"/>
  <c r="EN644" i="4"/>
  <c r="FN644" i="4" s="1"/>
  <c r="AS644" i="4" s="1"/>
  <c r="EN632" i="4"/>
  <c r="FN632" i="4" s="1"/>
  <c r="EN614" i="4"/>
  <c r="FN614" i="4" s="1"/>
  <c r="EN598" i="4"/>
  <c r="FN598" i="4" s="1"/>
  <c r="EN593" i="4"/>
  <c r="FN593" i="4" s="1"/>
  <c r="EN505" i="4"/>
  <c r="FN505" i="4" s="1"/>
  <c r="EN485" i="4"/>
  <c r="FN485" i="4" s="1"/>
  <c r="EN429" i="4"/>
  <c r="FN429" i="4" s="1"/>
  <c r="EN409" i="4"/>
  <c r="FN409" i="4" s="1"/>
  <c r="EN395" i="4"/>
  <c r="FN395" i="4" s="1"/>
  <c r="EN393" i="4"/>
  <c r="FN393" i="4" s="1"/>
  <c r="EN387" i="4"/>
  <c r="FN387" i="4" s="1"/>
  <c r="EN666" i="4"/>
  <c r="FN666" i="4" s="1"/>
  <c r="AS666" i="4" s="1"/>
  <c r="EN630" i="4"/>
  <c r="FN630" i="4" s="1"/>
  <c r="EN621" i="4"/>
  <c r="FN621" i="4" s="1"/>
  <c r="AS621" i="4" s="1"/>
  <c r="EO615" i="4"/>
  <c r="FO615" i="4" s="1"/>
  <c r="AU615" i="4" s="1"/>
  <c r="EN573" i="4"/>
  <c r="FN573" i="4" s="1"/>
  <c r="AS573" i="4" s="1"/>
  <c r="EN569" i="4"/>
  <c r="FN569" i="4" s="1"/>
  <c r="EN558" i="4"/>
  <c r="FN558" i="4" s="1"/>
  <c r="EN510" i="4"/>
  <c r="FN510" i="4" s="1"/>
  <c r="EN474" i="4"/>
  <c r="FN474" i="4" s="1"/>
  <c r="EN462" i="4"/>
  <c r="FN462" i="4" s="1"/>
  <c r="EN434" i="4"/>
  <c r="FN434" i="4" s="1"/>
  <c r="EN421" i="4"/>
  <c r="FN421" i="4" s="1"/>
  <c r="EN415" i="4"/>
  <c r="FN415" i="4" s="1"/>
  <c r="FN471" i="4"/>
  <c r="EO573" i="4"/>
  <c r="FO573" i="4" s="1"/>
  <c r="EO561" i="4"/>
  <c r="FO561" i="4" s="1"/>
  <c r="EO529" i="4"/>
  <c r="FO529" i="4" s="1"/>
  <c r="EO509" i="4"/>
  <c r="FO509" i="4" s="1"/>
  <c r="EO493" i="4"/>
  <c r="FO493" i="4" s="1"/>
  <c r="EO477" i="4"/>
  <c r="FO477" i="4" s="1"/>
  <c r="EO463" i="4"/>
  <c r="FO463" i="4" s="1"/>
  <c r="EO457" i="4"/>
  <c r="FO457" i="4" s="1"/>
  <c r="EO451" i="4"/>
  <c r="FO451" i="4" s="1"/>
  <c r="EO445" i="4"/>
  <c r="FO445" i="4" s="1"/>
  <c r="EO443" i="4"/>
  <c r="FO443" i="4" s="1"/>
  <c r="EO439" i="4"/>
  <c r="FO439" i="4" s="1"/>
  <c r="EO435" i="4"/>
  <c r="FO435" i="4" s="1"/>
  <c r="EO433" i="4"/>
  <c r="FO433" i="4" s="1"/>
  <c r="EO427" i="4"/>
  <c r="FO427" i="4" s="1"/>
  <c r="EO423" i="4"/>
  <c r="FO423" i="4" s="1"/>
  <c r="EO405" i="4"/>
  <c r="FO405" i="4" s="1"/>
  <c r="EO401" i="4"/>
  <c r="FO401" i="4" s="1"/>
  <c r="EO399" i="4"/>
  <c r="FO399" i="4" s="1"/>
  <c r="EO397" i="4"/>
  <c r="FO397" i="4" s="1"/>
  <c r="EO385" i="4"/>
  <c r="FO385" i="4" s="1"/>
  <c r="EO359" i="4"/>
  <c r="FO359" i="4" s="1"/>
  <c r="EO347" i="4"/>
  <c r="FO347" i="4" s="1"/>
  <c r="EO341" i="4"/>
  <c r="FO341" i="4" s="1"/>
  <c r="EO331" i="4"/>
  <c r="FO331" i="4" s="1"/>
  <c r="AU331" i="4" s="1"/>
  <c r="EO311" i="4"/>
  <c r="FO311" i="4" s="1"/>
  <c r="EO295" i="4"/>
  <c r="FO295" i="4" s="1"/>
  <c r="EO293" i="4"/>
  <c r="FO293" i="4" s="1"/>
  <c r="AU269" i="4"/>
  <c r="AU267" i="4"/>
  <c r="AU263" i="4"/>
  <c r="AU231" i="4"/>
  <c r="EN693" i="4"/>
  <c r="FN693" i="4" s="1"/>
  <c r="EN670" i="4"/>
  <c r="FN670" i="4" s="1"/>
  <c r="AS670" i="4" s="1"/>
  <c r="EN656" i="4"/>
  <c r="FN656" i="4" s="1"/>
  <c r="EN645" i="4"/>
  <c r="FN645" i="4" s="1"/>
  <c r="AS645" i="4" s="1"/>
  <c r="EO627" i="4"/>
  <c r="FO627" i="4" s="1"/>
  <c r="EN597" i="4"/>
  <c r="FN597" i="4" s="1"/>
  <c r="AS597" i="4" s="1"/>
  <c r="EN581" i="4"/>
  <c r="FN581" i="4" s="1"/>
  <c r="AS581" i="4" s="1"/>
  <c r="EN574" i="4"/>
  <c r="FN574" i="4" s="1"/>
  <c r="EN522" i="4"/>
  <c r="FN522" i="4" s="1"/>
  <c r="EN477" i="4"/>
  <c r="FN477" i="4" s="1"/>
  <c r="EN463" i="4"/>
  <c r="FN463" i="4" s="1"/>
  <c r="EN405" i="4"/>
  <c r="FN405" i="4" s="1"/>
  <c r="EN313" i="4"/>
  <c r="FN313" i="4" s="1"/>
  <c r="EN297" i="4"/>
  <c r="FN297" i="4" s="1"/>
  <c r="AS239" i="4"/>
  <c r="AS237" i="4"/>
  <c r="EN701" i="4"/>
  <c r="FN701" i="4" s="1"/>
  <c r="AS701" i="4" s="1"/>
  <c r="EN650" i="4"/>
  <c r="FN650" i="4" s="1"/>
  <c r="AS650" i="4" s="1"/>
  <c r="EN636" i="4"/>
  <c r="FN636" i="4" s="1"/>
  <c r="EN629" i="4"/>
  <c r="FN629" i="4" s="1"/>
  <c r="EN618" i="4"/>
  <c r="FN618" i="4" s="1"/>
  <c r="EN604" i="4"/>
  <c r="FN604" i="4" s="1"/>
  <c r="EN548" i="4"/>
  <c r="FN548" i="4" s="1"/>
  <c r="EN546" i="4"/>
  <c r="FN546" i="4" s="1"/>
  <c r="EN441" i="4"/>
  <c r="FN441" i="4" s="1"/>
  <c r="EN417" i="4"/>
  <c r="FN417" i="4" s="1"/>
  <c r="EN411" i="4"/>
  <c r="FN411" i="4" s="1"/>
  <c r="FN676" i="4"/>
  <c r="AS676" i="4" s="1"/>
  <c r="EN537" i="4"/>
  <c r="FN537" i="4" s="1"/>
  <c r="EJ537" i="4"/>
  <c r="EN438" i="4"/>
  <c r="FN438" i="4" s="1"/>
  <c r="EJ438" i="4"/>
  <c r="EJ663" i="4"/>
  <c r="EJ645" i="4"/>
  <c r="EM643" i="4"/>
  <c r="EJ629" i="4"/>
  <c r="EJ621" i="4"/>
  <c r="EJ601" i="4"/>
  <c r="EJ574" i="4"/>
  <c r="EJ569" i="4"/>
  <c r="EJ541" i="4"/>
  <c r="EN540" i="4"/>
  <c r="FN540" i="4" s="1"/>
  <c r="EJ540" i="4"/>
  <c r="EN518" i="4"/>
  <c r="FN518" i="4" s="1"/>
  <c r="EJ518" i="4"/>
  <c r="EN487" i="4"/>
  <c r="FN487" i="4" s="1"/>
  <c r="EJ487" i="4"/>
  <c r="EJ482" i="4"/>
  <c r="EJ475" i="4"/>
  <c r="EN464" i="4"/>
  <c r="FN464" i="4" s="1"/>
  <c r="EJ464" i="4"/>
  <c r="EJ451" i="4"/>
  <c r="EJ440" i="4"/>
  <c r="EJ434" i="4"/>
  <c r="EO425" i="4"/>
  <c r="FO425" i="4" s="1"/>
  <c r="EJ417" i="4"/>
  <c r="EJ397" i="4"/>
  <c r="EJ387" i="4"/>
  <c r="EO379" i="4"/>
  <c r="FO379" i="4" s="1"/>
  <c r="EN342" i="4"/>
  <c r="FN342" i="4" s="1"/>
  <c r="EN320" i="4"/>
  <c r="FN320" i="4" s="1"/>
  <c r="EN318" i="4"/>
  <c r="FN318" i="4" s="1"/>
  <c r="AS284" i="4"/>
  <c r="EO670" i="4"/>
  <c r="FO670" i="4" s="1"/>
  <c r="AU670" i="4" s="1"/>
  <c r="EO668" i="4"/>
  <c r="FO668" i="4" s="1"/>
  <c r="AU668" i="4" s="1"/>
  <c r="EJ666" i="4"/>
  <c r="EN665" i="4"/>
  <c r="FN665" i="4" s="1"/>
  <c r="AS665" i="4" s="1"/>
  <c r="EN662" i="4"/>
  <c r="FN662" i="4" s="1"/>
  <c r="AS662" i="4" s="1"/>
  <c r="EN654" i="4"/>
  <c r="FN654" i="4" s="1"/>
  <c r="AS654" i="4" s="1"/>
  <c r="EN651" i="4"/>
  <c r="EN642" i="4"/>
  <c r="FN642" i="4" s="1"/>
  <c r="EN635" i="4"/>
  <c r="FN635" i="4" s="1"/>
  <c r="AS635" i="4" s="1"/>
  <c r="EN633" i="4"/>
  <c r="FN633" i="4" s="1"/>
  <c r="EJ633" i="4"/>
  <c r="EJ630" i="4"/>
  <c r="EN620" i="4"/>
  <c r="FN620" i="4" s="1"/>
  <c r="EJ618" i="4"/>
  <c r="EN612" i="4"/>
  <c r="FN612" i="4" s="1"/>
  <c r="EJ610" i="4"/>
  <c r="EN609" i="4"/>
  <c r="FN609" i="4" s="1"/>
  <c r="EN606" i="4"/>
  <c r="FN606" i="4" s="1"/>
  <c r="EN588" i="4"/>
  <c r="FN588" i="4" s="1"/>
  <c r="EN586" i="4"/>
  <c r="FN586" i="4" s="1"/>
  <c r="EJ581" i="4"/>
  <c r="EN580" i="4"/>
  <c r="FN580" i="4" s="1"/>
  <c r="EJ577" i="4"/>
  <c r="EJ558" i="4"/>
  <c r="EN549" i="4"/>
  <c r="FN549" i="4" s="1"/>
  <c r="EN538" i="4"/>
  <c r="FN538" i="4" s="1"/>
  <c r="EJ533" i="4"/>
  <c r="EN532" i="4"/>
  <c r="FN532" i="4" s="1"/>
  <c r="EN521" i="4"/>
  <c r="FN521" i="4" s="1"/>
  <c r="EJ521" i="4"/>
  <c r="EO519" i="4"/>
  <c r="FO519" i="4" s="1"/>
  <c r="EJ510" i="4"/>
  <c r="EN509" i="4"/>
  <c r="FN509" i="4" s="1"/>
  <c r="EJ497" i="4"/>
  <c r="EN493" i="4"/>
  <c r="FN493" i="4" s="1"/>
  <c r="EJ485" i="4"/>
  <c r="EN484" i="4"/>
  <c r="FN484" i="4" s="1"/>
  <c r="EJ471" i="4"/>
  <c r="EJ462" i="4"/>
  <c r="EJ465" i="4"/>
  <c r="EJ459" i="4"/>
  <c r="EN457" i="4"/>
  <c r="FN457" i="4" s="1"/>
  <c r="EN445" i="4"/>
  <c r="FN445" i="4" s="1"/>
  <c r="EJ441" i="4"/>
  <c r="EN439" i="4"/>
  <c r="FN439" i="4" s="1"/>
  <c r="EJ429" i="4"/>
  <c r="EN427" i="4"/>
  <c r="FN427" i="4" s="1"/>
  <c r="EJ423" i="4"/>
  <c r="EN422" i="4"/>
  <c r="FN422" i="4" s="1"/>
  <c r="EJ422" i="4"/>
  <c r="EN416" i="4"/>
  <c r="FN416" i="4" s="1"/>
  <c r="EJ411" i="4"/>
  <c r="EN410" i="4"/>
  <c r="FN410" i="4" s="1"/>
  <c r="EN401" i="4"/>
  <c r="FN401" i="4" s="1"/>
  <c r="EJ393" i="4"/>
  <c r="EN391" i="4"/>
  <c r="FN391" i="4" s="1"/>
  <c r="EO345" i="4"/>
  <c r="FO345" i="4" s="1"/>
  <c r="AS225" i="4"/>
  <c r="AS221" i="4"/>
  <c r="EO485" i="4"/>
  <c r="FO485" i="4" s="1"/>
  <c r="EO381" i="4"/>
  <c r="FO381" i="4" s="1"/>
  <c r="EN673" i="4"/>
  <c r="FN673" i="4" s="1"/>
  <c r="AS673" i="4" s="1"/>
  <c r="EO653" i="4"/>
  <c r="FO653" i="4" s="1"/>
  <c r="AU653" i="4" s="1"/>
  <c r="EO619" i="4"/>
  <c r="FO619" i="4" s="1"/>
  <c r="EO599" i="4"/>
  <c r="FO599" i="4" s="1"/>
  <c r="EO587" i="4"/>
  <c r="FO587" i="4" s="1"/>
  <c r="EO567" i="4"/>
  <c r="FO567" i="4" s="1"/>
  <c r="EO559" i="4"/>
  <c r="FO559" i="4" s="1"/>
  <c r="FN423" i="4"/>
  <c r="EN402" i="4"/>
  <c r="FN402" i="4" s="1"/>
  <c r="EJ402" i="4"/>
  <c r="EN380" i="4"/>
  <c r="FN380" i="4" s="1"/>
  <c r="EN322" i="4"/>
  <c r="FN322" i="4" s="1"/>
  <c r="AS256" i="4"/>
  <c r="AU237" i="4"/>
  <c r="AS232" i="4"/>
  <c r="EO724" i="4"/>
  <c r="FO724" i="4" s="1"/>
  <c r="EN721" i="4"/>
  <c r="FN721" i="4" s="1"/>
  <c r="EO716" i="4"/>
  <c r="FO716" i="4" s="1"/>
  <c r="EN713" i="4"/>
  <c r="FN713" i="4" s="1"/>
  <c r="AS713" i="4" s="1"/>
  <c r="EO708" i="4"/>
  <c r="FO708" i="4" s="1"/>
  <c r="EN705" i="4"/>
  <c r="FN705" i="4" s="1"/>
  <c r="AS705" i="4" s="1"/>
  <c r="EO700" i="4"/>
  <c r="FO700" i="4" s="1"/>
  <c r="EN566" i="4"/>
  <c r="FN566" i="4" s="1"/>
  <c r="AS566" i="4" s="1"/>
  <c r="EJ566" i="4"/>
  <c r="EN406" i="4"/>
  <c r="FN406" i="4" s="1"/>
  <c r="EJ406" i="4"/>
  <c r="EO677" i="4"/>
  <c r="FO677" i="4" s="1"/>
  <c r="AU677" i="4" s="1"/>
  <c r="EN668" i="4"/>
  <c r="FN668" i="4" s="1"/>
  <c r="AS668" i="4" s="1"/>
  <c r="EO661" i="4"/>
  <c r="FO661" i="4" s="1"/>
  <c r="AU661" i="4" s="1"/>
  <c r="EN658" i="4"/>
  <c r="FN658" i="4" s="1"/>
  <c r="AS658" i="4" s="1"/>
  <c r="EO644" i="4"/>
  <c r="FO644" i="4" s="1"/>
  <c r="EN643" i="4"/>
  <c r="EN624" i="4"/>
  <c r="FN624" i="4" s="1"/>
  <c r="EN592" i="4"/>
  <c r="FN592" i="4" s="1"/>
  <c r="EN589" i="4"/>
  <c r="FN589" i="4" s="1"/>
  <c r="EN561" i="4"/>
  <c r="FN561" i="4" s="1"/>
  <c r="EN550" i="4"/>
  <c r="FN550" i="4" s="1"/>
  <c r="EJ550" i="4"/>
  <c r="EN525" i="4"/>
  <c r="FN525" i="4" s="1"/>
  <c r="EN498" i="4"/>
  <c r="FN498" i="4" s="1"/>
  <c r="EJ498" i="4"/>
  <c r="EN488" i="4"/>
  <c r="FN488" i="4" s="1"/>
  <c r="EN453" i="4"/>
  <c r="FN453" i="4" s="1"/>
  <c r="EN447" i="4"/>
  <c r="FN447" i="4" s="1"/>
  <c r="EN435" i="4"/>
  <c r="FN435" i="4" s="1"/>
  <c r="EN430" i="4"/>
  <c r="FN430" i="4" s="1"/>
  <c r="EJ430" i="4"/>
  <c r="EN424" i="4"/>
  <c r="FN424" i="4" s="1"/>
  <c r="EN418" i="4"/>
  <c r="FN418" i="4" s="1"/>
  <c r="EN398" i="4"/>
  <c r="FN398" i="4" s="1"/>
  <c r="EJ398" i="4"/>
  <c r="EN389" i="4"/>
  <c r="FN389" i="4" s="1"/>
  <c r="EO361" i="4"/>
  <c r="FO361" i="4" s="1"/>
  <c r="EM361" i="4"/>
  <c r="AU244" i="4"/>
  <c r="EN725" i="4"/>
  <c r="FN725" i="4" s="1"/>
  <c r="AS725" i="4" s="1"/>
  <c r="EO720" i="4"/>
  <c r="FO720" i="4" s="1"/>
  <c r="EN697" i="4"/>
  <c r="FN697" i="4" s="1"/>
  <c r="AS697" i="4" s="1"/>
  <c r="EO692" i="4"/>
  <c r="FO692" i="4" s="1"/>
  <c r="EN689" i="4"/>
  <c r="FN689" i="4" s="1"/>
  <c r="AS689" i="4" s="1"/>
  <c r="EO684" i="4"/>
  <c r="FO684" i="4" s="1"/>
  <c r="EN681" i="4"/>
  <c r="FN681" i="4" s="1"/>
  <c r="AS681" i="4" s="1"/>
  <c r="EN524" i="4"/>
  <c r="FN524" i="4" s="1"/>
  <c r="EJ524" i="4"/>
  <c r="EN479" i="4"/>
  <c r="FN479" i="4" s="1"/>
  <c r="EJ479" i="4"/>
  <c r="EJ717" i="4"/>
  <c r="EJ709" i="4"/>
  <c r="EJ701" i="4"/>
  <c r="EJ693" i="4"/>
  <c r="EJ685" i="4"/>
  <c r="EJ677" i="4"/>
  <c r="EJ672" i="4"/>
  <c r="EN664" i="4"/>
  <c r="FN664" i="4" s="1"/>
  <c r="EJ659" i="4"/>
  <c r="EJ656" i="4"/>
  <c r="EN652" i="4"/>
  <c r="FN652" i="4" s="1"/>
  <c r="EJ650" i="4"/>
  <c r="EN649" i="4"/>
  <c r="FN649" i="4" s="1"/>
  <c r="AS649" i="4" s="1"/>
  <c r="EN646" i="4"/>
  <c r="FN646" i="4" s="1"/>
  <c r="AS646" i="4" s="1"/>
  <c r="EJ644" i="4"/>
  <c r="EN640" i="4"/>
  <c r="FN640" i="4" s="1"/>
  <c r="EJ637" i="4"/>
  <c r="EN634" i="4"/>
  <c r="FN634" i="4" s="1"/>
  <c r="EN627" i="4"/>
  <c r="FN627" i="4" s="1"/>
  <c r="AS627" i="4" s="1"/>
  <c r="EO614" i="4"/>
  <c r="FO614" i="4" s="1"/>
  <c r="AU614" i="4" s="1"/>
  <c r="EJ605" i="4"/>
  <c r="EN602" i="4"/>
  <c r="FN602" i="4" s="1"/>
  <c r="EJ597" i="4"/>
  <c r="EN596" i="4"/>
  <c r="FN596" i="4" s="1"/>
  <c r="EJ593" i="4"/>
  <c r="EN572" i="4"/>
  <c r="FN572" i="4" s="1"/>
  <c r="EN570" i="4"/>
  <c r="FN570" i="4" s="1"/>
  <c r="EJ565" i="4"/>
  <c r="EN564" i="4"/>
  <c r="FN564" i="4" s="1"/>
  <c r="EN553" i="4"/>
  <c r="FN553" i="4" s="1"/>
  <c r="EJ553" i="4"/>
  <c r="EO551" i="4"/>
  <c r="FO551" i="4" s="1"/>
  <c r="EJ548" i="4"/>
  <c r="EO543" i="4"/>
  <c r="FO543" i="4" s="1"/>
  <c r="EN542" i="4"/>
  <c r="FN542" i="4" s="1"/>
  <c r="EJ526" i="4"/>
  <c r="EJ517" i="4"/>
  <c r="EN513" i="4"/>
  <c r="FN513" i="4" s="1"/>
  <c r="EJ505" i="4"/>
  <c r="EJ502" i="4"/>
  <c r="EN486" i="4"/>
  <c r="FN486" i="4" s="1"/>
  <c r="EN483" i="4"/>
  <c r="FN483" i="4" s="1"/>
  <c r="EJ483" i="4"/>
  <c r="EJ477" i="4"/>
  <c r="EN476" i="4"/>
  <c r="FN476" i="4" s="1"/>
  <c r="EJ463" i="4"/>
  <c r="EN460" i="4"/>
  <c r="FN460" i="4" s="1"/>
  <c r="EJ455" i="4"/>
  <c r="EN454" i="4"/>
  <c r="FN454" i="4" s="1"/>
  <c r="EJ454" i="4"/>
  <c r="EN448" i="4"/>
  <c r="FN448" i="4" s="1"/>
  <c r="EJ443" i="4"/>
  <c r="EN442" i="4"/>
  <c r="FN442" i="4" s="1"/>
  <c r="EJ432" i="4"/>
  <c r="EJ426" i="4"/>
  <c r="EN425" i="4"/>
  <c r="FN425" i="4" s="1"/>
  <c r="EN413" i="4"/>
  <c r="FN413" i="4" s="1"/>
  <c r="EJ409" i="4"/>
  <c r="EN407" i="4"/>
  <c r="FN407" i="4" s="1"/>
  <c r="EJ399" i="4"/>
  <c r="EN394" i="4"/>
  <c r="FN394" i="4" s="1"/>
  <c r="EJ394" i="4"/>
  <c r="EO377" i="4"/>
  <c r="FO377" i="4" s="1"/>
  <c r="EO329" i="4"/>
  <c r="FO329" i="4" s="1"/>
  <c r="AS226" i="4"/>
  <c r="EO712" i="4"/>
  <c r="FO712" i="4" s="1"/>
  <c r="EO704" i="4"/>
  <c r="FO704" i="4" s="1"/>
  <c r="EO696" i="4"/>
  <c r="FO696" i="4" s="1"/>
  <c r="EO688" i="4"/>
  <c r="FO688" i="4" s="1"/>
  <c r="EN446" i="4"/>
  <c r="FN446" i="4" s="1"/>
  <c r="EJ446" i="4"/>
  <c r="EO726" i="4"/>
  <c r="FO726" i="4" s="1"/>
  <c r="EO722" i="4"/>
  <c r="FO722" i="4" s="1"/>
  <c r="EO718" i="4"/>
  <c r="FO718" i="4" s="1"/>
  <c r="EO714" i="4"/>
  <c r="FO714" i="4" s="1"/>
  <c r="EO710" i="4"/>
  <c r="FO710" i="4" s="1"/>
  <c r="EO706" i="4"/>
  <c r="FO706" i="4" s="1"/>
  <c r="EO702" i="4"/>
  <c r="FO702" i="4" s="1"/>
  <c r="EO698" i="4"/>
  <c r="FO698" i="4" s="1"/>
  <c r="EO694" i="4"/>
  <c r="FO694" i="4" s="1"/>
  <c r="EO690" i="4"/>
  <c r="FO690" i="4" s="1"/>
  <c r="EO686" i="4"/>
  <c r="FO686" i="4" s="1"/>
  <c r="EO682" i="4"/>
  <c r="EN671" i="4"/>
  <c r="FN671" i="4" s="1"/>
  <c r="AS671" i="4" s="1"/>
  <c r="EN661" i="4"/>
  <c r="FN661" i="4" s="1"/>
  <c r="AS661" i="4" s="1"/>
  <c r="EN653" i="4"/>
  <c r="FN653" i="4" s="1"/>
  <c r="EJ641" i="4"/>
  <c r="EO635" i="4"/>
  <c r="FO635" i="4" s="1"/>
  <c r="EJ632" i="4"/>
  <c r="EN625" i="4"/>
  <c r="FN625" i="4" s="1"/>
  <c r="EN616" i="4"/>
  <c r="FN616" i="4" s="1"/>
  <c r="EO612" i="4"/>
  <c r="FO612" i="4" s="1"/>
  <c r="AU612" i="4" s="1"/>
  <c r="EN611" i="4"/>
  <c r="FN611" i="4" s="1"/>
  <c r="AS611" i="4" s="1"/>
  <c r="EN608" i="4"/>
  <c r="FN608" i="4" s="1"/>
  <c r="EO603" i="4"/>
  <c r="FO603" i="4" s="1"/>
  <c r="EN590" i="4"/>
  <c r="FN590" i="4" s="1"/>
  <c r="EN585" i="4"/>
  <c r="FN585" i="4" s="1"/>
  <c r="EN582" i="4"/>
  <c r="FN582" i="4" s="1"/>
  <c r="EJ573" i="4"/>
  <c r="EN562" i="4"/>
  <c r="FN562" i="4" s="1"/>
  <c r="AS562" i="4" s="1"/>
  <c r="EJ557" i="4"/>
  <c r="EN556" i="4"/>
  <c r="FN556" i="4" s="1"/>
  <c r="EJ556" i="4"/>
  <c r="EN545" i="4"/>
  <c r="FN545" i="4" s="1"/>
  <c r="EN534" i="4"/>
  <c r="FN534" i="4" s="1"/>
  <c r="EJ534" i="4"/>
  <c r="EJ529" i="4"/>
  <c r="EJ506" i="4"/>
  <c r="EN501" i="4"/>
  <c r="FN501" i="4" s="1"/>
  <c r="EJ490" i="4"/>
  <c r="EN489" i="4"/>
  <c r="FN489" i="4" s="1"/>
  <c r="EJ481" i="4"/>
  <c r="EN480" i="4"/>
  <c r="FN480" i="4" s="1"/>
  <c r="EJ474" i="4"/>
  <c r="EN472" i="4"/>
  <c r="FN472" i="4" s="1"/>
  <c r="EJ470" i="4"/>
  <c r="EN468" i="4"/>
  <c r="FN468" i="4" s="1"/>
  <c r="EJ467" i="4"/>
  <c r="EN466" i="4"/>
  <c r="FN466" i="4" s="1"/>
  <c r="EJ456" i="4"/>
  <c r="EJ450" i="4"/>
  <c r="EN449" i="4"/>
  <c r="FN449" i="4" s="1"/>
  <c r="EN437" i="4"/>
  <c r="FN437" i="4" s="1"/>
  <c r="EJ433" i="4"/>
  <c r="EN431" i="4"/>
  <c r="FN431" i="4" s="1"/>
  <c r="EJ421" i="4"/>
  <c r="EN419" i="4"/>
  <c r="FN419" i="4" s="1"/>
  <c r="AS419" i="4" s="1"/>
  <c r="EJ415" i="4"/>
  <c r="EN414" i="4"/>
  <c r="FN414" i="4" s="1"/>
  <c r="AS414" i="4" s="1"/>
  <c r="EJ414" i="4"/>
  <c r="EJ405" i="4"/>
  <c r="EN403" i="4"/>
  <c r="FN403" i="4" s="1"/>
  <c r="EJ395" i="4"/>
  <c r="EN390" i="4"/>
  <c r="FN390" i="4" s="1"/>
  <c r="EJ390" i="4"/>
  <c r="EN638" i="4"/>
  <c r="FN638" i="4" s="1"/>
  <c r="EN622" i="4"/>
  <c r="FN622" i="4" s="1"/>
  <c r="EN619" i="4"/>
  <c r="FN619" i="4" s="1"/>
  <c r="EN613" i="4"/>
  <c r="FN613" i="4" s="1"/>
  <c r="EO611" i="4"/>
  <c r="FO611" i="4" s="1"/>
  <c r="EN603" i="4"/>
  <c r="FN603" i="4" s="1"/>
  <c r="AS603" i="4" s="1"/>
  <c r="EN600" i="4"/>
  <c r="FN600" i="4" s="1"/>
  <c r="EO595" i="4"/>
  <c r="FO595" i="4" s="1"/>
  <c r="EN594" i="4"/>
  <c r="FN594" i="4" s="1"/>
  <c r="AS594" i="4" s="1"/>
  <c r="EO591" i="4"/>
  <c r="FO591" i="4" s="1"/>
  <c r="EN584" i="4"/>
  <c r="FN584" i="4" s="1"/>
  <c r="EO579" i="4"/>
  <c r="FO579" i="4" s="1"/>
  <c r="EN578" i="4"/>
  <c r="FN578" i="4" s="1"/>
  <c r="EO575" i="4"/>
  <c r="FO575" i="4" s="1"/>
  <c r="AU575" i="4" s="1"/>
  <c r="EN568" i="4"/>
  <c r="FN568" i="4" s="1"/>
  <c r="EN514" i="4"/>
  <c r="FN514" i="4" s="1"/>
  <c r="EN494" i="4"/>
  <c r="FN494" i="4" s="1"/>
  <c r="AS494" i="4" s="1"/>
  <c r="EN478" i="4"/>
  <c r="FN478" i="4" s="1"/>
  <c r="EN473" i="4"/>
  <c r="FN473" i="4" s="1"/>
  <c r="EN469" i="4"/>
  <c r="FN469" i="4" s="1"/>
  <c r="AS469" i="4" s="1"/>
  <c r="EN458" i="4"/>
  <c r="FN458" i="4" s="1"/>
  <c r="EN461" i="4"/>
  <c r="FN461" i="4" s="1"/>
  <c r="EN452" i="4"/>
  <c r="FN452" i="4" s="1"/>
  <c r="EN444" i="4"/>
  <c r="FN444" i="4" s="1"/>
  <c r="EN436" i="4"/>
  <c r="FN436" i="4" s="1"/>
  <c r="EN428" i="4"/>
  <c r="FN428" i="4" s="1"/>
  <c r="EN420" i="4"/>
  <c r="FN420" i="4" s="1"/>
  <c r="EN412" i="4"/>
  <c r="FN412" i="4" s="1"/>
  <c r="EN404" i="4"/>
  <c r="FN404" i="4" s="1"/>
  <c r="EN396" i="4"/>
  <c r="FN396" i="4" s="1"/>
  <c r="EN388" i="4"/>
  <c r="FN388" i="4" s="1"/>
  <c r="AU281" i="4"/>
  <c r="AS214" i="4"/>
  <c r="EN408" i="4"/>
  <c r="FN408" i="4" s="1"/>
  <c r="EN400" i="4"/>
  <c r="FN400" i="4" s="1"/>
  <c r="EN392" i="4"/>
  <c r="FN392" i="4" s="1"/>
  <c r="AS218" i="4"/>
  <c r="AS213" i="4"/>
  <c r="AU249" i="4"/>
  <c r="AU239" i="4"/>
  <c r="AS230" i="4"/>
  <c r="AS216" i="4"/>
  <c r="EO297" i="4"/>
  <c r="FO297" i="4" s="1"/>
  <c r="AS217" i="4"/>
  <c r="AU648" i="4"/>
  <c r="AU241" i="4"/>
  <c r="AS222" i="4"/>
  <c r="EO313" i="4"/>
  <c r="FO313" i="4" s="1"/>
  <c r="AU265" i="4"/>
  <c r="AS229" i="4"/>
  <c r="AU674" i="4"/>
  <c r="AU665" i="4"/>
  <c r="EN507" i="4"/>
  <c r="FN507" i="4" s="1"/>
  <c r="EJ507" i="4"/>
  <c r="EM465" i="4"/>
  <c r="EO465" i="4"/>
  <c r="FO465" i="4" s="1"/>
  <c r="EJ357" i="4"/>
  <c r="EN357" i="4"/>
  <c r="FN357" i="4" s="1"/>
  <c r="EN340" i="4"/>
  <c r="FN340" i="4" s="1"/>
  <c r="EO337" i="4"/>
  <c r="FO337" i="4" s="1"/>
  <c r="EM337" i="4"/>
  <c r="EM303" i="4"/>
  <c r="EO303" i="4"/>
  <c r="FO303" i="4" s="1"/>
  <c r="AS260" i="4"/>
  <c r="EO659" i="4"/>
  <c r="FO659" i="4" s="1"/>
  <c r="AU659" i="4" s="1"/>
  <c r="EO647" i="4"/>
  <c r="EO630" i="4"/>
  <c r="FO630" i="4" s="1"/>
  <c r="EO601" i="4"/>
  <c r="FO601" i="4" s="1"/>
  <c r="EN575" i="4"/>
  <c r="FN575" i="4" s="1"/>
  <c r="EJ575" i="4"/>
  <c r="EM563" i="4"/>
  <c r="EO563" i="4"/>
  <c r="FO563" i="4" s="1"/>
  <c r="EM555" i="4"/>
  <c r="EO555" i="4"/>
  <c r="FO555" i="4" s="1"/>
  <c r="EM547" i="4"/>
  <c r="EO547" i="4"/>
  <c r="FO547" i="4" s="1"/>
  <c r="EM531" i="4"/>
  <c r="EO531" i="4"/>
  <c r="FO531" i="4" s="1"/>
  <c r="EN511" i="4"/>
  <c r="FN511" i="4" s="1"/>
  <c r="EJ511" i="4"/>
  <c r="EN496" i="4"/>
  <c r="FN496" i="4" s="1"/>
  <c r="EJ496" i="4"/>
  <c r="EM371" i="4"/>
  <c r="EO371" i="4"/>
  <c r="FO371" i="4" s="1"/>
  <c r="EN356" i="4"/>
  <c r="FN356" i="4" s="1"/>
  <c r="EM319" i="4"/>
  <c r="EO319" i="4"/>
  <c r="FO319" i="4" s="1"/>
  <c r="AU278" i="4"/>
  <c r="AU242" i="4"/>
  <c r="EO669" i="4"/>
  <c r="FO669" i="4" s="1"/>
  <c r="AU669" i="4" s="1"/>
  <c r="EM668" i="4"/>
  <c r="EJ664" i="4"/>
  <c r="EO660" i="4"/>
  <c r="EJ657" i="4"/>
  <c r="EO654" i="4"/>
  <c r="FO654" i="4" s="1"/>
  <c r="AU654" i="4" s="1"/>
  <c r="EM653" i="4"/>
  <c r="EJ651" i="4"/>
  <c r="EO642" i="4"/>
  <c r="FO642" i="4" s="1"/>
  <c r="EO636" i="4"/>
  <c r="FO636" i="4" s="1"/>
  <c r="EJ634" i="4"/>
  <c r="EO625" i="4"/>
  <c r="FO625" i="4" s="1"/>
  <c r="EJ622" i="4"/>
  <c r="EJ616" i="4"/>
  <c r="EN615" i="4"/>
  <c r="FN615" i="4" s="1"/>
  <c r="EJ615" i="4"/>
  <c r="EO613" i="4"/>
  <c r="EM612" i="4"/>
  <c r="EO607" i="4"/>
  <c r="FO607" i="4" s="1"/>
  <c r="EJ604" i="4"/>
  <c r="EO597" i="4"/>
  <c r="FO597" i="4" s="1"/>
  <c r="EM587" i="4"/>
  <c r="EJ586" i="4"/>
  <c r="EJ576" i="4"/>
  <c r="EO574" i="4"/>
  <c r="FO574" i="4" s="1"/>
  <c r="AU574" i="4" s="1"/>
  <c r="EN571" i="4"/>
  <c r="EJ571" i="4"/>
  <c r="EM569" i="4"/>
  <c r="EO565" i="4"/>
  <c r="EO557" i="4"/>
  <c r="FO557" i="4" s="1"/>
  <c r="EO549" i="4"/>
  <c r="FO549" i="4" s="1"/>
  <c r="EO541" i="4"/>
  <c r="FO541" i="4" s="1"/>
  <c r="EO533" i="4"/>
  <c r="FO533" i="4" s="1"/>
  <c r="EO525" i="4"/>
  <c r="FO525" i="4" s="1"/>
  <c r="EN515" i="4"/>
  <c r="FN515" i="4" s="1"/>
  <c r="EJ515" i="4"/>
  <c r="EO510" i="4"/>
  <c r="FO510" i="4" s="1"/>
  <c r="EN500" i="4"/>
  <c r="FN500" i="4" s="1"/>
  <c r="EJ500" i="4"/>
  <c r="EM491" i="4"/>
  <c r="EO491" i="4"/>
  <c r="FO491" i="4" s="1"/>
  <c r="EM487" i="4"/>
  <c r="EO487" i="4"/>
  <c r="FO487" i="4" s="1"/>
  <c r="EO470" i="4"/>
  <c r="FO470" i="4" s="1"/>
  <c r="EM374" i="4"/>
  <c r="EO374" i="4"/>
  <c r="FO374" i="4" s="1"/>
  <c r="EJ373" i="4"/>
  <c r="EN373" i="4"/>
  <c r="FN373" i="4" s="1"/>
  <c r="EJ327" i="4"/>
  <c r="EN327" i="4"/>
  <c r="FN327" i="4" s="1"/>
  <c r="EM294" i="4"/>
  <c r="EO294" i="4"/>
  <c r="FO294" i="4" s="1"/>
  <c r="AU294" i="4" s="1"/>
  <c r="EJ293" i="4"/>
  <c r="EN293" i="4"/>
  <c r="FN293" i="4" s="1"/>
  <c r="AS276" i="4"/>
  <c r="AU273" i="4"/>
  <c r="AS249" i="4"/>
  <c r="AU236" i="4"/>
  <c r="AU233" i="4"/>
  <c r="EN631" i="4"/>
  <c r="FN631" i="4" s="1"/>
  <c r="EJ631" i="4"/>
  <c r="EN579" i="4"/>
  <c r="FN579" i="4" s="1"/>
  <c r="EJ579" i="4"/>
  <c r="EM515" i="4"/>
  <c r="EO515" i="4"/>
  <c r="FO515" i="4" s="1"/>
  <c r="EN492" i="4"/>
  <c r="FN492" i="4" s="1"/>
  <c r="EJ492" i="4"/>
  <c r="EM358" i="4"/>
  <c r="EO358" i="4"/>
  <c r="FO358" i="4" s="1"/>
  <c r="AU358" i="4" s="1"/>
  <c r="AU275" i="4"/>
  <c r="AU257" i="4"/>
  <c r="AS220" i="4"/>
  <c r="EN655" i="4"/>
  <c r="EJ655" i="4"/>
  <c r="EM539" i="4"/>
  <c r="EO539" i="4"/>
  <c r="FO539" i="4" s="1"/>
  <c r="EM523" i="4"/>
  <c r="EO523" i="4"/>
  <c r="FO523" i="4" s="1"/>
  <c r="EO353" i="4"/>
  <c r="FO353" i="4" s="1"/>
  <c r="EM353" i="4"/>
  <c r="EJ311" i="4"/>
  <c r="EN311" i="4"/>
  <c r="FN311" i="4" s="1"/>
  <c r="EM291" i="4"/>
  <c r="EO291" i="4"/>
  <c r="FO291" i="4" s="1"/>
  <c r="AS277" i="4"/>
  <c r="AU221" i="4"/>
  <c r="EJ665" i="4"/>
  <c r="EJ658" i="4"/>
  <c r="EJ646" i="4"/>
  <c r="EJ640" i="4"/>
  <c r="EN639" i="4"/>
  <c r="EJ639" i="4"/>
  <c r="EJ628" i="4"/>
  <c r="EM619" i="4"/>
  <c r="EJ617" i="4"/>
  <c r="EJ611" i="4"/>
  <c r="EO602" i="4"/>
  <c r="FO602" i="4" s="1"/>
  <c r="EN599" i="4"/>
  <c r="FN599" i="4" s="1"/>
  <c r="EJ599" i="4"/>
  <c r="EM583" i="4"/>
  <c r="EJ582" i="4"/>
  <c r="EJ572" i="4"/>
  <c r="EO570" i="4"/>
  <c r="FO570" i="4" s="1"/>
  <c r="EN567" i="4"/>
  <c r="FN567" i="4" s="1"/>
  <c r="EJ567" i="4"/>
  <c r="EN563" i="4"/>
  <c r="FN563" i="4" s="1"/>
  <c r="EJ563" i="4"/>
  <c r="EN559" i="4"/>
  <c r="FN559" i="4" s="1"/>
  <c r="AS559" i="4" s="1"/>
  <c r="EJ559" i="4"/>
  <c r="EN555" i="4"/>
  <c r="FN555" i="4" s="1"/>
  <c r="AS555" i="4" s="1"/>
  <c r="EJ555" i="4"/>
  <c r="EN551" i="4"/>
  <c r="FN551" i="4" s="1"/>
  <c r="EJ551" i="4"/>
  <c r="EN547" i="4"/>
  <c r="FN547" i="4" s="1"/>
  <c r="EJ547" i="4"/>
  <c r="EN543" i="4"/>
  <c r="FN543" i="4" s="1"/>
  <c r="EJ543" i="4"/>
  <c r="EN539" i="4"/>
  <c r="FN539" i="4" s="1"/>
  <c r="EJ539" i="4"/>
  <c r="EN535" i="4"/>
  <c r="FN535" i="4" s="1"/>
  <c r="EJ535" i="4"/>
  <c r="EN531" i="4"/>
  <c r="FN531" i="4" s="1"/>
  <c r="EJ531" i="4"/>
  <c r="EN527" i="4"/>
  <c r="FN527" i="4" s="1"/>
  <c r="EJ527" i="4"/>
  <c r="EN523" i="4"/>
  <c r="FN523" i="4" s="1"/>
  <c r="EJ523" i="4"/>
  <c r="EN519" i="4"/>
  <c r="FN519" i="4" s="1"/>
  <c r="EJ519" i="4"/>
  <c r="EO514" i="4"/>
  <c r="FO514" i="4" s="1"/>
  <c r="EN504" i="4"/>
  <c r="FN504" i="4" s="1"/>
  <c r="EJ504" i="4"/>
  <c r="EM495" i="4"/>
  <c r="EO495" i="4"/>
  <c r="FO495" i="4" s="1"/>
  <c r="EM483" i="4"/>
  <c r="EO483" i="4"/>
  <c r="FO483" i="4" s="1"/>
  <c r="EO467" i="4"/>
  <c r="FO467" i="4" s="1"/>
  <c r="EN372" i="4"/>
  <c r="FN372" i="4" s="1"/>
  <c r="EO369" i="4"/>
  <c r="FO369" i="4" s="1"/>
  <c r="EM369" i="4"/>
  <c r="EN345" i="4"/>
  <c r="FN345" i="4" s="1"/>
  <c r="EM335" i="4"/>
  <c r="EO335" i="4"/>
  <c r="FO335" i="4" s="1"/>
  <c r="EM307" i="4"/>
  <c r="EO307" i="4"/>
  <c r="FO307" i="4" s="1"/>
  <c r="EN292" i="4"/>
  <c r="FN292" i="4" s="1"/>
  <c r="AS265" i="4"/>
  <c r="AU255" i="4"/>
  <c r="AS247" i="4"/>
  <c r="AU226" i="4"/>
  <c r="EO727" i="4"/>
  <c r="FO727" i="4" s="1"/>
  <c r="EO725" i="4"/>
  <c r="FO725" i="4" s="1"/>
  <c r="EO723" i="4"/>
  <c r="FO723" i="4" s="1"/>
  <c r="EO721" i="4"/>
  <c r="FO721" i="4" s="1"/>
  <c r="EO719" i="4"/>
  <c r="FO719" i="4" s="1"/>
  <c r="EO717" i="4"/>
  <c r="FO717" i="4" s="1"/>
  <c r="EO715" i="4"/>
  <c r="FO715" i="4" s="1"/>
  <c r="EO713" i="4"/>
  <c r="FO713" i="4" s="1"/>
  <c r="EO711" i="4"/>
  <c r="FO711" i="4" s="1"/>
  <c r="EO709" i="4"/>
  <c r="FO709" i="4" s="1"/>
  <c r="EO707" i="4"/>
  <c r="FO707" i="4" s="1"/>
  <c r="EO705" i="4"/>
  <c r="FO705" i="4" s="1"/>
  <c r="EO703" i="4"/>
  <c r="FO703" i="4" s="1"/>
  <c r="EO701" i="4"/>
  <c r="FO701" i="4" s="1"/>
  <c r="EO699" i="4"/>
  <c r="FO699" i="4" s="1"/>
  <c r="EO697" i="4"/>
  <c r="FO697" i="4" s="1"/>
  <c r="EO695" i="4"/>
  <c r="FO695" i="4" s="1"/>
  <c r="EO693" i="4"/>
  <c r="FO693" i="4" s="1"/>
  <c r="EO691" i="4"/>
  <c r="FO691" i="4" s="1"/>
  <c r="EO689" i="4"/>
  <c r="FO689" i="4" s="1"/>
  <c r="EO687" i="4"/>
  <c r="FO687" i="4" s="1"/>
  <c r="EO685" i="4"/>
  <c r="FO685" i="4" s="1"/>
  <c r="EO683" i="4"/>
  <c r="EO681" i="4"/>
  <c r="EO680" i="4"/>
  <c r="EO678" i="4"/>
  <c r="FO678" i="4" s="1"/>
  <c r="AU678" i="4" s="1"/>
  <c r="EO667" i="4"/>
  <c r="FO667" i="4" s="1"/>
  <c r="AU667" i="4" s="1"/>
  <c r="EN595" i="4"/>
  <c r="FN595" i="4" s="1"/>
  <c r="EJ595" i="4"/>
  <c r="EN491" i="4"/>
  <c r="FN491" i="4" s="1"/>
  <c r="EJ491" i="4"/>
  <c r="EM351" i="4"/>
  <c r="EO351" i="4"/>
  <c r="FO351" i="4" s="1"/>
  <c r="EJ343" i="4"/>
  <c r="EN343" i="4"/>
  <c r="FN343" i="4" s="1"/>
  <c r="EM323" i="4"/>
  <c r="EO323" i="4"/>
  <c r="FO323" i="4" s="1"/>
  <c r="EJ309" i="4"/>
  <c r="EN309" i="4"/>
  <c r="FN309" i="4" s="1"/>
  <c r="AS263" i="4"/>
  <c r="AU240" i="4"/>
  <c r="EO633" i="4"/>
  <c r="FO633" i="4" s="1"/>
  <c r="EN623" i="4"/>
  <c r="FN623" i="4" s="1"/>
  <c r="EJ623" i="4"/>
  <c r="EO621" i="4"/>
  <c r="FO621" i="4" s="1"/>
  <c r="AU621" i="4" s="1"/>
  <c r="EN591" i="4"/>
  <c r="FN591" i="4" s="1"/>
  <c r="EJ591" i="4"/>
  <c r="EO585" i="4"/>
  <c r="FO585" i="4" s="1"/>
  <c r="EN512" i="4"/>
  <c r="FN512" i="4" s="1"/>
  <c r="EJ512" i="4"/>
  <c r="EN495" i="4"/>
  <c r="FN495" i="4" s="1"/>
  <c r="EJ495" i="4"/>
  <c r="EJ359" i="4"/>
  <c r="EN359" i="4"/>
  <c r="FN359" i="4" s="1"/>
  <c r="EJ325" i="4"/>
  <c r="EN325" i="4"/>
  <c r="FN325" i="4" s="1"/>
  <c r="AU271" i="4"/>
  <c r="AU243" i="4"/>
  <c r="EM726" i="4"/>
  <c r="EM724" i="4"/>
  <c r="EM722" i="4"/>
  <c r="EM720" i="4"/>
  <c r="EM718" i="4"/>
  <c r="EM716" i="4"/>
  <c r="EM714" i="4"/>
  <c r="EM712" i="4"/>
  <c r="EM710" i="4"/>
  <c r="EM708" i="4"/>
  <c r="EM706" i="4"/>
  <c r="EM704" i="4"/>
  <c r="EM702" i="4"/>
  <c r="EM700" i="4"/>
  <c r="EM698" i="4"/>
  <c r="EM696" i="4"/>
  <c r="EM694" i="4"/>
  <c r="EM692" i="4"/>
  <c r="EM690" i="4"/>
  <c r="EM688" i="4"/>
  <c r="EM686" i="4"/>
  <c r="EM684" i="4"/>
  <c r="EM682" i="4"/>
  <c r="EM679" i="4"/>
  <c r="EM677" i="4"/>
  <c r="EM676" i="4"/>
  <c r="EJ669" i="4"/>
  <c r="EO664" i="4"/>
  <c r="FO664" i="4" s="1"/>
  <c r="AU664" i="4" s="1"/>
  <c r="EM663" i="4"/>
  <c r="EJ660" i="4"/>
  <c r="EO657" i="4"/>
  <c r="EJ654" i="4"/>
  <c r="EJ648" i="4"/>
  <c r="EN647" i="4"/>
  <c r="EJ647" i="4"/>
  <c r="EO645" i="4"/>
  <c r="EM644" i="4"/>
  <c r="EO639" i="4"/>
  <c r="FO639" i="4" s="1"/>
  <c r="EJ636" i="4"/>
  <c r="EM627" i="4"/>
  <c r="EJ625" i="4"/>
  <c r="EO622" i="4"/>
  <c r="FO622" i="4" s="1"/>
  <c r="AU622" i="4" s="1"/>
  <c r="EJ619" i="4"/>
  <c r="EM615" i="4"/>
  <c r="EO610" i="4"/>
  <c r="FO610" i="4" s="1"/>
  <c r="EO604" i="4"/>
  <c r="FO604" i="4" s="1"/>
  <c r="EJ602" i="4"/>
  <c r="EJ592" i="4"/>
  <c r="EO590" i="4"/>
  <c r="FO590" i="4" s="1"/>
  <c r="AU590" i="4" s="1"/>
  <c r="EN587" i="4"/>
  <c r="FN587" i="4" s="1"/>
  <c r="AS587" i="4" s="1"/>
  <c r="EJ587" i="4"/>
  <c r="EO581" i="4"/>
  <c r="FO581" i="4" s="1"/>
  <c r="AU581" i="4" s="1"/>
  <c r="EM571" i="4"/>
  <c r="EJ570" i="4"/>
  <c r="EN560" i="4"/>
  <c r="FN560" i="4" s="1"/>
  <c r="EJ560" i="4"/>
  <c r="EN552" i="4"/>
  <c r="FN552" i="4" s="1"/>
  <c r="EJ552" i="4"/>
  <c r="EN544" i="4"/>
  <c r="FN544" i="4" s="1"/>
  <c r="EJ544" i="4"/>
  <c r="EN536" i="4"/>
  <c r="FN536" i="4" s="1"/>
  <c r="EJ536" i="4"/>
  <c r="EN528" i="4"/>
  <c r="FN528" i="4" s="1"/>
  <c r="EJ528" i="4"/>
  <c r="EN520" i="4"/>
  <c r="FN520" i="4" s="1"/>
  <c r="EJ520" i="4"/>
  <c r="EN516" i="4"/>
  <c r="FN516" i="4" s="1"/>
  <c r="EJ516" i="4"/>
  <c r="EM507" i="4"/>
  <c r="EO507" i="4"/>
  <c r="FO507" i="4" s="1"/>
  <c r="EN499" i="4"/>
  <c r="FN499" i="4" s="1"/>
  <c r="EJ499" i="4"/>
  <c r="EO494" i="4"/>
  <c r="FO494" i="4" s="1"/>
  <c r="EO486" i="4"/>
  <c r="FO486" i="4" s="1"/>
  <c r="EM471" i="4"/>
  <c r="EO471" i="4"/>
  <c r="FO471" i="4" s="1"/>
  <c r="EN377" i="4"/>
  <c r="FN377" i="4" s="1"/>
  <c r="EM367" i="4"/>
  <c r="EO367" i="4"/>
  <c r="FO367" i="4" s="1"/>
  <c r="EM339" i="4"/>
  <c r="EO339" i="4"/>
  <c r="FO339" i="4" s="1"/>
  <c r="EO321" i="4"/>
  <c r="FO321" i="4" s="1"/>
  <c r="EM321" i="4"/>
  <c r="AU287" i="4"/>
  <c r="AS279" i="4"/>
  <c r="AU259" i="4"/>
  <c r="AU246" i="4"/>
  <c r="AS245" i="4"/>
  <c r="AS224" i="4"/>
  <c r="EN508" i="4"/>
  <c r="FN508" i="4" s="1"/>
  <c r="EJ508" i="4"/>
  <c r="EM499" i="4"/>
  <c r="EO499" i="4"/>
  <c r="FO499" i="4" s="1"/>
  <c r="EM479" i="4"/>
  <c r="EO479" i="4"/>
  <c r="FO479" i="4" s="1"/>
  <c r="EM310" i="4"/>
  <c r="EO310" i="4"/>
  <c r="FO310" i="4" s="1"/>
  <c r="EM503" i="4"/>
  <c r="EO503" i="4"/>
  <c r="FO503" i="4" s="1"/>
  <c r="EM475" i="4"/>
  <c r="EO475" i="4"/>
  <c r="FO475" i="4" s="1"/>
  <c r="EM326" i="4"/>
  <c r="EO326" i="4"/>
  <c r="FO326" i="4" s="1"/>
  <c r="AU326" i="4" s="1"/>
  <c r="EO305" i="4"/>
  <c r="FO305" i="4" s="1"/>
  <c r="EM305" i="4"/>
  <c r="EJ670" i="4"/>
  <c r="EJ661" i="4"/>
  <c r="EM651" i="4"/>
  <c r="EJ649" i="4"/>
  <c r="EJ643" i="4"/>
  <c r="EO634" i="4"/>
  <c r="FO634" i="4" s="1"/>
  <c r="EJ626" i="4"/>
  <c r="EJ614" i="4"/>
  <c r="EJ608" i="4"/>
  <c r="EN607" i="4"/>
  <c r="FN607" i="4" s="1"/>
  <c r="EJ607" i="4"/>
  <c r="EM599" i="4"/>
  <c r="EJ598" i="4"/>
  <c r="EJ588" i="4"/>
  <c r="EO586" i="4"/>
  <c r="FO586" i="4" s="1"/>
  <c r="EN583" i="4"/>
  <c r="FN583" i="4" s="1"/>
  <c r="EJ583" i="4"/>
  <c r="EM567" i="4"/>
  <c r="EJ562" i="4"/>
  <c r="EM559" i="4"/>
  <c r="EJ554" i="4"/>
  <c r="EM551" i="4"/>
  <c r="EJ546" i="4"/>
  <c r="EM543" i="4"/>
  <c r="EJ538" i="4"/>
  <c r="EM535" i="4"/>
  <c r="EJ530" i="4"/>
  <c r="EM527" i="4"/>
  <c r="EJ522" i="4"/>
  <c r="EM519" i="4"/>
  <c r="EM511" i="4"/>
  <c r="EO511" i="4"/>
  <c r="FO511" i="4" s="1"/>
  <c r="EN503" i="4"/>
  <c r="FN503" i="4" s="1"/>
  <c r="EJ503" i="4"/>
  <c r="EO498" i="4"/>
  <c r="FO498" i="4" s="1"/>
  <c r="EO482" i="4"/>
  <c r="FO482" i="4" s="1"/>
  <c r="EM462" i="4"/>
  <c r="EO462" i="4"/>
  <c r="FO462" i="4" s="1"/>
  <c r="EJ375" i="4"/>
  <c r="EN375" i="4"/>
  <c r="FN375" i="4" s="1"/>
  <c r="EM355" i="4"/>
  <c r="EO355" i="4"/>
  <c r="EM342" i="4"/>
  <c r="EO342" i="4"/>
  <c r="FO342" i="4" s="1"/>
  <c r="AU342" i="4" s="1"/>
  <c r="EJ341" i="4"/>
  <c r="EN341" i="4"/>
  <c r="FN341" i="4" s="1"/>
  <c r="EJ295" i="4"/>
  <c r="EN295" i="4"/>
  <c r="FN295" i="4" s="1"/>
  <c r="AU262" i="4"/>
  <c r="AS261" i="4"/>
  <c r="AU225" i="4"/>
  <c r="EJ381" i="4"/>
  <c r="EN381" i="4"/>
  <c r="FN381" i="4" s="1"/>
  <c r="EN369" i="4"/>
  <c r="FN369" i="4" s="1"/>
  <c r="EM350" i="4"/>
  <c r="EO350" i="4"/>
  <c r="FO350" i="4" s="1"/>
  <c r="AU350" i="4" s="1"/>
  <c r="EJ349" i="4"/>
  <c r="EN349" i="4"/>
  <c r="FN349" i="4" s="1"/>
  <c r="EN337" i="4"/>
  <c r="FN337" i="4" s="1"/>
  <c r="EM318" i="4"/>
  <c r="EO318" i="4"/>
  <c r="FO318" i="4" s="1"/>
  <c r="AU318" i="4" s="1"/>
  <c r="EJ317" i="4"/>
  <c r="EN317" i="4"/>
  <c r="FN317" i="4" s="1"/>
  <c r="EN305" i="4"/>
  <c r="FN305" i="4" s="1"/>
  <c r="AS285" i="4"/>
  <c r="AS273" i="4"/>
  <c r="AU254" i="4"/>
  <c r="AS253" i="4"/>
  <c r="AS233" i="4"/>
  <c r="AS228" i="4"/>
  <c r="EJ367" i="4"/>
  <c r="EN367" i="4"/>
  <c r="FN367" i="4" s="1"/>
  <c r="EJ335" i="4"/>
  <c r="EN335" i="4"/>
  <c r="FN335" i="4" s="1"/>
  <c r="EJ303" i="4"/>
  <c r="EN303" i="4"/>
  <c r="FN303" i="4" s="1"/>
  <c r="AS271" i="4"/>
  <c r="AU234" i="4"/>
  <c r="AU229" i="4"/>
  <c r="AU217" i="4"/>
  <c r="EM366" i="4"/>
  <c r="EO366" i="4"/>
  <c r="FO366" i="4" s="1"/>
  <c r="AU366" i="4" s="1"/>
  <c r="EJ365" i="4"/>
  <c r="EN365" i="4"/>
  <c r="FN365" i="4" s="1"/>
  <c r="EN353" i="4"/>
  <c r="FN353" i="4" s="1"/>
  <c r="EM334" i="4"/>
  <c r="EO334" i="4"/>
  <c r="FO334" i="4" s="1"/>
  <c r="AU334" i="4" s="1"/>
  <c r="EJ333" i="4"/>
  <c r="EN333" i="4"/>
  <c r="FN333" i="4" s="1"/>
  <c r="EN321" i="4"/>
  <c r="FN321" i="4" s="1"/>
  <c r="EM302" i="4"/>
  <c r="EO302" i="4"/>
  <c r="FO302" i="4" s="1"/>
  <c r="AU302" i="4" s="1"/>
  <c r="EJ301" i="4"/>
  <c r="EN301" i="4"/>
  <c r="FN301" i="4" s="1"/>
  <c r="AS269" i="4"/>
  <c r="AS257" i="4"/>
  <c r="AS243" i="4"/>
  <c r="AS212" i="4"/>
  <c r="EN364" i="4"/>
  <c r="FN364" i="4" s="1"/>
  <c r="EJ351" i="4"/>
  <c r="EN351" i="4"/>
  <c r="FN351" i="4" s="1"/>
  <c r="EN332" i="4"/>
  <c r="FN332" i="4" s="1"/>
  <c r="EJ319" i="4"/>
  <c r="EN319" i="4"/>
  <c r="FN319" i="4" s="1"/>
  <c r="EN300" i="4"/>
  <c r="FN300" i="4" s="1"/>
  <c r="AS287" i="4"/>
  <c r="AS268" i="4"/>
  <c r="AS255" i="4"/>
  <c r="AS242" i="4"/>
  <c r="AU218" i="4"/>
  <c r="AU213" i="4"/>
  <c r="EO380" i="4"/>
  <c r="FO380" i="4" s="1"/>
  <c r="AU380" i="4" s="1"/>
  <c r="EN379" i="4"/>
  <c r="FN379" i="4" s="1"/>
  <c r="EO372" i="4"/>
  <c r="FO372" i="4" s="1"/>
  <c r="EN371" i="4"/>
  <c r="FN371" i="4" s="1"/>
  <c r="EO364" i="4"/>
  <c r="FO364" i="4" s="1"/>
  <c r="AU364" i="4" s="1"/>
  <c r="EN363" i="4"/>
  <c r="FN363" i="4" s="1"/>
  <c r="EO356" i="4"/>
  <c r="EN355" i="4"/>
  <c r="FN355" i="4" s="1"/>
  <c r="EO348" i="4"/>
  <c r="EN347" i="4"/>
  <c r="FN347" i="4" s="1"/>
  <c r="EO340" i="4"/>
  <c r="FO340" i="4" s="1"/>
  <c r="AU340" i="4" s="1"/>
  <c r="EN339" i="4"/>
  <c r="FN339" i="4" s="1"/>
  <c r="EO332" i="4"/>
  <c r="FO332" i="4" s="1"/>
  <c r="AU332" i="4" s="1"/>
  <c r="EN331" i="4"/>
  <c r="FN331" i="4" s="1"/>
  <c r="EO324" i="4"/>
  <c r="EN323" i="4"/>
  <c r="FN323" i="4" s="1"/>
  <c r="EO316" i="4"/>
  <c r="FO316" i="4" s="1"/>
  <c r="EN315" i="4"/>
  <c r="FN315" i="4" s="1"/>
  <c r="EO308" i="4"/>
  <c r="FO308" i="4" s="1"/>
  <c r="EN307" i="4"/>
  <c r="FN307" i="4" s="1"/>
  <c r="EO300" i="4"/>
  <c r="FO300" i="4" s="1"/>
  <c r="EN299" i="4"/>
  <c r="FN299" i="4" s="1"/>
  <c r="EO292" i="4"/>
  <c r="FO292" i="4" s="1"/>
  <c r="EN291" i="4"/>
  <c r="FN291" i="4" s="1"/>
  <c r="AU284" i="4"/>
  <c r="AS283" i="4"/>
  <c r="AU276" i="4"/>
  <c r="AS275" i="4"/>
  <c r="AU268" i="4"/>
  <c r="AS267" i="4"/>
  <c r="AS259" i="4"/>
  <c r="AU252" i="4"/>
  <c r="AS251" i="4"/>
  <c r="AS244" i="4"/>
  <c r="AU235" i="4"/>
  <c r="AS231" i="4"/>
  <c r="AS223" i="4"/>
  <c r="AS215" i="4"/>
  <c r="AS227" i="4"/>
  <c r="AS219" i="4"/>
  <c r="AU232" i="4"/>
  <c r="AU228" i="4"/>
  <c r="AU224" i="4"/>
  <c r="AU220" i="4"/>
  <c r="AU216" i="4"/>
  <c r="AU212" i="4"/>
  <c r="AU644" i="4"/>
  <c r="AU655" i="4"/>
  <c r="AU672" i="4"/>
  <c r="AU676" i="4"/>
  <c r="AS652" i="4"/>
  <c r="AS656" i="4"/>
  <c r="AS664" i="4"/>
  <c r="AS653" i="4"/>
  <c r="AS674" i="4"/>
  <c r="AU343" i="4"/>
  <c r="AU389" i="4"/>
  <c r="AS638" i="4"/>
  <c r="AS682" i="4"/>
  <c r="AS718" i="4"/>
  <c r="AS722" i="4"/>
  <c r="AU328" i="4"/>
  <c r="AU368" i="4"/>
  <c r="AU390" i="4"/>
  <c r="AU412" i="4"/>
  <c r="AU420" i="4"/>
  <c r="AU422" i="4"/>
  <c r="AU572" i="4"/>
  <c r="AU589" i="4"/>
  <c r="AS618" i="4"/>
  <c r="AS714" i="4"/>
  <c r="AS715" i="4"/>
  <c r="AU270" i="4" l="1"/>
  <c r="AU286" i="4"/>
  <c r="AU238" i="4"/>
  <c r="FO565" i="4"/>
  <c r="AU565" i="4" s="1"/>
  <c r="FO647" i="4"/>
  <c r="AU647" i="4" s="1"/>
  <c r="FN651" i="4"/>
  <c r="AS651" i="4" s="1"/>
  <c r="FO348" i="4"/>
  <c r="AU348" i="4" s="1"/>
  <c r="FN647" i="4"/>
  <c r="AS647" i="4" s="1"/>
  <c r="AU222" i="4"/>
  <c r="FO660" i="4"/>
  <c r="AU660" i="4" s="1"/>
  <c r="FN655" i="4"/>
  <c r="AS655" i="4" s="1"/>
  <c r="AU260" i="4"/>
  <c r="FO324" i="4"/>
  <c r="AU324" i="4" s="1"/>
  <c r="FO355" i="4"/>
  <c r="AU355" i="4" s="1"/>
  <c r="FN571" i="4"/>
  <c r="AS571" i="4" s="1"/>
  <c r="FO657" i="4"/>
  <c r="AU657" i="4" s="1"/>
  <c r="FN639" i="4"/>
  <c r="AS639" i="4" s="1"/>
  <c r="FO680" i="4"/>
  <c r="AU680" i="4" s="1"/>
  <c r="FO681" i="4"/>
  <c r="AU681" i="4" s="1"/>
  <c r="FN643" i="4"/>
  <c r="AS643" i="4" s="1"/>
  <c r="FO356" i="4"/>
  <c r="AU356" i="4" s="1"/>
  <c r="FO613" i="4"/>
  <c r="AU613" i="4" s="1"/>
  <c r="FO645" i="4"/>
  <c r="AU645" i="4" s="1"/>
  <c r="AS501" i="4"/>
  <c r="AS708" i="4"/>
  <c r="AS704" i="4"/>
  <c r="AS688" i="4"/>
  <c r="AS712" i="4"/>
  <c r="AS706" i="4"/>
  <c r="AS631" i="4"/>
  <c r="AS579" i="4"/>
  <c r="AS640" i="4"/>
  <c r="AS612" i="4"/>
  <c r="AS531" i="4"/>
  <c r="AS485" i="4"/>
  <c r="AU409" i="4"/>
  <c r="AS394" i="4"/>
  <c r="AS300" i="4"/>
  <c r="AU402" i="4"/>
  <c r="AU394" i="4"/>
  <c r="AS721" i="4"/>
  <c r="AS717" i="4"/>
  <c r="AS693" i="4"/>
  <c r="AS636" i="4"/>
  <c r="AS632" i="4"/>
  <c r="AS628" i="4"/>
  <c r="AS620" i="4"/>
  <c r="AS604" i="4"/>
  <c r="AS568" i="4"/>
  <c r="AS560" i="4"/>
  <c r="AS564" i="4"/>
  <c r="AS496" i="4"/>
  <c r="AU387" i="4"/>
  <c r="AS379" i="4"/>
  <c r="AU363" i="4"/>
  <c r="AS296" i="4"/>
  <c r="AU454" i="4"/>
  <c r="AU396" i="4"/>
  <c r="AS570" i="4"/>
  <c r="AS556" i="4"/>
  <c r="AS536" i="4"/>
  <c r="AS532" i="4"/>
  <c r="AS425" i="4"/>
  <c r="AS393" i="4"/>
  <c r="AU398" i="4"/>
  <c r="AS411" i="4"/>
  <c r="AU623" i="4"/>
  <c r="AU607" i="4"/>
  <c r="AU605" i="4"/>
  <c r="AU599" i="4"/>
  <c r="AU591" i="4"/>
  <c r="AU583" i="4"/>
  <c r="AU419" i="4"/>
  <c r="AU359" i="4"/>
  <c r="AU339" i="4"/>
  <c r="AU327" i="4"/>
  <c r="AU323" i="4"/>
  <c r="AS423" i="4"/>
  <c r="AS377" i="4"/>
  <c r="AU347" i="4"/>
  <c r="AU291" i="4"/>
  <c r="AU570" i="4"/>
  <c r="AS307" i="4"/>
  <c r="AS596" i="4"/>
  <c r="AS588" i="4"/>
  <c r="AS586" i="4"/>
  <c r="AS558" i="4"/>
  <c r="AS554" i="4"/>
  <c r="AS517" i="4"/>
  <c r="AS480" i="4"/>
  <c r="AS478" i="4"/>
  <c r="AS440" i="4"/>
  <c r="AS433" i="4"/>
  <c r="AS417" i="4"/>
  <c r="AS387" i="4"/>
  <c r="AS303" i="4"/>
  <c r="AS541" i="4"/>
  <c r="AS539" i="4"/>
  <c r="AS385" i="4"/>
  <c r="AS371" i="4"/>
  <c r="AS308" i="4"/>
  <c r="AU573" i="4"/>
  <c r="AU567" i="4"/>
  <c r="AU451" i="4"/>
  <c r="AU435" i="4"/>
  <c r="AU403" i="4"/>
  <c r="AU371" i="4"/>
  <c r="AU367" i="4"/>
  <c r="AU351" i="4"/>
  <c r="AU335" i="4"/>
  <c r="AU319" i="4"/>
  <c r="AU315" i="4"/>
  <c r="AU311" i="4"/>
  <c r="AU299" i="4"/>
  <c r="AS548" i="4"/>
  <c r="AS467" i="4"/>
  <c r="AS401" i="4"/>
  <c r="AS395" i="4"/>
  <c r="AS634" i="4"/>
  <c r="AU611" i="4"/>
  <c r="AS524" i="4"/>
  <c r="AS376" i="4"/>
  <c r="AS319" i="4"/>
  <c r="AS304" i="4"/>
  <c r="AS295" i="4"/>
  <c r="AU604" i="4"/>
  <c r="AU582" i="4"/>
  <c r="AU374" i="4"/>
  <c r="AU372" i="4"/>
  <c r="AU310" i="4"/>
  <c r="AS716" i="4"/>
  <c r="AS684" i="4"/>
  <c r="AS602" i="4"/>
  <c r="AU586" i="4"/>
  <c r="AS533" i="4"/>
  <c r="AS513" i="4"/>
  <c r="AS498" i="4"/>
  <c r="AS460" i="4"/>
  <c r="AS442" i="4"/>
  <c r="AU421" i="4"/>
  <c r="AU397" i="4"/>
  <c r="AS374" i="4"/>
  <c r="AS491" i="4"/>
  <c r="AS410" i="4"/>
  <c r="AS402" i="4"/>
  <c r="AS520" i="4"/>
  <c r="AS483" i="4"/>
  <c r="AS610" i="4"/>
  <c r="AS580" i="4"/>
  <c r="AS699" i="4"/>
  <c r="AS629" i="4"/>
  <c r="AS540" i="4"/>
  <c r="AS538" i="4"/>
  <c r="AS505" i="4"/>
  <c r="AU441" i="4"/>
  <c r="AS426" i="4"/>
  <c r="AS399" i="4"/>
  <c r="AS720" i="4"/>
  <c r="AS711" i="4"/>
  <c r="AS641" i="4"/>
  <c r="AS619" i="4"/>
  <c r="AS547" i="4"/>
  <c r="AS525" i="4"/>
  <c r="AS477" i="4"/>
  <c r="AS475" i="4"/>
  <c r="AS455" i="4"/>
  <c r="AS422" i="4"/>
  <c r="AS595" i="4"/>
  <c r="AU579" i="4"/>
  <c r="AS572" i="4"/>
  <c r="AU305" i="4"/>
  <c r="AU597" i="4"/>
  <c r="AU307" i="4"/>
  <c r="AU303" i="4"/>
  <c r="AS723" i="4"/>
  <c r="AS691" i="4"/>
  <c r="AU587" i="4"/>
  <c r="AS578" i="4"/>
  <c r="AS512" i="4"/>
  <c r="AS499" i="4"/>
  <c r="AS450" i="4"/>
  <c r="AS390" i="4"/>
  <c r="AS310" i="4"/>
  <c r="AU297" i="4"/>
  <c r="AS506" i="4"/>
  <c r="AS613" i="4"/>
  <c r="AU594" i="4"/>
  <c r="AS418" i="4"/>
  <c r="AS703" i="4"/>
  <c r="AS633" i="4"/>
  <c r="AU603" i="4"/>
  <c r="AS589" i="4"/>
  <c r="AS482" i="4"/>
  <c r="AS462" i="4"/>
  <c r="AS446" i="4"/>
  <c r="AS439" i="4"/>
  <c r="AU437" i="4"/>
  <c r="AU405" i="4"/>
  <c r="AS383" i="4"/>
  <c r="AU610" i="4"/>
  <c r="AS569" i="4"/>
  <c r="AS552" i="4"/>
  <c r="AS545" i="4"/>
  <c r="AS529" i="4"/>
  <c r="AS522" i="4"/>
  <c r="AS515" i="4"/>
  <c r="AS508" i="4"/>
  <c r="AS489" i="4"/>
  <c r="AS473" i="4"/>
  <c r="AS466" i="4"/>
  <c r="AS464" i="4"/>
  <c r="AS457" i="4"/>
  <c r="AS454" i="4"/>
  <c r="AS451" i="4"/>
  <c r="AS443" i="4"/>
  <c r="AS431" i="4"/>
  <c r="AU429" i="4"/>
  <c r="AS408" i="4"/>
  <c r="AS391" i="4"/>
  <c r="AS382" i="4"/>
  <c r="AU377" i="4"/>
  <c r="AS302" i="4"/>
  <c r="AS299" i="4"/>
  <c r="AS700" i="4"/>
  <c r="AS696" i="4"/>
  <c r="AS692" i="4"/>
  <c r="AS642" i="4"/>
  <c r="AS630" i="4"/>
  <c r="AS626" i="4"/>
  <c r="AU618" i="4"/>
  <c r="AU571" i="4"/>
  <c r="AS553" i="4"/>
  <c r="AS546" i="4"/>
  <c r="AS530" i="4"/>
  <c r="AS516" i="4"/>
  <c r="AS509" i="4"/>
  <c r="AS490" i="4"/>
  <c r="AS474" i="4"/>
  <c r="AS458" i="4"/>
  <c r="AS459" i="4"/>
  <c r="AU453" i="4"/>
  <c r="AS449" i="4"/>
  <c r="AS434" i="4"/>
  <c r="AS427" i="4"/>
  <c r="AS415" i="4"/>
  <c r="AS409" i="4"/>
  <c r="AS406" i="4"/>
  <c r="AS403" i="4"/>
  <c r="AS392" i="4"/>
  <c r="AU381" i="4"/>
  <c r="AS311" i="4"/>
  <c r="AU595" i="4"/>
  <c r="AU578" i="4"/>
  <c r="AS549" i="4"/>
  <c r="AS537" i="4"/>
  <c r="AS523" i="4"/>
  <c r="AS504" i="4"/>
  <c r="AS502" i="4"/>
  <c r="AS497" i="4"/>
  <c r="AS481" i="4"/>
  <c r="AS447" i="4"/>
  <c r="AS441" i="4"/>
  <c r="AS438" i="4"/>
  <c r="AS435" i="4"/>
  <c r="AS424" i="4"/>
  <c r="AU413" i="4"/>
  <c r="AS398" i="4"/>
  <c r="AU393" i="4"/>
  <c r="AS375" i="4"/>
  <c r="AS315" i="4"/>
  <c r="AS312" i="4"/>
  <c r="AS291" i="4"/>
  <c r="AS288" i="4"/>
  <c r="AU619" i="4"/>
  <c r="AU602" i="4"/>
  <c r="AS544" i="4"/>
  <c r="AS528" i="4"/>
  <c r="AS521" i="4"/>
  <c r="AS514" i="4"/>
  <c r="AS507" i="4"/>
  <c r="AS493" i="4"/>
  <c r="AS488" i="4"/>
  <c r="AS486" i="4"/>
  <c r="AS472" i="4"/>
  <c r="AS470" i="4"/>
  <c r="AS463" i="4"/>
  <c r="AS456" i="4"/>
  <c r="AU445" i="4"/>
  <c r="AS430" i="4"/>
  <c r="AU425" i="4"/>
  <c r="AS407" i="4"/>
  <c r="AS386" i="4"/>
  <c r="AS378" i="4"/>
  <c r="AU373" i="4"/>
  <c r="AS318" i="4"/>
  <c r="AU313" i="4"/>
  <c r="AS294" i="4"/>
  <c r="AS292" i="4"/>
  <c r="AU289" i="4"/>
  <c r="AS495" i="4"/>
  <c r="AU477" i="4"/>
  <c r="AU357" i="4"/>
  <c r="AU341" i="4"/>
  <c r="AU550" i="4"/>
  <c r="AU518" i="4"/>
  <c r="AU449" i="4"/>
  <c r="AU417" i="4"/>
  <c r="AS614" i="4"/>
  <c r="AS606" i="4"/>
  <c r="AS598" i="4"/>
  <c r="AS590" i="4"/>
  <c r="AS582" i="4"/>
  <c r="AU562" i="4"/>
  <c r="AU543" i="4"/>
  <c r="AU541" i="4"/>
  <c r="AS535" i="4"/>
  <c r="AU531" i="4"/>
  <c r="AU526" i="4"/>
  <c r="AS518" i="4"/>
  <c r="AU511" i="4"/>
  <c r="AS503" i="4"/>
  <c r="AU485" i="4"/>
  <c r="AU480" i="4"/>
  <c r="AU460" i="4"/>
  <c r="AS432" i="4"/>
  <c r="AS429" i="4"/>
  <c r="AS400" i="4"/>
  <c r="AS397" i="4"/>
  <c r="AU288" i="4"/>
  <c r="AU624" i="4"/>
  <c r="AS623" i="4"/>
  <c r="AU616" i="4"/>
  <c r="AS615" i="4"/>
  <c r="AU608" i="4"/>
  <c r="AS607" i="4"/>
  <c r="AU600" i="4"/>
  <c r="AS599" i="4"/>
  <c r="AU592" i="4"/>
  <c r="AS591" i="4"/>
  <c r="AU584" i="4"/>
  <c r="AS583" i="4"/>
  <c r="AU576" i="4"/>
  <c r="AS575" i="4"/>
  <c r="AU568" i="4"/>
  <c r="AS567" i="4"/>
  <c r="AS565" i="4"/>
  <c r="AU536" i="4"/>
  <c r="AU524" i="4"/>
  <c r="AU504" i="4"/>
  <c r="AU483" i="4"/>
  <c r="AU478" i="4"/>
  <c r="AS468" i="4"/>
  <c r="AS465" i="4"/>
  <c r="AS290" i="4"/>
  <c r="AS557" i="4"/>
  <c r="AU472" i="4"/>
  <c r="AU333" i="4"/>
  <c r="AS542" i="4"/>
  <c r="AU535" i="4"/>
  <c r="AU496" i="4"/>
  <c r="AU475" i="4"/>
  <c r="AS461" i="4"/>
  <c r="AU385" i="4"/>
  <c r="AS561" i="4"/>
  <c r="AU499" i="4"/>
  <c r="AS484" i="4"/>
  <c r="AS479" i="4"/>
  <c r="AU456" i="4"/>
  <c r="AU424" i="4"/>
  <c r="AU392" i="4"/>
  <c r="AS622" i="4"/>
  <c r="AS574" i="4"/>
  <c r="AS563" i="4"/>
  <c r="AU559" i="4"/>
  <c r="AS550" i="4"/>
  <c r="AU509" i="4"/>
  <c r="AU727" i="4"/>
  <c r="AU726" i="4"/>
  <c r="AU725" i="4"/>
  <c r="AU724" i="4"/>
  <c r="AU723" i="4"/>
  <c r="AU722" i="4"/>
  <c r="AU721" i="4"/>
  <c r="AU720" i="4"/>
  <c r="AU719" i="4"/>
  <c r="AU718" i="4"/>
  <c r="AU717" i="4"/>
  <c r="AU716" i="4"/>
  <c r="AU715" i="4"/>
  <c r="AU714" i="4"/>
  <c r="AU713" i="4"/>
  <c r="AU712" i="4"/>
  <c r="AU711" i="4"/>
  <c r="AU710" i="4"/>
  <c r="AU709" i="4"/>
  <c r="AU708" i="4"/>
  <c r="AU707" i="4"/>
  <c r="AU706" i="4"/>
  <c r="AU705" i="4"/>
  <c r="AU704" i="4"/>
  <c r="AU703" i="4"/>
  <c r="AU702" i="4"/>
  <c r="AU701" i="4"/>
  <c r="AU700" i="4"/>
  <c r="AU699" i="4"/>
  <c r="AU698" i="4"/>
  <c r="AU697" i="4"/>
  <c r="AU696" i="4"/>
  <c r="AU695" i="4"/>
  <c r="AU694" i="4"/>
  <c r="AU693" i="4"/>
  <c r="AU692" i="4"/>
  <c r="AU691" i="4"/>
  <c r="AU690" i="4"/>
  <c r="AU689" i="4"/>
  <c r="AU688" i="4"/>
  <c r="AU687" i="4"/>
  <c r="AU686" i="4"/>
  <c r="AU685" i="4"/>
  <c r="AU684" i="4"/>
  <c r="AU642" i="4"/>
  <c r="AU641" i="4"/>
  <c r="AU640" i="4"/>
  <c r="AU639" i="4"/>
  <c r="AU638" i="4"/>
  <c r="AU637" i="4"/>
  <c r="AU636" i="4"/>
  <c r="AU635" i="4"/>
  <c r="AU634" i="4"/>
  <c r="AU633" i="4"/>
  <c r="AU632" i="4"/>
  <c r="AU631" i="4"/>
  <c r="AU630" i="4"/>
  <c r="AU629" i="4"/>
  <c r="AU628" i="4"/>
  <c r="AU627" i="4"/>
  <c r="AU626" i="4"/>
  <c r="AU625" i="4"/>
  <c r="AS624" i="4"/>
  <c r="AU617" i="4"/>
  <c r="AS616" i="4"/>
  <c r="AU609" i="4"/>
  <c r="AS608" i="4"/>
  <c r="AU601" i="4"/>
  <c r="AS600" i="4"/>
  <c r="AU593" i="4"/>
  <c r="AU585" i="4"/>
  <c r="AS584" i="4"/>
  <c r="AU577" i="4"/>
  <c r="AS576" i="4"/>
  <c r="AU569" i="4"/>
  <c r="AU563" i="4"/>
  <c r="AU551" i="4"/>
  <c r="AU549" i="4"/>
  <c r="AS543" i="4"/>
  <c r="AU539" i="4"/>
  <c r="AU534" i="4"/>
  <c r="AS526" i="4"/>
  <c r="AU519" i="4"/>
  <c r="AU517" i="4"/>
  <c r="AS511" i="4"/>
  <c r="AU507" i="4"/>
  <c r="AU502" i="4"/>
  <c r="AS492" i="4"/>
  <c r="AS487" i="4"/>
  <c r="AU469" i="4"/>
  <c r="AU466" i="4"/>
  <c r="AU433" i="4"/>
  <c r="AU431" i="4"/>
  <c r="AU401" i="4"/>
  <c r="AU399" i="4"/>
  <c r="AS297" i="4"/>
  <c r="AU295" i="4"/>
  <c r="AU292" i="4"/>
  <c r="AU561" i="4"/>
  <c r="AU552" i="4"/>
  <c r="AU540" i="4"/>
  <c r="AU520" i="4"/>
  <c r="AU325" i="4"/>
  <c r="AS309" i="4"/>
  <c r="AU558" i="4"/>
  <c r="AS527" i="4"/>
  <c r="AU309" i="4"/>
  <c r="AS305" i="4"/>
  <c r="AS301" i="4"/>
  <c r="AS500" i="4"/>
  <c r="AU365" i="4"/>
  <c r="AU349" i="4"/>
  <c r="AU555" i="4"/>
  <c r="AU533" i="4"/>
  <c r="AU523" i="4"/>
  <c r="AS510" i="4"/>
  <c r="AU501" i="4"/>
  <c r="AU470" i="4"/>
  <c r="AU447" i="4"/>
  <c r="AU415" i="4"/>
  <c r="AU383" i="4"/>
  <c r="AU548" i="4"/>
  <c r="AU528" i="4"/>
  <c r="AU494" i="4"/>
  <c r="AU463" i="4"/>
  <c r="AS452" i="4"/>
  <c r="AU427" i="4"/>
  <c r="AS420" i="4"/>
  <c r="AU395" i="4"/>
  <c r="AS388" i="4"/>
  <c r="AS625" i="4"/>
  <c r="AS617" i="4"/>
  <c r="AS609" i="4"/>
  <c r="AS601" i="4"/>
  <c r="AS593" i="4"/>
  <c r="AS585" i="4"/>
  <c r="AS577" i="4"/>
  <c r="AU557" i="4"/>
  <c r="AU544" i="4"/>
  <c r="AU532" i="4"/>
  <c r="AU512" i="4"/>
  <c r="AU493" i="4"/>
  <c r="AU488" i="4"/>
  <c r="AU462" i="4"/>
  <c r="AU464" i="4"/>
  <c r="AU443" i="4"/>
  <c r="AU440" i="4"/>
  <c r="AS436" i="4"/>
  <c r="AU411" i="4"/>
  <c r="AU408" i="4"/>
  <c r="AS404" i="4"/>
  <c r="AU379" i="4"/>
  <c r="AU376" i="4"/>
  <c r="AS372" i="4"/>
  <c r="AS551" i="4"/>
  <c r="AU547" i="4"/>
  <c r="AU542" i="4"/>
  <c r="AS534" i="4"/>
  <c r="AU527" i="4"/>
  <c r="AU525" i="4"/>
  <c r="AS519" i="4"/>
  <c r="AU515" i="4"/>
  <c r="AU510" i="4"/>
  <c r="AU491" i="4"/>
  <c r="AU486" i="4"/>
  <c r="AS476" i="4"/>
  <c r="AS471" i="4"/>
  <c r="AS448" i="4"/>
  <c r="AS445" i="4"/>
  <c r="AS416" i="4"/>
  <c r="AS413" i="4"/>
  <c r="AS384" i="4"/>
  <c r="AS381" i="4"/>
  <c r="AS364" i="4"/>
  <c r="AS356" i="4"/>
  <c r="AS348" i="4"/>
  <c r="AS340" i="4"/>
  <c r="AS332" i="4"/>
  <c r="AS324" i="4"/>
  <c r="AS316" i="4"/>
  <c r="AU566" i="4"/>
  <c r="AU564" i="4"/>
  <c r="AU560" i="4"/>
  <c r="AU556" i="4"/>
  <c r="AU553" i="4"/>
  <c r="AU545" i="4"/>
  <c r="AU537" i="4"/>
  <c r="AU529" i="4"/>
  <c r="AU521" i="4"/>
  <c r="AU513" i="4"/>
  <c r="AU505" i="4"/>
  <c r="AU497" i="4"/>
  <c r="AU489" i="4"/>
  <c r="AU481" i="4"/>
  <c r="AU473" i="4"/>
  <c r="AU458" i="4"/>
  <c r="AU457" i="4"/>
  <c r="AS453" i="4"/>
  <c r="AS437" i="4"/>
  <c r="AS421" i="4"/>
  <c r="AS405" i="4"/>
  <c r="AS389" i="4"/>
  <c r="AS373" i="4"/>
  <c r="AU317" i="4"/>
  <c r="AS313" i="4"/>
  <c r="AS306" i="4"/>
  <c r="AU516" i="4"/>
  <c r="AU508" i="4"/>
  <c r="AU500" i="4"/>
  <c r="AU492" i="4"/>
  <c r="AU484" i="4"/>
  <c r="AU476" i="4"/>
  <c r="AU468" i="4"/>
  <c r="AU461" i="4"/>
  <c r="AU448" i="4"/>
  <c r="AS444" i="4"/>
  <c r="AU432" i="4"/>
  <c r="AS428" i="4"/>
  <c r="AU416" i="4"/>
  <c r="AS412" i="4"/>
  <c r="AU400" i="4"/>
  <c r="AS396" i="4"/>
  <c r="AU384" i="4"/>
  <c r="AS380" i="4"/>
  <c r="AU308" i="4"/>
  <c r="AU503" i="4"/>
  <c r="AU495" i="4"/>
  <c r="AU487" i="4"/>
  <c r="AU479" i="4"/>
  <c r="AU471" i="4"/>
  <c r="AU465" i="4"/>
  <c r="AU455" i="4"/>
  <c r="AU439" i="4"/>
  <c r="AU423" i="4"/>
  <c r="AU407" i="4"/>
  <c r="AU391" i="4"/>
  <c r="AU375" i="4"/>
  <c r="AS368" i="4"/>
  <c r="AS360" i="4"/>
  <c r="AS352" i="4"/>
  <c r="AS344" i="4"/>
  <c r="AS336" i="4"/>
  <c r="AS328" i="4"/>
  <c r="AS320" i="4"/>
  <c r="AU554" i="4"/>
  <c r="AU546" i="4"/>
  <c r="AU538" i="4"/>
  <c r="AU530" i="4"/>
  <c r="AU522" i="4"/>
  <c r="AU514" i="4"/>
  <c r="AU506" i="4"/>
  <c r="AU498" i="4"/>
  <c r="AU490" i="4"/>
  <c r="AU482" i="4"/>
  <c r="AU474" i="4"/>
  <c r="AU467" i="4"/>
  <c r="AU459" i="4"/>
  <c r="AU369" i="4"/>
  <c r="AU361" i="4"/>
  <c r="AU353" i="4"/>
  <c r="AU345" i="4"/>
  <c r="AU337" i="4"/>
  <c r="AU329" i="4"/>
  <c r="AU321" i="4"/>
  <c r="AS293" i="4"/>
  <c r="AS369" i="4"/>
  <c r="AS365" i="4"/>
  <c r="AS361" i="4"/>
  <c r="AS357" i="4"/>
  <c r="AS353" i="4"/>
  <c r="AS349" i="4"/>
  <c r="AS345" i="4"/>
  <c r="AS341" i="4"/>
  <c r="AS337" i="4"/>
  <c r="AS333" i="4"/>
  <c r="AS329" i="4"/>
  <c r="AS325" i="4"/>
  <c r="AS321" i="4"/>
  <c r="AS317" i="4"/>
  <c r="AU312" i="4"/>
  <c r="AU300" i="4"/>
  <c r="AS298" i="4"/>
  <c r="AS370" i="4"/>
  <c r="AS366" i="4"/>
  <c r="AS362" i="4"/>
  <c r="AS358" i="4"/>
  <c r="AS354" i="4"/>
  <c r="AS350" i="4"/>
  <c r="AS346" i="4"/>
  <c r="AS342" i="4"/>
  <c r="AS338" i="4"/>
  <c r="AS334" i="4"/>
  <c r="AS330" i="4"/>
  <c r="AS326" i="4"/>
  <c r="AS322" i="4"/>
  <c r="AU316" i="4"/>
  <c r="AS314" i="4"/>
  <c r="AU293" i="4"/>
  <c r="AS367" i="4"/>
  <c r="AS363" i="4"/>
  <c r="AS359" i="4"/>
  <c r="AS355" i="4"/>
  <c r="AS351" i="4"/>
  <c r="AS347" i="4"/>
  <c r="AS343" i="4"/>
  <c r="AS339" i="4"/>
  <c r="AS335" i="4"/>
  <c r="AS331" i="4"/>
  <c r="AS327" i="4"/>
  <c r="AS323" i="4"/>
  <c r="AU301" i="4"/>
  <c r="AS289" i="4"/>
  <c r="F724" i="4"/>
  <c r="F707" i="4"/>
  <c r="FN724" i="4" l="1"/>
  <c r="AS724" i="4" s="1"/>
  <c r="FN707" i="4"/>
  <c r="AS707" i="4" s="1"/>
  <c r="AS592" i="4"/>
  <c r="K61" i="4" l="1"/>
  <c r="K57" i="4"/>
  <c r="T690" i="4" l="1"/>
  <c r="W690" i="4" s="1"/>
  <c r="T689" i="4"/>
  <c r="W689" i="4" s="1"/>
  <c r="T688" i="4"/>
  <c r="W688" i="4" s="1"/>
  <c r="T687" i="4"/>
  <c r="W687" i="4" s="1"/>
  <c r="T685" i="4"/>
  <c r="W685" i="4" s="1"/>
  <c r="FI683" i="4"/>
  <c r="FK683" i="4" s="1"/>
  <c r="FO683" i="4" s="1"/>
  <c r="T683" i="4"/>
  <c r="W683" i="4" s="1"/>
  <c r="FI682" i="4"/>
  <c r="FK682" i="4" s="1"/>
  <c r="FO682" i="4" s="1"/>
  <c r="V682" i="4"/>
  <c r="W682" i="4" s="1"/>
  <c r="AU682" i="4" l="1"/>
  <c r="AU683" i="4"/>
  <c r="K158" i="4"/>
  <c r="K157" i="4"/>
  <c r="K156" i="4"/>
  <c r="K154" i="4"/>
  <c r="G154" i="4"/>
  <c r="K153" i="4"/>
  <c r="K152" i="4"/>
  <c r="G152" i="4"/>
  <c r="K150" i="4"/>
  <c r="K149" i="4"/>
  <c r="K146" i="4"/>
  <c r="L10" i="4" l="1"/>
  <c r="M10" i="4"/>
  <c r="R10" i="4"/>
  <c r="W10" i="4"/>
  <c r="AR10" i="4"/>
  <c r="AT10" i="4"/>
  <c r="CN10" i="4"/>
  <c r="CO10" i="4"/>
  <c r="CP10" i="4"/>
  <c r="CQ10" i="4"/>
  <c r="EH10" i="4"/>
  <c r="EJ10" i="4" s="1"/>
  <c r="EI10" i="4"/>
  <c r="EK10" i="4"/>
  <c r="EM10" i="4" s="1"/>
  <c r="EL10" i="4"/>
  <c r="FJ10" i="4"/>
  <c r="FK10" i="4"/>
  <c r="EN10" i="4" l="1"/>
  <c r="FN10" i="4" s="1"/>
  <c r="AS10" i="4" s="1"/>
  <c r="EO10" i="4"/>
  <c r="FO10" i="4" s="1"/>
  <c r="AU10" i="4" s="1"/>
  <c r="B266" i="1"/>
  <c r="R1" i="4" l="1"/>
  <c r="FK1" i="4" l="1"/>
  <c r="FJ1" i="4"/>
  <c r="EL1" i="4"/>
  <c r="EK1" i="4"/>
  <c r="EM1" i="4" s="1"/>
  <c r="EI1" i="4"/>
  <c r="EH1" i="4"/>
  <c r="EJ1" i="4" s="1"/>
  <c r="CQ1" i="4"/>
  <c r="CP1" i="4"/>
  <c r="CO1" i="4"/>
  <c r="CN1" i="4"/>
  <c r="AT1" i="4"/>
  <c r="AR1" i="4"/>
  <c r="W1" i="4"/>
  <c r="M1" i="4"/>
  <c r="L1" i="4"/>
  <c r="EN1" i="4" l="1"/>
  <c r="EO1" i="4"/>
  <c r="FN1" i="4" l="1"/>
  <c r="AS1" i="4" s="1"/>
  <c r="FO1" i="4"/>
  <c r="AU1" i="4" s="1"/>
  <c r="L259" i="1"/>
  <c r="M259" i="1"/>
  <c r="H259" i="1"/>
  <c r="E259" i="1"/>
  <c r="G259" i="1"/>
  <c r="F259" i="1"/>
  <c r="K259" i="1"/>
  <c r="J259" i="1"/>
  <c r="I259" i="1"/>
  <c r="P330" i="24" l="1"/>
  <c r="P232" i="24"/>
  <c r="P201" i="24"/>
  <c r="P170" i="24"/>
  <c r="P139" i="24"/>
  <c r="P113" i="24"/>
  <c r="P108" i="24"/>
  <c r="P108" i="1" l="1"/>
  <c r="P113" i="1"/>
  <c r="P139" i="1"/>
  <c r="P170" i="1"/>
  <c r="P201" i="1"/>
  <c r="P232" i="1"/>
  <c r="P330" i="1"/>
  <c r="B354" i="24"/>
  <c r="C354" i="24"/>
  <c r="F368" i="24"/>
  <c r="E357" i="1"/>
  <c r="B370" i="24"/>
  <c r="E368" i="24"/>
  <c r="D369" i="1"/>
  <c r="B365" i="1"/>
  <c r="B363" i="24"/>
  <c r="B364" i="24"/>
  <c r="C359" i="24"/>
  <c r="C369" i="1"/>
  <c r="F369" i="1"/>
  <c r="D362" i="24"/>
  <c r="E367" i="1"/>
  <c r="E370" i="24"/>
  <c r="B357" i="1"/>
  <c r="D364" i="1"/>
  <c r="E369" i="1"/>
  <c r="E363" i="24"/>
  <c r="B357" i="24"/>
  <c r="E360" i="24"/>
  <c r="B362" i="24"/>
  <c r="E357" i="24"/>
  <c r="B358" i="24"/>
  <c r="D360" i="1"/>
  <c r="D364" i="24"/>
  <c r="E350" i="24"/>
  <c r="B353" i="24"/>
  <c r="F367" i="24"/>
  <c r="D357" i="24"/>
  <c r="F353" i="24"/>
  <c r="D353" i="1"/>
  <c r="B369" i="24"/>
  <c r="B367" i="24"/>
  <c r="C365" i="24"/>
  <c r="F357" i="1"/>
  <c r="D359" i="1"/>
  <c r="C360" i="24"/>
  <c r="D352" i="24"/>
  <c r="C350" i="1"/>
  <c r="F357" i="24"/>
  <c r="C367" i="24"/>
  <c r="F355" i="1"/>
  <c r="B350" i="24"/>
  <c r="F359" i="24"/>
  <c r="B364" i="1"/>
  <c r="F364" i="24"/>
  <c r="D352" i="1"/>
  <c r="C352" i="1"/>
  <c r="B358" i="1"/>
  <c r="C363" i="1"/>
  <c r="B354" i="1"/>
  <c r="C364" i="1"/>
  <c r="C369" i="24"/>
  <c r="B350" i="1"/>
  <c r="B355" i="24"/>
  <c r="F360" i="24"/>
  <c r="C357" i="1"/>
  <c r="B368" i="1"/>
  <c r="C370" i="1"/>
  <c r="C370" i="24"/>
  <c r="D370" i="24"/>
  <c r="E358" i="1"/>
  <c r="D365" i="24"/>
  <c r="C360" i="1"/>
  <c r="B353" i="1"/>
  <c r="F352" i="24"/>
  <c r="F359" i="1"/>
  <c r="C368" i="24"/>
  <c r="E353" i="24"/>
  <c r="E370" i="1"/>
  <c r="D350" i="24"/>
  <c r="B359" i="24"/>
  <c r="E359" i="1"/>
  <c r="C355" i="24"/>
  <c r="C358" i="24"/>
  <c r="F368" i="1"/>
  <c r="C357" i="24"/>
  <c r="D354" i="1"/>
  <c r="D370" i="1"/>
  <c r="C362" i="24"/>
  <c r="B352" i="1"/>
  <c r="B352" i="24"/>
  <c r="E359" i="24"/>
  <c r="C354" i="1"/>
  <c r="C352" i="24"/>
  <c r="F363" i="1"/>
  <c r="B360" i="24"/>
  <c r="E364" i="1"/>
  <c r="E352" i="1"/>
  <c r="B365" i="24"/>
  <c r="E363" i="1"/>
  <c r="B359" i="1"/>
  <c r="B360" i="1"/>
  <c r="E364" i="24"/>
  <c r="F358" i="1"/>
  <c r="E362" i="1"/>
  <c r="F364" i="1"/>
  <c r="D368" i="1"/>
  <c r="E365" i="1"/>
  <c r="F369" i="24"/>
  <c r="F367" i="1"/>
  <c r="E355" i="1"/>
  <c r="C362" i="1"/>
  <c r="D355" i="24"/>
  <c r="E365" i="24"/>
  <c r="D365" i="1"/>
  <c r="D363" i="24"/>
  <c r="E353" i="1"/>
  <c r="F355" i="24"/>
  <c r="D350" i="1"/>
  <c r="F362" i="24"/>
  <c r="C367" i="1"/>
  <c r="B369" i="1"/>
  <c r="D362" i="1"/>
  <c r="D369" i="24"/>
  <c r="D360" i="24"/>
  <c r="D363" i="1"/>
  <c r="E367" i="24"/>
  <c r="C353" i="1"/>
  <c r="C368" i="1"/>
  <c r="F354" i="24"/>
  <c r="F370" i="24"/>
  <c r="E360" i="1"/>
  <c r="C355" i="1"/>
  <c r="F360" i="1"/>
  <c r="D357" i="1"/>
  <c r="E352" i="24"/>
  <c r="E362" i="24"/>
  <c r="F363" i="24"/>
  <c r="D358" i="24"/>
  <c r="E368" i="1"/>
  <c r="D367" i="24"/>
  <c r="F365" i="1"/>
  <c r="F354" i="1"/>
  <c r="F365" i="24"/>
  <c r="B362" i="1"/>
  <c r="F370" i="1"/>
  <c r="C358" i="1"/>
  <c r="D354" i="24"/>
  <c r="D355" i="1"/>
  <c r="C359" i="1"/>
  <c r="C350" i="24"/>
  <c r="D358" i="1"/>
  <c r="E355" i="24"/>
  <c r="E350" i="1"/>
  <c r="F353" i="1"/>
  <c r="F358" i="24"/>
  <c r="E369" i="24"/>
  <c r="B363" i="1"/>
  <c r="D353" i="24"/>
  <c r="B370" i="1"/>
  <c r="C353" i="24"/>
  <c r="B367" i="1"/>
  <c r="E354" i="1"/>
  <c r="C363" i="24"/>
  <c r="E358" i="24"/>
  <c r="D368" i="24"/>
  <c r="F350" i="1"/>
  <c r="B355" i="1"/>
  <c r="C365" i="1"/>
  <c r="C364" i="24"/>
  <c r="F350" i="24"/>
  <c r="B368" i="24"/>
  <c r="E354" i="24"/>
  <c r="F362" i="1"/>
  <c r="F352" i="1"/>
  <c r="D359" i="24"/>
  <c r="D367" i="1"/>
  <c r="G355" i="1" l="1"/>
  <c r="G355" i="24"/>
  <c r="G354" i="1"/>
  <c r="G365" i="1"/>
  <c r="G367" i="1"/>
  <c r="G362" i="1"/>
  <c r="G370" i="24"/>
  <c r="G357" i="1"/>
  <c r="G360" i="1"/>
  <c r="G359" i="1"/>
  <c r="G357" i="24"/>
  <c r="G352" i="24"/>
  <c r="G359" i="24"/>
  <c r="G360" i="24"/>
  <c r="G358" i="1"/>
  <c r="G368" i="1"/>
  <c r="G367" i="24"/>
  <c r="G354" i="24"/>
  <c r="G364" i="24"/>
  <c r="G365" i="24"/>
  <c r="G370" i="1"/>
  <c r="G368" i="24"/>
  <c r="G363" i="24"/>
  <c r="G363" i="1"/>
  <c r="G362" i="24"/>
  <c r="G369" i="1"/>
  <c r="G353" i="24"/>
  <c r="G352" i="1"/>
  <c r="G350" i="24"/>
  <c r="G350" i="1"/>
  <c r="G369" i="24"/>
  <c r="G353" i="1"/>
  <c r="G358" i="24"/>
  <c r="G364" i="1"/>
  <c r="F337" i="1"/>
  <c r="M135" i="1"/>
  <c r="I59" i="1"/>
  <c r="C241" i="24"/>
  <c r="L259" i="24"/>
  <c r="K151" i="24"/>
  <c r="H75" i="1"/>
  <c r="O119" i="24"/>
  <c r="G240" i="24"/>
  <c r="I110" i="24"/>
  <c r="L331" i="24"/>
  <c r="L262" i="1"/>
  <c r="D78" i="24"/>
  <c r="N226" i="1"/>
  <c r="K10" i="24"/>
  <c r="M246" i="1"/>
  <c r="H181" i="1"/>
  <c r="H21" i="24"/>
  <c r="F230" i="1"/>
  <c r="B49" i="24"/>
  <c r="F109" i="24"/>
  <c r="F53" i="24"/>
  <c r="F271" i="1"/>
  <c r="C21" i="24"/>
  <c r="L215" i="24"/>
  <c r="B195" i="24"/>
  <c r="B138" i="1"/>
  <c r="D198" i="1"/>
  <c r="L331" i="1"/>
  <c r="C198" i="1"/>
  <c r="O236" i="24"/>
  <c r="N119" i="1"/>
  <c r="G49" i="1"/>
  <c r="K121" i="1"/>
  <c r="I212" i="24"/>
  <c r="J90" i="1"/>
  <c r="M328" i="1"/>
  <c r="N91" i="1"/>
  <c r="G17" i="1"/>
  <c r="C275" i="1"/>
  <c r="C336" i="1"/>
  <c r="N181" i="1"/>
  <c r="D226" i="1"/>
  <c r="I327" i="24"/>
  <c r="N169" i="24"/>
  <c r="O197" i="24"/>
  <c r="L111" i="24"/>
  <c r="K26" i="24"/>
  <c r="N49" i="1"/>
  <c r="O28" i="24"/>
  <c r="I15" i="1"/>
  <c r="L334" i="24"/>
  <c r="K204" i="1"/>
  <c r="N39" i="24"/>
  <c r="B80" i="24"/>
  <c r="D59" i="1"/>
  <c r="B291" i="24"/>
  <c r="H245" i="24"/>
  <c r="G245" i="1"/>
  <c r="L321" i="24"/>
  <c r="L153" i="24"/>
  <c r="E115" i="1"/>
  <c r="K17" i="24"/>
  <c r="L213" i="1"/>
  <c r="N231" i="24"/>
  <c r="H169" i="24"/>
  <c r="M51" i="24"/>
  <c r="M146" i="1"/>
  <c r="D120" i="24"/>
  <c r="C329" i="24"/>
  <c r="G306" i="24"/>
  <c r="C121" i="1"/>
  <c r="H41" i="24"/>
  <c r="J239" i="1"/>
  <c r="M42" i="24"/>
  <c r="D152" i="1"/>
  <c r="K115" i="1"/>
  <c r="J17" i="1"/>
  <c r="D56" i="24"/>
  <c r="O334" i="24"/>
  <c r="M319" i="1"/>
  <c r="C323" i="1"/>
  <c r="L239" i="1"/>
  <c r="M16" i="1"/>
  <c r="J178" i="1"/>
  <c r="K21" i="1"/>
  <c r="L169" i="1"/>
  <c r="K226" i="1"/>
  <c r="E90" i="1"/>
  <c r="B146" i="1"/>
  <c r="E135" i="24"/>
  <c r="M208" i="1"/>
  <c r="K277" i="1"/>
  <c r="G226" i="1"/>
  <c r="L20" i="1"/>
  <c r="E243" i="1"/>
  <c r="F151" i="24"/>
  <c r="D111" i="24"/>
  <c r="L43" i="24"/>
  <c r="O240" i="24"/>
  <c r="F80" i="1"/>
  <c r="O10" i="1"/>
  <c r="M44" i="24"/>
  <c r="J240" i="1"/>
  <c r="G300" i="24"/>
  <c r="D204" i="1"/>
  <c r="O104" i="1"/>
  <c r="G76" i="1"/>
  <c r="L54" i="24"/>
  <c r="E183" i="24"/>
  <c r="I78" i="24"/>
  <c r="D332" i="24"/>
  <c r="D111" i="1"/>
  <c r="L332" i="24"/>
  <c r="L338" i="1"/>
  <c r="M331" i="24"/>
  <c r="L137" i="24"/>
  <c r="J319" i="1"/>
  <c r="G78" i="24"/>
  <c r="K81" i="24"/>
  <c r="B25" i="24"/>
  <c r="D86" i="24"/>
  <c r="G111" i="1"/>
  <c r="G106" i="24"/>
  <c r="I44" i="1"/>
  <c r="N26" i="24"/>
  <c r="J116" i="1"/>
  <c r="F234" i="24"/>
  <c r="G117" i="24"/>
  <c r="J197" i="24"/>
  <c r="E86" i="24"/>
  <c r="M230" i="1"/>
  <c r="E262" i="1"/>
  <c r="M234" i="24"/>
  <c r="H57" i="24"/>
  <c r="K57" i="24"/>
  <c r="J12" i="24"/>
  <c r="K20" i="24"/>
  <c r="L48" i="24"/>
  <c r="G178" i="24"/>
  <c r="L202" i="1"/>
  <c r="I115" i="1"/>
  <c r="F329" i="1"/>
  <c r="K241" i="24"/>
  <c r="C20" i="1"/>
  <c r="B290" i="1"/>
  <c r="K145" i="24"/>
  <c r="M153" i="1"/>
  <c r="F233" i="24"/>
  <c r="D76" i="24"/>
  <c r="F297" i="24"/>
  <c r="O153" i="1"/>
  <c r="G331" i="24"/>
  <c r="M230" i="24"/>
  <c r="B174" i="24"/>
  <c r="F183" i="1"/>
  <c r="N135" i="24"/>
  <c r="M145" i="1"/>
  <c r="B203" i="1"/>
  <c r="J80" i="24"/>
  <c r="I153" i="24"/>
  <c r="C10" i="1"/>
  <c r="G235" i="24"/>
  <c r="G229" i="24"/>
  <c r="I332" i="1"/>
  <c r="F140" i="1"/>
  <c r="O43" i="1"/>
  <c r="B22" i="1"/>
  <c r="J168" i="24"/>
  <c r="J75" i="1"/>
  <c r="K210" i="24"/>
  <c r="I167" i="1"/>
  <c r="H120" i="1"/>
  <c r="H53" i="1"/>
  <c r="C339" i="24"/>
  <c r="N59" i="1"/>
  <c r="G300" i="1"/>
  <c r="B200" i="24"/>
  <c r="E81" i="1"/>
  <c r="D207" i="24"/>
  <c r="C147" i="24"/>
  <c r="E143" i="1"/>
  <c r="C197" i="1"/>
  <c r="C135" i="1"/>
  <c r="M51" i="1"/>
  <c r="J20" i="1"/>
  <c r="F107" i="24"/>
  <c r="J25" i="24"/>
  <c r="I259" i="24"/>
  <c r="N238" i="1"/>
  <c r="J91" i="24"/>
  <c r="B266" i="24"/>
  <c r="N28" i="1"/>
  <c r="C80" i="1"/>
  <c r="G326" i="1"/>
  <c r="F79" i="24"/>
  <c r="N246" i="1"/>
  <c r="O207" i="1"/>
  <c r="M208" i="24"/>
  <c r="L209" i="1"/>
  <c r="D288" i="24"/>
  <c r="O110" i="1"/>
  <c r="J183" i="24"/>
  <c r="M112" i="24"/>
  <c r="H51" i="1"/>
  <c r="K8" i="24"/>
  <c r="O120" i="24"/>
  <c r="N78" i="1"/>
  <c r="L244" i="24"/>
  <c r="C301" i="1"/>
  <c r="G138" i="24"/>
  <c r="J239" i="24"/>
  <c r="J120" i="1"/>
  <c r="J81" i="1"/>
  <c r="C209" i="24"/>
  <c r="N151" i="24"/>
  <c r="J49" i="24"/>
  <c r="M81" i="1"/>
  <c r="O178" i="24"/>
  <c r="D85" i="1"/>
  <c r="F239" i="1"/>
  <c r="N171" i="24"/>
  <c r="I20" i="24"/>
  <c r="C46" i="1"/>
  <c r="N44" i="1"/>
  <c r="K327" i="24"/>
  <c r="H257" i="1"/>
  <c r="M12" i="24"/>
  <c r="F177" i="1"/>
  <c r="E112" i="1"/>
  <c r="I146" i="1"/>
  <c r="M76" i="1"/>
  <c r="K200" i="1"/>
  <c r="C57" i="24"/>
  <c r="N140" i="24"/>
  <c r="H322" i="1"/>
  <c r="B166" i="24"/>
  <c r="I86" i="1"/>
  <c r="G76" i="24"/>
  <c r="K207" i="24"/>
  <c r="O12" i="1"/>
  <c r="N73" i="24"/>
  <c r="E107" i="1"/>
  <c r="B276" i="1"/>
  <c r="K329" i="1"/>
  <c r="H11" i="24"/>
  <c r="L20" i="24"/>
  <c r="O329" i="24"/>
  <c r="C12" i="1"/>
  <c r="O52" i="24"/>
  <c r="N21" i="24"/>
  <c r="N56" i="1"/>
  <c r="E228" i="1"/>
  <c r="C171" i="1"/>
  <c r="I23" i="1"/>
  <c r="M245" i="1"/>
  <c r="N140" i="1"/>
  <c r="D233" i="1"/>
  <c r="B231" i="1"/>
  <c r="B182" i="1"/>
  <c r="E135" i="1"/>
  <c r="C274" i="24"/>
  <c r="J243" i="1"/>
  <c r="I8" i="1"/>
  <c r="G261" i="24"/>
  <c r="K53" i="1"/>
  <c r="N215" i="24"/>
  <c r="G213" i="1"/>
  <c r="F336" i="1"/>
  <c r="L200" i="24"/>
  <c r="D28" i="1"/>
  <c r="J204" i="1"/>
  <c r="J235" i="24"/>
  <c r="L75" i="1"/>
  <c r="L51" i="24"/>
  <c r="B166" i="1"/>
  <c r="N111" i="24"/>
  <c r="C142" i="24"/>
  <c r="G89" i="1"/>
  <c r="F308" i="1"/>
  <c r="K272" i="1"/>
  <c r="D89" i="1"/>
  <c r="C75" i="1"/>
  <c r="M23" i="24"/>
  <c r="N74" i="24"/>
  <c r="C334" i="24"/>
  <c r="N76" i="24"/>
  <c r="G84" i="1"/>
  <c r="B28" i="1"/>
  <c r="M167" i="1"/>
  <c r="J272" i="24"/>
  <c r="J147" i="1"/>
  <c r="D244" i="24"/>
  <c r="D141" i="1"/>
  <c r="H214" i="1"/>
  <c r="O122" i="1"/>
  <c r="H109" i="1"/>
  <c r="G91" i="24"/>
  <c r="B142" i="1"/>
  <c r="H233" i="1"/>
  <c r="I327" i="1"/>
  <c r="C212" i="24"/>
  <c r="C90" i="1"/>
  <c r="I199" i="24"/>
  <c r="E71" i="1"/>
  <c r="B91" i="1"/>
  <c r="M81" i="24"/>
  <c r="O107" i="1"/>
  <c r="G80" i="24"/>
  <c r="I171" i="1"/>
  <c r="L79" i="24"/>
  <c r="B146" i="24"/>
  <c r="I213" i="24"/>
  <c r="M173" i="24"/>
  <c r="I13" i="1"/>
  <c r="K46" i="1"/>
  <c r="F43" i="24"/>
  <c r="G234" i="24"/>
  <c r="E112" i="24"/>
  <c r="K337" i="1"/>
  <c r="E51" i="24"/>
  <c r="F198" i="1"/>
  <c r="L264" i="1"/>
  <c r="F12" i="24"/>
  <c r="K176" i="1"/>
  <c r="N73" i="1"/>
  <c r="D114" i="1"/>
  <c r="K88" i="1"/>
  <c r="I239" i="1"/>
  <c r="O177" i="24"/>
  <c r="L150" i="1"/>
  <c r="D71" i="24"/>
  <c r="I207" i="1"/>
  <c r="I245" i="24"/>
  <c r="J74" i="24"/>
  <c r="J78" i="1"/>
  <c r="D331" i="1"/>
  <c r="B46" i="1"/>
  <c r="G13" i="24"/>
  <c r="O212" i="24"/>
  <c r="N327" i="1"/>
  <c r="C297" i="24"/>
  <c r="F207" i="24"/>
  <c r="N205" i="24"/>
  <c r="J202" i="1"/>
  <c r="L269" i="1"/>
  <c r="M275" i="24"/>
  <c r="G297" i="1"/>
  <c r="B176" i="1"/>
  <c r="F79" i="1"/>
  <c r="I274" i="24"/>
  <c r="F121" i="1"/>
  <c r="F59" i="1"/>
  <c r="J323" i="1"/>
  <c r="C338" i="24"/>
  <c r="D25" i="24"/>
  <c r="H327" i="24"/>
  <c r="M270" i="1"/>
  <c r="H152" i="1"/>
  <c r="O122" i="24"/>
  <c r="N22" i="24"/>
  <c r="O333" i="24"/>
  <c r="M21" i="1"/>
  <c r="F329" i="24"/>
  <c r="F229" i="24"/>
  <c r="I329" i="1"/>
  <c r="D298" i="24"/>
  <c r="D331" i="24"/>
  <c r="M111" i="1"/>
  <c r="K116" i="1"/>
  <c r="M74" i="24"/>
  <c r="C143" i="1"/>
  <c r="O90" i="24"/>
  <c r="D142" i="1"/>
  <c r="E20" i="24"/>
  <c r="G333" i="24"/>
  <c r="E15" i="24"/>
  <c r="N183" i="24"/>
  <c r="H198" i="1"/>
  <c r="M204" i="24"/>
  <c r="M28" i="1"/>
  <c r="C296" i="24"/>
  <c r="M233" i="24"/>
  <c r="O57" i="1"/>
  <c r="I171" i="24"/>
  <c r="E59" i="1"/>
  <c r="I207" i="24"/>
  <c r="K331" i="1"/>
  <c r="K321" i="24"/>
  <c r="E226" i="1"/>
  <c r="M173" i="1"/>
  <c r="H8" i="24"/>
  <c r="O245" i="24"/>
  <c r="J83" i="1"/>
  <c r="G81" i="24"/>
  <c r="L272" i="1"/>
  <c r="M327" i="1"/>
  <c r="K49" i="24"/>
  <c r="E230" i="24"/>
  <c r="L91" i="24"/>
  <c r="D57" i="1"/>
  <c r="K102" i="1"/>
  <c r="L332" i="1"/>
  <c r="E46" i="1"/>
  <c r="M228" i="1"/>
  <c r="N41" i="24"/>
  <c r="L177" i="1"/>
  <c r="G12" i="1"/>
  <c r="B303" i="24"/>
  <c r="D241" i="1"/>
  <c r="G181" i="1"/>
  <c r="N229" i="24"/>
  <c r="F58" i="1"/>
  <c r="N202" i="24"/>
  <c r="J177" i="24"/>
  <c r="K39" i="24"/>
  <c r="D81" i="1"/>
  <c r="K133" i="1"/>
  <c r="B205" i="24"/>
  <c r="M150" i="24"/>
  <c r="J13" i="24"/>
  <c r="N117" i="1"/>
  <c r="K116" i="24"/>
  <c r="C22" i="24"/>
  <c r="C302" i="24"/>
  <c r="G302" i="1"/>
  <c r="F39" i="24"/>
  <c r="N52" i="1"/>
  <c r="N322" i="1"/>
  <c r="C114" i="1"/>
  <c r="C264" i="24"/>
  <c r="L235" i="1"/>
  <c r="M226" i="1"/>
  <c r="I246" i="1"/>
  <c r="D236" i="24"/>
  <c r="C204" i="24"/>
  <c r="C83" i="1"/>
  <c r="F75" i="24"/>
  <c r="G78" i="1"/>
  <c r="C207" i="24"/>
  <c r="B296" i="1"/>
  <c r="I141" i="24"/>
  <c r="G275" i="24"/>
  <c r="M46" i="24"/>
  <c r="I339" i="24"/>
  <c r="K182" i="1"/>
  <c r="O210" i="24"/>
  <c r="D277" i="1"/>
  <c r="E111" i="24"/>
  <c r="C260" i="1"/>
  <c r="N51" i="1"/>
  <c r="E328" i="24"/>
  <c r="C106" i="1"/>
  <c r="B326" i="1"/>
  <c r="K11" i="24"/>
  <c r="M11" i="1"/>
  <c r="G319" i="1"/>
  <c r="L204" i="24"/>
  <c r="B181" i="1"/>
  <c r="J207" i="1"/>
  <c r="J48" i="24"/>
  <c r="L73" i="1"/>
  <c r="L339" i="24"/>
  <c r="G230" i="24"/>
  <c r="D121" i="24"/>
  <c r="L147" i="1"/>
  <c r="B52" i="1"/>
  <c r="E115" i="24"/>
  <c r="K276" i="24"/>
  <c r="L169" i="24"/>
  <c r="O141" i="24"/>
  <c r="E75" i="24"/>
  <c r="C13" i="24"/>
  <c r="B213" i="1"/>
  <c r="G117" i="1"/>
  <c r="E164" i="24"/>
  <c r="G215" i="1"/>
  <c r="I42" i="1"/>
  <c r="B74" i="24"/>
  <c r="E306" i="1"/>
  <c r="M243" i="1"/>
  <c r="C292" i="24"/>
  <c r="E319" i="1"/>
  <c r="H338" i="24"/>
  <c r="M106" i="24"/>
  <c r="J43" i="1"/>
  <c r="F243" i="1"/>
  <c r="I261" i="24"/>
  <c r="J59" i="1"/>
  <c r="K338" i="24"/>
  <c r="M76" i="24"/>
  <c r="H79" i="1"/>
  <c r="I328" i="24"/>
  <c r="K148" i="24"/>
  <c r="J142" i="24"/>
  <c r="H148" i="1"/>
  <c r="D177" i="1"/>
  <c r="M26" i="24"/>
  <c r="I43" i="24"/>
  <c r="F234" i="1"/>
  <c r="L167" i="24"/>
  <c r="O233" i="1"/>
  <c r="K274" i="1"/>
  <c r="L265" i="24"/>
  <c r="C106" i="24"/>
  <c r="H245" i="1"/>
  <c r="M151" i="24"/>
  <c r="F11" i="24"/>
  <c r="C277" i="24"/>
  <c r="J333" i="1"/>
  <c r="I200" i="1"/>
  <c r="M245" i="24"/>
  <c r="J326" i="1"/>
  <c r="O229" i="24"/>
  <c r="C116" i="24"/>
  <c r="H143" i="1"/>
  <c r="C58" i="24"/>
  <c r="D176" i="24"/>
  <c r="B122" i="24"/>
  <c r="H13" i="1"/>
  <c r="K53" i="24"/>
  <c r="D112" i="1"/>
  <c r="M58" i="24"/>
  <c r="I21" i="24"/>
  <c r="C234" i="24"/>
  <c r="M166" i="24"/>
  <c r="J174" i="24"/>
  <c r="J153" i="1"/>
  <c r="M143" i="1"/>
  <c r="O169" i="1"/>
  <c r="I214" i="1"/>
  <c r="D176" i="1"/>
  <c r="H18" i="24"/>
  <c r="I51" i="24"/>
  <c r="H226" i="24"/>
  <c r="L23" i="24"/>
  <c r="G179" i="24"/>
  <c r="G214" i="1"/>
  <c r="E257" i="24"/>
  <c r="F164" i="1"/>
  <c r="N181" i="24"/>
  <c r="O20" i="1"/>
  <c r="D262" i="24"/>
  <c r="L195" i="1"/>
  <c r="O164" i="1"/>
  <c r="D146" i="1"/>
  <c r="L207" i="24"/>
  <c r="O56" i="1"/>
  <c r="H328" i="24"/>
  <c r="F145" i="1"/>
  <c r="H327" i="1"/>
  <c r="K122" i="24"/>
  <c r="I152" i="24"/>
  <c r="I323" i="1"/>
  <c r="O106" i="1"/>
  <c r="H230" i="1"/>
  <c r="O84" i="1"/>
  <c r="H275" i="1"/>
  <c r="B82" i="1"/>
  <c r="H115" i="1"/>
  <c r="K239" i="24"/>
  <c r="D321" i="24"/>
  <c r="D122" i="24"/>
  <c r="M238" i="24"/>
  <c r="F321" i="24"/>
  <c r="O116" i="1"/>
  <c r="B114" i="24"/>
  <c r="K167" i="1"/>
  <c r="E303" i="1"/>
  <c r="I178" i="24"/>
  <c r="F135" i="24"/>
  <c r="H171" i="1"/>
  <c r="L148" i="24"/>
  <c r="G231" i="24"/>
  <c r="N23" i="1"/>
  <c r="M21" i="24"/>
  <c r="L233" i="1"/>
  <c r="N339" i="1"/>
  <c r="O138" i="24"/>
  <c r="B234" i="1"/>
  <c r="G116" i="1"/>
  <c r="K109" i="1"/>
  <c r="K235" i="24"/>
  <c r="I197" i="1"/>
  <c r="D269" i="1"/>
  <c r="M26" i="1"/>
  <c r="B47" i="24"/>
  <c r="D39" i="1"/>
  <c r="B54" i="1"/>
  <c r="O228" i="1"/>
  <c r="D209" i="1"/>
  <c r="N41" i="1"/>
  <c r="E266" i="1"/>
  <c r="C277" i="1"/>
  <c r="B338" i="24"/>
  <c r="B293" i="24"/>
  <c r="H121" i="1"/>
  <c r="N333" i="24"/>
  <c r="D43" i="24"/>
  <c r="J209" i="1"/>
  <c r="I334" i="24"/>
  <c r="M233" i="1"/>
  <c r="J105" i="1"/>
  <c r="I241" i="24"/>
  <c r="M332" i="24"/>
  <c r="K51" i="1"/>
  <c r="L58" i="24"/>
  <c r="N179" i="1"/>
  <c r="K337" i="24"/>
  <c r="B241" i="1"/>
  <c r="N115" i="24"/>
  <c r="F15" i="1"/>
  <c r="E260" i="24"/>
  <c r="G292" i="24"/>
  <c r="O323" i="1"/>
  <c r="C199" i="24"/>
  <c r="G57" i="1"/>
  <c r="E288" i="1"/>
  <c r="M267" i="1"/>
  <c r="D270" i="1"/>
  <c r="H26" i="24"/>
  <c r="B275" i="1"/>
  <c r="K12" i="1"/>
  <c r="F90" i="24"/>
  <c r="N104" i="1"/>
  <c r="F326" i="24"/>
  <c r="B52" i="24"/>
  <c r="G23" i="24"/>
  <c r="I229" i="1"/>
  <c r="N148" i="24"/>
  <c r="J167" i="1"/>
  <c r="D329" i="24"/>
  <c r="N212" i="24"/>
  <c r="F209" i="1"/>
  <c r="J83" i="24"/>
  <c r="I208" i="24"/>
  <c r="E308" i="24"/>
  <c r="G73" i="1"/>
  <c r="E331" i="1"/>
  <c r="N121" i="24"/>
  <c r="G339" i="1"/>
  <c r="L183" i="24"/>
  <c r="M336" i="1"/>
  <c r="N197" i="1"/>
  <c r="H28" i="24"/>
  <c r="K25" i="24"/>
  <c r="J27" i="1"/>
  <c r="B118" i="1"/>
  <c r="K73" i="1"/>
  <c r="H319" i="1"/>
  <c r="B148" i="24"/>
  <c r="L336" i="24"/>
  <c r="C17" i="24"/>
  <c r="L265" i="1"/>
  <c r="B210" i="24"/>
  <c r="E44" i="24"/>
  <c r="G257" i="1"/>
  <c r="K81" i="1"/>
  <c r="K83" i="1"/>
  <c r="G205" i="24"/>
  <c r="O27" i="24"/>
  <c r="I39" i="24"/>
  <c r="F275" i="1"/>
  <c r="J8" i="24"/>
  <c r="E326" i="24"/>
  <c r="J178" i="24"/>
  <c r="H153" i="24"/>
  <c r="C337" i="24"/>
  <c r="F51" i="24"/>
  <c r="H226" i="1"/>
  <c r="G91" i="1"/>
  <c r="M39" i="1"/>
  <c r="M73" i="24"/>
  <c r="O171" i="24"/>
  <c r="L184" i="1"/>
  <c r="M90" i="1"/>
  <c r="M89" i="1"/>
  <c r="E182" i="24"/>
  <c r="G266" i="24"/>
  <c r="K84" i="1"/>
  <c r="O177" i="1"/>
  <c r="G230" i="1"/>
  <c r="H231" i="24"/>
  <c r="B178" i="1"/>
  <c r="H86" i="24"/>
  <c r="D322" i="1"/>
  <c r="E291" i="1"/>
  <c r="H145" i="1"/>
  <c r="K136" i="1"/>
  <c r="I195" i="1"/>
  <c r="E270" i="1"/>
  <c r="D90" i="24"/>
  <c r="L229" i="1"/>
  <c r="J105" i="24"/>
  <c r="F306" i="24"/>
  <c r="B288" i="24"/>
  <c r="E233" i="1"/>
  <c r="F174" i="1"/>
  <c r="O142" i="24"/>
  <c r="M181" i="24"/>
  <c r="E215" i="24"/>
  <c r="D229" i="24"/>
  <c r="N239" i="24"/>
  <c r="N176" i="24"/>
  <c r="N205" i="1"/>
  <c r="C137" i="24"/>
  <c r="D238" i="24"/>
  <c r="N148" i="1"/>
  <c r="D274" i="24"/>
  <c r="N53" i="1"/>
  <c r="I234" i="1"/>
  <c r="G324" i="24"/>
  <c r="B112" i="24"/>
  <c r="C76" i="1"/>
  <c r="J145" i="1"/>
  <c r="F166" i="24"/>
  <c r="C90" i="24"/>
  <c r="F111" i="24"/>
  <c r="D12" i="24"/>
  <c r="D79" i="24"/>
  <c r="B204" i="24"/>
  <c r="I236" i="24"/>
  <c r="O71" i="24"/>
  <c r="D90" i="1"/>
  <c r="N115" i="1"/>
  <c r="F109" i="1"/>
  <c r="I104" i="1"/>
  <c r="J234" i="1"/>
  <c r="C18" i="24"/>
  <c r="C85" i="1"/>
  <c r="K179" i="24"/>
  <c r="L27" i="24"/>
  <c r="E86" i="1"/>
  <c r="B177" i="24"/>
  <c r="H234" i="24"/>
  <c r="B334" i="24"/>
  <c r="D334" i="1"/>
  <c r="C8" i="1"/>
  <c r="M54" i="24"/>
  <c r="L173" i="24"/>
  <c r="N235" i="24"/>
  <c r="O200" i="24"/>
  <c r="G207" i="24"/>
  <c r="E233" i="24"/>
  <c r="C146" i="24"/>
  <c r="H212" i="24"/>
  <c r="K173" i="1"/>
  <c r="E327" i="1"/>
  <c r="D39" i="24"/>
  <c r="C332" i="1"/>
  <c r="L261" i="24"/>
  <c r="D16" i="24"/>
  <c r="N58" i="1"/>
  <c r="F84" i="24"/>
  <c r="B200" i="1"/>
  <c r="O230" i="24"/>
  <c r="F152" i="24"/>
  <c r="I84" i="24"/>
  <c r="H172" i="1"/>
  <c r="B147" i="1"/>
  <c r="C270" i="24"/>
  <c r="J270" i="1"/>
  <c r="E264" i="1"/>
  <c r="C204" i="1"/>
  <c r="G327" i="24"/>
  <c r="N200" i="1"/>
  <c r="B56" i="1"/>
  <c r="L238" i="1"/>
  <c r="L229" i="24"/>
  <c r="L202" i="24"/>
  <c r="B109" i="1"/>
  <c r="J104" i="1"/>
  <c r="B88" i="1"/>
  <c r="E199" i="24"/>
  <c r="B106" i="24"/>
  <c r="K235" i="1"/>
  <c r="F303" i="24"/>
  <c r="L214" i="1"/>
  <c r="F302" i="1"/>
  <c r="O209" i="24"/>
  <c r="B269" i="24"/>
  <c r="C245" i="1"/>
  <c r="M27" i="24"/>
  <c r="H276" i="24"/>
  <c r="K59" i="1"/>
  <c r="H333" i="24"/>
  <c r="B27" i="1"/>
  <c r="L204" i="1"/>
  <c r="G46" i="1"/>
  <c r="I90" i="24"/>
  <c r="L110" i="1"/>
  <c r="G246" i="24"/>
  <c r="O8" i="1"/>
  <c r="M56" i="24"/>
  <c r="L326" i="1"/>
  <c r="I174" i="24"/>
  <c r="E177" i="24"/>
  <c r="K28" i="24"/>
  <c r="L52" i="1"/>
  <c r="N142" i="1"/>
  <c r="C172" i="24"/>
  <c r="E262" i="24"/>
  <c r="N46" i="24"/>
  <c r="C238" i="24"/>
  <c r="B308" i="1"/>
  <c r="H166" i="24"/>
  <c r="N230" i="24"/>
  <c r="M267" i="24"/>
  <c r="O234" i="1"/>
  <c r="K179" i="1"/>
  <c r="C239" i="24"/>
  <c r="C56" i="1"/>
  <c r="N208" i="24"/>
  <c r="N107" i="24"/>
  <c r="N54" i="24"/>
  <c r="K332" i="1"/>
  <c r="E56" i="24"/>
  <c r="C74" i="24"/>
  <c r="B81" i="1"/>
  <c r="E41" i="1"/>
  <c r="I74" i="24"/>
  <c r="B297" i="24"/>
  <c r="H174" i="24"/>
  <c r="H243" i="1"/>
  <c r="I269" i="1"/>
  <c r="E334" i="1"/>
  <c r="O23" i="24"/>
  <c r="E166" i="1"/>
  <c r="M135" i="24"/>
  <c r="F199" i="24"/>
  <c r="H277" i="1"/>
  <c r="H272" i="1"/>
  <c r="B197" i="24"/>
  <c r="J133" i="1"/>
  <c r="B86" i="1"/>
  <c r="E243" i="24"/>
  <c r="C291" i="1"/>
  <c r="L274" i="24"/>
  <c r="K333" i="24"/>
  <c r="C183" i="1"/>
  <c r="I197" i="24"/>
  <c r="E13" i="1"/>
  <c r="H265" i="1"/>
  <c r="G74" i="24"/>
  <c r="M212" i="24"/>
  <c r="I178" i="1"/>
  <c r="E43" i="1"/>
  <c r="N112" i="24"/>
  <c r="E241" i="24"/>
  <c r="G205" i="1"/>
  <c r="E173" i="24"/>
  <c r="K117" i="24"/>
  <c r="B240" i="1"/>
  <c r="J331" i="1"/>
  <c r="O115" i="1"/>
  <c r="H203" i="24"/>
  <c r="E275" i="24"/>
  <c r="K153" i="1"/>
  <c r="D11" i="1"/>
  <c r="G18" i="24"/>
  <c r="H322" i="24"/>
  <c r="K147" i="24"/>
  <c r="K46" i="24"/>
  <c r="M277" i="1"/>
  <c r="H75" i="24"/>
  <c r="I41" i="24"/>
  <c r="F260" i="1"/>
  <c r="F102" i="1"/>
  <c r="O114" i="24"/>
  <c r="G18" i="1"/>
  <c r="G148" i="24"/>
  <c r="H121" i="24"/>
  <c r="O228" i="24"/>
  <c r="M260" i="1"/>
  <c r="C333" i="1"/>
  <c r="G339" i="24"/>
  <c r="L74" i="24"/>
  <c r="M111" i="24"/>
  <c r="M240" i="1"/>
  <c r="G241" i="24"/>
  <c r="D145" i="24"/>
  <c r="E25" i="1"/>
  <c r="H25" i="1"/>
  <c r="O21" i="24"/>
  <c r="I267" i="1"/>
  <c r="I91" i="1"/>
  <c r="H213" i="1"/>
  <c r="E8" i="1"/>
  <c r="E122" i="1"/>
  <c r="F327" i="1"/>
  <c r="N244" i="1"/>
  <c r="O338" i="24"/>
  <c r="G337" i="24"/>
  <c r="C198" i="24"/>
  <c r="F324" i="24"/>
  <c r="M168" i="1"/>
  <c r="J84" i="1"/>
  <c r="D202" i="24"/>
  <c r="E73" i="24"/>
  <c r="K78" i="1"/>
  <c r="E228" i="24"/>
  <c r="O143" i="1"/>
  <c r="N57" i="24"/>
  <c r="B120" i="1"/>
  <c r="D260" i="24"/>
  <c r="G207" i="1"/>
  <c r="H46" i="1"/>
  <c r="G90" i="1"/>
  <c r="B8" i="1"/>
  <c r="H238" i="1"/>
  <c r="O339" i="1"/>
  <c r="H91" i="24"/>
  <c r="K74" i="1"/>
  <c r="C272" i="24"/>
  <c r="J331" i="24"/>
  <c r="C117" i="1"/>
  <c r="B300" i="24"/>
  <c r="E238" i="24"/>
  <c r="I230" i="24"/>
  <c r="J57" i="24"/>
  <c r="K25" i="1"/>
  <c r="J271" i="1"/>
  <c r="C80" i="24"/>
  <c r="E176" i="24"/>
  <c r="M15" i="1"/>
  <c r="F182" i="1"/>
  <c r="N203" i="1"/>
  <c r="D235" i="24"/>
  <c r="D13" i="24"/>
  <c r="M11" i="24"/>
  <c r="L244" i="1"/>
  <c r="M324" i="24"/>
  <c r="I48" i="1"/>
  <c r="O174" i="24"/>
  <c r="B324" i="24"/>
  <c r="L16" i="24"/>
  <c r="E182" i="1"/>
  <c r="M104" i="24"/>
  <c r="E323" i="24"/>
  <c r="N210" i="1"/>
  <c r="N18" i="1"/>
  <c r="N240" i="24"/>
  <c r="F91" i="24"/>
  <c r="I331" i="1"/>
  <c r="G164" i="24"/>
  <c r="E292" i="24"/>
  <c r="B141" i="24"/>
  <c r="G71" i="24"/>
  <c r="H83" i="24"/>
  <c r="C81" i="24"/>
  <c r="K328" i="1"/>
  <c r="G141" i="24"/>
  <c r="J234" i="24"/>
  <c r="J117" i="24"/>
  <c r="O16" i="1"/>
  <c r="C276" i="24"/>
  <c r="D10" i="1"/>
  <c r="F307" i="1"/>
  <c r="D58" i="24"/>
  <c r="D324" i="24"/>
  <c r="G265" i="1"/>
  <c r="O114" i="1"/>
  <c r="J210" i="1"/>
  <c r="O204" i="24"/>
  <c r="O200" i="1"/>
  <c r="B140" i="1"/>
  <c r="G184" i="24"/>
  <c r="L333" i="1"/>
  <c r="B319" i="24"/>
  <c r="M199" i="1"/>
  <c r="F336" i="24"/>
  <c r="M215" i="24"/>
  <c r="I236" i="1"/>
  <c r="E57" i="1"/>
  <c r="G56" i="1"/>
  <c r="L59" i="24"/>
  <c r="M117" i="1"/>
  <c r="H104" i="24"/>
  <c r="J58" i="24"/>
  <c r="B110" i="24"/>
  <c r="F110" i="24"/>
  <c r="C293" i="24"/>
  <c r="G329" i="1"/>
  <c r="J52" i="24"/>
  <c r="J148" i="1"/>
  <c r="C300" i="1"/>
  <c r="H336" i="1"/>
  <c r="F80" i="24"/>
  <c r="L164" i="24"/>
  <c r="E308" i="1"/>
  <c r="B322" i="1"/>
  <c r="I47" i="1"/>
  <c r="B234" i="24"/>
  <c r="F246" i="1"/>
  <c r="O133" i="24"/>
  <c r="M261" i="24"/>
  <c r="G80" i="1"/>
  <c r="D18" i="1"/>
  <c r="O90" i="1"/>
  <c r="I169" i="1"/>
  <c r="F18" i="24"/>
  <c r="L140" i="24"/>
  <c r="G136" i="24"/>
  <c r="C308" i="1"/>
  <c r="F215" i="24"/>
  <c r="G150" i="1"/>
  <c r="H164" i="24"/>
  <c r="C171" i="24"/>
  <c r="G20" i="24"/>
  <c r="C53" i="1"/>
  <c r="F300" i="1"/>
  <c r="L235" i="24"/>
  <c r="C41" i="24"/>
  <c r="E140" i="24"/>
  <c r="G81" i="1"/>
  <c r="O136" i="1"/>
  <c r="B49" i="1"/>
  <c r="K47" i="24"/>
  <c r="B203" i="24"/>
  <c r="B85" i="24"/>
  <c r="K111" i="1"/>
  <c r="B16" i="24"/>
  <c r="O244" i="1"/>
  <c r="I179" i="1"/>
  <c r="D27" i="24"/>
  <c r="B327" i="1"/>
  <c r="M71" i="1"/>
  <c r="D276" i="24"/>
  <c r="G182" i="24"/>
  <c r="J241" i="24"/>
  <c r="J324" i="1"/>
  <c r="D12" i="1"/>
  <c r="G42" i="1"/>
  <c r="H71" i="1"/>
  <c r="L167" i="1"/>
  <c r="H80" i="1"/>
  <c r="J44" i="1"/>
  <c r="J213" i="1"/>
  <c r="K339" i="1"/>
  <c r="O39" i="24"/>
  <c r="N169" i="1"/>
  <c r="N236" i="1"/>
  <c r="E151" i="1"/>
  <c r="E277" i="1"/>
  <c r="B277" i="24"/>
  <c r="B226" i="1"/>
  <c r="N213" i="1"/>
  <c r="F15" i="24"/>
  <c r="J327" i="1"/>
  <c r="C177" i="24"/>
  <c r="N209" i="24"/>
  <c r="B12" i="24"/>
  <c r="I173" i="24"/>
  <c r="K269" i="24"/>
  <c r="F212" i="1"/>
  <c r="B117" i="1"/>
  <c r="I169" i="24"/>
  <c r="N212" i="1"/>
  <c r="E110" i="24"/>
  <c r="O140" i="1"/>
  <c r="K75" i="24"/>
  <c r="H136" i="1"/>
  <c r="L120" i="24"/>
  <c r="C327" i="24"/>
  <c r="E302" i="24"/>
  <c r="F272" i="24"/>
  <c r="G85" i="24"/>
  <c r="F52" i="1"/>
  <c r="J138" i="24"/>
  <c r="O322" i="1"/>
  <c r="M265" i="1"/>
  <c r="K89" i="1"/>
  <c r="B199" i="1"/>
  <c r="F269" i="24"/>
  <c r="D230" i="24"/>
  <c r="C78" i="24"/>
  <c r="J136" i="1"/>
  <c r="E88" i="24"/>
  <c r="H260" i="1"/>
  <c r="L79" i="1"/>
  <c r="F85" i="24"/>
  <c r="D257" i="24"/>
  <c r="J208" i="1"/>
  <c r="D121" i="1"/>
  <c r="C147" i="1"/>
  <c r="F293" i="24"/>
  <c r="C86" i="1"/>
  <c r="B171" i="24"/>
  <c r="G306" i="1"/>
  <c r="H54" i="1"/>
  <c r="C10" i="24"/>
  <c r="L41" i="1"/>
  <c r="N182" i="1"/>
  <c r="E73" i="1"/>
  <c r="D337" i="24"/>
  <c r="M122" i="1"/>
  <c r="G169" i="1"/>
  <c r="N91" i="24"/>
  <c r="I148" i="1"/>
  <c r="F238" i="24"/>
  <c r="F53" i="1"/>
  <c r="J199" i="1"/>
  <c r="F184" i="1"/>
  <c r="B207" i="1"/>
  <c r="J329" i="24"/>
  <c r="B151" i="1"/>
  <c r="J73" i="1"/>
  <c r="M140" i="1"/>
  <c r="N43" i="24"/>
  <c r="K174" i="24"/>
  <c r="I27" i="24"/>
  <c r="L49" i="1"/>
  <c r="F272" i="1"/>
  <c r="O243" i="1"/>
  <c r="D324" i="1"/>
  <c r="M52" i="1"/>
  <c r="D58" i="1"/>
  <c r="B276" i="24"/>
  <c r="C166" i="24"/>
  <c r="B145" i="24"/>
  <c r="B135" i="24"/>
  <c r="O91" i="24"/>
  <c r="E141" i="24"/>
  <c r="J140" i="1"/>
  <c r="C243" i="1"/>
  <c r="C110" i="24"/>
  <c r="O15" i="24"/>
  <c r="F48" i="24"/>
  <c r="F76" i="24"/>
  <c r="G173" i="1"/>
  <c r="K143" i="1"/>
  <c r="L339" i="1"/>
  <c r="G120" i="1"/>
  <c r="I233" i="24"/>
  <c r="C21" i="1"/>
  <c r="B59" i="24"/>
  <c r="O135" i="24"/>
  <c r="D179" i="1"/>
  <c r="N171" i="1"/>
  <c r="I277" i="1"/>
  <c r="H233" i="24"/>
  <c r="G274" i="1"/>
  <c r="B58" i="24"/>
  <c r="H133" i="1"/>
  <c r="I73" i="24"/>
  <c r="N15" i="24"/>
  <c r="D333" i="24"/>
  <c r="L246" i="1"/>
  <c r="E56" i="1"/>
  <c r="C39" i="1"/>
  <c r="J179" i="1"/>
  <c r="E107" i="24"/>
  <c r="N120" i="24"/>
  <c r="C236" i="24"/>
  <c r="J168" i="1"/>
  <c r="F257" i="24"/>
  <c r="B153" i="1"/>
  <c r="I324" i="24"/>
  <c r="D151" i="1"/>
  <c r="K275" i="24"/>
  <c r="F181" i="1"/>
  <c r="M71" i="24"/>
  <c r="G270" i="1"/>
  <c r="I17" i="24"/>
  <c r="D133" i="24"/>
  <c r="B114" i="1"/>
  <c r="E121" i="24"/>
  <c r="G272" i="24"/>
  <c r="E83" i="24"/>
  <c r="M25" i="24"/>
  <c r="I81" i="24"/>
  <c r="I89" i="1"/>
  <c r="J171" i="24"/>
  <c r="M147" i="24"/>
  <c r="N198" i="24"/>
  <c r="L266" i="24"/>
  <c r="N202" i="1"/>
  <c r="I26" i="24"/>
  <c r="O208" i="1"/>
  <c r="E133" i="1"/>
  <c r="F112" i="1"/>
  <c r="I143" i="1"/>
  <c r="J210" i="24"/>
  <c r="O53" i="24"/>
  <c r="C199" i="1"/>
  <c r="L133" i="1"/>
  <c r="E195" i="24"/>
  <c r="O16" i="24"/>
  <c r="F203" i="1"/>
  <c r="N245" i="1"/>
  <c r="E195" i="1"/>
  <c r="D214" i="24"/>
  <c r="N106" i="24"/>
  <c r="B117" i="24"/>
  <c r="G293" i="24"/>
  <c r="C136" i="1"/>
  <c r="B141" i="1"/>
  <c r="J28" i="1"/>
  <c r="H228" i="24"/>
  <c r="D275" i="1"/>
  <c r="H51" i="24"/>
  <c r="B104" i="24"/>
  <c r="E116" i="1"/>
  <c r="C79" i="1"/>
  <c r="F177" i="24"/>
  <c r="C177" i="1"/>
  <c r="E202" i="24"/>
  <c r="I151" i="24"/>
  <c r="L136" i="1"/>
  <c r="H54" i="24"/>
  <c r="L142" i="24"/>
  <c r="O46" i="24"/>
  <c r="H176" i="24"/>
  <c r="F322" i="1"/>
  <c r="M333" i="1"/>
  <c r="N25" i="24"/>
  <c r="J18" i="24"/>
  <c r="B10" i="24"/>
  <c r="M264" i="24"/>
  <c r="K148" i="1"/>
  <c r="J198" i="24"/>
  <c r="H228" i="1"/>
  <c r="K266" i="1"/>
  <c r="G209" i="24"/>
  <c r="J233" i="1"/>
  <c r="J141" i="24"/>
  <c r="E198" i="1"/>
  <c r="H264" i="24"/>
  <c r="L233" i="24"/>
  <c r="F212" i="24"/>
  <c r="K199" i="24"/>
  <c r="M179" i="24"/>
  <c r="H181" i="24"/>
  <c r="K269" i="1"/>
  <c r="F173" i="24"/>
  <c r="K168" i="24"/>
  <c r="L46" i="1"/>
  <c r="I18" i="1"/>
  <c r="C214" i="24"/>
  <c r="N243" i="1"/>
  <c r="D168" i="24"/>
  <c r="B206" i="24"/>
  <c r="N102" i="1"/>
  <c r="D305" i="1"/>
  <c r="E245" i="24"/>
  <c r="F43" i="1"/>
  <c r="O207" i="24"/>
  <c r="J172" i="1"/>
  <c r="I333" i="1"/>
  <c r="G58" i="24"/>
  <c r="G21" i="24"/>
  <c r="K58" i="24"/>
  <c r="N26" i="1"/>
  <c r="I49" i="1"/>
  <c r="M91" i="24"/>
  <c r="I215" i="24"/>
  <c r="I274" i="1"/>
  <c r="E179" i="24"/>
  <c r="C236" i="1"/>
  <c r="I319" i="1"/>
  <c r="C151" i="24"/>
  <c r="I76" i="24"/>
  <c r="D261" i="1"/>
  <c r="O229" i="1"/>
  <c r="L89" i="24"/>
  <c r="L183" i="1"/>
  <c r="I164" i="1"/>
  <c r="H326" i="24"/>
  <c r="G25" i="24"/>
  <c r="K244" i="24"/>
  <c r="E296" i="1"/>
  <c r="H15" i="1"/>
  <c r="H142" i="1"/>
  <c r="E78" i="1"/>
  <c r="J214" i="1"/>
  <c r="I243" i="1"/>
  <c r="C297" i="1"/>
  <c r="F47" i="1"/>
  <c r="G75" i="24"/>
  <c r="C49" i="1"/>
  <c r="C259" i="24"/>
  <c r="E203" i="24"/>
  <c r="H319" i="24"/>
  <c r="L12" i="1"/>
  <c r="J91" i="1"/>
  <c r="D183" i="24"/>
  <c r="D15" i="24"/>
  <c r="M16" i="24"/>
  <c r="F270" i="1"/>
  <c r="C25" i="24"/>
  <c r="K205" i="1"/>
  <c r="E85" i="1"/>
  <c r="B119" i="24"/>
  <c r="B26" i="24"/>
  <c r="L143" i="24"/>
  <c r="I16" i="1"/>
  <c r="M47" i="1"/>
  <c r="M236" i="24"/>
  <c r="D337" i="1"/>
  <c r="F133" i="24"/>
  <c r="D296" i="1"/>
  <c r="C89" i="24"/>
  <c r="F48" i="1"/>
  <c r="M109" i="24"/>
  <c r="C57" i="1"/>
  <c r="J133" i="24"/>
  <c r="G197" i="1"/>
  <c r="J257" i="24"/>
  <c r="M57" i="1"/>
  <c r="F205" i="24"/>
  <c r="E235" i="24"/>
  <c r="B244" i="1"/>
  <c r="L334" i="1"/>
  <c r="B337" i="1"/>
  <c r="K107" i="24"/>
  <c r="L44" i="1"/>
  <c r="J338" i="24"/>
  <c r="H184" i="1"/>
  <c r="J41" i="1"/>
  <c r="F119" i="24"/>
  <c r="I241" i="1"/>
  <c r="M28" i="24"/>
  <c r="J267" i="24"/>
  <c r="N90" i="24"/>
  <c r="B212" i="1"/>
  <c r="M142" i="1"/>
  <c r="B54" i="24"/>
  <c r="H119" i="1"/>
  <c r="L18" i="1"/>
  <c r="G295" i="24"/>
  <c r="C168" i="1"/>
  <c r="K11" i="1"/>
  <c r="C119" i="1"/>
  <c r="M78" i="24"/>
  <c r="K267" i="1"/>
  <c r="F288" i="24"/>
  <c r="D15" i="1"/>
  <c r="N88" i="24"/>
  <c r="G39" i="1"/>
  <c r="J243" i="24"/>
  <c r="I203" i="24"/>
  <c r="H85" i="1"/>
  <c r="B80" i="1"/>
  <c r="K23" i="24"/>
  <c r="H205" i="1"/>
  <c r="N336" i="1"/>
  <c r="L168" i="1"/>
  <c r="C184" i="1"/>
  <c r="M75" i="1"/>
  <c r="L208" i="1"/>
  <c r="I39" i="1"/>
  <c r="N16" i="1"/>
  <c r="E17" i="1"/>
  <c r="J150" i="1"/>
  <c r="K164" i="24"/>
  <c r="D8" i="1"/>
  <c r="G151" i="24"/>
  <c r="J137" i="24"/>
  <c r="J198" i="1"/>
  <c r="M264" i="1"/>
  <c r="G239" i="1"/>
  <c r="L182" i="24"/>
  <c r="B337" i="24"/>
  <c r="G153" i="24"/>
  <c r="H85" i="24"/>
  <c r="G267" i="1"/>
  <c r="O148" i="1"/>
  <c r="C295" i="1"/>
  <c r="B102" i="24"/>
  <c r="M22" i="1"/>
  <c r="D184" i="1"/>
  <c r="K243" i="1"/>
  <c r="G16" i="24"/>
  <c r="J269" i="1"/>
  <c r="M120" i="1"/>
  <c r="E234" i="1"/>
  <c r="G208" i="1"/>
  <c r="F199" i="1"/>
  <c r="B231" i="24"/>
  <c r="G47" i="24"/>
  <c r="M329" i="24"/>
  <c r="B152" i="24"/>
  <c r="E172" i="1"/>
  <c r="E269" i="24"/>
  <c r="K10" i="1"/>
  <c r="J230" i="1"/>
  <c r="J142" i="1"/>
  <c r="C43" i="24"/>
  <c r="K16" i="1"/>
  <c r="M91" i="1"/>
  <c r="B105" i="24"/>
  <c r="H137" i="24"/>
  <c r="M57" i="24"/>
  <c r="L277" i="24"/>
  <c r="I48" i="24"/>
  <c r="L88" i="24"/>
  <c r="M110" i="24"/>
  <c r="F117" i="24"/>
  <c r="G269" i="24"/>
  <c r="F11" i="1"/>
  <c r="B18" i="1"/>
  <c r="L56" i="1"/>
  <c r="G26" i="24"/>
  <c r="L173" i="1"/>
  <c r="N78" i="24"/>
  <c r="E172" i="24"/>
  <c r="E39" i="1"/>
  <c r="K141" i="24"/>
  <c r="B43" i="1"/>
  <c r="B264" i="24"/>
  <c r="B271" i="1"/>
  <c r="E150" i="1"/>
  <c r="C183" i="24"/>
  <c r="N53" i="24"/>
  <c r="I102" i="1"/>
  <c r="H122" i="24"/>
  <c r="K214" i="24"/>
  <c r="E171" i="24"/>
  <c r="C265" i="24"/>
  <c r="M88" i="24"/>
  <c r="F116" i="24"/>
  <c r="G292" i="1"/>
  <c r="L106" i="24"/>
  <c r="B214" i="24"/>
  <c r="C121" i="24"/>
  <c r="M141" i="1"/>
  <c r="H71" i="24"/>
  <c r="H84" i="24"/>
  <c r="J116" i="24"/>
  <c r="H22" i="24"/>
  <c r="N338" i="24"/>
  <c r="F81" i="1"/>
  <c r="K13" i="1"/>
  <c r="B138" i="24"/>
  <c r="O337" i="1"/>
  <c r="M138" i="1"/>
  <c r="G184" i="1"/>
  <c r="E198" i="24"/>
  <c r="K181" i="1"/>
  <c r="D136" i="24"/>
  <c r="K183" i="1"/>
  <c r="I272" i="24"/>
  <c r="N207" i="1"/>
  <c r="I261" i="1"/>
  <c r="E84" i="1"/>
  <c r="M321" i="24"/>
  <c r="C59" i="1"/>
  <c r="N56" i="24"/>
  <c r="D240" i="1"/>
  <c r="O336" i="1"/>
  <c r="J277" i="1"/>
  <c r="N204" i="24"/>
  <c r="C319" i="1"/>
  <c r="O326" i="24"/>
  <c r="H119" i="24"/>
  <c r="C88" i="1"/>
  <c r="I234" i="24"/>
  <c r="M18" i="1"/>
  <c r="D290" i="24"/>
  <c r="O25" i="24"/>
  <c r="I138" i="24"/>
  <c r="N152" i="1"/>
  <c r="K27" i="1"/>
  <c r="G59" i="1"/>
  <c r="O18" i="24"/>
  <c r="G246" i="1"/>
  <c r="K207" i="1"/>
  <c r="H334" i="24"/>
  <c r="N241" i="24"/>
  <c r="I260" i="24"/>
  <c r="B23" i="24"/>
  <c r="N173" i="1"/>
  <c r="M79" i="1"/>
  <c r="N238" i="24"/>
  <c r="F290" i="1"/>
  <c r="J270" i="24"/>
  <c r="N326" i="24"/>
  <c r="G204" i="24"/>
  <c r="B271" i="24"/>
  <c r="K195" i="1"/>
  <c r="H261" i="24"/>
  <c r="J47" i="24"/>
  <c r="D329" i="1"/>
  <c r="I246" i="24"/>
  <c r="L76" i="1"/>
  <c r="E54" i="1"/>
  <c r="M228" i="24"/>
  <c r="G323" i="24"/>
  <c r="O44" i="1"/>
  <c r="M119" i="24"/>
  <c r="B175" i="1"/>
  <c r="G200" i="24"/>
  <c r="K140" i="1"/>
  <c r="H78" i="1"/>
  <c r="K166" i="24"/>
  <c r="F306" i="1"/>
  <c r="D322" i="24"/>
  <c r="D22" i="24"/>
  <c r="K21" i="24"/>
  <c r="H208" i="1"/>
  <c r="B257" i="1"/>
  <c r="K259" i="24"/>
  <c r="I265" i="24"/>
  <c r="N116" i="24"/>
  <c r="E298" i="1"/>
  <c r="N241" i="1"/>
  <c r="O215" i="1"/>
  <c r="H56" i="1"/>
  <c r="F328" i="24"/>
  <c r="C303" i="1"/>
  <c r="I109" i="24"/>
  <c r="N79" i="1"/>
  <c r="J257" i="1"/>
  <c r="G153" i="1"/>
  <c r="E323" i="1"/>
  <c r="H167" i="1"/>
  <c r="D231" i="1"/>
  <c r="B152" i="1"/>
  <c r="I257" i="1"/>
  <c r="L90" i="24"/>
  <c r="M338" i="24"/>
  <c r="K122" i="1"/>
  <c r="K143" i="24"/>
  <c r="G17" i="24"/>
  <c r="I260" i="1"/>
  <c r="D78" i="1"/>
  <c r="M141" i="24"/>
  <c r="O22" i="24"/>
  <c r="F16" i="24"/>
  <c r="D213" i="1"/>
  <c r="I238" i="24"/>
  <c r="H148" i="24"/>
  <c r="H241" i="1"/>
  <c r="M83" i="1"/>
  <c r="F241" i="24"/>
  <c r="K141" i="1"/>
  <c r="K214" i="1"/>
  <c r="G179" i="1"/>
  <c r="M275" i="1"/>
  <c r="B10" i="1"/>
  <c r="N146" i="24"/>
  <c r="L111" i="1"/>
  <c r="I322" i="24"/>
  <c r="F226" i="24"/>
  <c r="C58" i="1"/>
  <c r="E297" i="1"/>
  <c r="O39" i="1"/>
  <c r="B57" i="1"/>
  <c r="D104" i="1"/>
  <c r="O213" i="1"/>
  <c r="M54" i="1"/>
  <c r="E329" i="1"/>
  <c r="B183" i="24"/>
  <c r="G260" i="1"/>
  <c r="D105" i="24"/>
  <c r="J261" i="24"/>
  <c r="F114" i="1"/>
  <c r="C308" i="24"/>
  <c r="H76" i="24"/>
  <c r="E288" i="24"/>
  <c r="G137" i="24"/>
  <c r="J212" i="24"/>
  <c r="O236" i="1"/>
  <c r="E296" i="24"/>
  <c r="O112" i="1"/>
  <c r="G116" i="24"/>
  <c r="G79" i="24"/>
  <c r="D173" i="1"/>
  <c r="C306" i="1"/>
  <c r="O209" i="1"/>
  <c r="D75" i="24"/>
  <c r="J245" i="24"/>
  <c r="N104" i="24"/>
  <c r="F122" i="24"/>
  <c r="I262" i="1"/>
  <c r="D83" i="24"/>
  <c r="L135" i="24"/>
  <c r="G79" i="1"/>
  <c r="D28" i="24"/>
  <c r="G171" i="24"/>
  <c r="E257" i="1"/>
  <c r="M172" i="1"/>
  <c r="E147" i="24"/>
  <c r="C174" i="24"/>
  <c r="K153" i="24"/>
  <c r="I51" i="1"/>
  <c r="I226" i="1"/>
  <c r="K334" i="24"/>
  <c r="C274" i="1"/>
  <c r="K257" i="24"/>
  <c r="M200" i="24"/>
  <c r="E179" i="1"/>
  <c r="H212" i="1"/>
  <c r="L164" i="1"/>
  <c r="O213" i="24"/>
  <c r="M179" i="1"/>
  <c r="F54" i="24"/>
  <c r="C12" i="24"/>
  <c r="F319" i="24"/>
  <c r="F27" i="1"/>
  <c r="F338" i="24"/>
  <c r="O49" i="1"/>
  <c r="M169" i="24"/>
  <c r="O171" i="1"/>
  <c r="N57" i="1"/>
  <c r="M121" i="1"/>
  <c r="E22" i="1"/>
  <c r="H272" i="24"/>
  <c r="N51" i="24"/>
  <c r="C339" i="1"/>
  <c r="O140" i="24"/>
  <c r="B137" i="1"/>
  <c r="D213" i="24"/>
  <c r="L230" i="1"/>
  <c r="B338" i="1"/>
  <c r="E334" i="24"/>
  <c r="I18" i="24"/>
  <c r="B296" i="24"/>
  <c r="G212" i="1"/>
  <c r="J164" i="1"/>
  <c r="K150" i="24"/>
  <c r="I200" i="24"/>
  <c r="G52" i="1"/>
  <c r="J323" i="24"/>
  <c r="O199" i="24"/>
  <c r="C210" i="1"/>
  <c r="I115" i="24"/>
  <c r="I8" i="24"/>
  <c r="H262" i="1"/>
  <c r="E89" i="24"/>
  <c r="I56" i="1"/>
  <c r="M136" i="24"/>
  <c r="G115" i="24"/>
  <c r="N322" i="24"/>
  <c r="G238" i="1"/>
  <c r="B56" i="24"/>
  <c r="B21" i="1"/>
  <c r="H270" i="1"/>
  <c r="N75" i="24"/>
  <c r="K22" i="1"/>
  <c r="F105" i="1"/>
  <c r="C150" i="24"/>
  <c r="I213" i="1"/>
  <c r="G146" i="1"/>
  <c r="D138" i="1"/>
  <c r="K202" i="24"/>
  <c r="J327" i="24"/>
  <c r="K90" i="1"/>
  <c r="N151" i="1"/>
  <c r="C133" i="1"/>
  <c r="N228" i="1"/>
  <c r="F27" i="24"/>
  <c r="F119" i="1"/>
  <c r="B228" i="24"/>
  <c r="I173" i="1"/>
  <c r="I168" i="24"/>
  <c r="F338" i="1"/>
  <c r="M234" i="1"/>
  <c r="K326" i="1"/>
  <c r="E141" i="1"/>
  <c r="I145" i="1"/>
  <c r="H78" i="24"/>
  <c r="G83" i="1"/>
  <c r="G102" i="1"/>
  <c r="J337" i="24"/>
  <c r="N209" i="1"/>
  <c r="M86" i="1"/>
  <c r="E240" i="24"/>
  <c r="L39" i="1"/>
  <c r="K197" i="24"/>
  <c r="E338" i="1"/>
  <c r="E204" i="1"/>
  <c r="D115" i="24"/>
  <c r="G331" i="1"/>
  <c r="F171" i="1"/>
  <c r="E197" i="1"/>
  <c r="G121" i="24"/>
  <c r="H140" i="24"/>
  <c r="F245" i="24"/>
  <c r="K90" i="24"/>
  <c r="K240" i="1"/>
  <c r="D214" i="1"/>
  <c r="H135" i="24"/>
  <c r="N328" i="24"/>
  <c r="H177" i="1"/>
  <c r="D236" i="1"/>
  <c r="F235" i="1"/>
  <c r="M13" i="1"/>
  <c r="B27" i="24"/>
  <c r="J183" i="1"/>
  <c r="H76" i="1"/>
  <c r="F288" i="1"/>
  <c r="B339" i="24"/>
  <c r="I20" i="1"/>
  <c r="F275" i="24"/>
  <c r="B78" i="24"/>
  <c r="H135" i="1"/>
  <c r="I28" i="1"/>
  <c r="G198" i="1"/>
  <c r="K47" i="1"/>
  <c r="G112" i="24"/>
  <c r="M322" i="24"/>
  <c r="B147" i="24"/>
  <c r="F291" i="24"/>
  <c r="D261" i="24"/>
  <c r="I150" i="24"/>
  <c r="K133" i="24"/>
  <c r="F138" i="1"/>
  <c r="C142" i="1"/>
  <c r="J240" i="24"/>
  <c r="C272" i="1"/>
  <c r="C76" i="24"/>
  <c r="O337" i="24"/>
  <c r="G245" i="24"/>
  <c r="G277" i="24"/>
  <c r="E332" i="1"/>
  <c r="E20" i="1"/>
  <c r="E259" i="24"/>
  <c r="J28" i="24"/>
  <c r="B336" i="24"/>
  <c r="F295" i="1"/>
  <c r="O168" i="1"/>
  <c r="L243" i="1"/>
  <c r="J326" i="24"/>
  <c r="D246" i="24"/>
  <c r="D151" i="24"/>
  <c r="N338" i="1"/>
  <c r="K264" i="1"/>
  <c r="G195" i="24"/>
  <c r="D169" i="24"/>
  <c r="B76" i="24"/>
  <c r="F213" i="24"/>
  <c r="O328" i="1"/>
  <c r="O42" i="24"/>
  <c r="O18" i="1"/>
  <c r="F245" i="1"/>
  <c r="D239" i="24"/>
  <c r="J203" i="24"/>
  <c r="J146" i="24"/>
  <c r="F205" i="1"/>
  <c r="N178" i="24"/>
  <c r="B115" i="1"/>
  <c r="N46" i="1"/>
  <c r="E200" i="1"/>
  <c r="G321" i="24"/>
  <c r="G338" i="1"/>
  <c r="F71" i="24"/>
  <c r="G106" i="1"/>
  <c r="G28" i="24"/>
  <c r="F120" i="24"/>
  <c r="L322" i="24"/>
  <c r="O76" i="24"/>
  <c r="O121" i="1"/>
  <c r="L207" i="1"/>
  <c r="K172" i="1"/>
  <c r="K44" i="1"/>
  <c r="O120" i="1"/>
  <c r="M336" i="24"/>
  <c r="O167" i="1"/>
  <c r="L110" i="24"/>
  <c r="H146" i="24"/>
  <c r="M205" i="1"/>
  <c r="C133" i="24"/>
  <c r="E264" i="24"/>
  <c r="C59" i="24"/>
  <c r="G228" i="1"/>
  <c r="B331" i="24"/>
  <c r="J241" i="1"/>
  <c r="F301" i="1"/>
  <c r="I89" i="24"/>
  <c r="N47" i="24"/>
  <c r="N177" i="24"/>
  <c r="J336" i="24"/>
  <c r="B172" i="24"/>
  <c r="E91" i="1"/>
  <c r="O41" i="24"/>
  <c r="E146" i="24"/>
  <c r="O106" i="24"/>
  <c r="L8" i="24"/>
  <c r="H11" i="1"/>
  <c r="O115" i="24"/>
  <c r="L153" i="1"/>
  <c r="H43" i="1"/>
  <c r="H274" i="1"/>
  <c r="B272" i="1"/>
  <c r="I176" i="24"/>
  <c r="O15" i="1"/>
  <c r="F269" i="1"/>
  <c r="H105" i="1"/>
  <c r="J51" i="1"/>
  <c r="M205" i="24"/>
  <c r="I105" i="24"/>
  <c r="F26" i="24"/>
  <c r="K57" i="1"/>
  <c r="M133" i="1"/>
  <c r="H184" i="24"/>
  <c r="B23" i="1"/>
  <c r="G324" i="1"/>
  <c r="J54" i="1"/>
  <c r="H137" i="1"/>
  <c r="D150" i="24"/>
  <c r="N83" i="24"/>
  <c r="N85" i="1"/>
  <c r="K229" i="24"/>
  <c r="H261" i="1"/>
  <c r="L136" i="24"/>
  <c r="B82" i="24"/>
  <c r="E122" i="24"/>
  <c r="D234" i="24"/>
  <c r="G204" i="1"/>
  <c r="I91" i="24"/>
  <c r="L323" i="24"/>
  <c r="D8" i="24"/>
  <c r="D239" i="1"/>
  <c r="I271" i="1"/>
  <c r="J39" i="1"/>
  <c r="L54" i="1"/>
  <c r="C271" i="24"/>
  <c r="K48" i="1"/>
  <c r="L257" i="1"/>
  <c r="L81" i="1"/>
  <c r="K104" i="24"/>
  <c r="G326" i="24"/>
  <c r="N121" i="1"/>
  <c r="D307" i="1"/>
  <c r="G202" i="1"/>
  <c r="E176" i="1"/>
  <c r="C226" i="1"/>
  <c r="C203" i="24"/>
  <c r="N184" i="24"/>
  <c r="E226" i="24"/>
  <c r="D116" i="1"/>
  <c r="D79" i="1"/>
  <c r="B267" i="1"/>
  <c r="D85" i="24"/>
  <c r="G122" i="24"/>
  <c r="D260" i="1"/>
  <c r="O321" i="24"/>
  <c r="M203" i="24"/>
  <c r="N234" i="24"/>
  <c r="I81" i="1"/>
  <c r="H209" i="1"/>
  <c r="J231" i="1"/>
  <c r="B121" i="1"/>
  <c r="F178" i="24"/>
  <c r="G208" i="24"/>
  <c r="K119" i="1"/>
  <c r="E104" i="1"/>
  <c r="G202" i="24"/>
  <c r="F23" i="1"/>
  <c r="I245" i="1"/>
  <c r="C267" i="24"/>
  <c r="L208" i="24"/>
  <c r="E121" i="1"/>
  <c r="L78" i="1"/>
  <c r="D84" i="1"/>
  <c r="L172" i="24"/>
  <c r="J11" i="24"/>
  <c r="B83" i="1"/>
  <c r="H16" i="1"/>
  <c r="H106" i="24"/>
  <c r="F207" i="1"/>
  <c r="M195" i="24"/>
  <c r="K338" i="1"/>
  <c r="K151" i="1"/>
  <c r="O89" i="1"/>
  <c r="G182" i="1"/>
  <c r="H176" i="1"/>
  <c r="B25" i="1"/>
  <c r="M147" i="1"/>
  <c r="I12" i="1"/>
  <c r="D204" i="24"/>
  <c r="D17" i="1"/>
  <c r="K41" i="1"/>
  <c r="B245" i="1"/>
  <c r="F104" i="1"/>
  <c r="C54" i="24"/>
  <c r="C120" i="1"/>
  <c r="K209" i="1"/>
  <c r="G86" i="24"/>
  <c r="M198" i="24"/>
  <c r="E215" i="1"/>
  <c r="J51" i="24"/>
  <c r="E293" i="24"/>
  <c r="G151" i="1"/>
  <c r="N239" i="1"/>
  <c r="F42" i="24"/>
  <c r="J274" i="1"/>
  <c r="K140" i="24"/>
  <c r="I44" i="24"/>
  <c r="N84" i="24"/>
  <c r="O238" i="1"/>
  <c r="E116" i="24"/>
  <c r="H138" i="24"/>
  <c r="G338" i="24"/>
  <c r="C169" i="24"/>
  <c r="F178" i="1"/>
  <c r="H267" i="1"/>
  <c r="L105" i="1"/>
  <c r="D308" i="24"/>
  <c r="O164" i="24"/>
  <c r="M167" i="24"/>
  <c r="J328" i="1"/>
  <c r="H20" i="1"/>
  <c r="J275" i="1"/>
  <c r="E235" i="1"/>
  <c r="C295" i="24"/>
  <c r="H16" i="24"/>
  <c r="N147" i="24"/>
  <c r="O59" i="24"/>
  <c r="N231" i="1"/>
  <c r="G168" i="24"/>
  <c r="I176" i="1"/>
  <c r="C81" i="1"/>
  <c r="G307" i="24"/>
  <c r="B326" i="24"/>
  <c r="I270" i="24"/>
  <c r="D53" i="24"/>
  <c r="D23" i="24"/>
  <c r="O10" i="24"/>
  <c r="L10" i="24"/>
  <c r="H48" i="24"/>
  <c r="B91" i="24"/>
  <c r="H116" i="1"/>
  <c r="I264" i="1"/>
  <c r="D105" i="1"/>
  <c r="O332" i="1"/>
  <c r="G48" i="1"/>
  <c r="E44" i="1"/>
  <c r="B257" i="24"/>
  <c r="C265" i="1"/>
  <c r="H264" i="1"/>
  <c r="H200" i="1"/>
  <c r="C15" i="1"/>
  <c r="F183" i="24"/>
  <c r="D177" i="24"/>
  <c r="K18" i="24"/>
  <c r="M106" i="1"/>
  <c r="K48" i="24"/>
  <c r="M236" i="1"/>
  <c r="I54" i="24"/>
  <c r="N8" i="1"/>
  <c r="F16" i="1"/>
  <c r="O54" i="24"/>
  <c r="N324" i="1"/>
  <c r="I137" i="1"/>
  <c r="B8" i="24"/>
  <c r="G48" i="24"/>
  <c r="C145" i="24"/>
  <c r="D115" i="1"/>
  <c r="C27" i="1"/>
  <c r="G291" i="24"/>
  <c r="M200" i="1"/>
  <c r="C327" i="1"/>
  <c r="H47" i="1"/>
  <c r="O25" i="1"/>
  <c r="D73" i="24"/>
  <c r="D74" i="1"/>
  <c r="D46" i="1"/>
  <c r="C111" i="24"/>
  <c r="C73" i="1"/>
  <c r="L276" i="24"/>
  <c r="G265" i="24"/>
  <c r="E266" i="24"/>
  <c r="E339" i="1"/>
  <c r="H79" i="24"/>
  <c r="F229" i="1"/>
  <c r="B323" i="1"/>
  <c r="E49" i="24"/>
  <c r="H246" i="1"/>
  <c r="C271" i="1"/>
  <c r="O331" i="1"/>
  <c r="K137" i="1"/>
  <c r="L57" i="24"/>
  <c r="M176" i="24"/>
  <c r="F28" i="24"/>
  <c r="O174" i="1"/>
  <c r="J53" i="1"/>
  <c r="D47" i="1"/>
  <c r="O89" i="24"/>
  <c r="H259" i="24"/>
  <c r="I272" i="1"/>
  <c r="H276" i="1"/>
  <c r="F28" i="1"/>
  <c r="H197" i="24"/>
  <c r="H88" i="24"/>
  <c r="O202" i="24"/>
  <c r="I266" i="1"/>
  <c r="K146" i="1"/>
  <c r="J114" i="1"/>
  <c r="D76" i="1"/>
  <c r="J11" i="1"/>
  <c r="O147" i="1"/>
  <c r="C215" i="24"/>
  <c r="N164" i="1"/>
  <c r="C117" i="24"/>
  <c r="F261" i="24"/>
  <c r="G259" i="24"/>
  <c r="N75" i="1"/>
  <c r="G229" i="1"/>
  <c r="J49" i="1"/>
  <c r="M137" i="24"/>
  <c r="C338" i="1"/>
  <c r="C241" i="1"/>
  <c r="H42" i="24"/>
  <c r="C52" i="24"/>
  <c r="I119" i="1"/>
  <c r="G58" i="1"/>
  <c r="C298" i="1"/>
  <c r="O80" i="1"/>
  <c r="J20" i="24"/>
  <c r="M112" i="1"/>
  <c r="E265" i="1"/>
  <c r="O176" i="24"/>
  <c r="F150" i="24"/>
  <c r="J147" i="24"/>
  <c r="J266" i="24"/>
  <c r="F114" i="24"/>
  <c r="K204" i="24"/>
  <c r="C336" i="24"/>
  <c r="J200" i="24"/>
  <c r="H209" i="24"/>
  <c r="J102" i="1"/>
  <c r="D120" i="1"/>
  <c r="F115" i="1"/>
  <c r="F39" i="1"/>
  <c r="E167" i="1"/>
  <c r="N74" i="1"/>
  <c r="K234" i="1"/>
  <c r="F332" i="1"/>
  <c r="O116" i="24"/>
  <c r="I338" i="24"/>
  <c r="K240" i="24"/>
  <c r="G290" i="24"/>
  <c r="E241" i="1"/>
  <c r="K336" i="1"/>
  <c r="H171" i="24"/>
  <c r="F26" i="1"/>
  <c r="O102" i="24"/>
  <c r="N172" i="24"/>
  <c r="L84" i="1"/>
  <c r="I264" i="24"/>
  <c r="C245" i="24"/>
  <c r="E168" i="24"/>
  <c r="M121" i="24"/>
  <c r="D80" i="24"/>
  <c r="D300" i="1"/>
  <c r="C261" i="1"/>
  <c r="M332" i="1"/>
  <c r="D153" i="1"/>
  <c r="I275" i="1"/>
  <c r="N110" i="1"/>
  <c r="H23" i="1"/>
  <c r="B17" i="24"/>
  <c r="B233" i="24"/>
  <c r="E291" i="24"/>
  <c r="O75" i="24"/>
  <c r="H204" i="1"/>
  <c r="I215" i="1"/>
  <c r="E236" i="1"/>
  <c r="M146" i="24"/>
  <c r="B43" i="24"/>
  <c r="N109" i="24"/>
  <c r="F261" i="1"/>
  <c r="B75" i="24"/>
  <c r="O88" i="1"/>
  <c r="M102" i="1"/>
  <c r="G143" i="24"/>
  <c r="K209" i="24"/>
  <c r="J52" i="1"/>
  <c r="H112" i="1"/>
  <c r="H27" i="1"/>
  <c r="O233" i="24"/>
  <c r="O230" i="1"/>
  <c r="N332" i="1"/>
  <c r="N105" i="24"/>
  <c r="D210" i="1"/>
  <c r="F339" i="1"/>
  <c r="N234" i="1"/>
  <c r="N327" i="24"/>
  <c r="N323" i="24"/>
  <c r="C337" i="1"/>
  <c r="C143" i="24"/>
  <c r="F195" i="24"/>
  <c r="C246" i="24"/>
  <c r="J46" i="24"/>
  <c r="K184" i="24"/>
  <c r="I80" i="1"/>
  <c r="M80" i="24"/>
  <c r="F204" i="1"/>
  <c r="C112" i="1"/>
  <c r="M86" i="24"/>
  <c r="G275" i="1"/>
  <c r="D107" i="24"/>
  <c r="G298" i="24"/>
  <c r="G26" i="1"/>
  <c r="C261" i="24"/>
  <c r="H28" i="1"/>
  <c r="H59" i="24"/>
  <c r="H17" i="24"/>
  <c r="M110" i="1"/>
  <c r="F56" i="24"/>
  <c r="D328" i="1"/>
  <c r="K171" i="1"/>
  <c r="M239" i="1"/>
  <c r="I58" i="1"/>
  <c r="B39" i="24"/>
  <c r="G203" i="1"/>
  <c r="F214" i="24"/>
  <c r="B300" i="1"/>
  <c r="C118" i="1"/>
  <c r="E307" i="1"/>
  <c r="H80" i="24"/>
  <c r="C23" i="24"/>
  <c r="K198" i="1"/>
  <c r="I105" i="1"/>
  <c r="G264" i="24"/>
  <c r="B303" i="1"/>
  <c r="F323" i="24"/>
  <c r="C53" i="24"/>
  <c r="B208" i="24"/>
  <c r="C51" i="1"/>
  <c r="J337" i="1"/>
  <c r="N339" i="24"/>
  <c r="K137" i="24"/>
  <c r="E79" i="24"/>
  <c r="J181" i="1"/>
  <c r="C104" i="24"/>
  <c r="B272" i="24"/>
  <c r="M257" i="24"/>
  <c r="C28" i="24"/>
  <c r="O28" i="1"/>
  <c r="O167" i="24"/>
  <c r="L174" i="1"/>
  <c r="G147" i="24"/>
  <c r="C122" i="1"/>
  <c r="K245" i="1"/>
  <c r="E84" i="24"/>
  <c r="O327" i="1"/>
  <c r="D200" i="24"/>
  <c r="L181" i="1"/>
  <c r="B297" i="1"/>
  <c r="D277" i="24"/>
  <c r="E26" i="1"/>
  <c r="G199" i="24"/>
  <c r="L261" i="1"/>
  <c r="C110" i="1"/>
  <c r="F238" i="1"/>
  <c r="C109" i="24"/>
  <c r="D297" i="1"/>
  <c r="N183" i="1"/>
  <c r="J244" i="1"/>
  <c r="F105" i="24"/>
  <c r="M209" i="24"/>
  <c r="H89" i="24"/>
  <c r="I16" i="24"/>
  <c r="D319" i="1"/>
  <c r="H207" i="1"/>
  <c r="H179" i="1"/>
  <c r="O332" i="24"/>
  <c r="E10" i="24"/>
  <c r="E21" i="1"/>
  <c r="J319" i="24"/>
  <c r="F210" i="1"/>
  <c r="H203" i="1"/>
  <c r="C328" i="24"/>
  <c r="K17" i="1"/>
  <c r="N195" i="1"/>
  <c r="M53" i="24"/>
  <c r="K262" i="24"/>
  <c r="J244" i="24"/>
  <c r="K332" i="24"/>
  <c r="B116" i="1"/>
  <c r="L226" i="1"/>
  <c r="N136" i="1"/>
  <c r="C118" i="24"/>
  <c r="J109" i="24"/>
  <c r="G110" i="1"/>
  <c r="C326" i="1"/>
  <c r="C212" i="1"/>
  <c r="L80" i="24"/>
  <c r="M210" i="1"/>
  <c r="G59" i="24"/>
  <c r="D298" i="1"/>
  <c r="L146" i="1"/>
  <c r="E171" i="1"/>
  <c r="J324" i="24"/>
  <c r="E47" i="24"/>
  <c r="I73" i="1"/>
  <c r="M210" i="24"/>
  <c r="B323" i="24"/>
  <c r="H244" i="1"/>
  <c r="D212" i="24"/>
  <c r="H142" i="24"/>
  <c r="B104" i="1"/>
  <c r="I276" i="1"/>
  <c r="L239" i="24"/>
  <c r="L321" i="1"/>
  <c r="F17" i="24"/>
  <c r="F239" i="24"/>
  <c r="L12" i="24"/>
  <c r="B181" i="24"/>
  <c r="C48" i="24"/>
  <c r="L102" i="24"/>
  <c r="L230" i="24"/>
  <c r="H266" i="1"/>
  <c r="B20" i="24"/>
  <c r="F298" i="24"/>
  <c r="I203" i="1"/>
  <c r="D338" i="1"/>
  <c r="G235" i="1"/>
  <c r="G21" i="1"/>
  <c r="D297" i="24"/>
  <c r="E18" i="24"/>
  <c r="F57" i="24"/>
  <c r="K319" i="24"/>
  <c r="F171" i="24"/>
  <c r="O336" i="24"/>
  <c r="E306" i="24"/>
  <c r="M104" i="1"/>
  <c r="K117" i="1"/>
  <c r="M143" i="24"/>
  <c r="N89" i="1"/>
  <c r="H10" i="24"/>
  <c r="C266" i="24"/>
  <c r="C22" i="1"/>
  <c r="J42" i="1"/>
  <c r="F13" i="1"/>
  <c r="L184" i="24"/>
  <c r="G89" i="24"/>
  <c r="C290" i="1"/>
  <c r="M41" i="1"/>
  <c r="L133" i="24"/>
  <c r="K39" i="1"/>
  <c r="O141" i="1"/>
  <c r="D174" i="24"/>
  <c r="J226" i="1"/>
  <c r="I83" i="24"/>
  <c r="D174" i="1"/>
  <c r="E59" i="24"/>
  <c r="N85" i="24"/>
  <c r="J25" i="1"/>
  <c r="E277" i="24"/>
  <c r="D233" i="24"/>
  <c r="H13" i="24"/>
  <c r="B112" i="1"/>
  <c r="D146" i="24"/>
  <c r="C26" i="1"/>
  <c r="E261" i="1"/>
  <c r="G244" i="24"/>
  <c r="I79" i="1"/>
  <c r="K44" i="24"/>
  <c r="I334" i="1"/>
  <c r="C148" i="24"/>
  <c r="J119" i="1"/>
  <c r="G203" i="24"/>
  <c r="N79" i="24"/>
  <c r="N120" i="1"/>
  <c r="O88" i="24"/>
  <c r="C136" i="24"/>
  <c r="F84" i="1"/>
  <c r="O83" i="1"/>
  <c r="I231" i="1"/>
  <c r="K260" i="24"/>
  <c r="M259" i="24"/>
  <c r="F41" i="24"/>
  <c r="E80" i="1"/>
  <c r="E26" i="24"/>
  <c r="B178" i="24"/>
  <c r="K323" i="24"/>
  <c r="M25" i="1"/>
  <c r="N233" i="24"/>
  <c r="H20" i="24"/>
  <c r="M241" i="1"/>
  <c r="D172" i="1"/>
  <c r="J26" i="1"/>
  <c r="L181" i="24"/>
  <c r="H22" i="1"/>
  <c r="E85" i="24"/>
  <c r="N23" i="24"/>
  <c r="K106" i="1"/>
  <c r="C288" i="1"/>
  <c r="C141" i="1"/>
  <c r="B121" i="24"/>
  <c r="E167" i="24"/>
  <c r="G86" i="1"/>
  <c r="M271" i="24"/>
  <c r="I205" i="24"/>
  <c r="H321" i="1"/>
  <c r="N199" i="1"/>
  <c r="I319" i="24"/>
  <c r="N20" i="1"/>
  <c r="H12" i="24"/>
  <c r="M49" i="24"/>
  <c r="C195" i="1"/>
  <c r="N28" i="24"/>
  <c r="H150" i="24"/>
  <c r="G183" i="24"/>
  <c r="G23" i="1"/>
  <c r="B215" i="24"/>
  <c r="E271" i="24"/>
  <c r="M327" i="24"/>
  <c r="B174" i="1"/>
  <c r="I74" i="1"/>
  <c r="G142" i="24"/>
  <c r="M257" i="1"/>
  <c r="H143" i="24"/>
  <c r="F12" i="1"/>
  <c r="K78" i="24"/>
  <c r="B13" i="1"/>
  <c r="E140" i="1"/>
  <c r="I336" i="1"/>
  <c r="G71" i="1"/>
  <c r="B115" i="24"/>
  <c r="E239" i="1"/>
  <c r="I198" i="1"/>
  <c r="K114" i="1"/>
  <c r="I322" i="1"/>
  <c r="B144" i="24"/>
  <c r="M203" i="1"/>
  <c r="J204" i="24"/>
  <c r="D241" i="24"/>
  <c r="L166" i="24"/>
  <c r="K265" i="1"/>
  <c r="O324" i="24"/>
  <c r="L53" i="1"/>
  <c r="C226" i="24"/>
  <c r="H102" i="1"/>
  <c r="N146" i="1"/>
  <c r="F83" i="24"/>
  <c r="F145" i="24"/>
  <c r="D10" i="24"/>
  <c r="I145" i="24"/>
  <c r="O138" i="1"/>
  <c r="N177" i="1"/>
  <c r="J88" i="24"/>
  <c r="D182" i="1"/>
  <c r="C195" i="24"/>
  <c r="F307" i="24"/>
  <c r="J208" i="24"/>
  <c r="L116" i="24"/>
  <c r="M202" i="24"/>
  <c r="G319" i="24"/>
  <c r="M164" i="1"/>
  <c r="O85" i="1"/>
  <c r="M326" i="24"/>
  <c r="D140" i="24"/>
  <c r="F142" i="1"/>
  <c r="B105" i="1"/>
  <c r="B153" i="24"/>
  <c r="F231" i="24"/>
  <c r="J146" i="1"/>
  <c r="K76" i="24"/>
  <c r="L338" i="24"/>
  <c r="B122" i="1"/>
  <c r="G298" i="1"/>
  <c r="O59" i="1"/>
  <c r="N25" i="1"/>
  <c r="E290" i="24"/>
  <c r="G228" i="24"/>
  <c r="M266" i="1"/>
  <c r="L213" i="24"/>
  <c r="C208" i="1"/>
  <c r="F168" i="24"/>
  <c r="I85" i="24"/>
  <c r="B150" i="24"/>
  <c r="M339" i="1"/>
  <c r="L148" i="1"/>
  <c r="O119" i="1"/>
  <c r="K28" i="1"/>
  <c r="F90" i="1"/>
  <c r="F195" i="1"/>
  <c r="J21" i="24"/>
  <c r="C298" i="24"/>
  <c r="J336" i="1"/>
  <c r="F74" i="1"/>
  <c r="L41" i="24"/>
  <c r="M148" i="1"/>
  <c r="C209" i="1"/>
  <c r="L140" i="1"/>
  <c r="E54" i="24"/>
  <c r="C87" i="1"/>
  <c r="M207" i="24"/>
  <c r="F59" i="24"/>
  <c r="B306" i="1"/>
  <c r="K267" i="24"/>
  <c r="I166" i="1"/>
  <c r="J42" i="24"/>
  <c r="L21" i="1"/>
  <c r="C292" i="1"/>
  <c r="B71" i="24"/>
  <c r="E12" i="1"/>
  <c r="I209" i="24"/>
  <c r="L262" i="24"/>
  <c r="J269" i="24"/>
  <c r="J107" i="24"/>
  <c r="N86" i="24"/>
  <c r="H230" i="24"/>
  <c r="K89" i="24"/>
  <c r="I240" i="24"/>
  <c r="E261" i="24"/>
  <c r="D110" i="1"/>
  <c r="I230" i="1"/>
  <c r="G260" i="24"/>
  <c r="B336" i="1"/>
  <c r="I46" i="24"/>
  <c r="O178" i="1"/>
  <c r="D21" i="1"/>
  <c r="H200" i="24"/>
  <c r="E203" i="1"/>
  <c r="K233" i="1"/>
  <c r="D210" i="24"/>
  <c r="L28" i="24"/>
  <c r="O238" i="24"/>
  <c r="L17" i="24"/>
  <c r="N39" i="1"/>
  <c r="J262" i="1"/>
  <c r="B84" i="24"/>
  <c r="N229" i="1"/>
  <c r="D198" i="24"/>
  <c r="C167" i="1"/>
  <c r="D274" i="1"/>
  <c r="H277" i="24"/>
  <c r="K91" i="1"/>
  <c r="F182" i="24"/>
  <c r="D41" i="24"/>
  <c r="D166" i="1"/>
  <c r="B264" i="1"/>
  <c r="N197" i="24"/>
  <c r="I57" i="1"/>
  <c r="B184" i="1"/>
  <c r="E152" i="24"/>
  <c r="F41" i="1"/>
  <c r="C205" i="1"/>
  <c r="F169" i="24"/>
  <c r="E229" i="24"/>
  <c r="L145" i="24"/>
  <c r="B261" i="24"/>
  <c r="J16" i="1"/>
  <c r="E153" i="24"/>
  <c r="I121" i="1"/>
  <c r="E11" i="1"/>
  <c r="L203" i="1"/>
  <c r="J209" i="24"/>
  <c r="C52" i="1"/>
  <c r="E114" i="1"/>
  <c r="B246" i="1"/>
  <c r="N11" i="1"/>
  <c r="H339" i="1"/>
  <c r="N107" i="1"/>
  <c r="F49" i="1"/>
  <c r="B109" i="24"/>
  <c r="E205" i="24"/>
  <c r="N90" i="1"/>
  <c r="K177" i="1"/>
  <c r="L271" i="24"/>
  <c r="G104" i="1"/>
  <c r="G41" i="1"/>
  <c r="F203" i="24"/>
  <c r="L323" i="1"/>
  <c r="M27" i="1"/>
  <c r="B240" i="24"/>
  <c r="C152" i="1"/>
  <c r="J238" i="1"/>
  <c r="D102" i="24"/>
  <c r="L42" i="24"/>
  <c r="B113" i="1"/>
  <c r="O235" i="1"/>
  <c r="L73" i="24"/>
  <c r="M114" i="1"/>
  <c r="F265" i="24"/>
  <c r="O208" i="24"/>
  <c r="C276" i="1"/>
  <c r="O212" i="1"/>
  <c r="C259" i="1"/>
  <c r="K150" i="1"/>
  <c r="C296" i="1"/>
  <c r="H337" i="1"/>
  <c r="L150" i="24"/>
  <c r="N153" i="1"/>
  <c r="K243" i="24"/>
  <c r="C73" i="24"/>
  <c r="D21" i="24"/>
  <c r="O204" i="1"/>
  <c r="N16" i="24"/>
  <c r="K56" i="24"/>
  <c r="E142" i="1"/>
  <c r="D291" i="1"/>
  <c r="I147" i="24"/>
  <c r="N152" i="24"/>
  <c r="G226" i="24"/>
  <c r="I117" i="1"/>
  <c r="E28" i="1"/>
  <c r="E338" i="24"/>
  <c r="F71" i="1"/>
  <c r="G167" i="24"/>
  <c r="K208" i="24"/>
  <c r="K181" i="24"/>
  <c r="L137" i="1"/>
  <c r="B15" i="1"/>
  <c r="D171" i="24"/>
  <c r="D197" i="1"/>
  <c r="J109" i="1"/>
  <c r="I119" i="24"/>
  <c r="M260" i="24"/>
  <c r="O48" i="1"/>
  <c r="G231" i="1"/>
  <c r="L241" i="1"/>
  <c r="J265" i="24"/>
  <c r="E117" i="24"/>
  <c r="J81" i="24"/>
  <c r="N215" i="1"/>
  <c r="L26" i="24"/>
  <c r="O86" i="24"/>
  <c r="L270" i="1"/>
  <c r="J332" i="1"/>
  <c r="J86" i="1"/>
  <c r="F121" i="24"/>
  <c r="E27" i="24"/>
  <c r="G327" i="1"/>
  <c r="N331" i="24"/>
  <c r="L27" i="1"/>
  <c r="N143" i="24"/>
  <c r="D114" i="24"/>
  <c r="M10" i="24"/>
  <c r="G169" i="24"/>
  <c r="O73" i="24"/>
  <c r="N88" i="1"/>
  <c r="M226" i="24"/>
  <c r="H49" i="24"/>
  <c r="J207" i="24"/>
  <c r="L212" i="1"/>
  <c r="M78" i="1"/>
  <c r="H84" i="1"/>
  <c r="O86" i="1"/>
  <c r="F81" i="24"/>
  <c r="C333" i="24"/>
  <c r="M85" i="1"/>
  <c r="L238" i="24"/>
  <c r="G267" i="24"/>
  <c r="J182" i="1"/>
  <c r="I153" i="1"/>
  <c r="I233" i="1"/>
  <c r="D195" i="24"/>
  <c r="D17" i="24"/>
  <c r="C179" i="24"/>
  <c r="B175" i="24"/>
  <c r="E76" i="24"/>
  <c r="D80" i="1"/>
  <c r="F42" i="1"/>
  <c r="E305" i="24"/>
  <c r="E339" i="24"/>
  <c r="C173" i="24"/>
  <c r="H136" i="24"/>
  <c r="N52" i="24"/>
  <c r="O20" i="24"/>
  <c r="K51" i="24"/>
  <c r="O137" i="1"/>
  <c r="F23" i="24"/>
  <c r="B89" i="24"/>
  <c r="H198" i="24"/>
  <c r="O111" i="24"/>
  <c r="C231" i="1"/>
  <c r="I107" i="24"/>
  <c r="F115" i="24"/>
  <c r="O319" i="1"/>
  <c r="D148" i="1"/>
  <c r="J22" i="24"/>
  <c r="E166" i="24"/>
  <c r="K262" i="1"/>
  <c r="F142" i="24"/>
  <c r="D25" i="1"/>
  <c r="B205" i="1"/>
  <c r="F172" i="24"/>
  <c r="C164" i="1"/>
  <c r="D172" i="24"/>
  <c r="J203" i="1"/>
  <c r="G122" i="1"/>
  <c r="F226" i="1"/>
  <c r="G52" i="24"/>
  <c r="I46" i="1"/>
  <c r="B18" i="24"/>
  <c r="C51" i="24"/>
  <c r="L56" i="24"/>
  <c r="O210" i="1"/>
  <c r="M240" i="24"/>
  <c r="F111" i="1"/>
  <c r="K104" i="1"/>
  <c r="I262" i="24"/>
  <c r="K178" i="1"/>
  <c r="F18" i="1"/>
  <c r="O105" i="24"/>
  <c r="L245" i="1"/>
  <c r="H23" i="24"/>
  <c r="F179" i="1"/>
  <c r="F140" i="24"/>
  <c r="F322" i="24"/>
  <c r="D84" i="24"/>
  <c r="G114" i="1"/>
  <c r="N173" i="24"/>
  <c r="F264" i="1"/>
  <c r="N321" i="1"/>
  <c r="F143" i="1"/>
  <c r="L39" i="24"/>
  <c r="L47" i="24"/>
  <c r="B106" i="1"/>
  <c r="M235" i="1"/>
  <c r="D308" i="1"/>
  <c r="C145" i="1"/>
  <c r="G176" i="24"/>
  <c r="E81" i="24"/>
  <c r="M321" i="1"/>
  <c r="E102" i="1"/>
  <c r="I212" i="1"/>
  <c r="M269" i="24"/>
  <c r="C176" i="24"/>
  <c r="M214" i="24"/>
  <c r="L243" i="24"/>
  <c r="N13" i="1"/>
  <c r="D137" i="24"/>
  <c r="O137" i="24"/>
  <c r="L83" i="1"/>
  <c r="D303" i="24"/>
  <c r="O146" i="1"/>
  <c r="B57" i="24"/>
  <c r="K43" i="24"/>
  <c r="J121" i="1"/>
  <c r="D81" i="24"/>
  <c r="M197" i="24"/>
  <c r="E337" i="24"/>
  <c r="F243" i="24"/>
  <c r="H214" i="24"/>
  <c r="O42" i="1"/>
  <c r="J135" i="1"/>
  <c r="H231" i="1"/>
  <c r="E231" i="1"/>
  <c r="B262" i="24"/>
  <c r="L327" i="1"/>
  <c r="E106" i="1"/>
  <c r="K80" i="1"/>
  <c r="N71" i="1"/>
  <c r="E295" i="24"/>
  <c r="O43" i="24"/>
  <c r="H235" i="24"/>
  <c r="N329" i="1"/>
  <c r="C71" i="1"/>
  <c r="G303" i="1"/>
  <c r="E111" i="1"/>
  <c r="J265" i="1"/>
  <c r="O13" i="24"/>
  <c r="N138" i="1"/>
  <c r="E326" i="1"/>
  <c r="C243" i="24"/>
  <c r="F74" i="24"/>
  <c r="B73" i="1"/>
  <c r="D56" i="1"/>
  <c r="M84" i="1"/>
  <c r="D267" i="24"/>
  <c r="F257" i="1"/>
  <c r="C105" i="24"/>
  <c r="J169" i="24"/>
  <c r="N58" i="24"/>
  <c r="E200" i="24"/>
  <c r="E145" i="24"/>
  <c r="E23" i="1"/>
  <c r="B241" i="24"/>
  <c r="B167" i="24"/>
  <c r="K164" i="1"/>
  <c r="O83" i="24"/>
  <c r="F117" i="1"/>
  <c r="I80" i="24"/>
  <c r="E142" i="24"/>
  <c r="B322" i="24"/>
  <c r="B182" i="24"/>
  <c r="E104" i="24"/>
  <c r="E331" i="24"/>
  <c r="N210" i="24"/>
  <c r="H215" i="1"/>
  <c r="I337" i="1"/>
  <c r="L329" i="1"/>
  <c r="E168" i="1"/>
  <c r="F73" i="1"/>
  <c r="J271" i="24"/>
  <c r="M214" i="1"/>
  <c r="F208" i="24"/>
  <c r="N12" i="1"/>
  <c r="G308" i="24"/>
  <c r="C275" i="24"/>
  <c r="C140" i="24"/>
  <c r="K152" i="24"/>
  <c r="B11" i="1"/>
  <c r="B209" i="1"/>
  <c r="H329" i="1"/>
  <c r="B88" i="24"/>
  <c r="H269" i="1"/>
  <c r="B238" i="1"/>
  <c r="E328" i="1"/>
  <c r="C153" i="1"/>
  <c r="N236" i="24"/>
  <c r="C111" i="1"/>
  <c r="L326" i="24"/>
  <c r="J88" i="1"/>
  <c r="I166" i="24"/>
  <c r="N27" i="1"/>
  <c r="F228" i="24"/>
  <c r="G303" i="24"/>
  <c r="F150" i="1"/>
  <c r="G51" i="24"/>
  <c r="E260" i="1"/>
  <c r="G332" i="1"/>
  <c r="J339" i="24"/>
  <c r="G271" i="1"/>
  <c r="E27" i="1"/>
  <c r="F197" i="24"/>
  <c r="N114" i="24"/>
  <c r="F152" i="1"/>
  <c r="G334" i="1"/>
  <c r="B148" i="1"/>
  <c r="D89" i="24"/>
  <c r="C213" i="24"/>
  <c r="D52" i="1"/>
  <c r="I135" i="24"/>
  <c r="C167" i="24"/>
  <c r="F244" i="1"/>
  <c r="N105" i="1"/>
  <c r="F13" i="24"/>
  <c r="H141" i="24"/>
  <c r="H183" i="24"/>
  <c r="M142" i="24"/>
  <c r="I271" i="24"/>
  <c r="L51" i="1"/>
  <c r="N226" i="24"/>
  <c r="O179" i="1"/>
  <c r="O47" i="24"/>
  <c r="K41" i="24"/>
  <c r="D147" i="1"/>
  <c r="B260" i="1"/>
  <c r="G166" i="24"/>
  <c r="E181" i="24"/>
  <c r="H53" i="24"/>
  <c r="C302" i="1"/>
  <c r="O51" i="1"/>
  <c r="F58" i="24"/>
  <c r="B213" i="24"/>
  <c r="O166" i="24"/>
  <c r="J322" i="24"/>
  <c r="B133" i="1"/>
  <c r="D117" i="24"/>
  <c r="C181" i="24"/>
  <c r="B328" i="1"/>
  <c r="O151" i="1"/>
  <c r="N76" i="1"/>
  <c r="J23" i="24"/>
  <c r="O152" i="24"/>
  <c r="B53" i="1"/>
  <c r="L75" i="24"/>
  <c r="F44" i="1"/>
  <c r="N233" i="1"/>
  <c r="M334" i="1"/>
  <c r="G53" i="24"/>
  <c r="O142" i="1"/>
  <c r="F22" i="1"/>
  <c r="F107" i="1"/>
  <c r="L228" i="1"/>
  <c r="M10" i="1"/>
  <c r="C11" i="24"/>
  <c r="M265" i="24"/>
  <c r="O11" i="1"/>
  <c r="G22" i="1"/>
  <c r="C26" i="24"/>
  <c r="L245" i="24"/>
  <c r="J46" i="1"/>
  <c r="M138" i="24"/>
  <c r="M177" i="24"/>
  <c r="C184" i="24"/>
  <c r="I257" i="24"/>
  <c r="E52" i="1"/>
  <c r="B140" i="24"/>
  <c r="G53" i="1"/>
  <c r="F324" i="1"/>
  <c r="J136" i="24"/>
  <c r="C78" i="1"/>
  <c r="K230" i="1"/>
  <c r="M43" i="24"/>
  <c r="F54" i="1"/>
  <c r="F259" i="24"/>
  <c r="F202" i="1"/>
  <c r="K86" i="24"/>
  <c r="D245" i="24"/>
  <c r="J143" i="24"/>
  <c r="B164" i="24"/>
  <c r="M231" i="1"/>
  <c r="I122" i="1"/>
  <c r="C324" i="24"/>
  <c r="J321" i="24"/>
  <c r="L228" i="24"/>
  <c r="L22" i="1"/>
  <c r="J58" i="1"/>
  <c r="K319" i="1"/>
  <c r="O79" i="24"/>
  <c r="G305" i="24"/>
  <c r="C114" i="24"/>
  <c r="M39" i="24"/>
  <c r="B198" i="24"/>
  <c r="M136" i="1"/>
  <c r="O172" i="24"/>
  <c r="D226" i="24"/>
  <c r="F181" i="24"/>
  <c r="D57" i="24"/>
  <c r="N116" i="1"/>
  <c r="H199" i="24"/>
  <c r="N166" i="1"/>
  <c r="M148" i="24"/>
  <c r="G88" i="1"/>
  <c r="C182" i="1"/>
  <c r="C324" i="1"/>
  <c r="L114" i="24"/>
  <c r="H140" i="1"/>
  <c r="D167" i="1"/>
  <c r="F179" i="24"/>
  <c r="F244" i="24"/>
  <c r="M8" i="1"/>
  <c r="F276" i="1"/>
  <c r="L260" i="1"/>
  <c r="D307" i="24"/>
  <c r="O109" i="1"/>
  <c r="D140" i="1"/>
  <c r="G266" i="1"/>
  <c r="C138" i="24"/>
  <c r="E48" i="24"/>
  <c r="I235" i="1"/>
  <c r="N200" i="24"/>
  <c r="O150" i="24"/>
  <c r="I76" i="1"/>
  <c r="G121" i="1"/>
  <c r="H122" i="1"/>
  <c r="G10" i="1"/>
  <c r="B44" i="24"/>
  <c r="B204" i="1"/>
  <c r="F153" i="1"/>
  <c r="J171" i="1"/>
  <c r="G109" i="1"/>
  <c r="K52" i="24"/>
  <c r="N80" i="1"/>
  <c r="B333" i="1"/>
  <c r="K236" i="24"/>
  <c r="C8" i="24"/>
  <c r="I142" i="24"/>
  <c r="N334" i="1"/>
  <c r="F172" i="1"/>
  <c r="N329" i="24"/>
  <c r="O153" i="24"/>
  <c r="H326" i="1"/>
  <c r="M213" i="24"/>
  <c r="K15" i="24"/>
  <c r="I10" i="1"/>
  <c r="O198" i="1"/>
  <c r="G164" i="1"/>
  <c r="H115" i="24"/>
  <c r="L71" i="1"/>
  <c r="O73" i="1"/>
  <c r="B199" i="24"/>
  <c r="D229" i="1"/>
  <c r="C44" i="24"/>
  <c r="L74" i="1"/>
  <c r="C207" i="1"/>
  <c r="L25" i="24"/>
  <c r="N86" i="1"/>
  <c r="L80" i="1"/>
  <c r="J169" i="1"/>
  <c r="N176" i="1"/>
  <c r="M150" i="1"/>
  <c r="J228" i="1"/>
  <c r="M102" i="24"/>
  <c r="E246" i="1"/>
  <c r="C235" i="1"/>
  <c r="C229" i="24"/>
  <c r="O173" i="24"/>
  <c r="F246" i="24"/>
  <c r="B76" i="1"/>
  <c r="I182" i="1"/>
  <c r="G244" i="1"/>
  <c r="N174" i="24"/>
  <c r="K210" i="1"/>
  <c r="O241" i="1"/>
  <c r="J261" i="1"/>
  <c r="B41" i="24"/>
  <c r="E10" i="1"/>
  <c r="H104" i="1"/>
  <c r="D306" i="1"/>
  <c r="C107" i="1"/>
  <c r="N334" i="24"/>
  <c r="L89" i="1"/>
  <c r="K18" i="1"/>
  <c r="D231" i="24"/>
  <c r="G167" i="1"/>
  <c r="D91" i="1"/>
  <c r="D54" i="1"/>
  <c r="F200" i="1"/>
  <c r="B107" i="1"/>
  <c r="C174" i="1"/>
  <c r="K202" i="1"/>
  <c r="N43" i="1"/>
  <c r="K333" i="1"/>
  <c r="N142" i="24"/>
  <c r="L257" i="24"/>
  <c r="H239" i="1"/>
  <c r="F228" i="1"/>
  <c r="O150" i="1"/>
  <c r="F136" i="24"/>
  <c r="K331" i="24"/>
  <c r="O26" i="1"/>
  <c r="H89" i="1"/>
  <c r="C138" i="1"/>
  <c r="D109" i="24"/>
  <c r="D178" i="24"/>
  <c r="N243" i="24"/>
  <c r="J112" i="24"/>
  <c r="C300" i="24"/>
  <c r="N122" i="1"/>
  <c r="B261" i="1"/>
  <c r="K266" i="24"/>
  <c r="C27" i="24"/>
  <c r="K20" i="1"/>
  <c r="O17" i="1"/>
  <c r="L152" i="24"/>
  <c r="L85" i="1"/>
  <c r="J141" i="1"/>
  <c r="D122" i="1"/>
  <c r="C71" i="24"/>
  <c r="G51" i="1"/>
  <c r="N20" i="24"/>
  <c r="I214" i="24"/>
  <c r="D143" i="1"/>
  <c r="M272" i="24"/>
  <c r="I329" i="24"/>
  <c r="F326" i="1"/>
  <c r="L337" i="24"/>
  <c r="B142" i="24"/>
  <c r="E75" i="1"/>
  <c r="D136" i="1"/>
  <c r="K142" i="24"/>
  <c r="J84" i="24"/>
  <c r="K85" i="24"/>
  <c r="G198" i="24"/>
  <c r="I244" i="24"/>
  <c r="N133" i="24"/>
  <c r="O136" i="24"/>
  <c r="E210" i="1"/>
  <c r="H107" i="24"/>
  <c r="E239" i="24"/>
  <c r="O234" i="24"/>
  <c r="D243" i="1"/>
  <c r="F332" i="24"/>
  <c r="M276" i="1"/>
  <c r="E245" i="1"/>
  <c r="N145" i="1"/>
  <c r="K322" i="1"/>
  <c r="E275" i="1"/>
  <c r="I148" i="24"/>
  <c r="N199" i="24"/>
  <c r="G269" i="1"/>
  <c r="I146" i="24"/>
  <c r="G133" i="24"/>
  <c r="K215" i="1"/>
  <c r="K226" i="24"/>
  <c r="O53" i="1"/>
  <c r="L205" i="1"/>
  <c r="K238" i="24"/>
  <c r="O327" i="24"/>
  <c r="M59" i="1"/>
  <c r="J236" i="1"/>
  <c r="K112" i="1"/>
  <c r="E25" i="24"/>
  <c r="K228" i="1"/>
  <c r="E58" i="24"/>
  <c r="K212" i="24"/>
  <c r="D296" i="24"/>
  <c r="F305" i="24"/>
  <c r="B302" i="24"/>
  <c r="H210" i="24"/>
  <c r="I90" i="1"/>
  <c r="D173" i="24"/>
  <c r="F51" i="1"/>
  <c r="J329" i="1"/>
  <c r="E80" i="24"/>
  <c r="H117" i="1"/>
  <c r="K22" i="24"/>
  <c r="L114" i="1"/>
  <c r="G271" i="24"/>
  <c r="C306" i="24"/>
  <c r="L260" i="24"/>
  <c r="I41" i="1"/>
  <c r="L47" i="1"/>
  <c r="B319" i="1"/>
  <c r="F88" i="1"/>
  <c r="F213" i="1"/>
  <c r="F197" i="1"/>
  <c r="F78" i="1"/>
  <c r="M322" i="1"/>
  <c r="I195" i="24"/>
  <c r="C102" i="24"/>
  <c r="D153" i="24"/>
  <c r="B111" i="1"/>
  <c r="G233" i="1"/>
  <c r="C153" i="24"/>
  <c r="D150" i="1"/>
  <c r="C240" i="24"/>
  <c r="O319" i="24"/>
  <c r="H153" i="1"/>
  <c r="D336" i="24"/>
  <c r="G236" i="1"/>
  <c r="D328" i="24"/>
  <c r="J21" i="1"/>
  <c r="C244" i="1"/>
  <c r="F46" i="1"/>
  <c r="E246" i="24"/>
  <c r="I117" i="24"/>
  <c r="F44" i="24"/>
  <c r="H262" i="24"/>
  <c r="I275" i="24"/>
  <c r="C288" i="24"/>
  <c r="J138" i="1"/>
  <c r="K198" i="24"/>
  <c r="J173" i="1"/>
  <c r="D199" i="1"/>
  <c r="N81" i="1"/>
  <c r="J89" i="24"/>
  <c r="O56" i="24"/>
  <c r="I88" i="1"/>
  <c r="D75" i="1"/>
  <c r="M166" i="1"/>
  <c r="E321" i="1"/>
  <c r="G49" i="24"/>
  <c r="N319" i="24"/>
  <c r="F204" i="24"/>
  <c r="B90" i="24"/>
  <c r="C172" i="1"/>
  <c r="D295" i="24"/>
  <c r="K147" i="1"/>
  <c r="C115" i="24"/>
  <c r="H39" i="1"/>
  <c r="H117" i="24"/>
  <c r="O197" i="1"/>
  <c r="F133" i="1"/>
  <c r="O85" i="24"/>
  <c r="L112" i="24"/>
  <c r="J117" i="1"/>
  <c r="I27" i="1"/>
  <c r="L11" i="1"/>
  <c r="H199" i="1"/>
  <c r="I333" i="24"/>
  <c r="F327" i="24"/>
  <c r="F266" i="1"/>
  <c r="N208" i="1"/>
  <c r="O244" i="24"/>
  <c r="L324" i="24"/>
  <c r="I168" i="1"/>
  <c r="G10" i="24"/>
  <c r="D142" i="24"/>
  <c r="B292" i="24"/>
  <c r="O214" i="1"/>
  <c r="L22" i="24"/>
  <c r="N122" i="24"/>
  <c r="F20" i="24"/>
  <c r="H324" i="24"/>
  <c r="M74" i="1"/>
  <c r="H47" i="24"/>
  <c r="F164" i="24"/>
  <c r="D272" i="24"/>
  <c r="J184" i="1"/>
  <c r="F302" i="24"/>
  <c r="N109" i="1"/>
  <c r="J179" i="24"/>
  <c r="E300" i="1"/>
  <c r="E177" i="1"/>
  <c r="I210" i="24"/>
  <c r="I205" i="1"/>
  <c r="K326" i="24"/>
  <c r="N150" i="1"/>
  <c r="F8" i="24"/>
  <c r="F137" i="1"/>
  <c r="M164" i="24"/>
  <c r="D181" i="1"/>
  <c r="E174" i="24"/>
  <c r="D184" i="24"/>
  <c r="C293" i="1"/>
  <c r="G210" i="1"/>
  <c r="I181" i="24"/>
  <c r="G328" i="1"/>
  <c r="O226" i="24"/>
  <c r="G332" i="24"/>
  <c r="O231" i="1"/>
  <c r="M274" i="1"/>
  <c r="B298" i="1"/>
  <c r="J75" i="24"/>
  <c r="I326" i="1"/>
  <c r="O145" i="1"/>
  <c r="H52" i="24"/>
  <c r="G209" i="1"/>
  <c r="E164" i="1"/>
  <c r="B265" i="1"/>
  <c r="M17" i="1"/>
  <c r="B12" i="1"/>
  <c r="B332" i="1"/>
  <c r="F231" i="1"/>
  <c r="O84" i="24"/>
  <c r="N198" i="1"/>
  <c r="I182" i="24"/>
  <c r="I244" i="1"/>
  <c r="G119" i="24"/>
  <c r="J79" i="24"/>
  <c r="C85" i="24"/>
  <c r="I135" i="1"/>
  <c r="I337" i="24"/>
  <c r="M116" i="24"/>
  <c r="L210" i="1"/>
  <c r="I79" i="24"/>
  <c r="H116" i="24"/>
  <c r="D259" i="24"/>
  <c r="F151" i="1"/>
  <c r="M140" i="24"/>
  <c r="L142" i="1"/>
  <c r="E307" i="24"/>
  <c r="J140" i="24"/>
  <c r="F86" i="24"/>
  <c r="K265" i="24"/>
  <c r="G39" i="24"/>
  <c r="D49" i="24"/>
  <c r="B333" i="24"/>
  <c r="I52" i="24"/>
  <c r="L18" i="24"/>
  <c r="E199" i="1"/>
  <c r="M84" i="24"/>
  <c r="H271" i="1"/>
  <c r="D202" i="1"/>
  <c r="E106" i="24"/>
  <c r="B331" i="1"/>
  <c r="D46" i="24"/>
  <c r="C322" i="24"/>
  <c r="D291" i="24"/>
  <c r="O81" i="24"/>
  <c r="F146" i="24"/>
  <c r="K146" i="24"/>
  <c r="D104" i="24"/>
  <c r="B229" i="24"/>
  <c r="J112" i="1"/>
  <c r="N106" i="1"/>
  <c r="G115" i="1"/>
  <c r="I228" i="24"/>
  <c r="E148" i="1"/>
  <c r="B119" i="1"/>
  <c r="B334" i="1"/>
  <c r="M331" i="1"/>
  <c r="F167" i="24"/>
  <c r="H91" i="1"/>
  <c r="H109" i="24"/>
  <c r="J56" i="1"/>
  <c r="M184" i="1"/>
  <c r="H15" i="24"/>
  <c r="E74" i="24"/>
  <c r="J200" i="1"/>
  <c r="J215" i="1"/>
  <c r="O112" i="24"/>
  <c r="L176" i="24"/>
  <c r="J39" i="24"/>
  <c r="D209" i="24"/>
  <c r="I109" i="1"/>
  <c r="N136" i="24"/>
  <c r="B20" i="1"/>
  <c r="J106" i="1"/>
  <c r="E276" i="24"/>
  <c r="N47" i="1"/>
  <c r="B169" i="24"/>
  <c r="F235" i="24"/>
  <c r="J104" i="24"/>
  <c r="M85" i="24"/>
  <c r="E184" i="1"/>
  <c r="G236" i="24"/>
  <c r="I114" i="1"/>
  <c r="H145" i="24"/>
  <c r="J150" i="24"/>
  <c r="G277" i="1"/>
  <c r="M44" i="1"/>
  <c r="E197" i="24"/>
  <c r="N42" i="24"/>
  <c r="I133" i="24"/>
  <c r="N135" i="1"/>
  <c r="E148" i="24"/>
  <c r="L85" i="24"/>
  <c r="F89" i="24"/>
  <c r="B143" i="24"/>
  <c r="D116" i="24"/>
  <c r="E183" i="1"/>
  <c r="J106" i="24"/>
  <c r="H205" i="24"/>
  <c r="J181" i="24"/>
  <c r="E265" i="24"/>
  <c r="L276" i="1"/>
  <c r="I106" i="24"/>
  <c r="N213" i="24"/>
  <c r="K80" i="24"/>
  <c r="D293" i="1"/>
  <c r="M324" i="1"/>
  <c r="M270" i="24"/>
  <c r="C210" i="24"/>
  <c r="B137" i="24"/>
  <c r="D269" i="24"/>
  <c r="O203" i="1"/>
  <c r="F264" i="24"/>
  <c r="B259" i="1"/>
  <c r="H168" i="1"/>
  <c r="K177" i="24"/>
  <c r="F88" i="24"/>
  <c r="H241" i="24"/>
  <c r="C257" i="24"/>
  <c r="I266" i="24"/>
  <c r="M207" i="1"/>
  <c r="E208" i="24"/>
  <c r="O21" i="1"/>
  <c r="L215" i="1"/>
  <c r="B13" i="24"/>
  <c r="L172" i="1"/>
  <c r="O78" i="24"/>
  <c r="I138" i="1"/>
  <c r="D270" i="24"/>
  <c r="B274" i="24"/>
  <c r="F300" i="24"/>
  <c r="E74" i="1"/>
  <c r="I321" i="1"/>
  <c r="K231" i="1"/>
  <c r="M329" i="1"/>
  <c r="J89" i="1"/>
  <c r="F305" i="1"/>
  <c r="G234" i="1"/>
  <c r="J205" i="24"/>
  <c r="E319" i="24"/>
  <c r="D240" i="24"/>
  <c r="I172" i="1"/>
  <c r="B48" i="24"/>
  <c r="G20" i="1"/>
  <c r="C151" i="1"/>
  <c r="M105" i="1"/>
  <c r="M271" i="1"/>
  <c r="O41" i="1"/>
  <c r="B173" i="24"/>
  <c r="J321" i="1"/>
  <c r="B85" i="1"/>
  <c r="O117" i="1"/>
  <c r="B59" i="1"/>
  <c r="K58" i="1"/>
  <c r="M89" i="24"/>
  <c r="D246" i="1"/>
  <c r="F209" i="24"/>
  <c r="H42" i="1"/>
  <c r="D106" i="1"/>
  <c r="E329" i="24"/>
  <c r="E153" i="1"/>
  <c r="C112" i="24"/>
  <c r="H172" i="24"/>
  <c r="K257" i="1"/>
  <c r="H271" i="24"/>
  <c r="G214" i="24"/>
  <c r="G150" i="24"/>
  <c r="K203" i="24"/>
  <c r="D319" i="24"/>
  <c r="C173" i="1"/>
  <c r="G322" i="24"/>
  <c r="I204" i="24"/>
  <c r="E16" i="24"/>
  <c r="G136" i="1"/>
  <c r="G142" i="1"/>
  <c r="I238" i="1"/>
  <c r="G296" i="1"/>
  <c r="O169" i="24"/>
  <c r="C267" i="1"/>
  <c r="H107" i="1"/>
  <c r="O135" i="1"/>
  <c r="E210" i="24"/>
  <c r="J195" i="1"/>
  <c r="L333" i="24"/>
  <c r="O48" i="24"/>
  <c r="L336" i="1"/>
  <c r="O75" i="1"/>
  <c r="K270" i="24"/>
  <c r="O58" i="24"/>
  <c r="K142" i="1"/>
  <c r="B238" i="24"/>
  <c r="B301" i="24"/>
  <c r="H267" i="24"/>
  <c r="F89" i="1"/>
  <c r="C257" i="1"/>
  <c r="C87" i="24"/>
  <c r="C13" i="1"/>
  <c r="C239" i="1"/>
  <c r="F52" i="24"/>
  <c r="E79" i="1"/>
  <c r="G200" i="1"/>
  <c r="M22" i="24"/>
  <c r="K152" i="1"/>
  <c r="E105" i="24"/>
  <c r="O71" i="1"/>
  <c r="O239" i="1"/>
  <c r="L81" i="24"/>
  <c r="L198" i="1"/>
  <c r="C181" i="1"/>
  <c r="J121" i="24"/>
  <c r="C332" i="24"/>
  <c r="M244" i="1"/>
  <c r="H236" i="1"/>
  <c r="I107" i="1"/>
  <c r="D164" i="1"/>
  <c r="O239" i="24"/>
  <c r="J74" i="1"/>
  <c r="K107" i="1"/>
  <c r="F297" i="1"/>
  <c r="D234" i="1"/>
  <c r="K43" i="1"/>
  <c r="F91" i="1"/>
  <c r="F122" i="1"/>
  <c r="F25" i="24"/>
  <c r="H238" i="24"/>
  <c r="J10" i="24"/>
  <c r="E178" i="1"/>
  <c r="D88" i="24"/>
  <c r="G110" i="24"/>
  <c r="J56" i="24"/>
  <c r="B169" i="1"/>
  <c r="L145" i="1"/>
  <c r="D301" i="24"/>
  <c r="G107" i="24"/>
  <c r="M181" i="1"/>
  <c r="E136" i="1"/>
  <c r="J266" i="1"/>
  <c r="L152" i="1"/>
  <c r="H215" i="24"/>
  <c r="C140" i="1"/>
  <c r="O147" i="24"/>
  <c r="K42" i="1"/>
  <c r="B176" i="24"/>
  <c r="K121" i="24"/>
  <c r="L86" i="1"/>
  <c r="J85" i="1"/>
  <c r="J264" i="1"/>
  <c r="O179" i="24"/>
  <c r="D323" i="1"/>
  <c r="G210" i="24"/>
  <c r="H333" i="1"/>
  <c r="I140" i="24"/>
  <c r="F176" i="24"/>
  <c r="H57" i="1"/>
  <c r="J199" i="24"/>
  <c r="O173" i="1"/>
  <c r="G147" i="1"/>
  <c r="B28" i="24"/>
  <c r="C303" i="24"/>
  <c r="G146" i="24"/>
  <c r="F260" i="24"/>
  <c r="H266" i="24"/>
  <c r="J152" i="24"/>
  <c r="E13" i="24"/>
  <c r="M277" i="24"/>
  <c r="M41" i="24"/>
  <c r="F147" i="24"/>
  <c r="E136" i="24"/>
  <c r="B168" i="1"/>
  <c r="F333" i="24"/>
  <c r="E269" i="1"/>
  <c r="K238" i="1"/>
  <c r="H167" i="24"/>
  <c r="F136" i="1"/>
  <c r="I328" i="1"/>
  <c r="K42" i="24"/>
  <c r="F267" i="24"/>
  <c r="E212" i="24"/>
  <c r="M152" i="1"/>
  <c r="L151" i="24"/>
  <c r="B208" i="1"/>
  <c r="J167" i="24"/>
  <c r="O13" i="1"/>
  <c r="L17" i="1"/>
  <c r="G270" i="24"/>
  <c r="C25" i="1"/>
  <c r="M183" i="24"/>
  <c r="G85" i="1"/>
  <c r="B136" i="1"/>
  <c r="M90" i="24"/>
  <c r="G8" i="24"/>
  <c r="C56" i="24"/>
  <c r="G177" i="1"/>
  <c r="D195" i="1"/>
  <c r="I75" i="24"/>
  <c r="L91" i="1"/>
  <c r="L15" i="1"/>
  <c r="H213" i="24"/>
  <c r="E18" i="1"/>
  <c r="D267" i="1"/>
  <c r="E58" i="1"/>
  <c r="G27" i="24"/>
  <c r="O46" i="1"/>
  <c r="B46" i="24"/>
  <c r="C230" i="1"/>
  <c r="I49" i="24"/>
  <c r="M323" i="1"/>
  <c r="M176" i="1"/>
  <c r="J229" i="1"/>
  <c r="B83" i="24"/>
  <c r="F270" i="24"/>
  <c r="G177" i="24"/>
  <c r="M117" i="24"/>
  <c r="M133" i="24"/>
  <c r="C48" i="1"/>
  <c r="H73" i="24"/>
  <c r="C176" i="1"/>
  <c r="K71" i="1"/>
  <c r="M204" i="1"/>
  <c r="D266" i="1"/>
  <c r="H338" i="1"/>
  <c r="G111" i="24"/>
  <c r="C42" i="1"/>
  <c r="J13" i="1"/>
  <c r="D106" i="24"/>
  <c r="N150" i="24"/>
  <c r="C109" i="1"/>
  <c r="L71" i="24"/>
  <c r="B260" i="24"/>
  <c r="K276" i="1"/>
  <c r="K16" i="24"/>
  <c r="D11" i="24"/>
  <c r="L15" i="24"/>
  <c r="O121" i="24"/>
  <c r="B136" i="24"/>
  <c r="C83" i="24"/>
  <c r="G171" i="1"/>
  <c r="J246" i="1"/>
  <c r="I183" i="1"/>
  <c r="L23" i="1"/>
  <c r="K183" i="24"/>
  <c r="F265" i="1"/>
  <c r="G334" i="24"/>
  <c r="I12" i="24"/>
  <c r="N184" i="1"/>
  <c r="F202" i="24"/>
  <c r="M12" i="1"/>
  <c r="D203" i="24"/>
  <c r="C215" i="1"/>
  <c r="B267" i="24"/>
  <c r="G145" i="1"/>
  <c r="K145" i="1"/>
  <c r="I112" i="24"/>
  <c r="C291" i="24"/>
  <c r="C42" i="24"/>
  <c r="G120" i="24"/>
  <c r="O176" i="1"/>
  <c r="G336" i="1"/>
  <c r="N244" i="24"/>
  <c r="F337" i="24"/>
  <c r="L116" i="1"/>
  <c r="J238" i="24"/>
  <c r="L171" i="1"/>
  <c r="B229" i="1"/>
  <c r="H111" i="1"/>
  <c r="F262" i="1"/>
  <c r="K277" i="24"/>
  <c r="K203" i="1"/>
  <c r="D266" i="24"/>
  <c r="F85" i="1"/>
  <c r="M120" i="24"/>
  <c r="N141" i="24"/>
  <c r="M116" i="1"/>
  <c r="H114" i="1"/>
  <c r="I133" i="1"/>
  <c r="J18" i="1"/>
  <c r="F339" i="24"/>
  <c r="F49" i="24"/>
  <c r="B179" i="1"/>
  <c r="E303" i="24"/>
  <c r="K260" i="1"/>
  <c r="H111" i="24"/>
  <c r="D305" i="24"/>
  <c r="I209" i="1"/>
  <c r="E184" i="24"/>
  <c r="D265" i="1"/>
  <c r="C105" i="1"/>
  <c r="B151" i="24"/>
  <c r="I88" i="24"/>
  <c r="C74" i="1"/>
  <c r="H179" i="24"/>
  <c r="L319" i="1"/>
  <c r="K195" i="24"/>
  <c r="G181" i="24"/>
  <c r="F20" i="1"/>
  <c r="I229" i="24"/>
  <c r="O27" i="1"/>
  <c r="H182" i="1"/>
  <c r="H243" i="24"/>
  <c r="G166" i="1"/>
  <c r="L143" i="1"/>
  <c r="O214" i="24"/>
  <c r="M334" i="24"/>
  <c r="G43" i="1"/>
  <c r="H169" i="1"/>
  <c r="K199" i="1"/>
  <c r="J120" i="24"/>
  <c r="B307" i="1"/>
  <c r="C233" i="24"/>
  <c r="E169" i="1"/>
  <c r="I26" i="1"/>
  <c r="F104" i="24"/>
  <c r="C168" i="24"/>
  <c r="C266" i="1"/>
  <c r="D42" i="1"/>
  <c r="C179" i="1"/>
  <c r="J143" i="1"/>
  <c r="H90" i="24"/>
  <c r="K106" i="24"/>
  <c r="K71" i="24"/>
  <c r="I10" i="24"/>
  <c r="J71" i="24"/>
  <c r="L178" i="24"/>
  <c r="E272" i="1"/>
  <c r="B210" i="1"/>
  <c r="K215" i="24"/>
  <c r="E102" i="24"/>
  <c r="J184" i="24"/>
  <c r="I106" i="1"/>
  <c r="D71" i="1"/>
  <c r="M23" i="1"/>
  <c r="G307" i="1"/>
  <c r="C104" i="1"/>
  <c r="K336" i="24"/>
  <c r="N10" i="24"/>
  <c r="F173" i="1"/>
  <c r="M47" i="24"/>
  <c r="L13" i="24"/>
  <c r="C235" i="24"/>
  <c r="J328" i="24"/>
  <c r="L272" i="24"/>
  <c r="B291" i="1"/>
  <c r="C214" i="1"/>
  <c r="B51" i="24"/>
  <c r="O102" i="1"/>
  <c r="F21" i="1"/>
  <c r="N145" i="24"/>
  <c r="H88" i="1"/>
  <c r="F233" i="1"/>
  <c r="F331" i="24"/>
  <c r="F291" i="1"/>
  <c r="K105" i="1"/>
  <c r="H207" i="24"/>
  <c r="L86" i="24"/>
  <c r="B197" i="1"/>
  <c r="O339" i="24"/>
  <c r="D91" i="24"/>
  <c r="O203" i="24"/>
  <c r="L44" i="24"/>
  <c r="D295" i="1"/>
  <c r="J322" i="1"/>
  <c r="E231" i="24"/>
  <c r="K169" i="1"/>
  <c r="C49" i="24"/>
  <c r="B329" i="1"/>
  <c r="G84" i="24"/>
  <c r="D183" i="1"/>
  <c r="E16" i="1"/>
  <c r="J213" i="24"/>
  <c r="K26" i="1"/>
  <c r="B74" i="1"/>
  <c r="I83" i="1"/>
  <c r="K174" i="1"/>
  <c r="G12" i="24"/>
  <c r="M83" i="24"/>
  <c r="J197" i="1"/>
  <c r="I110" i="1"/>
  <c r="J339" i="1"/>
  <c r="E272" i="24"/>
  <c r="O241" i="24"/>
  <c r="I199" i="1"/>
  <c r="L106" i="1"/>
  <c r="G172" i="1"/>
  <c r="L107" i="1"/>
  <c r="E207" i="24"/>
  <c r="D43" i="1"/>
  <c r="G57" i="24"/>
  <c r="F143" i="24"/>
  <c r="C75" i="24"/>
  <c r="D182" i="24"/>
  <c r="H321" i="24"/>
  <c r="B244" i="24"/>
  <c r="O246" i="24"/>
  <c r="L197" i="24"/>
  <c r="F138" i="24"/>
  <c r="C213" i="1"/>
  <c r="D264" i="1"/>
  <c r="K327" i="1"/>
  <c r="G293" i="1"/>
  <c r="J176" i="1"/>
  <c r="E109" i="24"/>
  <c r="B172" i="1"/>
  <c r="D109" i="1"/>
  <c r="B143" i="1"/>
  <c r="E301" i="24"/>
  <c r="G173" i="24"/>
  <c r="N89" i="24"/>
  <c r="K246" i="1"/>
  <c r="C205" i="24"/>
  <c r="F22" i="24"/>
  <c r="M43" i="1"/>
  <c r="K339" i="24"/>
  <c r="D306" i="24"/>
  <c r="I184" i="1"/>
  <c r="N27" i="24"/>
  <c r="L328" i="1"/>
  <c r="C88" i="24"/>
  <c r="L240" i="1"/>
  <c r="E117" i="1"/>
  <c r="M171" i="24"/>
  <c r="L88" i="1"/>
  <c r="N143" i="1"/>
  <c r="B235" i="1"/>
  <c r="I47" i="24"/>
  <c r="K79" i="24"/>
  <c r="E145" i="1"/>
  <c r="K168" i="1"/>
  <c r="M229" i="1"/>
  <c r="O91" i="1"/>
  <c r="K274" i="24"/>
  <c r="K228" i="24"/>
  <c r="L146" i="24"/>
  <c r="O110" i="24"/>
  <c r="H74" i="24"/>
  <c r="D171" i="1"/>
  <c r="E110" i="1"/>
  <c r="F293" i="1"/>
  <c r="K176" i="24"/>
  <c r="H27" i="24"/>
  <c r="G301" i="1"/>
  <c r="B149" i="24"/>
  <c r="H74" i="1"/>
  <c r="K54" i="1"/>
  <c r="E322" i="24"/>
  <c r="E169" i="24"/>
  <c r="O215" i="24"/>
  <c r="L26" i="1"/>
  <c r="I21" i="1"/>
  <c r="G46" i="24"/>
  <c r="D52" i="24"/>
  <c r="B21" i="24"/>
  <c r="N18" i="24"/>
  <c r="C290" i="24"/>
  <c r="I86" i="24"/>
  <c r="M202" i="1"/>
  <c r="N203" i="24"/>
  <c r="J236" i="24"/>
  <c r="I52" i="1"/>
  <c r="E17" i="24"/>
  <c r="L59" i="1"/>
  <c r="D228" i="24"/>
  <c r="E78" i="24"/>
  <c r="D148" i="24"/>
  <c r="J276" i="24"/>
  <c r="I57" i="24"/>
  <c r="M198" i="1"/>
  <c r="O49" i="24"/>
  <c r="O17" i="24"/>
  <c r="E230" i="1"/>
  <c r="B239" i="24"/>
  <c r="D265" i="24"/>
  <c r="B295" i="1"/>
  <c r="F292" i="1"/>
  <c r="B270" i="1"/>
  <c r="O111" i="1"/>
  <c r="D332" i="1"/>
  <c r="J59" i="24"/>
  <c r="F295" i="24"/>
  <c r="J333" i="24"/>
  <c r="C178" i="1"/>
  <c r="E138" i="1"/>
  <c r="C137" i="1"/>
  <c r="M56" i="1"/>
  <c r="E133" i="24"/>
  <c r="K246" i="24"/>
  <c r="J110" i="24"/>
  <c r="E302" i="1"/>
  <c r="B78" i="1"/>
  <c r="C234" i="1"/>
  <c r="J235" i="1"/>
  <c r="G41" i="24"/>
  <c r="D44" i="1"/>
  <c r="B245" i="24"/>
  <c r="M241" i="24"/>
  <c r="E213" i="24"/>
  <c r="I202" i="1"/>
  <c r="H12" i="1"/>
  <c r="L205" i="24"/>
  <c r="O202" i="1"/>
  <c r="D147" i="24"/>
  <c r="L178" i="1"/>
  <c r="D51" i="1"/>
  <c r="D323" i="24"/>
  <c r="E51" i="1"/>
  <c r="C307" i="24"/>
  <c r="I142" i="1"/>
  <c r="E333" i="1"/>
  <c r="F86" i="1"/>
  <c r="H44" i="1"/>
  <c r="H52" i="1"/>
  <c r="O109" i="24"/>
  <c r="C43" i="1"/>
  <c r="B167" i="1"/>
  <c r="B150" i="1"/>
  <c r="E137" i="1"/>
  <c r="B298" i="24"/>
  <c r="C146" i="1"/>
  <c r="F331" i="1"/>
  <c r="B102" i="1"/>
  <c r="E39" i="24"/>
  <c r="C262" i="1"/>
  <c r="J15" i="24"/>
  <c r="C102" i="1"/>
  <c r="F46" i="24"/>
  <c r="J122" i="1"/>
  <c r="B81" i="24"/>
  <c r="J245" i="1"/>
  <c r="O235" i="24"/>
  <c r="K178" i="24"/>
  <c r="E48" i="1"/>
  <c r="F102" i="24"/>
  <c r="D292" i="1"/>
  <c r="H274" i="24"/>
  <c r="H168" i="24"/>
  <c r="I332" i="24"/>
  <c r="J205" i="1"/>
  <c r="B324" i="1"/>
  <c r="K321" i="1"/>
  <c r="B305" i="1"/>
  <c r="L115" i="24"/>
  <c r="H147" i="24"/>
  <c r="E324" i="24"/>
  <c r="D59" i="24"/>
  <c r="N13" i="24"/>
  <c r="C89" i="1"/>
  <c r="N168" i="1"/>
  <c r="O133" i="1"/>
  <c r="L277" i="1"/>
  <c r="B149" i="1"/>
  <c r="L119" i="1"/>
  <c r="G302" i="24"/>
  <c r="H110" i="1"/>
  <c r="N323" i="1"/>
  <c r="H324" i="1"/>
  <c r="L234" i="24"/>
  <c r="M323" i="24"/>
  <c r="B183" i="1"/>
  <c r="M213" i="1"/>
  <c r="G13" i="1"/>
  <c r="G276" i="1"/>
  <c r="F47" i="24"/>
  <c r="E244" i="1"/>
  <c r="E244" i="24"/>
  <c r="H151" i="24"/>
  <c r="E336" i="1"/>
  <c r="D18" i="24"/>
  <c r="F210" i="24"/>
  <c r="D339" i="24"/>
  <c r="G176" i="1"/>
  <c r="C84" i="24"/>
  <c r="K184" i="1"/>
  <c r="E105" i="1"/>
  <c r="G73" i="24"/>
  <c r="N172" i="1"/>
  <c r="D338" i="24"/>
  <c r="D112" i="24"/>
  <c r="M145" i="24"/>
  <c r="B262" i="1"/>
  <c r="L236" i="24"/>
  <c r="H178" i="24"/>
  <c r="I183" i="24"/>
  <c r="O117" i="24"/>
  <c r="K229" i="1"/>
  <c r="H328" i="1"/>
  <c r="H43" i="24"/>
  <c r="M48" i="24"/>
  <c r="M197" i="1"/>
  <c r="C307" i="1"/>
  <c r="L121" i="24"/>
  <c r="J151" i="24"/>
  <c r="I177" i="24"/>
  <c r="F303" i="1"/>
  <c r="C122" i="24"/>
  <c r="C200" i="24"/>
  <c r="B16" i="1"/>
  <c r="L266" i="1"/>
  <c r="B290" i="24"/>
  <c r="H173" i="24"/>
  <c r="M261" i="1"/>
  <c r="D20" i="1"/>
  <c r="H133" i="24"/>
  <c r="H204" i="24"/>
  <c r="G105" i="1"/>
  <c r="E150" i="24"/>
  <c r="M338" i="1"/>
  <c r="E90" i="24"/>
  <c r="O245" i="1"/>
  <c r="C334" i="1"/>
  <c r="I56" i="24"/>
  <c r="C119" i="24"/>
  <c r="B164" i="1"/>
  <c r="N17" i="24"/>
  <c r="N80" i="24"/>
  <c r="C150" i="1"/>
  <c r="G133" i="1"/>
  <c r="L195" i="24"/>
  <c r="F148" i="24"/>
  <c r="G11" i="1"/>
  <c r="B269" i="1"/>
  <c r="M328" i="24"/>
  <c r="I75" i="1"/>
  <c r="C23" i="1"/>
  <c r="J153" i="24"/>
  <c r="L13" i="1"/>
  <c r="G54" i="1"/>
  <c r="K23" i="1"/>
  <c r="G238" i="24"/>
  <c r="G138" i="1"/>
  <c r="M243" i="24"/>
  <c r="K208" i="1"/>
  <c r="K205" i="24"/>
  <c r="K59" i="24"/>
  <c r="L141" i="1"/>
  <c r="E274" i="24"/>
  <c r="B90" i="1"/>
  <c r="I136" i="1"/>
  <c r="M20" i="24"/>
  <c r="K275" i="1"/>
  <c r="B301" i="1"/>
  <c r="B58" i="1"/>
  <c r="G178" i="1"/>
  <c r="B17" i="1"/>
  <c r="M48" i="1"/>
  <c r="N321" i="24"/>
  <c r="F141" i="24"/>
  <c r="I58" i="24"/>
  <c r="L209" i="24"/>
  <c r="I326" i="24"/>
  <c r="M115" i="1"/>
  <c r="F271" i="24"/>
  <c r="E274" i="1"/>
  <c r="M151" i="1"/>
  <c r="I276" i="24"/>
  <c r="J111" i="24"/>
  <c r="L28" i="1"/>
  <c r="G148" i="1"/>
  <c r="D303" i="1"/>
  <c r="G25" i="1"/>
  <c r="I151" i="1"/>
  <c r="L197" i="1"/>
  <c r="B198" i="1"/>
  <c r="L275" i="1"/>
  <c r="M231" i="24"/>
  <c r="G213" i="24"/>
  <c r="K234" i="24"/>
  <c r="G112" i="1"/>
  <c r="O333" i="1"/>
  <c r="L234" i="1"/>
  <c r="D215" i="1"/>
  <c r="O76" i="1"/>
  <c r="L58" i="1"/>
  <c r="K213" i="24"/>
  <c r="I174" i="1"/>
  <c r="J212" i="1"/>
  <c r="N48" i="1"/>
  <c r="H202" i="24"/>
  <c r="G239" i="24"/>
  <c r="K169" i="24"/>
  <c r="D300" i="24"/>
  <c r="H331" i="1"/>
  <c r="F116" i="1"/>
  <c r="D197" i="24"/>
  <c r="D276" i="1"/>
  <c r="L42" i="1"/>
  <c r="K112" i="24"/>
  <c r="H244" i="24"/>
  <c r="N204" i="1"/>
  <c r="N168" i="24"/>
  <c r="K173" i="24"/>
  <c r="N331" i="1"/>
  <c r="F200" i="24"/>
  <c r="B41" i="1"/>
  <c r="C231" i="24"/>
  <c r="E119" i="24"/>
  <c r="H48" i="1"/>
  <c r="O195" i="1"/>
  <c r="F73" i="24"/>
  <c r="E21" i="24"/>
  <c r="D48" i="24"/>
  <c r="H49" i="1"/>
  <c r="E270" i="24"/>
  <c r="C260" i="24"/>
  <c r="M17" i="24"/>
  <c r="E333" i="24"/>
  <c r="I22" i="1"/>
  <c r="F75" i="1"/>
  <c r="E53" i="24"/>
  <c r="G47" i="1"/>
  <c r="E52" i="24"/>
  <c r="M122" i="24"/>
  <c r="B292" i="1"/>
  <c r="I204" i="1"/>
  <c r="H182" i="24"/>
  <c r="J276" i="1"/>
  <c r="N133" i="1"/>
  <c r="L203" i="24"/>
  <c r="E322" i="1"/>
  <c r="J166" i="1"/>
  <c r="L319" i="24"/>
  <c r="I116" i="24"/>
  <c r="J164" i="24"/>
  <c r="F290" i="24"/>
  <c r="F240" i="1"/>
  <c r="D321" i="1"/>
  <c r="L151" i="1"/>
  <c r="M244" i="24"/>
  <c r="K245" i="24"/>
  <c r="B235" i="24"/>
  <c r="G215" i="24"/>
  <c r="B243" i="24"/>
  <c r="N228" i="24"/>
  <c r="I22" i="24"/>
  <c r="D334" i="24"/>
  <c r="F141" i="1"/>
  <c r="D228" i="1"/>
  <c r="B306" i="24"/>
  <c r="N235" i="1"/>
  <c r="K328" i="24"/>
  <c r="D271" i="24"/>
  <c r="K110" i="24"/>
  <c r="B71" i="1"/>
  <c r="E8" i="24"/>
  <c r="C305" i="24"/>
  <c r="E28" i="24"/>
  <c r="K75" i="1"/>
  <c r="D119" i="1"/>
  <c r="B42" i="24"/>
  <c r="H151" i="1"/>
  <c r="K324" i="1"/>
  <c r="K182" i="24"/>
  <c r="O22" i="1"/>
  <c r="C301" i="24"/>
  <c r="C203" i="1"/>
  <c r="J107" i="1"/>
  <c r="L48" i="1"/>
  <c r="H58" i="1"/>
  <c r="L109" i="24"/>
  <c r="G336" i="24"/>
  <c r="M262" i="1"/>
  <c r="F274" i="1"/>
  <c r="I323" i="24"/>
  <c r="M319" i="24"/>
  <c r="K334" i="1"/>
  <c r="D41" i="1"/>
  <c r="M209" i="1"/>
  <c r="F112" i="24"/>
  <c r="C91" i="24"/>
  <c r="J54" i="24"/>
  <c r="L182" i="1"/>
  <c r="C331" i="24"/>
  <c r="F147" i="1"/>
  <c r="H323" i="1"/>
  <c r="N174" i="1"/>
  <c r="K239" i="1"/>
  <c r="N195" i="24"/>
  <c r="D143" i="24"/>
  <c r="B75" i="1"/>
  <c r="N153" i="24"/>
  <c r="H235" i="1"/>
  <c r="N230" i="1"/>
  <c r="B236" i="1"/>
  <c r="D54" i="24"/>
  <c r="F135" i="1"/>
  <c r="J262" i="24"/>
  <c r="B327" i="24"/>
  <c r="J43" i="24"/>
  <c r="M107" i="1"/>
  <c r="M174" i="1"/>
  <c r="I152" i="1"/>
  <c r="M53" i="1"/>
  <c r="M276" i="24"/>
  <c r="N48" i="24"/>
  <c r="D73" i="1"/>
  <c r="H39" i="24"/>
  <c r="G301" i="24"/>
  <c r="I104" i="24"/>
  <c r="E71" i="24"/>
  <c r="H246" i="24"/>
  <c r="G88" i="24"/>
  <c r="J80" i="1"/>
  <c r="I172" i="24"/>
  <c r="O329" i="1"/>
  <c r="E151" i="24"/>
  <c r="M13" i="24"/>
  <c r="J338" i="1"/>
  <c r="B293" i="1"/>
  <c r="K52" i="1"/>
  <c r="I265" i="1"/>
  <c r="L120" i="1"/>
  <c r="L240" i="24"/>
  <c r="K135" i="24"/>
  <c r="E271" i="1"/>
  <c r="O328" i="24"/>
  <c r="G241" i="1"/>
  <c r="F110" i="1"/>
  <c r="D135" i="1"/>
  <c r="J16" i="24"/>
  <c r="F292" i="24"/>
  <c r="G90" i="24"/>
  <c r="E214" i="1"/>
  <c r="B206" i="1"/>
  <c r="J267" i="1"/>
  <c r="J231" i="24"/>
  <c r="H332" i="1"/>
  <c r="I102" i="24"/>
  <c r="C240" i="1"/>
  <c r="M119" i="1"/>
  <c r="B84" i="1"/>
  <c r="C164" i="24"/>
  <c r="L267" i="1"/>
  <c r="I184" i="24"/>
  <c r="C39" i="24"/>
  <c r="K119" i="24"/>
  <c r="D49" i="1"/>
  <c r="M42" i="1"/>
  <c r="N138" i="24"/>
  <c r="E300" i="24"/>
  <c r="M177" i="1"/>
  <c r="G107" i="1"/>
  <c r="N214" i="24"/>
  <c r="G28" i="1"/>
  <c r="H18" i="1"/>
  <c r="H177" i="24"/>
  <c r="M178" i="1"/>
  <c r="N17" i="1"/>
  <c r="G261" i="1"/>
  <c r="E22" i="24"/>
  <c r="M79" i="24"/>
  <c r="F76" i="1"/>
  <c r="O334" i="1"/>
  <c r="N54" i="1"/>
  <c r="C182" i="24"/>
  <c r="L43" i="1"/>
  <c r="M171" i="1"/>
  <c r="I331" i="24"/>
  <c r="G15" i="1"/>
  <c r="L122" i="1"/>
  <c r="J111" i="1"/>
  <c r="I85" i="1"/>
  <c r="D48" i="1"/>
  <c r="K135" i="1"/>
  <c r="L270" i="24"/>
  <c r="G276" i="24"/>
  <c r="B275" i="24"/>
  <c r="K200" i="24"/>
  <c r="L109" i="1"/>
  <c r="G152" i="24"/>
  <c r="H236" i="24"/>
  <c r="G172" i="24"/>
  <c r="H106" i="1"/>
  <c r="O44" i="24"/>
  <c r="O231" i="24"/>
  <c r="D215" i="24"/>
  <c r="K85" i="1"/>
  <c r="L138" i="24"/>
  <c r="N114" i="1"/>
  <c r="O326" i="1"/>
  <c r="B113" i="24"/>
  <c r="C331" i="1"/>
  <c r="H81" i="24"/>
  <c r="D275" i="24"/>
  <c r="L212" i="24"/>
  <c r="G43" i="24"/>
  <c r="B233" i="1"/>
  <c r="B339" i="1"/>
  <c r="E290" i="1"/>
  <c r="I239" i="24"/>
  <c r="K136" i="24"/>
  <c r="F106" i="24"/>
  <c r="E240" i="1"/>
  <c r="J115" i="1"/>
  <c r="F17" i="1"/>
  <c r="I240" i="1"/>
  <c r="J172" i="24"/>
  <c r="L231" i="24"/>
  <c r="N49" i="24"/>
  <c r="F230" i="24"/>
  <c r="B26" i="1"/>
  <c r="G296" i="24"/>
  <c r="M333" i="24"/>
  <c r="B39" i="1"/>
  <c r="B79" i="1"/>
  <c r="M46" i="1"/>
  <c r="J334" i="24"/>
  <c r="G323" i="1"/>
  <c r="L138" i="1"/>
  <c r="B214" i="1"/>
  <c r="F296" i="24"/>
  <c r="J151" i="1"/>
  <c r="D327" i="24"/>
  <c r="J47" i="1"/>
  <c r="C323" i="24"/>
  <c r="N167" i="1"/>
  <c r="G44" i="24"/>
  <c r="N332" i="24"/>
  <c r="G240" i="1"/>
  <c r="M326" i="1"/>
  <c r="D207" i="1"/>
  <c r="I137" i="24"/>
  <c r="G135" i="24"/>
  <c r="D168" i="1"/>
  <c r="I147" i="1"/>
  <c r="D200" i="1"/>
  <c r="N137" i="1"/>
  <c r="G174" i="1"/>
  <c r="C305" i="1"/>
  <c r="L327" i="24"/>
  <c r="I181" i="1"/>
  <c r="H41" i="1"/>
  <c r="I42" i="24"/>
  <c r="C152" i="24"/>
  <c r="H166" i="1"/>
  <c r="J86" i="24"/>
  <c r="I136" i="24"/>
  <c r="K272" i="24"/>
  <c r="N12" i="24"/>
  <c r="C141" i="24"/>
  <c r="G212" i="24"/>
  <c r="B173" i="1"/>
  <c r="O107" i="24"/>
  <c r="B89" i="1"/>
  <c r="D133" i="1"/>
  <c r="K261" i="1"/>
  <c r="F277" i="1"/>
  <c r="O105" i="1"/>
  <c r="C15" i="24"/>
  <c r="L179" i="24"/>
  <c r="L112" i="1"/>
  <c r="K73" i="24"/>
  <c r="H164" i="1"/>
  <c r="B246" i="24"/>
  <c r="F137" i="24"/>
  <c r="J90" i="24"/>
  <c r="D16" i="1"/>
  <c r="L104" i="1"/>
  <c r="J23" i="1"/>
  <c r="N110" i="24"/>
  <c r="K13" i="24"/>
  <c r="B51" i="1"/>
  <c r="O168" i="24"/>
  <c r="I235" i="24"/>
  <c r="K213" i="1"/>
  <c r="J195" i="24"/>
  <c r="M199" i="24"/>
  <c r="O80" i="24"/>
  <c r="O151" i="24"/>
  <c r="J41" i="24"/>
  <c r="I140" i="1"/>
  <c r="F148" i="1"/>
  <c r="O52" i="1"/>
  <c r="J264" i="24"/>
  <c r="K49" i="1"/>
  <c r="G137" i="1"/>
  <c r="J274" i="24"/>
  <c r="K231" i="24"/>
  <c r="E327" i="24"/>
  <c r="F167" i="1"/>
  <c r="J332" i="24"/>
  <c r="G262" i="24"/>
  <c r="I78" i="1"/>
  <c r="J174" i="1"/>
  <c r="O205" i="24"/>
  <c r="J26" i="24"/>
  <c r="O152" i="1"/>
  <c r="E42" i="24"/>
  <c r="G197" i="24"/>
  <c r="L226" i="24"/>
  <c r="G329" i="24"/>
  <c r="C200" i="1"/>
  <c r="B202" i="1"/>
  <c r="H150" i="1"/>
  <c r="E42" i="1"/>
  <c r="N147" i="1"/>
  <c r="E212" i="1"/>
  <c r="B107" i="24"/>
  <c r="C208" i="24"/>
  <c r="I111" i="1"/>
  <c r="L199" i="1"/>
  <c r="K12" i="24"/>
  <c r="M8" i="24"/>
  <c r="F334" i="24"/>
  <c r="K261" i="24"/>
  <c r="B79" i="24"/>
  <c r="J110" i="1"/>
  <c r="N111" i="1"/>
  <c r="N167" i="24"/>
  <c r="F21" i="24"/>
  <c r="B259" i="24"/>
  <c r="L246" i="24"/>
  <c r="D235" i="1"/>
  <c r="E173" i="1"/>
  <c r="L25" i="1"/>
  <c r="O57" i="24"/>
  <c r="G291" i="1"/>
  <c r="J202" i="24"/>
  <c r="M195" i="1"/>
  <c r="L166" i="1"/>
  <c r="D169" i="1"/>
  <c r="D47" i="24"/>
  <c r="J277" i="24"/>
  <c r="B302" i="1"/>
  <c r="O199" i="1"/>
  <c r="G243" i="1"/>
  <c r="B135" i="1"/>
  <c r="D26" i="24"/>
  <c r="L174" i="24"/>
  <c r="N337" i="1"/>
  <c r="N59" i="24"/>
  <c r="F323" i="1"/>
  <c r="F169" i="1"/>
  <c r="M266" i="24"/>
  <c r="I277" i="24"/>
  <c r="G109" i="24"/>
  <c r="D178" i="1"/>
  <c r="I210" i="1"/>
  <c r="F146" i="1"/>
  <c r="J148" i="24"/>
  <c r="M215" i="1"/>
  <c r="K138" i="24"/>
  <c r="N337" i="24"/>
  <c r="L322" i="1"/>
  <c r="O338" i="1"/>
  <c r="C28" i="1"/>
  <c r="D288" i="1"/>
  <c r="L241" i="24"/>
  <c r="H195" i="1"/>
  <c r="L171" i="24"/>
  <c r="C148" i="1"/>
  <c r="G297" i="24"/>
  <c r="F57" i="1"/>
  <c r="L179" i="1"/>
  <c r="D243" i="24"/>
  <c r="G174" i="24"/>
  <c r="I231" i="24"/>
  <c r="H195" i="24"/>
  <c r="H197" i="1"/>
  <c r="G262" i="1"/>
  <c r="E109" i="1"/>
  <c r="F214" i="1"/>
  <c r="D74" i="24"/>
  <c r="L16" i="1"/>
  <c r="E202" i="1"/>
  <c r="K15" i="1"/>
  <c r="C321" i="24"/>
  <c r="B120" i="24"/>
  <c r="K120" i="1"/>
  <c r="I198" i="24"/>
  <c r="D292" i="24"/>
  <c r="E236" i="24"/>
  <c r="E321" i="24"/>
  <c r="D257" i="1"/>
  <c r="I228" i="1"/>
  <c r="B230" i="1"/>
  <c r="M15" i="24"/>
  <c r="B332" i="24"/>
  <c r="F176" i="1"/>
  <c r="O331" i="24"/>
  <c r="J177" i="1"/>
  <c r="E293" i="1"/>
  <c r="J22" i="1"/>
  <c r="H265" i="24"/>
  <c r="H229" i="24"/>
  <c r="C166" i="1"/>
  <c r="I53" i="24"/>
  <c r="B110" i="1"/>
  <c r="M105" i="24"/>
  <c r="E337" i="1"/>
  <c r="D141" i="24"/>
  <c r="O195" i="24"/>
  <c r="D110" i="24"/>
  <c r="N178" i="1"/>
  <c r="M20" i="1"/>
  <c r="L147" i="24"/>
  <c r="G141" i="1"/>
  <c r="B243" i="1"/>
  <c r="M114" i="24"/>
  <c r="H331" i="24"/>
  <c r="J76" i="24"/>
  <c r="C329" i="1"/>
  <c r="L76" i="24"/>
  <c r="I122" i="24"/>
  <c r="D205" i="1"/>
  <c r="N166" i="24"/>
  <c r="O58" i="1"/>
  <c r="G322" i="1"/>
  <c r="N326" i="1"/>
  <c r="G257" i="24"/>
  <c r="O321" i="1"/>
  <c r="K79" i="1"/>
  <c r="C244" i="24"/>
  <c r="D13" i="1"/>
  <c r="L231" i="1"/>
  <c r="G44" i="1"/>
  <c r="M153" i="24"/>
  <c r="I17" i="1"/>
  <c r="J135" i="24"/>
  <c r="B47" i="1"/>
  <c r="D290" i="1"/>
  <c r="I339" i="1"/>
  <c r="D245" i="1"/>
  <c r="M109" i="1"/>
  <c r="L199" i="24"/>
  <c r="J182" i="24"/>
  <c r="I226" i="24"/>
  <c r="N328" i="1"/>
  <c r="C270" i="1"/>
  <c r="L236" i="1"/>
  <c r="E76" i="1"/>
  <c r="C54" i="1"/>
  <c r="D271" i="1"/>
  <c r="M75" i="24"/>
  <c r="C326" i="24"/>
  <c r="H90" i="1"/>
  <c r="H202" i="1"/>
  <c r="L102" i="1"/>
  <c r="M337" i="1"/>
  <c r="L52" i="24"/>
  <c r="F208" i="1"/>
  <c r="B22" i="24"/>
  <c r="C46" i="24"/>
  <c r="L10" i="1"/>
  <c r="E91" i="24"/>
  <c r="M49" i="1"/>
  <c r="G56" i="24"/>
  <c r="M239" i="24"/>
  <c r="N245" i="24"/>
  <c r="M172" i="24"/>
  <c r="L324" i="1"/>
  <c r="L200" i="1"/>
  <c r="H110" i="24"/>
  <c r="E234" i="24"/>
  <c r="N333" i="1"/>
  <c r="E336" i="24"/>
  <c r="C319" i="24"/>
  <c r="O240" i="1"/>
  <c r="E147" i="1"/>
  <c r="I84" i="1"/>
  <c r="H59" i="1"/>
  <c r="N240" i="1"/>
  <c r="E88" i="1"/>
  <c r="D272" i="1"/>
  <c r="I336" i="24"/>
  <c r="M274" i="24"/>
  <c r="C44" i="1"/>
  <c r="C228" i="1"/>
  <c r="H332" i="24"/>
  <c r="O8" i="24"/>
  <c r="G145" i="24"/>
  <c r="D107" i="1"/>
  <c r="K111" i="24"/>
  <c r="L121" i="1"/>
  <c r="K120" i="24"/>
  <c r="J176" i="24"/>
  <c r="B184" i="24"/>
  <c r="H73" i="1"/>
  <c r="L135" i="1"/>
  <c r="M212" i="1"/>
  <c r="G328" i="24"/>
  <c r="C16" i="24"/>
  <c r="F78" i="24"/>
  <c r="O145" i="24"/>
  <c r="N336" i="24"/>
  <c r="D86" i="1"/>
  <c r="E205" i="1"/>
  <c r="E152" i="1"/>
  <c r="L57" i="1"/>
  <c r="I43" i="1"/>
  <c r="O11" i="24"/>
  <c r="K212" i="1"/>
  <c r="L46" i="24"/>
  <c r="O23" i="1"/>
  <c r="N44" i="24"/>
  <c r="G135" i="1"/>
  <c r="K271" i="1"/>
  <c r="M269" i="1"/>
  <c r="M169" i="1"/>
  <c r="G233" i="24"/>
  <c r="C115" i="1"/>
  <c r="N11" i="24"/>
  <c r="D23" i="1"/>
  <c r="C17" i="1"/>
  <c r="I71" i="1"/>
  <c r="L11" i="24"/>
  <c r="M182" i="24"/>
  <c r="F106" i="1"/>
  <c r="L83" i="24"/>
  <c r="G308" i="1"/>
  <c r="K329" i="24"/>
  <c r="F319" i="1"/>
  <c r="K167" i="24"/>
  <c r="F321" i="1"/>
  <c r="D259" i="1"/>
  <c r="B307" i="24"/>
  <c r="H141" i="1"/>
  <c r="J71" i="1"/>
  <c r="G288" i="24"/>
  <c r="K244" i="1"/>
  <c r="F25" i="1"/>
  <c r="I143" i="24"/>
  <c r="K56" i="1"/>
  <c r="D327" i="1"/>
  <c r="G75" i="1"/>
  <c r="G143" i="1"/>
  <c r="C229" i="1"/>
  <c r="H86" i="1"/>
  <c r="J259" i="24"/>
  <c r="E138" i="24"/>
  <c r="I202" i="24"/>
  <c r="J73" i="24"/>
  <c r="H120" i="24"/>
  <c r="N42" i="1"/>
  <c r="B11" i="24"/>
  <c r="G272" i="1"/>
  <c r="G83" i="24"/>
  <c r="D53" i="1"/>
  <c r="I71" i="24"/>
  <c r="C169" i="1"/>
  <c r="E174" i="1"/>
  <c r="L117" i="24"/>
  <c r="D205" i="24"/>
  <c r="J79" i="1"/>
  <c r="J152" i="1"/>
  <c r="D230" i="1"/>
  <c r="E15" i="1"/>
  <c r="D301" i="1"/>
  <c r="K105" i="24"/>
  <c r="G27" i="1"/>
  <c r="F153" i="24"/>
  <c r="H323" i="24"/>
  <c r="C228" i="24"/>
  <c r="G321" i="1"/>
  <c r="L115" i="1"/>
  <c r="D119" i="24"/>
  <c r="K322" i="24"/>
  <c r="C197" i="24"/>
  <c r="B44" i="1"/>
  <c r="C233" i="1"/>
  <c r="D42" i="24"/>
  <c r="J27" i="24"/>
  <c r="E49" i="1"/>
  <c r="L53" i="24"/>
  <c r="E276" i="1"/>
  <c r="H174" i="1"/>
  <c r="F266" i="24"/>
  <c r="E267" i="24"/>
  <c r="D208" i="1"/>
  <c r="O143" i="24"/>
  <c r="D212" i="1"/>
  <c r="I324" i="1"/>
  <c r="F308" i="24"/>
  <c r="E208" i="1"/>
  <c r="H239" i="24"/>
  <c r="C322" i="1"/>
  <c r="E53" i="1"/>
  <c r="C84" i="1"/>
  <c r="I243" i="24"/>
  <c r="H183" i="1"/>
  <c r="J215" i="24"/>
  <c r="B226" i="24"/>
  <c r="D102" i="1"/>
  <c r="F262" i="24"/>
  <c r="N137" i="24"/>
  <c r="K324" i="24"/>
  <c r="B86" i="24"/>
  <c r="L90" i="1"/>
  <c r="B295" i="24"/>
  <c r="J272" i="1"/>
  <c r="L337" i="1"/>
  <c r="J226" i="24"/>
  <c r="N179" i="24"/>
  <c r="L177" i="24"/>
  <c r="J53" i="24"/>
  <c r="M107" i="24"/>
  <c r="J275" i="24"/>
  <c r="I13" i="24"/>
  <c r="L176" i="1"/>
  <c r="K88" i="24"/>
  <c r="C238" i="1"/>
  <c r="D117" i="1"/>
  <c r="G15" i="24"/>
  <c r="O198" i="24"/>
  <c r="C269" i="24"/>
  <c r="G140" i="1"/>
  <c r="F168" i="1"/>
  <c r="C47" i="1"/>
  <c r="B177" i="1"/>
  <c r="B328" i="24"/>
  <c r="K91" i="24"/>
  <c r="N10" i="1"/>
  <c r="H257" i="24"/>
  <c r="E295" i="1"/>
  <c r="G119" i="1"/>
  <c r="E11" i="24"/>
  <c r="C47" i="24"/>
  <c r="O78" i="1"/>
  <c r="H240" i="1"/>
  <c r="D27" i="1"/>
  <c r="C79" i="24"/>
  <c r="M339" i="24"/>
  <c r="N102" i="24"/>
  <c r="H17" i="1"/>
  <c r="D302" i="24"/>
  <c r="N117" i="24"/>
  <c r="L49" i="24"/>
  <c r="F236" i="24"/>
  <c r="D152" i="24"/>
  <c r="H270" i="24"/>
  <c r="E238" i="1"/>
  <c r="H102" i="24"/>
  <c r="I112" i="1"/>
  <c r="K233" i="24"/>
  <c r="B42" i="1"/>
  <c r="C18" i="1"/>
  <c r="I53" i="1"/>
  <c r="K86" i="1"/>
  <c r="B274" i="1"/>
  <c r="E181" i="1"/>
  <c r="L168" i="24"/>
  <c r="G74" i="1"/>
  <c r="E119" i="1"/>
  <c r="B15" i="24"/>
  <c r="G337" i="1"/>
  <c r="C328" i="1"/>
  <c r="F198" i="24"/>
  <c r="O47" i="1"/>
  <c r="E114" i="24"/>
  <c r="F276" i="24"/>
  <c r="C246" i="1"/>
  <c r="F166" i="1"/>
  <c r="K109" i="24"/>
  <c r="I25" i="1"/>
  <c r="N83" i="1"/>
  <c r="H329" i="24"/>
  <c r="C41" i="1"/>
  <c r="B236" i="24"/>
  <c r="J214" i="24"/>
  <c r="F120" i="1"/>
  <c r="K271" i="24"/>
  <c r="O74" i="1"/>
  <c r="C107" i="24"/>
  <c r="C120" i="24"/>
  <c r="I164" i="24"/>
  <c r="F241" i="1"/>
  <c r="M18" i="24"/>
  <c r="K166" i="1"/>
  <c r="O148" i="24"/>
  <c r="E146" i="1"/>
  <c r="B230" i="24"/>
  <c r="O12" i="24"/>
  <c r="F298" i="1"/>
  <c r="J334" i="1"/>
  <c r="L198" i="24"/>
  <c r="G333" i="1"/>
  <c r="L107" i="24"/>
  <c r="O205" i="1"/>
  <c r="D138" i="24"/>
  <c r="H269" i="24"/>
  <c r="F301" i="24"/>
  <c r="M272" i="1"/>
  <c r="C202" i="24"/>
  <c r="C202" i="1"/>
  <c r="G114" i="24"/>
  <c r="N214" i="1"/>
  <c r="D166" i="24"/>
  <c r="I321" i="24"/>
  <c r="M52" i="24"/>
  <c r="F267" i="1"/>
  <c r="D181" i="24"/>
  <c r="B133" i="24"/>
  <c r="G8" i="1"/>
  <c r="I11" i="1"/>
  <c r="O323" i="24"/>
  <c r="F215" i="1"/>
  <c r="E120" i="1"/>
  <c r="L329" i="24"/>
  <c r="H81" i="1"/>
  <c r="K264" i="24"/>
  <c r="B265" i="24"/>
  <c r="C321" i="1"/>
  <c r="J246" i="24"/>
  <c r="H178" i="1"/>
  <c r="I120" i="24"/>
  <c r="I15" i="24"/>
  <c r="M178" i="24"/>
  <c r="G11" i="24"/>
  <c r="L269" i="24"/>
  <c r="F333" i="1"/>
  <c r="I120" i="1"/>
  <c r="O246" i="1"/>
  <c r="B277" i="1"/>
  <c r="D199" i="24"/>
  <c r="I25" i="24"/>
  <c r="I338" i="1"/>
  <c r="H240" i="24"/>
  <c r="I179" i="24"/>
  <c r="G305" i="1"/>
  <c r="B321" i="1"/>
  <c r="D145" i="1"/>
  <c r="N164" i="24"/>
  <c r="E83" i="1"/>
  <c r="C91" i="1"/>
  <c r="D83" i="1"/>
  <c r="J137" i="1"/>
  <c r="H26" i="1"/>
  <c r="O81" i="1"/>
  <c r="E46" i="24"/>
  <c r="K115" i="24"/>
  <c r="M182" i="1"/>
  <c r="G168" i="1"/>
  <c r="F10" i="1"/>
  <c r="J17" i="24"/>
  <c r="N141" i="1"/>
  <c r="C16" i="1"/>
  <c r="D137" i="1"/>
  <c r="E47" i="1"/>
  <c r="H56" i="24"/>
  <c r="D88" i="1"/>
  <c r="J8" i="1"/>
  <c r="B53" i="24"/>
  <c r="J260" i="24"/>
  <c r="B215" i="1"/>
  <c r="N182" i="24"/>
  <c r="B87" i="1"/>
  <c r="J15" i="1"/>
  <c r="O322" i="24"/>
  <c r="J115" i="24"/>
  <c r="G140" i="24"/>
  <c r="N246" i="24"/>
  <c r="I269" i="24"/>
  <c r="I208" i="1"/>
  <c r="D336" i="1"/>
  <c r="D208" i="24"/>
  <c r="E57" i="24"/>
  <c r="G295" i="1"/>
  <c r="K74" i="24"/>
  <c r="M115" i="24"/>
  <c r="H10" i="1"/>
  <c r="E267" i="1"/>
  <c r="M88" i="1"/>
  <c r="N324" i="24"/>
  <c r="G152" i="1"/>
  <c r="N8" i="24"/>
  <c r="K27" i="24"/>
  <c r="J114" i="24"/>
  <c r="L104" i="24"/>
  <c r="F296" i="1"/>
  <c r="I59" i="24"/>
  <c r="I177" i="1"/>
  <c r="M262" i="24"/>
  <c r="N112" i="1"/>
  <c r="D51" i="24"/>
  <c r="M183" i="1"/>
  <c r="E89" i="1"/>
  <c r="E43" i="24"/>
  <c r="M152" i="24"/>
  <c r="L274" i="1"/>
  <c r="K8" i="1"/>
  <c r="H58" i="24"/>
  <c r="H234" i="1"/>
  <c r="J85" i="24"/>
  <c r="H210" i="1"/>
  <c r="I150" i="1"/>
  <c r="K102" i="24"/>
  <c r="E178" i="24"/>
  <c r="N22" i="1"/>
  <c r="C86" i="24"/>
  <c r="J12" i="1"/>
  <c r="F174" i="24"/>
  <c r="E209" i="24"/>
  <c r="H229" i="1"/>
  <c r="B168" i="24"/>
  <c r="J166" i="24"/>
  <c r="J233" i="24"/>
  <c r="C230" i="24"/>
  <c r="M246" i="24"/>
  <c r="D203" i="1"/>
  <c r="C135" i="24"/>
  <c r="D293" i="24"/>
  <c r="B321" i="24"/>
  <c r="E41" i="24"/>
  <c r="K197" i="1"/>
  <c r="D135" i="24"/>
  <c r="G16" i="1"/>
  <c r="K83" i="24"/>
  <c r="O54" i="1"/>
  <c r="D244" i="1"/>
  <c r="D326" i="1"/>
  <c r="M337" i="24"/>
  <c r="M58" i="1"/>
  <c r="G243" i="24"/>
  <c r="M229" i="24"/>
  <c r="D179" i="24"/>
  <c r="K172" i="24"/>
  <c r="J119" i="24"/>
  <c r="G22" i="24"/>
  <c r="L267" i="24"/>
  <c r="L210" i="24"/>
  <c r="H152" i="24"/>
  <c r="I270" i="1"/>
  <c r="E298" i="24"/>
  <c r="E137" i="24"/>
  <c r="E213" i="1"/>
  <c r="I111" i="24"/>
  <c r="G274" i="24"/>
  <c r="C20" i="24"/>
  <c r="O26" i="24"/>
  <c r="G290" i="1"/>
  <c r="B73" i="24"/>
  <c r="H138" i="1"/>
  <c r="J260" i="1"/>
  <c r="H339" i="24"/>
  <c r="H44" i="24"/>
  <c r="M235" i="24"/>
  <c r="F334" i="1"/>
  <c r="I11" i="24"/>
  <c r="J57" i="1"/>
  <c r="G105" i="24"/>
  <c r="G264" i="1"/>
  <c r="B239" i="1"/>
  <c r="H83" i="1"/>
  <c r="J48" i="1"/>
  <c r="H46" i="24"/>
  <c r="J10" i="1"/>
  <c r="H147" i="1"/>
  <c r="F236" i="1"/>
  <c r="O172" i="1"/>
  <c r="G54" i="24"/>
  <c r="M174" i="24"/>
  <c r="E292" i="1"/>
  <c r="D333" i="1"/>
  <c r="I23" i="24"/>
  <c r="N84" i="1"/>
  <c r="O226" i="1"/>
  <c r="B288" i="1"/>
  <c r="C264" i="1"/>
  <c r="I114" i="24"/>
  <c r="G195" i="1"/>
  <c r="L271" i="1"/>
  <c r="B308" i="24"/>
  <c r="J173" i="24"/>
  <c r="C178" i="24"/>
  <c r="E229" i="1"/>
  <c r="L275" i="24"/>
  <c r="N21" i="1"/>
  <c r="K241" i="1"/>
  <c r="K270" i="1"/>
  <c r="I116" i="1"/>
  <c r="K114" i="24"/>
  <c r="J145" i="24"/>
  <c r="L84" i="24"/>
  <c r="G183" i="1"/>
  <c r="I267" i="24"/>
  <c r="H275" i="24"/>
  <c r="E209" i="1"/>
  <c r="M80" i="1"/>
  <c r="L214" i="24"/>
  <c r="H112" i="24"/>
  <c r="H8" i="1"/>
  <c r="D167" i="24"/>
  <c r="L21" i="24"/>
  <c r="N81" i="24"/>
  <c r="N207" i="24"/>
  <c r="H334" i="1"/>
  <c r="N15" i="1"/>
  <c r="B270" i="24"/>
  <c r="H173" i="1"/>
  <c r="J229" i="24"/>
  <c r="N71" i="24"/>
  <c r="H21" i="1"/>
  <c r="B171" i="1"/>
  <c r="D302" i="1"/>
  <c r="D20" i="24"/>
  <c r="B207" i="24"/>
  <c r="E204" i="24"/>
  <c r="D164" i="24"/>
  <c r="K138" i="1"/>
  <c r="J102" i="24"/>
  <c r="B212" i="24"/>
  <c r="F184" i="24"/>
  <c r="L8" i="1"/>
  <c r="O74" i="24"/>
  <c r="E207" i="1"/>
  <c r="B209" i="24"/>
  <c r="G288" i="1"/>
  <c r="K171" i="24"/>
  <c r="J230" i="24"/>
  <c r="G199" i="1"/>
  <c r="E214" i="24"/>
  <c r="L264" i="24"/>
  <c r="E324" i="1"/>
  <c r="J228" i="24"/>
  <c r="E297" i="24"/>
  <c r="G102" i="24"/>
  <c r="G42" i="24"/>
  <c r="E301" i="1"/>
  <c r="F277" i="24"/>
  <c r="K323" i="1"/>
  <c r="O104" i="24"/>
  <c r="E143" i="24"/>
  <c r="B228" i="1"/>
  <c r="B111" i="24"/>
  <c r="J76" i="1"/>
  <c r="M59" i="24"/>
  <c r="L328" i="24"/>
  <c r="B329" i="24"/>
  <c r="F240" i="24"/>
  <c r="E305" i="1"/>
  <c r="F328" i="1"/>
  <c r="B118" i="24"/>
  <c r="B202" i="24"/>
  <c r="C11" i="1"/>
  <c r="B48" i="1"/>
  <c r="H337" i="24"/>
  <c r="O51" i="24"/>
  <c r="B195" i="1"/>
  <c r="M238" i="1"/>
  <c r="F56" i="1"/>
  <c r="G104" i="24"/>
  <c r="L119" i="24"/>
  <c r="D26" i="1"/>
  <c r="C262" i="24"/>
  <c r="H260" i="24"/>
  <c r="C269" i="1"/>
  <c r="F8" i="1"/>
  <c r="N319" i="1"/>
  <c r="C116" i="1"/>
  <c r="J122" i="24"/>
  <c r="L117" i="1"/>
  <c r="B145" i="1"/>
  <c r="F274" i="24"/>
  <c r="K84" i="24"/>
  <c r="B87" i="24"/>
  <c r="D22" i="1"/>
  <c r="I121" i="24"/>
  <c r="H105" i="24"/>
  <c r="I54" i="1"/>
  <c r="B116" i="24"/>
  <c r="B179" i="24"/>
  <c r="M137" i="1"/>
  <c r="K236" i="1"/>
  <c r="I28" i="24"/>
  <c r="K110" i="1"/>
  <c r="J78" i="24"/>
  <c r="O243" i="24"/>
  <c r="K54" i="24"/>
  <c r="D339" i="1"/>
  <c r="O166" i="1"/>
  <c r="D262" i="1"/>
  <c r="H25" i="24"/>
  <c r="D44" i="24"/>
  <c r="D326" i="24"/>
  <c r="D238" i="1"/>
  <c r="I141" i="1"/>
  <c r="H208" i="24"/>
  <c r="F83" i="1"/>
  <c r="O324" i="1"/>
  <c r="L122" i="24"/>
  <c r="H114" i="24"/>
  <c r="E23" i="24"/>
  <c r="B144" i="1"/>
  <c r="E12" i="24"/>
  <c r="K230" i="24"/>
  <c r="H336" i="24"/>
  <c r="M73" i="1"/>
  <c r="N119" i="24"/>
  <c r="D264" i="24"/>
  <c r="E332" i="24"/>
  <c r="L141" i="24"/>
  <c r="F10" i="24"/>
  <c r="E120" i="24"/>
  <c r="O79" i="1"/>
  <c r="I167" i="24"/>
  <c r="L78" i="24"/>
  <c r="M184" i="24"/>
  <c r="B305" i="24"/>
  <c r="J44" i="24"/>
  <c r="L105" i="24"/>
  <c r="H146" i="1"/>
  <c r="K76" i="1"/>
  <c r="M168" i="24"/>
  <c r="O146" i="24"/>
  <c r="P321" i="1" l="1"/>
  <c r="P48" i="1"/>
  <c r="P105" i="24"/>
  <c r="P246" i="1"/>
  <c r="P21" i="24"/>
  <c r="S271" i="1"/>
  <c r="P323" i="1"/>
  <c r="P183" i="24"/>
  <c r="P195" i="1"/>
  <c r="P10" i="1"/>
  <c r="P78" i="24"/>
  <c r="P75" i="1"/>
  <c r="P178" i="24"/>
  <c r="P167" i="1"/>
  <c r="P230" i="1"/>
  <c r="P15" i="24"/>
  <c r="P144" i="1"/>
  <c r="Q264" i="1"/>
  <c r="P120" i="1"/>
  <c r="P43" i="1"/>
  <c r="S305" i="1"/>
  <c r="P104" i="1"/>
  <c r="P323" i="24"/>
  <c r="P27" i="24"/>
  <c r="Q270" i="1"/>
  <c r="P213" i="1"/>
  <c r="P18" i="24"/>
  <c r="P73" i="24"/>
  <c r="P74" i="1"/>
  <c r="P328" i="1"/>
  <c r="P47" i="1"/>
  <c r="P133" i="1"/>
  <c r="S261" i="1"/>
  <c r="P117" i="1"/>
  <c r="P198" i="24"/>
  <c r="S298" i="1"/>
  <c r="P54" i="24"/>
  <c r="P76" i="1"/>
  <c r="P115" i="1"/>
  <c r="S267" i="1"/>
  <c r="P79" i="24"/>
  <c r="P152" i="24"/>
  <c r="P338" i="1"/>
  <c r="P207" i="24"/>
  <c r="P142" i="24"/>
  <c r="P85" i="1"/>
  <c r="P47" i="24"/>
  <c r="S270" i="1"/>
  <c r="P71" i="24"/>
  <c r="P42" i="1"/>
  <c r="Q295" i="1"/>
  <c r="P321" i="24"/>
  <c r="Q257" i="1"/>
  <c r="P44" i="1"/>
  <c r="P173" i="1"/>
  <c r="P140" i="24"/>
  <c r="P136" i="1"/>
  <c r="P153" i="1"/>
  <c r="P53" i="24"/>
  <c r="S292" i="1"/>
  <c r="S307" i="1"/>
  <c r="P78" i="1"/>
  <c r="P133" i="24"/>
  <c r="P153" i="24"/>
  <c r="P152" i="1"/>
  <c r="Q259" i="1"/>
  <c r="P147" i="24"/>
  <c r="P213" i="24"/>
  <c r="P200" i="1"/>
  <c r="P324" i="24"/>
  <c r="P117" i="24"/>
  <c r="P228" i="24"/>
  <c r="Q260" i="1"/>
  <c r="P202" i="1"/>
  <c r="P12" i="1"/>
  <c r="P81" i="1"/>
  <c r="P208" i="1"/>
  <c r="Q293" i="1"/>
  <c r="P88" i="1"/>
  <c r="P22" i="24"/>
  <c r="P179" i="1"/>
  <c r="P166" i="1"/>
  <c r="P171" i="1"/>
  <c r="S301" i="1"/>
  <c r="P89" i="1"/>
  <c r="P22" i="1"/>
  <c r="Q276" i="1"/>
  <c r="P229" i="24"/>
  <c r="S275" i="1"/>
  <c r="P107" i="24"/>
  <c r="P148" i="1"/>
  <c r="S288" i="1"/>
  <c r="P210" i="1"/>
  <c r="P105" i="1"/>
  <c r="P122" i="24"/>
  <c r="P53" i="1"/>
  <c r="Q297" i="1"/>
  <c r="P135" i="1"/>
  <c r="P205" i="24"/>
  <c r="P75" i="24"/>
  <c r="P206" i="1"/>
  <c r="P141" i="24"/>
  <c r="P20" i="24"/>
  <c r="P181" i="24"/>
  <c r="P336" i="1"/>
  <c r="Q303" i="1"/>
  <c r="P326" i="24"/>
  <c r="P83" i="1"/>
  <c r="P25" i="1"/>
  <c r="P182" i="1"/>
  <c r="Q308" i="1"/>
  <c r="P23" i="24"/>
  <c r="P118" i="1"/>
  <c r="P90" i="1"/>
  <c r="Q305" i="1"/>
  <c r="Q302" i="1"/>
  <c r="P195" i="24"/>
  <c r="P172" i="1"/>
  <c r="S308" i="1"/>
  <c r="Q267" i="1"/>
  <c r="R267" i="1" s="1"/>
  <c r="P112" i="1"/>
  <c r="P27" i="1"/>
  <c r="P332" i="24"/>
  <c r="P334" i="1"/>
  <c r="P234" i="24"/>
  <c r="P56" i="1"/>
  <c r="P198" i="1"/>
  <c r="P199" i="24"/>
  <c r="P240" i="1"/>
  <c r="S266" i="1"/>
  <c r="P28" i="24"/>
  <c r="Q262" i="1"/>
  <c r="Q261" i="1"/>
  <c r="P233" i="24"/>
  <c r="P239" i="24"/>
  <c r="P212" i="24"/>
  <c r="Q301" i="1"/>
  <c r="P111" i="1"/>
  <c r="P168" i="1"/>
  <c r="P174" i="1"/>
  <c r="P329" i="1"/>
  <c r="P228" i="1"/>
  <c r="P209" i="1"/>
  <c r="P104" i="24"/>
  <c r="P175" i="24"/>
  <c r="P241" i="24"/>
  <c r="P238" i="1"/>
  <c r="S260" i="1"/>
  <c r="S259" i="1"/>
  <c r="P336" i="24"/>
  <c r="P11" i="24"/>
  <c r="P327" i="1"/>
  <c r="P10" i="24"/>
  <c r="P51" i="1"/>
  <c r="P151" i="24"/>
  <c r="P205" i="1"/>
  <c r="P182" i="24"/>
  <c r="Q298" i="1"/>
  <c r="P39" i="24"/>
  <c r="S297" i="1"/>
  <c r="P84" i="1"/>
  <c r="P144" i="24"/>
  <c r="P52" i="1"/>
  <c r="P46" i="24"/>
  <c r="P235" i="24"/>
  <c r="Q274" i="1"/>
  <c r="P110" i="24"/>
  <c r="P169" i="24"/>
  <c r="S269" i="1"/>
  <c r="P42" i="24"/>
  <c r="P178" i="1"/>
  <c r="P234" i="1"/>
  <c r="P119" i="1"/>
  <c r="P142" i="1"/>
  <c r="P338" i="24"/>
  <c r="P177" i="1"/>
  <c r="P21" i="1"/>
  <c r="P138" i="1"/>
  <c r="P337" i="1"/>
  <c r="P56" i="24"/>
  <c r="P146" i="24"/>
  <c r="P179" i="24"/>
  <c r="P85" i="24"/>
  <c r="P214" i="1"/>
  <c r="P245" i="24"/>
  <c r="P20" i="1"/>
  <c r="P143" i="1"/>
  <c r="P243" i="1"/>
  <c r="P328" i="24"/>
  <c r="P204" i="1"/>
  <c r="P83" i="24"/>
  <c r="P210" i="24"/>
  <c r="P246" i="24"/>
  <c r="P241" i="1"/>
  <c r="P44" i="24"/>
  <c r="P339" i="1"/>
  <c r="Q291" i="1"/>
  <c r="S291" i="1"/>
  <c r="P176" i="24"/>
  <c r="P39" i="1"/>
  <c r="Q39" i="1" s="1"/>
  <c r="P164" i="1"/>
  <c r="P90" i="24"/>
  <c r="Q306" i="1"/>
  <c r="Q265" i="1"/>
  <c r="P184" i="1"/>
  <c r="P145" i="24"/>
  <c r="P175" i="1"/>
  <c r="P333" i="1"/>
  <c r="P114" i="1"/>
  <c r="P229" i="1"/>
  <c r="S265" i="1"/>
  <c r="S295" i="1"/>
  <c r="P239" i="1"/>
  <c r="P140" i="1"/>
  <c r="P327" i="24"/>
  <c r="P226" i="24"/>
  <c r="P81" i="24"/>
  <c r="P172" i="24"/>
  <c r="P80" i="24"/>
  <c r="P86" i="1"/>
  <c r="P207" i="1"/>
  <c r="P28" i="1"/>
  <c r="P214" i="24"/>
  <c r="P121" i="24"/>
  <c r="P147" i="1"/>
  <c r="P114" i="24"/>
  <c r="P122" i="1"/>
  <c r="P109" i="24"/>
  <c r="P337" i="24"/>
  <c r="P8" i="1"/>
  <c r="S262" i="1"/>
  <c r="P106" i="24"/>
  <c r="P206" i="24"/>
  <c r="P137" i="1"/>
  <c r="P58" i="24"/>
  <c r="P17" i="24"/>
  <c r="P23" i="1"/>
  <c r="P13" i="24"/>
  <c r="P116" i="1"/>
  <c r="P174" i="24"/>
  <c r="S257" i="1"/>
  <c r="S290" i="1"/>
  <c r="P326" i="1"/>
  <c r="P238" i="24"/>
  <c r="P324" i="1"/>
  <c r="P331" i="1"/>
  <c r="P109" i="1"/>
  <c r="P212" i="1"/>
  <c r="P26" i="1"/>
  <c r="P106" i="1"/>
  <c r="P166" i="24"/>
  <c r="P84" i="24"/>
  <c r="Q272" i="1"/>
  <c r="P58" i="1"/>
  <c r="P91" i="1"/>
  <c r="P322" i="1"/>
  <c r="P197" i="1"/>
  <c r="P215" i="24"/>
  <c r="Q300" i="1"/>
  <c r="Q296" i="1"/>
  <c r="P204" i="24"/>
  <c r="P148" i="24"/>
  <c r="P240" i="24"/>
  <c r="P245" i="1"/>
  <c r="S276" i="1"/>
  <c r="P150" i="24"/>
  <c r="P208" i="24"/>
  <c r="P243" i="24"/>
  <c r="P79" i="1"/>
  <c r="P48" i="24"/>
  <c r="P41" i="1"/>
  <c r="P184" i="24"/>
  <c r="P89" i="24"/>
  <c r="P319" i="1"/>
  <c r="P168" i="24"/>
  <c r="P202" i="24"/>
  <c r="P120" i="24"/>
  <c r="P143" i="24"/>
  <c r="P181" i="1"/>
  <c r="Q292" i="1"/>
  <c r="P177" i="24"/>
  <c r="P209" i="24"/>
  <c r="P244" i="24"/>
  <c r="P8" i="24"/>
  <c r="S303" i="1"/>
  <c r="P102" i="24"/>
  <c r="P215" i="1"/>
  <c r="Q307" i="1"/>
  <c r="S272" i="1"/>
  <c r="P111" i="24"/>
  <c r="S300" i="1"/>
  <c r="Q288" i="1"/>
  <c r="R288" i="1" s="1"/>
  <c r="P233" i="1"/>
  <c r="S293" i="1"/>
  <c r="Q269" i="1"/>
  <c r="P146" i="1"/>
  <c r="P43" i="24"/>
  <c r="P59" i="24"/>
  <c r="P322" i="24"/>
  <c r="P236" i="1"/>
  <c r="P88" i="24"/>
  <c r="P57" i="1"/>
  <c r="P167" i="24"/>
  <c r="P331" i="24"/>
  <c r="P183" i="1"/>
  <c r="S264" i="1"/>
  <c r="P17" i="1"/>
  <c r="P15" i="1"/>
  <c r="P136" i="24"/>
  <c r="P76" i="24"/>
  <c r="P235" i="1"/>
  <c r="P200" i="24"/>
  <c r="P176" i="1"/>
  <c r="P112" i="24"/>
  <c r="S296" i="1"/>
  <c r="P11" i="1"/>
  <c r="P80" i="1"/>
  <c r="P203" i="1"/>
  <c r="P230" i="24"/>
  <c r="P49" i="1"/>
  <c r="Q290" i="1"/>
  <c r="P73" i="1"/>
  <c r="P339" i="24"/>
  <c r="P16" i="24"/>
  <c r="S277" i="1"/>
  <c r="P86" i="24"/>
  <c r="P169" i="1"/>
  <c r="P231" i="24"/>
  <c r="P57" i="24"/>
  <c r="P12" i="24"/>
  <c r="P329" i="24"/>
  <c r="P25" i="24"/>
  <c r="P138" i="24"/>
  <c r="P199" i="1"/>
  <c r="P135" i="24"/>
  <c r="P107" i="1"/>
  <c r="P102" i="1"/>
  <c r="P119" i="24"/>
  <c r="P137" i="24"/>
  <c r="P197" i="24"/>
  <c r="P333" i="24"/>
  <c r="P71" i="1"/>
  <c r="P54" i="1"/>
  <c r="P13" i="1"/>
  <c r="P59" i="1"/>
  <c r="P319" i="24"/>
  <c r="P18" i="1"/>
  <c r="P332" i="1"/>
  <c r="Q275" i="1"/>
  <c r="P171" i="24"/>
  <c r="P203" i="24"/>
  <c r="S306" i="1"/>
  <c r="P51" i="24"/>
  <c r="P74" i="24"/>
  <c r="P49" i="24"/>
  <c r="P116" i="24"/>
  <c r="S274" i="1"/>
  <c r="P164" i="24"/>
  <c r="P150" i="1"/>
  <c r="P173" i="24"/>
  <c r="Q271" i="1"/>
  <c r="P145" i="1"/>
  <c r="P118" i="24"/>
  <c r="P141" i="1"/>
  <c r="P121" i="1"/>
  <c r="P16" i="1"/>
  <c r="P231" i="1"/>
  <c r="Q266" i="1"/>
  <c r="P52" i="24"/>
  <c r="P244" i="1"/>
  <c r="P110" i="1"/>
  <c r="P151" i="1"/>
  <c r="Q277" i="1"/>
  <c r="R277" i="1" s="1"/>
  <c r="P236" i="24"/>
  <c r="P334" i="24"/>
  <c r="P91" i="24"/>
  <c r="P226" i="1"/>
  <c r="P26" i="24"/>
  <c r="P41" i="24"/>
  <c r="P115" i="24"/>
  <c r="P46" i="1"/>
  <c r="S302" i="1"/>
  <c r="Q59" i="1" l="1"/>
  <c r="R290" i="1"/>
  <c r="R266" i="1"/>
  <c r="Q42" i="1"/>
  <c r="R265" i="1"/>
  <c r="R306" i="1"/>
  <c r="Q52" i="1"/>
  <c r="R303" i="1"/>
  <c r="R259" i="1"/>
  <c r="Q58" i="1"/>
  <c r="Q44" i="1"/>
  <c r="R300" i="1"/>
  <c r="Q49" i="1"/>
  <c r="Q53" i="1"/>
  <c r="Q51" i="1"/>
  <c r="R293" i="1"/>
  <c r="R292" i="1"/>
  <c r="Q41" i="1"/>
  <c r="R308" i="1"/>
  <c r="Q47" i="1"/>
  <c r="R296" i="1"/>
  <c r="R295" i="1"/>
  <c r="R298" i="1"/>
  <c r="R271" i="1"/>
  <c r="Q46" i="1"/>
  <c r="R274" i="1"/>
  <c r="R291" i="1"/>
  <c r="Q54" i="1"/>
  <c r="R305" i="1"/>
  <c r="R262" i="1"/>
  <c r="R302" i="1"/>
  <c r="Q48" i="1"/>
  <c r="R276" i="1"/>
  <c r="R269" i="1"/>
  <c r="R301" i="1"/>
  <c r="R297" i="1"/>
  <c r="R270" i="1"/>
  <c r="R275" i="1"/>
  <c r="R261" i="1"/>
  <c r="R257" i="1"/>
  <c r="R260" i="1"/>
  <c r="Q43" i="1"/>
  <c r="R272" i="1"/>
  <c r="R307" i="1"/>
  <c r="R264" i="1"/>
  <c r="Q57" i="1"/>
  <c r="Q56" i="1"/>
</calcChain>
</file>

<file path=xl/comments1.xml><?xml version="1.0" encoding="utf-8"?>
<comments xmlns="http://schemas.openxmlformats.org/spreadsheetml/2006/main">
  <authors>
    <author>jmarks</author>
  </authors>
  <commentLis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2.xml><?xml version="1.0" encoding="utf-8"?>
<comments xmlns="http://schemas.openxmlformats.org/spreadsheetml/2006/main">
  <authors>
    <author>Rick Jenkins</author>
    <author>doeadmin</author>
    <author>Board of Regents</author>
    <author>mevilsiz</author>
    <author>Jeannie Reed</author>
  </authors>
  <commentList>
    <comment ref="FI54" authorId="0">
      <text>
        <r>
          <rPr>
            <b/>
            <sz val="9"/>
            <color indexed="81"/>
            <rFont val="Tahoma"/>
            <family val="2"/>
          </rPr>
          <t>Rick Jenkins:</t>
        </r>
        <r>
          <rPr>
            <sz val="9"/>
            <color indexed="81"/>
            <rFont val="Tahoma"/>
            <family val="2"/>
          </rPr>
          <t xml:space="preserve">
re-classification of physical therapy program</t>
        </r>
      </text>
    </comment>
    <comment ref="FH96" authorId="1">
      <text>
        <r>
          <rPr>
            <b/>
            <sz val="9"/>
            <color indexed="81"/>
            <rFont val="Tahoma"/>
            <family val="2"/>
          </rPr>
          <t>doeadmin:</t>
        </r>
        <r>
          <rPr>
            <sz val="9"/>
            <color indexed="81"/>
            <rFont val="Tahoma"/>
            <family val="2"/>
          </rPr>
          <t xml:space="preserve">
They did not have any in the prior year.  Mix up with FGCU.</t>
        </r>
      </text>
    </comment>
    <comment ref="FH97" authorId="1">
      <text>
        <r>
          <rPr>
            <b/>
            <sz val="9"/>
            <color indexed="81"/>
            <rFont val="Tahoma"/>
            <family val="2"/>
          </rPr>
          <t>doeadmin:</t>
        </r>
        <r>
          <rPr>
            <sz val="9"/>
            <color indexed="81"/>
            <rFont val="Tahoma"/>
            <family val="2"/>
          </rPr>
          <t xml:space="preserve">
They did have 19 in the prior year.</t>
        </r>
      </text>
    </comment>
    <comment ref="F157" authorId="2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Georgia Aviation Institute merged with Middle Georgia College in FY08 which might explain the increase in the number of certificates awarded.</t>
        </r>
      </text>
    </comment>
    <comment ref="B210" authorId="3">
      <text>
        <r>
          <rPr>
            <b/>
            <sz val="8"/>
            <color indexed="81"/>
            <rFont val="Tahoma"/>
            <family val="2"/>
          </rPr>
          <t>mevilsiz:</t>
        </r>
        <r>
          <rPr>
            <sz val="8"/>
            <color indexed="81"/>
            <rFont val="Tahoma"/>
            <family val="2"/>
          </rPr>
          <t xml:space="preserve">
Formerly Bowling Green Technical College</t>
        </r>
      </text>
    </comment>
    <comment ref="FI682" authorId="4">
      <text>
        <r>
          <rPr>
            <b/>
            <sz val="9"/>
            <color indexed="81"/>
            <rFont val="Tahoma"/>
            <family val="2"/>
          </rPr>
          <t>Jeannie Reed:</t>
        </r>
        <r>
          <rPr>
            <sz val="9"/>
            <color indexed="81"/>
            <rFont val="Tahoma"/>
            <family val="2"/>
          </rPr>
          <t xml:space="preserve">
Includes:  Education, Instructional Design &amp; Technology, Audiology, Physical Therapy, &amp; Nursing</t>
        </r>
      </text>
    </comment>
    <comment ref="FI683" authorId="4">
      <text>
        <r>
          <rPr>
            <b/>
            <sz val="9"/>
            <color indexed="81"/>
            <rFont val="Tahoma"/>
            <family val="2"/>
          </rPr>
          <t>Jeannie Reed:</t>
        </r>
        <r>
          <rPr>
            <sz val="9"/>
            <color indexed="81"/>
            <rFont val="Tahoma"/>
            <family val="2"/>
          </rPr>
          <t xml:space="preserve">
Includes:  Psychology &amp; Nurse Anesthesia</t>
        </r>
      </text>
    </comment>
  </commentList>
</comments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<sst xmlns="http://schemas.openxmlformats.org/spreadsheetml/2006/main" count="4722" uniqueCount="1294">
  <si>
    <t>AL</t>
  </si>
  <si>
    <t>Notes:   The "Certificates" category includes less than two-year and two- but less than four-year certificates.</t>
  </si>
  <si>
    <t>CIP</t>
  </si>
  <si>
    <t>"NI" indicates not identified in state level databases.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</si>
  <si>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</si>
  <si>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</si>
  <si>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</si>
  <si>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</si>
  <si>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</si>
  <si>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</si>
  <si>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</si>
  <si>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</si>
  <si>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</si>
  <si>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</si>
  <si>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</si>
  <si>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</si>
  <si>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</si>
  <si>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</si>
  <si>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</si>
  <si>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</si>
  <si>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</si>
  <si>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</si>
  <si>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</si>
  <si>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</si>
  <si>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Other</t>
  </si>
  <si>
    <t>Degrees</t>
  </si>
  <si>
    <t>Ed Spec and</t>
  </si>
  <si>
    <t>Post-Master's &amp;</t>
  </si>
  <si>
    <t>Major</t>
  </si>
  <si>
    <t>Cour-</t>
  </si>
  <si>
    <t>Sub-</t>
  </si>
  <si>
    <t>Master's +</t>
  </si>
  <si>
    <t>% Biggest</t>
  </si>
  <si>
    <t>Professional</t>
  </si>
  <si>
    <t>Institution</t>
  </si>
  <si>
    <t>Category</t>
  </si>
  <si>
    <t>(CIP)</t>
  </si>
  <si>
    <t>ses</t>
  </si>
  <si>
    <t>Number</t>
  </si>
  <si>
    <t>CIPs</t>
  </si>
  <si>
    <t>Medicine</t>
  </si>
  <si>
    <t>Dentistry</t>
  </si>
  <si>
    <t>Pharmacy</t>
  </si>
  <si>
    <t>Chiropractic</t>
  </si>
  <si>
    <t>Optometry</t>
  </si>
  <si>
    <t>Podiatry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</si>
  <si>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</si>
  <si>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</si>
  <si>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</si>
  <si>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</si>
  <si>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</si>
  <si>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</si>
  <si>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Old- Asso % of Bachs</t>
  </si>
  <si>
    <t>New-Associate's</t>
  </si>
  <si>
    <t>New- Asso % of Bachs</t>
  </si>
  <si>
    <t>Old-FP Total</t>
  </si>
  <si>
    <t>New-FP Total</t>
  </si>
  <si>
    <t>Old-Bachelor's</t>
  </si>
  <si>
    <t>New-Bachelor's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</si>
  <si>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</si>
  <si>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</si>
  <si>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</si>
  <si>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</si>
  <si>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</si>
  <si>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</si>
  <si>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</si>
  <si>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</si>
  <si>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</si>
  <si>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</si>
  <si>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</si>
  <si>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</si>
  <si>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</si>
  <si>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</si>
  <si>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</si>
  <si>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</si>
  <si>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</si>
  <si>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</si>
  <si>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</si>
  <si>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</si>
  <si>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</si>
  <si>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</si>
  <si>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</si>
  <si>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</si>
  <si>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</si>
  <si>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</si>
  <si>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</si>
  <si>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</si>
  <si>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</si>
  <si>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</si>
  <si>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</si>
  <si>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</si>
  <si>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</si>
  <si>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</si>
  <si>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</si>
  <si>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</si>
  <si>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</si>
  <si>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</si>
  <si>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</si>
  <si>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</si>
  <si>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</si>
  <si>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</si>
  <si>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</si>
  <si>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</si>
  <si>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</si>
  <si>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</si>
  <si>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</si>
  <si>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</si>
  <si>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</si>
  <si>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</si>
  <si>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</si>
  <si>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</si>
  <si>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</si>
  <si>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</si>
  <si>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</si>
  <si>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</si>
  <si>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</si>
  <si>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</si>
  <si>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</si>
  <si>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</si>
  <si>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</si>
  <si>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</si>
  <si>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</si>
  <si>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</si>
  <si>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</si>
  <si>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</si>
  <si>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</si>
  <si>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</si>
  <si>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</si>
  <si>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</si>
  <si>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</si>
  <si>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</si>
  <si>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</si>
  <si>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</si>
  <si>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</si>
  <si>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</si>
  <si>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</si>
  <si>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</si>
  <si>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</si>
  <si>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</si>
  <si>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</si>
  <si>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</si>
  <si>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</si>
  <si>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</si>
  <si>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</si>
  <si>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</si>
  <si>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</si>
  <si>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</si>
  <si>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</si>
  <si>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</si>
  <si>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</si>
  <si>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</si>
  <si>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</si>
  <si>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</si>
  <si>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</si>
  <si>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</si>
  <si>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</si>
  <si>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</si>
  <si>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</si>
  <si>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</si>
  <si>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</si>
  <si>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</si>
  <si>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</si>
  <si>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</si>
  <si>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</si>
  <si>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</si>
  <si>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</si>
  <si>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</si>
  <si>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</si>
  <si>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</si>
  <si>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</si>
  <si>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</si>
  <si>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</si>
  <si>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</si>
  <si>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</si>
  <si>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</si>
  <si>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Bach-   elor's</t>
  </si>
  <si>
    <t>Post-Bach-   elor's</t>
  </si>
  <si>
    <t>Bach-    elor's</t>
  </si>
  <si>
    <t>Phar-macy</t>
  </si>
  <si>
    <t>Phar-    macy</t>
  </si>
  <si>
    <t>Table 1</t>
  </si>
  <si>
    <t>Degrees and Other Awards Conferred</t>
  </si>
  <si>
    <t>Asso-ciate's</t>
  </si>
  <si>
    <t>Master's</t>
  </si>
  <si>
    <t>Doctoral</t>
  </si>
  <si>
    <t>Law</t>
  </si>
  <si>
    <t>Medi- cine</t>
  </si>
  <si>
    <t>Dentis-try</t>
  </si>
  <si>
    <t>Optom-etry</t>
  </si>
  <si>
    <t>Osteo-pathic Medicine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</si>
  <si>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</si>
  <si>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</si>
  <si>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</si>
  <si>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</si>
  <si>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</si>
  <si>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</si>
  <si>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</si>
  <si>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</si>
  <si>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</si>
  <si>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</si>
  <si>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</si>
  <si>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</si>
  <si>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</si>
  <si>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</si>
  <si>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</si>
  <si>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</si>
  <si>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</si>
  <si>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</si>
  <si>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</si>
  <si>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</si>
  <si>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</si>
  <si>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</si>
  <si>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</si>
  <si>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</si>
  <si>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</si>
  <si>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</si>
  <si>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 xml:space="preserve"> </t>
  </si>
  <si>
    <t>All Two-Year</t>
  </si>
  <si>
    <t>Two-Year with Bachelor's</t>
  </si>
  <si>
    <t>Two-Year 1</t>
  </si>
  <si>
    <t>Two-Year 2</t>
  </si>
  <si>
    <t>Two-Year 3</t>
  </si>
  <si>
    <t>Asso- ciate's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</si>
  <si>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</si>
  <si>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</si>
  <si>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</si>
  <si>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</si>
  <si>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</si>
  <si>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</si>
  <si>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</si>
  <si>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</si>
  <si>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</si>
  <si>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</si>
  <si>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Identified by an Education Major      (CIP "13")</t>
  </si>
  <si>
    <t>Identi- fied by Courses Taken</t>
  </si>
  <si>
    <t>Identi- fied by Other Means</t>
  </si>
  <si>
    <t>SREB Type</t>
  </si>
  <si>
    <t>State</t>
  </si>
  <si>
    <t>Health Professions Certificates</t>
  </si>
  <si>
    <t>Old-Bachs % of Tot</t>
  </si>
  <si>
    <t>New-Bachs % of Tot</t>
  </si>
  <si>
    <t>Grand</t>
  </si>
  <si>
    <t>Old-Grand Total</t>
  </si>
  <si>
    <t>New-Grand Total</t>
  </si>
  <si>
    <t>Certifi-     cates</t>
  </si>
  <si>
    <t>Bachelor's</t>
  </si>
  <si>
    <t>Old-Bach-TeachEd-Other</t>
  </si>
  <si>
    <t>Old-Bach-TeachEd by CIP</t>
  </si>
  <si>
    <t>Old-Bach-TeachEd-Subtot</t>
  </si>
  <si>
    <t>New-Bach-TeachEd by CIP</t>
  </si>
  <si>
    <t>New-Bach-TeachEd by Courses</t>
  </si>
  <si>
    <t>New-Bach-TeachEd-Other</t>
  </si>
  <si>
    <t>New-Bach-TeachEd-Subtot</t>
  </si>
  <si>
    <t>New-Bachs#CIPs</t>
  </si>
  <si>
    <t>Old-Bachs#CIPs</t>
  </si>
  <si>
    <t>Old-Bach-TeachEd by Courses</t>
  </si>
  <si>
    <t>For DE Highlights</t>
  </si>
  <si>
    <r>
      <t>*</t>
    </r>
    <r>
      <rPr>
        <sz val="8"/>
        <rFont val="Arial"/>
        <family val="2"/>
      </rPr>
      <t>For those states with teacher education graduates.</t>
    </r>
  </si>
  <si>
    <t>Percent of Total Bach- elor's*</t>
  </si>
  <si>
    <t xml:space="preserve">Number in </t>
  </si>
  <si>
    <t>Teacher Preparation</t>
  </si>
  <si>
    <t>as indicated by…</t>
  </si>
  <si>
    <t>Grand Total</t>
  </si>
  <si>
    <t>Veterinary Medicine</t>
  </si>
  <si>
    <t>NC</t>
  </si>
  <si>
    <t>Values</t>
  </si>
  <si>
    <t>Four-Year</t>
  </si>
  <si>
    <t>Two-Year</t>
  </si>
  <si>
    <t>Technical</t>
  </si>
  <si>
    <t>Specialized</t>
  </si>
  <si>
    <t>SREB Type2</t>
  </si>
  <si>
    <t>Four-Year Total</t>
  </si>
  <si>
    <t>Two-Year Total</t>
  </si>
  <si>
    <t>Technical Total</t>
  </si>
  <si>
    <t>Specialized Total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</si>
  <si>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</si>
  <si>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</si>
  <si>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</si>
  <si>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</si>
  <si>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</si>
  <si>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</si>
  <si>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</si>
  <si>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</si>
  <si>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</si>
  <si>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</si>
  <si>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</si>
  <si>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</si>
  <si>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</si>
  <si>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</si>
  <si>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</si>
  <si>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</si>
  <si>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</si>
  <si>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</si>
  <si>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</si>
  <si>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</si>
  <si>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</si>
  <si>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</si>
  <si>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</si>
  <si>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</si>
  <si>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</si>
  <si>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</si>
  <si>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</si>
  <si>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</si>
  <si>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</si>
  <si>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</si>
  <si>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</si>
  <si>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</si>
  <si>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</si>
  <si>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</si>
  <si>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</si>
  <si>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</si>
  <si>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</si>
  <si>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</si>
  <si>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</si>
  <si>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</si>
  <si>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</si>
  <si>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</si>
  <si>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</si>
  <si>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</si>
  <si>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</si>
  <si>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</si>
  <si>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</si>
  <si>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</si>
  <si>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</si>
  <si>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</si>
  <si>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</si>
  <si>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</si>
  <si>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</si>
  <si>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</si>
  <si>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</si>
  <si>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</si>
  <si>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</si>
  <si>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</si>
  <si>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</si>
  <si>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</si>
  <si>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</si>
  <si>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</si>
  <si>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</si>
  <si>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</si>
  <si>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</si>
  <si>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</si>
  <si>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</si>
  <si>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</si>
  <si>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</si>
  <si>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</si>
  <si>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</si>
  <si>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</si>
  <si>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</si>
  <si>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</si>
  <si>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</si>
  <si>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</si>
  <si>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</si>
  <si>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</si>
  <si>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</si>
  <si>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</si>
  <si>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</si>
  <si>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</si>
  <si>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</si>
  <si>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</si>
  <si>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</si>
  <si>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</si>
  <si>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</si>
  <si>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</si>
  <si>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</si>
  <si>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</si>
  <si>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</si>
  <si>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</si>
  <si>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</si>
  <si>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</si>
  <si>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</si>
  <si>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</si>
  <si>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 xml:space="preserve"> Old-Bach-TeachEd by CIP</t>
  </si>
  <si>
    <t>Total  Old-Bach-TeachEd by CIP</t>
  </si>
  <si>
    <t xml:space="preserve"> New-Bach-TeachEd by CIP</t>
  </si>
  <si>
    <t>Total  New-Bach-TeachEd by CIP</t>
  </si>
  <si>
    <t xml:space="preserve"> %Change-Bach-TeachEd by CIP</t>
  </si>
  <si>
    <t>Total  %Change-Bach-TeachEd by CIP</t>
  </si>
  <si>
    <t xml:space="preserve"> Old-Bach-TeachEd by Courses</t>
  </si>
  <si>
    <t>Total  Old-Bach-TeachEd by Courses</t>
  </si>
  <si>
    <t xml:space="preserve"> New-Bach-TeachEd by Courses</t>
  </si>
  <si>
    <t>Total  New-Bach-TeachEd by Courses</t>
  </si>
  <si>
    <t xml:space="preserve"> %Change-Bach-TeachEd by Courses</t>
  </si>
  <si>
    <t>Total  %Change-Bach-TeachEd by Courses</t>
  </si>
  <si>
    <t xml:space="preserve"> Old-Bach-TeachEd-Other</t>
  </si>
  <si>
    <t>Total  Old-Bach-TeachEd-Other</t>
  </si>
  <si>
    <t xml:space="preserve"> New-Bach-TeachEd-Other</t>
  </si>
  <si>
    <t>Total  New-Bach-TeachEd-Other</t>
  </si>
  <si>
    <t xml:space="preserve"> %Change-Bach-TeachEd-Other</t>
  </si>
  <si>
    <t>Total  %Change-Bach-TeachEd-Other</t>
  </si>
  <si>
    <t xml:space="preserve"> New-Bach-TeachEd-Subtot</t>
  </si>
  <si>
    <t>Total  New-Bach-TeachEd-Subtot</t>
  </si>
  <si>
    <t xml:space="preserve"> Old-Bach-TeachEd-Subtot</t>
  </si>
  <si>
    <t>Total  Old-Bach-TeachEd-Subtot</t>
  </si>
  <si>
    <t xml:space="preserve"> %Change-Bach-TeachEd-Subtot</t>
  </si>
  <si>
    <t>Total  %Change-Bach-TeachEd-Subtot</t>
  </si>
  <si>
    <t xml:space="preserve"> Old-Grand Total</t>
  </si>
  <si>
    <t>Total  Old-Grand Total</t>
  </si>
  <si>
    <t xml:space="preserve"> New-Grand Total</t>
  </si>
  <si>
    <t>Total  New-Grand Total</t>
  </si>
  <si>
    <t xml:space="preserve"> %Change-Grand Total</t>
  </si>
  <si>
    <t>Total  %Change-Grand Total</t>
  </si>
  <si>
    <t>Practice</t>
  </si>
  <si>
    <t>Old-Oth PP</t>
  </si>
  <si>
    <t>New-Oth PP</t>
  </si>
  <si>
    <t xml:space="preserve"> Old-Oth PP</t>
  </si>
  <si>
    <t>Total  Old-Oth PP</t>
  </si>
  <si>
    <t xml:space="preserve"> New-Oth PP</t>
  </si>
  <si>
    <t>Total  New-Oth PP</t>
  </si>
  <si>
    <t>Other Professional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</si>
  <si>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</si>
  <si>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Professional Practice</t>
  </si>
  <si>
    <t>Vet-
erinary Medicine</t>
  </si>
  <si>
    <t>Other Profes-
sional</t>
  </si>
  <si>
    <t>Iden-
tified by an Ed- 
ucation Major      (CIP "13")</t>
  </si>
  <si>
    <t>Change from prior year</t>
  </si>
  <si>
    <t>New
Total</t>
  </si>
  <si>
    <t>Old
Total</t>
  </si>
  <si>
    <t>Bach-    elor's*</t>
  </si>
  <si>
    <t>*Bachelor's degrees awarded by Two-Year 1-3 colleges that have not yet met the criteria for Two-Year with Bachelor's are included.</t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</si>
  <si>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</si>
  <si>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</si>
  <si>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</si>
  <si>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</si>
  <si>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t>Post-Bachelor's Certificates</t>
  </si>
  <si>
    <t>All Other Master's, Education Specialist &amp; Post-Master's</t>
  </si>
  <si>
    <t>All Other Research/ Scholarship Doctorate's</t>
  </si>
  <si>
    <t>Additional Professional Practice Doctorate's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</si>
  <si>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</si>
  <si>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</si>
  <si>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</si>
  <si>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</si>
  <si>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</si>
  <si>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</si>
  <si>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</si>
  <si>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CIP 51.0101</t>
  </si>
  <si>
    <t>CIP 51.1901</t>
  </si>
  <si>
    <t>CIP 51.2401</t>
  </si>
  <si>
    <t xml:space="preserve">Total </t>
  </si>
  <si>
    <t>Scholarship</t>
  </si>
  <si>
    <t>R/S Doctorate's</t>
  </si>
  <si>
    <t>CIP 22.0101</t>
  </si>
  <si>
    <t>CIP 51.1201</t>
  </si>
  <si>
    <t>CIP 51.0401</t>
  </si>
  <si>
    <t>CIP 51.2001</t>
  </si>
  <si>
    <t>CIP 51.1701</t>
  </si>
  <si>
    <t>Osteopathic</t>
  </si>
  <si>
    <t>Veterinary</t>
  </si>
  <si>
    <t>CIP 51.2101</t>
  </si>
  <si>
    <r>
      <t xml:space="preserve">Comments: </t>
    </r>
    <r>
      <rPr>
        <sz val="10"/>
        <rFont val="Arial"/>
        <family val="2"/>
      </rPr>
      <t xml:space="preserve"> Please look for comments and answer questions; add comments as needed</t>
    </r>
  </si>
  <si>
    <t>IPEDS Codes 1 &amp; 2</t>
  </si>
  <si>
    <t>IPEDS Code 4</t>
  </si>
  <si>
    <t>IPEDS Code 3</t>
  </si>
  <si>
    <t>IPEDS Code 6</t>
  </si>
  <si>
    <t>Doctorate's</t>
  </si>
  <si>
    <t>IPEDS #</t>
  </si>
  <si>
    <r>
      <t xml:space="preserve">Bachelor's   </t>
    </r>
    <r>
      <rPr>
        <sz val="8"/>
        <rFont val="Arial"/>
        <family val="2"/>
      </rPr>
      <t>IPEDS Code 5</t>
    </r>
  </si>
  <si>
    <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 5</t>
    </r>
  </si>
  <si>
    <r>
      <t xml:space="preserve">Master's/Education Specialist/Post Master's Degrees </t>
    </r>
    <r>
      <rPr>
        <sz val="8"/>
        <rFont val="Arial"/>
        <family val="2"/>
      </rPr>
      <t>IPEDS Codes 7 &amp; 8 (Code 8 in new system includes old code 11 - first professional certificate)</t>
    </r>
  </si>
  <si>
    <r>
      <t>Research/Scholarship Doctoral Degrees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Codes 17</t>
    </r>
  </si>
  <si>
    <t>IPEDS Codes 17</t>
  </si>
  <si>
    <r>
      <t xml:space="preserve">Professional Practice Doctoral Degrees / First Professional Degrees </t>
    </r>
    <r>
      <rPr>
        <sz val="8"/>
        <rFont val="Arial"/>
        <family val="2"/>
      </rPr>
      <t>IPEDS Code 18 (10 in old system)</t>
    </r>
  </si>
  <si>
    <t>Classification Notes</t>
  </si>
  <si>
    <t>Note</t>
  </si>
  <si>
    <t>Other Doctorate's</t>
  </si>
  <si>
    <t>2010-11</t>
  </si>
  <si>
    <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</si>
  <si>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Data Columns:  White = New Data, Peach = Old Data, Purple/Grey = Calculated Data.  Please highlight changes in YELLOW</t>
  </si>
  <si>
    <t>IPEDS Codes 7 &amp; 8 (&amp; old 11)</t>
  </si>
  <si>
    <t>Old-Oth Doc</t>
  </si>
  <si>
    <t>New-Oth Doc</t>
  </si>
  <si>
    <t>(not research or professional)</t>
  </si>
  <si>
    <t>"Total Doctorates" = "Total Research/Scholarship Doctorates"</t>
  </si>
  <si>
    <t xml:space="preserve"> New-Oth Doc</t>
  </si>
  <si>
    <t>Total  New-Oth Doc</t>
  </si>
  <si>
    <t xml:space="preserve"> %Change-Oth PP</t>
  </si>
  <si>
    <t>Total  %Change-Oth PP</t>
  </si>
  <si>
    <t xml:space="preserve"> Old-Oth Doc</t>
  </si>
  <si>
    <t>Total  Old-Oth Doc</t>
  </si>
  <si>
    <t>All Public Institutions, 2010-11</t>
  </si>
  <si>
    <t>All Public Four-Year Universities, 2010-11</t>
  </si>
  <si>
    <t>Public Four-Year 1 Universities, 2010-11</t>
  </si>
  <si>
    <t>Public Four-Year 2 Universities, 2010-11</t>
  </si>
  <si>
    <t>Public Four-Year 3 Universities, 2010-11</t>
  </si>
  <si>
    <t>Public Four-Year 4 Universities, 2010-11</t>
  </si>
  <si>
    <t>Public Four-Year 5 Universities, 2010-11</t>
  </si>
  <si>
    <t>Public Four-Year 6 Universities, 2010-11</t>
  </si>
  <si>
    <t>Public Two-Year Colleges, 2010-11</t>
  </si>
  <si>
    <t>Public Technical Institutes or Colleges, 2010-11</t>
  </si>
  <si>
    <t>Public Specialized Institutions, 2010-11</t>
  </si>
  <si>
    <t>Public Colleges and Universities, 2010-11</t>
  </si>
  <si>
    <t>Formulas</t>
  </si>
  <si>
    <t>Alabama Agricultural &amp; Mechanical University</t>
  </si>
  <si>
    <t xml:space="preserve">Alabama State University </t>
  </si>
  <si>
    <t>Athens State University</t>
  </si>
  <si>
    <t>Auburn University</t>
  </si>
  <si>
    <t>Auburn University at Montgomery</t>
  </si>
  <si>
    <t xml:space="preserve">Jacksonville State University </t>
  </si>
  <si>
    <t>Troy University</t>
  </si>
  <si>
    <t xml:space="preserve">University of Alabama </t>
  </si>
  <si>
    <t>University of Alabama at Birmingham</t>
  </si>
  <si>
    <t>University of Alabama in Huntsville</t>
  </si>
  <si>
    <t>University of Montevallo</t>
  </si>
  <si>
    <t>University of North Alabama</t>
  </si>
  <si>
    <t>University of South Alabama</t>
  </si>
  <si>
    <t>University of West Alabama</t>
  </si>
  <si>
    <t xml:space="preserve">John C. Calhoun State Community College </t>
  </si>
  <si>
    <t>Jefferson State Community College</t>
  </si>
  <si>
    <t>Bevill State Community College</t>
  </si>
  <si>
    <t>Bishop State Community College</t>
  </si>
  <si>
    <t>James H. Faulkner State Community College</t>
  </si>
  <si>
    <t>Gadsden State Community College</t>
  </si>
  <si>
    <t xml:space="preserve">Lawson State Community College </t>
  </si>
  <si>
    <t xml:space="preserve">Northeast Alabama State Community College </t>
  </si>
  <si>
    <t>Northwest-Shoals Community College</t>
  </si>
  <si>
    <t>Shelton State Community College</t>
  </si>
  <si>
    <t>Southern Union State Community College</t>
  </si>
  <si>
    <t>George C. Wallace State Community College - Dothan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</si>
  <si>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</si>
  <si>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</si>
  <si>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</si>
  <si>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</si>
  <si>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Enterprise-Ozark Community College</t>
  </si>
  <si>
    <t>Jefferson Davis Community College</t>
  </si>
  <si>
    <t xml:space="preserve">Lurleen B. Wallace Community College </t>
  </si>
  <si>
    <t xml:space="preserve">Snead State Community College </t>
  </si>
  <si>
    <t>George Corley Wallace State Community College - Selma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</si>
  <si>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</si>
  <si>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</si>
  <si>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</si>
  <si>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</si>
  <si>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</si>
  <si>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>2011-12</t>
  </si>
  <si>
    <t xml:space="preserve">North Carolina State University </t>
  </si>
  <si>
    <t xml:space="preserve">University of North Carolina at Chapel Hill </t>
  </si>
  <si>
    <t>University of North Carolina at Greensboro</t>
  </si>
  <si>
    <t>University of North Carolina at Charlotte</t>
  </si>
  <si>
    <t xml:space="preserve">Appalachian State University </t>
  </si>
  <si>
    <t xml:space="preserve">East Carolina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</si>
  <si>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</si>
  <si>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</si>
  <si>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</si>
  <si>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</si>
  <si>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</si>
  <si>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</si>
  <si>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</si>
  <si>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</si>
  <si>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</si>
  <si>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North Carolina School of the Arts</t>
  </si>
  <si>
    <t>GA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</si>
  <si>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</si>
  <si>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</si>
  <si>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</si>
  <si>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</si>
  <si>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</si>
  <si>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</si>
  <si>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</si>
  <si>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</si>
  <si>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</si>
  <si>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</si>
  <si>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</si>
  <si>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</si>
  <si>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Middle Georgia Technical College</t>
  </si>
  <si>
    <t>Moultrie Technical College</t>
  </si>
  <si>
    <t>North Georgia Technical College</t>
  </si>
  <si>
    <t>Oconee Fall Line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</si>
  <si>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</si>
  <si>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</si>
  <si>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</si>
  <si>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</si>
  <si>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</si>
  <si>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</si>
  <si>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Southwest Georgia Technical College</t>
  </si>
  <si>
    <t>West Georgia Technical College</t>
  </si>
  <si>
    <t>Wiregrass Georgia Technical College</t>
  </si>
  <si>
    <t>KY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</si>
  <si>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</si>
  <si>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</si>
  <si>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</si>
  <si>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</si>
  <si>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</si>
  <si>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Western Kentucky University </t>
  </si>
  <si>
    <t xml:space="preserve">Kentucky State University </t>
  </si>
  <si>
    <t xml:space="preserve">Northern Kentucky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</si>
  <si>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</si>
  <si>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</si>
  <si>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</si>
  <si>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</si>
  <si>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</si>
  <si>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</si>
  <si>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</si>
  <si>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</si>
  <si>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</si>
  <si>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</si>
  <si>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</si>
  <si>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</si>
  <si>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</si>
  <si>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</si>
  <si>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</si>
  <si>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Reclassified: met the criteria for Four-Year 2 in 2010-11, 2011-12, and 2012-13.</t>
  </si>
  <si>
    <t>Met the criteria for Two-Year 2 in 2012-13.</t>
  </si>
  <si>
    <t>Met the criteria for Two-Year 3 in 2012-13.</t>
  </si>
  <si>
    <t>Reclassified: met the criteria for classification as a Two-Year 2 in 2010-11, 2011-12, and 2012-13.</t>
  </si>
  <si>
    <t>Met the criteria for Four-Year 1 in 2012-13.</t>
  </si>
  <si>
    <t>Met the criteria for Four-Year 3 in 2012-13.</t>
  </si>
  <si>
    <t>LA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</si>
  <si>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</si>
  <si>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</si>
  <si>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</si>
  <si>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</si>
  <si>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</si>
  <si>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</si>
  <si>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</si>
  <si>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</si>
  <si>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</si>
  <si>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</si>
  <si>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</si>
  <si>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</si>
  <si>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</si>
  <si>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</si>
  <si>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</si>
  <si>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 xml:space="preserve">Delgado Community College </t>
  </si>
  <si>
    <t>Bossier Parish Community College</t>
  </si>
  <si>
    <t>Louisiana State University at Eunice</t>
  </si>
  <si>
    <t>South Louisiana Community College</t>
  </si>
  <si>
    <t>Louisiana Delta Community College</t>
  </si>
  <si>
    <t>Nunez Community College</t>
  </si>
  <si>
    <t>River Parishes Community College</t>
  </si>
  <si>
    <t>Southern University in Shreveport</t>
  </si>
  <si>
    <t>Acadiana Technical College</t>
  </si>
  <si>
    <t>Capital Area Technical College</t>
  </si>
  <si>
    <t>Central LA Technical College</t>
  </si>
  <si>
    <t>L.E. Fletcher Technical Community College</t>
  </si>
  <si>
    <t>Northeast Technical College</t>
  </si>
  <si>
    <t>Northshore Technical College</t>
  </si>
  <si>
    <t>Northwest LA Technical College</t>
  </si>
  <si>
    <t>South Central LA Technical College</t>
  </si>
  <si>
    <t>Sowela Technical Community College</t>
  </si>
  <si>
    <t>Louisiana State University Health Sciences Center - New Orleans</t>
  </si>
  <si>
    <t>Louisiana State University Health Sciences Center - Shreveport</t>
  </si>
  <si>
    <t>Met the criteria for Four-Year 2 in 2012-13.</t>
  </si>
  <si>
    <t>Met the criteria for Four-Year 5 in 2012-13.</t>
  </si>
  <si>
    <t>Reclassified: met the criteria for Two-Year 1 in 2010-11, 2011-12, and 2012-13.</t>
  </si>
  <si>
    <t>Met the criteria for Two-Year 1 in 2012-13.</t>
  </si>
  <si>
    <t>Met the criteria for Two-Year 2 in 2011-12 and 2012-13.</t>
  </si>
  <si>
    <t>OK</t>
  </si>
  <si>
    <t xml:space="preserve">Canadian Valley Technology Center                 </t>
  </si>
  <si>
    <t xml:space="preserve">Francis Tuttle Technology Center                  </t>
  </si>
  <si>
    <t xml:space="preserve">Metro Technology Centers                          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</si>
  <si>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</si>
  <si>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</si>
  <si>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</si>
  <si>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</si>
  <si>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</si>
  <si>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</si>
  <si>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</si>
  <si>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</si>
  <si>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</si>
  <si>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</si>
  <si>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</si>
  <si>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</si>
  <si>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</si>
  <si>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</si>
  <si>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</si>
  <si>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</si>
  <si>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</si>
  <si>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</si>
  <si>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</si>
  <si>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</si>
  <si>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</si>
  <si>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</si>
  <si>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</si>
  <si>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</si>
  <si>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</si>
  <si>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</si>
  <si>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</si>
  <si>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</si>
  <si>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New institution no longer in start up phase. 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</si>
  <si>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</si>
  <si>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</si>
  <si>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</si>
  <si>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</si>
  <si>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</si>
  <si>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</si>
  <si>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</si>
  <si>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</si>
  <si>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</si>
  <si>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</si>
  <si>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</si>
  <si>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</si>
  <si>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 xml:space="preserve">Tulsa Technology Center-Lemley Campus             </t>
  </si>
  <si>
    <t xml:space="preserve">Tulsa Technology Center-Riverside Campus          </t>
  </si>
  <si>
    <t xml:space="preserve">Wes Watkins Technology Center                     </t>
  </si>
  <si>
    <t xml:space="preserve">Western Technology Center                         </t>
  </si>
  <si>
    <t>MS</t>
  </si>
  <si>
    <t>Mississippi State University</t>
  </si>
  <si>
    <t>University of Southern Mississippi</t>
  </si>
  <si>
    <t xml:space="preserve">Jackson State University </t>
  </si>
  <si>
    <t>University of Mississippi</t>
  </si>
  <si>
    <t>Alcorn State University</t>
  </si>
  <si>
    <t>Delta State University</t>
  </si>
  <si>
    <t>Mississippi Valley State University</t>
  </si>
  <si>
    <t>Mississippi University for Women</t>
  </si>
  <si>
    <t>University of Mississippi Medical Center</t>
  </si>
  <si>
    <t xml:space="preserve">Georgia State University </t>
  </si>
  <si>
    <t>University of Georgia</t>
  </si>
  <si>
    <t>Georgia Institute of Technology</t>
  </si>
  <si>
    <t>Georgia Southern University</t>
  </si>
  <si>
    <t>University of West Georgia</t>
  </si>
  <si>
    <t xml:space="preserve">Valdosta State University 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</si>
  <si>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</si>
  <si>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</si>
  <si>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</si>
  <si>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</si>
  <si>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</si>
  <si>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</si>
  <si>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Clayton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</si>
  <si>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</si>
  <si>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</si>
  <si>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</si>
  <si>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</si>
  <si>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Georgia Gwinnett College</t>
  </si>
  <si>
    <t xml:space="preserve">Macon State College </t>
  </si>
  <si>
    <t xml:space="preserve">Dalton State College </t>
  </si>
  <si>
    <t xml:space="preserve">Gainesville State College </t>
  </si>
  <si>
    <t xml:space="preserve">Gordon College </t>
  </si>
  <si>
    <t xml:space="preserve">Georgia Perimeter College </t>
  </si>
  <si>
    <t xml:space="preserve">Abraham Baldwin Agricultural College </t>
  </si>
  <si>
    <t>Atlanta Metropolitan College</t>
  </si>
  <si>
    <t xml:space="preserve">Bainbridge College </t>
  </si>
  <si>
    <t xml:space="preserve">College of Coastal Georgia </t>
  </si>
  <si>
    <t xml:space="preserve">Darton College </t>
  </si>
  <si>
    <t>East Georgia College</t>
  </si>
  <si>
    <t>Georgia Highlands College</t>
  </si>
  <si>
    <t xml:space="preserve">Middle Georgia College </t>
  </si>
  <si>
    <t xml:space="preserve">South Georgia College </t>
  </si>
  <si>
    <t xml:space="preserve">Waycross College </t>
  </si>
  <si>
    <t>Georgia Health Sciences University</t>
  </si>
  <si>
    <t>Southern Polytechnic State University</t>
  </si>
  <si>
    <t>Met the criteria for Four-Year 3 in 2011-12 and 2012-13.</t>
  </si>
  <si>
    <t>Reclassified: met the criteria for Four-Year 4 in 2010-11, 2011-12, and 2012-13.</t>
  </si>
  <si>
    <t>Met the criteria for Four-Year 4 in 2012-13.</t>
  </si>
  <si>
    <t xml:space="preserve">Met the criteria for Two-Year with Bachelor's in 2011-12 and 2012-13. </t>
  </si>
  <si>
    <t>Met the criteria for Four-Year 6 in 2011-12 and 2012-13.</t>
  </si>
  <si>
    <t>WV</t>
  </si>
  <si>
    <t>West Virginia University</t>
  </si>
  <si>
    <t>09</t>
  </si>
  <si>
    <t>01</t>
  </si>
  <si>
    <t>03</t>
  </si>
  <si>
    <t xml:space="preserve">Marshall University 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</si>
  <si>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</si>
  <si>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</si>
  <si>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</si>
  <si>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</si>
  <si>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</si>
  <si>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</si>
  <si>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</si>
  <si>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Institute of Technology</t>
  </si>
  <si>
    <t>Potomac State College of West Virginia University</t>
  </si>
  <si>
    <t>West Virginia University at Parkersburg</t>
  </si>
  <si>
    <t>West Virginia Northern Community College</t>
  </si>
  <si>
    <t>Blue Ridge Community &amp; Technical College</t>
  </si>
  <si>
    <t>Bridgemont Community &amp; Technical College</t>
  </si>
  <si>
    <t>Eastern West Virginia Community &amp; Technical College</t>
  </si>
  <si>
    <t>Kanawha Valley Community &amp; Technical College</t>
  </si>
  <si>
    <t>Mountwest Community &amp; Technical College</t>
  </si>
  <si>
    <t>New River Community &amp; Technical College</t>
  </si>
  <si>
    <t>Pierpont Community &amp; Technical College</t>
  </si>
  <si>
    <t xml:space="preserve">Southern West Virginia Community &amp; Technical College </t>
  </si>
  <si>
    <t>West Virginia School of Osteopathic Medicine</t>
  </si>
  <si>
    <t>Reclassified: met criteria for Two-Year 2 in 2010-11, 2011-12, and 2012-13.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</si>
  <si>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</si>
  <si>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</si>
  <si>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</si>
  <si>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</si>
  <si>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</si>
  <si>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</si>
  <si>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</si>
  <si>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</si>
  <si>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Southeastern Oklahoma State University </t>
  </si>
  <si>
    <t>Southwestern Oklahoma State University</t>
  </si>
  <si>
    <t xml:space="preserve">Oklahoma Panhandle State University </t>
  </si>
  <si>
    <t>Rogers State University</t>
  </si>
  <si>
    <t>University of Science and Arts of Oklahoma</t>
  </si>
  <si>
    <t xml:space="preserve">Oklahoma State University Technical Branch-Okmulgee </t>
  </si>
  <si>
    <t xml:space="preserve">Oklahoma State University-Oklahoma City </t>
  </si>
  <si>
    <t xml:space="preserve">Oklahoma City Community College </t>
  </si>
  <si>
    <t xml:space="preserve">Rose State College </t>
  </si>
  <si>
    <t xml:space="preserve">Tulsa Community College </t>
  </si>
  <si>
    <t xml:space="preserve">Northern Oklahoma College </t>
  </si>
  <si>
    <t>Carl Albert State College</t>
  </si>
  <si>
    <t xml:space="preserve">Connors State College </t>
  </si>
  <si>
    <t>0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</si>
  <si>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</si>
  <si>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</si>
  <si>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</si>
  <si>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</si>
  <si>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</si>
  <si>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</si>
  <si>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>Met the criteria for Two-Year 2 institution in 2012-13.</t>
  </si>
  <si>
    <t>Met the criteria for Two-Year 1 institution in 2012-13.</t>
  </si>
  <si>
    <t>Reclassified: met the criteria for Two-Year 2 institution in 2010-11, 2011-12, and 2012-13.</t>
  </si>
  <si>
    <t>Met the criteria for Two-Year 2 institution in 2011-12 and 2012-13.</t>
  </si>
  <si>
    <t>TN</t>
  </si>
  <si>
    <t>University of Memphis</t>
  </si>
  <si>
    <t>University of Tennessee, Knoxville</t>
  </si>
  <si>
    <t xml:space="preserve">Tennessee State University </t>
  </si>
  <si>
    <t xml:space="preserve">Austin Peay State University </t>
  </si>
  <si>
    <t xml:space="preserve">East Tennessee State University </t>
  </si>
  <si>
    <t xml:space="preserve">Middle Tennessee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</si>
  <si>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</si>
  <si>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</si>
  <si>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</si>
  <si>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</si>
  <si>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</si>
  <si>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</si>
  <si>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</si>
  <si>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</si>
  <si>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</si>
  <si>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</si>
  <si>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Dyersburg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</si>
  <si>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</si>
  <si>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</si>
  <si>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</si>
  <si>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</si>
  <si>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</si>
  <si>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</si>
  <si>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</si>
  <si>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</si>
  <si>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</si>
  <si>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</si>
  <si>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</si>
  <si>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</si>
  <si>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</si>
  <si>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</si>
  <si>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</si>
  <si>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Hohenwald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</si>
  <si>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</si>
  <si>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</si>
  <si>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</si>
  <si>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</si>
  <si>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</si>
  <si>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</si>
  <si>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</si>
  <si>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</si>
  <si>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</si>
  <si>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</si>
  <si>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</si>
  <si>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</si>
  <si>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</si>
  <si>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</si>
  <si>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</si>
  <si>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</si>
  <si>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</si>
  <si>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</si>
  <si>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TX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</si>
  <si>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</si>
  <si>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</si>
  <si>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</si>
  <si>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</si>
  <si>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</si>
  <si>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</si>
  <si>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</si>
  <si>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Texas Woman's University</t>
  </si>
  <si>
    <t>University of Texas at El Paso</t>
  </si>
  <si>
    <t>University of Texas at San Antonio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</si>
  <si>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</si>
  <si>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</si>
  <si>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</si>
  <si>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</si>
  <si>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</si>
  <si>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</si>
  <si>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</si>
  <si>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</si>
  <si>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13</t>
  </si>
  <si>
    <t>Texas A &amp; 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</si>
  <si>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</si>
  <si>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</si>
  <si>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</si>
  <si>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</si>
  <si>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University-San Marcos</t>
  </si>
  <si>
    <t xml:space="preserve">University of Houston-Clear Lake </t>
  </si>
  <si>
    <t>University of Texas at Brownsville</t>
  </si>
  <si>
    <t>University of Texas at Tyler</t>
  </si>
  <si>
    <t>University of Texas of the Permian Basin</t>
  </si>
  <si>
    <t>University of Texas-Pan American</t>
  </si>
  <si>
    <t>West Texas A&amp;M University</t>
  </si>
  <si>
    <t>Texas A&amp;M -Texarkana</t>
  </si>
  <si>
    <t>University of Houston-Victoria</t>
  </si>
  <si>
    <t>Sul Ross State University-Rio Grande College</t>
  </si>
  <si>
    <t>228501B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</si>
  <si>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</si>
  <si>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</si>
  <si>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</si>
  <si>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</si>
  <si>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</si>
  <si>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</si>
  <si>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</si>
  <si>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</si>
  <si>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</si>
  <si>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</si>
  <si>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</si>
  <si>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</si>
  <si>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</si>
  <si>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</si>
  <si>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</si>
  <si>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</si>
  <si>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Kilgore College 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</si>
  <si>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</si>
  <si>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</si>
  <si>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</si>
  <si>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</si>
  <si>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</si>
  <si>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</si>
  <si>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</si>
  <si>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</si>
  <si>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</si>
  <si>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</si>
  <si>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</si>
  <si>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</si>
  <si>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</si>
  <si>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</si>
  <si>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 xml:space="preserve">Texas Southmost College </t>
  </si>
  <si>
    <t>Texas State Technical College-Waco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</si>
  <si>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</si>
  <si>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</si>
  <si>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</si>
  <si>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</si>
  <si>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</si>
  <si>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</si>
  <si>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</si>
  <si>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</si>
  <si>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</si>
  <si>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</si>
  <si>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</si>
  <si>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>Lamar Institute of Technology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</si>
  <si>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</si>
  <si>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</si>
  <si>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</si>
  <si>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</si>
  <si>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</si>
  <si>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</si>
  <si>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</si>
  <si>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</si>
  <si>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</si>
  <si>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</si>
  <si>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</si>
  <si>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</si>
  <si>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</si>
  <si>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</si>
  <si>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</si>
  <si>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</si>
  <si>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</si>
  <si>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</si>
  <si>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</si>
  <si>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???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</si>
  <si>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</si>
  <si>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</si>
  <si>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</si>
  <si>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</si>
  <si>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</si>
  <si>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</si>
  <si>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A &amp; M Health Science Center</t>
  </si>
  <si>
    <t>Texas Tech University Health Sciences Center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</si>
  <si>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</si>
  <si>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</si>
  <si>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</si>
  <si>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</si>
  <si>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</si>
  <si>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</si>
  <si>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Texas A &amp; M University - Central Texas</t>
  </si>
  <si>
    <t>Texas A &amp; M University - San Antonio</t>
  </si>
  <si>
    <t>University of North Texas at Dallas</t>
  </si>
  <si>
    <t>New fall 2009. No degrees yet granted.</t>
  </si>
  <si>
    <t>Start-up</t>
  </si>
  <si>
    <t>Start-up Total</t>
  </si>
  <si>
    <t>Reclassified: Met the criteria for Four-Year 4 in 2010-11, 2011-12, and 2012-13.</t>
  </si>
  <si>
    <t>Reclassified: Met the criteria for Four-Year 5 in 2010-11, 2011-12, and 2012-13.</t>
  </si>
  <si>
    <t>Met criteria for Two-Year 2 in 2012-13.</t>
  </si>
  <si>
    <t>Reclassified: Met the criteria for Two-Year 2 in 2010-11, 2011-12, and 2012-13.</t>
  </si>
  <si>
    <t>Reclassified: Met the criteria for Technical Institute or College 1 in 2010-11, 2011-12, and 2012-13.</t>
  </si>
  <si>
    <t>AR</t>
  </si>
  <si>
    <t>University of Arkansas, Fayetteville</t>
  </si>
  <si>
    <t>Arkansas State University</t>
  </si>
  <si>
    <t>University of Arkansas at Little Rock</t>
  </si>
  <si>
    <t xml:space="preserve">University of Central Arkansas </t>
  </si>
  <si>
    <t>Arkansas Tech University</t>
  </si>
  <si>
    <t>Henderson State University</t>
  </si>
  <si>
    <t>Southern Arkansas University</t>
  </si>
  <si>
    <t>University of Arkansas at Monticello</t>
  </si>
  <si>
    <t>University of Arkansas at Fort Smith</t>
  </si>
  <si>
    <t>University of Arkansas at Pine Bluff</t>
  </si>
  <si>
    <t xml:space="preserve">Northwest Arkansas Community College </t>
  </si>
  <si>
    <t>Pulaski Technical College</t>
  </si>
  <si>
    <t>Arkansas State University-Beebe</t>
  </si>
  <si>
    <t>National Park Community College</t>
  </si>
  <si>
    <t>Arkansas Northeastern College</t>
  </si>
  <si>
    <t>Arkansas State University Mountain Home</t>
  </si>
  <si>
    <t>Arkansas State University-Newport</t>
  </si>
  <si>
    <t>Black River Technical College</t>
  </si>
  <si>
    <t>College of the Ouachitas</t>
  </si>
  <si>
    <t>Cossatot Community College of the University of Arkansas</t>
  </si>
  <si>
    <t xml:space="preserve">East Arkansas Community College </t>
  </si>
  <si>
    <t xml:space="preserve">Mid-South Community College </t>
  </si>
  <si>
    <t>North Arkansas College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</si>
  <si>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</si>
  <si>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</si>
  <si>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</si>
  <si>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</si>
  <si>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</si>
  <si>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</si>
  <si>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</si>
  <si>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</si>
  <si>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</si>
  <si>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</si>
  <si>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Reclassified: met the criteria for Four-Year 3 in 2010-11, 2011-12 and 2012-13.</t>
  </si>
  <si>
    <t>Asheville-Buncombe Technical Community College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</si>
  <si>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</si>
  <si>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</si>
  <si>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</si>
  <si>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</si>
  <si>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 xml:space="preserve">Gaston College 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</si>
  <si>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</si>
  <si>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</si>
  <si>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</si>
  <si>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</si>
  <si>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</si>
  <si>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</si>
  <si>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</si>
  <si>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</si>
  <si>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</si>
  <si>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</si>
  <si>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</si>
  <si>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</si>
  <si>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</si>
  <si>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</si>
  <si>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>Haywood Community College</t>
  </si>
  <si>
    <t xml:space="preserve">Isothermal Community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</si>
  <si>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</si>
  <si>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</si>
  <si>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</si>
  <si>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</si>
  <si>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</si>
  <si>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Robeson Community College</t>
  </si>
  <si>
    <t xml:space="preserve">Sandhills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</si>
  <si>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</si>
  <si>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</si>
  <si>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</si>
  <si>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</si>
  <si>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</si>
  <si>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</si>
  <si>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</si>
  <si>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</si>
  <si>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</si>
  <si>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</si>
  <si>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</si>
  <si>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College of the Albemarle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</si>
  <si>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</si>
  <si>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</si>
  <si>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</si>
  <si>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</si>
  <si>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</si>
  <si>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</si>
  <si>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</si>
  <si>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</si>
  <si>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Richmond Community College</t>
  </si>
  <si>
    <t>Roanoke-Chowan Community College</t>
  </si>
  <si>
    <t xml:space="preserve">Rockingham Community College </t>
  </si>
  <si>
    <t>Sampson Community College</t>
  </si>
  <si>
    <t>South Piedmont Community College</t>
  </si>
  <si>
    <t xml:space="preserve">Southeastern Community College </t>
  </si>
  <si>
    <t xml:space="preserve">Southwestern Community College </t>
  </si>
  <si>
    <t xml:space="preserve">Tri-County Community College </t>
  </si>
  <si>
    <t>Wilson Community College</t>
  </si>
  <si>
    <t>Met the criteria for Two-Year 3 in 2011-12 and 2012-13.</t>
  </si>
  <si>
    <t>FL</t>
  </si>
  <si>
    <t>Florida International University</t>
  </si>
  <si>
    <t xml:space="preserve">Florida State University </t>
  </si>
  <si>
    <t xml:space="preserve">University of Central Florida </t>
  </si>
  <si>
    <t>University of Florida</t>
  </si>
  <si>
    <t xml:space="preserve">University of South Florida </t>
  </si>
  <si>
    <t xml:space="preserve">Florida Atlantic University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</si>
  <si>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</si>
  <si>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</si>
  <si>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</si>
  <si>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</si>
  <si>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</si>
  <si>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>Met the criteria for Four-Year 2 in 2011-12 and 2012-13.</t>
  </si>
  <si>
    <t>DE</t>
  </si>
  <si>
    <t>University of Delaware</t>
  </si>
  <si>
    <t>Delaware State University</t>
  </si>
  <si>
    <t>Delaware Technical and Community College--Stanton-Wilmington</t>
  </si>
  <si>
    <t>Delaware Technical and Community College--Owens</t>
  </si>
  <si>
    <t>Delaware Technical and Community College--Terry</t>
  </si>
  <si>
    <t>Southcentral Kentucky Community and Technical College</t>
  </si>
  <si>
    <t>MD</t>
  </si>
  <si>
    <t>University of Maryland College Park</t>
  </si>
  <si>
    <t>Morgan State University</t>
  </si>
  <si>
    <t>University of Maryland, Baltimore County</t>
  </si>
  <si>
    <t xml:space="preserve">Towson University </t>
  </si>
  <si>
    <t xml:space="preserve">Bowie State University </t>
  </si>
  <si>
    <t>Coppin State University</t>
  </si>
  <si>
    <t xml:space="preserve">Frostburg State University </t>
  </si>
  <si>
    <t xml:space="preserve">Salisbury University </t>
  </si>
  <si>
    <t>University of Baltimore</t>
  </si>
  <si>
    <t xml:space="preserve">University of Maryland Eastern Shore </t>
  </si>
  <si>
    <t>Saint Mary's College of Maryland</t>
  </si>
  <si>
    <t xml:space="preserve">Anne Arundel Community College </t>
  </si>
  <si>
    <t>College of Southern Maryland</t>
  </si>
  <si>
    <t>Community College of Baltimore County (all campuses)</t>
  </si>
  <si>
    <t xml:space="preserve">Howard Community College </t>
  </si>
  <si>
    <t>Montgomery College (all campuses)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</si>
  <si>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</si>
  <si>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</si>
  <si>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</si>
  <si>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</si>
  <si>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</si>
  <si>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</si>
  <si>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</si>
  <si>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Wor-Wic Community College </t>
  </si>
  <si>
    <t xml:space="preserve">Cecil Community College </t>
  </si>
  <si>
    <t xml:space="preserve">Chesapeake College </t>
  </si>
  <si>
    <t xml:space="preserve">Garrett College </t>
  </si>
  <si>
    <t>University of Maryland University College</t>
  </si>
  <si>
    <t>University of Maryland, Baltimore</t>
  </si>
  <si>
    <t>Reclassified: met the criteria for Four-Year 5 in 2010-11, 2011-12, and 2012-13.</t>
  </si>
  <si>
    <t>SC</t>
  </si>
  <si>
    <t>Clemson University</t>
  </si>
  <si>
    <t>University of South Carolina-Columbia</t>
  </si>
  <si>
    <t>College of Charleston</t>
  </si>
  <si>
    <t xml:space="preserve">Winthrop University </t>
  </si>
  <si>
    <t xml:space="preserve">The Citadel, the Military College of South Carolina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</si>
  <si>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</si>
  <si>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</si>
  <si>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</si>
  <si>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</si>
  <si>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</si>
  <si>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</si>
  <si>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</si>
  <si>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</si>
  <si>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</si>
  <si>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</si>
  <si>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Tri-County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</si>
  <si>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</si>
  <si>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</si>
  <si>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</si>
  <si>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Florence-Darlington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</si>
  <si>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</si>
  <si>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</si>
  <si>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</si>
  <si>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</si>
  <si>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</si>
  <si>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</si>
  <si>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</si>
  <si>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</si>
  <si>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</si>
  <si>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</si>
  <si>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</si>
  <si>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Willamsburg Technical College </t>
  </si>
  <si>
    <t>Medical University of South Carolina</t>
  </si>
  <si>
    <t xml:space="preserve">Hinds Community College </t>
  </si>
  <si>
    <t xml:space="preserve">Itawamba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</si>
  <si>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</si>
  <si>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</si>
  <si>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</si>
  <si>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</si>
  <si>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</si>
  <si>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</si>
  <si>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</si>
  <si>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</si>
  <si>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</si>
  <si>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</si>
  <si>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</si>
  <si>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</si>
  <si>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</si>
  <si>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 xml:space="preserve">Benjamin Franklin Vocational Center </t>
  </si>
  <si>
    <t xml:space="preserve">Boone County Career &amp; Technical Center </t>
  </si>
  <si>
    <t>Cabell County Vocational-Technical Center</t>
  </si>
  <si>
    <t xml:space="preserve">Carver Vocational Center 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</si>
  <si>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</si>
  <si>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</si>
  <si>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</si>
  <si>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</si>
  <si>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</si>
  <si>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Marion County Vocational-Technical Center</t>
  </si>
  <si>
    <t xml:space="preserve">McDowell County Vocational-Technical Center </t>
  </si>
  <si>
    <t>Mercer County Vocational-Technical Center</t>
  </si>
  <si>
    <t xml:space="preserve">Mineral County Vocational-Technical Center </t>
  </si>
  <si>
    <t xml:space="preserve">Monongalia County Technical Education Center </t>
  </si>
  <si>
    <t>Putnam County Vocational-Technical Center</t>
  </si>
  <si>
    <t>Raleigh County Academy of Careers and Technology</t>
  </si>
  <si>
    <t>Ralph R. Willis Vocational-Technical Center</t>
  </si>
  <si>
    <t>Roane-Jackson Technical Center</t>
  </si>
  <si>
    <t>South Branch Career &amp; Technical Center</t>
  </si>
  <si>
    <t>United Technical Center</t>
  </si>
  <si>
    <t>Wood County School of Practical Nursing</t>
  </si>
  <si>
    <t>Greenbrier Practical School of Nursing</t>
  </si>
  <si>
    <t>Summers County School of Nursing</t>
  </si>
  <si>
    <t xml:space="preserve">Wyoming County </t>
  </si>
  <si>
    <t>VA</t>
  </si>
  <si>
    <t>??? Total</t>
  </si>
  <si>
    <t xml:space="preserve">George Mason University </t>
  </si>
  <si>
    <t xml:space="preserve">Old Dominion University </t>
  </si>
  <si>
    <t>University of Virginia</t>
  </si>
  <si>
    <t xml:space="preserve">Virginia Tech </t>
  </si>
  <si>
    <t>College of William &amp; Mary</t>
  </si>
  <si>
    <t>Virginia Commonwealth University</t>
  </si>
  <si>
    <t>James Madison University</t>
  </si>
  <si>
    <t xml:space="preserve">Norfolk State University </t>
  </si>
  <si>
    <t xml:space="preserve">Longwood University </t>
  </si>
  <si>
    <t>Radford University</t>
  </si>
  <si>
    <t xml:space="preserve">Virginia State University </t>
  </si>
  <si>
    <t>Christopher Newport University</t>
  </si>
  <si>
    <t xml:space="preserve">University of Mary Washington </t>
  </si>
  <si>
    <t xml:space="preserve">University of Virginia's College at Wise </t>
  </si>
  <si>
    <t>J.S. Reynolds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</si>
  <si>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</si>
  <si>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</si>
  <si>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</si>
  <si>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</si>
  <si>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</si>
  <si>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</si>
  <si>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</si>
  <si>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</si>
  <si>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>Lord Fairfax Community College</t>
  </si>
  <si>
    <t xml:space="preserve">New River Community College </t>
  </si>
  <si>
    <t xml:space="preserve">Patrick Henry Community College </t>
  </si>
  <si>
    <t xml:space="preserve">Piedmont Virginia Community College </t>
  </si>
  <si>
    <t>Southside Virginia Community College</t>
  </si>
  <si>
    <t xml:space="preserve">Southwest Virginia Community College </t>
  </si>
  <si>
    <t xml:space="preserve">Virginia Western Community College </t>
  </si>
  <si>
    <t xml:space="preserve">Wytheville Community College </t>
  </si>
  <si>
    <t xml:space="preserve">D.S. Lancaster Community College </t>
  </si>
  <si>
    <t>Eastern Shore Community College</t>
  </si>
  <si>
    <t>Mountain Empire Community College</t>
  </si>
  <si>
    <t>Paul D. Camp Community College</t>
  </si>
  <si>
    <t>Rappahannock Community College</t>
  </si>
  <si>
    <t xml:space="preserve">Richard Bland College </t>
  </si>
  <si>
    <t xml:space="preserve">Virginia Highlands Community College </t>
  </si>
  <si>
    <t>Virginia Military Institute</t>
  </si>
  <si>
    <t>Met the criteria for Four-Year 4 in 2011-12 and 2012-13.</t>
  </si>
  <si>
    <t xml:space="preserve">Chipola College </t>
  </si>
  <si>
    <t>51</t>
  </si>
  <si>
    <t>52</t>
  </si>
  <si>
    <t xml:space="preserve">Daytona State College </t>
  </si>
  <si>
    <t>15</t>
  </si>
  <si>
    <t xml:space="preserve">Edison State College </t>
  </si>
  <si>
    <t>43</t>
  </si>
  <si>
    <t>Florida State College at Jacksonville</t>
  </si>
  <si>
    <t>11</t>
  </si>
  <si>
    <t xml:space="preserve">Indian River State College </t>
  </si>
  <si>
    <t>44</t>
  </si>
  <si>
    <t>10</t>
  </si>
  <si>
    <t xml:space="preserve">Miami Dade College </t>
  </si>
  <si>
    <t>50</t>
  </si>
  <si>
    <t>Northwest Florida State College</t>
  </si>
  <si>
    <t xml:space="preserve">St. Petersburg College </t>
  </si>
  <si>
    <t xml:space="preserve">Brevard Community College </t>
  </si>
  <si>
    <t xml:space="preserve">Broward College </t>
  </si>
  <si>
    <t>College of Central Florida</t>
  </si>
  <si>
    <t xml:space="preserve">Hillsborough Community College </t>
  </si>
  <si>
    <t xml:space="preserve">Palm Beach State College </t>
  </si>
  <si>
    <t xml:space="preserve">Pasco-Hernando Community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</si>
  <si>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</si>
  <si>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</si>
  <si>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</si>
  <si>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</si>
  <si>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>State College of Florida, Manatee-Sarasota</t>
  </si>
  <si>
    <t xml:space="preserve">Tallahassee Community College </t>
  </si>
  <si>
    <t xml:space="preserve">Valencia Community College </t>
  </si>
  <si>
    <t>Florida Gateway College</t>
  </si>
  <si>
    <t xml:space="preserve">Gulf Coast Community College </t>
  </si>
  <si>
    <t xml:space="preserve">Lake-Sumter Community College </t>
  </si>
  <si>
    <t xml:space="preserve">South Florida Community College </t>
  </si>
  <si>
    <t xml:space="preserve">St. Johns River Community College </t>
  </si>
  <si>
    <t xml:space="preserve">Florida Keys Community College </t>
  </si>
  <si>
    <t xml:space="preserve">North Florida Community College </t>
  </si>
  <si>
    <t>Reclassified: Met the criteria for Two-year 1 in 2010-11, 2011-12, and 2012-13.</t>
  </si>
  <si>
    <t>Met the criteria for Two-Year with Bachelor's in 2011-12 and 2012-13.</t>
  </si>
  <si>
    <t>Met the criteria for Two-Year with Bachelor's in 2012-13.</t>
  </si>
  <si>
    <t>Met the criteria for Two-Year 1 in 2011-12 and 2012-13.</t>
  </si>
  <si>
    <t>Met criteria for Two-Year 1 in 2012-13.</t>
  </si>
  <si>
    <t>All Public Institutions, 2011-12</t>
  </si>
  <si>
    <t>All Public Four-Year Universities, 2011-12</t>
  </si>
  <si>
    <t>Public Four-Year 1 Universities, 2011-12</t>
  </si>
  <si>
    <t>Public Four-Year 2 Universities, 2011-12</t>
  </si>
  <si>
    <t>Public Four-Year 3 Universities, 2011-12</t>
  </si>
  <si>
    <t>Public Four-Year 4 Universities, 2011-12</t>
  </si>
  <si>
    <t>Public Four-Year 5 Universities, 2011-12</t>
  </si>
  <si>
    <t>Public Four-Year 6 Universities, 2011-12</t>
  </si>
  <si>
    <t>Public Two-Year Colleges, 2011-12</t>
  </si>
  <si>
    <t>Public Technical Institutes or Colleges, 2011-12</t>
  </si>
  <si>
    <t>Public Specialized Institutions, 2011-12</t>
  </si>
  <si>
    <t>Public Colleges and Universities, 2011-12</t>
  </si>
  <si>
    <t xml:space="preserve"> February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</si>
</sst>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_)"/>
    <numFmt numFmtId="165" formatCode="0.00_)"/>
    <numFmt numFmtId="166" formatCode="_(* #,##0.0_);_(* \(#,##0.0\);_(* &quot;-&quot;??_);_(@_)"/>
    <numFmt numFmtId="167" formatCode="_(* #,##0_);_(* \(#,##0\);_(* &quot;-&quot;??_);_(@_)"/>
    <numFmt numFmtId="168" formatCode="0.0%"/>
    <numFmt numFmtId="169" formatCode="#,##0.0000_);\(#,##0.0000\)"/>
    <numFmt numFmtId="170" formatCode="General_)"/>
  </numFmts>
  <fonts count="84" x14ac:knownFonts="1">
    <font>
      <sz val="12"/>
      <name val="AGaramond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Garamond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10"/>
      <color indexed="17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0"/>
      <name val="Helv"/>
    </font>
    <font>
      <sz val="10"/>
      <name val="Arial"/>
      <family val="2"/>
    </font>
    <font>
      <b/>
      <sz val="10"/>
      <name val="Arial"/>
      <family val="2"/>
    </font>
    <font>
      <sz val="12"/>
      <name val="AGaramond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b/>
      <sz val="8"/>
      <name val="Times New Roman"/>
      <family val="1"/>
    </font>
    <font>
      <b/>
      <sz val="8"/>
      <color rgb="FFC00000"/>
      <name val="Times New Roman"/>
      <family val="1"/>
    </font>
    <font>
      <sz val="10"/>
      <color rgb="FF0000FF"/>
      <name val="Arial"/>
      <family val="2"/>
    </font>
    <font>
      <sz val="12"/>
      <name val="AGaramond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FF0000"/>
      <name val="Times New Roman"/>
      <family val="1"/>
    </font>
    <font>
      <sz val="8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indexed="51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42"/>
      </patternFill>
    </fill>
    <fill>
      <patternFill patternType="solid">
        <fgColor indexed="45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2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42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thin">
        <color indexed="64"/>
      </bottom>
      <diagonal/>
    </border>
  </borders>
  <cellStyleXfs count="29872">
    <xf numFmtId="164" fontId="0" fillId="0" borderId="0"/>
    <xf numFmtId="43" fontId="13" fillId="0" borderId="0" applyFont="0" applyFill="0" applyBorder="0" applyAlignment="0" applyProtection="0"/>
    <xf numFmtId="164" fontId="13" fillId="0" borderId="0"/>
    <xf numFmtId="9" fontId="13" fillId="0" borderId="0" applyFont="0" applyFill="0" applyBorder="0" applyAlignment="0" applyProtection="0"/>
    <xf numFmtId="3" fontId="15" fillId="0" borderId="1" applyFont="0"/>
    <xf numFmtId="164" fontId="16" fillId="0" borderId="2" applyNumberFormat="0" applyFont="0" applyBorder="0" applyAlignme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2" fillId="0" borderId="0"/>
    <xf numFmtId="9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32" fillId="0" borderId="0"/>
    <xf numFmtId="0" fontId="41" fillId="0" borderId="0"/>
    <xf numFmtId="164" fontId="32" fillId="0" borderId="0"/>
    <xf numFmtId="0" fontId="15" fillId="0" borderId="0"/>
    <xf numFmtId="0" fontId="12" fillId="0" borderId="0"/>
    <xf numFmtId="0" fontId="15" fillId="0" borderId="0"/>
    <xf numFmtId="0" fontId="11" fillId="0" borderId="0"/>
    <xf numFmtId="0" fontId="11" fillId="0" borderId="0"/>
    <xf numFmtId="0" fontId="44" fillId="0" borderId="0"/>
    <xf numFmtId="9" fontId="44" fillId="0" borderId="0" applyFont="0" applyFill="0" applyBorder="0" applyAlignment="0" applyProtection="0"/>
    <xf numFmtId="0" fontId="10" fillId="0" borderId="0"/>
    <xf numFmtId="0" fontId="44" fillId="0" borderId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20" fillId="0" borderId="0"/>
    <xf numFmtId="0" fontId="20" fillId="0" borderId="0">
      <alignment vertical="top"/>
    </xf>
    <xf numFmtId="0" fontId="15" fillId="0" borderId="0"/>
    <xf numFmtId="0" fontId="15" fillId="0" borderId="0"/>
    <xf numFmtId="0" fontId="10" fillId="0" borderId="0"/>
    <xf numFmtId="0" fontId="15" fillId="0" borderId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46" fillId="0" borderId="0">
      <alignment horizontal="left" wrapText="1"/>
    </xf>
    <xf numFmtId="0" fontId="44" fillId="0" borderId="0"/>
    <xf numFmtId="0" fontId="27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3" fillId="0" borderId="0"/>
    <xf numFmtId="43" fontId="1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3" fontId="18" fillId="0" borderId="0"/>
    <xf numFmtId="43" fontId="32" fillId="0" borderId="0" applyFont="0" applyFill="0" applyBorder="0" applyAlignment="0" applyProtection="0"/>
    <xf numFmtId="170" fontId="47" fillId="0" borderId="0"/>
    <xf numFmtId="170" fontId="47" fillId="0" borderId="0"/>
    <xf numFmtId="3" fontId="15" fillId="0" borderId="1" applyFo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2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20" fillId="0" borderId="0">
      <alignment vertical="top"/>
    </xf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44" fillId="0" borderId="0"/>
    <xf numFmtId="0" fontId="15" fillId="0" borderId="0"/>
    <xf numFmtId="0" fontId="9" fillId="0" borderId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50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4" fontId="50" fillId="0" borderId="0"/>
    <xf numFmtId="9" fontId="44" fillId="0" borderId="0" applyFont="0" applyFill="0" applyBorder="0" applyAlignment="0" applyProtection="0"/>
    <xf numFmtId="164" fontId="50" fillId="0" borderId="0"/>
    <xf numFmtId="0" fontId="15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50" fillId="0" borderId="0"/>
    <xf numFmtId="164" fontId="50" fillId="0" borderId="0"/>
    <xf numFmtId="164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4" fontId="50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0" fontId="4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4" fontId="50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50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7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52" fillId="0" borderId="0"/>
    <xf numFmtId="0" fontId="7" fillId="0" borderId="0"/>
    <xf numFmtId="0" fontId="51" fillId="0" borderId="0"/>
    <xf numFmtId="0" fontId="7" fillId="0" borderId="0"/>
    <xf numFmtId="0" fontId="7" fillId="0" borderId="0"/>
    <xf numFmtId="164" fontId="13" fillId="0" borderId="0"/>
    <xf numFmtId="164" fontId="13" fillId="0" borderId="0"/>
    <xf numFmtId="164" fontId="13" fillId="0" borderId="0"/>
    <xf numFmtId="3" fontId="18" fillId="0" borderId="0"/>
    <xf numFmtId="164" fontId="3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32" fillId="0" borderId="0"/>
    <xf numFmtId="164" fontId="32" fillId="0" borderId="0"/>
    <xf numFmtId="164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2" fillId="0" borderId="0"/>
    <xf numFmtId="164" fontId="32" fillId="0" borderId="0"/>
    <xf numFmtId="164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2" fillId="0" borderId="0"/>
    <xf numFmtId="0" fontId="67" fillId="0" borderId="0" applyNumberFormat="0" applyFill="0" applyBorder="0" applyAlignment="0" applyProtection="0"/>
    <xf numFmtId="0" fontId="3" fillId="0" borderId="0"/>
    <xf numFmtId="0" fontId="68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3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0" borderId="36" applyNumberFormat="0" applyFill="0" applyAlignment="0" applyProtection="0"/>
    <xf numFmtId="0" fontId="64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2" fillId="0" borderId="0"/>
    <xf numFmtId="164" fontId="32" fillId="0" borderId="0"/>
    <xf numFmtId="0" fontId="71" fillId="0" borderId="38" applyNumberFormat="0" applyFill="0" applyAlignment="0" applyProtection="0"/>
    <xf numFmtId="0" fontId="63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0" fontId="45" fillId="25" borderId="0" applyNumberFormat="0" applyBorder="0" applyAlignment="0" applyProtection="0"/>
    <xf numFmtId="9" fontId="15" fillId="0" borderId="0" applyFont="0" applyFill="0" applyBorder="0" applyAlignment="0" applyProtection="0"/>
    <xf numFmtId="0" fontId="6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7" borderId="40" applyNumberFormat="0" applyFont="0" applyAlignment="0" applyProtection="0"/>
    <xf numFmtId="0" fontId="77" fillId="0" borderId="42" applyNumberFormat="0" applyFill="0" applyAlignment="0" applyProtection="0"/>
    <xf numFmtId="9" fontId="45" fillId="0" borderId="0" applyFont="0" applyFill="0" applyBorder="0" applyAlignment="0" applyProtection="0"/>
    <xf numFmtId="0" fontId="3" fillId="0" borderId="0"/>
    <xf numFmtId="0" fontId="72" fillId="21" borderId="34" applyNumberFormat="0" applyAlignment="0" applyProtection="0"/>
    <xf numFmtId="0" fontId="3" fillId="0" borderId="0"/>
    <xf numFmtId="0" fontId="15" fillId="37" borderId="40" applyNumberFormat="0" applyFont="0" applyAlignment="0" applyProtection="0"/>
    <xf numFmtId="0" fontId="75" fillId="34" borderId="41" applyNumberFormat="0" applyAlignment="0" applyProtection="0"/>
    <xf numFmtId="43" fontId="45" fillId="0" borderId="0" applyFont="0" applyFill="0" applyBorder="0" applyAlignment="0" applyProtection="0"/>
    <xf numFmtId="0" fontId="70" fillId="0" borderId="37" applyNumberFormat="0" applyFill="0" applyAlignment="0" applyProtection="0"/>
    <xf numFmtId="164" fontId="32" fillId="0" borderId="0"/>
    <xf numFmtId="0" fontId="45" fillId="22" borderId="0" applyNumberFormat="0" applyBorder="0" applyAlignment="0" applyProtection="0"/>
    <xf numFmtId="164" fontId="13" fillId="0" borderId="0"/>
    <xf numFmtId="164" fontId="32" fillId="0" borderId="0"/>
    <xf numFmtId="0" fontId="63" fillId="24" borderId="0" applyNumberFormat="0" applyBorder="0" applyAlignment="0" applyProtection="0"/>
    <xf numFmtId="0" fontId="45" fillId="16" borderId="0" applyNumberFormat="0" applyBorder="0" applyAlignment="0" applyProtection="0"/>
    <xf numFmtId="164" fontId="32" fillId="0" borderId="0"/>
    <xf numFmtId="0" fontId="3" fillId="0" borderId="0"/>
    <xf numFmtId="0" fontId="3" fillId="0" borderId="0"/>
    <xf numFmtId="0" fontId="65" fillId="34" borderId="34" applyNumberFormat="0" applyAlignment="0" applyProtection="0"/>
    <xf numFmtId="0" fontId="66" fillId="35" borderId="35" applyNumberFormat="0" applyAlignment="0" applyProtection="0"/>
    <xf numFmtId="0" fontId="73" fillId="0" borderId="39" applyNumberFormat="0" applyFill="0" applyAlignment="0" applyProtection="0"/>
    <xf numFmtId="0" fontId="65" fillId="34" borderId="34" applyNumberFormat="0" applyAlignment="0" applyProtection="0"/>
    <xf numFmtId="0" fontId="63" fillId="32" borderId="0" applyNumberFormat="0" applyBorder="0" applyAlignment="0" applyProtection="0"/>
    <xf numFmtId="0" fontId="45" fillId="37" borderId="40" applyNumberFormat="0" applyFont="0" applyAlignment="0" applyProtection="0"/>
    <xf numFmtId="164" fontId="32" fillId="0" borderId="0"/>
    <xf numFmtId="164" fontId="32" fillId="0" borderId="0"/>
    <xf numFmtId="0" fontId="63" fillId="26" borderId="0" applyNumberFormat="0" applyBorder="0" applyAlignment="0" applyProtection="0"/>
    <xf numFmtId="0" fontId="3" fillId="0" borderId="0"/>
    <xf numFmtId="0" fontId="3" fillId="0" borderId="0"/>
    <xf numFmtId="170" fontId="47" fillId="0" borderId="0"/>
    <xf numFmtId="0" fontId="51" fillId="0" borderId="0"/>
    <xf numFmtId="0" fontId="45" fillId="22" borderId="0" applyNumberFormat="0" applyBorder="0" applyAlignment="0" applyProtection="0"/>
    <xf numFmtId="0" fontId="3" fillId="0" borderId="0"/>
    <xf numFmtId="170" fontId="47" fillId="0" borderId="0"/>
    <xf numFmtId="0" fontId="3" fillId="0" borderId="0"/>
    <xf numFmtId="0" fontId="3" fillId="0" borderId="0"/>
    <xf numFmtId="0" fontId="15" fillId="0" borderId="0"/>
    <xf numFmtId="0" fontId="74" fillId="36" borderId="0" applyNumberFormat="0" applyBorder="0" applyAlignment="0" applyProtection="0"/>
    <xf numFmtId="0" fontId="63" fillId="27" borderId="0" applyNumberFormat="0" applyBorder="0" applyAlignment="0" applyProtection="0"/>
    <xf numFmtId="0" fontId="15" fillId="37" borderId="40" applyNumberFormat="0" applyFont="0" applyAlignment="0" applyProtection="0"/>
    <xf numFmtId="0" fontId="63" fillId="29" borderId="0" applyNumberFormat="0" applyBorder="0" applyAlignment="0" applyProtection="0"/>
    <xf numFmtId="170" fontId="47" fillId="0" borderId="0"/>
    <xf numFmtId="0" fontId="45" fillId="24" borderId="0" applyNumberFormat="0" applyBorder="0" applyAlignment="0" applyProtection="0"/>
    <xf numFmtId="0" fontId="3" fillId="15" borderId="33" applyNumberFormat="0" applyFont="0" applyAlignment="0" applyProtection="0"/>
    <xf numFmtId="164" fontId="32" fillId="0" borderId="0"/>
    <xf numFmtId="0" fontId="72" fillId="21" borderId="34" applyNumberFormat="0" applyAlignment="0" applyProtection="0"/>
    <xf numFmtId="0" fontId="45" fillId="20" borderId="0" applyNumberFormat="0" applyBorder="0" applyAlignment="0" applyProtection="0"/>
    <xf numFmtId="0" fontId="45" fillId="18" borderId="0" applyNumberFormat="0" applyBorder="0" applyAlignment="0" applyProtection="0"/>
    <xf numFmtId="0" fontId="71" fillId="0" borderId="0" applyNumberFormat="0" applyFill="0" applyBorder="0" applyAlignment="0" applyProtection="0"/>
    <xf numFmtId="164" fontId="32" fillId="0" borderId="0"/>
    <xf numFmtId="0" fontId="63" fillId="30" borderId="0" applyNumberFormat="0" applyBorder="0" applyAlignment="0" applyProtection="0"/>
    <xf numFmtId="0" fontId="78" fillId="0" borderId="0" applyNumberFormat="0" applyFill="0" applyBorder="0" applyAlignment="0" applyProtection="0"/>
    <xf numFmtId="0" fontId="77" fillId="0" borderId="42" applyNumberFormat="0" applyFill="0" applyAlignment="0" applyProtection="0"/>
    <xf numFmtId="164" fontId="32" fillId="0" borderId="0"/>
    <xf numFmtId="0" fontId="45" fillId="19" borderId="0" applyNumberFormat="0" applyBorder="0" applyAlignment="0" applyProtection="0"/>
    <xf numFmtId="0" fontId="75" fillId="34" borderId="41" applyNumberFormat="0" applyAlignment="0" applyProtection="0"/>
    <xf numFmtId="0" fontId="3" fillId="0" borderId="0"/>
    <xf numFmtId="0" fontId="63" fillId="27" borderId="0" applyNumberFormat="0" applyBorder="0" applyAlignment="0" applyProtection="0"/>
    <xf numFmtId="0" fontId="45" fillId="17" borderId="0" applyNumberFormat="0" applyBorder="0" applyAlignment="0" applyProtection="0"/>
    <xf numFmtId="0" fontId="45" fillId="19" borderId="0" applyNumberFormat="0" applyBorder="0" applyAlignment="0" applyProtection="0"/>
    <xf numFmtId="0" fontId="45" fillId="21" borderId="0" applyNumberFormat="0" applyBorder="0" applyAlignment="0" applyProtection="0"/>
    <xf numFmtId="0" fontId="63" fillId="31" borderId="0" applyNumberFormat="0" applyBorder="0" applyAlignment="0" applyProtection="0"/>
    <xf numFmtId="0" fontId="45" fillId="0" borderId="0"/>
    <xf numFmtId="0" fontId="45" fillId="23" borderId="0" applyNumberFormat="0" applyBorder="0" applyAlignment="0" applyProtection="0"/>
    <xf numFmtId="0" fontId="6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33" applyNumberFormat="0" applyFont="0" applyAlignment="0" applyProtection="0"/>
    <xf numFmtId="164" fontId="62" fillId="0" borderId="0"/>
    <xf numFmtId="170" fontId="47" fillId="0" borderId="0"/>
    <xf numFmtId="3" fontId="18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33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18" fillId="0" borderId="0"/>
    <xf numFmtId="3" fontId="18" fillId="0" borderId="0"/>
    <xf numFmtId="170" fontId="47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62" fillId="0" borderId="0"/>
    <xf numFmtId="17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2" fillId="0" borderId="0"/>
    <xf numFmtId="164" fontId="3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164" fontId="6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62" fillId="0" borderId="0"/>
    <xf numFmtId="164" fontId="62" fillId="0" borderId="0"/>
    <xf numFmtId="170" fontId="47" fillId="0" borderId="0"/>
    <xf numFmtId="170" fontId="47" fillId="0" borderId="0"/>
    <xf numFmtId="170" fontId="47" fillId="0" borderId="0"/>
    <xf numFmtId="164" fontId="62" fillId="0" borderId="0"/>
    <xf numFmtId="164" fontId="62" fillId="0" borderId="0"/>
    <xf numFmtId="164" fontId="62" fillId="0" borderId="0"/>
    <xf numFmtId="164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62" fillId="0" borderId="0"/>
    <xf numFmtId="164" fontId="62" fillId="0" borderId="0"/>
    <xf numFmtId="164" fontId="6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4" fontId="6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5" borderId="33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3" fontId="1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33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7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3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3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" fillId="0" borderId="0"/>
    <xf numFmtId="164" fontId="13" fillId="0" borderId="0"/>
  </cellStyleXfs>
  <cellXfs count="910">
    <xf numFmtId="164" fontId="0" fillId="0" borderId="0" xfId="0"/>
    <xf numFmtId="164" fontId="14" fillId="0" borderId="0" xfId="0" applyFont="1" applyAlignment="1">
      <alignment horizontal="centerContinuous"/>
    </xf>
    <xf numFmtId="164" fontId="14" fillId="0" borderId="0" xfId="0" applyFont="1" applyAlignment="1">
      <alignment horizontal="center"/>
    </xf>
    <xf numFmtId="164" fontId="15" fillId="0" borderId="0" xfId="0" applyFont="1"/>
    <xf numFmtId="164" fontId="15" fillId="0" borderId="0" xfId="0" applyFont="1" applyAlignment="1">
      <alignment horizontal="centerContinuous"/>
    </xf>
    <xf numFmtId="3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center"/>
    </xf>
    <xf numFmtId="3" fontId="15" fillId="0" borderId="4" xfId="0" applyNumberFormat="1" applyFont="1" applyBorder="1" applyAlignment="1">
      <alignment horizontal="left"/>
    </xf>
    <xf numFmtId="3" fontId="15" fillId="0" borderId="4" xfId="0" applyNumberFormat="1" applyFont="1" applyBorder="1" applyAlignment="1">
      <alignment horizontal="center"/>
    </xf>
    <xf numFmtId="164" fontId="15" fillId="0" borderId="4" xfId="0" applyFont="1" applyBorder="1"/>
    <xf numFmtId="164" fontId="15" fillId="0" borderId="0" xfId="0" applyFont="1" applyAlignment="1">
      <alignment horizontal="left"/>
    </xf>
    <xf numFmtId="164" fontId="15" fillId="0" borderId="5" xfId="0" applyFont="1" applyBorder="1"/>
    <xf numFmtId="164" fontId="16" fillId="0" borderId="3" xfId="0" applyFont="1" applyBorder="1" applyAlignment="1">
      <alignment horizontal="centerContinuous"/>
    </xf>
    <xf numFmtId="164" fontId="16" fillId="0" borderId="6" xfId="0" applyFont="1" applyBorder="1" applyAlignment="1">
      <alignment horizontal="centerContinuous"/>
    </xf>
    <xf numFmtId="164" fontId="16" fillId="0" borderId="4" xfId="0" applyFont="1" applyBorder="1" applyAlignment="1">
      <alignment horizontal="center"/>
    </xf>
    <xf numFmtId="164" fontId="17" fillId="0" borderId="4" xfId="0" applyFont="1" applyBorder="1" applyAlignment="1">
      <alignment horizontal="center" wrapText="1"/>
    </xf>
    <xf numFmtId="164" fontId="17" fillId="0" borderId="7" xfId="0" applyFont="1" applyBorder="1" applyAlignment="1">
      <alignment horizontal="center" wrapText="1"/>
    </xf>
    <xf numFmtId="3" fontId="15" fillId="0" borderId="8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15" fillId="0" borderId="8" xfId="1" applyNumberFormat="1" applyFont="1" applyBorder="1"/>
    <xf numFmtId="3" fontId="15" fillId="0" borderId="0" xfId="1" applyNumberFormat="1" applyFont="1"/>
    <xf numFmtId="164" fontId="19" fillId="0" borderId="0" xfId="0" applyFont="1" applyAlignment="1">
      <alignment horizontal="center"/>
    </xf>
    <xf numFmtId="164" fontId="19" fillId="0" borderId="0" xfId="0" applyFont="1" applyAlignment="1">
      <alignment horizontal="centerContinuous"/>
    </xf>
    <xf numFmtId="37" fontId="16" fillId="0" borderId="9" xfId="0" applyNumberFormat="1" applyFont="1" applyBorder="1"/>
    <xf numFmtId="37" fontId="17" fillId="0" borderId="10" xfId="0" applyNumberFormat="1" applyFont="1" applyBorder="1" applyAlignment="1">
      <alignment horizontal="centerContinuous"/>
    </xf>
    <xf numFmtId="37" fontId="17" fillId="0" borderId="11" xfId="0" applyNumberFormat="1" applyFont="1" applyBorder="1" applyAlignment="1">
      <alignment horizontal="centerContinuous"/>
    </xf>
    <xf numFmtId="164" fontId="14" fillId="0" borderId="3" xfId="0" applyFont="1" applyBorder="1" applyAlignment="1">
      <alignment horizontal="centerContinuous"/>
    </xf>
    <xf numFmtId="37" fontId="16" fillId="0" borderId="4" xfId="0" applyNumberFormat="1" applyFont="1" applyBorder="1" applyAlignment="1">
      <alignment horizontal="center"/>
    </xf>
    <xf numFmtId="37" fontId="17" fillId="0" borderId="12" xfId="0" applyNumberFormat="1" applyFont="1" applyBorder="1" applyAlignment="1">
      <alignment horizontal="center" wrapText="1"/>
    </xf>
    <xf numFmtId="37" fontId="17" fillId="0" borderId="4" xfId="0" applyNumberFormat="1" applyFont="1" applyBorder="1" applyAlignment="1">
      <alignment horizontal="center" wrapText="1"/>
    </xf>
    <xf numFmtId="37" fontId="17" fillId="0" borderId="13" xfId="0" applyNumberFormat="1" applyFont="1" applyBorder="1" applyAlignment="1">
      <alignment horizontal="center" wrapText="1"/>
    </xf>
    <xf numFmtId="3" fontId="15" fillId="0" borderId="14" xfId="1" applyNumberFormat="1" applyFont="1" applyBorder="1"/>
    <xf numFmtId="3" fontId="15" fillId="0" borderId="0" xfId="1" applyNumberFormat="1" applyFont="1" applyBorder="1"/>
    <xf numFmtId="164" fontId="16" fillId="0" borderId="0" xfId="0" applyFont="1" applyAlignment="1">
      <alignment horizontal="left" vertical="center"/>
    </xf>
    <xf numFmtId="3" fontId="15" fillId="0" borderId="4" xfId="1" applyNumberFormat="1" applyFont="1" applyBorder="1"/>
    <xf numFmtId="3" fontId="15" fillId="0" borderId="13" xfId="1" applyNumberFormat="1" applyFont="1" applyBorder="1"/>
    <xf numFmtId="3" fontId="15" fillId="0" borderId="7" xfId="1" applyNumberFormat="1" applyFont="1" applyBorder="1"/>
    <xf numFmtId="166" fontId="15" fillId="0" borderId="0" xfId="1" applyNumberFormat="1" applyFont="1"/>
    <xf numFmtId="166" fontId="15" fillId="0" borderId="4" xfId="1" applyNumberFormat="1" applyFont="1" applyBorder="1"/>
    <xf numFmtId="3" fontId="15" fillId="0" borderId="0" xfId="0" applyNumberFormat="1" applyFont="1" applyBorder="1" applyAlignment="1">
      <alignment horizontal="left"/>
    </xf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Border="1"/>
    <xf numFmtId="166" fontId="15" fillId="0" borderId="0" xfId="1" applyNumberFormat="1" applyFont="1" applyBorder="1"/>
    <xf numFmtId="164" fontId="15" fillId="0" borderId="0" xfId="0" applyFont="1" applyBorder="1"/>
    <xf numFmtId="164" fontId="18" fillId="0" borderId="0" xfId="0" applyFont="1" applyBorder="1" applyAlignment="1">
      <alignment vertical="top" wrapText="1"/>
    </xf>
    <xf numFmtId="3" fontId="15" fillId="0" borderId="5" xfId="0" applyNumberFormat="1" applyFont="1" applyBorder="1" applyAlignment="1">
      <alignment horizontal="left"/>
    </xf>
    <xf numFmtId="3" fontId="15" fillId="0" borderId="5" xfId="1" applyNumberFormat="1" applyFont="1" applyBorder="1" applyAlignment="1">
      <alignment horizontal="center"/>
    </xf>
    <xf numFmtId="3" fontId="15" fillId="0" borderId="5" xfId="1" applyNumberFormat="1" applyFont="1" applyBorder="1"/>
    <xf numFmtId="164" fontId="18" fillId="0" borderId="0" xfId="0" applyFont="1"/>
    <xf numFmtId="164" fontId="18" fillId="0" borderId="0" xfId="0" applyFont="1" applyBorder="1" applyAlignment="1">
      <alignment horizontal="left" vertical="top" wrapText="1"/>
    </xf>
    <xf numFmtId="164" fontId="15" fillId="0" borderId="0" xfId="0" applyFont="1" applyFill="1" applyBorder="1"/>
    <xf numFmtId="164" fontId="15" fillId="0" borderId="0" xfId="0" applyFont="1" applyFill="1"/>
    <xf numFmtId="3" fontId="15" fillId="0" borderId="0" xfId="0" applyNumberFormat="1" applyFont="1" applyFill="1" applyBorder="1"/>
    <xf numFmtId="164" fontId="16" fillId="0" borderId="17" xfId="0" applyFont="1" applyBorder="1" applyAlignment="1">
      <alignment horizontal="centerContinuous"/>
    </xf>
    <xf numFmtId="164" fontId="17" fillId="0" borderId="18" xfId="0" applyFont="1" applyBorder="1" applyAlignment="1">
      <alignment horizontal="center" wrapText="1"/>
    </xf>
    <xf numFmtId="3" fontId="15" fillId="0" borderId="19" xfId="0" applyNumberFormat="1" applyFont="1" applyBorder="1" applyAlignment="1">
      <alignment horizontal="center"/>
    </xf>
    <xf numFmtId="3" fontId="15" fillId="0" borderId="18" xfId="0" applyNumberFormat="1" applyFont="1" applyBorder="1" applyAlignment="1">
      <alignment horizontal="center"/>
    </xf>
    <xf numFmtId="164" fontId="15" fillId="0" borderId="0" xfId="0" applyFont="1" applyFill="1" applyAlignment="1">
      <alignment horizontal="centerContinuous"/>
    </xf>
    <xf numFmtId="164" fontId="14" fillId="0" borderId="0" xfId="0" applyFont="1" applyFill="1" applyAlignment="1">
      <alignment horizontal="centerContinuous"/>
    </xf>
    <xf numFmtId="164" fontId="14" fillId="0" borderId="0" xfId="0" applyFont="1" applyFill="1" applyAlignment="1">
      <alignment horizontal="center"/>
    </xf>
    <xf numFmtId="164" fontId="18" fillId="0" borderId="0" xfId="0" applyFont="1" applyAlignment="1">
      <alignment horizontal="left" vertical="top" wrapText="1"/>
    </xf>
    <xf numFmtId="3" fontId="18" fillId="0" borderId="0" xfId="0" applyNumberFormat="1" applyFont="1" applyBorder="1" applyAlignment="1">
      <alignment horizontal="left"/>
    </xf>
    <xf numFmtId="3" fontId="15" fillId="0" borderId="0" xfId="0" applyNumberFormat="1" applyFont="1" applyFill="1"/>
    <xf numFmtId="164" fontId="18" fillId="0" borderId="0" xfId="0" applyFont="1" applyFill="1" applyAlignment="1">
      <alignment horizontal="left" vertical="top" wrapText="1"/>
    </xf>
    <xf numFmtId="164" fontId="27" fillId="0" borderId="0" xfId="0" applyFont="1"/>
    <xf numFmtId="0" fontId="15" fillId="0" borderId="0" xfId="0" applyNumberFormat="1" applyFont="1"/>
    <xf numFmtId="9" fontId="15" fillId="0" borderId="0" xfId="3" applyFont="1"/>
    <xf numFmtId="164" fontId="15" fillId="0" borderId="21" xfId="0" applyFont="1" applyBorder="1"/>
    <xf numFmtId="164" fontId="19" fillId="0" borderId="0" xfId="0" applyFont="1" applyAlignment="1">
      <alignment horizontal="left" vertical="top"/>
    </xf>
    <xf numFmtId="164" fontId="19" fillId="0" borderId="0" xfId="0" applyFont="1" applyAlignment="1">
      <alignment horizontal="left"/>
    </xf>
    <xf numFmtId="164" fontId="15" fillId="0" borderId="0" xfId="0" applyFont="1" applyFill="1" applyBorder="1" applyAlignment="1">
      <alignment horizontal="center"/>
    </xf>
    <xf numFmtId="164" fontId="22" fillId="0" borderId="0" xfId="0" applyFont="1" applyFill="1" applyBorder="1"/>
    <xf numFmtId="164" fontId="15" fillId="0" borderId="0" xfId="2" applyFont="1" applyFill="1" applyBorder="1"/>
    <xf numFmtId="164" fontId="22" fillId="0" borderId="0" xfId="2" applyFont="1" applyFill="1" applyBorder="1"/>
    <xf numFmtId="164" fontId="22" fillId="0" borderId="0" xfId="0" applyFont="1" applyFill="1" applyBorder="1" applyAlignment="1">
      <alignment horizontal="center"/>
    </xf>
    <xf numFmtId="164" fontId="15" fillId="2" borderId="0" xfId="0" applyFont="1" applyFill="1" applyBorder="1"/>
    <xf numFmtId="164" fontId="16" fillId="2" borderId="0" xfId="0" applyFont="1" applyFill="1" applyBorder="1"/>
    <xf numFmtId="164" fontId="17" fillId="2" borderId="0" xfId="0" applyFont="1" applyFill="1" applyBorder="1" applyAlignment="1">
      <alignment horizontal="center" wrapText="1"/>
    </xf>
    <xf numFmtId="167" fontId="15" fillId="2" borderId="0" xfId="1" applyNumberFormat="1" applyFont="1" applyFill="1" applyBorder="1"/>
    <xf numFmtId="168" fontId="15" fillId="2" borderId="0" xfId="3" applyNumberFormat="1" applyFont="1" applyFill="1" applyBorder="1"/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Alignment="1">
      <alignment horizontal="right"/>
    </xf>
    <xf numFmtId="3" fontId="15" fillId="0" borderId="4" xfId="0" applyNumberFormat="1" applyFont="1" applyFill="1" applyBorder="1" applyAlignment="1">
      <alignment horizontal="right"/>
    </xf>
    <xf numFmtId="49" fontId="18" fillId="0" borderId="0" xfId="0" applyNumberFormat="1" applyFont="1" applyFill="1" applyAlignment="1">
      <alignment horizontal="right"/>
    </xf>
    <xf numFmtId="164" fontId="27" fillId="0" borderId="0" xfId="0" applyFont="1" applyFill="1" applyBorder="1" applyAlignment="1">
      <alignment vertical="top" wrapText="1"/>
    </xf>
    <xf numFmtId="3" fontId="15" fillId="0" borderId="0" xfId="0" applyNumberFormat="1" applyFont="1" applyFill="1" applyBorder="1" applyAlignment="1">
      <alignment horizontal="center"/>
    </xf>
    <xf numFmtId="164" fontId="19" fillId="0" borderId="0" xfId="0" applyFont="1" applyFill="1" applyAlignment="1">
      <alignment horizontal="center"/>
    </xf>
    <xf numFmtId="164" fontId="18" fillId="0" borderId="0" xfId="0" applyFont="1" applyFill="1" applyBorder="1" applyAlignment="1">
      <alignment vertical="top" wrapText="1"/>
    </xf>
    <xf numFmtId="3" fontId="15" fillId="0" borderId="4" xfId="0" applyNumberFormat="1" applyFont="1" applyFill="1" applyBorder="1" applyAlignment="1">
      <alignment horizontal="center"/>
    </xf>
    <xf numFmtId="164" fontId="27" fillId="0" borderId="0" xfId="0" applyFont="1" applyFill="1"/>
    <xf numFmtId="164" fontId="17" fillId="0" borderId="4" xfId="0" applyFont="1" applyFill="1" applyBorder="1" applyAlignment="1">
      <alignment horizontal="center" wrapText="1"/>
    </xf>
    <xf numFmtId="164" fontId="14" fillId="0" borderId="5" xfId="0" applyFont="1" applyBorder="1" applyAlignment="1">
      <alignment horizontal="center"/>
    </xf>
    <xf numFmtId="164" fontId="14" fillId="0" borderId="3" xfId="0" applyFont="1" applyFill="1" applyBorder="1" applyAlignment="1">
      <alignment horizontal="centerContinuous"/>
    </xf>
    <xf numFmtId="164" fontId="0" fillId="0" borderId="0" xfId="0" applyAlignment="1">
      <alignment horizontal="left" vertical="top" wrapText="1"/>
    </xf>
    <xf numFmtId="164" fontId="14" fillId="0" borderId="5" xfId="0" applyFont="1" applyFill="1" applyBorder="1" applyAlignment="1">
      <alignment horizontal="centerContinuous"/>
    </xf>
    <xf numFmtId="164" fontId="17" fillId="0" borderId="6" xfId="0" applyFont="1" applyBorder="1" applyAlignment="1">
      <alignment horizontal="centerContinuous"/>
    </xf>
    <xf numFmtId="164" fontId="17" fillId="0" borderId="17" xfId="0" applyFont="1" applyFill="1" applyBorder="1" applyAlignment="1">
      <alignment horizontal="center" wrapText="1"/>
    </xf>
    <xf numFmtId="3" fontId="15" fillId="0" borderId="19" xfId="0" applyNumberFormat="1" applyFont="1" applyFill="1" applyBorder="1" applyAlignment="1">
      <alignment horizontal="center"/>
    </xf>
    <xf numFmtId="3" fontId="15" fillId="0" borderId="18" xfId="0" applyNumberFormat="1" applyFont="1" applyFill="1" applyBorder="1" applyAlignment="1">
      <alignment horizontal="center"/>
    </xf>
    <xf numFmtId="164" fontId="14" fillId="0" borderId="17" xfId="0" applyFont="1" applyFill="1" applyBorder="1" applyAlignment="1">
      <alignment horizontal="centerContinuous"/>
    </xf>
    <xf numFmtId="165" fontId="15" fillId="0" borderId="0" xfId="0" applyNumberFormat="1" applyFont="1" applyAlignment="1">
      <alignment horizontal="centerContinuous"/>
    </xf>
    <xf numFmtId="49" fontId="15" fillId="0" borderId="0" xfId="2" applyNumberFormat="1" applyFont="1" applyFill="1" applyBorder="1" applyAlignment="1">
      <alignment horizontal="center"/>
    </xf>
    <xf numFmtId="49" fontId="22" fillId="0" borderId="0" xfId="2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18" fillId="0" borderId="0" xfId="0" quotePrefix="1" applyNumberFormat="1" applyFont="1" applyFill="1" applyAlignment="1">
      <alignment horizontal="right"/>
    </xf>
    <xf numFmtId="167" fontId="25" fillId="2" borderId="0" xfId="1" applyNumberFormat="1" applyFont="1" applyFill="1"/>
    <xf numFmtId="164" fontId="15" fillId="0" borderId="0" xfId="0" applyFont="1" applyAlignment="1">
      <alignment horizontal="center"/>
    </xf>
    <xf numFmtId="164" fontId="29" fillId="0" borderId="0" xfId="0" applyFont="1" applyAlignment="1">
      <alignment horizontal="center"/>
    </xf>
    <xf numFmtId="164" fontId="29" fillId="0" borderId="0" xfId="0" applyFont="1"/>
    <xf numFmtId="166" fontId="15" fillId="0" borderId="0" xfId="1" applyNumberFormat="1" applyFont="1" applyFill="1"/>
    <xf numFmtId="49" fontId="15" fillId="3" borderId="0" xfId="0" applyNumberFormat="1" applyFont="1" applyFill="1" applyBorder="1" applyAlignment="1">
      <alignment horizontal="center"/>
    </xf>
    <xf numFmtId="49" fontId="15" fillId="3" borderId="0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/>
    </xf>
    <xf numFmtId="3" fontId="15" fillId="0" borderId="23" xfId="0" applyNumberFormat="1" applyFont="1" applyBorder="1" applyAlignment="1">
      <alignment horizontal="center"/>
    </xf>
    <xf numFmtId="3" fontId="15" fillId="0" borderId="24" xfId="0" applyNumberFormat="1" applyFont="1" applyBorder="1" applyAlignment="1">
      <alignment horizontal="center"/>
    </xf>
    <xf numFmtId="3" fontId="15" fillId="0" borderId="25" xfId="0" applyNumberFormat="1" applyFont="1" applyBorder="1" applyAlignment="1">
      <alignment horizontal="center"/>
    </xf>
    <xf numFmtId="167" fontId="15" fillId="0" borderId="8" xfId="0" applyNumberFormat="1" applyFont="1" applyBorder="1"/>
    <xf numFmtId="167" fontId="15" fillId="0" borderId="0" xfId="0" applyNumberFormat="1" applyFont="1" applyBorder="1"/>
    <xf numFmtId="167" fontId="15" fillId="0" borderId="19" xfId="0" applyNumberFormat="1" applyFont="1" applyBorder="1"/>
    <xf numFmtId="9" fontId="16" fillId="0" borderId="7" xfId="0" applyNumberFormat="1" applyFont="1" applyBorder="1"/>
    <xf numFmtId="9" fontId="16" fillId="0" borderId="4" xfId="0" applyNumberFormat="1" applyFont="1" applyBorder="1"/>
    <xf numFmtId="9" fontId="16" fillId="0" borderId="18" xfId="0" applyNumberFormat="1" applyFont="1" applyBorder="1"/>
    <xf numFmtId="9" fontId="16" fillId="0" borderId="0" xfId="3" applyFont="1"/>
    <xf numFmtId="164" fontId="15" fillId="0" borderId="0" xfId="0" applyFont="1" applyAlignment="1">
      <alignment wrapText="1"/>
    </xf>
    <xf numFmtId="164" fontId="15" fillId="0" borderId="16" xfId="0" applyFont="1" applyBorder="1" applyAlignment="1">
      <alignment wrapText="1"/>
    </xf>
    <xf numFmtId="167" fontId="15" fillId="0" borderId="7" xfId="0" applyNumberFormat="1" applyFont="1" applyBorder="1" applyAlignment="1">
      <alignment wrapText="1"/>
    </xf>
    <xf numFmtId="167" fontId="15" fillId="0" borderId="4" xfId="0" applyNumberFormat="1" applyFont="1" applyBorder="1" applyAlignment="1">
      <alignment wrapText="1"/>
    </xf>
    <xf numFmtId="167" fontId="15" fillId="0" borderId="18" xfId="0" applyNumberFormat="1" applyFont="1" applyBorder="1" applyAlignment="1">
      <alignment wrapText="1"/>
    </xf>
    <xf numFmtId="164" fontId="17" fillId="0" borderId="3" xfId="0" applyFont="1" applyBorder="1" applyAlignment="1">
      <alignment horizontal="centerContinuous" wrapText="1"/>
    </xf>
    <xf numFmtId="164" fontId="17" fillId="0" borderId="22" xfId="0" applyFont="1" applyBorder="1" applyAlignment="1">
      <alignment horizontal="centerContinuous" wrapText="1"/>
    </xf>
    <xf numFmtId="164" fontId="15" fillId="0" borderId="26" xfId="0" applyFont="1" applyBorder="1" applyAlignment="1">
      <alignment horizontal="left"/>
    </xf>
    <xf numFmtId="167" fontId="15" fillId="0" borderId="26" xfId="0" applyNumberFormat="1" applyFont="1" applyBorder="1"/>
    <xf numFmtId="167" fontId="15" fillId="0" borderId="27" xfId="0" applyNumberFormat="1" applyFont="1" applyBorder="1"/>
    <xf numFmtId="167" fontId="15" fillId="0" borderId="28" xfId="0" applyNumberFormat="1" applyFont="1" applyBorder="1"/>
    <xf numFmtId="164" fontId="15" fillId="0" borderId="29" xfId="0" applyFont="1" applyBorder="1" applyAlignment="1">
      <alignment wrapText="1"/>
    </xf>
    <xf numFmtId="167" fontId="15" fillId="0" borderId="26" xfId="0" applyNumberFormat="1" applyFont="1" applyBorder="1" applyAlignment="1">
      <alignment wrapText="1"/>
    </xf>
    <xf numFmtId="167" fontId="15" fillId="0" borderId="27" xfId="0" applyNumberFormat="1" applyFont="1" applyBorder="1" applyAlignment="1">
      <alignment wrapText="1"/>
    </xf>
    <xf numFmtId="167" fontId="15" fillId="0" borderId="28" xfId="0" applyNumberFormat="1" applyFont="1" applyBorder="1" applyAlignment="1">
      <alignment wrapText="1"/>
    </xf>
    <xf numFmtId="9" fontId="16" fillId="0" borderId="16" xfId="0" applyNumberFormat="1" applyFont="1" applyBorder="1"/>
    <xf numFmtId="0" fontId="15" fillId="0" borderId="0" xfId="0" applyNumberFormat="1" applyFont="1" applyAlignment="1">
      <alignment horizontal="left"/>
    </xf>
    <xf numFmtId="0" fontId="15" fillId="0" borderId="26" xfId="0" applyNumberFormat="1" applyFont="1" applyBorder="1" applyAlignment="1">
      <alignment horizontal="left"/>
    </xf>
    <xf numFmtId="0" fontId="15" fillId="0" borderId="8" xfId="0" applyNumberFormat="1" applyFont="1" applyBorder="1" applyAlignment="1">
      <alignment horizontal="left"/>
    </xf>
    <xf numFmtId="164" fontId="15" fillId="0" borderId="26" xfId="0" applyFont="1" applyBorder="1" applyAlignment="1"/>
    <xf numFmtId="164" fontId="15" fillId="0" borderId="8" xfId="0" applyFont="1" applyBorder="1" applyAlignment="1"/>
    <xf numFmtId="164" fontId="16" fillId="0" borderId="7" xfId="0" applyFont="1" applyBorder="1" applyAlignment="1">
      <alignment horizontal="right"/>
    </xf>
    <xf numFmtId="164" fontId="15" fillId="0" borderId="0" xfId="0" applyFont="1" applyAlignment="1"/>
    <xf numFmtId="164" fontId="18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164" fontId="16" fillId="0" borderId="0" xfId="0" applyFont="1" applyFill="1"/>
    <xf numFmtId="164" fontId="31" fillId="0" borderId="0" xfId="0" applyFont="1" applyFill="1" applyAlignment="1">
      <alignment horizontal="right"/>
    </xf>
    <xf numFmtId="164" fontId="15" fillId="0" borderId="0" xfId="0" applyFont="1" applyFill="1" applyAlignment="1">
      <alignment horizontal="center"/>
    </xf>
    <xf numFmtId="164" fontId="31" fillId="0" borderId="0" xfId="0" applyFont="1" applyFill="1"/>
    <xf numFmtId="167" fontId="25" fillId="0" borderId="0" xfId="1" applyNumberFormat="1" applyFont="1" applyFill="1"/>
    <xf numFmtId="164" fontId="14" fillId="0" borderId="0" xfId="0" applyFont="1" applyFill="1" applyBorder="1" applyAlignment="1">
      <alignment horizontal="centerContinuous"/>
    </xf>
    <xf numFmtId="164" fontId="26" fillId="0" borderId="0" xfId="0" applyFont="1" applyFill="1" applyAlignment="1">
      <alignment horizontal="right"/>
    </xf>
    <xf numFmtId="164" fontId="28" fillId="0" borderId="3" xfId="0" applyFont="1" applyFill="1" applyBorder="1" applyAlignment="1">
      <alignment horizontal="center" wrapText="1"/>
    </xf>
    <xf numFmtId="164" fontId="25" fillId="0" borderId="0" xfId="0" applyFont="1" applyFill="1"/>
    <xf numFmtId="168" fontId="34" fillId="0" borderId="0" xfId="3" applyNumberFormat="1" applyFont="1" applyFill="1"/>
    <xf numFmtId="164" fontId="26" fillId="0" borderId="0" xfId="0" applyFont="1" applyFill="1"/>
    <xf numFmtId="9" fontId="15" fillId="0" borderId="0" xfId="3" applyFont="1" applyFill="1" applyBorder="1"/>
    <xf numFmtId="167" fontId="15" fillId="0" borderId="0" xfId="1" applyNumberFormat="1" applyFont="1" applyFill="1"/>
    <xf numFmtId="9" fontId="15" fillId="0" borderId="0" xfId="3" applyFont="1" applyFill="1"/>
    <xf numFmtId="164" fontId="15" fillId="0" borderId="0" xfId="0" applyFont="1" applyFill="1" applyBorder="1" applyAlignment="1">
      <alignment horizontal="centerContinuous"/>
    </xf>
    <xf numFmtId="3" fontId="15" fillId="0" borderId="0" xfId="0" applyNumberFormat="1" applyFont="1" applyFill="1" applyAlignment="1">
      <alignment horizontal="left"/>
    </xf>
    <xf numFmtId="3" fontId="15" fillId="0" borderId="0" xfId="0" applyNumberFormat="1" applyFont="1" applyFill="1" applyBorder="1" applyAlignment="1">
      <alignment horizontal="left"/>
    </xf>
    <xf numFmtId="164" fontId="18" fillId="0" borderId="0" xfId="0" applyFont="1" applyFill="1" applyBorder="1" applyAlignment="1">
      <alignment horizontal="left" vertical="top" wrapText="1"/>
    </xf>
    <xf numFmtId="49" fontId="18" fillId="0" borderId="0" xfId="0" applyNumberFormat="1" applyFont="1" applyFill="1" applyBorder="1" applyAlignment="1">
      <alignment horizontal="right"/>
    </xf>
    <xf numFmtId="168" fontId="15" fillId="0" borderId="0" xfId="3" applyNumberFormat="1" applyFont="1" applyFill="1"/>
    <xf numFmtId="164" fontId="14" fillId="0" borderId="0" xfId="0" applyFont="1" applyFill="1" applyBorder="1" applyAlignment="1">
      <alignment horizontal="center"/>
    </xf>
    <xf numFmtId="164" fontId="17" fillId="0" borderId="0" xfId="0" applyFont="1" applyFill="1" applyBorder="1" applyAlignment="1">
      <alignment horizontal="center" wrapText="1"/>
    </xf>
    <xf numFmtId="3" fontId="15" fillId="0" borderId="0" xfId="0" applyNumberFormat="1" applyFont="1" applyFill="1" applyBorder="1" applyAlignment="1">
      <alignment horizontal="right"/>
    </xf>
    <xf numFmtId="164" fontId="19" fillId="0" borderId="0" xfId="0" applyFont="1" applyFill="1" applyBorder="1" applyAlignment="1">
      <alignment horizontal="center"/>
    </xf>
    <xf numFmtId="167" fontId="15" fillId="0" borderId="19" xfId="0" applyNumberFormat="1" applyFont="1" applyFill="1" applyBorder="1"/>
    <xf numFmtId="164" fontId="16" fillId="0" borderId="0" xfId="0" applyFont="1" applyFill="1" applyBorder="1"/>
    <xf numFmtId="164" fontId="28" fillId="0" borderId="0" xfId="0" applyFont="1" applyFill="1" applyBorder="1" applyAlignment="1">
      <alignment horizontal="center" wrapText="1"/>
    </xf>
    <xf numFmtId="164" fontId="25" fillId="0" borderId="0" xfId="0" applyFont="1" applyFill="1" applyBorder="1"/>
    <xf numFmtId="167" fontId="25" fillId="0" borderId="0" xfId="1" applyNumberFormat="1" applyFont="1" applyFill="1" applyBorder="1"/>
    <xf numFmtId="168" fontId="34" fillId="0" borderId="0" xfId="3" applyNumberFormat="1" applyFont="1" applyFill="1" applyBorder="1"/>
    <xf numFmtId="164" fontId="15" fillId="0" borderId="0" xfId="0" applyFont="1" applyFill="1" applyBorder="1" applyAlignment="1">
      <alignment horizontal="right"/>
    </xf>
    <xf numFmtId="3" fontId="15" fillId="0" borderId="8" xfId="0" applyNumberFormat="1" applyFont="1" applyFill="1" applyBorder="1" applyAlignment="1">
      <alignment horizontal="center"/>
    </xf>
    <xf numFmtId="9" fontId="36" fillId="7" borderId="29" xfId="46" applyFont="1" applyFill="1" applyBorder="1" applyAlignment="1" applyProtection="1">
      <alignment horizontal="left"/>
    </xf>
    <xf numFmtId="37" fontId="36" fillId="8" borderId="29" xfId="45" applyNumberFormat="1" applyFont="1" applyFill="1" applyBorder="1" applyAlignment="1" applyProtection="1">
      <alignment horizontal="left"/>
    </xf>
    <xf numFmtId="9" fontId="36" fillId="8" borderId="26" xfId="46" applyFont="1" applyFill="1" applyBorder="1" applyAlignment="1" applyProtection="1">
      <alignment horizontal="left"/>
    </xf>
    <xf numFmtId="37" fontId="36" fillId="7" borderId="8" xfId="45" applyNumberFormat="1" applyFont="1" applyFill="1" applyBorder="1" applyProtection="1"/>
    <xf numFmtId="37" fontId="36" fillId="8" borderId="8" xfId="45" applyNumberFormat="1" applyFont="1" applyFill="1" applyBorder="1" applyProtection="1"/>
    <xf numFmtId="37" fontId="36" fillId="7" borderId="29" xfId="45" applyNumberFormat="1" applyFont="1" applyFill="1" applyBorder="1" applyProtection="1"/>
    <xf numFmtId="37" fontId="36" fillId="7" borderId="29" xfId="45" applyNumberFormat="1" applyFont="1" applyFill="1" applyBorder="1" applyAlignment="1" applyProtection="1">
      <alignment horizontal="right"/>
    </xf>
    <xf numFmtId="9" fontId="36" fillId="7" borderId="29" xfId="46" applyFont="1" applyFill="1" applyBorder="1" applyAlignment="1" applyProtection="1">
      <alignment horizontal="right"/>
    </xf>
    <xf numFmtId="37" fontId="36" fillId="8" borderId="29" xfId="45" applyNumberFormat="1" applyFont="1" applyFill="1" applyBorder="1" applyAlignment="1" applyProtection="1">
      <alignment horizontal="center"/>
    </xf>
    <xf numFmtId="9" fontId="36" fillId="8" borderId="26" xfId="46" applyFont="1" applyFill="1" applyBorder="1" applyAlignment="1" applyProtection="1">
      <alignment horizontal="right"/>
    </xf>
    <xf numFmtId="37" fontId="36" fillId="8" borderId="26" xfId="45" applyNumberFormat="1" applyFont="1" applyFill="1" applyBorder="1" applyAlignment="1" applyProtection="1">
      <alignment horizontal="center"/>
    </xf>
    <xf numFmtId="37" fontId="36" fillId="8" borderId="26" xfId="45" applyNumberFormat="1" applyFont="1" applyFill="1" applyBorder="1" applyProtection="1"/>
    <xf numFmtId="164" fontId="16" fillId="0" borderId="0" xfId="42" applyFont="1" applyFill="1" applyBorder="1" applyProtection="1">
      <protection locked="0"/>
    </xf>
    <xf numFmtId="37" fontId="16" fillId="6" borderId="8" xfId="45" applyNumberFormat="1" applyFont="1" applyFill="1" applyBorder="1" applyAlignment="1" applyProtection="1">
      <alignment horizontal="centerContinuous"/>
      <protection locked="0"/>
    </xf>
    <xf numFmtId="37" fontId="16" fillId="6" borderId="0" xfId="45" applyNumberFormat="1" applyFont="1" applyFill="1" applyBorder="1" applyAlignment="1" applyProtection="1">
      <alignment horizontal="centerContinuous"/>
      <protection locked="0"/>
    </xf>
    <xf numFmtId="37" fontId="16" fillId="6" borderId="19" xfId="45" applyNumberFormat="1" applyFont="1" applyFill="1" applyBorder="1" applyAlignment="1" applyProtection="1">
      <alignment horizontal="centerContinuous"/>
      <protection locked="0"/>
    </xf>
    <xf numFmtId="37" fontId="16" fillId="5" borderId="29" xfId="45" applyNumberFormat="1" applyFont="1" applyFill="1" applyBorder="1" applyProtection="1">
      <protection locked="0"/>
    </xf>
    <xf numFmtId="37" fontId="16" fillId="5" borderId="26" xfId="45" applyNumberFormat="1" applyFont="1" applyFill="1" applyBorder="1" applyAlignment="1" applyProtection="1">
      <alignment horizontal="centerContinuous"/>
      <protection locked="0"/>
    </xf>
    <xf numFmtId="37" fontId="16" fillId="5" borderId="27" xfId="45" applyNumberFormat="1" applyFont="1" applyFill="1" applyBorder="1" applyAlignment="1" applyProtection="1">
      <alignment horizontal="centerContinuous"/>
      <protection locked="0"/>
    </xf>
    <xf numFmtId="164" fontId="16" fillId="5" borderId="8" xfId="42" applyFont="1" applyFill="1" applyBorder="1" applyProtection="1">
      <protection locked="0"/>
    </xf>
    <xf numFmtId="37" fontId="16" fillId="5" borderId="0" xfId="45" applyNumberFormat="1" applyFont="1" applyFill="1" applyBorder="1" applyProtection="1">
      <protection locked="0"/>
    </xf>
    <xf numFmtId="9" fontId="36" fillId="7" borderId="15" xfId="46" applyFont="1" applyFill="1" applyBorder="1" applyProtection="1"/>
    <xf numFmtId="37" fontId="36" fillId="8" borderId="15" xfId="45" applyNumberFormat="1" applyFont="1" applyFill="1" applyBorder="1" applyProtection="1"/>
    <xf numFmtId="9" fontId="36" fillId="8" borderId="8" xfId="46" applyFont="1" applyFill="1" applyBorder="1" applyProtection="1"/>
    <xf numFmtId="37" fontId="16" fillId="5" borderId="0" xfId="45" applyNumberFormat="1" applyFont="1" applyFill="1" applyBorder="1" applyAlignment="1" applyProtection="1">
      <alignment horizontal="centerContinuous"/>
      <protection locked="0"/>
    </xf>
    <xf numFmtId="37" fontId="36" fillId="7" borderId="15" xfId="45" applyNumberFormat="1" applyFont="1" applyFill="1" applyBorder="1" applyAlignment="1" applyProtection="1">
      <alignment horizontal="center"/>
    </xf>
    <xf numFmtId="37" fontId="36" fillId="7" borderId="15" xfId="45" applyNumberFormat="1" applyFont="1" applyFill="1" applyBorder="1" applyAlignment="1" applyProtection="1">
      <alignment horizontal="right"/>
    </xf>
    <xf numFmtId="9" fontId="36" fillId="7" borderId="15" xfId="46" applyFont="1" applyFill="1" applyBorder="1" applyAlignment="1" applyProtection="1">
      <alignment horizontal="right"/>
    </xf>
    <xf numFmtId="37" fontId="36" fillId="8" borderId="15" xfId="45" applyNumberFormat="1" applyFont="1" applyFill="1" applyBorder="1" applyAlignment="1" applyProtection="1">
      <alignment horizontal="center"/>
    </xf>
    <xf numFmtId="9" fontId="36" fillId="8" borderId="8" xfId="46" applyFont="1" applyFill="1" applyBorder="1" applyAlignment="1" applyProtection="1">
      <alignment horizontal="right"/>
    </xf>
    <xf numFmtId="37" fontId="36" fillId="8" borderId="8" xfId="45" applyNumberFormat="1" applyFont="1" applyFill="1" applyBorder="1" applyAlignment="1" applyProtection="1">
      <alignment horizontal="center"/>
    </xf>
    <xf numFmtId="37" fontId="16" fillId="0" borderId="28" xfId="45" applyNumberFormat="1" applyFont="1" applyFill="1" applyBorder="1" applyAlignment="1" applyProtection="1">
      <alignment horizontal="center"/>
      <protection locked="0"/>
    </xf>
    <xf numFmtId="37" fontId="16" fillId="0" borderId="26" xfId="45" applyNumberFormat="1" applyFont="1" applyFill="1" applyBorder="1" applyAlignment="1" applyProtection="1">
      <alignment horizontal="center"/>
      <protection locked="0"/>
    </xf>
    <xf numFmtId="37" fontId="16" fillId="5" borderId="15" xfId="45" applyNumberFormat="1" applyFont="1" applyFill="1" applyBorder="1" applyAlignment="1" applyProtection="1">
      <alignment horizontal="centerContinuous"/>
      <protection locked="0"/>
    </xf>
    <xf numFmtId="37" fontId="16" fillId="5" borderId="8" xfId="45" applyNumberFormat="1" applyFont="1" applyFill="1" applyBorder="1" applyAlignment="1" applyProtection="1">
      <alignment horizontal="centerContinuous"/>
      <protection locked="0"/>
    </xf>
    <xf numFmtId="37" fontId="16" fillId="5" borderId="8" xfId="45" applyNumberFormat="1" applyFont="1" applyFill="1" applyBorder="1" applyAlignment="1" applyProtection="1">
      <alignment horizontal="left"/>
      <protection locked="0"/>
    </xf>
    <xf numFmtId="164" fontId="16" fillId="0" borderId="0" xfId="42" applyFont="1" applyBorder="1" applyProtection="1">
      <protection locked="0"/>
    </xf>
    <xf numFmtId="37" fontId="16" fillId="5" borderId="0" xfId="45" applyNumberFormat="1" applyFont="1" applyFill="1" applyBorder="1" applyAlignment="1" applyProtection="1">
      <alignment horizontal="center"/>
      <protection locked="0"/>
    </xf>
    <xf numFmtId="9" fontId="36" fillId="8" borderId="8" xfId="46" applyFont="1" applyFill="1" applyBorder="1" applyAlignment="1" applyProtection="1">
      <alignment horizontal="center"/>
    </xf>
    <xf numFmtId="169" fontId="16" fillId="0" borderId="19" xfId="45" applyNumberFormat="1" applyFont="1" applyFill="1" applyBorder="1" applyAlignment="1" applyProtection="1">
      <alignment horizontal="center"/>
      <protection locked="0"/>
    </xf>
    <xf numFmtId="169" fontId="16" fillId="0" borderId="8" xfId="45" applyNumberFormat="1" applyFont="1" applyFill="1" applyBorder="1" applyAlignment="1" applyProtection="1">
      <alignment horizontal="center"/>
      <protection locked="0"/>
    </xf>
    <xf numFmtId="37" fontId="16" fillId="6" borderId="7" xfId="45" applyNumberFormat="1" applyFont="1" applyFill="1" applyBorder="1" applyAlignment="1" applyProtection="1">
      <alignment horizontal="centerContinuous"/>
      <protection locked="0"/>
    </xf>
    <xf numFmtId="37" fontId="16" fillId="6" borderId="4" xfId="45" applyNumberFormat="1" applyFont="1" applyFill="1" applyBorder="1" applyAlignment="1" applyProtection="1">
      <alignment horizontal="centerContinuous"/>
      <protection locked="0"/>
    </xf>
    <xf numFmtId="37" fontId="16" fillId="6" borderId="18" xfId="45" applyNumberFormat="1" applyFont="1" applyFill="1" applyBorder="1" applyAlignment="1" applyProtection="1">
      <alignment horizontal="centerContinuous"/>
      <protection locked="0"/>
    </xf>
    <xf numFmtId="37" fontId="16" fillId="5" borderId="7" xfId="45" applyNumberFormat="1" applyFont="1" applyFill="1" applyBorder="1" applyAlignment="1" applyProtection="1">
      <alignment horizontal="centerContinuous"/>
      <protection locked="0"/>
    </xf>
    <xf numFmtId="37" fontId="16" fillId="5" borderId="4" xfId="45" applyNumberFormat="1" applyFont="1" applyFill="1" applyBorder="1" applyAlignment="1" applyProtection="1">
      <alignment horizontal="centerContinuous"/>
      <protection locked="0"/>
    </xf>
    <xf numFmtId="37" fontId="16" fillId="5" borderId="20" xfId="45" applyNumberFormat="1" applyFont="1" applyFill="1" applyBorder="1" applyAlignment="1" applyProtection="1">
      <alignment horizontal="left"/>
      <protection locked="0"/>
    </xf>
    <xf numFmtId="37" fontId="16" fillId="5" borderId="4" xfId="45" applyNumberFormat="1" applyFont="1" applyFill="1" applyBorder="1" applyProtection="1">
      <protection locked="0"/>
    </xf>
    <xf numFmtId="37" fontId="36" fillId="7" borderId="8" xfId="45" applyNumberFormat="1" applyFont="1" applyFill="1" applyBorder="1" applyAlignment="1" applyProtection="1">
      <alignment horizontal="center"/>
    </xf>
    <xf numFmtId="9" fontId="36" fillId="7" borderId="15" xfId="46" applyFont="1" applyFill="1" applyBorder="1" applyAlignment="1" applyProtection="1">
      <alignment horizontal="center"/>
    </xf>
    <xf numFmtId="37" fontId="36" fillId="0" borderId="0" xfId="45" applyNumberFormat="1" applyFont="1" applyFill="1" applyBorder="1" applyAlignment="1" applyProtection="1">
      <alignment horizontal="center"/>
      <protection locked="0"/>
    </xf>
    <xf numFmtId="37" fontId="16" fillId="6" borderId="26" xfId="45" applyNumberFormat="1" applyFont="1" applyFill="1" applyBorder="1" applyAlignment="1" applyProtection="1">
      <alignment horizontal="centerContinuous"/>
      <protection locked="0"/>
    </xf>
    <xf numFmtId="37" fontId="36" fillId="7" borderId="29" xfId="45" applyNumberFormat="1" applyFont="1" applyFill="1" applyBorder="1" applyAlignment="1" applyProtection="1">
      <alignment horizontal="centerContinuous"/>
    </xf>
    <xf numFmtId="37" fontId="16" fillId="5" borderId="26" xfId="45" applyNumberFormat="1" applyFont="1" applyFill="1" applyBorder="1" applyAlignment="1" applyProtection="1">
      <alignment horizontal="left"/>
      <protection locked="0"/>
    </xf>
    <xf numFmtId="37" fontId="36" fillId="8" borderId="26" xfId="45" applyNumberFormat="1" applyFont="1" applyFill="1" applyBorder="1" applyAlignment="1" applyProtection="1">
      <alignment horizontal="centerContinuous"/>
    </xf>
    <xf numFmtId="0" fontId="16" fillId="6" borderId="26" xfId="45" applyNumberFormat="1" applyFont="1" applyFill="1" applyBorder="1" applyAlignment="1" applyProtection="1">
      <alignment horizontal="centerContinuous"/>
      <protection locked="0"/>
    </xf>
    <xf numFmtId="37" fontId="16" fillId="6" borderId="28" xfId="45" applyNumberFormat="1" applyFont="1" applyFill="1" applyBorder="1" applyAlignment="1" applyProtection="1">
      <alignment horizontal="centerContinuous"/>
      <protection locked="0"/>
    </xf>
    <xf numFmtId="0" fontId="16" fillId="5" borderId="26" xfId="45" applyNumberFormat="1" applyFont="1" applyFill="1" applyBorder="1" applyAlignment="1" applyProtection="1">
      <alignment horizontal="centerContinuous"/>
      <protection locked="0"/>
    </xf>
    <xf numFmtId="37" fontId="16" fillId="5" borderId="28" xfId="45" applyNumberFormat="1" applyFont="1" applyFill="1" applyBorder="1" applyAlignment="1" applyProtection="1">
      <alignment horizontal="centerContinuous"/>
      <protection locked="0"/>
    </xf>
    <xf numFmtId="37" fontId="16" fillId="6" borderId="27" xfId="45" applyNumberFormat="1" applyFont="1" applyFill="1" applyBorder="1" applyAlignment="1" applyProtection="1">
      <alignment horizontal="centerContinuous"/>
      <protection locked="0"/>
    </xf>
    <xf numFmtId="37" fontId="16" fillId="6" borderId="7" xfId="45" applyNumberFormat="1" applyFont="1" applyFill="1" applyBorder="1" applyAlignment="1" applyProtection="1">
      <alignment horizontal="center"/>
      <protection locked="0"/>
    </xf>
    <xf numFmtId="37" fontId="36" fillId="7" borderId="16" xfId="45" applyNumberFormat="1" applyFont="1" applyFill="1" applyBorder="1" applyAlignment="1" applyProtection="1">
      <alignment horizontal="center"/>
    </xf>
    <xf numFmtId="37" fontId="36" fillId="8" borderId="7" xfId="45" applyNumberFormat="1" applyFont="1" applyFill="1" applyBorder="1" applyAlignment="1" applyProtection="1">
      <alignment horizontal="center"/>
    </xf>
    <xf numFmtId="37" fontId="16" fillId="6" borderId="7" xfId="45" applyNumberFormat="1" applyFont="1" applyFill="1" applyBorder="1" applyAlignment="1" applyProtection="1">
      <alignment horizontal="centerContinuous" vertical="center"/>
      <protection locked="0"/>
    </xf>
    <xf numFmtId="37" fontId="16" fillId="6" borderId="4" xfId="45" applyNumberFormat="1" applyFont="1" applyFill="1" applyBorder="1" applyAlignment="1" applyProtection="1">
      <alignment horizontal="centerContinuous" vertical="center"/>
      <protection locked="0"/>
    </xf>
    <xf numFmtId="37" fontId="16" fillId="5" borderId="7" xfId="45" applyNumberFormat="1" applyFont="1" applyFill="1" applyBorder="1" applyAlignment="1" applyProtection="1">
      <alignment horizontal="centerContinuous" vertical="center"/>
      <protection locked="0"/>
    </xf>
    <xf numFmtId="37" fontId="16" fillId="5" borderId="18" xfId="45" applyNumberFormat="1" applyFont="1" applyFill="1" applyBorder="1" applyAlignment="1" applyProtection="1">
      <alignment horizontal="centerContinuous" vertical="center" wrapText="1"/>
      <protection locked="0"/>
    </xf>
    <xf numFmtId="164" fontId="15" fillId="0" borderId="0" xfId="42" applyFont="1" applyFill="1" applyBorder="1" applyProtection="1">
      <protection locked="0"/>
    </xf>
    <xf numFmtId="164" fontId="16" fillId="0" borderId="0" xfId="0" applyFont="1"/>
    <xf numFmtId="164" fontId="16" fillId="0" borderId="0" xfId="0" applyFont="1" applyAlignment="1">
      <alignment wrapText="1"/>
    </xf>
    <xf numFmtId="164" fontId="15" fillId="0" borderId="16" xfId="0" applyFont="1" applyBorder="1" applyAlignment="1">
      <alignment horizontal="left"/>
    </xf>
    <xf numFmtId="164" fontId="15" fillId="0" borderId="15" xfId="0" applyFont="1" applyBorder="1" applyAlignment="1">
      <alignment horizontal="left"/>
    </xf>
    <xf numFmtId="9" fontId="16" fillId="0" borderId="18" xfId="0" applyNumberFormat="1" applyFont="1" applyFill="1" applyBorder="1"/>
    <xf numFmtId="167" fontId="18" fillId="0" borderId="0" xfId="1" applyNumberFormat="1" applyFont="1" applyFill="1" applyBorder="1" applyAlignment="1">
      <alignment horizontal="centerContinuous"/>
    </xf>
    <xf numFmtId="37" fontId="16" fillId="5" borderId="4" xfId="45" applyNumberFormat="1" applyFont="1" applyFill="1" applyBorder="1" applyAlignment="1" applyProtection="1">
      <alignment horizontal="left"/>
      <protection locked="0"/>
    </xf>
    <xf numFmtId="37" fontId="16" fillId="5" borderId="0" xfId="45" applyNumberFormat="1" applyFont="1" applyFill="1" applyBorder="1" applyAlignment="1" applyProtection="1">
      <alignment horizontal="left"/>
      <protection locked="0"/>
    </xf>
    <xf numFmtId="37" fontId="16" fillId="0" borderId="8" xfId="45" applyNumberFormat="1" applyFont="1" applyFill="1" applyBorder="1" applyAlignment="1" applyProtection="1">
      <alignment horizontal="center"/>
      <protection locked="0"/>
    </xf>
    <xf numFmtId="37" fontId="16" fillId="0" borderId="19" xfId="45" applyNumberFormat="1" applyFont="1" applyFill="1" applyBorder="1" applyAlignment="1" applyProtection="1">
      <alignment horizontal="center"/>
      <protection locked="0"/>
    </xf>
    <xf numFmtId="49" fontId="16" fillId="5" borderId="8" xfId="42" applyNumberFormat="1" applyFont="1" applyFill="1" applyBorder="1" applyAlignment="1" applyProtection="1">
      <alignment horizontal="left"/>
      <protection locked="0"/>
    </xf>
    <xf numFmtId="49" fontId="16" fillId="5" borderId="0" xfId="42" applyNumberFormat="1" applyFont="1" applyFill="1" applyBorder="1" applyAlignment="1" applyProtection="1">
      <alignment horizontal="left"/>
      <protection locked="0"/>
    </xf>
    <xf numFmtId="37" fontId="16" fillId="5" borderId="7" xfId="45" applyNumberFormat="1" applyFont="1" applyFill="1" applyBorder="1" applyAlignment="1" applyProtection="1">
      <alignment horizontal="center"/>
      <protection locked="0"/>
    </xf>
    <xf numFmtId="37" fontId="16" fillId="5" borderId="4" xfId="45" applyNumberFormat="1" applyFont="1" applyFill="1" applyBorder="1" applyAlignment="1" applyProtection="1">
      <alignment horizontal="center"/>
      <protection locked="0"/>
    </xf>
    <xf numFmtId="37" fontId="36" fillId="7" borderId="29" xfId="45" applyNumberFormat="1" applyFont="1" applyFill="1" applyBorder="1" applyAlignment="1" applyProtection="1">
      <alignment horizontal="center"/>
    </xf>
    <xf numFmtId="164" fontId="0" fillId="0" borderId="19" xfId="0" applyNumberFormat="1" applyBorder="1" applyAlignment="1" applyProtection="1">
      <protection locked="0"/>
    </xf>
    <xf numFmtId="37" fontId="36" fillId="0" borderId="0" xfId="45" applyNumberFormat="1" applyFont="1" applyFill="1" applyBorder="1" applyAlignment="1" applyProtection="1">
      <protection locked="0"/>
    </xf>
    <xf numFmtId="164" fontId="16" fillId="0" borderId="0" xfId="42" applyFont="1" applyFill="1" applyBorder="1" applyAlignment="1" applyProtection="1">
      <protection locked="0"/>
    </xf>
    <xf numFmtId="164" fontId="0" fillId="0" borderId="8" xfId="0" applyNumberFormat="1" applyBorder="1" applyAlignment="1" applyProtection="1">
      <protection locked="0"/>
    </xf>
    <xf numFmtId="164" fontId="0" fillId="0" borderId="4" xfId="0" applyNumberFormat="1" applyBorder="1" applyAlignment="1" applyProtection="1">
      <protection locked="0"/>
    </xf>
    <xf numFmtId="37" fontId="36" fillId="7" borderId="29" xfId="45" applyNumberFormat="1" applyFont="1" applyFill="1" applyBorder="1" applyAlignment="1" applyProtection="1">
      <alignment horizontal="left"/>
    </xf>
    <xf numFmtId="37" fontId="16" fillId="0" borderId="4" xfId="45" applyNumberFormat="1" applyFont="1" applyFill="1" applyBorder="1" applyAlignment="1" applyProtection="1">
      <alignment horizontal="center" wrapText="1"/>
      <protection locked="0"/>
    </xf>
    <xf numFmtId="37" fontId="16" fillId="6" borderId="29" xfId="45" applyNumberFormat="1" applyFont="1" applyFill="1" applyBorder="1" applyProtection="1">
      <protection locked="0"/>
    </xf>
    <xf numFmtId="37" fontId="36" fillId="7" borderId="15" xfId="45" applyNumberFormat="1" applyFont="1" applyFill="1" applyBorder="1" applyProtection="1"/>
    <xf numFmtId="37" fontId="16" fillId="5" borderId="19" xfId="45" applyNumberFormat="1" applyFont="1" applyFill="1" applyBorder="1" applyAlignment="1" applyProtection="1">
      <alignment horizontal="left"/>
      <protection locked="0"/>
    </xf>
    <xf numFmtId="37" fontId="16" fillId="0" borderId="27" xfId="45" applyNumberFormat="1" applyFont="1" applyFill="1" applyBorder="1" applyAlignment="1" applyProtection="1">
      <alignment horizontal="center"/>
      <protection locked="0"/>
    </xf>
    <xf numFmtId="37" fontId="16" fillId="6" borderId="15" xfId="45" applyNumberFormat="1" applyFont="1" applyFill="1" applyBorder="1" applyProtection="1">
      <protection locked="0"/>
    </xf>
    <xf numFmtId="164" fontId="16" fillId="0" borderId="19" xfId="42" applyFont="1" applyBorder="1" applyProtection="1">
      <protection locked="0"/>
    </xf>
    <xf numFmtId="169" fontId="16" fillId="0" borderId="0" xfId="45" applyNumberFormat="1" applyFont="1" applyFill="1" applyBorder="1" applyAlignment="1" applyProtection="1">
      <alignment horizontal="center"/>
      <protection locked="0"/>
    </xf>
    <xf numFmtId="37" fontId="16" fillId="6" borderId="15" xfId="45" applyNumberFormat="1" applyFont="1" applyFill="1" applyBorder="1" applyAlignment="1" applyProtection="1">
      <alignment horizontal="center"/>
      <protection locked="0"/>
    </xf>
    <xf numFmtId="37" fontId="16" fillId="5" borderId="18" xfId="45" applyNumberFormat="1" applyFont="1" applyFill="1" applyBorder="1" applyAlignment="1" applyProtection="1">
      <alignment horizontal="left"/>
      <protection locked="0"/>
    </xf>
    <xf numFmtId="37" fontId="16" fillId="6" borderId="16" xfId="45" applyNumberFormat="1" applyFont="1" applyFill="1" applyBorder="1" applyAlignment="1" applyProtection="1">
      <alignment horizontal="center"/>
      <protection locked="0"/>
    </xf>
    <xf numFmtId="37" fontId="16" fillId="5" borderId="4" xfId="45" applyNumberFormat="1" applyFont="1" applyFill="1" applyBorder="1" applyAlignment="1" applyProtection="1">
      <alignment horizontal="centerContinuous" vertical="center" wrapText="1"/>
      <protection locked="0"/>
    </xf>
    <xf numFmtId="164" fontId="48" fillId="0" borderId="0" xfId="0" applyFont="1" applyAlignment="1">
      <alignment horizontal="left"/>
    </xf>
    <xf numFmtId="164" fontId="48" fillId="0" borderId="0" xfId="0" applyFont="1"/>
    <xf numFmtId="164" fontId="48" fillId="0" borderId="26" xfId="0" applyFont="1" applyBorder="1" applyAlignment="1">
      <alignment horizontal="left"/>
    </xf>
    <xf numFmtId="164" fontId="48" fillId="0" borderId="8" xfId="0" applyFont="1" applyBorder="1" applyAlignment="1">
      <alignment horizontal="left"/>
    </xf>
    <xf numFmtId="164" fontId="48" fillId="0" borderId="7" xfId="0" applyFont="1" applyBorder="1" applyAlignment="1">
      <alignment horizontal="left"/>
    </xf>
    <xf numFmtId="167" fontId="48" fillId="0" borderId="0" xfId="0" applyNumberFormat="1" applyFont="1"/>
    <xf numFmtId="9" fontId="49" fillId="0" borderId="4" xfId="0" applyNumberFormat="1" applyFont="1" applyBorder="1"/>
    <xf numFmtId="9" fontId="49" fillId="0" borderId="4" xfId="0" applyNumberFormat="1" applyFont="1" applyBorder="1" applyAlignment="1">
      <alignment horizontal="right"/>
    </xf>
    <xf numFmtId="164" fontId="48" fillId="0" borderId="4" xfId="0" applyFont="1" applyBorder="1" applyAlignment="1">
      <alignment horizontal="left"/>
    </xf>
    <xf numFmtId="164" fontId="15" fillId="0" borderId="4" xfId="0" applyFont="1" applyBorder="1" applyAlignment="1">
      <alignment horizontal="left"/>
    </xf>
    <xf numFmtId="9" fontId="48" fillId="0" borderId="0" xfId="0" applyNumberFormat="1" applyFont="1" applyAlignment="1">
      <alignment wrapText="1"/>
    </xf>
    <xf numFmtId="167" fontId="15" fillId="0" borderId="0" xfId="0" applyNumberFormat="1" applyFont="1" applyAlignment="1">
      <alignment wrapText="1"/>
    </xf>
    <xf numFmtId="0" fontId="15" fillId="0" borderId="7" xfId="0" applyNumberFormat="1" applyFont="1" applyBorder="1" applyAlignment="1">
      <alignment horizontal="left"/>
    </xf>
    <xf numFmtId="0" fontId="15" fillId="0" borderId="0" xfId="0" applyNumberFormat="1" applyFont="1" applyFill="1" applyAlignment="1">
      <alignment horizontal="left"/>
    </xf>
    <xf numFmtId="164" fontId="0" fillId="0" borderId="0" xfId="0" applyFill="1"/>
    <xf numFmtId="164" fontId="15" fillId="0" borderId="0" xfId="0" applyFont="1" applyFill="1" applyAlignment="1">
      <alignment wrapText="1"/>
    </xf>
    <xf numFmtId="164" fontId="15" fillId="0" borderId="0" xfId="0" applyFont="1" applyFill="1" applyAlignment="1"/>
    <xf numFmtId="167" fontId="15" fillId="0" borderId="26" xfId="0" applyNumberFormat="1" applyFont="1" applyFill="1" applyBorder="1"/>
    <xf numFmtId="167" fontId="15" fillId="0" borderId="27" xfId="0" applyNumberFormat="1" applyFont="1" applyFill="1" applyBorder="1"/>
    <xf numFmtId="167" fontId="15" fillId="0" borderId="28" xfId="0" applyNumberFormat="1" applyFont="1" applyFill="1" applyBorder="1"/>
    <xf numFmtId="167" fontId="15" fillId="0" borderId="8" xfId="0" applyNumberFormat="1" applyFont="1" applyFill="1" applyBorder="1"/>
    <xf numFmtId="167" fontId="15" fillId="0" borderId="0" xfId="0" applyNumberFormat="1" applyFont="1" applyFill="1" applyBorder="1"/>
    <xf numFmtId="9" fontId="16" fillId="0" borderId="7" xfId="0" applyNumberFormat="1" applyFont="1" applyFill="1" applyBorder="1"/>
    <xf numFmtId="9" fontId="16" fillId="0" borderId="4" xfId="0" applyNumberFormat="1" applyFont="1" applyFill="1" applyBorder="1"/>
    <xf numFmtId="9" fontId="16" fillId="0" borderId="0" xfId="3" applyFont="1" applyFill="1"/>
    <xf numFmtId="164" fontId="33" fillId="0" borderId="0" xfId="0" applyFont="1" applyFill="1" applyAlignment="1"/>
    <xf numFmtId="164" fontId="16" fillId="0" borderId="7" xfId="0" applyFont="1" applyBorder="1" applyAlignment="1">
      <alignment horizontal="left"/>
    </xf>
    <xf numFmtId="167" fontId="15" fillId="0" borderId="29" xfId="0" applyNumberFormat="1" applyFont="1" applyBorder="1"/>
    <xf numFmtId="167" fontId="15" fillId="0" borderId="15" xfId="0" applyNumberFormat="1" applyFont="1" applyBorder="1"/>
    <xf numFmtId="167" fontId="15" fillId="0" borderId="29" xfId="0" applyNumberFormat="1" applyFont="1" applyFill="1" applyBorder="1"/>
    <xf numFmtId="167" fontId="15" fillId="0" borderId="15" xfId="0" applyNumberFormat="1" applyFont="1" applyFill="1" applyBorder="1"/>
    <xf numFmtId="9" fontId="16" fillId="0" borderId="16" xfId="0" applyNumberFormat="1" applyFont="1" applyFill="1" applyBorder="1"/>
    <xf numFmtId="167" fontId="15" fillId="0" borderId="0" xfId="1" applyNumberFormat="1" applyFont="1" applyFill="1" applyBorder="1"/>
    <xf numFmtId="168" fontId="15" fillId="0" borderId="0" xfId="3" applyNumberFormat="1" applyFont="1" applyFill="1" applyBorder="1"/>
    <xf numFmtId="164" fontId="0" fillId="0" borderId="0" xfId="0" applyAlignment="1">
      <alignment horizontal="left" vertical="top" wrapText="1"/>
    </xf>
    <xf numFmtId="3" fontId="15" fillId="0" borderId="27" xfId="0" applyNumberFormat="1" applyFont="1" applyBorder="1" applyAlignment="1">
      <alignment horizontal="center"/>
    </xf>
    <xf numFmtId="167" fontId="15" fillId="0" borderId="0" xfId="1" applyNumberFormat="1" applyFont="1" applyFill="1" applyBorder="1" applyAlignment="1">
      <alignment horizontal="right"/>
    </xf>
    <xf numFmtId="37" fontId="16" fillId="6" borderId="7" xfId="45" applyNumberFormat="1" applyFont="1" applyFill="1" applyBorder="1" applyAlignment="1" applyProtection="1">
      <alignment horizontal="center"/>
      <protection locked="0"/>
    </xf>
    <xf numFmtId="49" fontId="53" fillId="9" borderId="0" xfId="47" applyNumberFormat="1" applyFont="1" applyFill="1" applyBorder="1" applyAlignment="1" applyProtection="1">
      <alignment horizontal="center"/>
      <protection locked="0"/>
    </xf>
    <xf numFmtId="49" fontId="53" fillId="9" borderId="0" xfId="47" applyNumberFormat="1" applyFont="1" applyFill="1" applyBorder="1" applyAlignment="1" applyProtection="1">
      <alignment horizontal="left"/>
      <protection locked="0"/>
    </xf>
    <xf numFmtId="49" fontId="54" fillId="9" borderId="0" xfId="47" applyNumberFormat="1" applyFont="1" applyFill="1" applyBorder="1" applyAlignment="1" applyProtection="1">
      <alignment horizontal="left"/>
      <protection locked="0"/>
    </xf>
    <xf numFmtId="1" fontId="53" fillId="9" borderId="0" xfId="47" applyNumberFormat="1" applyFont="1" applyFill="1" applyBorder="1" applyAlignment="1" applyProtection="1">
      <alignment horizontal="center"/>
      <protection locked="0"/>
    </xf>
    <xf numFmtId="37" fontId="55" fillId="9" borderId="19" xfId="45" applyNumberFormat="1" applyFont="1" applyFill="1" applyBorder="1" applyAlignment="1" applyProtection="1">
      <alignment horizontal="center"/>
      <protection locked="0"/>
    </xf>
    <xf numFmtId="37" fontId="56" fillId="9" borderId="0" xfId="45" applyNumberFormat="1" applyFont="1" applyFill="1" applyBorder="1" applyAlignment="1" applyProtection="1">
      <alignment horizontal="center" vertical="top"/>
      <protection locked="0"/>
    </xf>
    <xf numFmtId="37" fontId="53" fillId="9" borderId="15" xfId="45" applyNumberFormat="1" applyFont="1" applyFill="1" applyBorder="1" applyProtection="1">
      <protection locked="0"/>
    </xf>
    <xf numFmtId="0" fontId="57" fillId="9" borderId="19" xfId="0" applyNumberFormat="1" applyFont="1" applyFill="1" applyBorder="1" applyAlignment="1" applyProtection="1">
      <alignment vertical="top"/>
      <protection locked="0"/>
    </xf>
    <xf numFmtId="9" fontId="53" fillId="9" borderId="15" xfId="46" applyFont="1" applyFill="1" applyBorder="1" applyAlignment="1" applyProtection="1">
      <alignment horizontal="right"/>
    </xf>
    <xf numFmtId="9" fontId="58" fillId="9" borderId="8" xfId="46" applyFont="1" applyFill="1" applyBorder="1" applyAlignment="1" applyProtection="1">
      <alignment horizontal="right"/>
    </xf>
    <xf numFmtId="37" fontId="53" fillId="9" borderId="8" xfId="45" applyNumberFormat="1" applyFont="1" applyFill="1" applyBorder="1" applyProtection="1">
      <protection locked="0"/>
    </xf>
    <xf numFmtId="37" fontId="53" fillId="9" borderId="15" xfId="45" applyNumberFormat="1" applyFont="1" applyFill="1" applyBorder="1" applyProtection="1"/>
    <xf numFmtId="37" fontId="58" fillId="9" borderId="15" xfId="45" applyNumberFormat="1" applyFont="1" applyFill="1" applyBorder="1" applyAlignment="1" applyProtection="1">
      <alignment vertical="top"/>
      <protection locked="0"/>
    </xf>
    <xf numFmtId="37" fontId="58" fillId="9" borderId="15" xfId="45" applyNumberFormat="1" applyFont="1" applyFill="1" applyBorder="1" applyAlignment="1" applyProtection="1">
      <alignment horizontal="right"/>
      <protection locked="0"/>
    </xf>
    <xf numFmtId="37" fontId="58" fillId="9" borderId="0" xfId="45" applyNumberFormat="1" applyFont="1" applyFill="1" applyBorder="1" applyProtection="1"/>
    <xf numFmtId="37" fontId="53" fillId="9" borderId="8" xfId="45" applyNumberFormat="1" applyFont="1" applyFill="1" applyBorder="1" applyAlignment="1" applyProtection="1">
      <alignment horizontal="center"/>
      <protection locked="0"/>
    </xf>
    <xf numFmtId="37" fontId="58" fillId="9" borderId="8" xfId="45" applyNumberFormat="1" applyFont="1" applyFill="1" applyBorder="1" applyProtection="1">
      <protection locked="0"/>
    </xf>
    <xf numFmtId="37" fontId="53" fillId="9" borderId="15" xfId="45" applyNumberFormat="1" applyFont="1" applyFill="1" applyBorder="1" applyAlignment="1" applyProtection="1">
      <alignment horizontal="center"/>
      <protection locked="0"/>
    </xf>
    <xf numFmtId="37" fontId="58" fillId="9" borderId="15" xfId="45" applyNumberFormat="1" applyFont="1" applyFill="1" applyBorder="1" applyProtection="1">
      <protection locked="0"/>
    </xf>
    <xf numFmtId="9" fontId="53" fillId="9" borderId="15" xfId="46" applyFont="1" applyFill="1" applyBorder="1" applyProtection="1"/>
    <xf numFmtId="37" fontId="58" fillId="9" borderId="15" xfId="45" applyNumberFormat="1" applyFont="1" applyFill="1" applyBorder="1" applyProtection="1"/>
    <xf numFmtId="9" fontId="58" fillId="9" borderId="8" xfId="46" applyFont="1" applyFill="1" applyBorder="1" applyProtection="1"/>
    <xf numFmtId="37" fontId="58" fillId="9" borderId="0" xfId="45" quotePrefix="1" applyNumberFormat="1" applyFont="1" applyFill="1" applyBorder="1" applyAlignment="1" applyProtection="1">
      <alignment vertical="top"/>
      <protection locked="0"/>
    </xf>
    <xf numFmtId="37" fontId="58" fillId="9" borderId="0" xfId="45" applyNumberFormat="1" applyFont="1" applyFill="1" applyBorder="1" applyAlignment="1" applyProtection="1">
      <alignment horizontal="center"/>
      <protection locked="0"/>
    </xf>
    <xf numFmtId="37" fontId="58" fillId="9" borderId="0" xfId="45" applyNumberFormat="1" applyFont="1" applyFill="1" applyBorder="1" applyProtection="1">
      <protection locked="0"/>
    </xf>
    <xf numFmtId="37" fontId="56" fillId="9" borderId="29" xfId="45" applyNumberFormat="1" applyFont="1" applyFill="1" applyBorder="1" applyAlignment="1" applyProtection="1">
      <alignment horizontal="center" vertical="top"/>
      <protection locked="0"/>
    </xf>
    <xf numFmtId="37" fontId="53" fillId="9" borderId="8" xfId="45" applyNumberFormat="1" applyFont="1" applyFill="1" applyBorder="1" applyProtection="1"/>
    <xf numFmtId="37" fontId="58" fillId="9" borderId="8" xfId="45" applyNumberFormat="1" applyFont="1" applyFill="1" applyBorder="1" applyAlignment="1" applyProtection="1">
      <alignment horizontal="right"/>
    </xf>
    <xf numFmtId="37" fontId="58" fillId="9" borderId="19" xfId="45" quotePrefix="1" applyNumberFormat="1" applyFont="1" applyFill="1" applyBorder="1" applyAlignment="1" applyProtection="1">
      <alignment vertical="top"/>
      <protection locked="0"/>
    </xf>
    <xf numFmtId="37" fontId="58" fillId="9" borderId="15" xfId="45" applyNumberFormat="1" applyFont="1" applyFill="1" applyBorder="1" applyAlignment="1" applyProtection="1">
      <alignment horizontal="right"/>
    </xf>
    <xf numFmtId="37" fontId="53" fillId="9" borderId="15" xfId="45" applyNumberFormat="1" applyFont="1" applyFill="1" applyBorder="1" applyAlignment="1" applyProtection="1">
      <alignment horizontal="right"/>
      <protection locked="0"/>
    </xf>
    <xf numFmtId="37" fontId="56" fillId="9" borderId="15" xfId="45" applyNumberFormat="1" applyFont="1" applyFill="1" applyBorder="1" applyAlignment="1" applyProtection="1">
      <alignment horizontal="center" vertical="top"/>
      <protection locked="0"/>
    </xf>
    <xf numFmtId="37" fontId="56" fillId="9" borderId="8" xfId="45" applyNumberFormat="1" applyFont="1" applyFill="1" applyBorder="1" applyAlignment="1" applyProtection="1">
      <alignment horizontal="center" vertical="top"/>
      <protection locked="0"/>
    </xf>
    <xf numFmtId="37" fontId="53" fillId="9" borderId="8" xfId="45" applyNumberFormat="1" applyFont="1" applyFill="1" applyBorder="1" applyAlignment="1" applyProtection="1">
      <alignment horizontal="right"/>
      <protection locked="0"/>
    </xf>
    <xf numFmtId="49" fontId="15" fillId="10" borderId="0" xfId="47" applyNumberFormat="1" applyFont="1" applyFill="1" applyBorder="1" applyAlignment="1" applyProtection="1">
      <alignment horizontal="center"/>
      <protection locked="0"/>
    </xf>
    <xf numFmtId="49" fontId="15" fillId="10" borderId="0" xfId="47" applyNumberFormat="1" applyFont="1" applyFill="1" applyBorder="1" applyAlignment="1" applyProtection="1">
      <alignment horizontal="left"/>
      <protection locked="0"/>
    </xf>
    <xf numFmtId="49" fontId="59" fillId="10" borderId="0" xfId="47" applyNumberFormat="1" applyFont="1" applyFill="1" applyBorder="1" applyAlignment="1" applyProtection="1">
      <alignment horizontal="left"/>
      <protection locked="0"/>
    </xf>
    <xf numFmtId="1" fontId="15" fillId="10" borderId="0" xfId="47" applyNumberFormat="1" applyFont="1" applyFill="1" applyBorder="1" applyAlignment="1" applyProtection="1">
      <alignment horizontal="center"/>
      <protection locked="0"/>
    </xf>
    <xf numFmtId="49" fontId="15" fillId="10" borderId="0" xfId="472" applyNumberFormat="1" applyFont="1" applyFill="1" applyBorder="1" applyAlignment="1" applyProtection="1">
      <alignment horizontal="left"/>
      <protection locked="0"/>
    </xf>
    <xf numFmtId="49" fontId="15" fillId="10" borderId="0" xfId="474" applyNumberFormat="1" applyFont="1" applyFill="1" applyBorder="1" applyAlignment="1" applyProtection="1">
      <alignment horizontal="left"/>
      <protection locked="0"/>
    </xf>
    <xf numFmtId="3" fontId="15" fillId="10" borderId="0" xfId="475" applyFont="1" applyFill="1" applyBorder="1" applyAlignment="1" applyProtection="1">
      <protection locked="0"/>
    </xf>
    <xf numFmtId="49" fontId="35" fillId="4" borderId="7" xfId="42" applyNumberFormat="1" applyFont="1" applyFill="1" applyBorder="1" applyAlignment="1" applyProtection="1">
      <alignment horizontal="center"/>
      <protection locked="0"/>
    </xf>
    <xf numFmtId="0" fontId="35" fillId="4" borderId="4" xfId="50" applyNumberFormat="1" applyFont="1" applyFill="1" applyBorder="1" applyAlignment="1" applyProtection="1">
      <alignment horizontal="left" wrapText="1"/>
      <protection locked="0"/>
    </xf>
    <xf numFmtId="1" fontId="35" fillId="4" borderId="4" xfId="42" applyNumberFormat="1" applyFont="1" applyFill="1" applyBorder="1" applyAlignment="1" applyProtection="1">
      <alignment horizontal="center"/>
      <protection locked="0"/>
    </xf>
    <xf numFmtId="1" fontId="16" fillId="4" borderId="4" xfId="42" applyNumberFormat="1" applyFont="1" applyFill="1" applyBorder="1" applyAlignment="1" applyProtection="1">
      <alignment horizontal="center"/>
      <protection locked="0"/>
    </xf>
    <xf numFmtId="37" fontId="16" fillId="6" borderId="18" xfId="45" applyNumberFormat="1" applyFont="1" applyFill="1" applyBorder="1" applyAlignment="1" applyProtection="1">
      <alignment horizontal="centerContinuous" vertical="center" wrapText="1"/>
      <protection locked="0"/>
    </xf>
    <xf numFmtId="37" fontId="16" fillId="5" borderId="4" xfId="45" applyNumberFormat="1" applyFont="1" applyFill="1" applyBorder="1" applyAlignment="1" applyProtection="1">
      <alignment horizontal="centerContinuous" vertical="center" wrapText="1" shrinkToFit="1"/>
      <protection locked="0"/>
    </xf>
    <xf numFmtId="9" fontId="36" fillId="7" borderId="16" xfId="46" applyFont="1" applyFill="1" applyBorder="1" applyAlignment="1" applyProtection="1">
      <alignment horizontal="center" vertical="center"/>
    </xf>
    <xf numFmtId="9" fontId="36" fillId="8" borderId="7" xfId="46" applyFont="1" applyFill="1" applyBorder="1" applyAlignment="1" applyProtection="1">
      <alignment horizontal="center" vertical="center"/>
    </xf>
    <xf numFmtId="37" fontId="16" fillId="6" borderId="32" xfId="45" applyNumberFormat="1" applyFont="1" applyFill="1" applyBorder="1" applyAlignment="1" applyProtection="1">
      <alignment horizontal="centerContinuous" vertical="center" wrapText="1"/>
      <protection locked="0"/>
    </xf>
    <xf numFmtId="37" fontId="16" fillId="6" borderId="16" xfId="45" applyNumberFormat="1" applyFont="1" applyFill="1" applyBorder="1" applyAlignment="1" applyProtection="1">
      <alignment horizontal="centerContinuous" vertical="center" wrapText="1"/>
      <protection locked="0"/>
    </xf>
    <xf numFmtId="37" fontId="38" fillId="6" borderId="6" xfId="45" applyNumberFormat="1" applyFont="1" applyFill="1" applyBorder="1" applyAlignment="1" applyProtection="1">
      <alignment horizontal="centerContinuous" vertical="center"/>
      <protection locked="0"/>
    </xf>
    <xf numFmtId="37" fontId="39" fillId="7" borderId="32" xfId="45" applyNumberFormat="1" applyFont="1" applyFill="1" applyBorder="1" applyAlignment="1" applyProtection="1">
      <alignment horizontal="centerContinuous" vertical="center"/>
    </xf>
    <xf numFmtId="37" fontId="16" fillId="5" borderId="32" xfId="45" applyNumberFormat="1" applyFont="1" applyFill="1" applyBorder="1" applyAlignment="1" applyProtection="1">
      <alignment horizontal="centerContinuous" vertical="center" wrapText="1" shrinkToFit="1"/>
      <protection locked="0"/>
    </xf>
    <xf numFmtId="37" fontId="38" fillId="5" borderId="32" xfId="45" applyNumberFormat="1" applyFont="1" applyFill="1" applyBorder="1" applyAlignment="1" applyProtection="1">
      <alignment horizontal="centerContinuous" vertical="center"/>
      <protection locked="0"/>
    </xf>
    <xf numFmtId="37" fontId="40" fillId="8" borderId="3" xfId="45" applyNumberFormat="1" applyFont="1" applyFill="1" applyBorder="1" applyAlignment="1" applyProtection="1">
      <alignment horizontal="centerContinuous" vertical="center"/>
    </xf>
    <xf numFmtId="37" fontId="16" fillId="6" borderId="32" xfId="45" applyNumberFormat="1" applyFont="1" applyFill="1" applyBorder="1" applyAlignment="1" applyProtection="1">
      <alignment horizontal="centerContinuous"/>
      <protection locked="0"/>
    </xf>
    <xf numFmtId="37" fontId="16" fillId="5" borderId="32" xfId="45" applyNumberFormat="1" applyFont="1" applyFill="1" applyBorder="1" applyAlignment="1" applyProtection="1">
      <alignment horizontal="centerContinuous" wrapText="1"/>
      <protection locked="0"/>
    </xf>
    <xf numFmtId="37" fontId="16" fillId="5" borderId="6" xfId="45" applyNumberFormat="1" applyFont="1" applyFill="1" applyBorder="1" applyAlignment="1" applyProtection="1">
      <alignment horizontal="centerContinuous" wrapText="1"/>
      <protection locked="0"/>
    </xf>
    <xf numFmtId="37" fontId="36" fillId="7" borderId="16" xfId="45" applyNumberFormat="1" applyFont="1" applyFill="1" applyBorder="1" applyAlignment="1" applyProtection="1">
      <alignment horizontal="center" vertical="center"/>
    </xf>
    <xf numFmtId="37" fontId="36" fillId="8" borderId="16" xfId="45" applyNumberFormat="1" applyFont="1" applyFill="1" applyBorder="1" applyAlignment="1" applyProtection="1">
      <alignment horizontal="center" vertical="center"/>
    </xf>
    <xf numFmtId="37" fontId="16" fillId="6" borderId="7" xfId="45" applyNumberFormat="1" applyFont="1" applyFill="1" applyBorder="1" applyAlignment="1" applyProtection="1">
      <alignment horizontal="center" vertical="center"/>
      <protection locked="0"/>
    </xf>
    <xf numFmtId="37" fontId="16" fillId="5" borderId="16" xfId="45" applyNumberFormat="1" applyFont="1" applyFill="1" applyBorder="1" applyAlignment="1" applyProtection="1">
      <alignment horizontal="center" vertical="center"/>
      <protection locked="0"/>
    </xf>
    <xf numFmtId="37" fontId="36" fillId="7" borderId="7" xfId="45" applyNumberFormat="1" applyFont="1" applyFill="1" applyBorder="1" applyAlignment="1" applyProtection="1">
      <alignment horizontal="center" vertical="center"/>
    </xf>
    <xf numFmtId="37" fontId="36" fillId="8" borderId="7" xfId="45" applyNumberFormat="1" applyFont="1" applyFill="1" applyBorder="1" applyAlignment="1" applyProtection="1">
      <alignment horizontal="center" vertical="center"/>
    </xf>
    <xf numFmtId="37" fontId="16" fillId="6" borderId="16" xfId="45" applyNumberFormat="1" applyFont="1" applyFill="1" applyBorder="1" applyAlignment="1" applyProtection="1">
      <alignment horizontal="center" vertical="center"/>
      <protection locked="0"/>
    </xf>
    <xf numFmtId="37" fontId="16" fillId="5" borderId="7" xfId="45" applyNumberFormat="1" applyFont="1" applyFill="1" applyBorder="1" applyAlignment="1" applyProtection="1">
      <alignment horizontal="center" vertical="center" wrapText="1" shrinkToFit="1"/>
      <protection locked="0"/>
    </xf>
    <xf numFmtId="37" fontId="16" fillId="6" borderId="32" xfId="45" applyNumberFormat="1" applyFont="1" applyFill="1" applyBorder="1" applyAlignment="1" applyProtection="1">
      <alignment horizontal="center" vertical="center"/>
      <protection locked="0"/>
    </xf>
    <xf numFmtId="37" fontId="16" fillId="5" borderId="16" xfId="45" applyNumberFormat="1" applyFont="1" applyFill="1" applyBorder="1" applyAlignment="1" applyProtection="1">
      <alignment horizontal="center" vertical="center" wrapText="1" shrinkToFit="1"/>
      <protection locked="0"/>
    </xf>
    <xf numFmtId="37" fontId="36" fillId="0" borderId="4" xfId="45" applyNumberFormat="1" applyFont="1" applyFill="1" applyBorder="1" applyAlignment="1" applyProtection="1">
      <alignment horizontal="center" vertical="center"/>
      <protection locked="0"/>
    </xf>
    <xf numFmtId="164" fontId="16" fillId="0" borderId="4" xfId="42" applyFont="1" applyFill="1" applyBorder="1" applyAlignment="1" applyProtection="1">
      <protection locked="0"/>
    </xf>
    <xf numFmtId="37" fontId="16" fillId="0" borderId="15" xfId="45" applyNumberFormat="1" applyFont="1" applyFill="1" applyBorder="1" applyAlignment="1" applyProtection="1">
      <alignment vertical="top"/>
      <protection locked="0"/>
    </xf>
    <xf numFmtId="37" fontId="16" fillId="0" borderId="0" xfId="45" applyNumberFormat="1" applyFont="1" applyFill="1" applyBorder="1" applyProtection="1">
      <protection locked="0"/>
    </xf>
    <xf numFmtId="9" fontId="15" fillId="0" borderId="0" xfId="42" applyNumberFormat="1" applyFont="1" applyFill="1" applyBorder="1" applyProtection="1">
      <protection locked="0"/>
    </xf>
    <xf numFmtId="164" fontId="15" fillId="3" borderId="29" xfId="0" applyFont="1" applyFill="1" applyBorder="1" applyAlignment="1">
      <alignment horizontal="center" wrapText="1"/>
    </xf>
    <xf numFmtId="49" fontId="15" fillId="3" borderId="29" xfId="0" applyNumberFormat="1" applyFont="1" applyFill="1" applyBorder="1" applyAlignment="1">
      <alignment horizontal="center" wrapText="1"/>
    </xf>
    <xf numFmtId="164" fontId="15" fillId="3" borderId="29" xfId="2" applyFont="1" applyFill="1" applyBorder="1" applyAlignment="1">
      <alignment horizontal="center" wrapText="1"/>
    </xf>
    <xf numFmtId="49" fontId="15" fillId="3" borderId="29" xfId="2" applyNumberFormat="1" applyFont="1" applyFill="1" applyBorder="1" applyAlignment="1">
      <alignment horizontal="center" wrapText="1"/>
    </xf>
    <xf numFmtId="164" fontId="15" fillId="3" borderId="29" xfId="0" applyNumberFormat="1" applyFont="1" applyFill="1" applyBorder="1" applyAlignment="1">
      <alignment horizontal="center" wrapText="1"/>
    </xf>
    <xf numFmtId="49" fontId="15" fillId="12" borderId="8" xfId="476" applyNumberFormat="1" applyFont="1" applyFill="1" applyBorder="1" applyAlignment="1" applyProtection="1">
      <alignment horizontal="center"/>
      <protection locked="0"/>
    </xf>
    <xf numFmtId="49" fontId="15" fillId="12" borderId="0" xfId="476" applyNumberFormat="1" applyFont="1" applyFill="1" applyBorder="1" applyAlignment="1" applyProtection="1">
      <alignment horizontal="left"/>
      <protection locked="0"/>
    </xf>
    <xf numFmtId="49" fontId="59" fillId="12" borderId="0" xfId="476" applyNumberFormat="1" applyFont="1" applyFill="1" applyBorder="1" applyAlignment="1" applyProtection="1">
      <alignment horizontal="left"/>
      <protection locked="0"/>
    </xf>
    <xf numFmtId="9" fontId="61" fillId="7" borderId="15" xfId="46" applyFont="1" applyFill="1" applyBorder="1" applyAlignment="1" applyProtection="1">
      <alignment horizontal="right"/>
    </xf>
    <xf numFmtId="9" fontId="36" fillId="8" borderId="8" xfId="46" applyFont="1" applyFill="1" applyBorder="1" applyAlignment="1" applyProtection="1">
      <alignment horizontal="right"/>
    </xf>
    <xf numFmtId="37" fontId="61" fillId="7" borderId="15" xfId="45" applyNumberFormat="1" applyFont="1" applyFill="1" applyBorder="1" applyProtection="1"/>
    <xf numFmtId="37" fontId="36" fillId="8" borderId="0" xfId="45" applyNumberFormat="1" applyFont="1" applyFill="1" applyBorder="1" applyProtection="1"/>
    <xf numFmtId="9" fontId="61" fillId="7" borderId="15" xfId="46" applyFont="1" applyFill="1" applyBorder="1" applyProtection="1"/>
    <xf numFmtId="37" fontId="36" fillId="8" borderId="15" xfId="45" applyNumberFormat="1" applyFont="1" applyFill="1" applyBorder="1" applyProtection="1"/>
    <xf numFmtId="9" fontId="36" fillId="8" borderId="8" xfId="46" applyFont="1" applyFill="1" applyBorder="1" applyProtection="1"/>
    <xf numFmtId="37" fontId="61" fillId="7" borderId="8" xfId="45" applyNumberFormat="1" applyFont="1" applyFill="1" applyBorder="1" applyProtection="1"/>
    <xf numFmtId="37" fontId="36" fillId="8" borderId="8" xfId="45" applyNumberFormat="1" applyFont="1" applyFill="1" applyBorder="1" applyAlignment="1" applyProtection="1">
      <alignment horizontal="right"/>
    </xf>
    <xf numFmtId="37" fontId="36" fillId="8" borderId="15" xfId="45" applyNumberFormat="1" applyFont="1" applyFill="1" applyBorder="1" applyAlignment="1" applyProtection="1">
      <alignment horizontal="right"/>
    </xf>
    <xf numFmtId="37" fontId="38" fillId="0" borderId="0" xfId="45" applyNumberFormat="1" applyFont="1" applyFill="1" applyBorder="1" applyAlignment="1" applyProtection="1">
      <alignment horizontal="center" vertical="top"/>
      <protection locked="0"/>
    </xf>
    <xf numFmtId="37" fontId="15" fillId="6" borderId="15" xfId="45" applyNumberFormat="1" applyFont="1" applyFill="1" applyBorder="1" applyProtection="1">
      <protection locked="0"/>
    </xf>
    <xf numFmtId="37" fontId="15" fillId="6" borderId="8" xfId="45" applyNumberFormat="1" applyFont="1" applyFill="1" applyBorder="1" applyProtection="1">
      <protection locked="0"/>
    </xf>
    <xf numFmtId="37" fontId="16" fillId="0" borderId="15" xfId="45" applyNumberFormat="1" applyFont="1" applyFill="1" applyBorder="1" applyAlignment="1" applyProtection="1">
      <alignment horizontal="right"/>
      <protection locked="0"/>
    </xf>
    <xf numFmtId="37" fontId="15" fillId="6" borderId="8" xfId="45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Protection="1">
      <protection locked="0"/>
    </xf>
    <xf numFmtId="37" fontId="15" fillId="6" borderId="15" xfId="45" applyNumberFormat="1" applyFont="1" applyFill="1" applyBorder="1" applyAlignment="1" applyProtection="1">
      <alignment horizontal="center"/>
      <protection locked="0"/>
    </xf>
    <xf numFmtId="37" fontId="16" fillId="0" borderId="15" xfId="45" applyNumberFormat="1" applyFont="1" applyFill="1" applyBorder="1" applyProtection="1">
      <protection locked="0"/>
    </xf>
    <xf numFmtId="37" fontId="15" fillId="6" borderId="15" xfId="45" applyNumberFormat="1" applyFont="1" applyFill="1" applyBorder="1" applyAlignment="1" applyProtection="1">
      <alignment horizontal="right"/>
      <protection locked="0"/>
    </xf>
    <xf numFmtId="37" fontId="15" fillId="6" borderId="8" xfId="45" applyNumberFormat="1" applyFont="1" applyFill="1" applyBorder="1" applyAlignment="1" applyProtection="1">
      <alignment horizontal="right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49" fontId="15" fillId="10" borderId="8" xfId="475" applyNumberFormat="1" applyFont="1" applyFill="1" applyBorder="1" applyAlignment="1" applyProtection="1">
      <alignment horizontal="center"/>
      <protection locked="0"/>
    </xf>
    <xf numFmtId="49" fontId="15" fillId="11" borderId="0" xfId="476" applyNumberFormat="1" applyFont="1" applyFill="1" applyBorder="1" applyAlignment="1" applyProtection="1">
      <alignment horizontal="left"/>
      <protection locked="0"/>
    </xf>
    <xf numFmtId="1" fontId="15" fillId="10" borderId="0" xfId="475" applyNumberFormat="1" applyFont="1" applyFill="1" applyBorder="1" applyAlignment="1" applyProtection="1">
      <alignment horizontal="center"/>
      <protection locked="0"/>
    </xf>
    <xf numFmtId="37" fontId="38" fillId="0" borderId="0" xfId="45" applyNumberFormat="1" applyFont="1" applyFill="1" applyBorder="1" applyAlignment="1" applyProtection="1">
      <alignment horizontal="center" vertical="top"/>
      <protection locked="0"/>
    </xf>
    <xf numFmtId="37" fontId="15" fillId="6" borderId="15" xfId="45" applyNumberFormat="1" applyFont="1" applyFill="1" applyBorder="1" applyProtection="1">
      <protection locked="0"/>
    </xf>
    <xf numFmtId="37" fontId="15" fillId="6" borderId="8" xfId="45" applyNumberFormat="1" applyFont="1" applyFill="1" applyBorder="1" applyProtection="1">
      <protection locked="0"/>
    </xf>
    <xf numFmtId="37" fontId="16" fillId="0" borderId="15" xfId="45" applyNumberFormat="1" applyFont="1" applyFill="1" applyBorder="1" applyAlignment="1" applyProtection="1">
      <alignment horizontal="right"/>
      <protection locked="0"/>
    </xf>
    <xf numFmtId="37" fontId="15" fillId="6" borderId="8" xfId="45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Protection="1">
      <protection locked="0"/>
    </xf>
    <xf numFmtId="37" fontId="15" fillId="6" borderId="15" xfId="45" applyNumberFormat="1" applyFont="1" applyFill="1" applyBorder="1" applyAlignment="1" applyProtection="1">
      <alignment horizontal="center"/>
      <protection locked="0"/>
    </xf>
    <xf numFmtId="37" fontId="16" fillId="0" borderId="15" xfId="45" applyNumberFormat="1" applyFont="1" applyFill="1" applyBorder="1" applyProtection="1">
      <protection locked="0"/>
    </xf>
    <xf numFmtId="37" fontId="15" fillId="6" borderId="15" xfId="45" applyNumberFormat="1" applyFont="1" applyFill="1" applyBorder="1" applyAlignment="1" applyProtection="1">
      <alignment horizontal="right"/>
      <protection locked="0"/>
    </xf>
    <xf numFmtId="37" fontId="15" fillId="6" borderId="8" xfId="45" applyNumberFormat="1" applyFont="1" applyFill="1" applyBorder="1" applyAlignment="1" applyProtection="1">
      <alignment horizontal="right"/>
      <protection locked="0"/>
    </xf>
    <xf numFmtId="49" fontId="15" fillId="10" borderId="0" xfId="835" applyNumberFormat="1" applyFont="1" applyFill="1" applyBorder="1" applyAlignment="1" applyProtection="1">
      <alignment horizontal="left"/>
      <protection locked="0"/>
    </xf>
    <xf numFmtId="49" fontId="59" fillId="10" borderId="0" xfId="835" applyNumberFormat="1" applyFont="1" applyFill="1" applyBorder="1" applyAlignment="1" applyProtection="1">
      <alignment horizontal="left"/>
      <protection locked="0"/>
    </xf>
    <xf numFmtId="1" fontId="15" fillId="10" borderId="0" xfId="835" applyNumberFormat="1" applyFont="1" applyFill="1" applyBorder="1" applyAlignment="1" applyProtection="1">
      <alignment horizontal="center"/>
      <protection locked="0"/>
    </xf>
    <xf numFmtId="49" fontId="15" fillId="10" borderId="8" xfId="835" applyNumberFormat="1" applyFont="1" applyFill="1" applyBorder="1" applyAlignment="1" applyProtection="1">
      <alignment horizontal="center"/>
      <protection locked="0"/>
    </xf>
    <xf numFmtId="49" fontId="15" fillId="10" borderId="0" xfId="476" applyNumberFormat="1" applyFont="1" applyFill="1" applyBorder="1" applyAlignment="1" applyProtection="1">
      <alignment horizontal="left"/>
      <protection locked="0"/>
    </xf>
    <xf numFmtId="49" fontId="59" fillId="10" borderId="0" xfId="476" applyNumberFormat="1" applyFont="1" applyFill="1" applyBorder="1" applyAlignment="1" applyProtection="1">
      <alignment horizontal="left"/>
      <protection locked="0"/>
    </xf>
    <xf numFmtId="49" fontId="15" fillId="11" borderId="0" xfId="835" applyNumberFormat="1" applyFont="1" applyFill="1" applyBorder="1" applyAlignment="1" applyProtection="1">
      <alignment horizontal="left"/>
      <protection locked="0"/>
    </xf>
    <xf numFmtId="49" fontId="59" fillId="11" borderId="0" xfId="835" applyNumberFormat="1" applyFont="1" applyFill="1" applyBorder="1" applyAlignment="1" applyProtection="1">
      <alignment horizontal="left"/>
      <protection locked="0"/>
    </xf>
    <xf numFmtId="49" fontId="60" fillId="10" borderId="0" xfId="476" applyNumberFormat="1" applyFont="1" applyFill="1" applyBorder="1" applyAlignment="1" applyProtection="1">
      <alignment horizontal="left"/>
      <protection locked="0"/>
    </xf>
    <xf numFmtId="1" fontId="15" fillId="10" borderId="0" xfId="476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37" fontId="36" fillId="8" borderId="15" xfId="45" applyNumberFormat="1" applyFont="1" applyFill="1" applyBorder="1" applyProtection="1"/>
    <xf numFmtId="9" fontId="36" fillId="8" borderId="8" xfId="46" applyFont="1" applyFill="1" applyBorder="1" applyProtection="1"/>
    <xf numFmtId="9" fontId="36" fillId="8" borderId="8" xfId="46" applyFont="1" applyFill="1" applyBorder="1" applyAlignment="1" applyProtection="1">
      <alignment horizontal="right"/>
    </xf>
    <xf numFmtId="37" fontId="38" fillId="0" borderId="0" xfId="45" applyNumberFormat="1" applyFont="1" applyFill="1" applyBorder="1" applyAlignment="1" applyProtection="1">
      <alignment horizontal="center" vertical="top"/>
      <protection locked="0"/>
    </xf>
    <xf numFmtId="49" fontId="15" fillId="13" borderId="0" xfId="475" applyNumberFormat="1" applyFont="1" applyFill="1" applyBorder="1" applyAlignment="1" applyProtection="1">
      <alignment horizontal="left"/>
      <protection locked="0"/>
    </xf>
    <xf numFmtId="49" fontId="15" fillId="13" borderId="8" xfId="476" applyNumberFormat="1" applyFont="1" applyFill="1" applyBorder="1" applyAlignment="1" applyProtection="1">
      <alignment horizontal="center"/>
      <protection locked="0"/>
    </xf>
    <xf numFmtId="49" fontId="15" fillId="13" borderId="0" xfId="476" applyNumberFormat="1" applyFont="1" applyFill="1" applyBorder="1" applyAlignment="1" applyProtection="1">
      <alignment horizontal="left"/>
      <protection locked="0"/>
    </xf>
    <xf numFmtId="49" fontId="15" fillId="13" borderId="8" xfId="835" applyNumberFormat="1" applyFont="1" applyFill="1" applyBorder="1" applyAlignment="1" applyProtection="1">
      <alignment horizontal="center"/>
      <protection locked="0"/>
    </xf>
    <xf numFmtId="49" fontId="15" fillId="13" borderId="0" xfId="835" applyNumberFormat="1" applyFont="1" applyFill="1" applyBorder="1" applyAlignment="1" applyProtection="1">
      <alignment horizontal="left"/>
      <protection locked="0"/>
    </xf>
    <xf numFmtId="49" fontId="15" fillId="13" borderId="8" xfId="475" applyNumberFormat="1" applyFont="1" applyFill="1" applyBorder="1" applyAlignment="1" applyProtection="1">
      <alignment horizontal="center"/>
      <protection locked="0"/>
    </xf>
    <xf numFmtId="37" fontId="15" fillId="6" borderId="15" xfId="45" applyNumberFormat="1" applyFont="1" applyFill="1" applyBorder="1" applyProtection="1">
      <protection locked="0"/>
    </xf>
    <xf numFmtId="9" fontId="61" fillId="7" borderId="15" xfId="46" applyFont="1" applyFill="1" applyBorder="1" applyAlignment="1" applyProtection="1">
      <alignment horizontal="right"/>
    </xf>
    <xf numFmtId="37" fontId="15" fillId="6" borderId="8" xfId="45" applyNumberFormat="1" applyFont="1" applyFill="1" applyBorder="1" applyProtection="1">
      <protection locked="0"/>
    </xf>
    <xf numFmtId="37" fontId="61" fillId="7" borderId="15" xfId="45" applyNumberFormat="1" applyFont="1" applyFill="1" applyBorder="1" applyProtection="1"/>
    <xf numFmtId="37" fontId="16" fillId="0" borderId="15" xfId="45" applyNumberFormat="1" applyFont="1" applyFill="1" applyBorder="1" applyAlignment="1" applyProtection="1">
      <alignment horizontal="right"/>
      <protection locked="0"/>
    </xf>
    <xf numFmtId="37" fontId="36" fillId="8" borderId="0" xfId="45" applyNumberFormat="1" applyFont="1" applyFill="1" applyBorder="1" applyProtection="1"/>
    <xf numFmtId="37" fontId="15" fillId="6" borderId="8" xfId="45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Protection="1">
      <protection locked="0"/>
    </xf>
    <xf numFmtId="37" fontId="15" fillId="6" borderId="15" xfId="45" applyNumberFormat="1" applyFont="1" applyFill="1" applyBorder="1" applyAlignment="1" applyProtection="1">
      <alignment horizontal="center"/>
      <protection locked="0"/>
    </xf>
    <xf numFmtId="37" fontId="16" fillId="0" borderId="15" xfId="45" applyNumberFormat="1" applyFont="1" applyFill="1" applyBorder="1" applyProtection="1">
      <protection locked="0"/>
    </xf>
    <xf numFmtId="9" fontId="61" fillId="7" borderId="15" xfId="46" applyFont="1" applyFill="1" applyBorder="1" applyProtection="1"/>
    <xf numFmtId="37" fontId="61" fillId="7" borderId="8" xfId="45" applyNumberFormat="1" applyFont="1" applyFill="1" applyBorder="1" applyProtection="1"/>
    <xf numFmtId="37" fontId="36" fillId="8" borderId="8" xfId="45" applyNumberFormat="1" applyFont="1" applyFill="1" applyBorder="1" applyAlignment="1" applyProtection="1">
      <alignment horizontal="right"/>
    </xf>
    <xf numFmtId="37" fontId="36" fillId="8" borderId="15" xfId="45" applyNumberFormat="1" applyFont="1" applyFill="1" applyBorder="1" applyAlignment="1" applyProtection="1">
      <alignment horizontal="right"/>
    </xf>
    <xf numFmtId="37" fontId="15" fillId="6" borderId="15" xfId="45" applyNumberFormat="1" applyFont="1" applyFill="1" applyBorder="1" applyAlignment="1" applyProtection="1">
      <alignment horizontal="right"/>
      <protection locked="0"/>
    </xf>
    <xf numFmtId="37" fontId="15" fillId="6" borderId="8" xfId="45" applyNumberFormat="1" applyFont="1" applyFill="1" applyBorder="1" applyAlignment="1" applyProtection="1">
      <alignment horizontal="right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1" fontId="15" fillId="13" borderId="0" xfId="47" applyNumberFormat="1" applyFont="1" applyFill="1" applyBorder="1" applyAlignment="1" applyProtection="1">
      <alignment horizontal="center"/>
      <protection locked="0"/>
    </xf>
    <xf numFmtId="164" fontId="15" fillId="0" borderId="0" xfId="0" applyFont="1" applyFill="1" applyBorder="1"/>
    <xf numFmtId="1" fontId="15" fillId="10" borderId="0" xfId="47" applyNumberFormat="1" applyFont="1" applyFill="1" applyBorder="1" applyAlignment="1" applyProtection="1">
      <alignment horizontal="center"/>
      <protection locked="0"/>
    </xf>
    <xf numFmtId="49" fontId="15" fillId="10" borderId="0" xfId="473" applyNumberFormat="1" applyFont="1" applyFill="1" applyBorder="1" applyAlignment="1" applyProtection="1">
      <alignment horizontal="center"/>
      <protection locked="0"/>
    </xf>
    <xf numFmtId="49" fontId="16" fillId="10" borderId="0" xfId="47" applyNumberFormat="1" applyFont="1" applyFill="1" applyBorder="1" applyAlignment="1" applyProtection="1">
      <alignment horizontal="left"/>
      <protection locked="0"/>
    </xf>
    <xf numFmtId="49" fontId="33" fillId="10" borderId="0" xfId="47" applyNumberFormat="1" applyFont="1" applyFill="1" applyBorder="1" applyAlignment="1" applyProtection="1">
      <alignment horizontal="left"/>
      <protection locked="0"/>
    </xf>
    <xf numFmtId="49" fontId="16" fillId="10" borderId="0" xfId="472" applyNumberFormat="1" applyFont="1" applyFill="1" applyBorder="1" applyAlignment="1" applyProtection="1">
      <alignment horizontal="left"/>
      <protection locked="0"/>
    </xf>
    <xf numFmtId="1" fontId="15" fillId="10" borderId="0" xfId="47" applyNumberFormat="1" applyFont="1" applyFill="1" applyBorder="1" applyAlignment="1" applyProtection="1">
      <alignment horizontal="center"/>
      <protection locked="0"/>
    </xf>
    <xf numFmtId="1" fontId="33" fillId="10" borderId="0" xfId="47" applyNumberFormat="1" applyFont="1" applyFill="1" applyBorder="1" applyAlignment="1" applyProtection="1">
      <alignment horizontal="center"/>
      <protection locked="0"/>
    </xf>
    <xf numFmtId="1" fontId="15" fillId="12" borderId="0" xfId="474" applyNumberFormat="1" applyFont="1" applyFill="1" applyBorder="1" applyAlignment="1" applyProtection="1">
      <alignment horizontal="center"/>
      <protection locked="0"/>
    </xf>
    <xf numFmtId="1" fontId="15" fillId="13" borderId="0" xfId="476" applyNumberFormat="1" applyFont="1" applyFill="1" applyBorder="1" applyAlignment="1" applyProtection="1">
      <alignment horizontal="center"/>
      <protection locked="0"/>
    </xf>
    <xf numFmtId="1" fontId="33" fillId="12" borderId="0" xfId="474" applyNumberFormat="1" applyFont="1" applyFill="1" applyBorder="1" applyAlignment="1" applyProtection="1">
      <alignment horizontal="center"/>
      <protection locked="0"/>
    </xf>
    <xf numFmtId="1" fontId="15" fillId="12" borderId="0" xfId="835" applyNumberFormat="1" applyFont="1" applyFill="1" applyBorder="1" applyAlignment="1" applyProtection="1">
      <alignment horizontal="center"/>
      <protection locked="0"/>
    </xf>
    <xf numFmtId="1" fontId="15" fillId="10" borderId="0" xfId="3279" applyNumberFormat="1" applyFont="1" applyFill="1" applyBorder="1" applyAlignment="1" applyProtection="1">
      <alignment horizontal="center"/>
      <protection locked="0"/>
    </xf>
    <xf numFmtId="1" fontId="15" fillId="10" borderId="0" xfId="47" applyNumberFormat="1" applyFont="1" applyFill="1" applyBorder="1" applyAlignment="1" applyProtection="1">
      <alignment horizontal="center"/>
      <protection locked="0"/>
    </xf>
    <xf numFmtId="49" fontId="59" fillId="11" borderId="0" xfId="476" applyNumberFormat="1" applyFont="1" applyFill="1" applyBorder="1" applyAlignment="1" applyProtection="1">
      <alignment horizontal="left"/>
      <protection locked="0"/>
    </xf>
    <xf numFmtId="49" fontId="59" fillId="10" borderId="0" xfId="47" applyNumberFormat="1" applyFont="1" applyFill="1" applyBorder="1" applyAlignment="1" applyProtection="1">
      <alignment horizontal="left"/>
      <protection locked="0"/>
    </xf>
    <xf numFmtId="49" fontId="59" fillId="10" borderId="0" xfId="3279" applyNumberFormat="1" applyFont="1" applyFill="1" applyBorder="1" applyAlignment="1" applyProtection="1">
      <alignment horizontal="left"/>
      <protection locked="0"/>
    </xf>
    <xf numFmtId="3" fontId="59" fillId="10" borderId="0" xfId="475" applyFont="1" applyFill="1" applyBorder="1" applyAlignment="1" applyProtection="1">
      <protection locked="0"/>
    </xf>
    <xf numFmtId="49" fontId="60" fillId="11" borderId="0" xfId="476" applyNumberFormat="1" applyFont="1" applyFill="1" applyBorder="1" applyAlignment="1" applyProtection="1">
      <alignment horizontal="left"/>
      <protection locked="0"/>
    </xf>
    <xf numFmtId="49" fontId="16" fillId="12" borderId="0" xfId="476" applyNumberFormat="1" applyFont="1" applyFill="1" applyBorder="1" applyAlignment="1" applyProtection="1">
      <alignment horizontal="left"/>
      <protection locked="0"/>
    </xf>
    <xf numFmtId="164" fontId="15" fillId="0" borderId="0" xfId="0" applyFont="1"/>
    <xf numFmtId="1" fontId="15" fillId="12" borderId="0" xfId="47" applyNumberFormat="1" applyFont="1" applyFill="1" applyBorder="1" applyAlignment="1" applyProtection="1">
      <alignment horizontal="center"/>
      <protection locked="0"/>
    </xf>
    <xf numFmtId="49" fontId="33" fillId="12" borderId="0" xfId="476" applyNumberFormat="1" applyFont="1" applyFill="1" applyBorder="1" applyAlignment="1" applyProtection="1">
      <alignment horizontal="left"/>
      <protection locked="0"/>
    </xf>
    <xf numFmtId="1" fontId="15" fillId="10" borderId="0" xfId="3279" applyNumberFormat="1" applyFont="1" applyFill="1" applyBorder="1" applyAlignment="1" applyProtection="1">
      <alignment horizontal="center"/>
      <protection locked="0"/>
    </xf>
    <xf numFmtId="1" fontId="16" fillId="10" borderId="0" xfId="47" applyNumberFormat="1" applyFont="1" applyFill="1" applyBorder="1" applyAlignment="1" applyProtection="1">
      <alignment horizontal="center"/>
      <protection locked="0"/>
    </xf>
    <xf numFmtId="1" fontId="15" fillId="13" borderId="0" xfId="475" applyNumberFormat="1" applyFont="1" applyFill="1" applyBorder="1" applyAlignment="1" applyProtection="1">
      <alignment horizontal="center"/>
      <protection locked="0"/>
    </xf>
    <xf numFmtId="49" fontId="59" fillId="13" borderId="0" xfId="475" applyNumberFormat="1" applyFont="1" applyFill="1" applyBorder="1" applyAlignment="1" applyProtection="1">
      <alignment horizontal="left"/>
      <protection locked="0"/>
    </xf>
    <xf numFmtId="49" fontId="59" fillId="13" borderId="0" xfId="476" applyNumberFormat="1" applyFont="1" applyFill="1" applyBorder="1" applyAlignment="1" applyProtection="1">
      <alignment horizontal="left"/>
      <protection locked="0"/>
    </xf>
    <xf numFmtId="49" fontId="59" fillId="13" borderId="0" xfId="835" applyNumberFormat="1" applyFont="1" applyFill="1" applyBorder="1" applyAlignment="1" applyProtection="1">
      <alignment horizontal="left"/>
      <protection locked="0"/>
    </xf>
    <xf numFmtId="1" fontId="15" fillId="13" borderId="0" xfId="835" applyNumberFormat="1" applyFont="1" applyFill="1" applyBorder="1" applyAlignment="1" applyProtection="1">
      <alignment horizontal="center"/>
      <protection locked="0"/>
    </xf>
    <xf numFmtId="49" fontId="60" fillId="13" borderId="0" xfId="476" applyNumberFormat="1" applyFont="1" applyFill="1" applyBorder="1" applyAlignment="1" applyProtection="1">
      <alignment horizontal="left"/>
      <protection locked="0"/>
    </xf>
    <xf numFmtId="1" fontId="16" fillId="13" borderId="0" xfId="47" applyNumberFormat="1" applyFont="1" applyFill="1" applyBorder="1" applyAlignment="1" applyProtection="1">
      <alignment horizontal="center"/>
      <protection locked="0"/>
    </xf>
    <xf numFmtId="1" fontId="33" fillId="13" borderId="0" xfId="47" applyNumberFormat="1" applyFont="1" applyFill="1" applyBorder="1" applyAlignment="1" applyProtection="1">
      <alignment horizontal="center"/>
      <protection locked="0"/>
    </xf>
    <xf numFmtId="1" fontId="15" fillId="13" borderId="0" xfId="3279" applyNumberFormat="1" applyFont="1" applyFill="1" applyBorder="1" applyAlignment="1" applyProtection="1">
      <alignment horizontal="center"/>
      <protection locked="0"/>
    </xf>
    <xf numFmtId="1" fontId="15" fillId="14" borderId="0" xfId="1188" applyNumberFormat="1" applyFont="1" applyFill="1" applyBorder="1" applyAlignment="1" applyProtection="1">
      <alignment horizontal="center"/>
      <protection locked="0"/>
    </xf>
    <xf numFmtId="164" fontId="15" fillId="0" borderId="0" xfId="0" applyFont="1" applyFill="1"/>
    <xf numFmtId="1" fontId="15" fillId="10" borderId="0" xfId="47" applyNumberFormat="1" applyFont="1" applyFill="1" applyBorder="1" applyAlignment="1" applyProtection="1">
      <alignment horizontal="center"/>
      <protection locked="0"/>
    </xf>
    <xf numFmtId="49" fontId="15" fillId="38" borderId="8" xfId="476" applyNumberFormat="1" applyFont="1" applyFill="1" applyBorder="1" applyAlignment="1" applyProtection="1">
      <alignment horizontal="center"/>
      <protection locked="0"/>
    </xf>
    <xf numFmtId="49" fontId="15" fillId="38" borderId="0" xfId="476" applyNumberFormat="1" applyFont="1" applyFill="1" applyBorder="1" applyAlignment="1" applyProtection="1">
      <alignment horizontal="left"/>
      <protection locked="0"/>
    </xf>
    <xf numFmtId="49" fontId="59" fillId="38" borderId="0" xfId="476" applyNumberFormat="1" applyFont="1" applyFill="1" applyBorder="1" applyAlignment="1" applyProtection="1">
      <alignment horizontal="left"/>
      <protection locked="0"/>
    </xf>
    <xf numFmtId="1" fontId="15" fillId="38" borderId="0" xfId="476" applyNumberFormat="1" applyFont="1" applyFill="1" applyBorder="1" applyAlignment="1" applyProtection="1">
      <alignment horizontal="center"/>
      <protection locked="0"/>
    </xf>
    <xf numFmtId="1" fontId="15" fillId="38" borderId="0" xfId="47" applyNumberFormat="1" applyFont="1" applyFill="1" applyBorder="1" applyAlignment="1" applyProtection="1">
      <alignment horizontal="center"/>
      <protection locked="0"/>
    </xf>
    <xf numFmtId="49" fontId="60" fillId="38" borderId="0" xfId="476" applyNumberFormat="1" applyFont="1" applyFill="1" applyBorder="1" applyAlignment="1" applyProtection="1">
      <alignment horizontal="left"/>
      <protection locked="0"/>
    </xf>
    <xf numFmtId="1" fontId="33" fillId="38" borderId="0" xfId="47" applyNumberFormat="1" applyFont="1" applyFill="1" applyBorder="1" applyAlignment="1" applyProtection="1">
      <alignment horizontal="center"/>
      <protection locked="0"/>
    </xf>
    <xf numFmtId="3" fontId="15" fillId="38" borderId="0" xfId="475" applyFont="1" applyFill="1" applyBorder="1" applyAlignment="1" applyProtection="1">
      <protection locked="0"/>
    </xf>
    <xf numFmtId="3" fontId="59" fillId="38" borderId="0" xfId="475" applyFont="1" applyFill="1" applyBorder="1" applyAlignment="1" applyProtection="1">
      <protection locked="0"/>
    </xf>
    <xf numFmtId="3" fontId="16" fillId="38" borderId="0" xfId="475" applyFont="1" applyFill="1" applyBorder="1" applyAlignment="1" applyProtection="1">
      <alignment horizontal="center"/>
      <protection locked="0"/>
    </xf>
    <xf numFmtId="1" fontId="15" fillId="39" borderId="0" xfId="47" applyNumberFormat="1" applyFont="1" applyFill="1" applyBorder="1" applyAlignment="1" applyProtection="1">
      <alignment horizontal="center"/>
      <protection locked="0"/>
    </xf>
    <xf numFmtId="49" fontId="15" fillId="38" borderId="0" xfId="475" applyNumberFormat="1" applyFont="1" applyFill="1" applyBorder="1" applyAlignment="1" applyProtection="1">
      <alignment horizontal="left"/>
      <protection locked="0"/>
    </xf>
    <xf numFmtId="49" fontId="59" fillId="38" borderId="0" xfId="475" applyNumberFormat="1" applyFont="1" applyFill="1" applyBorder="1" applyAlignment="1" applyProtection="1">
      <alignment horizontal="left"/>
      <protection locked="0"/>
    </xf>
    <xf numFmtId="1" fontId="15" fillId="38" borderId="0" xfId="475" applyNumberFormat="1" applyFont="1" applyFill="1" applyBorder="1" applyAlignment="1" applyProtection="1">
      <alignment horizontal="center"/>
      <protection locked="0"/>
    </xf>
    <xf numFmtId="1" fontId="15" fillId="40" borderId="0" xfId="1188" applyNumberFormat="1" applyFont="1" applyFill="1" applyBorder="1" applyAlignment="1" applyProtection="1">
      <alignment horizontal="center"/>
      <protection locked="0"/>
    </xf>
    <xf numFmtId="49" fontId="15" fillId="39" borderId="0" xfId="476" applyNumberFormat="1" applyFont="1" applyFill="1" applyBorder="1" applyAlignment="1" applyProtection="1">
      <alignment horizontal="left"/>
      <protection locked="0"/>
    </xf>
    <xf numFmtId="49" fontId="59" fillId="39" borderId="0" xfId="476" applyNumberFormat="1" applyFont="1" applyFill="1" applyBorder="1" applyAlignment="1" applyProtection="1">
      <alignment horizontal="left"/>
      <protection locked="0"/>
    </xf>
    <xf numFmtId="1" fontId="16" fillId="38" borderId="0" xfId="47" applyNumberFormat="1" applyFont="1" applyFill="1" applyBorder="1" applyAlignment="1" applyProtection="1">
      <alignment horizontal="center"/>
      <protection locked="0"/>
    </xf>
    <xf numFmtId="1" fontId="15" fillId="13" borderId="0" xfId="474" applyNumberFormat="1" applyFont="1" applyFill="1" applyBorder="1" applyAlignment="1" applyProtection="1">
      <alignment horizontal="center"/>
      <protection locked="0"/>
    </xf>
    <xf numFmtId="37" fontId="15" fillId="6" borderId="19" xfId="45" applyNumberFormat="1" applyFont="1" applyFill="1" applyBorder="1" applyProtection="1">
      <protection locked="0"/>
    </xf>
    <xf numFmtId="164" fontId="15" fillId="13" borderId="0" xfId="476" applyFont="1" applyFill="1" applyBorder="1" applyProtection="1">
      <protection locked="0"/>
    </xf>
    <xf numFmtId="164" fontId="59" fillId="13" borderId="0" xfId="476" applyFont="1" applyFill="1" applyBorder="1" applyProtection="1">
      <protection locked="0"/>
    </xf>
    <xf numFmtId="49" fontId="15" fillId="13" borderId="8" xfId="44" applyNumberFormat="1" applyFont="1" applyFill="1" applyBorder="1" applyAlignment="1" applyProtection="1">
      <alignment horizontal="center"/>
      <protection locked="0"/>
    </xf>
    <xf numFmtId="49" fontId="15" fillId="13" borderId="0" xfId="44" applyNumberFormat="1" applyFont="1" applyFill="1" applyBorder="1" applyAlignment="1" applyProtection="1">
      <alignment horizontal="left"/>
      <protection locked="0"/>
    </xf>
    <xf numFmtId="49" fontId="59" fillId="13" borderId="0" xfId="44" applyNumberFormat="1" applyFont="1" applyFill="1" applyBorder="1" applyAlignment="1" applyProtection="1">
      <alignment horizontal="left"/>
      <protection locked="0"/>
    </xf>
    <xf numFmtId="0" fontId="15" fillId="13" borderId="0" xfId="4334" applyNumberFormat="1" applyFont="1" applyFill="1" applyBorder="1" applyAlignment="1" applyProtection="1">
      <alignment horizontal="center"/>
      <protection locked="0"/>
    </xf>
    <xf numFmtId="49" fontId="15" fillId="13" borderId="0" xfId="4334" applyNumberFormat="1" applyFont="1" applyFill="1" applyBorder="1" applyAlignment="1" applyProtection="1">
      <alignment horizontal="left"/>
      <protection locked="0"/>
    </xf>
    <xf numFmtId="49" fontId="59" fillId="13" borderId="0" xfId="4334" applyNumberFormat="1" applyFont="1" applyFill="1" applyBorder="1" applyAlignment="1" applyProtection="1">
      <alignment horizontal="left"/>
      <protection locked="0"/>
    </xf>
    <xf numFmtId="1" fontId="15" fillId="13" borderId="0" xfId="4334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49" fontId="15" fillId="41" borderId="8" xfId="476" applyNumberFormat="1" applyFont="1" applyFill="1" applyBorder="1" applyAlignment="1" applyProtection="1">
      <alignment horizontal="center"/>
      <protection locked="0"/>
    </xf>
    <xf numFmtId="49" fontId="15" fillId="41" borderId="0" xfId="476" applyNumberFormat="1" applyFont="1" applyFill="1" applyBorder="1" applyAlignment="1" applyProtection="1">
      <alignment horizontal="left"/>
      <protection locked="0"/>
    </xf>
    <xf numFmtId="49" fontId="59" fillId="41" borderId="0" xfId="476" applyNumberFormat="1" applyFont="1" applyFill="1" applyBorder="1" applyAlignment="1" applyProtection="1">
      <alignment horizontal="left"/>
      <protection locked="0"/>
    </xf>
    <xf numFmtId="1" fontId="15" fillId="41" borderId="0" xfId="835" applyNumberFormat="1" applyFont="1" applyFill="1" applyBorder="1" applyAlignment="1" applyProtection="1">
      <alignment horizontal="center"/>
      <protection locked="0"/>
    </xf>
    <xf numFmtId="1" fontId="15" fillId="41" borderId="0" xfId="474" applyNumberFormat="1" applyFont="1" applyFill="1" applyBorder="1" applyAlignment="1" applyProtection="1">
      <alignment horizontal="center"/>
      <protection locked="0"/>
    </xf>
    <xf numFmtId="49" fontId="15" fillId="42" borderId="0" xfId="47" applyNumberFormat="1" applyFont="1" applyFill="1" applyBorder="1" applyAlignment="1" applyProtection="1">
      <alignment horizontal="left"/>
      <protection locked="0"/>
    </xf>
    <xf numFmtId="37" fontId="15" fillId="43" borderId="8" xfId="45" applyNumberFormat="1" applyFont="1" applyFill="1" applyBorder="1" applyProtection="1">
      <protection locked="0"/>
    </xf>
    <xf numFmtId="164" fontId="16" fillId="0" borderId="8" xfId="42" applyFont="1" applyFill="1" applyBorder="1" applyProtection="1">
      <protection locked="0"/>
    </xf>
    <xf numFmtId="164" fontId="16" fillId="0" borderId="15" xfId="42" applyFont="1" applyFill="1" applyBorder="1" applyProtection="1">
      <protection locked="0"/>
    </xf>
    <xf numFmtId="1" fontId="15" fillId="42" borderId="0" xfId="474" applyNumberFormat="1" applyFont="1" applyFill="1" applyBorder="1" applyAlignment="1" applyProtection="1">
      <alignment horizontal="center"/>
      <protection locked="0"/>
    </xf>
    <xf numFmtId="164" fontId="15" fillId="42" borderId="0" xfId="47" applyFont="1" applyFill="1" applyBorder="1" applyAlignment="1" applyProtection="1">
      <protection locked="0"/>
    </xf>
    <xf numFmtId="49" fontId="15" fillId="42" borderId="0" xfId="474" applyNumberFormat="1" applyFont="1" applyFill="1" applyBorder="1" applyAlignment="1" applyProtection="1">
      <alignment horizontal="left"/>
      <protection locked="0"/>
    </xf>
    <xf numFmtId="49" fontId="59" fillId="42" borderId="0" xfId="474" applyNumberFormat="1" applyFont="1" applyFill="1" applyBorder="1" applyAlignment="1" applyProtection="1">
      <alignment horizontal="left"/>
      <protection locked="0"/>
    </xf>
    <xf numFmtId="3" fontId="15" fillId="42" borderId="0" xfId="475" applyFont="1" applyFill="1" applyBorder="1" applyAlignment="1" applyProtection="1">
      <protection locked="0"/>
    </xf>
    <xf numFmtId="49" fontId="15" fillId="42" borderId="0" xfId="475" applyNumberFormat="1" applyFont="1" applyFill="1" applyBorder="1" applyAlignment="1" applyProtection="1">
      <alignment horizontal="left"/>
      <protection locked="0"/>
    </xf>
    <xf numFmtId="49" fontId="15" fillId="42" borderId="8" xfId="474" applyNumberFormat="1" applyFont="1" applyFill="1" applyBorder="1" applyAlignment="1" applyProtection="1">
      <alignment horizontal="center"/>
      <protection locked="0"/>
    </xf>
    <xf numFmtId="49" fontId="15" fillId="42" borderId="0" xfId="44" applyNumberFormat="1" applyFont="1" applyFill="1" applyBorder="1" applyAlignment="1" applyProtection="1">
      <alignment horizontal="center"/>
      <protection locked="0"/>
    </xf>
    <xf numFmtId="49" fontId="60" fillId="42" borderId="0" xfId="47" applyNumberFormat="1" applyFont="1" applyFill="1" applyBorder="1" applyAlignment="1" applyProtection="1">
      <alignment horizontal="left"/>
      <protection locked="0"/>
    </xf>
    <xf numFmtId="1" fontId="15" fillId="42" borderId="0" xfId="47" applyNumberFormat="1" applyFont="1" applyFill="1" applyBorder="1" applyAlignment="1" applyProtection="1">
      <alignment horizontal="center"/>
      <protection locked="0"/>
    </xf>
    <xf numFmtId="1" fontId="33" fillId="42" borderId="0" xfId="47" applyNumberFormat="1" applyFont="1" applyFill="1" applyBorder="1" applyAlignment="1" applyProtection="1">
      <alignment horizontal="center"/>
      <protection locked="0"/>
    </xf>
    <xf numFmtId="1" fontId="16" fillId="42" borderId="0" xfId="47" applyNumberFormat="1" applyFont="1" applyFill="1" applyBorder="1" applyAlignment="1" applyProtection="1">
      <alignment horizontal="center"/>
      <protection locked="0"/>
    </xf>
    <xf numFmtId="1" fontId="16" fillId="44" borderId="0" xfId="1188" applyNumberFormat="1" applyFont="1" applyFill="1" applyBorder="1" applyAlignment="1" applyProtection="1">
      <alignment horizontal="center"/>
      <protection locked="0"/>
    </xf>
    <xf numFmtId="1" fontId="15" fillId="42" borderId="0" xfId="3279" applyNumberFormat="1" applyFont="1" applyFill="1" applyBorder="1" applyAlignment="1" applyProtection="1">
      <alignment horizontal="center"/>
      <protection locked="0"/>
    </xf>
    <xf numFmtId="49" fontId="59" fillId="42" borderId="0" xfId="47" applyNumberFormat="1" applyFont="1" applyFill="1" applyBorder="1" applyAlignment="1" applyProtection="1">
      <alignment horizontal="center"/>
      <protection locked="0"/>
    </xf>
    <xf numFmtId="1" fontId="15" fillId="44" borderId="0" xfId="1188" applyNumberFormat="1" applyFont="1" applyFill="1" applyBorder="1" applyAlignment="1" applyProtection="1">
      <alignment horizontal="center"/>
      <protection locked="0"/>
    </xf>
    <xf numFmtId="49" fontId="59" fillId="42" borderId="0" xfId="47" applyNumberFormat="1" applyFont="1" applyFill="1" applyBorder="1" applyAlignment="1" applyProtection="1">
      <alignment horizontal="left"/>
      <protection locked="0"/>
    </xf>
    <xf numFmtId="49" fontId="15" fillId="12" borderId="0" xfId="835" applyNumberFormat="1" applyFont="1" applyFill="1" applyBorder="1" applyAlignment="1" applyProtection="1">
      <alignment horizontal="left"/>
      <protection locked="0"/>
    </xf>
    <xf numFmtId="49" fontId="59" fillId="12" borderId="0" xfId="835" applyNumberFormat="1" applyFont="1" applyFill="1" applyBorder="1" applyAlignment="1" applyProtection="1">
      <alignment horizontal="left"/>
      <protection locked="0"/>
    </xf>
    <xf numFmtId="37" fontId="38" fillId="0" borderId="0" xfId="45" applyNumberFormat="1" applyFont="1" applyFill="1" applyBorder="1" applyAlignment="1" applyProtection="1">
      <alignment horizontal="right" vertical="top"/>
      <protection locked="0"/>
    </xf>
    <xf numFmtId="37" fontId="44" fillId="6" borderId="8" xfId="45" applyNumberFormat="1" applyFont="1" applyFill="1" applyBorder="1" applyAlignment="1" applyProtection="1">
      <alignment horizontal="center"/>
      <protection locked="0"/>
    </xf>
    <xf numFmtId="37" fontId="44" fillId="6" borderId="15" xfId="45" applyNumberFormat="1" applyFont="1" applyFill="1" applyBorder="1" applyProtection="1">
      <protection locked="0"/>
    </xf>
    <xf numFmtId="37" fontId="79" fillId="0" borderId="8" xfId="45" applyNumberFormat="1" applyFont="1" applyFill="1" applyBorder="1" applyProtection="1">
      <protection locked="0"/>
    </xf>
    <xf numFmtId="37" fontId="44" fillId="6" borderId="15" xfId="45" applyNumberFormat="1" applyFont="1" applyFill="1" applyBorder="1" applyAlignment="1" applyProtection="1">
      <alignment horizontal="center"/>
      <protection locked="0"/>
    </xf>
    <xf numFmtId="37" fontId="79" fillId="0" borderId="15" xfId="45" applyNumberFormat="1" applyFont="1" applyFill="1" applyBorder="1" applyProtection="1">
      <protection locked="0"/>
    </xf>
    <xf numFmtId="37" fontId="79" fillId="0" borderId="8" xfId="45" quotePrefix="1" applyNumberFormat="1" applyFont="1" applyFill="1" applyBorder="1" applyProtection="1">
      <protection locked="0"/>
    </xf>
    <xf numFmtId="37" fontId="79" fillId="0" borderId="8" xfId="45" quotePrefix="1" applyNumberFormat="1" applyFont="1" applyFill="1" applyBorder="1" applyAlignment="1" applyProtection="1">
      <alignment horizontal="right"/>
      <protection locked="0"/>
    </xf>
    <xf numFmtId="37" fontId="16" fillId="0" borderId="8" xfId="45" quotePrefix="1" applyNumberFormat="1" applyFont="1" applyFill="1" applyBorder="1" applyAlignment="1" applyProtection="1">
      <alignment horizontal="right"/>
      <protection locked="0"/>
    </xf>
    <xf numFmtId="37" fontId="16" fillId="0" borderId="8" xfId="45" quotePrefix="1" applyNumberFormat="1" applyFont="1" applyFill="1" applyBorder="1" applyProtection="1">
      <protection locked="0"/>
    </xf>
    <xf numFmtId="1" fontId="15" fillId="12" borderId="0" xfId="476" applyNumberFormat="1" applyFont="1" applyFill="1" applyBorder="1" applyAlignment="1" applyProtection="1">
      <alignment horizontal="center"/>
      <protection locked="0"/>
    </xf>
    <xf numFmtId="0" fontId="16" fillId="12" borderId="0" xfId="47" applyNumberFormat="1" applyFont="1" applyFill="1" applyBorder="1" applyAlignment="1" applyProtection="1">
      <alignment horizontal="center"/>
      <protection locked="0"/>
    </xf>
    <xf numFmtId="49" fontId="15" fillId="12" borderId="0" xfId="473" applyNumberFormat="1" applyFont="1" applyFill="1" applyBorder="1" applyAlignment="1" applyProtection="1">
      <alignment horizontal="left"/>
      <protection locked="0"/>
    </xf>
    <xf numFmtId="49" fontId="59" fillId="12" borderId="0" xfId="473" applyNumberFormat="1" applyFont="1" applyFill="1" applyBorder="1" applyAlignment="1" applyProtection="1">
      <alignment horizontal="left"/>
      <protection locked="0"/>
    </xf>
    <xf numFmtId="49" fontId="15" fillId="12" borderId="8" xfId="835" applyNumberFormat="1" applyFont="1" applyFill="1" applyBorder="1" applyAlignment="1" applyProtection="1">
      <alignment horizontal="center"/>
      <protection locked="0"/>
    </xf>
    <xf numFmtId="164" fontId="15" fillId="12" borderId="0" xfId="476" applyFont="1" applyFill="1" applyBorder="1" applyProtection="1">
      <protection locked="0"/>
    </xf>
    <xf numFmtId="164" fontId="59" fillId="12" borderId="0" xfId="476" applyFont="1" applyFill="1" applyBorder="1" applyProtection="1">
      <protection locked="0"/>
    </xf>
    <xf numFmtId="49" fontId="60" fillId="12" borderId="0" xfId="476" applyNumberFormat="1" applyFont="1" applyFill="1" applyBorder="1" applyAlignment="1" applyProtection="1">
      <alignment horizontal="left"/>
      <protection locked="0"/>
    </xf>
    <xf numFmtId="1" fontId="33" fillId="12" borderId="0" xfId="47" applyNumberFormat="1" applyFont="1" applyFill="1" applyBorder="1" applyAlignment="1" applyProtection="1">
      <alignment horizontal="center"/>
      <protection locked="0"/>
    </xf>
    <xf numFmtId="1" fontId="15" fillId="12" borderId="0" xfId="3279" applyNumberFormat="1" applyFont="1" applyFill="1" applyBorder="1" applyAlignment="1" applyProtection="1">
      <alignment horizontal="center"/>
      <protection locked="0"/>
    </xf>
    <xf numFmtId="1" fontId="16" fillId="12" borderId="0" xfId="47" applyNumberFormat="1" applyFont="1" applyFill="1" applyBorder="1" applyAlignment="1" applyProtection="1">
      <alignment horizontal="center"/>
      <protection locked="0"/>
    </xf>
    <xf numFmtId="1" fontId="16" fillId="13" borderId="0" xfId="44" applyNumberFormat="1" applyFont="1" applyFill="1" applyBorder="1" applyAlignment="1" applyProtection="1">
      <alignment horizontal="center"/>
      <protection locked="0"/>
    </xf>
    <xf numFmtId="49" fontId="15" fillId="10" borderId="8" xfId="476" applyNumberFormat="1" applyFont="1" applyFill="1" applyBorder="1" applyAlignment="1" applyProtection="1">
      <alignment horizontal="center"/>
      <protection locked="0"/>
    </xf>
    <xf numFmtId="1" fontId="15" fillId="10" borderId="0" xfId="474" applyNumberFormat="1" applyFont="1" applyFill="1" applyBorder="1" applyAlignment="1" applyProtection="1">
      <alignment horizontal="center"/>
      <protection locked="0"/>
    </xf>
    <xf numFmtId="49" fontId="15" fillId="10" borderId="0" xfId="475" applyNumberFormat="1" applyFont="1" applyFill="1" applyBorder="1" applyAlignment="1" applyProtection="1">
      <alignment horizontal="left"/>
      <protection locked="0"/>
    </xf>
    <xf numFmtId="49" fontId="59" fillId="10" borderId="0" xfId="475" applyNumberFormat="1" applyFont="1" applyFill="1" applyBorder="1" applyAlignment="1" applyProtection="1">
      <alignment horizontal="left"/>
      <protection locked="0"/>
    </xf>
    <xf numFmtId="1" fontId="15" fillId="45" borderId="0" xfId="1188" applyNumberFormat="1" applyFont="1" applyFill="1" applyBorder="1" applyAlignment="1" applyProtection="1">
      <alignment horizontal="center"/>
      <protection locked="0"/>
    </xf>
    <xf numFmtId="49" fontId="82" fillId="10" borderId="0" xfId="476" applyNumberFormat="1" applyFont="1" applyFill="1" applyBorder="1" applyAlignment="1" applyProtection="1">
      <alignment horizontal="left"/>
      <protection locked="0"/>
    </xf>
    <xf numFmtId="37" fontId="38" fillId="0" borderId="0" xfId="45" quotePrefix="1" applyNumberFormat="1" applyFont="1" applyFill="1" applyBorder="1" applyAlignment="1" applyProtection="1">
      <alignment horizontal="center" vertical="top"/>
      <protection locked="0"/>
    </xf>
    <xf numFmtId="1" fontId="33" fillId="10" borderId="0" xfId="474" applyNumberFormat="1" applyFont="1" applyFill="1" applyBorder="1" applyAlignment="1" applyProtection="1">
      <alignment horizontal="center"/>
      <protection locked="0"/>
    </xf>
    <xf numFmtId="1" fontId="16" fillId="10" borderId="0" xfId="3279" applyNumberFormat="1" applyFont="1" applyFill="1" applyBorder="1" applyAlignment="1" applyProtection="1">
      <alignment horizontal="center"/>
      <protection locked="0"/>
    </xf>
    <xf numFmtId="1" fontId="33" fillId="10" borderId="0" xfId="3279" applyNumberFormat="1" applyFont="1" applyFill="1" applyBorder="1" applyAlignment="1" applyProtection="1">
      <alignment horizontal="center"/>
      <protection locked="0"/>
    </xf>
    <xf numFmtId="49" fontId="15" fillId="46" borderId="8" xfId="476" applyNumberFormat="1" applyFont="1" applyFill="1" applyBorder="1" applyAlignment="1" applyProtection="1">
      <alignment horizontal="center"/>
      <protection locked="0"/>
    </xf>
    <xf numFmtId="49" fontId="15" fillId="46" borderId="0" xfId="476" applyNumberFormat="1" applyFont="1" applyFill="1" applyBorder="1" applyAlignment="1" applyProtection="1">
      <alignment horizontal="left"/>
      <protection locked="0"/>
    </xf>
    <xf numFmtId="49" fontId="16" fillId="46" borderId="0" xfId="476" applyNumberFormat="1" applyFont="1" applyFill="1" applyBorder="1" applyAlignment="1" applyProtection="1">
      <alignment horizontal="left"/>
      <protection locked="0"/>
    </xf>
    <xf numFmtId="1" fontId="15" fillId="46" borderId="0" xfId="476" applyNumberFormat="1" applyFont="1" applyFill="1" applyBorder="1" applyAlignment="1" applyProtection="1">
      <alignment horizontal="center"/>
      <protection locked="0"/>
    </xf>
    <xf numFmtId="1" fontId="15" fillId="46" borderId="0" xfId="47" applyNumberFormat="1" applyFont="1" applyFill="1" applyBorder="1" applyAlignment="1" applyProtection="1">
      <alignment horizontal="center"/>
      <protection locked="0"/>
    </xf>
    <xf numFmtId="164" fontId="44" fillId="0" borderId="0" xfId="5536" applyFont="1"/>
    <xf numFmtId="0" fontId="44" fillId="0" borderId="0" xfId="9356" applyNumberFormat="1" applyFont="1"/>
    <xf numFmtId="164" fontId="44" fillId="0" borderId="0" xfId="9356" applyFont="1"/>
    <xf numFmtId="0" fontId="44" fillId="0" borderId="0" xfId="10794" applyNumberFormat="1" applyFont="1"/>
    <xf numFmtId="164" fontId="15" fillId="0" borderId="0" xfId="9356" applyFont="1"/>
    <xf numFmtId="49" fontId="33" fillId="46" borderId="0" xfId="476" applyNumberFormat="1" applyFont="1" applyFill="1" applyBorder="1" applyAlignment="1" applyProtection="1">
      <alignment horizontal="left"/>
      <protection locked="0"/>
    </xf>
    <xf numFmtId="1" fontId="16" fillId="46" borderId="0" xfId="47" applyNumberFormat="1" applyFont="1" applyFill="1" applyBorder="1" applyAlignment="1" applyProtection="1">
      <alignment horizontal="center"/>
      <protection locked="0"/>
    </xf>
    <xf numFmtId="0" fontId="79" fillId="0" borderId="0" xfId="3259" applyNumberFormat="1" applyFont="1" applyBorder="1"/>
    <xf numFmtId="49" fontId="15" fillId="46" borderId="8" xfId="835" applyNumberFormat="1" applyFont="1" applyFill="1" applyBorder="1" applyAlignment="1" applyProtection="1">
      <alignment horizontal="center"/>
      <protection locked="0"/>
    </xf>
    <xf numFmtId="49" fontId="15" fillId="46" borderId="0" xfId="835" applyNumberFormat="1" applyFont="1" applyFill="1" applyBorder="1" applyAlignment="1" applyProtection="1">
      <alignment horizontal="left"/>
      <protection locked="0"/>
    </xf>
    <xf numFmtId="49" fontId="16" fillId="46" borderId="0" xfId="835" applyNumberFormat="1" applyFont="1" applyFill="1" applyBorder="1" applyAlignment="1" applyProtection="1">
      <alignment horizontal="left"/>
      <protection locked="0"/>
    </xf>
    <xf numFmtId="1" fontId="15" fillId="46" borderId="0" xfId="835" applyNumberFormat="1" applyFont="1" applyFill="1" applyBorder="1" applyAlignment="1" applyProtection="1">
      <alignment horizontal="center"/>
      <protection locked="0"/>
    </xf>
    <xf numFmtId="1" fontId="15" fillId="46" borderId="0" xfId="474" applyNumberFormat="1" applyFont="1" applyFill="1" applyBorder="1" applyAlignment="1" applyProtection="1">
      <alignment horizontal="center"/>
      <protection locked="0"/>
    </xf>
    <xf numFmtId="0" fontId="16" fillId="0" borderId="0" xfId="3283" applyNumberFormat="1" applyFont="1" applyBorder="1"/>
    <xf numFmtId="1" fontId="38" fillId="0" borderId="0" xfId="45" applyNumberFormat="1" applyFont="1" applyFill="1" applyBorder="1" applyAlignment="1" applyProtection="1">
      <alignment horizontal="center" vertical="top"/>
      <protection locked="0"/>
    </xf>
    <xf numFmtId="0" fontId="44" fillId="0" borderId="0" xfId="0" applyNumberFormat="1" applyFont="1" applyFill="1" applyBorder="1" applyAlignment="1" applyProtection="1">
      <alignment vertical="top" wrapText="1"/>
      <protection locked="0"/>
    </xf>
    <xf numFmtId="164" fontId="44" fillId="0" borderId="0" xfId="0" applyFont="1" applyBorder="1" applyAlignment="1">
      <alignment vertical="top" wrapText="1"/>
    </xf>
    <xf numFmtId="37" fontId="15" fillId="0" borderId="8" xfId="45" applyNumberFormat="1" applyFont="1" applyFill="1" applyBorder="1" applyProtection="1">
      <protection locked="0"/>
    </xf>
    <xf numFmtId="37" fontId="15" fillId="0" borderId="15" xfId="45" applyNumberFormat="1" applyFont="1" applyFill="1" applyBorder="1" applyProtection="1">
      <protection locked="0"/>
    </xf>
    <xf numFmtId="37" fontId="15" fillId="0" borderId="0" xfId="45" applyNumberFormat="1" applyFont="1" applyFill="1" applyBorder="1" applyAlignment="1" applyProtection="1">
      <alignment horizontal="center" vertical="top"/>
      <protection locked="0"/>
    </xf>
    <xf numFmtId="37" fontId="16" fillId="0" borderId="0" xfId="45" applyNumberFormat="1" applyFont="1" applyFill="1" applyBorder="1" applyAlignment="1" applyProtection="1">
      <alignment horizontal="center" vertical="top"/>
      <protection locked="0"/>
    </xf>
    <xf numFmtId="37" fontId="15" fillId="0" borderId="0" xfId="45" applyNumberFormat="1" applyFont="1" applyFill="1" applyBorder="1" applyAlignment="1" applyProtection="1">
      <alignment horizontal="right" vertical="top"/>
      <protection locked="0"/>
    </xf>
    <xf numFmtId="37" fontId="16" fillId="0" borderId="0" xfId="45" applyNumberFormat="1" applyFont="1" applyFill="1" applyBorder="1" applyAlignment="1" applyProtection="1">
      <alignment horizontal="right" vertical="top"/>
      <protection locked="0"/>
    </xf>
    <xf numFmtId="1" fontId="15" fillId="41" borderId="0" xfId="476" applyNumberFormat="1" applyFont="1" applyFill="1" applyBorder="1" applyAlignment="1" applyProtection="1">
      <alignment horizontal="center"/>
      <protection locked="0"/>
    </xf>
    <xf numFmtId="1" fontId="15" fillId="41" borderId="0" xfId="47" applyNumberFormat="1" applyFont="1" applyFill="1" applyBorder="1" applyAlignment="1" applyProtection="1">
      <alignment horizontal="center"/>
      <protection locked="0"/>
    </xf>
    <xf numFmtId="49" fontId="15" fillId="41" borderId="0" xfId="473" applyNumberFormat="1" applyFont="1" applyFill="1" applyBorder="1" applyAlignment="1" applyProtection="1">
      <alignment horizontal="left"/>
      <protection locked="0"/>
    </xf>
    <xf numFmtId="49" fontId="59" fillId="41" borderId="0" xfId="473" applyNumberFormat="1" applyFont="1" applyFill="1" applyBorder="1" applyAlignment="1" applyProtection="1">
      <alignment horizontal="left"/>
      <protection locked="0"/>
    </xf>
    <xf numFmtId="1" fontId="16" fillId="41" borderId="0" xfId="47" applyNumberFormat="1" applyFont="1" applyFill="1" applyBorder="1" applyAlignment="1" applyProtection="1">
      <alignment horizontal="center"/>
      <protection locked="0"/>
    </xf>
    <xf numFmtId="49" fontId="60" fillId="41" borderId="0" xfId="476" applyNumberFormat="1" applyFont="1" applyFill="1" applyBorder="1" applyAlignment="1" applyProtection="1">
      <alignment horizontal="left"/>
      <protection locked="0"/>
    </xf>
    <xf numFmtId="49" fontId="15" fillId="41" borderId="8" xfId="835" applyNumberFormat="1" applyFont="1" applyFill="1" applyBorder="1" applyAlignment="1" applyProtection="1">
      <alignment horizontal="center"/>
      <protection locked="0"/>
    </xf>
    <xf numFmtId="3" fontId="15" fillId="41" borderId="0" xfId="475" applyFont="1" applyFill="1" applyBorder="1" applyAlignment="1" applyProtection="1">
      <protection locked="0"/>
    </xf>
    <xf numFmtId="3" fontId="59" fillId="41" borderId="0" xfId="475" applyFont="1" applyFill="1" applyBorder="1" applyAlignment="1" applyProtection="1">
      <protection locked="0"/>
    </xf>
    <xf numFmtId="37" fontId="44" fillId="0" borderId="0" xfId="45" applyNumberFormat="1" applyFont="1" applyFill="1" applyBorder="1" applyAlignment="1" applyProtection="1">
      <alignment horizontal="center" vertical="top"/>
      <protection locked="0"/>
    </xf>
    <xf numFmtId="49" fontId="15" fillId="41" borderId="8" xfId="475" applyNumberFormat="1" applyFont="1" applyFill="1" applyBorder="1" applyAlignment="1" applyProtection="1">
      <alignment horizontal="center"/>
      <protection locked="0"/>
    </xf>
    <xf numFmtId="1" fontId="15" fillId="41" borderId="0" xfId="475" applyNumberFormat="1" applyFont="1" applyFill="1" applyBorder="1" applyAlignment="1" applyProtection="1">
      <alignment horizontal="center"/>
      <protection locked="0"/>
    </xf>
    <xf numFmtId="1" fontId="15" fillId="47" borderId="0" xfId="1188" applyNumberFormat="1" applyFont="1" applyFill="1" applyBorder="1" applyAlignment="1" applyProtection="1">
      <alignment horizontal="center"/>
      <protection locked="0"/>
    </xf>
    <xf numFmtId="49" fontId="15" fillId="41" borderId="0" xfId="835" applyNumberFormat="1" applyFont="1" applyFill="1" applyBorder="1" applyAlignment="1" applyProtection="1">
      <alignment horizontal="left"/>
      <protection locked="0"/>
    </xf>
    <xf numFmtId="49" fontId="59" fillId="41" borderId="0" xfId="835" applyNumberFormat="1" applyFont="1" applyFill="1" applyBorder="1" applyAlignment="1" applyProtection="1">
      <alignment horizontal="left"/>
      <protection locked="0"/>
    </xf>
    <xf numFmtId="37" fontId="16" fillId="0" borderId="0" xfId="45" applyNumberFormat="1" applyFont="1" applyFill="1" applyBorder="1" applyAlignment="1" applyProtection="1">
      <alignment horizontal="right"/>
      <protection locked="0"/>
    </xf>
    <xf numFmtId="49" fontId="15" fillId="41" borderId="0" xfId="475" applyNumberFormat="1" applyFont="1" applyFill="1" applyBorder="1" applyAlignment="1" applyProtection="1">
      <alignment horizontal="left"/>
      <protection locked="0"/>
    </xf>
    <xf numFmtId="49" fontId="59" fillId="41" borderId="0" xfId="475" applyNumberFormat="1" applyFont="1" applyFill="1" applyBorder="1" applyAlignment="1" applyProtection="1">
      <alignment horizontal="left"/>
      <protection locked="0"/>
    </xf>
    <xf numFmtId="1" fontId="33" fillId="41" borderId="0" xfId="475" quotePrefix="1" applyNumberFormat="1" applyFont="1" applyFill="1" applyBorder="1" applyAlignment="1" applyProtection="1">
      <alignment horizontal="center"/>
      <protection locked="0"/>
    </xf>
    <xf numFmtId="0" fontId="44" fillId="0" borderId="15" xfId="0" applyNumberFormat="1" applyFont="1" applyFill="1" applyBorder="1" applyAlignment="1" applyProtection="1">
      <alignment vertical="top" wrapText="1"/>
      <protection locked="0"/>
    </xf>
    <xf numFmtId="37" fontId="15" fillId="0" borderId="15" xfId="45" applyNumberFormat="1" applyFont="1" applyFill="1" applyBorder="1" applyAlignment="1" applyProtection="1">
      <alignment horizontal="right"/>
      <protection locked="0"/>
    </xf>
    <xf numFmtId="1" fontId="33" fillId="41" borderId="0" xfId="474" applyNumberFormat="1" applyFont="1" applyFill="1" applyBorder="1" applyAlignment="1" applyProtection="1">
      <alignment horizontal="center"/>
      <protection locked="0"/>
    </xf>
    <xf numFmtId="49" fontId="60" fillId="41" borderId="0" xfId="475" applyNumberFormat="1" applyFont="1" applyFill="1" applyBorder="1" applyAlignment="1" applyProtection="1">
      <alignment horizontal="left"/>
      <protection locked="0"/>
    </xf>
    <xf numFmtId="1" fontId="15" fillId="41" borderId="0" xfId="3279" applyNumberFormat="1" applyFont="1" applyFill="1" applyBorder="1" applyAlignment="1" applyProtection="1">
      <alignment horizontal="center"/>
      <protection locked="0"/>
    </xf>
    <xf numFmtId="1" fontId="33" fillId="47" borderId="0" xfId="1188" applyNumberFormat="1" applyFont="1" applyFill="1" applyBorder="1" applyAlignment="1" applyProtection="1">
      <alignment horizontal="center"/>
      <protection locked="0"/>
    </xf>
    <xf numFmtId="1" fontId="15" fillId="46" borderId="0" xfId="3279" applyNumberFormat="1" applyFont="1" applyFill="1" applyBorder="1" applyAlignment="1" applyProtection="1">
      <alignment horizontal="center"/>
      <protection locked="0"/>
    </xf>
    <xf numFmtId="1" fontId="33" fillId="46" borderId="0" xfId="3279" applyNumberFormat="1" applyFont="1" applyFill="1" applyBorder="1" applyAlignment="1" applyProtection="1">
      <alignment horizontal="center"/>
      <protection locked="0"/>
    </xf>
    <xf numFmtId="49" fontId="15" fillId="13" borderId="0" xfId="47" applyNumberFormat="1" applyFont="1" applyFill="1" applyBorder="1" applyAlignment="1" applyProtection="1">
      <alignment horizontal="left"/>
      <protection locked="0"/>
    </xf>
    <xf numFmtId="49" fontId="59" fillId="13" borderId="0" xfId="47" applyNumberFormat="1" applyFont="1" applyFill="1" applyBorder="1" applyAlignment="1" applyProtection="1">
      <alignment horizontal="left"/>
      <protection locked="0"/>
    </xf>
    <xf numFmtId="0" fontId="16" fillId="0" borderId="15" xfId="45" applyNumberFormat="1" applyFont="1" applyFill="1" applyBorder="1" applyAlignment="1" applyProtection="1">
      <alignment horizontal="right"/>
      <protection locked="0"/>
    </xf>
    <xf numFmtId="37" fontId="15" fillId="6" borderId="19" xfId="45" applyNumberFormat="1" applyFont="1" applyFill="1" applyBorder="1" applyAlignment="1" applyProtection="1">
      <alignment horizontal="center"/>
      <protection locked="0"/>
    </xf>
    <xf numFmtId="49" fontId="60" fillId="13" borderId="0" xfId="47" applyNumberFormat="1" applyFont="1" applyFill="1" applyBorder="1" applyAlignment="1" applyProtection="1">
      <alignment horizontal="left"/>
      <protection locked="0"/>
    </xf>
    <xf numFmtId="49" fontId="15" fillId="13" borderId="0" xfId="474" applyNumberFormat="1" applyFont="1" applyFill="1" applyBorder="1" applyAlignment="1" applyProtection="1">
      <alignment horizontal="center"/>
      <protection locked="0"/>
    </xf>
    <xf numFmtId="49" fontId="15" fillId="13" borderId="0" xfId="474" applyNumberFormat="1" applyFont="1" applyFill="1" applyBorder="1" applyAlignment="1" applyProtection="1">
      <alignment horizontal="left"/>
      <protection locked="0"/>
    </xf>
    <xf numFmtId="49" fontId="59" fillId="13" borderId="0" xfId="474" applyNumberFormat="1" applyFont="1" applyFill="1" applyBorder="1" applyAlignment="1" applyProtection="1">
      <alignment horizontal="left"/>
      <protection locked="0"/>
    </xf>
    <xf numFmtId="164" fontId="15" fillId="13" borderId="0" xfId="47" applyFont="1" applyFill="1" applyBorder="1" applyAlignment="1" applyProtection="1">
      <protection locked="0"/>
    </xf>
    <xf numFmtId="164" fontId="59" fillId="13" borderId="0" xfId="47" applyFont="1" applyFill="1" applyBorder="1" applyAlignment="1" applyProtection="1">
      <protection locked="0"/>
    </xf>
    <xf numFmtId="49" fontId="15" fillId="42" borderId="8" xfId="835" applyNumberFormat="1" applyFont="1" applyFill="1" applyBorder="1" applyAlignment="1" applyProtection="1">
      <alignment horizontal="center"/>
      <protection locked="0"/>
    </xf>
    <xf numFmtId="49" fontId="15" fillId="42" borderId="0" xfId="835" applyNumberFormat="1" applyFont="1" applyFill="1" applyBorder="1" applyAlignment="1" applyProtection="1">
      <alignment horizontal="left"/>
      <protection locked="0"/>
    </xf>
    <xf numFmtId="49" fontId="59" fillId="42" borderId="0" xfId="835" applyNumberFormat="1" applyFont="1" applyFill="1" applyBorder="1" applyAlignment="1" applyProtection="1">
      <alignment horizontal="left"/>
      <protection locked="0"/>
    </xf>
    <xf numFmtId="1" fontId="15" fillId="42" borderId="0" xfId="835" applyNumberFormat="1" applyFont="1" applyFill="1" applyBorder="1" applyAlignment="1" applyProtection="1">
      <alignment horizontal="center"/>
      <protection locked="0"/>
    </xf>
    <xf numFmtId="49" fontId="15" fillId="42" borderId="0" xfId="476" applyNumberFormat="1" applyFont="1" applyFill="1" applyBorder="1" applyAlignment="1" applyProtection="1">
      <alignment horizontal="left"/>
      <protection locked="0"/>
    </xf>
    <xf numFmtId="49" fontId="59" fillId="42" borderId="0" xfId="476" applyNumberFormat="1" applyFont="1" applyFill="1" applyBorder="1" applyAlignment="1" applyProtection="1">
      <alignment horizontal="left"/>
      <protection locked="0"/>
    </xf>
    <xf numFmtId="1" fontId="15" fillId="42" borderId="0" xfId="476" applyNumberFormat="1" applyFont="1" applyFill="1" applyBorder="1" applyAlignment="1" applyProtection="1">
      <alignment horizontal="center"/>
      <protection locked="0"/>
    </xf>
    <xf numFmtId="49" fontId="15" fillId="42" borderId="8" xfId="475" applyNumberFormat="1" applyFont="1" applyFill="1" applyBorder="1" applyAlignment="1" applyProtection="1">
      <alignment horizontal="center"/>
      <protection locked="0"/>
    </xf>
    <xf numFmtId="49" fontId="59" fillId="42" borderId="0" xfId="475" applyNumberFormat="1" applyFont="1" applyFill="1" applyBorder="1" applyAlignment="1" applyProtection="1">
      <alignment horizontal="left"/>
      <protection locked="0"/>
    </xf>
    <xf numFmtId="1" fontId="15" fillId="42" borderId="0" xfId="475" applyNumberFormat="1" applyFont="1" applyFill="1" applyBorder="1" applyAlignment="1" applyProtection="1">
      <alignment horizontal="center"/>
      <protection locked="0"/>
    </xf>
    <xf numFmtId="3" fontId="59" fillId="42" borderId="0" xfId="475" applyFont="1" applyFill="1" applyBorder="1" applyAlignment="1" applyProtection="1">
      <protection locked="0"/>
    </xf>
    <xf numFmtId="49" fontId="15" fillId="41" borderId="0" xfId="47" applyNumberFormat="1" applyFont="1" applyFill="1" applyBorder="1" applyAlignment="1" applyProtection="1">
      <alignment horizontal="left"/>
      <protection locked="0"/>
    </xf>
    <xf numFmtId="49" fontId="59" fillId="41" borderId="0" xfId="47" applyNumberFormat="1" applyFont="1" applyFill="1" applyBorder="1" applyAlignment="1" applyProtection="1">
      <alignment horizontal="left"/>
      <protection locked="0"/>
    </xf>
    <xf numFmtId="37" fontId="15" fillId="43" borderId="8" xfId="45" applyNumberFormat="1" applyFont="1" applyFill="1" applyBorder="1" applyAlignment="1" applyProtection="1">
      <alignment horizontal="right"/>
      <protection locked="0"/>
    </xf>
    <xf numFmtId="49" fontId="15" fillId="46" borderId="0" xfId="47" applyNumberFormat="1" applyFont="1" applyFill="1" applyBorder="1" applyAlignment="1" applyProtection="1">
      <alignment horizontal="left"/>
      <protection locked="0"/>
    </xf>
    <xf numFmtId="49" fontId="59" fillId="46" borderId="0" xfId="47" applyNumberFormat="1" applyFont="1" applyFill="1" applyBorder="1" applyAlignment="1" applyProtection="1">
      <alignment horizontal="left"/>
      <protection locked="0"/>
    </xf>
    <xf numFmtId="49" fontId="15" fillId="46" borderId="0" xfId="44" applyNumberFormat="1" applyFont="1" applyFill="1" applyBorder="1" applyAlignment="1" applyProtection="1">
      <alignment horizontal="left"/>
      <protection locked="0"/>
    </xf>
    <xf numFmtId="49" fontId="60" fillId="46" borderId="0" xfId="44" applyNumberFormat="1" applyFont="1" applyFill="1" applyBorder="1" applyAlignment="1" applyProtection="1">
      <alignment horizontal="left"/>
      <protection locked="0"/>
    </xf>
    <xf numFmtId="1" fontId="33" fillId="46" borderId="0" xfId="47" applyNumberFormat="1" applyFont="1" applyFill="1" applyBorder="1" applyAlignment="1" applyProtection="1">
      <alignment horizontal="center"/>
      <protection locked="0"/>
    </xf>
    <xf numFmtId="49" fontId="15" fillId="46" borderId="0" xfId="474" applyNumberFormat="1" applyFont="1" applyFill="1" applyBorder="1" applyAlignment="1" applyProtection="1">
      <alignment horizontal="left"/>
      <protection locked="0"/>
    </xf>
    <xf numFmtId="49" fontId="59" fillId="46" borderId="0" xfId="474" applyNumberFormat="1" applyFont="1" applyFill="1" applyBorder="1" applyAlignment="1" applyProtection="1">
      <alignment horizontal="left"/>
      <protection locked="0"/>
    </xf>
    <xf numFmtId="0" fontId="15" fillId="46" borderId="0" xfId="29870" applyNumberFormat="1" applyFont="1" applyFill="1" applyBorder="1" applyAlignment="1" applyProtection="1">
      <protection locked="0"/>
    </xf>
    <xf numFmtId="0" fontId="59" fillId="46" borderId="0" xfId="29870" applyNumberFormat="1" applyFont="1" applyFill="1" applyBorder="1" applyAlignment="1" applyProtection="1">
      <protection locked="0"/>
    </xf>
    <xf numFmtId="49" fontId="60" fillId="46" borderId="0" xfId="47" applyNumberFormat="1" applyFont="1" applyFill="1" applyBorder="1" applyAlignment="1" applyProtection="1">
      <alignment horizontal="left"/>
      <protection locked="0"/>
    </xf>
    <xf numFmtId="49" fontId="15" fillId="43" borderId="0" xfId="476" applyNumberFormat="1" applyFont="1" applyFill="1" applyBorder="1" applyAlignment="1" applyProtection="1">
      <alignment horizontal="left"/>
      <protection locked="0"/>
    </xf>
    <xf numFmtId="49" fontId="59" fillId="46" borderId="0" xfId="476" applyNumberFormat="1" applyFont="1" applyFill="1" applyBorder="1" applyAlignment="1" applyProtection="1">
      <alignment horizontal="left"/>
      <protection locked="0"/>
    </xf>
    <xf numFmtId="49" fontId="82" fillId="46" borderId="0" xfId="476" applyNumberFormat="1" applyFont="1" applyFill="1" applyBorder="1" applyAlignment="1" applyProtection="1">
      <alignment horizontal="left"/>
      <protection locked="0"/>
    </xf>
    <xf numFmtId="49" fontId="15" fillId="46" borderId="8" xfId="475" applyNumberFormat="1" applyFont="1" applyFill="1" applyBorder="1" applyAlignment="1" applyProtection="1">
      <alignment horizontal="center"/>
      <protection locked="0"/>
    </xf>
    <xf numFmtId="1" fontId="15" fillId="46" borderId="0" xfId="475" applyNumberFormat="1" applyFont="1" applyFill="1" applyBorder="1" applyAlignment="1" applyProtection="1">
      <alignment horizontal="center"/>
      <protection locked="0"/>
    </xf>
    <xf numFmtId="1" fontId="15" fillId="48" borderId="0" xfId="1188" applyNumberFormat="1" applyFont="1" applyFill="1" applyBorder="1" applyAlignment="1" applyProtection="1">
      <alignment horizontal="center"/>
      <protection locked="0"/>
    </xf>
    <xf numFmtId="164" fontId="15" fillId="46" borderId="0" xfId="476" applyFont="1" applyFill="1" applyBorder="1" applyProtection="1">
      <protection locked="0"/>
    </xf>
    <xf numFmtId="164" fontId="59" fillId="46" borderId="0" xfId="476" applyFont="1" applyFill="1" applyBorder="1" applyProtection="1">
      <protection locked="0"/>
    </xf>
    <xf numFmtId="49" fontId="60" fillId="46" borderId="0" xfId="476" applyNumberFormat="1" applyFont="1" applyFill="1" applyBorder="1" applyAlignment="1" applyProtection="1">
      <alignment horizontal="left"/>
      <protection locked="0"/>
    </xf>
    <xf numFmtId="1" fontId="33" fillId="46" borderId="0" xfId="474" applyNumberFormat="1" applyFont="1" applyFill="1" applyBorder="1" applyAlignment="1" applyProtection="1">
      <alignment horizontal="center"/>
      <protection locked="0"/>
    </xf>
    <xf numFmtId="1" fontId="15" fillId="38" borderId="0" xfId="835" applyNumberFormat="1" applyFont="1" applyFill="1" applyBorder="1" applyAlignment="1" applyProtection="1">
      <alignment horizontal="center"/>
      <protection locked="0"/>
    </xf>
    <xf numFmtId="1" fontId="15" fillId="38" borderId="0" xfId="474" applyNumberFormat="1" applyFont="1" applyFill="1" applyBorder="1" applyAlignment="1" applyProtection="1">
      <alignment horizontal="center"/>
      <protection locked="0"/>
    </xf>
    <xf numFmtId="49" fontId="15" fillId="38" borderId="8" xfId="835" applyNumberFormat="1" applyFont="1" applyFill="1" applyBorder="1" applyAlignment="1" applyProtection="1">
      <alignment horizontal="center"/>
      <protection locked="0"/>
    </xf>
    <xf numFmtId="49" fontId="15" fillId="38" borderId="0" xfId="835" applyNumberFormat="1" applyFont="1" applyFill="1" applyBorder="1" applyAlignment="1" applyProtection="1">
      <alignment horizontal="left"/>
      <protection locked="0"/>
    </xf>
    <xf numFmtId="49" fontId="59" fillId="38" borderId="0" xfId="29871" applyNumberFormat="1" applyFont="1" applyFill="1" applyBorder="1" applyAlignment="1" applyProtection="1">
      <alignment horizontal="left"/>
      <protection locked="0"/>
    </xf>
    <xf numFmtId="1" fontId="15" fillId="38" borderId="0" xfId="3279" applyNumberFormat="1" applyFont="1" applyFill="1" applyBorder="1" applyAlignment="1" applyProtection="1">
      <alignment horizontal="center"/>
      <protection locked="0"/>
    </xf>
    <xf numFmtId="49" fontId="82" fillId="39" borderId="0" xfId="476" applyNumberFormat="1" applyFont="1" applyFill="1" applyBorder="1" applyAlignment="1" applyProtection="1">
      <alignment horizontal="left"/>
      <protection locked="0"/>
    </xf>
    <xf numFmtId="1" fontId="30" fillId="38" borderId="0" xfId="3279" applyNumberFormat="1" applyFont="1" applyFill="1" applyBorder="1" applyAlignment="1" applyProtection="1">
      <alignment horizontal="center"/>
      <protection locked="0"/>
    </xf>
    <xf numFmtId="49" fontId="59" fillId="38" borderId="0" xfId="835" applyNumberFormat="1" applyFont="1" applyFill="1" applyBorder="1" applyAlignment="1" applyProtection="1">
      <alignment horizontal="left"/>
      <protection locked="0"/>
    </xf>
    <xf numFmtId="49" fontId="15" fillId="49" borderId="8" xfId="475" applyNumberFormat="1" applyFont="1" applyFill="1" applyBorder="1" applyAlignment="1" applyProtection="1">
      <alignment horizontal="center"/>
      <protection locked="0"/>
    </xf>
    <xf numFmtId="49" fontId="15" fillId="49" borderId="0" xfId="476" applyNumberFormat="1" applyFont="1" applyFill="1" applyBorder="1" applyAlignment="1" applyProtection="1">
      <alignment horizontal="left"/>
      <protection locked="0"/>
    </xf>
    <xf numFmtId="49" fontId="59" fillId="49" borderId="0" xfId="476" applyNumberFormat="1" applyFont="1" applyFill="1" applyBorder="1" applyAlignment="1" applyProtection="1">
      <alignment horizontal="left"/>
      <protection locked="0"/>
    </xf>
    <xf numFmtId="1" fontId="15" fillId="49" borderId="0" xfId="475" applyNumberFormat="1" applyFont="1" applyFill="1" applyBorder="1" applyAlignment="1" applyProtection="1">
      <alignment horizontal="center"/>
      <protection locked="0"/>
    </xf>
    <xf numFmtId="1" fontId="15" fillId="50" borderId="0" xfId="1188" applyNumberFormat="1" applyFont="1" applyFill="1" applyBorder="1" applyAlignment="1" applyProtection="1">
      <alignment horizontal="center"/>
      <protection locked="0"/>
    </xf>
    <xf numFmtId="49" fontId="15" fillId="49" borderId="8" xfId="835" applyNumberFormat="1" applyFont="1" applyFill="1" applyBorder="1" applyAlignment="1" applyProtection="1">
      <alignment horizontal="center"/>
      <protection locked="0"/>
    </xf>
    <xf numFmtId="1" fontId="15" fillId="49" borderId="0" xfId="835" applyNumberFormat="1" applyFont="1" applyFill="1" applyBorder="1" applyAlignment="1" applyProtection="1">
      <alignment horizontal="center"/>
      <protection locked="0"/>
    </xf>
    <xf numFmtId="1" fontId="15" fillId="49" borderId="0" xfId="474" applyNumberFormat="1" applyFont="1" applyFill="1" applyBorder="1" applyAlignment="1" applyProtection="1">
      <alignment horizontal="center"/>
      <protection locked="0"/>
    </xf>
    <xf numFmtId="37" fontId="16" fillId="6" borderId="19" xfId="45" applyNumberFormat="1" applyFont="1" applyFill="1" applyBorder="1" applyProtection="1">
      <protection locked="0"/>
    </xf>
    <xf numFmtId="49" fontId="15" fillId="42" borderId="0" xfId="476" applyNumberFormat="1" applyFont="1" applyFill="1" applyBorder="1" applyAlignment="1" applyProtection="1">
      <alignment horizontal="center"/>
      <protection locked="0"/>
    </xf>
    <xf numFmtId="49" fontId="83" fillId="42" borderId="0" xfId="476" applyNumberFormat="1" applyFont="1" applyFill="1" applyBorder="1" applyAlignment="1" applyProtection="1">
      <alignment horizontal="left"/>
      <protection locked="0"/>
    </xf>
    <xf numFmtId="49" fontId="15" fillId="42" borderId="8" xfId="476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Alignment="1" applyProtection="1">
      <alignment horizontal="center"/>
      <protection locked="0"/>
    </xf>
    <xf numFmtId="9" fontId="33" fillId="0" borderId="44" xfId="0" applyNumberFormat="1" applyFont="1" applyFill="1" applyBorder="1"/>
    <xf numFmtId="49" fontId="15" fillId="13" borderId="8" xfId="47" applyNumberFormat="1" applyFont="1" applyFill="1" applyBorder="1" applyAlignment="1" applyProtection="1">
      <alignment horizontal="center"/>
      <protection locked="0"/>
    </xf>
    <xf numFmtId="49" fontId="15" fillId="46" borderId="0" xfId="476" applyNumberFormat="1" applyFont="1" applyFill="1" applyBorder="1" applyAlignment="1" applyProtection="1">
      <alignment horizontal="center"/>
      <protection locked="0"/>
    </xf>
    <xf numFmtId="49" fontId="15" fillId="41" borderId="0" xfId="476" applyNumberFormat="1" applyFont="1" applyFill="1" applyBorder="1" applyAlignment="1" applyProtection="1">
      <alignment horizontal="center"/>
      <protection locked="0"/>
    </xf>
    <xf numFmtId="49" fontId="15" fillId="46" borderId="0" xfId="475" applyNumberFormat="1" applyFont="1" applyFill="1" applyBorder="1" applyAlignment="1" applyProtection="1">
      <alignment horizontal="center"/>
      <protection locked="0"/>
    </xf>
    <xf numFmtId="49" fontId="15" fillId="46" borderId="0" xfId="835" applyNumberFormat="1" applyFont="1" applyFill="1" applyBorder="1" applyAlignment="1" applyProtection="1">
      <alignment horizontal="center"/>
      <protection locked="0"/>
    </xf>
    <xf numFmtId="49" fontId="15" fillId="42" borderId="8" xfId="47" applyNumberFormat="1" applyFont="1" applyFill="1" applyBorder="1" applyAlignment="1" applyProtection="1">
      <alignment horizontal="center"/>
      <protection locked="0"/>
    </xf>
    <xf numFmtId="49" fontId="15" fillId="38" borderId="0" xfId="476" applyNumberFormat="1" applyFont="1" applyFill="1" applyBorder="1" applyAlignment="1" applyProtection="1">
      <alignment horizontal="center"/>
      <protection locked="0"/>
    </xf>
    <xf numFmtId="49" fontId="15" fillId="46" borderId="8" xfId="47" applyNumberFormat="1" applyFont="1" applyFill="1" applyBorder="1" applyAlignment="1" applyProtection="1">
      <alignment horizontal="center"/>
      <protection locked="0"/>
    </xf>
    <xf numFmtId="49" fontId="15" fillId="41" borderId="0" xfId="835" applyNumberFormat="1" applyFont="1" applyFill="1" applyBorder="1" applyAlignment="1" applyProtection="1">
      <alignment horizontal="center"/>
      <protection locked="0"/>
    </xf>
    <xf numFmtId="49" fontId="15" fillId="13" borderId="8" xfId="474" applyNumberFormat="1" applyFont="1" applyFill="1" applyBorder="1" applyAlignment="1" applyProtection="1">
      <alignment horizontal="center"/>
      <protection locked="0"/>
    </xf>
    <xf numFmtId="49" fontId="15" fillId="49" borderId="0" xfId="475" applyNumberFormat="1" applyFont="1" applyFill="1" applyBorder="1" applyAlignment="1" applyProtection="1">
      <alignment horizontal="center"/>
      <protection locked="0"/>
    </xf>
    <xf numFmtId="49" fontId="15" fillId="46" borderId="8" xfId="474" applyNumberFormat="1" applyFont="1" applyFill="1" applyBorder="1" applyAlignment="1" applyProtection="1">
      <alignment horizontal="center"/>
      <protection locked="0"/>
    </xf>
    <xf numFmtId="49" fontId="15" fillId="49" borderId="0" xfId="835" applyNumberFormat="1" applyFont="1" applyFill="1" applyBorder="1" applyAlignment="1" applyProtection="1">
      <alignment horizontal="center"/>
      <protection locked="0"/>
    </xf>
    <xf numFmtId="49" fontId="15" fillId="41" borderId="0" xfId="475" applyNumberFormat="1" applyFont="1" applyFill="1" applyBorder="1" applyAlignment="1" applyProtection="1">
      <alignment horizontal="center"/>
      <protection locked="0"/>
    </xf>
    <xf numFmtId="49" fontId="15" fillId="41" borderId="8" xfId="47" applyNumberFormat="1" applyFont="1" applyFill="1" applyBorder="1" applyAlignment="1" applyProtection="1">
      <alignment horizontal="center"/>
      <protection locked="0"/>
    </xf>
    <xf numFmtId="49" fontId="15" fillId="38" borderId="0" xfId="475" applyNumberFormat="1" applyFont="1" applyFill="1" applyBorder="1" applyAlignment="1" applyProtection="1">
      <alignment horizontal="center"/>
      <protection locked="0"/>
    </xf>
    <xf numFmtId="37" fontId="38" fillId="0" borderId="43" xfId="45" applyNumberFormat="1" applyFont="1" applyFill="1" applyBorder="1" applyAlignment="1" applyProtection="1">
      <alignment horizontal="center" vertical="top"/>
      <protection locked="0"/>
    </xf>
    <xf numFmtId="37" fontId="38" fillId="0" borderId="15" xfId="45" applyNumberFormat="1" applyFont="1" applyFill="1" applyBorder="1" applyAlignment="1" applyProtection="1">
      <alignment horizontal="center" vertical="top"/>
      <protection locked="0"/>
    </xf>
    <xf numFmtId="37" fontId="16" fillId="0" borderId="0" xfId="45" quotePrefix="1" applyNumberFormat="1" applyFont="1" applyFill="1" applyBorder="1" applyAlignment="1" applyProtection="1">
      <alignment vertical="top"/>
      <protection locked="0"/>
    </xf>
    <xf numFmtId="37" fontId="15" fillId="0" borderId="19" xfId="45" applyNumberFormat="1" applyFont="1" applyFill="1" applyBorder="1" applyAlignment="1" applyProtection="1">
      <alignment horizontal="center" vertical="top"/>
      <protection locked="0"/>
    </xf>
    <xf numFmtId="0" fontId="79" fillId="0" borderId="15" xfId="10792" applyNumberFormat="1" applyFont="1" applyBorder="1"/>
    <xf numFmtId="0" fontId="44" fillId="0" borderId="43" xfId="0" applyNumberFormat="1" applyFont="1" applyFill="1" applyBorder="1" applyAlignment="1" applyProtection="1">
      <alignment vertical="top" wrapText="1"/>
      <protection locked="0"/>
    </xf>
    <xf numFmtId="164" fontId="15" fillId="0" borderId="15" xfId="0" applyFont="1" applyFill="1" applyBorder="1"/>
    <xf numFmtId="37" fontId="16" fillId="0" borderId="0" xfId="45" applyNumberFormat="1" applyFont="1" applyFill="1" applyBorder="1" applyAlignment="1" applyProtection="1">
      <alignment vertical="top"/>
      <protection locked="0"/>
    </xf>
    <xf numFmtId="37" fontId="16" fillId="0" borderId="43" xfId="45" applyNumberFormat="1" applyFont="1" applyFill="1" applyBorder="1" applyAlignment="1" applyProtection="1">
      <alignment horizontal="right"/>
      <protection locked="0"/>
    </xf>
    <xf numFmtId="164" fontId="22" fillId="0" borderId="15" xfId="0" applyFont="1" applyFill="1" applyBorder="1"/>
    <xf numFmtId="49" fontId="22" fillId="0" borderId="8" xfId="0" applyNumberFormat="1" applyFont="1" applyFill="1" applyBorder="1" applyAlignment="1">
      <alignment horizontal="center"/>
    </xf>
    <xf numFmtId="164" fontId="44" fillId="0" borderId="8" xfId="9356" applyFont="1" applyBorder="1" applyAlignment="1">
      <alignment horizontal="left" indent="2"/>
    </xf>
    <xf numFmtId="164" fontId="15" fillId="0" borderId="8" xfId="42" applyFont="1" applyFill="1" applyBorder="1" applyProtection="1">
      <protection locked="0"/>
    </xf>
    <xf numFmtId="164" fontId="15" fillId="0" borderId="8" xfId="0" applyFont="1" applyBorder="1"/>
    <xf numFmtId="0" fontId="44" fillId="0" borderId="8" xfId="9356" applyNumberFormat="1" applyFont="1" applyBorder="1"/>
    <xf numFmtId="37" fontId="15" fillId="0" borderId="0" xfId="45" applyNumberFormat="1" applyFont="1" applyFill="1" applyBorder="1" applyProtection="1">
      <protection locked="0"/>
    </xf>
    <xf numFmtId="164" fontId="22" fillId="0" borderId="8" xfId="0" applyFont="1" applyFill="1" applyBorder="1"/>
    <xf numFmtId="0" fontId="44" fillId="0" borderId="8" xfId="3285" applyNumberFormat="1" applyFont="1" applyBorder="1"/>
    <xf numFmtId="0" fontId="44" fillId="0" borderId="8" xfId="6710" applyNumberFormat="1" applyFont="1" applyBorder="1"/>
    <xf numFmtId="0" fontId="44" fillId="0" borderId="15" xfId="9356" applyNumberFormat="1" applyFont="1" applyBorder="1"/>
    <xf numFmtId="164" fontId="15" fillId="0" borderId="15" xfId="42" applyFont="1" applyFill="1" applyBorder="1" applyProtection="1">
      <protection locked="0"/>
    </xf>
    <xf numFmtId="0" fontId="44" fillId="0" borderId="15" xfId="3270" applyNumberFormat="1" applyFont="1" applyBorder="1"/>
    <xf numFmtId="0" fontId="44" fillId="0" borderId="15" xfId="9350" applyNumberFormat="1" applyFont="1" applyBorder="1"/>
    <xf numFmtId="0" fontId="44" fillId="0" borderId="15" xfId="1847" applyNumberFormat="1" applyFont="1" applyBorder="1"/>
    <xf numFmtId="0" fontId="44" fillId="0" borderId="15" xfId="9349" applyNumberFormat="1" applyFont="1" applyBorder="1"/>
    <xf numFmtId="0" fontId="44" fillId="0" borderId="15" xfId="1823" applyNumberFormat="1" applyFont="1" applyBorder="1"/>
    <xf numFmtId="0" fontId="44" fillId="0" borderId="15" xfId="9354" applyNumberFormat="1" applyFont="1" applyBorder="1"/>
    <xf numFmtId="0" fontId="44" fillId="0" borderId="15" xfId="54" applyNumberFormat="1" applyFont="1" applyFill="1" applyBorder="1"/>
    <xf numFmtId="0" fontId="44" fillId="0" borderId="15" xfId="3324" applyNumberFormat="1" applyFont="1" applyBorder="1"/>
    <xf numFmtId="0" fontId="44" fillId="0" borderId="15" xfId="9355" applyNumberFormat="1" applyFont="1" applyBorder="1"/>
    <xf numFmtId="164" fontId="44" fillId="0" borderId="8" xfId="0" applyFont="1" applyBorder="1" applyAlignment="1">
      <alignment vertical="top" wrapText="1"/>
    </xf>
    <xf numFmtId="164" fontId="44" fillId="0" borderId="15" xfId="0" applyFont="1" applyBorder="1" applyAlignment="1">
      <alignment vertical="top" wrapText="1"/>
    </xf>
    <xf numFmtId="0" fontId="44" fillId="0" borderId="15" xfId="3300" applyNumberFormat="1" applyFont="1" applyBorder="1"/>
    <xf numFmtId="0" fontId="44" fillId="0" borderId="15" xfId="9357" applyNumberFormat="1" applyFont="1" applyBorder="1"/>
    <xf numFmtId="0" fontId="44" fillId="0" borderId="15" xfId="3264" applyNumberFormat="1" applyFont="1" applyBorder="1"/>
    <xf numFmtId="0" fontId="44" fillId="0" borderId="15" xfId="3295" applyNumberFormat="1" applyFont="1" applyBorder="1"/>
    <xf numFmtId="0" fontId="44" fillId="0" borderId="15" xfId="3350" applyNumberFormat="1" applyFont="1" applyBorder="1"/>
    <xf numFmtId="0" fontId="44" fillId="0" borderId="15" xfId="3796" applyNumberFormat="1" applyFont="1" applyBorder="1"/>
    <xf numFmtId="49" fontId="15" fillId="0" borderId="8" xfId="0" applyNumberFormat="1" applyFont="1" applyFill="1" applyBorder="1" applyAlignment="1">
      <alignment horizontal="center"/>
    </xf>
    <xf numFmtId="37" fontId="33" fillId="0" borderId="8" xfId="45" applyNumberFormat="1" applyFont="1" applyFill="1" applyBorder="1" applyProtection="1">
      <protection locked="0"/>
    </xf>
    <xf numFmtId="164" fontId="15" fillId="0" borderId="8" xfId="0" applyFont="1" applyFill="1" applyBorder="1"/>
    <xf numFmtId="37" fontId="33" fillId="0" borderId="0" xfId="45" applyNumberFormat="1" applyFont="1" applyFill="1" applyBorder="1" applyProtection="1">
      <protection locked="0"/>
    </xf>
    <xf numFmtId="1" fontId="33" fillId="43" borderId="0" xfId="476" applyNumberFormat="1" applyFont="1" applyFill="1" applyBorder="1" applyAlignment="1" applyProtection="1">
      <alignment horizontal="center"/>
      <protection locked="0"/>
    </xf>
    <xf numFmtId="1" fontId="33" fillId="43" borderId="0" xfId="47" applyNumberFormat="1" applyFont="1" applyFill="1" applyBorder="1" applyAlignment="1" applyProtection="1">
      <alignment horizontal="center"/>
      <protection locked="0"/>
    </xf>
    <xf numFmtId="167" fontId="15" fillId="0" borderId="0" xfId="0" applyNumberFormat="1" applyFont="1" applyBorder="1" applyAlignment="1">
      <alignment wrapText="1"/>
    </xf>
    <xf numFmtId="167" fontId="15" fillId="0" borderId="46" xfId="0" applyNumberFormat="1" applyFont="1" applyFill="1" applyBorder="1"/>
    <xf numFmtId="9" fontId="33" fillId="0" borderId="45" xfId="0" applyNumberFormat="1" applyFont="1" applyFill="1" applyBorder="1"/>
    <xf numFmtId="9" fontId="16" fillId="0" borderId="47" xfId="0" applyNumberFormat="1" applyFont="1" applyFill="1" applyBorder="1"/>
    <xf numFmtId="9" fontId="33" fillId="0" borderId="44" xfId="0" applyNumberFormat="1" applyFont="1" applyBorder="1"/>
    <xf numFmtId="167" fontId="48" fillId="0" borderId="46" xfId="0" applyNumberFormat="1" applyFont="1" applyBorder="1"/>
    <xf numFmtId="9" fontId="33" fillId="0" borderId="45" xfId="0" applyNumberFormat="1" applyFont="1" applyBorder="1"/>
    <xf numFmtId="9" fontId="49" fillId="0" borderId="47" xfId="0" applyNumberFormat="1" applyFont="1" applyBorder="1"/>
    <xf numFmtId="9" fontId="33" fillId="43" borderId="44" xfId="0" applyNumberFormat="1" applyFont="1" applyFill="1" applyBorder="1"/>
    <xf numFmtId="49" fontId="15" fillId="49" borderId="0" xfId="835" applyNumberFormat="1" applyFont="1" applyFill="1" applyBorder="1" applyAlignment="1" applyProtection="1">
      <alignment horizontal="left"/>
      <protection locked="0"/>
    </xf>
    <xf numFmtId="49" fontId="59" fillId="49" borderId="0" xfId="29871" applyNumberFormat="1" applyFont="1" applyFill="1" applyBorder="1" applyAlignment="1" applyProtection="1">
      <alignment horizontal="left"/>
      <protection locked="0"/>
    </xf>
    <xf numFmtId="164" fontId="32" fillId="0" borderId="0" xfId="3283"/>
    <xf numFmtId="0" fontId="3" fillId="0" borderId="0" xfId="3259"/>
    <xf numFmtId="0" fontId="3" fillId="0" borderId="0" xfId="3285"/>
    <xf numFmtId="0" fontId="3" fillId="0" borderId="0" xfId="1847"/>
    <xf numFmtId="0" fontId="3" fillId="0" borderId="0" xfId="1823"/>
    <xf numFmtId="0" fontId="3" fillId="0" borderId="0" xfId="3296"/>
    <xf numFmtId="0" fontId="3" fillId="0" borderId="0" xfId="3300"/>
    <xf numFmtId="0" fontId="3" fillId="0" borderId="0" xfId="3284"/>
    <xf numFmtId="0" fontId="3" fillId="0" borderId="0" xfId="3264"/>
    <xf numFmtId="0" fontId="3" fillId="0" borderId="0" xfId="3295"/>
    <xf numFmtId="164" fontId="62" fillId="0" borderId="0" xfId="3348"/>
    <xf numFmtId="3" fontId="18" fillId="0" borderId="0" xfId="3350"/>
    <xf numFmtId="3" fontId="18" fillId="0" borderId="0" xfId="3796"/>
    <xf numFmtId="3" fontId="18" fillId="0" borderId="0" xfId="4327"/>
    <xf numFmtId="164" fontId="62" fillId="0" borderId="0" xfId="5536"/>
    <xf numFmtId="164" fontId="62" fillId="0" borderId="0" xfId="6710"/>
    <xf numFmtId="164" fontId="62" fillId="0" borderId="0" xfId="9350"/>
    <xf numFmtId="164" fontId="62" fillId="0" borderId="0" xfId="9349"/>
    <xf numFmtId="164" fontId="62" fillId="0" borderId="0" xfId="9354"/>
    <xf numFmtId="164" fontId="62" fillId="0" borderId="0" xfId="9355"/>
    <xf numFmtId="164" fontId="62" fillId="0" borderId="0" xfId="9357"/>
    <xf numFmtId="164" fontId="62" fillId="0" borderId="0" xfId="9356"/>
    <xf numFmtId="0" fontId="6" fillId="0" borderId="0" xfId="561"/>
    <xf numFmtId="0" fontId="3" fillId="0" borderId="0" xfId="3270"/>
    <xf numFmtId="1" fontId="15" fillId="49" borderId="0" xfId="476" applyNumberFormat="1" applyFont="1" applyFill="1" applyBorder="1" applyAlignment="1" applyProtection="1">
      <alignment horizontal="center"/>
      <protection locked="0"/>
    </xf>
    <xf numFmtId="1" fontId="15" fillId="49" borderId="0" xfId="3279" applyNumberFormat="1" applyFont="1" applyFill="1" applyBorder="1" applyAlignment="1" applyProtection="1">
      <alignment horizontal="center"/>
      <protection locked="0"/>
    </xf>
    <xf numFmtId="0" fontId="10" fillId="0" borderId="0" xfId="57" applyFill="1"/>
    <xf numFmtId="164" fontId="15" fillId="49" borderId="0" xfId="476" applyFont="1" applyFill="1" applyBorder="1" applyProtection="1">
      <protection locked="0"/>
    </xf>
    <xf numFmtId="164" fontId="82" fillId="49" borderId="0" xfId="476" applyFont="1" applyFill="1" applyBorder="1" applyProtection="1">
      <protection locked="0"/>
    </xf>
    <xf numFmtId="1" fontId="30" fillId="49" borderId="0" xfId="3279" applyNumberFormat="1" applyFont="1" applyFill="1" applyBorder="1" applyAlignment="1" applyProtection="1">
      <alignment horizontal="center"/>
      <protection locked="0"/>
    </xf>
    <xf numFmtId="49" fontId="59" fillId="49" borderId="0" xfId="835" applyNumberFormat="1" applyFont="1" applyFill="1" applyBorder="1" applyAlignment="1" applyProtection="1">
      <alignment horizontal="left"/>
      <protection locked="0"/>
    </xf>
    <xf numFmtId="49" fontId="15" fillId="49" borderId="0" xfId="476" applyNumberFormat="1" applyFont="1" applyFill="1" applyBorder="1" applyAlignment="1" applyProtection="1">
      <alignment horizontal="center"/>
      <protection locked="0"/>
    </xf>
    <xf numFmtId="49" fontId="15" fillId="49" borderId="0" xfId="474" applyNumberFormat="1" applyFont="1" applyFill="1" applyBorder="1" applyAlignment="1" applyProtection="1">
      <alignment horizontal="center"/>
      <protection locked="0"/>
    </xf>
    <xf numFmtId="49" fontId="15" fillId="49" borderId="0" xfId="474" applyNumberFormat="1" applyFont="1" applyFill="1" applyBorder="1" applyAlignment="1" applyProtection="1">
      <alignment horizontal="left"/>
      <protection locked="0"/>
    </xf>
    <xf numFmtId="49" fontId="59" fillId="49" borderId="0" xfId="3279" applyNumberFormat="1" applyFont="1" applyFill="1" applyBorder="1" applyAlignment="1" applyProtection="1">
      <alignment horizontal="left"/>
      <protection locked="0"/>
    </xf>
    <xf numFmtId="0" fontId="0" fillId="0" borderId="0" xfId="0" applyNumberFormat="1"/>
    <xf numFmtId="0" fontId="0" fillId="0" borderId="15" xfId="0" applyNumberFormat="1" applyBorder="1"/>
    <xf numFmtId="0" fontId="0" fillId="0" borderId="19" xfId="0" applyNumberFormat="1" applyBorder="1"/>
    <xf numFmtId="37" fontId="16" fillId="0" borderId="19" xfId="45" applyNumberFormat="1" applyFont="1" applyFill="1" applyBorder="1" applyProtection="1">
      <protection locked="0"/>
    </xf>
    <xf numFmtId="49" fontId="15" fillId="49" borderId="0" xfId="47" applyNumberFormat="1" applyFont="1" applyFill="1" applyBorder="1" applyAlignment="1" applyProtection="1">
      <alignment horizontal="left"/>
      <protection locked="0"/>
    </xf>
    <xf numFmtId="49" fontId="59" fillId="49" borderId="0" xfId="47" applyNumberFormat="1" applyFont="1" applyFill="1" applyBorder="1" applyAlignment="1" applyProtection="1">
      <alignment horizontal="left"/>
      <protection locked="0"/>
    </xf>
    <xf numFmtId="1" fontId="15" fillId="49" borderId="0" xfId="47" applyNumberFormat="1" applyFont="1" applyFill="1" applyBorder="1" applyAlignment="1" applyProtection="1">
      <alignment horizontal="center"/>
      <protection locked="0"/>
    </xf>
    <xf numFmtId="49" fontId="82" fillId="49" borderId="0" xfId="47" applyNumberFormat="1" applyFont="1" applyFill="1" applyBorder="1" applyAlignment="1" applyProtection="1">
      <alignment horizontal="left"/>
      <protection locked="0"/>
    </xf>
    <xf numFmtId="3" fontId="59" fillId="49" borderId="0" xfId="475" applyFont="1" applyFill="1" applyBorder="1" applyAlignment="1" applyProtection="1">
      <protection locked="0"/>
    </xf>
    <xf numFmtId="49" fontId="15" fillId="43" borderId="0" xfId="474" applyNumberFormat="1" applyFont="1" applyFill="1" applyBorder="1" applyAlignment="1" applyProtection="1">
      <alignment horizontal="left"/>
      <protection locked="0"/>
    </xf>
    <xf numFmtId="3" fontId="15" fillId="49" borderId="0" xfId="475" applyFont="1" applyFill="1" applyBorder="1" applyAlignment="1" applyProtection="1">
      <protection locked="0"/>
    </xf>
    <xf numFmtId="9" fontId="16" fillId="0" borderId="45" xfId="0" applyNumberFormat="1" applyFont="1" applyFill="1" applyBorder="1"/>
    <xf numFmtId="9" fontId="16" fillId="0" borderId="44" xfId="0" applyNumberFormat="1" applyFont="1" applyFill="1" applyBorder="1"/>
    <xf numFmtId="9" fontId="16" fillId="0" borderId="44" xfId="0" applyNumberFormat="1" applyFont="1" applyBorder="1"/>
    <xf numFmtId="1" fontId="16" fillId="38" borderId="0" xfId="3279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1" fontId="16" fillId="49" borderId="0" xfId="3279" applyNumberFormat="1" applyFont="1" applyFill="1" applyBorder="1" applyAlignment="1" applyProtection="1">
      <alignment horizontal="center"/>
      <protection locked="0"/>
    </xf>
    <xf numFmtId="49" fontId="82" fillId="49" borderId="0" xfId="476" applyNumberFormat="1" applyFont="1" applyFill="1" applyBorder="1" applyAlignment="1" applyProtection="1">
      <alignment horizontal="left"/>
      <protection locked="0"/>
    </xf>
    <xf numFmtId="49" fontId="15" fillId="12" borderId="0" xfId="835" applyNumberFormat="1" applyFont="1" applyFill="1" applyBorder="1" applyAlignment="1" applyProtection="1">
      <alignment horizontal="center"/>
      <protection locked="0"/>
    </xf>
    <xf numFmtId="37" fontId="15" fillId="0" borderId="0" xfId="45" applyNumberFormat="1" applyFont="1" applyFill="1" applyBorder="1" applyAlignment="1" applyProtection="1">
      <alignment horizontal="right"/>
      <protection locked="0"/>
    </xf>
    <xf numFmtId="37" fontId="16" fillId="43" borderId="0" xfId="45" applyNumberFormat="1" applyFont="1" applyFill="1" applyBorder="1" applyAlignment="1" applyProtection="1">
      <alignment horizontal="center" vertical="top"/>
      <protection locked="0"/>
    </xf>
    <xf numFmtId="37" fontId="38" fillId="43" borderId="0" xfId="45" applyNumberFormat="1" applyFont="1" applyFill="1" applyBorder="1" applyAlignment="1" applyProtection="1">
      <alignment horizontal="center" vertical="top"/>
      <protection locked="0"/>
    </xf>
    <xf numFmtId="37" fontId="16" fillId="43" borderId="8" xfId="45" applyNumberFormat="1" applyFont="1" applyFill="1" applyBorder="1" applyProtection="1">
      <protection locked="0"/>
    </xf>
    <xf numFmtId="37" fontId="16" fillId="43" borderId="15" xfId="45" applyNumberFormat="1" applyFont="1" applyFill="1" applyBorder="1" applyProtection="1">
      <protection locked="0"/>
    </xf>
    <xf numFmtId="164" fontId="18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16" fillId="0" borderId="8" xfId="45" applyNumberFormat="1" applyFont="1" applyFill="1" applyBorder="1" applyAlignment="1" applyProtection="1">
      <alignment horizontal="center" wrapText="1"/>
      <protection locked="0"/>
    </xf>
    <xf numFmtId="164" fontId="0" fillId="0" borderId="0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37" fontId="15" fillId="0" borderId="8" xfId="45" applyNumberFormat="1" applyFont="1" applyFill="1" applyBorder="1" applyAlignment="1" applyProtection="1">
      <alignment horizontal="center" wrapText="1"/>
      <protection locked="0"/>
    </xf>
    <xf numFmtId="164" fontId="32" fillId="0" borderId="0" xfId="0" applyNumberFormat="1" applyFont="1" applyBorder="1" applyProtection="1">
      <protection locked="0"/>
    </xf>
    <xf numFmtId="164" fontId="32" fillId="0" borderId="7" xfId="0" applyNumberFormat="1" applyFont="1" applyBorder="1" applyProtection="1">
      <protection locked="0"/>
    </xf>
    <xf numFmtId="164" fontId="32" fillId="0" borderId="4" xfId="0" applyNumberFormat="1" applyFont="1" applyBorder="1" applyProtection="1">
      <protection locked="0"/>
    </xf>
    <xf numFmtId="37" fontId="16" fillId="0" borderId="7" xfId="45" applyNumberFormat="1" applyFont="1" applyFill="1" applyBorder="1" applyAlignment="1" applyProtection="1">
      <alignment horizontal="center"/>
      <protection locked="0"/>
    </xf>
    <xf numFmtId="37" fontId="16" fillId="0" borderId="18" xfId="45" applyNumberFormat="1" applyFont="1" applyFill="1" applyBorder="1" applyAlignment="1" applyProtection="1">
      <alignment horizontal="center"/>
      <protection locked="0"/>
    </xf>
    <xf numFmtId="37" fontId="16" fillId="0" borderId="4" xfId="45" applyNumberFormat="1" applyFont="1" applyFill="1" applyBorder="1" applyAlignment="1" applyProtection="1">
      <alignment horizontal="center"/>
      <protection locked="0"/>
    </xf>
    <xf numFmtId="37" fontId="16" fillId="0" borderId="8" xfId="45" applyNumberFormat="1" applyFont="1" applyFill="1" applyBorder="1" applyAlignment="1" applyProtection="1">
      <alignment horizontal="center"/>
      <protection locked="0"/>
    </xf>
    <xf numFmtId="37" fontId="16" fillId="0" borderId="19" xfId="45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/>
      <protection locked="0"/>
    </xf>
    <xf numFmtId="164" fontId="0" fillId="0" borderId="19" xfId="0" applyNumberFormat="1" applyBorder="1" applyProtection="1">
      <protection locked="0"/>
    </xf>
    <xf numFmtId="164" fontId="0" fillId="0" borderId="7" xfId="0" applyNumberFormat="1" applyBorder="1" applyProtection="1">
      <protection locked="0"/>
    </xf>
    <xf numFmtId="164" fontId="0" fillId="0" borderId="18" xfId="0" applyNumberFormat="1" applyBorder="1" applyProtection="1">
      <protection locked="0"/>
    </xf>
    <xf numFmtId="37" fontId="18" fillId="0" borderId="8" xfId="45" applyNumberFormat="1" applyFont="1" applyFill="1" applyBorder="1" applyAlignment="1" applyProtection="1">
      <alignment horizontal="center" wrapText="1"/>
      <protection locked="0"/>
    </xf>
    <xf numFmtId="37" fontId="18" fillId="0" borderId="19" xfId="45" applyNumberFormat="1" applyFont="1" applyFill="1" applyBorder="1" applyAlignment="1" applyProtection="1">
      <alignment horizontal="center" wrapText="1"/>
      <protection locked="0"/>
    </xf>
    <xf numFmtId="37" fontId="18" fillId="0" borderId="7" xfId="45" applyNumberFormat="1" applyFont="1" applyFill="1" applyBorder="1" applyAlignment="1" applyProtection="1">
      <alignment horizontal="center" wrapText="1"/>
      <protection locked="0"/>
    </xf>
    <xf numFmtId="37" fontId="18" fillId="0" borderId="18" xfId="45" applyNumberFormat="1" applyFont="1" applyFill="1" applyBorder="1" applyAlignment="1" applyProtection="1">
      <alignment horizontal="center" wrapText="1"/>
      <protection locked="0"/>
    </xf>
    <xf numFmtId="169" fontId="16" fillId="5" borderId="8" xfId="45" applyNumberFormat="1" applyFont="1" applyFill="1" applyBorder="1" applyAlignment="1" applyProtection="1">
      <alignment horizontal="center"/>
      <protection locked="0"/>
    </xf>
    <xf numFmtId="169" fontId="16" fillId="5" borderId="19" xfId="45" applyNumberFormat="1" applyFont="1" applyFill="1" applyBorder="1" applyAlignment="1" applyProtection="1">
      <alignment horizontal="center"/>
      <protection locked="0"/>
    </xf>
    <xf numFmtId="37" fontId="18" fillId="0" borderId="7" xfId="45" applyNumberFormat="1" applyFont="1" applyFill="1" applyBorder="1" applyAlignment="1" applyProtection="1">
      <alignment horizontal="center"/>
      <protection locked="0"/>
    </xf>
    <xf numFmtId="37" fontId="18" fillId="0" borderId="4" xfId="45" applyNumberFormat="1" applyFont="1" applyFill="1" applyBorder="1" applyAlignment="1" applyProtection="1">
      <alignment horizontal="center"/>
      <protection locked="0"/>
    </xf>
    <xf numFmtId="37" fontId="18" fillId="0" borderId="18" xfId="45" applyNumberFormat="1" applyFont="1" applyFill="1" applyBorder="1" applyAlignment="1" applyProtection="1">
      <alignment horizontal="center"/>
      <protection locked="0"/>
    </xf>
    <xf numFmtId="37" fontId="16" fillId="0" borderId="0" xfId="45" applyNumberFormat="1" applyFont="1" applyFill="1" applyBorder="1" applyAlignment="1" applyProtection="1">
      <alignment horizontal="center" wrapText="1"/>
      <protection locked="0"/>
    </xf>
    <xf numFmtId="37" fontId="16" fillId="5" borderId="8" xfId="45" applyNumberFormat="1" applyFont="1" applyFill="1" applyBorder="1" applyAlignment="1" applyProtection="1">
      <alignment horizontal="left"/>
      <protection locked="0"/>
    </xf>
    <xf numFmtId="37" fontId="16" fillId="5" borderId="0" xfId="45" applyNumberFormat="1" applyFont="1" applyFill="1" applyBorder="1" applyAlignment="1" applyProtection="1">
      <alignment horizontal="left"/>
      <protection locked="0"/>
    </xf>
    <xf numFmtId="37" fontId="16" fillId="5" borderId="19" xfId="45" applyNumberFormat="1" applyFont="1" applyFill="1" applyBorder="1" applyAlignment="1" applyProtection="1">
      <alignment horizontal="left"/>
      <protection locked="0"/>
    </xf>
    <xf numFmtId="37" fontId="16" fillId="0" borderId="19" xfId="45" applyNumberFormat="1" applyFont="1" applyFill="1" applyBorder="1" applyAlignment="1" applyProtection="1">
      <alignment horizontal="center" wrapText="1"/>
      <protection locked="0"/>
    </xf>
    <xf numFmtId="37" fontId="16" fillId="5" borderId="7" xfId="45" applyNumberFormat="1" applyFont="1" applyFill="1" applyBorder="1" applyAlignment="1" applyProtection="1">
      <alignment horizontal="left"/>
      <protection locked="0"/>
    </xf>
    <xf numFmtId="37" fontId="16" fillId="5" borderId="4" xfId="45" applyNumberFormat="1" applyFont="1" applyFill="1" applyBorder="1" applyAlignment="1" applyProtection="1">
      <alignment horizontal="left"/>
      <protection locked="0"/>
    </xf>
    <xf numFmtId="49" fontId="42" fillId="4" borderId="8" xfId="42" applyNumberFormat="1" applyFont="1" applyFill="1" applyBorder="1" applyAlignment="1" applyProtection="1">
      <alignment horizontal="left"/>
      <protection locked="0"/>
    </xf>
    <xf numFmtId="49" fontId="42" fillId="4" borderId="0" xfId="42" applyNumberFormat="1" applyFont="1" applyFill="1" applyBorder="1" applyAlignment="1" applyProtection="1">
      <alignment horizontal="left"/>
      <protection locked="0"/>
    </xf>
    <xf numFmtId="37" fontId="16" fillId="5" borderId="8" xfId="45" applyNumberFormat="1" applyFont="1" applyFill="1" applyBorder="1" applyAlignment="1" applyProtection="1">
      <alignment horizontal="center" wrapText="1"/>
      <protection locked="0"/>
    </xf>
    <xf numFmtId="37" fontId="16" fillId="5" borderId="19" xfId="45" applyNumberFormat="1" applyFont="1" applyFill="1" applyBorder="1" applyAlignment="1" applyProtection="1">
      <alignment horizontal="center" wrapText="1"/>
      <protection locked="0"/>
    </xf>
    <xf numFmtId="37" fontId="16" fillId="5" borderId="31" xfId="45" applyNumberFormat="1" applyFont="1" applyFill="1" applyBorder="1" applyAlignment="1" applyProtection="1">
      <alignment horizontal="center" wrapText="1"/>
      <protection locked="0"/>
    </xf>
    <xf numFmtId="37" fontId="16" fillId="5" borderId="30" xfId="45" applyNumberFormat="1" applyFont="1" applyFill="1" applyBorder="1" applyAlignment="1" applyProtection="1">
      <alignment horizontal="center" wrapText="1"/>
      <protection locked="0"/>
    </xf>
    <xf numFmtId="9" fontId="36" fillId="0" borderId="8" xfId="46" applyFont="1" applyFill="1" applyBorder="1" applyAlignment="1" applyProtection="1">
      <alignment horizontal="center" wrapText="1"/>
    </xf>
    <xf numFmtId="9" fontId="36" fillId="0" borderId="0" xfId="46" applyFont="1" applyFill="1" applyBorder="1" applyAlignment="1" applyProtection="1">
      <alignment horizontal="center" wrapText="1"/>
    </xf>
    <xf numFmtId="9" fontId="36" fillId="0" borderId="7" xfId="46" applyFont="1" applyFill="1" applyBorder="1" applyAlignment="1" applyProtection="1">
      <alignment horizontal="center" wrapText="1"/>
    </xf>
    <xf numFmtId="9" fontId="36" fillId="0" borderId="4" xfId="46" applyFont="1" applyFill="1" applyBorder="1" applyAlignment="1" applyProtection="1">
      <alignment horizontal="center" wrapText="1"/>
    </xf>
    <xf numFmtId="49" fontId="16" fillId="5" borderId="8" xfId="42" applyNumberFormat="1" applyFont="1" applyFill="1" applyBorder="1" applyAlignment="1" applyProtection="1">
      <alignment horizontal="left"/>
      <protection locked="0"/>
    </xf>
    <xf numFmtId="49" fontId="16" fillId="5" borderId="0" xfId="42" applyNumberFormat="1" applyFont="1" applyFill="1" applyBorder="1" applyAlignment="1" applyProtection="1">
      <alignment horizontal="left"/>
      <protection locked="0"/>
    </xf>
    <xf numFmtId="37" fontId="16" fillId="6" borderId="7" xfId="45" applyNumberFormat="1" applyFont="1" applyFill="1" applyBorder="1" applyAlignment="1" applyProtection="1">
      <alignment horizontal="center"/>
      <protection locked="0"/>
    </xf>
    <xf numFmtId="37" fontId="16" fillId="6" borderId="4" xfId="45" applyNumberFormat="1" applyFont="1" applyFill="1" applyBorder="1" applyAlignment="1" applyProtection="1">
      <alignment horizontal="center"/>
      <protection locked="0"/>
    </xf>
    <xf numFmtId="37" fontId="16" fillId="6" borderId="18" xfId="45" applyNumberFormat="1" applyFont="1" applyFill="1" applyBorder="1" applyAlignment="1" applyProtection="1">
      <alignment horizontal="center"/>
      <protection locked="0"/>
    </xf>
    <xf numFmtId="37" fontId="16" fillId="5" borderId="7" xfId="45" applyNumberFormat="1" applyFont="1" applyFill="1" applyBorder="1" applyAlignment="1" applyProtection="1">
      <alignment horizontal="center"/>
      <protection locked="0"/>
    </xf>
    <xf numFmtId="37" fontId="16" fillId="5" borderId="4" xfId="45" applyNumberFormat="1" applyFont="1" applyFill="1" applyBorder="1" applyAlignment="1" applyProtection="1">
      <alignment horizontal="center"/>
      <protection locked="0"/>
    </xf>
    <xf numFmtId="37" fontId="16" fillId="5" borderId="26" xfId="45" applyNumberFormat="1" applyFont="1" applyFill="1" applyBorder="1" applyAlignment="1" applyProtection="1">
      <alignment horizontal="left"/>
      <protection locked="0"/>
    </xf>
    <xf numFmtId="37" fontId="16" fillId="5" borderId="27" xfId="45" applyNumberFormat="1" applyFont="1" applyFill="1" applyBorder="1" applyAlignment="1" applyProtection="1">
      <alignment horizontal="left"/>
      <protection locked="0"/>
    </xf>
    <xf numFmtId="37" fontId="16" fillId="5" borderId="3" xfId="45" applyNumberFormat="1" applyFont="1" applyFill="1" applyBorder="1" applyAlignment="1" applyProtection="1">
      <alignment horizontal="left"/>
      <protection locked="0"/>
    </xf>
  </cellXfs>
  <cellStyles count="29872">
    <cellStyle name="20% - Accent1 2" xfId="3282"/>
    <cellStyle name="20% - Accent2 2" xfId="3326"/>
    <cellStyle name="20% - Accent3 2" xfId="3315"/>
    <cellStyle name="20% - Accent4 2" xfId="3327"/>
    <cellStyle name="20% - Accent5 2" xfId="3314"/>
    <cellStyle name="20% - Accent6 2" xfId="3328"/>
    <cellStyle name="40% - Accent1 2" xfId="3278"/>
    <cellStyle name="40% - Accent2 2" xfId="3331"/>
    <cellStyle name="40% - Accent3 2" xfId="3310"/>
    <cellStyle name="40% - Accent4 2" xfId="3322"/>
    <cellStyle name="40% - Accent5 2" xfId="3299"/>
    <cellStyle name="40% - Accent6 2" xfId="3260"/>
    <cellStyle name="60% - Accent1 2" xfId="3294"/>
    <cellStyle name="60% - Accent2 2" xfId="3257"/>
    <cellStyle name="60% - Accent3 2" xfId="3281"/>
    <cellStyle name="60% - Accent4 2" xfId="3325"/>
    <cellStyle name="60% - Accent5 2" xfId="3262"/>
    <cellStyle name="60% - Accent6 2" xfId="3308"/>
    <cellStyle name="Accent1 2" xfId="3318"/>
    <cellStyle name="Accent2 2" xfId="3329"/>
    <cellStyle name="Accent3 2" xfId="3290"/>
    <cellStyle name="Accent4 2" xfId="3306"/>
    <cellStyle name="Accent5 2" xfId="3332"/>
    <cellStyle name="Accent6 2" xfId="1824"/>
    <cellStyle name="Bad 2" xfId="1846"/>
    <cellStyle name="Calculation 2" xfId="3289"/>
    <cellStyle name="Calculation 3" xfId="3286"/>
    <cellStyle name="Check Cell 2" xfId="3287"/>
    <cellStyle name="Comma" xfId="1" builtinId="3"/>
    <cellStyle name="Comma 2" xfId="44"/>
    <cellStyle name="Comma 2 2" xfId="111"/>
    <cellStyle name="Comma 2 3" xfId="88"/>
    <cellStyle name="Comma 2 4" xfId="3275"/>
    <cellStyle name="Comma 3" xfId="71"/>
    <cellStyle name="Comma 3 2" xfId="45"/>
    <cellStyle name="Comma 4" xfId="60"/>
    <cellStyle name="Comma 5" xfId="72"/>
    <cellStyle name="Comma 5 10" xfId="143"/>
    <cellStyle name="Comma 5 10 10" xfId="20120"/>
    <cellStyle name="Comma 5 10 2" xfId="478"/>
    <cellStyle name="Comma 5 10 2 2" xfId="2211"/>
    <cellStyle name="Comma 5 10 2 2 2" xfId="16107"/>
    <cellStyle name="Comma 5 10 2 2 2 2" xfId="26325"/>
    <cellStyle name="Comma 5 10 2 2 3" xfId="12529"/>
    <cellStyle name="Comma 5 10 2 2 4" xfId="7238"/>
    <cellStyle name="Comma 5 10 2 2 5" xfId="21318"/>
    <cellStyle name="Comma 5 10 2 3" xfId="3485"/>
    <cellStyle name="Comma 5 10 2 3 2" xfId="17131"/>
    <cellStyle name="Comma 5 10 2 3 2 2" xfId="27382"/>
    <cellStyle name="Comma 5 10 2 3 3" xfId="13552"/>
    <cellStyle name="Comma 5 10 2 3 4" xfId="8295"/>
    <cellStyle name="Comma 5 10 2 3 5" xfId="22375"/>
    <cellStyle name="Comma 5 10 2 4" xfId="6354"/>
    <cellStyle name="Comma 5 10 2 4 2" xfId="15438"/>
    <cellStyle name="Comma 5 10 2 4 3" xfId="25442"/>
    <cellStyle name="Comma 5 10 2 5" xfId="9749"/>
    <cellStyle name="Comma 5 10 2 5 2" xfId="18576"/>
    <cellStyle name="Comma 5 10 2 5 3" xfId="28827"/>
    <cellStyle name="Comma 5 10 2 6" xfId="11193"/>
    <cellStyle name="Comma 5 10 2 6 2" xfId="23924"/>
    <cellStyle name="Comma 5 10 2 7" xfId="4832"/>
    <cellStyle name="Comma 5 10 2 8" xfId="20435"/>
    <cellStyle name="Comma 5 10 3" xfId="837"/>
    <cellStyle name="Comma 5 10 3 2" xfId="2559"/>
    <cellStyle name="Comma 5 10 3 2 2" xfId="16500"/>
    <cellStyle name="Comma 5 10 3 2 2 2" xfId="26719"/>
    <cellStyle name="Comma 5 10 3 2 3" xfId="12922"/>
    <cellStyle name="Comma 5 10 3 2 4" xfId="7632"/>
    <cellStyle name="Comma 5 10 3 2 5" xfId="21712"/>
    <cellStyle name="Comma 5 10 3 3" xfId="3833"/>
    <cellStyle name="Comma 5 10 3 3 2" xfId="17479"/>
    <cellStyle name="Comma 5 10 3 3 2 2" xfId="27730"/>
    <cellStyle name="Comma 5 10 3 3 3" xfId="13900"/>
    <cellStyle name="Comma 5 10 3 3 4" xfId="8643"/>
    <cellStyle name="Comma 5 10 3 3 5" xfId="22723"/>
    <cellStyle name="Comma 5 10 3 4" xfId="6722"/>
    <cellStyle name="Comma 5 10 3 4 2" xfId="15805"/>
    <cellStyle name="Comma 5 10 3 4 3" xfId="25809"/>
    <cellStyle name="Comma 5 10 3 5" xfId="10097"/>
    <cellStyle name="Comma 5 10 3 5 2" xfId="18924"/>
    <cellStyle name="Comma 5 10 3 5 3" xfId="29175"/>
    <cellStyle name="Comma 5 10 3 6" xfId="11543"/>
    <cellStyle name="Comma 5 10 3 6 2" xfId="24318"/>
    <cellStyle name="Comma 5 10 3 7" xfId="5226"/>
    <cellStyle name="Comma 5 10 3 8" xfId="20802"/>
    <cellStyle name="Comma 5 10 4" xfId="1330"/>
    <cellStyle name="Comma 5 10 4 2" xfId="2944"/>
    <cellStyle name="Comma 5 10 4 2 2" xfId="17864"/>
    <cellStyle name="Comma 5 10 4 2 2 2" xfId="28115"/>
    <cellStyle name="Comma 5 10 4 2 3" xfId="14285"/>
    <cellStyle name="Comma 5 10 4 2 4" xfId="9028"/>
    <cellStyle name="Comma 5 10 4 2 5" xfId="23108"/>
    <cellStyle name="Comma 5 10 4 3" xfId="10482"/>
    <cellStyle name="Comma 5 10 4 3 2" xfId="19309"/>
    <cellStyle name="Comma 5 10 4 3 3" xfId="29560"/>
    <cellStyle name="Comma 5 10 4 4" xfId="11928"/>
    <cellStyle name="Comma 5 10 4 4 2" xfId="26010"/>
    <cellStyle name="Comma 5 10 4 5" xfId="6923"/>
    <cellStyle name="Comma 5 10 4 6" xfId="21003"/>
    <cellStyle name="Comma 5 10 5" xfId="1901"/>
    <cellStyle name="Comma 5 10 5 2" xfId="16819"/>
    <cellStyle name="Comma 5 10 5 2 2" xfId="27070"/>
    <cellStyle name="Comma 5 10 5 3" xfId="13240"/>
    <cellStyle name="Comma 5 10 5 4" xfId="7983"/>
    <cellStyle name="Comma 5 10 5 5" xfId="22063"/>
    <cellStyle name="Comma 5 10 6" xfId="6039"/>
    <cellStyle name="Comma 5 10 6 2" xfId="15123"/>
    <cellStyle name="Comma 5 10 6 3" xfId="25127"/>
    <cellStyle name="Comma 5 10 7" xfId="9439"/>
    <cellStyle name="Comma 5 10 7 2" xfId="18266"/>
    <cellStyle name="Comma 5 10 7 3" xfId="28517"/>
    <cellStyle name="Comma 5 10 8" xfId="10883"/>
    <cellStyle name="Comma 5 10 8 2" xfId="23609"/>
    <cellStyle name="Comma 5 10 9" xfId="4517"/>
    <cellStyle name="Comma 5 11" xfId="477"/>
    <cellStyle name="Comma 5 11 2" xfId="2210"/>
    <cellStyle name="Comma 5 11 2 2" xfId="16106"/>
    <cellStyle name="Comma 5 11 2 2 2" xfId="26324"/>
    <cellStyle name="Comma 5 11 2 3" xfId="12528"/>
    <cellStyle name="Comma 5 11 2 4" xfId="7237"/>
    <cellStyle name="Comma 5 11 2 5" xfId="21317"/>
    <cellStyle name="Comma 5 11 3" xfId="3484"/>
    <cellStyle name="Comma 5 11 3 2" xfId="17130"/>
    <cellStyle name="Comma 5 11 3 2 2" xfId="27381"/>
    <cellStyle name="Comma 5 11 3 3" xfId="13551"/>
    <cellStyle name="Comma 5 11 3 4" xfId="8294"/>
    <cellStyle name="Comma 5 11 3 5" xfId="22374"/>
    <cellStyle name="Comma 5 11 4" xfId="6353"/>
    <cellStyle name="Comma 5 11 4 2" xfId="15437"/>
    <cellStyle name="Comma 5 11 4 3" xfId="25441"/>
    <cellStyle name="Comma 5 11 5" xfId="9748"/>
    <cellStyle name="Comma 5 11 5 2" xfId="18575"/>
    <cellStyle name="Comma 5 11 5 3" xfId="28826"/>
    <cellStyle name="Comma 5 11 6" xfId="11192"/>
    <cellStyle name="Comma 5 11 6 2" xfId="23923"/>
    <cellStyle name="Comma 5 11 7" xfId="4831"/>
    <cellStyle name="Comma 5 11 8" xfId="20434"/>
    <cellStyle name="Comma 5 12" xfId="836"/>
    <cellStyle name="Comma 5 12 2" xfId="2558"/>
    <cellStyle name="Comma 5 12 2 2" xfId="16468"/>
    <cellStyle name="Comma 5 12 2 2 2" xfId="26687"/>
    <cellStyle name="Comma 5 12 2 3" xfId="12890"/>
    <cellStyle name="Comma 5 12 2 4" xfId="7600"/>
    <cellStyle name="Comma 5 12 2 5" xfId="21680"/>
    <cellStyle name="Comma 5 12 3" xfId="3832"/>
    <cellStyle name="Comma 5 12 3 2" xfId="17478"/>
    <cellStyle name="Comma 5 12 3 2 2" xfId="27729"/>
    <cellStyle name="Comma 5 12 3 3" xfId="13899"/>
    <cellStyle name="Comma 5 12 3 4" xfId="8642"/>
    <cellStyle name="Comma 5 12 3 5" xfId="22722"/>
    <cellStyle name="Comma 5 12 4" xfId="5858"/>
    <cellStyle name="Comma 5 12 4 2" xfId="14944"/>
    <cellStyle name="Comma 5 12 4 3" xfId="24948"/>
    <cellStyle name="Comma 5 12 5" xfId="10096"/>
    <cellStyle name="Comma 5 12 5 2" xfId="18923"/>
    <cellStyle name="Comma 5 12 5 3" xfId="29174"/>
    <cellStyle name="Comma 5 12 6" xfId="11542"/>
    <cellStyle name="Comma 5 12 6 2" xfId="24286"/>
    <cellStyle name="Comma 5 12 7" xfId="5194"/>
    <cellStyle name="Comma 5 12 8" xfId="19941"/>
    <cellStyle name="Comma 5 13" xfId="1259"/>
    <cellStyle name="Comma 5 13 2" xfId="2912"/>
    <cellStyle name="Comma 5 13 2 2" xfId="17832"/>
    <cellStyle name="Comma 5 13 2 2 2" xfId="28083"/>
    <cellStyle name="Comma 5 13 2 3" xfId="14253"/>
    <cellStyle name="Comma 5 13 2 4" xfId="8996"/>
    <cellStyle name="Comma 5 13 2 5" xfId="23076"/>
    <cellStyle name="Comma 5 13 3" xfId="10450"/>
    <cellStyle name="Comma 5 13 3 2" xfId="19277"/>
    <cellStyle name="Comma 5 13 3 3" xfId="29528"/>
    <cellStyle name="Comma 5 13 4" xfId="11896"/>
    <cellStyle name="Comma 5 13 4 2" xfId="25831"/>
    <cellStyle name="Comma 5 13 5" xfId="6744"/>
    <cellStyle name="Comma 5 13 6" xfId="20824"/>
    <cellStyle name="Comma 5 14" xfId="1869"/>
    <cellStyle name="Comma 5 14 2" xfId="9407"/>
    <cellStyle name="Comma 5 14 2 2" xfId="18234"/>
    <cellStyle name="Comma 5 14 2 3" xfId="28485"/>
    <cellStyle name="Comma 5 14 3" xfId="10851"/>
    <cellStyle name="Comma 5 14 3 2" xfId="27038"/>
    <cellStyle name="Comma 5 14 4" xfId="7951"/>
    <cellStyle name="Comma 5 14 5" xfId="22031"/>
    <cellStyle name="Comma 5 15" xfId="1826"/>
    <cellStyle name="Comma 5 15 2" xfId="14632"/>
    <cellStyle name="Comma 5 15 3" xfId="5546"/>
    <cellStyle name="Comma 5 15 4" xfId="24636"/>
    <cellStyle name="Comma 5 16" xfId="9367"/>
    <cellStyle name="Comma 5 16 2" xfId="18194"/>
    <cellStyle name="Comma 5 16 3" xfId="28445"/>
    <cellStyle name="Comma 5 17" xfId="10806"/>
    <cellStyle name="Comma 5 17 2" xfId="23431"/>
    <cellStyle name="Comma 5 18" xfId="4339"/>
    <cellStyle name="Comma 5 19" xfId="19629"/>
    <cellStyle name="Comma 5 2" xfId="73"/>
    <cellStyle name="Comma 5 2 10" xfId="479"/>
    <cellStyle name="Comma 5 2 10 2" xfId="2212"/>
    <cellStyle name="Comma 5 2 10 2 2" xfId="16108"/>
    <cellStyle name="Comma 5 2 10 2 2 2" xfId="26326"/>
    <cellStyle name="Comma 5 2 10 2 3" xfId="12530"/>
    <cellStyle name="Comma 5 2 10 2 4" xfId="7239"/>
    <cellStyle name="Comma 5 2 10 2 5" xfId="21319"/>
    <cellStyle name="Comma 5 2 10 3" xfId="3486"/>
    <cellStyle name="Comma 5 2 10 3 2" xfId="17132"/>
    <cellStyle name="Comma 5 2 10 3 2 2" xfId="27383"/>
    <cellStyle name="Comma 5 2 10 3 3" xfId="13553"/>
    <cellStyle name="Comma 5 2 10 3 4" xfId="8296"/>
    <cellStyle name="Comma 5 2 10 3 5" xfId="22376"/>
    <cellStyle name="Comma 5 2 10 4" xfId="6355"/>
    <cellStyle name="Comma 5 2 10 4 2" xfId="15439"/>
    <cellStyle name="Comma 5 2 10 4 3" xfId="25443"/>
    <cellStyle name="Comma 5 2 10 5" xfId="9750"/>
    <cellStyle name="Comma 5 2 10 5 2" xfId="18577"/>
    <cellStyle name="Comma 5 2 10 5 3" xfId="28828"/>
    <cellStyle name="Comma 5 2 10 6" xfId="11194"/>
    <cellStyle name="Comma 5 2 10 6 2" xfId="23925"/>
    <cellStyle name="Comma 5 2 10 7" xfId="4833"/>
    <cellStyle name="Comma 5 2 10 8" xfId="20436"/>
    <cellStyle name="Comma 5 2 11" xfId="838"/>
    <cellStyle name="Comma 5 2 11 2" xfId="2560"/>
    <cellStyle name="Comma 5 2 11 2 2" xfId="16469"/>
    <cellStyle name="Comma 5 2 11 2 2 2" xfId="26688"/>
    <cellStyle name="Comma 5 2 11 2 3" xfId="12891"/>
    <cellStyle name="Comma 5 2 11 2 4" xfId="7601"/>
    <cellStyle name="Comma 5 2 11 2 5" xfId="21681"/>
    <cellStyle name="Comma 5 2 11 3" xfId="3834"/>
    <cellStyle name="Comma 5 2 11 3 2" xfId="17480"/>
    <cellStyle name="Comma 5 2 11 3 2 2" xfId="27731"/>
    <cellStyle name="Comma 5 2 11 3 3" xfId="13901"/>
    <cellStyle name="Comma 5 2 11 3 4" xfId="8644"/>
    <cellStyle name="Comma 5 2 11 3 5" xfId="22724"/>
    <cellStyle name="Comma 5 2 11 4" xfId="5859"/>
    <cellStyle name="Comma 5 2 11 4 2" xfId="14945"/>
    <cellStyle name="Comma 5 2 11 4 3" xfId="24949"/>
    <cellStyle name="Comma 5 2 11 5" xfId="10098"/>
    <cellStyle name="Comma 5 2 11 5 2" xfId="18925"/>
    <cellStyle name="Comma 5 2 11 5 3" xfId="29176"/>
    <cellStyle name="Comma 5 2 11 6" xfId="11544"/>
    <cellStyle name="Comma 5 2 11 6 2" xfId="24287"/>
    <cellStyle name="Comma 5 2 11 7" xfId="5195"/>
    <cellStyle name="Comma 5 2 11 8" xfId="19942"/>
    <cellStyle name="Comma 5 2 12" xfId="1260"/>
    <cellStyle name="Comma 5 2 12 2" xfId="2913"/>
    <cellStyle name="Comma 5 2 12 2 2" xfId="17833"/>
    <cellStyle name="Comma 5 2 12 2 2 2" xfId="28084"/>
    <cellStyle name="Comma 5 2 12 2 3" xfId="14254"/>
    <cellStyle name="Comma 5 2 12 2 4" xfId="8997"/>
    <cellStyle name="Comma 5 2 12 2 5" xfId="23077"/>
    <cellStyle name="Comma 5 2 12 3" xfId="10451"/>
    <cellStyle name="Comma 5 2 12 3 2" xfId="19278"/>
    <cellStyle name="Comma 5 2 12 3 3" xfId="29529"/>
    <cellStyle name="Comma 5 2 12 4" xfId="11897"/>
    <cellStyle name="Comma 5 2 12 4 2" xfId="25832"/>
    <cellStyle name="Comma 5 2 12 5" xfId="6745"/>
    <cellStyle name="Comma 5 2 12 6" xfId="20825"/>
    <cellStyle name="Comma 5 2 13" xfId="1870"/>
    <cellStyle name="Comma 5 2 13 2" xfId="9408"/>
    <cellStyle name="Comma 5 2 13 2 2" xfId="18235"/>
    <cellStyle name="Comma 5 2 13 2 3" xfId="28486"/>
    <cellStyle name="Comma 5 2 13 3" xfId="10852"/>
    <cellStyle name="Comma 5 2 13 3 2" xfId="27039"/>
    <cellStyle name="Comma 5 2 13 4" xfId="7952"/>
    <cellStyle name="Comma 5 2 13 5" xfId="22032"/>
    <cellStyle name="Comma 5 2 14" xfId="1827"/>
    <cellStyle name="Comma 5 2 14 2" xfId="14633"/>
    <cellStyle name="Comma 5 2 14 3" xfId="5547"/>
    <cellStyle name="Comma 5 2 14 4" xfId="24637"/>
    <cellStyle name="Comma 5 2 15" xfId="9368"/>
    <cellStyle name="Comma 5 2 15 2" xfId="18195"/>
    <cellStyle name="Comma 5 2 15 3" xfId="28446"/>
    <cellStyle name="Comma 5 2 16" xfId="10807"/>
    <cellStyle name="Comma 5 2 16 2" xfId="23432"/>
    <cellStyle name="Comma 5 2 17" xfId="4340"/>
    <cellStyle name="Comma 5 2 18" xfId="19630"/>
    <cellStyle name="Comma 5 2 2" xfId="122"/>
    <cellStyle name="Comma 5 2 2 10" xfId="1882"/>
    <cellStyle name="Comma 5 2 2 10 2" xfId="9420"/>
    <cellStyle name="Comma 5 2 2 10 2 2" xfId="18247"/>
    <cellStyle name="Comma 5 2 2 10 2 3" xfId="28498"/>
    <cellStyle name="Comma 5 2 2 10 3" xfId="10864"/>
    <cellStyle name="Comma 5 2 2 10 3 2" xfId="27051"/>
    <cellStyle name="Comma 5 2 2 10 4" xfId="7964"/>
    <cellStyle name="Comma 5 2 2 10 5" xfId="22044"/>
    <cellStyle name="Comma 5 2 2 11" xfId="1852"/>
    <cellStyle name="Comma 5 2 2 11 2" xfId="14658"/>
    <cellStyle name="Comma 5 2 2 11 3" xfId="5572"/>
    <cellStyle name="Comma 5 2 2 11 4" xfId="24662"/>
    <cellStyle name="Comma 5 2 2 12" xfId="9390"/>
    <cellStyle name="Comma 5 2 2 12 2" xfId="18217"/>
    <cellStyle name="Comma 5 2 2 12 3" xfId="28468"/>
    <cellStyle name="Comma 5 2 2 13" xfId="10834"/>
    <cellStyle name="Comma 5 2 2 13 2" xfId="23445"/>
    <cellStyle name="Comma 5 2 2 14" xfId="4353"/>
    <cellStyle name="Comma 5 2 2 15" xfId="19655"/>
    <cellStyle name="Comma 5 2 2 2" xfId="238"/>
    <cellStyle name="Comma 5 2 2 2 10" xfId="9522"/>
    <cellStyle name="Comma 5 2 2 2 10 2" xfId="18349"/>
    <cellStyle name="Comma 5 2 2 2 10 3" xfId="28600"/>
    <cellStyle name="Comma 5 2 2 2 11" xfId="10966"/>
    <cellStyle name="Comma 5 2 2 2 11 2" xfId="23475"/>
    <cellStyle name="Comma 5 2 2 2 12" xfId="4383"/>
    <cellStyle name="Comma 5 2 2 2 13" xfId="19712"/>
    <cellStyle name="Comma 5 2 2 2 2" xfId="447"/>
    <cellStyle name="Comma 5 2 2 2 2 10" xfId="4487"/>
    <cellStyle name="Comma 5 2 2 2 2 11" xfId="19916"/>
    <cellStyle name="Comma 5 2 2 2 2 2" xfId="482"/>
    <cellStyle name="Comma 5 2 2 2 2 2 2" xfId="2215"/>
    <cellStyle name="Comma 5 2 2 2 2 2 2 2" xfId="16083"/>
    <cellStyle name="Comma 5 2 2 2 2 2 2 2 2" xfId="26297"/>
    <cellStyle name="Comma 5 2 2 2 2 2 2 3" xfId="12505"/>
    <cellStyle name="Comma 5 2 2 2 2 2 2 4" xfId="7210"/>
    <cellStyle name="Comma 5 2 2 2 2 2 2 5" xfId="21290"/>
    <cellStyle name="Comma 5 2 2 2 2 2 3" xfId="3489"/>
    <cellStyle name="Comma 5 2 2 2 2 2 3 2" xfId="17135"/>
    <cellStyle name="Comma 5 2 2 2 2 2 3 2 2" xfId="27386"/>
    <cellStyle name="Comma 5 2 2 2 2 2 3 3" xfId="13556"/>
    <cellStyle name="Comma 5 2 2 2 2 2 3 4" xfId="8299"/>
    <cellStyle name="Comma 5 2 2 2 2 2 3 5" xfId="22379"/>
    <cellStyle name="Comma 5 2 2 2 2 2 4" xfId="6326"/>
    <cellStyle name="Comma 5 2 2 2 2 2 4 2" xfId="15410"/>
    <cellStyle name="Comma 5 2 2 2 2 2 4 3" xfId="25414"/>
    <cellStyle name="Comma 5 2 2 2 2 2 5" xfId="9753"/>
    <cellStyle name="Comma 5 2 2 2 2 2 5 2" xfId="18580"/>
    <cellStyle name="Comma 5 2 2 2 2 2 5 3" xfId="28831"/>
    <cellStyle name="Comma 5 2 2 2 2 2 6" xfId="11197"/>
    <cellStyle name="Comma 5 2 2 2 2 2 6 2" xfId="23896"/>
    <cellStyle name="Comma 5 2 2 2 2 2 7" xfId="4804"/>
    <cellStyle name="Comma 5 2 2 2 2 2 8" xfId="20407"/>
    <cellStyle name="Comma 5 2 2 2 2 3" xfId="841"/>
    <cellStyle name="Comma 5 2 2 2 2 3 2" xfId="2563"/>
    <cellStyle name="Comma 5 2 2 2 2 3 2 2" xfId="16111"/>
    <cellStyle name="Comma 5 2 2 2 2 3 2 2 2" xfId="26329"/>
    <cellStyle name="Comma 5 2 2 2 2 3 2 3" xfId="12533"/>
    <cellStyle name="Comma 5 2 2 2 2 3 2 4" xfId="7242"/>
    <cellStyle name="Comma 5 2 2 2 2 3 2 5" xfId="21322"/>
    <cellStyle name="Comma 5 2 2 2 2 3 3" xfId="3837"/>
    <cellStyle name="Comma 5 2 2 2 2 3 3 2" xfId="17483"/>
    <cellStyle name="Comma 5 2 2 2 2 3 3 2 2" xfId="27734"/>
    <cellStyle name="Comma 5 2 2 2 2 3 3 3" xfId="13904"/>
    <cellStyle name="Comma 5 2 2 2 2 3 3 4" xfId="8647"/>
    <cellStyle name="Comma 5 2 2 2 2 3 3 5" xfId="22727"/>
    <cellStyle name="Comma 5 2 2 2 2 3 4" xfId="6358"/>
    <cellStyle name="Comma 5 2 2 2 2 3 4 2" xfId="15442"/>
    <cellStyle name="Comma 5 2 2 2 2 3 4 3" xfId="25446"/>
    <cellStyle name="Comma 5 2 2 2 2 3 5" xfId="10101"/>
    <cellStyle name="Comma 5 2 2 2 2 3 5 2" xfId="18928"/>
    <cellStyle name="Comma 5 2 2 2 2 3 5 3" xfId="29179"/>
    <cellStyle name="Comma 5 2 2 2 2 3 6" xfId="11547"/>
    <cellStyle name="Comma 5 2 2 2 2 3 6 2" xfId="23928"/>
    <cellStyle name="Comma 5 2 2 2 2 3 7" xfId="4836"/>
    <cellStyle name="Comma 5 2 2 2 2 3 8" xfId="20439"/>
    <cellStyle name="Comma 5 2 2 2 2 4" xfId="1634"/>
    <cellStyle name="Comma 5 2 2 2 2 4 2" xfId="3231"/>
    <cellStyle name="Comma 5 2 2 2 2 4 2 2" xfId="16787"/>
    <cellStyle name="Comma 5 2 2 2 2 4 2 2 2" xfId="27006"/>
    <cellStyle name="Comma 5 2 2 2 2 4 2 3" xfId="13208"/>
    <cellStyle name="Comma 5 2 2 2 2 4 2 4" xfId="7919"/>
    <cellStyle name="Comma 5 2 2 2 2 4 2 5" xfId="21999"/>
    <cellStyle name="Comma 5 2 2 2 2 4 3" xfId="4304"/>
    <cellStyle name="Comma 5 2 2 2 2 4 3 2" xfId="18151"/>
    <cellStyle name="Comma 5 2 2 2 2 4 3 2 2" xfId="28402"/>
    <cellStyle name="Comma 5 2 2 2 2 4 3 3" xfId="14572"/>
    <cellStyle name="Comma 5 2 2 2 2 4 3 4" xfId="9315"/>
    <cellStyle name="Comma 5 2 2 2 2 4 3 5" xfId="23395"/>
    <cellStyle name="Comma 5 2 2 2 2 4 4" xfId="6007"/>
    <cellStyle name="Comma 5 2 2 2 2 4 4 2" xfId="15093"/>
    <cellStyle name="Comma 5 2 2 2 2 4 4 3" xfId="25097"/>
    <cellStyle name="Comma 5 2 2 2 2 4 5" xfId="10769"/>
    <cellStyle name="Comma 5 2 2 2 2 4 5 2" xfId="19596"/>
    <cellStyle name="Comma 5 2 2 2 2 4 5 3" xfId="29847"/>
    <cellStyle name="Comma 5 2 2 2 2 4 6" xfId="12215"/>
    <cellStyle name="Comma 5 2 2 2 2 4 6 2" xfId="24605"/>
    <cellStyle name="Comma 5 2 2 2 2 4 7" xfId="5513"/>
    <cellStyle name="Comma 5 2 2 2 2 4 8" xfId="20090"/>
    <cellStyle name="Comma 5 2 2 2 2 5" xfId="2188"/>
    <cellStyle name="Comma 5 2 2 2 2 5 2" xfId="15936"/>
    <cellStyle name="Comma 5 2 2 2 2 5 2 2" xfId="25980"/>
    <cellStyle name="Comma 5 2 2 2 2 5 3" xfId="12270"/>
    <cellStyle name="Comma 5 2 2 2 2 5 4" xfId="6893"/>
    <cellStyle name="Comma 5 2 2 2 2 5 5" xfId="20973"/>
    <cellStyle name="Comma 5 2 2 2 2 6" xfId="3466"/>
    <cellStyle name="Comma 5 2 2 2 2 6 2" xfId="17108"/>
    <cellStyle name="Comma 5 2 2 2 2 6 2 2" xfId="27359"/>
    <cellStyle name="Comma 5 2 2 2 2 6 3" xfId="13529"/>
    <cellStyle name="Comma 5 2 2 2 2 6 4" xfId="8272"/>
    <cellStyle name="Comma 5 2 2 2 2 6 5" xfId="22352"/>
    <cellStyle name="Comma 5 2 2 2 2 7" xfId="5833"/>
    <cellStyle name="Comma 5 2 2 2 2 7 2" xfId="14919"/>
    <cellStyle name="Comma 5 2 2 2 2 7 3" xfId="24923"/>
    <cellStyle name="Comma 5 2 2 2 2 8" xfId="9726"/>
    <cellStyle name="Comma 5 2 2 2 2 8 2" xfId="18553"/>
    <cellStyle name="Comma 5 2 2 2 2 8 3" xfId="28804"/>
    <cellStyle name="Comma 5 2 2 2 2 9" xfId="11170"/>
    <cellStyle name="Comma 5 2 2 2 2 9 2" xfId="23579"/>
    <cellStyle name="Comma 5 2 2 2 3" xfId="340"/>
    <cellStyle name="Comma 5 2 2 2 3 10" xfId="19812"/>
    <cellStyle name="Comma 5 2 2 2 3 2" xfId="483"/>
    <cellStyle name="Comma 5 2 2 2 3 2 2" xfId="2216"/>
    <cellStyle name="Comma 5 2 2 2 3 2 2 2" xfId="16112"/>
    <cellStyle name="Comma 5 2 2 2 3 2 2 2 2" xfId="26330"/>
    <cellStyle name="Comma 5 2 2 2 3 2 2 3" xfId="12534"/>
    <cellStyle name="Comma 5 2 2 2 3 2 2 4" xfId="7243"/>
    <cellStyle name="Comma 5 2 2 2 3 2 2 5" xfId="21323"/>
    <cellStyle name="Comma 5 2 2 2 3 2 3" xfId="3490"/>
    <cellStyle name="Comma 5 2 2 2 3 2 3 2" xfId="17136"/>
    <cellStyle name="Comma 5 2 2 2 3 2 3 2 2" xfId="27387"/>
    <cellStyle name="Comma 5 2 2 2 3 2 3 3" xfId="13557"/>
    <cellStyle name="Comma 5 2 2 2 3 2 3 4" xfId="8300"/>
    <cellStyle name="Comma 5 2 2 2 3 2 3 5" xfId="22380"/>
    <cellStyle name="Comma 5 2 2 2 3 2 4" xfId="6359"/>
    <cellStyle name="Comma 5 2 2 2 3 2 4 2" xfId="15443"/>
    <cellStyle name="Comma 5 2 2 2 3 2 4 3" xfId="25447"/>
    <cellStyle name="Comma 5 2 2 2 3 2 5" xfId="9754"/>
    <cellStyle name="Comma 5 2 2 2 3 2 5 2" xfId="18581"/>
    <cellStyle name="Comma 5 2 2 2 3 2 5 3" xfId="28832"/>
    <cellStyle name="Comma 5 2 2 2 3 2 6" xfId="11198"/>
    <cellStyle name="Comma 5 2 2 2 3 2 6 2" xfId="23929"/>
    <cellStyle name="Comma 5 2 2 2 3 2 7" xfId="4837"/>
    <cellStyle name="Comma 5 2 2 2 3 2 8" xfId="20440"/>
    <cellStyle name="Comma 5 2 2 2 3 3" xfId="842"/>
    <cellStyle name="Comma 5 2 2 2 3 3 2" xfId="2564"/>
    <cellStyle name="Comma 5 2 2 2 3 3 2 2" xfId="16683"/>
    <cellStyle name="Comma 5 2 2 2 3 3 2 2 2" xfId="26902"/>
    <cellStyle name="Comma 5 2 2 2 3 3 2 3" xfId="13104"/>
    <cellStyle name="Comma 5 2 2 2 3 3 2 4" xfId="7815"/>
    <cellStyle name="Comma 5 2 2 2 3 3 2 5" xfId="21895"/>
    <cellStyle name="Comma 5 2 2 2 3 3 3" xfId="3838"/>
    <cellStyle name="Comma 5 2 2 2 3 3 3 2" xfId="17484"/>
    <cellStyle name="Comma 5 2 2 2 3 3 3 2 2" xfId="27735"/>
    <cellStyle name="Comma 5 2 2 2 3 3 3 3" xfId="13905"/>
    <cellStyle name="Comma 5 2 2 2 3 3 3 4" xfId="8648"/>
    <cellStyle name="Comma 5 2 2 2 3 3 3 5" xfId="22728"/>
    <cellStyle name="Comma 5 2 2 2 3 3 4" xfId="6222"/>
    <cellStyle name="Comma 5 2 2 2 3 3 4 2" xfId="15306"/>
    <cellStyle name="Comma 5 2 2 2 3 3 4 3" xfId="25310"/>
    <cellStyle name="Comma 5 2 2 2 3 3 5" xfId="10102"/>
    <cellStyle name="Comma 5 2 2 2 3 3 5 2" xfId="18929"/>
    <cellStyle name="Comma 5 2 2 2 3 3 5 3" xfId="29180"/>
    <cellStyle name="Comma 5 2 2 2 3 3 6" xfId="11548"/>
    <cellStyle name="Comma 5 2 2 2 3 3 6 2" xfId="24501"/>
    <cellStyle name="Comma 5 2 2 2 3 3 7" xfId="5409"/>
    <cellStyle name="Comma 5 2 2 2 3 3 8" xfId="20303"/>
    <cellStyle name="Comma 5 2 2 2 3 4" xfId="1527"/>
    <cellStyle name="Comma 5 2 2 2 3 4 2" xfId="3127"/>
    <cellStyle name="Comma 5 2 2 2 3 4 2 2" xfId="18047"/>
    <cellStyle name="Comma 5 2 2 2 3 4 2 2 2" xfId="28298"/>
    <cellStyle name="Comma 5 2 2 2 3 4 2 3" xfId="14468"/>
    <cellStyle name="Comma 5 2 2 2 3 4 2 4" xfId="9211"/>
    <cellStyle name="Comma 5 2 2 2 3 4 2 5" xfId="23291"/>
    <cellStyle name="Comma 5 2 2 2 3 4 3" xfId="10665"/>
    <cellStyle name="Comma 5 2 2 2 3 4 3 2" xfId="19492"/>
    <cellStyle name="Comma 5 2 2 2 3 4 3 3" xfId="29743"/>
    <cellStyle name="Comma 5 2 2 2 3 4 4" xfId="12111"/>
    <cellStyle name="Comma 5 2 2 2 3 4 4 2" xfId="26193"/>
    <cellStyle name="Comma 5 2 2 2 3 4 5" xfId="7106"/>
    <cellStyle name="Comma 5 2 2 2 3 4 6" xfId="21186"/>
    <cellStyle name="Comma 5 2 2 2 3 5" xfId="2084"/>
    <cellStyle name="Comma 5 2 2 2 3 5 2" xfId="17004"/>
    <cellStyle name="Comma 5 2 2 2 3 5 2 2" xfId="27255"/>
    <cellStyle name="Comma 5 2 2 2 3 5 3" xfId="13425"/>
    <cellStyle name="Comma 5 2 2 2 3 5 4" xfId="8168"/>
    <cellStyle name="Comma 5 2 2 2 3 5 5" xfId="22248"/>
    <cellStyle name="Comma 5 2 2 2 3 6" xfId="5729"/>
    <cellStyle name="Comma 5 2 2 2 3 6 2" xfId="14815"/>
    <cellStyle name="Comma 5 2 2 2 3 6 3" xfId="24819"/>
    <cellStyle name="Comma 5 2 2 2 3 7" xfId="9622"/>
    <cellStyle name="Comma 5 2 2 2 3 7 2" xfId="18449"/>
    <cellStyle name="Comma 5 2 2 2 3 7 3" xfId="28700"/>
    <cellStyle name="Comma 5 2 2 2 3 8" xfId="11066"/>
    <cellStyle name="Comma 5 2 2 2 3 8 2" xfId="23792"/>
    <cellStyle name="Comma 5 2 2 2 3 9" xfId="4700"/>
    <cellStyle name="Comma 5 2 2 2 4" xfId="481"/>
    <cellStyle name="Comma 5 2 2 2 4 2" xfId="2214"/>
    <cellStyle name="Comma 5 2 2 2 4 2 2" xfId="16020"/>
    <cellStyle name="Comma 5 2 2 2 4 2 2 2" xfId="26093"/>
    <cellStyle name="Comma 5 2 2 2 4 2 3" xfId="12267"/>
    <cellStyle name="Comma 5 2 2 2 4 2 4" xfId="7006"/>
    <cellStyle name="Comma 5 2 2 2 4 2 5" xfId="21086"/>
    <cellStyle name="Comma 5 2 2 2 4 3" xfId="3488"/>
    <cellStyle name="Comma 5 2 2 2 4 3 2" xfId="17134"/>
    <cellStyle name="Comma 5 2 2 2 4 3 2 2" xfId="27385"/>
    <cellStyle name="Comma 5 2 2 2 4 3 3" xfId="13555"/>
    <cellStyle name="Comma 5 2 2 2 4 3 4" xfId="8298"/>
    <cellStyle name="Comma 5 2 2 2 4 3 5" xfId="22378"/>
    <cellStyle name="Comma 5 2 2 2 4 4" xfId="6122"/>
    <cellStyle name="Comma 5 2 2 2 4 4 2" xfId="15206"/>
    <cellStyle name="Comma 5 2 2 2 4 4 3" xfId="25210"/>
    <cellStyle name="Comma 5 2 2 2 4 5" xfId="9752"/>
    <cellStyle name="Comma 5 2 2 2 4 5 2" xfId="18579"/>
    <cellStyle name="Comma 5 2 2 2 4 5 3" xfId="28830"/>
    <cellStyle name="Comma 5 2 2 2 4 6" xfId="11196"/>
    <cellStyle name="Comma 5 2 2 2 4 6 2" xfId="23692"/>
    <cellStyle name="Comma 5 2 2 2 4 7" xfId="4600"/>
    <cellStyle name="Comma 5 2 2 2 4 8" xfId="20203"/>
    <cellStyle name="Comma 5 2 2 2 5" xfId="840"/>
    <cellStyle name="Comma 5 2 2 2 5 2" xfId="2562"/>
    <cellStyle name="Comma 5 2 2 2 5 2 2" xfId="16110"/>
    <cellStyle name="Comma 5 2 2 2 5 2 2 2" xfId="26328"/>
    <cellStyle name="Comma 5 2 2 2 5 2 3" xfId="12532"/>
    <cellStyle name="Comma 5 2 2 2 5 2 4" xfId="7241"/>
    <cellStyle name="Comma 5 2 2 2 5 2 5" xfId="21321"/>
    <cellStyle name="Comma 5 2 2 2 5 3" xfId="3836"/>
    <cellStyle name="Comma 5 2 2 2 5 3 2" xfId="17482"/>
    <cellStyle name="Comma 5 2 2 2 5 3 2 2" xfId="27733"/>
    <cellStyle name="Comma 5 2 2 2 5 3 3" xfId="13903"/>
    <cellStyle name="Comma 5 2 2 2 5 3 4" xfId="8646"/>
    <cellStyle name="Comma 5 2 2 2 5 3 5" xfId="22726"/>
    <cellStyle name="Comma 5 2 2 2 5 4" xfId="6357"/>
    <cellStyle name="Comma 5 2 2 2 5 4 2" xfId="15441"/>
    <cellStyle name="Comma 5 2 2 2 5 4 3" xfId="25445"/>
    <cellStyle name="Comma 5 2 2 2 5 5" xfId="10100"/>
    <cellStyle name="Comma 5 2 2 2 5 5 2" xfId="18927"/>
    <cellStyle name="Comma 5 2 2 2 5 5 3" xfId="29178"/>
    <cellStyle name="Comma 5 2 2 2 5 6" xfId="11546"/>
    <cellStyle name="Comma 5 2 2 2 5 6 2" xfId="23927"/>
    <cellStyle name="Comma 5 2 2 2 5 7" xfId="4835"/>
    <cellStyle name="Comma 5 2 2 2 5 8" xfId="20438"/>
    <cellStyle name="Comma 5 2 2 2 6" xfId="1425"/>
    <cellStyle name="Comma 5 2 2 2 6 2" xfId="3027"/>
    <cellStyle name="Comma 5 2 2 2 6 2 2" xfId="16583"/>
    <cellStyle name="Comma 5 2 2 2 6 2 2 2" xfId="26802"/>
    <cellStyle name="Comma 5 2 2 2 6 2 3" xfId="13004"/>
    <cellStyle name="Comma 5 2 2 2 6 2 4" xfId="7715"/>
    <cellStyle name="Comma 5 2 2 2 6 2 5" xfId="21795"/>
    <cellStyle name="Comma 5 2 2 2 6 3" xfId="4241"/>
    <cellStyle name="Comma 5 2 2 2 6 3 2" xfId="17947"/>
    <cellStyle name="Comma 5 2 2 2 6 3 2 2" xfId="28198"/>
    <cellStyle name="Comma 5 2 2 2 6 3 3" xfId="14368"/>
    <cellStyle name="Comma 5 2 2 2 6 3 4" xfId="9111"/>
    <cellStyle name="Comma 5 2 2 2 6 3 5" xfId="23191"/>
    <cellStyle name="Comma 5 2 2 2 6 4" xfId="5903"/>
    <cellStyle name="Comma 5 2 2 2 6 4 2" xfId="14989"/>
    <cellStyle name="Comma 5 2 2 2 6 4 3" xfId="24993"/>
    <cellStyle name="Comma 5 2 2 2 6 5" xfId="10565"/>
    <cellStyle name="Comma 5 2 2 2 6 5 2" xfId="19392"/>
    <cellStyle name="Comma 5 2 2 2 6 5 3" xfId="29643"/>
    <cellStyle name="Comma 5 2 2 2 6 6" xfId="12011"/>
    <cellStyle name="Comma 5 2 2 2 6 6 2" xfId="24401"/>
    <cellStyle name="Comma 5 2 2 2 6 7" xfId="5309"/>
    <cellStyle name="Comma 5 2 2 2 6 8" xfId="19986"/>
    <cellStyle name="Comma 5 2 2 2 7" xfId="1984"/>
    <cellStyle name="Comma 5 2 2 2 7 2" xfId="15835"/>
    <cellStyle name="Comma 5 2 2 2 7 2 2" xfId="25876"/>
    <cellStyle name="Comma 5 2 2 2 7 3" xfId="12359"/>
    <cellStyle name="Comma 5 2 2 2 7 4" xfId="6789"/>
    <cellStyle name="Comma 5 2 2 2 7 5" xfId="20869"/>
    <cellStyle name="Comma 5 2 2 2 8" xfId="3403"/>
    <cellStyle name="Comma 5 2 2 2 8 2" xfId="16904"/>
    <cellStyle name="Comma 5 2 2 2 8 2 2" xfId="27155"/>
    <cellStyle name="Comma 5 2 2 2 8 3" xfId="13325"/>
    <cellStyle name="Comma 5 2 2 2 8 4" xfId="8068"/>
    <cellStyle name="Comma 5 2 2 2 8 5" xfId="22148"/>
    <cellStyle name="Comma 5 2 2 2 9" xfId="5629"/>
    <cellStyle name="Comma 5 2 2 2 9 2" xfId="14715"/>
    <cellStyle name="Comma 5 2 2 2 9 3" xfId="24719"/>
    <cellStyle name="Comma 5 2 2 3" xfId="283"/>
    <cellStyle name="Comma 5 2 2 3 10" xfId="11009"/>
    <cellStyle name="Comma 5 2 2 3 10 2" xfId="23518"/>
    <cellStyle name="Comma 5 2 2 3 11" xfId="4426"/>
    <cellStyle name="Comma 5 2 2 3 12" xfId="19755"/>
    <cellStyle name="Comma 5 2 2 3 2" xfId="385"/>
    <cellStyle name="Comma 5 2 2 3 2 10" xfId="19855"/>
    <cellStyle name="Comma 5 2 2 3 2 2" xfId="485"/>
    <cellStyle name="Comma 5 2 2 3 2 2 2" xfId="2218"/>
    <cellStyle name="Comma 5 2 2 3 2 2 2 2" xfId="16114"/>
    <cellStyle name="Comma 5 2 2 3 2 2 2 2 2" xfId="26332"/>
    <cellStyle name="Comma 5 2 2 3 2 2 2 3" xfId="12536"/>
    <cellStyle name="Comma 5 2 2 3 2 2 2 4" xfId="7245"/>
    <cellStyle name="Comma 5 2 2 3 2 2 2 5" xfId="21325"/>
    <cellStyle name="Comma 5 2 2 3 2 2 3" xfId="3492"/>
    <cellStyle name="Comma 5 2 2 3 2 2 3 2" xfId="17138"/>
    <cellStyle name="Comma 5 2 2 3 2 2 3 2 2" xfId="27389"/>
    <cellStyle name="Comma 5 2 2 3 2 2 3 3" xfId="13559"/>
    <cellStyle name="Comma 5 2 2 3 2 2 3 4" xfId="8302"/>
    <cellStyle name="Comma 5 2 2 3 2 2 3 5" xfId="22382"/>
    <cellStyle name="Comma 5 2 2 3 2 2 4" xfId="6361"/>
    <cellStyle name="Comma 5 2 2 3 2 2 4 2" xfId="15445"/>
    <cellStyle name="Comma 5 2 2 3 2 2 4 3" xfId="25449"/>
    <cellStyle name="Comma 5 2 2 3 2 2 5" xfId="9756"/>
    <cellStyle name="Comma 5 2 2 3 2 2 5 2" xfId="18583"/>
    <cellStyle name="Comma 5 2 2 3 2 2 5 3" xfId="28834"/>
    <cellStyle name="Comma 5 2 2 3 2 2 6" xfId="11200"/>
    <cellStyle name="Comma 5 2 2 3 2 2 6 2" xfId="23931"/>
    <cellStyle name="Comma 5 2 2 3 2 2 7" xfId="4839"/>
    <cellStyle name="Comma 5 2 2 3 2 2 8" xfId="20442"/>
    <cellStyle name="Comma 5 2 2 3 2 3" xfId="844"/>
    <cellStyle name="Comma 5 2 2 3 2 3 2" xfId="2566"/>
    <cellStyle name="Comma 5 2 2 3 2 3 2 2" xfId="16726"/>
    <cellStyle name="Comma 5 2 2 3 2 3 2 2 2" xfId="26945"/>
    <cellStyle name="Comma 5 2 2 3 2 3 2 3" xfId="13147"/>
    <cellStyle name="Comma 5 2 2 3 2 3 2 4" xfId="7858"/>
    <cellStyle name="Comma 5 2 2 3 2 3 2 5" xfId="21938"/>
    <cellStyle name="Comma 5 2 2 3 2 3 3" xfId="3840"/>
    <cellStyle name="Comma 5 2 2 3 2 3 3 2" xfId="17486"/>
    <cellStyle name="Comma 5 2 2 3 2 3 3 2 2" xfId="27737"/>
    <cellStyle name="Comma 5 2 2 3 2 3 3 3" xfId="13907"/>
    <cellStyle name="Comma 5 2 2 3 2 3 3 4" xfId="8650"/>
    <cellStyle name="Comma 5 2 2 3 2 3 3 5" xfId="22730"/>
    <cellStyle name="Comma 5 2 2 3 2 3 4" xfId="6265"/>
    <cellStyle name="Comma 5 2 2 3 2 3 4 2" xfId="15349"/>
    <cellStyle name="Comma 5 2 2 3 2 3 4 3" xfId="25353"/>
    <cellStyle name="Comma 5 2 2 3 2 3 5" xfId="10104"/>
    <cellStyle name="Comma 5 2 2 3 2 3 5 2" xfId="18931"/>
    <cellStyle name="Comma 5 2 2 3 2 3 5 3" xfId="29182"/>
    <cellStyle name="Comma 5 2 2 3 2 3 6" xfId="11550"/>
    <cellStyle name="Comma 5 2 2 3 2 3 6 2" xfId="24544"/>
    <cellStyle name="Comma 5 2 2 3 2 3 7" xfId="5452"/>
    <cellStyle name="Comma 5 2 2 3 2 3 8" xfId="20346"/>
    <cellStyle name="Comma 5 2 2 3 2 4" xfId="1572"/>
    <cellStyle name="Comma 5 2 2 3 2 4 2" xfId="3170"/>
    <cellStyle name="Comma 5 2 2 3 2 4 2 2" xfId="18090"/>
    <cellStyle name="Comma 5 2 2 3 2 4 2 2 2" xfId="28341"/>
    <cellStyle name="Comma 5 2 2 3 2 4 2 3" xfId="14511"/>
    <cellStyle name="Comma 5 2 2 3 2 4 2 4" xfId="9254"/>
    <cellStyle name="Comma 5 2 2 3 2 4 2 5" xfId="23334"/>
    <cellStyle name="Comma 5 2 2 3 2 4 3" xfId="10708"/>
    <cellStyle name="Comma 5 2 2 3 2 4 3 2" xfId="19535"/>
    <cellStyle name="Comma 5 2 2 3 2 4 3 3" xfId="29786"/>
    <cellStyle name="Comma 5 2 2 3 2 4 4" xfId="12154"/>
    <cellStyle name="Comma 5 2 2 3 2 4 4 2" xfId="26236"/>
    <cellStyle name="Comma 5 2 2 3 2 4 5" xfId="7149"/>
    <cellStyle name="Comma 5 2 2 3 2 4 6" xfId="21229"/>
    <cellStyle name="Comma 5 2 2 3 2 5" xfId="2127"/>
    <cellStyle name="Comma 5 2 2 3 2 5 2" xfId="17047"/>
    <cellStyle name="Comma 5 2 2 3 2 5 2 2" xfId="27298"/>
    <cellStyle name="Comma 5 2 2 3 2 5 3" xfId="13468"/>
    <cellStyle name="Comma 5 2 2 3 2 5 4" xfId="8211"/>
    <cellStyle name="Comma 5 2 2 3 2 5 5" xfId="22291"/>
    <cellStyle name="Comma 5 2 2 3 2 6" xfId="5772"/>
    <cellStyle name="Comma 5 2 2 3 2 6 2" xfId="14858"/>
    <cellStyle name="Comma 5 2 2 3 2 6 3" xfId="24862"/>
    <cellStyle name="Comma 5 2 2 3 2 7" xfId="9665"/>
    <cellStyle name="Comma 5 2 2 3 2 7 2" xfId="18492"/>
    <cellStyle name="Comma 5 2 2 3 2 7 3" xfId="28743"/>
    <cellStyle name="Comma 5 2 2 3 2 8" xfId="11109"/>
    <cellStyle name="Comma 5 2 2 3 2 8 2" xfId="23835"/>
    <cellStyle name="Comma 5 2 2 3 2 9" xfId="4743"/>
    <cellStyle name="Comma 5 2 2 3 3" xfId="484"/>
    <cellStyle name="Comma 5 2 2 3 3 2" xfId="2217"/>
    <cellStyle name="Comma 5 2 2 3 3 2 2" xfId="16063"/>
    <cellStyle name="Comma 5 2 2 3 3 2 2 2" xfId="26136"/>
    <cellStyle name="Comma 5 2 2 3 3 2 3" xfId="12246"/>
    <cellStyle name="Comma 5 2 2 3 3 2 4" xfId="7049"/>
    <cellStyle name="Comma 5 2 2 3 3 2 5" xfId="21129"/>
    <cellStyle name="Comma 5 2 2 3 3 3" xfId="3491"/>
    <cellStyle name="Comma 5 2 2 3 3 3 2" xfId="17137"/>
    <cellStyle name="Comma 5 2 2 3 3 3 2 2" xfId="27388"/>
    <cellStyle name="Comma 5 2 2 3 3 3 3" xfId="13558"/>
    <cellStyle name="Comma 5 2 2 3 3 3 4" xfId="8301"/>
    <cellStyle name="Comma 5 2 2 3 3 3 5" xfId="22381"/>
    <cellStyle name="Comma 5 2 2 3 3 4" xfId="6165"/>
    <cellStyle name="Comma 5 2 2 3 3 4 2" xfId="15249"/>
    <cellStyle name="Comma 5 2 2 3 3 4 3" xfId="25253"/>
    <cellStyle name="Comma 5 2 2 3 3 5" xfId="9755"/>
    <cellStyle name="Comma 5 2 2 3 3 5 2" xfId="18582"/>
    <cellStyle name="Comma 5 2 2 3 3 5 3" xfId="28833"/>
    <cellStyle name="Comma 5 2 2 3 3 6" xfId="11199"/>
    <cellStyle name="Comma 5 2 2 3 3 6 2" xfId="23735"/>
    <cellStyle name="Comma 5 2 2 3 3 7" xfId="4643"/>
    <cellStyle name="Comma 5 2 2 3 3 8" xfId="20246"/>
    <cellStyle name="Comma 5 2 2 3 4" xfId="843"/>
    <cellStyle name="Comma 5 2 2 3 4 2" xfId="2565"/>
    <cellStyle name="Comma 5 2 2 3 4 2 2" xfId="16113"/>
    <cellStyle name="Comma 5 2 2 3 4 2 2 2" xfId="26331"/>
    <cellStyle name="Comma 5 2 2 3 4 2 3" xfId="12535"/>
    <cellStyle name="Comma 5 2 2 3 4 2 4" xfId="7244"/>
    <cellStyle name="Comma 5 2 2 3 4 2 5" xfId="21324"/>
    <cellStyle name="Comma 5 2 2 3 4 3" xfId="3839"/>
    <cellStyle name="Comma 5 2 2 3 4 3 2" xfId="17485"/>
    <cellStyle name="Comma 5 2 2 3 4 3 2 2" xfId="27736"/>
    <cellStyle name="Comma 5 2 2 3 4 3 3" xfId="13906"/>
    <cellStyle name="Comma 5 2 2 3 4 3 4" xfId="8649"/>
    <cellStyle name="Comma 5 2 2 3 4 3 5" xfId="22729"/>
    <cellStyle name="Comma 5 2 2 3 4 4" xfId="6360"/>
    <cellStyle name="Comma 5 2 2 3 4 4 2" xfId="15444"/>
    <cellStyle name="Comma 5 2 2 3 4 4 3" xfId="25448"/>
    <cellStyle name="Comma 5 2 2 3 4 5" xfId="10103"/>
    <cellStyle name="Comma 5 2 2 3 4 5 2" xfId="18930"/>
    <cellStyle name="Comma 5 2 2 3 4 5 3" xfId="29181"/>
    <cellStyle name="Comma 5 2 2 3 4 6" xfId="11549"/>
    <cellStyle name="Comma 5 2 2 3 4 6 2" xfId="23930"/>
    <cellStyle name="Comma 5 2 2 3 4 7" xfId="4838"/>
    <cellStyle name="Comma 5 2 2 3 4 8" xfId="20441"/>
    <cellStyle name="Comma 5 2 2 3 5" xfId="1470"/>
    <cellStyle name="Comma 5 2 2 3 5 2" xfId="3070"/>
    <cellStyle name="Comma 5 2 2 3 5 2 2" xfId="16626"/>
    <cellStyle name="Comma 5 2 2 3 5 2 2 2" xfId="26845"/>
    <cellStyle name="Comma 5 2 2 3 5 2 3" xfId="13047"/>
    <cellStyle name="Comma 5 2 2 3 5 2 4" xfId="7758"/>
    <cellStyle name="Comma 5 2 2 3 5 2 5" xfId="21838"/>
    <cellStyle name="Comma 5 2 2 3 5 3" xfId="4284"/>
    <cellStyle name="Comma 5 2 2 3 5 3 2" xfId="17990"/>
    <cellStyle name="Comma 5 2 2 3 5 3 2 2" xfId="28241"/>
    <cellStyle name="Comma 5 2 2 3 5 3 3" xfId="14411"/>
    <cellStyle name="Comma 5 2 2 3 5 3 4" xfId="9154"/>
    <cellStyle name="Comma 5 2 2 3 5 3 5" xfId="23234"/>
    <cellStyle name="Comma 5 2 2 3 5 4" xfId="5946"/>
    <cellStyle name="Comma 5 2 2 3 5 4 2" xfId="15032"/>
    <cellStyle name="Comma 5 2 2 3 5 4 3" xfId="25036"/>
    <cellStyle name="Comma 5 2 2 3 5 5" xfId="10608"/>
    <cellStyle name="Comma 5 2 2 3 5 5 2" xfId="19435"/>
    <cellStyle name="Comma 5 2 2 3 5 5 3" xfId="29686"/>
    <cellStyle name="Comma 5 2 2 3 5 6" xfId="12054"/>
    <cellStyle name="Comma 5 2 2 3 5 6 2" xfId="24444"/>
    <cellStyle name="Comma 5 2 2 3 5 7" xfId="5352"/>
    <cellStyle name="Comma 5 2 2 3 5 8" xfId="20029"/>
    <cellStyle name="Comma 5 2 2 3 6" xfId="2027"/>
    <cellStyle name="Comma 5 2 2 3 6 2" xfId="15875"/>
    <cellStyle name="Comma 5 2 2 3 6 2 2" xfId="25919"/>
    <cellStyle name="Comma 5 2 2 3 6 3" xfId="12414"/>
    <cellStyle name="Comma 5 2 2 3 6 4" xfId="6832"/>
    <cellStyle name="Comma 5 2 2 3 6 5" xfId="20912"/>
    <cellStyle name="Comma 5 2 2 3 7" xfId="3446"/>
    <cellStyle name="Comma 5 2 2 3 7 2" xfId="16947"/>
    <cellStyle name="Comma 5 2 2 3 7 2 2" xfId="27198"/>
    <cellStyle name="Comma 5 2 2 3 7 3" xfId="13368"/>
    <cellStyle name="Comma 5 2 2 3 7 4" xfId="8111"/>
    <cellStyle name="Comma 5 2 2 3 7 5" xfId="22191"/>
    <cellStyle name="Comma 5 2 2 3 8" xfId="5672"/>
    <cellStyle name="Comma 5 2 2 3 8 2" xfId="14758"/>
    <cellStyle name="Comma 5 2 2 3 8 3" xfId="24762"/>
    <cellStyle name="Comma 5 2 2 3 9" xfId="9565"/>
    <cellStyle name="Comma 5 2 2 3 9 2" xfId="18392"/>
    <cellStyle name="Comma 5 2 2 3 9 3" xfId="28643"/>
    <cellStyle name="Comma 5 2 2 4" xfId="204"/>
    <cellStyle name="Comma 5 2 2 4 10" xfId="10936"/>
    <cellStyle name="Comma 5 2 2 4 10 2" xfId="23550"/>
    <cellStyle name="Comma 5 2 2 4 11" xfId="4458"/>
    <cellStyle name="Comma 5 2 2 4 12" xfId="19682"/>
    <cellStyle name="Comma 5 2 2 4 2" xfId="418"/>
    <cellStyle name="Comma 5 2 2 4 2 10" xfId="19887"/>
    <cellStyle name="Comma 5 2 2 4 2 2" xfId="487"/>
    <cellStyle name="Comma 5 2 2 4 2 2 2" xfId="2220"/>
    <cellStyle name="Comma 5 2 2 4 2 2 2 2" xfId="16116"/>
    <cellStyle name="Comma 5 2 2 4 2 2 2 2 2" xfId="26334"/>
    <cellStyle name="Comma 5 2 2 4 2 2 2 3" xfId="12538"/>
    <cellStyle name="Comma 5 2 2 4 2 2 2 4" xfId="7247"/>
    <cellStyle name="Comma 5 2 2 4 2 2 2 5" xfId="21327"/>
    <cellStyle name="Comma 5 2 2 4 2 2 3" xfId="3494"/>
    <cellStyle name="Comma 5 2 2 4 2 2 3 2" xfId="17140"/>
    <cellStyle name="Comma 5 2 2 4 2 2 3 2 2" xfId="27391"/>
    <cellStyle name="Comma 5 2 2 4 2 2 3 3" xfId="13561"/>
    <cellStyle name="Comma 5 2 2 4 2 2 3 4" xfId="8304"/>
    <cellStyle name="Comma 5 2 2 4 2 2 3 5" xfId="22384"/>
    <cellStyle name="Comma 5 2 2 4 2 2 4" xfId="6363"/>
    <cellStyle name="Comma 5 2 2 4 2 2 4 2" xfId="15447"/>
    <cellStyle name="Comma 5 2 2 4 2 2 4 3" xfId="25451"/>
    <cellStyle name="Comma 5 2 2 4 2 2 5" xfId="9758"/>
    <cellStyle name="Comma 5 2 2 4 2 2 5 2" xfId="18585"/>
    <cellStyle name="Comma 5 2 2 4 2 2 5 3" xfId="28836"/>
    <cellStyle name="Comma 5 2 2 4 2 2 6" xfId="11202"/>
    <cellStyle name="Comma 5 2 2 4 2 2 6 2" xfId="23933"/>
    <cellStyle name="Comma 5 2 2 4 2 2 7" xfId="4841"/>
    <cellStyle name="Comma 5 2 2 4 2 2 8" xfId="20444"/>
    <cellStyle name="Comma 5 2 2 4 2 3" xfId="846"/>
    <cellStyle name="Comma 5 2 2 4 2 3 2" xfId="2568"/>
    <cellStyle name="Comma 5 2 2 4 2 3 2 2" xfId="16758"/>
    <cellStyle name="Comma 5 2 2 4 2 3 2 2 2" xfId="26977"/>
    <cellStyle name="Comma 5 2 2 4 2 3 2 3" xfId="13179"/>
    <cellStyle name="Comma 5 2 2 4 2 3 2 4" xfId="7890"/>
    <cellStyle name="Comma 5 2 2 4 2 3 2 5" xfId="21970"/>
    <cellStyle name="Comma 5 2 2 4 2 3 3" xfId="3842"/>
    <cellStyle name="Comma 5 2 2 4 2 3 3 2" xfId="17488"/>
    <cellStyle name="Comma 5 2 2 4 2 3 3 2 2" xfId="27739"/>
    <cellStyle name="Comma 5 2 2 4 2 3 3 3" xfId="13909"/>
    <cellStyle name="Comma 5 2 2 4 2 3 3 4" xfId="8652"/>
    <cellStyle name="Comma 5 2 2 4 2 3 3 5" xfId="22732"/>
    <cellStyle name="Comma 5 2 2 4 2 3 4" xfId="6297"/>
    <cellStyle name="Comma 5 2 2 4 2 3 4 2" xfId="15381"/>
    <cellStyle name="Comma 5 2 2 4 2 3 4 3" xfId="25385"/>
    <cellStyle name="Comma 5 2 2 4 2 3 5" xfId="10106"/>
    <cellStyle name="Comma 5 2 2 4 2 3 5 2" xfId="18933"/>
    <cellStyle name="Comma 5 2 2 4 2 3 5 3" xfId="29184"/>
    <cellStyle name="Comma 5 2 2 4 2 3 6" xfId="11552"/>
    <cellStyle name="Comma 5 2 2 4 2 3 6 2" xfId="24576"/>
    <cellStyle name="Comma 5 2 2 4 2 3 7" xfId="5484"/>
    <cellStyle name="Comma 5 2 2 4 2 3 8" xfId="20378"/>
    <cellStyle name="Comma 5 2 2 4 2 4" xfId="1605"/>
    <cellStyle name="Comma 5 2 2 4 2 4 2" xfId="3202"/>
    <cellStyle name="Comma 5 2 2 4 2 4 2 2" xfId="18122"/>
    <cellStyle name="Comma 5 2 2 4 2 4 2 2 2" xfId="28373"/>
    <cellStyle name="Comma 5 2 2 4 2 4 2 3" xfId="14543"/>
    <cellStyle name="Comma 5 2 2 4 2 4 2 4" xfId="9286"/>
    <cellStyle name="Comma 5 2 2 4 2 4 2 5" xfId="23366"/>
    <cellStyle name="Comma 5 2 2 4 2 4 3" xfId="10740"/>
    <cellStyle name="Comma 5 2 2 4 2 4 3 2" xfId="19567"/>
    <cellStyle name="Comma 5 2 2 4 2 4 3 3" xfId="29818"/>
    <cellStyle name="Comma 5 2 2 4 2 4 4" xfId="12186"/>
    <cellStyle name="Comma 5 2 2 4 2 4 4 2" xfId="26268"/>
    <cellStyle name="Comma 5 2 2 4 2 4 5" xfId="7181"/>
    <cellStyle name="Comma 5 2 2 4 2 4 6" xfId="21261"/>
    <cellStyle name="Comma 5 2 2 4 2 5" xfId="2159"/>
    <cellStyle name="Comma 5 2 2 4 2 5 2" xfId="17079"/>
    <cellStyle name="Comma 5 2 2 4 2 5 2 2" xfId="27330"/>
    <cellStyle name="Comma 5 2 2 4 2 5 3" xfId="13500"/>
    <cellStyle name="Comma 5 2 2 4 2 5 4" xfId="8243"/>
    <cellStyle name="Comma 5 2 2 4 2 5 5" xfId="22323"/>
    <cellStyle name="Comma 5 2 2 4 2 6" xfId="5804"/>
    <cellStyle name="Comma 5 2 2 4 2 6 2" xfId="14890"/>
    <cellStyle name="Comma 5 2 2 4 2 6 3" xfId="24894"/>
    <cellStyle name="Comma 5 2 2 4 2 7" xfId="9697"/>
    <cellStyle name="Comma 5 2 2 4 2 7 2" xfId="18524"/>
    <cellStyle name="Comma 5 2 2 4 2 7 3" xfId="28775"/>
    <cellStyle name="Comma 5 2 2 4 2 8" xfId="11141"/>
    <cellStyle name="Comma 5 2 2 4 2 8 2" xfId="23867"/>
    <cellStyle name="Comma 5 2 2 4 2 9" xfId="4775"/>
    <cellStyle name="Comma 5 2 2 4 3" xfId="486"/>
    <cellStyle name="Comma 5 2 2 4 3 2" xfId="2219"/>
    <cellStyle name="Comma 5 2 2 4 3 2 2" xfId="15990"/>
    <cellStyle name="Comma 5 2 2 4 3 2 2 2" xfId="26063"/>
    <cellStyle name="Comma 5 2 2 4 3 2 3" xfId="12300"/>
    <cellStyle name="Comma 5 2 2 4 3 2 4" xfId="6976"/>
    <cellStyle name="Comma 5 2 2 4 3 2 5" xfId="21056"/>
    <cellStyle name="Comma 5 2 2 4 3 3" xfId="3493"/>
    <cellStyle name="Comma 5 2 2 4 3 3 2" xfId="17139"/>
    <cellStyle name="Comma 5 2 2 4 3 3 2 2" xfId="27390"/>
    <cellStyle name="Comma 5 2 2 4 3 3 3" xfId="13560"/>
    <cellStyle name="Comma 5 2 2 4 3 3 4" xfId="8303"/>
    <cellStyle name="Comma 5 2 2 4 3 3 5" xfId="22383"/>
    <cellStyle name="Comma 5 2 2 4 3 4" xfId="6092"/>
    <cellStyle name="Comma 5 2 2 4 3 4 2" xfId="15176"/>
    <cellStyle name="Comma 5 2 2 4 3 4 3" xfId="25180"/>
    <cellStyle name="Comma 5 2 2 4 3 5" xfId="9757"/>
    <cellStyle name="Comma 5 2 2 4 3 5 2" xfId="18584"/>
    <cellStyle name="Comma 5 2 2 4 3 5 3" xfId="28835"/>
    <cellStyle name="Comma 5 2 2 4 3 6" xfId="11201"/>
    <cellStyle name="Comma 5 2 2 4 3 6 2" xfId="23662"/>
    <cellStyle name="Comma 5 2 2 4 3 7" xfId="4570"/>
    <cellStyle name="Comma 5 2 2 4 3 8" xfId="20173"/>
    <cellStyle name="Comma 5 2 2 4 4" xfId="845"/>
    <cellStyle name="Comma 5 2 2 4 4 2" xfId="2567"/>
    <cellStyle name="Comma 5 2 2 4 4 2 2" xfId="16115"/>
    <cellStyle name="Comma 5 2 2 4 4 2 2 2" xfId="26333"/>
    <cellStyle name="Comma 5 2 2 4 4 2 3" xfId="12537"/>
    <cellStyle name="Comma 5 2 2 4 4 2 4" xfId="7246"/>
    <cellStyle name="Comma 5 2 2 4 4 2 5" xfId="21326"/>
    <cellStyle name="Comma 5 2 2 4 4 3" xfId="3841"/>
    <cellStyle name="Comma 5 2 2 4 4 3 2" xfId="17487"/>
    <cellStyle name="Comma 5 2 2 4 4 3 2 2" xfId="27738"/>
    <cellStyle name="Comma 5 2 2 4 4 3 3" xfId="13908"/>
    <cellStyle name="Comma 5 2 2 4 4 3 4" xfId="8651"/>
    <cellStyle name="Comma 5 2 2 4 4 3 5" xfId="22731"/>
    <cellStyle name="Comma 5 2 2 4 4 4" xfId="6362"/>
    <cellStyle name="Comma 5 2 2 4 4 4 2" xfId="15446"/>
    <cellStyle name="Comma 5 2 2 4 4 4 3" xfId="25450"/>
    <cellStyle name="Comma 5 2 2 4 4 5" xfId="10105"/>
    <cellStyle name="Comma 5 2 2 4 4 5 2" xfId="18932"/>
    <cellStyle name="Comma 5 2 2 4 4 5 3" xfId="29183"/>
    <cellStyle name="Comma 5 2 2 4 4 6" xfId="11551"/>
    <cellStyle name="Comma 5 2 2 4 4 6 2" xfId="23932"/>
    <cellStyle name="Comma 5 2 2 4 4 7" xfId="4840"/>
    <cellStyle name="Comma 5 2 2 4 4 8" xfId="20443"/>
    <cellStyle name="Comma 5 2 2 4 5" xfId="1391"/>
    <cellStyle name="Comma 5 2 2 4 5 2" xfId="2997"/>
    <cellStyle name="Comma 5 2 2 4 5 2 2" xfId="16553"/>
    <cellStyle name="Comma 5 2 2 4 5 2 2 2" xfId="26772"/>
    <cellStyle name="Comma 5 2 2 4 5 2 3" xfId="12974"/>
    <cellStyle name="Comma 5 2 2 4 5 2 4" xfId="7685"/>
    <cellStyle name="Comma 5 2 2 4 5 2 5" xfId="21765"/>
    <cellStyle name="Comma 5 2 2 4 5 3" xfId="4211"/>
    <cellStyle name="Comma 5 2 2 4 5 3 2" xfId="17917"/>
    <cellStyle name="Comma 5 2 2 4 5 3 2 2" xfId="28168"/>
    <cellStyle name="Comma 5 2 2 4 5 3 3" xfId="14338"/>
    <cellStyle name="Comma 5 2 2 4 5 3 4" xfId="9081"/>
    <cellStyle name="Comma 5 2 2 4 5 3 5" xfId="23161"/>
    <cellStyle name="Comma 5 2 2 4 5 4" xfId="5978"/>
    <cellStyle name="Comma 5 2 2 4 5 4 2" xfId="15064"/>
    <cellStyle name="Comma 5 2 2 4 5 4 3" xfId="25068"/>
    <cellStyle name="Comma 5 2 2 4 5 5" xfId="10535"/>
    <cellStyle name="Comma 5 2 2 4 5 5 2" xfId="19362"/>
    <cellStyle name="Comma 5 2 2 4 5 5 3" xfId="29613"/>
    <cellStyle name="Comma 5 2 2 4 5 6" xfId="11981"/>
    <cellStyle name="Comma 5 2 2 4 5 6 2" xfId="24371"/>
    <cellStyle name="Comma 5 2 2 4 5 7" xfId="5279"/>
    <cellStyle name="Comma 5 2 2 4 5 8" xfId="20061"/>
    <cellStyle name="Comma 5 2 2 4 6" xfId="1954"/>
    <cellStyle name="Comma 5 2 2 4 6 2" xfId="15907"/>
    <cellStyle name="Comma 5 2 2 4 6 2 2" xfId="25951"/>
    <cellStyle name="Comma 5 2 2 4 6 3" xfId="12407"/>
    <cellStyle name="Comma 5 2 2 4 6 4" xfId="6864"/>
    <cellStyle name="Comma 5 2 2 4 6 5" xfId="20944"/>
    <cellStyle name="Comma 5 2 2 4 7" xfId="3374"/>
    <cellStyle name="Comma 5 2 2 4 7 2" xfId="16874"/>
    <cellStyle name="Comma 5 2 2 4 7 2 2" xfId="27125"/>
    <cellStyle name="Comma 5 2 2 4 7 3" xfId="13295"/>
    <cellStyle name="Comma 5 2 2 4 7 4" xfId="8038"/>
    <cellStyle name="Comma 5 2 2 4 7 5" xfId="22118"/>
    <cellStyle name="Comma 5 2 2 4 8" xfId="5599"/>
    <cellStyle name="Comma 5 2 2 4 8 2" xfId="14685"/>
    <cellStyle name="Comma 5 2 2 4 8 3" xfId="24689"/>
    <cellStyle name="Comma 5 2 2 4 9" xfId="9492"/>
    <cellStyle name="Comma 5 2 2 4 9 2" xfId="18319"/>
    <cellStyle name="Comma 5 2 2 4 9 3" xfId="28570"/>
    <cellStyle name="Comma 5 2 2 5" xfId="310"/>
    <cellStyle name="Comma 5 2 2 5 10" xfId="19782"/>
    <cellStyle name="Comma 5 2 2 5 2" xfId="488"/>
    <cellStyle name="Comma 5 2 2 5 2 2" xfId="2221"/>
    <cellStyle name="Comma 5 2 2 5 2 2 2" xfId="16117"/>
    <cellStyle name="Comma 5 2 2 5 2 2 2 2" xfId="26335"/>
    <cellStyle name="Comma 5 2 2 5 2 2 3" xfId="12539"/>
    <cellStyle name="Comma 5 2 2 5 2 2 4" xfId="7248"/>
    <cellStyle name="Comma 5 2 2 5 2 2 5" xfId="21328"/>
    <cellStyle name="Comma 5 2 2 5 2 3" xfId="3495"/>
    <cellStyle name="Comma 5 2 2 5 2 3 2" xfId="17141"/>
    <cellStyle name="Comma 5 2 2 5 2 3 2 2" xfId="27392"/>
    <cellStyle name="Comma 5 2 2 5 2 3 3" xfId="13562"/>
    <cellStyle name="Comma 5 2 2 5 2 3 4" xfId="8305"/>
    <cellStyle name="Comma 5 2 2 5 2 3 5" xfId="22385"/>
    <cellStyle name="Comma 5 2 2 5 2 4" xfId="6364"/>
    <cellStyle name="Comma 5 2 2 5 2 4 2" xfId="15448"/>
    <cellStyle name="Comma 5 2 2 5 2 4 3" xfId="25452"/>
    <cellStyle name="Comma 5 2 2 5 2 5" xfId="9759"/>
    <cellStyle name="Comma 5 2 2 5 2 5 2" xfId="18586"/>
    <cellStyle name="Comma 5 2 2 5 2 5 3" xfId="28837"/>
    <cellStyle name="Comma 5 2 2 5 2 6" xfId="11203"/>
    <cellStyle name="Comma 5 2 2 5 2 6 2" xfId="23934"/>
    <cellStyle name="Comma 5 2 2 5 2 7" xfId="4842"/>
    <cellStyle name="Comma 5 2 2 5 2 8" xfId="20445"/>
    <cellStyle name="Comma 5 2 2 5 3" xfId="847"/>
    <cellStyle name="Comma 5 2 2 5 3 2" xfId="2569"/>
    <cellStyle name="Comma 5 2 2 5 3 2 2" xfId="16653"/>
    <cellStyle name="Comma 5 2 2 5 3 2 2 2" xfId="26872"/>
    <cellStyle name="Comma 5 2 2 5 3 2 3" xfId="13074"/>
    <cellStyle name="Comma 5 2 2 5 3 2 4" xfId="7785"/>
    <cellStyle name="Comma 5 2 2 5 3 2 5" xfId="21865"/>
    <cellStyle name="Comma 5 2 2 5 3 3" xfId="3843"/>
    <cellStyle name="Comma 5 2 2 5 3 3 2" xfId="17489"/>
    <cellStyle name="Comma 5 2 2 5 3 3 2 2" xfId="27740"/>
    <cellStyle name="Comma 5 2 2 5 3 3 3" xfId="13910"/>
    <cellStyle name="Comma 5 2 2 5 3 3 4" xfId="8653"/>
    <cellStyle name="Comma 5 2 2 5 3 3 5" xfId="22733"/>
    <cellStyle name="Comma 5 2 2 5 3 4" xfId="6192"/>
    <cellStyle name="Comma 5 2 2 5 3 4 2" xfId="15276"/>
    <cellStyle name="Comma 5 2 2 5 3 4 3" xfId="25280"/>
    <cellStyle name="Comma 5 2 2 5 3 5" xfId="10107"/>
    <cellStyle name="Comma 5 2 2 5 3 5 2" xfId="18934"/>
    <cellStyle name="Comma 5 2 2 5 3 5 3" xfId="29185"/>
    <cellStyle name="Comma 5 2 2 5 3 6" xfId="11553"/>
    <cellStyle name="Comma 5 2 2 5 3 6 2" xfId="24471"/>
    <cellStyle name="Comma 5 2 2 5 3 7" xfId="5379"/>
    <cellStyle name="Comma 5 2 2 5 3 8" xfId="20273"/>
    <cellStyle name="Comma 5 2 2 5 4" xfId="1497"/>
    <cellStyle name="Comma 5 2 2 5 4 2" xfId="3097"/>
    <cellStyle name="Comma 5 2 2 5 4 2 2" xfId="18017"/>
    <cellStyle name="Comma 5 2 2 5 4 2 2 2" xfId="28268"/>
    <cellStyle name="Comma 5 2 2 5 4 2 3" xfId="14438"/>
    <cellStyle name="Comma 5 2 2 5 4 2 4" xfId="9181"/>
    <cellStyle name="Comma 5 2 2 5 4 2 5" xfId="23261"/>
    <cellStyle name="Comma 5 2 2 5 4 3" xfId="10635"/>
    <cellStyle name="Comma 5 2 2 5 4 3 2" xfId="19462"/>
    <cellStyle name="Comma 5 2 2 5 4 3 3" xfId="29713"/>
    <cellStyle name="Comma 5 2 2 5 4 4" xfId="12081"/>
    <cellStyle name="Comma 5 2 2 5 4 4 2" xfId="26163"/>
    <cellStyle name="Comma 5 2 2 5 4 5" xfId="7076"/>
    <cellStyle name="Comma 5 2 2 5 4 6" xfId="21156"/>
    <cellStyle name="Comma 5 2 2 5 5" xfId="2054"/>
    <cellStyle name="Comma 5 2 2 5 5 2" xfId="16974"/>
    <cellStyle name="Comma 5 2 2 5 5 2 2" xfId="27225"/>
    <cellStyle name="Comma 5 2 2 5 5 3" xfId="13395"/>
    <cellStyle name="Comma 5 2 2 5 5 4" xfId="8138"/>
    <cellStyle name="Comma 5 2 2 5 5 5" xfId="22218"/>
    <cellStyle name="Comma 5 2 2 5 6" xfId="5699"/>
    <cellStyle name="Comma 5 2 2 5 6 2" xfId="14785"/>
    <cellStyle name="Comma 5 2 2 5 6 3" xfId="24789"/>
    <cellStyle name="Comma 5 2 2 5 7" xfId="9592"/>
    <cellStyle name="Comma 5 2 2 5 7 2" xfId="18419"/>
    <cellStyle name="Comma 5 2 2 5 7 3" xfId="28670"/>
    <cellStyle name="Comma 5 2 2 5 8" xfId="11036"/>
    <cellStyle name="Comma 5 2 2 5 8 2" xfId="23762"/>
    <cellStyle name="Comma 5 2 2 5 9" xfId="4670"/>
    <cellStyle name="Comma 5 2 2 6" xfId="173"/>
    <cellStyle name="Comma 5 2 2 6 10" xfId="20146"/>
    <cellStyle name="Comma 5 2 2 6 2" xfId="489"/>
    <cellStyle name="Comma 5 2 2 6 2 2" xfId="2222"/>
    <cellStyle name="Comma 5 2 2 6 2 2 2" xfId="16118"/>
    <cellStyle name="Comma 5 2 2 6 2 2 2 2" xfId="26336"/>
    <cellStyle name="Comma 5 2 2 6 2 2 3" xfId="12540"/>
    <cellStyle name="Comma 5 2 2 6 2 2 4" xfId="7249"/>
    <cellStyle name="Comma 5 2 2 6 2 2 5" xfId="21329"/>
    <cellStyle name="Comma 5 2 2 6 2 3" xfId="3496"/>
    <cellStyle name="Comma 5 2 2 6 2 3 2" xfId="17142"/>
    <cellStyle name="Comma 5 2 2 6 2 3 2 2" xfId="27393"/>
    <cellStyle name="Comma 5 2 2 6 2 3 3" xfId="13563"/>
    <cellStyle name="Comma 5 2 2 6 2 3 4" xfId="8306"/>
    <cellStyle name="Comma 5 2 2 6 2 3 5" xfId="22386"/>
    <cellStyle name="Comma 5 2 2 6 2 4" xfId="6365"/>
    <cellStyle name="Comma 5 2 2 6 2 4 2" xfId="15449"/>
    <cellStyle name="Comma 5 2 2 6 2 4 3" xfId="25453"/>
    <cellStyle name="Comma 5 2 2 6 2 5" xfId="9760"/>
    <cellStyle name="Comma 5 2 2 6 2 5 2" xfId="18587"/>
    <cellStyle name="Comma 5 2 2 6 2 5 3" xfId="28838"/>
    <cellStyle name="Comma 5 2 2 6 2 6" xfId="11204"/>
    <cellStyle name="Comma 5 2 2 6 2 6 2" xfId="23935"/>
    <cellStyle name="Comma 5 2 2 6 2 7" xfId="4843"/>
    <cellStyle name="Comma 5 2 2 6 2 8" xfId="20446"/>
    <cellStyle name="Comma 5 2 2 6 3" xfId="848"/>
    <cellStyle name="Comma 5 2 2 6 3 2" xfId="2570"/>
    <cellStyle name="Comma 5 2 2 6 3 2 2" xfId="16526"/>
    <cellStyle name="Comma 5 2 2 6 3 2 2 2" xfId="26745"/>
    <cellStyle name="Comma 5 2 2 6 3 2 3" xfId="12947"/>
    <cellStyle name="Comma 5 2 2 6 3 2 4" xfId="7658"/>
    <cellStyle name="Comma 5 2 2 6 3 2 5" xfId="21738"/>
    <cellStyle name="Comma 5 2 2 6 3 3" xfId="3844"/>
    <cellStyle name="Comma 5 2 2 6 3 3 2" xfId="17490"/>
    <cellStyle name="Comma 5 2 2 6 3 3 2 2" xfId="27741"/>
    <cellStyle name="Comma 5 2 2 6 3 3 3" xfId="13911"/>
    <cellStyle name="Comma 5 2 2 6 3 3 4" xfId="8654"/>
    <cellStyle name="Comma 5 2 2 6 3 3 5" xfId="22734"/>
    <cellStyle name="Comma 5 2 2 6 3 4" xfId="6713"/>
    <cellStyle name="Comma 5 2 2 6 3 4 2" xfId="15796"/>
    <cellStyle name="Comma 5 2 2 6 3 4 3" xfId="25800"/>
    <cellStyle name="Comma 5 2 2 6 3 5" xfId="10108"/>
    <cellStyle name="Comma 5 2 2 6 3 5 2" xfId="18935"/>
    <cellStyle name="Comma 5 2 2 6 3 5 3" xfId="29186"/>
    <cellStyle name="Comma 5 2 2 6 3 6" xfId="11554"/>
    <cellStyle name="Comma 5 2 2 6 3 6 2" xfId="24344"/>
    <cellStyle name="Comma 5 2 2 6 3 7" xfId="5252"/>
    <cellStyle name="Comma 5 2 2 6 3 8" xfId="20793"/>
    <cellStyle name="Comma 5 2 2 6 4" xfId="1360"/>
    <cellStyle name="Comma 5 2 2 6 4 2" xfId="2970"/>
    <cellStyle name="Comma 5 2 2 6 4 2 2" xfId="17890"/>
    <cellStyle name="Comma 5 2 2 6 4 2 2 2" xfId="28141"/>
    <cellStyle name="Comma 5 2 2 6 4 2 3" xfId="14311"/>
    <cellStyle name="Comma 5 2 2 6 4 2 4" xfId="9054"/>
    <cellStyle name="Comma 5 2 2 6 4 2 5" xfId="23134"/>
    <cellStyle name="Comma 5 2 2 6 4 3" xfId="10508"/>
    <cellStyle name="Comma 5 2 2 6 4 3 2" xfId="19335"/>
    <cellStyle name="Comma 5 2 2 6 4 3 3" xfId="29586"/>
    <cellStyle name="Comma 5 2 2 6 4 4" xfId="11954"/>
    <cellStyle name="Comma 5 2 2 6 4 4 2" xfId="26036"/>
    <cellStyle name="Comma 5 2 2 6 4 5" xfId="6949"/>
    <cellStyle name="Comma 5 2 2 6 4 6" xfId="21029"/>
    <cellStyle name="Comma 5 2 2 6 5" xfId="1927"/>
    <cellStyle name="Comma 5 2 2 6 5 2" xfId="16845"/>
    <cellStyle name="Comma 5 2 2 6 5 2 2" xfId="27096"/>
    <cellStyle name="Comma 5 2 2 6 5 3" xfId="13266"/>
    <cellStyle name="Comma 5 2 2 6 5 4" xfId="8009"/>
    <cellStyle name="Comma 5 2 2 6 5 5" xfId="22089"/>
    <cellStyle name="Comma 5 2 2 6 6" xfId="6065"/>
    <cellStyle name="Comma 5 2 2 6 6 2" xfId="15149"/>
    <cellStyle name="Comma 5 2 2 6 6 3" xfId="25153"/>
    <cellStyle name="Comma 5 2 2 6 7" xfId="9465"/>
    <cellStyle name="Comma 5 2 2 6 7 2" xfId="18292"/>
    <cellStyle name="Comma 5 2 2 6 7 3" xfId="28543"/>
    <cellStyle name="Comma 5 2 2 6 8" xfId="10909"/>
    <cellStyle name="Comma 5 2 2 6 8 2" xfId="23635"/>
    <cellStyle name="Comma 5 2 2 6 9" xfId="4543"/>
    <cellStyle name="Comma 5 2 2 7" xfId="480"/>
    <cellStyle name="Comma 5 2 2 7 2" xfId="2213"/>
    <cellStyle name="Comma 5 2 2 7 2 2" xfId="16109"/>
    <cellStyle name="Comma 5 2 2 7 2 2 2" xfId="26327"/>
    <cellStyle name="Comma 5 2 2 7 2 3" xfId="12531"/>
    <cellStyle name="Comma 5 2 2 7 2 4" xfId="7240"/>
    <cellStyle name="Comma 5 2 2 7 2 5" xfId="21320"/>
    <cellStyle name="Comma 5 2 2 7 3" xfId="3487"/>
    <cellStyle name="Comma 5 2 2 7 3 2" xfId="17133"/>
    <cellStyle name="Comma 5 2 2 7 3 2 2" xfId="27384"/>
    <cellStyle name="Comma 5 2 2 7 3 3" xfId="13554"/>
    <cellStyle name="Comma 5 2 2 7 3 4" xfId="8297"/>
    <cellStyle name="Comma 5 2 2 7 3 5" xfId="22377"/>
    <cellStyle name="Comma 5 2 2 7 4" xfId="6356"/>
    <cellStyle name="Comma 5 2 2 7 4 2" xfId="15440"/>
    <cellStyle name="Comma 5 2 2 7 4 3" xfId="25444"/>
    <cellStyle name="Comma 5 2 2 7 5" xfId="9751"/>
    <cellStyle name="Comma 5 2 2 7 5 2" xfId="18578"/>
    <cellStyle name="Comma 5 2 2 7 5 3" xfId="28829"/>
    <cellStyle name="Comma 5 2 2 7 6" xfId="11195"/>
    <cellStyle name="Comma 5 2 2 7 6 2" xfId="23926"/>
    <cellStyle name="Comma 5 2 2 7 7" xfId="4834"/>
    <cellStyle name="Comma 5 2 2 7 8" xfId="20437"/>
    <cellStyle name="Comma 5 2 2 8" xfId="839"/>
    <cellStyle name="Comma 5 2 2 8 2" xfId="2561"/>
    <cellStyle name="Comma 5 2 2 8 2 2" xfId="16481"/>
    <cellStyle name="Comma 5 2 2 8 2 2 2" xfId="26700"/>
    <cellStyle name="Comma 5 2 2 8 2 3" xfId="12903"/>
    <cellStyle name="Comma 5 2 2 8 2 4" xfId="7613"/>
    <cellStyle name="Comma 5 2 2 8 2 5" xfId="21693"/>
    <cellStyle name="Comma 5 2 2 8 3" xfId="3835"/>
    <cellStyle name="Comma 5 2 2 8 3 2" xfId="17481"/>
    <cellStyle name="Comma 5 2 2 8 3 2 2" xfId="27732"/>
    <cellStyle name="Comma 5 2 2 8 3 3" xfId="13902"/>
    <cellStyle name="Comma 5 2 2 8 3 4" xfId="8645"/>
    <cellStyle name="Comma 5 2 2 8 3 5" xfId="22725"/>
    <cellStyle name="Comma 5 2 2 8 4" xfId="5872"/>
    <cellStyle name="Comma 5 2 2 8 4 2" xfId="14958"/>
    <cellStyle name="Comma 5 2 2 8 4 3" xfId="24962"/>
    <cellStyle name="Comma 5 2 2 8 5" xfId="10099"/>
    <cellStyle name="Comma 5 2 2 8 5 2" xfId="18926"/>
    <cellStyle name="Comma 5 2 2 8 5 3" xfId="29177"/>
    <cellStyle name="Comma 5 2 2 8 6" xfId="11545"/>
    <cellStyle name="Comma 5 2 2 8 6 2" xfId="24299"/>
    <cellStyle name="Comma 5 2 2 8 7" xfId="5207"/>
    <cellStyle name="Comma 5 2 2 8 8" xfId="19955"/>
    <cellStyle name="Comma 5 2 2 9" xfId="1309"/>
    <cellStyle name="Comma 5 2 2 9 2" xfId="2925"/>
    <cellStyle name="Comma 5 2 2 9 2 2" xfId="17845"/>
    <cellStyle name="Comma 5 2 2 9 2 2 2" xfId="28096"/>
    <cellStyle name="Comma 5 2 2 9 2 3" xfId="14266"/>
    <cellStyle name="Comma 5 2 2 9 2 4" xfId="9009"/>
    <cellStyle name="Comma 5 2 2 9 2 5" xfId="23089"/>
    <cellStyle name="Comma 5 2 2 9 3" xfId="10463"/>
    <cellStyle name="Comma 5 2 2 9 3 2" xfId="19290"/>
    <cellStyle name="Comma 5 2 2 9 3 3" xfId="29541"/>
    <cellStyle name="Comma 5 2 2 9 4" xfId="11909"/>
    <cellStyle name="Comma 5 2 2 9 4 2" xfId="25845"/>
    <cellStyle name="Comma 5 2 2 9 5" xfId="6758"/>
    <cellStyle name="Comma 5 2 2 9 6" xfId="20838"/>
    <cellStyle name="Comma 5 2 3" xfId="132"/>
    <cellStyle name="Comma 5 2 3 10" xfId="1890"/>
    <cellStyle name="Comma 5 2 3 10 2" xfId="9428"/>
    <cellStyle name="Comma 5 2 3 10 2 2" xfId="18255"/>
    <cellStyle name="Comma 5 2 3 10 2 3" xfId="28506"/>
    <cellStyle name="Comma 5 2 3 10 3" xfId="10872"/>
    <cellStyle name="Comma 5 2 3 10 3 2" xfId="27059"/>
    <cellStyle name="Comma 5 2 3 10 4" xfId="7972"/>
    <cellStyle name="Comma 5 2 3 10 5" xfId="22052"/>
    <cellStyle name="Comma 5 2 3 11" xfId="1860"/>
    <cellStyle name="Comma 5 2 3 11 2" xfId="14666"/>
    <cellStyle name="Comma 5 2 3 11 3" xfId="5580"/>
    <cellStyle name="Comma 5 2 3 11 4" xfId="24670"/>
    <cellStyle name="Comma 5 2 3 12" xfId="9398"/>
    <cellStyle name="Comma 5 2 3 12 2" xfId="18225"/>
    <cellStyle name="Comma 5 2 3 12 3" xfId="28476"/>
    <cellStyle name="Comma 5 2 3 13" xfId="10842"/>
    <cellStyle name="Comma 5 2 3 13 2" xfId="23451"/>
    <cellStyle name="Comma 5 2 3 14" xfId="4359"/>
    <cellStyle name="Comma 5 2 3 15" xfId="19663"/>
    <cellStyle name="Comma 5 2 3 2" xfId="246"/>
    <cellStyle name="Comma 5 2 3 2 10" xfId="9530"/>
    <cellStyle name="Comma 5 2 3 2 10 2" xfId="18357"/>
    <cellStyle name="Comma 5 2 3 2 10 3" xfId="28608"/>
    <cellStyle name="Comma 5 2 3 2 11" xfId="10974"/>
    <cellStyle name="Comma 5 2 3 2 11 2" xfId="23483"/>
    <cellStyle name="Comma 5 2 3 2 12" xfId="4391"/>
    <cellStyle name="Comma 5 2 3 2 13" xfId="19720"/>
    <cellStyle name="Comma 5 2 3 2 2" xfId="455"/>
    <cellStyle name="Comma 5 2 3 2 2 10" xfId="4495"/>
    <cellStyle name="Comma 5 2 3 2 2 11" xfId="19924"/>
    <cellStyle name="Comma 5 2 3 2 2 2" xfId="492"/>
    <cellStyle name="Comma 5 2 3 2 2 2 2" xfId="2225"/>
    <cellStyle name="Comma 5 2 3 2 2 2 2 2" xfId="16087"/>
    <cellStyle name="Comma 5 2 3 2 2 2 2 2 2" xfId="26305"/>
    <cellStyle name="Comma 5 2 3 2 2 2 2 3" xfId="12509"/>
    <cellStyle name="Comma 5 2 3 2 2 2 2 4" xfId="7218"/>
    <cellStyle name="Comma 5 2 3 2 2 2 2 5" xfId="21298"/>
    <cellStyle name="Comma 5 2 3 2 2 2 3" xfId="3499"/>
    <cellStyle name="Comma 5 2 3 2 2 2 3 2" xfId="17145"/>
    <cellStyle name="Comma 5 2 3 2 2 2 3 2 2" xfId="27396"/>
    <cellStyle name="Comma 5 2 3 2 2 2 3 3" xfId="13566"/>
    <cellStyle name="Comma 5 2 3 2 2 2 3 4" xfId="8309"/>
    <cellStyle name="Comma 5 2 3 2 2 2 3 5" xfId="22389"/>
    <cellStyle name="Comma 5 2 3 2 2 2 4" xfId="6334"/>
    <cellStyle name="Comma 5 2 3 2 2 2 4 2" xfId="15418"/>
    <cellStyle name="Comma 5 2 3 2 2 2 4 3" xfId="25422"/>
    <cellStyle name="Comma 5 2 3 2 2 2 5" xfId="9763"/>
    <cellStyle name="Comma 5 2 3 2 2 2 5 2" xfId="18590"/>
    <cellStyle name="Comma 5 2 3 2 2 2 5 3" xfId="28841"/>
    <cellStyle name="Comma 5 2 3 2 2 2 6" xfId="11207"/>
    <cellStyle name="Comma 5 2 3 2 2 2 6 2" xfId="23904"/>
    <cellStyle name="Comma 5 2 3 2 2 2 7" xfId="4812"/>
    <cellStyle name="Comma 5 2 3 2 2 2 8" xfId="20415"/>
    <cellStyle name="Comma 5 2 3 2 2 3" xfId="851"/>
    <cellStyle name="Comma 5 2 3 2 2 3 2" xfId="2573"/>
    <cellStyle name="Comma 5 2 3 2 2 3 2 2" xfId="16121"/>
    <cellStyle name="Comma 5 2 3 2 2 3 2 2 2" xfId="26339"/>
    <cellStyle name="Comma 5 2 3 2 2 3 2 3" xfId="12543"/>
    <cellStyle name="Comma 5 2 3 2 2 3 2 4" xfId="7252"/>
    <cellStyle name="Comma 5 2 3 2 2 3 2 5" xfId="21332"/>
    <cellStyle name="Comma 5 2 3 2 2 3 3" xfId="3847"/>
    <cellStyle name="Comma 5 2 3 2 2 3 3 2" xfId="17493"/>
    <cellStyle name="Comma 5 2 3 2 2 3 3 2 2" xfId="27744"/>
    <cellStyle name="Comma 5 2 3 2 2 3 3 3" xfId="13914"/>
    <cellStyle name="Comma 5 2 3 2 2 3 3 4" xfId="8657"/>
    <cellStyle name="Comma 5 2 3 2 2 3 3 5" xfId="22737"/>
    <cellStyle name="Comma 5 2 3 2 2 3 4" xfId="6368"/>
    <cellStyle name="Comma 5 2 3 2 2 3 4 2" xfId="15452"/>
    <cellStyle name="Comma 5 2 3 2 2 3 4 3" xfId="25456"/>
    <cellStyle name="Comma 5 2 3 2 2 3 5" xfId="10111"/>
    <cellStyle name="Comma 5 2 3 2 2 3 5 2" xfId="18938"/>
    <cellStyle name="Comma 5 2 3 2 2 3 5 3" xfId="29189"/>
    <cellStyle name="Comma 5 2 3 2 2 3 6" xfId="11557"/>
    <cellStyle name="Comma 5 2 3 2 2 3 6 2" xfId="23938"/>
    <cellStyle name="Comma 5 2 3 2 2 3 7" xfId="4846"/>
    <cellStyle name="Comma 5 2 3 2 2 3 8" xfId="20449"/>
    <cellStyle name="Comma 5 2 3 2 2 4" xfId="1642"/>
    <cellStyle name="Comma 5 2 3 2 2 4 2" xfId="3239"/>
    <cellStyle name="Comma 5 2 3 2 2 4 2 2" xfId="16795"/>
    <cellStyle name="Comma 5 2 3 2 2 4 2 2 2" xfId="27014"/>
    <cellStyle name="Comma 5 2 3 2 2 4 2 3" xfId="13216"/>
    <cellStyle name="Comma 5 2 3 2 2 4 2 4" xfId="7927"/>
    <cellStyle name="Comma 5 2 3 2 2 4 2 5" xfId="22007"/>
    <cellStyle name="Comma 5 2 3 2 2 4 3" xfId="4308"/>
    <cellStyle name="Comma 5 2 3 2 2 4 3 2" xfId="18159"/>
    <cellStyle name="Comma 5 2 3 2 2 4 3 2 2" xfId="28410"/>
    <cellStyle name="Comma 5 2 3 2 2 4 3 3" xfId="14580"/>
    <cellStyle name="Comma 5 2 3 2 2 4 3 4" xfId="9323"/>
    <cellStyle name="Comma 5 2 3 2 2 4 3 5" xfId="23403"/>
    <cellStyle name="Comma 5 2 3 2 2 4 4" xfId="6015"/>
    <cellStyle name="Comma 5 2 3 2 2 4 4 2" xfId="15101"/>
    <cellStyle name="Comma 5 2 3 2 2 4 4 3" xfId="25105"/>
    <cellStyle name="Comma 5 2 3 2 2 4 5" xfId="10777"/>
    <cellStyle name="Comma 5 2 3 2 2 4 5 2" xfId="19604"/>
    <cellStyle name="Comma 5 2 3 2 2 4 5 3" xfId="29855"/>
    <cellStyle name="Comma 5 2 3 2 2 4 6" xfId="12223"/>
    <cellStyle name="Comma 5 2 3 2 2 4 6 2" xfId="24613"/>
    <cellStyle name="Comma 5 2 3 2 2 4 7" xfId="5521"/>
    <cellStyle name="Comma 5 2 3 2 2 4 8" xfId="20098"/>
    <cellStyle name="Comma 5 2 3 2 2 5" xfId="2196"/>
    <cellStyle name="Comma 5 2 3 2 2 5 2" xfId="15944"/>
    <cellStyle name="Comma 5 2 3 2 2 5 2 2" xfId="25988"/>
    <cellStyle name="Comma 5 2 3 2 2 5 3" xfId="12489"/>
    <cellStyle name="Comma 5 2 3 2 2 5 4" xfId="6901"/>
    <cellStyle name="Comma 5 2 3 2 2 5 5" xfId="20981"/>
    <cellStyle name="Comma 5 2 3 2 2 6" xfId="3470"/>
    <cellStyle name="Comma 5 2 3 2 2 6 2" xfId="17116"/>
    <cellStyle name="Comma 5 2 3 2 2 6 2 2" xfId="27367"/>
    <cellStyle name="Comma 5 2 3 2 2 6 3" xfId="13537"/>
    <cellStyle name="Comma 5 2 3 2 2 6 4" xfId="8280"/>
    <cellStyle name="Comma 5 2 3 2 2 6 5" xfId="22360"/>
    <cellStyle name="Comma 5 2 3 2 2 7" xfId="5841"/>
    <cellStyle name="Comma 5 2 3 2 2 7 2" xfId="14927"/>
    <cellStyle name="Comma 5 2 3 2 2 7 3" xfId="24931"/>
    <cellStyle name="Comma 5 2 3 2 2 8" xfId="9734"/>
    <cellStyle name="Comma 5 2 3 2 2 8 2" xfId="18561"/>
    <cellStyle name="Comma 5 2 3 2 2 8 3" xfId="28812"/>
    <cellStyle name="Comma 5 2 3 2 2 9" xfId="11178"/>
    <cellStyle name="Comma 5 2 3 2 2 9 2" xfId="23587"/>
    <cellStyle name="Comma 5 2 3 2 3" xfId="348"/>
    <cellStyle name="Comma 5 2 3 2 3 10" xfId="19820"/>
    <cellStyle name="Comma 5 2 3 2 3 2" xfId="493"/>
    <cellStyle name="Comma 5 2 3 2 3 2 2" xfId="2226"/>
    <cellStyle name="Comma 5 2 3 2 3 2 2 2" xfId="16122"/>
    <cellStyle name="Comma 5 2 3 2 3 2 2 2 2" xfId="26340"/>
    <cellStyle name="Comma 5 2 3 2 3 2 2 3" xfId="12544"/>
    <cellStyle name="Comma 5 2 3 2 3 2 2 4" xfId="7253"/>
    <cellStyle name="Comma 5 2 3 2 3 2 2 5" xfId="21333"/>
    <cellStyle name="Comma 5 2 3 2 3 2 3" xfId="3500"/>
    <cellStyle name="Comma 5 2 3 2 3 2 3 2" xfId="17146"/>
    <cellStyle name="Comma 5 2 3 2 3 2 3 2 2" xfId="27397"/>
    <cellStyle name="Comma 5 2 3 2 3 2 3 3" xfId="13567"/>
    <cellStyle name="Comma 5 2 3 2 3 2 3 4" xfId="8310"/>
    <cellStyle name="Comma 5 2 3 2 3 2 3 5" xfId="22390"/>
    <cellStyle name="Comma 5 2 3 2 3 2 4" xfId="6369"/>
    <cellStyle name="Comma 5 2 3 2 3 2 4 2" xfId="15453"/>
    <cellStyle name="Comma 5 2 3 2 3 2 4 3" xfId="25457"/>
    <cellStyle name="Comma 5 2 3 2 3 2 5" xfId="9764"/>
    <cellStyle name="Comma 5 2 3 2 3 2 5 2" xfId="18591"/>
    <cellStyle name="Comma 5 2 3 2 3 2 5 3" xfId="28842"/>
    <cellStyle name="Comma 5 2 3 2 3 2 6" xfId="11208"/>
    <cellStyle name="Comma 5 2 3 2 3 2 6 2" xfId="23939"/>
    <cellStyle name="Comma 5 2 3 2 3 2 7" xfId="4847"/>
    <cellStyle name="Comma 5 2 3 2 3 2 8" xfId="20450"/>
    <cellStyle name="Comma 5 2 3 2 3 3" xfId="852"/>
    <cellStyle name="Comma 5 2 3 2 3 3 2" xfId="2574"/>
    <cellStyle name="Comma 5 2 3 2 3 3 2 2" xfId="16691"/>
    <cellStyle name="Comma 5 2 3 2 3 3 2 2 2" xfId="26910"/>
    <cellStyle name="Comma 5 2 3 2 3 3 2 3" xfId="13112"/>
    <cellStyle name="Comma 5 2 3 2 3 3 2 4" xfId="7823"/>
    <cellStyle name="Comma 5 2 3 2 3 3 2 5" xfId="21903"/>
    <cellStyle name="Comma 5 2 3 2 3 3 3" xfId="3848"/>
    <cellStyle name="Comma 5 2 3 2 3 3 3 2" xfId="17494"/>
    <cellStyle name="Comma 5 2 3 2 3 3 3 2 2" xfId="27745"/>
    <cellStyle name="Comma 5 2 3 2 3 3 3 3" xfId="13915"/>
    <cellStyle name="Comma 5 2 3 2 3 3 3 4" xfId="8658"/>
    <cellStyle name="Comma 5 2 3 2 3 3 3 5" xfId="22738"/>
    <cellStyle name="Comma 5 2 3 2 3 3 4" xfId="6230"/>
    <cellStyle name="Comma 5 2 3 2 3 3 4 2" xfId="15314"/>
    <cellStyle name="Comma 5 2 3 2 3 3 4 3" xfId="25318"/>
    <cellStyle name="Comma 5 2 3 2 3 3 5" xfId="10112"/>
    <cellStyle name="Comma 5 2 3 2 3 3 5 2" xfId="18939"/>
    <cellStyle name="Comma 5 2 3 2 3 3 5 3" xfId="29190"/>
    <cellStyle name="Comma 5 2 3 2 3 3 6" xfId="11558"/>
    <cellStyle name="Comma 5 2 3 2 3 3 6 2" xfId="24509"/>
    <cellStyle name="Comma 5 2 3 2 3 3 7" xfId="5417"/>
    <cellStyle name="Comma 5 2 3 2 3 3 8" xfId="20311"/>
    <cellStyle name="Comma 5 2 3 2 3 4" xfId="1535"/>
    <cellStyle name="Comma 5 2 3 2 3 4 2" xfId="3135"/>
    <cellStyle name="Comma 5 2 3 2 3 4 2 2" xfId="18055"/>
    <cellStyle name="Comma 5 2 3 2 3 4 2 2 2" xfId="28306"/>
    <cellStyle name="Comma 5 2 3 2 3 4 2 3" xfId="14476"/>
    <cellStyle name="Comma 5 2 3 2 3 4 2 4" xfId="9219"/>
    <cellStyle name="Comma 5 2 3 2 3 4 2 5" xfId="23299"/>
    <cellStyle name="Comma 5 2 3 2 3 4 3" xfId="10673"/>
    <cellStyle name="Comma 5 2 3 2 3 4 3 2" xfId="19500"/>
    <cellStyle name="Comma 5 2 3 2 3 4 3 3" xfId="29751"/>
    <cellStyle name="Comma 5 2 3 2 3 4 4" xfId="12119"/>
    <cellStyle name="Comma 5 2 3 2 3 4 4 2" xfId="26201"/>
    <cellStyle name="Comma 5 2 3 2 3 4 5" xfId="7114"/>
    <cellStyle name="Comma 5 2 3 2 3 4 6" xfId="21194"/>
    <cellStyle name="Comma 5 2 3 2 3 5" xfId="2092"/>
    <cellStyle name="Comma 5 2 3 2 3 5 2" xfId="17012"/>
    <cellStyle name="Comma 5 2 3 2 3 5 2 2" xfId="27263"/>
    <cellStyle name="Comma 5 2 3 2 3 5 3" xfId="13433"/>
    <cellStyle name="Comma 5 2 3 2 3 5 4" xfId="8176"/>
    <cellStyle name="Comma 5 2 3 2 3 5 5" xfId="22256"/>
    <cellStyle name="Comma 5 2 3 2 3 6" xfId="5737"/>
    <cellStyle name="Comma 5 2 3 2 3 6 2" xfId="14823"/>
    <cellStyle name="Comma 5 2 3 2 3 6 3" xfId="24827"/>
    <cellStyle name="Comma 5 2 3 2 3 7" xfId="9630"/>
    <cellStyle name="Comma 5 2 3 2 3 7 2" xfId="18457"/>
    <cellStyle name="Comma 5 2 3 2 3 7 3" xfId="28708"/>
    <cellStyle name="Comma 5 2 3 2 3 8" xfId="11074"/>
    <cellStyle name="Comma 5 2 3 2 3 8 2" xfId="23800"/>
    <cellStyle name="Comma 5 2 3 2 3 9" xfId="4708"/>
    <cellStyle name="Comma 5 2 3 2 4" xfId="491"/>
    <cellStyle name="Comma 5 2 3 2 4 2" xfId="2224"/>
    <cellStyle name="Comma 5 2 3 2 4 2 2" xfId="16028"/>
    <cellStyle name="Comma 5 2 3 2 4 2 2 2" xfId="26101"/>
    <cellStyle name="Comma 5 2 3 2 4 2 3" xfId="12496"/>
    <cellStyle name="Comma 5 2 3 2 4 2 4" xfId="7014"/>
    <cellStyle name="Comma 5 2 3 2 4 2 5" xfId="21094"/>
    <cellStyle name="Comma 5 2 3 2 4 3" xfId="3498"/>
    <cellStyle name="Comma 5 2 3 2 4 3 2" xfId="17144"/>
    <cellStyle name="Comma 5 2 3 2 4 3 2 2" xfId="27395"/>
    <cellStyle name="Comma 5 2 3 2 4 3 3" xfId="13565"/>
    <cellStyle name="Comma 5 2 3 2 4 3 4" xfId="8308"/>
    <cellStyle name="Comma 5 2 3 2 4 3 5" xfId="22388"/>
    <cellStyle name="Comma 5 2 3 2 4 4" xfId="6130"/>
    <cellStyle name="Comma 5 2 3 2 4 4 2" xfId="15214"/>
    <cellStyle name="Comma 5 2 3 2 4 4 3" xfId="25218"/>
    <cellStyle name="Comma 5 2 3 2 4 5" xfId="9762"/>
    <cellStyle name="Comma 5 2 3 2 4 5 2" xfId="18589"/>
    <cellStyle name="Comma 5 2 3 2 4 5 3" xfId="28840"/>
    <cellStyle name="Comma 5 2 3 2 4 6" xfId="11206"/>
    <cellStyle name="Comma 5 2 3 2 4 6 2" xfId="23700"/>
    <cellStyle name="Comma 5 2 3 2 4 7" xfId="4608"/>
    <cellStyle name="Comma 5 2 3 2 4 8" xfId="20211"/>
    <cellStyle name="Comma 5 2 3 2 5" xfId="850"/>
    <cellStyle name="Comma 5 2 3 2 5 2" xfId="2572"/>
    <cellStyle name="Comma 5 2 3 2 5 2 2" xfId="16120"/>
    <cellStyle name="Comma 5 2 3 2 5 2 2 2" xfId="26338"/>
    <cellStyle name="Comma 5 2 3 2 5 2 3" xfId="12542"/>
    <cellStyle name="Comma 5 2 3 2 5 2 4" xfId="7251"/>
    <cellStyle name="Comma 5 2 3 2 5 2 5" xfId="21331"/>
    <cellStyle name="Comma 5 2 3 2 5 3" xfId="3846"/>
    <cellStyle name="Comma 5 2 3 2 5 3 2" xfId="17492"/>
    <cellStyle name="Comma 5 2 3 2 5 3 2 2" xfId="27743"/>
    <cellStyle name="Comma 5 2 3 2 5 3 3" xfId="13913"/>
    <cellStyle name="Comma 5 2 3 2 5 3 4" xfId="8656"/>
    <cellStyle name="Comma 5 2 3 2 5 3 5" xfId="22736"/>
    <cellStyle name="Comma 5 2 3 2 5 4" xfId="6367"/>
    <cellStyle name="Comma 5 2 3 2 5 4 2" xfId="15451"/>
    <cellStyle name="Comma 5 2 3 2 5 4 3" xfId="25455"/>
    <cellStyle name="Comma 5 2 3 2 5 5" xfId="10110"/>
    <cellStyle name="Comma 5 2 3 2 5 5 2" xfId="18937"/>
    <cellStyle name="Comma 5 2 3 2 5 5 3" xfId="29188"/>
    <cellStyle name="Comma 5 2 3 2 5 6" xfId="11556"/>
    <cellStyle name="Comma 5 2 3 2 5 6 2" xfId="23937"/>
    <cellStyle name="Comma 5 2 3 2 5 7" xfId="4845"/>
    <cellStyle name="Comma 5 2 3 2 5 8" xfId="20448"/>
    <cellStyle name="Comma 5 2 3 2 6" xfId="1433"/>
    <cellStyle name="Comma 5 2 3 2 6 2" xfId="3035"/>
    <cellStyle name="Comma 5 2 3 2 6 2 2" xfId="16591"/>
    <cellStyle name="Comma 5 2 3 2 6 2 2 2" xfId="26810"/>
    <cellStyle name="Comma 5 2 3 2 6 2 3" xfId="13012"/>
    <cellStyle name="Comma 5 2 3 2 6 2 4" xfId="7723"/>
    <cellStyle name="Comma 5 2 3 2 6 2 5" xfId="21803"/>
    <cellStyle name="Comma 5 2 3 2 6 3" xfId="4249"/>
    <cellStyle name="Comma 5 2 3 2 6 3 2" xfId="17955"/>
    <cellStyle name="Comma 5 2 3 2 6 3 2 2" xfId="28206"/>
    <cellStyle name="Comma 5 2 3 2 6 3 3" xfId="14376"/>
    <cellStyle name="Comma 5 2 3 2 6 3 4" xfId="9119"/>
    <cellStyle name="Comma 5 2 3 2 6 3 5" xfId="23199"/>
    <cellStyle name="Comma 5 2 3 2 6 4" xfId="5911"/>
    <cellStyle name="Comma 5 2 3 2 6 4 2" xfId="14997"/>
    <cellStyle name="Comma 5 2 3 2 6 4 3" xfId="25001"/>
    <cellStyle name="Comma 5 2 3 2 6 5" xfId="10573"/>
    <cellStyle name="Comma 5 2 3 2 6 5 2" xfId="19400"/>
    <cellStyle name="Comma 5 2 3 2 6 5 3" xfId="29651"/>
    <cellStyle name="Comma 5 2 3 2 6 6" xfId="12019"/>
    <cellStyle name="Comma 5 2 3 2 6 6 2" xfId="24409"/>
    <cellStyle name="Comma 5 2 3 2 6 7" xfId="5317"/>
    <cellStyle name="Comma 5 2 3 2 6 8" xfId="19994"/>
    <cellStyle name="Comma 5 2 3 2 7" xfId="1992"/>
    <cellStyle name="Comma 5 2 3 2 7 2" xfId="15840"/>
    <cellStyle name="Comma 5 2 3 2 7 2 2" xfId="25884"/>
    <cellStyle name="Comma 5 2 3 2 7 3" xfId="12463"/>
    <cellStyle name="Comma 5 2 3 2 7 4" xfId="6797"/>
    <cellStyle name="Comma 5 2 3 2 7 5" xfId="20877"/>
    <cellStyle name="Comma 5 2 3 2 8" xfId="3411"/>
    <cellStyle name="Comma 5 2 3 2 8 2" xfId="16912"/>
    <cellStyle name="Comma 5 2 3 2 8 2 2" xfId="27163"/>
    <cellStyle name="Comma 5 2 3 2 8 3" xfId="13333"/>
    <cellStyle name="Comma 5 2 3 2 8 4" xfId="8076"/>
    <cellStyle name="Comma 5 2 3 2 8 5" xfId="22156"/>
    <cellStyle name="Comma 5 2 3 2 9" xfId="5637"/>
    <cellStyle name="Comma 5 2 3 2 9 2" xfId="14723"/>
    <cellStyle name="Comma 5 2 3 2 9 3" xfId="24727"/>
    <cellStyle name="Comma 5 2 3 3" xfId="291"/>
    <cellStyle name="Comma 5 2 3 3 10" xfId="11017"/>
    <cellStyle name="Comma 5 2 3 3 10 2" xfId="23526"/>
    <cellStyle name="Comma 5 2 3 3 11" xfId="4434"/>
    <cellStyle name="Comma 5 2 3 3 12" xfId="19763"/>
    <cellStyle name="Comma 5 2 3 3 2" xfId="393"/>
    <cellStyle name="Comma 5 2 3 3 2 10" xfId="19863"/>
    <cellStyle name="Comma 5 2 3 3 2 2" xfId="495"/>
    <cellStyle name="Comma 5 2 3 3 2 2 2" xfId="2228"/>
    <cellStyle name="Comma 5 2 3 3 2 2 2 2" xfId="16124"/>
    <cellStyle name="Comma 5 2 3 3 2 2 2 2 2" xfId="26342"/>
    <cellStyle name="Comma 5 2 3 3 2 2 2 3" xfId="12546"/>
    <cellStyle name="Comma 5 2 3 3 2 2 2 4" xfId="7255"/>
    <cellStyle name="Comma 5 2 3 3 2 2 2 5" xfId="21335"/>
    <cellStyle name="Comma 5 2 3 3 2 2 3" xfId="3502"/>
    <cellStyle name="Comma 5 2 3 3 2 2 3 2" xfId="17148"/>
    <cellStyle name="Comma 5 2 3 3 2 2 3 2 2" xfId="27399"/>
    <cellStyle name="Comma 5 2 3 3 2 2 3 3" xfId="13569"/>
    <cellStyle name="Comma 5 2 3 3 2 2 3 4" xfId="8312"/>
    <cellStyle name="Comma 5 2 3 3 2 2 3 5" xfId="22392"/>
    <cellStyle name="Comma 5 2 3 3 2 2 4" xfId="6371"/>
    <cellStyle name="Comma 5 2 3 3 2 2 4 2" xfId="15455"/>
    <cellStyle name="Comma 5 2 3 3 2 2 4 3" xfId="25459"/>
    <cellStyle name="Comma 5 2 3 3 2 2 5" xfId="9766"/>
    <cellStyle name="Comma 5 2 3 3 2 2 5 2" xfId="18593"/>
    <cellStyle name="Comma 5 2 3 3 2 2 5 3" xfId="28844"/>
    <cellStyle name="Comma 5 2 3 3 2 2 6" xfId="11210"/>
    <cellStyle name="Comma 5 2 3 3 2 2 6 2" xfId="23941"/>
    <cellStyle name="Comma 5 2 3 3 2 2 7" xfId="4849"/>
    <cellStyle name="Comma 5 2 3 3 2 2 8" xfId="20452"/>
    <cellStyle name="Comma 5 2 3 3 2 3" xfId="854"/>
    <cellStyle name="Comma 5 2 3 3 2 3 2" xfId="2576"/>
    <cellStyle name="Comma 5 2 3 3 2 3 2 2" xfId="16734"/>
    <cellStyle name="Comma 5 2 3 3 2 3 2 2 2" xfId="26953"/>
    <cellStyle name="Comma 5 2 3 3 2 3 2 3" xfId="13155"/>
    <cellStyle name="Comma 5 2 3 3 2 3 2 4" xfId="7866"/>
    <cellStyle name="Comma 5 2 3 3 2 3 2 5" xfId="21946"/>
    <cellStyle name="Comma 5 2 3 3 2 3 3" xfId="3850"/>
    <cellStyle name="Comma 5 2 3 3 2 3 3 2" xfId="17496"/>
    <cellStyle name="Comma 5 2 3 3 2 3 3 2 2" xfId="27747"/>
    <cellStyle name="Comma 5 2 3 3 2 3 3 3" xfId="13917"/>
    <cellStyle name="Comma 5 2 3 3 2 3 3 4" xfId="8660"/>
    <cellStyle name="Comma 5 2 3 3 2 3 3 5" xfId="22740"/>
    <cellStyle name="Comma 5 2 3 3 2 3 4" xfId="6273"/>
    <cellStyle name="Comma 5 2 3 3 2 3 4 2" xfId="15357"/>
    <cellStyle name="Comma 5 2 3 3 2 3 4 3" xfId="25361"/>
    <cellStyle name="Comma 5 2 3 3 2 3 5" xfId="10114"/>
    <cellStyle name="Comma 5 2 3 3 2 3 5 2" xfId="18941"/>
    <cellStyle name="Comma 5 2 3 3 2 3 5 3" xfId="29192"/>
    <cellStyle name="Comma 5 2 3 3 2 3 6" xfId="11560"/>
    <cellStyle name="Comma 5 2 3 3 2 3 6 2" xfId="24552"/>
    <cellStyle name="Comma 5 2 3 3 2 3 7" xfId="5460"/>
    <cellStyle name="Comma 5 2 3 3 2 3 8" xfId="20354"/>
    <cellStyle name="Comma 5 2 3 3 2 4" xfId="1580"/>
    <cellStyle name="Comma 5 2 3 3 2 4 2" xfId="3178"/>
    <cellStyle name="Comma 5 2 3 3 2 4 2 2" xfId="18098"/>
    <cellStyle name="Comma 5 2 3 3 2 4 2 2 2" xfId="28349"/>
    <cellStyle name="Comma 5 2 3 3 2 4 2 3" xfId="14519"/>
    <cellStyle name="Comma 5 2 3 3 2 4 2 4" xfId="9262"/>
    <cellStyle name="Comma 5 2 3 3 2 4 2 5" xfId="23342"/>
    <cellStyle name="Comma 5 2 3 3 2 4 3" xfId="10716"/>
    <cellStyle name="Comma 5 2 3 3 2 4 3 2" xfId="19543"/>
    <cellStyle name="Comma 5 2 3 3 2 4 3 3" xfId="29794"/>
    <cellStyle name="Comma 5 2 3 3 2 4 4" xfId="12162"/>
    <cellStyle name="Comma 5 2 3 3 2 4 4 2" xfId="26244"/>
    <cellStyle name="Comma 5 2 3 3 2 4 5" xfId="7157"/>
    <cellStyle name="Comma 5 2 3 3 2 4 6" xfId="21237"/>
    <cellStyle name="Comma 5 2 3 3 2 5" xfId="2135"/>
    <cellStyle name="Comma 5 2 3 3 2 5 2" xfId="17055"/>
    <cellStyle name="Comma 5 2 3 3 2 5 2 2" xfId="27306"/>
    <cellStyle name="Comma 5 2 3 3 2 5 3" xfId="13476"/>
    <cellStyle name="Comma 5 2 3 3 2 5 4" xfId="8219"/>
    <cellStyle name="Comma 5 2 3 3 2 5 5" xfId="22299"/>
    <cellStyle name="Comma 5 2 3 3 2 6" xfId="5780"/>
    <cellStyle name="Comma 5 2 3 3 2 6 2" xfId="14866"/>
    <cellStyle name="Comma 5 2 3 3 2 6 3" xfId="24870"/>
    <cellStyle name="Comma 5 2 3 3 2 7" xfId="9673"/>
    <cellStyle name="Comma 5 2 3 3 2 7 2" xfId="18500"/>
    <cellStyle name="Comma 5 2 3 3 2 7 3" xfId="28751"/>
    <cellStyle name="Comma 5 2 3 3 2 8" xfId="11117"/>
    <cellStyle name="Comma 5 2 3 3 2 8 2" xfId="23843"/>
    <cellStyle name="Comma 5 2 3 3 2 9" xfId="4751"/>
    <cellStyle name="Comma 5 2 3 3 3" xfId="494"/>
    <cellStyle name="Comma 5 2 3 3 3 2" xfId="2227"/>
    <cellStyle name="Comma 5 2 3 3 3 2 2" xfId="16071"/>
    <cellStyle name="Comma 5 2 3 3 3 2 2 2" xfId="26144"/>
    <cellStyle name="Comma 5 2 3 3 3 2 3" xfId="12456"/>
    <cellStyle name="Comma 5 2 3 3 3 2 4" xfId="7057"/>
    <cellStyle name="Comma 5 2 3 3 3 2 5" xfId="21137"/>
    <cellStyle name="Comma 5 2 3 3 3 3" xfId="3501"/>
    <cellStyle name="Comma 5 2 3 3 3 3 2" xfId="17147"/>
    <cellStyle name="Comma 5 2 3 3 3 3 2 2" xfId="27398"/>
    <cellStyle name="Comma 5 2 3 3 3 3 3" xfId="13568"/>
    <cellStyle name="Comma 5 2 3 3 3 3 4" xfId="8311"/>
    <cellStyle name="Comma 5 2 3 3 3 3 5" xfId="22391"/>
    <cellStyle name="Comma 5 2 3 3 3 4" xfId="6173"/>
    <cellStyle name="Comma 5 2 3 3 3 4 2" xfId="15257"/>
    <cellStyle name="Comma 5 2 3 3 3 4 3" xfId="25261"/>
    <cellStyle name="Comma 5 2 3 3 3 5" xfId="9765"/>
    <cellStyle name="Comma 5 2 3 3 3 5 2" xfId="18592"/>
    <cellStyle name="Comma 5 2 3 3 3 5 3" xfId="28843"/>
    <cellStyle name="Comma 5 2 3 3 3 6" xfId="11209"/>
    <cellStyle name="Comma 5 2 3 3 3 6 2" xfId="23743"/>
    <cellStyle name="Comma 5 2 3 3 3 7" xfId="4651"/>
    <cellStyle name="Comma 5 2 3 3 3 8" xfId="20254"/>
    <cellStyle name="Comma 5 2 3 3 4" xfId="853"/>
    <cellStyle name="Comma 5 2 3 3 4 2" xfId="2575"/>
    <cellStyle name="Comma 5 2 3 3 4 2 2" xfId="16123"/>
    <cellStyle name="Comma 5 2 3 3 4 2 2 2" xfId="26341"/>
    <cellStyle name="Comma 5 2 3 3 4 2 3" xfId="12545"/>
    <cellStyle name="Comma 5 2 3 3 4 2 4" xfId="7254"/>
    <cellStyle name="Comma 5 2 3 3 4 2 5" xfId="21334"/>
    <cellStyle name="Comma 5 2 3 3 4 3" xfId="3849"/>
    <cellStyle name="Comma 5 2 3 3 4 3 2" xfId="17495"/>
    <cellStyle name="Comma 5 2 3 3 4 3 2 2" xfId="27746"/>
    <cellStyle name="Comma 5 2 3 3 4 3 3" xfId="13916"/>
    <cellStyle name="Comma 5 2 3 3 4 3 4" xfId="8659"/>
    <cellStyle name="Comma 5 2 3 3 4 3 5" xfId="22739"/>
    <cellStyle name="Comma 5 2 3 3 4 4" xfId="6370"/>
    <cellStyle name="Comma 5 2 3 3 4 4 2" xfId="15454"/>
    <cellStyle name="Comma 5 2 3 3 4 4 3" xfId="25458"/>
    <cellStyle name="Comma 5 2 3 3 4 5" xfId="10113"/>
    <cellStyle name="Comma 5 2 3 3 4 5 2" xfId="18940"/>
    <cellStyle name="Comma 5 2 3 3 4 5 3" xfId="29191"/>
    <cellStyle name="Comma 5 2 3 3 4 6" xfId="11559"/>
    <cellStyle name="Comma 5 2 3 3 4 6 2" xfId="23940"/>
    <cellStyle name="Comma 5 2 3 3 4 7" xfId="4848"/>
    <cellStyle name="Comma 5 2 3 3 4 8" xfId="20451"/>
    <cellStyle name="Comma 5 2 3 3 5" xfId="1478"/>
    <cellStyle name="Comma 5 2 3 3 5 2" xfId="3078"/>
    <cellStyle name="Comma 5 2 3 3 5 2 2" xfId="16634"/>
    <cellStyle name="Comma 5 2 3 3 5 2 2 2" xfId="26853"/>
    <cellStyle name="Comma 5 2 3 3 5 2 3" xfId="13055"/>
    <cellStyle name="Comma 5 2 3 3 5 2 4" xfId="7766"/>
    <cellStyle name="Comma 5 2 3 3 5 2 5" xfId="21846"/>
    <cellStyle name="Comma 5 2 3 3 5 3" xfId="4292"/>
    <cellStyle name="Comma 5 2 3 3 5 3 2" xfId="17998"/>
    <cellStyle name="Comma 5 2 3 3 5 3 2 2" xfId="28249"/>
    <cellStyle name="Comma 5 2 3 3 5 3 3" xfId="14419"/>
    <cellStyle name="Comma 5 2 3 3 5 3 4" xfId="9162"/>
    <cellStyle name="Comma 5 2 3 3 5 3 5" xfId="23242"/>
    <cellStyle name="Comma 5 2 3 3 5 4" xfId="5954"/>
    <cellStyle name="Comma 5 2 3 3 5 4 2" xfId="15040"/>
    <cellStyle name="Comma 5 2 3 3 5 4 3" xfId="25044"/>
    <cellStyle name="Comma 5 2 3 3 5 5" xfId="10616"/>
    <cellStyle name="Comma 5 2 3 3 5 5 2" xfId="19443"/>
    <cellStyle name="Comma 5 2 3 3 5 5 3" xfId="29694"/>
    <cellStyle name="Comma 5 2 3 3 5 6" xfId="12062"/>
    <cellStyle name="Comma 5 2 3 3 5 6 2" xfId="24452"/>
    <cellStyle name="Comma 5 2 3 3 5 7" xfId="5360"/>
    <cellStyle name="Comma 5 2 3 3 5 8" xfId="20037"/>
    <cellStyle name="Comma 5 2 3 3 6" xfId="2035"/>
    <cellStyle name="Comma 5 2 3 3 6 2" xfId="15883"/>
    <cellStyle name="Comma 5 2 3 3 6 2 2" xfId="25927"/>
    <cellStyle name="Comma 5 2 3 3 6 3" xfId="11354"/>
    <cellStyle name="Comma 5 2 3 3 6 4" xfId="6840"/>
    <cellStyle name="Comma 5 2 3 3 6 5" xfId="20920"/>
    <cellStyle name="Comma 5 2 3 3 7" xfId="3454"/>
    <cellStyle name="Comma 5 2 3 3 7 2" xfId="16955"/>
    <cellStyle name="Comma 5 2 3 3 7 2 2" xfId="27206"/>
    <cellStyle name="Comma 5 2 3 3 7 3" xfId="13376"/>
    <cellStyle name="Comma 5 2 3 3 7 4" xfId="8119"/>
    <cellStyle name="Comma 5 2 3 3 7 5" xfId="22199"/>
    <cellStyle name="Comma 5 2 3 3 8" xfId="5680"/>
    <cellStyle name="Comma 5 2 3 3 8 2" xfId="14766"/>
    <cellStyle name="Comma 5 2 3 3 8 3" xfId="24770"/>
    <cellStyle name="Comma 5 2 3 3 9" xfId="9573"/>
    <cellStyle name="Comma 5 2 3 3 9 2" xfId="18400"/>
    <cellStyle name="Comma 5 2 3 3 9 3" xfId="28651"/>
    <cellStyle name="Comma 5 2 3 4" xfId="210"/>
    <cellStyle name="Comma 5 2 3 4 10" xfId="10942"/>
    <cellStyle name="Comma 5 2 3 4 10 2" xfId="23556"/>
    <cellStyle name="Comma 5 2 3 4 11" xfId="4464"/>
    <cellStyle name="Comma 5 2 3 4 12" xfId="19688"/>
    <cellStyle name="Comma 5 2 3 4 2" xfId="424"/>
    <cellStyle name="Comma 5 2 3 4 2 10" xfId="19893"/>
    <cellStyle name="Comma 5 2 3 4 2 2" xfId="497"/>
    <cellStyle name="Comma 5 2 3 4 2 2 2" xfId="2230"/>
    <cellStyle name="Comma 5 2 3 4 2 2 2 2" xfId="16126"/>
    <cellStyle name="Comma 5 2 3 4 2 2 2 2 2" xfId="26344"/>
    <cellStyle name="Comma 5 2 3 4 2 2 2 3" xfId="12548"/>
    <cellStyle name="Comma 5 2 3 4 2 2 2 4" xfId="7257"/>
    <cellStyle name="Comma 5 2 3 4 2 2 2 5" xfId="21337"/>
    <cellStyle name="Comma 5 2 3 4 2 2 3" xfId="3504"/>
    <cellStyle name="Comma 5 2 3 4 2 2 3 2" xfId="17150"/>
    <cellStyle name="Comma 5 2 3 4 2 2 3 2 2" xfId="27401"/>
    <cellStyle name="Comma 5 2 3 4 2 2 3 3" xfId="13571"/>
    <cellStyle name="Comma 5 2 3 4 2 2 3 4" xfId="8314"/>
    <cellStyle name="Comma 5 2 3 4 2 2 3 5" xfId="22394"/>
    <cellStyle name="Comma 5 2 3 4 2 2 4" xfId="6373"/>
    <cellStyle name="Comma 5 2 3 4 2 2 4 2" xfId="15457"/>
    <cellStyle name="Comma 5 2 3 4 2 2 4 3" xfId="25461"/>
    <cellStyle name="Comma 5 2 3 4 2 2 5" xfId="9768"/>
    <cellStyle name="Comma 5 2 3 4 2 2 5 2" xfId="18595"/>
    <cellStyle name="Comma 5 2 3 4 2 2 5 3" xfId="28846"/>
    <cellStyle name="Comma 5 2 3 4 2 2 6" xfId="11212"/>
    <cellStyle name="Comma 5 2 3 4 2 2 6 2" xfId="23943"/>
    <cellStyle name="Comma 5 2 3 4 2 2 7" xfId="4851"/>
    <cellStyle name="Comma 5 2 3 4 2 2 8" xfId="20454"/>
    <cellStyle name="Comma 5 2 3 4 2 3" xfId="856"/>
    <cellStyle name="Comma 5 2 3 4 2 3 2" xfId="2578"/>
    <cellStyle name="Comma 5 2 3 4 2 3 2 2" xfId="16764"/>
    <cellStyle name="Comma 5 2 3 4 2 3 2 2 2" xfId="26983"/>
    <cellStyle name="Comma 5 2 3 4 2 3 2 3" xfId="13185"/>
    <cellStyle name="Comma 5 2 3 4 2 3 2 4" xfId="7896"/>
    <cellStyle name="Comma 5 2 3 4 2 3 2 5" xfId="21976"/>
    <cellStyle name="Comma 5 2 3 4 2 3 3" xfId="3852"/>
    <cellStyle name="Comma 5 2 3 4 2 3 3 2" xfId="17498"/>
    <cellStyle name="Comma 5 2 3 4 2 3 3 2 2" xfId="27749"/>
    <cellStyle name="Comma 5 2 3 4 2 3 3 3" xfId="13919"/>
    <cellStyle name="Comma 5 2 3 4 2 3 3 4" xfId="8662"/>
    <cellStyle name="Comma 5 2 3 4 2 3 3 5" xfId="22742"/>
    <cellStyle name="Comma 5 2 3 4 2 3 4" xfId="6303"/>
    <cellStyle name="Comma 5 2 3 4 2 3 4 2" xfId="15387"/>
    <cellStyle name="Comma 5 2 3 4 2 3 4 3" xfId="25391"/>
    <cellStyle name="Comma 5 2 3 4 2 3 5" xfId="10116"/>
    <cellStyle name="Comma 5 2 3 4 2 3 5 2" xfId="18943"/>
    <cellStyle name="Comma 5 2 3 4 2 3 5 3" xfId="29194"/>
    <cellStyle name="Comma 5 2 3 4 2 3 6" xfId="11562"/>
    <cellStyle name="Comma 5 2 3 4 2 3 6 2" xfId="24582"/>
    <cellStyle name="Comma 5 2 3 4 2 3 7" xfId="5490"/>
    <cellStyle name="Comma 5 2 3 4 2 3 8" xfId="20384"/>
    <cellStyle name="Comma 5 2 3 4 2 4" xfId="1611"/>
    <cellStyle name="Comma 5 2 3 4 2 4 2" xfId="3208"/>
    <cellStyle name="Comma 5 2 3 4 2 4 2 2" xfId="18128"/>
    <cellStyle name="Comma 5 2 3 4 2 4 2 2 2" xfId="28379"/>
    <cellStyle name="Comma 5 2 3 4 2 4 2 3" xfId="14549"/>
    <cellStyle name="Comma 5 2 3 4 2 4 2 4" xfId="9292"/>
    <cellStyle name="Comma 5 2 3 4 2 4 2 5" xfId="23372"/>
    <cellStyle name="Comma 5 2 3 4 2 4 3" xfId="10746"/>
    <cellStyle name="Comma 5 2 3 4 2 4 3 2" xfId="19573"/>
    <cellStyle name="Comma 5 2 3 4 2 4 3 3" xfId="29824"/>
    <cellStyle name="Comma 5 2 3 4 2 4 4" xfId="12192"/>
    <cellStyle name="Comma 5 2 3 4 2 4 4 2" xfId="26274"/>
    <cellStyle name="Comma 5 2 3 4 2 4 5" xfId="7187"/>
    <cellStyle name="Comma 5 2 3 4 2 4 6" xfId="21267"/>
    <cellStyle name="Comma 5 2 3 4 2 5" xfId="2165"/>
    <cellStyle name="Comma 5 2 3 4 2 5 2" xfId="17085"/>
    <cellStyle name="Comma 5 2 3 4 2 5 2 2" xfId="27336"/>
    <cellStyle name="Comma 5 2 3 4 2 5 3" xfId="13506"/>
    <cellStyle name="Comma 5 2 3 4 2 5 4" xfId="8249"/>
    <cellStyle name="Comma 5 2 3 4 2 5 5" xfId="22329"/>
    <cellStyle name="Comma 5 2 3 4 2 6" xfId="5810"/>
    <cellStyle name="Comma 5 2 3 4 2 6 2" xfId="14896"/>
    <cellStyle name="Comma 5 2 3 4 2 6 3" xfId="24900"/>
    <cellStyle name="Comma 5 2 3 4 2 7" xfId="9703"/>
    <cellStyle name="Comma 5 2 3 4 2 7 2" xfId="18530"/>
    <cellStyle name="Comma 5 2 3 4 2 7 3" xfId="28781"/>
    <cellStyle name="Comma 5 2 3 4 2 8" xfId="11147"/>
    <cellStyle name="Comma 5 2 3 4 2 8 2" xfId="23873"/>
    <cellStyle name="Comma 5 2 3 4 2 9" xfId="4781"/>
    <cellStyle name="Comma 5 2 3 4 3" xfId="496"/>
    <cellStyle name="Comma 5 2 3 4 3 2" xfId="2229"/>
    <cellStyle name="Comma 5 2 3 4 3 2 2" xfId="15996"/>
    <cellStyle name="Comma 5 2 3 4 3 2 2 2" xfId="26069"/>
    <cellStyle name="Comma 5 2 3 4 3 2 3" xfId="12314"/>
    <cellStyle name="Comma 5 2 3 4 3 2 4" xfId="6982"/>
    <cellStyle name="Comma 5 2 3 4 3 2 5" xfId="21062"/>
    <cellStyle name="Comma 5 2 3 4 3 3" xfId="3503"/>
    <cellStyle name="Comma 5 2 3 4 3 3 2" xfId="17149"/>
    <cellStyle name="Comma 5 2 3 4 3 3 2 2" xfId="27400"/>
    <cellStyle name="Comma 5 2 3 4 3 3 3" xfId="13570"/>
    <cellStyle name="Comma 5 2 3 4 3 3 4" xfId="8313"/>
    <cellStyle name="Comma 5 2 3 4 3 3 5" xfId="22393"/>
    <cellStyle name="Comma 5 2 3 4 3 4" xfId="6098"/>
    <cellStyle name="Comma 5 2 3 4 3 4 2" xfId="15182"/>
    <cellStyle name="Comma 5 2 3 4 3 4 3" xfId="25186"/>
    <cellStyle name="Comma 5 2 3 4 3 5" xfId="9767"/>
    <cellStyle name="Comma 5 2 3 4 3 5 2" xfId="18594"/>
    <cellStyle name="Comma 5 2 3 4 3 5 3" xfId="28845"/>
    <cellStyle name="Comma 5 2 3 4 3 6" xfId="11211"/>
    <cellStyle name="Comma 5 2 3 4 3 6 2" xfId="23668"/>
    <cellStyle name="Comma 5 2 3 4 3 7" xfId="4576"/>
    <cellStyle name="Comma 5 2 3 4 3 8" xfId="20179"/>
    <cellStyle name="Comma 5 2 3 4 4" xfId="855"/>
    <cellStyle name="Comma 5 2 3 4 4 2" xfId="2577"/>
    <cellStyle name="Comma 5 2 3 4 4 2 2" xfId="16125"/>
    <cellStyle name="Comma 5 2 3 4 4 2 2 2" xfId="26343"/>
    <cellStyle name="Comma 5 2 3 4 4 2 3" xfId="12547"/>
    <cellStyle name="Comma 5 2 3 4 4 2 4" xfId="7256"/>
    <cellStyle name="Comma 5 2 3 4 4 2 5" xfId="21336"/>
    <cellStyle name="Comma 5 2 3 4 4 3" xfId="3851"/>
    <cellStyle name="Comma 5 2 3 4 4 3 2" xfId="17497"/>
    <cellStyle name="Comma 5 2 3 4 4 3 2 2" xfId="27748"/>
    <cellStyle name="Comma 5 2 3 4 4 3 3" xfId="13918"/>
    <cellStyle name="Comma 5 2 3 4 4 3 4" xfId="8661"/>
    <cellStyle name="Comma 5 2 3 4 4 3 5" xfId="22741"/>
    <cellStyle name="Comma 5 2 3 4 4 4" xfId="6372"/>
    <cellStyle name="Comma 5 2 3 4 4 4 2" xfId="15456"/>
    <cellStyle name="Comma 5 2 3 4 4 4 3" xfId="25460"/>
    <cellStyle name="Comma 5 2 3 4 4 5" xfId="10115"/>
    <cellStyle name="Comma 5 2 3 4 4 5 2" xfId="18942"/>
    <cellStyle name="Comma 5 2 3 4 4 5 3" xfId="29193"/>
    <cellStyle name="Comma 5 2 3 4 4 6" xfId="11561"/>
    <cellStyle name="Comma 5 2 3 4 4 6 2" xfId="23942"/>
    <cellStyle name="Comma 5 2 3 4 4 7" xfId="4850"/>
    <cellStyle name="Comma 5 2 3 4 4 8" xfId="20453"/>
    <cellStyle name="Comma 5 2 3 4 5" xfId="1397"/>
    <cellStyle name="Comma 5 2 3 4 5 2" xfId="3003"/>
    <cellStyle name="Comma 5 2 3 4 5 2 2" xfId="16559"/>
    <cellStyle name="Comma 5 2 3 4 5 2 2 2" xfId="26778"/>
    <cellStyle name="Comma 5 2 3 4 5 2 3" xfId="12980"/>
    <cellStyle name="Comma 5 2 3 4 5 2 4" xfId="7691"/>
    <cellStyle name="Comma 5 2 3 4 5 2 5" xfId="21771"/>
    <cellStyle name="Comma 5 2 3 4 5 3" xfId="4217"/>
    <cellStyle name="Comma 5 2 3 4 5 3 2" xfId="17923"/>
    <cellStyle name="Comma 5 2 3 4 5 3 2 2" xfId="28174"/>
    <cellStyle name="Comma 5 2 3 4 5 3 3" xfId="14344"/>
    <cellStyle name="Comma 5 2 3 4 5 3 4" xfId="9087"/>
    <cellStyle name="Comma 5 2 3 4 5 3 5" xfId="23167"/>
    <cellStyle name="Comma 5 2 3 4 5 4" xfId="5984"/>
    <cellStyle name="Comma 5 2 3 4 5 4 2" xfId="15070"/>
    <cellStyle name="Comma 5 2 3 4 5 4 3" xfId="25074"/>
    <cellStyle name="Comma 5 2 3 4 5 5" xfId="10541"/>
    <cellStyle name="Comma 5 2 3 4 5 5 2" xfId="19368"/>
    <cellStyle name="Comma 5 2 3 4 5 5 3" xfId="29619"/>
    <cellStyle name="Comma 5 2 3 4 5 6" xfId="11987"/>
    <cellStyle name="Comma 5 2 3 4 5 6 2" xfId="24377"/>
    <cellStyle name="Comma 5 2 3 4 5 7" xfId="5285"/>
    <cellStyle name="Comma 5 2 3 4 5 8" xfId="20067"/>
    <cellStyle name="Comma 5 2 3 4 6" xfId="1960"/>
    <cellStyle name="Comma 5 2 3 4 6 2" xfId="15913"/>
    <cellStyle name="Comma 5 2 3 4 6 2 2" xfId="25957"/>
    <cellStyle name="Comma 5 2 3 4 6 3" xfId="12340"/>
    <cellStyle name="Comma 5 2 3 4 6 4" xfId="6870"/>
    <cellStyle name="Comma 5 2 3 4 6 5" xfId="20950"/>
    <cellStyle name="Comma 5 2 3 4 7" xfId="3380"/>
    <cellStyle name="Comma 5 2 3 4 7 2" xfId="16880"/>
    <cellStyle name="Comma 5 2 3 4 7 2 2" xfId="27131"/>
    <cellStyle name="Comma 5 2 3 4 7 3" xfId="13301"/>
    <cellStyle name="Comma 5 2 3 4 7 4" xfId="8044"/>
    <cellStyle name="Comma 5 2 3 4 7 5" xfId="22124"/>
    <cellStyle name="Comma 5 2 3 4 8" xfId="5605"/>
    <cellStyle name="Comma 5 2 3 4 8 2" xfId="14691"/>
    <cellStyle name="Comma 5 2 3 4 8 3" xfId="24695"/>
    <cellStyle name="Comma 5 2 3 4 9" xfId="9498"/>
    <cellStyle name="Comma 5 2 3 4 9 2" xfId="18325"/>
    <cellStyle name="Comma 5 2 3 4 9 3" xfId="28576"/>
    <cellStyle name="Comma 5 2 3 5" xfId="316"/>
    <cellStyle name="Comma 5 2 3 5 10" xfId="19788"/>
    <cellStyle name="Comma 5 2 3 5 2" xfId="498"/>
    <cellStyle name="Comma 5 2 3 5 2 2" xfId="2231"/>
    <cellStyle name="Comma 5 2 3 5 2 2 2" xfId="16127"/>
    <cellStyle name="Comma 5 2 3 5 2 2 2 2" xfId="26345"/>
    <cellStyle name="Comma 5 2 3 5 2 2 3" xfId="12549"/>
    <cellStyle name="Comma 5 2 3 5 2 2 4" xfId="7258"/>
    <cellStyle name="Comma 5 2 3 5 2 2 5" xfId="21338"/>
    <cellStyle name="Comma 5 2 3 5 2 3" xfId="3505"/>
    <cellStyle name="Comma 5 2 3 5 2 3 2" xfId="17151"/>
    <cellStyle name="Comma 5 2 3 5 2 3 2 2" xfId="27402"/>
    <cellStyle name="Comma 5 2 3 5 2 3 3" xfId="13572"/>
    <cellStyle name="Comma 5 2 3 5 2 3 4" xfId="8315"/>
    <cellStyle name="Comma 5 2 3 5 2 3 5" xfId="22395"/>
    <cellStyle name="Comma 5 2 3 5 2 4" xfId="6374"/>
    <cellStyle name="Comma 5 2 3 5 2 4 2" xfId="15458"/>
    <cellStyle name="Comma 5 2 3 5 2 4 3" xfId="25462"/>
    <cellStyle name="Comma 5 2 3 5 2 5" xfId="9769"/>
    <cellStyle name="Comma 5 2 3 5 2 5 2" xfId="18596"/>
    <cellStyle name="Comma 5 2 3 5 2 5 3" xfId="28847"/>
    <cellStyle name="Comma 5 2 3 5 2 6" xfId="11213"/>
    <cellStyle name="Comma 5 2 3 5 2 6 2" xfId="23944"/>
    <cellStyle name="Comma 5 2 3 5 2 7" xfId="4852"/>
    <cellStyle name="Comma 5 2 3 5 2 8" xfId="20455"/>
    <cellStyle name="Comma 5 2 3 5 3" xfId="857"/>
    <cellStyle name="Comma 5 2 3 5 3 2" xfId="2579"/>
    <cellStyle name="Comma 5 2 3 5 3 2 2" xfId="16659"/>
    <cellStyle name="Comma 5 2 3 5 3 2 2 2" xfId="26878"/>
    <cellStyle name="Comma 5 2 3 5 3 2 3" xfId="13080"/>
    <cellStyle name="Comma 5 2 3 5 3 2 4" xfId="7791"/>
    <cellStyle name="Comma 5 2 3 5 3 2 5" xfId="21871"/>
    <cellStyle name="Comma 5 2 3 5 3 3" xfId="3853"/>
    <cellStyle name="Comma 5 2 3 5 3 3 2" xfId="17499"/>
    <cellStyle name="Comma 5 2 3 5 3 3 2 2" xfId="27750"/>
    <cellStyle name="Comma 5 2 3 5 3 3 3" xfId="13920"/>
    <cellStyle name="Comma 5 2 3 5 3 3 4" xfId="8663"/>
    <cellStyle name="Comma 5 2 3 5 3 3 5" xfId="22743"/>
    <cellStyle name="Comma 5 2 3 5 3 4" xfId="6198"/>
    <cellStyle name="Comma 5 2 3 5 3 4 2" xfId="15282"/>
    <cellStyle name="Comma 5 2 3 5 3 4 3" xfId="25286"/>
    <cellStyle name="Comma 5 2 3 5 3 5" xfId="10117"/>
    <cellStyle name="Comma 5 2 3 5 3 5 2" xfId="18944"/>
    <cellStyle name="Comma 5 2 3 5 3 5 3" xfId="29195"/>
    <cellStyle name="Comma 5 2 3 5 3 6" xfId="11563"/>
    <cellStyle name="Comma 5 2 3 5 3 6 2" xfId="24477"/>
    <cellStyle name="Comma 5 2 3 5 3 7" xfId="5385"/>
    <cellStyle name="Comma 5 2 3 5 3 8" xfId="20279"/>
    <cellStyle name="Comma 5 2 3 5 4" xfId="1503"/>
    <cellStyle name="Comma 5 2 3 5 4 2" xfId="3103"/>
    <cellStyle name="Comma 5 2 3 5 4 2 2" xfId="18023"/>
    <cellStyle name="Comma 5 2 3 5 4 2 2 2" xfId="28274"/>
    <cellStyle name="Comma 5 2 3 5 4 2 3" xfId="14444"/>
    <cellStyle name="Comma 5 2 3 5 4 2 4" xfId="9187"/>
    <cellStyle name="Comma 5 2 3 5 4 2 5" xfId="23267"/>
    <cellStyle name="Comma 5 2 3 5 4 3" xfId="10641"/>
    <cellStyle name="Comma 5 2 3 5 4 3 2" xfId="19468"/>
    <cellStyle name="Comma 5 2 3 5 4 3 3" xfId="29719"/>
    <cellStyle name="Comma 5 2 3 5 4 4" xfId="12087"/>
    <cellStyle name="Comma 5 2 3 5 4 4 2" xfId="26169"/>
    <cellStyle name="Comma 5 2 3 5 4 5" xfId="7082"/>
    <cellStyle name="Comma 5 2 3 5 4 6" xfId="21162"/>
    <cellStyle name="Comma 5 2 3 5 5" xfId="2060"/>
    <cellStyle name="Comma 5 2 3 5 5 2" xfId="16980"/>
    <cellStyle name="Comma 5 2 3 5 5 2 2" xfId="27231"/>
    <cellStyle name="Comma 5 2 3 5 5 3" xfId="13401"/>
    <cellStyle name="Comma 5 2 3 5 5 4" xfId="8144"/>
    <cellStyle name="Comma 5 2 3 5 5 5" xfId="22224"/>
    <cellStyle name="Comma 5 2 3 5 6" xfId="5705"/>
    <cellStyle name="Comma 5 2 3 5 6 2" xfId="14791"/>
    <cellStyle name="Comma 5 2 3 5 6 3" xfId="24795"/>
    <cellStyle name="Comma 5 2 3 5 7" xfId="9598"/>
    <cellStyle name="Comma 5 2 3 5 7 2" xfId="18425"/>
    <cellStyle name="Comma 5 2 3 5 7 3" xfId="28676"/>
    <cellStyle name="Comma 5 2 3 5 8" xfId="11042"/>
    <cellStyle name="Comma 5 2 3 5 8 2" xfId="23768"/>
    <cellStyle name="Comma 5 2 3 5 9" xfId="4676"/>
    <cellStyle name="Comma 5 2 3 6" xfId="181"/>
    <cellStyle name="Comma 5 2 3 6 10" xfId="20154"/>
    <cellStyle name="Comma 5 2 3 6 2" xfId="499"/>
    <cellStyle name="Comma 5 2 3 6 2 2" xfId="2232"/>
    <cellStyle name="Comma 5 2 3 6 2 2 2" xfId="16128"/>
    <cellStyle name="Comma 5 2 3 6 2 2 2 2" xfId="26346"/>
    <cellStyle name="Comma 5 2 3 6 2 2 3" xfId="12550"/>
    <cellStyle name="Comma 5 2 3 6 2 2 4" xfId="7259"/>
    <cellStyle name="Comma 5 2 3 6 2 2 5" xfId="21339"/>
    <cellStyle name="Comma 5 2 3 6 2 3" xfId="3506"/>
    <cellStyle name="Comma 5 2 3 6 2 3 2" xfId="17152"/>
    <cellStyle name="Comma 5 2 3 6 2 3 2 2" xfId="27403"/>
    <cellStyle name="Comma 5 2 3 6 2 3 3" xfId="13573"/>
    <cellStyle name="Comma 5 2 3 6 2 3 4" xfId="8316"/>
    <cellStyle name="Comma 5 2 3 6 2 3 5" xfId="22396"/>
    <cellStyle name="Comma 5 2 3 6 2 4" xfId="6375"/>
    <cellStyle name="Comma 5 2 3 6 2 4 2" xfId="15459"/>
    <cellStyle name="Comma 5 2 3 6 2 4 3" xfId="25463"/>
    <cellStyle name="Comma 5 2 3 6 2 5" xfId="9770"/>
    <cellStyle name="Comma 5 2 3 6 2 5 2" xfId="18597"/>
    <cellStyle name="Comma 5 2 3 6 2 5 3" xfId="28848"/>
    <cellStyle name="Comma 5 2 3 6 2 6" xfId="11214"/>
    <cellStyle name="Comma 5 2 3 6 2 6 2" xfId="23945"/>
    <cellStyle name="Comma 5 2 3 6 2 7" xfId="4853"/>
    <cellStyle name="Comma 5 2 3 6 2 8" xfId="20456"/>
    <cellStyle name="Comma 5 2 3 6 3" xfId="858"/>
    <cellStyle name="Comma 5 2 3 6 3 2" xfId="2580"/>
    <cellStyle name="Comma 5 2 3 6 3 2 2" xfId="16534"/>
    <cellStyle name="Comma 5 2 3 6 3 2 2 2" xfId="26753"/>
    <cellStyle name="Comma 5 2 3 6 3 2 3" xfId="12955"/>
    <cellStyle name="Comma 5 2 3 6 3 2 4" xfId="7666"/>
    <cellStyle name="Comma 5 2 3 6 3 2 5" xfId="21746"/>
    <cellStyle name="Comma 5 2 3 6 3 3" xfId="3854"/>
    <cellStyle name="Comma 5 2 3 6 3 3 2" xfId="17500"/>
    <cellStyle name="Comma 5 2 3 6 3 3 2 2" xfId="27751"/>
    <cellStyle name="Comma 5 2 3 6 3 3 3" xfId="13921"/>
    <cellStyle name="Comma 5 2 3 6 3 3 4" xfId="8664"/>
    <cellStyle name="Comma 5 2 3 6 3 3 5" xfId="22744"/>
    <cellStyle name="Comma 5 2 3 6 3 4" xfId="6711"/>
    <cellStyle name="Comma 5 2 3 6 3 4 2" xfId="15794"/>
    <cellStyle name="Comma 5 2 3 6 3 4 3" xfId="25798"/>
    <cellStyle name="Comma 5 2 3 6 3 5" xfId="10118"/>
    <cellStyle name="Comma 5 2 3 6 3 5 2" xfId="18945"/>
    <cellStyle name="Comma 5 2 3 6 3 5 3" xfId="29196"/>
    <cellStyle name="Comma 5 2 3 6 3 6" xfId="11564"/>
    <cellStyle name="Comma 5 2 3 6 3 6 2" xfId="24352"/>
    <cellStyle name="Comma 5 2 3 6 3 7" xfId="5260"/>
    <cellStyle name="Comma 5 2 3 6 3 8" xfId="20791"/>
    <cellStyle name="Comma 5 2 3 6 4" xfId="1368"/>
    <cellStyle name="Comma 5 2 3 6 4 2" xfId="2978"/>
    <cellStyle name="Comma 5 2 3 6 4 2 2" xfId="17898"/>
    <cellStyle name="Comma 5 2 3 6 4 2 2 2" xfId="28149"/>
    <cellStyle name="Comma 5 2 3 6 4 2 3" xfId="14319"/>
    <cellStyle name="Comma 5 2 3 6 4 2 4" xfId="9062"/>
    <cellStyle name="Comma 5 2 3 6 4 2 5" xfId="23142"/>
    <cellStyle name="Comma 5 2 3 6 4 3" xfId="10516"/>
    <cellStyle name="Comma 5 2 3 6 4 3 2" xfId="19343"/>
    <cellStyle name="Comma 5 2 3 6 4 3 3" xfId="29594"/>
    <cellStyle name="Comma 5 2 3 6 4 4" xfId="11962"/>
    <cellStyle name="Comma 5 2 3 6 4 4 2" xfId="26044"/>
    <cellStyle name="Comma 5 2 3 6 4 5" xfId="6957"/>
    <cellStyle name="Comma 5 2 3 6 4 6" xfId="21037"/>
    <cellStyle name="Comma 5 2 3 6 5" xfId="1935"/>
    <cellStyle name="Comma 5 2 3 6 5 2" xfId="16853"/>
    <cellStyle name="Comma 5 2 3 6 5 2 2" xfId="27104"/>
    <cellStyle name="Comma 5 2 3 6 5 3" xfId="13274"/>
    <cellStyle name="Comma 5 2 3 6 5 4" xfId="8017"/>
    <cellStyle name="Comma 5 2 3 6 5 5" xfId="22097"/>
    <cellStyle name="Comma 5 2 3 6 6" xfId="6073"/>
    <cellStyle name="Comma 5 2 3 6 6 2" xfId="15157"/>
    <cellStyle name="Comma 5 2 3 6 6 3" xfId="25161"/>
    <cellStyle name="Comma 5 2 3 6 7" xfId="9473"/>
    <cellStyle name="Comma 5 2 3 6 7 2" xfId="18300"/>
    <cellStyle name="Comma 5 2 3 6 7 3" xfId="28551"/>
    <cellStyle name="Comma 5 2 3 6 8" xfId="10917"/>
    <cellStyle name="Comma 5 2 3 6 8 2" xfId="23643"/>
    <cellStyle name="Comma 5 2 3 6 9" xfId="4551"/>
    <cellStyle name="Comma 5 2 3 7" xfId="490"/>
    <cellStyle name="Comma 5 2 3 7 2" xfId="2223"/>
    <cellStyle name="Comma 5 2 3 7 2 2" xfId="16119"/>
    <cellStyle name="Comma 5 2 3 7 2 2 2" xfId="26337"/>
    <cellStyle name="Comma 5 2 3 7 2 3" xfId="12541"/>
    <cellStyle name="Comma 5 2 3 7 2 4" xfId="7250"/>
    <cellStyle name="Comma 5 2 3 7 2 5" xfId="21330"/>
    <cellStyle name="Comma 5 2 3 7 3" xfId="3497"/>
    <cellStyle name="Comma 5 2 3 7 3 2" xfId="17143"/>
    <cellStyle name="Comma 5 2 3 7 3 2 2" xfId="27394"/>
    <cellStyle name="Comma 5 2 3 7 3 3" xfId="13564"/>
    <cellStyle name="Comma 5 2 3 7 3 4" xfId="8307"/>
    <cellStyle name="Comma 5 2 3 7 3 5" xfId="22387"/>
    <cellStyle name="Comma 5 2 3 7 4" xfId="6366"/>
    <cellStyle name="Comma 5 2 3 7 4 2" xfId="15450"/>
    <cellStyle name="Comma 5 2 3 7 4 3" xfId="25454"/>
    <cellStyle name="Comma 5 2 3 7 5" xfId="9761"/>
    <cellStyle name="Comma 5 2 3 7 5 2" xfId="18588"/>
    <cellStyle name="Comma 5 2 3 7 5 3" xfId="28839"/>
    <cellStyle name="Comma 5 2 3 7 6" xfId="11205"/>
    <cellStyle name="Comma 5 2 3 7 6 2" xfId="23936"/>
    <cellStyle name="Comma 5 2 3 7 7" xfId="4844"/>
    <cellStyle name="Comma 5 2 3 7 8" xfId="20447"/>
    <cellStyle name="Comma 5 2 3 8" xfId="849"/>
    <cellStyle name="Comma 5 2 3 8 2" xfId="2571"/>
    <cellStyle name="Comma 5 2 3 8 2 2" xfId="16489"/>
    <cellStyle name="Comma 5 2 3 8 2 2 2" xfId="26708"/>
    <cellStyle name="Comma 5 2 3 8 2 3" xfId="12911"/>
    <cellStyle name="Comma 5 2 3 8 2 4" xfId="7621"/>
    <cellStyle name="Comma 5 2 3 8 2 5" xfId="21701"/>
    <cellStyle name="Comma 5 2 3 8 3" xfId="3845"/>
    <cellStyle name="Comma 5 2 3 8 3 2" xfId="17491"/>
    <cellStyle name="Comma 5 2 3 8 3 2 2" xfId="27742"/>
    <cellStyle name="Comma 5 2 3 8 3 3" xfId="13912"/>
    <cellStyle name="Comma 5 2 3 8 3 4" xfId="8655"/>
    <cellStyle name="Comma 5 2 3 8 3 5" xfId="22735"/>
    <cellStyle name="Comma 5 2 3 8 4" xfId="5878"/>
    <cellStyle name="Comma 5 2 3 8 4 2" xfId="14964"/>
    <cellStyle name="Comma 5 2 3 8 4 3" xfId="24968"/>
    <cellStyle name="Comma 5 2 3 8 5" xfId="10109"/>
    <cellStyle name="Comma 5 2 3 8 5 2" xfId="18936"/>
    <cellStyle name="Comma 5 2 3 8 5 3" xfId="29187"/>
    <cellStyle name="Comma 5 2 3 8 6" xfId="11555"/>
    <cellStyle name="Comma 5 2 3 8 6 2" xfId="24307"/>
    <cellStyle name="Comma 5 2 3 8 7" xfId="5215"/>
    <cellStyle name="Comma 5 2 3 8 8" xfId="19961"/>
    <cellStyle name="Comma 5 2 3 9" xfId="1319"/>
    <cellStyle name="Comma 5 2 3 9 2" xfId="2933"/>
    <cellStyle name="Comma 5 2 3 9 2 2" xfId="17853"/>
    <cellStyle name="Comma 5 2 3 9 2 2 2" xfId="28104"/>
    <cellStyle name="Comma 5 2 3 9 2 3" xfId="14274"/>
    <cellStyle name="Comma 5 2 3 9 2 4" xfId="9017"/>
    <cellStyle name="Comma 5 2 3 9 2 5" xfId="23097"/>
    <cellStyle name="Comma 5 2 3 9 3" xfId="10471"/>
    <cellStyle name="Comma 5 2 3 9 3 2" xfId="19298"/>
    <cellStyle name="Comma 5 2 3 9 3 3" xfId="29549"/>
    <cellStyle name="Comma 5 2 3 9 4" xfId="11917"/>
    <cellStyle name="Comma 5 2 3 9 4 2" xfId="25852"/>
    <cellStyle name="Comma 5 2 3 9 5" xfId="6765"/>
    <cellStyle name="Comma 5 2 3 9 6" xfId="20845"/>
    <cellStyle name="Comma 5 2 4" xfId="157"/>
    <cellStyle name="Comma 5 2 4 10" xfId="5558"/>
    <cellStyle name="Comma 5 2 4 10 2" xfId="14644"/>
    <cellStyle name="Comma 5 2 4 10 3" xfId="24648"/>
    <cellStyle name="Comma 5 2 4 11" xfId="9378"/>
    <cellStyle name="Comma 5 2 4 11 2" xfId="18205"/>
    <cellStyle name="Comma 5 2 4 11 3" xfId="28456"/>
    <cellStyle name="Comma 5 2 4 12" xfId="10818"/>
    <cellStyle name="Comma 5 2 4 12 2" xfId="23463"/>
    <cellStyle name="Comma 5 2 4 13" xfId="4371"/>
    <cellStyle name="Comma 5 2 4 14" xfId="19641"/>
    <cellStyle name="Comma 5 2 4 2" xfId="270"/>
    <cellStyle name="Comma 5 2 4 2 10" xfId="10997"/>
    <cellStyle name="Comma 5 2 4 2 10 2" xfId="23506"/>
    <cellStyle name="Comma 5 2 4 2 11" xfId="4414"/>
    <cellStyle name="Comma 5 2 4 2 12" xfId="19743"/>
    <cellStyle name="Comma 5 2 4 2 2" xfId="372"/>
    <cellStyle name="Comma 5 2 4 2 2 10" xfId="19843"/>
    <cellStyle name="Comma 5 2 4 2 2 2" xfId="502"/>
    <cellStyle name="Comma 5 2 4 2 2 2 2" xfId="2235"/>
    <cellStyle name="Comma 5 2 4 2 2 2 2 2" xfId="16131"/>
    <cellStyle name="Comma 5 2 4 2 2 2 2 2 2" xfId="26349"/>
    <cellStyle name="Comma 5 2 4 2 2 2 2 3" xfId="12553"/>
    <cellStyle name="Comma 5 2 4 2 2 2 2 4" xfId="7262"/>
    <cellStyle name="Comma 5 2 4 2 2 2 2 5" xfId="21342"/>
    <cellStyle name="Comma 5 2 4 2 2 2 3" xfId="3509"/>
    <cellStyle name="Comma 5 2 4 2 2 2 3 2" xfId="17155"/>
    <cellStyle name="Comma 5 2 4 2 2 2 3 2 2" xfId="27406"/>
    <cellStyle name="Comma 5 2 4 2 2 2 3 3" xfId="13576"/>
    <cellStyle name="Comma 5 2 4 2 2 2 3 4" xfId="8319"/>
    <cellStyle name="Comma 5 2 4 2 2 2 3 5" xfId="22399"/>
    <cellStyle name="Comma 5 2 4 2 2 2 4" xfId="6378"/>
    <cellStyle name="Comma 5 2 4 2 2 2 4 2" xfId="15462"/>
    <cellStyle name="Comma 5 2 4 2 2 2 4 3" xfId="25466"/>
    <cellStyle name="Comma 5 2 4 2 2 2 5" xfId="9773"/>
    <cellStyle name="Comma 5 2 4 2 2 2 5 2" xfId="18600"/>
    <cellStyle name="Comma 5 2 4 2 2 2 5 3" xfId="28851"/>
    <cellStyle name="Comma 5 2 4 2 2 2 6" xfId="11217"/>
    <cellStyle name="Comma 5 2 4 2 2 2 6 2" xfId="23948"/>
    <cellStyle name="Comma 5 2 4 2 2 2 7" xfId="4856"/>
    <cellStyle name="Comma 5 2 4 2 2 2 8" xfId="20459"/>
    <cellStyle name="Comma 5 2 4 2 2 3" xfId="861"/>
    <cellStyle name="Comma 5 2 4 2 2 3 2" xfId="2583"/>
    <cellStyle name="Comma 5 2 4 2 2 3 2 2" xfId="16714"/>
    <cellStyle name="Comma 5 2 4 2 2 3 2 2 2" xfId="26933"/>
    <cellStyle name="Comma 5 2 4 2 2 3 2 3" xfId="13135"/>
    <cellStyle name="Comma 5 2 4 2 2 3 2 4" xfId="7846"/>
    <cellStyle name="Comma 5 2 4 2 2 3 2 5" xfId="21926"/>
    <cellStyle name="Comma 5 2 4 2 2 3 3" xfId="3857"/>
    <cellStyle name="Comma 5 2 4 2 2 3 3 2" xfId="17503"/>
    <cellStyle name="Comma 5 2 4 2 2 3 3 2 2" xfId="27754"/>
    <cellStyle name="Comma 5 2 4 2 2 3 3 3" xfId="13924"/>
    <cellStyle name="Comma 5 2 4 2 2 3 3 4" xfId="8667"/>
    <cellStyle name="Comma 5 2 4 2 2 3 3 5" xfId="22747"/>
    <cellStyle name="Comma 5 2 4 2 2 3 4" xfId="6253"/>
    <cellStyle name="Comma 5 2 4 2 2 3 4 2" xfId="15337"/>
    <cellStyle name="Comma 5 2 4 2 2 3 4 3" xfId="25341"/>
    <cellStyle name="Comma 5 2 4 2 2 3 5" xfId="10121"/>
    <cellStyle name="Comma 5 2 4 2 2 3 5 2" xfId="18948"/>
    <cellStyle name="Comma 5 2 4 2 2 3 5 3" xfId="29199"/>
    <cellStyle name="Comma 5 2 4 2 2 3 6" xfId="11567"/>
    <cellStyle name="Comma 5 2 4 2 2 3 6 2" xfId="24532"/>
    <cellStyle name="Comma 5 2 4 2 2 3 7" xfId="5440"/>
    <cellStyle name="Comma 5 2 4 2 2 3 8" xfId="20334"/>
    <cellStyle name="Comma 5 2 4 2 2 4" xfId="1559"/>
    <cellStyle name="Comma 5 2 4 2 2 4 2" xfId="3158"/>
    <cellStyle name="Comma 5 2 4 2 2 4 2 2" xfId="18078"/>
    <cellStyle name="Comma 5 2 4 2 2 4 2 2 2" xfId="28329"/>
    <cellStyle name="Comma 5 2 4 2 2 4 2 3" xfId="14499"/>
    <cellStyle name="Comma 5 2 4 2 2 4 2 4" xfId="9242"/>
    <cellStyle name="Comma 5 2 4 2 2 4 2 5" xfId="23322"/>
    <cellStyle name="Comma 5 2 4 2 2 4 3" xfId="10696"/>
    <cellStyle name="Comma 5 2 4 2 2 4 3 2" xfId="19523"/>
    <cellStyle name="Comma 5 2 4 2 2 4 3 3" xfId="29774"/>
    <cellStyle name="Comma 5 2 4 2 2 4 4" xfId="12142"/>
    <cellStyle name="Comma 5 2 4 2 2 4 4 2" xfId="26224"/>
    <cellStyle name="Comma 5 2 4 2 2 4 5" xfId="7137"/>
    <cellStyle name="Comma 5 2 4 2 2 4 6" xfId="21217"/>
    <cellStyle name="Comma 5 2 4 2 2 5" xfId="2115"/>
    <cellStyle name="Comma 5 2 4 2 2 5 2" xfId="17035"/>
    <cellStyle name="Comma 5 2 4 2 2 5 2 2" xfId="27286"/>
    <cellStyle name="Comma 5 2 4 2 2 5 3" xfId="13456"/>
    <cellStyle name="Comma 5 2 4 2 2 5 4" xfId="8199"/>
    <cellStyle name="Comma 5 2 4 2 2 5 5" xfId="22279"/>
    <cellStyle name="Comma 5 2 4 2 2 6" xfId="5760"/>
    <cellStyle name="Comma 5 2 4 2 2 6 2" xfId="14846"/>
    <cellStyle name="Comma 5 2 4 2 2 6 3" xfId="24850"/>
    <cellStyle name="Comma 5 2 4 2 2 7" xfId="9653"/>
    <cellStyle name="Comma 5 2 4 2 2 7 2" xfId="18480"/>
    <cellStyle name="Comma 5 2 4 2 2 7 3" xfId="28731"/>
    <cellStyle name="Comma 5 2 4 2 2 8" xfId="11097"/>
    <cellStyle name="Comma 5 2 4 2 2 8 2" xfId="23823"/>
    <cellStyle name="Comma 5 2 4 2 2 9" xfId="4731"/>
    <cellStyle name="Comma 5 2 4 2 3" xfId="501"/>
    <cellStyle name="Comma 5 2 4 2 3 2" xfId="2234"/>
    <cellStyle name="Comma 5 2 4 2 3 2 2" xfId="16051"/>
    <cellStyle name="Comma 5 2 4 2 3 2 2 2" xfId="26124"/>
    <cellStyle name="Comma 5 2 4 2 3 2 3" xfId="12372"/>
    <cellStyle name="Comma 5 2 4 2 3 2 4" xfId="7037"/>
    <cellStyle name="Comma 5 2 4 2 3 2 5" xfId="21117"/>
    <cellStyle name="Comma 5 2 4 2 3 3" xfId="3508"/>
    <cellStyle name="Comma 5 2 4 2 3 3 2" xfId="17154"/>
    <cellStyle name="Comma 5 2 4 2 3 3 2 2" xfId="27405"/>
    <cellStyle name="Comma 5 2 4 2 3 3 3" xfId="13575"/>
    <cellStyle name="Comma 5 2 4 2 3 3 4" xfId="8318"/>
    <cellStyle name="Comma 5 2 4 2 3 3 5" xfId="22398"/>
    <cellStyle name="Comma 5 2 4 2 3 4" xfId="6153"/>
    <cellStyle name="Comma 5 2 4 2 3 4 2" xfId="15237"/>
    <cellStyle name="Comma 5 2 4 2 3 4 3" xfId="25241"/>
    <cellStyle name="Comma 5 2 4 2 3 5" xfId="9772"/>
    <cellStyle name="Comma 5 2 4 2 3 5 2" xfId="18599"/>
    <cellStyle name="Comma 5 2 4 2 3 5 3" xfId="28850"/>
    <cellStyle name="Comma 5 2 4 2 3 6" xfId="11216"/>
    <cellStyle name="Comma 5 2 4 2 3 6 2" xfId="23723"/>
    <cellStyle name="Comma 5 2 4 2 3 7" xfId="4631"/>
    <cellStyle name="Comma 5 2 4 2 3 8" xfId="20234"/>
    <cellStyle name="Comma 5 2 4 2 4" xfId="860"/>
    <cellStyle name="Comma 5 2 4 2 4 2" xfId="2582"/>
    <cellStyle name="Comma 5 2 4 2 4 2 2" xfId="16130"/>
    <cellStyle name="Comma 5 2 4 2 4 2 2 2" xfId="26348"/>
    <cellStyle name="Comma 5 2 4 2 4 2 3" xfId="12552"/>
    <cellStyle name="Comma 5 2 4 2 4 2 4" xfId="7261"/>
    <cellStyle name="Comma 5 2 4 2 4 2 5" xfId="21341"/>
    <cellStyle name="Comma 5 2 4 2 4 3" xfId="3856"/>
    <cellStyle name="Comma 5 2 4 2 4 3 2" xfId="17502"/>
    <cellStyle name="Comma 5 2 4 2 4 3 2 2" xfId="27753"/>
    <cellStyle name="Comma 5 2 4 2 4 3 3" xfId="13923"/>
    <cellStyle name="Comma 5 2 4 2 4 3 4" xfId="8666"/>
    <cellStyle name="Comma 5 2 4 2 4 3 5" xfId="22746"/>
    <cellStyle name="Comma 5 2 4 2 4 4" xfId="6377"/>
    <cellStyle name="Comma 5 2 4 2 4 4 2" xfId="15461"/>
    <cellStyle name="Comma 5 2 4 2 4 4 3" xfId="25465"/>
    <cellStyle name="Comma 5 2 4 2 4 5" xfId="10120"/>
    <cellStyle name="Comma 5 2 4 2 4 5 2" xfId="18947"/>
    <cellStyle name="Comma 5 2 4 2 4 5 3" xfId="29198"/>
    <cellStyle name="Comma 5 2 4 2 4 6" xfId="11566"/>
    <cellStyle name="Comma 5 2 4 2 4 6 2" xfId="23947"/>
    <cellStyle name="Comma 5 2 4 2 4 7" xfId="4855"/>
    <cellStyle name="Comma 5 2 4 2 4 8" xfId="20458"/>
    <cellStyle name="Comma 5 2 4 2 5" xfId="1457"/>
    <cellStyle name="Comma 5 2 4 2 5 2" xfId="3058"/>
    <cellStyle name="Comma 5 2 4 2 5 2 2" xfId="16614"/>
    <cellStyle name="Comma 5 2 4 2 5 2 2 2" xfId="26833"/>
    <cellStyle name="Comma 5 2 4 2 5 2 3" xfId="13035"/>
    <cellStyle name="Comma 5 2 4 2 5 2 4" xfId="7746"/>
    <cellStyle name="Comma 5 2 4 2 5 2 5" xfId="21826"/>
    <cellStyle name="Comma 5 2 4 2 5 3" xfId="4272"/>
    <cellStyle name="Comma 5 2 4 2 5 3 2" xfId="17978"/>
    <cellStyle name="Comma 5 2 4 2 5 3 2 2" xfId="28229"/>
    <cellStyle name="Comma 5 2 4 2 5 3 3" xfId="14399"/>
    <cellStyle name="Comma 5 2 4 2 5 3 4" xfId="9142"/>
    <cellStyle name="Comma 5 2 4 2 5 3 5" xfId="23222"/>
    <cellStyle name="Comma 5 2 4 2 5 4" xfId="5934"/>
    <cellStyle name="Comma 5 2 4 2 5 4 2" xfId="15020"/>
    <cellStyle name="Comma 5 2 4 2 5 4 3" xfId="25024"/>
    <cellStyle name="Comma 5 2 4 2 5 5" xfId="10596"/>
    <cellStyle name="Comma 5 2 4 2 5 5 2" xfId="19423"/>
    <cellStyle name="Comma 5 2 4 2 5 5 3" xfId="29674"/>
    <cellStyle name="Comma 5 2 4 2 5 6" xfId="12042"/>
    <cellStyle name="Comma 5 2 4 2 5 6 2" xfId="24432"/>
    <cellStyle name="Comma 5 2 4 2 5 7" xfId="5340"/>
    <cellStyle name="Comma 5 2 4 2 5 8" xfId="20017"/>
    <cellStyle name="Comma 5 2 4 2 6" xfId="2015"/>
    <cellStyle name="Comma 5 2 4 2 6 2" xfId="15863"/>
    <cellStyle name="Comma 5 2 4 2 6 2 2" xfId="25907"/>
    <cellStyle name="Comma 5 2 4 2 6 3" xfId="12443"/>
    <cellStyle name="Comma 5 2 4 2 6 4" xfId="6820"/>
    <cellStyle name="Comma 5 2 4 2 6 5" xfId="20900"/>
    <cellStyle name="Comma 5 2 4 2 7" xfId="3434"/>
    <cellStyle name="Comma 5 2 4 2 7 2" xfId="16935"/>
    <cellStyle name="Comma 5 2 4 2 7 2 2" xfId="27186"/>
    <cellStyle name="Comma 5 2 4 2 7 3" xfId="13356"/>
    <cellStyle name="Comma 5 2 4 2 7 4" xfId="8099"/>
    <cellStyle name="Comma 5 2 4 2 7 5" xfId="22179"/>
    <cellStyle name="Comma 5 2 4 2 8" xfId="5660"/>
    <cellStyle name="Comma 5 2 4 2 8 2" xfId="14746"/>
    <cellStyle name="Comma 5 2 4 2 8 3" xfId="24750"/>
    <cellStyle name="Comma 5 2 4 2 9" xfId="9553"/>
    <cellStyle name="Comma 5 2 4 2 9 2" xfId="18380"/>
    <cellStyle name="Comma 5 2 4 2 9 3" xfId="28631"/>
    <cellStyle name="Comma 5 2 4 3" xfId="225"/>
    <cellStyle name="Comma 5 2 4 3 10" xfId="10954"/>
    <cellStyle name="Comma 5 2 4 3 10 2" xfId="23568"/>
    <cellStyle name="Comma 5 2 4 3 11" xfId="4476"/>
    <cellStyle name="Comma 5 2 4 3 12" xfId="19700"/>
    <cellStyle name="Comma 5 2 4 3 2" xfId="436"/>
    <cellStyle name="Comma 5 2 4 3 2 10" xfId="19905"/>
    <cellStyle name="Comma 5 2 4 3 2 2" xfId="504"/>
    <cellStyle name="Comma 5 2 4 3 2 2 2" xfId="2237"/>
    <cellStyle name="Comma 5 2 4 3 2 2 2 2" xfId="16133"/>
    <cellStyle name="Comma 5 2 4 3 2 2 2 2 2" xfId="26351"/>
    <cellStyle name="Comma 5 2 4 3 2 2 2 3" xfId="12555"/>
    <cellStyle name="Comma 5 2 4 3 2 2 2 4" xfId="7264"/>
    <cellStyle name="Comma 5 2 4 3 2 2 2 5" xfId="21344"/>
    <cellStyle name="Comma 5 2 4 3 2 2 3" xfId="3511"/>
    <cellStyle name="Comma 5 2 4 3 2 2 3 2" xfId="17157"/>
    <cellStyle name="Comma 5 2 4 3 2 2 3 2 2" xfId="27408"/>
    <cellStyle name="Comma 5 2 4 3 2 2 3 3" xfId="13578"/>
    <cellStyle name="Comma 5 2 4 3 2 2 3 4" xfId="8321"/>
    <cellStyle name="Comma 5 2 4 3 2 2 3 5" xfId="22401"/>
    <cellStyle name="Comma 5 2 4 3 2 2 4" xfId="6380"/>
    <cellStyle name="Comma 5 2 4 3 2 2 4 2" xfId="15464"/>
    <cellStyle name="Comma 5 2 4 3 2 2 4 3" xfId="25468"/>
    <cellStyle name="Comma 5 2 4 3 2 2 5" xfId="9775"/>
    <cellStyle name="Comma 5 2 4 3 2 2 5 2" xfId="18602"/>
    <cellStyle name="Comma 5 2 4 3 2 2 5 3" xfId="28853"/>
    <cellStyle name="Comma 5 2 4 3 2 2 6" xfId="11219"/>
    <cellStyle name="Comma 5 2 4 3 2 2 6 2" xfId="23950"/>
    <cellStyle name="Comma 5 2 4 3 2 2 7" xfId="4858"/>
    <cellStyle name="Comma 5 2 4 3 2 2 8" xfId="20461"/>
    <cellStyle name="Comma 5 2 4 3 2 3" xfId="863"/>
    <cellStyle name="Comma 5 2 4 3 2 3 2" xfId="2585"/>
    <cellStyle name="Comma 5 2 4 3 2 3 2 2" xfId="16776"/>
    <cellStyle name="Comma 5 2 4 3 2 3 2 2 2" xfId="26995"/>
    <cellStyle name="Comma 5 2 4 3 2 3 2 3" xfId="13197"/>
    <cellStyle name="Comma 5 2 4 3 2 3 2 4" xfId="7908"/>
    <cellStyle name="Comma 5 2 4 3 2 3 2 5" xfId="21988"/>
    <cellStyle name="Comma 5 2 4 3 2 3 3" xfId="3859"/>
    <cellStyle name="Comma 5 2 4 3 2 3 3 2" xfId="17505"/>
    <cellStyle name="Comma 5 2 4 3 2 3 3 2 2" xfId="27756"/>
    <cellStyle name="Comma 5 2 4 3 2 3 3 3" xfId="13926"/>
    <cellStyle name="Comma 5 2 4 3 2 3 3 4" xfId="8669"/>
    <cellStyle name="Comma 5 2 4 3 2 3 3 5" xfId="22749"/>
    <cellStyle name="Comma 5 2 4 3 2 3 4" xfId="6315"/>
    <cellStyle name="Comma 5 2 4 3 2 3 4 2" xfId="15399"/>
    <cellStyle name="Comma 5 2 4 3 2 3 4 3" xfId="25403"/>
    <cellStyle name="Comma 5 2 4 3 2 3 5" xfId="10123"/>
    <cellStyle name="Comma 5 2 4 3 2 3 5 2" xfId="18950"/>
    <cellStyle name="Comma 5 2 4 3 2 3 5 3" xfId="29201"/>
    <cellStyle name="Comma 5 2 4 3 2 3 6" xfId="11569"/>
    <cellStyle name="Comma 5 2 4 3 2 3 6 2" xfId="24594"/>
    <cellStyle name="Comma 5 2 4 3 2 3 7" xfId="5502"/>
    <cellStyle name="Comma 5 2 4 3 2 3 8" xfId="20396"/>
    <cellStyle name="Comma 5 2 4 3 2 4" xfId="1623"/>
    <cellStyle name="Comma 5 2 4 3 2 4 2" xfId="3220"/>
    <cellStyle name="Comma 5 2 4 3 2 4 2 2" xfId="18140"/>
    <cellStyle name="Comma 5 2 4 3 2 4 2 2 2" xfId="28391"/>
    <cellStyle name="Comma 5 2 4 3 2 4 2 3" xfId="14561"/>
    <cellStyle name="Comma 5 2 4 3 2 4 2 4" xfId="9304"/>
    <cellStyle name="Comma 5 2 4 3 2 4 2 5" xfId="23384"/>
    <cellStyle name="Comma 5 2 4 3 2 4 3" xfId="10758"/>
    <cellStyle name="Comma 5 2 4 3 2 4 3 2" xfId="19585"/>
    <cellStyle name="Comma 5 2 4 3 2 4 3 3" xfId="29836"/>
    <cellStyle name="Comma 5 2 4 3 2 4 4" xfId="12204"/>
    <cellStyle name="Comma 5 2 4 3 2 4 4 2" xfId="26286"/>
    <cellStyle name="Comma 5 2 4 3 2 4 5" xfId="7199"/>
    <cellStyle name="Comma 5 2 4 3 2 4 6" xfId="21279"/>
    <cellStyle name="Comma 5 2 4 3 2 5" xfId="2177"/>
    <cellStyle name="Comma 5 2 4 3 2 5 2" xfId="17097"/>
    <cellStyle name="Comma 5 2 4 3 2 5 2 2" xfId="27348"/>
    <cellStyle name="Comma 5 2 4 3 2 5 3" xfId="13518"/>
    <cellStyle name="Comma 5 2 4 3 2 5 4" xfId="8261"/>
    <cellStyle name="Comma 5 2 4 3 2 5 5" xfId="22341"/>
    <cellStyle name="Comma 5 2 4 3 2 6" xfId="5822"/>
    <cellStyle name="Comma 5 2 4 3 2 6 2" xfId="14908"/>
    <cellStyle name="Comma 5 2 4 3 2 6 3" xfId="24912"/>
    <cellStyle name="Comma 5 2 4 3 2 7" xfId="9715"/>
    <cellStyle name="Comma 5 2 4 3 2 7 2" xfId="18542"/>
    <cellStyle name="Comma 5 2 4 3 2 7 3" xfId="28793"/>
    <cellStyle name="Comma 5 2 4 3 2 8" xfId="11159"/>
    <cellStyle name="Comma 5 2 4 3 2 8 2" xfId="23885"/>
    <cellStyle name="Comma 5 2 4 3 2 9" xfId="4793"/>
    <cellStyle name="Comma 5 2 4 3 3" xfId="503"/>
    <cellStyle name="Comma 5 2 4 3 3 2" xfId="2236"/>
    <cellStyle name="Comma 5 2 4 3 3 2 2" xfId="16008"/>
    <cellStyle name="Comma 5 2 4 3 3 2 2 2" xfId="26081"/>
    <cellStyle name="Comma 5 2 4 3 3 2 3" xfId="12492"/>
    <cellStyle name="Comma 5 2 4 3 3 2 4" xfId="6994"/>
    <cellStyle name="Comma 5 2 4 3 3 2 5" xfId="21074"/>
    <cellStyle name="Comma 5 2 4 3 3 3" xfId="3510"/>
    <cellStyle name="Comma 5 2 4 3 3 3 2" xfId="17156"/>
    <cellStyle name="Comma 5 2 4 3 3 3 2 2" xfId="27407"/>
    <cellStyle name="Comma 5 2 4 3 3 3 3" xfId="13577"/>
    <cellStyle name="Comma 5 2 4 3 3 3 4" xfId="8320"/>
    <cellStyle name="Comma 5 2 4 3 3 3 5" xfId="22400"/>
    <cellStyle name="Comma 5 2 4 3 3 4" xfId="6110"/>
    <cellStyle name="Comma 5 2 4 3 3 4 2" xfId="15194"/>
    <cellStyle name="Comma 5 2 4 3 3 4 3" xfId="25198"/>
    <cellStyle name="Comma 5 2 4 3 3 5" xfId="9774"/>
    <cellStyle name="Comma 5 2 4 3 3 5 2" xfId="18601"/>
    <cellStyle name="Comma 5 2 4 3 3 5 3" xfId="28852"/>
    <cellStyle name="Comma 5 2 4 3 3 6" xfId="11218"/>
    <cellStyle name="Comma 5 2 4 3 3 6 2" xfId="23680"/>
    <cellStyle name="Comma 5 2 4 3 3 7" xfId="4588"/>
    <cellStyle name="Comma 5 2 4 3 3 8" xfId="20191"/>
    <cellStyle name="Comma 5 2 4 3 4" xfId="862"/>
    <cellStyle name="Comma 5 2 4 3 4 2" xfId="2584"/>
    <cellStyle name="Comma 5 2 4 3 4 2 2" xfId="16132"/>
    <cellStyle name="Comma 5 2 4 3 4 2 2 2" xfId="26350"/>
    <cellStyle name="Comma 5 2 4 3 4 2 3" xfId="12554"/>
    <cellStyle name="Comma 5 2 4 3 4 2 4" xfId="7263"/>
    <cellStyle name="Comma 5 2 4 3 4 2 5" xfId="21343"/>
    <cellStyle name="Comma 5 2 4 3 4 3" xfId="3858"/>
    <cellStyle name="Comma 5 2 4 3 4 3 2" xfId="17504"/>
    <cellStyle name="Comma 5 2 4 3 4 3 2 2" xfId="27755"/>
    <cellStyle name="Comma 5 2 4 3 4 3 3" xfId="13925"/>
    <cellStyle name="Comma 5 2 4 3 4 3 4" xfId="8668"/>
    <cellStyle name="Comma 5 2 4 3 4 3 5" xfId="22748"/>
    <cellStyle name="Comma 5 2 4 3 4 4" xfId="6379"/>
    <cellStyle name="Comma 5 2 4 3 4 4 2" xfId="15463"/>
    <cellStyle name="Comma 5 2 4 3 4 4 3" xfId="25467"/>
    <cellStyle name="Comma 5 2 4 3 4 5" xfId="10122"/>
    <cellStyle name="Comma 5 2 4 3 4 5 2" xfId="18949"/>
    <cellStyle name="Comma 5 2 4 3 4 5 3" xfId="29200"/>
    <cellStyle name="Comma 5 2 4 3 4 6" xfId="11568"/>
    <cellStyle name="Comma 5 2 4 3 4 6 2" xfId="23949"/>
    <cellStyle name="Comma 5 2 4 3 4 7" xfId="4857"/>
    <cellStyle name="Comma 5 2 4 3 4 8" xfId="20460"/>
    <cellStyle name="Comma 5 2 4 3 5" xfId="1412"/>
    <cellStyle name="Comma 5 2 4 3 5 2" xfId="3015"/>
    <cellStyle name="Comma 5 2 4 3 5 2 2" xfId="16571"/>
    <cellStyle name="Comma 5 2 4 3 5 2 2 2" xfId="26790"/>
    <cellStyle name="Comma 5 2 4 3 5 2 3" xfId="12992"/>
    <cellStyle name="Comma 5 2 4 3 5 2 4" xfId="7703"/>
    <cellStyle name="Comma 5 2 4 3 5 2 5" xfId="21783"/>
    <cellStyle name="Comma 5 2 4 3 5 3" xfId="4229"/>
    <cellStyle name="Comma 5 2 4 3 5 3 2" xfId="17935"/>
    <cellStyle name="Comma 5 2 4 3 5 3 2 2" xfId="28186"/>
    <cellStyle name="Comma 5 2 4 3 5 3 3" xfId="14356"/>
    <cellStyle name="Comma 5 2 4 3 5 3 4" xfId="9099"/>
    <cellStyle name="Comma 5 2 4 3 5 3 5" xfId="23179"/>
    <cellStyle name="Comma 5 2 4 3 5 4" xfId="5996"/>
    <cellStyle name="Comma 5 2 4 3 5 4 2" xfId="15082"/>
    <cellStyle name="Comma 5 2 4 3 5 4 3" xfId="25086"/>
    <cellStyle name="Comma 5 2 4 3 5 5" xfId="10553"/>
    <cellStyle name="Comma 5 2 4 3 5 5 2" xfId="19380"/>
    <cellStyle name="Comma 5 2 4 3 5 5 3" xfId="29631"/>
    <cellStyle name="Comma 5 2 4 3 5 6" xfId="11999"/>
    <cellStyle name="Comma 5 2 4 3 5 6 2" xfId="24389"/>
    <cellStyle name="Comma 5 2 4 3 5 7" xfId="5297"/>
    <cellStyle name="Comma 5 2 4 3 5 8" xfId="20079"/>
    <cellStyle name="Comma 5 2 4 3 6" xfId="1972"/>
    <cellStyle name="Comma 5 2 4 3 6 2" xfId="15925"/>
    <cellStyle name="Comma 5 2 4 3 6 2 2" xfId="25969"/>
    <cellStyle name="Comma 5 2 4 3 6 3" xfId="12494"/>
    <cellStyle name="Comma 5 2 4 3 6 4" xfId="6882"/>
    <cellStyle name="Comma 5 2 4 3 6 5" xfId="20962"/>
    <cellStyle name="Comma 5 2 4 3 7" xfId="3392"/>
    <cellStyle name="Comma 5 2 4 3 7 2" xfId="16892"/>
    <cellStyle name="Comma 5 2 4 3 7 2 2" xfId="27143"/>
    <cellStyle name="Comma 5 2 4 3 7 3" xfId="13313"/>
    <cellStyle name="Comma 5 2 4 3 7 4" xfId="8056"/>
    <cellStyle name="Comma 5 2 4 3 7 5" xfId="22136"/>
    <cellStyle name="Comma 5 2 4 3 8" xfId="5617"/>
    <cellStyle name="Comma 5 2 4 3 8 2" xfId="14703"/>
    <cellStyle name="Comma 5 2 4 3 8 3" xfId="24707"/>
    <cellStyle name="Comma 5 2 4 3 9" xfId="9510"/>
    <cellStyle name="Comma 5 2 4 3 9 2" xfId="18337"/>
    <cellStyle name="Comma 5 2 4 3 9 3" xfId="28588"/>
    <cellStyle name="Comma 5 2 4 4" xfId="328"/>
    <cellStyle name="Comma 5 2 4 4 10" xfId="19800"/>
    <cellStyle name="Comma 5 2 4 4 2" xfId="505"/>
    <cellStyle name="Comma 5 2 4 4 2 2" xfId="2238"/>
    <cellStyle name="Comma 5 2 4 4 2 2 2" xfId="16134"/>
    <cellStyle name="Comma 5 2 4 4 2 2 2 2" xfId="26352"/>
    <cellStyle name="Comma 5 2 4 4 2 2 3" xfId="12556"/>
    <cellStyle name="Comma 5 2 4 4 2 2 4" xfId="7265"/>
    <cellStyle name="Comma 5 2 4 4 2 2 5" xfId="21345"/>
    <cellStyle name="Comma 5 2 4 4 2 3" xfId="3512"/>
    <cellStyle name="Comma 5 2 4 4 2 3 2" xfId="17158"/>
    <cellStyle name="Comma 5 2 4 4 2 3 2 2" xfId="27409"/>
    <cellStyle name="Comma 5 2 4 4 2 3 3" xfId="13579"/>
    <cellStyle name="Comma 5 2 4 4 2 3 4" xfId="8322"/>
    <cellStyle name="Comma 5 2 4 4 2 3 5" xfId="22402"/>
    <cellStyle name="Comma 5 2 4 4 2 4" xfId="6381"/>
    <cellStyle name="Comma 5 2 4 4 2 4 2" xfId="15465"/>
    <cellStyle name="Comma 5 2 4 4 2 4 3" xfId="25469"/>
    <cellStyle name="Comma 5 2 4 4 2 5" xfId="9776"/>
    <cellStyle name="Comma 5 2 4 4 2 5 2" xfId="18603"/>
    <cellStyle name="Comma 5 2 4 4 2 5 3" xfId="28854"/>
    <cellStyle name="Comma 5 2 4 4 2 6" xfId="11220"/>
    <cellStyle name="Comma 5 2 4 4 2 6 2" xfId="23951"/>
    <cellStyle name="Comma 5 2 4 4 2 7" xfId="4859"/>
    <cellStyle name="Comma 5 2 4 4 2 8" xfId="20462"/>
    <cellStyle name="Comma 5 2 4 4 3" xfId="864"/>
    <cellStyle name="Comma 5 2 4 4 3 2" xfId="2586"/>
    <cellStyle name="Comma 5 2 4 4 3 2 2" xfId="16671"/>
    <cellStyle name="Comma 5 2 4 4 3 2 2 2" xfId="26890"/>
    <cellStyle name="Comma 5 2 4 4 3 2 3" xfId="13092"/>
    <cellStyle name="Comma 5 2 4 4 3 2 4" xfId="7803"/>
    <cellStyle name="Comma 5 2 4 4 3 2 5" xfId="21883"/>
    <cellStyle name="Comma 5 2 4 4 3 3" xfId="3860"/>
    <cellStyle name="Comma 5 2 4 4 3 3 2" xfId="17506"/>
    <cellStyle name="Comma 5 2 4 4 3 3 2 2" xfId="27757"/>
    <cellStyle name="Comma 5 2 4 4 3 3 3" xfId="13927"/>
    <cellStyle name="Comma 5 2 4 4 3 3 4" xfId="8670"/>
    <cellStyle name="Comma 5 2 4 4 3 3 5" xfId="22750"/>
    <cellStyle name="Comma 5 2 4 4 3 4" xfId="6210"/>
    <cellStyle name="Comma 5 2 4 4 3 4 2" xfId="15294"/>
    <cellStyle name="Comma 5 2 4 4 3 4 3" xfId="25298"/>
    <cellStyle name="Comma 5 2 4 4 3 5" xfId="10124"/>
    <cellStyle name="Comma 5 2 4 4 3 5 2" xfId="18951"/>
    <cellStyle name="Comma 5 2 4 4 3 5 3" xfId="29202"/>
    <cellStyle name="Comma 5 2 4 4 3 6" xfId="11570"/>
    <cellStyle name="Comma 5 2 4 4 3 6 2" xfId="24489"/>
    <cellStyle name="Comma 5 2 4 4 3 7" xfId="5397"/>
    <cellStyle name="Comma 5 2 4 4 3 8" xfId="20291"/>
    <cellStyle name="Comma 5 2 4 4 4" xfId="1515"/>
    <cellStyle name="Comma 5 2 4 4 4 2" xfId="3115"/>
    <cellStyle name="Comma 5 2 4 4 4 2 2" xfId="18035"/>
    <cellStyle name="Comma 5 2 4 4 4 2 2 2" xfId="28286"/>
    <cellStyle name="Comma 5 2 4 4 4 2 3" xfId="14456"/>
    <cellStyle name="Comma 5 2 4 4 4 2 4" xfId="9199"/>
    <cellStyle name="Comma 5 2 4 4 4 2 5" xfId="23279"/>
    <cellStyle name="Comma 5 2 4 4 4 3" xfId="10653"/>
    <cellStyle name="Comma 5 2 4 4 4 3 2" xfId="19480"/>
    <cellStyle name="Comma 5 2 4 4 4 3 3" xfId="29731"/>
    <cellStyle name="Comma 5 2 4 4 4 4" xfId="12099"/>
    <cellStyle name="Comma 5 2 4 4 4 4 2" xfId="26181"/>
    <cellStyle name="Comma 5 2 4 4 4 5" xfId="7094"/>
    <cellStyle name="Comma 5 2 4 4 4 6" xfId="21174"/>
    <cellStyle name="Comma 5 2 4 4 5" xfId="2072"/>
    <cellStyle name="Comma 5 2 4 4 5 2" xfId="16992"/>
    <cellStyle name="Comma 5 2 4 4 5 2 2" xfId="27243"/>
    <cellStyle name="Comma 5 2 4 4 5 3" xfId="13413"/>
    <cellStyle name="Comma 5 2 4 4 5 4" xfId="8156"/>
    <cellStyle name="Comma 5 2 4 4 5 5" xfId="22236"/>
    <cellStyle name="Comma 5 2 4 4 6" xfId="5717"/>
    <cellStyle name="Comma 5 2 4 4 6 2" xfId="14803"/>
    <cellStyle name="Comma 5 2 4 4 6 3" xfId="24807"/>
    <cellStyle name="Comma 5 2 4 4 7" xfId="9610"/>
    <cellStyle name="Comma 5 2 4 4 7 2" xfId="18437"/>
    <cellStyle name="Comma 5 2 4 4 7 3" xfId="28688"/>
    <cellStyle name="Comma 5 2 4 4 8" xfId="11054"/>
    <cellStyle name="Comma 5 2 4 4 8 2" xfId="23780"/>
    <cellStyle name="Comma 5 2 4 4 9" xfId="4688"/>
    <cellStyle name="Comma 5 2 4 5" xfId="500"/>
    <cellStyle name="Comma 5 2 4 5 2" xfId="2233"/>
    <cellStyle name="Comma 5 2 4 5 2 2" xfId="15965"/>
    <cellStyle name="Comma 5 2 4 5 2 2 2" xfId="26022"/>
    <cellStyle name="Comma 5 2 4 5 2 3" xfId="12332"/>
    <cellStyle name="Comma 5 2 4 5 2 4" xfId="6935"/>
    <cellStyle name="Comma 5 2 4 5 2 5" xfId="21015"/>
    <cellStyle name="Comma 5 2 4 5 3" xfId="3507"/>
    <cellStyle name="Comma 5 2 4 5 3 2" xfId="17153"/>
    <cellStyle name="Comma 5 2 4 5 3 2 2" xfId="27404"/>
    <cellStyle name="Comma 5 2 4 5 3 3" xfId="13574"/>
    <cellStyle name="Comma 5 2 4 5 3 4" xfId="8317"/>
    <cellStyle name="Comma 5 2 4 5 3 5" xfId="22397"/>
    <cellStyle name="Comma 5 2 4 5 4" xfId="6051"/>
    <cellStyle name="Comma 5 2 4 5 4 2" xfId="15135"/>
    <cellStyle name="Comma 5 2 4 5 4 3" xfId="25139"/>
    <cellStyle name="Comma 5 2 4 5 5" xfId="9771"/>
    <cellStyle name="Comma 5 2 4 5 5 2" xfId="18598"/>
    <cellStyle name="Comma 5 2 4 5 5 3" xfId="28849"/>
    <cellStyle name="Comma 5 2 4 5 6" xfId="11215"/>
    <cellStyle name="Comma 5 2 4 5 6 2" xfId="23621"/>
    <cellStyle name="Comma 5 2 4 5 7" xfId="4529"/>
    <cellStyle name="Comma 5 2 4 5 8" xfId="20132"/>
    <cellStyle name="Comma 5 2 4 6" xfId="859"/>
    <cellStyle name="Comma 5 2 4 6 2" xfId="2581"/>
    <cellStyle name="Comma 5 2 4 6 2 2" xfId="16129"/>
    <cellStyle name="Comma 5 2 4 6 2 2 2" xfId="26347"/>
    <cellStyle name="Comma 5 2 4 6 2 3" xfId="12551"/>
    <cellStyle name="Comma 5 2 4 6 2 4" xfId="7260"/>
    <cellStyle name="Comma 5 2 4 6 2 5" xfId="21340"/>
    <cellStyle name="Comma 5 2 4 6 3" xfId="3855"/>
    <cellStyle name="Comma 5 2 4 6 3 2" xfId="17501"/>
    <cellStyle name="Comma 5 2 4 6 3 2 2" xfId="27752"/>
    <cellStyle name="Comma 5 2 4 6 3 3" xfId="13922"/>
    <cellStyle name="Comma 5 2 4 6 3 4" xfId="8665"/>
    <cellStyle name="Comma 5 2 4 6 3 5" xfId="22745"/>
    <cellStyle name="Comma 5 2 4 6 4" xfId="6376"/>
    <cellStyle name="Comma 5 2 4 6 4 2" xfId="15460"/>
    <cellStyle name="Comma 5 2 4 6 4 3" xfId="25464"/>
    <cellStyle name="Comma 5 2 4 6 5" xfId="10119"/>
    <cellStyle name="Comma 5 2 4 6 5 2" xfId="18946"/>
    <cellStyle name="Comma 5 2 4 6 5 3" xfId="29197"/>
    <cellStyle name="Comma 5 2 4 6 6" xfId="11565"/>
    <cellStyle name="Comma 5 2 4 6 6 2" xfId="23946"/>
    <cellStyle name="Comma 5 2 4 6 7" xfId="4854"/>
    <cellStyle name="Comma 5 2 4 6 8" xfId="20457"/>
    <cellStyle name="Comma 5 2 4 7" xfId="1344"/>
    <cellStyle name="Comma 5 2 4 7 2" xfId="2956"/>
    <cellStyle name="Comma 5 2 4 7 2 2" xfId="16512"/>
    <cellStyle name="Comma 5 2 4 7 2 2 2" xfId="26731"/>
    <cellStyle name="Comma 5 2 4 7 2 3" xfId="12934"/>
    <cellStyle name="Comma 5 2 4 7 2 4" xfId="7644"/>
    <cellStyle name="Comma 5 2 4 7 2 5" xfId="21724"/>
    <cellStyle name="Comma 5 2 4 7 3" xfId="4187"/>
    <cellStyle name="Comma 5 2 4 7 3 2" xfId="17876"/>
    <cellStyle name="Comma 5 2 4 7 3 2 2" xfId="28127"/>
    <cellStyle name="Comma 5 2 4 7 3 3" xfId="14297"/>
    <cellStyle name="Comma 5 2 4 7 3 4" xfId="9040"/>
    <cellStyle name="Comma 5 2 4 7 3 5" xfId="23120"/>
    <cellStyle name="Comma 5 2 4 7 4" xfId="5890"/>
    <cellStyle name="Comma 5 2 4 7 4 2" xfId="14976"/>
    <cellStyle name="Comma 5 2 4 7 4 3" xfId="24980"/>
    <cellStyle name="Comma 5 2 4 7 5" xfId="10494"/>
    <cellStyle name="Comma 5 2 4 7 5 2" xfId="19321"/>
    <cellStyle name="Comma 5 2 4 7 5 3" xfId="29572"/>
    <cellStyle name="Comma 5 2 4 7 6" xfId="11940"/>
    <cellStyle name="Comma 5 2 4 7 6 2" xfId="24330"/>
    <cellStyle name="Comma 5 2 4 7 7" xfId="5238"/>
    <cellStyle name="Comma 5 2 4 7 8" xfId="19973"/>
    <cellStyle name="Comma 5 2 4 8" xfId="1913"/>
    <cellStyle name="Comma 5 2 4 8 2" xfId="9451"/>
    <cellStyle name="Comma 5 2 4 8 2 2" xfId="18278"/>
    <cellStyle name="Comma 5 2 4 8 2 3" xfId="28529"/>
    <cellStyle name="Comma 5 2 4 8 3" xfId="10895"/>
    <cellStyle name="Comma 5 2 4 8 3 2" xfId="25864"/>
    <cellStyle name="Comma 5 2 4 8 4" xfId="6777"/>
    <cellStyle name="Comma 5 2 4 8 5" xfId="20857"/>
    <cellStyle name="Comma 5 2 4 9" xfId="1837"/>
    <cellStyle name="Comma 5 2 4 9 2" xfId="16831"/>
    <cellStyle name="Comma 5 2 4 9 2 2" xfId="27082"/>
    <cellStyle name="Comma 5 2 4 9 3" xfId="13252"/>
    <cellStyle name="Comma 5 2 4 9 4" xfId="7995"/>
    <cellStyle name="Comma 5 2 4 9 5" xfId="22075"/>
    <cellStyle name="Comma 5 2 5" xfId="253"/>
    <cellStyle name="Comma 5 2 5 10" xfId="10980"/>
    <cellStyle name="Comma 5 2 5 10 2" xfId="23489"/>
    <cellStyle name="Comma 5 2 5 11" xfId="4397"/>
    <cellStyle name="Comma 5 2 5 12" xfId="19726"/>
    <cellStyle name="Comma 5 2 5 2" xfId="355"/>
    <cellStyle name="Comma 5 2 5 2 10" xfId="19826"/>
    <cellStyle name="Comma 5 2 5 2 2" xfId="507"/>
    <cellStyle name="Comma 5 2 5 2 2 2" xfId="2240"/>
    <cellStyle name="Comma 5 2 5 2 2 2 2" xfId="16136"/>
    <cellStyle name="Comma 5 2 5 2 2 2 2 2" xfId="26354"/>
    <cellStyle name="Comma 5 2 5 2 2 2 3" xfId="12558"/>
    <cellStyle name="Comma 5 2 5 2 2 2 4" xfId="7267"/>
    <cellStyle name="Comma 5 2 5 2 2 2 5" xfId="21347"/>
    <cellStyle name="Comma 5 2 5 2 2 3" xfId="3514"/>
    <cellStyle name="Comma 5 2 5 2 2 3 2" xfId="17160"/>
    <cellStyle name="Comma 5 2 5 2 2 3 2 2" xfId="27411"/>
    <cellStyle name="Comma 5 2 5 2 2 3 3" xfId="13581"/>
    <cellStyle name="Comma 5 2 5 2 2 3 4" xfId="8324"/>
    <cellStyle name="Comma 5 2 5 2 2 3 5" xfId="22404"/>
    <cellStyle name="Comma 5 2 5 2 2 4" xfId="6383"/>
    <cellStyle name="Comma 5 2 5 2 2 4 2" xfId="15467"/>
    <cellStyle name="Comma 5 2 5 2 2 4 3" xfId="25471"/>
    <cellStyle name="Comma 5 2 5 2 2 5" xfId="9778"/>
    <cellStyle name="Comma 5 2 5 2 2 5 2" xfId="18605"/>
    <cellStyle name="Comma 5 2 5 2 2 5 3" xfId="28856"/>
    <cellStyle name="Comma 5 2 5 2 2 6" xfId="11222"/>
    <cellStyle name="Comma 5 2 5 2 2 6 2" xfId="23953"/>
    <cellStyle name="Comma 5 2 5 2 2 7" xfId="4861"/>
    <cellStyle name="Comma 5 2 5 2 2 8" xfId="20464"/>
    <cellStyle name="Comma 5 2 5 2 3" xfId="866"/>
    <cellStyle name="Comma 5 2 5 2 3 2" xfId="2588"/>
    <cellStyle name="Comma 5 2 5 2 3 2 2" xfId="16697"/>
    <cellStyle name="Comma 5 2 5 2 3 2 2 2" xfId="26916"/>
    <cellStyle name="Comma 5 2 5 2 3 2 3" xfId="13118"/>
    <cellStyle name="Comma 5 2 5 2 3 2 4" xfId="7829"/>
    <cellStyle name="Comma 5 2 5 2 3 2 5" xfId="21909"/>
    <cellStyle name="Comma 5 2 5 2 3 3" xfId="3862"/>
    <cellStyle name="Comma 5 2 5 2 3 3 2" xfId="17508"/>
    <cellStyle name="Comma 5 2 5 2 3 3 2 2" xfId="27759"/>
    <cellStyle name="Comma 5 2 5 2 3 3 3" xfId="13929"/>
    <cellStyle name="Comma 5 2 5 2 3 3 4" xfId="8672"/>
    <cellStyle name="Comma 5 2 5 2 3 3 5" xfId="22752"/>
    <cellStyle name="Comma 5 2 5 2 3 4" xfId="6236"/>
    <cellStyle name="Comma 5 2 5 2 3 4 2" xfId="15320"/>
    <cellStyle name="Comma 5 2 5 2 3 4 3" xfId="25324"/>
    <cellStyle name="Comma 5 2 5 2 3 5" xfId="10126"/>
    <cellStyle name="Comma 5 2 5 2 3 5 2" xfId="18953"/>
    <cellStyle name="Comma 5 2 5 2 3 5 3" xfId="29204"/>
    <cellStyle name="Comma 5 2 5 2 3 6" xfId="11572"/>
    <cellStyle name="Comma 5 2 5 2 3 6 2" xfId="24515"/>
    <cellStyle name="Comma 5 2 5 2 3 7" xfId="5423"/>
    <cellStyle name="Comma 5 2 5 2 3 8" xfId="20317"/>
    <cellStyle name="Comma 5 2 5 2 4" xfId="1542"/>
    <cellStyle name="Comma 5 2 5 2 4 2" xfId="3141"/>
    <cellStyle name="Comma 5 2 5 2 4 2 2" xfId="18061"/>
    <cellStyle name="Comma 5 2 5 2 4 2 2 2" xfId="28312"/>
    <cellStyle name="Comma 5 2 5 2 4 2 3" xfId="14482"/>
    <cellStyle name="Comma 5 2 5 2 4 2 4" xfId="9225"/>
    <cellStyle name="Comma 5 2 5 2 4 2 5" xfId="23305"/>
    <cellStyle name="Comma 5 2 5 2 4 3" xfId="10679"/>
    <cellStyle name="Comma 5 2 5 2 4 3 2" xfId="19506"/>
    <cellStyle name="Comma 5 2 5 2 4 3 3" xfId="29757"/>
    <cellStyle name="Comma 5 2 5 2 4 4" xfId="12125"/>
    <cellStyle name="Comma 5 2 5 2 4 4 2" xfId="26207"/>
    <cellStyle name="Comma 5 2 5 2 4 5" xfId="7120"/>
    <cellStyle name="Comma 5 2 5 2 4 6" xfId="21200"/>
    <cellStyle name="Comma 5 2 5 2 5" xfId="2098"/>
    <cellStyle name="Comma 5 2 5 2 5 2" xfId="17018"/>
    <cellStyle name="Comma 5 2 5 2 5 2 2" xfId="27269"/>
    <cellStyle name="Comma 5 2 5 2 5 3" xfId="13439"/>
    <cellStyle name="Comma 5 2 5 2 5 4" xfId="8182"/>
    <cellStyle name="Comma 5 2 5 2 5 5" xfId="22262"/>
    <cellStyle name="Comma 5 2 5 2 6" xfId="5743"/>
    <cellStyle name="Comma 5 2 5 2 6 2" xfId="14829"/>
    <cellStyle name="Comma 5 2 5 2 6 3" xfId="24833"/>
    <cellStyle name="Comma 5 2 5 2 7" xfId="9636"/>
    <cellStyle name="Comma 5 2 5 2 7 2" xfId="18463"/>
    <cellStyle name="Comma 5 2 5 2 7 3" xfId="28714"/>
    <cellStyle name="Comma 5 2 5 2 8" xfId="11080"/>
    <cellStyle name="Comma 5 2 5 2 8 2" xfId="23806"/>
    <cellStyle name="Comma 5 2 5 2 9" xfId="4714"/>
    <cellStyle name="Comma 5 2 5 3" xfId="506"/>
    <cellStyle name="Comma 5 2 5 3 2" xfId="2239"/>
    <cellStyle name="Comma 5 2 5 3 2 2" xfId="16034"/>
    <cellStyle name="Comma 5 2 5 3 2 2 2" xfId="26107"/>
    <cellStyle name="Comma 5 2 5 3 2 3" xfId="10828"/>
    <cellStyle name="Comma 5 2 5 3 2 4" xfId="7020"/>
    <cellStyle name="Comma 5 2 5 3 2 5" xfId="21100"/>
    <cellStyle name="Comma 5 2 5 3 3" xfId="3513"/>
    <cellStyle name="Comma 5 2 5 3 3 2" xfId="17159"/>
    <cellStyle name="Comma 5 2 5 3 3 2 2" xfId="27410"/>
    <cellStyle name="Comma 5 2 5 3 3 3" xfId="13580"/>
    <cellStyle name="Comma 5 2 5 3 3 4" xfId="8323"/>
    <cellStyle name="Comma 5 2 5 3 3 5" xfId="22403"/>
    <cellStyle name="Comma 5 2 5 3 4" xfId="6136"/>
    <cellStyle name="Comma 5 2 5 3 4 2" xfId="15220"/>
    <cellStyle name="Comma 5 2 5 3 4 3" xfId="25224"/>
    <cellStyle name="Comma 5 2 5 3 5" xfId="9777"/>
    <cellStyle name="Comma 5 2 5 3 5 2" xfId="18604"/>
    <cellStyle name="Comma 5 2 5 3 5 3" xfId="28855"/>
    <cellStyle name="Comma 5 2 5 3 6" xfId="11221"/>
    <cellStyle name="Comma 5 2 5 3 6 2" xfId="23706"/>
    <cellStyle name="Comma 5 2 5 3 7" xfId="4614"/>
    <cellStyle name="Comma 5 2 5 3 8" xfId="20217"/>
    <cellStyle name="Comma 5 2 5 4" xfId="865"/>
    <cellStyle name="Comma 5 2 5 4 2" xfId="2587"/>
    <cellStyle name="Comma 5 2 5 4 2 2" xfId="16135"/>
    <cellStyle name="Comma 5 2 5 4 2 2 2" xfId="26353"/>
    <cellStyle name="Comma 5 2 5 4 2 3" xfId="12557"/>
    <cellStyle name="Comma 5 2 5 4 2 4" xfId="7266"/>
    <cellStyle name="Comma 5 2 5 4 2 5" xfId="21346"/>
    <cellStyle name="Comma 5 2 5 4 3" xfId="3861"/>
    <cellStyle name="Comma 5 2 5 4 3 2" xfId="17507"/>
    <cellStyle name="Comma 5 2 5 4 3 2 2" xfId="27758"/>
    <cellStyle name="Comma 5 2 5 4 3 3" xfId="13928"/>
    <cellStyle name="Comma 5 2 5 4 3 4" xfId="8671"/>
    <cellStyle name="Comma 5 2 5 4 3 5" xfId="22751"/>
    <cellStyle name="Comma 5 2 5 4 4" xfId="6382"/>
    <cellStyle name="Comma 5 2 5 4 4 2" xfId="15466"/>
    <cellStyle name="Comma 5 2 5 4 4 3" xfId="25470"/>
    <cellStyle name="Comma 5 2 5 4 5" xfId="10125"/>
    <cellStyle name="Comma 5 2 5 4 5 2" xfId="18952"/>
    <cellStyle name="Comma 5 2 5 4 5 3" xfId="29203"/>
    <cellStyle name="Comma 5 2 5 4 6" xfId="11571"/>
    <cellStyle name="Comma 5 2 5 4 6 2" xfId="23952"/>
    <cellStyle name="Comma 5 2 5 4 7" xfId="4860"/>
    <cellStyle name="Comma 5 2 5 4 8" xfId="20463"/>
    <cellStyle name="Comma 5 2 5 5" xfId="1440"/>
    <cellStyle name="Comma 5 2 5 5 2" xfId="3041"/>
    <cellStyle name="Comma 5 2 5 5 2 2" xfId="16597"/>
    <cellStyle name="Comma 5 2 5 5 2 2 2" xfId="26816"/>
    <cellStyle name="Comma 5 2 5 5 2 3" xfId="13018"/>
    <cellStyle name="Comma 5 2 5 5 2 4" xfId="7729"/>
    <cellStyle name="Comma 5 2 5 5 2 5" xfId="21809"/>
    <cellStyle name="Comma 5 2 5 5 3" xfId="4255"/>
    <cellStyle name="Comma 5 2 5 5 3 2" xfId="17961"/>
    <cellStyle name="Comma 5 2 5 5 3 2 2" xfId="28212"/>
    <cellStyle name="Comma 5 2 5 5 3 3" xfId="14382"/>
    <cellStyle name="Comma 5 2 5 5 3 4" xfId="9125"/>
    <cellStyle name="Comma 5 2 5 5 3 5" xfId="23205"/>
    <cellStyle name="Comma 5 2 5 5 4" xfId="5917"/>
    <cellStyle name="Comma 5 2 5 5 4 2" xfId="15003"/>
    <cellStyle name="Comma 5 2 5 5 4 3" xfId="25007"/>
    <cellStyle name="Comma 5 2 5 5 5" xfId="10579"/>
    <cellStyle name="Comma 5 2 5 5 5 2" xfId="19406"/>
    <cellStyle name="Comma 5 2 5 5 5 3" xfId="29657"/>
    <cellStyle name="Comma 5 2 5 5 6" xfId="12025"/>
    <cellStyle name="Comma 5 2 5 5 6 2" xfId="24415"/>
    <cellStyle name="Comma 5 2 5 5 7" xfId="5323"/>
    <cellStyle name="Comma 5 2 5 5 8" xfId="20000"/>
    <cellStyle name="Comma 5 2 5 6" xfId="1998"/>
    <cellStyle name="Comma 5 2 5 6 2" xfId="15846"/>
    <cellStyle name="Comma 5 2 5 6 2 2" xfId="25890"/>
    <cellStyle name="Comma 5 2 5 6 3" xfId="12358"/>
    <cellStyle name="Comma 5 2 5 6 4" xfId="6803"/>
    <cellStyle name="Comma 5 2 5 6 5" xfId="20883"/>
    <cellStyle name="Comma 5 2 5 7" xfId="3417"/>
    <cellStyle name="Comma 5 2 5 7 2" xfId="16918"/>
    <cellStyle name="Comma 5 2 5 7 2 2" xfId="27169"/>
    <cellStyle name="Comma 5 2 5 7 3" xfId="13339"/>
    <cellStyle name="Comma 5 2 5 7 4" xfId="8082"/>
    <cellStyle name="Comma 5 2 5 7 5" xfId="22162"/>
    <cellStyle name="Comma 5 2 5 8" xfId="5643"/>
    <cellStyle name="Comma 5 2 5 8 2" xfId="14729"/>
    <cellStyle name="Comma 5 2 5 8 3" xfId="24733"/>
    <cellStyle name="Comma 5 2 5 9" xfId="9536"/>
    <cellStyle name="Comma 5 2 5 9 2" xfId="18363"/>
    <cellStyle name="Comma 5 2 5 9 3" xfId="28614"/>
    <cellStyle name="Comma 5 2 6" xfId="191"/>
    <cellStyle name="Comma 5 2 6 10" xfId="10923"/>
    <cellStyle name="Comma 5 2 6 10 2" xfId="23537"/>
    <cellStyle name="Comma 5 2 6 11" xfId="4445"/>
    <cellStyle name="Comma 5 2 6 12" xfId="19669"/>
    <cellStyle name="Comma 5 2 6 2" xfId="405"/>
    <cellStyle name="Comma 5 2 6 2 10" xfId="19874"/>
    <cellStyle name="Comma 5 2 6 2 2" xfId="509"/>
    <cellStyle name="Comma 5 2 6 2 2 2" xfId="2242"/>
    <cellStyle name="Comma 5 2 6 2 2 2 2" xfId="16138"/>
    <cellStyle name="Comma 5 2 6 2 2 2 2 2" xfId="26356"/>
    <cellStyle name="Comma 5 2 6 2 2 2 3" xfId="12560"/>
    <cellStyle name="Comma 5 2 6 2 2 2 4" xfId="7269"/>
    <cellStyle name="Comma 5 2 6 2 2 2 5" xfId="21349"/>
    <cellStyle name="Comma 5 2 6 2 2 3" xfId="3516"/>
    <cellStyle name="Comma 5 2 6 2 2 3 2" xfId="17162"/>
    <cellStyle name="Comma 5 2 6 2 2 3 2 2" xfId="27413"/>
    <cellStyle name="Comma 5 2 6 2 2 3 3" xfId="13583"/>
    <cellStyle name="Comma 5 2 6 2 2 3 4" xfId="8326"/>
    <cellStyle name="Comma 5 2 6 2 2 3 5" xfId="22406"/>
    <cellStyle name="Comma 5 2 6 2 2 4" xfId="6385"/>
    <cellStyle name="Comma 5 2 6 2 2 4 2" xfId="15469"/>
    <cellStyle name="Comma 5 2 6 2 2 4 3" xfId="25473"/>
    <cellStyle name="Comma 5 2 6 2 2 5" xfId="9780"/>
    <cellStyle name="Comma 5 2 6 2 2 5 2" xfId="18607"/>
    <cellStyle name="Comma 5 2 6 2 2 5 3" xfId="28858"/>
    <cellStyle name="Comma 5 2 6 2 2 6" xfId="11224"/>
    <cellStyle name="Comma 5 2 6 2 2 6 2" xfId="23955"/>
    <cellStyle name="Comma 5 2 6 2 2 7" xfId="4863"/>
    <cellStyle name="Comma 5 2 6 2 2 8" xfId="20466"/>
    <cellStyle name="Comma 5 2 6 2 3" xfId="868"/>
    <cellStyle name="Comma 5 2 6 2 3 2" xfId="2590"/>
    <cellStyle name="Comma 5 2 6 2 3 2 2" xfId="16745"/>
    <cellStyle name="Comma 5 2 6 2 3 2 2 2" xfId="26964"/>
    <cellStyle name="Comma 5 2 6 2 3 2 3" xfId="13166"/>
    <cellStyle name="Comma 5 2 6 2 3 2 4" xfId="7877"/>
    <cellStyle name="Comma 5 2 6 2 3 2 5" xfId="21957"/>
    <cellStyle name="Comma 5 2 6 2 3 3" xfId="3864"/>
    <cellStyle name="Comma 5 2 6 2 3 3 2" xfId="17510"/>
    <cellStyle name="Comma 5 2 6 2 3 3 2 2" xfId="27761"/>
    <cellStyle name="Comma 5 2 6 2 3 3 3" xfId="13931"/>
    <cellStyle name="Comma 5 2 6 2 3 3 4" xfId="8674"/>
    <cellStyle name="Comma 5 2 6 2 3 3 5" xfId="22754"/>
    <cellStyle name="Comma 5 2 6 2 3 4" xfId="6284"/>
    <cellStyle name="Comma 5 2 6 2 3 4 2" xfId="15368"/>
    <cellStyle name="Comma 5 2 6 2 3 4 3" xfId="25372"/>
    <cellStyle name="Comma 5 2 6 2 3 5" xfId="10128"/>
    <cellStyle name="Comma 5 2 6 2 3 5 2" xfId="18955"/>
    <cellStyle name="Comma 5 2 6 2 3 5 3" xfId="29206"/>
    <cellStyle name="Comma 5 2 6 2 3 6" xfId="11574"/>
    <cellStyle name="Comma 5 2 6 2 3 6 2" xfId="24563"/>
    <cellStyle name="Comma 5 2 6 2 3 7" xfId="5471"/>
    <cellStyle name="Comma 5 2 6 2 3 8" xfId="20365"/>
    <cellStyle name="Comma 5 2 6 2 4" xfId="1592"/>
    <cellStyle name="Comma 5 2 6 2 4 2" xfId="3189"/>
    <cellStyle name="Comma 5 2 6 2 4 2 2" xfId="18109"/>
    <cellStyle name="Comma 5 2 6 2 4 2 2 2" xfId="28360"/>
    <cellStyle name="Comma 5 2 6 2 4 2 3" xfId="14530"/>
    <cellStyle name="Comma 5 2 6 2 4 2 4" xfId="9273"/>
    <cellStyle name="Comma 5 2 6 2 4 2 5" xfId="23353"/>
    <cellStyle name="Comma 5 2 6 2 4 3" xfId="10727"/>
    <cellStyle name="Comma 5 2 6 2 4 3 2" xfId="19554"/>
    <cellStyle name="Comma 5 2 6 2 4 3 3" xfId="29805"/>
    <cellStyle name="Comma 5 2 6 2 4 4" xfId="12173"/>
    <cellStyle name="Comma 5 2 6 2 4 4 2" xfId="26255"/>
    <cellStyle name="Comma 5 2 6 2 4 5" xfId="7168"/>
    <cellStyle name="Comma 5 2 6 2 4 6" xfId="21248"/>
    <cellStyle name="Comma 5 2 6 2 5" xfId="2146"/>
    <cellStyle name="Comma 5 2 6 2 5 2" xfId="17066"/>
    <cellStyle name="Comma 5 2 6 2 5 2 2" xfId="27317"/>
    <cellStyle name="Comma 5 2 6 2 5 3" xfId="13487"/>
    <cellStyle name="Comma 5 2 6 2 5 4" xfId="8230"/>
    <cellStyle name="Comma 5 2 6 2 5 5" xfId="22310"/>
    <cellStyle name="Comma 5 2 6 2 6" xfId="5791"/>
    <cellStyle name="Comma 5 2 6 2 6 2" xfId="14877"/>
    <cellStyle name="Comma 5 2 6 2 6 3" xfId="24881"/>
    <cellStyle name="Comma 5 2 6 2 7" xfId="9684"/>
    <cellStyle name="Comma 5 2 6 2 7 2" xfId="18511"/>
    <cellStyle name="Comma 5 2 6 2 7 3" xfId="28762"/>
    <cellStyle name="Comma 5 2 6 2 8" xfId="11128"/>
    <cellStyle name="Comma 5 2 6 2 8 2" xfId="23854"/>
    <cellStyle name="Comma 5 2 6 2 9" xfId="4762"/>
    <cellStyle name="Comma 5 2 6 3" xfId="508"/>
    <cellStyle name="Comma 5 2 6 3 2" xfId="2241"/>
    <cellStyle name="Comma 5 2 6 3 2 2" xfId="15977"/>
    <cellStyle name="Comma 5 2 6 3 2 2 2" xfId="26050"/>
    <cellStyle name="Comma 5 2 6 3 2 3" xfId="12328"/>
    <cellStyle name="Comma 5 2 6 3 2 4" xfId="6963"/>
    <cellStyle name="Comma 5 2 6 3 2 5" xfId="21043"/>
    <cellStyle name="Comma 5 2 6 3 3" xfId="3515"/>
    <cellStyle name="Comma 5 2 6 3 3 2" xfId="17161"/>
    <cellStyle name="Comma 5 2 6 3 3 2 2" xfId="27412"/>
    <cellStyle name="Comma 5 2 6 3 3 3" xfId="13582"/>
    <cellStyle name="Comma 5 2 6 3 3 4" xfId="8325"/>
    <cellStyle name="Comma 5 2 6 3 3 5" xfId="22405"/>
    <cellStyle name="Comma 5 2 6 3 4" xfId="6079"/>
    <cellStyle name="Comma 5 2 6 3 4 2" xfId="15163"/>
    <cellStyle name="Comma 5 2 6 3 4 3" xfId="25167"/>
    <cellStyle name="Comma 5 2 6 3 5" xfId="9779"/>
    <cellStyle name="Comma 5 2 6 3 5 2" xfId="18606"/>
    <cellStyle name="Comma 5 2 6 3 5 3" xfId="28857"/>
    <cellStyle name="Comma 5 2 6 3 6" xfId="11223"/>
    <cellStyle name="Comma 5 2 6 3 6 2" xfId="23649"/>
    <cellStyle name="Comma 5 2 6 3 7" xfId="4557"/>
    <cellStyle name="Comma 5 2 6 3 8" xfId="20160"/>
    <cellStyle name="Comma 5 2 6 4" xfId="867"/>
    <cellStyle name="Comma 5 2 6 4 2" xfId="2589"/>
    <cellStyle name="Comma 5 2 6 4 2 2" xfId="16137"/>
    <cellStyle name="Comma 5 2 6 4 2 2 2" xfId="26355"/>
    <cellStyle name="Comma 5 2 6 4 2 3" xfId="12559"/>
    <cellStyle name="Comma 5 2 6 4 2 4" xfId="7268"/>
    <cellStyle name="Comma 5 2 6 4 2 5" xfId="21348"/>
    <cellStyle name="Comma 5 2 6 4 3" xfId="3863"/>
    <cellStyle name="Comma 5 2 6 4 3 2" xfId="17509"/>
    <cellStyle name="Comma 5 2 6 4 3 2 2" xfId="27760"/>
    <cellStyle name="Comma 5 2 6 4 3 3" xfId="13930"/>
    <cellStyle name="Comma 5 2 6 4 3 4" xfId="8673"/>
    <cellStyle name="Comma 5 2 6 4 3 5" xfId="22753"/>
    <cellStyle name="Comma 5 2 6 4 4" xfId="6384"/>
    <cellStyle name="Comma 5 2 6 4 4 2" xfId="15468"/>
    <cellStyle name="Comma 5 2 6 4 4 3" xfId="25472"/>
    <cellStyle name="Comma 5 2 6 4 5" xfId="10127"/>
    <cellStyle name="Comma 5 2 6 4 5 2" xfId="18954"/>
    <cellStyle name="Comma 5 2 6 4 5 3" xfId="29205"/>
    <cellStyle name="Comma 5 2 6 4 6" xfId="11573"/>
    <cellStyle name="Comma 5 2 6 4 6 2" xfId="23954"/>
    <cellStyle name="Comma 5 2 6 4 7" xfId="4862"/>
    <cellStyle name="Comma 5 2 6 4 8" xfId="20465"/>
    <cellStyle name="Comma 5 2 6 5" xfId="1378"/>
    <cellStyle name="Comma 5 2 6 5 2" xfId="2984"/>
    <cellStyle name="Comma 5 2 6 5 2 2" xfId="16540"/>
    <cellStyle name="Comma 5 2 6 5 2 2 2" xfId="26759"/>
    <cellStyle name="Comma 5 2 6 5 2 3" xfId="12961"/>
    <cellStyle name="Comma 5 2 6 5 2 4" xfId="7672"/>
    <cellStyle name="Comma 5 2 6 5 2 5" xfId="21752"/>
    <cellStyle name="Comma 5 2 6 5 3" xfId="4198"/>
    <cellStyle name="Comma 5 2 6 5 3 2" xfId="17904"/>
    <cellStyle name="Comma 5 2 6 5 3 2 2" xfId="28155"/>
    <cellStyle name="Comma 5 2 6 5 3 3" xfId="14325"/>
    <cellStyle name="Comma 5 2 6 5 3 4" xfId="9068"/>
    <cellStyle name="Comma 5 2 6 5 3 5" xfId="23148"/>
    <cellStyle name="Comma 5 2 6 5 4" xfId="5965"/>
    <cellStyle name="Comma 5 2 6 5 4 2" xfId="15051"/>
    <cellStyle name="Comma 5 2 6 5 4 3" xfId="25055"/>
    <cellStyle name="Comma 5 2 6 5 5" xfId="10522"/>
    <cellStyle name="Comma 5 2 6 5 5 2" xfId="19349"/>
    <cellStyle name="Comma 5 2 6 5 5 3" xfId="29600"/>
    <cellStyle name="Comma 5 2 6 5 6" xfId="11968"/>
    <cellStyle name="Comma 5 2 6 5 6 2" xfId="24358"/>
    <cellStyle name="Comma 5 2 6 5 7" xfId="5266"/>
    <cellStyle name="Comma 5 2 6 5 8" xfId="20048"/>
    <cellStyle name="Comma 5 2 6 6" xfId="1941"/>
    <cellStyle name="Comma 5 2 6 6 2" xfId="15894"/>
    <cellStyle name="Comma 5 2 6 6 2 2" xfId="25938"/>
    <cellStyle name="Comma 5 2 6 6 3" xfId="12274"/>
    <cellStyle name="Comma 5 2 6 6 4" xfId="6851"/>
    <cellStyle name="Comma 5 2 6 6 5" xfId="20931"/>
    <cellStyle name="Comma 5 2 6 7" xfId="3361"/>
    <cellStyle name="Comma 5 2 6 7 2" xfId="16861"/>
    <cellStyle name="Comma 5 2 6 7 2 2" xfId="27112"/>
    <cellStyle name="Comma 5 2 6 7 3" xfId="13282"/>
    <cellStyle name="Comma 5 2 6 7 4" xfId="8025"/>
    <cellStyle name="Comma 5 2 6 7 5" xfId="22105"/>
    <cellStyle name="Comma 5 2 6 8" xfId="5586"/>
    <cellStyle name="Comma 5 2 6 8 2" xfId="14672"/>
    <cellStyle name="Comma 5 2 6 8 3" xfId="24676"/>
    <cellStyle name="Comma 5 2 6 9" xfId="9479"/>
    <cellStyle name="Comma 5 2 6 9 2" xfId="18306"/>
    <cellStyle name="Comma 5 2 6 9 3" xfId="28557"/>
    <cellStyle name="Comma 5 2 7" xfId="461"/>
    <cellStyle name="Comma 5 2 7 10" xfId="4501"/>
    <cellStyle name="Comma 5 2 7 11" xfId="19930"/>
    <cellStyle name="Comma 5 2 7 2" xfId="510"/>
    <cellStyle name="Comma 5 2 7 2 2" xfId="2243"/>
    <cellStyle name="Comma 5 2 7 2 2 2" xfId="16093"/>
    <cellStyle name="Comma 5 2 7 2 2 2 2" xfId="26311"/>
    <cellStyle name="Comma 5 2 7 2 2 3" xfId="12515"/>
    <cellStyle name="Comma 5 2 7 2 2 4" xfId="7224"/>
    <cellStyle name="Comma 5 2 7 2 2 5" xfId="21304"/>
    <cellStyle name="Comma 5 2 7 2 3" xfId="3517"/>
    <cellStyle name="Comma 5 2 7 2 3 2" xfId="17163"/>
    <cellStyle name="Comma 5 2 7 2 3 2 2" xfId="27414"/>
    <cellStyle name="Comma 5 2 7 2 3 3" xfId="13584"/>
    <cellStyle name="Comma 5 2 7 2 3 4" xfId="8327"/>
    <cellStyle name="Comma 5 2 7 2 3 5" xfId="22407"/>
    <cellStyle name="Comma 5 2 7 2 4" xfId="6340"/>
    <cellStyle name="Comma 5 2 7 2 4 2" xfId="15424"/>
    <cellStyle name="Comma 5 2 7 2 4 3" xfId="25428"/>
    <cellStyle name="Comma 5 2 7 2 5" xfId="9781"/>
    <cellStyle name="Comma 5 2 7 2 5 2" xfId="18608"/>
    <cellStyle name="Comma 5 2 7 2 5 3" xfId="28859"/>
    <cellStyle name="Comma 5 2 7 2 6" xfId="11225"/>
    <cellStyle name="Comma 5 2 7 2 6 2" xfId="23910"/>
    <cellStyle name="Comma 5 2 7 2 7" xfId="4818"/>
    <cellStyle name="Comma 5 2 7 2 8" xfId="20421"/>
    <cellStyle name="Comma 5 2 7 3" xfId="869"/>
    <cellStyle name="Comma 5 2 7 3 2" xfId="2591"/>
    <cellStyle name="Comma 5 2 7 3 2 2" xfId="16139"/>
    <cellStyle name="Comma 5 2 7 3 2 2 2" xfId="26357"/>
    <cellStyle name="Comma 5 2 7 3 2 3" xfId="12561"/>
    <cellStyle name="Comma 5 2 7 3 2 4" xfId="7270"/>
    <cellStyle name="Comma 5 2 7 3 2 5" xfId="21350"/>
    <cellStyle name="Comma 5 2 7 3 3" xfId="3865"/>
    <cellStyle name="Comma 5 2 7 3 3 2" xfId="17511"/>
    <cellStyle name="Comma 5 2 7 3 3 2 2" xfId="27762"/>
    <cellStyle name="Comma 5 2 7 3 3 3" xfId="13932"/>
    <cellStyle name="Comma 5 2 7 3 3 4" xfId="8675"/>
    <cellStyle name="Comma 5 2 7 3 3 5" xfId="22755"/>
    <cellStyle name="Comma 5 2 7 3 4" xfId="6386"/>
    <cellStyle name="Comma 5 2 7 3 4 2" xfId="15470"/>
    <cellStyle name="Comma 5 2 7 3 4 3" xfId="25474"/>
    <cellStyle name="Comma 5 2 7 3 5" xfId="10129"/>
    <cellStyle name="Comma 5 2 7 3 5 2" xfId="18956"/>
    <cellStyle name="Comma 5 2 7 3 5 3" xfId="29207"/>
    <cellStyle name="Comma 5 2 7 3 6" xfId="11575"/>
    <cellStyle name="Comma 5 2 7 3 6 2" xfId="23956"/>
    <cellStyle name="Comma 5 2 7 3 7" xfId="4864"/>
    <cellStyle name="Comma 5 2 7 3 8" xfId="20467"/>
    <cellStyle name="Comma 5 2 7 4" xfId="1648"/>
    <cellStyle name="Comma 5 2 7 4 2" xfId="3245"/>
    <cellStyle name="Comma 5 2 7 4 2 2" xfId="16801"/>
    <cellStyle name="Comma 5 2 7 4 2 2 2" xfId="27020"/>
    <cellStyle name="Comma 5 2 7 4 2 3" xfId="13222"/>
    <cellStyle name="Comma 5 2 7 4 2 4" xfId="7933"/>
    <cellStyle name="Comma 5 2 7 4 2 5" xfId="22013"/>
    <cellStyle name="Comma 5 2 7 4 3" xfId="4314"/>
    <cellStyle name="Comma 5 2 7 4 3 2" xfId="18165"/>
    <cellStyle name="Comma 5 2 7 4 3 2 2" xfId="28416"/>
    <cellStyle name="Comma 5 2 7 4 3 3" xfId="14586"/>
    <cellStyle name="Comma 5 2 7 4 3 4" xfId="9329"/>
    <cellStyle name="Comma 5 2 7 4 3 5" xfId="23409"/>
    <cellStyle name="Comma 5 2 7 4 4" xfId="6021"/>
    <cellStyle name="Comma 5 2 7 4 4 2" xfId="15107"/>
    <cellStyle name="Comma 5 2 7 4 4 3" xfId="25111"/>
    <cellStyle name="Comma 5 2 7 4 5" xfId="10783"/>
    <cellStyle name="Comma 5 2 7 4 5 2" xfId="19610"/>
    <cellStyle name="Comma 5 2 7 4 5 3" xfId="29861"/>
    <cellStyle name="Comma 5 2 7 4 6" xfId="12229"/>
    <cellStyle name="Comma 5 2 7 4 6 2" xfId="24619"/>
    <cellStyle name="Comma 5 2 7 4 7" xfId="5527"/>
    <cellStyle name="Comma 5 2 7 4 8" xfId="20104"/>
    <cellStyle name="Comma 5 2 7 5" xfId="2202"/>
    <cellStyle name="Comma 5 2 7 5 2" xfId="15950"/>
    <cellStyle name="Comma 5 2 7 5 2 2" xfId="25994"/>
    <cellStyle name="Comma 5 2 7 5 3" xfId="12394"/>
    <cellStyle name="Comma 5 2 7 5 4" xfId="6907"/>
    <cellStyle name="Comma 5 2 7 5 5" xfId="20987"/>
    <cellStyle name="Comma 5 2 7 6" xfId="3476"/>
    <cellStyle name="Comma 5 2 7 6 2" xfId="17122"/>
    <cellStyle name="Comma 5 2 7 6 2 2" xfId="27373"/>
    <cellStyle name="Comma 5 2 7 6 3" xfId="13543"/>
    <cellStyle name="Comma 5 2 7 6 4" xfId="8286"/>
    <cellStyle name="Comma 5 2 7 6 5" xfId="22366"/>
    <cellStyle name="Comma 5 2 7 7" xfId="5847"/>
    <cellStyle name="Comma 5 2 7 7 2" xfId="14933"/>
    <cellStyle name="Comma 5 2 7 7 3" xfId="24937"/>
    <cellStyle name="Comma 5 2 7 8" xfId="9740"/>
    <cellStyle name="Comma 5 2 7 8 2" xfId="18567"/>
    <cellStyle name="Comma 5 2 7 8 3" xfId="28818"/>
    <cellStyle name="Comma 5 2 7 9" xfId="11184"/>
    <cellStyle name="Comma 5 2 7 9 2" xfId="23593"/>
    <cellStyle name="Comma 5 2 8" xfId="297"/>
    <cellStyle name="Comma 5 2 8 10" xfId="19769"/>
    <cellStyle name="Comma 5 2 8 2" xfId="511"/>
    <cellStyle name="Comma 5 2 8 2 2" xfId="2244"/>
    <cellStyle name="Comma 5 2 8 2 2 2" xfId="16140"/>
    <cellStyle name="Comma 5 2 8 2 2 2 2" xfId="26358"/>
    <cellStyle name="Comma 5 2 8 2 2 3" xfId="12562"/>
    <cellStyle name="Comma 5 2 8 2 2 4" xfId="7271"/>
    <cellStyle name="Comma 5 2 8 2 2 5" xfId="21351"/>
    <cellStyle name="Comma 5 2 8 2 3" xfId="3518"/>
    <cellStyle name="Comma 5 2 8 2 3 2" xfId="17164"/>
    <cellStyle name="Comma 5 2 8 2 3 2 2" xfId="27415"/>
    <cellStyle name="Comma 5 2 8 2 3 3" xfId="13585"/>
    <cellStyle name="Comma 5 2 8 2 3 4" xfId="8328"/>
    <cellStyle name="Comma 5 2 8 2 3 5" xfId="22408"/>
    <cellStyle name="Comma 5 2 8 2 4" xfId="6387"/>
    <cellStyle name="Comma 5 2 8 2 4 2" xfId="15471"/>
    <cellStyle name="Comma 5 2 8 2 4 3" xfId="25475"/>
    <cellStyle name="Comma 5 2 8 2 5" xfId="9782"/>
    <cellStyle name="Comma 5 2 8 2 5 2" xfId="18609"/>
    <cellStyle name="Comma 5 2 8 2 5 3" xfId="28860"/>
    <cellStyle name="Comma 5 2 8 2 6" xfId="11226"/>
    <cellStyle name="Comma 5 2 8 2 6 2" xfId="23957"/>
    <cellStyle name="Comma 5 2 8 2 7" xfId="4865"/>
    <cellStyle name="Comma 5 2 8 2 8" xfId="20468"/>
    <cellStyle name="Comma 5 2 8 3" xfId="870"/>
    <cellStyle name="Comma 5 2 8 3 2" xfId="2592"/>
    <cellStyle name="Comma 5 2 8 3 2 2" xfId="16640"/>
    <cellStyle name="Comma 5 2 8 3 2 2 2" xfId="26859"/>
    <cellStyle name="Comma 5 2 8 3 2 3" xfId="13061"/>
    <cellStyle name="Comma 5 2 8 3 2 4" xfId="7772"/>
    <cellStyle name="Comma 5 2 8 3 2 5" xfId="21852"/>
    <cellStyle name="Comma 5 2 8 3 3" xfId="3866"/>
    <cellStyle name="Comma 5 2 8 3 3 2" xfId="17512"/>
    <cellStyle name="Comma 5 2 8 3 3 2 2" xfId="27763"/>
    <cellStyle name="Comma 5 2 8 3 3 3" xfId="13933"/>
    <cellStyle name="Comma 5 2 8 3 3 4" xfId="8676"/>
    <cellStyle name="Comma 5 2 8 3 3 5" xfId="22756"/>
    <cellStyle name="Comma 5 2 8 3 4" xfId="6179"/>
    <cellStyle name="Comma 5 2 8 3 4 2" xfId="15263"/>
    <cellStyle name="Comma 5 2 8 3 4 3" xfId="25267"/>
    <cellStyle name="Comma 5 2 8 3 5" xfId="10130"/>
    <cellStyle name="Comma 5 2 8 3 5 2" xfId="18957"/>
    <cellStyle name="Comma 5 2 8 3 5 3" xfId="29208"/>
    <cellStyle name="Comma 5 2 8 3 6" xfId="11576"/>
    <cellStyle name="Comma 5 2 8 3 6 2" xfId="24458"/>
    <cellStyle name="Comma 5 2 8 3 7" xfId="5366"/>
    <cellStyle name="Comma 5 2 8 3 8" xfId="20260"/>
    <cellStyle name="Comma 5 2 8 4" xfId="1484"/>
    <cellStyle name="Comma 5 2 8 4 2" xfId="3084"/>
    <cellStyle name="Comma 5 2 8 4 2 2" xfId="18004"/>
    <cellStyle name="Comma 5 2 8 4 2 2 2" xfId="28255"/>
    <cellStyle name="Comma 5 2 8 4 2 3" xfId="14425"/>
    <cellStyle name="Comma 5 2 8 4 2 4" xfId="9168"/>
    <cellStyle name="Comma 5 2 8 4 2 5" xfId="23248"/>
    <cellStyle name="Comma 5 2 8 4 3" xfId="10622"/>
    <cellStyle name="Comma 5 2 8 4 3 2" xfId="19449"/>
    <cellStyle name="Comma 5 2 8 4 3 3" xfId="29700"/>
    <cellStyle name="Comma 5 2 8 4 4" xfId="12068"/>
    <cellStyle name="Comma 5 2 8 4 4 2" xfId="26150"/>
    <cellStyle name="Comma 5 2 8 4 5" xfId="7063"/>
    <cellStyle name="Comma 5 2 8 4 6" xfId="21143"/>
    <cellStyle name="Comma 5 2 8 5" xfId="2041"/>
    <cellStyle name="Comma 5 2 8 5 2" xfId="16961"/>
    <cellStyle name="Comma 5 2 8 5 2 2" xfId="27212"/>
    <cellStyle name="Comma 5 2 8 5 3" xfId="13382"/>
    <cellStyle name="Comma 5 2 8 5 4" xfId="8125"/>
    <cellStyle name="Comma 5 2 8 5 5" xfId="22205"/>
    <cellStyle name="Comma 5 2 8 6" xfId="5686"/>
    <cellStyle name="Comma 5 2 8 6 2" xfId="14772"/>
    <cellStyle name="Comma 5 2 8 6 3" xfId="24776"/>
    <cellStyle name="Comma 5 2 8 7" xfId="9579"/>
    <cellStyle name="Comma 5 2 8 7 2" xfId="18406"/>
    <cellStyle name="Comma 5 2 8 7 3" xfId="28657"/>
    <cellStyle name="Comma 5 2 8 8" xfId="11023"/>
    <cellStyle name="Comma 5 2 8 8 2" xfId="23749"/>
    <cellStyle name="Comma 5 2 8 9" xfId="4657"/>
    <cellStyle name="Comma 5 2 9" xfId="144"/>
    <cellStyle name="Comma 5 2 9 10" xfId="20121"/>
    <cellStyle name="Comma 5 2 9 2" xfId="512"/>
    <cellStyle name="Comma 5 2 9 2 2" xfId="2245"/>
    <cellStyle name="Comma 5 2 9 2 2 2" xfId="16141"/>
    <cellStyle name="Comma 5 2 9 2 2 2 2" xfId="26359"/>
    <cellStyle name="Comma 5 2 9 2 2 3" xfId="12563"/>
    <cellStyle name="Comma 5 2 9 2 2 4" xfId="7272"/>
    <cellStyle name="Comma 5 2 9 2 2 5" xfId="21352"/>
    <cellStyle name="Comma 5 2 9 2 3" xfId="3519"/>
    <cellStyle name="Comma 5 2 9 2 3 2" xfId="17165"/>
    <cellStyle name="Comma 5 2 9 2 3 2 2" xfId="27416"/>
    <cellStyle name="Comma 5 2 9 2 3 3" xfId="13586"/>
    <cellStyle name="Comma 5 2 9 2 3 4" xfId="8329"/>
    <cellStyle name="Comma 5 2 9 2 3 5" xfId="22409"/>
    <cellStyle name="Comma 5 2 9 2 4" xfId="6388"/>
    <cellStyle name="Comma 5 2 9 2 4 2" xfId="15472"/>
    <cellStyle name="Comma 5 2 9 2 4 3" xfId="25476"/>
    <cellStyle name="Comma 5 2 9 2 5" xfId="9783"/>
    <cellStyle name="Comma 5 2 9 2 5 2" xfId="18610"/>
    <cellStyle name="Comma 5 2 9 2 5 3" xfId="28861"/>
    <cellStyle name="Comma 5 2 9 2 6" xfId="11227"/>
    <cellStyle name="Comma 5 2 9 2 6 2" xfId="23958"/>
    <cellStyle name="Comma 5 2 9 2 7" xfId="4866"/>
    <cellStyle name="Comma 5 2 9 2 8" xfId="20469"/>
    <cellStyle name="Comma 5 2 9 3" xfId="871"/>
    <cellStyle name="Comma 5 2 9 3 2" xfId="2593"/>
    <cellStyle name="Comma 5 2 9 3 2 2" xfId="16501"/>
    <cellStyle name="Comma 5 2 9 3 2 2 2" xfId="26720"/>
    <cellStyle name="Comma 5 2 9 3 2 3" xfId="12923"/>
    <cellStyle name="Comma 5 2 9 3 2 4" xfId="7633"/>
    <cellStyle name="Comma 5 2 9 3 2 5" xfId="21713"/>
    <cellStyle name="Comma 5 2 9 3 3" xfId="3867"/>
    <cellStyle name="Comma 5 2 9 3 3 2" xfId="17513"/>
    <cellStyle name="Comma 5 2 9 3 3 2 2" xfId="27764"/>
    <cellStyle name="Comma 5 2 9 3 3 3" xfId="13934"/>
    <cellStyle name="Comma 5 2 9 3 3 4" xfId="8677"/>
    <cellStyle name="Comma 5 2 9 3 3 5" xfId="22757"/>
    <cellStyle name="Comma 5 2 9 3 4" xfId="6719"/>
    <cellStyle name="Comma 5 2 9 3 4 2" xfId="15802"/>
    <cellStyle name="Comma 5 2 9 3 4 3" xfId="25806"/>
    <cellStyle name="Comma 5 2 9 3 5" xfId="10131"/>
    <cellStyle name="Comma 5 2 9 3 5 2" xfId="18958"/>
    <cellStyle name="Comma 5 2 9 3 5 3" xfId="29209"/>
    <cellStyle name="Comma 5 2 9 3 6" xfId="11577"/>
    <cellStyle name="Comma 5 2 9 3 6 2" xfId="24319"/>
    <cellStyle name="Comma 5 2 9 3 7" xfId="5227"/>
    <cellStyle name="Comma 5 2 9 3 8" xfId="20799"/>
    <cellStyle name="Comma 5 2 9 4" xfId="1331"/>
    <cellStyle name="Comma 5 2 9 4 2" xfId="2945"/>
    <cellStyle name="Comma 5 2 9 4 2 2" xfId="17865"/>
    <cellStyle name="Comma 5 2 9 4 2 2 2" xfId="28116"/>
    <cellStyle name="Comma 5 2 9 4 2 3" xfId="14286"/>
    <cellStyle name="Comma 5 2 9 4 2 4" xfId="9029"/>
    <cellStyle name="Comma 5 2 9 4 2 5" xfId="23109"/>
    <cellStyle name="Comma 5 2 9 4 3" xfId="10483"/>
    <cellStyle name="Comma 5 2 9 4 3 2" xfId="19310"/>
    <cellStyle name="Comma 5 2 9 4 3 3" xfId="29561"/>
    <cellStyle name="Comma 5 2 9 4 4" xfId="11929"/>
    <cellStyle name="Comma 5 2 9 4 4 2" xfId="26011"/>
    <cellStyle name="Comma 5 2 9 4 5" xfId="6924"/>
    <cellStyle name="Comma 5 2 9 4 6" xfId="21004"/>
    <cellStyle name="Comma 5 2 9 5" xfId="1902"/>
    <cellStyle name="Comma 5 2 9 5 2" xfId="16820"/>
    <cellStyle name="Comma 5 2 9 5 2 2" xfId="27071"/>
    <cellStyle name="Comma 5 2 9 5 3" xfId="13241"/>
    <cellStyle name="Comma 5 2 9 5 4" xfId="7984"/>
    <cellStyle name="Comma 5 2 9 5 5" xfId="22064"/>
    <cellStyle name="Comma 5 2 9 6" xfId="6040"/>
    <cellStyle name="Comma 5 2 9 6 2" xfId="15124"/>
    <cellStyle name="Comma 5 2 9 6 3" xfId="25128"/>
    <cellStyle name="Comma 5 2 9 7" xfId="9440"/>
    <cellStyle name="Comma 5 2 9 7 2" xfId="18267"/>
    <cellStyle name="Comma 5 2 9 7 3" xfId="28518"/>
    <cellStyle name="Comma 5 2 9 8" xfId="10884"/>
    <cellStyle name="Comma 5 2 9 8 2" xfId="23610"/>
    <cellStyle name="Comma 5 2 9 9" xfId="4518"/>
    <cellStyle name="Comma 5 3" xfId="121"/>
    <cellStyle name="Comma 5 3 10" xfId="1881"/>
    <cellStyle name="Comma 5 3 10 2" xfId="9419"/>
    <cellStyle name="Comma 5 3 10 2 2" xfId="18246"/>
    <cellStyle name="Comma 5 3 10 2 3" xfId="28497"/>
    <cellStyle name="Comma 5 3 10 3" xfId="10863"/>
    <cellStyle name="Comma 5 3 10 3 2" xfId="27050"/>
    <cellStyle name="Comma 5 3 10 4" xfId="7963"/>
    <cellStyle name="Comma 5 3 10 5" xfId="22043"/>
    <cellStyle name="Comma 5 3 11" xfId="1851"/>
    <cellStyle name="Comma 5 3 11 2" xfId="14657"/>
    <cellStyle name="Comma 5 3 11 3" xfId="5571"/>
    <cellStyle name="Comma 5 3 11 4" xfId="24661"/>
    <cellStyle name="Comma 5 3 12" xfId="9389"/>
    <cellStyle name="Comma 5 3 12 2" xfId="18216"/>
    <cellStyle name="Comma 5 3 12 3" xfId="28467"/>
    <cellStyle name="Comma 5 3 13" xfId="10833"/>
    <cellStyle name="Comma 5 3 13 2" xfId="23444"/>
    <cellStyle name="Comma 5 3 14" xfId="4352"/>
    <cellStyle name="Comma 5 3 15" xfId="19654"/>
    <cellStyle name="Comma 5 3 2" xfId="237"/>
    <cellStyle name="Comma 5 3 2 10" xfId="9521"/>
    <cellStyle name="Comma 5 3 2 10 2" xfId="18348"/>
    <cellStyle name="Comma 5 3 2 10 3" xfId="28599"/>
    <cellStyle name="Comma 5 3 2 11" xfId="10965"/>
    <cellStyle name="Comma 5 3 2 11 2" xfId="23474"/>
    <cellStyle name="Comma 5 3 2 12" xfId="4382"/>
    <cellStyle name="Comma 5 3 2 13" xfId="19711"/>
    <cellStyle name="Comma 5 3 2 2" xfId="446"/>
    <cellStyle name="Comma 5 3 2 2 10" xfId="4486"/>
    <cellStyle name="Comma 5 3 2 2 11" xfId="19915"/>
    <cellStyle name="Comma 5 3 2 2 2" xfId="515"/>
    <cellStyle name="Comma 5 3 2 2 2 2" xfId="2248"/>
    <cellStyle name="Comma 5 3 2 2 2 2 2" xfId="16082"/>
    <cellStyle name="Comma 5 3 2 2 2 2 2 2" xfId="26296"/>
    <cellStyle name="Comma 5 3 2 2 2 2 3" xfId="12504"/>
    <cellStyle name="Comma 5 3 2 2 2 2 4" xfId="7209"/>
    <cellStyle name="Comma 5 3 2 2 2 2 5" xfId="21289"/>
    <cellStyle name="Comma 5 3 2 2 2 3" xfId="3522"/>
    <cellStyle name="Comma 5 3 2 2 2 3 2" xfId="17168"/>
    <cellStyle name="Comma 5 3 2 2 2 3 2 2" xfId="27419"/>
    <cellStyle name="Comma 5 3 2 2 2 3 3" xfId="13589"/>
    <cellStyle name="Comma 5 3 2 2 2 3 4" xfId="8332"/>
    <cellStyle name="Comma 5 3 2 2 2 3 5" xfId="22412"/>
    <cellStyle name="Comma 5 3 2 2 2 4" xfId="6325"/>
    <cellStyle name="Comma 5 3 2 2 2 4 2" xfId="15409"/>
    <cellStyle name="Comma 5 3 2 2 2 4 3" xfId="25413"/>
    <cellStyle name="Comma 5 3 2 2 2 5" xfId="9786"/>
    <cellStyle name="Comma 5 3 2 2 2 5 2" xfId="18613"/>
    <cellStyle name="Comma 5 3 2 2 2 5 3" xfId="28864"/>
    <cellStyle name="Comma 5 3 2 2 2 6" xfId="11230"/>
    <cellStyle name="Comma 5 3 2 2 2 6 2" xfId="23895"/>
    <cellStyle name="Comma 5 3 2 2 2 7" xfId="4803"/>
    <cellStyle name="Comma 5 3 2 2 2 8" xfId="20406"/>
    <cellStyle name="Comma 5 3 2 2 3" xfId="874"/>
    <cellStyle name="Comma 5 3 2 2 3 2" xfId="2596"/>
    <cellStyle name="Comma 5 3 2 2 3 2 2" xfId="16144"/>
    <cellStyle name="Comma 5 3 2 2 3 2 2 2" xfId="26362"/>
    <cellStyle name="Comma 5 3 2 2 3 2 3" xfId="12566"/>
    <cellStyle name="Comma 5 3 2 2 3 2 4" xfId="7275"/>
    <cellStyle name="Comma 5 3 2 2 3 2 5" xfId="21355"/>
    <cellStyle name="Comma 5 3 2 2 3 3" xfId="3870"/>
    <cellStyle name="Comma 5 3 2 2 3 3 2" xfId="17516"/>
    <cellStyle name="Comma 5 3 2 2 3 3 2 2" xfId="27767"/>
    <cellStyle name="Comma 5 3 2 2 3 3 3" xfId="13937"/>
    <cellStyle name="Comma 5 3 2 2 3 3 4" xfId="8680"/>
    <cellStyle name="Comma 5 3 2 2 3 3 5" xfId="22760"/>
    <cellStyle name="Comma 5 3 2 2 3 4" xfId="6391"/>
    <cellStyle name="Comma 5 3 2 2 3 4 2" xfId="15475"/>
    <cellStyle name="Comma 5 3 2 2 3 4 3" xfId="25479"/>
    <cellStyle name="Comma 5 3 2 2 3 5" xfId="10134"/>
    <cellStyle name="Comma 5 3 2 2 3 5 2" xfId="18961"/>
    <cellStyle name="Comma 5 3 2 2 3 5 3" xfId="29212"/>
    <cellStyle name="Comma 5 3 2 2 3 6" xfId="11580"/>
    <cellStyle name="Comma 5 3 2 2 3 6 2" xfId="23961"/>
    <cellStyle name="Comma 5 3 2 2 3 7" xfId="4869"/>
    <cellStyle name="Comma 5 3 2 2 3 8" xfId="20472"/>
    <cellStyle name="Comma 5 3 2 2 4" xfId="1633"/>
    <cellStyle name="Comma 5 3 2 2 4 2" xfId="3230"/>
    <cellStyle name="Comma 5 3 2 2 4 2 2" xfId="16786"/>
    <cellStyle name="Comma 5 3 2 2 4 2 2 2" xfId="27005"/>
    <cellStyle name="Comma 5 3 2 2 4 2 3" xfId="13207"/>
    <cellStyle name="Comma 5 3 2 2 4 2 4" xfId="7918"/>
    <cellStyle name="Comma 5 3 2 2 4 2 5" xfId="21998"/>
    <cellStyle name="Comma 5 3 2 2 4 3" xfId="4303"/>
    <cellStyle name="Comma 5 3 2 2 4 3 2" xfId="18150"/>
    <cellStyle name="Comma 5 3 2 2 4 3 2 2" xfId="28401"/>
    <cellStyle name="Comma 5 3 2 2 4 3 3" xfId="14571"/>
    <cellStyle name="Comma 5 3 2 2 4 3 4" xfId="9314"/>
    <cellStyle name="Comma 5 3 2 2 4 3 5" xfId="23394"/>
    <cellStyle name="Comma 5 3 2 2 4 4" xfId="6006"/>
    <cellStyle name="Comma 5 3 2 2 4 4 2" xfId="15092"/>
    <cellStyle name="Comma 5 3 2 2 4 4 3" xfId="25096"/>
    <cellStyle name="Comma 5 3 2 2 4 5" xfId="10768"/>
    <cellStyle name="Comma 5 3 2 2 4 5 2" xfId="19595"/>
    <cellStyle name="Comma 5 3 2 2 4 5 3" xfId="29846"/>
    <cellStyle name="Comma 5 3 2 2 4 6" xfId="12214"/>
    <cellStyle name="Comma 5 3 2 2 4 6 2" xfId="24604"/>
    <cellStyle name="Comma 5 3 2 2 4 7" xfId="5512"/>
    <cellStyle name="Comma 5 3 2 2 4 8" xfId="20089"/>
    <cellStyle name="Comma 5 3 2 2 5" xfId="2187"/>
    <cellStyle name="Comma 5 3 2 2 5 2" xfId="15935"/>
    <cellStyle name="Comma 5 3 2 2 5 2 2" xfId="25979"/>
    <cellStyle name="Comma 5 3 2 2 5 3" xfId="12338"/>
    <cellStyle name="Comma 5 3 2 2 5 4" xfId="6892"/>
    <cellStyle name="Comma 5 3 2 2 5 5" xfId="20972"/>
    <cellStyle name="Comma 5 3 2 2 6" xfId="3465"/>
    <cellStyle name="Comma 5 3 2 2 6 2" xfId="17107"/>
    <cellStyle name="Comma 5 3 2 2 6 2 2" xfId="27358"/>
    <cellStyle name="Comma 5 3 2 2 6 3" xfId="13528"/>
    <cellStyle name="Comma 5 3 2 2 6 4" xfId="8271"/>
    <cellStyle name="Comma 5 3 2 2 6 5" xfId="22351"/>
    <cellStyle name="Comma 5 3 2 2 7" xfId="5832"/>
    <cellStyle name="Comma 5 3 2 2 7 2" xfId="14918"/>
    <cellStyle name="Comma 5 3 2 2 7 3" xfId="24922"/>
    <cellStyle name="Comma 5 3 2 2 8" xfId="9725"/>
    <cellStyle name="Comma 5 3 2 2 8 2" xfId="18552"/>
    <cellStyle name="Comma 5 3 2 2 8 3" xfId="28803"/>
    <cellStyle name="Comma 5 3 2 2 9" xfId="11169"/>
    <cellStyle name="Comma 5 3 2 2 9 2" xfId="23578"/>
    <cellStyle name="Comma 5 3 2 3" xfId="339"/>
    <cellStyle name="Comma 5 3 2 3 10" xfId="19811"/>
    <cellStyle name="Comma 5 3 2 3 2" xfId="516"/>
    <cellStyle name="Comma 5 3 2 3 2 2" xfId="2249"/>
    <cellStyle name="Comma 5 3 2 3 2 2 2" xfId="16145"/>
    <cellStyle name="Comma 5 3 2 3 2 2 2 2" xfId="26363"/>
    <cellStyle name="Comma 5 3 2 3 2 2 3" xfId="12567"/>
    <cellStyle name="Comma 5 3 2 3 2 2 4" xfId="7276"/>
    <cellStyle name="Comma 5 3 2 3 2 2 5" xfId="21356"/>
    <cellStyle name="Comma 5 3 2 3 2 3" xfId="3523"/>
    <cellStyle name="Comma 5 3 2 3 2 3 2" xfId="17169"/>
    <cellStyle name="Comma 5 3 2 3 2 3 2 2" xfId="27420"/>
    <cellStyle name="Comma 5 3 2 3 2 3 3" xfId="13590"/>
    <cellStyle name="Comma 5 3 2 3 2 3 4" xfId="8333"/>
    <cellStyle name="Comma 5 3 2 3 2 3 5" xfId="22413"/>
    <cellStyle name="Comma 5 3 2 3 2 4" xfId="6392"/>
    <cellStyle name="Comma 5 3 2 3 2 4 2" xfId="15476"/>
    <cellStyle name="Comma 5 3 2 3 2 4 3" xfId="25480"/>
    <cellStyle name="Comma 5 3 2 3 2 5" xfId="9787"/>
    <cellStyle name="Comma 5 3 2 3 2 5 2" xfId="18614"/>
    <cellStyle name="Comma 5 3 2 3 2 5 3" xfId="28865"/>
    <cellStyle name="Comma 5 3 2 3 2 6" xfId="11231"/>
    <cellStyle name="Comma 5 3 2 3 2 6 2" xfId="23962"/>
    <cellStyle name="Comma 5 3 2 3 2 7" xfId="4870"/>
    <cellStyle name="Comma 5 3 2 3 2 8" xfId="20473"/>
    <cellStyle name="Comma 5 3 2 3 3" xfId="875"/>
    <cellStyle name="Comma 5 3 2 3 3 2" xfId="2597"/>
    <cellStyle name="Comma 5 3 2 3 3 2 2" xfId="16682"/>
    <cellStyle name="Comma 5 3 2 3 3 2 2 2" xfId="26901"/>
    <cellStyle name="Comma 5 3 2 3 3 2 3" xfId="13103"/>
    <cellStyle name="Comma 5 3 2 3 3 2 4" xfId="7814"/>
    <cellStyle name="Comma 5 3 2 3 3 2 5" xfId="21894"/>
    <cellStyle name="Comma 5 3 2 3 3 3" xfId="3871"/>
    <cellStyle name="Comma 5 3 2 3 3 3 2" xfId="17517"/>
    <cellStyle name="Comma 5 3 2 3 3 3 2 2" xfId="27768"/>
    <cellStyle name="Comma 5 3 2 3 3 3 3" xfId="13938"/>
    <cellStyle name="Comma 5 3 2 3 3 3 4" xfId="8681"/>
    <cellStyle name="Comma 5 3 2 3 3 3 5" xfId="22761"/>
    <cellStyle name="Comma 5 3 2 3 3 4" xfId="6221"/>
    <cellStyle name="Comma 5 3 2 3 3 4 2" xfId="15305"/>
    <cellStyle name="Comma 5 3 2 3 3 4 3" xfId="25309"/>
    <cellStyle name="Comma 5 3 2 3 3 5" xfId="10135"/>
    <cellStyle name="Comma 5 3 2 3 3 5 2" xfId="18962"/>
    <cellStyle name="Comma 5 3 2 3 3 5 3" xfId="29213"/>
    <cellStyle name="Comma 5 3 2 3 3 6" xfId="11581"/>
    <cellStyle name="Comma 5 3 2 3 3 6 2" xfId="24500"/>
    <cellStyle name="Comma 5 3 2 3 3 7" xfId="5408"/>
    <cellStyle name="Comma 5 3 2 3 3 8" xfId="20302"/>
    <cellStyle name="Comma 5 3 2 3 4" xfId="1526"/>
    <cellStyle name="Comma 5 3 2 3 4 2" xfId="3126"/>
    <cellStyle name="Comma 5 3 2 3 4 2 2" xfId="18046"/>
    <cellStyle name="Comma 5 3 2 3 4 2 2 2" xfId="28297"/>
    <cellStyle name="Comma 5 3 2 3 4 2 3" xfId="14467"/>
    <cellStyle name="Comma 5 3 2 3 4 2 4" xfId="9210"/>
    <cellStyle name="Comma 5 3 2 3 4 2 5" xfId="23290"/>
    <cellStyle name="Comma 5 3 2 3 4 3" xfId="10664"/>
    <cellStyle name="Comma 5 3 2 3 4 3 2" xfId="19491"/>
    <cellStyle name="Comma 5 3 2 3 4 3 3" xfId="29742"/>
    <cellStyle name="Comma 5 3 2 3 4 4" xfId="12110"/>
    <cellStyle name="Comma 5 3 2 3 4 4 2" xfId="26192"/>
    <cellStyle name="Comma 5 3 2 3 4 5" xfId="7105"/>
    <cellStyle name="Comma 5 3 2 3 4 6" xfId="21185"/>
    <cellStyle name="Comma 5 3 2 3 5" xfId="2083"/>
    <cellStyle name="Comma 5 3 2 3 5 2" xfId="17003"/>
    <cellStyle name="Comma 5 3 2 3 5 2 2" xfId="27254"/>
    <cellStyle name="Comma 5 3 2 3 5 3" xfId="13424"/>
    <cellStyle name="Comma 5 3 2 3 5 4" xfId="8167"/>
    <cellStyle name="Comma 5 3 2 3 5 5" xfId="22247"/>
    <cellStyle name="Comma 5 3 2 3 6" xfId="5728"/>
    <cellStyle name="Comma 5 3 2 3 6 2" xfId="14814"/>
    <cellStyle name="Comma 5 3 2 3 6 3" xfId="24818"/>
    <cellStyle name="Comma 5 3 2 3 7" xfId="9621"/>
    <cellStyle name="Comma 5 3 2 3 7 2" xfId="18448"/>
    <cellStyle name="Comma 5 3 2 3 7 3" xfId="28699"/>
    <cellStyle name="Comma 5 3 2 3 8" xfId="11065"/>
    <cellStyle name="Comma 5 3 2 3 8 2" xfId="23791"/>
    <cellStyle name="Comma 5 3 2 3 9" xfId="4699"/>
    <cellStyle name="Comma 5 3 2 4" xfId="514"/>
    <cellStyle name="Comma 5 3 2 4 2" xfId="2247"/>
    <cellStyle name="Comma 5 3 2 4 2 2" xfId="16019"/>
    <cellStyle name="Comma 5 3 2 4 2 2 2" xfId="26092"/>
    <cellStyle name="Comma 5 3 2 4 2 3" xfId="12285"/>
    <cellStyle name="Comma 5 3 2 4 2 4" xfId="7005"/>
    <cellStyle name="Comma 5 3 2 4 2 5" xfId="21085"/>
    <cellStyle name="Comma 5 3 2 4 3" xfId="3521"/>
    <cellStyle name="Comma 5 3 2 4 3 2" xfId="17167"/>
    <cellStyle name="Comma 5 3 2 4 3 2 2" xfId="27418"/>
    <cellStyle name="Comma 5 3 2 4 3 3" xfId="13588"/>
    <cellStyle name="Comma 5 3 2 4 3 4" xfId="8331"/>
    <cellStyle name="Comma 5 3 2 4 3 5" xfId="22411"/>
    <cellStyle name="Comma 5 3 2 4 4" xfId="6121"/>
    <cellStyle name="Comma 5 3 2 4 4 2" xfId="15205"/>
    <cellStyle name="Comma 5 3 2 4 4 3" xfId="25209"/>
    <cellStyle name="Comma 5 3 2 4 5" xfId="9785"/>
    <cellStyle name="Comma 5 3 2 4 5 2" xfId="18612"/>
    <cellStyle name="Comma 5 3 2 4 5 3" xfId="28863"/>
    <cellStyle name="Comma 5 3 2 4 6" xfId="11229"/>
    <cellStyle name="Comma 5 3 2 4 6 2" xfId="23691"/>
    <cellStyle name="Comma 5 3 2 4 7" xfId="4599"/>
    <cellStyle name="Comma 5 3 2 4 8" xfId="20202"/>
    <cellStyle name="Comma 5 3 2 5" xfId="873"/>
    <cellStyle name="Comma 5 3 2 5 2" xfId="2595"/>
    <cellStyle name="Comma 5 3 2 5 2 2" xfId="16143"/>
    <cellStyle name="Comma 5 3 2 5 2 2 2" xfId="26361"/>
    <cellStyle name="Comma 5 3 2 5 2 3" xfId="12565"/>
    <cellStyle name="Comma 5 3 2 5 2 4" xfId="7274"/>
    <cellStyle name="Comma 5 3 2 5 2 5" xfId="21354"/>
    <cellStyle name="Comma 5 3 2 5 3" xfId="3869"/>
    <cellStyle name="Comma 5 3 2 5 3 2" xfId="17515"/>
    <cellStyle name="Comma 5 3 2 5 3 2 2" xfId="27766"/>
    <cellStyle name="Comma 5 3 2 5 3 3" xfId="13936"/>
    <cellStyle name="Comma 5 3 2 5 3 4" xfId="8679"/>
    <cellStyle name="Comma 5 3 2 5 3 5" xfId="22759"/>
    <cellStyle name="Comma 5 3 2 5 4" xfId="6390"/>
    <cellStyle name="Comma 5 3 2 5 4 2" xfId="15474"/>
    <cellStyle name="Comma 5 3 2 5 4 3" xfId="25478"/>
    <cellStyle name="Comma 5 3 2 5 5" xfId="10133"/>
    <cellStyle name="Comma 5 3 2 5 5 2" xfId="18960"/>
    <cellStyle name="Comma 5 3 2 5 5 3" xfId="29211"/>
    <cellStyle name="Comma 5 3 2 5 6" xfId="11579"/>
    <cellStyle name="Comma 5 3 2 5 6 2" xfId="23960"/>
    <cellStyle name="Comma 5 3 2 5 7" xfId="4868"/>
    <cellStyle name="Comma 5 3 2 5 8" xfId="20471"/>
    <cellStyle name="Comma 5 3 2 6" xfId="1424"/>
    <cellStyle name="Comma 5 3 2 6 2" xfId="3026"/>
    <cellStyle name="Comma 5 3 2 6 2 2" xfId="16582"/>
    <cellStyle name="Comma 5 3 2 6 2 2 2" xfId="26801"/>
    <cellStyle name="Comma 5 3 2 6 2 3" xfId="13003"/>
    <cellStyle name="Comma 5 3 2 6 2 4" xfId="7714"/>
    <cellStyle name="Comma 5 3 2 6 2 5" xfId="21794"/>
    <cellStyle name="Comma 5 3 2 6 3" xfId="4240"/>
    <cellStyle name="Comma 5 3 2 6 3 2" xfId="17946"/>
    <cellStyle name="Comma 5 3 2 6 3 2 2" xfId="28197"/>
    <cellStyle name="Comma 5 3 2 6 3 3" xfId="14367"/>
    <cellStyle name="Comma 5 3 2 6 3 4" xfId="9110"/>
    <cellStyle name="Comma 5 3 2 6 3 5" xfId="23190"/>
    <cellStyle name="Comma 5 3 2 6 4" xfId="5902"/>
    <cellStyle name="Comma 5 3 2 6 4 2" xfId="14988"/>
    <cellStyle name="Comma 5 3 2 6 4 3" xfId="24992"/>
    <cellStyle name="Comma 5 3 2 6 5" xfId="10564"/>
    <cellStyle name="Comma 5 3 2 6 5 2" xfId="19391"/>
    <cellStyle name="Comma 5 3 2 6 5 3" xfId="29642"/>
    <cellStyle name="Comma 5 3 2 6 6" xfId="12010"/>
    <cellStyle name="Comma 5 3 2 6 6 2" xfId="24400"/>
    <cellStyle name="Comma 5 3 2 6 7" xfId="5308"/>
    <cellStyle name="Comma 5 3 2 6 8" xfId="19985"/>
    <cellStyle name="Comma 5 3 2 7" xfId="1983"/>
    <cellStyle name="Comma 5 3 2 7 2" xfId="15834"/>
    <cellStyle name="Comma 5 3 2 7 2 2" xfId="25875"/>
    <cellStyle name="Comma 5 3 2 7 3" xfId="12420"/>
    <cellStyle name="Comma 5 3 2 7 4" xfId="6788"/>
    <cellStyle name="Comma 5 3 2 7 5" xfId="20868"/>
    <cellStyle name="Comma 5 3 2 8" xfId="3402"/>
    <cellStyle name="Comma 5 3 2 8 2" xfId="16903"/>
    <cellStyle name="Comma 5 3 2 8 2 2" xfId="27154"/>
    <cellStyle name="Comma 5 3 2 8 3" xfId="13324"/>
    <cellStyle name="Comma 5 3 2 8 4" xfId="8067"/>
    <cellStyle name="Comma 5 3 2 8 5" xfId="22147"/>
    <cellStyle name="Comma 5 3 2 9" xfId="5628"/>
    <cellStyle name="Comma 5 3 2 9 2" xfId="14714"/>
    <cellStyle name="Comma 5 3 2 9 3" xfId="24718"/>
    <cellStyle name="Comma 5 3 3" xfId="282"/>
    <cellStyle name="Comma 5 3 3 10" xfId="11008"/>
    <cellStyle name="Comma 5 3 3 10 2" xfId="23517"/>
    <cellStyle name="Comma 5 3 3 11" xfId="4425"/>
    <cellStyle name="Comma 5 3 3 12" xfId="19754"/>
    <cellStyle name="Comma 5 3 3 2" xfId="384"/>
    <cellStyle name="Comma 5 3 3 2 10" xfId="19854"/>
    <cellStyle name="Comma 5 3 3 2 2" xfId="518"/>
    <cellStyle name="Comma 5 3 3 2 2 2" xfId="2251"/>
    <cellStyle name="Comma 5 3 3 2 2 2 2" xfId="16147"/>
    <cellStyle name="Comma 5 3 3 2 2 2 2 2" xfId="26365"/>
    <cellStyle name="Comma 5 3 3 2 2 2 3" xfId="12569"/>
    <cellStyle name="Comma 5 3 3 2 2 2 4" xfId="7278"/>
    <cellStyle name="Comma 5 3 3 2 2 2 5" xfId="21358"/>
    <cellStyle name="Comma 5 3 3 2 2 3" xfId="3525"/>
    <cellStyle name="Comma 5 3 3 2 2 3 2" xfId="17171"/>
    <cellStyle name="Comma 5 3 3 2 2 3 2 2" xfId="27422"/>
    <cellStyle name="Comma 5 3 3 2 2 3 3" xfId="13592"/>
    <cellStyle name="Comma 5 3 3 2 2 3 4" xfId="8335"/>
    <cellStyle name="Comma 5 3 3 2 2 3 5" xfId="22415"/>
    <cellStyle name="Comma 5 3 3 2 2 4" xfId="6394"/>
    <cellStyle name="Comma 5 3 3 2 2 4 2" xfId="15478"/>
    <cellStyle name="Comma 5 3 3 2 2 4 3" xfId="25482"/>
    <cellStyle name="Comma 5 3 3 2 2 5" xfId="9789"/>
    <cellStyle name="Comma 5 3 3 2 2 5 2" xfId="18616"/>
    <cellStyle name="Comma 5 3 3 2 2 5 3" xfId="28867"/>
    <cellStyle name="Comma 5 3 3 2 2 6" xfId="11233"/>
    <cellStyle name="Comma 5 3 3 2 2 6 2" xfId="23964"/>
    <cellStyle name="Comma 5 3 3 2 2 7" xfId="4872"/>
    <cellStyle name="Comma 5 3 3 2 2 8" xfId="20475"/>
    <cellStyle name="Comma 5 3 3 2 3" xfId="877"/>
    <cellStyle name="Comma 5 3 3 2 3 2" xfId="2599"/>
    <cellStyle name="Comma 5 3 3 2 3 2 2" xfId="16725"/>
    <cellStyle name="Comma 5 3 3 2 3 2 2 2" xfId="26944"/>
    <cellStyle name="Comma 5 3 3 2 3 2 3" xfId="13146"/>
    <cellStyle name="Comma 5 3 3 2 3 2 4" xfId="7857"/>
    <cellStyle name="Comma 5 3 3 2 3 2 5" xfId="21937"/>
    <cellStyle name="Comma 5 3 3 2 3 3" xfId="3873"/>
    <cellStyle name="Comma 5 3 3 2 3 3 2" xfId="17519"/>
    <cellStyle name="Comma 5 3 3 2 3 3 2 2" xfId="27770"/>
    <cellStyle name="Comma 5 3 3 2 3 3 3" xfId="13940"/>
    <cellStyle name="Comma 5 3 3 2 3 3 4" xfId="8683"/>
    <cellStyle name="Comma 5 3 3 2 3 3 5" xfId="22763"/>
    <cellStyle name="Comma 5 3 3 2 3 4" xfId="6264"/>
    <cellStyle name="Comma 5 3 3 2 3 4 2" xfId="15348"/>
    <cellStyle name="Comma 5 3 3 2 3 4 3" xfId="25352"/>
    <cellStyle name="Comma 5 3 3 2 3 5" xfId="10137"/>
    <cellStyle name="Comma 5 3 3 2 3 5 2" xfId="18964"/>
    <cellStyle name="Comma 5 3 3 2 3 5 3" xfId="29215"/>
    <cellStyle name="Comma 5 3 3 2 3 6" xfId="11583"/>
    <cellStyle name="Comma 5 3 3 2 3 6 2" xfId="24543"/>
    <cellStyle name="Comma 5 3 3 2 3 7" xfId="5451"/>
    <cellStyle name="Comma 5 3 3 2 3 8" xfId="20345"/>
    <cellStyle name="Comma 5 3 3 2 4" xfId="1571"/>
    <cellStyle name="Comma 5 3 3 2 4 2" xfId="3169"/>
    <cellStyle name="Comma 5 3 3 2 4 2 2" xfId="18089"/>
    <cellStyle name="Comma 5 3 3 2 4 2 2 2" xfId="28340"/>
    <cellStyle name="Comma 5 3 3 2 4 2 3" xfId="14510"/>
    <cellStyle name="Comma 5 3 3 2 4 2 4" xfId="9253"/>
    <cellStyle name="Comma 5 3 3 2 4 2 5" xfId="23333"/>
    <cellStyle name="Comma 5 3 3 2 4 3" xfId="10707"/>
    <cellStyle name="Comma 5 3 3 2 4 3 2" xfId="19534"/>
    <cellStyle name="Comma 5 3 3 2 4 3 3" xfId="29785"/>
    <cellStyle name="Comma 5 3 3 2 4 4" xfId="12153"/>
    <cellStyle name="Comma 5 3 3 2 4 4 2" xfId="26235"/>
    <cellStyle name="Comma 5 3 3 2 4 5" xfId="7148"/>
    <cellStyle name="Comma 5 3 3 2 4 6" xfId="21228"/>
    <cellStyle name="Comma 5 3 3 2 5" xfId="2126"/>
    <cellStyle name="Comma 5 3 3 2 5 2" xfId="17046"/>
    <cellStyle name="Comma 5 3 3 2 5 2 2" xfId="27297"/>
    <cellStyle name="Comma 5 3 3 2 5 3" xfId="13467"/>
    <cellStyle name="Comma 5 3 3 2 5 4" xfId="8210"/>
    <cellStyle name="Comma 5 3 3 2 5 5" xfId="22290"/>
    <cellStyle name="Comma 5 3 3 2 6" xfId="5771"/>
    <cellStyle name="Comma 5 3 3 2 6 2" xfId="14857"/>
    <cellStyle name="Comma 5 3 3 2 6 3" xfId="24861"/>
    <cellStyle name="Comma 5 3 3 2 7" xfId="9664"/>
    <cellStyle name="Comma 5 3 3 2 7 2" xfId="18491"/>
    <cellStyle name="Comma 5 3 3 2 7 3" xfId="28742"/>
    <cellStyle name="Comma 5 3 3 2 8" xfId="11108"/>
    <cellStyle name="Comma 5 3 3 2 8 2" xfId="23834"/>
    <cellStyle name="Comma 5 3 3 2 9" xfId="4742"/>
    <cellStyle name="Comma 5 3 3 3" xfId="517"/>
    <cellStyle name="Comma 5 3 3 3 2" xfId="2250"/>
    <cellStyle name="Comma 5 3 3 3 2 2" xfId="16062"/>
    <cellStyle name="Comma 5 3 3 3 2 2 2" xfId="26135"/>
    <cellStyle name="Comma 5 3 3 3 2 3" xfId="12263"/>
    <cellStyle name="Comma 5 3 3 3 2 4" xfId="7048"/>
    <cellStyle name="Comma 5 3 3 3 2 5" xfId="21128"/>
    <cellStyle name="Comma 5 3 3 3 3" xfId="3524"/>
    <cellStyle name="Comma 5 3 3 3 3 2" xfId="17170"/>
    <cellStyle name="Comma 5 3 3 3 3 2 2" xfId="27421"/>
    <cellStyle name="Comma 5 3 3 3 3 3" xfId="13591"/>
    <cellStyle name="Comma 5 3 3 3 3 4" xfId="8334"/>
    <cellStyle name="Comma 5 3 3 3 3 5" xfId="22414"/>
    <cellStyle name="Comma 5 3 3 3 4" xfId="6164"/>
    <cellStyle name="Comma 5 3 3 3 4 2" xfId="15248"/>
    <cellStyle name="Comma 5 3 3 3 4 3" xfId="25252"/>
    <cellStyle name="Comma 5 3 3 3 5" xfId="9788"/>
    <cellStyle name="Comma 5 3 3 3 5 2" xfId="18615"/>
    <cellStyle name="Comma 5 3 3 3 5 3" xfId="28866"/>
    <cellStyle name="Comma 5 3 3 3 6" xfId="11232"/>
    <cellStyle name="Comma 5 3 3 3 6 2" xfId="23734"/>
    <cellStyle name="Comma 5 3 3 3 7" xfId="4642"/>
    <cellStyle name="Comma 5 3 3 3 8" xfId="20245"/>
    <cellStyle name="Comma 5 3 3 4" xfId="876"/>
    <cellStyle name="Comma 5 3 3 4 2" xfId="2598"/>
    <cellStyle name="Comma 5 3 3 4 2 2" xfId="16146"/>
    <cellStyle name="Comma 5 3 3 4 2 2 2" xfId="26364"/>
    <cellStyle name="Comma 5 3 3 4 2 3" xfId="12568"/>
    <cellStyle name="Comma 5 3 3 4 2 4" xfId="7277"/>
    <cellStyle name="Comma 5 3 3 4 2 5" xfId="21357"/>
    <cellStyle name="Comma 5 3 3 4 3" xfId="3872"/>
    <cellStyle name="Comma 5 3 3 4 3 2" xfId="17518"/>
    <cellStyle name="Comma 5 3 3 4 3 2 2" xfId="27769"/>
    <cellStyle name="Comma 5 3 3 4 3 3" xfId="13939"/>
    <cellStyle name="Comma 5 3 3 4 3 4" xfId="8682"/>
    <cellStyle name="Comma 5 3 3 4 3 5" xfId="22762"/>
    <cellStyle name="Comma 5 3 3 4 4" xfId="6393"/>
    <cellStyle name="Comma 5 3 3 4 4 2" xfId="15477"/>
    <cellStyle name="Comma 5 3 3 4 4 3" xfId="25481"/>
    <cellStyle name="Comma 5 3 3 4 5" xfId="10136"/>
    <cellStyle name="Comma 5 3 3 4 5 2" xfId="18963"/>
    <cellStyle name="Comma 5 3 3 4 5 3" xfId="29214"/>
    <cellStyle name="Comma 5 3 3 4 6" xfId="11582"/>
    <cellStyle name="Comma 5 3 3 4 6 2" xfId="23963"/>
    <cellStyle name="Comma 5 3 3 4 7" xfId="4871"/>
    <cellStyle name="Comma 5 3 3 4 8" xfId="20474"/>
    <cellStyle name="Comma 5 3 3 5" xfId="1469"/>
    <cellStyle name="Comma 5 3 3 5 2" xfId="3069"/>
    <cellStyle name="Comma 5 3 3 5 2 2" xfId="16625"/>
    <cellStyle name="Comma 5 3 3 5 2 2 2" xfId="26844"/>
    <cellStyle name="Comma 5 3 3 5 2 3" xfId="13046"/>
    <cellStyle name="Comma 5 3 3 5 2 4" xfId="7757"/>
    <cellStyle name="Comma 5 3 3 5 2 5" xfId="21837"/>
    <cellStyle name="Comma 5 3 3 5 3" xfId="4283"/>
    <cellStyle name="Comma 5 3 3 5 3 2" xfId="17989"/>
    <cellStyle name="Comma 5 3 3 5 3 2 2" xfId="28240"/>
    <cellStyle name="Comma 5 3 3 5 3 3" xfId="14410"/>
    <cellStyle name="Comma 5 3 3 5 3 4" xfId="9153"/>
    <cellStyle name="Comma 5 3 3 5 3 5" xfId="23233"/>
    <cellStyle name="Comma 5 3 3 5 4" xfId="5945"/>
    <cellStyle name="Comma 5 3 3 5 4 2" xfId="15031"/>
    <cellStyle name="Comma 5 3 3 5 4 3" xfId="25035"/>
    <cellStyle name="Comma 5 3 3 5 5" xfId="10607"/>
    <cellStyle name="Comma 5 3 3 5 5 2" xfId="19434"/>
    <cellStyle name="Comma 5 3 3 5 5 3" xfId="29685"/>
    <cellStyle name="Comma 5 3 3 5 6" xfId="12053"/>
    <cellStyle name="Comma 5 3 3 5 6 2" xfId="24443"/>
    <cellStyle name="Comma 5 3 3 5 7" xfId="5351"/>
    <cellStyle name="Comma 5 3 3 5 8" xfId="20028"/>
    <cellStyle name="Comma 5 3 3 6" xfId="2026"/>
    <cellStyle name="Comma 5 3 3 6 2" xfId="15874"/>
    <cellStyle name="Comma 5 3 3 6 2 2" xfId="25918"/>
    <cellStyle name="Comma 5 3 3 6 3" xfId="12486"/>
    <cellStyle name="Comma 5 3 3 6 4" xfId="6831"/>
    <cellStyle name="Comma 5 3 3 6 5" xfId="20911"/>
    <cellStyle name="Comma 5 3 3 7" xfId="3445"/>
    <cellStyle name="Comma 5 3 3 7 2" xfId="16946"/>
    <cellStyle name="Comma 5 3 3 7 2 2" xfId="27197"/>
    <cellStyle name="Comma 5 3 3 7 3" xfId="13367"/>
    <cellStyle name="Comma 5 3 3 7 4" xfId="8110"/>
    <cellStyle name="Comma 5 3 3 7 5" xfId="22190"/>
    <cellStyle name="Comma 5 3 3 8" xfId="5671"/>
    <cellStyle name="Comma 5 3 3 8 2" xfId="14757"/>
    <cellStyle name="Comma 5 3 3 8 3" xfId="24761"/>
    <cellStyle name="Comma 5 3 3 9" xfId="9564"/>
    <cellStyle name="Comma 5 3 3 9 2" xfId="18391"/>
    <cellStyle name="Comma 5 3 3 9 3" xfId="28642"/>
    <cellStyle name="Comma 5 3 4" xfId="203"/>
    <cellStyle name="Comma 5 3 4 10" xfId="10935"/>
    <cellStyle name="Comma 5 3 4 10 2" xfId="23549"/>
    <cellStyle name="Comma 5 3 4 11" xfId="4457"/>
    <cellStyle name="Comma 5 3 4 12" xfId="19681"/>
    <cellStyle name="Comma 5 3 4 2" xfId="417"/>
    <cellStyle name="Comma 5 3 4 2 10" xfId="19886"/>
    <cellStyle name="Comma 5 3 4 2 2" xfId="520"/>
    <cellStyle name="Comma 5 3 4 2 2 2" xfId="2253"/>
    <cellStyle name="Comma 5 3 4 2 2 2 2" xfId="16149"/>
    <cellStyle name="Comma 5 3 4 2 2 2 2 2" xfId="26367"/>
    <cellStyle name="Comma 5 3 4 2 2 2 3" xfId="12571"/>
    <cellStyle name="Comma 5 3 4 2 2 2 4" xfId="7280"/>
    <cellStyle name="Comma 5 3 4 2 2 2 5" xfId="21360"/>
    <cellStyle name="Comma 5 3 4 2 2 3" xfId="3527"/>
    <cellStyle name="Comma 5 3 4 2 2 3 2" xfId="17173"/>
    <cellStyle name="Comma 5 3 4 2 2 3 2 2" xfId="27424"/>
    <cellStyle name="Comma 5 3 4 2 2 3 3" xfId="13594"/>
    <cellStyle name="Comma 5 3 4 2 2 3 4" xfId="8337"/>
    <cellStyle name="Comma 5 3 4 2 2 3 5" xfId="22417"/>
    <cellStyle name="Comma 5 3 4 2 2 4" xfId="6396"/>
    <cellStyle name="Comma 5 3 4 2 2 4 2" xfId="15480"/>
    <cellStyle name="Comma 5 3 4 2 2 4 3" xfId="25484"/>
    <cellStyle name="Comma 5 3 4 2 2 5" xfId="9791"/>
    <cellStyle name="Comma 5 3 4 2 2 5 2" xfId="18618"/>
    <cellStyle name="Comma 5 3 4 2 2 5 3" xfId="28869"/>
    <cellStyle name="Comma 5 3 4 2 2 6" xfId="11235"/>
    <cellStyle name="Comma 5 3 4 2 2 6 2" xfId="23966"/>
    <cellStyle name="Comma 5 3 4 2 2 7" xfId="4874"/>
    <cellStyle name="Comma 5 3 4 2 2 8" xfId="20477"/>
    <cellStyle name="Comma 5 3 4 2 3" xfId="879"/>
    <cellStyle name="Comma 5 3 4 2 3 2" xfId="2601"/>
    <cellStyle name="Comma 5 3 4 2 3 2 2" xfId="16757"/>
    <cellStyle name="Comma 5 3 4 2 3 2 2 2" xfId="26976"/>
    <cellStyle name="Comma 5 3 4 2 3 2 3" xfId="13178"/>
    <cellStyle name="Comma 5 3 4 2 3 2 4" xfId="7889"/>
    <cellStyle name="Comma 5 3 4 2 3 2 5" xfId="21969"/>
    <cellStyle name="Comma 5 3 4 2 3 3" xfId="3875"/>
    <cellStyle name="Comma 5 3 4 2 3 3 2" xfId="17521"/>
    <cellStyle name="Comma 5 3 4 2 3 3 2 2" xfId="27772"/>
    <cellStyle name="Comma 5 3 4 2 3 3 3" xfId="13942"/>
    <cellStyle name="Comma 5 3 4 2 3 3 4" xfId="8685"/>
    <cellStyle name="Comma 5 3 4 2 3 3 5" xfId="22765"/>
    <cellStyle name="Comma 5 3 4 2 3 4" xfId="6296"/>
    <cellStyle name="Comma 5 3 4 2 3 4 2" xfId="15380"/>
    <cellStyle name="Comma 5 3 4 2 3 4 3" xfId="25384"/>
    <cellStyle name="Comma 5 3 4 2 3 5" xfId="10139"/>
    <cellStyle name="Comma 5 3 4 2 3 5 2" xfId="18966"/>
    <cellStyle name="Comma 5 3 4 2 3 5 3" xfId="29217"/>
    <cellStyle name="Comma 5 3 4 2 3 6" xfId="11585"/>
    <cellStyle name="Comma 5 3 4 2 3 6 2" xfId="24575"/>
    <cellStyle name="Comma 5 3 4 2 3 7" xfId="5483"/>
    <cellStyle name="Comma 5 3 4 2 3 8" xfId="20377"/>
    <cellStyle name="Comma 5 3 4 2 4" xfId="1604"/>
    <cellStyle name="Comma 5 3 4 2 4 2" xfId="3201"/>
    <cellStyle name="Comma 5 3 4 2 4 2 2" xfId="18121"/>
    <cellStyle name="Comma 5 3 4 2 4 2 2 2" xfId="28372"/>
    <cellStyle name="Comma 5 3 4 2 4 2 3" xfId="14542"/>
    <cellStyle name="Comma 5 3 4 2 4 2 4" xfId="9285"/>
    <cellStyle name="Comma 5 3 4 2 4 2 5" xfId="23365"/>
    <cellStyle name="Comma 5 3 4 2 4 3" xfId="10739"/>
    <cellStyle name="Comma 5 3 4 2 4 3 2" xfId="19566"/>
    <cellStyle name="Comma 5 3 4 2 4 3 3" xfId="29817"/>
    <cellStyle name="Comma 5 3 4 2 4 4" xfId="12185"/>
    <cellStyle name="Comma 5 3 4 2 4 4 2" xfId="26267"/>
    <cellStyle name="Comma 5 3 4 2 4 5" xfId="7180"/>
    <cellStyle name="Comma 5 3 4 2 4 6" xfId="21260"/>
    <cellStyle name="Comma 5 3 4 2 5" xfId="2158"/>
    <cellStyle name="Comma 5 3 4 2 5 2" xfId="17078"/>
    <cellStyle name="Comma 5 3 4 2 5 2 2" xfId="27329"/>
    <cellStyle name="Comma 5 3 4 2 5 3" xfId="13499"/>
    <cellStyle name="Comma 5 3 4 2 5 4" xfId="8242"/>
    <cellStyle name="Comma 5 3 4 2 5 5" xfId="22322"/>
    <cellStyle name="Comma 5 3 4 2 6" xfId="5803"/>
    <cellStyle name="Comma 5 3 4 2 6 2" xfId="14889"/>
    <cellStyle name="Comma 5 3 4 2 6 3" xfId="24893"/>
    <cellStyle name="Comma 5 3 4 2 7" xfId="9696"/>
    <cellStyle name="Comma 5 3 4 2 7 2" xfId="18523"/>
    <cellStyle name="Comma 5 3 4 2 7 3" xfId="28774"/>
    <cellStyle name="Comma 5 3 4 2 8" xfId="11140"/>
    <cellStyle name="Comma 5 3 4 2 8 2" xfId="23866"/>
    <cellStyle name="Comma 5 3 4 2 9" xfId="4774"/>
    <cellStyle name="Comma 5 3 4 3" xfId="519"/>
    <cellStyle name="Comma 5 3 4 3 2" xfId="2252"/>
    <cellStyle name="Comma 5 3 4 3 2 2" xfId="15989"/>
    <cellStyle name="Comma 5 3 4 3 2 2 2" xfId="26062"/>
    <cellStyle name="Comma 5 3 4 3 2 3" xfId="12325"/>
    <cellStyle name="Comma 5 3 4 3 2 4" xfId="6975"/>
    <cellStyle name="Comma 5 3 4 3 2 5" xfId="21055"/>
    <cellStyle name="Comma 5 3 4 3 3" xfId="3526"/>
    <cellStyle name="Comma 5 3 4 3 3 2" xfId="17172"/>
    <cellStyle name="Comma 5 3 4 3 3 2 2" xfId="27423"/>
    <cellStyle name="Comma 5 3 4 3 3 3" xfId="13593"/>
    <cellStyle name="Comma 5 3 4 3 3 4" xfId="8336"/>
    <cellStyle name="Comma 5 3 4 3 3 5" xfId="22416"/>
    <cellStyle name="Comma 5 3 4 3 4" xfId="6091"/>
    <cellStyle name="Comma 5 3 4 3 4 2" xfId="15175"/>
    <cellStyle name="Comma 5 3 4 3 4 3" xfId="25179"/>
    <cellStyle name="Comma 5 3 4 3 5" xfId="9790"/>
    <cellStyle name="Comma 5 3 4 3 5 2" xfId="18617"/>
    <cellStyle name="Comma 5 3 4 3 5 3" xfId="28868"/>
    <cellStyle name="Comma 5 3 4 3 6" xfId="11234"/>
    <cellStyle name="Comma 5 3 4 3 6 2" xfId="23661"/>
    <cellStyle name="Comma 5 3 4 3 7" xfId="4569"/>
    <cellStyle name="Comma 5 3 4 3 8" xfId="20172"/>
    <cellStyle name="Comma 5 3 4 4" xfId="878"/>
    <cellStyle name="Comma 5 3 4 4 2" xfId="2600"/>
    <cellStyle name="Comma 5 3 4 4 2 2" xfId="16148"/>
    <cellStyle name="Comma 5 3 4 4 2 2 2" xfId="26366"/>
    <cellStyle name="Comma 5 3 4 4 2 3" xfId="12570"/>
    <cellStyle name="Comma 5 3 4 4 2 4" xfId="7279"/>
    <cellStyle name="Comma 5 3 4 4 2 5" xfId="21359"/>
    <cellStyle name="Comma 5 3 4 4 3" xfId="3874"/>
    <cellStyle name="Comma 5 3 4 4 3 2" xfId="17520"/>
    <cellStyle name="Comma 5 3 4 4 3 2 2" xfId="27771"/>
    <cellStyle name="Comma 5 3 4 4 3 3" xfId="13941"/>
    <cellStyle name="Comma 5 3 4 4 3 4" xfId="8684"/>
    <cellStyle name="Comma 5 3 4 4 3 5" xfId="22764"/>
    <cellStyle name="Comma 5 3 4 4 4" xfId="6395"/>
    <cellStyle name="Comma 5 3 4 4 4 2" xfId="15479"/>
    <cellStyle name="Comma 5 3 4 4 4 3" xfId="25483"/>
    <cellStyle name="Comma 5 3 4 4 5" xfId="10138"/>
    <cellStyle name="Comma 5 3 4 4 5 2" xfId="18965"/>
    <cellStyle name="Comma 5 3 4 4 5 3" xfId="29216"/>
    <cellStyle name="Comma 5 3 4 4 6" xfId="11584"/>
    <cellStyle name="Comma 5 3 4 4 6 2" xfId="23965"/>
    <cellStyle name="Comma 5 3 4 4 7" xfId="4873"/>
    <cellStyle name="Comma 5 3 4 4 8" xfId="20476"/>
    <cellStyle name="Comma 5 3 4 5" xfId="1390"/>
    <cellStyle name="Comma 5 3 4 5 2" xfId="2996"/>
    <cellStyle name="Comma 5 3 4 5 2 2" xfId="16552"/>
    <cellStyle name="Comma 5 3 4 5 2 2 2" xfId="26771"/>
    <cellStyle name="Comma 5 3 4 5 2 3" xfId="12973"/>
    <cellStyle name="Comma 5 3 4 5 2 4" xfId="7684"/>
    <cellStyle name="Comma 5 3 4 5 2 5" xfId="21764"/>
    <cellStyle name="Comma 5 3 4 5 3" xfId="4210"/>
    <cellStyle name="Comma 5 3 4 5 3 2" xfId="17916"/>
    <cellStyle name="Comma 5 3 4 5 3 2 2" xfId="28167"/>
    <cellStyle name="Comma 5 3 4 5 3 3" xfId="14337"/>
    <cellStyle name="Comma 5 3 4 5 3 4" xfId="9080"/>
    <cellStyle name="Comma 5 3 4 5 3 5" xfId="23160"/>
    <cellStyle name="Comma 5 3 4 5 4" xfId="5977"/>
    <cellStyle name="Comma 5 3 4 5 4 2" xfId="15063"/>
    <cellStyle name="Comma 5 3 4 5 4 3" xfId="25067"/>
    <cellStyle name="Comma 5 3 4 5 5" xfId="10534"/>
    <cellStyle name="Comma 5 3 4 5 5 2" xfId="19361"/>
    <cellStyle name="Comma 5 3 4 5 5 3" xfId="29612"/>
    <cellStyle name="Comma 5 3 4 5 6" xfId="11980"/>
    <cellStyle name="Comma 5 3 4 5 6 2" xfId="24370"/>
    <cellStyle name="Comma 5 3 4 5 7" xfId="5278"/>
    <cellStyle name="Comma 5 3 4 5 8" xfId="20060"/>
    <cellStyle name="Comma 5 3 4 6" xfId="1953"/>
    <cellStyle name="Comma 5 3 4 6 2" xfId="15906"/>
    <cellStyle name="Comma 5 3 4 6 2 2" xfId="25950"/>
    <cellStyle name="Comma 5 3 4 6 3" xfId="12483"/>
    <cellStyle name="Comma 5 3 4 6 4" xfId="6863"/>
    <cellStyle name="Comma 5 3 4 6 5" xfId="20943"/>
    <cellStyle name="Comma 5 3 4 7" xfId="3373"/>
    <cellStyle name="Comma 5 3 4 7 2" xfId="16873"/>
    <cellStyle name="Comma 5 3 4 7 2 2" xfId="27124"/>
    <cellStyle name="Comma 5 3 4 7 3" xfId="13294"/>
    <cellStyle name="Comma 5 3 4 7 4" xfId="8037"/>
    <cellStyle name="Comma 5 3 4 7 5" xfId="22117"/>
    <cellStyle name="Comma 5 3 4 8" xfId="5598"/>
    <cellStyle name="Comma 5 3 4 8 2" xfId="14684"/>
    <cellStyle name="Comma 5 3 4 8 3" xfId="24688"/>
    <cellStyle name="Comma 5 3 4 9" xfId="9491"/>
    <cellStyle name="Comma 5 3 4 9 2" xfId="18318"/>
    <cellStyle name="Comma 5 3 4 9 3" xfId="28569"/>
    <cellStyle name="Comma 5 3 5" xfId="309"/>
    <cellStyle name="Comma 5 3 5 10" xfId="19781"/>
    <cellStyle name="Comma 5 3 5 2" xfId="521"/>
    <cellStyle name="Comma 5 3 5 2 2" xfId="2254"/>
    <cellStyle name="Comma 5 3 5 2 2 2" xfId="16150"/>
    <cellStyle name="Comma 5 3 5 2 2 2 2" xfId="26368"/>
    <cellStyle name="Comma 5 3 5 2 2 3" xfId="12572"/>
    <cellStyle name="Comma 5 3 5 2 2 4" xfId="7281"/>
    <cellStyle name="Comma 5 3 5 2 2 5" xfId="21361"/>
    <cellStyle name="Comma 5 3 5 2 3" xfId="3528"/>
    <cellStyle name="Comma 5 3 5 2 3 2" xfId="17174"/>
    <cellStyle name="Comma 5 3 5 2 3 2 2" xfId="27425"/>
    <cellStyle name="Comma 5 3 5 2 3 3" xfId="13595"/>
    <cellStyle name="Comma 5 3 5 2 3 4" xfId="8338"/>
    <cellStyle name="Comma 5 3 5 2 3 5" xfId="22418"/>
    <cellStyle name="Comma 5 3 5 2 4" xfId="6397"/>
    <cellStyle name="Comma 5 3 5 2 4 2" xfId="15481"/>
    <cellStyle name="Comma 5 3 5 2 4 3" xfId="25485"/>
    <cellStyle name="Comma 5 3 5 2 5" xfId="9792"/>
    <cellStyle name="Comma 5 3 5 2 5 2" xfId="18619"/>
    <cellStyle name="Comma 5 3 5 2 5 3" xfId="28870"/>
    <cellStyle name="Comma 5 3 5 2 6" xfId="11236"/>
    <cellStyle name="Comma 5 3 5 2 6 2" xfId="23967"/>
    <cellStyle name="Comma 5 3 5 2 7" xfId="4875"/>
    <cellStyle name="Comma 5 3 5 2 8" xfId="20478"/>
    <cellStyle name="Comma 5 3 5 3" xfId="880"/>
    <cellStyle name="Comma 5 3 5 3 2" xfId="2602"/>
    <cellStyle name="Comma 5 3 5 3 2 2" xfId="16652"/>
    <cellStyle name="Comma 5 3 5 3 2 2 2" xfId="26871"/>
    <cellStyle name="Comma 5 3 5 3 2 3" xfId="13073"/>
    <cellStyle name="Comma 5 3 5 3 2 4" xfId="7784"/>
    <cellStyle name="Comma 5 3 5 3 2 5" xfId="21864"/>
    <cellStyle name="Comma 5 3 5 3 3" xfId="3876"/>
    <cellStyle name="Comma 5 3 5 3 3 2" xfId="17522"/>
    <cellStyle name="Comma 5 3 5 3 3 2 2" xfId="27773"/>
    <cellStyle name="Comma 5 3 5 3 3 3" xfId="13943"/>
    <cellStyle name="Comma 5 3 5 3 3 4" xfId="8686"/>
    <cellStyle name="Comma 5 3 5 3 3 5" xfId="22766"/>
    <cellStyle name="Comma 5 3 5 3 4" xfId="6191"/>
    <cellStyle name="Comma 5 3 5 3 4 2" xfId="15275"/>
    <cellStyle name="Comma 5 3 5 3 4 3" xfId="25279"/>
    <cellStyle name="Comma 5 3 5 3 5" xfId="10140"/>
    <cellStyle name="Comma 5 3 5 3 5 2" xfId="18967"/>
    <cellStyle name="Comma 5 3 5 3 5 3" xfId="29218"/>
    <cellStyle name="Comma 5 3 5 3 6" xfId="11586"/>
    <cellStyle name="Comma 5 3 5 3 6 2" xfId="24470"/>
    <cellStyle name="Comma 5 3 5 3 7" xfId="5378"/>
    <cellStyle name="Comma 5 3 5 3 8" xfId="20272"/>
    <cellStyle name="Comma 5 3 5 4" xfId="1496"/>
    <cellStyle name="Comma 5 3 5 4 2" xfId="3096"/>
    <cellStyle name="Comma 5 3 5 4 2 2" xfId="18016"/>
    <cellStyle name="Comma 5 3 5 4 2 2 2" xfId="28267"/>
    <cellStyle name="Comma 5 3 5 4 2 3" xfId="14437"/>
    <cellStyle name="Comma 5 3 5 4 2 4" xfId="9180"/>
    <cellStyle name="Comma 5 3 5 4 2 5" xfId="23260"/>
    <cellStyle name="Comma 5 3 5 4 3" xfId="10634"/>
    <cellStyle name="Comma 5 3 5 4 3 2" xfId="19461"/>
    <cellStyle name="Comma 5 3 5 4 3 3" xfId="29712"/>
    <cellStyle name="Comma 5 3 5 4 4" xfId="12080"/>
    <cellStyle name="Comma 5 3 5 4 4 2" xfId="26162"/>
    <cellStyle name="Comma 5 3 5 4 5" xfId="7075"/>
    <cellStyle name="Comma 5 3 5 4 6" xfId="21155"/>
    <cellStyle name="Comma 5 3 5 5" xfId="2053"/>
    <cellStyle name="Comma 5 3 5 5 2" xfId="16973"/>
    <cellStyle name="Comma 5 3 5 5 2 2" xfId="27224"/>
    <cellStyle name="Comma 5 3 5 5 3" xfId="13394"/>
    <cellStyle name="Comma 5 3 5 5 4" xfId="8137"/>
    <cellStyle name="Comma 5 3 5 5 5" xfId="22217"/>
    <cellStyle name="Comma 5 3 5 6" xfId="5698"/>
    <cellStyle name="Comma 5 3 5 6 2" xfId="14784"/>
    <cellStyle name="Comma 5 3 5 6 3" xfId="24788"/>
    <cellStyle name="Comma 5 3 5 7" xfId="9591"/>
    <cellStyle name="Comma 5 3 5 7 2" xfId="18418"/>
    <cellStyle name="Comma 5 3 5 7 3" xfId="28669"/>
    <cellStyle name="Comma 5 3 5 8" xfId="11035"/>
    <cellStyle name="Comma 5 3 5 8 2" xfId="23761"/>
    <cellStyle name="Comma 5 3 5 9" xfId="4669"/>
    <cellStyle name="Comma 5 3 6" xfId="172"/>
    <cellStyle name="Comma 5 3 6 10" xfId="20145"/>
    <cellStyle name="Comma 5 3 6 2" xfId="522"/>
    <cellStyle name="Comma 5 3 6 2 2" xfId="2255"/>
    <cellStyle name="Comma 5 3 6 2 2 2" xfId="16151"/>
    <cellStyle name="Comma 5 3 6 2 2 2 2" xfId="26369"/>
    <cellStyle name="Comma 5 3 6 2 2 3" xfId="12573"/>
    <cellStyle name="Comma 5 3 6 2 2 4" xfId="7282"/>
    <cellStyle name="Comma 5 3 6 2 2 5" xfId="21362"/>
    <cellStyle name="Comma 5 3 6 2 3" xfId="3529"/>
    <cellStyle name="Comma 5 3 6 2 3 2" xfId="17175"/>
    <cellStyle name="Comma 5 3 6 2 3 2 2" xfId="27426"/>
    <cellStyle name="Comma 5 3 6 2 3 3" xfId="13596"/>
    <cellStyle name="Comma 5 3 6 2 3 4" xfId="8339"/>
    <cellStyle name="Comma 5 3 6 2 3 5" xfId="22419"/>
    <cellStyle name="Comma 5 3 6 2 4" xfId="6398"/>
    <cellStyle name="Comma 5 3 6 2 4 2" xfId="15482"/>
    <cellStyle name="Comma 5 3 6 2 4 3" xfId="25486"/>
    <cellStyle name="Comma 5 3 6 2 5" xfId="9793"/>
    <cellStyle name="Comma 5 3 6 2 5 2" xfId="18620"/>
    <cellStyle name="Comma 5 3 6 2 5 3" xfId="28871"/>
    <cellStyle name="Comma 5 3 6 2 6" xfId="11237"/>
    <cellStyle name="Comma 5 3 6 2 6 2" xfId="23968"/>
    <cellStyle name="Comma 5 3 6 2 7" xfId="4876"/>
    <cellStyle name="Comma 5 3 6 2 8" xfId="20479"/>
    <cellStyle name="Comma 5 3 6 3" xfId="881"/>
    <cellStyle name="Comma 5 3 6 3 2" xfId="2603"/>
    <cellStyle name="Comma 5 3 6 3 2 2" xfId="16525"/>
    <cellStyle name="Comma 5 3 6 3 2 2 2" xfId="26744"/>
    <cellStyle name="Comma 5 3 6 3 2 3" xfId="12946"/>
    <cellStyle name="Comma 5 3 6 3 2 4" xfId="7657"/>
    <cellStyle name="Comma 5 3 6 3 2 5" xfId="21737"/>
    <cellStyle name="Comma 5 3 6 3 3" xfId="3877"/>
    <cellStyle name="Comma 5 3 6 3 3 2" xfId="17523"/>
    <cellStyle name="Comma 5 3 6 3 3 2 2" xfId="27774"/>
    <cellStyle name="Comma 5 3 6 3 3 3" xfId="13944"/>
    <cellStyle name="Comma 5 3 6 3 3 4" xfId="8687"/>
    <cellStyle name="Comma 5 3 6 3 3 5" xfId="22767"/>
    <cellStyle name="Comma 5 3 6 3 4" xfId="6728"/>
    <cellStyle name="Comma 5 3 6 3 4 2" xfId="15811"/>
    <cellStyle name="Comma 5 3 6 3 4 3" xfId="25815"/>
    <cellStyle name="Comma 5 3 6 3 5" xfId="10141"/>
    <cellStyle name="Comma 5 3 6 3 5 2" xfId="18968"/>
    <cellStyle name="Comma 5 3 6 3 5 3" xfId="29219"/>
    <cellStyle name="Comma 5 3 6 3 6" xfId="11587"/>
    <cellStyle name="Comma 5 3 6 3 6 2" xfId="24343"/>
    <cellStyle name="Comma 5 3 6 3 7" xfId="5251"/>
    <cellStyle name="Comma 5 3 6 3 8" xfId="20808"/>
    <cellStyle name="Comma 5 3 6 4" xfId="1359"/>
    <cellStyle name="Comma 5 3 6 4 2" xfId="2969"/>
    <cellStyle name="Comma 5 3 6 4 2 2" xfId="17889"/>
    <cellStyle name="Comma 5 3 6 4 2 2 2" xfId="28140"/>
    <cellStyle name="Comma 5 3 6 4 2 3" xfId="14310"/>
    <cellStyle name="Comma 5 3 6 4 2 4" xfId="9053"/>
    <cellStyle name="Comma 5 3 6 4 2 5" xfId="23133"/>
    <cellStyle name="Comma 5 3 6 4 3" xfId="10507"/>
    <cellStyle name="Comma 5 3 6 4 3 2" xfId="19334"/>
    <cellStyle name="Comma 5 3 6 4 3 3" xfId="29585"/>
    <cellStyle name="Comma 5 3 6 4 4" xfId="11953"/>
    <cellStyle name="Comma 5 3 6 4 4 2" xfId="26035"/>
    <cellStyle name="Comma 5 3 6 4 5" xfId="6948"/>
    <cellStyle name="Comma 5 3 6 4 6" xfId="21028"/>
    <cellStyle name="Comma 5 3 6 5" xfId="1926"/>
    <cellStyle name="Comma 5 3 6 5 2" xfId="16844"/>
    <cellStyle name="Comma 5 3 6 5 2 2" xfId="27095"/>
    <cellStyle name="Comma 5 3 6 5 3" xfId="13265"/>
    <cellStyle name="Comma 5 3 6 5 4" xfId="8008"/>
    <cellStyle name="Comma 5 3 6 5 5" xfId="22088"/>
    <cellStyle name="Comma 5 3 6 6" xfId="6064"/>
    <cellStyle name="Comma 5 3 6 6 2" xfId="15148"/>
    <cellStyle name="Comma 5 3 6 6 3" xfId="25152"/>
    <cellStyle name="Comma 5 3 6 7" xfId="9464"/>
    <cellStyle name="Comma 5 3 6 7 2" xfId="18291"/>
    <cellStyle name="Comma 5 3 6 7 3" xfId="28542"/>
    <cellStyle name="Comma 5 3 6 8" xfId="10908"/>
    <cellStyle name="Comma 5 3 6 8 2" xfId="23634"/>
    <cellStyle name="Comma 5 3 6 9" xfId="4542"/>
    <cellStyle name="Comma 5 3 7" xfId="513"/>
    <cellStyle name="Comma 5 3 7 2" xfId="2246"/>
    <cellStyle name="Comma 5 3 7 2 2" xfId="16142"/>
    <cellStyle name="Comma 5 3 7 2 2 2" xfId="26360"/>
    <cellStyle name="Comma 5 3 7 2 3" xfId="12564"/>
    <cellStyle name="Comma 5 3 7 2 4" xfId="7273"/>
    <cellStyle name="Comma 5 3 7 2 5" xfId="21353"/>
    <cellStyle name="Comma 5 3 7 3" xfId="3520"/>
    <cellStyle name="Comma 5 3 7 3 2" xfId="17166"/>
    <cellStyle name="Comma 5 3 7 3 2 2" xfId="27417"/>
    <cellStyle name="Comma 5 3 7 3 3" xfId="13587"/>
    <cellStyle name="Comma 5 3 7 3 4" xfId="8330"/>
    <cellStyle name="Comma 5 3 7 3 5" xfId="22410"/>
    <cellStyle name="Comma 5 3 7 4" xfId="6389"/>
    <cellStyle name="Comma 5 3 7 4 2" xfId="15473"/>
    <cellStyle name="Comma 5 3 7 4 3" xfId="25477"/>
    <cellStyle name="Comma 5 3 7 5" xfId="9784"/>
    <cellStyle name="Comma 5 3 7 5 2" xfId="18611"/>
    <cellStyle name="Comma 5 3 7 5 3" xfId="28862"/>
    <cellStyle name="Comma 5 3 7 6" xfId="11228"/>
    <cellStyle name="Comma 5 3 7 6 2" xfId="23959"/>
    <cellStyle name="Comma 5 3 7 7" xfId="4867"/>
    <cellStyle name="Comma 5 3 7 8" xfId="20470"/>
    <cellStyle name="Comma 5 3 8" xfId="872"/>
    <cellStyle name="Comma 5 3 8 2" xfId="2594"/>
    <cellStyle name="Comma 5 3 8 2 2" xfId="16480"/>
    <cellStyle name="Comma 5 3 8 2 2 2" xfId="26699"/>
    <cellStyle name="Comma 5 3 8 2 3" xfId="12902"/>
    <cellStyle name="Comma 5 3 8 2 4" xfId="7612"/>
    <cellStyle name="Comma 5 3 8 2 5" xfId="21692"/>
    <cellStyle name="Comma 5 3 8 3" xfId="3868"/>
    <cellStyle name="Comma 5 3 8 3 2" xfId="17514"/>
    <cellStyle name="Comma 5 3 8 3 2 2" xfId="27765"/>
    <cellStyle name="Comma 5 3 8 3 3" xfId="13935"/>
    <cellStyle name="Comma 5 3 8 3 4" xfId="8678"/>
    <cellStyle name="Comma 5 3 8 3 5" xfId="22758"/>
    <cellStyle name="Comma 5 3 8 4" xfId="5871"/>
    <cellStyle name="Comma 5 3 8 4 2" xfId="14957"/>
    <cellStyle name="Comma 5 3 8 4 3" xfId="24961"/>
    <cellStyle name="Comma 5 3 8 5" xfId="10132"/>
    <cellStyle name="Comma 5 3 8 5 2" xfId="18959"/>
    <cellStyle name="Comma 5 3 8 5 3" xfId="29210"/>
    <cellStyle name="Comma 5 3 8 6" xfId="11578"/>
    <cellStyle name="Comma 5 3 8 6 2" xfId="24298"/>
    <cellStyle name="Comma 5 3 8 7" xfId="5206"/>
    <cellStyle name="Comma 5 3 8 8" xfId="19954"/>
    <cellStyle name="Comma 5 3 9" xfId="1308"/>
    <cellStyle name="Comma 5 3 9 2" xfId="2924"/>
    <cellStyle name="Comma 5 3 9 2 2" xfId="17844"/>
    <cellStyle name="Comma 5 3 9 2 2 2" xfId="28095"/>
    <cellStyle name="Comma 5 3 9 2 3" xfId="14265"/>
    <cellStyle name="Comma 5 3 9 2 4" xfId="9008"/>
    <cellStyle name="Comma 5 3 9 2 5" xfId="23088"/>
    <cellStyle name="Comma 5 3 9 3" xfId="10462"/>
    <cellStyle name="Comma 5 3 9 3 2" xfId="19289"/>
    <cellStyle name="Comma 5 3 9 3 3" xfId="29540"/>
    <cellStyle name="Comma 5 3 9 4" xfId="11908"/>
    <cellStyle name="Comma 5 3 9 4 2" xfId="25844"/>
    <cellStyle name="Comma 5 3 9 5" xfId="6757"/>
    <cellStyle name="Comma 5 3 9 6" xfId="20837"/>
    <cellStyle name="Comma 5 4" xfId="131"/>
    <cellStyle name="Comma 5 4 10" xfId="1889"/>
    <cellStyle name="Comma 5 4 10 2" xfId="9427"/>
    <cellStyle name="Comma 5 4 10 2 2" xfId="18254"/>
    <cellStyle name="Comma 5 4 10 2 3" xfId="28505"/>
    <cellStyle name="Comma 5 4 10 3" xfId="10871"/>
    <cellStyle name="Comma 5 4 10 3 2" xfId="27058"/>
    <cellStyle name="Comma 5 4 10 4" xfId="7971"/>
    <cellStyle name="Comma 5 4 10 5" xfId="22051"/>
    <cellStyle name="Comma 5 4 11" xfId="1859"/>
    <cellStyle name="Comma 5 4 11 2" xfId="14665"/>
    <cellStyle name="Comma 5 4 11 3" xfId="5579"/>
    <cellStyle name="Comma 5 4 11 4" xfId="24669"/>
    <cellStyle name="Comma 5 4 12" xfId="9397"/>
    <cellStyle name="Comma 5 4 12 2" xfId="18224"/>
    <cellStyle name="Comma 5 4 12 3" xfId="28475"/>
    <cellStyle name="Comma 5 4 13" xfId="10841"/>
    <cellStyle name="Comma 5 4 13 2" xfId="23450"/>
    <cellStyle name="Comma 5 4 14" xfId="4358"/>
    <cellStyle name="Comma 5 4 15" xfId="19662"/>
    <cellStyle name="Comma 5 4 2" xfId="245"/>
    <cellStyle name="Comma 5 4 2 10" xfId="9529"/>
    <cellStyle name="Comma 5 4 2 10 2" xfId="18356"/>
    <cellStyle name="Comma 5 4 2 10 3" xfId="28607"/>
    <cellStyle name="Comma 5 4 2 11" xfId="10973"/>
    <cellStyle name="Comma 5 4 2 11 2" xfId="23482"/>
    <cellStyle name="Comma 5 4 2 12" xfId="4390"/>
    <cellStyle name="Comma 5 4 2 13" xfId="19719"/>
    <cellStyle name="Comma 5 4 2 2" xfId="454"/>
    <cellStyle name="Comma 5 4 2 2 10" xfId="4494"/>
    <cellStyle name="Comma 5 4 2 2 11" xfId="19923"/>
    <cellStyle name="Comma 5 4 2 2 2" xfId="525"/>
    <cellStyle name="Comma 5 4 2 2 2 2" xfId="2258"/>
    <cellStyle name="Comma 5 4 2 2 2 2 2" xfId="16086"/>
    <cellStyle name="Comma 5 4 2 2 2 2 2 2" xfId="26304"/>
    <cellStyle name="Comma 5 4 2 2 2 2 3" xfId="12508"/>
    <cellStyle name="Comma 5 4 2 2 2 2 4" xfId="7217"/>
    <cellStyle name="Comma 5 4 2 2 2 2 5" xfId="21297"/>
    <cellStyle name="Comma 5 4 2 2 2 3" xfId="3532"/>
    <cellStyle name="Comma 5 4 2 2 2 3 2" xfId="17178"/>
    <cellStyle name="Comma 5 4 2 2 2 3 2 2" xfId="27429"/>
    <cellStyle name="Comma 5 4 2 2 2 3 3" xfId="13599"/>
    <cellStyle name="Comma 5 4 2 2 2 3 4" xfId="8342"/>
    <cellStyle name="Comma 5 4 2 2 2 3 5" xfId="22422"/>
    <cellStyle name="Comma 5 4 2 2 2 4" xfId="6333"/>
    <cellStyle name="Comma 5 4 2 2 2 4 2" xfId="15417"/>
    <cellStyle name="Comma 5 4 2 2 2 4 3" xfId="25421"/>
    <cellStyle name="Comma 5 4 2 2 2 5" xfId="9796"/>
    <cellStyle name="Comma 5 4 2 2 2 5 2" xfId="18623"/>
    <cellStyle name="Comma 5 4 2 2 2 5 3" xfId="28874"/>
    <cellStyle name="Comma 5 4 2 2 2 6" xfId="11240"/>
    <cellStyle name="Comma 5 4 2 2 2 6 2" xfId="23903"/>
    <cellStyle name="Comma 5 4 2 2 2 7" xfId="4811"/>
    <cellStyle name="Comma 5 4 2 2 2 8" xfId="20414"/>
    <cellStyle name="Comma 5 4 2 2 3" xfId="884"/>
    <cellStyle name="Comma 5 4 2 2 3 2" xfId="2606"/>
    <cellStyle name="Comma 5 4 2 2 3 2 2" xfId="16154"/>
    <cellStyle name="Comma 5 4 2 2 3 2 2 2" xfId="26372"/>
    <cellStyle name="Comma 5 4 2 2 3 2 3" xfId="12576"/>
    <cellStyle name="Comma 5 4 2 2 3 2 4" xfId="7285"/>
    <cellStyle name="Comma 5 4 2 2 3 2 5" xfId="21365"/>
    <cellStyle name="Comma 5 4 2 2 3 3" xfId="3880"/>
    <cellStyle name="Comma 5 4 2 2 3 3 2" xfId="17526"/>
    <cellStyle name="Comma 5 4 2 2 3 3 2 2" xfId="27777"/>
    <cellStyle name="Comma 5 4 2 2 3 3 3" xfId="13947"/>
    <cellStyle name="Comma 5 4 2 2 3 3 4" xfId="8690"/>
    <cellStyle name="Comma 5 4 2 2 3 3 5" xfId="22770"/>
    <cellStyle name="Comma 5 4 2 2 3 4" xfId="6401"/>
    <cellStyle name="Comma 5 4 2 2 3 4 2" xfId="15485"/>
    <cellStyle name="Comma 5 4 2 2 3 4 3" xfId="25489"/>
    <cellStyle name="Comma 5 4 2 2 3 5" xfId="10144"/>
    <cellStyle name="Comma 5 4 2 2 3 5 2" xfId="18971"/>
    <cellStyle name="Comma 5 4 2 2 3 5 3" xfId="29222"/>
    <cellStyle name="Comma 5 4 2 2 3 6" xfId="11590"/>
    <cellStyle name="Comma 5 4 2 2 3 6 2" xfId="23971"/>
    <cellStyle name="Comma 5 4 2 2 3 7" xfId="4879"/>
    <cellStyle name="Comma 5 4 2 2 3 8" xfId="20482"/>
    <cellStyle name="Comma 5 4 2 2 4" xfId="1641"/>
    <cellStyle name="Comma 5 4 2 2 4 2" xfId="3238"/>
    <cellStyle name="Comma 5 4 2 2 4 2 2" xfId="16794"/>
    <cellStyle name="Comma 5 4 2 2 4 2 2 2" xfId="27013"/>
    <cellStyle name="Comma 5 4 2 2 4 2 3" xfId="13215"/>
    <cellStyle name="Comma 5 4 2 2 4 2 4" xfId="7926"/>
    <cellStyle name="Comma 5 4 2 2 4 2 5" xfId="22006"/>
    <cellStyle name="Comma 5 4 2 2 4 3" xfId="4307"/>
    <cellStyle name="Comma 5 4 2 2 4 3 2" xfId="18158"/>
    <cellStyle name="Comma 5 4 2 2 4 3 2 2" xfId="28409"/>
    <cellStyle name="Comma 5 4 2 2 4 3 3" xfId="14579"/>
    <cellStyle name="Comma 5 4 2 2 4 3 4" xfId="9322"/>
    <cellStyle name="Comma 5 4 2 2 4 3 5" xfId="23402"/>
    <cellStyle name="Comma 5 4 2 2 4 4" xfId="6014"/>
    <cellStyle name="Comma 5 4 2 2 4 4 2" xfId="15100"/>
    <cellStyle name="Comma 5 4 2 2 4 4 3" xfId="25104"/>
    <cellStyle name="Comma 5 4 2 2 4 5" xfId="10776"/>
    <cellStyle name="Comma 5 4 2 2 4 5 2" xfId="19603"/>
    <cellStyle name="Comma 5 4 2 2 4 5 3" xfId="29854"/>
    <cellStyle name="Comma 5 4 2 2 4 6" xfId="12222"/>
    <cellStyle name="Comma 5 4 2 2 4 6 2" xfId="24612"/>
    <cellStyle name="Comma 5 4 2 2 4 7" xfId="5520"/>
    <cellStyle name="Comma 5 4 2 2 4 8" xfId="20097"/>
    <cellStyle name="Comma 5 4 2 2 5" xfId="2195"/>
    <cellStyle name="Comma 5 4 2 2 5 2" xfId="15943"/>
    <cellStyle name="Comma 5 4 2 2 5 2 2" xfId="25987"/>
    <cellStyle name="Comma 5 4 2 2 5 3" xfId="12335"/>
    <cellStyle name="Comma 5 4 2 2 5 4" xfId="6900"/>
    <cellStyle name="Comma 5 4 2 2 5 5" xfId="20980"/>
    <cellStyle name="Comma 5 4 2 2 6" xfId="3469"/>
    <cellStyle name="Comma 5 4 2 2 6 2" xfId="17115"/>
    <cellStyle name="Comma 5 4 2 2 6 2 2" xfId="27366"/>
    <cellStyle name="Comma 5 4 2 2 6 3" xfId="13536"/>
    <cellStyle name="Comma 5 4 2 2 6 4" xfId="8279"/>
    <cellStyle name="Comma 5 4 2 2 6 5" xfId="22359"/>
    <cellStyle name="Comma 5 4 2 2 7" xfId="5840"/>
    <cellStyle name="Comma 5 4 2 2 7 2" xfId="14926"/>
    <cellStyle name="Comma 5 4 2 2 7 3" xfId="24930"/>
    <cellStyle name="Comma 5 4 2 2 8" xfId="9733"/>
    <cellStyle name="Comma 5 4 2 2 8 2" xfId="18560"/>
    <cellStyle name="Comma 5 4 2 2 8 3" xfId="28811"/>
    <cellStyle name="Comma 5 4 2 2 9" xfId="11177"/>
    <cellStyle name="Comma 5 4 2 2 9 2" xfId="23586"/>
    <cellStyle name="Comma 5 4 2 3" xfId="347"/>
    <cellStyle name="Comma 5 4 2 3 10" xfId="19819"/>
    <cellStyle name="Comma 5 4 2 3 2" xfId="526"/>
    <cellStyle name="Comma 5 4 2 3 2 2" xfId="2259"/>
    <cellStyle name="Comma 5 4 2 3 2 2 2" xfId="16155"/>
    <cellStyle name="Comma 5 4 2 3 2 2 2 2" xfId="26373"/>
    <cellStyle name="Comma 5 4 2 3 2 2 3" xfId="12577"/>
    <cellStyle name="Comma 5 4 2 3 2 2 4" xfId="7286"/>
    <cellStyle name="Comma 5 4 2 3 2 2 5" xfId="21366"/>
    <cellStyle name="Comma 5 4 2 3 2 3" xfId="3533"/>
    <cellStyle name="Comma 5 4 2 3 2 3 2" xfId="17179"/>
    <cellStyle name="Comma 5 4 2 3 2 3 2 2" xfId="27430"/>
    <cellStyle name="Comma 5 4 2 3 2 3 3" xfId="13600"/>
    <cellStyle name="Comma 5 4 2 3 2 3 4" xfId="8343"/>
    <cellStyle name="Comma 5 4 2 3 2 3 5" xfId="22423"/>
    <cellStyle name="Comma 5 4 2 3 2 4" xfId="6402"/>
    <cellStyle name="Comma 5 4 2 3 2 4 2" xfId="15486"/>
    <cellStyle name="Comma 5 4 2 3 2 4 3" xfId="25490"/>
    <cellStyle name="Comma 5 4 2 3 2 5" xfId="9797"/>
    <cellStyle name="Comma 5 4 2 3 2 5 2" xfId="18624"/>
    <cellStyle name="Comma 5 4 2 3 2 5 3" xfId="28875"/>
    <cellStyle name="Comma 5 4 2 3 2 6" xfId="11241"/>
    <cellStyle name="Comma 5 4 2 3 2 6 2" xfId="23972"/>
    <cellStyle name="Comma 5 4 2 3 2 7" xfId="4880"/>
    <cellStyle name="Comma 5 4 2 3 2 8" xfId="20483"/>
    <cellStyle name="Comma 5 4 2 3 3" xfId="885"/>
    <cellStyle name="Comma 5 4 2 3 3 2" xfId="2607"/>
    <cellStyle name="Comma 5 4 2 3 3 2 2" xfId="16690"/>
    <cellStyle name="Comma 5 4 2 3 3 2 2 2" xfId="26909"/>
    <cellStyle name="Comma 5 4 2 3 3 2 3" xfId="13111"/>
    <cellStyle name="Comma 5 4 2 3 3 2 4" xfId="7822"/>
    <cellStyle name="Comma 5 4 2 3 3 2 5" xfId="21902"/>
    <cellStyle name="Comma 5 4 2 3 3 3" xfId="3881"/>
    <cellStyle name="Comma 5 4 2 3 3 3 2" xfId="17527"/>
    <cellStyle name="Comma 5 4 2 3 3 3 2 2" xfId="27778"/>
    <cellStyle name="Comma 5 4 2 3 3 3 3" xfId="13948"/>
    <cellStyle name="Comma 5 4 2 3 3 3 4" xfId="8691"/>
    <cellStyle name="Comma 5 4 2 3 3 3 5" xfId="22771"/>
    <cellStyle name="Comma 5 4 2 3 3 4" xfId="6229"/>
    <cellStyle name="Comma 5 4 2 3 3 4 2" xfId="15313"/>
    <cellStyle name="Comma 5 4 2 3 3 4 3" xfId="25317"/>
    <cellStyle name="Comma 5 4 2 3 3 5" xfId="10145"/>
    <cellStyle name="Comma 5 4 2 3 3 5 2" xfId="18972"/>
    <cellStyle name="Comma 5 4 2 3 3 5 3" xfId="29223"/>
    <cellStyle name="Comma 5 4 2 3 3 6" xfId="11591"/>
    <cellStyle name="Comma 5 4 2 3 3 6 2" xfId="24508"/>
    <cellStyle name="Comma 5 4 2 3 3 7" xfId="5416"/>
    <cellStyle name="Comma 5 4 2 3 3 8" xfId="20310"/>
    <cellStyle name="Comma 5 4 2 3 4" xfId="1534"/>
    <cellStyle name="Comma 5 4 2 3 4 2" xfId="3134"/>
    <cellStyle name="Comma 5 4 2 3 4 2 2" xfId="18054"/>
    <cellStyle name="Comma 5 4 2 3 4 2 2 2" xfId="28305"/>
    <cellStyle name="Comma 5 4 2 3 4 2 3" xfId="14475"/>
    <cellStyle name="Comma 5 4 2 3 4 2 4" xfId="9218"/>
    <cellStyle name="Comma 5 4 2 3 4 2 5" xfId="23298"/>
    <cellStyle name="Comma 5 4 2 3 4 3" xfId="10672"/>
    <cellStyle name="Comma 5 4 2 3 4 3 2" xfId="19499"/>
    <cellStyle name="Comma 5 4 2 3 4 3 3" xfId="29750"/>
    <cellStyle name="Comma 5 4 2 3 4 4" xfId="12118"/>
    <cellStyle name="Comma 5 4 2 3 4 4 2" xfId="26200"/>
    <cellStyle name="Comma 5 4 2 3 4 5" xfId="7113"/>
    <cellStyle name="Comma 5 4 2 3 4 6" xfId="21193"/>
    <cellStyle name="Comma 5 4 2 3 5" xfId="2091"/>
    <cellStyle name="Comma 5 4 2 3 5 2" xfId="17011"/>
    <cellStyle name="Comma 5 4 2 3 5 2 2" xfId="27262"/>
    <cellStyle name="Comma 5 4 2 3 5 3" xfId="13432"/>
    <cellStyle name="Comma 5 4 2 3 5 4" xfId="8175"/>
    <cellStyle name="Comma 5 4 2 3 5 5" xfId="22255"/>
    <cellStyle name="Comma 5 4 2 3 6" xfId="5736"/>
    <cellStyle name="Comma 5 4 2 3 6 2" xfId="14822"/>
    <cellStyle name="Comma 5 4 2 3 6 3" xfId="24826"/>
    <cellStyle name="Comma 5 4 2 3 7" xfId="9629"/>
    <cellStyle name="Comma 5 4 2 3 7 2" xfId="18456"/>
    <cellStyle name="Comma 5 4 2 3 7 3" xfId="28707"/>
    <cellStyle name="Comma 5 4 2 3 8" xfId="11073"/>
    <cellStyle name="Comma 5 4 2 3 8 2" xfId="23799"/>
    <cellStyle name="Comma 5 4 2 3 9" xfId="4707"/>
    <cellStyle name="Comma 5 4 2 4" xfId="524"/>
    <cellStyle name="Comma 5 4 2 4 2" xfId="2257"/>
    <cellStyle name="Comma 5 4 2 4 2 2" xfId="16027"/>
    <cellStyle name="Comma 5 4 2 4 2 2 2" xfId="26100"/>
    <cellStyle name="Comma 5 4 2 4 2 3" xfId="12277"/>
    <cellStyle name="Comma 5 4 2 4 2 4" xfId="7013"/>
    <cellStyle name="Comma 5 4 2 4 2 5" xfId="21093"/>
    <cellStyle name="Comma 5 4 2 4 3" xfId="3531"/>
    <cellStyle name="Comma 5 4 2 4 3 2" xfId="17177"/>
    <cellStyle name="Comma 5 4 2 4 3 2 2" xfId="27428"/>
    <cellStyle name="Comma 5 4 2 4 3 3" xfId="13598"/>
    <cellStyle name="Comma 5 4 2 4 3 4" xfId="8341"/>
    <cellStyle name="Comma 5 4 2 4 3 5" xfId="22421"/>
    <cellStyle name="Comma 5 4 2 4 4" xfId="6129"/>
    <cellStyle name="Comma 5 4 2 4 4 2" xfId="15213"/>
    <cellStyle name="Comma 5 4 2 4 4 3" xfId="25217"/>
    <cellStyle name="Comma 5 4 2 4 5" xfId="9795"/>
    <cellStyle name="Comma 5 4 2 4 5 2" xfId="18622"/>
    <cellStyle name="Comma 5 4 2 4 5 3" xfId="28873"/>
    <cellStyle name="Comma 5 4 2 4 6" xfId="11239"/>
    <cellStyle name="Comma 5 4 2 4 6 2" xfId="23699"/>
    <cellStyle name="Comma 5 4 2 4 7" xfId="4607"/>
    <cellStyle name="Comma 5 4 2 4 8" xfId="20210"/>
    <cellStyle name="Comma 5 4 2 5" xfId="883"/>
    <cellStyle name="Comma 5 4 2 5 2" xfId="2605"/>
    <cellStyle name="Comma 5 4 2 5 2 2" xfId="16153"/>
    <cellStyle name="Comma 5 4 2 5 2 2 2" xfId="26371"/>
    <cellStyle name="Comma 5 4 2 5 2 3" xfId="12575"/>
    <cellStyle name="Comma 5 4 2 5 2 4" xfId="7284"/>
    <cellStyle name="Comma 5 4 2 5 2 5" xfId="21364"/>
    <cellStyle name="Comma 5 4 2 5 3" xfId="3879"/>
    <cellStyle name="Comma 5 4 2 5 3 2" xfId="17525"/>
    <cellStyle name="Comma 5 4 2 5 3 2 2" xfId="27776"/>
    <cellStyle name="Comma 5 4 2 5 3 3" xfId="13946"/>
    <cellStyle name="Comma 5 4 2 5 3 4" xfId="8689"/>
    <cellStyle name="Comma 5 4 2 5 3 5" xfId="22769"/>
    <cellStyle name="Comma 5 4 2 5 4" xfId="6400"/>
    <cellStyle name="Comma 5 4 2 5 4 2" xfId="15484"/>
    <cellStyle name="Comma 5 4 2 5 4 3" xfId="25488"/>
    <cellStyle name="Comma 5 4 2 5 5" xfId="10143"/>
    <cellStyle name="Comma 5 4 2 5 5 2" xfId="18970"/>
    <cellStyle name="Comma 5 4 2 5 5 3" xfId="29221"/>
    <cellStyle name="Comma 5 4 2 5 6" xfId="11589"/>
    <cellStyle name="Comma 5 4 2 5 6 2" xfId="23970"/>
    <cellStyle name="Comma 5 4 2 5 7" xfId="4878"/>
    <cellStyle name="Comma 5 4 2 5 8" xfId="20481"/>
    <cellStyle name="Comma 5 4 2 6" xfId="1432"/>
    <cellStyle name="Comma 5 4 2 6 2" xfId="3034"/>
    <cellStyle name="Comma 5 4 2 6 2 2" xfId="16590"/>
    <cellStyle name="Comma 5 4 2 6 2 2 2" xfId="26809"/>
    <cellStyle name="Comma 5 4 2 6 2 3" xfId="13011"/>
    <cellStyle name="Comma 5 4 2 6 2 4" xfId="7722"/>
    <cellStyle name="Comma 5 4 2 6 2 5" xfId="21802"/>
    <cellStyle name="Comma 5 4 2 6 3" xfId="4248"/>
    <cellStyle name="Comma 5 4 2 6 3 2" xfId="17954"/>
    <cellStyle name="Comma 5 4 2 6 3 2 2" xfId="28205"/>
    <cellStyle name="Comma 5 4 2 6 3 3" xfId="14375"/>
    <cellStyle name="Comma 5 4 2 6 3 4" xfId="9118"/>
    <cellStyle name="Comma 5 4 2 6 3 5" xfId="23198"/>
    <cellStyle name="Comma 5 4 2 6 4" xfId="5910"/>
    <cellStyle name="Comma 5 4 2 6 4 2" xfId="14996"/>
    <cellStyle name="Comma 5 4 2 6 4 3" xfId="25000"/>
    <cellStyle name="Comma 5 4 2 6 5" xfId="10572"/>
    <cellStyle name="Comma 5 4 2 6 5 2" xfId="19399"/>
    <cellStyle name="Comma 5 4 2 6 5 3" xfId="29650"/>
    <cellStyle name="Comma 5 4 2 6 6" xfId="12018"/>
    <cellStyle name="Comma 5 4 2 6 6 2" xfId="24408"/>
    <cellStyle name="Comma 5 4 2 6 7" xfId="5316"/>
    <cellStyle name="Comma 5 4 2 6 8" xfId="19993"/>
    <cellStyle name="Comma 5 4 2 7" xfId="1991"/>
    <cellStyle name="Comma 5 4 2 7 2" xfId="15839"/>
    <cellStyle name="Comma 5 4 2 7 2 2" xfId="25883"/>
    <cellStyle name="Comma 5 4 2 7 3" xfId="12436"/>
    <cellStyle name="Comma 5 4 2 7 4" xfId="6796"/>
    <cellStyle name="Comma 5 4 2 7 5" xfId="20876"/>
    <cellStyle name="Comma 5 4 2 8" xfId="3410"/>
    <cellStyle name="Comma 5 4 2 8 2" xfId="16911"/>
    <cellStyle name="Comma 5 4 2 8 2 2" xfId="27162"/>
    <cellStyle name="Comma 5 4 2 8 3" xfId="13332"/>
    <cellStyle name="Comma 5 4 2 8 4" xfId="8075"/>
    <cellStyle name="Comma 5 4 2 8 5" xfId="22155"/>
    <cellStyle name="Comma 5 4 2 9" xfId="5636"/>
    <cellStyle name="Comma 5 4 2 9 2" xfId="14722"/>
    <cellStyle name="Comma 5 4 2 9 3" xfId="24726"/>
    <cellStyle name="Comma 5 4 3" xfId="290"/>
    <cellStyle name="Comma 5 4 3 10" xfId="11016"/>
    <cellStyle name="Comma 5 4 3 10 2" xfId="23525"/>
    <cellStyle name="Comma 5 4 3 11" xfId="4433"/>
    <cellStyle name="Comma 5 4 3 12" xfId="19762"/>
    <cellStyle name="Comma 5 4 3 2" xfId="392"/>
    <cellStyle name="Comma 5 4 3 2 10" xfId="19862"/>
    <cellStyle name="Comma 5 4 3 2 2" xfId="528"/>
    <cellStyle name="Comma 5 4 3 2 2 2" xfId="2261"/>
    <cellStyle name="Comma 5 4 3 2 2 2 2" xfId="16157"/>
    <cellStyle name="Comma 5 4 3 2 2 2 2 2" xfId="26375"/>
    <cellStyle name="Comma 5 4 3 2 2 2 3" xfId="12579"/>
    <cellStyle name="Comma 5 4 3 2 2 2 4" xfId="7288"/>
    <cellStyle name="Comma 5 4 3 2 2 2 5" xfId="21368"/>
    <cellStyle name="Comma 5 4 3 2 2 3" xfId="3535"/>
    <cellStyle name="Comma 5 4 3 2 2 3 2" xfId="17181"/>
    <cellStyle name="Comma 5 4 3 2 2 3 2 2" xfId="27432"/>
    <cellStyle name="Comma 5 4 3 2 2 3 3" xfId="13602"/>
    <cellStyle name="Comma 5 4 3 2 2 3 4" xfId="8345"/>
    <cellStyle name="Comma 5 4 3 2 2 3 5" xfId="22425"/>
    <cellStyle name="Comma 5 4 3 2 2 4" xfId="6404"/>
    <cellStyle name="Comma 5 4 3 2 2 4 2" xfId="15488"/>
    <cellStyle name="Comma 5 4 3 2 2 4 3" xfId="25492"/>
    <cellStyle name="Comma 5 4 3 2 2 5" xfId="9799"/>
    <cellStyle name="Comma 5 4 3 2 2 5 2" xfId="18626"/>
    <cellStyle name="Comma 5 4 3 2 2 5 3" xfId="28877"/>
    <cellStyle name="Comma 5 4 3 2 2 6" xfId="11243"/>
    <cellStyle name="Comma 5 4 3 2 2 6 2" xfId="23974"/>
    <cellStyle name="Comma 5 4 3 2 2 7" xfId="4882"/>
    <cellStyle name="Comma 5 4 3 2 2 8" xfId="20485"/>
    <cellStyle name="Comma 5 4 3 2 3" xfId="887"/>
    <cellStyle name="Comma 5 4 3 2 3 2" xfId="2609"/>
    <cellStyle name="Comma 5 4 3 2 3 2 2" xfId="16733"/>
    <cellStyle name="Comma 5 4 3 2 3 2 2 2" xfId="26952"/>
    <cellStyle name="Comma 5 4 3 2 3 2 3" xfId="13154"/>
    <cellStyle name="Comma 5 4 3 2 3 2 4" xfId="7865"/>
    <cellStyle name="Comma 5 4 3 2 3 2 5" xfId="21945"/>
    <cellStyle name="Comma 5 4 3 2 3 3" xfId="3883"/>
    <cellStyle name="Comma 5 4 3 2 3 3 2" xfId="17529"/>
    <cellStyle name="Comma 5 4 3 2 3 3 2 2" xfId="27780"/>
    <cellStyle name="Comma 5 4 3 2 3 3 3" xfId="13950"/>
    <cellStyle name="Comma 5 4 3 2 3 3 4" xfId="8693"/>
    <cellStyle name="Comma 5 4 3 2 3 3 5" xfId="22773"/>
    <cellStyle name="Comma 5 4 3 2 3 4" xfId="6272"/>
    <cellStyle name="Comma 5 4 3 2 3 4 2" xfId="15356"/>
    <cellStyle name="Comma 5 4 3 2 3 4 3" xfId="25360"/>
    <cellStyle name="Comma 5 4 3 2 3 5" xfId="10147"/>
    <cellStyle name="Comma 5 4 3 2 3 5 2" xfId="18974"/>
    <cellStyle name="Comma 5 4 3 2 3 5 3" xfId="29225"/>
    <cellStyle name="Comma 5 4 3 2 3 6" xfId="11593"/>
    <cellStyle name="Comma 5 4 3 2 3 6 2" xfId="24551"/>
    <cellStyle name="Comma 5 4 3 2 3 7" xfId="5459"/>
    <cellStyle name="Comma 5 4 3 2 3 8" xfId="20353"/>
    <cellStyle name="Comma 5 4 3 2 4" xfId="1579"/>
    <cellStyle name="Comma 5 4 3 2 4 2" xfId="3177"/>
    <cellStyle name="Comma 5 4 3 2 4 2 2" xfId="18097"/>
    <cellStyle name="Comma 5 4 3 2 4 2 2 2" xfId="28348"/>
    <cellStyle name="Comma 5 4 3 2 4 2 3" xfId="14518"/>
    <cellStyle name="Comma 5 4 3 2 4 2 4" xfId="9261"/>
    <cellStyle name="Comma 5 4 3 2 4 2 5" xfId="23341"/>
    <cellStyle name="Comma 5 4 3 2 4 3" xfId="10715"/>
    <cellStyle name="Comma 5 4 3 2 4 3 2" xfId="19542"/>
    <cellStyle name="Comma 5 4 3 2 4 3 3" xfId="29793"/>
    <cellStyle name="Comma 5 4 3 2 4 4" xfId="12161"/>
    <cellStyle name="Comma 5 4 3 2 4 4 2" xfId="26243"/>
    <cellStyle name="Comma 5 4 3 2 4 5" xfId="7156"/>
    <cellStyle name="Comma 5 4 3 2 4 6" xfId="21236"/>
    <cellStyle name="Comma 5 4 3 2 5" xfId="2134"/>
    <cellStyle name="Comma 5 4 3 2 5 2" xfId="17054"/>
    <cellStyle name="Comma 5 4 3 2 5 2 2" xfId="27305"/>
    <cellStyle name="Comma 5 4 3 2 5 3" xfId="13475"/>
    <cellStyle name="Comma 5 4 3 2 5 4" xfId="8218"/>
    <cellStyle name="Comma 5 4 3 2 5 5" xfId="22298"/>
    <cellStyle name="Comma 5 4 3 2 6" xfId="5779"/>
    <cellStyle name="Comma 5 4 3 2 6 2" xfId="14865"/>
    <cellStyle name="Comma 5 4 3 2 6 3" xfId="24869"/>
    <cellStyle name="Comma 5 4 3 2 7" xfId="9672"/>
    <cellStyle name="Comma 5 4 3 2 7 2" xfId="18499"/>
    <cellStyle name="Comma 5 4 3 2 7 3" xfId="28750"/>
    <cellStyle name="Comma 5 4 3 2 8" xfId="11116"/>
    <cellStyle name="Comma 5 4 3 2 8 2" xfId="23842"/>
    <cellStyle name="Comma 5 4 3 2 9" xfId="4750"/>
    <cellStyle name="Comma 5 4 3 3" xfId="527"/>
    <cellStyle name="Comma 5 4 3 3 2" xfId="2260"/>
    <cellStyle name="Comma 5 4 3 3 2 2" xfId="16070"/>
    <cellStyle name="Comma 5 4 3 3 2 2 2" xfId="26143"/>
    <cellStyle name="Comma 5 4 3 3 2 3" xfId="12275"/>
    <cellStyle name="Comma 5 4 3 3 2 4" xfId="7056"/>
    <cellStyle name="Comma 5 4 3 3 2 5" xfId="21136"/>
    <cellStyle name="Comma 5 4 3 3 3" xfId="3534"/>
    <cellStyle name="Comma 5 4 3 3 3 2" xfId="17180"/>
    <cellStyle name="Comma 5 4 3 3 3 2 2" xfId="27431"/>
    <cellStyle name="Comma 5 4 3 3 3 3" xfId="13601"/>
    <cellStyle name="Comma 5 4 3 3 3 4" xfId="8344"/>
    <cellStyle name="Comma 5 4 3 3 3 5" xfId="22424"/>
    <cellStyle name="Comma 5 4 3 3 4" xfId="6172"/>
    <cellStyle name="Comma 5 4 3 3 4 2" xfId="15256"/>
    <cellStyle name="Comma 5 4 3 3 4 3" xfId="25260"/>
    <cellStyle name="Comma 5 4 3 3 5" xfId="9798"/>
    <cellStyle name="Comma 5 4 3 3 5 2" xfId="18625"/>
    <cellStyle name="Comma 5 4 3 3 5 3" xfId="28876"/>
    <cellStyle name="Comma 5 4 3 3 6" xfId="11242"/>
    <cellStyle name="Comma 5 4 3 3 6 2" xfId="23742"/>
    <cellStyle name="Comma 5 4 3 3 7" xfId="4650"/>
    <cellStyle name="Comma 5 4 3 3 8" xfId="20253"/>
    <cellStyle name="Comma 5 4 3 4" xfId="886"/>
    <cellStyle name="Comma 5 4 3 4 2" xfId="2608"/>
    <cellStyle name="Comma 5 4 3 4 2 2" xfId="16156"/>
    <cellStyle name="Comma 5 4 3 4 2 2 2" xfId="26374"/>
    <cellStyle name="Comma 5 4 3 4 2 3" xfId="12578"/>
    <cellStyle name="Comma 5 4 3 4 2 4" xfId="7287"/>
    <cellStyle name="Comma 5 4 3 4 2 5" xfId="21367"/>
    <cellStyle name="Comma 5 4 3 4 3" xfId="3882"/>
    <cellStyle name="Comma 5 4 3 4 3 2" xfId="17528"/>
    <cellStyle name="Comma 5 4 3 4 3 2 2" xfId="27779"/>
    <cellStyle name="Comma 5 4 3 4 3 3" xfId="13949"/>
    <cellStyle name="Comma 5 4 3 4 3 4" xfId="8692"/>
    <cellStyle name="Comma 5 4 3 4 3 5" xfId="22772"/>
    <cellStyle name="Comma 5 4 3 4 4" xfId="6403"/>
    <cellStyle name="Comma 5 4 3 4 4 2" xfId="15487"/>
    <cellStyle name="Comma 5 4 3 4 4 3" xfId="25491"/>
    <cellStyle name="Comma 5 4 3 4 5" xfId="10146"/>
    <cellStyle name="Comma 5 4 3 4 5 2" xfId="18973"/>
    <cellStyle name="Comma 5 4 3 4 5 3" xfId="29224"/>
    <cellStyle name="Comma 5 4 3 4 6" xfId="11592"/>
    <cellStyle name="Comma 5 4 3 4 6 2" xfId="23973"/>
    <cellStyle name="Comma 5 4 3 4 7" xfId="4881"/>
    <cellStyle name="Comma 5 4 3 4 8" xfId="20484"/>
    <cellStyle name="Comma 5 4 3 5" xfId="1477"/>
    <cellStyle name="Comma 5 4 3 5 2" xfId="3077"/>
    <cellStyle name="Comma 5 4 3 5 2 2" xfId="16633"/>
    <cellStyle name="Comma 5 4 3 5 2 2 2" xfId="26852"/>
    <cellStyle name="Comma 5 4 3 5 2 3" xfId="13054"/>
    <cellStyle name="Comma 5 4 3 5 2 4" xfId="7765"/>
    <cellStyle name="Comma 5 4 3 5 2 5" xfId="21845"/>
    <cellStyle name="Comma 5 4 3 5 3" xfId="4291"/>
    <cellStyle name="Comma 5 4 3 5 3 2" xfId="17997"/>
    <cellStyle name="Comma 5 4 3 5 3 2 2" xfId="28248"/>
    <cellStyle name="Comma 5 4 3 5 3 3" xfId="14418"/>
    <cellStyle name="Comma 5 4 3 5 3 4" xfId="9161"/>
    <cellStyle name="Comma 5 4 3 5 3 5" xfId="23241"/>
    <cellStyle name="Comma 5 4 3 5 4" xfId="5953"/>
    <cellStyle name="Comma 5 4 3 5 4 2" xfId="15039"/>
    <cellStyle name="Comma 5 4 3 5 4 3" xfId="25043"/>
    <cellStyle name="Comma 5 4 3 5 5" xfId="10615"/>
    <cellStyle name="Comma 5 4 3 5 5 2" xfId="19442"/>
    <cellStyle name="Comma 5 4 3 5 5 3" xfId="29693"/>
    <cellStyle name="Comma 5 4 3 5 6" xfId="12061"/>
    <cellStyle name="Comma 5 4 3 5 6 2" xfId="24451"/>
    <cellStyle name="Comma 5 4 3 5 7" xfId="5359"/>
    <cellStyle name="Comma 5 4 3 5 8" xfId="20036"/>
    <cellStyle name="Comma 5 4 3 6" xfId="2034"/>
    <cellStyle name="Comma 5 4 3 6 2" xfId="15882"/>
    <cellStyle name="Comma 5 4 3 6 2 2" xfId="25926"/>
    <cellStyle name="Comma 5 4 3 6 3" xfId="11501"/>
    <cellStyle name="Comma 5 4 3 6 4" xfId="6839"/>
    <cellStyle name="Comma 5 4 3 6 5" xfId="20919"/>
    <cellStyle name="Comma 5 4 3 7" xfId="3453"/>
    <cellStyle name="Comma 5 4 3 7 2" xfId="16954"/>
    <cellStyle name="Comma 5 4 3 7 2 2" xfId="27205"/>
    <cellStyle name="Comma 5 4 3 7 3" xfId="13375"/>
    <cellStyle name="Comma 5 4 3 7 4" xfId="8118"/>
    <cellStyle name="Comma 5 4 3 7 5" xfId="22198"/>
    <cellStyle name="Comma 5 4 3 8" xfId="5679"/>
    <cellStyle name="Comma 5 4 3 8 2" xfId="14765"/>
    <cellStyle name="Comma 5 4 3 8 3" xfId="24769"/>
    <cellStyle name="Comma 5 4 3 9" xfId="9572"/>
    <cellStyle name="Comma 5 4 3 9 2" xfId="18399"/>
    <cellStyle name="Comma 5 4 3 9 3" xfId="28650"/>
    <cellStyle name="Comma 5 4 4" xfId="209"/>
    <cellStyle name="Comma 5 4 4 10" xfId="10941"/>
    <cellStyle name="Comma 5 4 4 10 2" xfId="23555"/>
    <cellStyle name="Comma 5 4 4 11" xfId="4463"/>
    <cellStyle name="Comma 5 4 4 12" xfId="19687"/>
    <cellStyle name="Comma 5 4 4 2" xfId="423"/>
    <cellStyle name="Comma 5 4 4 2 10" xfId="19892"/>
    <cellStyle name="Comma 5 4 4 2 2" xfId="530"/>
    <cellStyle name="Comma 5 4 4 2 2 2" xfId="2263"/>
    <cellStyle name="Comma 5 4 4 2 2 2 2" xfId="16159"/>
    <cellStyle name="Comma 5 4 4 2 2 2 2 2" xfId="26377"/>
    <cellStyle name="Comma 5 4 4 2 2 2 3" xfId="12581"/>
    <cellStyle name="Comma 5 4 4 2 2 2 4" xfId="7290"/>
    <cellStyle name="Comma 5 4 4 2 2 2 5" xfId="21370"/>
    <cellStyle name="Comma 5 4 4 2 2 3" xfId="3537"/>
    <cellStyle name="Comma 5 4 4 2 2 3 2" xfId="17183"/>
    <cellStyle name="Comma 5 4 4 2 2 3 2 2" xfId="27434"/>
    <cellStyle name="Comma 5 4 4 2 2 3 3" xfId="13604"/>
    <cellStyle name="Comma 5 4 4 2 2 3 4" xfId="8347"/>
    <cellStyle name="Comma 5 4 4 2 2 3 5" xfId="22427"/>
    <cellStyle name="Comma 5 4 4 2 2 4" xfId="6406"/>
    <cellStyle name="Comma 5 4 4 2 2 4 2" xfId="15490"/>
    <cellStyle name="Comma 5 4 4 2 2 4 3" xfId="25494"/>
    <cellStyle name="Comma 5 4 4 2 2 5" xfId="9801"/>
    <cellStyle name="Comma 5 4 4 2 2 5 2" xfId="18628"/>
    <cellStyle name="Comma 5 4 4 2 2 5 3" xfId="28879"/>
    <cellStyle name="Comma 5 4 4 2 2 6" xfId="11245"/>
    <cellStyle name="Comma 5 4 4 2 2 6 2" xfId="23976"/>
    <cellStyle name="Comma 5 4 4 2 2 7" xfId="4884"/>
    <cellStyle name="Comma 5 4 4 2 2 8" xfId="20487"/>
    <cellStyle name="Comma 5 4 4 2 3" xfId="889"/>
    <cellStyle name="Comma 5 4 4 2 3 2" xfId="2611"/>
    <cellStyle name="Comma 5 4 4 2 3 2 2" xfId="16763"/>
    <cellStyle name="Comma 5 4 4 2 3 2 2 2" xfId="26982"/>
    <cellStyle name="Comma 5 4 4 2 3 2 3" xfId="13184"/>
    <cellStyle name="Comma 5 4 4 2 3 2 4" xfId="7895"/>
    <cellStyle name="Comma 5 4 4 2 3 2 5" xfId="21975"/>
    <cellStyle name="Comma 5 4 4 2 3 3" xfId="3885"/>
    <cellStyle name="Comma 5 4 4 2 3 3 2" xfId="17531"/>
    <cellStyle name="Comma 5 4 4 2 3 3 2 2" xfId="27782"/>
    <cellStyle name="Comma 5 4 4 2 3 3 3" xfId="13952"/>
    <cellStyle name="Comma 5 4 4 2 3 3 4" xfId="8695"/>
    <cellStyle name="Comma 5 4 4 2 3 3 5" xfId="22775"/>
    <cellStyle name="Comma 5 4 4 2 3 4" xfId="6302"/>
    <cellStyle name="Comma 5 4 4 2 3 4 2" xfId="15386"/>
    <cellStyle name="Comma 5 4 4 2 3 4 3" xfId="25390"/>
    <cellStyle name="Comma 5 4 4 2 3 5" xfId="10149"/>
    <cellStyle name="Comma 5 4 4 2 3 5 2" xfId="18976"/>
    <cellStyle name="Comma 5 4 4 2 3 5 3" xfId="29227"/>
    <cellStyle name="Comma 5 4 4 2 3 6" xfId="11595"/>
    <cellStyle name="Comma 5 4 4 2 3 6 2" xfId="24581"/>
    <cellStyle name="Comma 5 4 4 2 3 7" xfId="5489"/>
    <cellStyle name="Comma 5 4 4 2 3 8" xfId="20383"/>
    <cellStyle name="Comma 5 4 4 2 4" xfId="1610"/>
    <cellStyle name="Comma 5 4 4 2 4 2" xfId="3207"/>
    <cellStyle name="Comma 5 4 4 2 4 2 2" xfId="18127"/>
    <cellStyle name="Comma 5 4 4 2 4 2 2 2" xfId="28378"/>
    <cellStyle name="Comma 5 4 4 2 4 2 3" xfId="14548"/>
    <cellStyle name="Comma 5 4 4 2 4 2 4" xfId="9291"/>
    <cellStyle name="Comma 5 4 4 2 4 2 5" xfId="23371"/>
    <cellStyle name="Comma 5 4 4 2 4 3" xfId="10745"/>
    <cellStyle name="Comma 5 4 4 2 4 3 2" xfId="19572"/>
    <cellStyle name="Comma 5 4 4 2 4 3 3" xfId="29823"/>
    <cellStyle name="Comma 5 4 4 2 4 4" xfId="12191"/>
    <cellStyle name="Comma 5 4 4 2 4 4 2" xfId="26273"/>
    <cellStyle name="Comma 5 4 4 2 4 5" xfId="7186"/>
    <cellStyle name="Comma 5 4 4 2 4 6" xfId="21266"/>
    <cellStyle name="Comma 5 4 4 2 5" xfId="2164"/>
    <cellStyle name="Comma 5 4 4 2 5 2" xfId="17084"/>
    <cellStyle name="Comma 5 4 4 2 5 2 2" xfId="27335"/>
    <cellStyle name="Comma 5 4 4 2 5 3" xfId="13505"/>
    <cellStyle name="Comma 5 4 4 2 5 4" xfId="8248"/>
    <cellStyle name="Comma 5 4 4 2 5 5" xfId="22328"/>
    <cellStyle name="Comma 5 4 4 2 6" xfId="5809"/>
    <cellStyle name="Comma 5 4 4 2 6 2" xfId="14895"/>
    <cellStyle name="Comma 5 4 4 2 6 3" xfId="24899"/>
    <cellStyle name="Comma 5 4 4 2 7" xfId="9702"/>
    <cellStyle name="Comma 5 4 4 2 7 2" xfId="18529"/>
    <cellStyle name="Comma 5 4 4 2 7 3" xfId="28780"/>
    <cellStyle name="Comma 5 4 4 2 8" xfId="11146"/>
    <cellStyle name="Comma 5 4 4 2 8 2" xfId="23872"/>
    <cellStyle name="Comma 5 4 4 2 9" xfId="4780"/>
    <cellStyle name="Comma 5 4 4 3" xfId="529"/>
    <cellStyle name="Comma 5 4 4 3 2" xfId="2262"/>
    <cellStyle name="Comma 5 4 4 3 2 2" xfId="15995"/>
    <cellStyle name="Comma 5 4 4 3 2 2 2" xfId="26068"/>
    <cellStyle name="Comma 5 4 4 3 2 3" xfId="12376"/>
    <cellStyle name="Comma 5 4 4 3 2 4" xfId="6981"/>
    <cellStyle name="Comma 5 4 4 3 2 5" xfId="21061"/>
    <cellStyle name="Comma 5 4 4 3 3" xfId="3536"/>
    <cellStyle name="Comma 5 4 4 3 3 2" xfId="17182"/>
    <cellStyle name="Comma 5 4 4 3 3 2 2" xfId="27433"/>
    <cellStyle name="Comma 5 4 4 3 3 3" xfId="13603"/>
    <cellStyle name="Comma 5 4 4 3 3 4" xfId="8346"/>
    <cellStyle name="Comma 5 4 4 3 3 5" xfId="22426"/>
    <cellStyle name="Comma 5 4 4 3 4" xfId="6097"/>
    <cellStyle name="Comma 5 4 4 3 4 2" xfId="15181"/>
    <cellStyle name="Comma 5 4 4 3 4 3" xfId="25185"/>
    <cellStyle name="Comma 5 4 4 3 5" xfId="9800"/>
    <cellStyle name="Comma 5 4 4 3 5 2" xfId="18627"/>
    <cellStyle name="Comma 5 4 4 3 5 3" xfId="28878"/>
    <cellStyle name="Comma 5 4 4 3 6" xfId="11244"/>
    <cellStyle name="Comma 5 4 4 3 6 2" xfId="23667"/>
    <cellStyle name="Comma 5 4 4 3 7" xfId="4575"/>
    <cellStyle name="Comma 5 4 4 3 8" xfId="20178"/>
    <cellStyle name="Comma 5 4 4 4" xfId="888"/>
    <cellStyle name="Comma 5 4 4 4 2" xfId="2610"/>
    <cellStyle name="Comma 5 4 4 4 2 2" xfId="16158"/>
    <cellStyle name="Comma 5 4 4 4 2 2 2" xfId="26376"/>
    <cellStyle name="Comma 5 4 4 4 2 3" xfId="12580"/>
    <cellStyle name="Comma 5 4 4 4 2 4" xfId="7289"/>
    <cellStyle name="Comma 5 4 4 4 2 5" xfId="21369"/>
    <cellStyle name="Comma 5 4 4 4 3" xfId="3884"/>
    <cellStyle name="Comma 5 4 4 4 3 2" xfId="17530"/>
    <cellStyle name="Comma 5 4 4 4 3 2 2" xfId="27781"/>
    <cellStyle name="Comma 5 4 4 4 3 3" xfId="13951"/>
    <cellStyle name="Comma 5 4 4 4 3 4" xfId="8694"/>
    <cellStyle name="Comma 5 4 4 4 3 5" xfId="22774"/>
    <cellStyle name="Comma 5 4 4 4 4" xfId="6405"/>
    <cellStyle name="Comma 5 4 4 4 4 2" xfId="15489"/>
    <cellStyle name="Comma 5 4 4 4 4 3" xfId="25493"/>
    <cellStyle name="Comma 5 4 4 4 5" xfId="10148"/>
    <cellStyle name="Comma 5 4 4 4 5 2" xfId="18975"/>
    <cellStyle name="Comma 5 4 4 4 5 3" xfId="29226"/>
    <cellStyle name="Comma 5 4 4 4 6" xfId="11594"/>
    <cellStyle name="Comma 5 4 4 4 6 2" xfId="23975"/>
    <cellStyle name="Comma 5 4 4 4 7" xfId="4883"/>
    <cellStyle name="Comma 5 4 4 4 8" xfId="20486"/>
    <cellStyle name="Comma 5 4 4 5" xfId="1396"/>
    <cellStyle name="Comma 5 4 4 5 2" xfId="3002"/>
    <cellStyle name="Comma 5 4 4 5 2 2" xfId="16558"/>
    <cellStyle name="Comma 5 4 4 5 2 2 2" xfId="26777"/>
    <cellStyle name="Comma 5 4 4 5 2 3" xfId="12979"/>
    <cellStyle name="Comma 5 4 4 5 2 4" xfId="7690"/>
    <cellStyle name="Comma 5 4 4 5 2 5" xfId="21770"/>
    <cellStyle name="Comma 5 4 4 5 3" xfId="4216"/>
    <cellStyle name="Comma 5 4 4 5 3 2" xfId="17922"/>
    <cellStyle name="Comma 5 4 4 5 3 2 2" xfId="28173"/>
    <cellStyle name="Comma 5 4 4 5 3 3" xfId="14343"/>
    <cellStyle name="Comma 5 4 4 5 3 4" xfId="9086"/>
    <cellStyle name="Comma 5 4 4 5 3 5" xfId="23166"/>
    <cellStyle name="Comma 5 4 4 5 4" xfId="5983"/>
    <cellStyle name="Comma 5 4 4 5 4 2" xfId="15069"/>
    <cellStyle name="Comma 5 4 4 5 4 3" xfId="25073"/>
    <cellStyle name="Comma 5 4 4 5 5" xfId="10540"/>
    <cellStyle name="Comma 5 4 4 5 5 2" xfId="19367"/>
    <cellStyle name="Comma 5 4 4 5 5 3" xfId="29618"/>
    <cellStyle name="Comma 5 4 4 5 6" xfId="11986"/>
    <cellStyle name="Comma 5 4 4 5 6 2" xfId="24376"/>
    <cellStyle name="Comma 5 4 4 5 7" xfId="5284"/>
    <cellStyle name="Comma 5 4 4 5 8" xfId="20066"/>
    <cellStyle name="Comma 5 4 4 6" xfId="1959"/>
    <cellStyle name="Comma 5 4 4 6 2" xfId="15912"/>
    <cellStyle name="Comma 5 4 4 6 2 2" xfId="25956"/>
    <cellStyle name="Comma 5 4 4 6 3" xfId="12401"/>
    <cellStyle name="Comma 5 4 4 6 4" xfId="6869"/>
    <cellStyle name="Comma 5 4 4 6 5" xfId="20949"/>
    <cellStyle name="Comma 5 4 4 7" xfId="3379"/>
    <cellStyle name="Comma 5 4 4 7 2" xfId="16879"/>
    <cellStyle name="Comma 5 4 4 7 2 2" xfId="27130"/>
    <cellStyle name="Comma 5 4 4 7 3" xfId="13300"/>
    <cellStyle name="Comma 5 4 4 7 4" xfId="8043"/>
    <cellStyle name="Comma 5 4 4 7 5" xfId="22123"/>
    <cellStyle name="Comma 5 4 4 8" xfId="5604"/>
    <cellStyle name="Comma 5 4 4 8 2" xfId="14690"/>
    <cellStyle name="Comma 5 4 4 8 3" xfId="24694"/>
    <cellStyle name="Comma 5 4 4 9" xfId="9497"/>
    <cellStyle name="Comma 5 4 4 9 2" xfId="18324"/>
    <cellStyle name="Comma 5 4 4 9 3" xfId="28575"/>
    <cellStyle name="Comma 5 4 5" xfId="315"/>
    <cellStyle name="Comma 5 4 5 10" xfId="19787"/>
    <cellStyle name="Comma 5 4 5 2" xfId="531"/>
    <cellStyle name="Comma 5 4 5 2 2" xfId="2264"/>
    <cellStyle name="Comma 5 4 5 2 2 2" xfId="16160"/>
    <cellStyle name="Comma 5 4 5 2 2 2 2" xfId="26378"/>
    <cellStyle name="Comma 5 4 5 2 2 3" xfId="12582"/>
    <cellStyle name="Comma 5 4 5 2 2 4" xfId="7291"/>
    <cellStyle name="Comma 5 4 5 2 2 5" xfId="21371"/>
    <cellStyle name="Comma 5 4 5 2 3" xfId="3538"/>
    <cellStyle name="Comma 5 4 5 2 3 2" xfId="17184"/>
    <cellStyle name="Comma 5 4 5 2 3 2 2" xfId="27435"/>
    <cellStyle name="Comma 5 4 5 2 3 3" xfId="13605"/>
    <cellStyle name="Comma 5 4 5 2 3 4" xfId="8348"/>
    <cellStyle name="Comma 5 4 5 2 3 5" xfId="22428"/>
    <cellStyle name="Comma 5 4 5 2 4" xfId="6407"/>
    <cellStyle name="Comma 5 4 5 2 4 2" xfId="15491"/>
    <cellStyle name="Comma 5 4 5 2 4 3" xfId="25495"/>
    <cellStyle name="Comma 5 4 5 2 5" xfId="9802"/>
    <cellStyle name="Comma 5 4 5 2 5 2" xfId="18629"/>
    <cellStyle name="Comma 5 4 5 2 5 3" xfId="28880"/>
    <cellStyle name="Comma 5 4 5 2 6" xfId="11246"/>
    <cellStyle name="Comma 5 4 5 2 6 2" xfId="23977"/>
    <cellStyle name="Comma 5 4 5 2 7" xfId="4885"/>
    <cellStyle name="Comma 5 4 5 2 8" xfId="20488"/>
    <cellStyle name="Comma 5 4 5 3" xfId="890"/>
    <cellStyle name="Comma 5 4 5 3 2" xfId="2612"/>
    <cellStyle name="Comma 5 4 5 3 2 2" xfId="16658"/>
    <cellStyle name="Comma 5 4 5 3 2 2 2" xfId="26877"/>
    <cellStyle name="Comma 5 4 5 3 2 3" xfId="13079"/>
    <cellStyle name="Comma 5 4 5 3 2 4" xfId="7790"/>
    <cellStyle name="Comma 5 4 5 3 2 5" xfId="21870"/>
    <cellStyle name="Comma 5 4 5 3 3" xfId="3886"/>
    <cellStyle name="Comma 5 4 5 3 3 2" xfId="17532"/>
    <cellStyle name="Comma 5 4 5 3 3 2 2" xfId="27783"/>
    <cellStyle name="Comma 5 4 5 3 3 3" xfId="13953"/>
    <cellStyle name="Comma 5 4 5 3 3 4" xfId="8696"/>
    <cellStyle name="Comma 5 4 5 3 3 5" xfId="22776"/>
    <cellStyle name="Comma 5 4 5 3 4" xfId="6197"/>
    <cellStyle name="Comma 5 4 5 3 4 2" xfId="15281"/>
    <cellStyle name="Comma 5 4 5 3 4 3" xfId="25285"/>
    <cellStyle name="Comma 5 4 5 3 5" xfId="10150"/>
    <cellStyle name="Comma 5 4 5 3 5 2" xfId="18977"/>
    <cellStyle name="Comma 5 4 5 3 5 3" xfId="29228"/>
    <cellStyle name="Comma 5 4 5 3 6" xfId="11596"/>
    <cellStyle name="Comma 5 4 5 3 6 2" xfId="24476"/>
    <cellStyle name="Comma 5 4 5 3 7" xfId="5384"/>
    <cellStyle name="Comma 5 4 5 3 8" xfId="20278"/>
    <cellStyle name="Comma 5 4 5 4" xfId="1502"/>
    <cellStyle name="Comma 5 4 5 4 2" xfId="3102"/>
    <cellStyle name="Comma 5 4 5 4 2 2" xfId="18022"/>
    <cellStyle name="Comma 5 4 5 4 2 2 2" xfId="28273"/>
    <cellStyle name="Comma 5 4 5 4 2 3" xfId="14443"/>
    <cellStyle name="Comma 5 4 5 4 2 4" xfId="9186"/>
    <cellStyle name="Comma 5 4 5 4 2 5" xfId="23266"/>
    <cellStyle name="Comma 5 4 5 4 3" xfId="10640"/>
    <cellStyle name="Comma 5 4 5 4 3 2" xfId="19467"/>
    <cellStyle name="Comma 5 4 5 4 3 3" xfId="29718"/>
    <cellStyle name="Comma 5 4 5 4 4" xfId="12086"/>
    <cellStyle name="Comma 5 4 5 4 4 2" xfId="26168"/>
    <cellStyle name="Comma 5 4 5 4 5" xfId="7081"/>
    <cellStyle name="Comma 5 4 5 4 6" xfId="21161"/>
    <cellStyle name="Comma 5 4 5 5" xfId="2059"/>
    <cellStyle name="Comma 5 4 5 5 2" xfId="16979"/>
    <cellStyle name="Comma 5 4 5 5 2 2" xfId="27230"/>
    <cellStyle name="Comma 5 4 5 5 3" xfId="13400"/>
    <cellStyle name="Comma 5 4 5 5 4" xfId="8143"/>
    <cellStyle name="Comma 5 4 5 5 5" xfId="22223"/>
    <cellStyle name="Comma 5 4 5 6" xfId="5704"/>
    <cellStyle name="Comma 5 4 5 6 2" xfId="14790"/>
    <cellStyle name="Comma 5 4 5 6 3" xfId="24794"/>
    <cellStyle name="Comma 5 4 5 7" xfId="9597"/>
    <cellStyle name="Comma 5 4 5 7 2" xfId="18424"/>
    <cellStyle name="Comma 5 4 5 7 3" xfId="28675"/>
    <cellStyle name="Comma 5 4 5 8" xfId="11041"/>
    <cellStyle name="Comma 5 4 5 8 2" xfId="23767"/>
    <cellStyle name="Comma 5 4 5 9" xfId="4675"/>
    <cellStyle name="Comma 5 4 6" xfId="180"/>
    <cellStyle name="Comma 5 4 6 10" xfId="20153"/>
    <cellStyle name="Comma 5 4 6 2" xfId="532"/>
    <cellStyle name="Comma 5 4 6 2 2" xfId="2265"/>
    <cellStyle name="Comma 5 4 6 2 2 2" xfId="16161"/>
    <cellStyle name="Comma 5 4 6 2 2 2 2" xfId="26379"/>
    <cellStyle name="Comma 5 4 6 2 2 3" xfId="12583"/>
    <cellStyle name="Comma 5 4 6 2 2 4" xfId="7292"/>
    <cellStyle name="Comma 5 4 6 2 2 5" xfId="21372"/>
    <cellStyle name="Comma 5 4 6 2 3" xfId="3539"/>
    <cellStyle name="Comma 5 4 6 2 3 2" xfId="17185"/>
    <cellStyle name="Comma 5 4 6 2 3 2 2" xfId="27436"/>
    <cellStyle name="Comma 5 4 6 2 3 3" xfId="13606"/>
    <cellStyle name="Comma 5 4 6 2 3 4" xfId="8349"/>
    <cellStyle name="Comma 5 4 6 2 3 5" xfId="22429"/>
    <cellStyle name="Comma 5 4 6 2 4" xfId="6408"/>
    <cellStyle name="Comma 5 4 6 2 4 2" xfId="15492"/>
    <cellStyle name="Comma 5 4 6 2 4 3" xfId="25496"/>
    <cellStyle name="Comma 5 4 6 2 5" xfId="9803"/>
    <cellStyle name="Comma 5 4 6 2 5 2" xfId="18630"/>
    <cellStyle name="Comma 5 4 6 2 5 3" xfId="28881"/>
    <cellStyle name="Comma 5 4 6 2 6" xfId="11247"/>
    <cellStyle name="Comma 5 4 6 2 6 2" xfId="23978"/>
    <cellStyle name="Comma 5 4 6 2 7" xfId="4886"/>
    <cellStyle name="Comma 5 4 6 2 8" xfId="20489"/>
    <cellStyle name="Comma 5 4 6 3" xfId="891"/>
    <cellStyle name="Comma 5 4 6 3 2" xfId="2613"/>
    <cellStyle name="Comma 5 4 6 3 2 2" xfId="16533"/>
    <cellStyle name="Comma 5 4 6 3 2 2 2" xfId="26752"/>
    <cellStyle name="Comma 5 4 6 3 2 3" xfId="12954"/>
    <cellStyle name="Comma 5 4 6 3 2 4" xfId="7665"/>
    <cellStyle name="Comma 5 4 6 3 2 5" xfId="21745"/>
    <cellStyle name="Comma 5 4 6 3 3" xfId="3887"/>
    <cellStyle name="Comma 5 4 6 3 3 2" xfId="17533"/>
    <cellStyle name="Comma 5 4 6 3 3 2 2" xfId="27784"/>
    <cellStyle name="Comma 5 4 6 3 3 3" xfId="13954"/>
    <cellStyle name="Comma 5 4 6 3 3 4" xfId="8697"/>
    <cellStyle name="Comma 5 4 6 3 3 5" xfId="22777"/>
    <cellStyle name="Comma 5 4 6 3 4" xfId="6712"/>
    <cellStyle name="Comma 5 4 6 3 4 2" xfId="15795"/>
    <cellStyle name="Comma 5 4 6 3 4 3" xfId="25799"/>
    <cellStyle name="Comma 5 4 6 3 5" xfId="10151"/>
    <cellStyle name="Comma 5 4 6 3 5 2" xfId="18978"/>
    <cellStyle name="Comma 5 4 6 3 5 3" xfId="29229"/>
    <cellStyle name="Comma 5 4 6 3 6" xfId="11597"/>
    <cellStyle name="Comma 5 4 6 3 6 2" xfId="24351"/>
    <cellStyle name="Comma 5 4 6 3 7" xfId="5259"/>
    <cellStyle name="Comma 5 4 6 3 8" xfId="20792"/>
    <cellStyle name="Comma 5 4 6 4" xfId="1367"/>
    <cellStyle name="Comma 5 4 6 4 2" xfId="2977"/>
    <cellStyle name="Comma 5 4 6 4 2 2" xfId="17897"/>
    <cellStyle name="Comma 5 4 6 4 2 2 2" xfId="28148"/>
    <cellStyle name="Comma 5 4 6 4 2 3" xfId="14318"/>
    <cellStyle name="Comma 5 4 6 4 2 4" xfId="9061"/>
    <cellStyle name="Comma 5 4 6 4 2 5" xfId="23141"/>
    <cellStyle name="Comma 5 4 6 4 3" xfId="10515"/>
    <cellStyle name="Comma 5 4 6 4 3 2" xfId="19342"/>
    <cellStyle name="Comma 5 4 6 4 3 3" xfId="29593"/>
    <cellStyle name="Comma 5 4 6 4 4" xfId="11961"/>
    <cellStyle name="Comma 5 4 6 4 4 2" xfId="26043"/>
    <cellStyle name="Comma 5 4 6 4 5" xfId="6956"/>
    <cellStyle name="Comma 5 4 6 4 6" xfId="21036"/>
    <cellStyle name="Comma 5 4 6 5" xfId="1934"/>
    <cellStyle name="Comma 5 4 6 5 2" xfId="16852"/>
    <cellStyle name="Comma 5 4 6 5 2 2" xfId="27103"/>
    <cellStyle name="Comma 5 4 6 5 3" xfId="13273"/>
    <cellStyle name="Comma 5 4 6 5 4" xfId="8016"/>
    <cellStyle name="Comma 5 4 6 5 5" xfId="22096"/>
    <cellStyle name="Comma 5 4 6 6" xfId="6072"/>
    <cellStyle name="Comma 5 4 6 6 2" xfId="15156"/>
    <cellStyle name="Comma 5 4 6 6 3" xfId="25160"/>
    <cellStyle name="Comma 5 4 6 7" xfId="9472"/>
    <cellStyle name="Comma 5 4 6 7 2" xfId="18299"/>
    <cellStyle name="Comma 5 4 6 7 3" xfId="28550"/>
    <cellStyle name="Comma 5 4 6 8" xfId="10916"/>
    <cellStyle name="Comma 5 4 6 8 2" xfId="23642"/>
    <cellStyle name="Comma 5 4 6 9" xfId="4550"/>
    <cellStyle name="Comma 5 4 7" xfId="523"/>
    <cellStyle name="Comma 5 4 7 2" xfId="2256"/>
    <cellStyle name="Comma 5 4 7 2 2" xfId="16152"/>
    <cellStyle name="Comma 5 4 7 2 2 2" xfId="26370"/>
    <cellStyle name="Comma 5 4 7 2 3" xfId="12574"/>
    <cellStyle name="Comma 5 4 7 2 4" xfId="7283"/>
    <cellStyle name="Comma 5 4 7 2 5" xfId="21363"/>
    <cellStyle name="Comma 5 4 7 3" xfId="3530"/>
    <cellStyle name="Comma 5 4 7 3 2" xfId="17176"/>
    <cellStyle name="Comma 5 4 7 3 2 2" xfId="27427"/>
    <cellStyle name="Comma 5 4 7 3 3" xfId="13597"/>
    <cellStyle name="Comma 5 4 7 3 4" xfId="8340"/>
    <cellStyle name="Comma 5 4 7 3 5" xfId="22420"/>
    <cellStyle name="Comma 5 4 7 4" xfId="6399"/>
    <cellStyle name="Comma 5 4 7 4 2" xfId="15483"/>
    <cellStyle name="Comma 5 4 7 4 3" xfId="25487"/>
    <cellStyle name="Comma 5 4 7 5" xfId="9794"/>
    <cellStyle name="Comma 5 4 7 5 2" xfId="18621"/>
    <cellStyle name="Comma 5 4 7 5 3" xfId="28872"/>
    <cellStyle name="Comma 5 4 7 6" xfId="11238"/>
    <cellStyle name="Comma 5 4 7 6 2" xfId="23969"/>
    <cellStyle name="Comma 5 4 7 7" xfId="4877"/>
    <cellStyle name="Comma 5 4 7 8" xfId="20480"/>
    <cellStyle name="Comma 5 4 8" xfId="882"/>
    <cellStyle name="Comma 5 4 8 2" xfId="2604"/>
    <cellStyle name="Comma 5 4 8 2 2" xfId="16488"/>
    <cellStyle name="Comma 5 4 8 2 2 2" xfId="26707"/>
    <cellStyle name="Comma 5 4 8 2 3" xfId="12910"/>
    <cellStyle name="Comma 5 4 8 2 4" xfId="7620"/>
    <cellStyle name="Comma 5 4 8 2 5" xfId="21700"/>
    <cellStyle name="Comma 5 4 8 3" xfId="3878"/>
    <cellStyle name="Comma 5 4 8 3 2" xfId="17524"/>
    <cellStyle name="Comma 5 4 8 3 2 2" xfId="27775"/>
    <cellStyle name="Comma 5 4 8 3 3" xfId="13945"/>
    <cellStyle name="Comma 5 4 8 3 4" xfId="8688"/>
    <cellStyle name="Comma 5 4 8 3 5" xfId="22768"/>
    <cellStyle name="Comma 5 4 8 4" xfId="5877"/>
    <cellStyle name="Comma 5 4 8 4 2" xfId="14963"/>
    <cellStyle name="Comma 5 4 8 4 3" xfId="24967"/>
    <cellStyle name="Comma 5 4 8 5" xfId="10142"/>
    <cellStyle name="Comma 5 4 8 5 2" xfId="18969"/>
    <cellStyle name="Comma 5 4 8 5 3" xfId="29220"/>
    <cellStyle name="Comma 5 4 8 6" xfId="11588"/>
    <cellStyle name="Comma 5 4 8 6 2" xfId="24306"/>
    <cellStyle name="Comma 5 4 8 7" xfId="5214"/>
    <cellStyle name="Comma 5 4 8 8" xfId="19960"/>
    <cellStyle name="Comma 5 4 9" xfId="1318"/>
    <cellStyle name="Comma 5 4 9 2" xfId="2932"/>
    <cellStyle name="Comma 5 4 9 2 2" xfId="17852"/>
    <cellStyle name="Comma 5 4 9 2 2 2" xfId="28103"/>
    <cellStyle name="Comma 5 4 9 2 3" xfId="14273"/>
    <cellStyle name="Comma 5 4 9 2 4" xfId="9016"/>
    <cellStyle name="Comma 5 4 9 2 5" xfId="23096"/>
    <cellStyle name="Comma 5 4 9 3" xfId="10470"/>
    <cellStyle name="Comma 5 4 9 3 2" xfId="19297"/>
    <cellStyle name="Comma 5 4 9 3 3" xfId="29548"/>
    <cellStyle name="Comma 5 4 9 4" xfId="11916"/>
    <cellStyle name="Comma 5 4 9 4 2" xfId="25851"/>
    <cellStyle name="Comma 5 4 9 5" xfId="6764"/>
    <cellStyle name="Comma 5 4 9 6" xfId="20844"/>
    <cellStyle name="Comma 5 5" xfId="156"/>
    <cellStyle name="Comma 5 5 10" xfId="5557"/>
    <cellStyle name="Comma 5 5 10 2" xfId="14643"/>
    <cellStyle name="Comma 5 5 10 3" xfId="24647"/>
    <cellStyle name="Comma 5 5 11" xfId="9377"/>
    <cellStyle name="Comma 5 5 11 2" xfId="18204"/>
    <cellStyle name="Comma 5 5 11 3" xfId="28455"/>
    <cellStyle name="Comma 5 5 12" xfId="10817"/>
    <cellStyle name="Comma 5 5 12 2" xfId="23462"/>
    <cellStyle name="Comma 5 5 13" xfId="4370"/>
    <cellStyle name="Comma 5 5 14" xfId="19640"/>
    <cellStyle name="Comma 5 5 2" xfId="269"/>
    <cellStyle name="Comma 5 5 2 10" xfId="10996"/>
    <cellStyle name="Comma 5 5 2 10 2" xfId="23505"/>
    <cellStyle name="Comma 5 5 2 11" xfId="4413"/>
    <cellStyle name="Comma 5 5 2 12" xfId="19742"/>
    <cellStyle name="Comma 5 5 2 2" xfId="371"/>
    <cellStyle name="Comma 5 5 2 2 10" xfId="19842"/>
    <cellStyle name="Comma 5 5 2 2 2" xfId="535"/>
    <cellStyle name="Comma 5 5 2 2 2 2" xfId="2268"/>
    <cellStyle name="Comma 5 5 2 2 2 2 2" xfId="16164"/>
    <cellStyle name="Comma 5 5 2 2 2 2 2 2" xfId="26382"/>
    <cellStyle name="Comma 5 5 2 2 2 2 3" xfId="12586"/>
    <cellStyle name="Comma 5 5 2 2 2 2 4" xfId="7295"/>
    <cellStyle name="Comma 5 5 2 2 2 2 5" xfId="21375"/>
    <cellStyle name="Comma 5 5 2 2 2 3" xfId="3542"/>
    <cellStyle name="Comma 5 5 2 2 2 3 2" xfId="17188"/>
    <cellStyle name="Comma 5 5 2 2 2 3 2 2" xfId="27439"/>
    <cellStyle name="Comma 5 5 2 2 2 3 3" xfId="13609"/>
    <cellStyle name="Comma 5 5 2 2 2 3 4" xfId="8352"/>
    <cellStyle name="Comma 5 5 2 2 2 3 5" xfId="22432"/>
    <cellStyle name="Comma 5 5 2 2 2 4" xfId="6411"/>
    <cellStyle name="Comma 5 5 2 2 2 4 2" xfId="15495"/>
    <cellStyle name="Comma 5 5 2 2 2 4 3" xfId="25499"/>
    <cellStyle name="Comma 5 5 2 2 2 5" xfId="9806"/>
    <cellStyle name="Comma 5 5 2 2 2 5 2" xfId="18633"/>
    <cellStyle name="Comma 5 5 2 2 2 5 3" xfId="28884"/>
    <cellStyle name="Comma 5 5 2 2 2 6" xfId="11250"/>
    <cellStyle name="Comma 5 5 2 2 2 6 2" xfId="23981"/>
    <cellStyle name="Comma 5 5 2 2 2 7" xfId="4889"/>
    <cellStyle name="Comma 5 5 2 2 2 8" xfId="20492"/>
    <cellStyle name="Comma 5 5 2 2 3" xfId="894"/>
    <cellStyle name="Comma 5 5 2 2 3 2" xfId="2616"/>
    <cellStyle name="Comma 5 5 2 2 3 2 2" xfId="16713"/>
    <cellStyle name="Comma 5 5 2 2 3 2 2 2" xfId="26932"/>
    <cellStyle name="Comma 5 5 2 2 3 2 3" xfId="13134"/>
    <cellStyle name="Comma 5 5 2 2 3 2 4" xfId="7845"/>
    <cellStyle name="Comma 5 5 2 2 3 2 5" xfId="21925"/>
    <cellStyle name="Comma 5 5 2 2 3 3" xfId="3890"/>
    <cellStyle name="Comma 5 5 2 2 3 3 2" xfId="17536"/>
    <cellStyle name="Comma 5 5 2 2 3 3 2 2" xfId="27787"/>
    <cellStyle name="Comma 5 5 2 2 3 3 3" xfId="13957"/>
    <cellStyle name="Comma 5 5 2 2 3 3 4" xfId="8700"/>
    <cellStyle name="Comma 5 5 2 2 3 3 5" xfId="22780"/>
    <cellStyle name="Comma 5 5 2 2 3 4" xfId="6252"/>
    <cellStyle name="Comma 5 5 2 2 3 4 2" xfId="15336"/>
    <cellStyle name="Comma 5 5 2 2 3 4 3" xfId="25340"/>
    <cellStyle name="Comma 5 5 2 2 3 5" xfId="10154"/>
    <cellStyle name="Comma 5 5 2 2 3 5 2" xfId="18981"/>
    <cellStyle name="Comma 5 5 2 2 3 5 3" xfId="29232"/>
    <cellStyle name="Comma 5 5 2 2 3 6" xfId="11600"/>
    <cellStyle name="Comma 5 5 2 2 3 6 2" xfId="24531"/>
    <cellStyle name="Comma 5 5 2 2 3 7" xfId="5439"/>
    <cellStyle name="Comma 5 5 2 2 3 8" xfId="20333"/>
    <cellStyle name="Comma 5 5 2 2 4" xfId="1558"/>
    <cellStyle name="Comma 5 5 2 2 4 2" xfId="3157"/>
    <cellStyle name="Comma 5 5 2 2 4 2 2" xfId="18077"/>
    <cellStyle name="Comma 5 5 2 2 4 2 2 2" xfId="28328"/>
    <cellStyle name="Comma 5 5 2 2 4 2 3" xfId="14498"/>
    <cellStyle name="Comma 5 5 2 2 4 2 4" xfId="9241"/>
    <cellStyle name="Comma 5 5 2 2 4 2 5" xfId="23321"/>
    <cellStyle name="Comma 5 5 2 2 4 3" xfId="10695"/>
    <cellStyle name="Comma 5 5 2 2 4 3 2" xfId="19522"/>
    <cellStyle name="Comma 5 5 2 2 4 3 3" xfId="29773"/>
    <cellStyle name="Comma 5 5 2 2 4 4" xfId="12141"/>
    <cellStyle name="Comma 5 5 2 2 4 4 2" xfId="26223"/>
    <cellStyle name="Comma 5 5 2 2 4 5" xfId="7136"/>
    <cellStyle name="Comma 5 5 2 2 4 6" xfId="21216"/>
    <cellStyle name="Comma 5 5 2 2 5" xfId="2114"/>
    <cellStyle name="Comma 5 5 2 2 5 2" xfId="17034"/>
    <cellStyle name="Comma 5 5 2 2 5 2 2" xfId="27285"/>
    <cellStyle name="Comma 5 5 2 2 5 3" xfId="13455"/>
    <cellStyle name="Comma 5 5 2 2 5 4" xfId="8198"/>
    <cellStyle name="Comma 5 5 2 2 5 5" xfId="22278"/>
    <cellStyle name="Comma 5 5 2 2 6" xfId="5759"/>
    <cellStyle name="Comma 5 5 2 2 6 2" xfId="14845"/>
    <cellStyle name="Comma 5 5 2 2 6 3" xfId="24849"/>
    <cellStyle name="Comma 5 5 2 2 7" xfId="9652"/>
    <cellStyle name="Comma 5 5 2 2 7 2" xfId="18479"/>
    <cellStyle name="Comma 5 5 2 2 7 3" xfId="28730"/>
    <cellStyle name="Comma 5 5 2 2 8" xfId="11096"/>
    <cellStyle name="Comma 5 5 2 2 8 2" xfId="23822"/>
    <cellStyle name="Comma 5 5 2 2 9" xfId="4730"/>
    <cellStyle name="Comma 5 5 2 3" xfId="534"/>
    <cellStyle name="Comma 5 5 2 3 2" xfId="2267"/>
    <cellStyle name="Comma 5 5 2 3 2 2" xfId="16050"/>
    <cellStyle name="Comma 5 5 2 3 2 2 2" xfId="26123"/>
    <cellStyle name="Comma 5 5 2 3 2 3" xfId="12490"/>
    <cellStyle name="Comma 5 5 2 3 2 4" xfId="7036"/>
    <cellStyle name="Comma 5 5 2 3 2 5" xfId="21116"/>
    <cellStyle name="Comma 5 5 2 3 3" xfId="3541"/>
    <cellStyle name="Comma 5 5 2 3 3 2" xfId="17187"/>
    <cellStyle name="Comma 5 5 2 3 3 2 2" xfId="27438"/>
    <cellStyle name="Comma 5 5 2 3 3 3" xfId="13608"/>
    <cellStyle name="Comma 5 5 2 3 3 4" xfId="8351"/>
    <cellStyle name="Comma 5 5 2 3 3 5" xfId="22431"/>
    <cellStyle name="Comma 5 5 2 3 4" xfId="6152"/>
    <cellStyle name="Comma 5 5 2 3 4 2" xfId="15236"/>
    <cellStyle name="Comma 5 5 2 3 4 3" xfId="25240"/>
    <cellStyle name="Comma 5 5 2 3 5" xfId="9805"/>
    <cellStyle name="Comma 5 5 2 3 5 2" xfId="18632"/>
    <cellStyle name="Comma 5 5 2 3 5 3" xfId="28883"/>
    <cellStyle name="Comma 5 5 2 3 6" xfId="11249"/>
    <cellStyle name="Comma 5 5 2 3 6 2" xfId="23722"/>
    <cellStyle name="Comma 5 5 2 3 7" xfId="4630"/>
    <cellStyle name="Comma 5 5 2 3 8" xfId="20233"/>
    <cellStyle name="Comma 5 5 2 4" xfId="893"/>
    <cellStyle name="Comma 5 5 2 4 2" xfId="2615"/>
    <cellStyle name="Comma 5 5 2 4 2 2" xfId="16163"/>
    <cellStyle name="Comma 5 5 2 4 2 2 2" xfId="26381"/>
    <cellStyle name="Comma 5 5 2 4 2 3" xfId="12585"/>
    <cellStyle name="Comma 5 5 2 4 2 4" xfId="7294"/>
    <cellStyle name="Comma 5 5 2 4 2 5" xfId="21374"/>
    <cellStyle name="Comma 5 5 2 4 3" xfId="3889"/>
    <cellStyle name="Comma 5 5 2 4 3 2" xfId="17535"/>
    <cellStyle name="Comma 5 5 2 4 3 2 2" xfId="27786"/>
    <cellStyle name="Comma 5 5 2 4 3 3" xfId="13956"/>
    <cellStyle name="Comma 5 5 2 4 3 4" xfId="8699"/>
    <cellStyle name="Comma 5 5 2 4 3 5" xfId="22779"/>
    <cellStyle name="Comma 5 5 2 4 4" xfId="6410"/>
    <cellStyle name="Comma 5 5 2 4 4 2" xfId="15494"/>
    <cellStyle name="Comma 5 5 2 4 4 3" xfId="25498"/>
    <cellStyle name="Comma 5 5 2 4 5" xfId="10153"/>
    <cellStyle name="Comma 5 5 2 4 5 2" xfId="18980"/>
    <cellStyle name="Comma 5 5 2 4 5 3" xfId="29231"/>
    <cellStyle name="Comma 5 5 2 4 6" xfId="11599"/>
    <cellStyle name="Comma 5 5 2 4 6 2" xfId="23980"/>
    <cellStyle name="Comma 5 5 2 4 7" xfId="4888"/>
    <cellStyle name="Comma 5 5 2 4 8" xfId="20491"/>
    <cellStyle name="Comma 5 5 2 5" xfId="1456"/>
    <cellStyle name="Comma 5 5 2 5 2" xfId="3057"/>
    <cellStyle name="Comma 5 5 2 5 2 2" xfId="16613"/>
    <cellStyle name="Comma 5 5 2 5 2 2 2" xfId="26832"/>
    <cellStyle name="Comma 5 5 2 5 2 3" xfId="13034"/>
    <cellStyle name="Comma 5 5 2 5 2 4" xfId="7745"/>
    <cellStyle name="Comma 5 5 2 5 2 5" xfId="21825"/>
    <cellStyle name="Comma 5 5 2 5 3" xfId="4271"/>
    <cellStyle name="Comma 5 5 2 5 3 2" xfId="17977"/>
    <cellStyle name="Comma 5 5 2 5 3 2 2" xfId="28228"/>
    <cellStyle name="Comma 5 5 2 5 3 3" xfId="14398"/>
    <cellStyle name="Comma 5 5 2 5 3 4" xfId="9141"/>
    <cellStyle name="Comma 5 5 2 5 3 5" xfId="23221"/>
    <cellStyle name="Comma 5 5 2 5 4" xfId="5933"/>
    <cellStyle name="Comma 5 5 2 5 4 2" xfId="15019"/>
    <cellStyle name="Comma 5 5 2 5 4 3" xfId="25023"/>
    <cellStyle name="Comma 5 5 2 5 5" xfId="10595"/>
    <cellStyle name="Comma 5 5 2 5 5 2" xfId="19422"/>
    <cellStyle name="Comma 5 5 2 5 5 3" xfId="29673"/>
    <cellStyle name="Comma 5 5 2 5 6" xfId="12041"/>
    <cellStyle name="Comma 5 5 2 5 6 2" xfId="24431"/>
    <cellStyle name="Comma 5 5 2 5 7" xfId="5339"/>
    <cellStyle name="Comma 5 5 2 5 8" xfId="20016"/>
    <cellStyle name="Comma 5 5 2 6" xfId="2014"/>
    <cellStyle name="Comma 5 5 2 6 2" xfId="15862"/>
    <cellStyle name="Comma 5 5 2 6 2 2" xfId="25906"/>
    <cellStyle name="Comma 5 5 2 6 3" xfId="12354"/>
    <cellStyle name="Comma 5 5 2 6 4" xfId="6819"/>
    <cellStyle name="Comma 5 5 2 6 5" xfId="20899"/>
    <cellStyle name="Comma 5 5 2 7" xfId="3433"/>
    <cellStyle name="Comma 5 5 2 7 2" xfId="16934"/>
    <cellStyle name="Comma 5 5 2 7 2 2" xfId="27185"/>
    <cellStyle name="Comma 5 5 2 7 3" xfId="13355"/>
    <cellStyle name="Comma 5 5 2 7 4" xfId="8098"/>
    <cellStyle name="Comma 5 5 2 7 5" xfId="22178"/>
    <cellStyle name="Comma 5 5 2 8" xfId="5659"/>
    <cellStyle name="Comma 5 5 2 8 2" xfId="14745"/>
    <cellStyle name="Comma 5 5 2 8 3" xfId="24749"/>
    <cellStyle name="Comma 5 5 2 9" xfId="9552"/>
    <cellStyle name="Comma 5 5 2 9 2" xfId="18379"/>
    <cellStyle name="Comma 5 5 2 9 3" xfId="28630"/>
    <cellStyle name="Comma 5 5 3" xfId="224"/>
    <cellStyle name="Comma 5 5 3 10" xfId="10953"/>
    <cellStyle name="Comma 5 5 3 10 2" xfId="23567"/>
    <cellStyle name="Comma 5 5 3 11" xfId="4475"/>
    <cellStyle name="Comma 5 5 3 12" xfId="19699"/>
    <cellStyle name="Comma 5 5 3 2" xfId="435"/>
    <cellStyle name="Comma 5 5 3 2 10" xfId="19904"/>
    <cellStyle name="Comma 5 5 3 2 2" xfId="537"/>
    <cellStyle name="Comma 5 5 3 2 2 2" xfId="2270"/>
    <cellStyle name="Comma 5 5 3 2 2 2 2" xfId="16166"/>
    <cellStyle name="Comma 5 5 3 2 2 2 2 2" xfId="26384"/>
    <cellStyle name="Comma 5 5 3 2 2 2 3" xfId="12588"/>
    <cellStyle name="Comma 5 5 3 2 2 2 4" xfId="7297"/>
    <cellStyle name="Comma 5 5 3 2 2 2 5" xfId="21377"/>
    <cellStyle name="Comma 5 5 3 2 2 3" xfId="3544"/>
    <cellStyle name="Comma 5 5 3 2 2 3 2" xfId="17190"/>
    <cellStyle name="Comma 5 5 3 2 2 3 2 2" xfId="27441"/>
    <cellStyle name="Comma 5 5 3 2 2 3 3" xfId="13611"/>
    <cellStyle name="Comma 5 5 3 2 2 3 4" xfId="8354"/>
    <cellStyle name="Comma 5 5 3 2 2 3 5" xfId="22434"/>
    <cellStyle name="Comma 5 5 3 2 2 4" xfId="6413"/>
    <cellStyle name="Comma 5 5 3 2 2 4 2" xfId="15497"/>
    <cellStyle name="Comma 5 5 3 2 2 4 3" xfId="25501"/>
    <cellStyle name="Comma 5 5 3 2 2 5" xfId="9808"/>
    <cellStyle name="Comma 5 5 3 2 2 5 2" xfId="18635"/>
    <cellStyle name="Comma 5 5 3 2 2 5 3" xfId="28886"/>
    <cellStyle name="Comma 5 5 3 2 2 6" xfId="11252"/>
    <cellStyle name="Comma 5 5 3 2 2 6 2" xfId="23983"/>
    <cellStyle name="Comma 5 5 3 2 2 7" xfId="4891"/>
    <cellStyle name="Comma 5 5 3 2 2 8" xfId="20494"/>
    <cellStyle name="Comma 5 5 3 2 3" xfId="896"/>
    <cellStyle name="Comma 5 5 3 2 3 2" xfId="2618"/>
    <cellStyle name="Comma 5 5 3 2 3 2 2" xfId="16775"/>
    <cellStyle name="Comma 5 5 3 2 3 2 2 2" xfId="26994"/>
    <cellStyle name="Comma 5 5 3 2 3 2 3" xfId="13196"/>
    <cellStyle name="Comma 5 5 3 2 3 2 4" xfId="7907"/>
    <cellStyle name="Comma 5 5 3 2 3 2 5" xfId="21987"/>
    <cellStyle name="Comma 5 5 3 2 3 3" xfId="3892"/>
    <cellStyle name="Comma 5 5 3 2 3 3 2" xfId="17538"/>
    <cellStyle name="Comma 5 5 3 2 3 3 2 2" xfId="27789"/>
    <cellStyle name="Comma 5 5 3 2 3 3 3" xfId="13959"/>
    <cellStyle name="Comma 5 5 3 2 3 3 4" xfId="8702"/>
    <cellStyle name="Comma 5 5 3 2 3 3 5" xfId="22782"/>
    <cellStyle name="Comma 5 5 3 2 3 4" xfId="6314"/>
    <cellStyle name="Comma 5 5 3 2 3 4 2" xfId="15398"/>
    <cellStyle name="Comma 5 5 3 2 3 4 3" xfId="25402"/>
    <cellStyle name="Comma 5 5 3 2 3 5" xfId="10156"/>
    <cellStyle name="Comma 5 5 3 2 3 5 2" xfId="18983"/>
    <cellStyle name="Comma 5 5 3 2 3 5 3" xfId="29234"/>
    <cellStyle name="Comma 5 5 3 2 3 6" xfId="11602"/>
    <cellStyle name="Comma 5 5 3 2 3 6 2" xfId="24593"/>
    <cellStyle name="Comma 5 5 3 2 3 7" xfId="5501"/>
    <cellStyle name="Comma 5 5 3 2 3 8" xfId="20395"/>
    <cellStyle name="Comma 5 5 3 2 4" xfId="1622"/>
    <cellStyle name="Comma 5 5 3 2 4 2" xfId="3219"/>
    <cellStyle name="Comma 5 5 3 2 4 2 2" xfId="18139"/>
    <cellStyle name="Comma 5 5 3 2 4 2 2 2" xfId="28390"/>
    <cellStyle name="Comma 5 5 3 2 4 2 3" xfId="14560"/>
    <cellStyle name="Comma 5 5 3 2 4 2 4" xfId="9303"/>
    <cellStyle name="Comma 5 5 3 2 4 2 5" xfId="23383"/>
    <cellStyle name="Comma 5 5 3 2 4 3" xfId="10757"/>
    <cellStyle name="Comma 5 5 3 2 4 3 2" xfId="19584"/>
    <cellStyle name="Comma 5 5 3 2 4 3 3" xfId="29835"/>
    <cellStyle name="Comma 5 5 3 2 4 4" xfId="12203"/>
    <cellStyle name="Comma 5 5 3 2 4 4 2" xfId="26285"/>
    <cellStyle name="Comma 5 5 3 2 4 5" xfId="7198"/>
    <cellStyle name="Comma 5 5 3 2 4 6" xfId="21278"/>
    <cellStyle name="Comma 5 5 3 2 5" xfId="2176"/>
    <cellStyle name="Comma 5 5 3 2 5 2" xfId="17096"/>
    <cellStyle name="Comma 5 5 3 2 5 2 2" xfId="27347"/>
    <cellStyle name="Comma 5 5 3 2 5 3" xfId="13517"/>
    <cellStyle name="Comma 5 5 3 2 5 4" xfId="8260"/>
    <cellStyle name="Comma 5 5 3 2 5 5" xfId="22340"/>
    <cellStyle name="Comma 5 5 3 2 6" xfId="5821"/>
    <cellStyle name="Comma 5 5 3 2 6 2" xfId="14907"/>
    <cellStyle name="Comma 5 5 3 2 6 3" xfId="24911"/>
    <cellStyle name="Comma 5 5 3 2 7" xfId="9714"/>
    <cellStyle name="Comma 5 5 3 2 7 2" xfId="18541"/>
    <cellStyle name="Comma 5 5 3 2 7 3" xfId="28792"/>
    <cellStyle name="Comma 5 5 3 2 8" xfId="11158"/>
    <cellStyle name="Comma 5 5 3 2 8 2" xfId="23884"/>
    <cellStyle name="Comma 5 5 3 2 9" xfId="4792"/>
    <cellStyle name="Comma 5 5 3 3" xfId="536"/>
    <cellStyle name="Comma 5 5 3 3 2" xfId="2269"/>
    <cellStyle name="Comma 5 5 3 3 2 2" xfId="16007"/>
    <cellStyle name="Comma 5 5 3 3 2 2 2" xfId="26080"/>
    <cellStyle name="Comma 5 5 3 3 2 3" xfId="12320"/>
    <cellStyle name="Comma 5 5 3 3 2 4" xfId="6993"/>
    <cellStyle name="Comma 5 5 3 3 2 5" xfId="21073"/>
    <cellStyle name="Comma 5 5 3 3 3" xfId="3543"/>
    <cellStyle name="Comma 5 5 3 3 3 2" xfId="17189"/>
    <cellStyle name="Comma 5 5 3 3 3 2 2" xfId="27440"/>
    <cellStyle name="Comma 5 5 3 3 3 3" xfId="13610"/>
    <cellStyle name="Comma 5 5 3 3 3 4" xfId="8353"/>
    <cellStyle name="Comma 5 5 3 3 3 5" xfId="22433"/>
    <cellStyle name="Comma 5 5 3 3 4" xfId="6109"/>
    <cellStyle name="Comma 5 5 3 3 4 2" xfId="15193"/>
    <cellStyle name="Comma 5 5 3 3 4 3" xfId="25197"/>
    <cellStyle name="Comma 5 5 3 3 5" xfId="9807"/>
    <cellStyle name="Comma 5 5 3 3 5 2" xfId="18634"/>
    <cellStyle name="Comma 5 5 3 3 5 3" xfId="28885"/>
    <cellStyle name="Comma 5 5 3 3 6" xfId="11251"/>
    <cellStyle name="Comma 5 5 3 3 6 2" xfId="23679"/>
    <cellStyle name="Comma 5 5 3 3 7" xfId="4587"/>
    <cellStyle name="Comma 5 5 3 3 8" xfId="20190"/>
    <cellStyle name="Comma 5 5 3 4" xfId="895"/>
    <cellStyle name="Comma 5 5 3 4 2" xfId="2617"/>
    <cellStyle name="Comma 5 5 3 4 2 2" xfId="16165"/>
    <cellStyle name="Comma 5 5 3 4 2 2 2" xfId="26383"/>
    <cellStyle name="Comma 5 5 3 4 2 3" xfId="12587"/>
    <cellStyle name="Comma 5 5 3 4 2 4" xfId="7296"/>
    <cellStyle name="Comma 5 5 3 4 2 5" xfId="21376"/>
    <cellStyle name="Comma 5 5 3 4 3" xfId="3891"/>
    <cellStyle name="Comma 5 5 3 4 3 2" xfId="17537"/>
    <cellStyle name="Comma 5 5 3 4 3 2 2" xfId="27788"/>
    <cellStyle name="Comma 5 5 3 4 3 3" xfId="13958"/>
    <cellStyle name="Comma 5 5 3 4 3 4" xfId="8701"/>
    <cellStyle name="Comma 5 5 3 4 3 5" xfId="22781"/>
    <cellStyle name="Comma 5 5 3 4 4" xfId="6412"/>
    <cellStyle name="Comma 5 5 3 4 4 2" xfId="15496"/>
    <cellStyle name="Comma 5 5 3 4 4 3" xfId="25500"/>
    <cellStyle name="Comma 5 5 3 4 5" xfId="10155"/>
    <cellStyle name="Comma 5 5 3 4 5 2" xfId="18982"/>
    <cellStyle name="Comma 5 5 3 4 5 3" xfId="29233"/>
    <cellStyle name="Comma 5 5 3 4 6" xfId="11601"/>
    <cellStyle name="Comma 5 5 3 4 6 2" xfId="23982"/>
    <cellStyle name="Comma 5 5 3 4 7" xfId="4890"/>
    <cellStyle name="Comma 5 5 3 4 8" xfId="20493"/>
    <cellStyle name="Comma 5 5 3 5" xfId="1411"/>
    <cellStyle name="Comma 5 5 3 5 2" xfId="3014"/>
    <cellStyle name="Comma 5 5 3 5 2 2" xfId="16570"/>
    <cellStyle name="Comma 5 5 3 5 2 2 2" xfId="26789"/>
    <cellStyle name="Comma 5 5 3 5 2 3" xfId="12991"/>
    <cellStyle name="Comma 5 5 3 5 2 4" xfId="7702"/>
    <cellStyle name="Comma 5 5 3 5 2 5" xfId="21782"/>
    <cellStyle name="Comma 5 5 3 5 3" xfId="4228"/>
    <cellStyle name="Comma 5 5 3 5 3 2" xfId="17934"/>
    <cellStyle name="Comma 5 5 3 5 3 2 2" xfId="28185"/>
    <cellStyle name="Comma 5 5 3 5 3 3" xfId="14355"/>
    <cellStyle name="Comma 5 5 3 5 3 4" xfId="9098"/>
    <cellStyle name="Comma 5 5 3 5 3 5" xfId="23178"/>
    <cellStyle name="Comma 5 5 3 5 4" xfId="5995"/>
    <cellStyle name="Comma 5 5 3 5 4 2" xfId="15081"/>
    <cellStyle name="Comma 5 5 3 5 4 3" xfId="25085"/>
    <cellStyle name="Comma 5 5 3 5 5" xfId="10552"/>
    <cellStyle name="Comma 5 5 3 5 5 2" xfId="19379"/>
    <cellStyle name="Comma 5 5 3 5 5 3" xfId="29630"/>
    <cellStyle name="Comma 5 5 3 5 6" xfId="11998"/>
    <cellStyle name="Comma 5 5 3 5 6 2" xfId="24388"/>
    <cellStyle name="Comma 5 5 3 5 7" xfId="5296"/>
    <cellStyle name="Comma 5 5 3 5 8" xfId="20078"/>
    <cellStyle name="Comma 5 5 3 6" xfId="1971"/>
    <cellStyle name="Comma 5 5 3 6 2" xfId="15924"/>
    <cellStyle name="Comma 5 5 3 6 2 2" xfId="25968"/>
    <cellStyle name="Comma 5 5 3 6 3" xfId="12341"/>
    <cellStyle name="Comma 5 5 3 6 4" xfId="6881"/>
    <cellStyle name="Comma 5 5 3 6 5" xfId="20961"/>
    <cellStyle name="Comma 5 5 3 7" xfId="3391"/>
    <cellStyle name="Comma 5 5 3 7 2" xfId="16891"/>
    <cellStyle name="Comma 5 5 3 7 2 2" xfId="27142"/>
    <cellStyle name="Comma 5 5 3 7 3" xfId="13312"/>
    <cellStyle name="Comma 5 5 3 7 4" xfId="8055"/>
    <cellStyle name="Comma 5 5 3 7 5" xfId="22135"/>
    <cellStyle name="Comma 5 5 3 8" xfId="5616"/>
    <cellStyle name="Comma 5 5 3 8 2" xfId="14702"/>
    <cellStyle name="Comma 5 5 3 8 3" xfId="24706"/>
    <cellStyle name="Comma 5 5 3 9" xfId="9509"/>
    <cellStyle name="Comma 5 5 3 9 2" xfId="18336"/>
    <cellStyle name="Comma 5 5 3 9 3" xfId="28587"/>
    <cellStyle name="Comma 5 5 4" xfId="327"/>
    <cellStyle name="Comma 5 5 4 10" xfId="19799"/>
    <cellStyle name="Comma 5 5 4 2" xfId="538"/>
    <cellStyle name="Comma 5 5 4 2 2" xfId="2271"/>
    <cellStyle name="Comma 5 5 4 2 2 2" xfId="16167"/>
    <cellStyle name="Comma 5 5 4 2 2 2 2" xfId="26385"/>
    <cellStyle name="Comma 5 5 4 2 2 3" xfId="12589"/>
    <cellStyle name="Comma 5 5 4 2 2 4" xfId="7298"/>
    <cellStyle name="Comma 5 5 4 2 2 5" xfId="21378"/>
    <cellStyle name="Comma 5 5 4 2 3" xfId="3545"/>
    <cellStyle name="Comma 5 5 4 2 3 2" xfId="17191"/>
    <cellStyle name="Comma 5 5 4 2 3 2 2" xfId="27442"/>
    <cellStyle name="Comma 5 5 4 2 3 3" xfId="13612"/>
    <cellStyle name="Comma 5 5 4 2 3 4" xfId="8355"/>
    <cellStyle name="Comma 5 5 4 2 3 5" xfId="22435"/>
    <cellStyle name="Comma 5 5 4 2 4" xfId="6414"/>
    <cellStyle name="Comma 5 5 4 2 4 2" xfId="15498"/>
    <cellStyle name="Comma 5 5 4 2 4 3" xfId="25502"/>
    <cellStyle name="Comma 5 5 4 2 5" xfId="9809"/>
    <cellStyle name="Comma 5 5 4 2 5 2" xfId="18636"/>
    <cellStyle name="Comma 5 5 4 2 5 3" xfId="28887"/>
    <cellStyle name="Comma 5 5 4 2 6" xfId="11253"/>
    <cellStyle name="Comma 5 5 4 2 6 2" xfId="23984"/>
    <cellStyle name="Comma 5 5 4 2 7" xfId="4892"/>
    <cellStyle name="Comma 5 5 4 2 8" xfId="20495"/>
    <cellStyle name="Comma 5 5 4 3" xfId="897"/>
    <cellStyle name="Comma 5 5 4 3 2" xfId="2619"/>
    <cellStyle name="Comma 5 5 4 3 2 2" xfId="16670"/>
    <cellStyle name="Comma 5 5 4 3 2 2 2" xfId="26889"/>
    <cellStyle name="Comma 5 5 4 3 2 3" xfId="13091"/>
    <cellStyle name="Comma 5 5 4 3 2 4" xfId="7802"/>
    <cellStyle name="Comma 5 5 4 3 2 5" xfId="21882"/>
    <cellStyle name="Comma 5 5 4 3 3" xfId="3893"/>
    <cellStyle name="Comma 5 5 4 3 3 2" xfId="17539"/>
    <cellStyle name="Comma 5 5 4 3 3 2 2" xfId="27790"/>
    <cellStyle name="Comma 5 5 4 3 3 3" xfId="13960"/>
    <cellStyle name="Comma 5 5 4 3 3 4" xfId="8703"/>
    <cellStyle name="Comma 5 5 4 3 3 5" xfId="22783"/>
    <cellStyle name="Comma 5 5 4 3 4" xfId="6209"/>
    <cellStyle name="Comma 5 5 4 3 4 2" xfId="15293"/>
    <cellStyle name="Comma 5 5 4 3 4 3" xfId="25297"/>
    <cellStyle name="Comma 5 5 4 3 5" xfId="10157"/>
    <cellStyle name="Comma 5 5 4 3 5 2" xfId="18984"/>
    <cellStyle name="Comma 5 5 4 3 5 3" xfId="29235"/>
    <cellStyle name="Comma 5 5 4 3 6" xfId="11603"/>
    <cellStyle name="Comma 5 5 4 3 6 2" xfId="24488"/>
    <cellStyle name="Comma 5 5 4 3 7" xfId="5396"/>
    <cellStyle name="Comma 5 5 4 3 8" xfId="20290"/>
    <cellStyle name="Comma 5 5 4 4" xfId="1514"/>
    <cellStyle name="Comma 5 5 4 4 2" xfId="3114"/>
    <cellStyle name="Comma 5 5 4 4 2 2" xfId="18034"/>
    <cellStyle name="Comma 5 5 4 4 2 2 2" xfId="28285"/>
    <cellStyle name="Comma 5 5 4 4 2 3" xfId="14455"/>
    <cellStyle name="Comma 5 5 4 4 2 4" xfId="9198"/>
    <cellStyle name="Comma 5 5 4 4 2 5" xfId="23278"/>
    <cellStyle name="Comma 5 5 4 4 3" xfId="10652"/>
    <cellStyle name="Comma 5 5 4 4 3 2" xfId="19479"/>
    <cellStyle name="Comma 5 5 4 4 3 3" xfId="29730"/>
    <cellStyle name="Comma 5 5 4 4 4" xfId="12098"/>
    <cellStyle name="Comma 5 5 4 4 4 2" xfId="26180"/>
    <cellStyle name="Comma 5 5 4 4 5" xfId="7093"/>
    <cellStyle name="Comma 5 5 4 4 6" xfId="21173"/>
    <cellStyle name="Comma 5 5 4 5" xfId="2071"/>
    <cellStyle name="Comma 5 5 4 5 2" xfId="16991"/>
    <cellStyle name="Comma 5 5 4 5 2 2" xfId="27242"/>
    <cellStyle name="Comma 5 5 4 5 3" xfId="13412"/>
    <cellStyle name="Comma 5 5 4 5 4" xfId="8155"/>
    <cellStyle name="Comma 5 5 4 5 5" xfId="22235"/>
    <cellStyle name="Comma 5 5 4 6" xfId="5716"/>
    <cellStyle name="Comma 5 5 4 6 2" xfId="14802"/>
    <cellStyle name="Comma 5 5 4 6 3" xfId="24806"/>
    <cellStyle name="Comma 5 5 4 7" xfId="9609"/>
    <cellStyle name="Comma 5 5 4 7 2" xfId="18436"/>
    <cellStyle name="Comma 5 5 4 7 3" xfId="28687"/>
    <cellStyle name="Comma 5 5 4 8" xfId="11053"/>
    <cellStyle name="Comma 5 5 4 8 2" xfId="23779"/>
    <cellStyle name="Comma 5 5 4 9" xfId="4687"/>
    <cellStyle name="Comma 5 5 5" xfId="533"/>
    <cellStyle name="Comma 5 5 5 2" xfId="2266"/>
    <cellStyle name="Comma 5 5 5 2 2" xfId="15964"/>
    <cellStyle name="Comma 5 5 5 2 2 2" xfId="26021"/>
    <cellStyle name="Comma 5 5 5 2 3" xfId="12393"/>
    <cellStyle name="Comma 5 5 5 2 4" xfId="6934"/>
    <cellStyle name="Comma 5 5 5 2 5" xfId="21014"/>
    <cellStyle name="Comma 5 5 5 3" xfId="3540"/>
    <cellStyle name="Comma 5 5 5 3 2" xfId="17186"/>
    <cellStyle name="Comma 5 5 5 3 2 2" xfId="27437"/>
    <cellStyle name="Comma 5 5 5 3 3" xfId="13607"/>
    <cellStyle name="Comma 5 5 5 3 4" xfId="8350"/>
    <cellStyle name="Comma 5 5 5 3 5" xfId="22430"/>
    <cellStyle name="Comma 5 5 5 4" xfId="6050"/>
    <cellStyle name="Comma 5 5 5 4 2" xfId="15134"/>
    <cellStyle name="Comma 5 5 5 4 3" xfId="25138"/>
    <cellStyle name="Comma 5 5 5 5" xfId="9804"/>
    <cellStyle name="Comma 5 5 5 5 2" xfId="18631"/>
    <cellStyle name="Comma 5 5 5 5 3" xfId="28882"/>
    <cellStyle name="Comma 5 5 5 6" xfId="11248"/>
    <cellStyle name="Comma 5 5 5 6 2" xfId="23620"/>
    <cellStyle name="Comma 5 5 5 7" xfId="4528"/>
    <cellStyle name="Comma 5 5 5 8" xfId="20131"/>
    <cellStyle name="Comma 5 5 6" xfId="892"/>
    <cellStyle name="Comma 5 5 6 2" xfId="2614"/>
    <cellStyle name="Comma 5 5 6 2 2" xfId="16162"/>
    <cellStyle name="Comma 5 5 6 2 2 2" xfId="26380"/>
    <cellStyle name="Comma 5 5 6 2 3" xfId="12584"/>
    <cellStyle name="Comma 5 5 6 2 4" xfId="7293"/>
    <cellStyle name="Comma 5 5 6 2 5" xfId="21373"/>
    <cellStyle name="Comma 5 5 6 3" xfId="3888"/>
    <cellStyle name="Comma 5 5 6 3 2" xfId="17534"/>
    <cellStyle name="Comma 5 5 6 3 2 2" xfId="27785"/>
    <cellStyle name="Comma 5 5 6 3 3" xfId="13955"/>
    <cellStyle name="Comma 5 5 6 3 4" xfId="8698"/>
    <cellStyle name="Comma 5 5 6 3 5" xfId="22778"/>
    <cellStyle name="Comma 5 5 6 4" xfId="6409"/>
    <cellStyle name="Comma 5 5 6 4 2" xfId="15493"/>
    <cellStyle name="Comma 5 5 6 4 3" xfId="25497"/>
    <cellStyle name="Comma 5 5 6 5" xfId="10152"/>
    <cellStyle name="Comma 5 5 6 5 2" xfId="18979"/>
    <cellStyle name="Comma 5 5 6 5 3" xfId="29230"/>
    <cellStyle name="Comma 5 5 6 6" xfId="11598"/>
    <cellStyle name="Comma 5 5 6 6 2" xfId="23979"/>
    <cellStyle name="Comma 5 5 6 7" xfId="4887"/>
    <cellStyle name="Comma 5 5 6 8" xfId="20490"/>
    <cellStyle name="Comma 5 5 7" xfId="1343"/>
    <cellStyle name="Comma 5 5 7 2" xfId="2955"/>
    <cellStyle name="Comma 5 5 7 2 2" xfId="16511"/>
    <cellStyle name="Comma 5 5 7 2 2 2" xfId="26730"/>
    <cellStyle name="Comma 5 5 7 2 3" xfId="12933"/>
    <cellStyle name="Comma 5 5 7 2 4" xfId="7643"/>
    <cellStyle name="Comma 5 5 7 2 5" xfId="21723"/>
    <cellStyle name="Comma 5 5 7 3" xfId="4186"/>
    <cellStyle name="Comma 5 5 7 3 2" xfId="17875"/>
    <cellStyle name="Comma 5 5 7 3 2 2" xfId="28126"/>
    <cellStyle name="Comma 5 5 7 3 3" xfId="14296"/>
    <cellStyle name="Comma 5 5 7 3 4" xfId="9039"/>
    <cellStyle name="Comma 5 5 7 3 5" xfId="23119"/>
    <cellStyle name="Comma 5 5 7 4" xfId="5889"/>
    <cellStyle name="Comma 5 5 7 4 2" xfId="14975"/>
    <cellStyle name="Comma 5 5 7 4 3" xfId="24979"/>
    <cellStyle name="Comma 5 5 7 5" xfId="10493"/>
    <cellStyle name="Comma 5 5 7 5 2" xfId="19320"/>
    <cellStyle name="Comma 5 5 7 5 3" xfId="29571"/>
    <cellStyle name="Comma 5 5 7 6" xfId="11939"/>
    <cellStyle name="Comma 5 5 7 6 2" xfId="24329"/>
    <cellStyle name="Comma 5 5 7 7" xfId="5237"/>
    <cellStyle name="Comma 5 5 7 8" xfId="19972"/>
    <cellStyle name="Comma 5 5 8" xfId="1912"/>
    <cellStyle name="Comma 5 5 8 2" xfId="9450"/>
    <cellStyle name="Comma 5 5 8 2 2" xfId="18277"/>
    <cellStyle name="Comma 5 5 8 2 3" xfId="28528"/>
    <cellStyle name="Comma 5 5 8 3" xfId="10894"/>
    <cellStyle name="Comma 5 5 8 3 2" xfId="25863"/>
    <cellStyle name="Comma 5 5 8 4" xfId="6776"/>
    <cellStyle name="Comma 5 5 8 5" xfId="20856"/>
    <cellStyle name="Comma 5 5 9" xfId="1836"/>
    <cellStyle name="Comma 5 5 9 2" xfId="16830"/>
    <cellStyle name="Comma 5 5 9 2 2" xfId="27081"/>
    <cellStyle name="Comma 5 5 9 3" xfId="13251"/>
    <cellStyle name="Comma 5 5 9 4" xfId="7994"/>
    <cellStyle name="Comma 5 5 9 5" xfId="22074"/>
    <cellStyle name="Comma 5 6" xfId="252"/>
    <cellStyle name="Comma 5 6 10" xfId="10979"/>
    <cellStyle name="Comma 5 6 10 2" xfId="23488"/>
    <cellStyle name="Comma 5 6 11" xfId="4396"/>
    <cellStyle name="Comma 5 6 12" xfId="19725"/>
    <cellStyle name="Comma 5 6 2" xfId="354"/>
    <cellStyle name="Comma 5 6 2 10" xfId="19825"/>
    <cellStyle name="Comma 5 6 2 2" xfId="540"/>
    <cellStyle name="Comma 5 6 2 2 2" xfId="2273"/>
    <cellStyle name="Comma 5 6 2 2 2 2" xfId="16169"/>
    <cellStyle name="Comma 5 6 2 2 2 2 2" xfId="26387"/>
    <cellStyle name="Comma 5 6 2 2 2 3" xfId="12591"/>
    <cellStyle name="Comma 5 6 2 2 2 4" xfId="7300"/>
    <cellStyle name="Comma 5 6 2 2 2 5" xfId="21380"/>
    <cellStyle name="Comma 5 6 2 2 3" xfId="3547"/>
    <cellStyle name="Comma 5 6 2 2 3 2" xfId="17193"/>
    <cellStyle name="Comma 5 6 2 2 3 2 2" xfId="27444"/>
    <cellStyle name="Comma 5 6 2 2 3 3" xfId="13614"/>
    <cellStyle name="Comma 5 6 2 2 3 4" xfId="8357"/>
    <cellStyle name="Comma 5 6 2 2 3 5" xfId="22437"/>
    <cellStyle name="Comma 5 6 2 2 4" xfId="6416"/>
    <cellStyle name="Comma 5 6 2 2 4 2" xfId="15500"/>
    <cellStyle name="Comma 5 6 2 2 4 3" xfId="25504"/>
    <cellStyle name="Comma 5 6 2 2 5" xfId="9811"/>
    <cellStyle name="Comma 5 6 2 2 5 2" xfId="18638"/>
    <cellStyle name="Comma 5 6 2 2 5 3" xfId="28889"/>
    <cellStyle name="Comma 5 6 2 2 6" xfId="11255"/>
    <cellStyle name="Comma 5 6 2 2 6 2" xfId="23986"/>
    <cellStyle name="Comma 5 6 2 2 7" xfId="4894"/>
    <cellStyle name="Comma 5 6 2 2 8" xfId="20497"/>
    <cellStyle name="Comma 5 6 2 3" xfId="899"/>
    <cellStyle name="Comma 5 6 2 3 2" xfId="2621"/>
    <cellStyle name="Comma 5 6 2 3 2 2" xfId="16696"/>
    <cellStyle name="Comma 5 6 2 3 2 2 2" xfId="26915"/>
    <cellStyle name="Comma 5 6 2 3 2 3" xfId="13117"/>
    <cellStyle name="Comma 5 6 2 3 2 4" xfId="7828"/>
    <cellStyle name="Comma 5 6 2 3 2 5" xfId="21908"/>
    <cellStyle name="Comma 5 6 2 3 3" xfId="3895"/>
    <cellStyle name="Comma 5 6 2 3 3 2" xfId="17541"/>
    <cellStyle name="Comma 5 6 2 3 3 2 2" xfId="27792"/>
    <cellStyle name="Comma 5 6 2 3 3 3" xfId="13962"/>
    <cellStyle name="Comma 5 6 2 3 3 4" xfId="8705"/>
    <cellStyle name="Comma 5 6 2 3 3 5" xfId="22785"/>
    <cellStyle name="Comma 5 6 2 3 4" xfId="6235"/>
    <cellStyle name="Comma 5 6 2 3 4 2" xfId="15319"/>
    <cellStyle name="Comma 5 6 2 3 4 3" xfId="25323"/>
    <cellStyle name="Comma 5 6 2 3 5" xfId="10159"/>
    <cellStyle name="Comma 5 6 2 3 5 2" xfId="18986"/>
    <cellStyle name="Comma 5 6 2 3 5 3" xfId="29237"/>
    <cellStyle name="Comma 5 6 2 3 6" xfId="11605"/>
    <cellStyle name="Comma 5 6 2 3 6 2" xfId="24514"/>
    <cellStyle name="Comma 5 6 2 3 7" xfId="5422"/>
    <cellStyle name="Comma 5 6 2 3 8" xfId="20316"/>
    <cellStyle name="Comma 5 6 2 4" xfId="1541"/>
    <cellStyle name="Comma 5 6 2 4 2" xfId="3140"/>
    <cellStyle name="Comma 5 6 2 4 2 2" xfId="18060"/>
    <cellStyle name="Comma 5 6 2 4 2 2 2" xfId="28311"/>
    <cellStyle name="Comma 5 6 2 4 2 3" xfId="14481"/>
    <cellStyle name="Comma 5 6 2 4 2 4" xfId="9224"/>
    <cellStyle name="Comma 5 6 2 4 2 5" xfId="23304"/>
    <cellStyle name="Comma 5 6 2 4 3" xfId="10678"/>
    <cellStyle name="Comma 5 6 2 4 3 2" xfId="19505"/>
    <cellStyle name="Comma 5 6 2 4 3 3" xfId="29756"/>
    <cellStyle name="Comma 5 6 2 4 4" xfId="12124"/>
    <cellStyle name="Comma 5 6 2 4 4 2" xfId="26206"/>
    <cellStyle name="Comma 5 6 2 4 5" xfId="7119"/>
    <cellStyle name="Comma 5 6 2 4 6" xfId="21199"/>
    <cellStyle name="Comma 5 6 2 5" xfId="2097"/>
    <cellStyle name="Comma 5 6 2 5 2" xfId="17017"/>
    <cellStyle name="Comma 5 6 2 5 2 2" xfId="27268"/>
    <cellStyle name="Comma 5 6 2 5 3" xfId="13438"/>
    <cellStyle name="Comma 5 6 2 5 4" xfId="8181"/>
    <cellStyle name="Comma 5 6 2 5 5" xfId="22261"/>
    <cellStyle name="Comma 5 6 2 6" xfId="5742"/>
    <cellStyle name="Comma 5 6 2 6 2" xfId="14828"/>
    <cellStyle name="Comma 5 6 2 6 3" xfId="24832"/>
    <cellStyle name="Comma 5 6 2 7" xfId="9635"/>
    <cellStyle name="Comma 5 6 2 7 2" xfId="18462"/>
    <cellStyle name="Comma 5 6 2 7 3" xfId="28713"/>
    <cellStyle name="Comma 5 6 2 8" xfId="11079"/>
    <cellStyle name="Comma 5 6 2 8 2" xfId="23805"/>
    <cellStyle name="Comma 5 6 2 9" xfId="4713"/>
    <cellStyle name="Comma 5 6 3" xfId="539"/>
    <cellStyle name="Comma 5 6 3 2" xfId="2272"/>
    <cellStyle name="Comma 5 6 3 2 2" xfId="16033"/>
    <cellStyle name="Comma 5 6 3 2 2 2" xfId="26106"/>
    <cellStyle name="Comma 5 6 3 2 3" xfId="12240"/>
    <cellStyle name="Comma 5 6 3 2 4" xfId="7019"/>
    <cellStyle name="Comma 5 6 3 2 5" xfId="21099"/>
    <cellStyle name="Comma 5 6 3 3" xfId="3546"/>
    <cellStyle name="Comma 5 6 3 3 2" xfId="17192"/>
    <cellStyle name="Comma 5 6 3 3 2 2" xfId="27443"/>
    <cellStyle name="Comma 5 6 3 3 3" xfId="13613"/>
    <cellStyle name="Comma 5 6 3 3 4" xfId="8356"/>
    <cellStyle name="Comma 5 6 3 3 5" xfId="22436"/>
    <cellStyle name="Comma 5 6 3 4" xfId="6135"/>
    <cellStyle name="Comma 5 6 3 4 2" xfId="15219"/>
    <cellStyle name="Comma 5 6 3 4 3" xfId="25223"/>
    <cellStyle name="Comma 5 6 3 5" xfId="9810"/>
    <cellStyle name="Comma 5 6 3 5 2" xfId="18637"/>
    <cellStyle name="Comma 5 6 3 5 3" xfId="28888"/>
    <cellStyle name="Comma 5 6 3 6" xfId="11254"/>
    <cellStyle name="Comma 5 6 3 6 2" xfId="23705"/>
    <cellStyle name="Comma 5 6 3 7" xfId="4613"/>
    <cellStyle name="Comma 5 6 3 8" xfId="20216"/>
    <cellStyle name="Comma 5 6 4" xfId="898"/>
    <cellStyle name="Comma 5 6 4 2" xfId="2620"/>
    <cellStyle name="Comma 5 6 4 2 2" xfId="16168"/>
    <cellStyle name="Comma 5 6 4 2 2 2" xfId="26386"/>
    <cellStyle name="Comma 5 6 4 2 3" xfId="12590"/>
    <cellStyle name="Comma 5 6 4 2 4" xfId="7299"/>
    <cellStyle name="Comma 5 6 4 2 5" xfId="21379"/>
    <cellStyle name="Comma 5 6 4 3" xfId="3894"/>
    <cellStyle name="Comma 5 6 4 3 2" xfId="17540"/>
    <cellStyle name="Comma 5 6 4 3 2 2" xfId="27791"/>
    <cellStyle name="Comma 5 6 4 3 3" xfId="13961"/>
    <cellStyle name="Comma 5 6 4 3 4" xfId="8704"/>
    <cellStyle name="Comma 5 6 4 3 5" xfId="22784"/>
    <cellStyle name="Comma 5 6 4 4" xfId="6415"/>
    <cellStyle name="Comma 5 6 4 4 2" xfId="15499"/>
    <cellStyle name="Comma 5 6 4 4 3" xfId="25503"/>
    <cellStyle name="Comma 5 6 4 5" xfId="10158"/>
    <cellStyle name="Comma 5 6 4 5 2" xfId="18985"/>
    <cellStyle name="Comma 5 6 4 5 3" xfId="29236"/>
    <cellStyle name="Comma 5 6 4 6" xfId="11604"/>
    <cellStyle name="Comma 5 6 4 6 2" xfId="23985"/>
    <cellStyle name="Comma 5 6 4 7" xfId="4893"/>
    <cellStyle name="Comma 5 6 4 8" xfId="20496"/>
    <cellStyle name="Comma 5 6 5" xfId="1439"/>
    <cellStyle name="Comma 5 6 5 2" xfId="3040"/>
    <cellStyle name="Comma 5 6 5 2 2" xfId="16596"/>
    <cellStyle name="Comma 5 6 5 2 2 2" xfId="26815"/>
    <cellStyle name="Comma 5 6 5 2 3" xfId="13017"/>
    <cellStyle name="Comma 5 6 5 2 4" xfId="7728"/>
    <cellStyle name="Comma 5 6 5 2 5" xfId="21808"/>
    <cellStyle name="Comma 5 6 5 3" xfId="4254"/>
    <cellStyle name="Comma 5 6 5 3 2" xfId="17960"/>
    <cellStyle name="Comma 5 6 5 3 2 2" xfId="28211"/>
    <cellStyle name="Comma 5 6 5 3 3" xfId="14381"/>
    <cellStyle name="Comma 5 6 5 3 4" xfId="9124"/>
    <cellStyle name="Comma 5 6 5 3 5" xfId="23204"/>
    <cellStyle name="Comma 5 6 5 4" xfId="5916"/>
    <cellStyle name="Comma 5 6 5 4 2" xfId="15002"/>
    <cellStyle name="Comma 5 6 5 4 3" xfId="25006"/>
    <cellStyle name="Comma 5 6 5 5" xfId="10578"/>
    <cellStyle name="Comma 5 6 5 5 2" xfId="19405"/>
    <cellStyle name="Comma 5 6 5 5 3" xfId="29656"/>
    <cellStyle name="Comma 5 6 5 6" xfId="12024"/>
    <cellStyle name="Comma 5 6 5 6 2" xfId="24414"/>
    <cellStyle name="Comma 5 6 5 7" xfId="5322"/>
    <cellStyle name="Comma 5 6 5 8" xfId="19999"/>
    <cellStyle name="Comma 5 6 6" xfId="1997"/>
    <cellStyle name="Comma 5 6 6 2" xfId="15845"/>
    <cellStyle name="Comma 5 6 6 2 2" xfId="25889"/>
    <cellStyle name="Comma 5 6 6 3" xfId="12419"/>
    <cellStyle name="Comma 5 6 6 4" xfId="6802"/>
    <cellStyle name="Comma 5 6 6 5" xfId="20882"/>
    <cellStyle name="Comma 5 6 7" xfId="3416"/>
    <cellStyle name="Comma 5 6 7 2" xfId="16917"/>
    <cellStyle name="Comma 5 6 7 2 2" xfId="27168"/>
    <cellStyle name="Comma 5 6 7 3" xfId="13338"/>
    <cellStyle name="Comma 5 6 7 4" xfId="8081"/>
    <cellStyle name="Comma 5 6 7 5" xfId="22161"/>
    <cellStyle name="Comma 5 6 8" xfId="5642"/>
    <cellStyle name="Comma 5 6 8 2" xfId="14728"/>
    <cellStyle name="Comma 5 6 8 3" xfId="24732"/>
    <cellStyle name="Comma 5 6 9" xfId="9535"/>
    <cellStyle name="Comma 5 6 9 2" xfId="18362"/>
    <cellStyle name="Comma 5 6 9 3" xfId="28613"/>
    <cellStyle name="Comma 5 7" xfId="190"/>
    <cellStyle name="Comma 5 7 10" xfId="10922"/>
    <cellStyle name="Comma 5 7 10 2" xfId="23536"/>
    <cellStyle name="Comma 5 7 11" xfId="4444"/>
    <cellStyle name="Comma 5 7 12" xfId="19668"/>
    <cellStyle name="Comma 5 7 2" xfId="404"/>
    <cellStyle name="Comma 5 7 2 10" xfId="19873"/>
    <cellStyle name="Comma 5 7 2 2" xfId="542"/>
    <cellStyle name="Comma 5 7 2 2 2" xfId="2275"/>
    <cellStyle name="Comma 5 7 2 2 2 2" xfId="16171"/>
    <cellStyle name="Comma 5 7 2 2 2 2 2" xfId="26389"/>
    <cellStyle name="Comma 5 7 2 2 2 3" xfId="12593"/>
    <cellStyle name="Comma 5 7 2 2 2 4" xfId="7302"/>
    <cellStyle name="Comma 5 7 2 2 2 5" xfId="21382"/>
    <cellStyle name="Comma 5 7 2 2 3" xfId="3549"/>
    <cellStyle name="Comma 5 7 2 2 3 2" xfId="17195"/>
    <cellStyle name="Comma 5 7 2 2 3 2 2" xfId="27446"/>
    <cellStyle name="Comma 5 7 2 2 3 3" xfId="13616"/>
    <cellStyle name="Comma 5 7 2 2 3 4" xfId="8359"/>
    <cellStyle name="Comma 5 7 2 2 3 5" xfId="22439"/>
    <cellStyle name="Comma 5 7 2 2 4" xfId="6418"/>
    <cellStyle name="Comma 5 7 2 2 4 2" xfId="15502"/>
    <cellStyle name="Comma 5 7 2 2 4 3" xfId="25506"/>
    <cellStyle name="Comma 5 7 2 2 5" xfId="9813"/>
    <cellStyle name="Comma 5 7 2 2 5 2" xfId="18640"/>
    <cellStyle name="Comma 5 7 2 2 5 3" xfId="28891"/>
    <cellStyle name="Comma 5 7 2 2 6" xfId="11257"/>
    <cellStyle name="Comma 5 7 2 2 6 2" xfId="23988"/>
    <cellStyle name="Comma 5 7 2 2 7" xfId="4896"/>
    <cellStyle name="Comma 5 7 2 2 8" xfId="20499"/>
    <cellStyle name="Comma 5 7 2 3" xfId="901"/>
    <cellStyle name="Comma 5 7 2 3 2" xfId="2623"/>
    <cellStyle name="Comma 5 7 2 3 2 2" xfId="16744"/>
    <cellStyle name="Comma 5 7 2 3 2 2 2" xfId="26963"/>
    <cellStyle name="Comma 5 7 2 3 2 3" xfId="13165"/>
    <cellStyle name="Comma 5 7 2 3 2 4" xfId="7876"/>
    <cellStyle name="Comma 5 7 2 3 2 5" xfId="21956"/>
    <cellStyle name="Comma 5 7 2 3 3" xfId="3897"/>
    <cellStyle name="Comma 5 7 2 3 3 2" xfId="17543"/>
    <cellStyle name="Comma 5 7 2 3 3 2 2" xfId="27794"/>
    <cellStyle name="Comma 5 7 2 3 3 3" xfId="13964"/>
    <cellStyle name="Comma 5 7 2 3 3 4" xfId="8707"/>
    <cellStyle name="Comma 5 7 2 3 3 5" xfId="22787"/>
    <cellStyle name="Comma 5 7 2 3 4" xfId="6283"/>
    <cellStyle name="Comma 5 7 2 3 4 2" xfId="15367"/>
    <cellStyle name="Comma 5 7 2 3 4 3" xfId="25371"/>
    <cellStyle name="Comma 5 7 2 3 5" xfId="10161"/>
    <cellStyle name="Comma 5 7 2 3 5 2" xfId="18988"/>
    <cellStyle name="Comma 5 7 2 3 5 3" xfId="29239"/>
    <cellStyle name="Comma 5 7 2 3 6" xfId="11607"/>
    <cellStyle name="Comma 5 7 2 3 6 2" xfId="24562"/>
    <cellStyle name="Comma 5 7 2 3 7" xfId="5470"/>
    <cellStyle name="Comma 5 7 2 3 8" xfId="20364"/>
    <cellStyle name="Comma 5 7 2 4" xfId="1591"/>
    <cellStyle name="Comma 5 7 2 4 2" xfId="3188"/>
    <cellStyle name="Comma 5 7 2 4 2 2" xfId="18108"/>
    <cellStyle name="Comma 5 7 2 4 2 2 2" xfId="28359"/>
    <cellStyle name="Comma 5 7 2 4 2 3" xfId="14529"/>
    <cellStyle name="Comma 5 7 2 4 2 4" xfId="9272"/>
    <cellStyle name="Comma 5 7 2 4 2 5" xfId="23352"/>
    <cellStyle name="Comma 5 7 2 4 3" xfId="10726"/>
    <cellStyle name="Comma 5 7 2 4 3 2" xfId="19553"/>
    <cellStyle name="Comma 5 7 2 4 3 3" xfId="29804"/>
    <cellStyle name="Comma 5 7 2 4 4" xfId="12172"/>
    <cellStyle name="Comma 5 7 2 4 4 2" xfId="26254"/>
    <cellStyle name="Comma 5 7 2 4 5" xfId="7167"/>
    <cellStyle name="Comma 5 7 2 4 6" xfId="21247"/>
    <cellStyle name="Comma 5 7 2 5" xfId="2145"/>
    <cellStyle name="Comma 5 7 2 5 2" xfId="17065"/>
    <cellStyle name="Comma 5 7 2 5 2 2" xfId="27316"/>
    <cellStyle name="Comma 5 7 2 5 3" xfId="13486"/>
    <cellStyle name="Comma 5 7 2 5 4" xfId="8229"/>
    <cellStyle name="Comma 5 7 2 5 5" xfId="22309"/>
    <cellStyle name="Comma 5 7 2 6" xfId="5790"/>
    <cellStyle name="Comma 5 7 2 6 2" xfId="14876"/>
    <cellStyle name="Comma 5 7 2 6 3" xfId="24880"/>
    <cellStyle name="Comma 5 7 2 7" xfId="9683"/>
    <cellStyle name="Comma 5 7 2 7 2" xfId="18510"/>
    <cellStyle name="Comma 5 7 2 7 3" xfId="28761"/>
    <cellStyle name="Comma 5 7 2 8" xfId="11127"/>
    <cellStyle name="Comma 5 7 2 8 2" xfId="23853"/>
    <cellStyle name="Comma 5 7 2 9" xfId="4761"/>
    <cellStyle name="Comma 5 7 3" xfId="541"/>
    <cellStyle name="Comma 5 7 3 2" xfId="2274"/>
    <cellStyle name="Comma 5 7 3 2 2" xfId="15976"/>
    <cellStyle name="Comma 5 7 3 2 2 2" xfId="26049"/>
    <cellStyle name="Comma 5 7 3 2 3" xfId="12389"/>
    <cellStyle name="Comma 5 7 3 2 4" xfId="6962"/>
    <cellStyle name="Comma 5 7 3 2 5" xfId="21042"/>
    <cellStyle name="Comma 5 7 3 3" xfId="3548"/>
    <cellStyle name="Comma 5 7 3 3 2" xfId="17194"/>
    <cellStyle name="Comma 5 7 3 3 2 2" xfId="27445"/>
    <cellStyle name="Comma 5 7 3 3 3" xfId="13615"/>
    <cellStyle name="Comma 5 7 3 3 4" xfId="8358"/>
    <cellStyle name="Comma 5 7 3 3 5" xfId="22438"/>
    <cellStyle name="Comma 5 7 3 4" xfId="6078"/>
    <cellStyle name="Comma 5 7 3 4 2" xfId="15162"/>
    <cellStyle name="Comma 5 7 3 4 3" xfId="25166"/>
    <cellStyle name="Comma 5 7 3 5" xfId="9812"/>
    <cellStyle name="Comma 5 7 3 5 2" xfId="18639"/>
    <cellStyle name="Comma 5 7 3 5 3" xfId="28890"/>
    <cellStyle name="Comma 5 7 3 6" xfId="11256"/>
    <cellStyle name="Comma 5 7 3 6 2" xfId="23648"/>
    <cellStyle name="Comma 5 7 3 7" xfId="4556"/>
    <cellStyle name="Comma 5 7 3 8" xfId="20159"/>
    <cellStyle name="Comma 5 7 4" xfId="900"/>
    <cellStyle name="Comma 5 7 4 2" xfId="2622"/>
    <cellStyle name="Comma 5 7 4 2 2" xfId="16170"/>
    <cellStyle name="Comma 5 7 4 2 2 2" xfId="26388"/>
    <cellStyle name="Comma 5 7 4 2 3" xfId="12592"/>
    <cellStyle name="Comma 5 7 4 2 4" xfId="7301"/>
    <cellStyle name="Comma 5 7 4 2 5" xfId="21381"/>
    <cellStyle name="Comma 5 7 4 3" xfId="3896"/>
    <cellStyle name="Comma 5 7 4 3 2" xfId="17542"/>
    <cellStyle name="Comma 5 7 4 3 2 2" xfId="27793"/>
    <cellStyle name="Comma 5 7 4 3 3" xfId="13963"/>
    <cellStyle name="Comma 5 7 4 3 4" xfId="8706"/>
    <cellStyle name="Comma 5 7 4 3 5" xfId="22786"/>
    <cellStyle name="Comma 5 7 4 4" xfId="6417"/>
    <cellStyle name="Comma 5 7 4 4 2" xfId="15501"/>
    <cellStyle name="Comma 5 7 4 4 3" xfId="25505"/>
    <cellStyle name="Comma 5 7 4 5" xfId="10160"/>
    <cellStyle name="Comma 5 7 4 5 2" xfId="18987"/>
    <cellStyle name="Comma 5 7 4 5 3" xfId="29238"/>
    <cellStyle name="Comma 5 7 4 6" xfId="11606"/>
    <cellStyle name="Comma 5 7 4 6 2" xfId="23987"/>
    <cellStyle name="Comma 5 7 4 7" xfId="4895"/>
    <cellStyle name="Comma 5 7 4 8" xfId="20498"/>
    <cellStyle name="Comma 5 7 5" xfId="1377"/>
    <cellStyle name="Comma 5 7 5 2" xfId="2983"/>
    <cellStyle name="Comma 5 7 5 2 2" xfId="16539"/>
    <cellStyle name="Comma 5 7 5 2 2 2" xfId="26758"/>
    <cellStyle name="Comma 5 7 5 2 3" xfId="12960"/>
    <cellStyle name="Comma 5 7 5 2 4" xfId="7671"/>
    <cellStyle name="Comma 5 7 5 2 5" xfId="21751"/>
    <cellStyle name="Comma 5 7 5 3" xfId="4197"/>
    <cellStyle name="Comma 5 7 5 3 2" xfId="17903"/>
    <cellStyle name="Comma 5 7 5 3 2 2" xfId="28154"/>
    <cellStyle name="Comma 5 7 5 3 3" xfId="14324"/>
    <cellStyle name="Comma 5 7 5 3 4" xfId="9067"/>
    <cellStyle name="Comma 5 7 5 3 5" xfId="23147"/>
    <cellStyle name="Comma 5 7 5 4" xfId="5964"/>
    <cellStyle name="Comma 5 7 5 4 2" xfId="15050"/>
    <cellStyle name="Comma 5 7 5 4 3" xfId="25054"/>
    <cellStyle name="Comma 5 7 5 5" xfId="10521"/>
    <cellStyle name="Comma 5 7 5 5 2" xfId="19348"/>
    <cellStyle name="Comma 5 7 5 5 3" xfId="29599"/>
    <cellStyle name="Comma 5 7 5 6" xfId="11967"/>
    <cellStyle name="Comma 5 7 5 6 2" xfId="24357"/>
    <cellStyle name="Comma 5 7 5 7" xfId="5265"/>
    <cellStyle name="Comma 5 7 5 8" xfId="20047"/>
    <cellStyle name="Comma 5 7 6" xfId="1940"/>
    <cellStyle name="Comma 5 7 6 2" xfId="15893"/>
    <cellStyle name="Comma 5 7 6 2 2" xfId="25937"/>
    <cellStyle name="Comma 5 7 6 3" xfId="12349"/>
    <cellStyle name="Comma 5 7 6 4" xfId="6850"/>
    <cellStyle name="Comma 5 7 6 5" xfId="20930"/>
    <cellStyle name="Comma 5 7 7" xfId="3360"/>
    <cellStyle name="Comma 5 7 7 2" xfId="16860"/>
    <cellStyle name="Comma 5 7 7 2 2" xfId="27111"/>
    <cellStyle name="Comma 5 7 7 3" xfId="13281"/>
    <cellStyle name="Comma 5 7 7 4" xfId="8024"/>
    <cellStyle name="Comma 5 7 7 5" xfId="22104"/>
    <cellStyle name="Comma 5 7 8" xfId="5585"/>
    <cellStyle name="Comma 5 7 8 2" xfId="14671"/>
    <cellStyle name="Comma 5 7 8 3" xfId="24675"/>
    <cellStyle name="Comma 5 7 9" xfId="9478"/>
    <cellStyle name="Comma 5 7 9 2" xfId="18305"/>
    <cellStyle name="Comma 5 7 9 3" xfId="28556"/>
    <cellStyle name="Comma 5 8" xfId="460"/>
    <cellStyle name="Comma 5 8 10" xfId="4500"/>
    <cellStyle name="Comma 5 8 11" xfId="19929"/>
    <cellStyle name="Comma 5 8 2" xfId="543"/>
    <cellStyle name="Comma 5 8 2 2" xfId="2276"/>
    <cellStyle name="Comma 5 8 2 2 2" xfId="16092"/>
    <cellStyle name="Comma 5 8 2 2 2 2" xfId="26310"/>
    <cellStyle name="Comma 5 8 2 2 3" xfId="12514"/>
    <cellStyle name="Comma 5 8 2 2 4" xfId="7223"/>
    <cellStyle name="Comma 5 8 2 2 5" xfId="21303"/>
    <cellStyle name="Comma 5 8 2 3" xfId="3550"/>
    <cellStyle name="Comma 5 8 2 3 2" xfId="17196"/>
    <cellStyle name="Comma 5 8 2 3 2 2" xfId="27447"/>
    <cellStyle name="Comma 5 8 2 3 3" xfId="13617"/>
    <cellStyle name="Comma 5 8 2 3 4" xfId="8360"/>
    <cellStyle name="Comma 5 8 2 3 5" xfId="22440"/>
    <cellStyle name="Comma 5 8 2 4" xfId="6339"/>
    <cellStyle name="Comma 5 8 2 4 2" xfId="15423"/>
    <cellStyle name="Comma 5 8 2 4 3" xfId="25427"/>
    <cellStyle name="Comma 5 8 2 5" xfId="9814"/>
    <cellStyle name="Comma 5 8 2 5 2" xfId="18641"/>
    <cellStyle name="Comma 5 8 2 5 3" xfId="28892"/>
    <cellStyle name="Comma 5 8 2 6" xfId="11258"/>
    <cellStyle name="Comma 5 8 2 6 2" xfId="23909"/>
    <cellStyle name="Comma 5 8 2 7" xfId="4817"/>
    <cellStyle name="Comma 5 8 2 8" xfId="20420"/>
    <cellStyle name="Comma 5 8 3" xfId="902"/>
    <cellStyle name="Comma 5 8 3 2" xfId="2624"/>
    <cellStyle name="Comma 5 8 3 2 2" xfId="16172"/>
    <cellStyle name="Comma 5 8 3 2 2 2" xfId="26390"/>
    <cellStyle name="Comma 5 8 3 2 3" xfId="12594"/>
    <cellStyle name="Comma 5 8 3 2 4" xfId="7303"/>
    <cellStyle name="Comma 5 8 3 2 5" xfId="21383"/>
    <cellStyle name="Comma 5 8 3 3" xfId="3898"/>
    <cellStyle name="Comma 5 8 3 3 2" xfId="17544"/>
    <cellStyle name="Comma 5 8 3 3 2 2" xfId="27795"/>
    <cellStyle name="Comma 5 8 3 3 3" xfId="13965"/>
    <cellStyle name="Comma 5 8 3 3 4" xfId="8708"/>
    <cellStyle name="Comma 5 8 3 3 5" xfId="22788"/>
    <cellStyle name="Comma 5 8 3 4" xfId="6419"/>
    <cellStyle name="Comma 5 8 3 4 2" xfId="15503"/>
    <cellStyle name="Comma 5 8 3 4 3" xfId="25507"/>
    <cellStyle name="Comma 5 8 3 5" xfId="10162"/>
    <cellStyle name="Comma 5 8 3 5 2" xfId="18989"/>
    <cellStyle name="Comma 5 8 3 5 3" xfId="29240"/>
    <cellStyle name="Comma 5 8 3 6" xfId="11608"/>
    <cellStyle name="Comma 5 8 3 6 2" xfId="23989"/>
    <cellStyle name="Comma 5 8 3 7" xfId="4897"/>
    <cellStyle name="Comma 5 8 3 8" xfId="20500"/>
    <cellStyle name="Comma 5 8 4" xfId="1647"/>
    <cellStyle name="Comma 5 8 4 2" xfId="3244"/>
    <cellStyle name="Comma 5 8 4 2 2" xfId="16800"/>
    <cellStyle name="Comma 5 8 4 2 2 2" xfId="27019"/>
    <cellStyle name="Comma 5 8 4 2 3" xfId="13221"/>
    <cellStyle name="Comma 5 8 4 2 4" xfId="7932"/>
    <cellStyle name="Comma 5 8 4 2 5" xfId="22012"/>
    <cellStyle name="Comma 5 8 4 3" xfId="4313"/>
    <cellStyle name="Comma 5 8 4 3 2" xfId="18164"/>
    <cellStyle name="Comma 5 8 4 3 2 2" xfId="28415"/>
    <cellStyle name="Comma 5 8 4 3 3" xfId="14585"/>
    <cellStyle name="Comma 5 8 4 3 4" xfId="9328"/>
    <cellStyle name="Comma 5 8 4 3 5" xfId="23408"/>
    <cellStyle name="Comma 5 8 4 4" xfId="6020"/>
    <cellStyle name="Comma 5 8 4 4 2" xfId="15106"/>
    <cellStyle name="Comma 5 8 4 4 3" xfId="25110"/>
    <cellStyle name="Comma 5 8 4 5" xfId="10782"/>
    <cellStyle name="Comma 5 8 4 5 2" xfId="19609"/>
    <cellStyle name="Comma 5 8 4 5 3" xfId="29860"/>
    <cellStyle name="Comma 5 8 4 6" xfId="12228"/>
    <cellStyle name="Comma 5 8 4 6 2" xfId="24618"/>
    <cellStyle name="Comma 5 8 4 7" xfId="5526"/>
    <cellStyle name="Comma 5 8 4 8" xfId="20103"/>
    <cellStyle name="Comma 5 8 5" xfId="2201"/>
    <cellStyle name="Comma 5 8 5 2" xfId="15949"/>
    <cellStyle name="Comma 5 8 5 2 2" xfId="25993"/>
    <cellStyle name="Comma 5 8 5 3" xfId="12461"/>
    <cellStyle name="Comma 5 8 5 4" xfId="6906"/>
    <cellStyle name="Comma 5 8 5 5" xfId="20986"/>
    <cellStyle name="Comma 5 8 6" xfId="3475"/>
    <cellStyle name="Comma 5 8 6 2" xfId="17121"/>
    <cellStyle name="Comma 5 8 6 2 2" xfId="27372"/>
    <cellStyle name="Comma 5 8 6 3" xfId="13542"/>
    <cellStyle name="Comma 5 8 6 4" xfId="8285"/>
    <cellStyle name="Comma 5 8 6 5" xfId="22365"/>
    <cellStyle name="Comma 5 8 7" xfId="5846"/>
    <cellStyle name="Comma 5 8 7 2" xfId="14932"/>
    <cellStyle name="Comma 5 8 7 3" xfId="24936"/>
    <cellStyle name="Comma 5 8 8" xfId="9739"/>
    <cellStyle name="Comma 5 8 8 2" xfId="18566"/>
    <cellStyle name="Comma 5 8 8 3" xfId="28817"/>
    <cellStyle name="Comma 5 8 9" xfId="11183"/>
    <cellStyle name="Comma 5 8 9 2" xfId="23592"/>
    <cellStyle name="Comma 5 9" xfId="296"/>
    <cellStyle name="Comma 5 9 10" xfId="19768"/>
    <cellStyle name="Comma 5 9 2" xfId="544"/>
    <cellStyle name="Comma 5 9 2 2" xfId="2277"/>
    <cellStyle name="Comma 5 9 2 2 2" xfId="16173"/>
    <cellStyle name="Comma 5 9 2 2 2 2" xfId="26391"/>
    <cellStyle name="Comma 5 9 2 2 3" xfId="12595"/>
    <cellStyle name="Comma 5 9 2 2 4" xfId="7304"/>
    <cellStyle name="Comma 5 9 2 2 5" xfId="21384"/>
    <cellStyle name="Comma 5 9 2 3" xfId="3551"/>
    <cellStyle name="Comma 5 9 2 3 2" xfId="17197"/>
    <cellStyle name="Comma 5 9 2 3 2 2" xfId="27448"/>
    <cellStyle name="Comma 5 9 2 3 3" xfId="13618"/>
    <cellStyle name="Comma 5 9 2 3 4" xfId="8361"/>
    <cellStyle name="Comma 5 9 2 3 5" xfId="22441"/>
    <cellStyle name="Comma 5 9 2 4" xfId="6420"/>
    <cellStyle name="Comma 5 9 2 4 2" xfId="15504"/>
    <cellStyle name="Comma 5 9 2 4 3" xfId="25508"/>
    <cellStyle name="Comma 5 9 2 5" xfId="9815"/>
    <cellStyle name="Comma 5 9 2 5 2" xfId="18642"/>
    <cellStyle name="Comma 5 9 2 5 3" xfId="28893"/>
    <cellStyle name="Comma 5 9 2 6" xfId="11259"/>
    <cellStyle name="Comma 5 9 2 6 2" xfId="23990"/>
    <cellStyle name="Comma 5 9 2 7" xfId="4898"/>
    <cellStyle name="Comma 5 9 2 8" xfId="20501"/>
    <cellStyle name="Comma 5 9 3" xfId="903"/>
    <cellStyle name="Comma 5 9 3 2" xfId="2625"/>
    <cellStyle name="Comma 5 9 3 2 2" xfId="16639"/>
    <cellStyle name="Comma 5 9 3 2 2 2" xfId="26858"/>
    <cellStyle name="Comma 5 9 3 2 3" xfId="13060"/>
    <cellStyle name="Comma 5 9 3 2 4" xfId="7771"/>
    <cellStyle name="Comma 5 9 3 2 5" xfId="21851"/>
    <cellStyle name="Comma 5 9 3 3" xfId="3899"/>
    <cellStyle name="Comma 5 9 3 3 2" xfId="17545"/>
    <cellStyle name="Comma 5 9 3 3 2 2" xfId="27796"/>
    <cellStyle name="Comma 5 9 3 3 3" xfId="13966"/>
    <cellStyle name="Comma 5 9 3 3 4" xfId="8709"/>
    <cellStyle name="Comma 5 9 3 3 5" xfId="22789"/>
    <cellStyle name="Comma 5 9 3 4" xfId="6178"/>
    <cellStyle name="Comma 5 9 3 4 2" xfId="15262"/>
    <cellStyle name="Comma 5 9 3 4 3" xfId="25266"/>
    <cellStyle name="Comma 5 9 3 5" xfId="10163"/>
    <cellStyle name="Comma 5 9 3 5 2" xfId="18990"/>
    <cellStyle name="Comma 5 9 3 5 3" xfId="29241"/>
    <cellStyle name="Comma 5 9 3 6" xfId="11609"/>
    <cellStyle name="Comma 5 9 3 6 2" xfId="24457"/>
    <cellStyle name="Comma 5 9 3 7" xfId="5365"/>
    <cellStyle name="Comma 5 9 3 8" xfId="20259"/>
    <cellStyle name="Comma 5 9 4" xfId="1483"/>
    <cellStyle name="Comma 5 9 4 2" xfId="3083"/>
    <cellStyle name="Comma 5 9 4 2 2" xfId="18003"/>
    <cellStyle name="Comma 5 9 4 2 2 2" xfId="28254"/>
    <cellStyle name="Comma 5 9 4 2 3" xfId="14424"/>
    <cellStyle name="Comma 5 9 4 2 4" xfId="9167"/>
    <cellStyle name="Comma 5 9 4 2 5" xfId="23247"/>
    <cellStyle name="Comma 5 9 4 3" xfId="10621"/>
    <cellStyle name="Comma 5 9 4 3 2" xfId="19448"/>
    <cellStyle name="Comma 5 9 4 3 3" xfId="29699"/>
    <cellStyle name="Comma 5 9 4 4" xfId="12067"/>
    <cellStyle name="Comma 5 9 4 4 2" xfId="26149"/>
    <cellStyle name="Comma 5 9 4 5" xfId="7062"/>
    <cellStyle name="Comma 5 9 4 6" xfId="21142"/>
    <cellStyle name="Comma 5 9 5" xfId="2040"/>
    <cellStyle name="Comma 5 9 5 2" xfId="16960"/>
    <cellStyle name="Comma 5 9 5 2 2" xfId="27211"/>
    <cellStyle name="Comma 5 9 5 3" xfId="13381"/>
    <cellStyle name="Comma 5 9 5 4" xfId="8124"/>
    <cellStyle name="Comma 5 9 5 5" xfId="22204"/>
    <cellStyle name="Comma 5 9 6" xfId="5685"/>
    <cellStyle name="Comma 5 9 6 2" xfId="14771"/>
    <cellStyle name="Comma 5 9 6 3" xfId="24775"/>
    <cellStyle name="Comma 5 9 7" xfId="9578"/>
    <cellStyle name="Comma 5 9 7 2" xfId="18405"/>
    <cellStyle name="Comma 5 9 7 3" xfId="28656"/>
    <cellStyle name="Comma 5 9 8" xfId="11022"/>
    <cellStyle name="Comma 5 9 8 2" xfId="23748"/>
    <cellStyle name="Comma 5 9 9" xfId="4656"/>
    <cellStyle name="Comma 6" xfId="90"/>
    <cellStyle name="Comma 6 10" xfId="1874"/>
    <cellStyle name="Comma 6 10 2" xfId="9412"/>
    <cellStyle name="Comma 6 10 2 2" xfId="18239"/>
    <cellStyle name="Comma 6 10 2 3" xfId="28490"/>
    <cellStyle name="Comma 6 10 3" xfId="10856"/>
    <cellStyle name="Comma 6 10 3 2" xfId="27043"/>
    <cellStyle name="Comma 6 10 4" xfId="7956"/>
    <cellStyle name="Comma 6 10 5" xfId="22036"/>
    <cellStyle name="Comma 6 11" xfId="1841"/>
    <cellStyle name="Comma 6 11 2" xfId="14625"/>
    <cellStyle name="Comma 6 11 3" xfId="5539"/>
    <cellStyle name="Comma 6 11 4" xfId="24629"/>
    <cellStyle name="Comma 6 12" xfId="9382"/>
    <cellStyle name="Comma 6 12 2" xfId="18209"/>
    <cellStyle name="Comma 6 12 3" xfId="28460"/>
    <cellStyle name="Comma 6 13" xfId="10823"/>
    <cellStyle name="Comma 6 13 2" xfId="23448"/>
    <cellStyle name="Comma 6 14" xfId="4356"/>
    <cellStyle name="Comma 6 15" xfId="19621"/>
    <cellStyle name="Comma 6 2" xfId="161"/>
    <cellStyle name="Comma 6 2 10" xfId="5562"/>
    <cellStyle name="Comma 6 2 10 2" xfId="14648"/>
    <cellStyle name="Comma 6 2 10 3" xfId="24652"/>
    <cellStyle name="Comma 6 2 11" xfId="9455"/>
    <cellStyle name="Comma 6 2 11 2" xfId="18282"/>
    <cellStyle name="Comma 6 2 11 3" xfId="28533"/>
    <cellStyle name="Comma 6 2 12" xfId="10899"/>
    <cellStyle name="Comma 6 2 12 2" xfId="23467"/>
    <cellStyle name="Comma 6 2 13" xfId="4375"/>
    <cellStyle name="Comma 6 2 14" xfId="19645"/>
    <cellStyle name="Comma 6 2 2" xfId="229"/>
    <cellStyle name="Comma 6 2 2 10" xfId="10958"/>
    <cellStyle name="Comma 6 2 2 10 2" xfId="23571"/>
    <cellStyle name="Comma 6 2 2 11" xfId="4479"/>
    <cellStyle name="Comma 6 2 2 12" xfId="19704"/>
    <cellStyle name="Comma 6 2 2 2" xfId="439"/>
    <cellStyle name="Comma 6 2 2 2 10" xfId="19908"/>
    <cellStyle name="Comma 6 2 2 2 2" xfId="548"/>
    <cellStyle name="Comma 6 2 2 2 2 2" xfId="2281"/>
    <cellStyle name="Comma 6 2 2 2 2 2 2" xfId="16177"/>
    <cellStyle name="Comma 6 2 2 2 2 2 2 2" xfId="26395"/>
    <cellStyle name="Comma 6 2 2 2 2 2 3" xfId="12599"/>
    <cellStyle name="Comma 6 2 2 2 2 2 4" xfId="7308"/>
    <cellStyle name="Comma 6 2 2 2 2 2 5" xfId="21388"/>
    <cellStyle name="Comma 6 2 2 2 2 3" xfId="3555"/>
    <cellStyle name="Comma 6 2 2 2 2 3 2" xfId="17201"/>
    <cellStyle name="Comma 6 2 2 2 2 3 2 2" xfId="27452"/>
    <cellStyle name="Comma 6 2 2 2 2 3 3" xfId="13622"/>
    <cellStyle name="Comma 6 2 2 2 2 3 4" xfId="8365"/>
    <cellStyle name="Comma 6 2 2 2 2 3 5" xfId="22445"/>
    <cellStyle name="Comma 6 2 2 2 2 4" xfId="6424"/>
    <cellStyle name="Comma 6 2 2 2 2 4 2" xfId="15508"/>
    <cellStyle name="Comma 6 2 2 2 2 4 3" xfId="25512"/>
    <cellStyle name="Comma 6 2 2 2 2 5" xfId="9819"/>
    <cellStyle name="Comma 6 2 2 2 2 5 2" xfId="18646"/>
    <cellStyle name="Comma 6 2 2 2 2 5 3" xfId="28897"/>
    <cellStyle name="Comma 6 2 2 2 2 6" xfId="11263"/>
    <cellStyle name="Comma 6 2 2 2 2 6 2" xfId="23994"/>
    <cellStyle name="Comma 6 2 2 2 2 7" xfId="4902"/>
    <cellStyle name="Comma 6 2 2 2 2 8" xfId="20505"/>
    <cellStyle name="Comma 6 2 2 2 3" xfId="907"/>
    <cellStyle name="Comma 6 2 2 2 3 2" xfId="2629"/>
    <cellStyle name="Comma 6 2 2 2 3 2 2" xfId="16779"/>
    <cellStyle name="Comma 6 2 2 2 3 2 2 2" xfId="26998"/>
    <cellStyle name="Comma 6 2 2 2 3 2 3" xfId="13200"/>
    <cellStyle name="Comma 6 2 2 2 3 2 4" xfId="7911"/>
    <cellStyle name="Comma 6 2 2 2 3 2 5" xfId="21991"/>
    <cellStyle name="Comma 6 2 2 2 3 3" xfId="3903"/>
    <cellStyle name="Comma 6 2 2 2 3 3 2" xfId="17549"/>
    <cellStyle name="Comma 6 2 2 2 3 3 2 2" xfId="27800"/>
    <cellStyle name="Comma 6 2 2 2 3 3 3" xfId="13970"/>
    <cellStyle name="Comma 6 2 2 2 3 3 4" xfId="8713"/>
    <cellStyle name="Comma 6 2 2 2 3 3 5" xfId="22793"/>
    <cellStyle name="Comma 6 2 2 2 3 4" xfId="6318"/>
    <cellStyle name="Comma 6 2 2 2 3 4 2" xfId="15402"/>
    <cellStyle name="Comma 6 2 2 2 3 4 3" xfId="25406"/>
    <cellStyle name="Comma 6 2 2 2 3 5" xfId="10167"/>
    <cellStyle name="Comma 6 2 2 2 3 5 2" xfId="18994"/>
    <cellStyle name="Comma 6 2 2 2 3 5 3" xfId="29245"/>
    <cellStyle name="Comma 6 2 2 2 3 6" xfId="11613"/>
    <cellStyle name="Comma 6 2 2 2 3 6 2" xfId="24597"/>
    <cellStyle name="Comma 6 2 2 2 3 7" xfId="5505"/>
    <cellStyle name="Comma 6 2 2 2 3 8" xfId="20399"/>
    <cellStyle name="Comma 6 2 2 2 4" xfId="1626"/>
    <cellStyle name="Comma 6 2 2 2 4 2" xfId="3223"/>
    <cellStyle name="Comma 6 2 2 2 4 2 2" xfId="18143"/>
    <cellStyle name="Comma 6 2 2 2 4 2 2 2" xfId="28394"/>
    <cellStyle name="Comma 6 2 2 2 4 2 3" xfId="14564"/>
    <cellStyle name="Comma 6 2 2 2 4 2 4" xfId="9307"/>
    <cellStyle name="Comma 6 2 2 2 4 2 5" xfId="23387"/>
    <cellStyle name="Comma 6 2 2 2 4 3" xfId="10761"/>
    <cellStyle name="Comma 6 2 2 2 4 3 2" xfId="19588"/>
    <cellStyle name="Comma 6 2 2 2 4 3 3" xfId="29839"/>
    <cellStyle name="Comma 6 2 2 2 4 4" xfId="12207"/>
    <cellStyle name="Comma 6 2 2 2 4 4 2" xfId="26289"/>
    <cellStyle name="Comma 6 2 2 2 4 5" xfId="7202"/>
    <cellStyle name="Comma 6 2 2 2 4 6" xfId="21282"/>
    <cellStyle name="Comma 6 2 2 2 5" xfId="2180"/>
    <cellStyle name="Comma 6 2 2 2 5 2" xfId="17100"/>
    <cellStyle name="Comma 6 2 2 2 5 2 2" xfId="27351"/>
    <cellStyle name="Comma 6 2 2 2 5 3" xfId="13521"/>
    <cellStyle name="Comma 6 2 2 2 5 4" xfId="8264"/>
    <cellStyle name="Comma 6 2 2 2 5 5" xfId="22344"/>
    <cellStyle name="Comma 6 2 2 2 6" xfId="5825"/>
    <cellStyle name="Comma 6 2 2 2 6 2" xfId="14911"/>
    <cellStyle name="Comma 6 2 2 2 6 3" xfId="24915"/>
    <cellStyle name="Comma 6 2 2 2 7" xfId="9718"/>
    <cellStyle name="Comma 6 2 2 2 7 2" xfId="18545"/>
    <cellStyle name="Comma 6 2 2 2 7 3" xfId="28796"/>
    <cellStyle name="Comma 6 2 2 2 8" xfId="11162"/>
    <cellStyle name="Comma 6 2 2 2 8 2" xfId="23888"/>
    <cellStyle name="Comma 6 2 2 2 9" xfId="4796"/>
    <cellStyle name="Comma 6 2 2 3" xfId="547"/>
    <cellStyle name="Comma 6 2 2 3 2" xfId="2280"/>
    <cellStyle name="Comma 6 2 2 3 2 2" xfId="16012"/>
    <cellStyle name="Comma 6 2 2 3 2 2 2" xfId="26085"/>
    <cellStyle name="Comma 6 2 2 3 2 3" xfId="12254"/>
    <cellStyle name="Comma 6 2 2 3 2 4" xfId="6998"/>
    <cellStyle name="Comma 6 2 2 3 2 5" xfId="21078"/>
    <cellStyle name="Comma 6 2 2 3 3" xfId="3554"/>
    <cellStyle name="Comma 6 2 2 3 3 2" xfId="17200"/>
    <cellStyle name="Comma 6 2 2 3 3 2 2" xfId="27451"/>
    <cellStyle name="Comma 6 2 2 3 3 3" xfId="13621"/>
    <cellStyle name="Comma 6 2 2 3 3 4" xfId="8364"/>
    <cellStyle name="Comma 6 2 2 3 3 5" xfId="22444"/>
    <cellStyle name="Comma 6 2 2 3 4" xfId="6114"/>
    <cellStyle name="Comma 6 2 2 3 4 2" xfId="15198"/>
    <cellStyle name="Comma 6 2 2 3 4 3" xfId="25202"/>
    <cellStyle name="Comma 6 2 2 3 5" xfId="9818"/>
    <cellStyle name="Comma 6 2 2 3 5 2" xfId="18645"/>
    <cellStyle name="Comma 6 2 2 3 5 3" xfId="28896"/>
    <cellStyle name="Comma 6 2 2 3 6" xfId="11262"/>
    <cellStyle name="Comma 6 2 2 3 6 2" xfId="23684"/>
    <cellStyle name="Comma 6 2 2 3 7" xfId="4592"/>
    <cellStyle name="Comma 6 2 2 3 8" xfId="20195"/>
    <cellStyle name="Comma 6 2 2 4" xfId="906"/>
    <cellStyle name="Comma 6 2 2 4 2" xfId="2628"/>
    <cellStyle name="Comma 6 2 2 4 2 2" xfId="16176"/>
    <cellStyle name="Comma 6 2 2 4 2 2 2" xfId="26394"/>
    <cellStyle name="Comma 6 2 2 4 2 3" xfId="12598"/>
    <cellStyle name="Comma 6 2 2 4 2 4" xfId="7307"/>
    <cellStyle name="Comma 6 2 2 4 2 5" xfId="21387"/>
    <cellStyle name="Comma 6 2 2 4 3" xfId="3902"/>
    <cellStyle name="Comma 6 2 2 4 3 2" xfId="17548"/>
    <cellStyle name="Comma 6 2 2 4 3 2 2" xfId="27799"/>
    <cellStyle name="Comma 6 2 2 4 3 3" xfId="13969"/>
    <cellStyle name="Comma 6 2 2 4 3 4" xfId="8712"/>
    <cellStyle name="Comma 6 2 2 4 3 5" xfId="22792"/>
    <cellStyle name="Comma 6 2 2 4 4" xfId="6423"/>
    <cellStyle name="Comma 6 2 2 4 4 2" xfId="15507"/>
    <cellStyle name="Comma 6 2 2 4 4 3" xfId="25511"/>
    <cellStyle name="Comma 6 2 2 4 5" xfId="10166"/>
    <cellStyle name="Comma 6 2 2 4 5 2" xfId="18993"/>
    <cellStyle name="Comma 6 2 2 4 5 3" xfId="29244"/>
    <cellStyle name="Comma 6 2 2 4 6" xfId="11612"/>
    <cellStyle name="Comma 6 2 2 4 6 2" xfId="23993"/>
    <cellStyle name="Comma 6 2 2 4 7" xfId="4901"/>
    <cellStyle name="Comma 6 2 2 4 8" xfId="20504"/>
    <cellStyle name="Comma 6 2 2 5" xfId="1416"/>
    <cellStyle name="Comma 6 2 2 5 2" xfId="3019"/>
    <cellStyle name="Comma 6 2 2 5 2 2" xfId="16575"/>
    <cellStyle name="Comma 6 2 2 5 2 2 2" xfId="26794"/>
    <cellStyle name="Comma 6 2 2 5 2 3" xfId="12996"/>
    <cellStyle name="Comma 6 2 2 5 2 4" xfId="7707"/>
    <cellStyle name="Comma 6 2 2 5 2 5" xfId="21787"/>
    <cellStyle name="Comma 6 2 2 5 3" xfId="4233"/>
    <cellStyle name="Comma 6 2 2 5 3 2" xfId="17939"/>
    <cellStyle name="Comma 6 2 2 5 3 2 2" xfId="28190"/>
    <cellStyle name="Comma 6 2 2 5 3 3" xfId="14360"/>
    <cellStyle name="Comma 6 2 2 5 3 4" xfId="9103"/>
    <cellStyle name="Comma 6 2 2 5 3 5" xfId="23183"/>
    <cellStyle name="Comma 6 2 2 5 4" xfId="5999"/>
    <cellStyle name="Comma 6 2 2 5 4 2" xfId="15085"/>
    <cellStyle name="Comma 6 2 2 5 4 3" xfId="25089"/>
    <cellStyle name="Comma 6 2 2 5 5" xfId="10557"/>
    <cellStyle name="Comma 6 2 2 5 5 2" xfId="19384"/>
    <cellStyle name="Comma 6 2 2 5 5 3" xfId="29635"/>
    <cellStyle name="Comma 6 2 2 5 6" xfId="12003"/>
    <cellStyle name="Comma 6 2 2 5 6 2" xfId="24393"/>
    <cellStyle name="Comma 6 2 2 5 7" xfId="5301"/>
    <cellStyle name="Comma 6 2 2 5 8" xfId="20082"/>
    <cellStyle name="Comma 6 2 2 6" xfId="1976"/>
    <cellStyle name="Comma 6 2 2 6 2" xfId="15928"/>
    <cellStyle name="Comma 6 2 2 6 2 2" xfId="25972"/>
    <cellStyle name="Comma 6 2 2 6 3" xfId="12295"/>
    <cellStyle name="Comma 6 2 2 6 4" xfId="6885"/>
    <cellStyle name="Comma 6 2 2 6 5" xfId="20965"/>
    <cellStyle name="Comma 6 2 2 7" xfId="3395"/>
    <cellStyle name="Comma 6 2 2 7 2" xfId="16896"/>
    <cellStyle name="Comma 6 2 2 7 2 2" xfId="27147"/>
    <cellStyle name="Comma 6 2 2 7 3" xfId="13317"/>
    <cellStyle name="Comma 6 2 2 7 4" xfId="8060"/>
    <cellStyle name="Comma 6 2 2 7 5" xfId="22140"/>
    <cellStyle name="Comma 6 2 2 8" xfId="5621"/>
    <cellStyle name="Comma 6 2 2 8 2" xfId="14707"/>
    <cellStyle name="Comma 6 2 2 8 3" xfId="24711"/>
    <cellStyle name="Comma 6 2 2 9" xfId="9514"/>
    <cellStyle name="Comma 6 2 2 9 2" xfId="18341"/>
    <cellStyle name="Comma 6 2 2 9 3" xfId="28592"/>
    <cellStyle name="Comma 6 2 3" xfId="396"/>
    <cellStyle name="Comma 6 2 3 10" xfId="4437"/>
    <cellStyle name="Comma 6 2 3 11" xfId="19866"/>
    <cellStyle name="Comma 6 2 3 2" xfId="549"/>
    <cellStyle name="Comma 6 2 3 2 2" xfId="2282"/>
    <cellStyle name="Comma 6 2 3 2 2 2" xfId="16074"/>
    <cellStyle name="Comma 6 2 3 2 2 2 2" xfId="26247"/>
    <cellStyle name="Comma 6 2 3 2 2 3" xfId="10795"/>
    <cellStyle name="Comma 6 2 3 2 2 4" xfId="7160"/>
    <cellStyle name="Comma 6 2 3 2 2 5" xfId="21240"/>
    <cellStyle name="Comma 6 2 3 2 3" xfId="3556"/>
    <cellStyle name="Comma 6 2 3 2 3 2" xfId="17202"/>
    <cellStyle name="Comma 6 2 3 2 3 2 2" xfId="27453"/>
    <cellStyle name="Comma 6 2 3 2 3 3" xfId="13623"/>
    <cellStyle name="Comma 6 2 3 2 3 4" xfId="8366"/>
    <cellStyle name="Comma 6 2 3 2 3 5" xfId="22446"/>
    <cellStyle name="Comma 6 2 3 2 4" xfId="6276"/>
    <cellStyle name="Comma 6 2 3 2 4 2" xfId="15360"/>
    <cellStyle name="Comma 6 2 3 2 4 3" xfId="25364"/>
    <cellStyle name="Comma 6 2 3 2 5" xfId="9820"/>
    <cellStyle name="Comma 6 2 3 2 5 2" xfId="18647"/>
    <cellStyle name="Comma 6 2 3 2 5 3" xfId="28898"/>
    <cellStyle name="Comma 6 2 3 2 6" xfId="11264"/>
    <cellStyle name="Comma 6 2 3 2 6 2" xfId="23846"/>
    <cellStyle name="Comma 6 2 3 2 7" xfId="4754"/>
    <cellStyle name="Comma 6 2 3 2 8" xfId="20357"/>
    <cellStyle name="Comma 6 2 3 3" xfId="908"/>
    <cellStyle name="Comma 6 2 3 3 2" xfId="2630"/>
    <cellStyle name="Comma 6 2 3 3 2 2" xfId="16178"/>
    <cellStyle name="Comma 6 2 3 3 2 2 2" xfId="26396"/>
    <cellStyle name="Comma 6 2 3 3 2 3" xfId="12600"/>
    <cellStyle name="Comma 6 2 3 3 2 4" xfId="7309"/>
    <cellStyle name="Comma 6 2 3 3 2 5" xfId="21389"/>
    <cellStyle name="Comma 6 2 3 3 3" xfId="3904"/>
    <cellStyle name="Comma 6 2 3 3 3 2" xfId="17550"/>
    <cellStyle name="Comma 6 2 3 3 3 2 2" xfId="27801"/>
    <cellStyle name="Comma 6 2 3 3 3 3" xfId="13971"/>
    <cellStyle name="Comma 6 2 3 3 3 4" xfId="8714"/>
    <cellStyle name="Comma 6 2 3 3 3 5" xfId="22794"/>
    <cellStyle name="Comma 6 2 3 3 4" xfId="6425"/>
    <cellStyle name="Comma 6 2 3 3 4 2" xfId="15509"/>
    <cellStyle name="Comma 6 2 3 3 4 3" xfId="25513"/>
    <cellStyle name="Comma 6 2 3 3 5" xfId="10168"/>
    <cellStyle name="Comma 6 2 3 3 5 2" xfId="18995"/>
    <cellStyle name="Comma 6 2 3 3 5 3" xfId="29246"/>
    <cellStyle name="Comma 6 2 3 3 6" xfId="11614"/>
    <cellStyle name="Comma 6 2 3 3 6 2" xfId="23995"/>
    <cellStyle name="Comma 6 2 3 3 7" xfId="4903"/>
    <cellStyle name="Comma 6 2 3 3 8" xfId="20506"/>
    <cellStyle name="Comma 6 2 3 4" xfId="1583"/>
    <cellStyle name="Comma 6 2 3 4 2" xfId="3181"/>
    <cellStyle name="Comma 6 2 3 4 2 2" xfId="16737"/>
    <cellStyle name="Comma 6 2 3 4 2 2 2" xfId="26956"/>
    <cellStyle name="Comma 6 2 3 4 2 3" xfId="13158"/>
    <cellStyle name="Comma 6 2 3 4 2 4" xfId="7869"/>
    <cellStyle name="Comma 6 2 3 4 2 5" xfId="21949"/>
    <cellStyle name="Comma 6 2 3 4 3" xfId="4295"/>
    <cellStyle name="Comma 6 2 3 4 3 2" xfId="18101"/>
    <cellStyle name="Comma 6 2 3 4 3 2 2" xfId="28352"/>
    <cellStyle name="Comma 6 2 3 4 3 3" xfId="14522"/>
    <cellStyle name="Comma 6 2 3 4 3 4" xfId="9265"/>
    <cellStyle name="Comma 6 2 3 4 3 5" xfId="23345"/>
    <cellStyle name="Comma 6 2 3 4 4" xfId="5957"/>
    <cellStyle name="Comma 6 2 3 4 4 2" xfId="15043"/>
    <cellStyle name="Comma 6 2 3 4 4 3" xfId="25047"/>
    <cellStyle name="Comma 6 2 3 4 5" xfId="10719"/>
    <cellStyle name="Comma 6 2 3 4 5 2" xfId="19546"/>
    <cellStyle name="Comma 6 2 3 4 5 3" xfId="29797"/>
    <cellStyle name="Comma 6 2 3 4 6" xfId="12165"/>
    <cellStyle name="Comma 6 2 3 4 6 2" xfId="24555"/>
    <cellStyle name="Comma 6 2 3 4 7" xfId="5463"/>
    <cellStyle name="Comma 6 2 3 4 8" xfId="20040"/>
    <cellStyle name="Comma 6 2 3 5" xfId="2138"/>
    <cellStyle name="Comma 6 2 3 5 2" xfId="15886"/>
    <cellStyle name="Comma 6 2 3 5 2 2" xfId="25930"/>
    <cellStyle name="Comma 6 2 3 5 3" xfId="12339"/>
    <cellStyle name="Comma 6 2 3 5 4" xfId="6843"/>
    <cellStyle name="Comma 6 2 3 5 5" xfId="20923"/>
    <cellStyle name="Comma 6 2 3 6" xfId="3457"/>
    <cellStyle name="Comma 6 2 3 6 2" xfId="17058"/>
    <cellStyle name="Comma 6 2 3 6 2 2" xfId="27309"/>
    <cellStyle name="Comma 6 2 3 6 3" xfId="13479"/>
    <cellStyle name="Comma 6 2 3 6 4" xfId="8222"/>
    <cellStyle name="Comma 6 2 3 6 5" xfId="22302"/>
    <cellStyle name="Comma 6 2 3 7" xfId="5783"/>
    <cellStyle name="Comma 6 2 3 7 2" xfId="14869"/>
    <cellStyle name="Comma 6 2 3 7 3" xfId="24873"/>
    <cellStyle name="Comma 6 2 3 8" xfId="9676"/>
    <cellStyle name="Comma 6 2 3 8 2" xfId="18503"/>
    <cellStyle name="Comma 6 2 3 8 3" xfId="28754"/>
    <cellStyle name="Comma 6 2 3 9" xfId="11120"/>
    <cellStyle name="Comma 6 2 3 9 2" xfId="23529"/>
    <cellStyle name="Comma 6 2 4" xfId="332"/>
    <cellStyle name="Comma 6 2 4 10" xfId="19804"/>
    <cellStyle name="Comma 6 2 4 2" xfId="550"/>
    <cellStyle name="Comma 6 2 4 2 2" xfId="2283"/>
    <cellStyle name="Comma 6 2 4 2 2 2" xfId="16179"/>
    <cellStyle name="Comma 6 2 4 2 2 2 2" xfId="26397"/>
    <cellStyle name="Comma 6 2 4 2 2 3" xfId="12601"/>
    <cellStyle name="Comma 6 2 4 2 2 4" xfId="7310"/>
    <cellStyle name="Comma 6 2 4 2 2 5" xfId="21390"/>
    <cellStyle name="Comma 6 2 4 2 3" xfId="3557"/>
    <cellStyle name="Comma 6 2 4 2 3 2" xfId="17203"/>
    <cellStyle name="Comma 6 2 4 2 3 2 2" xfId="27454"/>
    <cellStyle name="Comma 6 2 4 2 3 3" xfId="13624"/>
    <cellStyle name="Comma 6 2 4 2 3 4" xfId="8367"/>
    <cellStyle name="Comma 6 2 4 2 3 5" xfId="22447"/>
    <cellStyle name="Comma 6 2 4 2 4" xfId="6426"/>
    <cellStyle name="Comma 6 2 4 2 4 2" xfId="15510"/>
    <cellStyle name="Comma 6 2 4 2 4 3" xfId="25514"/>
    <cellStyle name="Comma 6 2 4 2 5" xfId="9821"/>
    <cellStyle name="Comma 6 2 4 2 5 2" xfId="18648"/>
    <cellStyle name="Comma 6 2 4 2 5 3" xfId="28899"/>
    <cellStyle name="Comma 6 2 4 2 6" xfId="11265"/>
    <cellStyle name="Comma 6 2 4 2 6 2" xfId="23996"/>
    <cellStyle name="Comma 6 2 4 2 7" xfId="4904"/>
    <cellStyle name="Comma 6 2 4 2 8" xfId="20507"/>
    <cellStyle name="Comma 6 2 4 3" xfId="909"/>
    <cellStyle name="Comma 6 2 4 3 2" xfId="2631"/>
    <cellStyle name="Comma 6 2 4 3 2 2" xfId="16675"/>
    <cellStyle name="Comma 6 2 4 3 2 2 2" xfId="26894"/>
    <cellStyle name="Comma 6 2 4 3 2 3" xfId="13096"/>
    <cellStyle name="Comma 6 2 4 3 2 4" xfId="7807"/>
    <cellStyle name="Comma 6 2 4 3 2 5" xfId="21887"/>
    <cellStyle name="Comma 6 2 4 3 3" xfId="3905"/>
    <cellStyle name="Comma 6 2 4 3 3 2" xfId="17551"/>
    <cellStyle name="Comma 6 2 4 3 3 2 2" xfId="27802"/>
    <cellStyle name="Comma 6 2 4 3 3 3" xfId="13972"/>
    <cellStyle name="Comma 6 2 4 3 3 4" xfId="8715"/>
    <cellStyle name="Comma 6 2 4 3 3 5" xfId="22795"/>
    <cellStyle name="Comma 6 2 4 3 4" xfId="6214"/>
    <cellStyle name="Comma 6 2 4 3 4 2" xfId="15298"/>
    <cellStyle name="Comma 6 2 4 3 4 3" xfId="25302"/>
    <cellStyle name="Comma 6 2 4 3 5" xfId="10169"/>
    <cellStyle name="Comma 6 2 4 3 5 2" xfId="18996"/>
    <cellStyle name="Comma 6 2 4 3 5 3" xfId="29247"/>
    <cellStyle name="Comma 6 2 4 3 6" xfId="11615"/>
    <cellStyle name="Comma 6 2 4 3 6 2" xfId="24493"/>
    <cellStyle name="Comma 6 2 4 3 7" xfId="5401"/>
    <cellStyle name="Comma 6 2 4 3 8" xfId="20295"/>
    <cellStyle name="Comma 6 2 4 4" xfId="1519"/>
    <cellStyle name="Comma 6 2 4 4 2" xfId="3119"/>
    <cellStyle name="Comma 6 2 4 4 2 2" xfId="18039"/>
    <cellStyle name="Comma 6 2 4 4 2 2 2" xfId="28290"/>
    <cellStyle name="Comma 6 2 4 4 2 3" xfId="14460"/>
    <cellStyle name="Comma 6 2 4 4 2 4" xfId="9203"/>
    <cellStyle name="Comma 6 2 4 4 2 5" xfId="23283"/>
    <cellStyle name="Comma 6 2 4 4 3" xfId="10657"/>
    <cellStyle name="Comma 6 2 4 4 3 2" xfId="19484"/>
    <cellStyle name="Comma 6 2 4 4 3 3" xfId="29735"/>
    <cellStyle name="Comma 6 2 4 4 4" xfId="12103"/>
    <cellStyle name="Comma 6 2 4 4 4 2" xfId="26185"/>
    <cellStyle name="Comma 6 2 4 4 5" xfId="7098"/>
    <cellStyle name="Comma 6 2 4 4 6" xfId="21178"/>
    <cellStyle name="Comma 6 2 4 5" xfId="2076"/>
    <cellStyle name="Comma 6 2 4 5 2" xfId="16996"/>
    <cellStyle name="Comma 6 2 4 5 2 2" xfId="27247"/>
    <cellStyle name="Comma 6 2 4 5 3" xfId="13417"/>
    <cellStyle name="Comma 6 2 4 5 4" xfId="8160"/>
    <cellStyle name="Comma 6 2 4 5 5" xfId="22240"/>
    <cellStyle name="Comma 6 2 4 6" xfId="5721"/>
    <cellStyle name="Comma 6 2 4 6 2" xfId="14807"/>
    <cellStyle name="Comma 6 2 4 6 3" xfId="24811"/>
    <cellStyle name="Comma 6 2 4 7" xfId="9614"/>
    <cellStyle name="Comma 6 2 4 7 2" xfId="18441"/>
    <cellStyle name="Comma 6 2 4 7 3" xfId="28692"/>
    <cellStyle name="Comma 6 2 4 8" xfId="11058"/>
    <cellStyle name="Comma 6 2 4 8 2" xfId="23784"/>
    <cellStyle name="Comma 6 2 4 9" xfId="4692"/>
    <cellStyle name="Comma 6 2 5" xfId="546"/>
    <cellStyle name="Comma 6 2 5 2" xfId="2279"/>
    <cellStyle name="Comma 6 2 5 2 2" xfId="15968"/>
    <cellStyle name="Comma 6 2 5 2 2 2" xfId="26026"/>
    <cellStyle name="Comma 6 2 5 2 3" xfId="12438"/>
    <cellStyle name="Comma 6 2 5 2 4" xfId="6939"/>
    <cellStyle name="Comma 6 2 5 2 5" xfId="21019"/>
    <cellStyle name="Comma 6 2 5 3" xfId="3553"/>
    <cellStyle name="Comma 6 2 5 3 2" xfId="17199"/>
    <cellStyle name="Comma 6 2 5 3 2 2" xfId="27450"/>
    <cellStyle name="Comma 6 2 5 3 3" xfId="13620"/>
    <cellStyle name="Comma 6 2 5 3 4" xfId="8363"/>
    <cellStyle name="Comma 6 2 5 3 5" xfId="22443"/>
    <cellStyle name="Comma 6 2 5 4" xfId="6055"/>
    <cellStyle name="Comma 6 2 5 4 2" xfId="15139"/>
    <cellStyle name="Comma 6 2 5 4 3" xfId="25143"/>
    <cellStyle name="Comma 6 2 5 5" xfId="9817"/>
    <cellStyle name="Comma 6 2 5 5 2" xfId="18644"/>
    <cellStyle name="Comma 6 2 5 5 3" xfId="28895"/>
    <cellStyle name="Comma 6 2 5 6" xfId="11261"/>
    <cellStyle name="Comma 6 2 5 6 2" xfId="23625"/>
    <cellStyle name="Comma 6 2 5 7" xfId="4533"/>
    <cellStyle name="Comma 6 2 5 8" xfId="20136"/>
    <cellStyle name="Comma 6 2 6" xfId="905"/>
    <cellStyle name="Comma 6 2 6 2" xfId="2627"/>
    <cellStyle name="Comma 6 2 6 2 2" xfId="16175"/>
    <cellStyle name="Comma 6 2 6 2 2 2" xfId="26393"/>
    <cellStyle name="Comma 6 2 6 2 3" xfId="12597"/>
    <cellStyle name="Comma 6 2 6 2 4" xfId="7306"/>
    <cellStyle name="Comma 6 2 6 2 5" xfId="21386"/>
    <cellStyle name="Comma 6 2 6 3" xfId="3901"/>
    <cellStyle name="Comma 6 2 6 3 2" xfId="17547"/>
    <cellStyle name="Comma 6 2 6 3 2 2" xfId="27798"/>
    <cellStyle name="Comma 6 2 6 3 3" xfId="13968"/>
    <cellStyle name="Comma 6 2 6 3 4" xfId="8711"/>
    <cellStyle name="Comma 6 2 6 3 5" xfId="22791"/>
    <cellStyle name="Comma 6 2 6 4" xfId="6422"/>
    <cellStyle name="Comma 6 2 6 4 2" xfId="15506"/>
    <cellStyle name="Comma 6 2 6 4 3" xfId="25510"/>
    <cellStyle name="Comma 6 2 6 5" xfId="10165"/>
    <cellStyle name="Comma 6 2 6 5 2" xfId="18992"/>
    <cellStyle name="Comma 6 2 6 5 3" xfId="29243"/>
    <cellStyle name="Comma 6 2 6 6" xfId="11611"/>
    <cellStyle name="Comma 6 2 6 6 2" xfId="23992"/>
    <cellStyle name="Comma 6 2 6 7" xfId="4900"/>
    <cellStyle name="Comma 6 2 6 8" xfId="20503"/>
    <cellStyle name="Comma 6 2 7" xfId="1348"/>
    <cellStyle name="Comma 6 2 7 2" xfId="2960"/>
    <cellStyle name="Comma 6 2 7 2 2" xfId="16516"/>
    <cellStyle name="Comma 6 2 7 2 2 2" xfId="26735"/>
    <cellStyle name="Comma 6 2 7 2 3" xfId="12938"/>
    <cellStyle name="Comma 6 2 7 2 4" xfId="7648"/>
    <cellStyle name="Comma 6 2 7 2 5" xfId="21728"/>
    <cellStyle name="Comma 6 2 7 3" xfId="4190"/>
    <cellStyle name="Comma 6 2 7 3 2" xfId="17880"/>
    <cellStyle name="Comma 6 2 7 3 2 2" xfId="28131"/>
    <cellStyle name="Comma 6 2 7 3 3" xfId="14301"/>
    <cellStyle name="Comma 6 2 7 3 4" xfId="9044"/>
    <cellStyle name="Comma 6 2 7 3 5" xfId="23124"/>
    <cellStyle name="Comma 6 2 7 4" xfId="5894"/>
    <cellStyle name="Comma 6 2 7 4 2" xfId="14980"/>
    <cellStyle name="Comma 6 2 7 4 3" xfId="24984"/>
    <cellStyle name="Comma 6 2 7 5" xfId="10498"/>
    <cellStyle name="Comma 6 2 7 5 2" xfId="19325"/>
    <cellStyle name="Comma 6 2 7 5 3" xfId="29576"/>
    <cellStyle name="Comma 6 2 7 6" xfId="11944"/>
    <cellStyle name="Comma 6 2 7 6 2" xfId="24334"/>
    <cellStyle name="Comma 6 2 7 7" xfId="5242"/>
    <cellStyle name="Comma 6 2 7 8" xfId="19977"/>
    <cellStyle name="Comma 6 2 8" xfId="1917"/>
    <cellStyle name="Comma 6 2 8 2" xfId="15829"/>
    <cellStyle name="Comma 6 2 8 2 2" xfId="25868"/>
    <cellStyle name="Comma 6 2 8 3" xfId="12431"/>
    <cellStyle name="Comma 6 2 8 4" xfId="6781"/>
    <cellStyle name="Comma 6 2 8 5" xfId="20861"/>
    <cellStyle name="Comma 6 2 9" xfId="3352"/>
    <cellStyle name="Comma 6 2 9 2" xfId="16835"/>
    <cellStyle name="Comma 6 2 9 2 2" xfId="27086"/>
    <cellStyle name="Comma 6 2 9 3" xfId="13256"/>
    <cellStyle name="Comma 6 2 9 4" xfId="7999"/>
    <cellStyle name="Comma 6 2 9 5" xfId="22079"/>
    <cellStyle name="Comma 6 3" xfId="274"/>
    <cellStyle name="Comma 6 3 10" xfId="11001"/>
    <cellStyle name="Comma 6 3 10 2" xfId="23510"/>
    <cellStyle name="Comma 6 3 11" xfId="4418"/>
    <cellStyle name="Comma 6 3 12" xfId="19747"/>
    <cellStyle name="Comma 6 3 2" xfId="376"/>
    <cellStyle name="Comma 6 3 2 10" xfId="19847"/>
    <cellStyle name="Comma 6 3 2 2" xfId="552"/>
    <cellStyle name="Comma 6 3 2 2 2" xfId="2285"/>
    <cellStyle name="Comma 6 3 2 2 2 2" xfId="16181"/>
    <cellStyle name="Comma 6 3 2 2 2 2 2" xfId="26399"/>
    <cellStyle name="Comma 6 3 2 2 2 3" xfId="12603"/>
    <cellStyle name="Comma 6 3 2 2 2 4" xfId="7312"/>
    <cellStyle name="Comma 6 3 2 2 2 5" xfId="21392"/>
    <cellStyle name="Comma 6 3 2 2 3" xfId="3559"/>
    <cellStyle name="Comma 6 3 2 2 3 2" xfId="17205"/>
    <cellStyle name="Comma 6 3 2 2 3 2 2" xfId="27456"/>
    <cellStyle name="Comma 6 3 2 2 3 3" xfId="13626"/>
    <cellStyle name="Comma 6 3 2 2 3 4" xfId="8369"/>
    <cellStyle name="Comma 6 3 2 2 3 5" xfId="22449"/>
    <cellStyle name="Comma 6 3 2 2 4" xfId="6428"/>
    <cellStyle name="Comma 6 3 2 2 4 2" xfId="15512"/>
    <cellStyle name="Comma 6 3 2 2 4 3" xfId="25516"/>
    <cellStyle name="Comma 6 3 2 2 5" xfId="9823"/>
    <cellStyle name="Comma 6 3 2 2 5 2" xfId="18650"/>
    <cellStyle name="Comma 6 3 2 2 5 3" xfId="28901"/>
    <cellStyle name="Comma 6 3 2 2 6" xfId="11267"/>
    <cellStyle name="Comma 6 3 2 2 6 2" xfId="23998"/>
    <cellStyle name="Comma 6 3 2 2 7" xfId="4906"/>
    <cellStyle name="Comma 6 3 2 2 8" xfId="20509"/>
    <cellStyle name="Comma 6 3 2 3" xfId="911"/>
    <cellStyle name="Comma 6 3 2 3 2" xfId="2633"/>
    <cellStyle name="Comma 6 3 2 3 2 2" xfId="16718"/>
    <cellStyle name="Comma 6 3 2 3 2 2 2" xfId="26937"/>
    <cellStyle name="Comma 6 3 2 3 2 3" xfId="13139"/>
    <cellStyle name="Comma 6 3 2 3 2 4" xfId="7850"/>
    <cellStyle name="Comma 6 3 2 3 2 5" xfId="21930"/>
    <cellStyle name="Comma 6 3 2 3 3" xfId="3907"/>
    <cellStyle name="Comma 6 3 2 3 3 2" xfId="17553"/>
    <cellStyle name="Comma 6 3 2 3 3 2 2" xfId="27804"/>
    <cellStyle name="Comma 6 3 2 3 3 3" xfId="13974"/>
    <cellStyle name="Comma 6 3 2 3 3 4" xfId="8717"/>
    <cellStyle name="Comma 6 3 2 3 3 5" xfId="22797"/>
    <cellStyle name="Comma 6 3 2 3 4" xfId="6257"/>
    <cellStyle name="Comma 6 3 2 3 4 2" xfId="15341"/>
    <cellStyle name="Comma 6 3 2 3 4 3" xfId="25345"/>
    <cellStyle name="Comma 6 3 2 3 5" xfId="10171"/>
    <cellStyle name="Comma 6 3 2 3 5 2" xfId="18998"/>
    <cellStyle name="Comma 6 3 2 3 5 3" xfId="29249"/>
    <cellStyle name="Comma 6 3 2 3 6" xfId="11617"/>
    <cellStyle name="Comma 6 3 2 3 6 2" xfId="24536"/>
    <cellStyle name="Comma 6 3 2 3 7" xfId="5444"/>
    <cellStyle name="Comma 6 3 2 3 8" xfId="20338"/>
    <cellStyle name="Comma 6 3 2 4" xfId="1563"/>
    <cellStyle name="Comma 6 3 2 4 2" xfId="3162"/>
    <cellStyle name="Comma 6 3 2 4 2 2" xfId="18082"/>
    <cellStyle name="Comma 6 3 2 4 2 2 2" xfId="28333"/>
    <cellStyle name="Comma 6 3 2 4 2 3" xfId="14503"/>
    <cellStyle name="Comma 6 3 2 4 2 4" xfId="9246"/>
    <cellStyle name="Comma 6 3 2 4 2 5" xfId="23326"/>
    <cellStyle name="Comma 6 3 2 4 3" xfId="10700"/>
    <cellStyle name="Comma 6 3 2 4 3 2" xfId="19527"/>
    <cellStyle name="Comma 6 3 2 4 3 3" xfId="29778"/>
    <cellStyle name="Comma 6 3 2 4 4" xfId="12146"/>
    <cellStyle name="Comma 6 3 2 4 4 2" xfId="26228"/>
    <cellStyle name="Comma 6 3 2 4 5" xfId="7141"/>
    <cellStyle name="Comma 6 3 2 4 6" xfId="21221"/>
    <cellStyle name="Comma 6 3 2 5" xfId="2119"/>
    <cellStyle name="Comma 6 3 2 5 2" xfId="17039"/>
    <cellStyle name="Comma 6 3 2 5 2 2" xfId="27290"/>
    <cellStyle name="Comma 6 3 2 5 3" xfId="13460"/>
    <cellStyle name="Comma 6 3 2 5 4" xfId="8203"/>
    <cellStyle name="Comma 6 3 2 5 5" xfId="22283"/>
    <cellStyle name="Comma 6 3 2 6" xfId="5764"/>
    <cellStyle name="Comma 6 3 2 6 2" xfId="14850"/>
    <cellStyle name="Comma 6 3 2 6 3" xfId="24854"/>
    <cellStyle name="Comma 6 3 2 7" xfId="9657"/>
    <cellStyle name="Comma 6 3 2 7 2" xfId="18484"/>
    <cellStyle name="Comma 6 3 2 7 3" xfId="28735"/>
    <cellStyle name="Comma 6 3 2 8" xfId="11101"/>
    <cellStyle name="Comma 6 3 2 8 2" xfId="23827"/>
    <cellStyle name="Comma 6 3 2 9" xfId="4735"/>
    <cellStyle name="Comma 6 3 3" xfId="551"/>
    <cellStyle name="Comma 6 3 3 2" xfId="2284"/>
    <cellStyle name="Comma 6 3 3 2 2" xfId="16055"/>
    <cellStyle name="Comma 6 3 3 2 2 2" xfId="26128"/>
    <cellStyle name="Comma 6 3 3 2 3" xfId="12462"/>
    <cellStyle name="Comma 6 3 3 2 4" xfId="7041"/>
    <cellStyle name="Comma 6 3 3 2 5" xfId="21121"/>
    <cellStyle name="Comma 6 3 3 3" xfId="3558"/>
    <cellStyle name="Comma 6 3 3 3 2" xfId="17204"/>
    <cellStyle name="Comma 6 3 3 3 2 2" xfId="27455"/>
    <cellStyle name="Comma 6 3 3 3 3" xfId="13625"/>
    <cellStyle name="Comma 6 3 3 3 4" xfId="8368"/>
    <cellStyle name="Comma 6 3 3 3 5" xfId="22448"/>
    <cellStyle name="Comma 6 3 3 4" xfId="6157"/>
    <cellStyle name="Comma 6 3 3 4 2" xfId="15241"/>
    <cellStyle name="Comma 6 3 3 4 3" xfId="25245"/>
    <cellStyle name="Comma 6 3 3 5" xfId="9822"/>
    <cellStyle name="Comma 6 3 3 5 2" xfId="18649"/>
    <cellStyle name="Comma 6 3 3 5 3" xfId="28900"/>
    <cellStyle name="Comma 6 3 3 6" xfId="11266"/>
    <cellStyle name="Comma 6 3 3 6 2" xfId="23727"/>
    <cellStyle name="Comma 6 3 3 7" xfId="4635"/>
    <cellStyle name="Comma 6 3 3 8" xfId="20238"/>
    <cellStyle name="Comma 6 3 4" xfId="910"/>
    <cellStyle name="Comma 6 3 4 2" xfId="2632"/>
    <cellStyle name="Comma 6 3 4 2 2" xfId="16180"/>
    <cellStyle name="Comma 6 3 4 2 2 2" xfId="26398"/>
    <cellStyle name="Comma 6 3 4 2 3" xfId="12602"/>
    <cellStyle name="Comma 6 3 4 2 4" xfId="7311"/>
    <cellStyle name="Comma 6 3 4 2 5" xfId="21391"/>
    <cellStyle name="Comma 6 3 4 3" xfId="3906"/>
    <cellStyle name="Comma 6 3 4 3 2" xfId="17552"/>
    <cellStyle name="Comma 6 3 4 3 2 2" xfId="27803"/>
    <cellStyle name="Comma 6 3 4 3 3" xfId="13973"/>
    <cellStyle name="Comma 6 3 4 3 4" xfId="8716"/>
    <cellStyle name="Comma 6 3 4 3 5" xfId="22796"/>
    <cellStyle name="Comma 6 3 4 4" xfId="6427"/>
    <cellStyle name="Comma 6 3 4 4 2" xfId="15511"/>
    <cellStyle name="Comma 6 3 4 4 3" xfId="25515"/>
    <cellStyle name="Comma 6 3 4 5" xfId="10170"/>
    <cellStyle name="Comma 6 3 4 5 2" xfId="18997"/>
    <cellStyle name="Comma 6 3 4 5 3" xfId="29248"/>
    <cellStyle name="Comma 6 3 4 6" xfId="11616"/>
    <cellStyle name="Comma 6 3 4 6 2" xfId="23997"/>
    <cellStyle name="Comma 6 3 4 7" xfId="4905"/>
    <cellStyle name="Comma 6 3 4 8" xfId="20508"/>
    <cellStyle name="Comma 6 3 5" xfId="1461"/>
    <cellStyle name="Comma 6 3 5 2" xfId="3062"/>
    <cellStyle name="Comma 6 3 5 2 2" xfId="16618"/>
    <cellStyle name="Comma 6 3 5 2 2 2" xfId="26837"/>
    <cellStyle name="Comma 6 3 5 2 3" xfId="13039"/>
    <cellStyle name="Comma 6 3 5 2 4" xfId="7750"/>
    <cellStyle name="Comma 6 3 5 2 5" xfId="21830"/>
    <cellStyle name="Comma 6 3 5 3" xfId="4276"/>
    <cellStyle name="Comma 6 3 5 3 2" xfId="17982"/>
    <cellStyle name="Comma 6 3 5 3 2 2" xfId="28233"/>
    <cellStyle name="Comma 6 3 5 3 3" xfId="14403"/>
    <cellStyle name="Comma 6 3 5 3 4" xfId="9146"/>
    <cellStyle name="Comma 6 3 5 3 5" xfId="23226"/>
    <cellStyle name="Comma 6 3 5 4" xfId="5938"/>
    <cellStyle name="Comma 6 3 5 4 2" xfId="15024"/>
    <cellStyle name="Comma 6 3 5 4 3" xfId="25028"/>
    <cellStyle name="Comma 6 3 5 5" xfId="10600"/>
    <cellStyle name="Comma 6 3 5 5 2" xfId="19427"/>
    <cellStyle name="Comma 6 3 5 5 3" xfId="29678"/>
    <cellStyle name="Comma 6 3 5 6" xfId="12046"/>
    <cellStyle name="Comma 6 3 5 6 2" xfId="24436"/>
    <cellStyle name="Comma 6 3 5 7" xfId="5344"/>
    <cellStyle name="Comma 6 3 5 8" xfId="20021"/>
    <cellStyle name="Comma 6 3 6" xfId="2019"/>
    <cellStyle name="Comma 6 3 6 2" xfId="15867"/>
    <cellStyle name="Comma 6 3 6 2 2" xfId="25911"/>
    <cellStyle name="Comma 6 3 6 3" xfId="12299"/>
    <cellStyle name="Comma 6 3 6 4" xfId="6824"/>
    <cellStyle name="Comma 6 3 6 5" xfId="20904"/>
    <cellStyle name="Comma 6 3 7" xfId="3438"/>
    <cellStyle name="Comma 6 3 7 2" xfId="16939"/>
    <cellStyle name="Comma 6 3 7 2 2" xfId="27190"/>
    <cellStyle name="Comma 6 3 7 3" xfId="13360"/>
    <cellStyle name="Comma 6 3 7 4" xfId="8103"/>
    <cellStyle name="Comma 6 3 7 5" xfId="22183"/>
    <cellStyle name="Comma 6 3 8" xfId="5664"/>
    <cellStyle name="Comma 6 3 8 2" xfId="14750"/>
    <cellStyle name="Comma 6 3 8 3" xfId="24754"/>
    <cellStyle name="Comma 6 3 9" xfId="9557"/>
    <cellStyle name="Comma 6 3 9 2" xfId="18384"/>
    <cellStyle name="Comma 6 3 9 3" xfId="28635"/>
    <cellStyle name="Comma 6 4" xfId="207"/>
    <cellStyle name="Comma 6 4 10" xfId="10939"/>
    <cellStyle name="Comma 6 4 10 2" xfId="23553"/>
    <cellStyle name="Comma 6 4 11" xfId="4461"/>
    <cellStyle name="Comma 6 4 12" xfId="19685"/>
    <cellStyle name="Comma 6 4 2" xfId="421"/>
    <cellStyle name="Comma 6 4 2 10" xfId="19890"/>
    <cellStyle name="Comma 6 4 2 2" xfId="554"/>
    <cellStyle name="Comma 6 4 2 2 2" xfId="2287"/>
    <cellStyle name="Comma 6 4 2 2 2 2" xfId="16183"/>
    <cellStyle name="Comma 6 4 2 2 2 2 2" xfId="26401"/>
    <cellStyle name="Comma 6 4 2 2 2 3" xfId="12605"/>
    <cellStyle name="Comma 6 4 2 2 2 4" xfId="7314"/>
    <cellStyle name="Comma 6 4 2 2 2 5" xfId="21394"/>
    <cellStyle name="Comma 6 4 2 2 3" xfId="3561"/>
    <cellStyle name="Comma 6 4 2 2 3 2" xfId="17207"/>
    <cellStyle name="Comma 6 4 2 2 3 2 2" xfId="27458"/>
    <cellStyle name="Comma 6 4 2 2 3 3" xfId="13628"/>
    <cellStyle name="Comma 6 4 2 2 3 4" xfId="8371"/>
    <cellStyle name="Comma 6 4 2 2 3 5" xfId="22451"/>
    <cellStyle name="Comma 6 4 2 2 4" xfId="6430"/>
    <cellStyle name="Comma 6 4 2 2 4 2" xfId="15514"/>
    <cellStyle name="Comma 6 4 2 2 4 3" xfId="25518"/>
    <cellStyle name="Comma 6 4 2 2 5" xfId="9825"/>
    <cellStyle name="Comma 6 4 2 2 5 2" xfId="18652"/>
    <cellStyle name="Comma 6 4 2 2 5 3" xfId="28903"/>
    <cellStyle name="Comma 6 4 2 2 6" xfId="11269"/>
    <cellStyle name="Comma 6 4 2 2 6 2" xfId="24000"/>
    <cellStyle name="Comma 6 4 2 2 7" xfId="4908"/>
    <cellStyle name="Comma 6 4 2 2 8" xfId="20511"/>
    <cellStyle name="Comma 6 4 2 3" xfId="913"/>
    <cellStyle name="Comma 6 4 2 3 2" xfId="2635"/>
    <cellStyle name="Comma 6 4 2 3 2 2" xfId="16761"/>
    <cellStyle name="Comma 6 4 2 3 2 2 2" xfId="26980"/>
    <cellStyle name="Comma 6 4 2 3 2 3" xfId="13182"/>
    <cellStyle name="Comma 6 4 2 3 2 4" xfId="7893"/>
    <cellStyle name="Comma 6 4 2 3 2 5" xfId="21973"/>
    <cellStyle name="Comma 6 4 2 3 3" xfId="3909"/>
    <cellStyle name="Comma 6 4 2 3 3 2" xfId="17555"/>
    <cellStyle name="Comma 6 4 2 3 3 2 2" xfId="27806"/>
    <cellStyle name="Comma 6 4 2 3 3 3" xfId="13976"/>
    <cellStyle name="Comma 6 4 2 3 3 4" xfId="8719"/>
    <cellStyle name="Comma 6 4 2 3 3 5" xfId="22799"/>
    <cellStyle name="Comma 6 4 2 3 4" xfId="6300"/>
    <cellStyle name="Comma 6 4 2 3 4 2" xfId="15384"/>
    <cellStyle name="Comma 6 4 2 3 4 3" xfId="25388"/>
    <cellStyle name="Comma 6 4 2 3 5" xfId="10173"/>
    <cellStyle name="Comma 6 4 2 3 5 2" xfId="19000"/>
    <cellStyle name="Comma 6 4 2 3 5 3" xfId="29251"/>
    <cellStyle name="Comma 6 4 2 3 6" xfId="11619"/>
    <cellStyle name="Comma 6 4 2 3 6 2" xfId="24579"/>
    <cellStyle name="Comma 6 4 2 3 7" xfId="5487"/>
    <cellStyle name="Comma 6 4 2 3 8" xfId="20381"/>
    <cellStyle name="Comma 6 4 2 4" xfId="1608"/>
    <cellStyle name="Comma 6 4 2 4 2" xfId="3205"/>
    <cellStyle name="Comma 6 4 2 4 2 2" xfId="18125"/>
    <cellStyle name="Comma 6 4 2 4 2 2 2" xfId="28376"/>
    <cellStyle name="Comma 6 4 2 4 2 3" xfId="14546"/>
    <cellStyle name="Comma 6 4 2 4 2 4" xfId="9289"/>
    <cellStyle name="Comma 6 4 2 4 2 5" xfId="23369"/>
    <cellStyle name="Comma 6 4 2 4 3" xfId="10743"/>
    <cellStyle name="Comma 6 4 2 4 3 2" xfId="19570"/>
    <cellStyle name="Comma 6 4 2 4 3 3" xfId="29821"/>
    <cellStyle name="Comma 6 4 2 4 4" xfId="12189"/>
    <cellStyle name="Comma 6 4 2 4 4 2" xfId="26271"/>
    <cellStyle name="Comma 6 4 2 4 5" xfId="7184"/>
    <cellStyle name="Comma 6 4 2 4 6" xfId="21264"/>
    <cellStyle name="Comma 6 4 2 5" xfId="2162"/>
    <cellStyle name="Comma 6 4 2 5 2" xfId="17082"/>
    <cellStyle name="Comma 6 4 2 5 2 2" xfId="27333"/>
    <cellStyle name="Comma 6 4 2 5 3" xfId="13503"/>
    <cellStyle name="Comma 6 4 2 5 4" xfId="8246"/>
    <cellStyle name="Comma 6 4 2 5 5" xfId="22326"/>
    <cellStyle name="Comma 6 4 2 6" xfId="5807"/>
    <cellStyle name="Comma 6 4 2 6 2" xfId="14893"/>
    <cellStyle name="Comma 6 4 2 6 3" xfId="24897"/>
    <cellStyle name="Comma 6 4 2 7" xfId="9700"/>
    <cellStyle name="Comma 6 4 2 7 2" xfId="18527"/>
    <cellStyle name="Comma 6 4 2 7 3" xfId="28778"/>
    <cellStyle name="Comma 6 4 2 8" xfId="11144"/>
    <cellStyle name="Comma 6 4 2 8 2" xfId="23870"/>
    <cellStyle name="Comma 6 4 2 9" xfId="4778"/>
    <cellStyle name="Comma 6 4 3" xfId="553"/>
    <cellStyle name="Comma 6 4 3 2" xfId="2286"/>
    <cellStyle name="Comma 6 4 3 2 2" xfId="15993"/>
    <cellStyle name="Comma 6 4 3 2 2 2" xfId="26066"/>
    <cellStyle name="Comma 6 4 3 2 3" xfId="10821"/>
    <cellStyle name="Comma 6 4 3 2 4" xfId="6979"/>
    <cellStyle name="Comma 6 4 3 2 5" xfId="21059"/>
    <cellStyle name="Comma 6 4 3 3" xfId="3560"/>
    <cellStyle name="Comma 6 4 3 3 2" xfId="17206"/>
    <cellStyle name="Comma 6 4 3 3 2 2" xfId="27457"/>
    <cellStyle name="Comma 6 4 3 3 3" xfId="13627"/>
    <cellStyle name="Comma 6 4 3 3 4" xfId="8370"/>
    <cellStyle name="Comma 6 4 3 3 5" xfId="22450"/>
    <cellStyle name="Comma 6 4 3 4" xfId="6095"/>
    <cellStyle name="Comma 6 4 3 4 2" xfId="15179"/>
    <cellStyle name="Comma 6 4 3 4 3" xfId="25183"/>
    <cellStyle name="Comma 6 4 3 5" xfId="9824"/>
    <cellStyle name="Comma 6 4 3 5 2" xfId="18651"/>
    <cellStyle name="Comma 6 4 3 5 3" xfId="28902"/>
    <cellStyle name="Comma 6 4 3 6" xfId="11268"/>
    <cellStyle name="Comma 6 4 3 6 2" xfId="23665"/>
    <cellStyle name="Comma 6 4 3 7" xfId="4573"/>
    <cellStyle name="Comma 6 4 3 8" xfId="20176"/>
    <cellStyle name="Comma 6 4 4" xfId="912"/>
    <cellStyle name="Comma 6 4 4 2" xfId="2634"/>
    <cellStyle name="Comma 6 4 4 2 2" xfId="16182"/>
    <cellStyle name="Comma 6 4 4 2 2 2" xfId="26400"/>
    <cellStyle name="Comma 6 4 4 2 3" xfId="12604"/>
    <cellStyle name="Comma 6 4 4 2 4" xfId="7313"/>
    <cellStyle name="Comma 6 4 4 2 5" xfId="21393"/>
    <cellStyle name="Comma 6 4 4 3" xfId="3908"/>
    <cellStyle name="Comma 6 4 4 3 2" xfId="17554"/>
    <cellStyle name="Comma 6 4 4 3 2 2" xfId="27805"/>
    <cellStyle name="Comma 6 4 4 3 3" xfId="13975"/>
    <cellStyle name="Comma 6 4 4 3 4" xfId="8718"/>
    <cellStyle name="Comma 6 4 4 3 5" xfId="22798"/>
    <cellStyle name="Comma 6 4 4 4" xfId="6429"/>
    <cellStyle name="Comma 6 4 4 4 2" xfId="15513"/>
    <cellStyle name="Comma 6 4 4 4 3" xfId="25517"/>
    <cellStyle name="Comma 6 4 4 5" xfId="10172"/>
    <cellStyle name="Comma 6 4 4 5 2" xfId="18999"/>
    <cellStyle name="Comma 6 4 4 5 3" xfId="29250"/>
    <cellStyle name="Comma 6 4 4 6" xfId="11618"/>
    <cellStyle name="Comma 6 4 4 6 2" xfId="23999"/>
    <cellStyle name="Comma 6 4 4 7" xfId="4907"/>
    <cellStyle name="Comma 6 4 4 8" xfId="20510"/>
    <cellStyle name="Comma 6 4 5" xfId="1394"/>
    <cellStyle name="Comma 6 4 5 2" xfId="3000"/>
    <cellStyle name="Comma 6 4 5 2 2" xfId="16556"/>
    <cellStyle name="Comma 6 4 5 2 2 2" xfId="26775"/>
    <cellStyle name="Comma 6 4 5 2 3" xfId="12977"/>
    <cellStyle name="Comma 6 4 5 2 4" xfId="7688"/>
    <cellStyle name="Comma 6 4 5 2 5" xfId="21768"/>
    <cellStyle name="Comma 6 4 5 3" xfId="4214"/>
    <cellStyle name="Comma 6 4 5 3 2" xfId="17920"/>
    <cellStyle name="Comma 6 4 5 3 2 2" xfId="28171"/>
    <cellStyle name="Comma 6 4 5 3 3" xfId="14341"/>
    <cellStyle name="Comma 6 4 5 3 4" xfId="9084"/>
    <cellStyle name="Comma 6 4 5 3 5" xfId="23164"/>
    <cellStyle name="Comma 6 4 5 4" xfId="5981"/>
    <cellStyle name="Comma 6 4 5 4 2" xfId="15067"/>
    <cellStyle name="Comma 6 4 5 4 3" xfId="25071"/>
    <cellStyle name="Comma 6 4 5 5" xfId="10538"/>
    <cellStyle name="Comma 6 4 5 5 2" xfId="19365"/>
    <cellStyle name="Comma 6 4 5 5 3" xfId="29616"/>
    <cellStyle name="Comma 6 4 5 6" xfId="11984"/>
    <cellStyle name="Comma 6 4 5 6 2" xfId="24374"/>
    <cellStyle name="Comma 6 4 5 7" xfId="5282"/>
    <cellStyle name="Comma 6 4 5 8" xfId="20064"/>
    <cellStyle name="Comma 6 4 6" xfId="1957"/>
    <cellStyle name="Comma 6 4 6 2" xfId="15910"/>
    <cellStyle name="Comma 6 4 6 2 2" xfId="25954"/>
    <cellStyle name="Comma 6 4 6 3" xfId="12266"/>
    <cellStyle name="Comma 6 4 6 4" xfId="6867"/>
    <cellStyle name="Comma 6 4 6 5" xfId="20947"/>
    <cellStyle name="Comma 6 4 7" xfId="3377"/>
    <cellStyle name="Comma 6 4 7 2" xfId="16877"/>
    <cellStyle name="Comma 6 4 7 2 2" xfId="27128"/>
    <cellStyle name="Comma 6 4 7 3" xfId="13298"/>
    <cellStyle name="Comma 6 4 7 4" xfId="8041"/>
    <cellStyle name="Comma 6 4 7 5" xfId="22121"/>
    <cellStyle name="Comma 6 4 8" xfId="5602"/>
    <cellStyle name="Comma 6 4 8 2" xfId="14688"/>
    <cellStyle name="Comma 6 4 8 3" xfId="24692"/>
    <cellStyle name="Comma 6 4 9" xfId="9495"/>
    <cellStyle name="Comma 6 4 9 2" xfId="18322"/>
    <cellStyle name="Comma 6 4 9 3" xfId="28573"/>
    <cellStyle name="Comma 6 5" xfId="313"/>
    <cellStyle name="Comma 6 5 10" xfId="19785"/>
    <cellStyle name="Comma 6 5 2" xfId="555"/>
    <cellStyle name="Comma 6 5 2 2" xfId="2288"/>
    <cellStyle name="Comma 6 5 2 2 2" xfId="16184"/>
    <cellStyle name="Comma 6 5 2 2 2 2" xfId="26402"/>
    <cellStyle name="Comma 6 5 2 2 3" xfId="12606"/>
    <cellStyle name="Comma 6 5 2 2 4" xfId="7315"/>
    <cellStyle name="Comma 6 5 2 2 5" xfId="21395"/>
    <cellStyle name="Comma 6 5 2 3" xfId="3562"/>
    <cellStyle name="Comma 6 5 2 3 2" xfId="17208"/>
    <cellStyle name="Comma 6 5 2 3 2 2" xfId="27459"/>
    <cellStyle name="Comma 6 5 2 3 3" xfId="13629"/>
    <cellStyle name="Comma 6 5 2 3 4" xfId="8372"/>
    <cellStyle name="Comma 6 5 2 3 5" xfId="22452"/>
    <cellStyle name="Comma 6 5 2 4" xfId="6431"/>
    <cellStyle name="Comma 6 5 2 4 2" xfId="15515"/>
    <cellStyle name="Comma 6 5 2 4 3" xfId="25519"/>
    <cellStyle name="Comma 6 5 2 5" xfId="9826"/>
    <cellStyle name="Comma 6 5 2 5 2" xfId="18653"/>
    <cellStyle name="Comma 6 5 2 5 3" xfId="28904"/>
    <cellStyle name="Comma 6 5 2 6" xfId="11270"/>
    <cellStyle name="Comma 6 5 2 6 2" xfId="24001"/>
    <cellStyle name="Comma 6 5 2 7" xfId="4909"/>
    <cellStyle name="Comma 6 5 2 8" xfId="20512"/>
    <cellStyle name="Comma 6 5 3" xfId="914"/>
    <cellStyle name="Comma 6 5 3 2" xfId="2636"/>
    <cellStyle name="Comma 6 5 3 2 2" xfId="16656"/>
    <cellStyle name="Comma 6 5 3 2 2 2" xfId="26875"/>
    <cellStyle name="Comma 6 5 3 2 3" xfId="13077"/>
    <cellStyle name="Comma 6 5 3 2 4" xfId="7788"/>
    <cellStyle name="Comma 6 5 3 2 5" xfId="21868"/>
    <cellStyle name="Comma 6 5 3 3" xfId="3910"/>
    <cellStyle name="Comma 6 5 3 3 2" xfId="17556"/>
    <cellStyle name="Comma 6 5 3 3 2 2" xfId="27807"/>
    <cellStyle name="Comma 6 5 3 3 3" xfId="13977"/>
    <cellStyle name="Comma 6 5 3 3 4" xfId="8720"/>
    <cellStyle name="Comma 6 5 3 3 5" xfId="22800"/>
    <cellStyle name="Comma 6 5 3 4" xfId="6195"/>
    <cellStyle name="Comma 6 5 3 4 2" xfId="15279"/>
    <cellStyle name="Comma 6 5 3 4 3" xfId="25283"/>
    <cellStyle name="Comma 6 5 3 5" xfId="10174"/>
    <cellStyle name="Comma 6 5 3 5 2" xfId="19001"/>
    <cellStyle name="Comma 6 5 3 5 3" xfId="29252"/>
    <cellStyle name="Comma 6 5 3 6" xfId="11620"/>
    <cellStyle name="Comma 6 5 3 6 2" xfId="24474"/>
    <cellStyle name="Comma 6 5 3 7" xfId="5382"/>
    <cellStyle name="Comma 6 5 3 8" xfId="20276"/>
    <cellStyle name="Comma 6 5 4" xfId="1500"/>
    <cellStyle name="Comma 6 5 4 2" xfId="3100"/>
    <cellStyle name="Comma 6 5 4 2 2" xfId="18020"/>
    <cellStyle name="Comma 6 5 4 2 2 2" xfId="28271"/>
    <cellStyle name="Comma 6 5 4 2 3" xfId="14441"/>
    <cellStyle name="Comma 6 5 4 2 4" xfId="9184"/>
    <cellStyle name="Comma 6 5 4 2 5" xfId="23264"/>
    <cellStyle name="Comma 6 5 4 3" xfId="10638"/>
    <cellStyle name="Comma 6 5 4 3 2" xfId="19465"/>
    <cellStyle name="Comma 6 5 4 3 3" xfId="29716"/>
    <cellStyle name="Comma 6 5 4 4" xfId="12084"/>
    <cellStyle name="Comma 6 5 4 4 2" xfId="26166"/>
    <cellStyle name="Comma 6 5 4 5" xfId="7079"/>
    <cellStyle name="Comma 6 5 4 6" xfId="21159"/>
    <cellStyle name="Comma 6 5 5" xfId="2057"/>
    <cellStyle name="Comma 6 5 5 2" xfId="16977"/>
    <cellStyle name="Comma 6 5 5 2 2" xfId="27228"/>
    <cellStyle name="Comma 6 5 5 3" xfId="13398"/>
    <cellStyle name="Comma 6 5 5 4" xfId="8141"/>
    <cellStyle name="Comma 6 5 5 5" xfId="22221"/>
    <cellStyle name="Comma 6 5 6" xfId="5702"/>
    <cellStyle name="Comma 6 5 6 2" xfId="14788"/>
    <cellStyle name="Comma 6 5 6 3" xfId="24792"/>
    <cellStyle name="Comma 6 5 7" xfId="9595"/>
    <cellStyle name="Comma 6 5 7 2" xfId="18422"/>
    <cellStyle name="Comma 6 5 7 3" xfId="28673"/>
    <cellStyle name="Comma 6 5 8" xfId="11039"/>
    <cellStyle name="Comma 6 5 8 2" xfId="23765"/>
    <cellStyle name="Comma 6 5 9" xfId="4673"/>
    <cellStyle name="Comma 6 6" xfId="136"/>
    <cellStyle name="Comma 6 6 10" xfId="20113"/>
    <cellStyle name="Comma 6 6 2" xfId="556"/>
    <cellStyle name="Comma 6 6 2 2" xfId="2289"/>
    <cellStyle name="Comma 6 6 2 2 2" xfId="16185"/>
    <cellStyle name="Comma 6 6 2 2 2 2" xfId="26403"/>
    <cellStyle name="Comma 6 6 2 2 3" xfId="12607"/>
    <cellStyle name="Comma 6 6 2 2 4" xfId="7316"/>
    <cellStyle name="Comma 6 6 2 2 5" xfId="21396"/>
    <cellStyle name="Comma 6 6 2 3" xfId="3563"/>
    <cellStyle name="Comma 6 6 2 3 2" xfId="17209"/>
    <cellStyle name="Comma 6 6 2 3 2 2" xfId="27460"/>
    <cellStyle name="Comma 6 6 2 3 3" xfId="13630"/>
    <cellStyle name="Comma 6 6 2 3 4" xfId="8373"/>
    <cellStyle name="Comma 6 6 2 3 5" xfId="22453"/>
    <cellStyle name="Comma 6 6 2 4" xfId="6432"/>
    <cellStyle name="Comma 6 6 2 4 2" xfId="15516"/>
    <cellStyle name="Comma 6 6 2 4 3" xfId="25520"/>
    <cellStyle name="Comma 6 6 2 5" xfId="9827"/>
    <cellStyle name="Comma 6 6 2 5 2" xfId="18654"/>
    <cellStyle name="Comma 6 6 2 5 3" xfId="28905"/>
    <cellStyle name="Comma 6 6 2 6" xfId="11271"/>
    <cellStyle name="Comma 6 6 2 6 2" xfId="24002"/>
    <cellStyle name="Comma 6 6 2 7" xfId="4910"/>
    <cellStyle name="Comma 6 6 2 8" xfId="20513"/>
    <cellStyle name="Comma 6 6 3" xfId="915"/>
    <cellStyle name="Comma 6 6 3 2" xfId="2637"/>
    <cellStyle name="Comma 6 6 3 2 2" xfId="16493"/>
    <cellStyle name="Comma 6 6 3 2 2 2" xfId="26712"/>
    <cellStyle name="Comma 6 6 3 2 3" xfId="12915"/>
    <cellStyle name="Comma 6 6 3 2 4" xfId="7625"/>
    <cellStyle name="Comma 6 6 3 2 5" xfId="21705"/>
    <cellStyle name="Comma 6 6 3 3" xfId="3911"/>
    <cellStyle name="Comma 6 6 3 3 2" xfId="17557"/>
    <cellStyle name="Comma 6 6 3 3 2 2" xfId="27808"/>
    <cellStyle name="Comma 6 6 3 3 3" xfId="13978"/>
    <cellStyle name="Comma 6 6 3 3 4" xfId="8721"/>
    <cellStyle name="Comma 6 6 3 3 5" xfId="22801"/>
    <cellStyle name="Comma 6 6 3 4" xfId="6730"/>
    <cellStyle name="Comma 6 6 3 4 2" xfId="15813"/>
    <cellStyle name="Comma 6 6 3 4 3" xfId="25817"/>
    <cellStyle name="Comma 6 6 3 5" xfId="10175"/>
    <cellStyle name="Comma 6 6 3 5 2" xfId="19002"/>
    <cellStyle name="Comma 6 6 3 5 3" xfId="29253"/>
    <cellStyle name="Comma 6 6 3 6" xfId="11621"/>
    <cellStyle name="Comma 6 6 3 6 2" xfId="24311"/>
    <cellStyle name="Comma 6 6 3 7" xfId="5219"/>
    <cellStyle name="Comma 6 6 3 8" xfId="20810"/>
    <cellStyle name="Comma 6 6 4" xfId="1323"/>
    <cellStyle name="Comma 6 6 4 2" xfId="2937"/>
    <cellStyle name="Comma 6 6 4 2 2" xfId="17857"/>
    <cellStyle name="Comma 6 6 4 2 2 2" xfId="28108"/>
    <cellStyle name="Comma 6 6 4 2 3" xfId="14278"/>
    <cellStyle name="Comma 6 6 4 2 4" xfId="9021"/>
    <cellStyle name="Comma 6 6 4 2 5" xfId="23101"/>
    <cellStyle name="Comma 6 6 4 3" xfId="10475"/>
    <cellStyle name="Comma 6 6 4 3 2" xfId="19302"/>
    <cellStyle name="Comma 6 6 4 3 3" xfId="29553"/>
    <cellStyle name="Comma 6 6 4 4" xfId="11921"/>
    <cellStyle name="Comma 6 6 4 4 2" xfId="26003"/>
    <cellStyle name="Comma 6 6 4 5" xfId="6916"/>
    <cellStyle name="Comma 6 6 4 6" xfId="20996"/>
    <cellStyle name="Comma 6 6 5" xfId="1894"/>
    <cellStyle name="Comma 6 6 5 2" xfId="16812"/>
    <cellStyle name="Comma 6 6 5 2 2" xfId="27063"/>
    <cellStyle name="Comma 6 6 5 3" xfId="13233"/>
    <cellStyle name="Comma 6 6 5 4" xfId="7976"/>
    <cellStyle name="Comma 6 6 5 5" xfId="22056"/>
    <cellStyle name="Comma 6 6 6" xfId="6032"/>
    <cellStyle name="Comma 6 6 6 2" xfId="15116"/>
    <cellStyle name="Comma 6 6 6 3" xfId="25120"/>
    <cellStyle name="Comma 6 6 7" xfId="9432"/>
    <cellStyle name="Comma 6 6 7 2" xfId="18259"/>
    <cellStyle name="Comma 6 6 7 3" xfId="28510"/>
    <cellStyle name="Comma 6 6 8" xfId="10876"/>
    <cellStyle name="Comma 6 6 8 2" xfId="23602"/>
    <cellStyle name="Comma 6 6 9" xfId="4510"/>
    <cellStyle name="Comma 6 7" xfId="545"/>
    <cellStyle name="Comma 6 7 2" xfId="2278"/>
    <cellStyle name="Comma 6 7 2 2" xfId="16174"/>
    <cellStyle name="Comma 6 7 2 2 2" xfId="26392"/>
    <cellStyle name="Comma 6 7 2 3" xfId="12596"/>
    <cellStyle name="Comma 6 7 2 4" xfId="7305"/>
    <cellStyle name="Comma 6 7 2 5" xfId="21385"/>
    <cellStyle name="Comma 6 7 3" xfId="3552"/>
    <cellStyle name="Comma 6 7 3 2" xfId="17198"/>
    <cellStyle name="Comma 6 7 3 2 2" xfId="27449"/>
    <cellStyle name="Comma 6 7 3 3" xfId="13619"/>
    <cellStyle name="Comma 6 7 3 4" xfId="8362"/>
    <cellStyle name="Comma 6 7 3 5" xfId="22442"/>
    <cellStyle name="Comma 6 7 4" xfId="6421"/>
    <cellStyle name="Comma 6 7 4 2" xfId="15505"/>
    <cellStyle name="Comma 6 7 4 3" xfId="25509"/>
    <cellStyle name="Comma 6 7 5" xfId="9816"/>
    <cellStyle name="Comma 6 7 5 2" xfId="18643"/>
    <cellStyle name="Comma 6 7 5 3" xfId="28894"/>
    <cellStyle name="Comma 6 7 6" xfId="11260"/>
    <cellStyle name="Comma 6 7 6 2" xfId="23991"/>
    <cellStyle name="Comma 6 7 7" xfId="4899"/>
    <cellStyle name="Comma 6 7 8" xfId="20502"/>
    <cellStyle name="Comma 6 8" xfId="904"/>
    <cellStyle name="Comma 6 8 2" xfId="2626"/>
    <cellStyle name="Comma 6 8 2 2" xfId="16473"/>
    <cellStyle name="Comma 6 8 2 2 2" xfId="26692"/>
    <cellStyle name="Comma 6 8 2 3" xfId="12895"/>
    <cellStyle name="Comma 6 8 2 4" xfId="7605"/>
    <cellStyle name="Comma 6 8 2 5" xfId="21685"/>
    <cellStyle name="Comma 6 8 3" xfId="3900"/>
    <cellStyle name="Comma 6 8 3 2" xfId="17546"/>
    <cellStyle name="Comma 6 8 3 2 2" xfId="27797"/>
    <cellStyle name="Comma 6 8 3 3" xfId="13967"/>
    <cellStyle name="Comma 6 8 3 4" xfId="8710"/>
    <cellStyle name="Comma 6 8 3 5" xfId="22790"/>
    <cellStyle name="Comma 6 8 4" xfId="5875"/>
    <cellStyle name="Comma 6 8 4 2" xfId="14961"/>
    <cellStyle name="Comma 6 8 4 3" xfId="24965"/>
    <cellStyle name="Comma 6 8 5" xfId="10164"/>
    <cellStyle name="Comma 6 8 5 2" xfId="18991"/>
    <cellStyle name="Comma 6 8 5 3" xfId="29242"/>
    <cellStyle name="Comma 6 8 6" xfId="11610"/>
    <cellStyle name="Comma 6 8 6 2" xfId="24291"/>
    <cellStyle name="Comma 6 8 7" xfId="5199"/>
    <cellStyle name="Comma 6 8 8" xfId="19958"/>
    <cellStyle name="Comma 6 9" xfId="1277"/>
    <cellStyle name="Comma 6 9 2" xfId="2917"/>
    <cellStyle name="Comma 6 9 2 2" xfId="17837"/>
    <cellStyle name="Comma 6 9 2 2 2" xfId="28088"/>
    <cellStyle name="Comma 6 9 2 3" xfId="14258"/>
    <cellStyle name="Comma 6 9 2 4" xfId="9001"/>
    <cellStyle name="Comma 6 9 2 5" xfId="23081"/>
    <cellStyle name="Comma 6 9 3" xfId="10455"/>
    <cellStyle name="Comma 6 9 3 2" xfId="19282"/>
    <cellStyle name="Comma 6 9 3 3" xfId="29533"/>
    <cellStyle name="Comma 6 9 4" xfId="11901"/>
    <cellStyle name="Comma 6 9 4 2" xfId="25848"/>
    <cellStyle name="Comma 6 9 5" xfId="6761"/>
    <cellStyle name="Comma 6 9 6" xfId="20841"/>
    <cellStyle name="Comma 7" xfId="95"/>
    <cellStyle name="Explanatory Text 2" xfId="1812"/>
    <cellStyle name="Good 2" xfId="1814"/>
    <cellStyle name="Heading 1 2" xfId="1845"/>
    <cellStyle name="Heading 2 2" xfId="3276"/>
    <cellStyle name="Heading 3 2" xfId="3256"/>
    <cellStyle name="Heading 4 2" xfId="3316"/>
    <cellStyle name="Input 2" xfId="3271"/>
    <cellStyle name="Input 3" xfId="3313"/>
    <cellStyle name="Linked Cell 2" xfId="3288"/>
    <cellStyle name="Neutral 2" xfId="3305"/>
    <cellStyle name="Normal" xfId="0" builtinId="0"/>
    <cellStyle name="Normal 10" xfId="54"/>
    <cellStyle name="Normal 10 10" xfId="1817"/>
    <cellStyle name="Normal 10 10 2" xfId="18187"/>
    <cellStyle name="Normal 10 10 3" xfId="9360"/>
    <cellStyle name="Normal 10 10 4" xfId="28438"/>
    <cellStyle name="Normal 10 11" xfId="3304"/>
    <cellStyle name="Normal 10 11 2" xfId="10798"/>
    <cellStyle name="Normal 10 2" xfId="127"/>
    <cellStyle name="Normal 10 2 10" xfId="1885"/>
    <cellStyle name="Normal 10 2 10 2" xfId="9423"/>
    <cellStyle name="Normal 10 2 10 2 2" xfId="18250"/>
    <cellStyle name="Normal 10 2 10 2 3" xfId="28501"/>
    <cellStyle name="Normal 10 2 10 3" xfId="10867"/>
    <cellStyle name="Normal 10 2 10 3 2" xfId="27054"/>
    <cellStyle name="Normal 10 2 10 4" xfId="7967"/>
    <cellStyle name="Normal 10 2 10 5" xfId="22047"/>
    <cellStyle name="Normal 10 2 11" xfId="1821"/>
    <cellStyle name="Normal 10 2 11 2" xfId="14636"/>
    <cellStyle name="Normal 10 2 11 3" xfId="5550"/>
    <cellStyle name="Normal 10 2 11 4" xfId="24640"/>
    <cellStyle name="Normal 10 2 12" xfId="9364"/>
    <cellStyle name="Normal 10 2 12 2" xfId="18191"/>
    <cellStyle name="Normal 10 2 12 3" xfId="28442"/>
    <cellStyle name="Normal 10 2 13" xfId="10803"/>
    <cellStyle name="Normal 10 2 13 2" xfId="23441"/>
    <cellStyle name="Normal 10 2 14" xfId="4349"/>
    <cellStyle name="Normal 10 2 15" xfId="19633"/>
    <cellStyle name="Normal 10 2 2" xfId="176"/>
    <cellStyle name="Normal 10 2 2 10" xfId="5575"/>
    <cellStyle name="Normal 10 2 2 10 2" xfId="14661"/>
    <cellStyle name="Normal 10 2 2 10 3" xfId="24665"/>
    <cellStyle name="Normal 10 2 2 11" xfId="9393"/>
    <cellStyle name="Normal 10 2 2 11 2" xfId="18220"/>
    <cellStyle name="Normal 10 2 2 11 3" xfId="28471"/>
    <cellStyle name="Normal 10 2 2 12" xfId="10837"/>
    <cellStyle name="Normal 10 2 2 12 2" xfId="23478"/>
    <cellStyle name="Normal 10 2 2 13" xfId="4386"/>
    <cellStyle name="Normal 10 2 2 14" xfId="19658"/>
    <cellStyle name="Normal 10 2 2 2" xfId="286"/>
    <cellStyle name="Normal 10 2 2 2 10" xfId="11012"/>
    <cellStyle name="Normal 10 2 2 2 10 2" xfId="23521"/>
    <cellStyle name="Normal 10 2 2 2 11" xfId="4429"/>
    <cellStyle name="Normal 10 2 2 2 12" xfId="19758"/>
    <cellStyle name="Normal 10 2 2 2 2" xfId="388"/>
    <cellStyle name="Normal 10 2 2 2 2 10" xfId="19858"/>
    <cellStyle name="Normal 10 2 2 2 2 2" xfId="561"/>
    <cellStyle name="Normal 10 2 2 2 2 2 2" xfId="2294"/>
    <cellStyle name="Normal 10 2 2 2 2 2 2 2" xfId="16190"/>
    <cellStyle name="Normal 10 2 2 2 2 2 2 2 2" xfId="26408"/>
    <cellStyle name="Normal 10 2 2 2 2 2 2 3" xfId="12612"/>
    <cellStyle name="Normal 10 2 2 2 2 2 2 4" xfId="7321"/>
    <cellStyle name="Normal 10 2 2 2 2 2 2 5" xfId="21401"/>
    <cellStyle name="Normal 10 2 2 2 2 2 3" xfId="3568"/>
    <cellStyle name="Normal 10 2 2 2 2 2 3 2" xfId="17214"/>
    <cellStyle name="Normal 10 2 2 2 2 2 3 2 2" xfId="27465"/>
    <cellStyle name="Normal 10 2 2 2 2 2 3 3" xfId="13635"/>
    <cellStyle name="Normal 10 2 2 2 2 2 3 4" xfId="8378"/>
    <cellStyle name="Normal 10 2 2 2 2 2 3 5" xfId="22458"/>
    <cellStyle name="Normal 10 2 2 2 2 2 4" xfId="6437"/>
    <cellStyle name="Normal 10 2 2 2 2 2 4 2" xfId="15521"/>
    <cellStyle name="Normal 10 2 2 2 2 2 4 3" xfId="25525"/>
    <cellStyle name="Normal 10 2 2 2 2 2 5" xfId="9832"/>
    <cellStyle name="Normal 10 2 2 2 2 2 5 2" xfId="18659"/>
    <cellStyle name="Normal 10 2 2 2 2 2 5 3" xfId="28910"/>
    <cellStyle name="Normal 10 2 2 2 2 2 6" xfId="11276"/>
    <cellStyle name="Normal 10 2 2 2 2 2 6 2" xfId="24007"/>
    <cellStyle name="Normal 10 2 2 2 2 2 7" xfId="4915"/>
    <cellStyle name="Normal 10 2 2 2 2 2 8" xfId="20518"/>
    <cellStyle name="Normal 10 2 2 2 2 3" xfId="920"/>
    <cellStyle name="Normal 10 2 2 2 2 3 2" xfId="2642"/>
    <cellStyle name="Normal 10 2 2 2 2 3 2 2" xfId="16729"/>
    <cellStyle name="Normal 10 2 2 2 2 3 2 2 2" xfId="26948"/>
    <cellStyle name="Normal 10 2 2 2 2 3 2 3" xfId="13150"/>
    <cellStyle name="Normal 10 2 2 2 2 3 2 4" xfId="7861"/>
    <cellStyle name="Normal 10 2 2 2 2 3 2 5" xfId="21941"/>
    <cellStyle name="Normal 10 2 2 2 2 3 3" xfId="3916"/>
    <cellStyle name="Normal 10 2 2 2 2 3 3 2" xfId="17562"/>
    <cellStyle name="Normal 10 2 2 2 2 3 3 2 2" xfId="27813"/>
    <cellStyle name="Normal 10 2 2 2 2 3 3 3" xfId="13983"/>
    <cellStyle name="Normal 10 2 2 2 2 3 3 4" xfId="8726"/>
    <cellStyle name="Normal 10 2 2 2 2 3 3 5" xfId="22806"/>
    <cellStyle name="Normal 10 2 2 2 2 3 4" xfId="6268"/>
    <cellStyle name="Normal 10 2 2 2 2 3 4 2" xfId="15352"/>
    <cellStyle name="Normal 10 2 2 2 2 3 4 3" xfId="25356"/>
    <cellStyle name="Normal 10 2 2 2 2 3 5" xfId="10180"/>
    <cellStyle name="Normal 10 2 2 2 2 3 5 2" xfId="19007"/>
    <cellStyle name="Normal 10 2 2 2 2 3 5 3" xfId="29258"/>
    <cellStyle name="Normal 10 2 2 2 2 3 6" xfId="11626"/>
    <cellStyle name="Normal 10 2 2 2 2 3 6 2" xfId="24547"/>
    <cellStyle name="Normal 10 2 2 2 2 3 7" xfId="5455"/>
    <cellStyle name="Normal 10 2 2 2 2 3 8" xfId="20349"/>
    <cellStyle name="Normal 10 2 2 2 2 4" xfId="1575"/>
    <cellStyle name="Normal 10 2 2 2 2 4 2" xfId="3173"/>
    <cellStyle name="Normal 10 2 2 2 2 4 2 2" xfId="18093"/>
    <cellStyle name="Normal 10 2 2 2 2 4 2 2 2" xfId="28344"/>
    <cellStyle name="Normal 10 2 2 2 2 4 2 3" xfId="14514"/>
    <cellStyle name="Normal 10 2 2 2 2 4 2 4" xfId="9257"/>
    <cellStyle name="Normal 10 2 2 2 2 4 2 5" xfId="23337"/>
    <cellStyle name="Normal 10 2 2 2 2 4 3" xfId="10711"/>
    <cellStyle name="Normal 10 2 2 2 2 4 3 2" xfId="19538"/>
    <cellStyle name="Normal 10 2 2 2 2 4 3 3" xfId="29789"/>
    <cellStyle name="Normal 10 2 2 2 2 4 4" xfId="12157"/>
    <cellStyle name="Normal 10 2 2 2 2 4 4 2" xfId="26239"/>
    <cellStyle name="Normal 10 2 2 2 2 4 5" xfId="7152"/>
    <cellStyle name="Normal 10 2 2 2 2 4 6" xfId="21232"/>
    <cellStyle name="Normal 10 2 2 2 2 5" xfId="2130"/>
    <cellStyle name="Normal 10 2 2 2 2 5 2" xfId="17050"/>
    <cellStyle name="Normal 10 2 2 2 2 5 2 2" xfId="27301"/>
    <cellStyle name="Normal 10 2 2 2 2 5 3" xfId="13471"/>
    <cellStyle name="Normal 10 2 2 2 2 5 4" xfId="8214"/>
    <cellStyle name="Normal 10 2 2 2 2 5 5" xfId="22294"/>
    <cellStyle name="Normal 10 2 2 2 2 6" xfId="5775"/>
    <cellStyle name="Normal 10 2 2 2 2 6 2" xfId="14861"/>
    <cellStyle name="Normal 10 2 2 2 2 6 3" xfId="24865"/>
    <cellStyle name="Normal 10 2 2 2 2 7" xfId="9668"/>
    <cellStyle name="Normal 10 2 2 2 2 7 2" xfId="18495"/>
    <cellStyle name="Normal 10 2 2 2 2 7 3" xfId="28746"/>
    <cellStyle name="Normal 10 2 2 2 2 8" xfId="11112"/>
    <cellStyle name="Normal 10 2 2 2 2 8 2" xfId="23838"/>
    <cellStyle name="Normal 10 2 2 2 2 9" xfId="4746"/>
    <cellStyle name="Normal 10 2 2 2 2_Degree data" xfId="1246"/>
    <cellStyle name="Normal 10 2 2 2 3" xfId="560"/>
    <cellStyle name="Normal 10 2 2 2 3 2" xfId="2293"/>
    <cellStyle name="Normal 10 2 2 2 3 2 2" xfId="16066"/>
    <cellStyle name="Normal 10 2 2 2 3 2 2 2" xfId="26139"/>
    <cellStyle name="Normal 10 2 2 2 3 2 3" xfId="12304"/>
    <cellStyle name="Normal 10 2 2 2 3 2 4" xfId="7052"/>
    <cellStyle name="Normal 10 2 2 2 3 2 5" xfId="21132"/>
    <cellStyle name="Normal 10 2 2 2 3 3" xfId="3567"/>
    <cellStyle name="Normal 10 2 2 2 3 3 2" xfId="17213"/>
    <cellStyle name="Normal 10 2 2 2 3 3 2 2" xfId="27464"/>
    <cellStyle name="Normal 10 2 2 2 3 3 3" xfId="13634"/>
    <cellStyle name="Normal 10 2 2 2 3 3 4" xfId="8377"/>
    <cellStyle name="Normal 10 2 2 2 3 3 5" xfId="22457"/>
    <cellStyle name="Normal 10 2 2 2 3 4" xfId="6168"/>
    <cellStyle name="Normal 10 2 2 2 3 4 2" xfId="15252"/>
    <cellStyle name="Normal 10 2 2 2 3 4 3" xfId="25256"/>
    <cellStyle name="Normal 10 2 2 2 3 5" xfId="9831"/>
    <cellStyle name="Normal 10 2 2 2 3 5 2" xfId="18658"/>
    <cellStyle name="Normal 10 2 2 2 3 5 3" xfId="28909"/>
    <cellStyle name="Normal 10 2 2 2 3 6" xfId="11275"/>
    <cellStyle name="Normal 10 2 2 2 3 6 2" xfId="23738"/>
    <cellStyle name="Normal 10 2 2 2 3 7" xfId="4646"/>
    <cellStyle name="Normal 10 2 2 2 3 8" xfId="20249"/>
    <cellStyle name="Normal 10 2 2 2 4" xfId="919"/>
    <cellStyle name="Normal 10 2 2 2 4 2" xfId="2641"/>
    <cellStyle name="Normal 10 2 2 2 4 2 2" xfId="16189"/>
    <cellStyle name="Normal 10 2 2 2 4 2 2 2" xfId="26407"/>
    <cellStyle name="Normal 10 2 2 2 4 2 3" xfId="12611"/>
    <cellStyle name="Normal 10 2 2 2 4 2 4" xfId="7320"/>
    <cellStyle name="Normal 10 2 2 2 4 2 5" xfId="21400"/>
    <cellStyle name="Normal 10 2 2 2 4 3" xfId="3915"/>
    <cellStyle name="Normal 10 2 2 2 4 3 2" xfId="17561"/>
    <cellStyle name="Normal 10 2 2 2 4 3 2 2" xfId="27812"/>
    <cellStyle name="Normal 10 2 2 2 4 3 3" xfId="13982"/>
    <cellStyle name="Normal 10 2 2 2 4 3 4" xfId="8725"/>
    <cellStyle name="Normal 10 2 2 2 4 3 5" xfId="22805"/>
    <cellStyle name="Normal 10 2 2 2 4 4" xfId="6436"/>
    <cellStyle name="Normal 10 2 2 2 4 4 2" xfId="15520"/>
    <cellStyle name="Normal 10 2 2 2 4 4 3" xfId="25524"/>
    <cellStyle name="Normal 10 2 2 2 4 5" xfId="10179"/>
    <cellStyle name="Normal 10 2 2 2 4 5 2" xfId="19006"/>
    <cellStyle name="Normal 10 2 2 2 4 5 3" xfId="29257"/>
    <cellStyle name="Normal 10 2 2 2 4 6" xfId="11625"/>
    <cellStyle name="Normal 10 2 2 2 4 6 2" xfId="24006"/>
    <cellStyle name="Normal 10 2 2 2 4 7" xfId="4914"/>
    <cellStyle name="Normal 10 2 2 2 4 8" xfId="20517"/>
    <cellStyle name="Normal 10 2 2 2 5" xfId="1473"/>
    <cellStyle name="Normal 10 2 2 2 5 2" xfId="3073"/>
    <cellStyle name="Normal 10 2 2 2 5 2 2" xfId="16629"/>
    <cellStyle name="Normal 10 2 2 2 5 2 2 2" xfId="26848"/>
    <cellStyle name="Normal 10 2 2 2 5 2 3" xfId="13050"/>
    <cellStyle name="Normal 10 2 2 2 5 2 4" xfId="7761"/>
    <cellStyle name="Normal 10 2 2 2 5 2 5" xfId="21841"/>
    <cellStyle name="Normal 10 2 2 2 5 3" xfId="4287"/>
    <cellStyle name="Normal 10 2 2 2 5 3 2" xfId="17993"/>
    <cellStyle name="Normal 10 2 2 2 5 3 2 2" xfId="28244"/>
    <cellStyle name="Normal 10 2 2 2 5 3 3" xfId="14414"/>
    <cellStyle name="Normal 10 2 2 2 5 3 4" xfId="9157"/>
    <cellStyle name="Normal 10 2 2 2 5 3 5" xfId="23237"/>
    <cellStyle name="Normal 10 2 2 2 5 4" xfId="5949"/>
    <cellStyle name="Normal 10 2 2 2 5 4 2" xfId="15035"/>
    <cellStyle name="Normal 10 2 2 2 5 4 3" xfId="25039"/>
    <cellStyle name="Normal 10 2 2 2 5 5" xfId="10611"/>
    <cellStyle name="Normal 10 2 2 2 5 5 2" xfId="19438"/>
    <cellStyle name="Normal 10 2 2 2 5 5 3" xfId="29689"/>
    <cellStyle name="Normal 10 2 2 2 5 6" xfId="12057"/>
    <cellStyle name="Normal 10 2 2 2 5 6 2" xfId="24447"/>
    <cellStyle name="Normal 10 2 2 2 5 7" xfId="5355"/>
    <cellStyle name="Normal 10 2 2 2 5 8" xfId="20032"/>
    <cellStyle name="Normal 10 2 2 2 6" xfId="2030"/>
    <cellStyle name="Normal 10 2 2 2 6 2" xfId="15878"/>
    <cellStyle name="Normal 10 2 2 2 6 2 2" xfId="25922"/>
    <cellStyle name="Normal 10 2 2 2 6 3" xfId="12268"/>
    <cellStyle name="Normal 10 2 2 2 6 4" xfId="6835"/>
    <cellStyle name="Normal 10 2 2 2 6 5" xfId="20915"/>
    <cellStyle name="Normal 10 2 2 2 7" xfId="3449"/>
    <cellStyle name="Normal 10 2 2 2 7 2" xfId="16950"/>
    <cellStyle name="Normal 10 2 2 2 7 2 2" xfId="27201"/>
    <cellStyle name="Normal 10 2 2 2 7 3" xfId="13371"/>
    <cellStyle name="Normal 10 2 2 2 7 4" xfId="8114"/>
    <cellStyle name="Normal 10 2 2 2 7 5" xfId="22194"/>
    <cellStyle name="Normal 10 2 2 2 8" xfId="5675"/>
    <cellStyle name="Normal 10 2 2 2 8 2" xfId="14761"/>
    <cellStyle name="Normal 10 2 2 2 8 3" xfId="24765"/>
    <cellStyle name="Normal 10 2 2 2 9" xfId="9568"/>
    <cellStyle name="Normal 10 2 2 2 9 2" xfId="18395"/>
    <cellStyle name="Normal 10 2 2 2 9 3" xfId="28646"/>
    <cellStyle name="Normal 10 2 2 2_Degree data" xfId="1243"/>
    <cellStyle name="Normal 10 2 2 3" xfId="241"/>
    <cellStyle name="Normal 10 2 2 3 10" xfId="10969"/>
    <cellStyle name="Normal 10 2 2 3 10 2" xfId="23582"/>
    <cellStyle name="Normal 10 2 2 3 11" xfId="4490"/>
    <cellStyle name="Normal 10 2 2 3 12" xfId="19715"/>
    <cellStyle name="Normal 10 2 2 3 2" xfId="450"/>
    <cellStyle name="Normal 10 2 2 3 2 10" xfId="19919"/>
    <cellStyle name="Normal 10 2 2 3 2 2" xfId="563"/>
    <cellStyle name="Normal 10 2 2 3 2 2 2" xfId="2296"/>
    <cellStyle name="Normal 10 2 2 3 2 2 2 2" xfId="16192"/>
    <cellStyle name="Normal 10 2 2 3 2 2 2 2 2" xfId="26410"/>
    <cellStyle name="Normal 10 2 2 3 2 2 2 3" xfId="12614"/>
    <cellStyle name="Normal 10 2 2 3 2 2 2 4" xfId="7323"/>
    <cellStyle name="Normal 10 2 2 3 2 2 2 5" xfId="21403"/>
    <cellStyle name="Normal 10 2 2 3 2 2 3" xfId="3570"/>
    <cellStyle name="Normal 10 2 2 3 2 2 3 2" xfId="17216"/>
    <cellStyle name="Normal 10 2 2 3 2 2 3 2 2" xfId="27467"/>
    <cellStyle name="Normal 10 2 2 3 2 2 3 3" xfId="13637"/>
    <cellStyle name="Normal 10 2 2 3 2 2 3 4" xfId="8380"/>
    <cellStyle name="Normal 10 2 2 3 2 2 3 5" xfId="22460"/>
    <cellStyle name="Normal 10 2 2 3 2 2 4" xfId="6439"/>
    <cellStyle name="Normal 10 2 2 3 2 2 4 2" xfId="15523"/>
    <cellStyle name="Normal 10 2 2 3 2 2 4 3" xfId="25527"/>
    <cellStyle name="Normal 10 2 2 3 2 2 5" xfId="9834"/>
    <cellStyle name="Normal 10 2 2 3 2 2 5 2" xfId="18661"/>
    <cellStyle name="Normal 10 2 2 3 2 2 5 3" xfId="28912"/>
    <cellStyle name="Normal 10 2 2 3 2 2 6" xfId="11278"/>
    <cellStyle name="Normal 10 2 2 3 2 2 6 2" xfId="24009"/>
    <cellStyle name="Normal 10 2 2 3 2 2 7" xfId="4917"/>
    <cellStyle name="Normal 10 2 2 3 2 2 8" xfId="20520"/>
    <cellStyle name="Normal 10 2 2 3 2 3" xfId="922"/>
    <cellStyle name="Normal 10 2 2 3 2 3 2" xfId="2644"/>
    <cellStyle name="Normal 10 2 2 3 2 3 2 2" xfId="16790"/>
    <cellStyle name="Normal 10 2 2 3 2 3 2 2 2" xfId="27009"/>
    <cellStyle name="Normal 10 2 2 3 2 3 2 3" xfId="13211"/>
    <cellStyle name="Normal 10 2 2 3 2 3 2 4" xfId="7922"/>
    <cellStyle name="Normal 10 2 2 3 2 3 2 5" xfId="22002"/>
    <cellStyle name="Normal 10 2 2 3 2 3 3" xfId="3918"/>
    <cellStyle name="Normal 10 2 2 3 2 3 3 2" xfId="17564"/>
    <cellStyle name="Normal 10 2 2 3 2 3 3 2 2" xfId="27815"/>
    <cellStyle name="Normal 10 2 2 3 2 3 3 3" xfId="13985"/>
    <cellStyle name="Normal 10 2 2 3 2 3 3 4" xfId="8728"/>
    <cellStyle name="Normal 10 2 2 3 2 3 3 5" xfId="22808"/>
    <cellStyle name="Normal 10 2 2 3 2 3 4" xfId="6329"/>
    <cellStyle name="Normal 10 2 2 3 2 3 4 2" xfId="15413"/>
    <cellStyle name="Normal 10 2 2 3 2 3 4 3" xfId="25417"/>
    <cellStyle name="Normal 10 2 2 3 2 3 5" xfId="10182"/>
    <cellStyle name="Normal 10 2 2 3 2 3 5 2" xfId="19009"/>
    <cellStyle name="Normal 10 2 2 3 2 3 5 3" xfId="29260"/>
    <cellStyle name="Normal 10 2 2 3 2 3 6" xfId="11628"/>
    <cellStyle name="Normal 10 2 2 3 2 3 6 2" xfId="24608"/>
    <cellStyle name="Normal 10 2 2 3 2 3 7" xfId="5516"/>
    <cellStyle name="Normal 10 2 2 3 2 3 8" xfId="20410"/>
    <cellStyle name="Normal 10 2 2 3 2 4" xfId="1637"/>
    <cellStyle name="Normal 10 2 2 3 2 4 2" xfId="3234"/>
    <cellStyle name="Normal 10 2 2 3 2 4 2 2" xfId="18154"/>
    <cellStyle name="Normal 10 2 2 3 2 4 2 2 2" xfId="28405"/>
    <cellStyle name="Normal 10 2 2 3 2 4 2 3" xfId="14575"/>
    <cellStyle name="Normal 10 2 2 3 2 4 2 4" xfId="9318"/>
    <cellStyle name="Normal 10 2 2 3 2 4 2 5" xfId="23398"/>
    <cellStyle name="Normal 10 2 2 3 2 4 3" xfId="10772"/>
    <cellStyle name="Normal 10 2 2 3 2 4 3 2" xfId="19599"/>
    <cellStyle name="Normal 10 2 2 3 2 4 3 3" xfId="29850"/>
    <cellStyle name="Normal 10 2 2 3 2 4 4" xfId="12218"/>
    <cellStyle name="Normal 10 2 2 3 2 4 4 2" xfId="26300"/>
    <cellStyle name="Normal 10 2 2 3 2 4 5" xfId="7213"/>
    <cellStyle name="Normal 10 2 2 3 2 4 6" xfId="21293"/>
    <cellStyle name="Normal 10 2 2 3 2 5" xfId="2191"/>
    <cellStyle name="Normal 10 2 2 3 2 5 2" xfId="17111"/>
    <cellStyle name="Normal 10 2 2 3 2 5 2 2" xfId="27362"/>
    <cellStyle name="Normal 10 2 2 3 2 5 3" xfId="13532"/>
    <cellStyle name="Normal 10 2 2 3 2 5 4" xfId="8275"/>
    <cellStyle name="Normal 10 2 2 3 2 5 5" xfId="22355"/>
    <cellStyle name="Normal 10 2 2 3 2 6" xfId="5836"/>
    <cellStyle name="Normal 10 2 2 3 2 6 2" xfId="14922"/>
    <cellStyle name="Normal 10 2 2 3 2 6 3" xfId="24926"/>
    <cellStyle name="Normal 10 2 2 3 2 7" xfId="9729"/>
    <cellStyle name="Normal 10 2 2 3 2 7 2" xfId="18556"/>
    <cellStyle name="Normal 10 2 2 3 2 7 3" xfId="28807"/>
    <cellStyle name="Normal 10 2 2 3 2 8" xfId="11173"/>
    <cellStyle name="Normal 10 2 2 3 2 8 2" xfId="23899"/>
    <cellStyle name="Normal 10 2 2 3 2 9" xfId="4807"/>
    <cellStyle name="Normal 10 2 2 3 2_Degree data" xfId="1357"/>
    <cellStyle name="Normal 10 2 2 3 3" xfId="562"/>
    <cellStyle name="Normal 10 2 2 3 3 2" xfId="2295"/>
    <cellStyle name="Normal 10 2 2 3 3 2 2" xfId="16023"/>
    <cellStyle name="Normal 10 2 2 3 3 2 2 2" xfId="26096"/>
    <cellStyle name="Normal 10 2 2 3 3 2 3" xfId="12315"/>
    <cellStyle name="Normal 10 2 2 3 3 2 4" xfId="7009"/>
    <cellStyle name="Normal 10 2 2 3 3 2 5" xfId="21089"/>
    <cellStyle name="Normal 10 2 2 3 3 3" xfId="3569"/>
    <cellStyle name="Normal 10 2 2 3 3 3 2" xfId="17215"/>
    <cellStyle name="Normal 10 2 2 3 3 3 2 2" xfId="27466"/>
    <cellStyle name="Normal 10 2 2 3 3 3 3" xfId="13636"/>
    <cellStyle name="Normal 10 2 2 3 3 3 4" xfId="8379"/>
    <cellStyle name="Normal 10 2 2 3 3 3 5" xfId="22459"/>
    <cellStyle name="Normal 10 2 2 3 3 4" xfId="6125"/>
    <cellStyle name="Normal 10 2 2 3 3 4 2" xfId="15209"/>
    <cellStyle name="Normal 10 2 2 3 3 4 3" xfId="25213"/>
    <cellStyle name="Normal 10 2 2 3 3 5" xfId="9833"/>
    <cellStyle name="Normal 10 2 2 3 3 5 2" xfId="18660"/>
    <cellStyle name="Normal 10 2 2 3 3 5 3" xfId="28911"/>
    <cellStyle name="Normal 10 2 2 3 3 6" xfId="11277"/>
    <cellStyle name="Normal 10 2 2 3 3 6 2" xfId="23695"/>
    <cellStyle name="Normal 10 2 2 3 3 7" xfId="4603"/>
    <cellStyle name="Normal 10 2 2 3 3 8" xfId="20206"/>
    <cellStyle name="Normal 10 2 2 3 4" xfId="921"/>
    <cellStyle name="Normal 10 2 2 3 4 2" xfId="2643"/>
    <cellStyle name="Normal 10 2 2 3 4 2 2" xfId="16191"/>
    <cellStyle name="Normal 10 2 2 3 4 2 2 2" xfId="26409"/>
    <cellStyle name="Normal 10 2 2 3 4 2 3" xfId="12613"/>
    <cellStyle name="Normal 10 2 2 3 4 2 4" xfId="7322"/>
    <cellStyle name="Normal 10 2 2 3 4 2 5" xfId="21402"/>
    <cellStyle name="Normal 10 2 2 3 4 3" xfId="3917"/>
    <cellStyle name="Normal 10 2 2 3 4 3 2" xfId="17563"/>
    <cellStyle name="Normal 10 2 2 3 4 3 2 2" xfId="27814"/>
    <cellStyle name="Normal 10 2 2 3 4 3 3" xfId="13984"/>
    <cellStyle name="Normal 10 2 2 3 4 3 4" xfId="8727"/>
    <cellStyle name="Normal 10 2 2 3 4 3 5" xfId="22807"/>
    <cellStyle name="Normal 10 2 2 3 4 4" xfId="6438"/>
    <cellStyle name="Normal 10 2 2 3 4 4 2" xfId="15522"/>
    <cellStyle name="Normal 10 2 2 3 4 4 3" xfId="25526"/>
    <cellStyle name="Normal 10 2 2 3 4 5" xfId="10181"/>
    <cellStyle name="Normal 10 2 2 3 4 5 2" xfId="19008"/>
    <cellStyle name="Normal 10 2 2 3 4 5 3" xfId="29259"/>
    <cellStyle name="Normal 10 2 2 3 4 6" xfId="11627"/>
    <cellStyle name="Normal 10 2 2 3 4 6 2" xfId="24008"/>
    <cellStyle name="Normal 10 2 2 3 4 7" xfId="4916"/>
    <cellStyle name="Normal 10 2 2 3 4 8" xfId="20519"/>
    <cellStyle name="Normal 10 2 2 3 5" xfId="1428"/>
    <cellStyle name="Normal 10 2 2 3 5 2" xfId="3030"/>
    <cellStyle name="Normal 10 2 2 3 5 2 2" xfId="16586"/>
    <cellStyle name="Normal 10 2 2 3 5 2 2 2" xfId="26805"/>
    <cellStyle name="Normal 10 2 2 3 5 2 3" xfId="13007"/>
    <cellStyle name="Normal 10 2 2 3 5 2 4" xfId="7718"/>
    <cellStyle name="Normal 10 2 2 3 5 2 5" xfId="21798"/>
    <cellStyle name="Normal 10 2 2 3 5 3" xfId="4244"/>
    <cellStyle name="Normal 10 2 2 3 5 3 2" xfId="17950"/>
    <cellStyle name="Normal 10 2 2 3 5 3 2 2" xfId="28201"/>
    <cellStyle name="Normal 10 2 2 3 5 3 3" xfId="14371"/>
    <cellStyle name="Normal 10 2 2 3 5 3 4" xfId="9114"/>
    <cellStyle name="Normal 10 2 2 3 5 3 5" xfId="23194"/>
    <cellStyle name="Normal 10 2 2 3 5 4" xfId="6010"/>
    <cellStyle name="Normal 10 2 2 3 5 4 2" xfId="15096"/>
    <cellStyle name="Normal 10 2 2 3 5 4 3" xfId="25100"/>
    <cellStyle name="Normal 10 2 2 3 5 5" xfId="10568"/>
    <cellStyle name="Normal 10 2 2 3 5 5 2" xfId="19395"/>
    <cellStyle name="Normal 10 2 2 3 5 5 3" xfId="29646"/>
    <cellStyle name="Normal 10 2 2 3 5 6" xfId="12014"/>
    <cellStyle name="Normal 10 2 2 3 5 6 2" xfId="24404"/>
    <cellStyle name="Normal 10 2 2 3 5 7" xfId="5312"/>
    <cellStyle name="Normal 10 2 2 3 5 8" xfId="20093"/>
    <cellStyle name="Normal 10 2 2 3 6" xfId="1987"/>
    <cellStyle name="Normal 10 2 2 3 6 2" xfId="15939"/>
    <cellStyle name="Normal 10 2 2 3 6 2 2" xfId="25983"/>
    <cellStyle name="Normal 10 2 2 3 6 3" xfId="12337"/>
    <cellStyle name="Normal 10 2 2 3 6 4" xfId="6896"/>
    <cellStyle name="Normal 10 2 2 3 6 5" xfId="20976"/>
    <cellStyle name="Normal 10 2 2 3 7" xfId="3406"/>
    <cellStyle name="Normal 10 2 2 3 7 2" xfId="16907"/>
    <cellStyle name="Normal 10 2 2 3 7 2 2" xfId="27158"/>
    <cellStyle name="Normal 10 2 2 3 7 3" xfId="13328"/>
    <cellStyle name="Normal 10 2 2 3 7 4" xfId="8071"/>
    <cellStyle name="Normal 10 2 2 3 7 5" xfId="22151"/>
    <cellStyle name="Normal 10 2 2 3 8" xfId="5632"/>
    <cellStyle name="Normal 10 2 2 3 8 2" xfId="14718"/>
    <cellStyle name="Normal 10 2 2 3 8 3" xfId="24722"/>
    <cellStyle name="Normal 10 2 2 3 9" xfId="9525"/>
    <cellStyle name="Normal 10 2 2 3 9 2" xfId="18352"/>
    <cellStyle name="Normal 10 2 2 3 9 3" xfId="28603"/>
    <cellStyle name="Normal 10 2 2 3_Degree data" xfId="1231"/>
    <cellStyle name="Normal 10 2 2 4" xfId="343"/>
    <cellStyle name="Normal 10 2 2 4 10" xfId="19815"/>
    <cellStyle name="Normal 10 2 2 4 2" xfId="564"/>
    <cellStyle name="Normal 10 2 2 4 2 2" xfId="2297"/>
    <cellStyle name="Normal 10 2 2 4 2 2 2" xfId="16193"/>
    <cellStyle name="Normal 10 2 2 4 2 2 2 2" xfId="26411"/>
    <cellStyle name="Normal 10 2 2 4 2 2 3" xfId="12615"/>
    <cellStyle name="Normal 10 2 2 4 2 2 4" xfId="7324"/>
    <cellStyle name="Normal 10 2 2 4 2 2 5" xfId="21404"/>
    <cellStyle name="Normal 10 2 2 4 2 3" xfId="3571"/>
    <cellStyle name="Normal 10 2 2 4 2 3 2" xfId="17217"/>
    <cellStyle name="Normal 10 2 2 4 2 3 2 2" xfId="27468"/>
    <cellStyle name="Normal 10 2 2 4 2 3 3" xfId="13638"/>
    <cellStyle name="Normal 10 2 2 4 2 3 4" xfId="8381"/>
    <cellStyle name="Normal 10 2 2 4 2 3 5" xfId="22461"/>
    <cellStyle name="Normal 10 2 2 4 2 4" xfId="6440"/>
    <cellStyle name="Normal 10 2 2 4 2 4 2" xfId="15524"/>
    <cellStyle name="Normal 10 2 2 4 2 4 3" xfId="25528"/>
    <cellStyle name="Normal 10 2 2 4 2 5" xfId="9835"/>
    <cellStyle name="Normal 10 2 2 4 2 5 2" xfId="18662"/>
    <cellStyle name="Normal 10 2 2 4 2 5 3" xfId="28913"/>
    <cellStyle name="Normal 10 2 2 4 2 6" xfId="11279"/>
    <cellStyle name="Normal 10 2 2 4 2 6 2" xfId="24010"/>
    <cellStyle name="Normal 10 2 2 4 2 7" xfId="4918"/>
    <cellStyle name="Normal 10 2 2 4 2 8" xfId="20521"/>
    <cellStyle name="Normal 10 2 2 4 3" xfId="923"/>
    <cellStyle name="Normal 10 2 2 4 3 2" xfId="2645"/>
    <cellStyle name="Normal 10 2 2 4 3 2 2" xfId="16686"/>
    <cellStyle name="Normal 10 2 2 4 3 2 2 2" xfId="26905"/>
    <cellStyle name="Normal 10 2 2 4 3 2 3" xfId="13107"/>
    <cellStyle name="Normal 10 2 2 4 3 2 4" xfId="7818"/>
    <cellStyle name="Normal 10 2 2 4 3 2 5" xfId="21898"/>
    <cellStyle name="Normal 10 2 2 4 3 3" xfId="3919"/>
    <cellStyle name="Normal 10 2 2 4 3 3 2" xfId="17565"/>
    <cellStyle name="Normal 10 2 2 4 3 3 2 2" xfId="27816"/>
    <cellStyle name="Normal 10 2 2 4 3 3 3" xfId="13986"/>
    <cellStyle name="Normal 10 2 2 4 3 3 4" xfId="8729"/>
    <cellStyle name="Normal 10 2 2 4 3 3 5" xfId="22809"/>
    <cellStyle name="Normal 10 2 2 4 3 4" xfId="6225"/>
    <cellStyle name="Normal 10 2 2 4 3 4 2" xfId="15309"/>
    <cellStyle name="Normal 10 2 2 4 3 4 3" xfId="25313"/>
    <cellStyle name="Normal 10 2 2 4 3 5" xfId="10183"/>
    <cellStyle name="Normal 10 2 2 4 3 5 2" xfId="19010"/>
    <cellStyle name="Normal 10 2 2 4 3 5 3" xfId="29261"/>
    <cellStyle name="Normal 10 2 2 4 3 6" xfId="11629"/>
    <cellStyle name="Normal 10 2 2 4 3 6 2" xfId="24504"/>
    <cellStyle name="Normal 10 2 2 4 3 7" xfId="5412"/>
    <cellStyle name="Normal 10 2 2 4 3 8" xfId="20306"/>
    <cellStyle name="Normal 10 2 2 4 4" xfId="1530"/>
    <cellStyle name="Normal 10 2 2 4 4 2" xfId="3130"/>
    <cellStyle name="Normal 10 2 2 4 4 2 2" xfId="18050"/>
    <cellStyle name="Normal 10 2 2 4 4 2 2 2" xfId="28301"/>
    <cellStyle name="Normal 10 2 2 4 4 2 3" xfId="14471"/>
    <cellStyle name="Normal 10 2 2 4 4 2 4" xfId="9214"/>
    <cellStyle name="Normal 10 2 2 4 4 2 5" xfId="23294"/>
    <cellStyle name="Normal 10 2 2 4 4 3" xfId="10668"/>
    <cellStyle name="Normal 10 2 2 4 4 3 2" xfId="19495"/>
    <cellStyle name="Normal 10 2 2 4 4 3 3" xfId="29746"/>
    <cellStyle name="Normal 10 2 2 4 4 4" xfId="12114"/>
    <cellStyle name="Normal 10 2 2 4 4 4 2" xfId="26196"/>
    <cellStyle name="Normal 10 2 2 4 4 5" xfId="7109"/>
    <cellStyle name="Normal 10 2 2 4 4 6" xfId="21189"/>
    <cellStyle name="Normal 10 2 2 4 5" xfId="2087"/>
    <cellStyle name="Normal 10 2 2 4 5 2" xfId="17007"/>
    <cellStyle name="Normal 10 2 2 4 5 2 2" xfId="27258"/>
    <cellStyle name="Normal 10 2 2 4 5 3" xfId="13428"/>
    <cellStyle name="Normal 10 2 2 4 5 4" xfId="8171"/>
    <cellStyle name="Normal 10 2 2 4 5 5" xfId="22251"/>
    <cellStyle name="Normal 10 2 2 4 6" xfId="5732"/>
    <cellStyle name="Normal 10 2 2 4 6 2" xfId="14818"/>
    <cellStyle name="Normal 10 2 2 4 6 3" xfId="24822"/>
    <cellStyle name="Normal 10 2 2 4 7" xfId="9625"/>
    <cellStyle name="Normal 10 2 2 4 7 2" xfId="18452"/>
    <cellStyle name="Normal 10 2 2 4 7 3" xfId="28703"/>
    <cellStyle name="Normal 10 2 2 4 8" xfId="11069"/>
    <cellStyle name="Normal 10 2 2 4 8 2" xfId="23795"/>
    <cellStyle name="Normal 10 2 2 4 9" xfId="4703"/>
    <cellStyle name="Normal 10 2 2 4_Degree data" xfId="1372"/>
    <cellStyle name="Normal 10 2 2 5" xfId="559"/>
    <cellStyle name="Normal 10 2 2 5 2" xfId="2292"/>
    <cellStyle name="Normal 10 2 2 5 2 2" xfId="15973"/>
    <cellStyle name="Normal 10 2 2 5 2 2 2" xfId="26039"/>
    <cellStyle name="Normal 10 2 2 5 2 3" xfId="12329"/>
    <cellStyle name="Normal 10 2 2 5 2 4" xfId="6952"/>
    <cellStyle name="Normal 10 2 2 5 2 5" xfId="21032"/>
    <cellStyle name="Normal 10 2 2 5 3" xfId="3566"/>
    <cellStyle name="Normal 10 2 2 5 3 2" xfId="17212"/>
    <cellStyle name="Normal 10 2 2 5 3 2 2" xfId="27463"/>
    <cellStyle name="Normal 10 2 2 5 3 3" xfId="13633"/>
    <cellStyle name="Normal 10 2 2 5 3 4" xfId="8376"/>
    <cellStyle name="Normal 10 2 2 5 3 5" xfId="22456"/>
    <cellStyle name="Normal 10 2 2 5 4" xfId="6068"/>
    <cellStyle name="Normal 10 2 2 5 4 2" xfId="15152"/>
    <cellStyle name="Normal 10 2 2 5 4 3" xfId="25156"/>
    <cellStyle name="Normal 10 2 2 5 5" xfId="9830"/>
    <cellStyle name="Normal 10 2 2 5 5 2" xfId="18657"/>
    <cellStyle name="Normal 10 2 2 5 5 3" xfId="28908"/>
    <cellStyle name="Normal 10 2 2 5 6" xfId="11274"/>
    <cellStyle name="Normal 10 2 2 5 6 2" xfId="23638"/>
    <cellStyle name="Normal 10 2 2 5 7" xfId="4546"/>
    <cellStyle name="Normal 10 2 2 5 8" xfId="20149"/>
    <cellStyle name="Normal 10 2 2 6" xfId="918"/>
    <cellStyle name="Normal 10 2 2 6 2" xfId="2640"/>
    <cellStyle name="Normal 10 2 2 6 2 2" xfId="16188"/>
    <cellStyle name="Normal 10 2 2 6 2 2 2" xfId="26406"/>
    <cellStyle name="Normal 10 2 2 6 2 3" xfId="12610"/>
    <cellStyle name="Normal 10 2 2 6 2 4" xfId="7319"/>
    <cellStyle name="Normal 10 2 2 6 2 5" xfId="21399"/>
    <cellStyle name="Normal 10 2 2 6 3" xfId="3914"/>
    <cellStyle name="Normal 10 2 2 6 3 2" xfId="17560"/>
    <cellStyle name="Normal 10 2 2 6 3 2 2" xfId="27811"/>
    <cellStyle name="Normal 10 2 2 6 3 3" xfId="13981"/>
    <cellStyle name="Normal 10 2 2 6 3 4" xfId="8724"/>
    <cellStyle name="Normal 10 2 2 6 3 5" xfId="22804"/>
    <cellStyle name="Normal 10 2 2 6 4" xfId="6435"/>
    <cellStyle name="Normal 10 2 2 6 4 2" xfId="15519"/>
    <cellStyle name="Normal 10 2 2 6 4 3" xfId="25523"/>
    <cellStyle name="Normal 10 2 2 6 5" xfId="10178"/>
    <cellStyle name="Normal 10 2 2 6 5 2" xfId="19005"/>
    <cellStyle name="Normal 10 2 2 6 5 3" xfId="29256"/>
    <cellStyle name="Normal 10 2 2 6 6" xfId="11624"/>
    <cellStyle name="Normal 10 2 2 6 6 2" xfId="24005"/>
    <cellStyle name="Normal 10 2 2 6 7" xfId="4913"/>
    <cellStyle name="Normal 10 2 2 6 8" xfId="20516"/>
    <cellStyle name="Normal 10 2 2 7" xfId="1363"/>
    <cellStyle name="Normal 10 2 2 7 2" xfId="2973"/>
    <cellStyle name="Normal 10 2 2 7 2 2" xfId="16529"/>
    <cellStyle name="Normal 10 2 2 7 2 2 2" xfId="26748"/>
    <cellStyle name="Normal 10 2 2 7 2 3" xfId="12950"/>
    <cellStyle name="Normal 10 2 2 7 2 4" xfId="7661"/>
    <cellStyle name="Normal 10 2 2 7 2 5" xfId="21741"/>
    <cellStyle name="Normal 10 2 2 7 3" xfId="4194"/>
    <cellStyle name="Normal 10 2 2 7 3 2" xfId="17893"/>
    <cellStyle name="Normal 10 2 2 7 3 2 2" xfId="28144"/>
    <cellStyle name="Normal 10 2 2 7 3 3" xfId="14314"/>
    <cellStyle name="Normal 10 2 2 7 3 4" xfId="9057"/>
    <cellStyle name="Normal 10 2 2 7 3 5" xfId="23137"/>
    <cellStyle name="Normal 10 2 2 7 4" xfId="5906"/>
    <cellStyle name="Normal 10 2 2 7 4 2" xfId="14992"/>
    <cellStyle name="Normal 10 2 2 7 4 3" xfId="24996"/>
    <cellStyle name="Normal 10 2 2 7 5" xfId="10511"/>
    <cellStyle name="Normal 10 2 2 7 5 2" xfId="19338"/>
    <cellStyle name="Normal 10 2 2 7 5 3" xfId="29589"/>
    <cellStyle name="Normal 10 2 2 7 6" xfId="11957"/>
    <cellStyle name="Normal 10 2 2 7 6 2" xfId="24347"/>
    <cellStyle name="Normal 10 2 2 7 7" xfId="5255"/>
    <cellStyle name="Normal 10 2 2 7 8" xfId="19989"/>
    <cellStyle name="Normal 10 2 2 8" xfId="1930"/>
    <cellStyle name="Normal 10 2 2 8 2" xfId="9468"/>
    <cellStyle name="Normal 10 2 2 8 2 2" xfId="18295"/>
    <cellStyle name="Normal 10 2 2 8 2 3" xfId="28546"/>
    <cellStyle name="Normal 10 2 2 8 3" xfId="10912"/>
    <cellStyle name="Normal 10 2 2 8 3 2" xfId="25879"/>
    <cellStyle name="Normal 10 2 2 8 4" xfId="6792"/>
    <cellStyle name="Normal 10 2 2 8 5" xfId="20872"/>
    <cellStyle name="Normal 10 2 2 9" xfId="1855"/>
    <cellStyle name="Normal 10 2 2 9 2" xfId="16848"/>
    <cellStyle name="Normal 10 2 2 9 2 2" xfId="27099"/>
    <cellStyle name="Normal 10 2 2 9 3" xfId="13269"/>
    <cellStyle name="Normal 10 2 2 9 4" xfId="8012"/>
    <cellStyle name="Normal 10 2 2 9 5" xfId="22092"/>
    <cellStyle name="Normal 10 2 2_Degree data" xfId="1189"/>
    <cellStyle name="Normal 10 2 3" xfId="260"/>
    <cellStyle name="Normal 10 2 3 10" xfId="10987"/>
    <cellStyle name="Normal 10 2 3 10 2" xfId="23496"/>
    <cellStyle name="Normal 10 2 3 11" xfId="4404"/>
    <cellStyle name="Normal 10 2 3 12" xfId="19733"/>
    <cellStyle name="Normal 10 2 3 2" xfId="362"/>
    <cellStyle name="Normal 10 2 3 2 10" xfId="19833"/>
    <cellStyle name="Normal 10 2 3 2 2" xfId="566"/>
    <cellStyle name="Normal 10 2 3 2 2 2" xfId="2299"/>
    <cellStyle name="Normal 10 2 3 2 2 2 2" xfId="16195"/>
    <cellStyle name="Normal 10 2 3 2 2 2 2 2" xfId="26413"/>
    <cellStyle name="Normal 10 2 3 2 2 2 3" xfId="12617"/>
    <cellStyle name="Normal 10 2 3 2 2 2 4" xfId="7326"/>
    <cellStyle name="Normal 10 2 3 2 2 2 5" xfId="21406"/>
    <cellStyle name="Normal 10 2 3 2 2 3" xfId="3573"/>
    <cellStyle name="Normal 10 2 3 2 2 3 2" xfId="17219"/>
    <cellStyle name="Normal 10 2 3 2 2 3 2 2" xfId="27470"/>
    <cellStyle name="Normal 10 2 3 2 2 3 3" xfId="13640"/>
    <cellStyle name="Normal 10 2 3 2 2 3 4" xfId="8383"/>
    <cellStyle name="Normal 10 2 3 2 2 3 5" xfId="22463"/>
    <cellStyle name="Normal 10 2 3 2 2 4" xfId="6442"/>
    <cellStyle name="Normal 10 2 3 2 2 4 2" xfId="15526"/>
    <cellStyle name="Normal 10 2 3 2 2 4 3" xfId="25530"/>
    <cellStyle name="Normal 10 2 3 2 2 5" xfId="9837"/>
    <cellStyle name="Normal 10 2 3 2 2 5 2" xfId="18664"/>
    <cellStyle name="Normal 10 2 3 2 2 5 3" xfId="28915"/>
    <cellStyle name="Normal 10 2 3 2 2 6" xfId="11281"/>
    <cellStyle name="Normal 10 2 3 2 2 6 2" xfId="24012"/>
    <cellStyle name="Normal 10 2 3 2 2 7" xfId="4920"/>
    <cellStyle name="Normal 10 2 3 2 2 8" xfId="20523"/>
    <cellStyle name="Normal 10 2 3 2 3" xfId="925"/>
    <cellStyle name="Normal 10 2 3 2 3 2" xfId="2647"/>
    <cellStyle name="Normal 10 2 3 2 3 2 2" xfId="16704"/>
    <cellStyle name="Normal 10 2 3 2 3 2 2 2" xfId="26923"/>
    <cellStyle name="Normal 10 2 3 2 3 2 3" xfId="13125"/>
    <cellStyle name="Normal 10 2 3 2 3 2 4" xfId="7836"/>
    <cellStyle name="Normal 10 2 3 2 3 2 5" xfId="21916"/>
    <cellStyle name="Normal 10 2 3 2 3 3" xfId="3921"/>
    <cellStyle name="Normal 10 2 3 2 3 3 2" xfId="17567"/>
    <cellStyle name="Normal 10 2 3 2 3 3 2 2" xfId="27818"/>
    <cellStyle name="Normal 10 2 3 2 3 3 3" xfId="13988"/>
    <cellStyle name="Normal 10 2 3 2 3 3 4" xfId="8731"/>
    <cellStyle name="Normal 10 2 3 2 3 3 5" xfId="22811"/>
    <cellStyle name="Normal 10 2 3 2 3 4" xfId="6243"/>
    <cellStyle name="Normal 10 2 3 2 3 4 2" xfId="15327"/>
    <cellStyle name="Normal 10 2 3 2 3 4 3" xfId="25331"/>
    <cellStyle name="Normal 10 2 3 2 3 5" xfId="10185"/>
    <cellStyle name="Normal 10 2 3 2 3 5 2" xfId="19012"/>
    <cellStyle name="Normal 10 2 3 2 3 5 3" xfId="29263"/>
    <cellStyle name="Normal 10 2 3 2 3 6" xfId="11631"/>
    <cellStyle name="Normal 10 2 3 2 3 6 2" xfId="24522"/>
    <cellStyle name="Normal 10 2 3 2 3 7" xfId="5430"/>
    <cellStyle name="Normal 10 2 3 2 3 8" xfId="20324"/>
    <cellStyle name="Normal 10 2 3 2 4" xfId="1549"/>
    <cellStyle name="Normal 10 2 3 2 4 2" xfId="3148"/>
    <cellStyle name="Normal 10 2 3 2 4 2 2" xfId="18068"/>
    <cellStyle name="Normal 10 2 3 2 4 2 2 2" xfId="28319"/>
    <cellStyle name="Normal 10 2 3 2 4 2 3" xfId="14489"/>
    <cellStyle name="Normal 10 2 3 2 4 2 4" xfId="9232"/>
    <cellStyle name="Normal 10 2 3 2 4 2 5" xfId="23312"/>
    <cellStyle name="Normal 10 2 3 2 4 3" xfId="10686"/>
    <cellStyle name="Normal 10 2 3 2 4 3 2" xfId="19513"/>
    <cellStyle name="Normal 10 2 3 2 4 3 3" xfId="29764"/>
    <cellStyle name="Normal 10 2 3 2 4 4" xfId="12132"/>
    <cellStyle name="Normal 10 2 3 2 4 4 2" xfId="26214"/>
    <cellStyle name="Normal 10 2 3 2 4 5" xfId="7127"/>
    <cellStyle name="Normal 10 2 3 2 4 6" xfId="21207"/>
    <cellStyle name="Normal 10 2 3 2 5" xfId="2105"/>
    <cellStyle name="Normal 10 2 3 2 5 2" xfId="17025"/>
    <cellStyle name="Normal 10 2 3 2 5 2 2" xfId="27276"/>
    <cellStyle name="Normal 10 2 3 2 5 3" xfId="13446"/>
    <cellStyle name="Normal 10 2 3 2 5 4" xfId="8189"/>
    <cellStyle name="Normal 10 2 3 2 5 5" xfId="22269"/>
    <cellStyle name="Normal 10 2 3 2 6" xfId="5750"/>
    <cellStyle name="Normal 10 2 3 2 6 2" xfId="14836"/>
    <cellStyle name="Normal 10 2 3 2 6 3" xfId="24840"/>
    <cellStyle name="Normal 10 2 3 2 7" xfId="9643"/>
    <cellStyle name="Normal 10 2 3 2 7 2" xfId="18470"/>
    <cellStyle name="Normal 10 2 3 2 7 3" xfId="28721"/>
    <cellStyle name="Normal 10 2 3 2 8" xfId="11087"/>
    <cellStyle name="Normal 10 2 3 2 8 2" xfId="23813"/>
    <cellStyle name="Normal 10 2 3 2 9" xfId="4721"/>
    <cellStyle name="Normal 10 2 3 2_Degree data" xfId="1228"/>
    <cellStyle name="Normal 10 2 3 3" xfId="565"/>
    <cellStyle name="Normal 10 2 3 3 2" xfId="2298"/>
    <cellStyle name="Normal 10 2 3 3 2 2" xfId="16041"/>
    <cellStyle name="Normal 10 2 3 3 2 2 2" xfId="26114"/>
    <cellStyle name="Normal 10 2 3 3 2 3" xfId="12312"/>
    <cellStyle name="Normal 10 2 3 3 2 4" xfId="7027"/>
    <cellStyle name="Normal 10 2 3 3 2 5" xfId="21107"/>
    <cellStyle name="Normal 10 2 3 3 3" xfId="3572"/>
    <cellStyle name="Normal 10 2 3 3 3 2" xfId="17218"/>
    <cellStyle name="Normal 10 2 3 3 3 2 2" xfId="27469"/>
    <cellStyle name="Normal 10 2 3 3 3 3" xfId="13639"/>
    <cellStyle name="Normal 10 2 3 3 3 4" xfId="8382"/>
    <cellStyle name="Normal 10 2 3 3 3 5" xfId="22462"/>
    <cellStyle name="Normal 10 2 3 3 4" xfId="6143"/>
    <cellStyle name="Normal 10 2 3 3 4 2" xfId="15227"/>
    <cellStyle name="Normal 10 2 3 3 4 3" xfId="25231"/>
    <cellStyle name="Normal 10 2 3 3 5" xfId="9836"/>
    <cellStyle name="Normal 10 2 3 3 5 2" xfId="18663"/>
    <cellStyle name="Normal 10 2 3 3 5 3" xfId="28914"/>
    <cellStyle name="Normal 10 2 3 3 6" xfId="11280"/>
    <cellStyle name="Normal 10 2 3 3 6 2" xfId="23713"/>
    <cellStyle name="Normal 10 2 3 3 7" xfId="4621"/>
    <cellStyle name="Normal 10 2 3 3 8" xfId="20224"/>
    <cellStyle name="Normal 10 2 3 4" xfId="924"/>
    <cellStyle name="Normal 10 2 3 4 2" xfId="2646"/>
    <cellStyle name="Normal 10 2 3 4 2 2" xfId="16194"/>
    <cellStyle name="Normal 10 2 3 4 2 2 2" xfId="26412"/>
    <cellStyle name="Normal 10 2 3 4 2 3" xfId="12616"/>
    <cellStyle name="Normal 10 2 3 4 2 4" xfId="7325"/>
    <cellStyle name="Normal 10 2 3 4 2 5" xfId="21405"/>
    <cellStyle name="Normal 10 2 3 4 3" xfId="3920"/>
    <cellStyle name="Normal 10 2 3 4 3 2" xfId="17566"/>
    <cellStyle name="Normal 10 2 3 4 3 2 2" xfId="27817"/>
    <cellStyle name="Normal 10 2 3 4 3 3" xfId="13987"/>
    <cellStyle name="Normal 10 2 3 4 3 4" xfId="8730"/>
    <cellStyle name="Normal 10 2 3 4 3 5" xfId="22810"/>
    <cellStyle name="Normal 10 2 3 4 4" xfId="6441"/>
    <cellStyle name="Normal 10 2 3 4 4 2" xfId="15525"/>
    <cellStyle name="Normal 10 2 3 4 4 3" xfId="25529"/>
    <cellStyle name="Normal 10 2 3 4 5" xfId="10184"/>
    <cellStyle name="Normal 10 2 3 4 5 2" xfId="19011"/>
    <cellStyle name="Normal 10 2 3 4 5 3" xfId="29262"/>
    <cellStyle name="Normal 10 2 3 4 6" xfId="11630"/>
    <cellStyle name="Normal 10 2 3 4 6 2" xfId="24011"/>
    <cellStyle name="Normal 10 2 3 4 7" xfId="4919"/>
    <cellStyle name="Normal 10 2 3 4 8" xfId="20522"/>
    <cellStyle name="Normal 10 2 3 5" xfId="1447"/>
    <cellStyle name="Normal 10 2 3 5 2" xfId="3048"/>
    <cellStyle name="Normal 10 2 3 5 2 2" xfId="16604"/>
    <cellStyle name="Normal 10 2 3 5 2 2 2" xfId="26823"/>
    <cellStyle name="Normal 10 2 3 5 2 3" xfId="13025"/>
    <cellStyle name="Normal 10 2 3 5 2 4" xfId="7736"/>
    <cellStyle name="Normal 10 2 3 5 2 5" xfId="21816"/>
    <cellStyle name="Normal 10 2 3 5 3" xfId="4262"/>
    <cellStyle name="Normal 10 2 3 5 3 2" xfId="17968"/>
    <cellStyle name="Normal 10 2 3 5 3 2 2" xfId="28219"/>
    <cellStyle name="Normal 10 2 3 5 3 3" xfId="14389"/>
    <cellStyle name="Normal 10 2 3 5 3 4" xfId="9132"/>
    <cellStyle name="Normal 10 2 3 5 3 5" xfId="23212"/>
    <cellStyle name="Normal 10 2 3 5 4" xfId="5924"/>
    <cellStyle name="Normal 10 2 3 5 4 2" xfId="15010"/>
    <cellStyle name="Normal 10 2 3 5 4 3" xfId="25014"/>
    <cellStyle name="Normal 10 2 3 5 5" xfId="10586"/>
    <cellStyle name="Normal 10 2 3 5 5 2" xfId="19413"/>
    <cellStyle name="Normal 10 2 3 5 5 3" xfId="29664"/>
    <cellStyle name="Normal 10 2 3 5 6" xfId="12032"/>
    <cellStyle name="Normal 10 2 3 5 6 2" xfId="24422"/>
    <cellStyle name="Normal 10 2 3 5 7" xfId="5330"/>
    <cellStyle name="Normal 10 2 3 5 8" xfId="20007"/>
    <cellStyle name="Normal 10 2 3 6" xfId="2005"/>
    <cellStyle name="Normal 10 2 3 6 2" xfId="15853"/>
    <cellStyle name="Normal 10 2 3 6 2 2" xfId="25897"/>
    <cellStyle name="Normal 10 2 3 6 3" xfId="12351"/>
    <cellStyle name="Normal 10 2 3 6 4" xfId="6810"/>
    <cellStyle name="Normal 10 2 3 6 5" xfId="20890"/>
    <cellStyle name="Normal 10 2 3 7" xfId="3424"/>
    <cellStyle name="Normal 10 2 3 7 2" xfId="16925"/>
    <cellStyle name="Normal 10 2 3 7 2 2" xfId="27176"/>
    <cellStyle name="Normal 10 2 3 7 3" xfId="13346"/>
    <cellStyle name="Normal 10 2 3 7 4" xfId="8089"/>
    <cellStyle name="Normal 10 2 3 7 5" xfId="22169"/>
    <cellStyle name="Normal 10 2 3 8" xfId="5650"/>
    <cellStyle name="Normal 10 2 3 8 2" xfId="14736"/>
    <cellStyle name="Normal 10 2 3 8 3" xfId="24740"/>
    <cellStyle name="Normal 10 2 3 9" xfId="9543"/>
    <cellStyle name="Normal 10 2 3 9 2" xfId="18370"/>
    <cellStyle name="Normal 10 2 3 9 3" xfId="28621"/>
    <cellStyle name="Normal 10 2 3_Degree data" xfId="1300"/>
    <cellStyle name="Normal 10 2 4" xfId="200"/>
    <cellStyle name="Normal 10 2 4 10" xfId="10932"/>
    <cellStyle name="Normal 10 2 4 10 2" xfId="23546"/>
    <cellStyle name="Normal 10 2 4 11" xfId="4454"/>
    <cellStyle name="Normal 10 2 4 12" xfId="19678"/>
    <cellStyle name="Normal 10 2 4 2" xfId="414"/>
    <cellStyle name="Normal 10 2 4 2 10" xfId="19883"/>
    <cellStyle name="Normal 10 2 4 2 2" xfId="568"/>
    <cellStyle name="Normal 10 2 4 2 2 2" xfId="2301"/>
    <cellStyle name="Normal 10 2 4 2 2 2 2" xfId="16197"/>
    <cellStyle name="Normal 10 2 4 2 2 2 2 2" xfId="26415"/>
    <cellStyle name="Normal 10 2 4 2 2 2 3" xfId="12619"/>
    <cellStyle name="Normal 10 2 4 2 2 2 4" xfId="7328"/>
    <cellStyle name="Normal 10 2 4 2 2 2 5" xfId="21408"/>
    <cellStyle name="Normal 10 2 4 2 2 3" xfId="3575"/>
    <cellStyle name="Normal 10 2 4 2 2 3 2" xfId="17221"/>
    <cellStyle name="Normal 10 2 4 2 2 3 2 2" xfId="27472"/>
    <cellStyle name="Normal 10 2 4 2 2 3 3" xfId="13642"/>
    <cellStyle name="Normal 10 2 4 2 2 3 4" xfId="8385"/>
    <cellStyle name="Normal 10 2 4 2 2 3 5" xfId="22465"/>
    <cellStyle name="Normal 10 2 4 2 2 4" xfId="6444"/>
    <cellStyle name="Normal 10 2 4 2 2 4 2" xfId="15528"/>
    <cellStyle name="Normal 10 2 4 2 2 4 3" xfId="25532"/>
    <cellStyle name="Normal 10 2 4 2 2 5" xfId="9839"/>
    <cellStyle name="Normal 10 2 4 2 2 5 2" xfId="18666"/>
    <cellStyle name="Normal 10 2 4 2 2 5 3" xfId="28917"/>
    <cellStyle name="Normal 10 2 4 2 2 6" xfId="11283"/>
    <cellStyle name="Normal 10 2 4 2 2 6 2" xfId="24014"/>
    <cellStyle name="Normal 10 2 4 2 2 7" xfId="4922"/>
    <cellStyle name="Normal 10 2 4 2 2 8" xfId="20525"/>
    <cellStyle name="Normal 10 2 4 2 3" xfId="927"/>
    <cellStyle name="Normal 10 2 4 2 3 2" xfId="2649"/>
    <cellStyle name="Normal 10 2 4 2 3 2 2" xfId="16754"/>
    <cellStyle name="Normal 10 2 4 2 3 2 2 2" xfId="26973"/>
    <cellStyle name="Normal 10 2 4 2 3 2 3" xfId="13175"/>
    <cellStyle name="Normal 10 2 4 2 3 2 4" xfId="7886"/>
    <cellStyle name="Normal 10 2 4 2 3 2 5" xfId="21966"/>
    <cellStyle name="Normal 10 2 4 2 3 3" xfId="3923"/>
    <cellStyle name="Normal 10 2 4 2 3 3 2" xfId="17569"/>
    <cellStyle name="Normal 10 2 4 2 3 3 2 2" xfId="27820"/>
    <cellStyle name="Normal 10 2 4 2 3 3 3" xfId="13990"/>
    <cellStyle name="Normal 10 2 4 2 3 3 4" xfId="8733"/>
    <cellStyle name="Normal 10 2 4 2 3 3 5" xfId="22813"/>
    <cellStyle name="Normal 10 2 4 2 3 4" xfId="6293"/>
    <cellStyle name="Normal 10 2 4 2 3 4 2" xfId="15377"/>
    <cellStyle name="Normal 10 2 4 2 3 4 3" xfId="25381"/>
    <cellStyle name="Normal 10 2 4 2 3 5" xfId="10187"/>
    <cellStyle name="Normal 10 2 4 2 3 5 2" xfId="19014"/>
    <cellStyle name="Normal 10 2 4 2 3 5 3" xfId="29265"/>
    <cellStyle name="Normal 10 2 4 2 3 6" xfId="11633"/>
    <cellStyle name="Normal 10 2 4 2 3 6 2" xfId="24572"/>
    <cellStyle name="Normal 10 2 4 2 3 7" xfId="5480"/>
    <cellStyle name="Normal 10 2 4 2 3 8" xfId="20374"/>
    <cellStyle name="Normal 10 2 4 2 4" xfId="1601"/>
    <cellStyle name="Normal 10 2 4 2 4 2" xfId="3198"/>
    <cellStyle name="Normal 10 2 4 2 4 2 2" xfId="18118"/>
    <cellStyle name="Normal 10 2 4 2 4 2 2 2" xfId="28369"/>
    <cellStyle name="Normal 10 2 4 2 4 2 3" xfId="14539"/>
    <cellStyle name="Normal 10 2 4 2 4 2 4" xfId="9282"/>
    <cellStyle name="Normal 10 2 4 2 4 2 5" xfId="23362"/>
    <cellStyle name="Normal 10 2 4 2 4 3" xfId="10736"/>
    <cellStyle name="Normal 10 2 4 2 4 3 2" xfId="19563"/>
    <cellStyle name="Normal 10 2 4 2 4 3 3" xfId="29814"/>
    <cellStyle name="Normal 10 2 4 2 4 4" xfId="12182"/>
    <cellStyle name="Normal 10 2 4 2 4 4 2" xfId="26264"/>
    <cellStyle name="Normal 10 2 4 2 4 5" xfId="7177"/>
    <cellStyle name="Normal 10 2 4 2 4 6" xfId="21257"/>
    <cellStyle name="Normal 10 2 4 2 5" xfId="2155"/>
    <cellStyle name="Normal 10 2 4 2 5 2" xfId="17075"/>
    <cellStyle name="Normal 10 2 4 2 5 2 2" xfId="27326"/>
    <cellStyle name="Normal 10 2 4 2 5 3" xfId="13496"/>
    <cellStyle name="Normal 10 2 4 2 5 4" xfId="8239"/>
    <cellStyle name="Normal 10 2 4 2 5 5" xfId="22319"/>
    <cellStyle name="Normal 10 2 4 2 6" xfId="5800"/>
    <cellStyle name="Normal 10 2 4 2 6 2" xfId="14886"/>
    <cellStyle name="Normal 10 2 4 2 6 3" xfId="24890"/>
    <cellStyle name="Normal 10 2 4 2 7" xfId="9693"/>
    <cellStyle name="Normal 10 2 4 2 7 2" xfId="18520"/>
    <cellStyle name="Normal 10 2 4 2 7 3" xfId="28771"/>
    <cellStyle name="Normal 10 2 4 2 8" xfId="11137"/>
    <cellStyle name="Normal 10 2 4 2 8 2" xfId="23863"/>
    <cellStyle name="Normal 10 2 4 2 9" xfId="4771"/>
    <cellStyle name="Normal 10 2 4 2_Degree data" xfId="1233"/>
    <cellStyle name="Normal 10 2 4 3" xfId="567"/>
    <cellStyle name="Normal 10 2 4 3 2" xfId="2300"/>
    <cellStyle name="Normal 10 2 4 3 2 2" xfId="15986"/>
    <cellStyle name="Normal 10 2 4 3 2 2 2" xfId="26059"/>
    <cellStyle name="Normal 10 2 4 3 2 3" xfId="12279"/>
    <cellStyle name="Normal 10 2 4 3 2 4" xfId="6972"/>
    <cellStyle name="Normal 10 2 4 3 2 5" xfId="21052"/>
    <cellStyle name="Normal 10 2 4 3 3" xfId="3574"/>
    <cellStyle name="Normal 10 2 4 3 3 2" xfId="17220"/>
    <cellStyle name="Normal 10 2 4 3 3 2 2" xfId="27471"/>
    <cellStyle name="Normal 10 2 4 3 3 3" xfId="13641"/>
    <cellStyle name="Normal 10 2 4 3 3 4" xfId="8384"/>
    <cellStyle name="Normal 10 2 4 3 3 5" xfId="22464"/>
    <cellStyle name="Normal 10 2 4 3 4" xfId="6088"/>
    <cellStyle name="Normal 10 2 4 3 4 2" xfId="15172"/>
    <cellStyle name="Normal 10 2 4 3 4 3" xfId="25176"/>
    <cellStyle name="Normal 10 2 4 3 5" xfId="9838"/>
    <cellStyle name="Normal 10 2 4 3 5 2" xfId="18665"/>
    <cellStyle name="Normal 10 2 4 3 5 3" xfId="28916"/>
    <cellStyle name="Normal 10 2 4 3 6" xfId="11282"/>
    <cellStyle name="Normal 10 2 4 3 6 2" xfId="23658"/>
    <cellStyle name="Normal 10 2 4 3 7" xfId="4566"/>
    <cellStyle name="Normal 10 2 4 3 8" xfId="20169"/>
    <cellStyle name="Normal 10 2 4 4" xfId="926"/>
    <cellStyle name="Normal 10 2 4 4 2" xfId="2648"/>
    <cellStyle name="Normal 10 2 4 4 2 2" xfId="16196"/>
    <cellStyle name="Normal 10 2 4 4 2 2 2" xfId="26414"/>
    <cellStyle name="Normal 10 2 4 4 2 3" xfId="12618"/>
    <cellStyle name="Normal 10 2 4 4 2 4" xfId="7327"/>
    <cellStyle name="Normal 10 2 4 4 2 5" xfId="21407"/>
    <cellStyle name="Normal 10 2 4 4 3" xfId="3922"/>
    <cellStyle name="Normal 10 2 4 4 3 2" xfId="17568"/>
    <cellStyle name="Normal 10 2 4 4 3 2 2" xfId="27819"/>
    <cellStyle name="Normal 10 2 4 4 3 3" xfId="13989"/>
    <cellStyle name="Normal 10 2 4 4 3 4" xfId="8732"/>
    <cellStyle name="Normal 10 2 4 4 3 5" xfId="22812"/>
    <cellStyle name="Normal 10 2 4 4 4" xfId="6443"/>
    <cellStyle name="Normal 10 2 4 4 4 2" xfId="15527"/>
    <cellStyle name="Normal 10 2 4 4 4 3" xfId="25531"/>
    <cellStyle name="Normal 10 2 4 4 5" xfId="10186"/>
    <cellStyle name="Normal 10 2 4 4 5 2" xfId="19013"/>
    <cellStyle name="Normal 10 2 4 4 5 3" xfId="29264"/>
    <cellStyle name="Normal 10 2 4 4 6" xfId="11632"/>
    <cellStyle name="Normal 10 2 4 4 6 2" xfId="24013"/>
    <cellStyle name="Normal 10 2 4 4 7" xfId="4921"/>
    <cellStyle name="Normal 10 2 4 4 8" xfId="20524"/>
    <cellStyle name="Normal 10 2 4 5" xfId="1387"/>
    <cellStyle name="Normal 10 2 4 5 2" xfId="2993"/>
    <cellStyle name="Normal 10 2 4 5 2 2" xfId="16549"/>
    <cellStyle name="Normal 10 2 4 5 2 2 2" xfId="26768"/>
    <cellStyle name="Normal 10 2 4 5 2 3" xfId="12970"/>
    <cellStyle name="Normal 10 2 4 5 2 4" xfId="7681"/>
    <cellStyle name="Normal 10 2 4 5 2 5" xfId="21761"/>
    <cellStyle name="Normal 10 2 4 5 3" xfId="4207"/>
    <cellStyle name="Normal 10 2 4 5 3 2" xfId="17913"/>
    <cellStyle name="Normal 10 2 4 5 3 2 2" xfId="28164"/>
    <cellStyle name="Normal 10 2 4 5 3 3" xfId="14334"/>
    <cellStyle name="Normal 10 2 4 5 3 4" xfId="9077"/>
    <cellStyle name="Normal 10 2 4 5 3 5" xfId="23157"/>
    <cellStyle name="Normal 10 2 4 5 4" xfId="5974"/>
    <cellStyle name="Normal 10 2 4 5 4 2" xfId="15060"/>
    <cellStyle name="Normal 10 2 4 5 4 3" xfId="25064"/>
    <cellStyle name="Normal 10 2 4 5 5" xfId="10531"/>
    <cellStyle name="Normal 10 2 4 5 5 2" xfId="19358"/>
    <cellStyle name="Normal 10 2 4 5 5 3" xfId="29609"/>
    <cellStyle name="Normal 10 2 4 5 6" xfId="11977"/>
    <cellStyle name="Normal 10 2 4 5 6 2" xfId="24367"/>
    <cellStyle name="Normal 10 2 4 5 7" xfId="5275"/>
    <cellStyle name="Normal 10 2 4 5 8" xfId="20057"/>
    <cellStyle name="Normal 10 2 4 6" xfId="1950"/>
    <cellStyle name="Normal 10 2 4 6 2" xfId="15903"/>
    <cellStyle name="Normal 10 2 4 6 2 2" xfId="25947"/>
    <cellStyle name="Normal 10 2 4 6 3" xfId="12465"/>
    <cellStyle name="Normal 10 2 4 6 4" xfId="6860"/>
    <cellStyle name="Normal 10 2 4 6 5" xfId="20940"/>
    <cellStyle name="Normal 10 2 4 7" xfId="3370"/>
    <cellStyle name="Normal 10 2 4 7 2" xfId="16870"/>
    <cellStyle name="Normal 10 2 4 7 2 2" xfId="27121"/>
    <cellStyle name="Normal 10 2 4 7 3" xfId="13291"/>
    <cellStyle name="Normal 10 2 4 7 4" xfId="8034"/>
    <cellStyle name="Normal 10 2 4 7 5" xfId="22114"/>
    <cellStyle name="Normal 10 2 4 8" xfId="5595"/>
    <cellStyle name="Normal 10 2 4 8 2" xfId="14681"/>
    <cellStyle name="Normal 10 2 4 8 3" xfId="24685"/>
    <cellStyle name="Normal 10 2 4 9" xfId="9488"/>
    <cellStyle name="Normal 10 2 4 9 2" xfId="18315"/>
    <cellStyle name="Normal 10 2 4 9 3" xfId="28566"/>
    <cellStyle name="Normal 10 2 4_Degree data" xfId="1187"/>
    <cellStyle name="Normal 10 2 5" xfId="306"/>
    <cellStyle name="Normal 10 2 5 10" xfId="19778"/>
    <cellStyle name="Normal 10 2 5 2" xfId="569"/>
    <cellStyle name="Normal 10 2 5 2 2" xfId="2302"/>
    <cellStyle name="Normal 10 2 5 2 2 2" xfId="16198"/>
    <cellStyle name="Normal 10 2 5 2 2 2 2" xfId="26416"/>
    <cellStyle name="Normal 10 2 5 2 2 3" xfId="12620"/>
    <cellStyle name="Normal 10 2 5 2 2 4" xfId="7329"/>
    <cellStyle name="Normal 10 2 5 2 2 5" xfId="21409"/>
    <cellStyle name="Normal 10 2 5 2 3" xfId="3576"/>
    <cellStyle name="Normal 10 2 5 2 3 2" xfId="17222"/>
    <cellStyle name="Normal 10 2 5 2 3 2 2" xfId="27473"/>
    <cellStyle name="Normal 10 2 5 2 3 3" xfId="13643"/>
    <cellStyle name="Normal 10 2 5 2 3 4" xfId="8386"/>
    <cellStyle name="Normal 10 2 5 2 3 5" xfId="22466"/>
    <cellStyle name="Normal 10 2 5 2 4" xfId="6445"/>
    <cellStyle name="Normal 10 2 5 2 4 2" xfId="15529"/>
    <cellStyle name="Normal 10 2 5 2 4 3" xfId="25533"/>
    <cellStyle name="Normal 10 2 5 2 5" xfId="9840"/>
    <cellStyle name="Normal 10 2 5 2 5 2" xfId="18667"/>
    <cellStyle name="Normal 10 2 5 2 5 3" xfId="28918"/>
    <cellStyle name="Normal 10 2 5 2 6" xfId="11284"/>
    <cellStyle name="Normal 10 2 5 2 6 2" xfId="24015"/>
    <cellStyle name="Normal 10 2 5 2 7" xfId="4923"/>
    <cellStyle name="Normal 10 2 5 2 8" xfId="20526"/>
    <cellStyle name="Normal 10 2 5 3" xfId="928"/>
    <cellStyle name="Normal 10 2 5 3 2" xfId="2650"/>
    <cellStyle name="Normal 10 2 5 3 2 2" xfId="16649"/>
    <cellStyle name="Normal 10 2 5 3 2 2 2" xfId="26868"/>
    <cellStyle name="Normal 10 2 5 3 2 3" xfId="13070"/>
    <cellStyle name="Normal 10 2 5 3 2 4" xfId="7781"/>
    <cellStyle name="Normal 10 2 5 3 2 5" xfId="21861"/>
    <cellStyle name="Normal 10 2 5 3 3" xfId="3924"/>
    <cellStyle name="Normal 10 2 5 3 3 2" xfId="17570"/>
    <cellStyle name="Normal 10 2 5 3 3 2 2" xfId="27821"/>
    <cellStyle name="Normal 10 2 5 3 3 3" xfId="13991"/>
    <cellStyle name="Normal 10 2 5 3 3 4" xfId="8734"/>
    <cellStyle name="Normal 10 2 5 3 3 5" xfId="22814"/>
    <cellStyle name="Normal 10 2 5 3 4" xfId="6188"/>
    <cellStyle name="Normal 10 2 5 3 4 2" xfId="15272"/>
    <cellStyle name="Normal 10 2 5 3 4 3" xfId="25276"/>
    <cellStyle name="Normal 10 2 5 3 5" xfId="10188"/>
    <cellStyle name="Normal 10 2 5 3 5 2" xfId="19015"/>
    <cellStyle name="Normal 10 2 5 3 5 3" xfId="29266"/>
    <cellStyle name="Normal 10 2 5 3 6" xfId="11634"/>
    <cellStyle name="Normal 10 2 5 3 6 2" xfId="24467"/>
    <cellStyle name="Normal 10 2 5 3 7" xfId="5375"/>
    <cellStyle name="Normal 10 2 5 3 8" xfId="20269"/>
    <cellStyle name="Normal 10 2 5 4" xfId="1493"/>
    <cellStyle name="Normal 10 2 5 4 2" xfId="3093"/>
    <cellStyle name="Normal 10 2 5 4 2 2" xfId="18013"/>
    <cellStyle name="Normal 10 2 5 4 2 2 2" xfId="28264"/>
    <cellStyle name="Normal 10 2 5 4 2 3" xfId="14434"/>
    <cellStyle name="Normal 10 2 5 4 2 4" xfId="9177"/>
    <cellStyle name="Normal 10 2 5 4 2 5" xfId="23257"/>
    <cellStyle name="Normal 10 2 5 4 3" xfId="10631"/>
    <cellStyle name="Normal 10 2 5 4 3 2" xfId="19458"/>
    <cellStyle name="Normal 10 2 5 4 3 3" xfId="29709"/>
    <cellStyle name="Normal 10 2 5 4 4" xfId="12077"/>
    <cellStyle name="Normal 10 2 5 4 4 2" xfId="26159"/>
    <cellStyle name="Normal 10 2 5 4 5" xfId="7072"/>
    <cellStyle name="Normal 10 2 5 4 6" xfId="21152"/>
    <cellStyle name="Normal 10 2 5 5" xfId="2050"/>
    <cellStyle name="Normal 10 2 5 5 2" xfId="16970"/>
    <cellStyle name="Normal 10 2 5 5 2 2" xfId="27221"/>
    <cellStyle name="Normal 10 2 5 5 3" xfId="13391"/>
    <cellStyle name="Normal 10 2 5 5 4" xfId="8134"/>
    <cellStyle name="Normal 10 2 5 5 5" xfId="22214"/>
    <cellStyle name="Normal 10 2 5 6" xfId="5695"/>
    <cellStyle name="Normal 10 2 5 6 2" xfId="14781"/>
    <cellStyle name="Normal 10 2 5 6 3" xfId="24785"/>
    <cellStyle name="Normal 10 2 5 7" xfId="9588"/>
    <cellStyle name="Normal 10 2 5 7 2" xfId="18415"/>
    <cellStyle name="Normal 10 2 5 7 3" xfId="28666"/>
    <cellStyle name="Normal 10 2 5 8" xfId="11032"/>
    <cellStyle name="Normal 10 2 5 8 2" xfId="23758"/>
    <cellStyle name="Normal 10 2 5 9" xfId="4666"/>
    <cellStyle name="Normal 10 2 5_Degree data" xfId="1237"/>
    <cellStyle name="Normal 10 2 6" xfId="147"/>
    <cellStyle name="Normal 10 2 6 10" xfId="20124"/>
    <cellStyle name="Normal 10 2 6 2" xfId="570"/>
    <cellStyle name="Normal 10 2 6 2 2" xfId="2303"/>
    <cellStyle name="Normal 10 2 6 2 2 2" xfId="16199"/>
    <cellStyle name="Normal 10 2 6 2 2 2 2" xfId="26417"/>
    <cellStyle name="Normal 10 2 6 2 2 3" xfId="12621"/>
    <cellStyle name="Normal 10 2 6 2 2 4" xfId="7330"/>
    <cellStyle name="Normal 10 2 6 2 2 5" xfId="21410"/>
    <cellStyle name="Normal 10 2 6 2 3" xfId="3577"/>
    <cellStyle name="Normal 10 2 6 2 3 2" xfId="17223"/>
    <cellStyle name="Normal 10 2 6 2 3 2 2" xfId="27474"/>
    <cellStyle name="Normal 10 2 6 2 3 3" xfId="13644"/>
    <cellStyle name="Normal 10 2 6 2 3 4" xfId="8387"/>
    <cellStyle name="Normal 10 2 6 2 3 5" xfId="22467"/>
    <cellStyle name="Normal 10 2 6 2 4" xfId="6446"/>
    <cellStyle name="Normal 10 2 6 2 4 2" xfId="15530"/>
    <cellStyle name="Normal 10 2 6 2 4 3" xfId="25534"/>
    <cellStyle name="Normal 10 2 6 2 5" xfId="9841"/>
    <cellStyle name="Normal 10 2 6 2 5 2" xfId="18668"/>
    <cellStyle name="Normal 10 2 6 2 5 3" xfId="28919"/>
    <cellStyle name="Normal 10 2 6 2 6" xfId="11285"/>
    <cellStyle name="Normal 10 2 6 2 6 2" xfId="24016"/>
    <cellStyle name="Normal 10 2 6 2 7" xfId="4924"/>
    <cellStyle name="Normal 10 2 6 2 8" xfId="20527"/>
    <cellStyle name="Normal 10 2 6 3" xfId="929"/>
    <cellStyle name="Normal 10 2 6 3 2" xfId="2651"/>
    <cellStyle name="Normal 10 2 6 3 2 2" xfId="16504"/>
    <cellStyle name="Normal 10 2 6 3 2 2 2" xfId="26723"/>
    <cellStyle name="Normal 10 2 6 3 2 3" xfId="12926"/>
    <cellStyle name="Normal 10 2 6 3 2 4" xfId="7636"/>
    <cellStyle name="Normal 10 2 6 3 2 5" xfId="21716"/>
    <cellStyle name="Normal 10 2 6 3 3" xfId="3925"/>
    <cellStyle name="Normal 10 2 6 3 3 2" xfId="17571"/>
    <cellStyle name="Normal 10 2 6 3 3 2 2" xfId="27822"/>
    <cellStyle name="Normal 10 2 6 3 3 3" xfId="13992"/>
    <cellStyle name="Normal 10 2 6 3 3 4" xfId="8735"/>
    <cellStyle name="Normal 10 2 6 3 3 5" xfId="22815"/>
    <cellStyle name="Normal 10 2 6 3 4" xfId="6724"/>
    <cellStyle name="Normal 10 2 6 3 4 2" xfId="15807"/>
    <cellStyle name="Normal 10 2 6 3 4 3" xfId="25811"/>
    <cellStyle name="Normal 10 2 6 3 5" xfId="10189"/>
    <cellStyle name="Normal 10 2 6 3 5 2" xfId="19016"/>
    <cellStyle name="Normal 10 2 6 3 5 3" xfId="29267"/>
    <cellStyle name="Normal 10 2 6 3 6" xfId="11635"/>
    <cellStyle name="Normal 10 2 6 3 6 2" xfId="24322"/>
    <cellStyle name="Normal 10 2 6 3 7" xfId="5230"/>
    <cellStyle name="Normal 10 2 6 3 8" xfId="20804"/>
    <cellStyle name="Normal 10 2 6 4" xfId="1334"/>
    <cellStyle name="Normal 10 2 6 4 2" xfId="2948"/>
    <cellStyle name="Normal 10 2 6 4 2 2" xfId="17868"/>
    <cellStyle name="Normal 10 2 6 4 2 2 2" xfId="28119"/>
    <cellStyle name="Normal 10 2 6 4 2 3" xfId="14289"/>
    <cellStyle name="Normal 10 2 6 4 2 4" xfId="9032"/>
    <cellStyle name="Normal 10 2 6 4 2 5" xfId="23112"/>
    <cellStyle name="Normal 10 2 6 4 3" xfId="10486"/>
    <cellStyle name="Normal 10 2 6 4 3 2" xfId="19313"/>
    <cellStyle name="Normal 10 2 6 4 3 3" xfId="29564"/>
    <cellStyle name="Normal 10 2 6 4 4" xfId="11932"/>
    <cellStyle name="Normal 10 2 6 4 4 2" xfId="26014"/>
    <cellStyle name="Normal 10 2 6 4 5" xfId="6927"/>
    <cellStyle name="Normal 10 2 6 4 6" xfId="21007"/>
    <cellStyle name="Normal 10 2 6 5" xfId="1905"/>
    <cellStyle name="Normal 10 2 6 5 2" xfId="16823"/>
    <cellStyle name="Normal 10 2 6 5 2 2" xfId="27074"/>
    <cellStyle name="Normal 10 2 6 5 3" xfId="13244"/>
    <cellStyle name="Normal 10 2 6 5 4" xfId="7987"/>
    <cellStyle name="Normal 10 2 6 5 5" xfId="22067"/>
    <cellStyle name="Normal 10 2 6 6" xfId="6043"/>
    <cellStyle name="Normal 10 2 6 6 2" xfId="15127"/>
    <cellStyle name="Normal 10 2 6 6 3" xfId="25131"/>
    <cellStyle name="Normal 10 2 6 7" xfId="9443"/>
    <cellStyle name="Normal 10 2 6 7 2" xfId="18270"/>
    <cellStyle name="Normal 10 2 6 7 3" xfId="28521"/>
    <cellStyle name="Normal 10 2 6 8" xfId="10887"/>
    <cellStyle name="Normal 10 2 6 8 2" xfId="23613"/>
    <cellStyle name="Normal 10 2 6 9" xfId="4521"/>
    <cellStyle name="Normal 10 2 6_Degree data" xfId="1232"/>
    <cellStyle name="Normal 10 2 7" xfId="558"/>
    <cellStyle name="Normal 10 2 7 2" xfId="2291"/>
    <cellStyle name="Normal 10 2 7 2 2" xfId="16187"/>
    <cellStyle name="Normal 10 2 7 2 2 2" xfId="26405"/>
    <cellStyle name="Normal 10 2 7 2 3" xfId="12609"/>
    <cellStyle name="Normal 10 2 7 2 4" xfId="7318"/>
    <cellStyle name="Normal 10 2 7 2 5" xfId="21398"/>
    <cellStyle name="Normal 10 2 7 3" xfId="3565"/>
    <cellStyle name="Normal 10 2 7 3 2" xfId="17211"/>
    <cellStyle name="Normal 10 2 7 3 2 2" xfId="27462"/>
    <cellStyle name="Normal 10 2 7 3 3" xfId="13632"/>
    <cellStyle name="Normal 10 2 7 3 4" xfId="8375"/>
    <cellStyle name="Normal 10 2 7 3 5" xfId="22455"/>
    <cellStyle name="Normal 10 2 7 4" xfId="6434"/>
    <cellStyle name="Normal 10 2 7 4 2" xfId="15518"/>
    <cellStyle name="Normal 10 2 7 4 3" xfId="25522"/>
    <cellStyle name="Normal 10 2 7 5" xfId="9829"/>
    <cellStyle name="Normal 10 2 7 5 2" xfId="18656"/>
    <cellStyle name="Normal 10 2 7 5 3" xfId="28907"/>
    <cellStyle name="Normal 10 2 7 6" xfId="11273"/>
    <cellStyle name="Normal 10 2 7 6 2" xfId="24004"/>
    <cellStyle name="Normal 10 2 7 7" xfId="4912"/>
    <cellStyle name="Normal 10 2 7 8" xfId="20515"/>
    <cellStyle name="Normal 10 2 8" xfId="917"/>
    <cellStyle name="Normal 10 2 8 2" xfId="2639"/>
    <cellStyle name="Normal 10 2 8 2 2" xfId="16484"/>
    <cellStyle name="Normal 10 2 8 2 2 2" xfId="26703"/>
    <cellStyle name="Normal 10 2 8 2 3" xfId="12906"/>
    <cellStyle name="Normal 10 2 8 2 4" xfId="7616"/>
    <cellStyle name="Normal 10 2 8 2 5" xfId="21696"/>
    <cellStyle name="Normal 10 2 8 3" xfId="3913"/>
    <cellStyle name="Normal 10 2 8 3 2" xfId="17559"/>
    <cellStyle name="Normal 10 2 8 3 2 2" xfId="27810"/>
    <cellStyle name="Normal 10 2 8 3 3" xfId="13980"/>
    <cellStyle name="Normal 10 2 8 3 4" xfId="8723"/>
    <cellStyle name="Normal 10 2 8 3 5" xfId="22803"/>
    <cellStyle name="Normal 10 2 8 4" xfId="5868"/>
    <cellStyle name="Normal 10 2 8 4 2" xfId="14954"/>
    <cellStyle name="Normal 10 2 8 4 3" xfId="24958"/>
    <cellStyle name="Normal 10 2 8 5" xfId="10177"/>
    <cellStyle name="Normal 10 2 8 5 2" xfId="19004"/>
    <cellStyle name="Normal 10 2 8 5 3" xfId="29255"/>
    <cellStyle name="Normal 10 2 8 6" xfId="11623"/>
    <cellStyle name="Normal 10 2 8 6 2" xfId="24302"/>
    <cellStyle name="Normal 10 2 8 7" xfId="5210"/>
    <cellStyle name="Normal 10 2 8 8" xfId="19951"/>
    <cellStyle name="Normal 10 2 9" xfId="1314"/>
    <cellStyle name="Normal 10 2 9 2" xfId="2928"/>
    <cellStyle name="Normal 10 2 9 2 2" xfId="17848"/>
    <cellStyle name="Normal 10 2 9 2 2 2" xfId="28099"/>
    <cellStyle name="Normal 10 2 9 2 3" xfId="14269"/>
    <cellStyle name="Normal 10 2 9 2 4" xfId="9012"/>
    <cellStyle name="Normal 10 2 9 2 5" xfId="23092"/>
    <cellStyle name="Normal 10 2 9 3" xfId="10466"/>
    <cellStyle name="Normal 10 2 9 3 2" xfId="19293"/>
    <cellStyle name="Normal 10 2 9 3 3" xfId="29544"/>
    <cellStyle name="Normal 10 2 9 4" xfId="11912"/>
    <cellStyle name="Normal 10 2 9 4 2" xfId="25841"/>
    <cellStyle name="Normal 10 2 9 5" xfId="6754"/>
    <cellStyle name="Normal 10 2 9 6" xfId="20834"/>
    <cellStyle name="Normal 10 2_Degree data" xfId="1285"/>
    <cellStyle name="Normal 10 3" xfId="109"/>
    <cellStyle name="Normal 10 3 2" xfId="166"/>
    <cellStyle name="Normal 10 3 2 10" xfId="10903"/>
    <cellStyle name="Normal 10 3 2 11" xfId="19649"/>
    <cellStyle name="Normal 10 3 2 2" xfId="233"/>
    <cellStyle name="Normal 10 3 2 3" xfId="398"/>
    <cellStyle name="Normal 10 3 2 3 10" xfId="4438"/>
    <cellStyle name="Normal 10 3 2 3 11" xfId="19867"/>
    <cellStyle name="Normal 10 3 2 3 2" xfId="572"/>
    <cellStyle name="Normal 10 3 2 3 2 2" xfId="2305"/>
    <cellStyle name="Normal 10 3 2 3 2 2 2" xfId="16075"/>
    <cellStyle name="Normal 10 3 2 3 2 2 2 2" xfId="26248"/>
    <cellStyle name="Normal 10 3 2 3 2 2 3" xfId="12238"/>
    <cellStyle name="Normal 10 3 2 3 2 2 4" xfId="7161"/>
    <cellStyle name="Normal 10 3 2 3 2 2 5" xfId="21241"/>
    <cellStyle name="Normal 10 3 2 3 2 3" xfId="3579"/>
    <cellStyle name="Normal 10 3 2 3 2 3 2" xfId="17225"/>
    <cellStyle name="Normal 10 3 2 3 2 3 2 2" xfId="27476"/>
    <cellStyle name="Normal 10 3 2 3 2 3 3" xfId="13646"/>
    <cellStyle name="Normal 10 3 2 3 2 3 4" xfId="8389"/>
    <cellStyle name="Normal 10 3 2 3 2 3 5" xfId="22469"/>
    <cellStyle name="Normal 10 3 2 3 2 4" xfId="6277"/>
    <cellStyle name="Normal 10 3 2 3 2 4 2" xfId="15361"/>
    <cellStyle name="Normal 10 3 2 3 2 4 3" xfId="25365"/>
    <cellStyle name="Normal 10 3 2 3 2 5" xfId="9843"/>
    <cellStyle name="Normal 10 3 2 3 2 5 2" xfId="18670"/>
    <cellStyle name="Normal 10 3 2 3 2 5 3" xfId="28921"/>
    <cellStyle name="Normal 10 3 2 3 2 6" xfId="11287"/>
    <cellStyle name="Normal 10 3 2 3 2 6 2" xfId="23847"/>
    <cellStyle name="Normal 10 3 2 3 2 7" xfId="4755"/>
    <cellStyle name="Normal 10 3 2 3 2 8" xfId="20358"/>
    <cellStyle name="Normal 10 3 2 3 3" xfId="931"/>
    <cellStyle name="Normal 10 3 2 3 3 2" xfId="2653"/>
    <cellStyle name="Normal 10 3 2 3 3 2 2" xfId="16201"/>
    <cellStyle name="Normal 10 3 2 3 3 2 2 2" xfId="26419"/>
    <cellStyle name="Normal 10 3 2 3 3 2 3" xfId="12623"/>
    <cellStyle name="Normal 10 3 2 3 3 2 4" xfId="7332"/>
    <cellStyle name="Normal 10 3 2 3 3 2 5" xfId="21412"/>
    <cellStyle name="Normal 10 3 2 3 3 3" xfId="3927"/>
    <cellStyle name="Normal 10 3 2 3 3 3 2" xfId="17573"/>
    <cellStyle name="Normal 10 3 2 3 3 3 2 2" xfId="27824"/>
    <cellStyle name="Normal 10 3 2 3 3 3 3" xfId="13994"/>
    <cellStyle name="Normal 10 3 2 3 3 3 4" xfId="8737"/>
    <cellStyle name="Normal 10 3 2 3 3 3 5" xfId="22817"/>
    <cellStyle name="Normal 10 3 2 3 3 4" xfId="6448"/>
    <cellStyle name="Normal 10 3 2 3 3 4 2" xfId="15532"/>
    <cellStyle name="Normal 10 3 2 3 3 4 3" xfId="25536"/>
    <cellStyle name="Normal 10 3 2 3 3 5" xfId="10191"/>
    <cellStyle name="Normal 10 3 2 3 3 5 2" xfId="19018"/>
    <cellStyle name="Normal 10 3 2 3 3 5 3" xfId="29269"/>
    <cellStyle name="Normal 10 3 2 3 3 6" xfId="11637"/>
    <cellStyle name="Normal 10 3 2 3 3 6 2" xfId="24018"/>
    <cellStyle name="Normal 10 3 2 3 3 7" xfId="4926"/>
    <cellStyle name="Normal 10 3 2 3 3 8" xfId="20529"/>
    <cellStyle name="Normal 10 3 2 3 4" xfId="1585"/>
    <cellStyle name="Normal 10 3 2 3 4 2" xfId="3182"/>
    <cellStyle name="Normal 10 3 2 3 4 2 2" xfId="16738"/>
    <cellStyle name="Normal 10 3 2 3 4 2 2 2" xfId="26957"/>
    <cellStyle name="Normal 10 3 2 3 4 2 3" xfId="13159"/>
    <cellStyle name="Normal 10 3 2 3 4 2 4" xfId="7870"/>
    <cellStyle name="Normal 10 3 2 3 4 2 5" xfId="21950"/>
    <cellStyle name="Normal 10 3 2 3 4 3" xfId="4296"/>
    <cellStyle name="Normal 10 3 2 3 4 3 2" xfId="18102"/>
    <cellStyle name="Normal 10 3 2 3 4 3 2 2" xfId="28353"/>
    <cellStyle name="Normal 10 3 2 3 4 3 3" xfId="14523"/>
    <cellStyle name="Normal 10 3 2 3 4 3 4" xfId="9266"/>
    <cellStyle name="Normal 10 3 2 3 4 3 5" xfId="23346"/>
    <cellStyle name="Normal 10 3 2 3 4 4" xfId="5958"/>
    <cellStyle name="Normal 10 3 2 3 4 4 2" xfId="15044"/>
    <cellStyle name="Normal 10 3 2 3 4 4 3" xfId="25048"/>
    <cellStyle name="Normal 10 3 2 3 4 5" xfId="10720"/>
    <cellStyle name="Normal 10 3 2 3 4 5 2" xfId="19547"/>
    <cellStyle name="Normal 10 3 2 3 4 5 3" xfId="29798"/>
    <cellStyle name="Normal 10 3 2 3 4 6" xfId="12166"/>
    <cellStyle name="Normal 10 3 2 3 4 6 2" xfId="24556"/>
    <cellStyle name="Normal 10 3 2 3 4 7" xfId="5464"/>
    <cellStyle name="Normal 10 3 2 3 4 8" xfId="20041"/>
    <cellStyle name="Normal 10 3 2 3 5" xfId="2139"/>
    <cellStyle name="Normal 10 3 2 3 5 2" xfId="15887"/>
    <cellStyle name="Normal 10 3 2 3 5 2 2" xfId="25931"/>
    <cellStyle name="Normal 10 3 2 3 5 3" xfId="12439"/>
    <cellStyle name="Normal 10 3 2 3 5 4" xfId="6844"/>
    <cellStyle name="Normal 10 3 2 3 5 5" xfId="20924"/>
    <cellStyle name="Normal 10 3 2 3 6" xfId="3458"/>
    <cellStyle name="Normal 10 3 2 3 6 2" xfId="17059"/>
    <cellStyle name="Normal 10 3 2 3 6 2 2" xfId="27310"/>
    <cellStyle name="Normal 10 3 2 3 6 3" xfId="13480"/>
    <cellStyle name="Normal 10 3 2 3 6 4" xfId="8223"/>
    <cellStyle name="Normal 10 3 2 3 6 5" xfId="22303"/>
    <cellStyle name="Normal 10 3 2 3 7" xfId="5784"/>
    <cellStyle name="Normal 10 3 2 3 7 2" xfId="14870"/>
    <cellStyle name="Normal 10 3 2 3 7 3" xfId="24874"/>
    <cellStyle name="Normal 10 3 2 3 8" xfId="9677"/>
    <cellStyle name="Normal 10 3 2 3 8 2" xfId="18504"/>
    <cellStyle name="Normal 10 3 2 3 8 3" xfId="28755"/>
    <cellStyle name="Normal 10 3 2 3 9" xfId="11121"/>
    <cellStyle name="Normal 10 3 2 3 9 2" xfId="23530"/>
    <cellStyle name="Normal 10 3 2 3_Degree data" xfId="1236"/>
    <cellStyle name="Normal 10 3 2 4" xfId="571"/>
    <cellStyle name="Normal 10 3 2 4 2" xfId="2304"/>
    <cellStyle name="Normal 10 3 2 4 2 2" xfId="15969"/>
    <cellStyle name="Normal 10 3 2 4 2 2 2" xfId="26030"/>
    <cellStyle name="Normal 10 3 2 4 2 3" xfId="12391"/>
    <cellStyle name="Normal 10 3 2 4 2 4" xfId="6943"/>
    <cellStyle name="Normal 10 3 2 4 2 5" xfId="21023"/>
    <cellStyle name="Normal 10 3 2 4 3" xfId="3578"/>
    <cellStyle name="Normal 10 3 2 4 3 2" xfId="17224"/>
    <cellStyle name="Normal 10 3 2 4 3 2 2" xfId="27475"/>
    <cellStyle name="Normal 10 3 2 4 3 3" xfId="13645"/>
    <cellStyle name="Normal 10 3 2 4 3 4" xfId="8388"/>
    <cellStyle name="Normal 10 3 2 4 3 5" xfId="22468"/>
    <cellStyle name="Normal 10 3 2 4 4" xfId="6059"/>
    <cellStyle name="Normal 10 3 2 4 4 2" xfId="15143"/>
    <cellStyle name="Normal 10 3 2 4 4 3" xfId="25147"/>
    <cellStyle name="Normal 10 3 2 4 5" xfId="9842"/>
    <cellStyle name="Normal 10 3 2 4 5 2" xfId="18669"/>
    <cellStyle name="Normal 10 3 2 4 5 3" xfId="28920"/>
    <cellStyle name="Normal 10 3 2 4 6" xfId="11286"/>
    <cellStyle name="Normal 10 3 2 4 6 2" xfId="23629"/>
    <cellStyle name="Normal 10 3 2 4 7" xfId="4537"/>
    <cellStyle name="Normal 10 3 2 4 8" xfId="20140"/>
    <cellStyle name="Normal 10 3 2 5" xfId="930"/>
    <cellStyle name="Normal 10 3 2 5 2" xfId="2652"/>
    <cellStyle name="Normal 10 3 2 5 2 2" xfId="16200"/>
    <cellStyle name="Normal 10 3 2 5 2 2 2" xfId="26418"/>
    <cellStyle name="Normal 10 3 2 5 2 3" xfId="12622"/>
    <cellStyle name="Normal 10 3 2 5 2 4" xfId="7331"/>
    <cellStyle name="Normal 10 3 2 5 2 5" xfId="21411"/>
    <cellStyle name="Normal 10 3 2 5 3" xfId="3926"/>
    <cellStyle name="Normal 10 3 2 5 3 2" xfId="17572"/>
    <cellStyle name="Normal 10 3 2 5 3 2 2" xfId="27823"/>
    <cellStyle name="Normal 10 3 2 5 3 3" xfId="13993"/>
    <cellStyle name="Normal 10 3 2 5 3 4" xfId="8736"/>
    <cellStyle name="Normal 10 3 2 5 3 5" xfId="22816"/>
    <cellStyle name="Normal 10 3 2 5 4" xfId="6447"/>
    <cellStyle name="Normal 10 3 2 5 4 2" xfId="15531"/>
    <cellStyle name="Normal 10 3 2 5 4 3" xfId="25535"/>
    <cellStyle name="Normal 10 3 2 5 5" xfId="10190"/>
    <cellStyle name="Normal 10 3 2 5 5 2" xfId="19017"/>
    <cellStyle name="Normal 10 3 2 5 5 3" xfId="29268"/>
    <cellStyle name="Normal 10 3 2 5 6" xfId="11636"/>
    <cellStyle name="Normal 10 3 2 5 6 2" xfId="24017"/>
    <cellStyle name="Normal 10 3 2 5 7" xfId="4925"/>
    <cellStyle name="Normal 10 3 2 5 8" xfId="20528"/>
    <cellStyle name="Normal 10 3 2 6" xfId="1353"/>
    <cellStyle name="Normal 10 3 2 6 2" xfId="2964"/>
    <cellStyle name="Normal 10 3 2 6 2 2" xfId="17884"/>
    <cellStyle name="Normal 10 3 2 6 2 2 2" xfId="28135"/>
    <cellStyle name="Normal 10 3 2 6 2 3" xfId="14305"/>
    <cellStyle name="Normal 10 3 2 6 2 4" xfId="9048"/>
    <cellStyle name="Normal 10 3 2 6 2 5" xfId="23128"/>
    <cellStyle name="Normal 10 3 2 6 3" xfId="7652"/>
    <cellStyle name="Normal 10 3 2 6 3 2" xfId="16520"/>
    <cellStyle name="Normal 10 3 2 6 3 3" xfId="26739"/>
    <cellStyle name="Normal 10 3 2 6 4" xfId="10502"/>
    <cellStyle name="Normal 10 3 2 6 4 2" xfId="19329"/>
    <cellStyle name="Normal 10 3 2 6 4 3" xfId="29580"/>
    <cellStyle name="Normal 10 3 2 6 5" xfId="11948"/>
    <cellStyle name="Normal 10 3 2 6 5 2" xfId="24338"/>
    <cellStyle name="Normal 10 3 2 6 6" xfId="5246"/>
    <cellStyle name="Normal 10 3 2 6 7" xfId="21732"/>
    <cellStyle name="Normal 10 3 2 7" xfId="1921"/>
    <cellStyle name="Normal 10 3 2 7 2" xfId="16839"/>
    <cellStyle name="Normal 10 3 2 7 2 2" xfId="27090"/>
    <cellStyle name="Normal 10 3 2 7 3" xfId="13260"/>
    <cellStyle name="Normal 10 3 2 7 4" xfId="8003"/>
    <cellStyle name="Normal 10 3 2 7 5" xfId="22083"/>
    <cellStyle name="Normal 10 3 2 8" xfId="5566"/>
    <cellStyle name="Normal 10 3 2 8 2" xfId="14652"/>
    <cellStyle name="Normal 10 3 2 8 3" xfId="24656"/>
    <cellStyle name="Normal 10 3 2 9" xfId="9459"/>
    <cellStyle name="Normal 10 3 2 9 2" xfId="18286"/>
    <cellStyle name="Normal 10 3 2 9 3" xfId="28537"/>
    <cellStyle name="Normal 10 3 2_Degree data" xfId="1186"/>
    <cellStyle name="Normal 10 3 3" xfId="196"/>
    <cellStyle name="Normal 10 3 3 10" xfId="10928"/>
    <cellStyle name="Normal 10 3 3 10 2" xfId="23542"/>
    <cellStyle name="Normal 10 3 3 11" xfId="4450"/>
    <cellStyle name="Normal 10 3 3 12" xfId="19674"/>
    <cellStyle name="Normal 10 3 3 2" xfId="410"/>
    <cellStyle name="Normal 10 3 3 2 10" xfId="19879"/>
    <cellStyle name="Normal 10 3 3 2 2" xfId="574"/>
    <cellStyle name="Normal 10 3 3 2 2 2" xfId="2307"/>
    <cellStyle name="Normal 10 3 3 2 2 2 2" xfId="16203"/>
    <cellStyle name="Normal 10 3 3 2 2 2 2 2" xfId="26421"/>
    <cellStyle name="Normal 10 3 3 2 2 2 3" xfId="12625"/>
    <cellStyle name="Normal 10 3 3 2 2 2 4" xfId="7334"/>
    <cellStyle name="Normal 10 3 3 2 2 2 5" xfId="21414"/>
    <cellStyle name="Normal 10 3 3 2 2 3" xfId="3581"/>
    <cellStyle name="Normal 10 3 3 2 2 3 2" xfId="17227"/>
    <cellStyle name="Normal 10 3 3 2 2 3 2 2" xfId="27478"/>
    <cellStyle name="Normal 10 3 3 2 2 3 3" xfId="13648"/>
    <cellStyle name="Normal 10 3 3 2 2 3 4" xfId="8391"/>
    <cellStyle name="Normal 10 3 3 2 2 3 5" xfId="22471"/>
    <cellStyle name="Normal 10 3 3 2 2 4" xfId="6450"/>
    <cellStyle name="Normal 10 3 3 2 2 4 2" xfId="15534"/>
    <cellStyle name="Normal 10 3 3 2 2 4 3" xfId="25538"/>
    <cellStyle name="Normal 10 3 3 2 2 5" xfId="9845"/>
    <cellStyle name="Normal 10 3 3 2 2 5 2" xfId="18672"/>
    <cellStyle name="Normal 10 3 3 2 2 5 3" xfId="28923"/>
    <cellStyle name="Normal 10 3 3 2 2 6" xfId="11289"/>
    <cellStyle name="Normal 10 3 3 2 2 6 2" xfId="24020"/>
    <cellStyle name="Normal 10 3 3 2 2 7" xfId="4928"/>
    <cellStyle name="Normal 10 3 3 2 2 8" xfId="20531"/>
    <cellStyle name="Normal 10 3 3 2 3" xfId="933"/>
    <cellStyle name="Normal 10 3 3 2 3 2" xfId="2655"/>
    <cellStyle name="Normal 10 3 3 2 3 2 2" xfId="16750"/>
    <cellStyle name="Normal 10 3 3 2 3 2 2 2" xfId="26969"/>
    <cellStyle name="Normal 10 3 3 2 3 2 3" xfId="13171"/>
    <cellStyle name="Normal 10 3 3 2 3 2 4" xfId="7882"/>
    <cellStyle name="Normal 10 3 3 2 3 2 5" xfId="21962"/>
    <cellStyle name="Normal 10 3 3 2 3 3" xfId="3929"/>
    <cellStyle name="Normal 10 3 3 2 3 3 2" xfId="17575"/>
    <cellStyle name="Normal 10 3 3 2 3 3 2 2" xfId="27826"/>
    <cellStyle name="Normal 10 3 3 2 3 3 3" xfId="13996"/>
    <cellStyle name="Normal 10 3 3 2 3 3 4" xfId="8739"/>
    <cellStyle name="Normal 10 3 3 2 3 3 5" xfId="22819"/>
    <cellStyle name="Normal 10 3 3 2 3 4" xfId="6289"/>
    <cellStyle name="Normal 10 3 3 2 3 4 2" xfId="15373"/>
    <cellStyle name="Normal 10 3 3 2 3 4 3" xfId="25377"/>
    <cellStyle name="Normal 10 3 3 2 3 5" xfId="10193"/>
    <cellStyle name="Normal 10 3 3 2 3 5 2" xfId="19020"/>
    <cellStyle name="Normal 10 3 3 2 3 5 3" xfId="29271"/>
    <cellStyle name="Normal 10 3 3 2 3 6" xfId="11639"/>
    <cellStyle name="Normal 10 3 3 2 3 6 2" xfId="24568"/>
    <cellStyle name="Normal 10 3 3 2 3 7" xfId="5476"/>
    <cellStyle name="Normal 10 3 3 2 3 8" xfId="20370"/>
    <cellStyle name="Normal 10 3 3 2 4" xfId="1597"/>
    <cellStyle name="Normal 10 3 3 2 4 2" xfId="3194"/>
    <cellStyle name="Normal 10 3 3 2 4 2 2" xfId="18114"/>
    <cellStyle name="Normal 10 3 3 2 4 2 2 2" xfId="28365"/>
    <cellStyle name="Normal 10 3 3 2 4 2 3" xfId="14535"/>
    <cellStyle name="Normal 10 3 3 2 4 2 4" xfId="9278"/>
    <cellStyle name="Normal 10 3 3 2 4 2 5" xfId="23358"/>
    <cellStyle name="Normal 10 3 3 2 4 3" xfId="10732"/>
    <cellStyle name="Normal 10 3 3 2 4 3 2" xfId="19559"/>
    <cellStyle name="Normal 10 3 3 2 4 3 3" xfId="29810"/>
    <cellStyle name="Normal 10 3 3 2 4 4" xfId="12178"/>
    <cellStyle name="Normal 10 3 3 2 4 4 2" xfId="26260"/>
    <cellStyle name="Normal 10 3 3 2 4 5" xfId="7173"/>
    <cellStyle name="Normal 10 3 3 2 4 6" xfId="21253"/>
    <cellStyle name="Normal 10 3 3 2 5" xfId="2151"/>
    <cellStyle name="Normal 10 3 3 2 5 2" xfId="17071"/>
    <cellStyle name="Normal 10 3 3 2 5 2 2" xfId="27322"/>
    <cellStyle name="Normal 10 3 3 2 5 3" xfId="13492"/>
    <cellStyle name="Normal 10 3 3 2 5 4" xfId="8235"/>
    <cellStyle name="Normal 10 3 3 2 5 5" xfId="22315"/>
    <cellStyle name="Normal 10 3 3 2 6" xfId="5796"/>
    <cellStyle name="Normal 10 3 3 2 6 2" xfId="14882"/>
    <cellStyle name="Normal 10 3 3 2 6 3" xfId="24886"/>
    <cellStyle name="Normal 10 3 3 2 7" xfId="9689"/>
    <cellStyle name="Normal 10 3 3 2 7 2" xfId="18516"/>
    <cellStyle name="Normal 10 3 3 2 7 3" xfId="28767"/>
    <cellStyle name="Normal 10 3 3 2 8" xfId="11133"/>
    <cellStyle name="Normal 10 3 3 2 8 2" xfId="23859"/>
    <cellStyle name="Normal 10 3 3 2 9" xfId="4767"/>
    <cellStyle name="Normal 10 3 3 2_Degree data" xfId="1273"/>
    <cellStyle name="Normal 10 3 3 3" xfId="573"/>
    <cellStyle name="Normal 10 3 3 3 2" xfId="2306"/>
    <cellStyle name="Normal 10 3 3 3 2 2" xfId="15982"/>
    <cellStyle name="Normal 10 3 3 3 2 2 2" xfId="26055"/>
    <cellStyle name="Normal 10 3 3 3 2 3" xfId="12324"/>
    <cellStyle name="Normal 10 3 3 3 2 4" xfId="6968"/>
    <cellStyle name="Normal 10 3 3 3 2 5" xfId="21048"/>
    <cellStyle name="Normal 10 3 3 3 3" xfId="3580"/>
    <cellStyle name="Normal 10 3 3 3 3 2" xfId="17226"/>
    <cellStyle name="Normal 10 3 3 3 3 2 2" xfId="27477"/>
    <cellStyle name="Normal 10 3 3 3 3 3" xfId="13647"/>
    <cellStyle name="Normal 10 3 3 3 3 4" xfId="8390"/>
    <cellStyle name="Normal 10 3 3 3 3 5" xfId="22470"/>
    <cellStyle name="Normal 10 3 3 3 4" xfId="6084"/>
    <cellStyle name="Normal 10 3 3 3 4 2" xfId="15168"/>
    <cellStyle name="Normal 10 3 3 3 4 3" xfId="25172"/>
    <cellStyle name="Normal 10 3 3 3 5" xfId="9844"/>
    <cellStyle name="Normal 10 3 3 3 5 2" xfId="18671"/>
    <cellStyle name="Normal 10 3 3 3 5 3" xfId="28922"/>
    <cellStyle name="Normal 10 3 3 3 6" xfId="11288"/>
    <cellStyle name="Normal 10 3 3 3 6 2" xfId="23654"/>
    <cellStyle name="Normal 10 3 3 3 7" xfId="4562"/>
    <cellStyle name="Normal 10 3 3 3 8" xfId="20165"/>
    <cellStyle name="Normal 10 3 3 4" xfId="932"/>
    <cellStyle name="Normal 10 3 3 4 2" xfId="2654"/>
    <cellStyle name="Normal 10 3 3 4 2 2" xfId="16202"/>
    <cellStyle name="Normal 10 3 3 4 2 2 2" xfId="26420"/>
    <cellStyle name="Normal 10 3 3 4 2 3" xfId="12624"/>
    <cellStyle name="Normal 10 3 3 4 2 4" xfId="7333"/>
    <cellStyle name="Normal 10 3 3 4 2 5" xfId="21413"/>
    <cellStyle name="Normal 10 3 3 4 3" xfId="3928"/>
    <cellStyle name="Normal 10 3 3 4 3 2" xfId="17574"/>
    <cellStyle name="Normal 10 3 3 4 3 2 2" xfId="27825"/>
    <cellStyle name="Normal 10 3 3 4 3 3" xfId="13995"/>
    <cellStyle name="Normal 10 3 3 4 3 4" xfId="8738"/>
    <cellStyle name="Normal 10 3 3 4 3 5" xfId="22818"/>
    <cellStyle name="Normal 10 3 3 4 4" xfId="6449"/>
    <cellStyle name="Normal 10 3 3 4 4 2" xfId="15533"/>
    <cellStyle name="Normal 10 3 3 4 4 3" xfId="25537"/>
    <cellStyle name="Normal 10 3 3 4 5" xfId="10192"/>
    <cellStyle name="Normal 10 3 3 4 5 2" xfId="19019"/>
    <cellStyle name="Normal 10 3 3 4 5 3" xfId="29270"/>
    <cellStyle name="Normal 10 3 3 4 6" xfId="11638"/>
    <cellStyle name="Normal 10 3 3 4 6 2" xfId="24019"/>
    <cellStyle name="Normal 10 3 3 4 7" xfId="4927"/>
    <cellStyle name="Normal 10 3 3 4 8" xfId="20530"/>
    <cellStyle name="Normal 10 3 3 5" xfId="1383"/>
    <cellStyle name="Normal 10 3 3 5 2" xfId="2989"/>
    <cellStyle name="Normal 10 3 3 5 2 2" xfId="16545"/>
    <cellStyle name="Normal 10 3 3 5 2 2 2" xfId="26764"/>
    <cellStyle name="Normal 10 3 3 5 2 3" xfId="12966"/>
    <cellStyle name="Normal 10 3 3 5 2 4" xfId="7677"/>
    <cellStyle name="Normal 10 3 3 5 2 5" xfId="21757"/>
    <cellStyle name="Normal 10 3 3 5 3" xfId="4203"/>
    <cellStyle name="Normal 10 3 3 5 3 2" xfId="17909"/>
    <cellStyle name="Normal 10 3 3 5 3 2 2" xfId="28160"/>
    <cellStyle name="Normal 10 3 3 5 3 3" xfId="14330"/>
    <cellStyle name="Normal 10 3 3 5 3 4" xfId="9073"/>
    <cellStyle name="Normal 10 3 3 5 3 5" xfId="23153"/>
    <cellStyle name="Normal 10 3 3 5 4" xfId="5970"/>
    <cellStyle name="Normal 10 3 3 5 4 2" xfId="15056"/>
    <cellStyle name="Normal 10 3 3 5 4 3" xfId="25060"/>
    <cellStyle name="Normal 10 3 3 5 5" xfId="10527"/>
    <cellStyle name="Normal 10 3 3 5 5 2" xfId="19354"/>
    <cellStyle name="Normal 10 3 3 5 5 3" xfId="29605"/>
    <cellStyle name="Normal 10 3 3 5 6" xfId="11973"/>
    <cellStyle name="Normal 10 3 3 5 6 2" xfId="24363"/>
    <cellStyle name="Normal 10 3 3 5 7" xfId="5271"/>
    <cellStyle name="Normal 10 3 3 5 8" xfId="20053"/>
    <cellStyle name="Normal 10 3 3 6" xfId="1946"/>
    <cellStyle name="Normal 10 3 3 6 2" xfId="15899"/>
    <cellStyle name="Normal 10 3 3 6 2 2" xfId="25943"/>
    <cellStyle name="Normal 10 3 3 6 3" xfId="12409"/>
    <cellStyle name="Normal 10 3 3 6 4" xfId="6856"/>
    <cellStyle name="Normal 10 3 3 6 5" xfId="20936"/>
    <cellStyle name="Normal 10 3 3 7" xfId="3366"/>
    <cellStyle name="Normal 10 3 3 7 2" xfId="16866"/>
    <cellStyle name="Normal 10 3 3 7 2 2" xfId="27117"/>
    <cellStyle name="Normal 10 3 3 7 3" xfId="13287"/>
    <cellStyle name="Normal 10 3 3 7 4" xfId="8030"/>
    <cellStyle name="Normal 10 3 3 7 5" xfId="22110"/>
    <cellStyle name="Normal 10 3 3 8" xfId="5591"/>
    <cellStyle name="Normal 10 3 3 8 2" xfId="14677"/>
    <cellStyle name="Normal 10 3 3 8 3" xfId="24681"/>
    <cellStyle name="Normal 10 3 3 9" xfId="9484"/>
    <cellStyle name="Normal 10 3 3 9 2" xfId="18311"/>
    <cellStyle name="Normal 10 3 3 9 3" xfId="28562"/>
    <cellStyle name="Normal 10 3 3_Degree data" xfId="1185"/>
    <cellStyle name="Normal 10 3 4" xfId="302"/>
    <cellStyle name="Normal 10 3 4 10" xfId="19774"/>
    <cellStyle name="Normal 10 3 4 2" xfId="575"/>
    <cellStyle name="Normal 10 3 4 2 2" xfId="2308"/>
    <cellStyle name="Normal 10 3 4 2 2 2" xfId="16204"/>
    <cellStyle name="Normal 10 3 4 2 2 2 2" xfId="26422"/>
    <cellStyle name="Normal 10 3 4 2 2 3" xfId="12626"/>
    <cellStyle name="Normal 10 3 4 2 2 4" xfId="7335"/>
    <cellStyle name="Normal 10 3 4 2 2 5" xfId="21415"/>
    <cellStyle name="Normal 10 3 4 2 3" xfId="3582"/>
    <cellStyle name="Normal 10 3 4 2 3 2" xfId="17228"/>
    <cellStyle name="Normal 10 3 4 2 3 2 2" xfId="27479"/>
    <cellStyle name="Normal 10 3 4 2 3 3" xfId="13649"/>
    <cellStyle name="Normal 10 3 4 2 3 4" xfId="8392"/>
    <cellStyle name="Normal 10 3 4 2 3 5" xfId="22472"/>
    <cellStyle name="Normal 10 3 4 2 4" xfId="6451"/>
    <cellStyle name="Normal 10 3 4 2 4 2" xfId="15535"/>
    <cellStyle name="Normal 10 3 4 2 4 3" xfId="25539"/>
    <cellStyle name="Normal 10 3 4 2 5" xfId="9846"/>
    <cellStyle name="Normal 10 3 4 2 5 2" xfId="18673"/>
    <cellStyle name="Normal 10 3 4 2 5 3" xfId="28924"/>
    <cellStyle name="Normal 10 3 4 2 6" xfId="11290"/>
    <cellStyle name="Normal 10 3 4 2 6 2" xfId="24021"/>
    <cellStyle name="Normal 10 3 4 2 7" xfId="4929"/>
    <cellStyle name="Normal 10 3 4 2 8" xfId="20532"/>
    <cellStyle name="Normal 10 3 4 3" xfId="934"/>
    <cellStyle name="Normal 10 3 4 3 2" xfId="2656"/>
    <cellStyle name="Normal 10 3 4 3 2 2" xfId="16645"/>
    <cellStyle name="Normal 10 3 4 3 2 2 2" xfId="26864"/>
    <cellStyle name="Normal 10 3 4 3 2 3" xfId="13066"/>
    <cellStyle name="Normal 10 3 4 3 2 4" xfId="7777"/>
    <cellStyle name="Normal 10 3 4 3 2 5" xfId="21857"/>
    <cellStyle name="Normal 10 3 4 3 3" xfId="3930"/>
    <cellStyle name="Normal 10 3 4 3 3 2" xfId="17576"/>
    <cellStyle name="Normal 10 3 4 3 3 2 2" xfId="27827"/>
    <cellStyle name="Normal 10 3 4 3 3 3" xfId="13997"/>
    <cellStyle name="Normal 10 3 4 3 3 4" xfId="8740"/>
    <cellStyle name="Normal 10 3 4 3 3 5" xfId="22820"/>
    <cellStyle name="Normal 10 3 4 3 4" xfId="6184"/>
    <cellStyle name="Normal 10 3 4 3 4 2" xfId="15268"/>
    <cellStyle name="Normal 10 3 4 3 4 3" xfId="25272"/>
    <cellStyle name="Normal 10 3 4 3 5" xfId="10194"/>
    <cellStyle name="Normal 10 3 4 3 5 2" xfId="19021"/>
    <cellStyle name="Normal 10 3 4 3 5 3" xfId="29272"/>
    <cellStyle name="Normal 10 3 4 3 6" xfId="11640"/>
    <cellStyle name="Normal 10 3 4 3 6 2" xfId="24463"/>
    <cellStyle name="Normal 10 3 4 3 7" xfId="5371"/>
    <cellStyle name="Normal 10 3 4 3 8" xfId="20265"/>
    <cellStyle name="Normal 10 3 4 4" xfId="1489"/>
    <cellStyle name="Normal 10 3 4 4 2" xfId="3089"/>
    <cellStyle name="Normal 10 3 4 4 2 2" xfId="18009"/>
    <cellStyle name="Normal 10 3 4 4 2 2 2" xfId="28260"/>
    <cellStyle name="Normal 10 3 4 4 2 3" xfId="14430"/>
    <cellStyle name="Normal 10 3 4 4 2 4" xfId="9173"/>
    <cellStyle name="Normal 10 3 4 4 2 5" xfId="23253"/>
    <cellStyle name="Normal 10 3 4 4 3" xfId="10627"/>
    <cellStyle name="Normal 10 3 4 4 3 2" xfId="19454"/>
    <cellStyle name="Normal 10 3 4 4 3 3" xfId="29705"/>
    <cellStyle name="Normal 10 3 4 4 4" xfId="12073"/>
    <cellStyle name="Normal 10 3 4 4 4 2" xfId="26155"/>
    <cellStyle name="Normal 10 3 4 4 5" xfId="7068"/>
    <cellStyle name="Normal 10 3 4 4 6" xfId="21148"/>
    <cellStyle name="Normal 10 3 4 5" xfId="2046"/>
    <cellStyle name="Normal 10 3 4 5 2" xfId="16966"/>
    <cellStyle name="Normal 10 3 4 5 2 2" xfId="27217"/>
    <cellStyle name="Normal 10 3 4 5 3" xfId="13387"/>
    <cellStyle name="Normal 10 3 4 5 4" xfId="8130"/>
    <cellStyle name="Normal 10 3 4 5 5" xfId="22210"/>
    <cellStyle name="Normal 10 3 4 6" xfId="5691"/>
    <cellStyle name="Normal 10 3 4 6 2" xfId="14777"/>
    <cellStyle name="Normal 10 3 4 6 3" xfId="24781"/>
    <cellStyle name="Normal 10 3 4 7" xfId="9584"/>
    <cellStyle name="Normal 10 3 4 7 2" xfId="18411"/>
    <cellStyle name="Normal 10 3 4 7 3" xfId="28662"/>
    <cellStyle name="Normal 10 3 4 8" xfId="11028"/>
    <cellStyle name="Normal 10 3 4 8 2" xfId="23754"/>
    <cellStyle name="Normal 10 3 4 9" xfId="4662"/>
    <cellStyle name="Normal 10 3 4_Degree data" xfId="1295"/>
    <cellStyle name="Normal 10 3 5" xfId="3272"/>
    <cellStyle name="Normal 10 3 5 2" xfId="14950"/>
    <cellStyle name="Normal 10 3 5 2 2" xfId="24954"/>
    <cellStyle name="Normal 10 3 5 3" xfId="12495"/>
    <cellStyle name="Normal 10 3 5 4" xfId="5864"/>
    <cellStyle name="Normal 10 3 5 5" xfId="19947"/>
    <cellStyle name="Normal 10 3 6" xfId="3266"/>
    <cellStyle name="Normal 10 3 6 2" xfId="15825"/>
    <cellStyle name="Normal 10 3 6 2 2" xfId="25837"/>
    <cellStyle name="Normal 10 3 6 3" xfId="12361"/>
    <cellStyle name="Normal 10 3 6 4" xfId="6750"/>
    <cellStyle name="Normal 10 3 6 5" xfId="20830"/>
    <cellStyle name="Normal 10 3 7" xfId="14607"/>
    <cellStyle name="Normal 10 3 7 2" xfId="23437"/>
    <cellStyle name="Normal 10 3 8" xfId="4345"/>
    <cellStyle name="Normal 10 4" xfId="153"/>
    <cellStyle name="Normal 10 4 10" xfId="5554"/>
    <cellStyle name="Normal 10 4 10 2" xfId="14640"/>
    <cellStyle name="Normal 10 4 10 3" xfId="24644"/>
    <cellStyle name="Normal 10 4 11" xfId="9374"/>
    <cellStyle name="Normal 10 4 11 2" xfId="18201"/>
    <cellStyle name="Normal 10 4 11 3" xfId="28452"/>
    <cellStyle name="Normal 10 4 12" xfId="10814"/>
    <cellStyle name="Normal 10 4 12 2" xfId="23459"/>
    <cellStyle name="Normal 10 4 13" xfId="4367"/>
    <cellStyle name="Normal 10 4 14" xfId="19637"/>
    <cellStyle name="Normal 10 4 2" xfId="266"/>
    <cellStyle name="Normal 10 4 2 10" xfId="10993"/>
    <cellStyle name="Normal 10 4 2 10 2" xfId="23502"/>
    <cellStyle name="Normal 10 4 2 11" xfId="4410"/>
    <cellStyle name="Normal 10 4 2 12" xfId="19739"/>
    <cellStyle name="Normal 10 4 2 2" xfId="368"/>
    <cellStyle name="Normal 10 4 2 2 10" xfId="19839"/>
    <cellStyle name="Normal 10 4 2 2 2" xfId="578"/>
    <cellStyle name="Normal 10 4 2 2 2 2" xfId="2311"/>
    <cellStyle name="Normal 10 4 2 2 2 2 2" xfId="16207"/>
    <cellStyle name="Normal 10 4 2 2 2 2 2 2" xfId="26425"/>
    <cellStyle name="Normal 10 4 2 2 2 2 3" xfId="12629"/>
    <cellStyle name="Normal 10 4 2 2 2 2 4" xfId="7338"/>
    <cellStyle name="Normal 10 4 2 2 2 2 5" xfId="21418"/>
    <cellStyle name="Normal 10 4 2 2 2 3" xfId="3585"/>
    <cellStyle name="Normal 10 4 2 2 2 3 2" xfId="17231"/>
    <cellStyle name="Normal 10 4 2 2 2 3 2 2" xfId="27482"/>
    <cellStyle name="Normal 10 4 2 2 2 3 3" xfId="13652"/>
    <cellStyle name="Normal 10 4 2 2 2 3 4" xfId="8395"/>
    <cellStyle name="Normal 10 4 2 2 2 3 5" xfId="22475"/>
    <cellStyle name="Normal 10 4 2 2 2 4" xfId="6454"/>
    <cellStyle name="Normal 10 4 2 2 2 4 2" xfId="15538"/>
    <cellStyle name="Normal 10 4 2 2 2 4 3" xfId="25542"/>
    <cellStyle name="Normal 10 4 2 2 2 5" xfId="9849"/>
    <cellStyle name="Normal 10 4 2 2 2 5 2" xfId="18676"/>
    <cellStyle name="Normal 10 4 2 2 2 5 3" xfId="28927"/>
    <cellStyle name="Normal 10 4 2 2 2 6" xfId="11293"/>
    <cellStyle name="Normal 10 4 2 2 2 6 2" xfId="24024"/>
    <cellStyle name="Normal 10 4 2 2 2 7" xfId="4932"/>
    <cellStyle name="Normal 10 4 2 2 2 8" xfId="20535"/>
    <cellStyle name="Normal 10 4 2 2 3" xfId="937"/>
    <cellStyle name="Normal 10 4 2 2 3 2" xfId="2659"/>
    <cellStyle name="Normal 10 4 2 2 3 2 2" xfId="16710"/>
    <cellStyle name="Normal 10 4 2 2 3 2 2 2" xfId="26929"/>
    <cellStyle name="Normal 10 4 2 2 3 2 3" xfId="13131"/>
    <cellStyle name="Normal 10 4 2 2 3 2 4" xfId="7842"/>
    <cellStyle name="Normal 10 4 2 2 3 2 5" xfId="21922"/>
    <cellStyle name="Normal 10 4 2 2 3 3" xfId="3933"/>
    <cellStyle name="Normal 10 4 2 2 3 3 2" xfId="17579"/>
    <cellStyle name="Normal 10 4 2 2 3 3 2 2" xfId="27830"/>
    <cellStyle name="Normal 10 4 2 2 3 3 3" xfId="14000"/>
    <cellStyle name="Normal 10 4 2 2 3 3 4" xfId="8743"/>
    <cellStyle name="Normal 10 4 2 2 3 3 5" xfId="22823"/>
    <cellStyle name="Normal 10 4 2 2 3 4" xfId="6249"/>
    <cellStyle name="Normal 10 4 2 2 3 4 2" xfId="15333"/>
    <cellStyle name="Normal 10 4 2 2 3 4 3" xfId="25337"/>
    <cellStyle name="Normal 10 4 2 2 3 5" xfId="10197"/>
    <cellStyle name="Normal 10 4 2 2 3 5 2" xfId="19024"/>
    <cellStyle name="Normal 10 4 2 2 3 5 3" xfId="29275"/>
    <cellStyle name="Normal 10 4 2 2 3 6" xfId="11643"/>
    <cellStyle name="Normal 10 4 2 2 3 6 2" xfId="24528"/>
    <cellStyle name="Normal 10 4 2 2 3 7" xfId="5436"/>
    <cellStyle name="Normal 10 4 2 2 3 8" xfId="20330"/>
    <cellStyle name="Normal 10 4 2 2 4" xfId="1555"/>
    <cellStyle name="Normal 10 4 2 2 4 2" xfId="3154"/>
    <cellStyle name="Normal 10 4 2 2 4 2 2" xfId="18074"/>
    <cellStyle name="Normal 10 4 2 2 4 2 2 2" xfId="28325"/>
    <cellStyle name="Normal 10 4 2 2 4 2 3" xfId="14495"/>
    <cellStyle name="Normal 10 4 2 2 4 2 4" xfId="9238"/>
    <cellStyle name="Normal 10 4 2 2 4 2 5" xfId="23318"/>
    <cellStyle name="Normal 10 4 2 2 4 3" xfId="10692"/>
    <cellStyle name="Normal 10 4 2 2 4 3 2" xfId="19519"/>
    <cellStyle name="Normal 10 4 2 2 4 3 3" xfId="29770"/>
    <cellStyle name="Normal 10 4 2 2 4 4" xfId="12138"/>
    <cellStyle name="Normal 10 4 2 2 4 4 2" xfId="26220"/>
    <cellStyle name="Normal 10 4 2 2 4 5" xfId="7133"/>
    <cellStyle name="Normal 10 4 2 2 4 6" xfId="21213"/>
    <cellStyle name="Normal 10 4 2 2 5" xfId="2111"/>
    <cellStyle name="Normal 10 4 2 2 5 2" xfId="17031"/>
    <cellStyle name="Normal 10 4 2 2 5 2 2" xfId="27282"/>
    <cellStyle name="Normal 10 4 2 2 5 3" xfId="13452"/>
    <cellStyle name="Normal 10 4 2 2 5 4" xfId="8195"/>
    <cellStyle name="Normal 10 4 2 2 5 5" xfId="22275"/>
    <cellStyle name="Normal 10 4 2 2 6" xfId="5756"/>
    <cellStyle name="Normal 10 4 2 2 6 2" xfId="14842"/>
    <cellStyle name="Normal 10 4 2 2 6 3" xfId="24846"/>
    <cellStyle name="Normal 10 4 2 2 7" xfId="9649"/>
    <cellStyle name="Normal 10 4 2 2 7 2" xfId="18476"/>
    <cellStyle name="Normal 10 4 2 2 7 3" xfId="28727"/>
    <cellStyle name="Normal 10 4 2 2 8" xfId="11093"/>
    <cellStyle name="Normal 10 4 2 2 8 2" xfId="23819"/>
    <cellStyle name="Normal 10 4 2 2 9" xfId="4727"/>
    <cellStyle name="Normal 10 4 2 2_Degree data" xfId="1270"/>
    <cellStyle name="Normal 10 4 2 3" xfId="577"/>
    <cellStyle name="Normal 10 4 2 3 2" xfId="2310"/>
    <cellStyle name="Normal 10 4 2 3 2 2" xfId="16047"/>
    <cellStyle name="Normal 10 4 2 3 2 2 2" xfId="26120"/>
    <cellStyle name="Normal 10 4 2 3 2 3" xfId="12448"/>
    <cellStyle name="Normal 10 4 2 3 2 4" xfId="7033"/>
    <cellStyle name="Normal 10 4 2 3 2 5" xfId="21113"/>
    <cellStyle name="Normal 10 4 2 3 3" xfId="3584"/>
    <cellStyle name="Normal 10 4 2 3 3 2" xfId="17230"/>
    <cellStyle name="Normal 10 4 2 3 3 2 2" xfId="27481"/>
    <cellStyle name="Normal 10 4 2 3 3 3" xfId="13651"/>
    <cellStyle name="Normal 10 4 2 3 3 4" xfId="8394"/>
    <cellStyle name="Normal 10 4 2 3 3 5" xfId="22474"/>
    <cellStyle name="Normal 10 4 2 3 4" xfId="6149"/>
    <cellStyle name="Normal 10 4 2 3 4 2" xfId="15233"/>
    <cellStyle name="Normal 10 4 2 3 4 3" xfId="25237"/>
    <cellStyle name="Normal 10 4 2 3 5" xfId="9848"/>
    <cellStyle name="Normal 10 4 2 3 5 2" xfId="18675"/>
    <cellStyle name="Normal 10 4 2 3 5 3" xfId="28926"/>
    <cellStyle name="Normal 10 4 2 3 6" xfId="11292"/>
    <cellStyle name="Normal 10 4 2 3 6 2" xfId="23719"/>
    <cellStyle name="Normal 10 4 2 3 7" xfId="4627"/>
    <cellStyle name="Normal 10 4 2 3 8" xfId="20230"/>
    <cellStyle name="Normal 10 4 2 4" xfId="936"/>
    <cellStyle name="Normal 10 4 2 4 2" xfId="2658"/>
    <cellStyle name="Normal 10 4 2 4 2 2" xfId="16206"/>
    <cellStyle name="Normal 10 4 2 4 2 2 2" xfId="26424"/>
    <cellStyle name="Normal 10 4 2 4 2 3" xfId="12628"/>
    <cellStyle name="Normal 10 4 2 4 2 4" xfId="7337"/>
    <cellStyle name="Normal 10 4 2 4 2 5" xfId="21417"/>
    <cellStyle name="Normal 10 4 2 4 3" xfId="3932"/>
    <cellStyle name="Normal 10 4 2 4 3 2" xfId="17578"/>
    <cellStyle name="Normal 10 4 2 4 3 2 2" xfId="27829"/>
    <cellStyle name="Normal 10 4 2 4 3 3" xfId="13999"/>
    <cellStyle name="Normal 10 4 2 4 3 4" xfId="8742"/>
    <cellStyle name="Normal 10 4 2 4 3 5" xfId="22822"/>
    <cellStyle name="Normal 10 4 2 4 4" xfId="6453"/>
    <cellStyle name="Normal 10 4 2 4 4 2" xfId="15537"/>
    <cellStyle name="Normal 10 4 2 4 4 3" xfId="25541"/>
    <cellStyle name="Normal 10 4 2 4 5" xfId="10196"/>
    <cellStyle name="Normal 10 4 2 4 5 2" xfId="19023"/>
    <cellStyle name="Normal 10 4 2 4 5 3" xfId="29274"/>
    <cellStyle name="Normal 10 4 2 4 6" xfId="11642"/>
    <cellStyle name="Normal 10 4 2 4 6 2" xfId="24023"/>
    <cellStyle name="Normal 10 4 2 4 7" xfId="4931"/>
    <cellStyle name="Normal 10 4 2 4 8" xfId="20534"/>
    <cellStyle name="Normal 10 4 2 5" xfId="1453"/>
    <cellStyle name="Normal 10 4 2 5 2" xfId="3054"/>
    <cellStyle name="Normal 10 4 2 5 2 2" xfId="16610"/>
    <cellStyle name="Normal 10 4 2 5 2 2 2" xfId="26829"/>
    <cellStyle name="Normal 10 4 2 5 2 3" xfId="13031"/>
    <cellStyle name="Normal 10 4 2 5 2 4" xfId="7742"/>
    <cellStyle name="Normal 10 4 2 5 2 5" xfId="21822"/>
    <cellStyle name="Normal 10 4 2 5 3" xfId="4268"/>
    <cellStyle name="Normal 10 4 2 5 3 2" xfId="17974"/>
    <cellStyle name="Normal 10 4 2 5 3 2 2" xfId="28225"/>
    <cellStyle name="Normal 10 4 2 5 3 3" xfId="14395"/>
    <cellStyle name="Normal 10 4 2 5 3 4" xfId="9138"/>
    <cellStyle name="Normal 10 4 2 5 3 5" xfId="23218"/>
    <cellStyle name="Normal 10 4 2 5 4" xfId="5930"/>
    <cellStyle name="Normal 10 4 2 5 4 2" xfId="15016"/>
    <cellStyle name="Normal 10 4 2 5 4 3" xfId="25020"/>
    <cellStyle name="Normal 10 4 2 5 5" xfId="10592"/>
    <cellStyle name="Normal 10 4 2 5 5 2" xfId="19419"/>
    <cellStyle name="Normal 10 4 2 5 5 3" xfId="29670"/>
    <cellStyle name="Normal 10 4 2 5 6" xfId="12038"/>
    <cellStyle name="Normal 10 4 2 5 6 2" xfId="24428"/>
    <cellStyle name="Normal 10 4 2 5 7" xfId="5336"/>
    <cellStyle name="Normal 10 4 2 5 8" xfId="20013"/>
    <cellStyle name="Normal 10 4 2 6" xfId="2011"/>
    <cellStyle name="Normal 10 4 2 6 2" xfId="15859"/>
    <cellStyle name="Normal 10 4 2 6 2 2" xfId="25903"/>
    <cellStyle name="Normal 10 4 2 6 3" xfId="12428"/>
    <cellStyle name="Normal 10 4 2 6 4" xfId="6816"/>
    <cellStyle name="Normal 10 4 2 6 5" xfId="20896"/>
    <cellStyle name="Normal 10 4 2 7" xfId="3430"/>
    <cellStyle name="Normal 10 4 2 7 2" xfId="16931"/>
    <cellStyle name="Normal 10 4 2 7 2 2" xfId="27182"/>
    <cellStyle name="Normal 10 4 2 7 3" xfId="13352"/>
    <cellStyle name="Normal 10 4 2 7 4" xfId="8095"/>
    <cellStyle name="Normal 10 4 2 7 5" xfId="22175"/>
    <cellStyle name="Normal 10 4 2 8" xfId="5656"/>
    <cellStyle name="Normal 10 4 2 8 2" xfId="14742"/>
    <cellStyle name="Normal 10 4 2 8 3" xfId="24746"/>
    <cellStyle name="Normal 10 4 2 9" xfId="9549"/>
    <cellStyle name="Normal 10 4 2 9 2" xfId="18376"/>
    <cellStyle name="Normal 10 4 2 9 3" xfId="28627"/>
    <cellStyle name="Normal 10 4 2_Degree data" xfId="1271"/>
    <cellStyle name="Normal 10 4 3" xfId="221"/>
    <cellStyle name="Normal 10 4 3 10" xfId="10950"/>
    <cellStyle name="Normal 10 4 3 10 2" xfId="23564"/>
    <cellStyle name="Normal 10 4 3 11" xfId="4472"/>
    <cellStyle name="Normal 10 4 3 12" xfId="19696"/>
    <cellStyle name="Normal 10 4 3 2" xfId="432"/>
    <cellStyle name="Normal 10 4 3 2 10" xfId="19901"/>
    <cellStyle name="Normal 10 4 3 2 2" xfId="580"/>
    <cellStyle name="Normal 10 4 3 2 2 2" xfId="2313"/>
    <cellStyle name="Normal 10 4 3 2 2 2 2" xfId="16209"/>
    <cellStyle name="Normal 10 4 3 2 2 2 2 2" xfId="26427"/>
    <cellStyle name="Normal 10 4 3 2 2 2 3" xfId="12631"/>
    <cellStyle name="Normal 10 4 3 2 2 2 4" xfId="7340"/>
    <cellStyle name="Normal 10 4 3 2 2 2 5" xfId="21420"/>
    <cellStyle name="Normal 10 4 3 2 2 3" xfId="3587"/>
    <cellStyle name="Normal 10 4 3 2 2 3 2" xfId="17233"/>
    <cellStyle name="Normal 10 4 3 2 2 3 2 2" xfId="27484"/>
    <cellStyle name="Normal 10 4 3 2 2 3 3" xfId="13654"/>
    <cellStyle name="Normal 10 4 3 2 2 3 4" xfId="8397"/>
    <cellStyle name="Normal 10 4 3 2 2 3 5" xfId="22477"/>
    <cellStyle name="Normal 10 4 3 2 2 4" xfId="6456"/>
    <cellStyle name="Normal 10 4 3 2 2 4 2" xfId="15540"/>
    <cellStyle name="Normal 10 4 3 2 2 4 3" xfId="25544"/>
    <cellStyle name="Normal 10 4 3 2 2 5" xfId="9851"/>
    <cellStyle name="Normal 10 4 3 2 2 5 2" xfId="18678"/>
    <cellStyle name="Normal 10 4 3 2 2 5 3" xfId="28929"/>
    <cellStyle name="Normal 10 4 3 2 2 6" xfId="11295"/>
    <cellStyle name="Normal 10 4 3 2 2 6 2" xfId="24026"/>
    <cellStyle name="Normal 10 4 3 2 2 7" xfId="4934"/>
    <cellStyle name="Normal 10 4 3 2 2 8" xfId="20537"/>
    <cellStyle name="Normal 10 4 3 2 3" xfId="939"/>
    <cellStyle name="Normal 10 4 3 2 3 2" xfId="2661"/>
    <cellStyle name="Normal 10 4 3 2 3 2 2" xfId="16772"/>
    <cellStyle name="Normal 10 4 3 2 3 2 2 2" xfId="26991"/>
    <cellStyle name="Normal 10 4 3 2 3 2 3" xfId="13193"/>
    <cellStyle name="Normal 10 4 3 2 3 2 4" xfId="7904"/>
    <cellStyle name="Normal 10 4 3 2 3 2 5" xfId="21984"/>
    <cellStyle name="Normal 10 4 3 2 3 3" xfId="3935"/>
    <cellStyle name="Normal 10 4 3 2 3 3 2" xfId="17581"/>
    <cellStyle name="Normal 10 4 3 2 3 3 2 2" xfId="27832"/>
    <cellStyle name="Normal 10 4 3 2 3 3 3" xfId="14002"/>
    <cellStyle name="Normal 10 4 3 2 3 3 4" xfId="8745"/>
    <cellStyle name="Normal 10 4 3 2 3 3 5" xfId="22825"/>
    <cellStyle name="Normal 10 4 3 2 3 4" xfId="6311"/>
    <cellStyle name="Normal 10 4 3 2 3 4 2" xfId="15395"/>
    <cellStyle name="Normal 10 4 3 2 3 4 3" xfId="25399"/>
    <cellStyle name="Normal 10 4 3 2 3 5" xfId="10199"/>
    <cellStyle name="Normal 10 4 3 2 3 5 2" xfId="19026"/>
    <cellStyle name="Normal 10 4 3 2 3 5 3" xfId="29277"/>
    <cellStyle name="Normal 10 4 3 2 3 6" xfId="11645"/>
    <cellStyle name="Normal 10 4 3 2 3 6 2" xfId="24590"/>
    <cellStyle name="Normal 10 4 3 2 3 7" xfId="5498"/>
    <cellStyle name="Normal 10 4 3 2 3 8" xfId="20392"/>
    <cellStyle name="Normal 10 4 3 2 4" xfId="1619"/>
    <cellStyle name="Normal 10 4 3 2 4 2" xfId="3216"/>
    <cellStyle name="Normal 10 4 3 2 4 2 2" xfId="18136"/>
    <cellStyle name="Normal 10 4 3 2 4 2 2 2" xfId="28387"/>
    <cellStyle name="Normal 10 4 3 2 4 2 3" xfId="14557"/>
    <cellStyle name="Normal 10 4 3 2 4 2 4" xfId="9300"/>
    <cellStyle name="Normal 10 4 3 2 4 2 5" xfId="23380"/>
    <cellStyle name="Normal 10 4 3 2 4 3" xfId="10754"/>
    <cellStyle name="Normal 10 4 3 2 4 3 2" xfId="19581"/>
    <cellStyle name="Normal 10 4 3 2 4 3 3" xfId="29832"/>
    <cellStyle name="Normal 10 4 3 2 4 4" xfId="12200"/>
    <cellStyle name="Normal 10 4 3 2 4 4 2" xfId="26282"/>
    <cellStyle name="Normal 10 4 3 2 4 5" xfId="7195"/>
    <cellStyle name="Normal 10 4 3 2 4 6" xfId="21275"/>
    <cellStyle name="Normal 10 4 3 2 5" xfId="2173"/>
    <cellStyle name="Normal 10 4 3 2 5 2" xfId="17093"/>
    <cellStyle name="Normal 10 4 3 2 5 2 2" xfId="27344"/>
    <cellStyle name="Normal 10 4 3 2 5 3" xfId="13514"/>
    <cellStyle name="Normal 10 4 3 2 5 4" xfId="8257"/>
    <cellStyle name="Normal 10 4 3 2 5 5" xfId="22337"/>
    <cellStyle name="Normal 10 4 3 2 6" xfId="5818"/>
    <cellStyle name="Normal 10 4 3 2 6 2" xfId="14904"/>
    <cellStyle name="Normal 10 4 3 2 6 3" xfId="24908"/>
    <cellStyle name="Normal 10 4 3 2 7" xfId="9711"/>
    <cellStyle name="Normal 10 4 3 2 7 2" xfId="18538"/>
    <cellStyle name="Normal 10 4 3 2 7 3" xfId="28789"/>
    <cellStyle name="Normal 10 4 3 2 8" xfId="11155"/>
    <cellStyle name="Normal 10 4 3 2 8 2" xfId="23881"/>
    <cellStyle name="Normal 10 4 3 2 9" xfId="4789"/>
    <cellStyle name="Normal 10 4 3 2_Degree data" xfId="1303"/>
    <cellStyle name="Normal 10 4 3 3" xfId="579"/>
    <cellStyle name="Normal 10 4 3 3 2" xfId="2312"/>
    <cellStyle name="Normal 10 4 3 3 2 2" xfId="16004"/>
    <cellStyle name="Normal 10 4 3 3 2 2 2" xfId="26077"/>
    <cellStyle name="Normal 10 4 3 3 2 3" xfId="12273"/>
    <cellStyle name="Normal 10 4 3 3 2 4" xfId="6990"/>
    <cellStyle name="Normal 10 4 3 3 2 5" xfId="21070"/>
    <cellStyle name="Normal 10 4 3 3 3" xfId="3586"/>
    <cellStyle name="Normal 10 4 3 3 3 2" xfId="17232"/>
    <cellStyle name="Normal 10 4 3 3 3 2 2" xfId="27483"/>
    <cellStyle name="Normal 10 4 3 3 3 3" xfId="13653"/>
    <cellStyle name="Normal 10 4 3 3 3 4" xfId="8396"/>
    <cellStyle name="Normal 10 4 3 3 3 5" xfId="22476"/>
    <cellStyle name="Normal 10 4 3 3 4" xfId="6106"/>
    <cellStyle name="Normal 10 4 3 3 4 2" xfId="15190"/>
    <cellStyle name="Normal 10 4 3 3 4 3" xfId="25194"/>
    <cellStyle name="Normal 10 4 3 3 5" xfId="9850"/>
    <cellStyle name="Normal 10 4 3 3 5 2" xfId="18677"/>
    <cellStyle name="Normal 10 4 3 3 5 3" xfId="28928"/>
    <cellStyle name="Normal 10 4 3 3 6" xfId="11294"/>
    <cellStyle name="Normal 10 4 3 3 6 2" xfId="23676"/>
    <cellStyle name="Normal 10 4 3 3 7" xfId="4584"/>
    <cellStyle name="Normal 10 4 3 3 8" xfId="20187"/>
    <cellStyle name="Normal 10 4 3 4" xfId="938"/>
    <cellStyle name="Normal 10 4 3 4 2" xfId="2660"/>
    <cellStyle name="Normal 10 4 3 4 2 2" xfId="16208"/>
    <cellStyle name="Normal 10 4 3 4 2 2 2" xfId="26426"/>
    <cellStyle name="Normal 10 4 3 4 2 3" xfId="12630"/>
    <cellStyle name="Normal 10 4 3 4 2 4" xfId="7339"/>
    <cellStyle name="Normal 10 4 3 4 2 5" xfId="21419"/>
    <cellStyle name="Normal 10 4 3 4 3" xfId="3934"/>
    <cellStyle name="Normal 10 4 3 4 3 2" xfId="17580"/>
    <cellStyle name="Normal 10 4 3 4 3 2 2" xfId="27831"/>
    <cellStyle name="Normal 10 4 3 4 3 3" xfId="14001"/>
    <cellStyle name="Normal 10 4 3 4 3 4" xfId="8744"/>
    <cellStyle name="Normal 10 4 3 4 3 5" xfId="22824"/>
    <cellStyle name="Normal 10 4 3 4 4" xfId="6455"/>
    <cellStyle name="Normal 10 4 3 4 4 2" xfId="15539"/>
    <cellStyle name="Normal 10 4 3 4 4 3" xfId="25543"/>
    <cellStyle name="Normal 10 4 3 4 5" xfId="10198"/>
    <cellStyle name="Normal 10 4 3 4 5 2" xfId="19025"/>
    <cellStyle name="Normal 10 4 3 4 5 3" xfId="29276"/>
    <cellStyle name="Normal 10 4 3 4 6" xfId="11644"/>
    <cellStyle name="Normal 10 4 3 4 6 2" xfId="24025"/>
    <cellStyle name="Normal 10 4 3 4 7" xfId="4933"/>
    <cellStyle name="Normal 10 4 3 4 8" xfId="20536"/>
    <cellStyle name="Normal 10 4 3 5" xfId="1408"/>
    <cellStyle name="Normal 10 4 3 5 2" xfId="3011"/>
    <cellStyle name="Normal 10 4 3 5 2 2" xfId="16567"/>
    <cellStyle name="Normal 10 4 3 5 2 2 2" xfId="26786"/>
    <cellStyle name="Normal 10 4 3 5 2 3" xfId="12988"/>
    <cellStyle name="Normal 10 4 3 5 2 4" xfId="7699"/>
    <cellStyle name="Normal 10 4 3 5 2 5" xfId="21779"/>
    <cellStyle name="Normal 10 4 3 5 3" xfId="4225"/>
    <cellStyle name="Normal 10 4 3 5 3 2" xfId="17931"/>
    <cellStyle name="Normal 10 4 3 5 3 2 2" xfId="28182"/>
    <cellStyle name="Normal 10 4 3 5 3 3" xfId="14352"/>
    <cellStyle name="Normal 10 4 3 5 3 4" xfId="9095"/>
    <cellStyle name="Normal 10 4 3 5 3 5" xfId="23175"/>
    <cellStyle name="Normal 10 4 3 5 4" xfId="5992"/>
    <cellStyle name="Normal 10 4 3 5 4 2" xfId="15078"/>
    <cellStyle name="Normal 10 4 3 5 4 3" xfId="25082"/>
    <cellStyle name="Normal 10 4 3 5 5" xfId="10549"/>
    <cellStyle name="Normal 10 4 3 5 5 2" xfId="19376"/>
    <cellStyle name="Normal 10 4 3 5 5 3" xfId="29627"/>
    <cellStyle name="Normal 10 4 3 5 6" xfId="11995"/>
    <cellStyle name="Normal 10 4 3 5 6 2" xfId="24385"/>
    <cellStyle name="Normal 10 4 3 5 7" xfId="5293"/>
    <cellStyle name="Normal 10 4 3 5 8" xfId="20075"/>
    <cellStyle name="Normal 10 4 3 6" xfId="1968"/>
    <cellStyle name="Normal 10 4 3 6 2" xfId="15921"/>
    <cellStyle name="Normal 10 4 3 6 2 2" xfId="25965"/>
    <cellStyle name="Normal 10 4 3 6 3" xfId="12288"/>
    <cellStyle name="Normal 10 4 3 6 4" xfId="6878"/>
    <cellStyle name="Normal 10 4 3 6 5" xfId="20958"/>
    <cellStyle name="Normal 10 4 3 7" xfId="3388"/>
    <cellStyle name="Normal 10 4 3 7 2" xfId="16888"/>
    <cellStyle name="Normal 10 4 3 7 2 2" xfId="27139"/>
    <cellStyle name="Normal 10 4 3 7 3" xfId="13309"/>
    <cellStyle name="Normal 10 4 3 7 4" xfId="8052"/>
    <cellStyle name="Normal 10 4 3 7 5" xfId="22132"/>
    <cellStyle name="Normal 10 4 3 8" xfId="5613"/>
    <cellStyle name="Normal 10 4 3 8 2" xfId="14699"/>
    <cellStyle name="Normal 10 4 3 8 3" xfId="24703"/>
    <cellStyle name="Normal 10 4 3 9" xfId="9506"/>
    <cellStyle name="Normal 10 4 3 9 2" xfId="18333"/>
    <cellStyle name="Normal 10 4 3 9 3" xfId="28584"/>
    <cellStyle name="Normal 10 4 3_Degree data" xfId="1294"/>
    <cellStyle name="Normal 10 4 4" xfId="324"/>
    <cellStyle name="Normal 10 4 4 10" xfId="19796"/>
    <cellStyle name="Normal 10 4 4 2" xfId="581"/>
    <cellStyle name="Normal 10 4 4 2 2" xfId="2314"/>
    <cellStyle name="Normal 10 4 4 2 2 2" xfId="16210"/>
    <cellStyle name="Normal 10 4 4 2 2 2 2" xfId="26428"/>
    <cellStyle name="Normal 10 4 4 2 2 3" xfId="12632"/>
    <cellStyle name="Normal 10 4 4 2 2 4" xfId="7341"/>
    <cellStyle name="Normal 10 4 4 2 2 5" xfId="21421"/>
    <cellStyle name="Normal 10 4 4 2 3" xfId="3588"/>
    <cellStyle name="Normal 10 4 4 2 3 2" xfId="17234"/>
    <cellStyle name="Normal 10 4 4 2 3 2 2" xfId="27485"/>
    <cellStyle name="Normal 10 4 4 2 3 3" xfId="13655"/>
    <cellStyle name="Normal 10 4 4 2 3 4" xfId="8398"/>
    <cellStyle name="Normal 10 4 4 2 3 5" xfId="22478"/>
    <cellStyle name="Normal 10 4 4 2 4" xfId="6457"/>
    <cellStyle name="Normal 10 4 4 2 4 2" xfId="15541"/>
    <cellStyle name="Normal 10 4 4 2 4 3" xfId="25545"/>
    <cellStyle name="Normal 10 4 4 2 5" xfId="9852"/>
    <cellStyle name="Normal 10 4 4 2 5 2" xfId="18679"/>
    <cellStyle name="Normal 10 4 4 2 5 3" xfId="28930"/>
    <cellStyle name="Normal 10 4 4 2 6" xfId="11296"/>
    <cellStyle name="Normal 10 4 4 2 6 2" xfId="24027"/>
    <cellStyle name="Normal 10 4 4 2 7" xfId="4935"/>
    <cellStyle name="Normal 10 4 4 2 8" xfId="20538"/>
    <cellStyle name="Normal 10 4 4 3" xfId="940"/>
    <cellStyle name="Normal 10 4 4 3 2" xfId="2662"/>
    <cellStyle name="Normal 10 4 4 3 2 2" xfId="16667"/>
    <cellStyle name="Normal 10 4 4 3 2 2 2" xfId="26886"/>
    <cellStyle name="Normal 10 4 4 3 2 3" xfId="13088"/>
    <cellStyle name="Normal 10 4 4 3 2 4" xfId="7799"/>
    <cellStyle name="Normal 10 4 4 3 2 5" xfId="21879"/>
    <cellStyle name="Normal 10 4 4 3 3" xfId="3936"/>
    <cellStyle name="Normal 10 4 4 3 3 2" xfId="17582"/>
    <cellStyle name="Normal 10 4 4 3 3 2 2" xfId="27833"/>
    <cellStyle name="Normal 10 4 4 3 3 3" xfId="14003"/>
    <cellStyle name="Normal 10 4 4 3 3 4" xfId="8746"/>
    <cellStyle name="Normal 10 4 4 3 3 5" xfId="22826"/>
    <cellStyle name="Normal 10 4 4 3 4" xfId="6206"/>
    <cellStyle name="Normal 10 4 4 3 4 2" xfId="15290"/>
    <cellStyle name="Normal 10 4 4 3 4 3" xfId="25294"/>
    <cellStyle name="Normal 10 4 4 3 5" xfId="10200"/>
    <cellStyle name="Normal 10 4 4 3 5 2" xfId="19027"/>
    <cellStyle name="Normal 10 4 4 3 5 3" xfId="29278"/>
    <cellStyle name="Normal 10 4 4 3 6" xfId="11646"/>
    <cellStyle name="Normal 10 4 4 3 6 2" xfId="24485"/>
    <cellStyle name="Normal 10 4 4 3 7" xfId="5393"/>
    <cellStyle name="Normal 10 4 4 3 8" xfId="20287"/>
    <cellStyle name="Normal 10 4 4 4" xfId="1511"/>
    <cellStyle name="Normal 10 4 4 4 2" xfId="3111"/>
    <cellStyle name="Normal 10 4 4 4 2 2" xfId="18031"/>
    <cellStyle name="Normal 10 4 4 4 2 2 2" xfId="28282"/>
    <cellStyle name="Normal 10 4 4 4 2 3" xfId="14452"/>
    <cellStyle name="Normal 10 4 4 4 2 4" xfId="9195"/>
    <cellStyle name="Normal 10 4 4 4 2 5" xfId="23275"/>
    <cellStyle name="Normal 10 4 4 4 3" xfId="10649"/>
    <cellStyle name="Normal 10 4 4 4 3 2" xfId="19476"/>
    <cellStyle name="Normal 10 4 4 4 3 3" xfId="29727"/>
    <cellStyle name="Normal 10 4 4 4 4" xfId="12095"/>
    <cellStyle name="Normal 10 4 4 4 4 2" xfId="26177"/>
    <cellStyle name="Normal 10 4 4 4 5" xfId="7090"/>
    <cellStyle name="Normal 10 4 4 4 6" xfId="21170"/>
    <cellStyle name="Normal 10 4 4 5" xfId="2068"/>
    <cellStyle name="Normal 10 4 4 5 2" xfId="16988"/>
    <cellStyle name="Normal 10 4 4 5 2 2" xfId="27239"/>
    <cellStyle name="Normal 10 4 4 5 3" xfId="13409"/>
    <cellStyle name="Normal 10 4 4 5 4" xfId="8152"/>
    <cellStyle name="Normal 10 4 4 5 5" xfId="22232"/>
    <cellStyle name="Normal 10 4 4 6" xfId="5713"/>
    <cellStyle name="Normal 10 4 4 6 2" xfId="14799"/>
    <cellStyle name="Normal 10 4 4 6 3" xfId="24803"/>
    <cellStyle name="Normal 10 4 4 7" xfId="9606"/>
    <cellStyle name="Normal 10 4 4 7 2" xfId="18433"/>
    <cellStyle name="Normal 10 4 4 7 3" xfId="28684"/>
    <cellStyle name="Normal 10 4 4 8" xfId="11050"/>
    <cellStyle name="Normal 10 4 4 8 2" xfId="23776"/>
    <cellStyle name="Normal 10 4 4 9" xfId="4684"/>
    <cellStyle name="Normal 10 4 4_Degree data" xfId="1248"/>
    <cellStyle name="Normal 10 4 5" xfId="576"/>
    <cellStyle name="Normal 10 4 5 2" xfId="2309"/>
    <cellStyle name="Normal 10 4 5 2 2" xfId="15961"/>
    <cellStyle name="Normal 10 4 5 2 2 2" xfId="26018"/>
    <cellStyle name="Normal 10 4 5 2 3" xfId="12392"/>
    <cellStyle name="Normal 10 4 5 2 4" xfId="6931"/>
    <cellStyle name="Normal 10 4 5 2 5" xfId="21011"/>
    <cellStyle name="Normal 10 4 5 3" xfId="3583"/>
    <cellStyle name="Normal 10 4 5 3 2" xfId="17229"/>
    <cellStyle name="Normal 10 4 5 3 2 2" xfId="27480"/>
    <cellStyle name="Normal 10 4 5 3 3" xfId="13650"/>
    <cellStyle name="Normal 10 4 5 3 4" xfId="8393"/>
    <cellStyle name="Normal 10 4 5 3 5" xfId="22473"/>
    <cellStyle name="Normal 10 4 5 4" xfId="6047"/>
    <cellStyle name="Normal 10 4 5 4 2" xfId="15131"/>
    <cellStyle name="Normal 10 4 5 4 3" xfId="25135"/>
    <cellStyle name="Normal 10 4 5 5" xfId="9847"/>
    <cellStyle name="Normal 10 4 5 5 2" xfId="18674"/>
    <cellStyle name="Normal 10 4 5 5 3" xfId="28925"/>
    <cellStyle name="Normal 10 4 5 6" xfId="11291"/>
    <cellStyle name="Normal 10 4 5 6 2" xfId="23617"/>
    <cellStyle name="Normal 10 4 5 7" xfId="4525"/>
    <cellStyle name="Normal 10 4 5 8" xfId="20128"/>
    <cellStyle name="Normal 10 4 6" xfId="935"/>
    <cellStyle name="Normal 10 4 6 2" xfId="2657"/>
    <cellStyle name="Normal 10 4 6 2 2" xfId="16205"/>
    <cellStyle name="Normal 10 4 6 2 2 2" xfId="26423"/>
    <cellStyle name="Normal 10 4 6 2 3" xfId="12627"/>
    <cellStyle name="Normal 10 4 6 2 4" xfId="7336"/>
    <cellStyle name="Normal 10 4 6 2 5" xfId="21416"/>
    <cellStyle name="Normal 10 4 6 3" xfId="3931"/>
    <cellStyle name="Normal 10 4 6 3 2" xfId="17577"/>
    <cellStyle name="Normal 10 4 6 3 2 2" xfId="27828"/>
    <cellStyle name="Normal 10 4 6 3 3" xfId="13998"/>
    <cellStyle name="Normal 10 4 6 3 4" xfId="8741"/>
    <cellStyle name="Normal 10 4 6 3 5" xfId="22821"/>
    <cellStyle name="Normal 10 4 6 4" xfId="6452"/>
    <cellStyle name="Normal 10 4 6 4 2" xfId="15536"/>
    <cellStyle name="Normal 10 4 6 4 3" xfId="25540"/>
    <cellStyle name="Normal 10 4 6 5" xfId="10195"/>
    <cellStyle name="Normal 10 4 6 5 2" xfId="19022"/>
    <cellStyle name="Normal 10 4 6 5 3" xfId="29273"/>
    <cellStyle name="Normal 10 4 6 6" xfId="11641"/>
    <cellStyle name="Normal 10 4 6 6 2" xfId="24022"/>
    <cellStyle name="Normal 10 4 6 7" xfId="4930"/>
    <cellStyle name="Normal 10 4 6 8" xfId="20533"/>
    <cellStyle name="Normal 10 4 7" xfId="1340"/>
    <cellStyle name="Normal 10 4 7 2" xfId="2952"/>
    <cellStyle name="Normal 10 4 7 2 2" xfId="16508"/>
    <cellStyle name="Normal 10 4 7 2 2 2" xfId="26727"/>
    <cellStyle name="Normal 10 4 7 2 3" xfId="12930"/>
    <cellStyle name="Normal 10 4 7 2 4" xfId="7640"/>
    <cellStyle name="Normal 10 4 7 2 5" xfId="21720"/>
    <cellStyle name="Normal 10 4 7 3" xfId="4183"/>
    <cellStyle name="Normal 10 4 7 3 2" xfId="17872"/>
    <cellStyle name="Normal 10 4 7 3 2 2" xfId="28123"/>
    <cellStyle name="Normal 10 4 7 3 3" xfId="14293"/>
    <cellStyle name="Normal 10 4 7 3 4" xfId="9036"/>
    <cellStyle name="Normal 10 4 7 3 5" xfId="23116"/>
    <cellStyle name="Normal 10 4 7 4" xfId="5886"/>
    <cellStyle name="Normal 10 4 7 4 2" xfId="14972"/>
    <cellStyle name="Normal 10 4 7 4 3" xfId="24976"/>
    <cellStyle name="Normal 10 4 7 5" xfId="10490"/>
    <cellStyle name="Normal 10 4 7 5 2" xfId="19317"/>
    <cellStyle name="Normal 10 4 7 5 3" xfId="29568"/>
    <cellStyle name="Normal 10 4 7 6" xfId="11936"/>
    <cellStyle name="Normal 10 4 7 6 2" xfId="24326"/>
    <cellStyle name="Normal 10 4 7 7" xfId="5234"/>
    <cellStyle name="Normal 10 4 7 8" xfId="19969"/>
    <cellStyle name="Normal 10 4 8" xfId="1909"/>
    <cellStyle name="Normal 10 4 8 2" xfId="9447"/>
    <cellStyle name="Normal 10 4 8 2 2" xfId="18274"/>
    <cellStyle name="Normal 10 4 8 2 3" xfId="28525"/>
    <cellStyle name="Normal 10 4 8 3" xfId="10891"/>
    <cellStyle name="Normal 10 4 8 3 2" xfId="25860"/>
    <cellStyle name="Normal 10 4 8 4" xfId="6773"/>
    <cellStyle name="Normal 10 4 8 5" xfId="20853"/>
    <cellStyle name="Normal 10 4 9" xfId="1833"/>
    <cellStyle name="Normal 10 4 9 2" xfId="16827"/>
    <cellStyle name="Normal 10 4 9 2 2" xfId="27078"/>
    <cellStyle name="Normal 10 4 9 3" xfId="13248"/>
    <cellStyle name="Normal 10 4 9 4" xfId="7991"/>
    <cellStyle name="Normal 10 4 9 5" xfId="22071"/>
    <cellStyle name="Normal 10 4_Degree data" xfId="1272"/>
    <cellStyle name="Normal 10 5" xfId="257"/>
    <cellStyle name="Normal 10 5 10" xfId="10984"/>
    <cellStyle name="Normal 10 5 10 2" xfId="23493"/>
    <cellStyle name="Normal 10 5 11" xfId="4401"/>
    <cellStyle name="Normal 10 5 12" xfId="19730"/>
    <cellStyle name="Normal 10 5 2" xfId="359"/>
    <cellStyle name="Normal 10 5 2 10" xfId="19830"/>
    <cellStyle name="Normal 10 5 2 2" xfId="583"/>
    <cellStyle name="Normal 10 5 2 2 2" xfId="2316"/>
    <cellStyle name="Normal 10 5 2 2 2 2" xfId="16212"/>
    <cellStyle name="Normal 10 5 2 2 2 2 2" xfId="26430"/>
    <cellStyle name="Normal 10 5 2 2 2 3" xfId="12634"/>
    <cellStyle name="Normal 10 5 2 2 2 4" xfId="7343"/>
    <cellStyle name="Normal 10 5 2 2 2 5" xfId="21423"/>
    <cellStyle name="Normal 10 5 2 2 3" xfId="3590"/>
    <cellStyle name="Normal 10 5 2 2 3 2" xfId="17236"/>
    <cellStyle name="Normal 10 5 2 2 3 2 2" xfId="27487"/>
    <cellStyle name="Normal 10 5 2 2 3 3" xfId="13657"/>
    <cellStyle name="Normal 10 5 2 2 3 4" xfId="8400"/>
    <cellStyle name="Normal 10 5 2 2 3 5" xfId="22480"/>
    <cellStyle name="Normal 10 5 2 2 4" xfId="6459"/>
    <cellStyle name="Normal 10 5 2 2 4 2" xfId="15543"/>
    <cellStyle name="Normal 10 5 2 2 4 3" xfId="25547"/>
    <cellStyle name="Normal 10 5 2 2 5" xfId="9854"/>
    <cellStyle name="Normal 10 5 2 2 5 2" xfId="18681"/>
    <cellStyle name="Normal 10 5 2 2 5 3" xfId="28932"/>
    <cellStyle name="Normal 10 5 2 2 6" xfId="11298"/>
    <cellStyle name="Normal 10 5 2 2 6 2" xfId="24029"/>
    <cellStyle name="Normal 10 5 2 2 7" xfId="4937"/>
    <cellStyle name="Normal 10 5 2 2 8" xfId="20540"/>
    <cellStyle name="Normal 10 5 2 3" xfId="942"/>
    <cellStyle name="Normal 10 5 2 3 2" xfId="2664"/>
    <cellStyle name="Normal 10 5 2 3 2 2" xfId="16701"/>
    <cellStyle name="Normal 10 5 2 3 2 2 2" xfId="26920"/>
    <cellStyle name="Normal 10 5 2 3 2 3" xfId="13122"/>
    <cellStyle name="Normal 10 5 2 3 2 4" xfId="7833"/>
    <cellStyle name="Normal 10 5 2 3 2 5" xfId="21913"/>
    <cellStyle name="Normal 10 5 2 3 3" xfId="3938"/>
    <cellStyle name="Normal 10 5 2 3 3 2" xfId="17584"/>
    <cellStyle name="Normal 10 5 2 3 3 2 2" xfId="27835"/>
    <cellStyle name="Normal 10 5 2 3 3 3" xfId="14005"/>
    <cellStyle name="Normal 10 5 2 3 3 4" xfId="8748"/>
    <cellStyle name="Normal 10 5 2 3 3 5" xfId="22828"/>
    <cellStyle name="Normal 10 5 2 3 4" xfId="6240"/>
    <cellStyle name="Normal 10 5 2 3 4 2" xfId="15324"/>
    <cellStyle name="Normal 10 5 2 3 4 3" xfId="25328"/>
    <cellStyle name="Normal 10 5 2 3 5" xfId="10202"/>
    <cellStyle name="Normal 10 5 2 3 5 2" xfId="19029"/>
    <cellStyle name="Normal 10 5 2 3 5 3" xfId="29280"/>
    <cellStyle name="Normal 10 5 2 3 6" xfId="11648"/>
    <cellStyle name="Normal 10 5 2 3 6 2" xfId="24519"/>
    <cellStyle name="Normal 10 5 2 3 7" xfId="5427"/>
    <cellStyle name="Normal 10 5 2 3 8" xfId="20321"/>
    <cellStyle name="Normal 10 5 2 4" xfId="1546"/>
    <cellStyle name="Normal 10 5 2 4 2" xfId="3145"/>
    <cellStyle name="Normal 10 5 2 4 2 2" xfId="18065"/>
    <cellStyle name="Normal 10 5 2 4 2 2 2" xfId="28316"/>
    <cellStyle name="Normal 10 5 2 4 2 3" xfId="14486"/>
    <cellStyle name="Normal 10 5 2 4 2 4" xfId="9229"/>
    <cellStyle name="Normal 10 5 2 4 2 5" xfId="23309"/>
    <cellStyle name="Normal 10 5 2 4 3" xfId="10683"/>
    <cellStyle name="Normal 10 5 2 4 3 2" xfId="19510"/>
    <cellStyle name="Normal 10 5 2 4 3 3" xfId="29761"/>
    <cellStyle name="Normal 10 5 2 4 4" xfId="12129"/>
    <cellStyle name="Normal 10 5 2 4 4 2" xfId="26211"/>
    <cellStyle name="Normal 10 5 2 4 5" xfId="7124"/>
    <cellStyle name="Normal 10 5 2 4 6" xfId="21204"/>
    <cellStyle name="Normal 10 5 2 5" xfId="2102"/>
    <cellStyle name="Normal 10 5 2 5 2" xfId="17022"/>
    <cellStyle name="Normal 10 5 2 5 2 2" xfId="27273"/>
    <cellStyle name="Normal 10 5 2 5 3" xfId="13443"/>
    <cellStyle name="Normal 10 5 2 5 4" xfId="8186"/>
    <cellStyle name="Normal 10 5 2 5 5" xfId="22266"/>
    <cellStyle name="Normal 10 5 2 6" xfId="5747"/>
    <cellStyle name="Normal 10 5 2 6 2" xfId="14833"/>
    <cellStyle name="Normal 10 5 2 6 3" xfId="24837"/>
    <cellStyle name="Normal 10 5 2 7" xfId="9640"/>
    <cellStyle name="Normal 10 5 2 7 2" xfId="18467"/>
    <cellStyle name="Normal 10 5 2 7 3" xfId="28718"/>
    <cellStyle name="Normal 10 5 2 8" xfId="11084"/>
    <cellStyle name="Normal 10 5 2 8 2" xfId="23810"/>
    <cellStyle name="Normal 10 5 2 9" xfId="4718"/>
    <cellStyle name="Normal 10 5 2_Degree data" xfId="1268"/>
    <cellStyle name="Normal 10 5 3" xfId="582"/>
    <cellStyle name="Normal 10 5 3 2" xfId="2315"/>
    <cellStyle name="Normal 10 5 3 2 2" xfId="16038"/>
    <cellStyle name="Normal 10 5 3 2 2 2" xfId="26111"/>
    <cellStyle name="Normal 10 5 3 2 3" xfId="12244"/>
    <cellStyle name="Normal 10 5 3 2 4" xfId="7024"/>
    <cellStyle name="Normal 10 5 3 2 5" xfId="21104"/>
    <cellStyle name="Normal 10 5 3 3" xfId="3589"/>
    <cellStyle name="Normal 10 5 3 3 2" xfId="17235"/>
    <cellStyle name="Normal 10 5 3 3 2 2" xfId="27486"/>
    <cellStyle name="Normal 10 5 3 3 3" xfId="13656"/>
    <cellStyle name="Normal 10 5 3 3 4" xfId="8399"/>
    <cellStyle name="Normal 10 5 3 3 5" xfId="22479"/>
    <cellStyle name="Normal 10 5 3 4" xfId="6140"/>
    <cellStyle name="Normal 10 5 3 4 2" xfId="15224"/>
    <cellStyle name="Normal 10 5 3 4 3" xfId="25228"/>
    <cellStyle name="Normal 10 5 3 5" xfId="9853"/>
    <cellStyle name="Normal 10 5 3 5 2" xfId="18680"/>
    <cellStyle name="Normal 10 5 3 5 3" xfId="28931"/>
    <cellStyle name="Normal 10 5 3 6" xfId="11297"/>
    <cellStyle name="Normal 10 5 3 6 2" xfId="23710"/>
    <cellStyle name="Normal 10 5 3 7" xfId="4618"/>
    <cellStyle name="Normal 10 5 3 8" xfId="20221"/>
    <cellStyle name="Normal 10 5 4" xfId="941"/>
    <cellStyle name="Normal 10 5 4 2" xfId="2663"/>
    <cellStyle name="Normal 10 5 4 2 2" xfId="16211"/>
    <cellStyle name="Normal 10 5 4 2 2 2" xfId="26429"/>
    <cellStyle name="Normal 10 5 4 2 3" xfId="12633"/>
    <cellStyle name="Normal 10 5 4 2 4" xfId="7342"/>
    <cellStyle name="Normal 10 5 4 2 5" xfId="21422"/>
    <cellStyle name="Normal 10 5 4 3" xfId="3937"/>
    <cellStyle name="Normal 10 5 4 3 2" xfId="17583"/>
    <cellStyle name="Normal 10 5 4 3 2 2" xfId="27834"/>
    <cellStyle name="Normal 10 5 4 3 3" xfId="14004"/>
    <cellStyle name="Normal 10 5 4 3 4" xfId="8747"/>
    <cellStyle name="Normal 10 5 4 3 5" xfId="22827"/>
    <cellStyle name="Normal 10 5 4 4" xfId="6458"/>
    <cellStyle name="Normal 10 5 4 4 2" xfId="15542"/>
    <cellStyle name="Normal 10 5 4 4 3" xfId="25546"/>
    <cellStyle name="Normal 10 5 4 5" xfId="10201"/>
    <cellStyle name="Normal 10 5 4 5 2" xfId="19028"/>
    <cellStyle name="Normal 10 5 4 5 3" xfId="29279"/>
    <cellStyle name="Normal 10 5 4 6" xfId="11647"/>
    <cellStyle name="Normal 10 5 4 6 2" xfId="24028"/>
    <cellStyle name="Normal 10 5 4 7" xfId="4936"/>
    <cellStyle name="Normal 10 5 4 8" xfId="20539"/>
    <cellStyle name="Normal 10 5 5" xfId="1444"/>
    <cellStyle name="Normal 10 5 5 2" xfId="3045"/>
    <cellStyle name="Normal 10 5 5 2 2" xfId="16601"/>
    <cellStyle name="Normal 10 5 5 2 2 2" xfId="26820"/>
    <cellStyle name="Normal 10 5 5 2 3" xfId="13022"/>
    <cellStyle name="Normal 10 5 5 2 4" xfId="7733"/>
    <cellStyle name="Normal 10 5 5 2 5" xfId="21813"/>
    <cellStyle name="Normal 10 5 5 3" xfId="4259"/>
    <cellStyle name="Normal 10 5 5 3 2" xfId="17965"/>
    <cellStyle name="Normal 10 5 5 3 2 2" xfId="28216"/>
    <cellStyle name="Normal 10 5 5 3 3" xfId="14386"/>
    <cellStyle name="Normal 10 5 5 3 4" xfId="9129"/>
    <cellStyle name="Normal 10 5 5 3 5" xfId="23209"/>
    <cellStyle name="Normal 10 5 5 4" xfId="5921"/>
    <cellStyle name="Normal 10 5 5 4 2" xfId="15007"/>
    <cellStyle name="Normal 10 5 5 4 3" xfId="25011"/>
    <cellStyle name="Normal 10 5 5 5" xfId="10583"/>
    <cellStyle name="Normal 10 5 5 5 2" xfId="19410"/>
    <cellStyle name="Normal 10 5 5 5 3" xfId="29661"/>
    <cellStyle name="Normal 10 5 5 6" xfId="12029"/>
    <cellStyle name="Normal 10 5 5 6 2" xfId="24419"/>
    <cellStyle name="Normal 10 5 5 7" xfId="5327"/>
    <cellStyle name="Normal 10 5 5 8" xfId="20004"/>
    <cellStyle name="Normal 10 5 6" xfId="2002"/>
    <cellStyle name="Normal 10 5 6 2" xfId="15850"/>
    <cellStyle name="Normal 10 5 6 2 2" xfId="25894"/>
    <cellStyle name="Normal 10 5 6 3" xfId="12250"/>
    <cellStyle name="Normal 10 5 6 4" xfId="6807"/>
    <cellStyle name="Normal 10 5 6 5" xfId="20887"/>
    <cellStyle name="Normal 10 5 7" xfId="3421"/>
    <cellStyle name="Normal 10 5 7 2" xfId="16922"/>
    <cellStyle name="Normal 10 5 7 2 2" xfId="27173"/>
    <cellStyle name="Normal 10 5 7 3" xfId="13343"/>
    <cellStyle name="Normal 10 5 7 4" xfId="8086"/>
    <cellStyle name="Normal 10 5 7 5" xfId="22166"/>
    <cellStyle name="Normal 10 5 8" xfId="5647"/>
    <cellStyle name="Normal 10 5 8 2" xfId="14733"/>
    <cellStyle name="Normal 10 5 8 3" xfId="24737"/>
    <cellStyle name="Normal 10 5 9" xfId="9540"/>
    <cellStyle name="Normal 10 5 9 2" xfId="18367"/>
    <cellStyle name="Normal 10 5 9 3" xfId="28618"/>
    <cellStyle name="Normal 10 5_Degree data" xfId="1269"/>
    <cellStyle name="Normal 10 6" xfId="557"/>
    <cellStyle name="Normal 10 6 2" xfId="2290"/>
    <cellStyle name="Normal 10 6 2 2" xfId="16186"/>
    <cellStyle name="Normal 10 6 2 2 2" xfId="26404"/>
    <cellStyle name="Normal 10 6 2 3" xfId="12608"/>
    <cellStyle name="Normal 10 6 2 4" xfId="7317"/>
    <cellStyle name="Normal 10 6 2 5" xfId="21397"/>
    <cellStyle name="Normal 10 6 3" xfId="3564"/>
    <cellStyle name="Normal 10 6 3 2" xfId="17210"/>
    <cellStyle name="Normal 10 6 3 2 2" xfId="27461"/>
    <cellStyle name="Normal 10 6 3 3" xfId="13631"/>
    <cellStyle name="Normal 10 6 3 4" xfId="8374"/>
    <cellStyle name="Normal 10 6 3 5" xfId="22454"/>
    <cellStyle name="Normal 10 6 4" xfId="6433"/>
    <cellStyle name="Normal 10 6 4 2" xfId="15517"/>
    <cellStyle name="Normal 10 6 4 3" xfId="25521"/>
    <cellStyle name="Normal 10 6 5" xfId="9828"/>
    <cellStyle name="Normal 10 6 5 2" xfId="18655"/>
    <cellStyle name="Normal 10 6 5 3" xfId="28906"/>
    <cellStyle name="Normal 10 6 6" xfId="11272"/>
    <cellStyle name="Normal 10 6 6 2" xfId="24003"/>
    <cellStyle name="Normal 10 6 7" xfId="4911"/>
    <cellStyle name="Normal 10 6 8" xfId="20514"/>
    <cellStyle name="Normal 10 7" xfId="916"/>
    <cellStyle name="Normal 10 7 2" xfId="2638"/>
    <cellStyle name="Normal 10 7 2 2" xfId="16465"/>
    <cellStyle name="Normal 10 7 2 2 2" xfId="26684"/>
    <cellStyle name="Normal 10 7 2 3" xfId="12887"/>
    <cellStyle name="Normal 10 7 2 4" xfId="7597"/>
    <cellStyle name="Normal 10 7 2 5" xfId="21677"/>
    <cellStyle name="Normal 10 7 3" xfId="3912"/>
    <cellStyle name="Normal 10 7 3 2" xfId="17558"/>
    <cellStyle name="Normal 10 7 3 2 2" xfId="27809"/>
    <cellStyle name="Normal 10 7 3 3" xfId="13979"/>
    <cellStyle name="Normal 10 7 3 4" xfId="8722"/>
    <cellStyle name="Normal 10 7 3 5" xfId="22802"/>
    <cellStyle name="Normal 10 7 4" xfId="6723"/>
    <cellStyle name="Normal 10 7 4 2" xfId="15806"/>
    <cellStyle name="Normal 10 7 4 3" xfId="25810"/>
    <cellStyle name="Normal 10 7 5" xfId="10176"/>
    <cellStyle name="Normal 10 7 5 2" xfId="19003"/>
    <cellStyle name="Normal 10 7 5 3" xfId="29254"/>
    <cellStyle name="Normal 10 7 6" xfId="11622"/>
    <cellStyle name="Normal 10 7 6 2" xfId="24283"/>
    <cellStyle name="Normal 10 7 7" xfId="5191"/>
    <cellStyle name="Normal 10 7 8" xfId="20803"/>
    <cellStyle name="Normal 10 8" xfId="1241"/>
    <cellStyle name="Normal 10 8 2" xfId="2909"/>
    <cellStyle name="Normal 10 8 2 2" xfId="17829"/>
    <cellStyle name="Normal 10 8 2 2 2" xfId="28080"/>
    <cellStyle name="Normal 10 8 2 3" xfId="14250"/>
    <cellStyle name="Normal 10 8 2 4" xfId="8993"/>
    <cellStyle name="Normal 10 8 2 5" xfId="23073"/>
    <cellStyle name="Normal 10 8 3" xfId="10447"/>
    <cellStyle name="Normal 10 8 3 2" xfId="19274"/>
    <cellStyle name="Normal 10 8 3 3" xfId="29525"/>
    <cellStyle name="Normal 10 8 4" xfId="11893"/>
    <cellStyle name="Normal 10 8 4 2" xfId="27030"/>
    <cellStyle name="Normal 10 8 5" xfId="7943"/>
    <cellStyle name="Normal 10 8 6" xfId="22023"/>
    <cellStyle name="Normal 10 9" xfId="1866"/>
    <cellStyle name="Normal 10 9 2" xfId="9404"/>
    <cellStyle name="Normal 10 9 2 2" xfId="18231"/>
    <cellStyle name="Normal 10 9 2 3" xfId="28482"/>
    <cellStyle name="Normal 10 9 3" xfId="10848"/>
    <cellStyle name="Normal 10 9 3 2" xfId="27034"/>
    <cellStyle name="Normal 10 9 4" xfId="7947"/>
    <cellStyle name="Normal 10 9 5" xfId="22027"/>
    <cellStyle name="Normal 10_Degree data" xfId="1190"/>
    <cellStyle name="Normal 100" xfId="9356"/>
    <cellStyle name="Normal 101" xfId="10792"/>
    <cellStyle name="Normal 101 2" xfId="14606"/>
    <cellStyle name="Normal 102" xfId="10794"/>
    <cellStyle name="Normal 102 2" xfId="14623"/>
    <cellStyle name="Normal 103" xfId="19619"/>
    <cellStyle name="Normal 104" xfId="10793"/>
    <cellStyle name="Normal 105" xfId="10829"/>
    <cellStyle name="Normal 106" xfId="4335"/>
    <cellStyle name="Normal 11" xfId="110"/>
    <cellStyle name="Normal 12" xfId="63"/>
    <cellStyle name="Normal 12 2" xfId="118"/>
    <cellStyle name="Normal 12 3" xfId="101"/>
    <cellStyle name="Normal 13" xfId="6"/>
    <cellStyle name="Normal 13 2" xfId="64"/>
    <cellStyle name="Normal 13 3" xfId="112"/>
    <cellStyle name="Normal 13 3 2" xfId="149"/>
    <cellStyle name="Normal 13 3 3" xfId="187"/>
    <cellStyle name="Normal 14" xfId="62"/>
    <cellStyle name="Normal 14 2" xfId="117"/>
    <cellStyle name="Normal 14 3" xfId="99"/>
    <cellStyle name="Normal 15" xfId="100"/>
    <cellStyle name="Normal 15 2" xfId="584"/>
    <cellStyle name="Normal 15 2 2" xfId="943"/>
    <cellStyle name="Normal 15 2 2 2" xfId="2665"/>
    <cellStyle name="Normal 15 2 2 2 2" xfId="16809"/>
    <cellStyle name="Normal 15 2 2 2 2 2" xfId="27028"/>
    <cellStyle name="Normal 15 2 2 2 3" xfId="13230"/>
    <cellStyle name="Normal 15 2 2 2 4" xfId="7941"/>
    <cellStyle name="Normal 15 2 2 2 5" xfId="22021"/>
    <cellStyle name="Normal 15 2 2 3" xfId="3939"/>
    <cellStyle name="Normal 15 2 2 3 2" xfId="17585"/>
    <cellStyle name="Normal 15 2 2 3 2 2" xfId="27836"/>
    <cellStyle name="Normal 15 2 2 3 3" xfId="14006"/>
    <cellStyle name="Normal 15 2 2 3 4" xfId="8749"/>
    <cellStyle name="Normal 15 2 2 3 5" xfId="22829"/>
    <cellStyle name="Normal 15 2 2 4" xfId="6720"/>
    <cellStyle name="Normal 15 2 2 4 2" xfId="15803"/>
    <cellStyle name="Normal 15 2 2 4 3" xfId="25807"/>
    <cellStyle name="Normal 15 2 2 5" xfId="10203"/>
    <cellStyle name="Normal 15 2 2 5 2" xfId="19030"/>
    <cellStyle name="Normal 15 2 2 5 3" xfId="29281"/>
    <cellStyle name="Normal 15 2 2 6" xfId="11649"/>
    <cellStyle name="Normal 15 2 2 6 2" xfId="24627"/>
    <cellStyle name="Normal 15 2 2 7" xfId="5535"/>
    <cellStyle name="Normal 15 2 2 8" xfId="20800"/>
    <cellStyle name="Normal 15 2 3" xfId="1659"/>
    <cellStyle name="Normal 15 2 3 2" xfId="3253"/>
    <cellStyle name="Normal 15 2 3 2 2" xfId="18173"/>
    <cellStyle name="Normal 15 2 3 2 2 2" xfId="28424"/>
    <cellStyle name="Normal 15 2 3 2 3" xfId="14594"/>
    <cellStyle name="Normal 15 2 3 2 4" xfId="9337"/>
    <cellStyle name="Normal 15 2 3 2 5" xfId="23417"/>
    <cellStyle name="Normal 15 2 3 3" xfId="10791"/>
    <cellStyle name="Normal 15 2 3 3 2" xfId="19618"/>
    <cellStyle name="Normal 15 2 3 3 3" xfId="29869"/>
    <cellStyle name="Normal 15 2 3 4" xfId="12237"/>
    <cellStyle name="Normal 15 2 3 4 2" xfId="26431"/>
    <cellStyle name="Normal 15 2 3 5" xfId="7344"/>
    <cellStyle name="Normal 15 2 3 6" xfId="21424"/>
    <cellStyle name="Normal 15 2 4" xfId="2317"/>
    <cellStyle name="Normal 15 2 4 2" xfId="17237"/>
    <cellStyle name="Normal 15 2 4 2 2" xfId="27488"/>
    <cellStyle name="Normal 15 2 4 3" xfId="13658"/>
    <cellStyle name="Normal 15 2 4 4" xfId="8401"/>
    <cellStyle name="Normal 15 2 4 5" xfId="22481"/>
    <cellStyle name="Normal 15 2 5" xfId="6460"/>
    <cellStyle name="Normal 15 2 5 2" xfId="15544"/>
    <cellStyle name="Normal 15 2 5 3" xfId="25548"/>
    <cellStyle name="Normal 15 2 6" xfId="9855"/>
    <cellStyle name="Normal 15 2 6 2" xfId="18682"/>
    <cellStyle name="Normal 15 2 6 3" xfId="28933"/>
    <cellStyle name="Normal 15 2 7" xfId="11299"/>
    <cellStyle name="Normal 15 2 7 2" xfId="24030"/>
    <cellStyle name="Normal 15 2 8" xfId="4938"/>
    <cellStyle name="Normal 15 2 9" xfId="20541"/>
    <cellStyle name="Normal 15 2_Degree data" xfId="1567"/>
    <cellStyle name="Normal 16" xfId="7"/>
    <cellStyle name="Normal 17" xfId="8"/>
    <cellStyle name="Normal 18" xfId="9"/>
    <cellStyle name="Normal 19" xfId="32"/>
    <cellStyle name="Normal 19 2" xfId="126"/>
    <cellStyle name="Normal 19 3" xfId="94"/>
    <cellStyle name="Normal 2" xfId="42"/>
    <cellStyle name="Normal 2 2" xfId="49"/>
    <cellStyle name="Normal 2 2 2" xfId="52"/>
    <cellStyle name="Normal 2 3" xfId="78"/>
    <cellStyle name="Normal 2 3 2" xfId="79"/>
    <cellStyle name="Normal 2 4" xfId="87"/>
    <cellStyle name="Normal 2 4 2" xfId="465"/>
    <cellStyle name="Normal 2 5" xfId="51"/>
    <cellStyle name="Normal 2 5 10" xfId="138"/>
    <cellStyle name="Normal 2 5 10 10" xfId="20115"/>
    <cellStyle name="Normal 2 5 10 2" xfId="586"/>
    <cellStyle name="Normal 2 5 10 2 2" xfId="2319"/>
    <cellStyle name="Normal 2 5 10 2 2 2" xfId="16214"/>
    <cellStyle name="Normal 2 5 10 2 2 2 2" xfId="26433"/>
    <cellStyle name="Normal 2 5 10 2 2 3" xfId="12636"/>
    <cellStyle name="Normal 2 5 10 2 2 4" xfId="7346"/>
    <cellStyle name="Normal 2 5 10 2 2 5" xfId="21426"/>
    <cellStyle name="Normal 2 5 10 2 3" xfId="3592"/>
    <cellStyle name="Normal 2 5 10 2 3 2" xfId="17239"/>
    <cellStyle name="Normal 2 5 10 2 3 2 2" xfId="27490"/>
    <cellStyle name="Normal 2 5 10 2 3 3" xfId="13660"/>
    <cellStyle name="Normal 2 5 10 2 3 4" xfId="8403"/>
    <cellStyle name="Normal 2 5 10 2 3 5" xfId="22483"/>
    <cellStyle name="Normal 2 5 10 2 4" xfId="6462"/>
    <cellStyle name="Normal 2 5 10 2 4 2" xfId="15546"/>
    <cellStyle name="Normal 2 5 10 2 4 3" xfId="25550"/>
    <cellStyle name="Normal 2 5 10 2 5" xfId="9857"/>
    <cellStyle name="Normal 2 5 10 2 5 2" xfId="18684"/>
    <cellStyle name="Normal 2 5 10 2 5 3" xfId="28935"/>
    <cellStyle name="Normal 2 5 10 2 6" xfId="11301"/>
    <cellStyle name="Normal 2 5 10 2 6 2" xfId="24032"/>
    <cellStyle name="Normal 2 5 10 2 7" xfId="4940"/>
    <cellStyle name="Normal 2 5 10 2 8" xfId="20543"/>
    <cellStyle name="Normal 2 5 10 3" xfId="945"/>
    <cellStyle name="Normal 2 5 10 3 2" xfId="2667"/>
    <cellStyle name="Normal 2 5 10 3 2 2" xfId="16495"/>
    <cellStyle name="Normal 2 5 10 3 2 2 2" xfId="26714"/>
    <cellStyle name="Normal 2 5 10 3 2 3" xfId="12917"/>
    <cellStyle name="Normal 2 5 10 3 2 4" xfId="7627"/>
    <cellStyle name="Normal 2 5 10 3 2 5" xfId="21707"/>
    <cellStyle name="Normal 2 5 10 3 3" xfId="3941"/>
    <cellStyle name="Normal 2 5 10 3 3 2" xfId="17587"/>
    <cellStyle name="Normal 2 5 10 3 3 2 2" xfId="27838"/>
    <cellStyle name="Normal 2 5 10 3 3 3" xfId="14008"/>
    <cellStyle name="Normal 2 5 10 3 3 4" xfId="8751"/>
    <cellStyle name="Normal 2 5 10 3 3 5" xfId="22831"/>
    <cellStyle name="Normal 2 5 10 3 4" xfId="6714"/>
    <cellStyle name="Normal 2 5 10 3 4 2" xfId="15797"/>
    <cellStyle name="Normal 2 5 10 3 4 3" xfId="25801"/>
    <cellStyle name="Normal 2 5 10 3 5" xfId="10205"/>
    <cellStyle name="Normal 2 5 10 3 5 2" xfId="19032"/>
    <cellStyle name="Normal 2 5 10 3 5 3" xfId="29283"/>
    <cellStyle name="Normal 2 5 10 3 6" xfId="11651"/>
    <cellStyle name="Normal 2 5 10 3 6 2" xfId="24313"/>
    <cellStyle name="Normal 2 5 10 3 7" xfId="5221"/>
    <cellStyle name="Normal 2 5 10 3 8" xfId="20794"/>
    <cellStyle name="Normal 2 5 10 4" xfId="1325"/>
    <cellStyle name="Normal 2 5 10 4 2" xfId="2939"/>
    <cellStyle name="Normal 2 5 10 4 2 2" xfId="17859"/>
    <cellStyle name="Normal 2 5 10 4 2 2 2" xfId="28110"/>
    <cellStyle name="Normal 2 5 10 4 2 3" xfId="14280"/>
    <cellStyle name="Normal 2 5 10 4 2 4" xfId="9023"/>
    <cellStyle name="Normal 2 5 10 4 2 5" xfId="23103"/>
    <cellStyle name="Normal 2 5 10 4 3" xfId="10477"/>
    <cellStyle name="Normal 2 5 10 4 3 2" xfId="19304"/>
    <cellStyle name="Normal 2 5 10 4 3 3" xfId="29555"/>
    <cellStyle name="Normal 2 5 10 4 4" xfId="11923"/>
    <cellStyle name="Normal 2 5 10 4 4 2" xfId="26005"/>
    <cellStyle name="Normal 2 5 10 4 5" xfId="6918"/>
    <cellStyle name="Normal 2 5 10 4 6" xfId="20998"/>
    <cellStyle name="Normal 2 5 10 5" xfId="1896"/>
    <cellStyle name="Normal 2 5 10 5 2" xfId="16814"/>
    <cellStyle name="Normal 2 5 10 5 2 2" xfId="27065"/>
    <cellStyle name="Normal 2 5 10 5 3" xfId="13235"/>
    <cellStyle name="Normal 2 5 10 5 4" xfId="7978"/>
    <cellStyle name="Normal 2 5 10 5 5" xfId="22058"/>
    <cellStyle name="Normal 2 5 10 6" xfId="6034"/>
    <cellStyle name="Normal 2 5 10 6 2" xfId="15118"/>
    <cellStyle name="Normal 2 5 10 6 3" xfId="25122"/>
    <cellStyle name="Normal 2 5 10 7" xfId="9434"/>
    <cellStyle name="Normal 2 5 10 7 2" xfId="18261"/>
    <cellStyle name="Normal 2 5 10 7 3" xfId="28512"/>
    <cellStyle name="Normal 2 5 10 8" xfId="10878"/>
    <cellStyle name="Normal 2 5 10 8 2" xfId="23604"/>
    <cellStyle name="Normal 2 5 10 9" xfId="4512"/>
    <cellStyle name="Normal 2 5 10_Degree data" xfId="1436"/>
    <cellStyle name="Normal 2 5 11" xfId="585"/>
    <cellStyle name="Normal 2 5 11 2" xfId="2318"/>
    <cellStyle name="Normal 2 5 11 2 2" xfId="16213"/>
    <cellStyle name="Normal 2 5 11 2 2 2" xfId="26432"/>
    <cellStyle name="Normal 2 5 11 2 3" xfId="12635"/>
    <cellStyle name="Normal 2 5 11 2 4" xfId="7345"/>
    <cellStyle name="Normal 2 5 11 2 5" xfId="21425"/>
    <cellStyle name="Normal 2 5 11 3" xfId="3591"/>
    <cellStyle name="Normal 2 5 11 3 2" xfId="17238"/>
    <cellStyle name="Normal 2 5 11 3 2 2" xfId="27489"/>
    <cellStyle name="Normal 2 5 11 3 3" xfId="13659"/>
    <cellStyle name="Normal 2 5 11 3 4" xfId="8402"/>
    <cellStyle name="Normal 2 5 11 3 5" xfId="22482"/>
    <cellStyle name="Normal 2 5 11 4" xfId="6461"/>
    <cellStyle name="Normal 2 5 11 4 2" xfId="15545"/>
    <cellStyle name="Normal 2 5 11 4 3" xfId="25549"/>
    <cellStyle name="Normal 2 5 11 5" xfId="9856"/>
    <cellStyle name="Normal 2 5 11 5 2" xfId="18683"/>
    <cellStyle name="Normal 2 5 11 5 3" xfId="28934"/>
    <cellStyle name="Normal 2 5 11 6" xfId="11300"/>
    <cellStyle name="Normal 2 5 11 6 2" xfId="24031"/>
    <cellStyle name="Normal 2 5 11 7" xfId="4939"/>
    <cellStyle name="Normal 2 5 11 8" xfId="20542"/>
    <cellStyle name="Normal 2 5 12" xfId="944"/>
    <cellStyle name="Normal 2 5 12 2" xfId="2666"/>
    <cellStyle name="Normal 2 5 12 2 2" xfId="16463"/>
    <cellStyle name="Normal 2 5 12 2 2 2" xfId="26682"/>
    <cellStyle name="Normal 2 5 12 2 3" xfId="12885"/>
    <cellStyle name="Normal 2 5 12 2 4" xfId="7595"/>
    <cellStyle name="Normal 2 5 12 2 5" xfId="21675"/>
    <cellStyle name="Normal 2 5 12 3" xfId="3940"/>
    <cellStyle name="Normal 2 5 12 3 2" xfId="17586"/>
    <cellStyle name="Normal 2 5 12 3 2 2" xfId="27837"/>
    <cellStyle name="Normal 2 5 12 3 3" xfId="14007"/>
    <cellStyle name="Normal 2 5 12 3 4" xfId="8750"/>
    <cellStyle name="Normal 2 5 12 3 5" xfId="22830"/>
    <cellStyle name="Normal 2 5 12 4" xfId="5861"/>
    <cellStyle name="Normal 2 5 12 4 2" xfId="14947"/>
    <cellStyle name="Normal 2 5 12 4 3" xfId="24951"/>
    <cellStyle name="Normal 2 5 12 5" xfId="10204"/>
    <cellStyle name="Normal 2 5 12 5 2" xfId="19031"/>
    <cellStyle name="Normal 2 5 12 5 3" xfId="29282"/>
    <cellStyle name="Normal 2 5 12 6" xfId="11650"/>
    <cellStyle name="Normal 2 5 12 6 2" xfId="24281"/>
    <cellStyle name="Normal 2 5 12 7" xfId="5189"/>
    <cellStyle name="Normal 2 5 12 8" xfId="19944"/>
    <cellStyle name="Normal 2 5 13" xfId="1238"/>
    <cellStyle name="Normal 2 5 13 2" xfId="2907"/>
    <cellStyle name="Normal 2 5 13 2 2" xfId="17827"/>
    <cellStyle name="Normal 2 5 13 2 2 2" xfId="28078"/>
    <cellStyle name="Normal 2 5 13 2 3" xfId="14248"/>
    <cellStyle name="Normal 2 5 13 2 4" xfId="8991"/>
    <cellStyle name="Normal 2 5 13 2 5" xfId="23071"/>
    <cellStyle name="Normal 2 5 13 3" xfId="10445"/>
    <cellStyle name="Normal 2 5 13 3 2" xfId="19272"/>
    <cellStyle name="Normal 2 5 13 3 3" xfId="29523"/>
    <cellStyle name="Normal 2 5 13 4" xfId="11891"/>
    <cellStyle name="Normal 2 5 13 4 2" xfId="25834"/>
    <cellStyle name="Normal 2 5 13 5" xfId="6747"/>
    <cellStyle name="Normal 2 5 13 6" xfId="20827"/>
    <cellStyle name="Normal 2 5 14" xfId="1864"/>
    <cellStyle name="Normal 2 5 14 2" xfId="9402"/>
    <cellStyle name="Normal 2 5 14 2 2" xfId="18229"/>
    <cellStyle name="Normal 2 5 14 2 3" xfId="28480"/>
    <cellStyle name="Normal 2 5 14 3" xfId="10846"/>
    <cellStyle name="Normal 2 5 14 3 2" xfId="27032"/>
    <cellStyle name="Normal 2 5 14 4" xfId="7945"/>
    <cellStyle name="Normal 2 5 14 5" xfId="22025"/>
    <cellStyle name="Normal 2 5 15" xfId="1819"/>
    <cellStyle name="Normal 2 5 15 2" xfId="14627"/>
    <cellStyle name="Normal 2 5 15 3" xfId="5541"/>
    <cellStyle name="Normal 2 5 15 4" xfId="24631"/>
    <cellStyle name="Normal 2 5 16" xfId="9362"/>
    <cellStyle name="Normal 2 5 16 2" xfId="18189"/>
    <cellStyle name="Normal 2 5 16 3" xfId="28440"/>
    <cellStyle name="Normal 2 5 17" xfId="10801"/>
    <cellStyle name="Normal 2 5 17 2" xfId="23434"/>
    <cellStyle name="Normal 2 5 18" xfId="4342"/>
    <cellStyle name="Normal 2 5 19" xfId="19623"/>
    <cellStyle name="Normal 2 5 2" xfId="80"/>
    <cellStyle name="Normal 2 5 2 10" xfId="1267"/>
    <cellStyle name="Normal 2 5 2 10 2" xfId="2915"/>
    <cellStyle name="Normal 2 5 2 10 2 2" xfId="17835"/>
    <cellStyle name="Normal 2 5 2 10 2 2 2" xfId="28086"/>
    <cellStyle name="Normal 2 5 2 10 2 3" xfId="14256"/>
    <cellStyle name="Normal 2 5 2 10 2 4" xfId="8999"/>
    <cellStyle name="Normal 2 5 2 10 2 5" xfId="23079"/>
    <cellStyle name="Normal 2 5 2 10 3" xfId="10453"/>
    <cellStyle name="Normal 2 5 2 10 3 2" xfId="19280"/>
    <cellStyle name="Normal 2 5 2 10 3 3" xfId="29531"/>
    <cellStyle name="Normal 2 5 2 10 4" xfId="11899"/>
    <cellStyle name="Normal 2 5 2 10 4 2" xfId="25847"/>
    <cellStyle name="Normal 2 5 2 10 5" xfId="6760"/>
    <cellStyle name="Normal 2 5 2 10 6" xfId="20840"/>
    <cellStyle name="Normal 2 5 2 11" xfId="1872"/>
    <cellStyle name="Normal 2 5 2 11 2" xfId="9410"/>
    <cellStyle name="Normal 2 5 2 11 2 2" xfId="18237"/>
    <cellStyle name="Normal 2 5 2 11 2 3" xfId="28488"/>
    <cellStyle name="Normal 2 5 2 11 3" xfId="10854"/>
    <cellStyle name="Normal 2 5 2 11 3 2" xfId="27041"/>
    <cellStyle name="Normal 2 5 2 11 4" xfId="7954"/>
    <cellStyle name="Normal 2 5 2 11 5" xfId="22034"/>
    <cellStyle name="Normal 2 5 2 12" xfId="1829"/>
    <cellStyle name="Normal 2 5 2 12 2" xfId="14635"/>
    <cellStyle name="Normal 2 5 2 12 3" xfId="5549"/>
    <cellStyle name="Normal 2 5 2 12 4" xfId="24639"/>
    <cellStyle name="Normal 2 5 2 13" xfId="9370"/>
    <cellStyle name="Normal 2 5 2 13 2" xfId="18197"/>
    <cellStyle name="Normal 2 5 2 13 3" xfId="28448"/>
    <cellStyle name="Normal 2 5 2 14" xfId="10810"/>
    <cellStyle name="Normal 2 5 2 14 2" xfId="23447"/>
    <cellStyle name="Normal 2 5 2 15" xfId="4355"/>
    <cellStyle name="Normal 2 5 2 16" xfId="19632"/>
    <cellStyle name="Normal 2 5 2 2" xfId="124"/>
    <cellStyle name="Normal 2 5 2 2 10" xfId="1854"/>
    <cellStyle name="Normal 2 5 2 2 10 2" xfId="14660"/>
    <cellStyle name="Normal 2 5 2 2 10 3" xfId="5574"/>
    <cellStyle name="Normal 2 5 2 2 10 4" xfId="24664"/>
    <cellStyle name="Normal 2 5 2 2 11" xfId="9392"/>
    <cellStyle name="Normal 2 5 2 2 11 2" xfId="18219"/>
    <cellStyle name="Normal 2 5 2 2 11 3" xfId="28470"/>
    <cellStyle name="Normal 2 5 2 2 12" xfId="10836"/>
    <cellStyle name="Normal 2 5 2 2 12 2" xfId="23477"/>
    <cellStyle name="Normal 2 5 2 2 13" xfId="4385"/>
    <cellStyle name="Normal 2 5 2 2 14" xfId="19657"/>
    <cellStyle name="Normal 2 5 2 2 2" xfId="285"/>
    <cellStyle name="Normal 2 5 2 2 2 10" xfId="11011"/>
    <cellStyle name="Normal 2 5 2 2 2 10 2" xfId="23520"/>
    <cellStyle name="Normal 2 5 2 2 2 11" xfId="4428"/>
    <cellStyle name="Normal 2 5 2 2 2 12" xfId="19757"/>
    <cellStyle name="Normal 2 5 2 2 2 2" xfId="387"/>
    <cellStyle name="Normal 2 5 2 2 2 2 10" xfId="19857"/>
    <cellStyle name="Normal 2 5 2 2 2 2 2" xfId="590"/>
    <cellStyle name="Normal 2 5 2 2 2 2 2 2" xfId="2323"/>
    <cellStyle name="Normal 2 5 2 2 2 2 2 2 2" xfId="16218"/>
    <cellStyle name="Normal 2 5 2 2 2 2 2 2 2 2" xfId="26437"/>
    <cellStyle name="Normal 2 5 2 2 2 2 2 2 3" xfId="12640"/>
    <cellStyle name="Normal 2 5 2 2 2 2 2 2 4" xfId="7350"/>
    <cellStyle name="Normal 2 5 2 2 2 2 2 2 5" xfId="21430"/>
    <cellStyle name="Normal 2 5 2 2 2 2 2 3" xfId="3596"/>
    <cellStyle name="Normal 2 5 2 2 2 2 2 3 2" xfId="17243"/>
    <cellStyle name="Normal 2 5 2 2 2 2 2 3 2 2" xfId="27494"/>
    <cellStyle name="Normal 2 5 2 2 2 2 2 3 3" xfId="13664"/>
    <cellStyle name="Normal 2 5 2 2 2 2 2 3 4" xfId="8407"/>
    <cellStyle name="Normal 2 5 2 2 2 2 2 3 5" xfId="22487"/>
    <cellStyle name="Normal 2 5 2 2 2 2 2 4" xfId="6466"/>
    <cellStyle name="Normal 2 5 2 2 2 2 2 4 2" xfId="15550"/>
    <cellStyle name="Normal 2 5 2 2 2 2 2 4 3" xfId="25554"/>
    <cellStyle name="Normal 2 5 2 2 2 2 2 5" xfId="9861"/>
    <cellStyle name="Normal 2 5 2 2 2 2 2 5 2" xfId="18688"/>
    <cellStyle name="Normal 2 5 2 2 2 2 2 5 3" xfId="28939"/>
    <cellStyle name="Normal 2 5 2 2 2 2 2 6" xfId="11305"/>
    <cellStyle name="Normal 2 5 2 2 2 2 2 6 2" xfId="24036"/>
    <cellStyle name="Normal 2 5 2 2 2 2 2 7" xfId="4944"/>
    <cellStyle name="Normal 2 5 2 2 2 2 2 8" xfId="20547"/>
    <cellStyle name="Normal 2 5 2 2 2 2 3" xfId="949"/>
    <cellStyle name="Normal 2 5 2 2 2 2 3 2" xfId="2671"/>
    <cellStyle name="Normal 2 5 2 2 2 2 3 2 2" xfId="16728"/>
    <cellStyle name="Normal 2 5 2 2 2 2 3 2 2 2" xfId="26947"/>
    <cellStyle name="Normal 2 5 2 2 2 2 3 2 3" xfId="13149"/>
    <cellStyle name="Normal 2 5 2 2 2 2 3 2 4" xfId="7860"/>
    <cellStyle name="Normal 2 5 2 2 2 2 3 2 5" xfId="21940"/>
    <cellStyle name="Normal 2 5 2 2 2 2 3 3" xfId="3945"/>
    <cellStyle name="Normal 2 5 2 2 2 2 3 3 2" xfId="17591"/>
    <cellStyle name="Normal 2 5 2 2 2 2 3 3 2 2" xfId="27842"/>
    <cellStyle name="Normal 2 5 2 2 2 2 3 3 3" xfId="14012"/>
    <cellStyle name="Normal 2 5 2 2 2 2 3 3 4" xfId="8755"/>
    <cellStyle name="Normal 2 5 2 2 2 2 3 3 5" xfId="22835"/>
    <cellStyle name="Normal 2 5 2 2 2 2 3 4" xfId="6267"/>
    <cellStyle name="Normal 2 5 2 2 2 2 3 4 2" xfId="15351"/>
    <cellStyle name="Normal 2 5 2 2 2 2 3 4 3" xfId="25355"/>
    <cellStyle name="Normal 2 5 2 2 2 2 3 5" xfId="10209"/>
    <cellStyle name="Normal 2 5 2 2 2 2 3 5 2" xfId="19036"/>
    <cellStyle name="Normal 2 5 2 2 2 2 3 5 3" xfId="29287"/>
    <cellStyle name="Normal 2 5 2 2 2 2 3 6" xfId="11655"/>
    <cellStyle name="Normal 2 5 2 2 2 2 3 6 2" xfId="24546"/>
    <cellStyle name="Normal 2 5 2 2 2 2 3 7" xfId="5454"/>
    <cellStyle name="Normal 2 5 2 2 2 2 3 8" xfId="20348"/>
    <cellStyle name="Normal 2 5 2 2 2 2 4" xfId="1574"/>
    <cellStyle name="Normal 2 5 2 2 2 2 4 2" xfId="3172"/>
    <cellStyle name="Normal 2 5 2 2 2 2 4 2 2" xfId="18092"/>
    <cellStyle name="Normal 2 5 2 2 2 2 4 2 2 2" xfId="28343"/>
    <cellStyle name="Normal 2 5 2 2 2 2 4 2 3" xfId="14513"/>
    <cellStyle name="Normal 2 5 2 2 2 2 4 2 4" xfId="9256"/>
    <cellStyle name="Normal 2 5 2 2 2 2 4 2 5" xfId="23336"/>
    <cellStyle name="Normal 2 5 2 2 2 2 4 3" xfId="10710"/>
    <cellStyle name="Normal 2 5 2 2 2 2 4 3 2" xfId="19537"/>
    <cellStyle name="Normal 2 5 2 2 2 2 4 3 3" xfId="29788"/>
    <cellStyle name="Normal 2 5 2 2 2 2 4 4" xfId="12156"/>
    <cellStyle name="Normal 2 5 2 2 2 2 4 4 2" xfId="26238"/>
    <cellStyle name="Normal 2 5 2 2 2 2 4 5" xfId="7151"/>
    <cellStyle name="Normal 2 5 2 2 2 2 4 6" xfId="21231"/>
    <cellStyle name="Normal 2 5 2 2 2 2 5" xfId="2129"/>
    <cellStyle name="Normal 2 5 2 2 2 2 5 2" xfId="17049"/>
    <cellStyle name="Normal 2 5 2 2 2 2 5 2 2" xfId="27300"/>
    <cellStyle name="Normal 2 5 2 2 2 2 5 3" xfId="13470"/>
    <cellStyle name="Normal 2 5 2 2 2 2 5 4" xfId="8213"/>
    <cellStyle name="Normal 2 5 2 2 2 2 5 5" xfId="22293"/>
    <cellStyle name="Normal 2 5 2 2 2 2 6" xfId="5774"/>
    <cellStyle name="Normal 2 5 2 2 2 2 6 2" xfId="14860"/>
    <cellStyle name="Normal 2 5 2 2 2 2 6 3" xfId="24864"/>
    <cellStyle name="Normal 2 5 2 2 2 2 7" xfId="9667"/>
    <cellStyle name="Normal 2 5 2 2 2 2 7 2" xfId="18494"/>
    <cellStyle name="Normal 2 5 2 2 2 2 7 3" xfId="28745"/>
    <cellStyle name="Normal 2 5 2 2 2 2 8" xfId="11111"/>
    <cellStyle name="Normal 2 5 2 2 2 2 8 2" xfId="23837"/>
    <cellStyle name="Normal 2 5 2 2 2 2 9" xfId="4745"/>
    <cellStyle name="Normal 2 5 2 2 2 2_Degree data" xfId="1335"/>
    <cellStyle name="Normal 2 5 2 2 2 3" xfId="589"/>
    <cellStyle name="Normal 2 5 2 2 2 3 2" xfId="2322"/>
    <cellStyle name="Normal 2 5 2 2 2 3 2 2" xfId="16065"/>
    <cellStyle name="Normal 2 5 2 2 2 3 2 2 2" xfId="26138"/>
    <cellStyle name="Normal 2 5 2 2 2 3 2 3" xfId="12366"/>
    <cellStyle name="Normal 2 5 2 2 2 3 2 4" xfId="7051"/>
    <cellStyle name="Normal 2 5 2 2 2 3 2 5" xfId="21131"/>
    <cellStyle name="Normal 2 5 2 2 2 3 3" xfId="3595"/>
    <cellStyle name="Normal 2 5 2 2 2 3 3 2" xfId="17242"/>
    <cellStyle name="Normal 2 5 2 2 2 3 3 2 2" xfId="27493"/>
    <cellStyle name="Normal 2 5 2 2 2 3 3 3" xfId="13663"/>
    <cellStyle name="Normal 2 5 2 2 2 3 3 4" xfId="8406"/>
    <cellStyle name="Normal 2 5 2 2 2 3 3 5" xfId="22486"/>
    <cellStyle name="Normal 2 5 2 2 2 3 4" xfId="6167"/>
    <cellStyle name="Normal 2 5 2 2 2 3 4 2" xfId="15251"/>
    <cellStyle name="Normal 2 5 2 2 2 3 4 3" xfId="25255"/>
    <cellStyle name="Normal 2 5 2 2 2 3 5" xfId="9860"/>
    <cellStyle name="Normal 2 5 2 2 2 3 5 2" xfId="18687"/>
    <cellStyle name="Normal 2 5 2 2 2 3 5 3" xfId="28938"/>
    <cellStyle name="Normal 2 5 2 2 2 3 6" xfId="11304"/>
    <cellStyle name="Normal 2 5 2 2 2 3 6 2" xfId="23737"/>
    <cellStyle name="Normal 2 5 2 2 2 3 7" xfId="4645"/>
    <cellStyle name="Normal 2 5 2 2 2 3 8" xfId="20248"/>
    <cellStyle name="Normal 2 5 2 2 2 4" xfId="948"/>
    <cellStyle name="Normal 2 5 2 2 2 4 2" xfId="2670"/>
    <cellStyle name="Normal 2 5 2 2 2 4 2 2" xfId="16217"/>
    <cellStyle name="Normal 2 5 2 2 2 4 2 2 2" xfId="26436"/>
    <cellStyle name="Normal 2 5 2 2 2 4 2 3" xfId="12639"/>
    <cellStyle name="Normal 2 5 2 2 2 4 2 4" xfId="7349"/>
    <cellStyle name="Normal 2 5 2 2 2 4 2 5" xfId="21429"/>
    <cellStyle name="Normal 2 5 2 2 2 4 3" xfId="3944"/>
    <cellStyle name="Normal 2 5 2 2 2 4 3 2" xfId="17590"/>
    <cellStyle name="Normal 2 5 2 2 2 4 3 2 2" xfId="27841"/>
    <cellStyle name="Normal 2 5 2 2 2 4 3 3" xfId="14011"/>
    <cellStyle name="Normal 2 5 2 2 2 4 3 4" xfId="8754"/>
    <cellStyle name="Normal 2 5 2 2 2 4 3 5" xfId="22834"/>
    <cellStyle name="Normal 2 5 2 2 2 4 4" xfId="6465"/>
    <cellStyle name="Normal 2 5 2 2 2 4 4 2" xfId="15549"/>
    <cellStyle name="Normal 2 5 2 2 2 4 4 3" xfId="25553"/>
    <cellStyle name="Normal 2 5 2 2 2 4 5" xfId="10208"/>
    <cellStyle name="Normal 2 5 2 2 2 4 5 2" xfId="19035"/>
    <cellStyle name="Normal 2 5 2 2 2 4 5 3" xfId="29286"/>
    <cellStyle name="Normal 2 5 2 2 2 4 6" xfId="11654"/>
    <cellStyle name="Normal 2 5 2 2 2 4 6 2" xfId="24035"/>
    <cellStyle name="Normal 2 5 2 2 2 4 7" xfId="4943"/>
    <cellStyle name="Normal 2 5 2 2 2 4 8" xfId="20546"/>
    <cellStyle name="Normal 2 5 2 2 2 5" xfId="1472"/>
    <cellStyle name="Normal 2 5 2 2 2 5 2" xfId="3072"/>
    <cellStyle name="Normal 2 5 2 2 2 5 2 2" xfId="16628"/>
    <cellStyle name="Normal 2 5 2 2 2 5 2 2 2" xfId="26847"/>
    <cellStyle name="Normal 2 5 2 2 2 5 2 3" xfId="13049"/>
    <cellStyle name="Normal 2 5 2 2 2 5 2 4" xfId="7760"/>
    <cellStyle name="Normal 2 5 2 2 2 5 2 5" xfId="21840"/>
    <cellStyle name="Normal 2 5 2 2 2 5 3" xfId="4286"/>
    <cellStyle name="Normal 2 5 2 2 2 5 3 2" xfId="17992"/>
    <cellStyle name="Normal 2 5 2 2 2 5 3 2 2" xfId="28243"/>
    <cellStyle name="Normal 2 5 2 2 2 5 3 3" xfId="14413"/>
    <cellStyle name="Normal 2 5 2 2 2 5 3 4" xfId="9156"/>
    <cellStyle name="Normal 2 5 2 2 2 5 3 5" xfId="23236"/>
    <cellStyle name="Normal 2 5 2 2 2 5 4" xfId="5948"/>
    <cellStyle name="Normal 2 5 2 2 2 5 4 2" xfId="15034"/>
    <cellStyle name="Normal 2 5 2 2 2 5 4 3" xfId="25038"/>
    <cellStyle name="Normal 2 5 2 2 2 5 5" xfId="10610"/>
    <cellStyle name="Normal 2 5 2 2 2 5 5 2" xfId="19437"/>
    <cellStyle name="Normal 2 5 2 2 2 5 5 3" xfId="29688"/>
    <cellStyle name="Normal 2 5 2 2 2 5 6" xfId="12056"/>
    <cellStyle name="Normal 2 5 2 2 2 5 6 2" xfId="24446"/>
    <cellStyle name="Normal 2 5 2 2 2 5 7" xfId="5354"/>
    <cellStyle name="Normal 2 5 2 2 2 5 8" xfId="20031"/>
    <cellStyle name="Normal 2 5 2 2 2 6" xfId="2029"/>
    <cellStyle name="Normal 2 5 2 2 2 6 2" xfId="15877"/>
    <cellStyle name="Normal 2 5 2 2 2 6 2 2" xfId="25921"/>
    <cellStyle name="Normal 2 5 2 2 2 6 3" xfId="12286"/>
    <cellStyle name="Normal 2 5 2 2 2 6 4" xfId="6834"/>
    <cellStyle name="Normal 2 5 2 2 2 6 5" xfId="20914"/>
    <cellStyle name="Normal 2 5 2 2 2 7" xfId="3448"/>
    <cellStyle name="Normal 2 5 2 2 2 7 2" xfId="16949"/>
    <cellStyle name="Normal 2 5 2 2 2 7 2 2" xfId="27200"/>
    <cellStyle name="Normal 2 5 2 2 2 7 3" xfId="13370"/>
    <cellStyle name="Normal 2 5 2 2 2 7 4" xfId="8113"/>
    <cellStyle name="Normal 2 5 2 2 2 7 5" xfId="22193"/>
    <cellStyle name="Normal 2 5 2 2 2 8" xfId="5674"/>
    <cellStyle name="Normal 2 5 2 2 2 8 2" xfId="14760"/>
    <cellStyle name="Normal 2 5 2 2 2 8 3" xfId="24764"/>
    <cellStyle name="Normal 2 5 2 2 2 9" xfId="9567"/>
    <cellStyle name="Normal 2 5 2 2 2 9 2" xfId="18394"/>
    <cellStyle name="Normal 2 5 2 2 2 9 3" xfId="28645"/>
    <cellStyle name="Normal 2 5 2 2 2_Degree data" xfId="1402"/>
    <cellStyle name="Normal 2 5 2 2 3" xfId="240"/>
    <cellStyle name="Normal 2 5 2 2 3 10" xfId="10968"/>
    <cellStyle name="Normal 2 5 2 2 3 10 2" xfId="23581"/>
    <cellStyle name="Normal 2 5 2 2 3 11" xfId="4489"/>
    <cellStyle name="Normal 2 5 2 2 3 12" xfId="19714"/>
    <cellStyle name="Normal 2 5 2 2 3 2" xfId="449"/>
    <cellStyle name="Normal 2 5 2 2 3 2 10" xfId="19918"/>
    <cellStyle name="Normal 2 5 2 2 3 2 2" xfId="592"/>
    <cellStyle name="Normal 2 5 2 2 3 2 2 2" xfId="2325"/>
    <cellStyle name="Normal 2 5 2 2 3 2 2 2 2" xfId="16220"/>
    <cellStyle name="Normal 2 5 2 2 3 2 2 2 2 2" xfId="26439"/>
    <cellStyle name="Normal 2 5 2 2 3 2 2 2 3" xfId="12642"/>
    <cellStyle name="Normal 2 5 2 2 3 2 2 2 4" xfId="7352"/>
    <cellStyle name="Normal 2 5 2 2 3 2 2 2 5" xfId="21432"/>
    <cellStyle name="Normal 2 5 2 2 3 2 2 3" xfId="3598"/>
    <cellStyle name="Normal 2 5 2 2 3 2 2 3 2" xfId="17245"/>
    <cellStyle name="Normal 2 5 2 2 3 2 2 3 2 2" xfId="27496"/>
    <cellStyle name="Normal 2 5 2 2 3 2 2 3 3" xfId="13666"/>
    <cellStyle name="Normal 2 5 2 2 3 2 2 3 4" xfId="8409"/>
    <cellStyle name="Normal 2 5 2 2 3 2 2 3 5" xfId="22489"/>
    <cellStyle name="Normal 2 5 2 2 3 2 2 4" xfId="6468"/>
    <cellStyle name="Normal 2 5 2 2 3 2 2 4 2" xfId="15552"/>
    <cellStyle name="Normal 2 5 2 2 3 2 2 4 3" xfId="25556"/>
    <cellStyle name="Normal 2 5 2 2 3 2 2 5" xfId="9863"/>
    <cellStyle name="Normal 2 5 2 2 3 2 2 5 2" xfId="18690"/>
    <cellStyle name="Normal 2 5 2 2 3 2 2 5 3" xfId="28941"/>
    <cellStyle name="Normal 2 5 2 2 3 2 2 6" xfId="11307"/>
    <cellStyle name="Normal 2 5 2 2 3 2 2 6 2" xfId="24038"/>
    <cellStyle name="Normal 2 5 2 2 3 2 2 7" xfId="4946"/>
    <cellStyle name="Normal 2 5 2 2 3 2 2 8" xfId="20549"/>
    <cellStyle name="Normal 2 5 2 2 3 2 3" xfId="951"/>
    <cellStyle name="Normal 2 5 2 2 3 2 3 2" xfId="2673"/>
    <cellStyle name="Normal 2 5 2 2 3 2 3 2 2" xfId="16789"/>
    <cellStyle name="Normal 2 5 2 2 3 2 3 2 2 2" xfId="27008"/>
    <cellStyle name="Normal 2 5 2 2 3 2 3 2 3" xfId="13210"/>
    <cellStyle name="Normal 2 5 2 2 3 2 3 2 4" xfId="7921"/>
    <cellStyle name="Normal 2 5 2 2 3 2 3 2 5" xfId="22001"/>
    <cellStyle name="Normal 2 5 2 2 3 2 3 3" xfId="3947"/>
    <cellStyle name="Normal 2 5 2 2 3 2 3 3 2" xfId="17593"/>
    <cellStyle name="Normal 2 5 2 2 3 2 3 3 2 2" xfId="27844"/>
    <cellStyle name="Normal 2 5 2 2 3 2 3 3 3" xfId="14014"/>
    <cellStyle name="Normal 2 5 2 2 3 2 3 3 4" xfId="8757"/>
    <cellStyle name="Normal 2 5 2 2 3 2 3 3 5" xfId="22837"/>
    <cellStyle name="Normal 2 5 2 2 3 2 3 4" xfId="6328"/>
    <cellStyle name="Normal 2 5 2 2 3 2 3 4 2" xfId="15412"/>
    <cellStyle name="Normal 2 5 2 2 3 2 3 4 3" xfId="25416"/>
    <cellStyle name="Normal 2 5 2 2 3 2 3 5" xfId="10211"/>
    <cellStyle name="Normal 2 5 2 2 3 2 3 5 2" xfId="19038"/>
    <cellStyle name="Normal 2 5 2 2 3 2 3 5 3" xfId="29289"/>
    <cellStyle name="Normal 2 5 2 2 3 2 3 6" xfId="11657"/>
    <cellStyle name="Normal 2 5 2 2 3 2 3 6 2" xfId="24607"/>
    <cellStyle name="Normal 2 5 2 2 3 2 3 7" xfId="5515"/>
    <cellStyle name="Normal 2 5 2 2 3 2 3 8" xfId="20409"/>
    <cellStyle name="Normal 2 5 2 2 3 2 4" xfId="1636"/>
    <cellStyle name="Normal 2 5 2 2 3 2 4 2" xfId="3233"/>
    <cellStyle name="Normal 2 5 2 2 3 2 4 2 2" xfId="18153"/>
    <cellStyle name="Normal 2 5 2 2 3 2 4 2 2 2" xfId="28404"/>
    <cellStyle name="Normal 2 5 2 2 3 2 4 2 3" xfId="14574"/>
    <cellStyle name="Normal 2 5 2 2 3 2 4 2 4" xfId="9317"/>
    <cellStyle name="Normal 2 5 2 2 3 2 4 2 5" xfId="23397"/>
    <cellStyle name="Normal 2 5 2 2 3 2 4 3" xfId="10771"/>
    <cellStyle name="Normal 2 5 2 2 3 2 4 3 2" xfId="19598"/>
    <cellStyle name="Normal 2 5 2 2 3 2 4 3 3" xfId="29849"/>
    <cellStyle name="Normal 2 5 2 2 3 2 4 4" xfId="12217"/>
    <cellStyle name="Normal 2 5 2 2 3 2 4 4 2" xfId="26299"/>
    <cellStyle name="Normal 2 5 2 2 3 2 4 5" xfId="7212"/>
    <cellStyle name="Normal 2 5 2 2 3 2 4 6" xfId="21292"/>
    <cellStyle name="Normal 2 5 2 2 3 2 5" xfId="2190"/>
    <cellStyle name="Normal 2 5 2 2 3 2 5 2" xfId="17110"/>
    <cellStyle name="Normal 2 5 2 2 3 2 5 2 2" xfId="27361"/>
    <cellStyle name="Normal 2 5 2 2 3 2 5 3" xfId="13531"/>
    <cellStyle name="Normal 2 5 2 2 3 2 5 4" xfId="8274"/>
    <cellStyle name="Normal 2 5 2 2 3 2 5 5" xfId="22354"/>
    <cellStyle name="Normal 2 5 2 2 3 2 6" xfId="5835"/>
    <cellStyle name="Normal 2 5 2 2 3 2 6 2" xfId="14921"/>
    <cellStyle name="Normal 2 5 2 2 3 2 6 3" xfId="24925"/>
    <cellStyle name="Normal 2 5 2 2 3 2 7" xfId="9728"/>
    <cellStyle name="Normal 2 5 2 2 3 2 7 2" xfId="18555"/>
    <cellStyle name="Normal 2 5 2 2 3 2 7 3" xfId="28806"/>
    <cellStyle name="Normal 2 5 2 2 3 2 8" xfId="11172"/>
    <cellStyle name="Normal 2 5 2 2 3 2 8 2" xfId="23898"/>
    <cellStyle name="Normal 2 5 2 2 3 2 9" xfId="4806"/>
    <cellStyle name="Normal 2 5 2 2 3 2_Degree data" xfId="1373"/>
    <cellStyle name="Normal 2 5 2 2 3 3" xfId="591"/>
    <cellStyle name="Normal 2 5 2 2 3 3 2" xfId="2324"/>
    <cellStyle name="Normal 2 5 2 2 3 3 2 2" xfId="16022"/>
    <cellStyle name="Normal 2 5 2 2 3 3 2 2 2" xfId="26095"/>
    <cellStyle name="Normal 2 5 2 2 3 3 2 3" xfId="12377"/>
    <cellStyle name="Normal 2 5 2 2 3 3 2 4" xfId="7008"/>
    <cellStyle name="Normal 2 5 2 2 3 3 2 5" xfId="21088"/>
    <cellStyle name="Normal 2 5 2 2 3 3 3" xfId="3597"/>
    <cellStyle name="Normal 2 5 2 2 3 3 3 2" xfId="17244"/>
    <cellStyle name="Normal 2 5 2 2 3 3 3 2 2" xfId="27495"/>
    <cellStyle name="Normal 2 5 2 2 3 3 3 3" xfId="13665"/>
    <cellStyle name="Normal 2 5 2 2 3 3 3 4" xfId="8408"/>
    <cellStyle name="Normal 2 5 2 2 3 3 3 5" xfId="22488"/>
    <cellStyle name="Normal 2 5 2 2 3 3 4" xfId="6124"/>
    <cellStyle name="Normal 2 5 2 2 3 3 4 2" xfId="15208"/>
    <cellStyle name="Normal 2 5 2 2 3 3 4 3" xfId="25212"/>
    <cellStyle name="Normal 2 5 2 2 3 3 5" xfId="9862"/>
    <cellStyle name="Normal 2 5 2 2 3 3 5 2" xfId="18689"/>
    <cellStyle name="Normal 2 5 2 2 3 3 5 3" xfId="28940"/>
    <cellStyle name="Normal 2 5 2 2 3 3 6" xfId="11306"/>
    <cellStyle name="Normal 2 5 2 2 3 3 6 2" xfId="23694"/>
    <cellStyle name="Normal 2 5 2 2 3 3 7" xfId="4602"/>
    <cellStyle name="Normal 2 5 2 2 3 3 8" xfId="20205"/>
    <cellStyle name="Normal 2 5 2 2 3 4" xfId="950"/>
    <cellStyle name="Normal 2 5 2 2 3 4 2" xfId="2672"/>
    <cellStyle name="Normal 2 5 2 2 3 4 2 2" xfId="16219"/>
    <cellStyle name="Normal 2 5 2 2 3 4 2 2 2" xfId="26438"/>
    <cellStyle name="Normal 2 5 2 2 3 4 2 3" xfId="12641"/>
    <cellStyle name="Normal 2 5 2 2 3 4 2 4" xfId="7351"/>
    <cellStyle name="Normal 2 5 2 2 3 4 2 5" xfId="21431"/>
    <cellStyle name="Normal 2 5 2 2 3 4 3" xfId="3946"/>
    <cellStyle name="Normal 2 5 2 2 3 4 3 2" xfId="17592"/>
    <cellStyle name="Normal 2 5 2 2 3 4 3 2 2" xfId="27843"/>
    <cellStyle name="Normal 2 5 2 2 3 4 3 3" xfId="14013"/>
    <cellStyle name="Normal 2 5 2 2 3 4 3 4" xfId="8756"/>
    <cellStyle name="Normal 2 5 2 2 3 4 3 5" xfId="22836"/>
    <cellStyle name="Normal 2 5 2 2 3 4 4" xfId="6467"/>
    <cellStyle name="Normal 2 5 2 2 3 4 4 2" xfId="15551"/>
    <cellStyle name="Normal 2 5 2 2 3 4 4 3" xfId="25555"/>
    <cellStyle name="Normal 2 5 2 2 3 4 5" xfId="10210"/>
    <cellStyle name="Normal 2 5 2 2 3 4 5 2" xfId="19037"/>
    <cellStyle name="Normal 2 5 2 2 3 4 5 3" xfId="29288"/>
    <cellStyle name="Normal 2 5 2 2 3 4 6" xfId="11656"/>
    <cellStyle name="Normal 2 5 2 2 3 4 6 2" xfId="24037"/>
    <cellStyle name="Normal 2 5 2 2 3 4 7" xfId="4945"/>
    <cellStyle name="Normal 2 5 2 2 3 4 8" xfId="20548"/>
    <cellStyle name="Normal 2 5 2 2 3 5" xfId="1427"/>
    <cellStyle name="Normal 2 5 2 2 3 5 2" xfId="3029"/>
    <cellStyle name="Normal 2 5 2 2 3 5 2 2" xfId="16585"/>
    <cellStyle name="Normal 2 5 2 2 3 5 2 2 2" xfId="26804"/>
    <cellStyle name="Normal 2 5 2 2 3 5 2 3" xfId="13006"/>
    <cellStyle name="Normal 2 5 2 2 3 5 2 4" xfId="7717"/>
    <cellStyle name="Normal 2 5 2 2 3 5 2 5" xfId="21797"/>
    <cellStyle name="Normal 2 5 2 2 3 5 3" xfId="4243"/>
    <cellStyle name="Normal 2 5 2 2 3 5 3 2" xfId="17949"/>
    <cellStyle name="Normal 2 5 2 2 3 5 3 2 2" xfId="28200"/>
    <cellStyle name="Normal 2 5 2 2 3 5 3 3" xfId="14370"/>
    <cellStyle name="Normal 2 5 2 2 3 5 3 4" xfId="9113"/>
    <cellStyle name="Normal 2 5 2 2 3 5 3 5" xfId="23193"/>
    <cellStyle name="Normal 2 5 2 2 3 5 4" xfId="6009"/>
    <cellStyle name="Normal 2 5 2 2 3 5 4 2" xfId="15095"/>
    <cellStyle name="Normal 2 5 2 2 3 5 4 3" xfId="25099"/>
    <cellStyle name="Normal 2 5 2 2 3 5 5" xfId="10567"/>
    <cellStyle name="Normal 2 5 2 2 3 5 5 2" xfId="19394"/>
    <cellStyle name="Normal 2 5 2 2 3 5 5 3" xfId="29645"/>
    <cellStyle name="Normal 2 5 2 2 3 5 6" xfId="12013"/>
    <cellStyle name="Normal 2 5 2 2 3 5 6 2" xfId="24403"/>
    <cellStyle name="Normal 2 5 2 2 3 5 7" xfId="5311"/>
    <cellStyle name="Normal 2 5 2 2 3 5 8" xfId="20092"/>
    <cellStyle name="Normal 2 5 2 2 3 6" xfId="1986"/>
    <cellStyle name="Normal 2 5 2 2 3 6 2" xfId="15938"/>
    <cellStyle name="Normal 2 5 2 2 3 6 2 2" xfId="25982"/>
    <cellStyle name="Normal 2 5 2 2 3 6 3" xfId="12398"/>
    <cellStyle name="Normal 2 5 2 2 3 6 4" xfId="6895"/>
    <cellStyle name="Normal 2 5 2 2 3 6 5" xfId="20975"/>
    <cellStyle name="Normal 2 5 2 2 3 7" xfId="3405"/>
    <cellStyle name="Normal 2 5 2 2 3 7 2" xfId="16906"/>
    <cellStyle name="Normal 2 5 2 2 3 7 2 2" xfId="27157"/>
    <cellStyle name="Normal 2 5 2 2 3 7 3" xfId="13327"/>
    <cellStyle name="Normal 2 5 2 2 3 7 4" xfId="8070"/>
    <cellStyle name="Normal 2 5 2 2 3 7 5" xfId="22150"/>
    <cellStyle name="Normal 2 5 2 2 3 8" xfId="5631"/>
    <cellStyle name="Normal 2 5 2 2 3 8 2" xfId="14717"/>
    <cellStyle name="Normal 2 5 2 2 3 8 3" xfId="24721"/>
    <cellStyle name="Normal 2 5 2 2 3 9" xfId="9524"/>
    <cellStyle name="Normal 2 5 2 2 3 9 2" xfId="18351"/>
    <cellStyle name="Normal 2 5 2 2 3 9 3" xfId="28602"/>
    <cellStyle name="Normal 2 5 2 2 3_Degree data" xfId="1371"/>
    <cellStyle name="Normal 2 5 2 2 4" xfId="342"/>
    <cellStyle name="Normal 2 5 2 2 4 10" xfId="19814"/>
    <cellStyle name="Normal 2 5 2 2 4 2" xfId="593"/>
    <cellStyle name="Normal 2 5 2 2 4 2 2" xfId="2326"/>
    <cellStyle name="Normal 2 5 2 2 4 2 2 2" xfId="16221"/>
    <cellStyle name="Normal 2 5 2 2 4 2 2 2 2" xfId="26440"/>
    <cellStyle name="Normal 2 5 2 2 4 2 2 3" xfId="12643"/>
    <cellStyle name="Normal 2 5 2 2 4 2 2 4" xfId="7353"/>
    <cellStyle name="Normal 2 5 2 2 4 2 2 5" xfId="21433"/>
    <cellStyle name="Normal 2 5 2 2 4 2 3" xfId="3599"/>
    <cellStyle name="Normal 2 5 2 2 4 2 3 2" xfId="17246"/>
    <cellStyle name="Normal 2 5 2 2 4 2 3 2 2" xfId="27497"/>
    <cellStyle name="Normal 2 5 2 2 4 2 3 3" xfId="13667"/>
    <cellStyle name="Normal 2 5 2 2 4 2 3 4" xfId="8410"/>
    <cellStyle name="Normal 2 5 2 2 4 2 3 5" xfId="22490"/>
    <cellStyle name="Normal 2 5 2 2 4 2 4" xfId="6469"/>
    <cellStyle name="Normal 2 5 2 2 4 2 4 2" xfId="15553"/>
    <cellStyle name="Normal 2 5 2 2 4 2 4 3" xfId="25557"/>
    <cellStyle name="Normal 2 5 2 2 4 2 5" xfId="9864"/>
    <cellStyle name="Normal 2 5 2 2 4 2 5 2" xfId="18691"/>
    <cellStyle name="Normal 2 5 2 2 4 2 5 3" xfId="28942"/>
    <cellStyle name="Normal 2 5 2 2 4 2 6" xfId="11308"/>
    <cellStyle name="Normal 2 5 2 2 4 2 6 2" xfId="24039"/>
    <cellStyle name="Normal 2 5 2 2 4 2 7" xfId="4947"/>
    <cellStyle name="Normal 2 5 2 2 4 2 8" xfId="20550"/>
    <cellStyle name="Normal 2 5 2 2 4 3" xfId="952"/>
    <cellStyle name="Normal 2 5 2 2 4 3 2" xfId="2674"/>
    <cellStyle name="Normal 2 5 2 2 4 3 2 2" xfId="16685"/>
    <cellStyle name="Normal 2 5 2 2 4 3 2 2 2" xfId="26904"/>
    <cellStyle name="Normal 2 5 2 2 4 3 2 3" xfId="13106"/>
    <cellStyle name="Normal 2 5 2 2 4 3 2 4" xfId="7817"/>
    <cellStyle name="Normal 2 5 2 2 4 3 2 5" xfId="21897"/>
    <cellStyle name="Normal 2 5 2 2 4 3 3" xfId="3948"/>
    <cellStyle name="Normal 2 5 2 2 4 3 3 2" xfId="17594"/>
    <cellStyle name="Normal 2 5 2 2 4 3 3 2 2" xfId="27845"/>
    <cellStyle name="Normal 2 5 2 2 4 3 3 3" xfId="14015"/>
    <cellStyle name="Normal 2 5 2 2 4 3 3 4" xfId="8758"/>
    <cellStyle name="Normal 2 5 2 2 4 3 3 5" xfId="22838"/>
    <cellStyle name="Normal 2 5 2 2 4 3 4" xfId="6224"/>
    <cellStyle name="Normal 2 5 2 2 4 3 4 2" xfId="15308"/>
    <cellStyle name="Normal 2 5 2 2 4 3 4 3" xfId="25312"/>
    <cellStyle name="Normal 2 5 2 2 4 3 5" xfId="10212"/>
    <cellStyle name="Normal 2 5 2 2 4 3 5 2" xfId="19039"/>
    <cellStyle name="Normal 2 5 2 2 4 3 5 3" xfId="29290"/>
    <cellStyle name="Normal 2 5 2 2 4 3 6" xfId="11658"/>
    <cellStyle name="Normal 2 5 2 2 4 3 6 2" xfId="24503"/>
    <cellStyle name="Normal 2 5 2 2 4 3 7" xfId="5411"/>
    <cellStyle name="Normal 2 5 2 2 4 3 8" xfId="20305"/>
    <cellStyle name="Normal 2 5 2 2 4 4" xfId="1529"/>
    <cellStyle name="Normal 2 5 2 2 4 4 2" xfId="3129"/>
    <cellStyle name="Normal 2 5 2 2 4 4 2 2" xfId="18049"/>
    <cellStyle name="Normal 2 5 2 2 4 4 2 2 2" xfId="28300"/>
    <cellStyle name="Normal 2 5 2 2 4 4 2 3" xfId="14470"/>
    <cellStyle name="Normal 2 5 2 2 4 4 2 4" xfId="9213"/>
    <cellStyle name="Normal 2 5 2 2 4 4 2 5" xfId="23293"/>
    <cellStyle name="Normal 2 5 2 2 4 4 3" xfId="10667"/>
    <cellStyle name="Normal 2 5 2 2 4 4 3 2" xfId="19494"/>
    <cellStyle name="Normal 2 5 2 2 4 4 3 3" xfId="29745"/>
    <cellStyle name="Normal 2 5 2 2 4 4 4" xfId="12113"/>
    <cellStyle name="Normal 2 5 2 2 4 4 4 2" xfId="26195"/>
    <cellStyle name="Normal 2 5 2 2 4 4 5" xfId="7108"/>
    <cellStyle name="Normal 2 5 2 2 4 4 6" xfId="21188"/>
    <cellStyle name="Normal 2 5 2 2 4 5" xfId="2086"/>
    <cellStyle name="Normal 2 5 2 2 4 5 2" xfId="17006"/>
    <cellStyle name="Normal 2 5 2 2 4 5 2 2" xfId="27257"/>
    <cellStyle name="Normal 2 5 2 2 4 5 3" xfId="13427"/>
    <cellStyle name="Normal 2 5 2 2 4 5 4" xfId="8170"/>
    <cellStyle name="Normal 2 5 2 2 4 5 5" xfId="22250"/>
    <cellStyle name="Normal 2 5 2 2 4 6" xfId="5731"/>
    <cellStyle name="Normal 2 5 2 2 4 6 2" xfId="14817"/>
    <cellStyle name="Normal 2 5 2 2 4 6 3" xfId="24821"/>
    <cellStyle name="Normal 2 5 2 2 4 7" xfId="9624"/>
    <cellStyle name="Normal 2 5 2 2 4 7 2" xfId="18451"/>
    <cellStyle name="Normal 2 5 2 2 4 7 3" xfId="28702"/>
    <cellStyle name="Normal 2 5 2 2 4 8" xfId="11068"/>
    <cellStyle name="Normal 2 5 2 2 4 8 2" xfId="23794"/>
    <cellStyle name="Normal 2 5 2 2 4 9" xfId="4702"/>
    <cellStyle name="Normal 2 5 2 2 4_Degree data" xfId="1252"/>
    <cellStyle name="Normal 2 5 2 2 5" xfId="175"/>
    <cellStyle name="Normal 2 5 2 2 5 10" xfId="20148"/>
    <cellStyle name="Normal 2 5 2 2 5 2" xfId="594"/>
    <cellStyle name="Normal 2 5 2 2 5 2 2" xfId="2327"/>
    <cellStyle name="Normal 2 5 2 2 5 2 2 2" xfId="16222"/>
    <cellStyle name="Normal 2 5 2 2 5 2 2 2 2" xfId="26441"/>
    <cellStyle name="Normal 2 5 2 2 5 2 2 3" xfId="12644"/>
    <cellStyle name="Normal 2 5 2 2 5 2 2 4" xfId="7354"/>
    <cellStyle name="Normal 2 5 2 2 5 2 2 5" xfId="21434"/>
    <cellStyle name="Normal 2 5 2 2 5 2 3" xfId="3600"/>
    <cellStyle name="Normal 2 5 2 2 5 2 3 2" xfId="17247"/>
    <cellStyle name="Normal 2 5 2 2 5 2 3 2 2" xfId="27498"/>
    <cellStyle name="Normal 2 5 2 2 5 2 3 3" xfId="13668"/>
    <cellStyle name="Normal 2 5 2 2 5 2 3 4" xfId="8411"/>
    <cellStyle name="Normal 2 5 2 2 5 2 3 5" xfId="22491"/>
    <cellStyle name="Normal 2 5 2 2 5 2 4" xfId="6470"/>
    <cellStyle name="Normal 2 5 2 2 5 2 4 2" xfId="15554"/>
    <cellStyle name="Normal 2 5 2 2 5 2 4 3" xfId="25558"/>
    <cellStyle name="Normal 2 5 2 2 5 2 5" xfId="9865"/>
    <cellStyle name="Normal 2 5 2 2 5 2 5 2" xfId="18692"/>
    <cellStyle name="Normal 2 5 2 2 5 2 5 3" xfId="28943"/>
    <cellStyle name="Normal 2 5 2 2 5 2 6" xfId="11309"/>
    <cellStyle name="Normal 2 5 2 2 5 2 6 2" xfId="24040"/>
    <cellStyle name="Normal 2 5 2 2 5 2 7" xfId="4948"/>
    <cellStyle name="Normal 2 5 2 2 5 2 8" xfId="20551"/>
    <cellStyle name="Normal 2 5 2 2 5 3" xfId="953"/>
    <cellStyle name="Normal 2 5 2 2 5 3 2" xfId="2675"/>
    <cellStyle name="Normal 2 5 2 2 5 3 2 2" xfId="16528"/>
    <cellStyle name="Normal 2 5 2 2 5 3 2 2 2" xfId="26747"/>
    <cellStyle name="Normal 2 5 2 2 5 3 2 3" xfId="12949"/>
    <cellStyle name="Normal 2 5 2 2 5 3 2 4" xfId="7660"/>
    <cellStyle name="Normal 2 5 2 2 5 3 2 5" xfId="21740"/>
    <cellStyle name="Normal 2 5 2 2 5 3 3" xfId="3949"/>
    <cellStyle name="Normal 2 5 2 2 5 3 3 2" xfId="17595"/>
    <cellStyle name="Normal 2 5 2 2 5 3 3 2 2" xfId="27846"/>
    <cellStyle name="Normal 2 5 2 2 5 3 3 3" xfId="14016"/>
    <cellStyle name="Normal 2 5 2 2 5 3 3 4" xfId="8759"/>
    <cellStyle name="Normal 2 5 2 2 5 3 3 5" xfId="22839"/>
    <cellStyle name="Normal 2 5 2 2 5 3 4" xfId="6725"/>
    <cellStyle name="Normal 2 5 2 2 5 3 4 2" xfId="15808"/>
    <cellStyle name="Normal 2 5 2 2 5 3 4 3" xfId="25812"/>
    <cellStyle name="Normal 2 5 2 2 5 3 5" xfId="10213"/>
    <cellStyle name="Normal 2 5 2 2 5 3 5 2" xfId="19040"/>
    <cellStyle name="Normal 2 5 2 2 5 3 5 3" xfId="29291"/>
    <cellStyle name="Normal 2 5 2 2 5 3 6" xfId="11659"/>
    <cellStyle name="Normal 2 5 2 2 5 3 6 2" xfId="24346"/>
    <cellStyle name="Normal 2 5 2 2 5 3 7" xfId="5254"/>
    <cellStyle name="Normal 2 5 2 2 5 3 8" xfId="20805"/>
    <cellStyle name="Normal 2 5 2 2 5 4" xfId="1362"/>
    <cellStyle name="Normal 2 5 2 2 5 4 2" xfId="2972"/>
    <cellStyle name="Normal 2 5 2 2 5 4 2 2" xfId="17892"/>
    <cellStyle name="Normal 2 5 2 2 5 4 2 2 2" xfId="28143"/>
    <cellStyle name="Normal 2 5 2 2 5 4 2 3" xfId="14313"/>
    <cellStyle name="Normal 2 5 2 2 5 4 2 4" xfId="9056"/>
    <cellStyle name="Normal 2 5 2 2 5 4 2 5" xfId="23136"/>
    <cellStyle name="Normal 2 5 2 2 5 4 3" xfId="10510"/>
    <cellStyle name="Normal 2 5 2 2 5 4 3 2" xfId="19337"/>
    <cellStyle name="Normal 2 5 2 2 5 4 3 3" xfId="29588"/>
    <cellStyle name="Normal 2 5 2 2 5 4 4" xfId="11956"/>
    <cellStyle name="Normal 2 5 2 2 5 4 4 2" xfId="26038"/>
    <cellStyle name="Normal 2 5 2 2 5 4 5" xfId="6951"/>
    <cellStyle name="Normal 2 5 2 2 5 4 6" xfId="21031"/>
    <cellStyle name="Normal 2 5 2 2 5 5" xfId="1929"/>
    <cellStyle name="Normal 2 5 2 2 5 5 2" xfId="16847"/>
    <cellStyle name="Normal 2 5 2 2 5 5 2 2" xfId="27098"/>
    <cellStyle name="Normal 2 5 2 2 5 5 3" xfId="13268"/>
    <cellStyle name="Normal 2 5 2 2 5 5 4" xfId="8011"/>
    <cellStyle name="Normal 2 5 2 2 5 5 5" xfId="22091"/>
    <cellStyle name="Normal 2 5 2 2 5 6" xfId="6067"/>
    <cellStyle name="Normal 2 5 2 2 5 6 2" xfId="15151"/>
    <cellStyle name="Normal 2 5 2 2 5 6 3" xfId="25155"/>
    <cellStyle name="Normal 2 5 2 2 5 7" xfId="9467"/>
    <cellStyle name="Normal 2 5 2 2 5 7 2" xfId="18294"/>
    <cellStyle name="Normal 2 5 2 2 5 7 3" xfId="28545"/>
    <cellStyle name="Normal 2 5 2 2 5 8" xfId="10911"/>
    <cellStyle name="Normal 2 5 2 2 5 8 2" xfId="23637"/>
    <cellStyle name="Normal 2 5 2 2 5 9" xfId="4545"/>
    <cellStyle name="Normal 2 5 2 2 5_Degree data" xfId="1263"/>
    <cellStyle name="Normal 2 5 2 2 6" xfId="588"/>
    <cellStyle name="Normal 2 5 2 2 6 2" xfId="2321"/>
    <cellStyle name="Normal 2 5 2 2 6 2 2" xfId="16216"/>
    <cellStyle name="Normal 2 5 2 2 6 2 2 2" xfId="26435"/>
    <cellStyle name="Normal 2 5 2 2 6 2 3" xfId="12638"/>
    <cellStyle name="Normal 2 5 2 2 6 2 4" xfId="7348"/>
    <cellStyle name="Normal 2 5 2 2 6 2 5" xfId="21428"/>
    <cellStyle name="Normal 2 5 2 2 6 3" xfId="3594"/>
    <cellStyle name="Normal 2 5 2 2 6 3 2" xfId="17241"/>
    <cellStyle name="Normal 2 5 2 2 6 3 2 2" xfId="27492"/>
    <cellStyle name="Normal 2 5 2 2 6 3 3" xfId="13662"/>
    <cellStyle name="Normal 2 5 2 2 6 3 4" xfId="8405"/>
    <cellStyle name="Normal 2 5 2 2 6 3 5" xfId="22485"/>
    <cellStyle name="Normal 2 5 2 2 6 4" xfId="6464"/>
    <cellStyle name="Normal 2 5 2 2 6 4 2" xfId="15548"/>
    <cellStyle name="Normal 2 5 2 2 6 4 3" xfId="25552"/>
    <cellStyle name="Normal 2 5 2 2 6 5" xfId="9859"/>
    <cellStyle name="Normal 2 5 2 2 6 5 2" xfId="18686"/>
    <cellStyle name="Normal 2 5 2 2 6 5 3" xfId="28937"/>
    <cellStyle name="Normal 2 5 2 2 6 6" xfId="11303"/>
    <cellStyle name="Normal 2 5 2 2 6 6 2" xfId="24034"/>
    <cellStyle name="Normal 2 5 2 2 6 7" xfId="4942"/>
    <cellStyle name="Normal 2 5 2 2 6 8" xfId="20545"/>
    <cellStyle name="Normal 2 5 2 2 7" xfId="947"/>
    <cellStyle name="Normal 2 5 2 2 7 2" xfId="2669"/>
    <cellStyle name="Normal 2 5 2 2 7 2 2" xfId="16483"/>
    <cellStyle name="Normal 2 5 2 2 7 2 2 2" xfId="26702"/>
    <cellStyle name="Normal 2 5 2 2 7 2 3" xfId="12905"/>
    <cellStyle name="Normal 2 5 2 2 7 2 4" xfId="7615"/>
    <cellStyle name="Normal 2 5 2 2 7 2 5" xfId="21695"/>
    <cellStyle name="Normal 2 5 2 2 7 3" xfId="3943"/>
    <cellStyle name="Normal 2 5 2 2 7 3 2" xfId="17589"/>
    <cellStyle name="Normal 2 5 2 2 7 3 2 2" xfId="27840"/>
    <cellStyle name="Normal 2 5 2 2 7 3 3" xfId="14010"/>
    <cellStyle name="Normal 2 5 2 2 7 3 4" xfId="8753"/>
    <cellStyle name="Normal 2 5 2 2 7 3 5" xfId="22833"/>
    <cellStyle name="Normal 2 5 2 2 7 4" xfId="5905"/>
    <cellStyle name="Normal 2 5 2 2 7 4 2" xfId="14991"/>
    <cellStyle name="Normal 2 5 2 2 7 4 3" xfId="24995"/>
    <cellStyle name="Normal 2 5 2 2 7 5" xfId="10207"/>
    <cellStyle name="Normal 2 5 2 2 7 5 2" xfId="19034"/>
    <cellStyle name="Normal 2 5 2 2 7 5 3" xfId="29285"/>
    <cellStyle name="Normal 2 5 2 2 7 6" xfId="11653"/>
    <cellStyle name="Normal 2 5 2 2 7 6 2" xfId="24301"/>
    <cellStyle name="Normal 2 5 2 2 7 7" xfId="5209"/>
    <cellStyle name="Normal 2 5 2 2 7 8" xfId="19988"/>
    <cellStyle name="Normal 2 5 2 2 8" xfId="1311"/>
    <cellStyle name="Normal 2 5 2 2 8 2" xfId="2927"/>
    <cellStyle name="Normal 2 5 2 2 8 2 2" xfId="17847"/>
    <cellStyle name="Normal 2 5 2 2 8 2 2 2" xfId="28098"/>
    <cellStyle name="Normal 2 5 2 2 8 2 3" xfId="14268"/>
    <cellStyle name="Normal 2 5 2 2 8 2 4" xfId="9011"/>
    <cellStyle name="Normal 2 5 2 2 8 2 5" xfId="23091"/>
    <cellStyle name="Normal 2 5 2 2 8 3" xfId="10465"/>
    <cellStyle name="Normal 2 5 2 2 8 3 2" xfId="19292"/>
    <cellStyle name="Normal 2 5 2 2 8 3 3" xfId="29543"/>
    <cellStyle name="Normal 2 5 2 2 8 4" xfId="11911"/>
    <cellStyle name="Normal 2 5 2 2 8 4 2" xfId="25878"/>
    <cellStyle name="Normal 2 5 2 2 8 5" xfId="6791"/>
    <cellStyle name="Normal 2 5 2 2 8 6" xfId="20871"/>
    <cellStyle name="Normal 2 5 2 2 9" xfId="1884"/>
    <cellStyle name="Normal 2 5 2 2 9 2" xfId="9422"/>
    <cellStyle name="Normal 2 5 2 2 9 2 2" xfId="18249"/>
    <cellStyle name="Normal 2 5 2 2 9 2 3" xfId="28500"/>
    <cellStyle name="Normal 2 5 2 2 9 3" xfId="10866"/>
    <cellStyle name="Normal 2 5 2 2 9 3 2" xfId="27053"/>
    <cellStyle name="Normal 2 5 2 2 9 4" xfId="7966"/>
    <cellStyle name="Normal 2 5 2 2 9 5" xfId="22046"/>
    <cellStyle name="Normal 2 5 2 2_Degree data" xfId="1404"/>
    <cellStyle name="Normal 2 5 2 3" xfId="159"/>
    <cellStyle name="Normal 2 5 2 3 10" xfId="5560"/>
    <cellStyle name="Normal 2 5 2 3 10 2" xfId="14646"/>
    <cellStyle name="Normal 2 5 2 3 10 3" xfId="24650"/>
    <cellStyle name="Normal 2 5 2 3 11" xfId="9380"/>
    <cellStyle name="Normal 2 5 2 3 11 2" xfId="18207"/>
    <cellStyle name="Normal 2 5 2 3 11 3" xfId="28458"/>
    <cellStyle name="Normal 2 5 2 3 12" xfId="10820"/>
    <cellStyle name="Normal 2 5 2 3 12 2" xfId="23465"/>
    <cellStyle name="Normal 2 5 2 3 13" xfId="4373"/>
    <cellStyle name="Normal 2 5 2 3 14" xfId="19643"/>
    <cellStyle name="Normal 2 5 2 3 2" xfId="272"/>
    <cellStyle name="Normal 2 5 2 3 2 10" xfId="10999"/>
    <cellStyle name="Normal 2 5 2 3 2 10 2" xfId="23508"/>
    <cellStyle name="Normal 2 5 2 3 2 11" xfId="4416"/>
    <cellStyle name="Normal 2 5 2 3 2 12" xfId="19745"/>
    <cellStyle name="Normal 2 5 2 3 2 2" xfId="374"/>
    <cellStyle name="Normal 2 5 2 3 2 2 10" xfId="19845"/>
    <cellStyle name="Normal 2 5 2 3 2 2 2" xfId="597"/>
    <cellStyle name="Normal 2 5 2 3 2 2 2 2" xfId="2330"/>
    <cellStyle name="Normal 2 5 2 3 2 2 2 2 2" xfId="16225"/>
    <cellStyle name="Normal 2 5 2 3 2 2 2 2 2 2" xfId="26444"/>
    <cellStyle name="Normal 2 5 2 3 2 2 2 2 3" xfId="12647"/>
    <cellStyle name="Normal 2 5 2 3 2 2 2 2 4" xfId="7357"/>
    <cellStyle name="Normal 2 5 2 3 2 2 2 2 5" xfId="21437"/>
    <cellStyle name="Normal 2 5 2 3 2 2 2 3" xfId="3603"/>
    <cellStyle name="Normal 2 5 2 3 2 2 2 3 2" xfId="17250"/>
    <cellStyle name="Normal 2 5 2 3 2 2 2 3 2 2" xfId="27501"/>
    <cellStyle name="Normal 2 5 2 3 2 2 2 3 3" xfId="13671"/>
    <cellStyle name="Normal 2 5 2 3 2 2 2 3 4" xfId="8414"/>
    <cellStyle name="Normal 2 5 2 3 2 2 2 3 5" xfId="22494"/>
    <cellStyle name="Normal 2 5 2 3 2 2 2 4" xfId="6473"/>
    <cellStyle name="Normal 2 5 2 3 2 2 2 4 2" xfId="15557"/>
    <cellStyle name="Normal 2 5 2 3 2 2 2 4 3" xfId="25561"/>
    <cellStyle name="Normal 2 5 2 3 2 2 2 5" xfId="9868"/>
    <cellStyle name="Normal 2 5 2 3 2 2 2 5 2" xfId="18695"/>
    <cellStyle name="Normal 2 5 2 3 2 2 2 5 3" xfId="28946"/>
    <cellStyle name="Normal 2 5 2 3 2 2 2 6" xfId="11312"/>
    <cellStyle name="Normal 2 5 2 3 2 2 2 6 2" xfId="24043"/>
    <cellStyle name="Normal 2 5 2 3 2 2 2 7" xfId="4951"/>
    <cellStyle name="Normal 2 5 2 3 2 2 2 8" xfId="20554"/>
    <cellStyle name="Normal 2 5 2 3 2 2 3" xfId="956"/>
    <cellStyle name="Normal 2 5 2 3 2 2 3 2" xfId="2678"/>
    <cellStyle name="Normal 2 5 2 3 2 2 3 2 2" xfId="16716"/>
    <cellStyle name="Normal 2 5 2 3 2 2 3 2 2 2" xfId="26935"/>
    <cellStyle name="Normal 2 5 2 3 2 2 3 2 3" xfId="13137"/>
    <cellStyle name="Normal 2 5 2 3 2 2 3 2 4" xfId="7848"/>
    <cellStyle name="Normal 2 5 2 3 2 2 3 2 5" xfId="21928"/>
    <cellStyle name="Normal 2 5 2 3 2 2 3 3" xfId="3952"/>
    <cellStyle name="Normal 2 5 2 3 2 2 3 3 2" xfId="17598"/>
    <cellStyle name="Normal 2 5 2 3 2 2 3 3 2 2" xfId="27849"/>
    <cellStyle name="Normal 2 5 2 3 2 2 3 3 3" xfId="14019"/>
    <cellStyle name="Normal 2 5 2 3 2 2 3 3 4" xfId="8762"/>
    <cellStyle name="Normal 2 5 2 3 2 2 3 3 5" xfId="22842"/>
    <cellStyle name="Normal 2 5 2 3 2 2 3 4" xfId="6255"/>
    <cellStyle name="Normal 2 5 2 3 2 2 3 4 2" xfId="15339"/>
    <cellStyle name="Normal 2 5 2 3 2 2 3 4 3" xfId="25343"/>
    <cellStyle name="Normal 2 5 2 3 2 2 3 5" xfId="10216"/>
    <cellStyle name="Normal 2 5 2 3 2 2 3 5 2" xfId="19043"/>
    <cellStyle name="Normal 2 5 2 3 2 2 3 5 3" xfId="29294"/>
    <cellStyle name="Normal 2 5 2 3 2 2 3 6" xfId="11662"/>
    <cellStyle name="Normal 2 5 2 3 2 2 3 6 2" xfId="24534"/>
    <cellStyle name="Normal 2 5 2 3 2 2 3 7" xfId="5442"/>
    <cellStyle name="Normal 2 5 2 3 2 2 3 8" xfId="20336"/>
    <cellStyle name="Normal 2 5 2 3 2 2 4" xfId="1561"/>
    <cellStyle name="Normal 2 5 2 3 2 2 4 2" xfId="3160"/>
    <cellStyle name="Normal 2 5 2 3 2 2 4 2 2" xfId="18080"/>
    <cellStyle name="Normal 2 5 2 3 2 2 4 2 2 2" xfId="28331"/>
    <cellStyle name="Normal 2 5 2 3 2 2 4 2 3" xfId="14501"/>
    <cellStyle name="Normal 2 5 2 3 2 2 4 2 4" xfId="9244"/>
    <cellStyle name="Normal 2 5 2 3 2 2 4 2 5" xfId="23324"/>
    <cellStyle name="Normal 2 5 2 3 2 2 4 3" xfId="10698"/>
    <cellStyle name="Normal 2 5 2 3 2 2 4 3 2" xfId="19525"/>
    <cellStyle name="Normal 2 5 2 3 2 2 4 3 3" xfId="29776"/>
    <cellStyle name="Normal 2 5 2 3 2 2 4 4" xfId="12144"/>
    <cellStyle name="Normal 2 5 2 3 2 2 4 4 2" xfId="26226"/>
    <cellStyle name="Normal 2 5 2 3 2 2 4 5" xfId="7139"/>
    <cellStyle name="Normal 2 5 2 3 2 2 4 6" xfId="21219"/>
    <cellStyle name="Normal 2 5 2 3 2 2 5" xfId="2117"/>
    <cellStyle name="Normal 2 5 2 3 2 2 5 2" xfId="17037"/>
    <cellStyle name="Normal 2 5 2 3 2 2 5 2 2" xfId="27288"/>
    <cellStyle name="Normal 2 5 2 3 2 2 5 3" xfId="13458"/>
    <cellStyle name="Normal 2 5 2 3 2 2 5 4" xfId="8201"/>
    <cellStyle name="Normal 2 5 2 3 2 2 5 5" xfId="22281"/>
    <cellStyle name="Normal 2 5 2 3 2 2 6" xfId="5762"/>
    <cellStyle name="Normal 2 5 2 3 2 2 6 2" xfId="14848"/>
    <cellStyle name="Normal 2 5 2 3 2 2 6 3" xfId="24852"/>
    <cellStyle name="Normal 2 5 2 3 2 2 7" xfId="9655"/>
    <cellStyle name="Normal 2 5 2 3 2 2 7 2" xfId="18482"/>
    <cellStyle name="Normal 2 5 2 3 2 2 7 3" xfId="28733"/>
    <cellStyle name="Normal 2 5 2 3 2 2 8" xfId="11099"/>
    <cellStyle name="Normal 2 5 2 3 2 2 8 2" xfId="23825"/>
    <cellStyle name="Normal 2 5 2 3 2 2 9" xfId="4733"/>
    <cellStyle name="Normal 2 5 2 3 2 2_Degree data" xfId="1255"/>
    <cellStyle name="Normal 2 5 2 3 2 3" xfId="596"/>
    <cellStyle name="Normal 2 5 2 3 2 3 2" xfId="2329"/>
    <cellStyle name="Normal 2 5 2 3 2 3 2 2" xfId="16053"/>
    <cellStyle name="Normal 2 5 2 3 2 3 2 2 2" xfId="26126"/>
    <cellStyle name="Normal 2 5 2 3 2 3 2 3" xfId="12290"/>
    <cellStyle name="Normal 2 5 2 3 2 3 2 4" xfId="7039"/>
    <cellStyle name="Normal 2 5 2 3 2 3 2 5" xfId="21119"/>
    <cellStyle name="Normal 2 5 2 3 2 3 3" xfId="3602"/>
    <cellStyle name="Normal 2 5 2 3 2 3 3 2" xfId="17249"/>
    <cellStyle name="Normal 2 5 2 3 2 3 3 2 2" xfId="27500"/>
    <cellStyle name="Normal 2 5 2 3 2 3 3 3" xfId="13670"/>
    <cellStyle name="Normal 2 5 2 3 2 3 3 4" xfId="8413"/>
    <cellStyle name="Normal 2 5 2 3 2 3 3 5" xfId="22493"/>
    <cellStyle name="Normal 2 5 2 3 2 3 4" xfId="6155"/>
    <cellStyle name="Normal 2 5 2 3 2 3 4 2" xfId="15239"/>
    <cellStyle name="Normal 2 5 2 3 2 3 4 3" xfId="25243"/>
    <cellStyle name="Normal 2 5 2 3 2 3 5" xfId="9867"/>
    <cellStyle name="Normal 2 5 2 3 2 3 5 2" xfId="18694"/>
    <cellStyle name="Normal 2 5 2 3 2 3 5 3" xfId="28945"/>
    <cellStyle name="Normal 2 5 2 3 2 3 6" xfId="11311"/>
    <cellStyle name="Normal 2 5 2 3 2 3 6 2" xfId="23725"/>
    <cellStyle name="Normal 2 5 2 3 2 3 7" xfId="4633"/>
    <cellStyle name="Normal 2 5 2 3 2 3 8" xfId="20236"/>
    <cellStyle name="Normal 2 5 2 3 2 4" xfId="955"/>
    <cellStyle name="Normal 2 5 2 3 2 4 2" xfId="2677"/>
    <cellStyle name="Normal 2 5 2 3 2 4 2 2" xfId="16224"/>
    <cellStyle name="Normal 2 5 2 3 2 4 2 2 2" xfId="26443"/>
    <cellStyle name="Normal 2 5 2 3 2 4 2 3" xfId="12646"/>
    <cellStyle name="Normal 2 5 2 3 2 4 2 4" xfId="7356"/>
    <cellStyle name="Normal 2 5 2 3 2 4 2 5" xfId="21436"/>
    <cellStyle name="Normal 2 5 2 3 2 4 3" xfId="3951"/>
    <cellStyle name="Normal 2 5 2 3 2 4 3 2" xfId="17597"/>
    <cellStyle name="Normal 2 5 2 3 2 4 3 2 2" xfId="27848"/>
    <cellStyle name="Normal 2 5 2 3 2 4 3 3" xfId="14018"/>
    <cellStyle name="Normal 2 5 2 3 2 4 3 4" xfId="8761"/>
    <cellStyle name="Normal 2 5 2 3 2 4 3 5" xfId="22841"/>
    <cellStyle name="Normal 2 5 2 3 2 4 4" xfId="6472"/>
    <cellStyle name="Normal 2 5 2 3 2 4 4 2" xfId="15556"/>
    <cellStyle name="Normal 2 5 2 3 2 4 4 3" xfId="25560"/>
    <cellStyle name="Normal 2 5 2 3 2 4 5" xfId="10215"/>
    <cellStyle name="Normal 2 5 2 3 2 4 5 2" xfId="19042"/>
    <cellStyle name="Normal 2 5 2 3 2 4 5 3" xfId="29293"/>
    <cellStyle name="Normal 2 5 2 3 2 4 6" xfId="11661"/>
    <cellStyle name="Normal 2 5 2 3 2 4 6 2" xfId="24042"/>
    <cellStyle name="Normal 2 5 2 3 2 4 7" xfId="4950"/>
    <cellStyle name="Normal 2 5 2 3 2 4 8" xfId="20553"/>
    <cellStyle name="Normal 2 5 2 3 2 5" xfId="1459"/>
    <cellStyle name="Normal 2 5 2 3 2 5 2" xfId="3060"/>
    <cellStyle name="Normal 2 5 2 3 2 5 2 2" xfId="16616"/>
    <cellStyle name="Normal 2 5 2 3 2 5 2 2 2" xfId="26835"/>
    <cellStyle name="Normal 2 5 2 3 2 5 2 3" xfId="13037"/>
    <cellStyle name="Normal 2 5 2 3 2 5 2 4" xfId="7748"/>
    <cellStyle name="Normal 2 5 2 3 2 5 2 5" xfId="21828"/>
    <cellStyle name="Normal 2 5 2 3 2 5 3" xfId="4274"/>
    <cellStyle name="Normal 2 5 2 3 2 5 3 2" xfId="17980"/>
    <cellStyle name="Normal 2 5 2 3 2 5 3 2 2" xfId="28231"/>
    <cellStyle name="Normal 2 5 2 3 2 5 3 3" xfId="14401"/>
    <cellStyle name="Normal 2 5 2 3 2 5 3 4" xfId="9144"/>
    <cellStyle name="Normal 2 5 2 3 2 5 3 5" xfId="23224"/>
    <cellStyle name="Normal 2 5 2 3 2 5 4" xfId="5936"/>
    <cellStyle name="Normal 2 5 2 3 2 5 4 2" xfId="15022"/>
    <cellStyle name="Normal 2 5 2 3 2 5 4 3" xfId="25026"/>
    <cellStyle name="Normal 2 5 2 3 2 5 5" xfId="10598"/>
    <cellStyle name="Normal 2 5 2 3 2 5 5 2" xfId="19425"/>
    <cellStyle name="Normal 2 5 2 3 2 5 5 3" xfId="29676"/>
    <cellStyle name="Normal 2 5 2 3 2 5 6" xfId="12044"/>
    <cellStyle name="Normal 2 5 2 3 2 5 6 2" xfId="24434"/>
    <cellStyle name="Normal 2 5 2 3 2 5 7" xfId="5342"/>
    <cellStyle name="Normal 2 5 2 3 2 5 8" xfId="20019"/>
    <cellStyle name="Normal 2 5 2 3 2 6" xfId="2017"/>
    <cellStyle name="Normal 2 5 2 3 2 6 2" xfId="15865"/>
    <cellStyle name="Normal 2 5 2 3 2 6 2 2" xfId="25909"/>
    <cellStyle name="Normal 2 5 2 3 2 6 3" xfId="12416"/>
    <cellStyle name="Normal 2 5 2 3 2 6 4" xfId="6822"/>
    <cellStyle name="Normal 2 5 2 3 2 6 5" xfId="20902"/>
    <cellStyle name="Normal 2 5 2 3 2 7" xfId="3436"/>
    <cellStyle name="Normal 2 5 2 3 2 7 2" xfId="16937"/>
    <cellStyle name="Normal 2 5 2 3 2 7 2 2" xfId="27188"/>
    <cellStyle name="Normal 2 5 2 3 2 7 3" xfId="13358"/>
    <cellStyle name="Normal 2 5 2 3 2 7 4" xfId="8101"/>
    <cellStyle name="Normal 2 5 2 3 2 7 5" xfId="22181"/>
    <cellStyle name="Normal 2 5 2 3 2 8" xfId="5662"/>
    <cellStyle name="Normal 2 5 2 3 2 8 2" xfId="14748"/>
    <cellStyle name="Normal 2 5 2 3 2 8 3" xfId="24752"/>
    <cellStyle name="Normal 2 5 2 3 2 9" xfId="9555"/>
    <cellStyle name="Normal 2 5 2 3 2 9 2" xfId="18382"/>
    <cellStyle name="Normal 2 5 2 3 2 9 3" xfId="28633"/>
    <cellStyle name="Normal 2 5 2 3 2_Degree data" xfId="1264"/>
    <cellStyle name="Normal 2 5 2 3 3" xfId="227"/>
    <cellStyle name="Normal 2 5 2 3 3 10" xfId="10956"/>
    <cellStyle name="Normal 2 5 2 3 3 10 2" xfId="23570"/>
    <cellStyle name="Normal 2 5 2 3 3 11" xfId="4478"/>
    <cellStyle name="Normal 2 5 2 3 3 12" xfId="19702"/>
    <cellStyle name="Normal 2 5 2 3 3 2" xfId="438"/>
    <cellStyle name="Normal 2 5 2 3 3 2 10" xfId="19907"/>
    <cellStyle name="Normal 2 5 2 3 3 2 2" xfId="599"/>
    <cellStyle name="Normal 2 5 2 3 3 2 2 2" xfId="2332"/>
    <cellStyle name="Normal 2 5 2 3 3 2 2 2 2" xfId="16227"/>
    <cellStyle name="Normal 2 5 2 3 3 2 2 2 2 2" xfId="26446"/>
    <cellStyle name="Normal 2 5 2 3 3 2 2 2 3" xfId="12649"/>
    <cellStyle name="Normal 2 5 2 3 3 2 2 2 4" xfId="7359"/>
    <cellStyle name="Normal 2 5 2 3 3 2 2 2 5" xfId="21439"/>
    <cellStyle name="Normal 2 5 2 3 3 2 2 3" xfId="3605"/>
    <cellStyle name="Normal 2 5 2 3 3 2 2 3 2" xfId="17252"/>
    <cellStyle name="Normal 2 5 2 3 3 2 2 3 2 2" xfId="27503"/>
    <cellStyle name="Normal 2 5 2 3 3 2 2 3 3" xfId="13673"/>
    <cellStyle name="Normal 2 5 2 3 3 2 2 3 4" xfId="8416"/>
    <cellStyle name="Normal 2 5 2 3 3 2 2 3 5" xfId="22496"/>
    <cellStyle name="Normal 2 5 2 3 3 2 2 4" xfId="6475"/>
    <cellStyle name="Normal 2 5 2 3 3 2 2 4 2" xfId="15559"/>
    <cellStyle name="Normal 2 5 2 3 3 2 2 4 3" xfId="25563"/>
    <cellStyle name="Normal 2 5 2 3 3 2 2 5" xfId="9870"/>
    <cellStyle name="Normal 2 5 2 3 3 2 2 5 2" xfId="18697"/>
    <cellStyle name="Normal 2 5 2 3 3 2 2 5 3" xfId="28948"/>
    <cellStyle name="Normal 2 5 2 3 3 2 2 6" xfId="11314"/>
    <cellStyle name="Normal 2 5 2 3 3 2 2 6 2" xfId="24045"/>
    <cellStyle name="Normal 2 5 2 3 3 2 2 7" xfId="4953"/>
    <cellStyle name="Normal 2 5 2 3 3 2 2 8" xfId="20556"/>
    <cellStyle name="Normal 2 5 2 3 3 2 3" xfId="958"/>
    <cellStyle name="Normal 2 5 2 3 3 2 3 2" xfId="2680"/>
    <cellStyle name="Normal 2 5 2 3 3 2 3 2 2" xfId="16778"/>
    <cellStyle name="Normal 2 5 2 3 3 2 3 2 2 2" xfId="26997"/>
    <cellStyle name="Normal 2 5 2 3 3 2 3 2 3" xfId="13199"/>
    <cellStyle name="Normal 2 5 2 3 3 2 3 2 4" xfId="7910"/>
    <cellStyle name="Normal 2 5 2 3 3 2 3 2 5" xfId="21990"/>
    <cellStyle name="Normal 2 5 2 3 3 2 3 3" xfId="3954"/>
    <cellStyle name="Normal 2 5 2 3 3 2 3 3 2" xfId="17600"/>
    <cellStyle name="Normal 2 5 2 3 3 2 3 3 2 2" xfId="27851"/>
    <cellStyle name="Normal 2 5 2 3 3 2 3 3 3" xfId="14021"/>
    <cellStyle name="Normal 2 5 2 3 3 2 3 3 4" xfId="8764"/>
    <cellStyle name="Normal 2 5 2 3 3 2 3 3 5" xfId="22844"/>
    <cellStyle name="Normal 2 5 2 3 3 2 3 4" xfId="6317"/>
    <cellStyle name="Normal 2 5 2 3 3 2 3 4 2" xfId="15401"/>
    <cellStyle name="Normal 2 5 2 3 3 2 3 4 3" xfId="25405"/>
    <cellStyle name="Normal 2 5 2 3 3 2 3 5" xfId="10218"/>
    <cellStyle name="Normal 2 5 2 3 3 2 3 5 2" xfId="19045"/>
    <cellStyle name="Normal 2 5 2 3 3 2 3 5 3" xfId="29296"/>
    <cellStyle name="Normal 2 5 2 3 3 2 3 6" xfId="11664"/>
    <cellStyle name="Normal 2 5 2 3 3 2 3 6 2" xfId="24596"/>
    <cellStyle name="Normal 2 5 2 3 3 2 3 7" xfId="5504"/>
    <cellStyle name="Normal 2 5 2 3 3 2 3 8" xfId="20398"/>
    <cellStyle name="Normal 2 5 2 3 3 2 4" xfId="1625"/>
    <cellStyle name="Normal 2 5 2 3 3 2 4 2" xfId="3222"/>
    <cellStyle name="Normal 2 5 2 3 3 2 4 2 2" xfId="18142"/>
    <cellStyle name="Normal 2 5 2 3 3 2 4 2 2 2" xfId="28393"/>
    <cellStyle name="Normal 2 5 2 3 3 2 4 2 3" xfId="14563"/>
    <cellStyle name="Normal 2 5 2 3 3 2 4 2 4" xfId="9306"/>
    <cellStyle name="Normal 2 5 2 3 3 2 4 2 5" xfId="23386"/>
    <cellStyle name="Normal 2 5 2 3 3 2 4 3" xfId="10760"/>
    <cellStyle name="Normal 2 5 2 3 3 2 4 3 2" xfId="19587"/>
    <cellStyle name="Normal 2 5 2 3 3 2 4 3 3" xfId="29838"/>
    <cellStyle name="Normal 2 5 2 3 3 2 4 4" xfId="12206"/>
    <cellStyle name="Normal 2 5 2 3 3 2 4 4 2" xfId="26288"/>
    <cellStyle name="Normal 2 5 2 3 3 2 4 5" xfId="7201"/>
    <cellStyle name="Normal 2 5 2 3 3 2 4 6" xfId="21281"/>
    <cellStyle name="Normal 2 5 2 3 3 2 5" xfId="2179"/>
    <cellStyle name="Normal 2 5 2 3 3 2 5 2" xfId="17099"/>
    <cellStyle name="Normal 2 5 2 3 3 2 5 2 2" xfId="27350"/>
    <cellStyle name="Normal 2 5 2 3 3 2 5 3" xfId="13520"/>
    <cellStyle name="Normal 2 5 2 3 3 2 5 4" xfId="8263"/>
    <cellStyle name="Normal 2 5 2 3 3 2 5 5" xfId="22343"/>
    <cellStyle name="Normal 2 5 2 3 3 2 6" xfId="5824"/>
    <cellStyle name="Normal 2 5 2 3 3 2 6 2" xfId="14910"/>
    <cellStyle name="Normal 2 5 2 3 3 2 6 3" xfId="24914"/>
    <cellStyle name="Normal 2 5 2 3 3 2 7" xfId="9717"/>
    <cellStyle name="Normal 2 5 2 3 3 2 7 2" xfId="18544"/>
    <cellStyle name="Normal 2 5 2 3 3 2 7 3" xfId="28795"/>
    <cellStyle name="Normal 2 5 2 3 3 2 8" xfId="11161"/>
    <cellStyle name="Normal 2 5 2 3 3 2 8 2" xfId="23887"/>
    <cellStyle name="Normal 2 5 2 3 3 2 9" xfId="4795"/>
    <cellStyle name="Normal 2 5 2 3 3 2_Degree data" xfId="1262"/>
    <cellStyle name="Normal 2 5 2 3 3 3" xfId="598"/>
    <cellStyle name="Normal 2 5 2 3 3 3 2" xfId="2331"/>
    <cellStyle name="Normal 2 5 2 3 3 3 2 2" xfId="16010"/>
    <cellStyle name="Normal 2 5 2 3 3 3 2 2 2" xfId="26083"/>
    <cellStyle name="Normal 2 5 2 3 3 3 2 3" xfId="12321"/>
    <cellStyle name="Normal 2 5 2 3 3 3 2 4" xfId="6996"/>
    <cellStyle name="Normal 2 5 2 3 3 3 2 5" xfId="21076"/>
    <cellStyle name="Normal 2 5 2 3 3 3 3" xfId="3604"/>
    <cellStyle name="Normal 2 5 2 3 3 3 3 2" xfId="17251"/>
    <cellStyle name="Normal 2 5 2 3 3 3 3 2 2" xfId="27502"/>
    <cellStyle name="Normal 2 5 2 3 3 3 3 3" xfId="13672"/>
    <cellStyle name="Normal 2 5 2 3 3 3 3 4" xfId="8415"/>
    <cellStyle name="Normal 2 5 2 3 3 3 3 5" xfId="22495"/>
    <cellStyle name="Normal 2 5 2 3 3 3 4" xfId="6112"/>
    <cellStyle name="Normal 2 5 2 3 3 3 4 2" xfId="15196"/>
    <cellStyle name="Normal 2 5 2 3 3 3 4 3" xfId="25200"/>
    <cellStyle name="Normal 2 5 2 3 3 3 5" xfId="9869"/>
    <cellStyle name="Normal 2 5 2 3 3 3 5 2" xfId="18696"/>
    <cellStyle name="Normal 2 5 2 3 3 3 5 3" xfId="28947"/>
    <cellStyle name="Normal 2 5 2 3 3 3 6" xfId="11313"/>
    <cellStyle name="Normal 2 5 2 3 3 3 6 2" xfId="23682"/>
    <cellStyle name="Normal 2 5 2 3 3 3 7" xfId="4590"/>
    <cellStyle name="Normal 2 5 2 3 3 3 8" xfId="20193"/>
    <cellStyle name="Normal 2 5 2 3 3 4" xfId="957"/>
    <cellStyle name="Normal 2 5 2 3 3 4 2" xfId="2679"/>
    <cellStyle name="Normal 2 5 2 3 3 4 2 2" xfId="16226"/>
    <cellStyle name="Normal 2 5 2 3 3 4 2 2 2" xfId="26445"/>
    <cellStyle name="Normal 2 5 2 3 3 4 2 3" xfId="12648"/>
    <cellStyle name="Normal 2 5 2 3 3 4 2 4" xfId="7358"/>
    <cellStyle name="Normal 2 5 2 3 3 4 2 5" xfId="21438"/>
    <cellStyle name="Normal 2 5 2 3 3 4 3" xfId="3953"/>
    <cellStyle name="Normal 2 5 2 3 3 4 3 2" xfId="17599"/>
    <cellStyle name="Normal 2 5 2 3 3 4 3 2 2" xfId="27850"/>
    <cellStyle name="Normal 2 5 2 3 3 4 3 3" xfId="14020"/>
    <cellStyle name="Normal 2 5 2 3 3 4 3 4" xfId="8763"/>
    <cellStyle name="Normal 2 5 2 3 3 4 3 5" xfId="22843"/>
    <cellStyle name="Normal 2 5 2 3 3 4 4" xfId="6474"/>
    <cellStyle name="Normal 2 5 2 3 3 4 4 2" xfId="15558"/>
    <cellStyle name="Normal 2 5 2 3 3 4 4 3" xfId="25562"/>
    <cellStyle name="Normal 2 5 2 3 3 4 5" xfId="10217"/>
    <cellStyle name="Normal 2 5 2 3 3 4 5 2" xfId="19044"/>
    <cellStyle name="Normal 2 5 2 3 3 4 5 3" xfId="29295"/>
    <cellStyle name="Normal 2 5 2 3 3 4 6" xfId="11663"/>
    <cellStyle name="Normal 2 5 2 3 3 4 6 2" xfId="24044"/>
    <cellStyle name="Normal 2 5 2 3 3 4 7" xfId="4952"/>
    <cellStyle name="Normal 2 5 2 3 3 4 8" xfId="20555"/>
    <cellStyle name="Normal 2 5 2 3 3 5" xfId="1414"/>
    <cellStyle name="Normal 2 5 2 3 3 5 2" xfId="3017"/>
    <cellStyle name="Normal 2 5 2 3 3 5 2 2" xfId="16573"/>
    <cellStyle name="Normal 2 5 2 3 3 5 2 2 2" xfId="26792"/>
    <cellStyle name="Normal 2 5 2 3 3 5 2 3" xfId="12994"/>
    <cellStyle name="Normal 2 5 2 3 3 5 2 4" xfId="7705"/>
    <cellStyle name="Normal 2 5 2 3 3 5 2 5" xfId="21785"/>
    <cellStyle name="Normal 2 5 2 3 3 5 3" xfId="4231"/>
    <cellStyle name="Normal 2 5 2 3 3 5 3 2" xfId="17937"/>
    <cellStyle name="Normal 2 5 2 3 3 5 3 2 2" xfId="28188"/>
    <cellStyle name="Normal 2 5 2 3 3 5 3 3" xfId="14358"/>
    <cellStyle name="Normal 2 5 2 3 3 5 3 4" xfId="9101"/>
    <cellStyle name="Normal 2 5 2 3 3 5 3 5" xfId="23181"/>
    <cellStyle name="Normal 2 5 2 3 3 5 4" xfId="5998"/>
    <cellStyle name="Normal 2 5 2 3 3 5 4 2" xfId="15084"/>
    <cellStyle name="Normal 2 5 2 3 3 5 4 3" xfId="25088"/>
    <cellStyle name="Normal 2 5 2 3 3 5 5" xfId="10555"/>
    <cellStyle name="Normal 2 5 2 3 3 5 5 2" xfId="19382"/>
    <cellStyle name="Normal 2 5 2 3 3 5 5 3" xfId="29633"/>
    <cellStyle name="Normal 2 5 2 3 3 5 6" xfId="12001"/>
    <cellStyle name="Normal 2 5 2 3 3 5 6 2" xfId="24391"/>
    <cellStyle name="Normal 2 5 2 3 3 5 7" xfId="5299"/>
    <cellStyle name="Normal 2 5 2 3 3 5 8" xfId="20081"/>
    <cellStyle name="Normal 2 5 2 3 3 6" xfId="1974"/>
    <cellStyle name="Normal 2 5 2 3 3 6 2" xfId="15927"/>
    <cellStyle name="Normal 2 5 2 3 3 6 2 2" xfId="25971"/>
    <cellStyle name="Normal 2 5 2 3 3 6 3" xfId="12342"/>
    <cellStyle name="Normal 2 5 2 3 3 6 4" xfId="6884"/>
    <cellStyle name="Normal 2 5 2 3 3 6 5" xfId="20964"/>
    <cellStyle name="Normal 2 5 2 3 3 7" xfId="3394"/>
    <cellStyle name="Normal 2 5 2 3 3 7 2" xfId="16894"/>
    <cellStyle name="Normal 2 5 2 3 3 7 2 2" xfId="27145"/>
    <cellStyle name="Normal 2 5 2 3 3 7 3" xfId="13315"/>
    <cellStyle name="Normal 2 5 2 3 3 7 4" xfId="8058"/>
    <cellStyle name="Normal 2 5 2 3 3 7 5" xfId="22138"/>
    <cellStyle name="Normal 2 5 2 3 3 8" xfId="5619"/>
    <cellStyle name="Normal 2 5 2 3 3 8 2" xfId="14705"/>
    <cellStyle name="Normal 2 5 2 3 3 8 3" xfId="24709"/>
    <cellStyle name="Normal 2 5 2 3 3 9" xfId="9512"/>
    <cellStyle name="Normal 2 5 2 3 3 9 2" xfId="18339"/>
    <cellStyle name="Normal 2 5 2 3 3 9 3" xfId="28590"/>
    <cellStyle name="Normal 2 5 2 3 3_Degree data" xfId="1254"/>
    <cellStyle name="Normal 2 5 2 3 4" xfId="330"/>
    <cellStyle name="Normal 2 5 2 3 4 10" xfId="19802"/>
    <cellStyle name="Normal 2 5 2 3 4 2" xfId="600"/>
    <cellStyle name="Normal 2 5 2 3 4 2 2" xfId="2333"/>
    <cellStyle name="Normal 2 5 2 3 4 2 2 2" xfId="16228"/>
    <cellStyle name="Normal 2 5 2 3 4 2 2 2 2" xfId="26447"/>
    <cellStyle name="Normal 2 5 2 3 4 2 2 3" xfId="12650"/>
    <cellStyle name="Normal 2 5 2 3 4 2 2 4" xfId="7360"/>
    <cellStyle name="Normal 2 5 2 3 4 2 2 5" xfId="21440"/>
    <cellStyle name="Normal 2 5 2 3 4 2 3" xfId="3606"/>
    <cellStyle name="Normal 2 5 2 3 4 2 3 2" xfId="17253"/>
    <cellStyle name="Normal 2 5 2 3 4 2 3 2 2" xfId="27504"/>
    <cellStyle name="Normal 2 5 2 3 4 2 3 3" xfId="13674"/>
    <cellStyle name="Normal 2 5 2 3 4 2 3 4" xfId="8417"/>
    <cellStyle name="Normal 2 5 2 3 4 2 3 5" xfId="22497"/>
    <cellStyle name="Normal 2 5 2 3 4 2 4" xfId="6476"/>
    <cellStyle name="Normal 2 5 2 3 4 2 4 2" xfId="15560"/>
    <cellStyle name="Normal 2 5 2 3 4 2 4 3" xfId="25564"/>
    <cellStyle name="Normal 2 5 2 3 4 2 5" xfId="9871"/>
    <cellStyle name="Normal 2 5 2 3 4 2 5 2" xfId="18698"/>
    <cellStyle name="Normal 2 5 2 3 4 2 5 3" xfId="28949"/>
    <cellStyle name="Normal 2 5 2 3 4 2 6" xfId="11315"/>
    <cellStyle name="Normal 2 5 2 3 4 2 6 2" xfId="24046"/>
    <cellStyle name="Normal 2 5 2 3 4 2 7" xfId="4954"/>
    <cellStyle name="Normal 2 5 2 3 4 2 8" xfId="20557"/>
    <cellStyle name="Normal 2 5 2 3 4 3" xfId="959"/>
    <cellStyle name="Normal 2 5 2 3 4 3 2" xfId="2681"/>
    <cellStyle name="Normal 2 5 2 3 4 3 2 2" xfId="16673"/>
    <cellStyle name="Normal 2 5 2 3 4 3 2 2 2" xfId="26892"/>
    <cellStyle name="Normal 2 5 2 3 4 3 2 3" xfId="13094"/>
    <cellStyle name="Normal 2 5 2 3 4 3 2 4" xfId="7805"/>
    <cellStyle name="Normal 2 5 2 3 4 3 2 5" xfId="21885"/>
    <cellStyle name="Normal 2 5 2 3 4 3 3" xfId="3955"/>
    <cellStyle name="Normal 2 5 2 3 4 3 3 2" xfId="17601"/>
    <cellStyle name="Normal 2 5 2 3 4 3 3 2 2" xfId="27852"/>
    <cellStyle name="Normal 2 5 2 3 4 3 3 3" xfId="14022"/>
    <cellStyle name="Normal 2 5 2 3 4 3 3 4" xfId="8765"/>
    <cellStyle name="Normal 2 5 2 3 4 3 3 5" xfId="22845"/>
    <cellStyle name="Normal 2 5 2 3 4 3 4" xfId="6212"/>
    <cellStyle name="Normal 2 5 2 3 4 3 4 2" xfId="15296"/>
    <cellStyle name="Normal 2 5 2 3 4 3 4 3" xfId="25300"/>
    <cellStyle name="Normal 2 5 2 3 4 3 5" xfId="10219"/>
    <cellStyle name="Normal 2 5 2 3 4 3 5 2" xfId="19046"/>
    <cellStyle name="Normal 2 5 2 3 4 3 5 3" xfId="29297"/>
    <cellStyle name="Normal 2 5 2 3 4 3 6" xfId="11665"/>
    <cellStyle name="Normal 2 5 2 3 4 3 6 2" xfId="24491"/>
    <cellStyle name="Normal 2 5 2 3 4 3 7" xfId="5399"/>
    <cellStyle name="Normal 2 5 2 3 4 3 8" xfId="20293"/>
    <cellStyle name="Normal 2 5 2 3 4 4" xfId="1517"/>
    <cellStyle name="Normal 2 5 2 3 4 4 2" xfId="3117"/>
    <cellStyle name="Normal 2 5 2 3 4 4 2 2" xfId="18037"/>
    <cellStyle name="Normal 2 5 2 3 4 4 2 2 2" xfId="28288"/>
    <cellStyle name="Normal 2 5 2 3 4 4 2 3" xfId="14458"/>
    <cellStyle name="Normal 2 5 2 3 4 4 2 4" xfId="9201"/>
    <cellStyle name="Normal 2 5 2 3 4 4 2 5" xfId="23281"/>
    <cellStyle name="Normal 2 5 2 3 4 4 3" xfId="10655"/>
    <cellStyle name="Normal 2 5 2 3 4 4 3 2" xfId="19482"/>
    <cellStyle name="Normal 2 5 2 3 4 4 3 3" xfId="29733"/>
    <cellStyle name="Normal 2 5 2 3 4 4 4" xfId="12101"/>
    <cellStyle name="Normal 2 5 2 3 4 4 4 2" xfId="26183"/>
    <cellStyle name="Normal 2 5 2 3 4 4 5" xfId="7096"/>
    <cellStyle name="Normal 2 5 2 3 4 4 6" xfId="21176"/>
    <cellStyle name="Normal 2 5 2 3 4 5" xfId="2074"/>
    <cellStyle name="Normal 2 5 2 3 4 5 2" xfId="16994"/>
    <cellStyle name="Normal 2 5 2 3 4 5 2 2" xfId="27245"/>
    <cellStyle name="Normal 2 5 2 3 4 5 3" xfId="13415"/>
    <cellStyle name="Normal 2 5 2 3 4 5 4" xfId="8158"/>
    <cellStyle name="Normal 2 5 2 3 4 5 5" xfId="22238"/>
    <cellStyle name="Normal 2 5 2 3 4 6" xfId="5719"/>
    <cellStyle name="Normal 2 5 2 3 4 6 2" xfId="14805"/>
    <cellStyle name="Normal 2 5 2 3 4 6 3" xfId="24809"/>
    <cellStyle name="Normal 2 5 2 3 4 7" xfId="9612"/>
    <cellStyle name="Normal 2 5 2 3 4 7 2" xfId="18439"/>
    <cellStyle name="Normal 2 5 2 3 4 7 3" xfId="28690"/>
    <cellStyle name="Normal 2 5 2 3 4 8" xfId="11056"/>
    <cellStyle name="Normal 2 5 2 3 4 8 2" xfId="23782"/>
    <cellStyle name="Normal 2 5 2 3 4 9" xfId="4690"/>
    <cellStyle name="Normal 2 5 2 3 4_Degree data" xfId="1291"/>
    <cellStyle name="Normal 2 5 2 3 5" xfId="595"/>
    <cellStyle name="Normal 2 5 2 3 5 2" xfId="2328"/>
    <cellStyle name="Normal 2 5 2 3 5 2 2" xfId="15967"/>
    <cellStyle name="Normal 2 5 2 3 5 2 2 2" xfId="26024"/>
    <cellStyle name="Normal 2 5 2 3 5 2 3" xfId="12265"/>
    <cellStyle name="Normal 2 5 2 3 5 2 4" xfId="6937"/>
    <cellStyle name="Normal 2 5 2 3 5 2 5" xfId="21017"/>
    <cellStyle name="Normal 2 5 2 3 5 3" xfId="3601"/>
    <cellStyle name="Normal 2 5 2 3 5 3 2" xfId="17248"/>
    <cellStyle name="Normal 2 5 2 3 5 3 2 2" xfId="27499"/>
    <cellStyle name="Normal 2 5 2 3 5 3 3" xfId="13669"/>
    <cellStyle name="Normal 2 5 2 3 5 3 4" xfId="8412"/>
    <cellStyle name="Normal 2 5 2 3 5 3 5" xfId="22492"/>
    <cellStyle name="Normal 2 5 2 3 5 4" xfId="6053"/>
    <cellStyle name="Normal 2 5 2 3 5 4 2" xfId="15137"/>
    <cellStyle name="Normal 2 5 2 3 5 4 3" xfId="25141"/>
    <cellStyle name="Normal 2 5 2 3 5 5" xfId="9866"/>
    <cellStyle name="Normal 2 5 2 3 5 5 2" xfId="18693"/>
    <cellStyle name="Normal 2 5 2 3 5 5 3" xfId="28944"/>
    <cellStyle name="Normal 2 5 2 3 5 6" xfId="11310"/>
    <cellStyle name="Normal 2 5 2 3 5 6 2" xfId="23623"/>
    <cellStyle name="Normal 2 5 2 3 5 7" xfId="4531"/>
    <cellStyle name="Normal 2 5 2 3 5 8" xfId="20134"/>
    <cellStyle name="Normal 2 5 2 3 6" xfId="954"/>
    <cellStyle name="Normal 2 5 2 3 6 2" xfId="2676"/>
    <cellStyle name="Normal 2 5 2 3 6 2 2" xfId="16223"/>
    <cellStyle name="Normal 2 5 2 3 6 2 2 2" xfId="26442"/>
    <cellStyle name="Normal 2 5 2 3 6 2 3" xfId="12645"/>
    <cellStyle name="Normal 2 5 2 3 6 2 4" xfId="7355"/>
    <cellStyle name="Normal 2 5 2 3 6 2 5" xfId="21435"/>
    <cellStyle name="Normal 2 5 2 3 6 3" xfId="3950"/>
    <cellStyle name="Normal 2 5 2 3 6 3 2" xfId="17596"/>
    <cellStyle name="Normal 2 5 2 3 6 3 2 2" xfId="27847"/>
    <cellStyle name="Normal 2 5 2 3 6 3 3" xfId="14017"/>
    <cellStyle name="Normal 2 5 2 3 6 3 4" xfId="8760"/>
    <cellStyle name="Normal 2 5 2 3 6 3 5" xfId="22840"/>
    <cellStyle name="Normal 2 5 2 3 6 4" xfId="6471"/>
    <cellStyle name="Normal 2 5 2 3 6 4 2" xfId="15555"/>
    <cellStyle name="Normal 2 5 2 3 6 4 3" xfId="25559"/>
    <cellStyle name="Normal 2 5 2 3 6 5" xfId="10214"/>
    <cellStyle name="Normal 2 5 2 3 6 5 2" xfId="19041"/>
    <cellStyle name="Normal 2 5 2 3 6 5 3" xfId="29292"/>
    <cellStyle name="Normal 2 5 2 3 6 6" xfId="11660"/>
    <cellStyle name="Normal 2 5 2 3 6 6 2" xfId="24041"/>
    <cellStyle name="Normal 2 5 2 3 6 7" xfId="4949"/>
    <cellStyle name="Normal 2 5 2 3 6 8" xfId="20552"/>
    <cellStyle name="Normal 2 5 2 3 7" xfId="1346"/>
    <cellStyle name="Normal 2 5 2 3 7 2" xfId="2958"/>
    <cellStyle name="Normal 2 5 2 3 7 2 2" xfId="16514"/>
    <cellStyle name="Normal 2 5 2 3 7 2 2 2" xfId="26733"/>
    <cellStyle name="Normal 2 5 2 3 7 2 3" xfId="12936"/>
    <cellStyle name="Normal 2 5 2 3 7 2 4" xfId="7646"/>
    <cellStyle name="Normal 2 5 2 3 7 2 5" xfId="21726"/>
    <cellStyle name="Normal 2 5 2 3 7 3" xfId="4189"/>
    <cellStyle name="Normal 2 5 2 3 7 3 2" xfId="17878"/>
    <cellStyle name="Normal 2 5 2 3 7 3 2 2" xfId="28129"/>
    <cellStyle name="Normal 2 5 2 3 7 3 3" xfId="14299"/>
    <cellStyle name="Normal 2 5 2 3 7 3 4" xfId="9042"/>
    <cellStyle name="Normal 2 5 2 3 7 3 5" xfId="23122"/>
    <cellStyle name="Normal 2 5 2 3 7 4" xfId="5892"/>
    <cellStyle name="Normal 2 5 2 3 7 4 2" xfId="14978"/>
    <cellStyle name="Normal 2 5 2 3 7 4 3" xfId="24982"/>
    <cellStyle name="Normal 2 5 2 3 7 5" xfId="10496"/>
    <cellStyle name="Normal 2 5 2 3 7 5 2" xfId="19323"/>
    <cellStyle name="Normal 2 5 2 3 7 5 3" xfId="29574"/>
    <cellStyle name="Normal 2 5 2 3 7 6" xfId="11942"/>
    <cellStyle name="Normal 2 5 2 3 7 6 2" xfId="24332"/>
    <cellStyle name="Normal 2 5 2 3 7 7" xfId="5240"/>
    <cellStyle name="Normal 2 5 2 3 7 8" xfId="19975"/>
    <cellStyle name="Normal 2 5 2 3 8" xfId="1915"/>
    <cellStyle name="Normal 2 5 2 3 8 2" xfId="9453"/>
    <cellStyle name="Normal 2 5 2 3 8 2 2" xfId="18280"/>
    <cellStyle name="Normal 2 5 2 3 8 2 3" xfId="28531"/>
    <cellStyle name="Normal 2 5 2 3 8 3" xfId="10897"/>
    <cellStyle name="Normal 2 5 2 3 8 3 2" xfId="25866"/>
    <cellStyle name="Normal 2 5 2 3 8 4" xfId="6779"/>
    <cellStyle name="Normal 2 5 2 3 8 5" xfId="20859"/>
    <cellStyle name="Normal 2 5 2 3 9" xfId="1839"/>
    <cellStyle name="Normal 2 5 2 3 9 2" xfId="16833"/>
    <cellStyle name="Normal 2 5 2 3 9 2 2" xfId="27084"/>
    <cellStyle name="Normal 2 5 2 3 9 3" xfId="13254"/>
    <cellStyle name="Normal 2 5 2 3 9 4" xfId="7997"/>
    <cellStyle name="Normal 2 5 2 3 9 5" xfId="22077"/>
    <cellStyle name="Normal 2 5 2 3_Degree data" xfId="1245"/>
    <cellStyle name="Normal 2 5 2 4" xfId="262"/>
    <cellStyle name="Normal 2 5 2 4 10" xfId="10989"/>
    <cellStyle name="Normal 2 5 2 4 10 2" xfId="23498"/>
    <cellStyle name="Normal 2 5 2 4 11" xfId="4406"/>
    <cellStyle name="Normal 2 5 2 4 12" xfId="19735"/>
    <cellStyle name="Normal 2 5 2 4 2" xfId="364"/>
    <cellStyle name="Normal 2 5 2 4 2 10" xfId="19835"/>
    <cellStyle name="Normal 2 5 2 4 2 2" xfId="602"/>
    <cellStyle name="Normal 2 5 2 4 2 2 2" xfId="2335"/>
    <cellStyle name="Normal 2 5 2 4 2 2 2 2" xfId="16230"/>
    <cellStyle name="Normal 2 5 2 4 2 2 2 2 2" xfId="26449"/>
    <cellStyle name="Normal 2 5 2 4 2 2 2 3" xfId="12652"/>
    <cellStyle name="Normal 2 5 2 4 2 2 2 4" xfId="7362"/>
    <cellStyle name="Normal 2 5 2 4 2 2 2 5" xfId="21442"/>
    <cellStyle name="Normal 2 5 2 4 2 2 3" xfId="3608"/>
    <cellStyle name="Normal 2 5 2 4 2 2 3 2" xfId="17255"/>
    <cellStyle name="Normal 2 5 2 4 2 2 3 2 2" xfId="27506"/>
    <cellStyle name="Normal 2 5 2 4 2 2 3 3" xfId="13676"/>
    <cellStyle name="Normal 2 5 2 4 2 2 3 4" xfId="8419"/>
    <cellStyle name="Normal 2 5 2 4 2 2 3 5" xfId="22499"/>
    <cellStyle name="Normal 2 5 2 4 2 2 4" xfId="6478"/>
    <cellStyle name="Normal 2 5 2 4 2 2 4 2" xfId="15562"/>
    <cellStyle name="Normal 2 5 2 4 2 2 4 3" xfId="25566"/>
    <cellStyle name="Normal 2 5 2 4 2 2 5" xfId="9873"/>
    <cellStyle name="Normal 2 5 2 4 2 2 5 2" xfId="18700"/>
    <cellStyle name="Normal 2 5 2 4 2 2 5 3" xfId="28951"/>
    <cellStyle name="Normal 2 5 2 4 2 2 6" xfId="11317"/>
    <cellStyle name="Normal 2 5 2 4 2 2 6 2" xfId="24048"/>
    <cellStyle name="Normal 2 5 2 4 2 2 7" xfId="4956"/>
    <cellStyle name="Normal 2 5 2 4 2 2 8" xfId="20559"/>
    <cellStyle name="Normal 2 5 2 4 2 3" xfId="961"/>
    <cellStyle name="Normal 2 5 2 4 2 3 2" xfId="2683"/>
    <cellStyle name="Normal 2 5 2 4 2 3 2 2" xfId="16706"/>
    <cellStyle name="Normal 2 5 2 4 2 3 2 2 2" xfId="26925"/>
    <cellStyle name="Normal 2 5 2 4 2 3 2 3" xfId="13127"/>
    <cellStyle name="Normal 2 5 2 4 2 3 2 4" xfId="7838"/>
    <cellStyle name="Normal 2 5 2 4 2 3 2 5" xfId="21918"/>
    <cellStyle name="Normal 2 5 2 4 2 3 3" xfId="3957"/>
    <cellStyle name="Normal 2 5 2 4 2 3 3 2" xfId="17603"/>
    <cellStyle name="Normal 2 5 2 4 2 3 3 2 2" xfId="27854"/>
    <cellStyle name="Normal 2 5 2 4 2 3 3 3" xfId="14024"/>
    <cellStyle name="Normal 2 5 2 4 2 3 3 4" xfId="8767"/>
    <cellStyle name="Normal 2 5 2 4 2 3 3 5" xfId="22847"/>
    <cellStyle name="Normal 2 5 2 4 2 3 4" xfId="6245"/>
    <cellStyle name="Normal 2 5 2 4 2 3 4 2" xfId="15329"/>
    <cellStyle name="Normal 2 5 2 4 2 3 4 3" xfId="25333"/>
    <cellStyle name="Normal 2 5 2 4 2 3 5" xfId="10221"/>
    <cellStyle name="Normal 2 5 2 4 2 3 5 2" xfId="19048"/>
    <cellStyle name="Normal 2 5 2 4 2 3 5 3" xfId="29299"/>
    <cellStyle name="Normal 2 5 2 4 2 3 6" xfId="11667"/>
    <cellStyle name="Normal 2 5 2 4 2 3 6 2" xfId="24524"/>
    <cellStyle name="Normal 2 5 2 4 2 3 7" xfId="5432"/>
    <cellStyle name="Normal 2 5 2 4 2 3 8" xfId="20326"/>
    <cellStyle name="Normal 2 5 2 4 2 4" xfId="1551"/>
    <cellStyle name="Normal 2 5 2 4 2 4 2" xfId="3150"/>
    <cellStyle name="Normal 2 5 2 4 2 4 2 2" xfId="18070"/>
    <cellStyle name="Normal 2 5 2 4 2 4 2 2 2" xfId="28321"/>
    <cellStyle name="Normal 2 5 2 4 2 4 2 3" xfId="14491"/>
    <cellStyle name="Normal 2 5 2 4 2 4 2 4" xfId="9234"/>
    <cellStyle name="Normal 2 5 2 4 2 4 2 5" xfId="23314"/>
    <cellStyle name="Normal 2 5 2 4 2 4 3" xfId="10688"/>
    <cellStyle name="Normal 2 5 2 4 2 4 3 2" xfId="19515"/>
    <cellStyle name="Normal 2 5 2 4 2 4 3 3" xfId="29766"/>
    <cellStyle name="Normal 2 5 2 4 2 4 4" xfId="12134"/>
    <cellStyle name="Normal 2 5 2 4 2 4 4 2" xfId="26216"/>
    <cellStyle name="Normal 2 5 2 4 2 4 5" xfId="7129"/>
    <cellStyle name="Normal 2 5 2 4 2 4 6" xfId="21209"/>
    <cellStyle name="Normal 2 5 2 4 2 5" xfId="2107"/>
    <cellStyle name="Normal 2 5 2 4 2 5 2" xfId="17027"/>
    <cellStyle name="Normal 2 5 2 4 2 5 2 2" xfId="27278"/>
    <cellStyle name="Normal 2 5 2 4 2 5 3" xfId="13448"/>
    <cellStyle name="Normal 2 5 2 4 2 5 4" xfId="8191"/>
    <cellStyle name="Normal 2 5 2 4 2 5 5" xfId="22271"/>
    <cellStyle name="Normal 2 5 2 4 2 6" xfId="5752"/>
    <cellStyle name="Normal 2 5 2 4 2 6 2" xfId="14838"/>
    <cellStyle name="Normal 2 5 2 4 2 6 3" xfId="24842"/>
    <cellStyle name="Normal 2 5 2 4 2 7" xfId="9645"/>
    <cellStyle name="Normal 2 5 2 4 2 7 2" xfId="18472"/>
    <cellStyle name="Normal 2 5 2 4 2 7 3" xfId="28723"/>
    <cellStyle name="Normal 2 5 2 4 2 8" xfId="11089"/>
    <cellStyle name="Normal 2 5 2 4 2 8 2" xfId="23815"/>
    <cellStyle name="Normal 2 5 2 4 2 9" xfId="4723"/>
    <cellStyle name="Normal 2 5 2 4 2_Degree data" xfId="1289"/>
    <cellStyle name="Normal 2 5 2 4 3" xfId="601"/>
    <cellStyle name="Normal 2 5 2 4 3 2" xfId="2334"/>
    <cellStyle name="Normal 2 5 2 4 3 2 2" xfId="16043"/>
    <cellStyle name="Normal 2 5 2 4 3 2 2 2" xfId="26116"/>
    <cellStyle name="Normal 2 5 2 4 3 2 3" xfId="12500"/>
    <cellStyle name="Normal 2 5 2 4 3 2 4" xfId="7029"/>
    <cellStyle name="Normal 2 5 2 4 3 2 5" xfId="21109"/>
    <cellStyle name="Normal 2 5 2 4 3 3" xfId="3607"/>
    <cellStyle name="Normal 2 5 2 4 3 3 2" xfId="17254"/>
    <cellStyle name="Normal 2 5 2 4 3 3 2 2" xfId="27505"/>
    <cellStyle name="Normal 2 5 2 4 3 3 3" xfId="13675"/>
    <cellStyle name="Normal 2 5 2 4 3 3 4" xfId="8418"/>
    <cellStyle name="Normal 2 5 2 4 3 3 5" xfId="22498"/>
    <cellStyle name="Normal 2 5 2 4 3 4" xfId="6145"/>
    <cellStyle name="Normal 2 5 2 4 3 4 2" xfId="15229"/>
    <cellStyle name="Normal 2 5 2 4 3 4 3" xfId="25233"/>
    <cellStyle name="Normal 2 5 2 4 3 5" xfId="9872"/>
    <cellStyle name="Normal 2 5 2 4 3 5 2" xfId="18699"/>
    <cellStyle name="Normal 2 5 2 4 3 5 3" xfId="28950"/>
    <cellStyle name="Normal 2 5 2 4 3 6" xfId="11316"/>
    <cellStyle name="Normal 2 5 2 4 3 6 2" xfId="23715"/>
    <cellStyle name="Normal 2 5 2 4 3 7" xfId="4623"/>
    <cellStyle name="Normal 2 5 2 4 3 8" xfId="20226"/>
    <cellStyle name="Normal 2 5 2 4 4" xfId="960"/>
    <cellStyle name="Normal 2 5 2 4 4 2" xfId="2682"/>
    <cellStyle name="Normal 2 5 2 4 4 2 2" xfId="16229"/>
    <cellStyle name="Normal 2 5 2 4 4 2 2 2" xfId="26448"/>
    <cellStyle name="Normal 2 5 2 4 4 2 3" xfId="12651"/>
    <cellStyle name="Normal 2 5 2 4 4 2 4" xfId="7361"/>
    <cellStyle name="Normal 2 5 2 4 4 2 5" xfId="21441"/>
    <cellStyle name="Normal 2 5 2 4 4 3" xfId="3956"/>
    <cellStyle name="Normal 2 5 2 4 4 3 2" xfId="17602"/>
    <cellStyle name="Normal 2 5 2 4 4 3 2 2" xfId="27853"/>
    <cellStyle name="Normal 2 5 2 4 4 3 3" xfId="14023"/>
    <cellStyle name="Normal 2 5 2 4 4 3 4" xfId="8766"/>
    <cellStyle name="Normal 2 5 2 4 4 3 5" xfId="22846"/>
    <cellStyle name="Normal 2 5 2 4 4 4" xfId="6477"/>
    <cellStyle name="Normal 2 5 2 4 4 4 2" xfId="15561"/>
    <cellStyle name="Normal 2 5 2 4 4 4 3" xfId="25565"/>
    <cellStyle name="Normal 2 5 2 4 4 5" xfId="10220"/>
    <cellStyle name="Normal 2 5 2 4 4 5 2" xfId="19047"/>
    <cellStyle name="Normal 2 5 2 4 4 5 3" xfId="29298"/>
    <cellStyle name="Normal 2 5 2 4 4 6" xfId="11666"/>
    <cellStyle name="Normal 2 5 2 4 4 6 2" xfId="24047"/>
    <cellStyle name="Normal 2 5 2 4 4 7" xfId="4955"/>
    <cellStyle name="Normal 2 5 2 4 4 8" xfId="20558"/>
    <cellStyle name="Normal 2 5 2 4 5" xfId="1449"/>
    <cellStyle name="Normal 2 5 2 4 5 2" xfId="3050"/>
    <cellStyle name="Normal 2 5 2 4 5 2 2" xfId="16606"/>
    <cellStyle name="Normal 2 5 2 4 5 2 2 2" xfId="26825"/>
    <cellStyle name="Normal 2 5 2 4 5 2 3" xfId="13027"/>
    <cellStyle name="Normal 2 5 2 4 5 2 4" xfId="7738"/>
    <cellStyle name="Normal 2 5 2 4 5 2 5" xfId="21818"/>
    <cellStyle name="Normal 2 5 2 4 5 3" xfId="4264"/>
    <cellStyle name="Normal 2 5 2 4 5 3 2" xfId="17970"/>
    <cellStyle name="Normal 2 5 2 4 5 3 2 2" xfId="28221"/>
    <cellStyle name="Normal 2 5 2 4 5 3 3" xfId="14391"/>
    <cellStyle name="Normal 2 5 2 4 5 3 4" xfId="9134"/>
    <cellStyle name="Normal 2 5 2 4 5 3 5" xfId="23214"/>
    <cellStyle name="Normal 2 5 2 4 5 4" xfId="5926"/>
    <cellStyle name="Normal 2 5 2 4 5 4 2" xfId="15012"/>
    <cellStyle name="Normal 2 5 2 4 5 4 3" xfId="25016"/>
    <cellStyle name="Normal 2 5 2 4 5 5" xfId="10588"/>
    <cellStyle name="Normal 2 5 2 4 5 5 2" xfId="19415"/>
    <cellStyle name="Normal 2 5 2 4 5 5 3" xfId="29666"/>
    <cellStyle name="Normal 2 5 2 4 5 6" xfId="12034"/>
    <cellStyle name="Normal 2 5 2 4 5 6 2" xfId="24424"/>
    <cellStyle name="Normal 2 5 2 4 5 7" xfId="5332"/>
    <cellStyle name="Normal 2 5 2 4 5 8" xfId="20009"/>
    <cellStyle name="Normal 2 5 2 4 6" xfId="2007"/>
    <cellStyle name="Normal 2 5 2 4 6 2" xfId="15855"/>
    <cellStyle name="Normal 2 5 2 4 6 2 2" xfId="25899"/>
    <cellStyle name="Normal 2 5 2 4 6 3" xfId="12477"/>
    <cellStyle name="Normal 2 5 2 4 6 4" xfId="6812"/>
    <cellStyle name="Normal 2 5 2 4 6 5" xfId="20892"/>
    <cellStyle name="Normal 2 5 2 4 7" xfId="3426"/>
    <cellStyle name="Normal 2 5 2 4 7 2" xfId="16927"/>
    <cellStyle name="Normal 2 5 2 4 7 2 2" xfId="27178"/>
    <cellStyle name="Normal 2 5 2 4 7 3" xfId="13348"/>
    <cellStyle name="Normal 2 5 2 4 7 4" xfId="8091"/>
    <cellStyle name="Normal 2 5 2 4 7 5" xfId="22171"/>
    <cellStyle name="Normal 2 5 2 4 8" xfId="5652"/>
    <cellStyle name="Normal 2 5 2 4 8 2" xfId="14738"/>
    <cellStyle name="Normal 2 5 2 4 8 3" xfId="24742"/>
    <cellStyle name="Normal 2 5 2 4 9" xfId="9545"/>
    <cellStyle name="Normal 2 5 2 4 9 2" xfId="18372"/>
    <cellStyle name="Normal 2 5 2 4 9 3" xfId="28623"/>
    <cellStyle name="Normal 2 5 2 4_Degree data" xfId="1290"/>
    <cellStyle name="Normal 2 5 2 5" xfId="206"/>
    <cellStyle name="Normal 2 5 2 5 10" xfId="10938"/>
    <cellStyle name="Normal 2 5 2 5 10 2" xfId="23552"/>
    <cellStyle name="Normal 2 5 2 5 11" xfId="4460"/>
    <cellStyle name="Normal 2 5 2 5 12" xfId="19684"/>
    <cellStyle name="Normal 2 5 2 5 2" xfId="420"/>
    <cellStyle name="Normal 2 5 2 5 2 10" xfId="19889"/>
    <cellStyle name="Normal 2 5 2 5 2 2" xfId="604"/>
    <cellStyle name="Normal 2 5 2 5 2 2 2" xfId="2337"/>
    <cellStyle name="Normal 2 5 2 5 2 2 2 2" xfId="16232"/>
    <cellStyle name="Normal 2 5 2 5 2 2 2 2 2" xfId="26451"/>
    <cellStyle name="Normal 2 5 2 5 2 2 2 3" xfId="12654"/>
    <cellStyle name="Normal 2 5 2 5 2 2 2 4" xfId="7364"/>
    <cellStyle name="Normal 2 5 2 5 2 2 2 5" xfId="21444"/>
    <cellStyle name="Normal 2 5 2 5 2 2 3" xfId="3610"/>
    <cellStyle name="Normal 2 5 2 5 2 2 3 2" xfId="17257"/>
    <cellStyle name="Normal 2 5 2 5 2 2 3 2 2" xfId="27508"/>
    <cellStyle name="Normal 2 5 2 5 2 2 3 3" xfId="13678"/>
    <cellStyle name="Normal 2 5 2 5 2 2 3 4" xfId="8421"/>
    <cellStyle name="Normal 2 5 2 5 2 2 3 5" xfId="22501"/>
    <cellStyle name="Normal 2 5 2 5 2 2 4" xfId="6480"/>
    <cellStyle name="Normal 2 5 2 5 2 2 4 2" xfId="15564"/>
    <cellStyle name="Normal 2 5 2 5 2 2 4 3" xfId="25568"/>
    <cellStyle name="Normal 2 5 2 5 2 2 5" xfId="9875"/>
    <cellStyle name="Normal 2 5 2 5 2 2 5 2" xfId="18702"/>
    <cellStyle name="Normal 2 5 2 5 2 2 5 3" xfId="28953"/>
    <cellStyle name="Normal 2 5 2 5 2 2 6" xfId="11319"/>
    <cellStyle name="Normal 2 5 2 5 2 2 6 2" xfId="24050"/>
    <cellStyle name="Normal 2 5 2 5 2 2 7" xfId="4958"/>
    <cellStyle name="Normal 2 5 2 5 2 2 8" xfId="20561"/>
    <cellStyle name="Normal 2 5 2 5 2 3" xfId="963"/>
    <cellStyle name="Normal 2 5 2 5 2 3 2" xfId="2685"/>
    <cellStyle name="Normal 2 5 2 5 2 3 2 2" xfId="16760"/>
    <cellStyle name="Normal 2 5 2 5 2 3 2 2 2" xfId="26979"/>
    <cellStyle name="Normal 2 5 2 5 2 3 2 3" xfId="13181"/>
    <cellStyle name="Normal 2 5 2 5 2 3 2 4" xfId="7892"/>
    <cellStyle name="Normal 2 5 2 5 2 3 2 5" xfId="21972"/>
    <cellStyle name="Normal 2 5 2 5 2 3 3" xfId="3959"/>
    <cellStyle name="Normal 2 5 2 5 2 3 3 2" xfId="17605"/>
    <cellStyle name="Normal 2 5 2 5 2 3 3 2 2" xfId="27856"/>
    <cellStyle name="Normal 2 5 2 5 2 3 3 3" xfId="14026"/>
    <cellStyle name="Normal 2 5 2 5 2 3 3 4" xfId="8769"/>
    <cellStyle name="Normal 2 5 2 5 2 3 3 5" xfId="22849"/>
    <cellStyle name="Normal 2 5 2 5 2 3 4" xfId="6299"/>
    <cellStyle name="Normal 2 5 2 5 2 3 4 2" xfId="15383"/>
    <cellStyle name="Normal 2 5 2 5 2 3 4 3" xfId="25387"/>
    <cellStyle name="Normal 2 5 2 5 2 3 5" xfId="10223"/>
    <cellStyle name="Normal 2 5 2 5 2 3 5 2" xfId="19050"/>
    <cellStyle name="Normal 2 5 2 5 2 3 5 3" xfId="29301"/>
    <cellStyle name="Normal 2 5 2 5 2 3 6" xfId="11669"/>
    <cellStyle name="Normal 2 5 2 5 2 3 6 2" xfId="24578"/>
    <cellStyle name="Normal 2 5 2 5 2 3 7" xfId="5486"/>
    <cellStyle name="Normal 2 5 2 5 2 3 8" xfId="20380"/>
    <cellStyle name="Normal 2 5 2 5 2 4" xfId="1607"/>
    <cellStyle name="Normal 2 5 2 5 2 4 2" xfId="3204"/>
    <cellStyle name="Normal 2 5 2 5 2 4 2 2" xfId="18124"/>
    <cellStyle name="Normal 2 5 2 5 2 4 2 2 2" xfId="28375"/>
    <cellStyle name="Normal 2 5 2 5 2 4 2 3" xfId="14545"/>
    <cellStyle name="Normal 2 5 2 5 2 4 2 4" xfId="9288"/>
    <cellStyle name="Normal 2 5 2 5 2 4 2 5" xfId="23368"/>
    <cellStyle name="Normal 2 5 2 5 2 4 3" xfId="10742"/>
    <cellStyle name="Normal 2 5 2 5 2 4 3 2" xfId="19569"/>
    <cellStyle name="Normal 2 5 2 5 2 4 3 3" xfId="29820"/>
    <cellStyle name="Normal 2 5 2 5 2 4 4" xfId="12188"/>
    <cellStyle name="Normal 2 5 2 5 2 4 4 2" xfId="26270"/>
    <cellStyle name="Normal 2 5 2 5 2 4 5" xfId="7183"/>
    <cellStyle name="Normal 2 5 2 5 2 4 6" xfId="21263"/>
    <cellStyle name="Normal 2 5 2 5 2 5" xfId="2161"/>
    <cellStyle name="Normal 2 5 2 5 2 5 2" xfId="17081"/>
    <cellStyle name="Normal 2 5 2 5 2 5 2 2" xfId="27332"/>
    <cellStyle name="Normal 2 5 2 5 2 5 3" xfId="13502"/>
    <cellStyle name="Normal 2 5 2 5 2 5 4" xfId="8245"/>
    <cellStyle name="Normal 2 5 2 5 2 5 5" xfId="22325"/>
    <cellStyle name="Normal 2 5 2 5 2 6" xfId="5806"/>
    <cellStyle name="Normal 2 5 2 5 2 6 2" xfId="14892"/>
    <cellStyle name="Normal 2 5 2 5 2 6 3" xfId="24896"/>
    <cellStyle name="Normal 2 5 2 5 2 7" xfId="9699"/>
    <cellStyle name="Normal 2 5 2 5 2 7 2" xfId="18526"/>
    <cellStyle name="Normal 2 5 2 5 2 7 3" xfId="28777"/>
    <cellStyle name="Normal 2 5 2 5 2 8" xfId="11143"/>
    <cellStyle name="Normal 2 5 2 5 2 8 2" xfId="23869"/>
    <cellStyle name="Normal 2 5 2 5 2 9" xfId="4777"/>
    <cellStyle name="Normal 2 5 2 5 2_Degree data" xfId="1226"/>
    <cellStyle name="Normal 2 5 2 5 3" xfId="603"/>
    <cellStyle name="Normal 2 5 2 5 3 2" xfId="2336"/>
    <cellStyle name="Normal 2 5 2 5 3 2 2" xfId="15992"/>
    <cellStyle name="Normal 2 5 2 5 3 2 2 2" xfId="26065"/>
    <cellStyle name="Normal 2 5 2 5 3 2 3" xfId="12242"/>
    <cellStyle name="Normal 2 5 2 5 3 2 4" xfId="6978"/>
    <cellStyle name="Normal 2 5 2 5 3 2 5" xfId="21058"/>
    <cellStyle name="Normal 2 5 2 5 3 3" xfId="3609"/>
    <cellStyle name="Normal 2 5 2 5 3 3 2" xfId="17256"/>
    <cellStyle name="Normal 2 5 2 5 3 3 2 2" xfId="27507"/>
    <cellStyle name="Normal 2 5 2 5 3 3 3" xfId="13677"/>
    <cellStyle name="Normal 2 5 2 5 3 3 4" xfId="8420"/>
    <cellStyle name="Normal 2 5 2 5 3 3 5" xfId="22500"/>
    <cellStyle name="Normal 2 5 2 5 3 4" xfId="6094"/>
    <cellStyle name="Normal 2 5 2 5 3 4 2" xfId="15178"/>
    <cellStyle name="Normal 2 5 2 5 3 4 3" xfId="25182"/>
    <cellStyle name="Normal 2 5 2 5 3 5" xfId="9874"/>
    <cellStyle name="Normal 2 5 2 5 3 5 2" xfId="18701"/>
    <cellStyle name="Normal 2 5 2 5 3 5 3" xfId="28952"/>
    <cellStyle name="Normal 2 5 2 5 3 6" xfId="11318"/>
    <cellStyle name="Normal 2 5 2 5 3 6 2" xfId="23664"/>
    <cellStyle name="Normal 2 5 2 5 3 7" xfId="4572"/>
    <cellStyle name="Normal 2 5 2 5 3 8" xfId="20175"/>
    <cellStyle name="Normal 2 5 2 5 4" xfId="962"/>
    <cellStyle name="Normal 2 5 2 5 4 2" xfId="2684"/>
    <cellStyle name="Normal 2 5 2 5 4 2 2" xfId="16231"/>
    <cellStyle name="Normal 2 5 2 5 4 2 2 2" xfId="26450"/>
    <cellStyle name="Normal 2 5 2 5 4 2 3" xfId="12653"/>
    <cellStyle name="Normal 2 5 2 5 4 2 4" xfId="7363"/>
    <cellStyle name="Normal 2 5 2 5 4 2 5" xfId="21443"/>
    <cellStyle name="Normal 2 5 2 5 4 3" xfId="3958"/>
    <cellStyle name="Normal 2 5 2 5 4 3 2" xfId="17604"/>
    <cellStyle name="Normal 2 5 2 5 4 3 2 2" xfId="27855"/>
    <cellStyle name="Normal 2 5 2 5 4 3 3" xfId="14025"/>
    <cellStyle name="Normal 2 5 2 5 4 3 4" xfId="8768"/>
    <cellStyle name="Normal 2 5 2 5 4 3 5" xfId="22848"/>
    <cellStyle name="Normal 2 5 2 5 4 4" xfId="6479"/>
    <cellStyle name="Normal 2 5 2 5 4 4 2" xfId="15563"/>
    <cellStyle name="Normal 2 5 2 5 4 4 3" xfId="25567"/>
    <cellStyle name="Normal 2 5 2 5 4 5" xfId="10222"/>
    <cellStyle name="Normal 2 5 2 5 4 5 2" xfId="19049"/>
    <cellStyle name="Normal 2 5 2 5 4 5 3" xfId="29300"/>
    <cellStyle name="Normal 2 5 2 5 4 6" xfId="11668"/>
    <cellStyle name="Normal 2 5 2 5 4 6 2" xfId="24049"/>
    <cellStyle name="Normal 2 5 2 5 4 7" xfId="4957"/>
    <cellStyle name="Normal 2 5 2 5 4 8" xfId="20560"/>
    <cellStyle name="Normal 2 5 2 5 5" xfId="1393"/>
    <cellStyle name="Normal 2 5 2 5 5 2" xfId="2999"/>
    <cellStyle name="Normal 2 5 2 5 5 2 2" xfId="16555"/>
    <cellStyle name="Normal 2 5 2 5 5 2 2 2" xfId="26774"/>
    <cellStyle name="Normal 2 5 2 5 5 2 3" xfId="12976"/>
    <cellStyle name="Normal 2 5 2 5 5 2 4" xfId="7687"/>
    <cellStyle name="Normal 2 5 2 5 5 2 5" xfId="21767"/>
    <cellStyle name="Normal 2 5 2 5 5 3" xfId="4213"/>
    <cellStyle name="Normal 2 5 2 5 5 3 2" xfId="17919"/>
    <cellStyle name="Normal 2 5 2 5 5 3 2 2" xfId="28170"/>
    <cellStyle name="Normal 2 5 2 5 5 3 3" xfId="14340"/>
    <cellStyle name="Normal 2 5 2 5 5 3 4" xfId="9083"/>
    <cellStyle name="Normal 2 5 2 5 5 3 5" xfId="23163"/>
    <cellStyle name="Normal 2 5 2 5 5 4" xfId="5980"/>
    <cellStyle name="Normal 2 5 2 5 5 4 2" xfId="15066"/>
    <cellStyle name="Normal 2 5 2 5 5 4 3" xfId="25070"/>
    <cellStyle name="Normal 2 5 2 5 5 5" xfId="10537"/>
    <cellStyle name="Normal 2 5 2 5 5 5 2" xfId="19364"/>
    <cellStyle name="Normal 2 5 2 5 5 5 3" xfId="29615"/>
    <cellStyle name="Normal 2 5 2 5 5 6" xfId="11983"/>
    <cellStyle name="Normal 2 5 2 5 5 6 2" xfId="24373"/>
    <cellStyle name="Normal 2 5 2 5 5 7" xfId="5281"/>
    <cellStyle name="Normal 2 5 2 5 5 8" xfId="20063"/>
    <cellStyle name="Normal 2 5 2 5 6" xfId="1956"/>
    <cellStyle name="Normal 2 5 2 5 6 2" xfId="15909"/>
    <cellStyle name="Normal 2 5 2 5 6 2 2" xfId="25953"/>
    <cellStyle name="Normal 2 5 2 5 6 3" xfId="12284"/>
    <cellStyle name="Normal 2 5 2 5 6 4" xfId="6866"/>
    <cellStyle name="Normal 2 5 2 5 6 5" xfId="20946"/>
    <cellStyle name="Normal 2 5 2 5 7" xfId="3376"/>
    <cellStyle name="Normal 2 5 2 5 7 2" xfId="16876"/>
    <cellStyle name="Normal 2 5 2 5 7 2 2" xfId="27127"/>
    <cellStyle name="Normal 2 5 2 5 7 3" xfId="13297"/>
    <cellStyle name="Normal 2 5 2 5 7 4" xfId="8040"/>
    <cellStyle name="Normal 2 5 2 5 7 5" xfId="22120"/>
    <cellStyle name="Normal 2 5 2 5 8" xfId="5601"/>
    <cellStyle name="Normal 2 5 2 5 8 2" xfId="14687"/>
    <cellStyle name="Normal 2 5 2 5 8 3" xfId="24691"/>
    <cellStyle name="Normal 2 5 2 5 9" xfId="9494"/>
    <cellStyle name="Normal 2 5 2 5 9 2" xfId="18321"/>
    <cellStyle name="Normal 2 5 2 5 9 3" xfId="28572"/>
    <cellStyle name="Normal 2 5 2 5_Degree data" xfId="1216"/>
    <cellStyle name="Normal 2 5 2 6" xfId="312"/>
    <cellStyle name="Normal 2 5 2 6 10" xfId="19784"/>
    <cellStyle name="Normal 2 5 2 6 2" xfId="605"/>
    <cellStyle name="Normal 2 5 2 6 2 2" xfId="2338"/>
    <cellStyle name="Normal 2 5 2 6 2 2 2" xfId="16233"/>
    <cellStyle name="Normal 2 5 2 6 2 2 2 2" xfId="26452"/>
    <cellStyle name="Normal 2 5 2 6 2 2 3" xfId="12655"/>
    <cellStyle name="Normal 2 5 2 6 2 2 4" xfId="7365"/>
    <cellStyle name="Normal 2 5 2 6 2 2 5" xfId="21445"/>
    <cellStyle name="Normal 2 5 2 6 2 3" xfId="3611"/>
    <cellStyle name="Normal 2 5 2 6 2 3 2" xfId="17258"/>
    <cellStyle name="Normal 2 5 2 6 2 3 2 2" xfId="27509"/>
    <cellStyle name="Normal 2 5 2 6 2 3 3" xfId="13679"/>
    <cellStyle name="Normal 2 5 2 6 2 3 4" xfId="8422"/>
    <cellStyle name="Normal 2 5 2 6 2 3 5" xfId="22502"/>
    <cellStyle name="Normal 2 5 2 6 2 4" xfId="6481"/>
    <cellStyle name="Normal 2 5 2 6 2 4 2" xfId="15565"/>
    <cellStyle name="Normal 2 5 2 6 2 4 3" xfId="25569"/>
    <cellStyle name="Normal 2 5 2 6 2 5" xfId="9876"/>
    <cellStyle name="Normal 2 5 2 6 2 5 2" xfId="18703"/>
    <cellStyle name="Normal 2 5 2 6 2 5 3" xfId="28954"/>
    <cellStyle name="Normal 2 5 2 6 2 6" xfId="11320"/>
    <cellStyle name="Normal 2 5 2 6 2 6 2" xfId="24051"/>
    <cellStyle name="Normal 2 5 2 6 2 7" xfId="4959"/>
    <cellStyle name="Normal 2 5 2 6 2 8" xfId="20562"/>
    <cellStyle name="Normal 2 5 2 6 3" xfId="964"/>
    <cellStyle name="Normal 2 5 2 6 3 2" xfId="2686"/>
    <cellStyle name="Normal 2 5 2 6 3 2 2" xfId="16655"/>
    <cellStyle name="Normal 2 5 2 6 3 2 2 2" xfId="26874"/>
    <cellStyle name="Normal 2 5 2 6 3 2 3" xfId="13076"/>
    <cellStyle name="Normal 2 5 2 6 3 2 4" xfId="7787"/>
    <cellStyle name="Normal 2 5 2 6 3 2 5" xfId="21867"/>
    <cellStyle name="Normal 2 5 2 6 3 3" xfId="3960"/>
    <cellStyle name="Normal 2 5 2 6 3 3 2" xfId="17606"/>
    <cellStyle name="Normal 2 5 2 6 3 3 2 2" xfId="27857"/>
    <cellStyle name="Normal 2 5 2 6 3 3 3" xfId="14027"/>
    <cellStyle name="Normal 2 5 2 6 3 3 4" xfId="8770"/>
    <cellStyle name="Normal 2 5 2 6 3 3 5" xfId="22850"/>
    <cellStyle name="Normal 2 5 2 6 3 4" xfId="6194"/>
    <cellStyle name="Normal 2 5 2 6 3 4 2" xfId="15278"/>
    <cellStyle name="Normal 2 5 2 6 3 4 3" xfId="25282"/>
    <cellStyle name="Normal 2 5 2 6 3 5" xfId="10224"/>
    <cellStyle name="Normal 2 5 2 6 3 5 2" xfId="19051"/>
    <cellStyle name="Normal 2 5 2 6 3 5 3" xfId="29302"/>
    <cellStyle name="Normal 2 5 2 6 3 6" xfId="11670"/>
    <cellStyle name="Normal 2 5 2 6 3 6 2" xfId="24473"/>
    <cellStyle name="Normal 2 5 2 6 3 7" xfId="5381"/>
    <cellStyle name="Normal 2 5 2 6 3 8" xfId="20275"/>
    <cellStyle name="Normal 2 5 2 6 4" xfId="1499"/>
    <cellStyle name="Normal 2 5 2 6 4 2" xfId="3099"/>
    <cellStyle name="Normal 2 5 2 6 4 2 2" xfId="18019"/>
    <cellStyle name="Normal 2 5 2 6 4 2 2 2" xfId="28270"/>
    <cellStyle name="Normal 2 5 2 6 4 2 3" xfId="14440"/>
    <cellStyle name="Normal 2 5 2 6 4 2 4" xfId="9183"/>
    <cellStyle name="Normal 2 5 2 6 4 2 5" xfId="23263"/>
    <cellStyle name="Normal 2 5 2 6 4 3" xfId="10637"/>
    <cellStyle name="Normal 2 5 2 6 4 3 2" xfId="19464"/>
    <cellStyle name="Normal 2 5 2 6 4 3 3" xfId="29715"/>
    <cellStyle name="Normal 2 5 2 6 4 4" xfId="12083"/>
    <cellStyle name="Normal 2 5 2 6 4 4 2" xfId="26165"/>
    <cellStyle name="Normal 2 5 2 6 4 5" xfId="7078"/>
    <cellStyle name="Normal 2 5 2 6 4 6" xfId="21158"/>
    <cellStyle name="Normal 2 5 2 6 5" xfId="2056"/>
    <cellStyle name="Normal 2 5 2 6 5 2" xfId="16976"/>
    <cellStyle name="Normal 2 5 2 6 5 2 2" xfId="27227"/>
    <cellStyle name="Normal 2 5 2 6 5 3" xfId="13397"/>
    <cellStyle name="Normal 2 5 2 6 5 4" xfId="8140"/>
    <cellStyle name="Normal 2 5 2 6 5 5" xfId="22220"/>
    <cellStyle name="Normal 2 5 2 6 6" xfId="5701"/>
    <cellStyle name="Normal 2 5 2 6 6 2" xfId="14787"/>
    <cellStyle name="Normal 2 5 2 6 6 3" xfId="24791"/>
    <cellStyle name="Normal 2 5 2 6 7" xfId="9594"/>
    <cellStyle name="Normal 2 5 2 6 7 2" xfId="18421"/>
    <cellStyle name="Normal 2 5 2 6 7 3" xfId="28672"/>
    <cellStyle name="Normal 2 5 2 6 8" xfId="11038"/>
    <cellStyle name="Normal 2 5 2 6 8 2" xfId="23764"/>
    <cellStyle name="Normal 2 5 2 6 9" xfId="4672"/>
    <cellStyle name="Normal 2 5 2 6_Degree data" xfId="1225"/>
    <cellStyle name="Normal 2 5 2 7" xfId="146"/>
    <cellStyle name="Normal 2 5 2 7 10" xfId="20123"/>
    <cellStyle name="Normal 2 5 2 7 2" xfId="606"/>
    <cellStyle name="Normal 2 5 2 7 2 2" xfId="2339"/>
    <cellStyle name="Normal 2 5 2 7 2 2 2" xfId="16234"/>
    <cellStyle name="Normal 2 5 2 7 2 2 2 2" xfId="26453"/>
    <cellStyle name="Normal 2 5 2 7 2 2 3" xfId="12656"/>
    <cellStyle name="Normal 2 5 2 7 2 2 4" xfId="7366"/>
    <cellStyle name="Normal 2 5 2 7 2 2 5" xfId="21446"/>
    <cellStyle name="Normal 2 5 2 7 2 3" xfId="3612"/>
    <cellStyle name="Normal 2 5 2 7 2 3 2" xfId="17259"/>
    <cellStyle name="Normal 2 5 2 7 2 3 2 2" xfId="27510"/>
    <cellStyle name="Normal 2 5 2 7 2 3 3" xfId="13680"/>
    <cellStyle name="Normal 2 5 2 7 2 3 4" xfId="8423"/>
    <cellStyle name="Normal 2 5 2 7 2 3 5" xfId="22503"/>
    <cellStyle name="Normal 2 5 2 7 2 4" xfId="6482"/>
    <cellStyle name="Normal 2 5 2 7 2 4 2" xfId="15566"/>
    <cellStyle name="Normal 2 5 2 7 2 4 3" xfId="25570"/>
    <cellStyle name="Normal 2 5 2 7 2 5" xfId="9877"/>
    <cellStyle name="Normal 2 5 2 7 2 5 2" xfId="18704"/>
    <cellStyle name="Normal 2 5 2 7 2 5 3" xfId="28955"/>
    <cellStyle name="Normal 2 5 2 7 2 6" xfId="11321"/>
    <cellStyle name="Normal 2 5 2 7 2 6 2" xfId="24052"/>
    <cellStyle name="Normal 2 5 2 7 2 7" xfId="4960"/>
    <cellStyle name="Normal 2 5 2 7 2 8" xfId="20563"/>
    <cellStyle name="Normal 2 5 2 7 3" xfId="965"/>
    <cellStyle name="Normal 2 5 2 7 3 2" xfId="2687"/>
    <cellStyle name="Normal 2 5 2 7 3 2 2" xfId="16503"/>
    <cellStyle name="Normal 2 5 2 7 3 2 2 2" xfId="26722"/>
    <cellStyle name="Normal 2 5 2 7 3 2 3" xfId="12925"/>
    <cellStyle name="Normal 2 5 2 7 3 2 4" xfId="7635"/>
    <cellStyle name="Normal 2 5 2 7 3 2 5" xfId="21715"/>
    <cellStyle name="Normal 2 5 2 7 3 3" xfId="3961"/>
    <cellStyle name="Normal 2 5 2 7 3 3 2" xfId="17607"/>
    <cellStyle name="Normal 2 5 2 7 3 3 2 2" xfId="27858"/>
    <cellStyle name="Normal 2 5 2 7 3 3 3" xfId="14028"/>
    <cellStyle name="Normal 2 5 2 7 3 3 4" xfId="8771"/>
    <cellStyle name="Normal 2 5 2 7 3 3 5" xfId="22851"/>
    <cellStyle name="Normal 2 5 2 7 3 4" xfId="5898"/>
    <cellStyle name="Normal 2 5 2 7 3 4 2" xfId="14984"/>
    <cellStyle name="Normal 2 5 2 7 3 4 3" xfId="24988"/>
    <cellStyle name="Normal 2 5 2 7 3 5" xfId="10225"/>
    <cellStyle name="Normal 2 5 2 7 3 5 2" xfId="19052"/>
    <cellStyle name="Normal 2 5 2 7 3 5 3" xfId="29303"/>
    <cellStyle name="Normal 2 5 2 7 3 6" xfId="11671"/>
    <cellStyle name="Normal 2 5 2 7 3 6 2" xfId="24321"/>
    <cellStyle name="Normal 2 5 2 7 3 7" xfId="5229"/>
    <cellStyle name="Normal 2 5 2 7 3 8" xfId="19981"/>
    <cellStyle name="Normal 2 5 2 7 4" xfId="1333"/>
    <cellStyle name="Normal 2 5 2 7 4 2" xfId="2947"/>
    <cellStyle name="Normal 2 5 2 7 4 2 2" xfId="17867"/>
    <cellStyle name="Normal 2 5 2 7 4 2 2 2" xfId="28118"/>
    <cellStyle name="Normal 2 5 2 7 4 2 3" xfId="14288"/>
    <cellStyle name="Normal 2 5 2 7 4 2 4" xfId="9031"/>
    <cellStyle name="Normal 2 5 2 7 4 2 5" xfId="23111"/>
    <cellStyle name="Normal 2 5 2 7 4 3" xfId="10485"/>
    <cellStyle name="Normal 2 5 2 7 4 3 2" xfId="19312"/>
    <cellStyle name="Normal 2 5 2 7 4 3 3" xfId="29563"/>
    <cellStyle name="Normal 2 5 2 7 4 4" xfId="11931"/>
    <cellStyle name="Normal 2 5 2 7 4 4 2" xfId="26013"/>
    <cellStyle name="Normal 2 5 2 7 4 5" xfId="6926"/>
    <cellStyle name="Normal 2 5 2 7 4 6" xfId="21006"/>
    <cellStyle name="Normal 2 5 2 7 5" xfId="1904"/>
    <cellStyle name="Normal 2 5 2 7 5 2" xfId="16822"/>
    <cellStyle name="Normal 2 5 2 7 5 2 2" xfId="27073"/>
    <cellStyle name="Normal 2 5 2 7 5 3" xfId="13243"/>
    <cellStyle name="Normal 2 5 2 7 5 4" xfId="7986"/>
    <cellStyle name="Normal 2 5 2 7 5 5" xfId="22066"/>
    <cellStyle name="Normal 2 5 2 7 6" xfId="6042"/>
    <cellStyle name="Normal 2 5 2 7 6 2" xfId="15126"/>
    <cellStyle name="Normal 2 5 2 7 6 3" xfId="25130"/>
    <cellStyle name="Normal 2 5 2 7 7" xfId="9442"/>
    <cellStyle name="Normal 2 5 2 7 7 2" xfId="18269"/>
    <cellStyle name="Normal 2 5 2 7 7 3" xfId="28520"/>
    <cellStyle name="Normal 2 5 2 7 8" xfId="10886"/>
    <cellStyle name="Normal 2 5 2 7 8 2" xfId="23612"/>
    <cellStyle name="Normal 2 5 2 7 9" xfId="4520"/>
    <cellStyle name="Normal 2 5 2 7_Degree data" xfId="1465"/>
    <cellStyle name="Normal 2 5 2 8" xfId="587"/>
    <cellStyle name="Normal 2 5 2 8 2" xfId="2320"/>
    <cellStyle name="Normal 2 5 2 8 2 2" xfId="16215"/>
    <cellStyle name="Normal 2 5 2 8 2 2 2" xfId="26434"/>
    <cellStyle name="Normal 2 5 2 8 2 3" xfId="12637"/>
    <cellStyle name="Normal 2 5 2 8 2 4" xfId="7347"/>
    <cellStyle name="Normal 2 5 2 8 2 5" xfId="21427"/>
    <cellStyle name="Normal 2 5 2 8 3" xfId="3593"/>
    <cellStyle name="Normal 2 5 2 8 3 2" xfId="17240"/>
    <cellStyle name="Normal 2 5 2 8 3 2 2" xfId="27491"/>
    <cellStyle name="Normal 2 5 2 8 3 3" xfId="13661"/>
    <cellStyle name="Normal 2 5 2 8 3 4" xfId="8404"/>
    <cellStyle name="Normal 2 5 2 8 3 5" xfId="22484"/>
    <cellStyle name="Normal 2 5 2 8 4" xfId="6463"/>
    <cellStyle name="Normal 2 5 2 8 4 2" xfId="15547"/>
    <cellStyle name="Normal 2 5 2 8 4 3" xfId="25551"/>
    <cellStyle name="Normal 2 5 2 8 5" xfId="9858"/>
    <cellStyle name="Normal 2 5 2 8 5 2" xfId="18685"/>
    <cellStyle name="Normal 2 5 2 8 5 3" xfId="28936"/>
    <cellStyle name="Normal 2 5 2 8 6" xfId="11302"/>
    <cellStyle name="Normal 2 5 2 8 6 2" xfId="24033"/>
    <cellStyle name="Normal 2 5 2 8 7" xfId="4941"/>
    <cellStyle name="Normal 2 5 2 8 8" xfId="20544"/>
    <cellStyle name="Normal 2 5 2 9" xfId="946"/>
    <cellStyle name="Normal 2 5 2 9 2" xfId="2668"/>
    <cellStyle name="Normal 2 5 2 9 2 2" xfId="16471"/>
    <cellStyle name="Normal 2 5 2 9 2 2 2" xfId="26690"/>
    <cellStyle name="Normal 2 5 2 9 2 3" xfId="12893"/>
    <cellStyle name="Normal 2 5 2 9 2 4" xfId="7603"/>
    <cellStyle name="Normal 2 5 2 9 2 5" xfId="21683"/>
    <cellStyle name="Normal 2 5 2 9 3" xfId="3942"/>
    <cellStyle name="Normal 2 5 2 9 3 2" xfId="17588"/>
    <cellStyle name="Normal 2 5 2 9 3 2 2" xfId="27839"/>
    <cellStyle name="Normal 2 5 2 9 3 3" xfId="14009"/>
    <cellStyle name="Normal 2 5 2 9 3 4" xfId="8752"/>
    <cellStyle name="Normal 2 5 2 9 3 5" xfId="22832"/>
    <cellStyle name="Normal 2 5 2 9 4" xfId="5874"/>
    <cellStyle name="Normal 2 5 2 9 4 2" xfId="14960"/>
    <cellStyle name="Normal 2 5 2 9 4 3" xfId="24964"/>
    <cellStyle name="Normal 2 5 2 9 5" xfId="10206"/>
    <cellStyle name="Normal 2 5 2 9 5 2" xfId="19033"/>
    <cellStyle name="Normal 2 5 2 9 5 3" xfId="29284"/>
    <cellStyle name="Normal 2 5 2 9 6" xfId="11652"/>
    <cellStyle name="Normal 2 5 2 9 6 2" xfId="24289"/>
    <cellStyle name="Normal 2 5 2 9 7" xfId="5197"/>
    <cellStyle name="Normal 2 5 2 9 8" xfId="19957"/>
    <cellStyle name="Normal 2 5 2_Degree data" xfId="1403"/>
    <cellStyle name="Normal 2 5 3" xfId="92"/>
    <cellStyle name="Normal 2 5 3 10" xfId="1876"/>
    <cellStyle name="Normal 2 5 3 10 2" xfId="9414"/>
    <cellStyle name="Normal 2 5 3 10 2 2" xfId="18241"/>
    <cellStyle name="Normal 2 5 3 10 2 3" xfId="28492"/>
    <cellStyle name="Normal 2 5 3 10 3" xfId="10858"/>
    <cellStyle name="Normal 2 5 3 10 3 2" xfId="27045"/>
    <cellStyle name="Normal 2 5 3 10 4" xfId="7958"/>
    <cellStyle name="Normal 2 5 3 10 5" xfId="22038"/>
    <cellStyle name="Normal 2 5 3 11" xfId="1843"/>
    <cellStyle name="Normal 2 5 3 11 2" xfId="14650"/>
    <cellStyle name="Normal 2 5 3 11 3" xfId="5564"/>
    <cellStyle name="Normal 2 5 3 11 4" xfId="24654"/>
    <cellStyle name="Normal 2 5 3 12" xfId="9384"/>
    <cellStyle name="Normal 2 5 3 12 2" xfId="18211"/>
    <cellStyle name="Normal 2 5 3 12 3" xfId="28462"/>
    <cellStyle name="Normal 2 5 3 13" xfId="10825"/>
    <cellStyle name="Normal 2 5 3 13 2" xfId="23439"/>
    <cellStyle name="Normal 2 5 3 14" xfId="4347"/>
    <cellStyle name="Normal 2 5 3 15" xfId="19647"/>
    <cellStyle name="Normal 2 5 3 2" xfId="231"/>
    <cellStyle name="Normal 2 5 3 2 10" xfId="9516"/>
    <cellStyle name="Normal 2 5 3 2 10 2" xfId="18343"/>
    <cellStyle name="Normal 2 5 3 2 10 3" xfId="28594"/>
    <cellStyle name="Normal 2 5 3 2 11" xfId="10960"/>
    <cellStyle name="Normal 2 5 3 2 11 2" xfId="23469"/>
    <cellStyle name="Normal 2 5 3 2 12" xfId="4377"/>
    <cellStyle name="Normal 2 5 3 2 13" xfId="19706"/>
    <cellStyle name="Normal 2 5 3 2 2" xfId="441"/>
    <cellStyle name="Normal 2 5 3 2 2 10" xfId="4481"/>
    <cellStyle name="Normal 2 5 3 2 2 11" xfId="19910"/>
    <cellStyle name="Normal 2 5 3 2 2 2" xfId="609"/>
    <cellStyle name="Normal 2 5 3 2 2 2 2" xfId="2342"/>
    <cellStyle name="Normal 2 5 3 2 2 2 2 2" xfId="16081"/>
    <cellStyle name="Normal 2 5 3 2 2 2 2 2 2" xfId="26291"/>
    <cellStyle name="Normal 2 5 3 2 2 2 2 3" xfId="12503"/>
    <cellStyle name="Normal 2 5 3 2 2 2 2 4" xfId="7204"/>
    <cellStyle name="Normal 2 5 3 2 2 2 2 5" xfId="21284"/>
    <cellStyle name="Normal 2 5 3 2 2 2 3" xfId="3615"/>
    <cellStyle name="Normal 2 5 3 2 2 2 3 2" xfId="17262"/>
    <cellStyle name="Normal 2 5 3 2 2 2 3 2 2" xfId="27513"/>
    <cellStyle name="Normal 2 5 3 2 2 2 3 3" xfId="13683"/>
    <cellStyle name="Normal 2 5 3 2 2 2 3 4" xfId="8426"/>
    <cellStyle name="Normal 2 5 3 2 2 2 3 5" xfId="22506"/>
    <cellStyle name="Normal 2 5 3 2 2 2 4" xfId="6320"/>
    <cellStyle name="Normal 2 5 3 2 2 2 4 2" xfId="15404"/>
    <cellStyle name="Normal 2 5 3 2 2 2 4 3" xfId="25408"/>
    <cellStyle name="Normal 2 5 3 2 2 2 5" xfId="9880"/>
    <cellStyle name="Normal 2 5 3 2 2 2 5 2" xfId="18707"/>
    <cellStyle name="Normal 2 5 3 2 2 2 5 3" xfId="28958"/>
    <cellStyle name="Normal 2 5 3 2 2 2 6" xfId="11324"/>
    <cellStyle name="Normal 2 5 3 2 2 2 6 2" xfId="23890"/>
    <cellStyle name="Normal 2 5 3 2 2 2 7" xfId="4798"/>
    <cellStyle name="Normal 2 5 3 2 2 2 8" xfId="20401"/>
    <cellStyle name="Normal 2 5 3 2 2 3" xfId="968"/>
    <cellStyle name="Normal 2 5 3 2 2 3 2" xfId="2690"/>
    <cellStyle name="Normal 2 5 3 2 2 3 2 2" xfId="16237"/>
    <cellStyle name="Normal 2 5 3 2 2 3 2 2 2" xfId="26456"/>
    <cellStyle name="Normal 2 5 3 2 2 3 2 3" xfId="12659"/>
    <cellStyle name="Normal 2 5 3 2 2 3 2 4" xfId="7369"/>
    <cellStyle name="Normal 2 5 3 2 2 3 2 5" xfId="21449"/>
    <cellStyle name="Normal 2 5 3 2 2 3 3" xfId="3964"/>
    <cellStyle name="Normal 2 5 3 2 2 3 3 2" xfId="17610"/>
    <cellStyle name="Normal 2 5 3 2 2 3 3 2 2" xfId="27861"/>
    <cellStyle name="Normal 2 5 3 2 2 3 3 3" xfId="14031"/>
    <cellStyle name="Normal 2 5 3 2 2 3 3 4" xfId="8774"/>
    <cellStyle name="Normal 2 5 3 2 2 3 3 5" xfId="22854"/>
    <cellStyle name="Normal 2 5 3 2 2 3 4" xfId="6485"/>
    <cellStyle name="Normal 2 5 3 2 2 3 4 2" xfId="15569"/>
    <cellStyle name="Normal 2 5 3 2 2 3 4 3" xfId="25573"/>
    <cellStyle name="Normal 2 5 3 2 2 3 5" xfId="10228"/>
    <cellStyle name="Normal 2 5 3 2 2 3 5 2" xfId="19055"/>
    <cellStyle name="Normal 2 5 3 2 2 3 5 3" xfId="29306"/>
    <cellStyle name="Normal 2 5 3 2 2 3 6" xfId="11674"/>
    <cellStyle name="Normal 2 5 3 2 2 3 6 2" xfId="24055"/>
    <cellStyle name="Normal 2 5 3 2 2 3 7" xfId="4963"/>
    <cellStyle name="Normal 2 5 3 2 2 3 8" xfId="20566"/>
    <cellStyle name="Normal 2 5 3 2 2 4" xfId="1628"/>
    <cellStyle name="Normal 2 5 3 2 2 4 2" xfId="3225"/>
    <cellStyle name="Normal 2 5 3 2 2 4 2 2" xfId="16781"/>
    <cellStyle name="Normal 2 5 3 2 2 4 2 2 2" xfId="27000"/>
    <cellStyle name="Normal 2 5 3 2 2 4 2 3" xfId="13202"/>
    <cellStyle name="Normal 2 5 3 2 2 4 2 4" xfId="7913"/>
    <cellStyle name="Normal 2 5 3 2 2 4 2 5" xfId="21993"/>
    <cellStyle name="Normal 2 5 3 2 2 4 3" xfId="4302"/>
    <cellStyle name="Normal 2 5 3 2 2 4 3 2" xfId="18145"/>
    <cellStyle name="Normal 2 5 3 2 2 4 3 2 2" xfId="28396"/>
    <cellStyle name="Normal 2 5 3 2 2 4 3 3" xfId="14566"/>
    <cellStyle name="Normal 2 5 3 2 2 4 3 4" xfId="9309"/>
    <cellStyle name="Normal 2 5 3 2 2 4 3 5" xfId="23389"/>
    <cellStyle name="Normal 2 5 3 2 2 4 4" xfId="6001"/>
    <cellStyle name="Normal 2 5 3 2 2 4 4 2" xfId="15087"/>
    <cellStyle name="Normal 2 5 3 2 2 4 4 3" xfId="25091"/>
    <cellStyle name="Normal 2 5 3 2 2 4 5" xfId="10763"/>
    <cellStyle name="Normal 2 5 3 2 2 4 5 2" xfId="19590"/>
    <cellStyle name="Normal 2 5 3 2 2 4 5 3" xfId="29841"/>
    <cellStyle name="Normal 2 5 3 2 2 4 6" xfId="12209"/>
    <cellStyle name="Normal 2 5 3 2 2 4 6 2" xfId="24599"/>
    <cellStyle name="Normal 2 5 3 2 2 4 7" xfId="5507"/>
    <cellStyle name="Normal 2 5 3 2 2 4 8" xfId="20084"/>
    <cellStyle name="Normal 2 5 3 2 2 5" xfId="2182"/>
    <cellStyle name="Normal 2 5 3 2 2 5 2" xfId="15930"/>
    <cellStyle name="Normal 2 5 3 2 2 5 2 2" xfId="25974"/>
    <cellStyle name="Normal 2 5 3 2 2 5 3" xfId="12247"/>
    <cellStyle name="Normal 2 5 3 2 2 5 4" xfId="6887"/>
    <cellStyle name="Normal 2 5 3 2 2 5 5" xfId="20967"/>
    <cellStyle name="Normal 2 5 3 2 2 6" xfId="3464"/>
    <cellStyle name="Normal 2 5 3 2 2 6 2" xfId="17102"/>
    <cellStyle name="Normal 2 5 3 2 2 6 2 2" xfId="27353"/>
    <cellStyle name="Normal 2 5 3 2 2 6 3" xfId="13523"/>
    <cellStyle name="Normal 2 5 3 2 2 6 4" xfId="8266"/>
    <cellStyle name="Normal 2 5 3 2 2 6 5" xfId="22346"/>
    <cellStyle name="Normal 2 5 3 2 2 7" xfId="5827"/>
    <cellStyle name="Normal 2 5 3 2 2 7 2" xfId="14913"/>
    <cellStyle name="Normal 2 5 3 2 2 7 3" xfId="24917"/>
    <cellStyle name="Normal 2 5 3 2 2 8" xfId="9720"/>
    <cellStyle name="Normal 2 5 3 2 2 8 2" xfId="18547"/>
    <cellStyle name="Normal 2 5 3 2 2 8 3" xfId="28798"/>
    <cellStyle name="Normal 2 5 3 2 2 9" xfId="11164"/>
    <cellStyle name="Normal 2 5 3 2 2 9 2" xfId="23573"/>
    <cellStyle name="Normal 2 5 3 2 2_Degree data" xfId="1284"/>
    <cellStyle name="Normal 2 5 3 2 3" xfId="334"/>
    <cellStyle name="Normal 2 5 3 2 3 10" xfId="19806"/>
    <cellStyle name="Normal 2 5 3 2 3 2" xfId="610"/>
    <cellStyle name="Normal 2 5 3 2 3 2 2" xfId="2343"/>
    <cellStyle name="Normal 2 5 3 2 3 2 2 2" xfId="16238"/>
    <cellStyle name="Normal 2 5 3 2 3 2 2 2 2" xfId="26457"/>
    <cellStyle name="Normal 2 5 3 2 3 2 2 3" xfId="12660"/>
    <cellStyle name="Normal 2 5 3 2 3 2 2 4" xfId="7370"/>
    <cellStyle name="Normal 2 5 3 2 3 2 2 5" xfId="21450"/>
    <cellStyle name="Normal 2 5 3 2 3 2 3" xfId="3616"/>
    <cellStyle name="Normal 2 5 3 2 3 2 3 2" xfId="17263"/>
    <cellStyle name="Normal 2 5 3 2 3 2 3 2 2" xfId="27514"/>
    <cellStyle name="Normal 2 5 3 2 3 2 3 3" xfId="13684"/>
    <cellStyle name="Normal 2 5 3 2 3 2 3 4" xfId="8427"/>
    <cellStyle name="Normal 2 5 3 2 3 2 3 5" xfId="22507"/>
    <cellStyle name="Normal 2 5 3 2 3 2 4" xfId="6486"/>
    <cellStyle name="Normal 2 5 3 2 3 2 4 2" xfId="15570"/>
    <cellStyle name="Normal 2 5 3 2 3 2 4 3" xfId="25574"/>
    <cellStyle name="Normal 2 5 3 2 3 2 5" xfId="9881"/>
    <cellStyle name="Normal 2 5 3 2 3 2 5 2" xfId="18708"/>
    <cellStyle name="Normal 2 5 3 2 3 2 5 3" xfId="28959"/>
    <cellStyle name="Normal 2 5 3 2 3 2 6" xfId="11325"/>
    <cellStyle name="Normal 2 5 3 2 3 2 6 2" xfId="24056"/>
    <cellStyle name="Normal 2 5 3 2 3 2 7" xfId="4964"/>
    <cellStyle name="Normal 2 5 3 2 3 2 8" xfId="20567"/>
    <cellStyle name="Normal 2 5 3 2 3 3" xfId="969"/>
    <cellStyle name="Normal 2 5 3 2 3 3 2" xfId="2691"/>
    <cellStyle name="Normal 2 5 3 2 3 3 2 2" xfId="16677"/>
    <cellStyle name="Normal 2 5 3 2 3 3 2 2 2" xfId="26896"/>
    <cellStyle name="Normal 2 5 3 2 3 3 2 3" xfId="13098"/>
    <cellStyle name="Normal 2 5 3 2 3 3 2 4" xfId="7809"/>
    <cellStyle name="Normal 2 5 3 2 3 3 2 5" xfId="21889"/>
    <cellStyle name="Normal 2 5 3 2 3 3 3" xfId="3965"/>
    <cellStyle name="Normal 2 5 3 2 3 3 3 2" xfId="17611"/>
    <cellStyle name="Normal 2 5 3 2 3 3 3 2 2" xfId="27862"/>
    <cellStyle name="Normal 2 5 3 2 3 3 3 3" xfId="14032"/>
    <cellStyle name="Normal 2 5 3 2 3 3 3 4" xfId="8775"/>
    <cellStyle name="Normal 2 5 3 2 3 3 3 5" xfId="22855"/>
    <cellStyle name="Normal 2 5 3 2 3 3 4" xfId="6216"/>
    <cellStyle name="Normal 2 5 3 2 3 3 4 2" xfId="15300"/>
    <cellStyle name="Normal 2 5 3 2 3 3 4 3" xfId="25304"/>
    <cellStyle name="Normal 2 5 3 2 3 3 5" xfId="10229"/>
    <cellStyle name="Normal 2 5 3 2 3 3 5 2" xfId="19056"/>
    <cellStyle name="Normal 2 5 3 2 3 3 5 3" xfId="29307"/>
    <cellStyle name="Normal 2 5 3 2 3 3 6" xfId="11675"/>
    <cellStyle name="Normal 2 5 3 2 3 3 6 2" xfId="24495"/>
    <cellStyle name="Normal 2 5 3 2 3 3 7" xfId="5403"/>
    <cellStyle name="Normal 2 5 3 2 3 3 8" xfId="20297"/>
    <cellStyle name="Normal 2 5 3 2 3 4" xfId="1521"/>
    <cellStyle name="Normal 2 5 3 2 3 4 2" xfId="3121"/>
    <cellStyle name="Normal 2 5 3 2 3 4 2 2" xfId="18041"/>
    <cellStyle name="Normal 2 5 3 2 3 4 2 2 2" xfId="28292"/>
    <cellStyle name="Normal 2 5 3 2 3 4 2 3" xfId="14462"/>
    <cellStyle name="Normal 2 5 3 2 3 4 2 4" xfId="9205"/>
    <cellStyle name="Normal 2 5 3 2 3 4 2 5" xfId="23285"/>
    <cellStyle name="Normal 2 5 3 2 3 4 3" xfId="10659"/>
    <cellStyle name="Normal 2 5 3 2 3 4 3 2" xfId="19486"/>
    <cellStyle name="Normal 2 5 3 2 3 4 3 3" xfId="29737"/>
    <cellStyle name="Normal 2 5 3 2 3 4 4" xfId="12105"/>
    <cellStyle name="Normal 2 5 3 2 3 4 4 2" xfId="26187"/>
    <cellStyle name="Normal 2 5 3 2 3 4 5" xfId="7100"/>
    <cellStyle name="Normal 2 5 3 2 3 4 6" xfId="21180"/>
    <cellStyle name="Normal 2 5 3 2 3 5" xfId="2078"/>
    <cellStyle name="Normal 2 5 3 2 3 5 2" xfId="16998"/>
    <cellStyle name="Normal 2 5 3 2 3 5 2 2" xfId="27249"/>
    <cellStyle name="Normal 2 5 3 2 3 5 3" xfId="13419"/>
    <cellStyle name="Normal 2 5 3 2 3 5 4" xfId="8162"/>
    <cellStyle name="Normal 2 5 3 2 3 5 5" xfId="22242"/>
    <cellStyle name="Normal 2 5 3 2 3 6" xfId="5723"/>
    <cellStyle name="Normal 2 5 3 2 3 6 2" xfId="14809"/>
    <cellStyle name="Normal 2 5 3 2 3 6 3" xfId="24813"/>
    <cellStyle name="Normal 2 5 3 2 3 7" xfId="9616"/>
    <cellStyle name="Normal 2 5 3 2 3 7 2" xfId="18443"/>
    <cellStyle name="Normal 2 5 3 2 3 7 3" xfId="28694"/>
    <cellStyle name="Normal 2 5 3 2 3 8" xfId="11060"/>
    <cellStyle name="Normal 2 5 3 2 3 8 2" xfId="23786"/>
    <cellStyle name="Normal 2 5 3 2 3 9" xfId="4694"/>
    <cellStyle name="Normal 2 5 3 2 3_Degree data" xfId="1224"/>
    <cellStyle name="Normal 2 5 3 2 4" xfId="608"/>
    <cellStyle name="Normal 2 5 3 2 4 2" xfId="2341"/>
    <cellStyle name="Normal 2 5 3 2 4 2 2" xfId="16014"/>
    <cellStyle name="Normal 2 5 3 2 4 2 2 2" xfId="26087"/>
    <cellStyle name="Normal 2 5 3 2 4 2 3" xfId="12380"/>
    <cellStyle name="Normal 2 5 3 2 4 2 4" xfId="7000"/>
    <cellStyle name="Normal 2 5 3 2 4 2 5" xfId="21080"/>
    <cellStyle name="Normal 2 5 3 2 4 3" xfId="3614"/>
    <cellStyle name="Normal 2 5 3 2 4 3 2" xfId="17261"/>
    <cellStyle name="Normal 2 5 3 2 4 3 2 2" xfId="27512"/>
    <cellStyle name="Normal 2 5 3 2 4 3 3" xfId="13682"/>
    <cellStyle name="Normal 2 5 3 2 4 3 4" xfId="8425"/>
    <cellStyle name="Normal 2 5 3 2 4 3 5" xfId="22505"/>
    <cellStyle name="Normal 2 5 3 2 4 4" xfId="6116"/>
    <cellStyle name="Normal 2 5 3 2 4 4 2" xfId="15200"/>
    <cellStyle name="Normal 2 5 3 2 4 4 3" xfId="25204"/>
    <cellStyle name="Normal 2 5 3 2 4 5" xfId="9879"/>
    <cellStyle name="Normal 2 5 3 2 4 5 2" xfId="18706"/>
    <cellStyle name="Normal 2 5 3 2 4 5 3" xfId="28957"/>
    <cellStyle name="Normal 2 5 3 2 4 6" xfId="11323"/>
    <cellStyle name="Normal 2 5 3 2 4 6 2" xfId="23686"/>
    <cellStyle name="Normal 2 5 3 2 4 7" xfId="4594"/>
    <cellStyle name="Normal 2 5 3 2 4 8" xfId="20197"/>
    <cellStyle name="Normal 2 5 3 2 5" xfId="967"/>
    <cellStyle name="Normal 2 5 3 2 5 2" xfId="2689"/>
    <cellStyle name="Normal 2 5 3 2 5 2 2" xfId="16236"/>
    <cellStyle name="Normal 2 5 3 2 5 2 2 2" xfId="26455"/>
    <cellStyle name="Normal 2 5 3 2 5 2 3" xfId="12658"/>
    <cellStyle name="Normal 2 5 3 2 5 2 4" xfId="7368"/>
    <cellStyle name="Normal 2 5 3 2 5 2 5" xfId="21448"/>
    <cellStyle name="Normal 2 5 3 2 5 3" xfId="3963"/>
    <cellStyle name="Normal 2 5 3 2 5 3 2" xfId="17609"/>
    <cellStyle name="Normal 2 5 3 2 5 3 2 2" xfId="27860"/>
    <cellStyle name="Normal 2 5 3 2 5 3 3" xfId="14030"/>
    <cellStyle name="Normal 2 5 3 2 5 3 4" xfId="8773"/>
    <cellStyle name="Normal 2 5 3 2 5 3 5" xfId="22853"/>
    <cellStyle name="Normal 2 5 3 2 5 4" xfId="6484"/>
    <cellStyle name="Normal 2 5 3 2 5 4 2" xfId="15568"/>
    <cellStyle name="Normal 2 5 3 2 5 4 3" xfId="25572"/>
    <cellStyle name="Normal 2 5 3 2 5 5" xfId="10227"/>
    <cellStyle name="Normal 2 5 3 2 5 5 2" xfId="19054"/>
    <cellStyle name="Normal 2 5 3 2 5 5 3" xfId="29305"/>
    <cellStyle name="Normal 2 5 3 2 5 6" xfId="11673"/>
    <cellStyle name="Normal 2 5 3 2 5 6 2" xfId="24054"/>
    <cellStyle name="Normal 2 5 3 2 5 7" xfId="4962"/>
    <cellStyle name="Normal 2 5 3 2 5 8" xfId="20565"/>
    <cellStyle name="Normal 2 5 3 2 6" xfId="1418"/>
    <cellStyle name="Normal 2 5 3 2 6 2" xfId="3021"/>
    <cellStyle name="Normal 2 5 3 2 6 2 2" xfId="16577"/>
    <cellStyle name="Normal 2 5 3 2 6 2 2 2" xfId="26796"/>
    <cellStyle name="Normal 2 5 3 2 6 2 3" xfId="12998"/>
    <cellStyle name="Normal 2 5 3 2 6 2 4" xfId="7709"/>
    <cellStyle name="Normal 2 5 3 2 6 2 5" xfId="21789"/>
    <cellStyle name="Normal 2 5 3 2 6 3" xfId="4235"/>
    <cellStyle name="Normal 2 5 3 2 6 3 2" xfId="17941"/>
    <cellStyle name="Normal 2 5 3 2 6 3 2 2" xfId="28192"/>
    <cellStyle name="Normal 2 5 3 2 6 3 3" xfId="14362"/>
    <cellStyle name="Normal 2 5 3 2 6 3 4" xfId="9105"/>
    <cellStyle name="Normal 2 5 3 2 6 3 5" xfId="23185"/>
    <cellStyle name="Normal 2 5 3 2 6 4" xfId="5896"/>
    <cellStyle name="Normal 2 5 3 2 6 4 2" xfId="14982"/>
    <cellStyle name="Normal 2 5 3 2 6 4 3" xfId="24986"/>
    <cellStyle name="Normal 2 5 3 2 6 5" xfId="10559"/>
    <cellStyle name="Normal 2 5 3 2 6 5 2" xfId="19386"/>
    <cellStyle name="Normal 2 5 3 2 6 5 3" xfId="29637"/>
    <cellStyle name="Normal 2 5 3 2 6 6" xfId="12005"/>
    <cellStyle name="Normal 2 5 3 2 6 6 2" xfId="24395"/>
    <cellStyle name="Normal 2 5 3 2 6 7" xfId="5303"/>
    <cellStyle name="Normal 2 5 3 2 6 8" xfId="19979"/>
    <cellStyle name="Normal 2 5 3 2 7" xfId="1978"/>
    <cellStyle name="Normal 2 5 3 2 7 2" xfId="15831"/>
    <cellStyle name="Normal 2 5 3 2 7 2 2" xfId="25870"/>
    <cellStyle name="Normal 2 5 3 2 7 3" xfId="12421"/>
    <cellStyle name="Normal 2 5 3 2 7 4" xfId="6783"/>
    <cellStyle name="Normal 2 5 3 2 7 5" xfId="20863"/>
    <cellStyle name="Normal 2 5 3 2 8" xfId="3397"/>
    <cellStyle name="Normal 2 5 3 2 8 2" xfId="16898"/>
    <cellStyle name="Normal 2 5 3 2 8 2 2" xfId="27149"/>
    <cellStyle name="Normal 2 5 3 2 8 3" xfId="13319"/>
    <cellStyle name="Normal 2 5 3 2 8 4" xfId="8062"/>
    <cellStyle name="Normal 2 5 3 2 8 5" xfId="22142"/>
    <cellStyle name="Normal 2 5 3 2 9" xfId="5623"/>
    <cellStyle name="Normal 2 5 3 2 9 2" xfId="14709"/>
    <cellStyle name="Normal 2 5 3 2 9 3" xfId="24713"/>
    <cellStyle name="Normal 2 5 3 2_Degree data" xfId="1352"/>
    <cellStyle name="Normal 2 5 3 3" xfId="276"/>
    <cellStyle name="Normal 2 5 3 3 10" xfId="11003"/>
    <cellStyle name="Normal 2 5 3 3 10 2" xfId="23512"/>
    <cellStyle name="Normal 2 5 3 3 11" xfId="4420"/>
    <cellStyle name="Normal 2 5 3 3 12" xfId="19749"/>
    <cellStyle name="Normal 2 5 3 3 2" xfId="378"/>
    <cellStyle name="Normal 2 5 3 3 2 10" xfId="19849"/>
    <cellStyle name="Normal 2 5 3 3 2 2" xfId="612"/>
    <cellStyle name="Normal 2 5 3 3 2 2 2" xfId="2345"/>
    <cellStyle name="Normal 2 5 3 3 2 2 2 2" xfId="16240"/>
    <cellStyle name="Normal 2 5 3 3 2 2 2 2 2" xfId="26459"/>
    <cellStyle name="Normal 2 5 3 3 2 2 2 3" xfId="12662"/>
    <cellStyle name="Normal 2 5 3 3 2 2 2 4" xfId="7372"/>
    <cellStyle name="Normal 2 5 3 3 2 2 2 5" xfId="21452"/>
    <cellStyle name="Normal 2 5 3 3 2 2 3" xfId="3618"/>
    <cellStyle name="Normal 2 5 3 3 2 2 3 2" xfId="17265"/>
    <cellStyle name="Normal 2 5 3 3 2 2 3 2 2" xfId="27516"/>
    <cellStyle name="Normal 2 5 3 3 2 2 3 3" xfId="13686"/>
    <cellStyle name="Normal 2 5 3 3 2 2 3 4" xfId="8429"/>
    <cellStyle name="Normal 2 5 3 3 2 2 3 5" xfId="22509"/>
    <cellStyle name="Normal 2 5 3 3 2 2 4" xfId="6488"/>
    <cellStyle name="Normal 2 5 3 3 2 2 4 2" xfId="15572"/>
    <cellStyle name="Normal 2 5 3 3 2 2 4 3" xfId="25576"/>
    <cellStyle name="Normal 2 5 3 3 2 2 5" xfId="9883"/>
    <cellStyle name="Normal 2 5 3 3 2 2 5 2" xfId="18710"/>
    <cellStyle name="Normal 2 5 3 3 2 2 5 3" xfId="28961"/>
    <cellStyle name="Normal 2 5 3 3 2 2 6" xfId="11327"/>
    <cellStyle name="Normal 2 5 3 3 2 2 6 2" xfId="24058"/>
    <cellStyle name="Normal 2 5 3 3 2 2 7" xfId="4966"/>
    <cellStyle name="Normal 2 5 3 3 2 2 8" xfId="20569"/>
    <cellStyle name="Normal 2 5 3 3 2 3" xfId="971"/>
    <cellStyle name="Normal 2 5 3 3 2 3 2" xfId="2693"/>
    <cellStyle name="Normal 2 5 3 3 2 3 2 2" xfId="16720"/>
    <cellStyle name="Normal 2 5 3 3 2 3 2 2 2" xfId="26939"/>
    <cellStyle name="Normal 2 5 3 3 2 3 2 3" xfId="13141"/>
    <cellStyle name="Normal 2 5 3 3 2 3 2 4" xfId="7852"/>
    <cellStyle name="Normal 2 5 3 3 2 3 2 5" xfId="21932"/>
    <cellStyle name="Normal 2 5 3 3 2 3 3" xfId="3967"/>
    <cellStyle name="Normal 2 5 3 3 2 3 3 2" xfId="17613"/>
    <cellStyle name="Normal 2 5 3 3 2 3 3 2 2" xfId="27864"/>
    <cellStyle name="Normal 2 5 3 3 2 3 3 3" xfId="14034"/>
    <cellStyle name="Normal 2 5 3 3 2 3 3 4" xfId="8777"/>
    <cellStyle name="Normal 2 5 3 3 2 3 3 5" xfId="22857"/>
    <cellStyle name="Normal 2 5 3 3 2 3 4" xfId="6259"/>
    <cellStyle name="Normal 2 5 3 3 2 3 4 2" xfId="15343"/>
    <cellStyle name="Normal 2 5 3 3 2 3 4 3" xfId="25347"/>
    <cellStyle name="Normal 2 5 3 3 2 3 5" xfId="10231"/>
    <cellStyle name="Normal 2 5 3 3 2 3 5 2" xfId="19058"/>
    <cellStyle name="Normal 2 5 3 3 2 3 5 3" xfId="29309"/>
    <cellStyle name="Normal 2 5 3 3 2 3 6" xfId="11677"/>
    <cellStyle name="Normal 2 5 3 3 2 3 6 2" xfId="24538"/>
    <cellStyle name="Normal 2 5 3 3 2 3 7" xfId="5446"/>
    <cellStyle name="Normal 2 5 3 3 2 3 8" xfId="20340"/>
    <cellStyle name="Normal 2 5 3 3 2 4" xfId="1565"/>
    <cellStyle name="Normal 2 5 3 3 2 4 2" xfId="3164"/>
    <cellStyle name="Normal 2 5 3 3 2 4 2 2" xfId="18084"/>
    <cellStyle name="Normal 2 5 3 3 2 4 2 2 2" xfId="28335"/>
    <cellStyle name="Normal 2 5 3 3 2 4 2 3" xfId="14505"/>
    <cellStyle name="Normal 2 5 3 3 2 4 2 4" xfId="9248"/>
    <cellStyle name="Normal 2 5 3 3 2 4 2 5" xfId="23328"/>
    <cellStyle name="Normal 2 5 3 3 2 4 3" xfId="10702"/>
    <cellStyle name="Normal 2 5 3 3 2 4 3 2" xfId="19529"/>
    <cellStyle name="Normal 2 5 3 3 2 4 3 3" xfId="29780"/>
    <cellStyle name="Normal 2 5 3 3 2 4 4" xfId="12148"/>
    <cellStyle name="Normal 2 5 3 3 2 4 4 2" xfId="26230"/>
    <cellStyle name="Normal 2 5 3 3 2 4 5" xfId="7143"/>
    <cellStyle name="Normal 2 5 3 3 2 4 6" xfId="21223"/>
    <cellStyle name="Normal 2 5 3 3 2 5" xfId="2121"/>
    <cellStyle name="Normal 2 5 3 3 2 5 2" xfId="17041"/>
    <cellStyle name="Normal 2 5 3 3 2 5 2 2" xfId="27292"/>
    <cellStyle name="Normal 2 5 3 3 2 5 3" xfId="13462"/>
    <cellStyle name="Normal 2 5 3 3 2 5 4" xfId="8205"/>
    <cellStyle name="Normal 2 5 3 3 2 5 5" xfId="22285"/>
    <cellStyle name="Normal 2 5 3 3 2 6" xfId="5766"/>
    <cellStyle name="Normal 2 5 3 3 2 6 2" xfId="14852"/>
    <cellStyle name="Normal 2 5 3 3 2 6 3" xfId="24856"/>
    <cellStyle name="Normal 2 5 3 3 2 7" xfId="9659"/>
    <cellStyle name="Normal 2 5 3 3 2 7 2" xfId="18486"/>
    <cellStyle name="Normal 2 5 3 3 2 7 3" xfId="28737"/>
    <cellStyle name="Normal 2 5 3 3 2 8" xfId="11103"/>
    <cellStyle name="Normal 2 5 3 3 2 8 2" xfId="23829"/>
    <cellStyle name="Normal 2 5 3 3 2 9" xfId="4737"/>
    <cellStyle name="Normal 2 5 3 3 2_Degree data" xfId="1214"/>
    <cellStyle name="Normal 2 5 3 3 3" xfId="611"/>
    <cellStyle name="Normal 2 5 3 3 3 2" xfId="2344"/>
    <cellStyle name="Normal 2 5 3 3 3 2 2" xfId="16057"/>
    <cellStyle name="Normal 2 5 3 3 3 2 2 2" xfId="26130"/>
    <cellStyle name="Normal 2 5 3 3 3 2 3" xfId="12307"/>
    <cellStyle name="Normal 2 5 3 3 3 2 4" xfId="7043"/>
    <cellStyle name="Normal 2 5 3 3 3 2 5" xfId="21123"/>
    <cellStyle name="Normal 2 5 3 3 3 3" xfId="3617"/>
    <cellStyle name="Normal 2 5 3 3 3 3 2" xfId="17264"/>
    <cellStyle name="Normal 2 5 3 3 3 3 2 2" xfId="27515"/>
    <cellStyle name="Normal 2 5 3 3 3 3 3" xfId="13685"/>
    <cellStyle name="Normal 2 5 3 3 3 3 4" xfId="8428"/>
    <cellStyle name="Normal 2 5 3 3 3 3 5" xfId="22508"/>
    <cellStyle name="Normal 2 5 3 3 3 4" xfId="6159"/>
    <cellStyle name="Normal 2 5 3 3 3 4 2" xfId="15243"/>
    <cellStyle name="Normal 2 5 3 3 3 4 3" xfId="25247"/>
    <cellStyle name="Normal 2 5 3 3 3 5" xfId="9882"/>
    <cellStyle name="Normal 2 5 3 3 3 5 2" xfId="18709"/>
    <cellStyle name="Normal 2 5 3 3 3 5 3" xfId="28960"/>
    <cellStyle name="Normal 2 5 3 3 3 6" xfId="11326"/>
    <cellStyle name="Normal 2 5 3 3 3 6 2" xfId="23729"/>
    <cellStyle name="Normal 2 5 3 3 3 7" xfId="4637"/>
    <cellStyle name="Normal 2 5 3 3 3 8" xfId="20240"/>
    <cellStyle name="Normal 2 5 3 3 4" xfId="970"/>
    <cellStyle name="Normal 2 5 3 3 4 2" xfId="2692"/>
    <cellStyle name="Normal 2 5 3 3 4 2 2" xfId="16239"/>
    <cellStyle name="Normal 2 5 3 3 4 2 2 2" xfId="26458"/>
    <cellStyle name="Normal 2 5 3 3 4 2 3" xfId="12661"/>
    <cellStyle name="Normal 2 5 3 3 4 2 4" xfId="7371"/>
    <cellStyle name="Normal 2 5 3 3 4 2 5" xfId="21451"/>
    <cellStyle name="Normal 2 5 3 3 4 3" xfId="3966"/>
    <cellStyle name="Normal 2 5 3 3 4 3 2" xfId="17612"/>
    <cellStyle name="Normal 2 5 3 3 4 3 2 2" xfId="27863"/>
    <cellStyle name="Normal 2 5 3 3 4 3 3" xfId="14033"/>
    <cellStyle name="Normal 2 5 3 3 4 3 4" xfId="8776"/>
    <cellStyle name="Normal 2 5 3 3 4 3 5" xfId="22856"/>
    <cellStyle name="Normal 2 5 3 3 4 4" xfId="6487"/>
    <cellStyle name="Normal 2 5 3 3 4 4 2" xfId="15571"/>
    <cellStyle name="Normal 2 5 3 3 4 4 3" xfId="25575"/>
    <cellStyle name="Normal 2 5 3 3 4 5" xfId="10230"/>
    <cellStyle name="Normal 2 5 3 3 4 5 2" xfId="19057"/>
    <cellStyle name="Normal 2 5 3 3 4 5 3" xfId="29308"/>
    <cellStyle name="Normal 2 5 3 3 4 6" xfId="11676"/>
    <cellStyle name="Normal 2 5 3 3 4 6 2" xfId="24057"/>
    <cellStyle name="Normal 2 5 3 3 4 7" xfId="4965"/>
    <cellStyle name="Normal 2 5 3 3 4 8" xfId="20568"/>
    <cellStyle name="Normal 2 5 3 3 5" xfId="1463"/>
    <cellStyle name="Normal 2 5 3 3 5 2" xfId="3064"/>
    <cellStyle name="Normal 2 5 3 3 5 2 2" xfId="16620"/>
    <cellStyle name="Normal 2 5 3 3 5 2 2 2" xfId="26839"/>
    <cellStyle name="Normal 2 5 3 3 5 2 3" xfId="13041"/>
    <cellStyle name="Normal 2 5 3 3 5 2 4" xfId="7752"/>
    <cellStyle name="Normal 2 5 3 3 5 2 5" xfId="21832"/>
    <cellStyle name="Normal 2 5 3 3 5 3" xfId="4278"/>
    <cellStyle name="Normal 2 5 3 3 5 3 2" xfId="17984"/>
    <cellStyle name="Normal 2 5 3 3 5 3 2 2" xfId="28235"/>
    <cellStyle name="Normal 2 5 3 3 5 3 3" xfId="14405"/>
    <cellStyle name="Normal 2 5 3 3 5 3 4" xfId="9148"/>
    <cellStyle name="Normal 2 5 3 3 5 3 5" xfId="23228"/>
    <cellStyle name="Normal 2 5 3 3 5 4" xfId="5940"/>
    <cellStyle name="Normal 2 5 3 3 5 4 2" xfId="15026"/>
    <cellStyle name="Normal 2 5 3 3 5 4 3" xfId="25030"/>
    <cellStyle name="Normal 2 5 3 3 5 5" xfId="10602"/>
    <cellStyle name="Normal 2 5 3 3 5 5 2" xfId="19429"/>
    <cellStyle name="Normal 2 5 3 3 5 5 3" xfId="29680"/>
    <cellStyle name="Normal 2 5 3 3 5 6" xfId="12048"/>
    <cellStyle name="Normal 2 5 3 3 5 6 2" xfId="24438"/>
    <cellStyle name="Normal 2 5 3 3 5 7" xfId="5346"/>
    <cellStyle name="Normal 2 5 3 3 5 8" xfId="20023"/>
    <cellStyle name="Normal 2 5 3 3 6" xfId="2021"/>
    <cellStyle name="Normal 2 5 3 3 6 2" xfId="15869"/>
    <cellStyle name="Normal 2 5 3 3 6 2 2" xfId="25913"/>
    <cellStyle name="Normal 2 5 3 3 6 3" xfId="12432"/>
    <cellStyle name="Normal 2 5 3 3 6 4" xfId="6826"/>
    <cellStyle name="Normal 2 5 3 3 6 5" xfId="20906"/>
    <cellStyle name="Normal 2 5 3 3 7" xfId="3440"/>
    <cellStyle name="Normal 2 5 3 3 7 2" xfId="16941"/>
    <cellStyle name="Normal 2 5 3 3 7 2 2" xfId="27192"/>
    <cellStyle name="Normal 2 5 3 3 7 3" xfId="13362"/>
    <cellStyle name="Normal 2 5 3 3 7 4" xfId="8105"/>
    <cellStyle name="Normal 2 5 3 3 7 5" xfId="22185"/>
    <cellStyle name="Normal 2 5 3 3 8" xfId="5666"/>
    <cellStyle name="Normal 2 5 3 3 8 2" xfId="14752"/>
    <cellStyle name="Normal 2 5 3 3 8 3" xfId="24756"/>
    <cellStyle name="Normal 2 5 3 3 9" xfId="9559"/>
    <cellStyle name="Normal 2 5 3 3 9 2" xfId="18386"/>
    <cellStyle name="Normal 2 5 3 3 9 3" xfId="28637"/>
    <cellStyle name="Normal 2 5 3 3_Degree data" xfId="1215"/>
    <cellStyle name="Normal 2 5 3 4" xfId="198"/>
    <cellStyle name="Normal 2 5 3 4 10" xfId="10930"/>
    <cellStyle name="Normal 2 5 3 4 10 2" xfId="23544"/>
    <cellStyle name="Normal 2 5 3 4 11" xfId="4452"/>
    <cellStyle name="Normal 2 5 3 4 12" xfId="19676"/>
    <cellStyle name="Normal 2 5 3 4 2" xfId="412"/>
    <cellStyle name="Normal 2 5 3 4 2 10" xfId="19881"/>
    <cellStyle name="Normal 2 5 3 4 2 2" xfId="614"/>
    <cellStyle name="Normal 2 5 3 4 2 2 2" xfId="2347"/>
    <cellStyle name="Normal 2 5 3 4 2 2 2 2" xfId="16242"/>
    <cellStyle name="Normal 2 5 3 4 2 2 2 2 2" xfId="26461"/>
    <cellStyle name="Normal 2 5 3 4 2 2 2 3" xfId="12664"/>
    <cellStyle name="Normal 2 5 3 4 2 2 2 4" xfId="7374"/>
    <cellStyle name="Normal 2 5 3 4 2 2 2 5" xfId="21454"/>
    <cellStyle name="Normal 2 5 3 4 2 2 3" xfId="3620"/>
    <cellStyle name="Normal 2 5 3 4 2 2 3 2" xfId="17267"/>
    <cellStyle name="Normal 2 5 3 4 2 2 3 2 2" xfId="27518"/>
    <cellStyle name="Normal 2 5 3 4 2 2 3 3" xfId="13688"/>
    <cellStyle name="Normal 2 5 3 4 2 2 3 4" xfId="8431"/>
    <cellStyle name="Normal 2 5 3 4 2 2 3 5" xfId="22511"/>
    <cellStyle name="Normal 2 5 3 4 2 2 4" xfId="6490"/>
    <cellStyle name="Normal 2 5 3 4 2 2 4 2" xfId="15574"/>
    <cellStyle name="Normal 2 5 3 4 2 2 4 3" xfId="25578"/>
    <cellStyle name="Normal 2 5 3 4 2 2 5" xfId="9885"/>
    <cellStyle name="Normal 2 5 3 4 2 2 5 2" xfId="18712"/>
    <cellStyle name="Normal 2 5 3 4 2 2 5 3" xfId="28963"/>
    <cellStyle name="Normal 2 5 3 4 2 2 6" xfId="11329"/>
    <cellStyle name="Normal 2 5 3 4 2 2 6 2" xfId="24060"/>
    <cellStyle name="Normal 2 5 3 4 2 2 7" xfId="4968"/>
    <cellStyle name="Normal 2 5 3 4 2 2 8" xfId="20571"/>
    <cellStyle name="Normal 2 5 3 4 2 3" xfId="973"/>
    <cellStyle name="Normal 2 5 3 4 2 3 2" xfId="2695"/>
    <cellStyle name="Normal 2 5 3 4 2 3 2 2" xfId="16752"/>
    <cellStyle name="Normal 2 5 3 4 2 3 2 2 2" xfId="26971"/>
    <cellStyle name="Normal 2 5 3 4 2 3 2 3" xfId="13173"/>
    <cellStyle name="Normal 2 5 3 4 2 3 2 4" xfId="7884"/>
    <cellStyle name="Normal 2 5 3 4 2 3 2 5" xfId="21964"/>
    <cellStyle name="Normal 2 5 3 4 2 3 3" xfId="3969"/>
    <cellStyle name="Normal 2 5 3 4 2 3 3 2" xfId="17615"/>
    <cellStyle name="Normal 2 5 3 4 2 3 3 2 2" xfId="27866"/>
    <cellStyle name="Normal 2 5 3 4 2 3 3 3" xfId="14036"/>
    <cellStyle name="Normal 2 5 3 4 2 3 3 4" xfId="8779"/>
    <cellStyle name="Normal 2 5 3 4 2 3 3 5" xfId="22859"/>
    <cellStyle name="Normal 2 5 3 4 2 3 4" xfId="6291"/>
    <cellStyle name="Normal 2 5 3 4 2 3 4 2" xfId="15375"/>
    <cellStyle name="Normal 2 5 3 4 2 3 4 3" xfId="25379"/>
    <cellStyle name="Normal 2 5 3 4 2 3 5" xfId="10233"/>
    <cellStyle name="Normal 2 5 3 4 2 3 5 2" xfId="19060"/>
    <cellStyle name="Normal 2 5 3 4 2 3 5 3" xfId="29311"/>
    <cellStyle name="Normal 2 5 3 4 2 3 6" xfId="11679"/>
    <cellStyle name="Normal 2 5 3 4 2 3 6 2" xfId="24570"/>
    <cellStyle name="Normal 2 5 3 4 2 3 7" xfId="5478"/>
    <cellStyle name="Normal 2 5 3 4 2 3 8" xfId="20372"/>
    <cellStyle name="Normal 2 5 3 4 2 4" xfId="1599"/>
    <cellStyle name="Normal 2 5 3 4 2 4 2" xfId="3196"/>
    <cellStyle name="Normal 2 5 3 4 2 4 2 2" xfId="18116"/>
    <cellStyle name="Normal 2 5 3 4 2 4 2 2 2" xfId="28367"/>
    <cellStyle name="Normal 2 5 3 4 2 4 2 3" xfId="14537"/>
    <cellStyle name="Normal 2 5 3 4 2 4 2 4" xfId="9280"/>
    <cellStyle name="Normal 2 5 3 4 2 4 2 5" xfId="23360"/>
    <cellStyle name="Normal 2 5 3 4 2 4 3" xfId="10734"/>
    <cellStyle name="Normal 2 5 3 4 2 4 3 2" xfId="19561"/>
    <cellStyle name="Normal 2 5 3 4 2 4 3 3" xfId="29812"/>
    <cellStyle name="Normal 2 5 3 4 2 4 4" xfId="12180"/>
    <cellStyle name="Normal 2 5 3 4 2 4 4 2" xfId="26262"/>
    <cellStyle name="Normal 2 5 3 4 2 4 5" xfId="7175"/>
    <cellStyle name="Normal 2 5 3 4 2 4 6" xfId="21255"/>
    <cellStyle name="Normal 2 5 3 4 2 5" xfId="2153"/>
    <cellStyle name="Normal 2 5 3 4 2 5 2" xfId="17073"/>
    <cellStyle name="Normal 2 5 3 4 2 5 2 2" xfId="27324"/>
    <cellStyle name="Normal 2 5 3 4 2 5 3" xfId="13494"/>
    <cellStyle name="Normal 2 5 3 4 2 5 4" xfId="8237"/>
    <cellStyle name="Normal 2 5 3 4 2 5 5" xfId="22317"/>
    <cellStyle name="Normal 2 5 3 4 2 6" xfId="5798"/>
    <cellStyle name="Normal 2 5 3 4 2 6 2" xfId="14884"/>
    <cellStyle name="Normal 2 5 3 4 2 6 3" xfId="24888"/>
    <cellStyle name="Normal 2 5 3 4 2 7" xfId="9691"/>
    <cellStyle name="Normal 2 5 3 4 2 7 2" xfId="18518"/>
    <cellStyle name="Normal 2 5 3 4 2 7 3" xfId="28769"/>
    <cellStyle name="Normal 2 5 3 4 2 8" xfId="11135"/>
    <cellStyle name="Normal 2 5 3 4 2 8 2" xfId="23861"/>
    <cellStyle name="Normal 2 5 3 4 2 9" xfId="4769"/>
    <cellStyle name="Normal 2 5 3 4 2_Degree data" xfId="1212"/>
    <cellStyle name="Normal 2 5 3 4 3" xfId="613"/>
    <cellStyle name="Normal 2 5 3 4 3 2" xfId="2346"/>
    <cellStyle name="Normal 2 5 3 4 3 2 2" xfId="15984"/>
    <cellStyle name="Normal 2 5 3 4 3 2 2 2" xfId="26057"/>
    <cellStyle name="Normal 2 5 3 4 3 2 3" xfId="12388"/>
    <cellStyle name="Normal 2 5 3 4 3 2 4" xfId="6970"/>
    <cellStyle name="Normal 2 5 3 4 3 2 5" xfId="21050"/>
    <cellStyle name="Normal 2 5 3 4 3 3" xfId="3619"/>
    <cellStyle name="Normal 2 5 3 4 3 3 2" xfId="17266"/>
    <cellStyle name="Normal 2 5 3 4 3 3 2 2" xfId="27517"/>
    <cellStyle name="Normal 2 5 3 4 3 3 3" xfId="13687"/>
    <cellStyle name="Normal 2 5 3 4 3 3 4" xfId="8430"/>
    <cellStyle name="Normal 2 5 3 4 3 3 5" xfId="22510"/>
    <cellStyle name="Normal 2 5 3 4 3 4" xfId="6086"/>
    <cellStyle name="Normal 2 5 3 4 3 4 2" xfId="15170"/>
    <cellStyle name="Normal 2 5 3 4 3 4 3" xfId="25174"/>
    <cellStyle name="Normal 2 5 3 4 3 5" xfId="9884"/>
    <cellStyle name="Normal 2 5 3 4 3 5 2" xfId="18711"/>
    <cellStyle name="Normal 2 5 3 4 3 5 3" xfId="28962"/>
    <cellStyle name="Normal 2 5 3 4 3 6" xfId="11328"/>
    <cellStyle name="Normal 2 5 3 4 3 6 2" xfId="23656"/>
    <cellStyle name="Normal 2 5 3 4 3 7" xfId="4564"/>
    <cellStyle name="Normal 2 5 3 4 3 8" xfId="20167"/>
    <cellStyle name="Normal 2 5 3 4 4" xfId="972"/>
    <cellStyle name="Normal 2 5 3 4 4 2" xfId="2694"/>
    <cellStyle name="Normal 2 5 3 4 4 2 2" xfId="16241"/>
    <cellStyle name="Normal 2 5 3 4 4 2 2 2" xfId="26460"/>
    <cellStyle name="Normal 2 5 3 4 4 2 3" xfId="12663"/>
    <cellStyle name="Normal 2 5 3 4 4 2 4" xfId="7373"/>
    <cellStyle name="Normal 2 5 3 4 4 2 5" xfId="21453"/>
    <cellStyle name="Normal 2 5 3 4 4 3" xfId="3968"/>
    <cellStyle name="Normal 2 5 3 4 4 3 2" xfId="17614"/>
    <cellStyle name="Normal 2 5 3 4 4 3 2 2" xfId="27865"/>
    <cellStyle name="Normal 2 5 3 4 4 3 3" xfId="14035"/>
    <cellStyle name="Normal 2 5 3 4 4 3 4" xfId="8778"/>
    <cellStyle name="Normal 2 5 3 4 4 3 5" xfId="22858"/>
    <cellStyle name="Normal 2 5 3 4 4 4" xfId="6489"/>
    <cellStyle name="Normal 2 5 3 4 4 4 2" xfId="15573"/>
    <cellStyle name="Normal 2 5 3 4 4 4 3" xfId="25577"/>
    <cellStyle name="Normal 2 5 3 4 4 5" xfId="10232"/>
    <cellStyle name="Normal 2 5 3 4 4 5 2" xfId="19059"/>
    <cellStyle name="Normal 2 5 3 4 4 5 3" xfId="29310"/>
    <cellStyle name="Normal 2 5 3 4 4 6" xfId="11678"/>
    <cellStyle name="Normal 2 5 3 4 4 6 2" xfId="24059"/>
    <cellStyle name="Normal 2 5 3 4 4 7" xfId="4967"/>
    <cellStyle name="Normal 2 5 3 4 4 8" xfId="20570"/>
    <cellStyle name="Normal 2 5 3 4 5" xfId="1385"/>
    <cellStyle name="Normal 2 5 3 4 5 2" xfId="2991"/>
    <cellStyle name="Normal 2 5 3 4 5 2 2" xfId="16547"/>
    <cellStyle name="Normal 2 5 3 4 5 2 2 2" xfId="26766"/>
    <cellStyle name="Normal 2 5 3 4 5 2 3" xfId="12968"/>
    <cellStyle name="Normal 2 5 3 4 5 2 4" xfId="7679"/>
    <cellStyle name="Normal 2 5 3 4 5 2 5" xfId="21759"/>
    <cellStyle name="Normal 2 5 3 4 5 3" xfId="4205"/>
    <cellStyle name="Normal 2 5 3 4 5 3 2" xfId="17911"/>
    <cellStyle name="Normal 2 5 3 4 5 3 2 2" xfId="28162"/>
    <cellStyle name="Normal 2 5 3 4 5 3 3" xfId="14332"/>
    <cellStyle name="Normal 2 5 3 4 5 3 4" xfId="9075"/>
    <cellStyle name="Normal 2 5 3 4 5 3 5" xfId="23155"/>
    <cellStyle name="Normal 2 5 3 4 5 4" xfId="5972"/>
    <cellStyle name="Normal 2 5 3 4 5 4 2" xfId="15058"/>
    <cellStyle name="Normal 2 5 3 4 5 4 3" xfId="25062"/>
    <cellStyle name="Normal 2 5 3 4 5 5" xfId="10529"/>
    <cellStyle name="Normal 2 5 3 4 5 5 2" xfId="19356"/>
    <cellStyle name="Normal 2 5 3 4 5 5 3" xfId="29607"/>
    <cellStyle name="Normal 2 5 3 4 5 6" xfId="11975"/>
    <cellStyle name="Normal 2 5 3 4 5 6 2" xfId="24365"/>
    <cellStyle name="Normal 2 5 3 4 5 7" xfId="5273"/>
    <cellStyle name="Normal 2 5 3 4 5 8" xfId="20055"/>
    <cellStyle name="Normal 2 5 3 4 6" xfId="1948"/>
    <cellStyle name="Normal 2 5 3 4 6 2" xfId="15901"/>
    <cellStyle name="Normal 2 5 3 4 6 2 2" xfId="25945"/>
    <cellStyle name="Normal 2 5 3 4 6 3" xfId="12293"/>
    <cellStyle name="Normal 2 5 3 4 6 4" xfId="6858"/>
    <cellStyle name="Normal 2 5 3 4 6 5" xfId="20938"/>
    <cellStyle name="Normal 2 5 3 4 7" xfId="3368"/>
    <cellStyle name="Normal 2 5 3 4 7 2" xfId="16868"/>
    <cellStyle name="Normal 2 5 3 4 7 2 2" xfId="27119"/>
    <cellStyle name="Normal 2 5 3 4 7 3" xfId="13289"/>
    <cellStyle name="Normal 2 5 3 4 7 4" xfId="8032"/>
    <cellStyle name="Normal 2 5 3 4 7 5" xfId="22112"/>
    <cellStyle name="Normal 2 5 3 4 8" xfId="5593"/>
    <cellStyle name="Normal 2 5 3 4 8 2" xfId="14679"/>
    <cellStyle name="Normal 2 5 3 4 8 3" xfId="24683"/>
    <cellStyle name="Normal 2 5 3 4 9" xfId="9486"/>
    <cellStyle name="Normal 2 5 3 4 9 2" xfId="18313"/>
    <cellStyle name="Normal 2 5 3 4 9 3" xfId="28564"/>
    <cellStyle name="Normal 2 5 3 4_Degree data" xfId="1213"/>
    <cellStyle name="Normal 2 5 3 5" xfId="304"/>
    <cellStyle name="Normal 2 5 3 5 10" xfId="19776"/>
    <cellStyle name="Normal 2 5 3 5 2" xfId="615"/>
    <cellStyle name="Normal 2 5 3 5 2 2" xfId="2348"/>
    <cellStyle name="Normal 2 5 3 5 2 2 2" xfId="16243"/>
    <cellStyle name="Normal 2 5 3 5 2 2 2 2" xfId="26462"/>
    <cellStyle name="Normal 2 5 3 5 2 2 3" xfId="12665"/>
    <cellStyle name="Normal 2 5 3 5 2 2 4" xfId="7375"/>
    <cellStyle name="Normal 2 5 3 5 2 2 5" xfId="21455"/>
    <cellStyle name="Normal 2 5 3 5 2 3" xfId="3621"/>
    <cellStyle name="Normal 2 5 3 5 2 3 2" xfId="17268"/>
    <cellStyle name="Normal 2 5 3 5 2 3 2 2" xfId="27519"/>
    <cellStyle name="Normal 2 5 3 5 2 3 3" xfId="13689"/>
    <cellStyle name="Normal 2 5 3 5 2 3 4" xfId="8432"/>
    <cellStyle name="Normal 2 5 3 5 2 3 5" xfId="22512"/>
    <cellStyle name="Normal 2 5 3 5 2 4" xfId="6491"/>
    <cellStyle name="Normal 2 5 3 5 2 4 2" xfId="15575"/>
    <cellStyle name="Normal 2 5 3 5 2 4 3" xfId="25579"/>
    <cellStyle name="Normal 2 5 3 5 2 5" xfId="9886"/>
    <cellStyle name="Normal 2 5 3 5 2 5 2" xfId="18713"/>
    <cellStyle name="Normal 2 5 3 5 2 5 3" xfId="28964"/>
    <cellStyle name="Normal 2 5 3 5 2 6" xfId="11330"/>
    <cellStyle name="Normal 2 5 3 5 2 6 2" xfId="24061"/>
    <cellStyle name="Normal 2 5 3 5 2 7" xfId="4969"/>
    <cellStyle name="Normal 2 5 3 5 2 8" xfId="20572"/>
    <cellStyle name="Normal 2 5 3 5 3" xfId="974"/>
    <cellStyle name="Normal 2 5 3 5 3 2" xfId="2696"/>
    <cellStyle name="Normal 2 5 3 5 3 2 2" xfId="16647"/>
    <cellStyle name="Normal 2 5 3 5 3 2 2 2" xfId="26866"/>
    <cellStyle name="Normal 2 5 3 5 3 2 3" xfId="13068"/>
    <cellStyle name="Normal 2 5 3 5 3 2 4" xfId="7779"/>
    <cellStyle name="Normal 2 5 3 5 3 2 5" xfId="21859"/>
    <cellStyle name="Normal 2 5 3 5 3 3" xfId="3970"/>
    <cellStyle name="Normal 2 5 3 5 3 3 2" xfId="17616"/>
    <cellStyle name="Normal 2 5 3 5 3 3 2 2" xfId="27867"/>
    <cellStyle name="Normal 2 5 3 5 3 3 3" xfId="14037"/>
    <cellStyle name="Normal 2 5 3 5 3 3 4" xfId="8780"/>
    <cellStyle name="Normal 2 5 3 5 3 3 5" xfId="22860"/>
    <cellStyle name="Normal 2 5 3 5 3 4" xfId="6186"/>
    <cellStyle name="Normal 2 5 3 5 3 4 2" xfId="15270"/>
    <cellStyle name="Normal 2 5 3 5 3 4 3" xfId="25274"/>
    <cellStyle name="Normal 2 5 3 5 3 5" xfId="10234"/>
    <cellStyle name="Normal 2 5 3 5 3 5 2" xfId="19061"/>
    <cellStyle name="Normal 2 5 3 5 3 5 3" xfId="29312"/>
    <cellStyle name="Normal 2 5 3 5 3 6" xfId="11680"/>
    <cellStyle name="Normal 2 5 3 5 3 6 2" xfId="24465"/>
    <cellStyle name="Normal 2 5 3 5 3 7" xfId="5373"/>
    <cellStyle name="Normal 2 5 3 5 3 8" xfId="20267"/>
    <cellStyle name="Normal 2 5 3 5 4" xfId="1491"/>
    <cellStyle name="Normal 2 5 3 5 4 2" xfId="3091"/>
    <cellStyle name="Normal 2 5 3 5 4 2 2" xfId="18011"/>
    <cellStyle name="Normal 2 5 3 5 4 2 2 2" xfId="28262"/>
    <cellStyle name="Normal 2 5 3 5 4 2 3" xfId="14432"/>
    <cellStyle name="Normal 2 5 3 5 4 2 4" xfId="9175"/>
    <cellStyle name="Normal 2 5 3 5 4 2 5" xfId="23255"/>
    <cellStyle name="Normal 2 5 3 5 4 3" xfId="10629"/>
    <cellStyle name="Normal 2 5 3 5 4 3 2" xfId="19456"/>
    <cellStyle name="Normal 2 5 3 5 4 3 3" xfId="29707"/>
    <cellStyle name="Normal 2 5 3 5 4 4" xfId="12075"/>
    <cellStyle name="Normal 2 5 3 5 4 4 2" xfId="26157"/>
    <cellStyle name="Normal 2 5 3 5 4 5" xfId="7070"/>
    <cellStyle name="Normal 2 5 3 5 4 6" xfId="21150"/>
    <cellStyle name="Normal 2 5 3 5 5" xfId="2048"/>
    <cellStyle name="Normal 2 5 3 5 5 2" xfId="16968"/>
    <cellStyle name="Normal 2 5 3 5 5 2 2" xfId="27219"/>
    <cellStyle name="Normal 2 5 3 5 5 3" xfId="13389"/>
    <cellStyle name="Normal 2 5 3 5 5 4" xfId="8132"/>
    <cellStyle name="Normal 2 5 3 5 5 5" xfId="22212"/>
    <cellStyle name="Normal 2 5 3 5 6" xfId="5693"/>
    <cellStyle name="Normal 2 5 3 5 6 2" xfId="14779"/>
    <cellStyle name="Normal 2 5 3 5 6 3" xfId="24783"/>
    <cellStyle name="Normal 2 5 3 5 7" xfId="9586"/>
    <cellStyle name="Normal 2 5 3 5 7 2" xfId="18413"/>
    <cellStyle name="Normal 2 5 3 5 7 3" xfId="28664"/>
    <cellStyle name="Normal 2 5 3 5 8" xfId="11030"/>
    <cellStyle name="Normal 2 5 3 5 8 2" xfId="23756"/>
    <cellStyle name="Normal 2 5 3 5 9" xfId="4664"/>
    <cellStyle name="Normal 2 5 3 5_Degree data" xfId="1211"/>
    <cellStyle name="Normal 2 5 3 6" xfId="163"/>
    <cellStyle name="Normal 2 5 3 6 10" xfId="20138"/>
    <cellStyle name="Normal 2 5 3 6 2" xfId="616"/>
    <cellStyle name="Normal 2 5 3 6 2 2" xfId="2349"/>
    <cellStyle name="Normal 2 5 3 6 2 2 2" xfId="16244"/>
    <cellStyle name="Normal 2 5 3 6 2 2 2 2" xfId="26463"/>
    <cellStyle name="Normal 2 5 3 6 2 2 3" xfId="12666"/>
    <cellStyle name="Normal 2 5 3 6 2 2 4" xfId="7376"/>
    <cellStyle name="Normal 2 5 3 6 2 2 5" xfId="21456"/>
    <cellStyle name="Normal 2 5 3 6 2 3" xfId="3622"/>
    <cellStyle name="Normal 2 5 3 6 2 3 2" xfId="17269"/>
    <cellStyle name="Normal 2 5 3 6 2 3 2 2" xfId="27520"/>
    <cellStyle name="Normal 2 5 3 6 2 3 3" xfId="13690"/>
    <cellStyle name="Normal 2 5 3 6 2 3 4" xfId="8433"/>
    <cellStyle name="Normal 2 5 3 6 2 3 5" xfId="22513"/>
    <cellStyle name="Normal 2 5 3 6 2 4" xfId="6492"/>
    <cellStyle name="Normal 2 5 3 6 2 4 2" xfId="15576"/>
    <cellStyle name="Normal 2 5 3 6 2 4 3" xfId="25580"/>
    <cellStyle name="Normal 2 5 3 6 2 5" xfId="9887"/>
    <cellStyle name="Normal 2 5 3 6 2 5 2" xfId="18714"/>
    <cellStyle name="Normal 2 5 3 6 2 5 3" xfId="28965"/>
    <cellStyle name="Normal 2 5 3 6 2 6" xfId="11331"/>
    <cellStyle name="Normal 2 5 3 6 2 6 2" xfId="24062"/>
    <cellStyle name="Normal 2 5 3 6 2 7" xfId="4970"/>
    <cellStyle name="Normal 2 5 3 6 2 8" xfId="20573"/>
    <cellStyle name="Normal 2 5 3 6 3" xfId="975"/>
    <cellStyle name="Normal 2 5 3 6 3 2" xfId="2697"/>
    <cellStyle name="Normal 2 5 3 6 3 2 2" xfId="16518"/>
    <cellStyle name="Normal 2 5 3 6 3 2 2 2" xfId="26737"/>
    <cellStyle name="Normal 2 5 3 6 3 2 3" xfId="12940"/>
    <cellStyle name="Normal 2 5 3 6 3 2 4" xfId="7650"/>
    <cellStyle name="Normal 2 5 3 6 3 2 5" xfId="21730"/>
    <cellStyle name="Normal 2 5 3 6 3 3" xfId="3971"/>
    <cellStyle name="Normal 2 5 3 6 3 3 2" xfId="17617"/>
    <cellStyle name="Normal 2 5 3 6 3 3 2 2" xfId="27868"/>
    <cellStyle name="Normal 2 5 3 6 3 3 3" xfId="14038"/>
    <cellStyle name="Normal 2 5 3 6 3 3 4" xfId="8781"/>
    <cellStyle name="Normal 2 5 3 6 3 3 5" xfId="22861"/>
    <cellStyle name="Normal 2 5 3 6 3 4" xfId="6727"/>
    <cellStyle name="Normal 2 5 3 6 3 4 2" xfId="15810"/>
    <cellStyle name="Normal 2 5 3 6 3 4 3" xfId="25814"/>
    <cellStyle name="Normal 2 5 3 6 3 5" xfId="10235"/>
    <cellStyle name="Normal 2 5 3 6 3 5 2" xfId="19062"/>
    <cellStyle name="Normal 2 5 3 6 3 5 3" xfId="29313"/>
    <cellStyle name="Normal 2 5 3 6 3 6" xfId="11681"/>
    <cellStyle name="Normal 2 5 3 6 3 6 2" xfId="24336"/>
    <cellStyle name="Normal 2 5 3 6 3 7" xfId="5244"/>
    <cellStyle name="Normal 2 5 3 6 3 8" xfId="20807"/>
    <cellStyle name="Normal 2 5 3 6 4" xfId="1350"/>
    <cellStyle name="Normal 2 5 3 6 4 2" xfId="2962"/>
    <cellStyle name="Normal 2 5 3 6 4 2 2" xfId="17882"/>
    <cellStyle name="Normal 2 5 3 6 4 2 2 2" xfId="28133"/>
    <cellStyle name="Normal 2 5 3 6 4 2 3" xfId="14303"/>
    <cellStyle name="Normal 2 5 3 6 4 2 4" xfId="9046"/>
    <cellStyle name="Normal 2 5 3 6 4 2 5" xfId="23126"/>
    <cellStyle name="Normal 2 5 3 6 4 3" xfId="10500"/>
    <cellStyle name="Normal 2 5 3 6 4 3 2" xfId="19327"/>
    <cellStyle name="Normal 2 5 3 6 4 3 3" xfId="29578"/>
    <cellStyle name="Normal 2 5 3 6 4 4" xfId="11946"/>
    <cellStyle name="Normal 2 5 3 6 4 4 2" xfId="26028"/>
    <cellStyle name="Normal 2 5 3 6 4 5" xfId="6941"/>
    <cellStyle name="Normal 2 5 3 6 4 6" xfId="21021"/>
    <cellStyle name="Normal 2 5 3 6 5" xfId="1919"/>
    <cellStyle name="Normal 2 5 3 6 5 2" xfId="16837"/>
    <cellStyle name="Normal 2 5 3 6 5 2 2" xfId="27088"/>
    <cellStyle name="Normal 2 5 3 6 5 3" xfId="13258"/>
    <cellStyle name="Normal 2 5 3 6 5 4" xfId="8001"/>
    <cellStyle name="Normal 2 5 3 6 5 5" xfId="22081"/>
    <cellStyle name="Normal 2 5 3 6 6" xfId="6057"/>
    <cellStyle name="Normal 2 5 3 6 6 2" xfId="15141"/>
    <cellStyle name="Normal 2 5 3 6 6 3" xfId="25145"/>
    <cellStyle name="Normal 2 5 3 6 7" xfId="9457"/>
    <cellStyle name="Normal 2 5 3 6 7 2" xfId="18284"/>
    <cellStyle name="Normal 2 5 3 6 7 3" xfId="28535"/>
    <cellStyle name="Normal 2 5 3 6 8" xfId="10901"/>
    <cellStyle name="Normal 2 5 3 6 8 2" xfId="23627"/>
    <cellStyle name="Normal 2 5 3 6 9" xfId="4535"/>
    <cellStyle name="Normal 2 5 3 6_Degree data" xfId="1210"/>
    <cellStyle name="Normal 2 5 3 7" xfId="607"/>
    <cellStyle name="Normal 2 5 3 7 2" xfId="2340"/>
    <cellStyle name="Normal 2 5 3 7 2 2" xfId="16235"/>
    <cellStyle name="Normal 2 5 3 7 2 2 2" xfId="26454"/>
    <cellStyle name="Normal 2 5 3 7 2 3" xfId="12657"/>
    <cellStyle name="Normal 2 5 3 7 2 4" xfId="7367"/>
    <cellStyle name="Normal 2 5 3 7 2 5" xfId="21447"/>
    <cellStyle name="Normal 2 5 3 7 3" xfId="3613"/>
    <cellStyle name="Normal 2 5 3 7 3 2" xfId="17260"/>
    <cellStyle name="Normal 2 5 3 7 3 2 2" xfId="27511"/>
    <cellStyle name="Normal 2 5 3 7 3 3" xfId="13681"/>
    <cellStyle name="Normal 2 5 3 7 3 4" xfId="8424"/>
    <cellStyle name="Normal 2 5 3 7 3 5" xfId="22504"/>
    <cellStyle name="Normal 2 5 3 7 4" xfId="6483"/>
    <cellStyle name="Normal 2 5 3 7 4 2" xfId="15567"/>
    <cellStyle name="Normal 2 5 3 7 4 3" xfId="25571"/>
    <cellStyle name="Normal 2 5 3 7 5" xfId="9878"/>
    <cellStyle name="Normal 2 5 3 7 5 2" xfId="18705"/>
    <cellStyle name="Normal 2 5 3 7 5 3" xfId="28956"/>
    <cellStyle name="Normal 2 5 3 7 6" xfId="11322"/>
    <cellStyle name="Normal 2 5 3 7 6 2" xfId="24053"/>
    <cellStyle name="Normal 2 5 3 7 7" xfId="4961"/>
    <cellStyle name="Normal 2 5 3 7 8" xfId="20564"/>
    <cellStyle name="Normal 2 5 3 8" xfId="966"/>
    <cellStyle name="Normal 2 5 3 8 2" xfId="2688"/>
    <cellStyle name="Normal 2 5 3 8 2 2" xfId="16475"/>
    <cellStyle name="Normal 2 5 3 8 2 2 2" xfId="26694"/>
    <cellStyle name="Normal 2 5 3 8 2 3" xfId="12897"/>
    <cellStyle name="Normal 2 5 3 8 2 4" xfId="7607"/>
    <cellStyle name="Normal 2 5 3 8 2 5" xfId="21687"/>
    <cellStyle name="Normal 2 5 3 8 3" xfId="3962"/>
    <cellStyle name="Normal 2 5 3 8 3 2" xfId="17608"/>
    <cellStyle name="Normal 2 5 3 8 3 2 2" xfId="27859"/>
    <cellStyle name="Normal 2 5 3 8 3 3" xfId="14029"/>
    <cellStyle name="Normal 2 5 3 8 3 4" xfId="8772"/>
    <cellStyle name="Normal 2 5 3 8 3 5" xfId="22852"/>
    <cellStyle name="Normal 2 5 3 8 4" xfId="5866"/>
    <cellStyle name="Normal 2 5 3 8 4 2" xfId="14952"/>
    <cellStyle name="Normal 2 5 3 8 4 3" xfId="24956"/>
    <cellStyle name="Normal 2 5 3 8 5" xfId="10226"/>
    <cellStyle name="Normal 2 5 3 8 5 2" xfId="19053"/>
    <cellStyle name="Normal 2 5 3 8 5 3" xfId="29304"/>
    <cellStyle name="Normal 2 5 3 8 6" xfId="11672"/>
    <cellStyle name="Normal 2 5 3 8 6 2" xfId="24293"/>
    <cellStyle name="Normal 2 5 3 8 7" xfId="5201"/>
    <cellStyle name="Normal 2 5 3 8 8" xfId="19949"/>
    <cellStyle name="Normal 2 5 3 9" xfId="1279"/>
    <cellStyle name="Normal 2 5 3 9 2" xfId="2919"/>
    <cellStyle name="Normal 2 5 3 9 2 2" xfId="17839"/>
    <cellStyle name="Normal 2 5 3 9 2 2 2" xfId="28090"/>
    <cellStyle name="Normal 2 5 3 9 2 3" xfId="14260"/>
    <cellStyle name="Normal 2 5 3 9 2 4" xfId="9003"/>
    <cellStyle name="Normal 2 5 3 9 2 5" xfId="23083"/>
    <cellStyle name="Normal 2 5 3 9 3" xfId="10457"/>
    <cellStyle name="Normal 2 5 3 9 3 2" xfId="19284"/>
    <cellStyle name="Normal 2 5 3 9 3 3" xfId="29535"/>
    <cellStyle name="Normal 2 5 3 9 4" xfId="11903"/>
    <cellStyle name="Normal 2 5 3 9 4 2" xfId="25839"/>
    <cellStyle name="Normal 2 5 3 9 5" xfId="6752"/>
    <cellStyle name="Normal 2 5 3 9 6" xfId="20832"/>
    <cellStyle name="Normal 2 5 3_Degree data" xfId="1584"/>
    <cellStyle name="Normal 2 5 4" xfId="134"/>
    <cellStyle name="Normal 2 5 4 10" xfId="1892"/>
    <cellStyle name="Normal 2 5 4 10 2" xfId="9430"/>
    <cellStyle name="Normal 2 5 4 10 2 2" xfId="18257"/>
    <cellStyle name="Normal 2 5 4 10 2 3" xfId="28508"/>
    <cellStyle name="Normal 2 5 4 10 3" xfId="10874"/>
    <cellStyle name="Normal 2 5 4 10 3 2" xfId="27061"/>
    <cellStyle name="Normal 2 5 4 10 4" xfId="7974"/>
    <cellStyle name="Normal 2 5 4 10 5" xfId="22054"/>
    <cellStyle name="Normal 2 5 4 11" xfId="1862"/>
    <cellStyle name="Normal 2 5 4 11 2" xfId="14668"/>
    <cellStyle name="Normal 2 5 4 11 3" xfId="5582"/>
    <cellStyle name="Normal 2 5 4 11 4" xfId="24672"/>
    <cellStyle name="Normal 2 5 4 12" xfId="9400"/>
    <cellStyle name="Normal 2 5 4 12 2" xfId="18227"/>
    <cellStyle name="Normal 2 5 4 12 3" xfId="28478"/>
    <cellStyle name="Normal 2 5 4 13" xfId="10844"/>
    <cellStyle name="Normal 2 5 4 13 2" xfId="23452"/>
    <cellStyle name="Normal 2 5 4 14" xfId="4360"/>
    <cellStyle name="Normal 2 5 4 15" xfId="19665"/>
    <cellStyle name="Normal 2 5 4 2" xfId="248"/>
    <cellStyle name="Normal 2 5 4 2 10" xfId="9532"/>
    <cellStyle name="Normal 2 5 4 2 10 2" xfId="18359"/>
    <cellStyle name="Normal 2 5 4 2 10 3" xfId="28610"/>
    <cellStyle name="Normal 2 5 4 2 11" xfId="10976"/>
    <cellStyle name="Normal 2 5 4 2 11 2" xfId="23485"/>
    <cellStyle name="Normal 2 5 4 2 12" xfId="4393"/>
    <cellStyle name="Normal 2 5 4 2 13" xfId="19722"/>
    <cellStyle name="Normal 2 5 4 2 2" xfId="457"/>
    <cellStyle name="Normal 2 5 4 2 2 10" xfId="4497"/>
    <cellStyle name="Normal 2 5 4 2 2 11" xfId="19926"/>
    <cellStyle name="Normal 2 5 4 2 2 2" xfId="619"/>
    <cellStyle name="Normal 2 5 4 2 2 2 2" xfId="2352"/>
    <cellStyle name="Normal 2 5 4 2 2 2 2 2" xfId="16089"/>
    <cellStyle name="Normal 2 5 4 2 2 2 2 2 2" xfId="26307"/>
    <cellStyle name="Normal 2 5 4 2 2 2 2 3" xfId="12511"/>
    <cellStyle name="Normal 2 5 4 2 2 2 2 4" xfId="7220"/>
    <cellStyle name="Normal 2 5 4 2 2 2 2 5" xfId="21300"/>
    <cellStyle name="Normal 2 5 4 2 2 2 3" xfId="3625"/>
    <cellStyle name="Normal 2 5 4 2 2 2 3 2" xfId="17272"/>
    <cellStyle name="Normal 2 5 4 2 2 2 3 2 2" xfId="27523"/>
    <cellStyle name="Normal 2 5 4 2 2 2 3 3" xfId="13693"/>
    <cellStyle name="Normal 2 5 4 2 2 2 3 4" xfId="8436"/>
    <cellStyle name="Normal 2 5 4 2 2 2 3 5" xfId="22516"/>
    <cellStyle name="Normal 2 5 4 2 2 2 4" xfId="6336"/>
    <cellStyle name="Normal 2 5 4 2 2 2 4 2" xfId="15420"/>
    <cellStyle name="Normal 2 5 4 2 2 2 4 3" xfId="25424"/>
    <cellStyle name="Normal 2 5 4 2 2 2 5" xfId="9890"/>
    <cellStyle name="Normal 2 5 4 2 2 2 5 2" xfId="18717"/>
    <cellStyle name="Normal 2 5 4 2 2 2 5 3" xfId="28968"/>
    <cellStyle name="Normal 2 5 4 2 2 2 6" xfId="11334"/>
    <cellStyle name="Normal 2 5 4 2 2 2 6 2" xfId="23906"/>
    <cellStyle name="Normal 2 5 4 2 2 2 7" xfId="4814"/>
    <cellStyle name="Normal 2 5 4 2 2 2 8" xfId="20417"/>
    <cellStyle name="Normal 2 5 4 2 2 3" xfId="978"/>
    <cellStyle name="Normal 2 5 4 2 2 3 2" xfId="2700"/>
    <cellStyle name="Normal 2 5 4 2 2 3 2 2" xfId="16247"/>
    <cellStyle name="Normal 2 5 4 2 2 3 2 2 2" xfId="26466"/>
    <cellStyle name="Normal 2 5 4 2 2 3 2 3" xfId="12669"/>
    <cellStyle name="Normal 2 5 4 2 2 3 2 4" xfId="7379"/>
    <cellStyle name="Normal 2 5 4 2 2 3 2 5" xfId="21459"/>
    <cellStyle name="Normal 2 5 4 2 2 3 3" xfId="3974"/>
    <cellStyle name="Normal 2 5 4 2 2 3 3 2" xfId="17620"/>
    <cellStyle name="Normal 2 5 4 2 2 3 3 2 2" xfId="27871"/>
    <cellStyle name="Normal 2 5 4 2 2 3 3 3" xfId="14041"/>
    <cellStyle name="Normal 2 5 4 2 2 3 3 4" xfId="8784"/>
    <cellStyle name="Normal 2 5 4 2 2 3 3 5" xfId="22864"/>
    <cellStyle name="Normal 2 5 4 2 2 3 4" xfId="6495"/>
    <cellStyle name="Normal 2 5 4 2 2 3 4 2" xfId="15579"/>
    <cellStyle name="Normal 2 5 4 2 2 3 4 3" xfId="25583"/>
    <cellStyle name="Normal 2 5 4 2 2 3 5" xfId="10238"/>
    <cellStyle name="Normal 2 5 4 2 2 3 5 2" xfId="19065"/>
    <cellStyle name="Normal 2 5 4 2 2 3 5 3" xfId="29316"/>
    <cellStyle name="Normal 2 5 4 2 2 3 6" xfId="11684"/>
    <cellStyle name="Normal 2 5 4 2 2 3 6 2" xfId="24065"/>
    <cellStyle name="Normal 2 5 4 2 2 3 7" xfId="4973"/>
    <cellStyle name="Normal 2 5 4 2 2 3 8" xfId="20576"/>
    <cellStyle name="Normal 2 5 4 2 2 4" xfId="1644"/>
    <cellStyle name="Normal 2 5 4 2 2 4 2" xfId="3241"/>
    <cellStyle name="Normal 2 5 4 2 2 4 2 2" xfId="16797"/>
    <cellStyle name="Normal 2 5 4 2 2 4 2 2 2" xfId="27016"/>
    <cellStyle name="Normal 2 5 4 2 2 4 2 3" xfId="13218"/>
    <cellStyle name="Normal 2 5 4 2 2 4 2 4" xfId="7929"/>
    <cellStyle name="Normal 2 5 4 2 2 4 2 5" xfId="22009"/>
    <cellStyle name="Normal 2 5 4 2 2 4 3" xfId="4310"/>
    <cellStyle name="Normal 2 5 4 2 2 4 3 2" xfId="18161"/>
    <cellStyle name="Normal 2 5 4 2 2 4 3 2 2" xfId="28412"/>
    <cellStyle name="Normal 2 5 4 2 2 4 3 3" xfId="14582"/>
    <cellStyle name="Normal 2 5 4 2 2 4 3 4" xfId="9325"/>
    <cellStyle name="Normal 2 5 4 2 2 4 3 5" xfId="23405"/>
    <cellStyle name="Normal 2 5 4 2 2 4 4" xfId="6017"/>
    <cellStyle name="Normal 2 5 4 2 2 4 4 2" xfId="15103"/>
    <cellStyle name="Normal 2 5 4 2 2 4 4 3" xfId="25107"/>
    <cellStyle name="Normal 2 5 4 2 2 4 5" xfId="10779"/>
    <cellStyle name="Normal 2 5 4 2 2 4 5 2" xfId="19606"/>
    <cellStyle name="Normal 2 5 4 2 2 4 5 3" xfId="29857"/>
    <cellStyle name="Normal 2 5 4 2 2 4 6" xfId="12225"/>
    <cellStyle name="Normal 2 5 4 2 2 4 6 2" xfId="24615"/>
    <cellStyle name="Normal 2 5 4 2 2 4 7" xfId="5523"/>
    <cellStyle name="Normal 2 5 4 2 2 4 8" xfId="20100"/>
    <cellStyle name="Normal 2 5 4 2 2 5" xfId="2198"/>
    <cellStyle name="Normal 2 5 4 2 2 5 2" xfId="15946"/>
    <cellStyle name="Normal 2 5 4 2 2 5 2 2" xfId="25990"/>
    <cellStyle name="Normal 2 5 4 2 2 5 3" xfId="12336"/>
    <cellStyle name="Normal 2 5 4 2 2 5 4" xfId="6903"/>
    <cellStyle name="Normal 2 5 4 2 2 5 5" xfId="20983"/>
    <cellStyle name="Normal 2 5 4 2 2 6" xfId="3472"/>
    <cellStyle name="Normal 2 5 4 2 2 6 2" xfId="17118"/>
    <cellStyle name="Normal 2 5 4 2 2 6 2 2" xfId="27369"/>
    <cellStyle name="Normal 2 5 4 2 2 6 3" xfId="13539"/>
    <cellStyle name="Normal 2 5 4 2 2 6 4" xfId="8282"/>
    <cellStyle name="Normal 2 5 4 2 2 6 5" xfId="22362"/>
    <cellStyle name="Normal 2 5 4 2 2 7" xfId="5843"/>
    <cellStyle name="Normal 2 5 4 2 2 7 2" xfId="14929"/>
    <cellStyle name="Normal 2 5 4 2 2 7 3" xfId="24933"/>
    <cellStyle name="Normal 2 5 4 2 2 8" xfId="9736"/>
    <cellStyle name="Normal 2 5 4 2 2 8 2" xfId="18563"/>
    <cellStyle name="Normal 2 5 4 2 2 8 3" xfId="28814"/>
    <cellStyle name="Normal 2 5 4 2 2 9" xfId="11180"/>
    <cellStyle name="Normal 2 5 4 2 2 9 2" xfId="23589"/>
    <cellStyle name="Normal 2 5 4 2 2_Degree data" xfId="1207"/>
    <cellStyle name="Normal 2 5 4 2 3" xfId="350"/>
    <cellStyle name="Normal 2 5 4 2 3 10" xfId="19822"/>
    <cellStyle name="Normal 2 5 4 2 3 2" xfId="620"/>
    <cellStyle name="Normal 2 5 4 2 3 2 2" xfId="2353"/>
    <cellStyle name="Normal 2 5 4 2 3 2 2 2" xfId="16248"/>
    <cellStyle name="Normal 2 5 4 2 3 2 2 2 2" xfId="26467"/>
    <cellStyle name="Normal 2 5 4 2 3 2 2 3" xfId="12670"/>
    <cellStyle name="Normal 2 5 4 2 3 2 2 4" xfId="7380"/>
    <cellStyle name="Normal 2 5 4 2 3 2 2 5" xfId="21460"/>
    <cellStyle name="Normal 2 5 4 2 3 2 3" xfId="3626"/>
    <cellStyle name="Normal 2 5 4 2 3 2 3 2" xfId="17273"/>
    <cellStyle name="Normal 2 5 4 2 3 2 3 2 2" xfId="27524"/>
    <cellStyle name="Normal 2 5 4 2 3 2 3 3" xfId="13694"/>
    <cellStyle name="Normal 2 5 4 2 3 2 3 4" xfId="8437"/>
    <cellStyle name="Normal 2 5 4 2 3 2 3 5" xfId="22517"/>
    <cellStyle name="Normal 2 5 4 2 3 2 4" xfId="6496"/>
    <cellStyle name="Normal 2 5 4 2 3 2 4 2" xfId="15580"/>
    <cellStyle name="Normal 2 5 4 2 3 2 4 3" xfId="25584"/>
    <cellStyle name="Normal 2 5 4 2 3 2 5" xfId="9891"/>
    <cellStyle name="Normal 2 5 4 2 3 2 5 2" xfId="18718"/>
    <cellStyle name="Normal 2 5 4 2 3 2 5 3" xfId="28969"/>
    <cellStyle name="Normal 2 5 4 2 3 2 6" xfId="11335"/>
    <cellStyle name="Normal 2 5 4 2 3 2 6 2" xfId="24066"/>
    <cellStyle name="Normal 2 5 4 2 3 2 7" xfId="4974"/>
    <cellStyle name="Normal 2 5 4 2 3 2 8" xfId="20577"/>
    <cellStyle name="Normal 2 5 4 2 3 3" xfId="979"/>
    <cellStyle name="Normal 2 5 4 2 3 3 2" xfId="2701"/>
    <cellStyle name="Normal 2 5 4 2 3 3 2 2" xfId="16693"/>
    <cellStyle name="Normal 2 5 4 2 3 3 2 2 2" xfId="26912"/>
    <cellStyle name="Normal 2 5 4 2 3 3 2 3" xfId="13114"/>
    <cellStyle name="Normal 2 5 4 2 3 3 2 4" xfId="7825"/>
    <cellStyle name="Normal 2 5 4 2 3 3 2 5" xfId="21905"/>
    <cellStyle name="Normal 2 5 4 2 3 3 3" xfId="3975"/>
    <cellStyle name="Normal 2 5 4 2 3 3 3 2" xfId="17621"/>
    <cellStyle name="Normal 2 5 4 2 3 3 3 2 2" xfId="27872"/>
    <cellStyle name="Normal 2 5 4 2 3 3 3 3" xfId="14042"/>
    <cellStyle name="Normal 2 5 4 2 3 3 3 4" xfId="8785"/>
    <cellStyle name="Normal 2 5 4 2 3 3 3 5" xfId="22865"/>
    <cellStyle name="Normal 2 5 4 2 3 3 4" xfId="6232"/>
    <cellStyle name="Normal 2 5 4 2 3 3 4 2" xfId="15316"/>
    <cellStyle name="Normal 2 5 4 2 3 3 4 3" xfId="25320"/>
    <cellStyle name="Normal 2 5 4 2 3 3 5" xfId="10239"/>
    <cellStyle name="Normal 2 5 4 2 3 3 5 2" xfId="19066"/>
    <cellStyle name="Normal 2 5 4 2 3 3 5 3" xfId="29317"/>
    <cellStyle name="Normal 2 5 4 2 3 3 6" xfId="11685"/>
    <cellStyle name="Normal 2 5 4 2 3 3 6 2" xfId="24511"/>
    <cellStyle name="Normal 2 5 4 2 3 3 7" xfId="5419"/>
    <cellStyle name="Normal 2 5 4 2 3 3 8" xfId="20313"/>
    <cellStyle name="Normal 2 5 4 2 3 4" xfId="1537"/>
    <cellStyle name="Normal 2 5 4 2 3 4 2" xfId="3137"/>
    <cellStyle name="Normal 2 5 4 2 3 4 2 2" xfId="18057"/>
    <cellStyle name="Normal 2 5 4 2 3 4 2 2 2" xfId="28308"/>
    <cellStyle name="Normal 2 5 4 2 3 4 2 3" xfId="14478"/>
    <cellStyle name="Normal 2 5 4 2 3 4 2 4" xfId="9221"/>
    <cellStyle name="Normal 2 5 4 2 3 4 2 5" xfId="23301"/>
    <cellStyle name="Normal 2 5 4 2 3 4 3" xfId="10675"/>
    <cellStyle name="Normal 2 5 4 2 3 4 3 2" xfId="19502"/>
    <cellStyle name="Normal 2 5 4 2 3 4 3 3" xfId="29753"/>
    <cellStyle name="Normal 2 5 4 2 3 4 4" xfId="12121"/>
    <cellStyle name="Normal 2 5 4 2 3 4 4 2" xfId="26203"/>
    <cellStyle name="Normal 2 5 4 2 3 4 5" xfId="7116"/>
    <cellStyle name="Normal 2 5 4 2 3 4 6" xfId="21196"/>
    <cellStyle name="Normal 2 5 4 2 3 5" xfId="2094"/>
    <cellStyle name="Normal 2 5 4 2 3 5 2" xfId="17014"/>
    <cellStyle name="Normal 2 5 4 2 3 5 2 2" xfId="27265"/>
    <cellStyle name="Normal 2 5 4 2 3 5 3" xfId="13435"/>
    <cellStyle name="Normal 2 5 4 2 3 5 4" xfId="8178"/>
    <cellStyle name="Normal 2 5 4 2 3 5 5" xfId="22258"/>
    <cellStyle name="Normal 2 5 4 2 3 6" xfId="5739"/>
    <cellStyle name="Normal 2 5 4 2 3 6 2" xfId="14825"/>
    <cellStyle name="Normal 2 5 4 2 3 6 3" xfId="24829"/>
    <cellStyle name="Normal 2 5 4 2 3 7" xfId="9632"/>
    <cellStyle name="Normal 2 5 4 2 3 7 2" xfId="18459"/>
    <cellStyle name="Normal 2 5 4 2 3 7 3" xfId="28710"/>
    <cellStyle name="Normal 2 5 4 2 3 8" xfId="11076"/>
    <cellStyle name="Normal 2 5 4 2 3 8 2" xfId="23802"/>
    <cellStyle name="Normal 2 5 4 2 3 9" xfId="4710"/>
    <cellStyle name="Normal 2 5 4 2 3_Degree data" xfId="1257"/>
    <cellStyle name="Normal 2 5 4 2 4" xfId="618"/>
    <cellStyle name="Normal 2 5 4 2 4 2" xfId="2351"/>
    <cellStyle name="Normal 2 5 4 2 4 2 2" xfId="16030"/>
    <cellStyle name="Normal 2 5 4 2 4 2 2 2" xfId="26103"/>
    <cellStyle name="Normal 2 5 4 2 4 2 3" xfId="12316"/>
    <cellStyle name="Normal 2 5 4 2 4 2 4" xfId="7016"/>
    <cellStyle name="Normal 2 5 4 2 4 2 5" xfId="21096"/>
    <cellStyle name="Normal 2 5 4 2 4 3" xfId="3624"/>
    <cellStyle name="Normal 2 5 4 2 4 3 2" xfId="17271"/>
    <cellStyle name="Normal 2 5 4 2 4 3 2 2" xfId="27522"/>
    <cellStyle name="Normal 2 5 4 2 4 3 3" xfId="13692"/>
    <cellStyle name="Normal 2 5 4 2 4 3 4" xfId="8435"/>
    <cellStyle name="Normal 2 5 4 2 4 3 5" xfId="22515"/>
    <cellStyle name="Normal 2 5 4 2 4 4" xfId="6132"/>
    <cellStyle name="Normal 2 5 4 2 4 4 2" xfId="15216"/>
    <cellStyle name="Normal 2 5 4 2 4 4 3" xfId="25220"/>
    <cellStyle name="Normal 2 5 4 2 4 5" xfId="9889"/>
    <cellStyle name="Normal 2 5 4 2 4 5 2" xfId="18716"/>
    <cellStyle name="Normal 2 5 4 2 4 5 3" xfId="28967"/>
    <cellStyle name="Normal 2 5 4 2 4 6" xfId="11333"/>
    <cellStyle name="Normal 2 5 4 2 4 6 2" xfId="23702"/>
    <cellStyle name="Normal 2 5 4 2 4 7" xfId="4610"/>
    <cellStyle name="Normal 2 5 4 2 4 8" xfId="20213"/>
    <cellStyle name="Normal 2 5 4 2 5" xfId="977"/>
    <cellStyle name="Normal 2 5 4 2 5 2" xfId="2699"/>
    <cellStyle name="Normal 2 5 4 2 5 2 2" xfId="16246"/>
    <cellStyle name="Normal 2 5 4 2 5 2 2 2" xfId="26465"/>
    <cellStyle name="Normal 2 5 4 2 5 2 3" xfId="12668"/>
    <cellStyle name="Normal 2 5 4 2 5 2 4" xfId="7378"/>
    <cellStyle name="Normal 2 5 4 2 5 2 5" xfId="21458"/>
    <cellStyle name="Normal 2 5 4 2 5 3" xfId="3973"/>
    <cellStyle name="Normal 2 5 4 2 5 3 2" xfId="17619"/>
    <cellStyle name="Normal 2 5 4 2 5 3 2 2" xfId="27870"/>
    <cellStyle name="Normal 2 5 4 2 5 3 3" xfId="14040"/>
    <cellStyle name="Normal 2 5 4 2 5 3 4" xfId="8783"/>
    <cellStyle name="Normal 2 5 4 2 5 3 5" xfId="22863"/>
    <cellStyle name="Normal 2 5 4 2 5 4" xfId="6494"/>
    <cellStyle name="Normal 2 5 4 2 5 4 2" xfId="15578"/>
    <cellStyle name="Normal 2 5 4 2 5 4 3" xfId="25582"/>
    <cellStyle name="Normal 2 5 4 2 5 5" xfId="10237"/>
    <cellStyle name="Normal 2 5 4 2 5 5 2" xfId="19064"/>
    <cellStyle name="Normal 2 5 4 2 5 5 3" xfId="29315"/>
    <cellStyle name="Normal 2 5 4 2 5 6" xfId="11683"/>
    <cellStyle name="Normal 2 5 4 2 5 6 2" xfId="24064"/>
    <cellStyle name="Normal 2 5 4 2 5 7" xfId="4972"/>
    <cellStyle name="Normal 2 5 4 2 5 8" xfId="20575"/>
    <cellStyle name="Normal 2 5 4 2 6" xfId="1435"/>
    <cellStyle name="Normal 2 5 4 2 6 2" xfId="3037"/>
    <cellStyle name="Normal 2 5 4 2 6 2 2" xfId="16593"/>
    <cellStyle name="Normal 2 5 4 2 6 2 2 2" xfId="26812"/>
    <cellStyle name="Normal 2 5 4 2 6 2 3" xfId="13014"/>
    <cellStyle name="Normal 2 5 4 2 6 2 4" xfId="7725"/>
    <cellStyle name="Normal 2 5 4 2 6 2 5" xfId="21805"/>
    <cellStyle name="Normal 2 5 4 2 6 3" xfId="4251"/>
    <cellStyle name="Normal 2 5 4 2 6 3 2" xfId="17957"/>
    <cellStyle name="Normal 2 5 4 2 6 3 2 2" xfId="28208"/>
    <cellStyle name="Normal 2 5 4 2 6 3 3" xfId="14378"/>
    <cellStyle name="Normal 2 5 4 2 6 3 4" xfId="9121"/>
    <cellStyle name="Normal 2 5 4 2 6 3 5" xfId="23201"/>
    <cellStyle name="Normal 2 5 4 2 6 4" xfId="5913"/>
    <cellStyle name="Normal 2 5 4 2 6 4 2" xfId="14999"/>
    <cellStyle name="Normal 2 5 4 2 6 4 3" xfId="25003"/>
    <cellStyle name="Normal 2 5 4 2 6 5" xfId="10575"/>
    <cellStyle name="Normal 2 5 4 2 6 5 2" xfId="19402"/>
    <cellStyle name="Normal 2 5 4 2 6 5 3" xfId="29653"/>
    <cellStyle name="Normal 2 5 4 2 6 6" xfId="12021"/>
    <cellStyle name="Normal 2 5 4 2 6 6 2" xfId="24411"/>
    <cellStyle name="Normal 2 5 4 2 6 7" xfId="5319"/>
    <cellStyle name="Normal 2 5 4 2 6 8" xfId="19996"/>
    <cellStyle name="Normal 2 5 4 2 7" xfId="1994"/>
    <cellStyle name="Normal 2 5 4 2 7 2" xfId="15842"/>
    <cellStyle name="Normal 2 5 4 2 7 2 2" xfId="25886"/>
    <cellStyle name="Normal 2 5 4 2 7 3" xfId="12357"/>
    <cellStyle name="Normal 2 5 4 2 7 4" xfId="6799"/>
    <cellStyle name="Normal 2 5 4 2 7 5" xfId="20879"/>
    <cellStyle name="Normal 2 5 4 2 8" xfId="3413"/>
    <cellStyle name="Normal 2 5 4 2 8 2" xfId="16914"/>
    <cellStyle name="Normal 2 5 4 2 8 2 2" xfId="27165"/>
    <cellStyle name="Normal 2 5 4 2 8 3" xfId="13335"/>
    <cellStyle name="Normal 2 5 4 2 8 4" xfId="8078"/>
    <cellStyle name="Normal 2 5 4 2 8 5" xfId="22158"/>
    <cellStyle name="Normal 2 5 4 2 9" xfId="5639"/>
    <cellStyle name="Normal 2 5 4 2 9 2" xfId="14725"/>
    <cellStyle name="Normal 2 5 4 2 9 3" xfId="24729"/>
    <cellStyle name="Normal 2 5 4 2_Degree data" xfId="1208"/>
    <cellStyle name="Normal 2 5 4 3" xfId="293"/>
    <cellStyle name="Normal 2 5 4 3 10" xfId="11019"/>
    <cellStyle name="Normal 2 5 4 3 10 2" xfId="23528"/>
    <cellStyle name="Normal 2 5 4 3 11" xfId="4436"/>
    <cellStyle name="Normal 2 5 4 3 12" xfId="19765"/>
    <cellStyle name="Normal 2 5 4 3 2" xfId="395"/>
    <cellStyle name="Normal 2 5 4 3 2 10" xfId="19865"/>
    <cellStyle name="Normal 2 5 4 3 2 2" xfId="622"/>
    <cellStyle name="Normal 2 5 4 3 2 2 2" xfId="2355"/>
    <cellStyle name="Normal 2 5 4 3 2 2 2 2" xfId="16250"/>
    <cellStyle name="Normal 2 5 4 3 2 2 2 2 2" xfId="26469"/>
    <cellStyle name="Normal 2 5 4 3 2 2 2 3" xfId="12672"/>
    <cellStyle name="Normal 2 5 4 3 2 2 2 4" xfId="7382"/>
    <cellStyle name="Normal 2 5 4 3 2 2 2 5" xfId="21462"/>
    <cellStyle name="Normal 2 5 4 3 2 2 3" xfId="3628"/>
    <cellStyle name="Normal 2 5 4 3 2 2 3 2" xfId="17275"/>
    <cellStyle name="Normal 2 5 4 3 2 2 3 2 2" xfId="27526"/>
    <cellStyle name="Normal 2 5 4 3 2 2 3 3" xfId="13696"/>
    <cellStyle name="Normal 2 5 4 3 2 2 3 4" xfId="8439"/>
    <cellStyle name="Normal 2 5 4 3 2 2 3 5" xfId="22519"/>
    <cellStyle name="Normal 2 5 4 3 2 2 4" xfId="6498"/>
    <cellStyle name="Normal 2 5 4 3 2 2 4 2" xfId="15582"/>
    <cellStyle name="Normal 2 5 4 3 2 2 4 3" xfId="25586"/>
    <cellStyle name="Normal 2 5 4 3 2 2 5" xfId="9893"/>
    <cellStyle name="Normal 2 5 4 3 2 2 5 2" xfId="18720"/>
    <cellStyle name="Normal 2 5 4 3 2 2 5 3" xfId="28971"/>
    <cellStyle name="Normal 2 5 4 3 2 2 6" xfId="11337"/>
    <cellStyle name="Normal 2 5 4 3 2 2 6 2" xfId="24068"/>
    <cellStyle name="Normal 2 5 4 3 2 2 7" xfId="4976"/>
    <cellStyle name="Normal 2 5 4 3 2 2 8" xfId="20579"/>
    <cellStyle name="Normal 2 5 4 3 2 3" xfId="981"/>
    <cellStyle name="Normal 2 5 4 3 2 3 2" xfId="2703"/>
    <cellStyle name="Normal 2 5 4 3 2 3 2 2" xfId="16736"/>
    <cellStyle name="Normal 2 5 4 3 2 3 2 2 2" xfId="26955"/>
    <cellStyle name="Normal 2 5 4 3 2 3 2 3" xfId="13157"/>
    <cellStyle name="Normal 2 5 4 3 2 3 2 4" xfId="7868"/>
    <cellStyle name="Normal 2 5 4 3 2 3 2 5" xfId="21948"/>
    <cellStyle name="Normal 2 5 4 3 2 3 3" xfId="3977"/>
    <cellStyle name="Normal 2 5 4 3 2 3 3 2" xfId="17623"/>
    <cellStyle name="Normal 2 5 4 3 2 3 3 2 2" xfId="27874"/>
    <cellStyle name="Normal 2 5 4 3 2 3 3 3" xfId="14044"/>
    <cellStyle name="Normal 2 5 4 3 2 3 3 4" xfId="8787"/>
    <cellStyle name="Normal 2 5 4 3 2 3 3 5" xfId="22867"/>
    <cellStyle name="Normal 2 5 4 3 2 3 4" xfId="6275"/>
    <cellStyle name="Normal 2 5 4 3 2 3 4 2" xfId="15359"/>
    <cellStyle name="Normal 2 5 4 3 2 3 4 3" xfId="25363"/>
    <cellStyle name="Normal 2 5 4 3 2 3 5" xfId="10241"/>
    <cellStyle name="Normal 2 5 4 3 2 3 5 2" xfId="19068"/>
    <cellStyle name="Normal 2 5 4 3 2 3 5 3" xfId="29319"/>
    <cellStyle name="Normal 2 5 4 3 2 3 6" xfId="11687"/>
    <cellStyle name="Normal 2 5 4 3 2 3 6 2" xfId="24554"/>
    <cellStyle name="Normal 2 5 4 3 2 3 7" xfId="5462"/>
    <cellStyle name="Normal 2 5 4 3 2 3 8" xfId="20356"/>
    <cellStyle name="Normal 2 5 4 3 2 4" xfId="1582"/>
    <cellStyle name="Normal 2 5 4 3 2 4 2" xfId="3180"/>
    <cellStyle name="Normal 2 5 4 3 2 4 2 2" xfId="18100"/>
    <cellStyle name="Normal 2 5 4 3 2 4 2 2 2" xfId="28351"/>
    <cellStyle name="Normal 2 5 4 3 2 4 2 3" xfId="14521"/>
    <cellStyle name="Normal 2 5 4 3 2 4 2 4" xfId="9264"/>
    <cellStyle name="Normal 2 5 4 3 2 4 2 5" xfId="23344"/>
    <cellStyle name="Normal 2 5 4 3 2 4 3" xfId="10718"/>
    <cellStyle name="Normal 2 5 4 3 2 4 3 2" xfId="19545"/>
    <cellStyle name="Normal 2 5 4 3 2 4 3 3" xfId="29796"/>
    <cellStyle name="Normal 2 5 4 3 2 4 4" xfId="12164"/>
    <cellStyle name="Normal 2 5 4 3 2 4 4 2" xfId="26246"/>
    <cellStyle name="Normal 2 5 4 3 2 4 5" xfId="7159"/>
    <cellStyle name="Normal 2 5 4 3 2 4 6" xfId="21239"/>
    <cellStyle name="Normal 2 5 4 3 2 5" xfId="2137"/>
    <cellStyle name="Normal 2 5 4 3 2 5 2" xfId="17057"/>
    <cellStyle name="Normal 2 5 4 3 2 5 2 2" xfId="27308"/>
    <cellStyle name="Normal 2 5 4 3 2 5 3" xfId="13478"/>
    <cellStyle name="Normal 2 5 4 3 2 5 4" xfId="8221"/>
    <cellStyle name="Normal 2 5 4 3 2 5 5" xfId="22301"/>
    <cellStyle name="Normal 2 5 4 3 2 6" xfId="5782"/>
    <cellStyle name="Normal 2 5 4 3 2 6 2" xfId="14868"/>
    <cellStyle name="Normal 2 5 4 3 2 6 3" xfId="24872"/>
    <cellStyle name="Normal 2 5 4 3 2 7" xfId="9675"/>
    <cellStyle name="Normal 2 5 4 3 2 7 2" xfId="18502"/>
    <cellStyle name="Normal 2 5 4 3 2 7 3" xfId="28753"/>
    <cellStyle name="Normal 2 5 4 3 2 8" xfId="11119"/>
    <cellStyle name="Normal 2 5 4 3 2 8 2" xfId="23845"/>
    <cellStyle name="Normal 2 5 4 3 2 9" xfId="4753"/>
    <cellStyle name="Normal 2 5 4 3 2_Degree data" xfId="1312"/>
    <cellStyle name="Normal 2 5 4 3 3" xfId="621"/>
    <cellStyle name="Normal 2 5 4 3 3 2" xfId="2354"/>
    <cellStyle name="Normal 2 5 4 3 3 2 2" xfId="16073"/>
    <cellStyle name="Normal 2 5 4 3 3 2 2 2" xfId="26146"/>
    <cellStyle name="Normal 2 5 4 3 3 2 3" xfId="12305"/>
    <cellStyle name="Normal 2 5 4 3 3 2 4" xfId="7059"/>
    <cellStyle name="Normal 2 5 4 3 3 2 5" xfId="21139"/>
    <cellStyle name="Normal 2 5 4 3 3 3" xfId="3627"/>
    <cellStyle name="Normal 2 5 4 3 3 3 2" xfId="17274"/>
    <cellStyle name="Normal 2 5 4 3 3 3 2 2" xfId="27525"/>
    <cellStyle name="Normal 2 5 4 3 3 3 3" xfId="13695"/>
    <cellStyle name="Normal 2 5 4 3 3 3 4" xfId="8438"/>
    <cellStyle name="Normal 2 5 4 3 3 3 5" xfId="22518"/>
    <cellStyle name="Normal 2 5 4 3 3 4" xfId="6175"/>
    <cellStyle name="Normal 2 5 4 3 3 4 2" xfId="15259"/>
    <cellStyle name="Normal 2 5 4 3 3 4 3" xfId="25263"/>
    <cellStyle name="Normal 2 5 4 3 3 5" xfId="9892"/>
    <cellStyle name="Normal 2 5 4 3 3 5 2" xfId="18719"/>
    <cellStyle name="Normal 2 5 4 3 3 5 3" xfId="28970"/>
    <cellStyle name="Normal 2 5 4 3 3 6" xfId="11336"/>
    <cellStyle name="Normal 2 5 4 3 3 6 2" xfId="23745"/>
    <cellStyle name="Normal 2 5 4 3 3 7" xfId="4653"/>
    <cellStyle name="Normal 2 5 4 3 3 8" xfId="20256"/>
    <cellStyle name="Normal 2 5 4 3 4" xfId="980"/>
    <cellStyle name="Normal 2 5 4 3 4 2" xfId="2702"/>
    <cellStyle name="Normal 2 5 4 3 4 2 2" xfId="16249"/>
    <cellStyle name="Normal 2 5 4 3 4 2 2 2" xfId="26468"/>
    <cellStyle name="Normal 2 5 4 3 4 2 3" xfId="12671"/>
    <cellStyle name="Normal 2 5 4 3 4 2 4" xfId="7381"/>
    <cellStyle name="Normal 2 5 4 3 4 2 5" xfId="21461"/>
    <cellStyle name="Normal 2 5 4 3 4 3" xfId="3976"/>
    <cellStyle name="Normal 2 5 4 3 4 3 2" xfId="17622"/>
    <cellStyle name="Normal 2 5 4 3 4 3 2 2" xfId="27873"/>
    <cellStyle name="Normal 2 5 4 3 4 3 3" xfId="14043"/>
    <cellStyle name="Normal 2 5 4 3 4 3 4" xfId="8786"/>
    <cellStyle name="Normal 2 5 4 3 4 3 5" xfId="22866"/>
    <cellStyle name="Normal 2 5 4 3 4 4" xfId="6497"/>
    <cellStyle name="Normal 2 5 4 3 4 4 2" xfId="15581"/>
    <cellStyle name="Normal 2 5 4 3 4 4 3" xfId="25585"/>
    <cellStyle name="Normal 2 5 4 3 4 5" xfId="10240"/>
    <cellStyle name="Normal 2 5 4 3 4 5 2" xfId="19067"/>
    <cellStyle name="Normal 2 5 4 3 4 5 3" xfId="29318"/>
    <cellStyle name="Normal 2 5 4 3 4 6" xfId="11686"/>
    <cellStyle name="Normal 2 5 4 3 4 6 2" xfId="24067"/>
    <cellStyle name="Normal 2 5 4 3 4 7" xfId="4975"/>
    <cellStyle name="Normal 2 5 4 3 4 8" xfId="20578"/>
    <cellStyle name="Normal 2 5 4 3 5" xfId="1480"/>
    <cellStyle name="Normal 2 5 4 3 5 2" xfId="3080"/>
    <cellStyle name="Normal 2 5 4 3 5 2 2" xfId="16636"/>
    <cellStyle name="Normal 2 5 4 3 5 2 2 2" xfId="26855"/>
    <cellStyle name="Normal 2 5 4 3 5 2 3" xfId="13057"/>
    <cellStyle name="Normal 2 5 4 3 5 2 4" xfId="7768"/>
    <cellStyle name="Normal 2 5 4 3 5 2 5" xfId="21848"/>
    <cellStyle name="Normal 2 5 4 3 5 3" xfId="4294"/>
    <cellStyle name="Normal 2 5 4 3 5 3 2" xfId="18000"/>
    <cellStyle name="Normal 2 5 4 3 5 3 2 2" xfId="28251"/>
    <cellStyle name="Normal 2 5 4 3 5 3 3" xfId="14421"/>
    <cellStyle name="Normal 2 5 4 3 5 3 4" xfId="9164"/>
    <cellStyle name="Normal 2 5 4 3 5 3 5" xfId="23244"/>
    <cellStyle name="Normal 2 5 4 3 5 4" xfId="5956"/>
    <cellStyle name="Normal 2 5 4 3 5 4 2" xfId="15042"/>
    <cellStyle name="Normal 2 5 4 3 5 4 3" xfId="25046"/>
    <cellStyle name="Normal 2 5 4 3 5 5" xfId="10618"/>
    <cellStyle name="Normal 2 5 4 3 5 5 2" xfId="19445"/>
    <cellStyle name="Normal 2 5 4 3 5 5 3" xfId="29696"/>
    <cellStyle name="Normal 2 5 4 3 5 6" xfId="12064"/>
    <cellStyle name="Normal 2 5 4 3 5 6 2" xfId="24454"/>
    <cellStyle name="Normal 2 5 4 3 5 7" xfId="5362"/>
    <cellStyle name="Normal 2 5 4 3 5 8" xfId="20039"/>
    <cellStyle name="Normal 2 5 4 3 6" xfId="2037"/>
    <cellStyle name="Normal 2 5 4 3 6 2" xfId="15885"/>
    <cellStyle name="Normal 2 5 4 3 6 2 2" xfId="25929"/>
    <cellStyle name="Normal 2 5 4 3 6 3" xfId="12400"/>
    <cellStyle name="Normal 2 5 4 3 6 4" xfId="6842"/>
    <cellStyle name="Normal 2 5 4 3 6 5" xfId="20922"/>
    <cellStyle name="Normal 2 5 4 3 7" xfId="3456"/>
    <cellStyle name="Normal 2 5 4 3 7 2" xfId="16957"/>
    <cellStyle name="Normal 2 5 4 3 7 2 2" xfId="27208"/>
    <cellStyle name="Normal 2 5 4 3 7 3" xfId="13378"/>
    <cellStyle name="Normal 2 5 4 3 7 4" xfId="8121"/>
    <cellStyle name="Normal 2 5 4 3 7 5" xfId="22201"/>
    <cellStyle name="Normal 2 5 4 3 8" xfId="5682"/>
    <cellStyle name="Normal 2 5 4 3 8 2" xfId="14768"/>
    <cellStyle name="Normal 2 5 4 3 8 3" xfId="24772"/>
    <cellStyle name="Normal 2 5 4 3 9" xfId="9575"/>
    <cellStyle name="Normal 2 5 4 3 9 2" xfId="18402"/>
    <cellStyle name="Normal 2 5 4 3 9 3" xfId="28653"/>
    <cellStyle name="Normal 2 5 4 3_Degree data" xfId="1656"/>
    <cellStyle name="Normal 2 5 4 4" xfId="211"/>
    <cellStyle name="Normal 2 5 4 4 10" xfId="10943"/>
    <cellStyle name="Normal 2 5 4 4 10 2" xfId="23557"/>
    <cellStyle name="Normal 2 5 4 4 11" xfId="4465"/>
    <cellStyle name="Normal 2 5 4 4 12" xfId="19689"/>
    <cellStyle name="Normal 2 5 4 4 2" xfId="425"/>
    <cellStyle name="Normal 2 5 4 4 2 10" xfId="19894"/>
    <cellStyle name="Normal 2 5 4 4 2 2" xfId="624"/>
    <cellStyle name="Normal 2 5 4 4 2 2 2" xfId="2357"/>
    <cellStyle name="Normal 2 5 4 4 2 2 2 2" xfId="16252"/>
    <cellStyle name="Normal 2 5 4 4 2 2 2 2 2" xfId="26471"/>
    <cellStyle name="Normal 2 5 4 4 2 2 2 3" xfId="12674"/>
    <cellStyle name="Normal 2 5 4 4 2 2 2 4" xfId="7384"/>
    <cellStyle name="Normal 2 5 4 4 2 2 2 5" xfId="21464"/>
    <cellStyle name="Normal 2 5 4 4 2 2 3" xfId="3630"/>
    <cellStyle name="Normal 2 5 4 4 2 2 3 2" xfId="17277"/>
    <cellStyle name="Normal 2 5 4 4 2 2 3 2 2" xfId="27528"/>
    <cellStyle name="Normal 2 5 4 4 2 2 3 3" xfId="13698"/>
    <cellStyle name="Normal 2 5 4 4 2 2 3 4" xfId="8441"/>
    <cellStyle name="Normal 2 5 4 4 2 2 3 5" xfId="22521"/>
    <cellStyle name="Normal 2 5 4 4 2 2 4" xfId="6500"/>
    <cellStyle name="Normal 2 5 4 4 2 2 4 2" xfId="15584"/>
    <cellStyle name="Normal 2 5 4 4 2 2 4 3" xfId="25588"/>
    <cellStyle name="Normal 2 5 4 4 2 2 5" xfId="9895"/>
    <cellStyle name="Normal 2 5 4 4 2 2 5 2" xfId="18722"/>
    <cellStyle name="Normal 2 5 4 4 2 2 5 3" xfId="28973"/>
    <cellStyle name="Normal 2 5 4 4 2 2 6" xfId="11339"/>
    <cellStyle name="Normal 2 5 4 4 2 2 6 2" xfId="24070"/>
    <cellStyle name="Normal 2 5 4 4 2 2 7" xfId="4978"/>
    <cellStyle name="Normal 2 5 4 4 2 2 8" xfId="20581"/>
    <cellStyle name="Normal 2 5 4 4 2 3" xfId="983"/>
    <cellStyle name="Normal 2 5 4 4 2 3 2" xfId="2705"/>
    <cellStyle name="Normal 2 5 4 4 2 3 2 2" xfId="16765"/>
    <cellStyle name="Normal 2 5 4 4 2 3 2 2 2" xfId="26984"/>
    <cellStyle name="Normal 2 5 4 4 2 3 2 3" xfId="13186"/>
    <cellStyle name="Normal 2 5 4 4 2 3 2 4" xfId="7897"/>
    <cellStyle name="Normal 2 5 4 4 2 3 2 5" xfId="21977"/>
    <cellStyle name="Normal 2 5 4 4 2 3 3" xfId="3979"/>
    <cellStyle name="Normal 2 5 4 4 2 3 3 2" xfId="17625"/>
    <cellStyle name="Normal 2 5 4 4 2 3 3 2 2" xfId="27876"/>
    <cellStyle name="Normal 2 5 4 4 2 3 3 3" xfId="14046"/>
    <cellStyle name="Normal 2 5 4 4 2 3 3 4" xfId="8789"/>
    <cellStyle name="Normal 2 5 4 4 2 3 3 5" xfId="22869"/>
    <cellStyle name="Normal 2 5 4 4 2 3 4" xfId="6304"/>
    <cellStyle name="Normal 2 5 4 4 2 3 4 2" xfId="15388"/>
    <cellStyle name="Normal 2 5 4 4 2 3 4 3" xfId="25392"/>
    <cellStyle name="Normal 2 5 4 4 2 3 5" xfId="10243"/>
    <cellStyle name="Normal 2 5 4 4 2 3 5 2" xfId="19070"/>
    <cellStyle name="Normal 2 5 4 4 2 3 5 3" xfId="29321"/>
    <cellStyle name="Normal 2 5 4 4 2 3 6" xfId="11689"/>
    <cellStyle name="Normal 2 5 4 4 2 3 6 2" xfId="24583"/>
    <cellStyle name="Normal 2 5 4 4 2 3 7" xfId="5491"/>
    <cellStyle name="Normal 2 5 4 4 2 3 8" xfId="20385"/>
    <cellStyle name="Normal 2 5 4 4 2 4" xfId="1612"/>
    <cellStyle name="Normal 2 5 4 4 2 4 2" xfId="3209"/>
    <cellStyle name="Normal 2 5 4 4 2 4 2 2" xfId="18129"/>
    <cellStyle name="Normal 2 5 4 4 2 4 2 2 2" xfId="28380"/>
    <cellStyle name="Normal 2 5 4 4 2 4 2 3" xfId="14550"/>
    <cellStyle name="Normal 2 5 4 4 2 4 2 4" xfId="9293"/>
    <cellStyle name="Normal 2 5 4 4 2 4 2 5" xfId="23373"/>
    <cellStyle name="Normal 2 5 4 4 2 4 3" xfId="10747"/>
    <cellStyle name="Normal 2 5 4 4 2 4 3 2" xfId="19574"/>
    <cellStyle name="Normal 2 5 4 4 2 4 3 3" xfId="29825"/>
    <cellStyle name="Normal 2 5 4 4 2 4 4" xfId="12193"/>
    <cellStyle name="Normal 2 5 4 4 2 4 4 2" xfId="26275"/>
    <cellStyle name="Normal 2 5 4 4 2 4 5" xfId="7188"/>
    <cellStyle name="Normal 2 5 4 4 2 4 6" xfId="21268"/>
    <cellStyle name="Normal 2 5 4 4 2 5" xfId="2166"/>
    <cellStyle name="Normal 2 5 4 4 2 5 2" xfId="17086"/>
    <cellStyle name="Normal 2 5 4 4 2 5 2 2" xfId="27337"/>
    <cellStyle name="Normal 2 5 4 4 2 5 3" xfId="13507"/>
    <cellStyle name="Normal 2 5 4 4 2 5 4" xfId="8250"/>
    <cellStyle name="Normal 2 5 4 4 2 5 5" xfId="22330"/>
    <cellStyle name="Normal 2 5 4 4 2 6" xfId="5811"/>
    <cellStyle name="Normal 2 5 4 4 2 6 2" xfId="14897"/>
    <cellStyle name="Normal 2 5 4 4 2 6 3" xfId="24901"/>
    <cellStyle name="Normal 2 5 4 4 2 7" xfId="9704"/>
    <cellStyle name="Normal 2 5 4 4 2 7 2" xfId="18531"/>
    <cellStyle name="Normal 2 5 4 4 2 7 3" xfId="28782"/>
    <cellStyle name="Normal 2 5 4 4 2 8" xfId="11148"/>
    <cellStyle name="Normal 2 5 4 4 2 8 2" xfId="23874"/>
    <cellStyle name="Normal 2 5 4 4 2 9" xfId="4782"/>
    <cellStyle name="Normal 2 5 4 4 2_Degree data" xfId="1206"/>
    <cellStyle name="Normal 2 5 4 4 3" xfId="623"/>
    <cellStyle name="Normal 2 5 4 4 3 2" xfId="2356"/>
    <cellStyle name="Normal 2 5 4 4 3 2 2" xfId="15997"/>
    <cellStyle name="Normal 2 5 4 4 3 2 2 2" xfId="26070"/>
    <cellStyle name="Normal 2 5 4 4 3 2 3" xfId="12444"/>
    <cellStyle name="Normal 2 5 4 4 3 2 4" xfId="6983"/>
    <cellStyle name="Normal 2 5 4 4 3 2 5" xfId="21063"/>
    <cellStyle name="Normal 2 5 4 4 3 3" xfId="3629"/>
    <cellStyle name="Normal 2 5 4 4 3 3 2" xfId="17276"/>
    <cellStyle name="Normal 2 5 4 4 3 3 2 2" xfId="27527"/>
    <cellStyle name="Normal 2 5 4 4 3 3 3" xfId="13697"/>
    <cellStyle name="Normal 2 5 4 4 3 3 4" xfId="8440"/>
    <cellStyle name="Normal 2 5 4 4 3 3 5" xfId="22520"/>
    <cellStyle name="Normal 2 5 4 4 3 4" xfId="6099"/>
    <cellStyle name="Normal 2 5 4 4 3 4 2" xfId="15183"/>
    <cellStyle name="Normal 2 5 4 4 3 4 3" xfId="25187"/>
    <cellStyle name="Normal 2 5 4 4 3 5" xfId="9894"/>
    <cellStyle name="Normal 2 5 4 4 3 5 2" xfId="18721"/>
    <cellStyle name="Normal 2 5 4 4 3 5 3" xfId="28972"/>
    <cellStyle name="Normal 2 5 4 4 3 6" xfId="11338"/>
    <cellStyle name="Normal 2 5 4 4 3 6 2" xfId="23669"/>
    <cellStyle name="Normal 2 5 4 4 3 7" xfId="4577"/>
    <cellStyle name="Normal 2 5 4 4 3 8" xfId="20180"/>
    <cellStyle name="Normal 2 5 4 4 4" xfId="982"/>
    <cellStyle name="Normal 2 5 4 4 4 2" xfId="2704"/>
    <cellStyle name="Normal 2 5 4 4 4 2 2" xfId="16251"/>
    <cellStyle name="Normal 2 5 4 4 4 2 2 2" xfId="26470"/>
    <cellStyle name="Normal 2 5 4 4 4 2 3" xfId="12673"/>
    <cellStyle name="Normal 2 5 4 4 4 2 4" xfId="7383"/>
    <cellStyle name="Normal 2 5 4 4 4 2 5" xfId="21463"/>
    <cellStyle name="Normal 2 5 4 4 4 3" xfId="3978"/>
    <cellStyle name="Normal 2 5 4 4 4 3 2" xfId="17624"/>
    <cellStyle name="Normal 2 5 4 4 4 3 2 2" xfId="27875"/>
    <cellStyle name="Normal 2 5 4 4 4 3 3" xfId="14045"/>
    <cellStyle name="Normal 2 5 4 4 4 3 4" xfId="8788"/>
    <cellStyle name="Normal 2 5 4 4 4 3 5" xfId="22868"/>
    <cellStyle name="Normal 2 5 4 4 4 4" xfId="6499"/>
    <cellStyle name="Normal 2 5 4 4 4 4 2" xfId="15583"/>
    <cellStyle name="Normal 2 5 4 4 4 4 3" xfId="25587"/>
    <cellStyle name="Normal 2 5 4 4 4 5" xfId="10242"/>
    <cellStyle name="Normal 2 5 4 4 4 5 2" xfId="19069"/>
    <cellStyle name="Normal 2 5 4 4 4 5 3" xfId="29320"/>
    <cellStyle name="Normal 2 5 4 4 4 6" xfId="11688"/>
    <cellStyle name="Normal 2 5 4 4 4 6 2" xfId="24069"/>
    <cellStyle name="Normal 2 5 4 4 4 7" xfId="4977"/>
    <cellStyle name="Normal 2 5 4 4 4 8" xfId="20580"/>
    <cellStyle name="Normal 2 5 4 4 5" xfId="1398"/>
    <cellStyle name="Normal 2 5 4 4 5 2" xfId="3004"/>
    <cellStyle name="Normal 2 5 4 4 5 2 2" xfId="16560"/>
    <cellStyle name="Normal 2 5 4 4 5 2 2 2" xfId="26779"/>
    <cellStyle name="Normal 2 5 4 4 5 2 3" xfId="12981"/>
    <cellStyle name="Normal 2 5 4 4 5 2 4" xfId="7692"/>
    <cellStyle name="Normal 2 5 4 4 5 2 5" xfId="21772"/>
    <cellStyle name="Normal 2 5 4 4 5 3" xfId="4218"/>
    <cellStyle name="Normal 2 5 4 4 5 3 2" xfId="17924"/>
    <cellStyle name="Normal 2 5 4 4 5 3 2 2" xfId="28175"/>
    <cellStyle name="Normal 2 5 4 4 5 3 3" xfId="14345"/>
    <cellStyle name="Normal 2 5 4 4 5 3 4" xfId="9088"/>
    <cellStyle name="Normal 2 5 4 4 5 3 5" xfId="23168"/>
    <cellStyle name="Normal 2 5 4 4 5 4" xfId="5985"/>
    <cellStyle name="Normal 2 5 4 4 5 4 2" xfId="15071"/>
    <cellStyle name="Normal 2 5 4 4 5 4 3" xfId="25075"/>
    <cellStyle name="Normal 2 5 4 4 5 5" xfId="10542"/>
    <cellStyle name="Normal 2 5 4 4 5 5 2" xfId="19369"/>
    <cellStyle name="Normal 2 5 4 4 5 5 3" xfId="29620"/>
    <cellStyle name="Normal 2 5 4 4 5 6" xfId="11988"/>
    <cellStyle name="Normal 2 5 4 4 5 6 2" xfId="24378"/>
    <cellStyle name="Normal 2 5 4 4 5 7" xfId="5286"/>
    <cellStyle name="Normal 2 5 4 4 5 8" xfId="20068"/>
    <cellStyle name="Normal 2 5 4 4 6" xfId="1961"/>
    <cellStyle name="Normal 2 5 4 4 6 2" xfId="15914"/>
    <cellStyle name="Normal 2 5 4 4 6 2 2" xfId="25958"/>
    <cellStyle name="Normal 2 5 4 4 6 3" xfId="12475"/>
    <cellStyle name="Normal 2 5 4 4 6 4" xfId="6871"/>
    <cellStyle name="Normal 2 5 4 4 6 5" xfId="20951"/>
    <cellStyle name="Normal 2 5 4 4 7" xfId="3381"/>
    <cellStyle name="Normal 2 5 4 4 7 2" xfId="16881"/>
    <cellStyle name="Normal 2 5 4 4 7 2 2" xfId="27132"/>
    <cellStyle name="Normal 2 5 4 4 7 3" xfId="13302"/>
    <cellStyle name="Normal 2 5 4 4 7 4" xfId="8045"/>
    <cellStyle name="Normal 2 5 4 4 7 5" xfId="22125"/>
    <cellStyle name="Normal 2 5 4 4 8" xfId="5606"/>
    <cellStyle name="Normal 2 5 4 4 8 2" xfId="14692"/>
    <cellStyle name="Normal 2 5 4 4 8 3" xfId="24696"/>
    <cellStyle name="Normal 2 5 4 4 9" xfId="9499"/>
    <cellStyle name="Normal 2 5 4 4 9 2" xfId="18326"/>
    <cellStyle name="Normal 2 5 4 4 9 3" xfId="28577"/>
    <cellStyle name="Normal 2 5 4 4_Degree data" xfId="1242"/>
    <cellStyle name="Normal 2 5 4 5" xfId="317"/>
    <cellStyle name="Normal 2 5 4 5 10" xfId="19789"/>
    <cellStyle name="Normal 2 5 4 5 2" xfId="625"/>
    <cellStyle name="Normal 2 5 4 5 2 2" xfId="2358"/>
    <cellStyle name="Normal 2 5 4 5 2 2 2" xfId="16253"/>
    <cellStyle name="Normal 2 5 4 5 2 2 2 2" xfId="26472"/>
    <cellStyle name="Normal 2 5 4 5 2 2 3" xfId="12675"/>
    <cellStyle name="Normal 2 5 4 5 2 2 4" xfId="7385"/>
    <cellStyle name="Normal 2 5 4 5 2 2 5" xfId="21465"/>
    <cellStyle name="Normal 2 5 4 5 2 3" xfId="3631"/>
    <cellStyle name="Normal 2 5 4 5 2 3 2" xfId="17278"/>
    <cellStyle name="Normal 2 5 4 5 2 3 2 2" xfId="27529"/>
    <cellStyle name="Normal 2 5 4 5 2 3 3" xfId="13699"/>
    <cellStyle name="Normal 2 5 4 5 2 3 4" xfId="8442"/>
    <cellStyle name="Normal 2 5 4 5 2 3 5" xfId="22522"/>
    <cellStyle name="Normal 2 5 4 5 2 4" xfId="6501"/>
    <cellStyle name="Normal 2 5 4 5 2 4 2" xfId="15585"/>
    <cellStyle name="Normal 2 5 4 5 2 4 3" xfId="25589"/>
    <cellStyle name="Normal 2 5 4 5 2 5" xfId="9896"/>
    <cellStyle name="Normal 2 5 4 5 2 5 2" xfId="18723"/>
    <cellStyle name="Normal 2 5 4 5 2 5 3" xfId="28974"/>
    <cellStyle name="Normal 2 5 4 5 2 6" xfId="11340"/>
    <cellStyle name="Normal 2 5 4 5 2 6 2" xfId="24071"/>
    <cellStyle name="Normal 2 5 4 5 2 7" xfId="4979"/>
    <cellStyle name="Normal 2 5 4 5 2 8" xfId="20582"/>
    <cellStyle name="Normal 2 5 4 5 3" xfId="984"/>
    <cellStyle name="Normal 2 5 4 5 3 2" xfId="2706"/>
    <cellStyle name="Normal 2 5 4 5 3 2 2" xfId="16660"/>
    <cellStyle name="Normal 2 5 4 5 3 2 2 2" xfId="26879"/>
    <cellStyle name="Normal 2 5 4 5 3 2 3" xfId="13081"/>
    <cellStyle name="Normal 2 5 4 5 3 2 4" xfId="7792"/>
    <cellStyle name="Normal 2 5 4 5 3 2 5" xfId="21872"/>
    <cellStyle name="Normal 2 5 4 5 3 3" xfId="3980"/>
    <cellStyle name="Normal 2 5 4 5 3 3 2" xfId="17626"/>
    <cellStyle name="Normal 2 5 4 5 3 3 2 2" xfId="27877"/>
    <cellStyle name="Normal 2 5 4 5 3 3 3" xfId="14047"/>
    <cellStyle name="Normal 2 5 4 5 3 3 4" xfId="8790"/>
    <cellStyle name="Normal 2 5 4 5 3 3 5" xfId="22870"/>
    <cellStyle name="Normal 2 5 4 5 3 4" xfId="6199"/>
    <cellStyle name="Normal 2 5 4 5 3 4 2" xfId="15283"/>
    <cellStyle name="Normal 2 5 4 5 3 4 3" xfId="25287"/>
    <cellStyle name="Normal 2 5 4 5 3 5" xfId="10244"/>
    <cellStyle name="Normal 2 5 4 5 3 5 2" xfId="19071"/>
    <cellStyle name="Normal 2 5 4 5 3 5 3" xfId="29322"/>
    <cellStyle name="Normal 2 5 4 5 3 6" xfId="11690"/>
    <cellStyle name="Normal 2 5 4 5 3 6 2" xfId="24478"/>
    <cellStyle name="Normal 2 5 4 5 3 7" xfId="5386"/>
    <cellStyle name="Normal 2 5 4 5 3 8" xfId="20280"/>
    <cellStyle name="Normal 2 5 4 5 4" xfId="1504"/>
    <cellStyle name="Normal 2 5 4 5 4 2" xfId="3104"/>
    <cellStyle name="Normal 2 5 4 5 4 2 2" xfId="18024"/>
    <cellStyle name="Normal 2 5 4 5 4 2 2 2" xfId="28275"/>
    <cellStyle name="Normal 2 5 4 5 4 2 3" xfId="14445"/>
    <cellStyle name="Normal 2 5 4 5 4 2 4" xfId="9188"/>
    <cellStyle name="Normal 2 5 4 5 4 2 5" xfId="23268"/>
    <cellStyle name="Normal 2 5 4 5 4 3" xfId="10642"/>
    <cellStyle name="Normal 2 5 4 5 4 3 2" xfId="19469"/>
    <cellStyle name="Normal 2 5 4 5 4 3 3" xfId="29720"/>
    <cellStyle name="Normal 2 5 4 5 4 4" xfId="12088"/>
    <cellStyle name="Normal 2 5 4 5 4 4 2" xfId="26170"/>
    <cellStyle name="Normal 2 5 4 5 4 5" xfId="7083"/>
    <cellStyle name="Normal 2 5 4 5 4 6" xfId="21163"/>
    <cellStyle name="Normal 2 5 4 5 5" xfId="2061"/>
    <cellStyle name="Normal 2 5 4 5 5 2" xfId="16981"/>
    <cellStyle name="Normal 2 5 4 5 5 2 2" xfId="27232"/>
    <cellStyle name="Normal 2 5 4 5 5 3" xfId="13402"/>
    <cellStyle name="Normal 2 5 4 5 5 4" xfId="8145"/>
    <cellStyle name="Normal 2 5 4 5 5 5" xfId="22225"/>
    <cellStyle name="Normal 2 5 4 5 6" xfId="5706"/>
    <cellStyle name="Normal 2 5 4 5 6 2" xfId="14792"/>
    <cellStyle name="Normal 2 5 4 5 6 3" xfId="24796"/>
    <cellStyle name="Normal 2 5 4 5 7" xfId="9599"/>
    <cellStyle name="Normal 2 5 4 5 7 2" xfId="18426"/>
    <cellStyle name="Normal 2 5 4 5 7 3" xfId="28677"/>
    <cellStyle name="Normal 2 5 4 5 8" xfId="11043"/>
    <cellStyle name="Normal 2 5 4 5 8 2" xfId="23769"/>
    <cellStyle name="Normal 2 5 4 5 9" xfId="4677"/>
    <cellStyle name="Normal 2 5 4 5_Degree data" xfId="1293"/>
    <cellStyle name="Normal 2 5 4 6" xfId="183"/>
    <cellStyle name="Normal 2 5 4 6 10" xfId="20156"/>
    <cellStyle name="Normal 2 5 4 6 2" xfId="626"/>
    <cellStyle name="Normal 2 5 4 6 2 2" xfId="2359"/>
    <cellStyle name="Normal 2 5 4 6 2 2 2" xfId="16254"/>
    <cellStyle name="Normal 2 5 4 6 2 2 2 2" xfId="26473"/>
    <cellStyle name="Normal 2 5 4 6 2 2 3" xfId="12676"/>
    <cellStyle name="Normal 2 5 4 6 2 2 4" xfId="7386"/>
    <cellStyle name="Normal 2 5 4 6 2 2 5" xfId="21466"/>
    <cellStyle name="Normal 2 5 4 6 2 3" xfId="3632"/>
    <cellStyle name="Normal 2 5 4 6 2 3 2" xfId="17279"/>
    <cellStyle name="Normal 2 5 4 6 2 3 2 2" xfId="27530"/>
    <cellStyle name="Normal 2 5 4 6 2 3 3" xfId="13700"/>
    <cellStyle name="Normal 2 5 4 6 2 3 4" xfId="8443"/>
    <cellStyle name="Normal 2 5 4 6 2 3 5" xfId="22523"/>
    <cellStyle name="Normal 2 5 4 6 2 4" xfId="6502"/>
    <cellStyle name="Normal 2 5 4 6 2 4 2" xfId="15586"/>
    <cellStyle name="Normal 2 5 4 6 2 4 3" xfId="25590"/>
    <cellStyle name="Normal 2 5 4 6 2 5" xfId="9897"/>
    <cellStyle name="Normal 2 5 4 6 2 5 2" xfId="18724"/>
    <cellStyle name="Normal 2 5 4 6 2 5 3" xfId="28975"/>
    <cellStyle name="Normal 2 5 4 6 2 6" xfId="11341"/>
    <cellStyle name="Normal 2 5 4 6 2 6 2" xfId="24072"/>
    <cellStyle name="Normal 2 5 4 6 2 7" xfId="4980"/>
    <cellStyle name="Normal 2 5 4 6 2 8" xfId="20583"/>
    <cellStyle name="Normal 2 5 4 6 3" xfId="985"/>
    <cellStyle name="Normal 2 5 4 6 3 2" xfId="2707"/>
    <cellStyle name="Normal 2 5 4 6 3 2 2" xfId="16536"/>
    <cellStyle name="Normal 2 5 4 6 3 2 2 2" xfId="26755"/>
    <cellStyle name="Normal 2 5 4 6 3 2 3" xfId="12957"/>
    <cellStyle name="Normal 2 5 4 6 3 2 4" xfId="7668"/>
    <cellStyle name="Normal 2 5 4 6 3 2 5" xfId="21748"/>
    <cellStyle name="Normal 2 5 4 6 3 3" xfId="3981"/>
    <cellStyle name="Normal 2 5 4 6 3 3 2" xfId="17627"/>
    <cellStyle name="Normal 2 5 4 6 3 3 2 2" xfId="27878"/>
    <cellStyle name="Normal 2 5 4 6 3 3 3" xfId="14048"/>
    <cellStyle name="Normal 2 5 4 6 3 3 4" xfId="8791"/>
    <cellStyle name="Normal 2 5 4 6 3 3 5" xfId="22871"/>
    <cellStyle name="Normal 2 5 4 6 3 4" xfId="6729"/>
    <cellStyle name="Normal 2 5 4 6 3 4 2" xfId="15812"/>
    <cellStyle name="Normal 2 5 4 6 3 4 3" xfId="25816"/>
    <cellStyle name="Normal 2 5 4 6 3 5" xfId="10245"/>
    <cellStyle name="Normal 2 5 4 6 3 5 2" xfId="19072"/>
    <cellStyle name="Normal 2 5 4 6 3 5 3" xfId="29323"/>
    <cellStyle name="Normal 2 5 4 6 3 6" xfId="11691"/>
    <cellStyle name="Normal 2 5 4 6 3 6 2" xfId="24354"/>
    <cellStyle name="Normal 2 5 4 6 3 7" xfId="5262"/>
    <cellStyle name="Normal 2 5 4 6 3 8" xfId="20809"/>
    <cellStyle name="Normal 2 5 4 6 4" xfId="1370"/>
    <cellStyle name="Normal 2 5 4 6 4 2" xfId="2980"/>
    <cellStyle name="Normal 2 5 4 6 4 2 2" xfId="17900"/>
    <cellStyle name="Normal 2 5 4 6 4 2 2 2" xfId="28151"/>
    <cellStyle name="Normal 2 5 4 6 4 2 3" xfId="14321"/>
    <cellStyle name="Normal 2 5 4 6 4 2 4" xfId="9064"/>
    <cellStyle name="Normal 2 5 4 6 4 2 5" xfId="23144"/>
    <cellStyle name="Normal 2 5 4 6 4 3" xfId="10518"/>
    <cellStyle name="Normal 2 5 4 6 4 3 2" xfId="19345"/>
    <cellStyle name="Normal 2 5 4 6 4 3 3" xfId="29596"/>
    <cellStyle name="Normal 2 5 4 6 4 4" xfId="11964"/>
    <cellStyle name="Normal 2 5 4 6 4 4 2" xfId="26046"/>
    <cellStyle name="Normal 2 5 4 6 4 5" xfId="6959"/>
    <cellStyle name="Normal 2 5 4 6 4 6" xfId="21039"/>
    <cellStyle name="Normal 2 5 4 6 5" xfId="1937"/>
    <cellStyle name="Normal 2 5 4 6 5 2" xfId="16855"/>
    <cellStyle name="Normal 2 5 4 6 5 2 2" xfId="27106"/>
    <cellStyle name="Normal 2 5 4 6 5 3" xfId="13276"/>
    <cellStyle name="Normal 2 5 4 6 5 4" xfId="8019"/>
    <cellStyle name="Normal 2 5 4 6 5 5" xfId="22099"/>
    <cellStyle name="Normal 2 5 4 6 6" xfId="6075"/>
    <cellStyle name="Normal 2 5 4 6 6 2" xfId="15159"/>
    <cellStyle name="Normal 2 5 4 6 6 3" xfId="25163"/>
    <cellStyle name="Normal 2 5 4 6 7" xfId="9475"/>
    <cellStyle name="Normal 2 5 4 6 7 2" xfId="18302"/>
    <cellStyle name="Normal 2 5 4 6 7 3" xfId="28553"/>
    <cellStyle name="Normal 2 5 4 6 8" xfId="10919"/>
    <cellStyle name="Normal 2 5 4 6 8 2" xfId="23645"/>
    <cellStyle name="Normal 2 5 4 6 9" xfId="4553"/>
    <cellStyle name="Normal 2 5 4 6_Degree data" xfId="1205"/>
    <cellStyle name="Normal 2 5 4 7" xfId="617"/>
    <cellStyle name="Normal 2 5 4 7 2" xfId="2350"/>
    <cellStyle name="Normal 2 5 4 7 2 2" xfId="16245"/>
    <cellStyle name="Normal 2 5 4 7 2 2 2" xfId="26464"/>
    <cellStyle name="Normal 2 5 4 7 2 3" xfId="12667"/>
    <cellStyle name="Normal 2 5 4 7 2 4" xfId="7377"/>
    <cellStyle name="Normal 2 5 4 7 2 5" xfId="21457"/>
    <cellStyle name="Normal 2 5 4 7 3" xfId="3623"/>
    <cellStyle name="Normal 2 5 4 7 3 2" xfId="17270"/>
    <cellStyle name="Normal 2 5 4 7 3 2 2" xfId="27521"/>
    <cellStyle name="Normal 2 5 4 7 3 3" xfId="13691"/>
    <cellStyle name="Normal 2 5 4 7 3 4" xfId="8434"/>
    <cellStyle name="Normal 2 5 4 7 3 5" xfId="22514"/>
    <cellStyle name="Normal 2 5 4 7 4" xfId="6493"/>
    <cellStyle name="Normal 2 5 4 7 4 2" xfId="15577"/>
    <cellStyle name="Normal 2 5 4 7 4 3" xfId="25581"/>
    <cellStyle name="Normal 2 5 4 7 5" xfId="9888"/>
    <cellStyle name="Normal 2 5 4 7 5 2" xfId="18715"/>
    <cellStyle name="Normal 2 5 4 7 5 3" xfId="28966"/>
    <cellStyle name="Normal 2 5 4 7 6" xfId="11332"/>
    <cellStyle name="Normal 2 5 4 7 6 2" xfId="24063"/>
    <cellStyle name="Normal 2 5 4 7 7" xfId="4971"/>
    <cellStyle name="Normal 2 5 4 7 8" xfId="20574"/>
    <cellStyle name="Normal 2 5 4 8" xfId="976"/>
    <cellStyle name="Normal 2 5 4 8 2" xfId="2698"/>
    <cellStyle name="Normal 2 5 4 8 2 2" xfId="16491"/>
    <cellStyle name="Normal 2 5 4 8 2 2 2" xfId="26710"/>
    <cellStyle name="Normal 2 5 4 8 2 3" xfId="12913"/>
    <cellStyle name="Normal 2 5 4 8 2 4" xfId="7623"/>
    <cellStyle name="Normal 2 5 4 8 2 5" xfId="21703"/>
    <cellStyle name="Normal 2 5 4 8 3" xfId="3972"/>
    <cellStyle name="Normal 2 5 4 8 3 2" xfId="17618"/>
    <cellStyle name="Normal 2 5 4 8 3 2 2" xfId="27869"/>
    <cellStyle name="Normal 2 5 4 8 3 3" xfId="14039"/>
    <cellStyle name="Normal 2 5 4 8 3 4" xfId="8782"/>
    <cellStyle name="Normal 2 5 4 8 3 5" xfId="22862"/>
    <cellStyle name="Normal 2 5 4 8 4" xfId="5879"/>
    <cellStyle name="Normal 2 5 4 8 4 2" xfId="14965"/>
    <cellStyle name="Normal 2 5 4 8 4 3" xfId="24969"/>
    <cellStyle name="Normal 2 5 4 8 5" xfId="10236"/>
    <cellStyle name="Normal 2 5 4 8 5 2" xfId="19063"/>
    <cellStyle name="Normal 2 5 4 8 5 3" xfId="29314"/>
    <cellStyle name="Normal 2 5 4 8 6" xfId="11682"/>
    <cellStyle name="Normal 2 5 4 8 6 2" xfId="24309"/>
    <cellStyle name="Normal 2 5 4 8 7" xfId="5217"/>
    <cellStyle name="Normal 2 5 4 8 8" xfId="19962"/>
    <cellStyle name="Normal 2 5 4 9" xfId="1321"/>
    <cellStyle name="Normal 2 5 4 9 2" xfId="2935"/>
    <cellStyle name="Normal 2 5 4 9 2 2" xfId="17855"/>
    <cellStyle name="Normal 2 5 4 9 2 2 2" xfId="28106"/>
    <cellStyle name="Normal 2 5 4 9 2 3" xfId="14276"/>
    <cellStyle name="Normal 2 5 4 9 2 4" xfId="9019"/>
    <cellStyle name="Normal 2 5 4 9 2 5" xfId="23099"/>
    <cellStyle name="Normal 2 5 4 9 3" xfId="10473"/>
    <cellStyle name="Normal 2 5 4 9 3 2" xfId="19300"/>
    <cellStyle name="Normal 2 5 4 9 3 3" xfId="29551"/>
    <cellStyle name="Normal 2 5 4 9 4" xfId="11919"/>
    <cellStyle name="Normal 2 5 4 9 4 2" xfId="25853"/>
    <cellStyle name="Normal 2 5 4 9 5" xfId="6766"/>
    <cellStyle name="Normal 2 5 4 9 6" xfId="20846"/>
    <cellStyle name="Normal 2 5 4_Degree data" xfId="1209"/>
    <cellStyle name="Normal 2 5 5" xfId="151"/>
    <cellStyle name="Normal 2 5 5 10" xfId="5552"/>
    <cellStyle name="Normal 2 5 5 10 2" xfId="14638"/>
    <cellStyle name="Normal 2 5 5 10 3" xfId="24642"/>
    <cellStyle name="Normal 2 5 5 11" xfId="9372"/>
    <cellStyle name="Normal 2 5 5 11 2" xfId="18199"/>
    <cellStyle name="Normal 2 5 5 11 3" xfId="28450"/>
    <cellStyle name="Normal 2 5 5 12" xfId="10812"/>
    <cellStyle name="Normal 2 5 5 12 2" xfId="23457"/>
    <cellStyle name="Normal 2 5 5 13" xfId="4365"/>
    <cellStyle name="Normal 2 5 5 14" xfId="19635"/>
    <cellStyle name="Normal 2 5 5 2" xfId="264"/>
    <cellStyle name="Normal 2 5 5 2 10" xfId="10991"/>
    <cellStyle name="Normal 2 5 5 2 10 2" xfId="23500"/>
    <cellStyle name="Normal 2 5 5 2 11" xfId="4408"/>
    <cellStyle name="Normal 2 5 5 2 12" xfId="19737"/>
    <cellStyle name="Normal 2 5 5 2 2" xfId="366"/>
    <cellStyle name="Normal 2 5 5 2 2 10" xfId="19837"/>
    <cellStyle name="Normal 2 5 5 2 2 2" xfId="629"/>
    <cellStyle name="Normal 2 5 5 2 2 2 2" xfId="2362"/>
    <cellStyle name="Normal 2 5 5 2 2 2 2 2" xfId="16257"/>
    <cellStyle name="Normal 2 5 5 2 2 2 2 2 2" xfId="26476"/>
    <cellStyle name="Normal 2 5 5 2 2 2 2 3" xfId="12679"/>
    <cellStyle name="Normal 2 5 5 2 2 2 2 4" xfId="7389"/>
    <cellStyle name="Normal 2 5 5 2 2 2 2 5" xfId="21469"/>
    <cellStyle name="Normal 2 5 5 2 2 2 3" xfId="3635"/>
    <cellStyle name="Normal 2 5 5 2 2 2 3 2" xfId="17282"/>
    <cellStyle name="Normal 2 5 5 2 2 2 3 2 2" xfId="27533"/>
    <cellStyle name="Normal 2 5 5 2 2 2 3 3" xfId="13703"/>
    <cellStyle name="Normal 2 5 5 2 2 2 3 4" xfId="8446"/>
    <cellStyle name="Normal 2 5 5 2 2 2 3 5" xfId="22526"/>
    <cellStyle name="Normal 2 5 5 2 2 2 4" xfId="6505"/>
    <cellStyle name="Normal 2 5 5 2 2 2 4 2" xfId="15589"/>
    <cellStyle name="Normal 2 5 5 2 2 2 4 3" xfId="25593"/>
    <cellStyle name="Normal 2 5 5 2 2 2 5" xfId="9900"/>
    <cellStyle name="Normal 2 5 5 2 2 2 5 2" xfId="18727"/>
    <cellStyle name="Normal 2 5 5 2 2 2 5 3" xfId="28978"/>
    <cellStyle name="Normal 2 5 5 2 2 2 6" xfId="11344"/>
    <cellStyle name="Normal 2 5 5 2 2 2 6 2" xfId="24075"/>
    <cellStyle name="Normal 2 5 5 2 2 2 7" xfId="4983"/>
    <cellStyle name="Normal 2 5 5 2 2 2 8" xfId="20586"/>
    <cellStyle name="Normal 2 5 5 2 2 3" xfId="988"/>
    <cellStyle name="Normal 2 5 5 2 2 3 2" xfId="2710"/>
    <cellStyle name="Normal 2 5 5 2 2 3 2 2" xfId="16708"/>
    <cellStyle name="Normal 2 5 5 2 2 3 2 2 2" xfId="26927"/>
    <cellStyle name="Normal 2 5 5 2 2 3 2 3" xfId="13129"/>
    <cellStyle name="Normal 2 5 5 2 2 3 2 4" xfId="7840"/>
    <cellStyle name="Normal 2 5 5 2 2 3 2 5" xfId="21920"/>
    <cellStyle name="Normal 2 5 5 2 2 3 3" xfId="3984"/>
    <cellStyle name="Normal 2 5 5 2 2 3 3 2" xfId="17630"/>
    <cellStyle name="Normal 2 5 5 2 2 3 3 2 2" xfId="27881"/>
    <cellStyle name="Normal 2 5 5 2 2 3 3 3" xfId="14051"/>
    <cellStyle name="Normal 2 5 5 2 2 3 3 4" xfId="8794"/>
    <cellStyle name="Normal 2 5 5 2 2 3 3 5" xfId="22874"/>
    <cellStyle name="Normal 2 5 5 2 2 3 4" xfId="6247"/>
    <cellStyle name="Normal 2 5 5 2 2 3 4 2" xfId="15331"/>
    <cellStyle name="Normal 2 5 5 2 2 3 4 3" xfId="25335"/>
    <cellStyle name="Normal 2 5 5 2 2 3 5" xfId="10248"/>
    <cellStyle name="Normal 2 5 5 2 2 3 5 2" xfId="19075"/>
    <cellStyle name="Normal 2 5 5 2 2 3 5 3" xfId="29326"/>
    <cellStyle name="Normal 2 5 5 2 2 3 6" xfId="11694"/>
    <cellStyle name="Normal 2 5 5 2 2 3 6 2" xfId="24526"/>
    <cellStyle name="Normal 2 5 5 2 2 3 7" xfId="5434"/>
    <cellStyle name="Normal 2 5 5 2 2 3 8" xfId="20328"/>
    <cellStyle name="Normal 2 5 5 2 2 4" xfId="1553"/>
    <cellStyle name="Normal 2 5 5 2 2 4 2" xfId="3152"/>
    <cellStyle name="Normal 2 5 5 2 2 4 2 2" xfId="18072"/>
    <cellStyle name="Normal 2 5 5 2 2 4 2 2 2" xfId="28323"/>
    <cellStyle name="Normal 2 5 5 2 2 4 2 3" xfId="14493"/>
    <cellStyle name="Normal 2 5 5 2 2 4 2 4" xfId="9236"/>
    <cellStyle name="Normal 2 5 5 2 2 4 2 5" xfId="23316"/>
    <cellStyle name="Normal 2 5 5 2 2 4 3" xfId="10690"/>
    <cellStyle name="Normal 2 5 5 2 2 4 3 2" xfId="19517"/>
    <cellStyle name="Normal 2 5 5 2 2 4 3 3" xfId="29768"/>
    <cellStyle name="Normal 2 5 5 2 2 4 4" xfId="12136"/>
    <cellStyle name="Normal 2 5 5 2 2 4 4 2" xfId="26218"/>
    <cellStyle name="Normal 2 5 5 2 2 4 5" xfId="7131"/>
    <cellStyle name="Normal 2 5 5 2 2 4 6" xfId="21211"/>
    <cellStyle name="Normal 2 5 5 2 2 5" xfId="2109"/>
    <cellStyle name="Normal 2 5 5 2 2 5 2" xfId="17029"/>
    <cellStyle name="Normal 2 5 5 2 2 5 2 2" xfId="27280"/>
    <cellStyle name="Normal 2 5 5 2 2 5 3" xfId="13450"/>
    <cellStyle name="Normal 2 5 5 2 2 5 4" xfId="8193"/>
    <cellStyle name="Normal 2 5 5 2 2 5 5" xfId="22273"/>
    <cellStyle name="Normal 2 5 5 2 2 6" xfId="5754"/>
    <cellStyle name="Normal 2 5 5 2 2 6 2" xfId="14840"/>
    <cellStyle name="Normal 2 5 5 2 2 6 3" xfId="24844"/>
    <cellStyle name="Normal 2 5 5 2 2 7" xfId="9647"/>
    <cellStyle name="Normal 2 5 5 2 2 7 2" xfId="18474"/>
    <cellStyle name="Normal 2 5 5 2 2 7 3" xfId="28725"/>
    <cellStyle name="Normal 2 5 5 2 2 8" xfId="11091"/>
    <cellStyle name="Normal 2 5 5 2 2 8 2" xfId="23817"/>
    <cellStyle name="Normal 2 5 5 2 2 9" xfId="4725"/>
    <cellStyle name="Normal 2 5 5 2 2_Degree data" xfId="1202"/>
    <cellStyle name="Normal 2 5 5 2 3" xfId="628"/>
    <cellStyle name="Normal 2 5 5 2 3 2" xfId="2361"/>
    <cellStyle name="Normal 2 5 5 2 3 2 2" xfId="16045"/>
    <cellStyle name="Normal 2 5 5 2 3 2 2 2" xfId="26118"/>
    <cellStyle name="Normal 2 5 5 2 3 2 3" xfId="12311"/>
    <cellStyle name="Normal 2 5 5 2 3 2 4" xfId="7031"/>
    <cellStyle name="Normal 2 5 5 2 3 2 5" xfId="21111"/>
    <cellStyle name="Normal 2 5 5 2 3 3" xfId="3634"/>
    <cellStyle name="Normal 2 5 5 2 3 3 2" xfId="17281"/>
    <cellStyle name="Normal 2 5 5 2 3 3 2 2" xfId="27532"/>
    <cellStyle name="Normal 2 5 5 2 3 3 3" xfId="13702"/>
    <cellStyle name="Normal 2 5 5 2 3 3 4" xfId="8445"/>
    <cellStyle name="Normal 2 5 5 2 3 3 5" xfId="22525"/>
    <cellStyle name="Normal 2 5 5 2 3 4" xfId="6147"/>
    <cellStyle name="Normal 2 5 5 2 3 4 2" xfId="15231"/>
    <cellStyle name="Normal 2 5 5 2 3 4 3" xfId="25235"/>
    <cellStyle name="Normal 2 5 5 2 3 5" xfId="9899"/>
    <cellStyle name="Normal 2 5 5 2 3 5 2" xfId="18726"/>
    <cellStyle name="Normal 2 5 5 2 3 5 3" xfId="28977"/>
    <cellStyle name="Normal 2 5 5 2 3 6" xfId="11343"/>
    <cellStyle name="Normal 2 5 5 2 3 6 2" xfId="23717"/>
    <cellStyle name="Normal 2 5 5 2 3 7" xfId="4625"/>
    <cellStyle name="Normal 2 5 5 2 3 8" xfId="20228"/>
    <cellStyle name="Normal 2 5 5 2 4" xfId="987"/>
    <cellStyle name="Normal 2 5 5 2 4 2" xfId="2709"/>
    <cellStyle name="Normal 2 5 5 2 4 2 2" xfId="16256"/>
    <cellStyle name="Normal 2 5 5 2 4 2 2 2" xfId="26475"/>
    <cellStyle name="Normal 2 5 5 2 4 2 3" xfId="12678"/>
    <cellStyle name="Normal 2 5 5 2 4 2 4" xfId="7388"/>
    <cellStyle name="Normal 2 5 5 2 4 2 5" xfId="21468"/>
    <cellStyle name="Normal 2 5 5 2 4 3" xfId="3983"/>
    <cellStyle name="Normal 2 5 5 2 4 3 2" xfId="17629"/>
    <cellStyle name="Normal 2 5 5 2 4 3 2 2" xfId="27880"/>
    <cellStyle name="Normal 2 5 5 2 4 3 3" xfId="14050"/>
    <cellStyle name="Normal 2 5 5 2 4 3 4" xfId="8793"/>
    <cellStyle name="Normal 2 5 5 2 4 3 5" xfId="22873"/>
    <cellStyle name="Normal 2 5 5 2 4 4" xfId="6504"/>
    <cellStyle name="Normal 2 5 5 2 4 4 2" xfId="15588"/>
    <cellStyle name="Normal 2 5 5 2 4 4 3" xfId="25592"/>
    <cellStyle name="Normal 2 5 5 2 4 5" xfId="10247"/>
    <cellStyle name="Normal 2 5 5 2 4 5 2" xfId="19074"/>
    <cellStyle name="Normal 2 5 5 2 4 5 3" xfId="29325"/>
    <cellStyle name="Normal 2 5 5 2 4 6" xfId="11693"/>
    <cellStyle name="Normal 2 5 5 2 4 6 2" xfId="24074"/>
    <cellStyle name="Normal 2 5 5 2 4 7" xfId="4982"/>
    <cellStyle name="Normal 2 5 5 2 4 8" xfId="20585"/>
    <cellStyle name="Normal 2 5 5 2 5" xfId="1451"/>
    <cellStyle name="Normal 2 5 5 2 5 2" xfId="3052"/>
    <cellStyle name="Normal 2 5 5 2 5 2 2" xfId="16608"/>
    <cellStyle name="Normal 2 5 5 2 5 2 2 2" xfId="26827"/>
    <cellStyle name="Normal 2 5 5 2 5 2 3" xfId="13029"/>
    <cellStyle name="Normal 2 5 5 2 5 2 4" xfId="7740"/>
    <cellStyle name="Normal 2 5 5 2 5 2 5" xfId="21820"/>
    <cellStyle name="Normal 2 5 5 2 5 3" xfId="4266"/>
    <cellStyle name="Normal 2 5 5 2 5 3 2" xfId="17972"/>
    <cellStyle name="Normal 2 5 5 2 5 3 2 2" xfId="28223"/>
    <cellStyle name="Normal 2 5 5 2 5 3 3" xfId="14393"/>
    <cellStyle name="Normal 2 5 5 2 5 3 4" xfId="9136"/>
    <cellStyle name="Normal 2 5 5 2 5 3 5" xfId="23216"/>
    <cellStyle name="Normal 2 5 5 2 5 4" xfId="5928"/>
    <cellStyle name="Normal 2 5 5 2 5 4 2" xfId="15014"/>
    <cellStyle name="Normal 2 5 5 2 5 4 3" xfId="25018"/>
    <cellStyle name="Normal 2 5 5 2 5 5" xfId="10590"/>
    <cellStyle name="Normal 2 5 5 2 5 5 2" xfId="19417"/>
    <cellStyle name="Normal 2 5 5 2 5 5 3" xfId="29668"/>
    <cellStyle name="Normal 2 5 5 2 5 6" xfId="12036"/>
    <cellStyle name="Normal 2 5 5 2 5 6 2" xfId="24426"/>
    <cellStyle name="Normal 2 5 5 2 5 7" xfId="5334"/>
    <cellStyle name="Normal 2 5 5 2 5 8" xfId="20011"/>
    <cellStyle name="Normal 2 5 5 2 6" xfId="2009"/>
    <cellStyle name="Normal 2 5 5 2 6 2" xfId="15857"/>
    <cellStyle name="Normal 2 5 5 2 6 2 2" xfId="25901"/>
    <cellStyle name="Normal 2 5 5 2 6 3" xfId="12356"/>
    <cellStyle name="Normal 2 5 5 2 6 4" xfId="6814"/>
    <cellStyle name="Normal 2 5 5 2 6 5" xfId="20894"/>
    <cellStyle name="Normal 2 5 5 2 7" xfId="3428"/>
    <cellStyle name="Normal 2 5 5 2 7 2" xfId="16929"/>
    <cellStyle name="Normal 2 5 5 2 7 2 2" xfId="27180"/>
    <cellStyle name="Normal 2 5 5 2 7 3" xfId="13350"/>
    <cellStyle name="Normal 2 5 5 2 7 4" xfId="8093"/>
    <cellStyle name="Normal 2 5 5 2 7 5" xfId="22173"/>
    <cellStyle name="Normal 2 5 5 2 8" xfId="5654"/>
    <cellStyle name="Normal 2 5 5 2 8 2" xfId="14740"/>
    <cellStyle name="Normal 2 5 5 2 8 3" xfId="24744"/>
    <cellStyle name="Normal 2 5 5 2 9" xfId="9547"/>
    <cellStyle name="Normal 2 5 5 2 9 2" xfId="18374"/>
    <cellStyle name="Normal 2 5 5 2 9 3" xfId="28625"/>
    <cellStyle name="Normal 2 5 5 2_Degree data" xfId="1203"/>
    <cellStyle name="Normal 2 5 5 3" xfId="219"/>
    <cellStyle name="Normal 2 5 5 3 10" xfId="10948"/>
    <cellStyle name="Normal 2 5 5 3 10 2" xfId="23562"/>
    <cellStyle name="Normal 2 5 5 3 11" xfId="4470"/>
    <cellStyle name="Normal 2 5 5 3 12" xfId="19694"/>
    <cellStyle name="Normal 2 5 5 3 2" xfId="430"/>
    <cellStyle name="Normal 2 5 5 3 2 10" xfId="19899"/>
    <cellStyle name="Normal 2 5 5 3 2 2" xfId="631"/>
    <cellStyle name="Normal 2 5 5 3 2 2 2" xfId="2364"/>
    <cellStyle name="Normal 2 5 5 3 2 2 2 2" xfId="16259"/>
    <cellStyle name="Normal 2 5 5 3 2 2 2 2 2" xfId="26478"/>
    <cellStyle name="Normal 2 5 5 3 2 2 2 3" xfId="12681"/>
    <cellStyle name="Normal 2 5 5 3 2 2 2 4" xfId="7391"/>
    <cellStyle name="Normal 2 5 5 3 2 2 2 5" xfId="21471"/>
    <cellStyle name="Normal 2 5 5 3 2 2 3" xfId="3637"/>
    <cellStyle name="Normal 2 5 5 3 2 2 3 2" xfId="17284"/>
    <cellStyle name="Normal 2 5 5 3 2 2 3 2 2" xfId="27535"/>
    <cellStyle name="Normal 2 5 5 3 2 2 3 3" xfId="13705"/>
    <cellStyle name="Normal 2 5 5 3 2 2 3 4" xfId="8448"/>
    <cellStyle name="Normal 2 5 5 3 2 2 3 5" xfId="22528"/>
    <cellStyle name="Normal 2 5 5 3 2 2 4" xfId="6507"/>
    <cellStyle name="Normal 2 5 5 3 2 2 4 2" xfId="15591"/>
    <cellStyle name="Normal 2 5 5 3 2 2 4 3" xfId="25595"/>
    <cellStyle name="Normal 2 5 5 3 2 2 5" xfId="9902"/>
    <cellStyle name="Normal 2 5 5 3 2 2 5 2" xfId="18729"/>
    <cellStyle name="Normal 2 5 5 3 2 2 5 3" xfId="28980"/>
    <cellStyle name="Normal 2 5 5 3 2 2 6" xfId="11346"/>
    <cellStyle name="Normal 2 5 5 3 2 2 6 2" xfId="24077"/>
    <cellStyle name="Normal 2 5 5 3 2 2 7" xfId="4985"/>
    <cellStyle name="Normal 2 5 5 3 2 2 8" xfId="20588"/>
    <cellStyle name="Normal 2 5 5 3 2 3" xfId="990"/>
    <cellStyle name="Normal 2 5 5 3 2 3 2" xfId="2712"/>
    <cellStyle name="Normal 2 5 5 3 2 3 2 2" xfId="16770"/>
    <cellStyle name="Normal 2 5 5 3 2 3 2 2 2" xfId="26989"/>
    <cellStyle name="Normal 2 5 5 3 2 3 2 3" xfId="13191"/>
    <cellStyle name="Normal 2 5 5 3 2 3 2 4" xfId="7902"/>
    <cellStyle name="Normal 2 5 5 3 2 3 2 5" xfId="21982"/>
    <cellStyle name="Normal 2 5 5 3 2 3 3" xfId="3986"/>
    <cellStyle name="Normal 2 5 5 3 2 3 3 2" xfId="17632"/>
    <cellStyle name="Normal 2 5 5 3 2 3 3 2 2" xfId="27883"/>
    <cellStyle name="Normal 2 5 5 3 2 3 3 3" xfId="14053"/>
    <cellStyle name="Normal 2 5 5 3 2 3 3 4" xfId="8796"/>
    <cellStyle name="Normal 2 5 5 3 2 3 3 5" xfId="22876"/>
    <cellStyle name="Normal 2 5 5 3 2 3 4" xfId="6309"/>
    <cellStyle name="Normal 2 5 5 3 2 3 4 2" xfId="15393"/>
    <cellStyle name="Normal 2 5 5 3 2 3 4 3" xfId="25397"/>
    <cellStyle name="Normal 2 5 5 3 2 3 5" xfId="10250"/>
    <cellStyle name="Normal 2 5 5 3 2 3 5 2" xfId="19077"/>
    <cellStyle name="Normal 2 5 5 3 2 3 5 3" xfId="29328"/>
    <cellStyle name="Normal 2 5 5 3 2 3 6" xfId="11696"/>
    <cellStyle name="Normal 2 5 5 3 2 3 6 2" xfId="24588"/>
    <cellStyle name="Normal 2 5 5 3 2 3 7" xfId="5496"/>
    <cellStyle name="Normal 2 5 5 3 2 3 8" xfId="20390"/>
    <cellStyle name="Normal 2 5 5 3 2 4" xfId="1617"/>
    <cellStyle name="Normal 2 5 5 3 2 4 2" xfId="3214"/>
    <cellStyle name="Normal 2 5 5 3 2 4 2 2" xfId="18134"/>
    <cellStyle name="Normal 2 5 5 3 2 4 2 2 2" xfId="28385"/>
    <cellStyle name="Normal 2 5 5 3 2 4 2 3" xfId="14555"/>
    <cellStyle name="Normal 2 5 5 3 2 4 2 4" xfId="9298"/>
    <cellStyle name="Normal 2 5 5 3 2 4 2 5" xfId="23378"/>
    <cellStyle name="Normal 2 5 5 3 2 4 3" xfId="10752"/>
    <cellStyle name="Normal 2 5 5 3 2 4 3 2" xfId="19579"/>
    <cellStyle name="Normal 2 5 5 3 2 4 3 3" xfId="29830"/>
    <cellStyle name="Normal 2 5 5 3 2 4 4" xfId="12198"/>
    <cellStyle name="Normal 2 5 5 3 2 4 4 2" xfId="26280"/>
    <cellStyle name="Normal 2 5 5 3 2 4 5" xfId="7193"/>
    <cellStyle name="Normal 2 5 5 3 2 4 6" xfId="21273"/>
    <cellStyle name="Normal 2 5 5 3 2 5" xfId="2171"/>
    <cellStyle name="Normal 2 5 5 3 2 5 2" xfId="17091"/>
    <cellStyle name="Normal 2 5 5 3 2 5 2 2" xfId="27342"/>
    <cellStyle name="Normal 2 5 5 3 2 5 3" xfId="13512"/>
    <cellStyle name="Normal 2 5 5 3 2 5 4" xfId="8255"/>
    <cellStyle name="Normal 2 5 5 3 2 5 5" xfId="22335"/>
    <cellStyle name="Normal 2 5 5 3 2 6" xfId="5816"/>
    <cellStyle name="Normal 2 5 5 3 2 6 2" xfId="14902"/>
    <cellStyle name="Normal 2 5 5 3 2 6 3" xfId="24906"/>
    <cellStyle name="Normal 2 5 5 3 2 7" xfId="9709"/>
    <cellStyle name="Normal 2 5 5 3 2 7 2" xfId="18536"/>
    <cellStyle name="Normal 2 5 5 3 2 7 3" xfId="28787"/>
    <cellStyle name="Normal 2 5 5 3 2 8" xfId="11153"/>
    <cellStyle name="Normal 2 5 5 3 2 8 2" xfId="23879"/>
    <cellStyle name="Normal 2 5 5 3 2 9" xfId="4787"/>
    <cellStyle name="Normal 2 5 5 3 2_Degree data" xfId="1200"/>
    <cellStyle name="Normal 2 5 5 3 3" xfId="630"/>
    <cellStyle name="Normal 2 5 5 3 3 2" xfId="2363"/>
    <cellStyle name="Normal 2 5 5 3 3 2 2" xfId="16002"/>
    <cellStyle name="Normal 2 5 5 3 3 2 2 2" xfId="26075"/>
    <cellStyle name="Normal 2 5 5 3 3 2 3" xfId="12384"/>
    <cellStyle name="Normal 2 5 5 3 3 2 4" xfId="6988"/>
    <cellStyle name="Normal 2 5 5 3 3 2 5" xfId="21068"/>
    <cellStyle name="Normal 2 5 5 3 3 3" xfId="3636"/>
    <cellStyle name="Normal 2 5 5 3 3 3 2" xfId="17283"/>
    <cellStyle name="Normal 2 5 5 3 3 3 2 2" xfId="27534"/>
    <cellStyle name="Normal 2 5 5 3 3 3 3" xfId="13704"/>
    <cellStyle name="Normal 2 5 5 3 3 3 4" xfId="8447"/>
    <cellStyle name="Normal 2 5 5 3 3 3 5" xfId="22527"/>
    <cellStyle name="Normal 2 5 5 3 3 4" xfId="6104"/>
    <cellStyle name="Normal 2 5 5 3 3 4 2" xfId="15188"/>
    <cellStyle name="Normal 2 5 5 3 3 4 3" xfId="25192"/>
    <cellStyle name="Normal 2 5 5 3 3 5" xfId="9901"/>
    <cellStyle name="Normal 2 5 5 3 3 5 2" xfId="18728"/>
    <cellStyle name="Normal 2 5 5 3 3 5 3" xfId="28979"/>
    <cellStyle name="Normal 2 5 5 3 3 6" xfId="11345"/>
    <cellStyle name="Normal 2 5 5 3 3 6 2" xfId="23674"/>
    <cellStyle name="Normal 2 5 5 3 3 7" xfId="4582"/>
    <cellStyle name="Normal 2 5 5 3 3 8" xfId="20185"/>
    <cellStyle name="Normal 2 5 5 3 4" xfId="989"/>
    <cellStyle name="Normal 2 5 5 3 4 2" xfId="2711"/>
    <cellStyle name="Normal 2 5 5 3 4 2 2" xfId="16258"/>
    <cellStyle name="Normal 2 5 5 3 4 2 2 2" xfId="26477"/>
    <cellStyle name="Normal 2 5 5 3 4 2 3" xfId="12680"/>
    <cellStyle name="Normal 2 5 5 3 4 2 4" xfId="7390"/>
    <cellStyle name="Normal 2 5 5 3 4 2 5" xfId="21470"/>
    <cellStyle name="Normal 2 5 5 3 4 3" xfId="3985"/>
    <cellStyle name="Normal 2 5 5 3 4 3 2" xfId="17631"/>
    <cellStyle name="Normal 2 5 5 3 4 3 2 2" xfId="27882"/>
    <cellStyle name="Normal 2 5 5 3 4 3 3" xfId="14052"/>
    <cellStyle name="Normal 2 5 5 3 4 3 4" xfId="8795"/>
    <cellStyle name="Normal 2 5 5 3 4 3 5" xfId="22875"/>
    <cellStyle name="Normal 2 5 5 3 4 4" xfId="6506"/>
    <cellStyle name="Normal 2 5 5 3 4 4 2" xfId="15590"/>
    <cellStyle name="Normal 2 5 5 3 4 4 3" xfId="25594"/>
    <cellStyle name="Normal 2 5 5 3 4 5" xfId="10249"/>
    <cellStyle name="Normal 2 5 5 3 4 5 2" xfId="19076"/>
    <cellStyle name="Normal 2 5 5 3 4 5 3" xfId="29327"/>
    <cellStyle name="Normal 2 5 5 3 4 6" xfId="11695"/>
    <cellStyle name="Normal 2 5 5 3 4 6 2" xfId="24076"/>
    <cellStyle name="Normal 2 5 5 3 4 7" xfId="4984"/>
    <cellStyle name="Normal 2 5 5 3 4 8" xfId="20587"/>
    <cellStyle name="Normal 2 5 5 3 5" xfId="1406"/>
    <cellStyle name="Normal 2 5 5 3 5 2" xfId="3009"/>
    <cellStyle name="Normal 2 5 5 3 5 2 2" xfId="16565"/>
    <cellStyle name="Normal 2 5 5 3 5 2 2 2" xfId="26784"/>
    <cellStyle name="Normal 2 5 5 3 5 2 3" xfId="12986"/>
    <cellStyle name="Normal 2 5 5 3 5 2 4" xfId="7697"/>
    <cellStyle name="Normal 2 5 5 3 5 2 5" xfId="21777"/>
    <cellStyle name="Normal 2 5 5 3 5 3" xfId="4223"/>
    <cellStyle name="Normal 2 5 5 3 5 3 2" xfId="17929"/>
    <cellStyle name="Normal 2 5 5 3 5 3 2 2" xfId="28180"/>
    <cellStyle name="Normal 2 5 5 3 5 3 3" xfId="14350"/>
    <cellStyle name="Normal 2 5 5 3 5 3 4" xfId="9093"/>
    <cellStyle name="Normal 2 5 5 3 5 3 5" xfId="23173"/>
    <cellStyle name="Normal 2 5 5 3 5 4" xfId="5990"/>
    <cellStyle name="Normal 2 5 5 3 5 4 2" xfId="15076"/>
    <cellStyle name="Normal 2 5 5 3 5 4 3" xfId="25080"/>
    <cellStyle name="Normal 2 5 5 3 5 5" xfId="10547"/>
    <cellStyle name="Normal 2 5 5 3 5 5 2" xfId="19374"/>
    <cellStyle name="Normal 2 5 5 3 5 5 3" xfId="29625"/>
    <cellStyle name="Normal 2 5 5 3 5 6" xfId="11993"/>
    <cellStyle name="Normal 2 5 5 3 5 6 2" xfId="24383"/>
    <cellStyle name="Normal 2 5 5 3 5 7" xfId="5291"/>
    <cellStyle name="Normal 2 5 5 3 5 8" xfId="20073"/>
    <cellStyle name="Normal 2 5 5 3 6" xfId="1966"/>
    <cellStyle name="Normal 2 5 5 3 6 2" xfId="15919"/>
    <cellStyle name="Normal 2 5 5 3 6 2 2" xfId="25963"/>
    <cellStyle name="Normal 2 5 5 3 6 3" xfId="12404"/>
    <cellStyle name="Normal 2 5 5 3 6 4" xfId="6876"/>
    <cellStyle name="Normal 2 5 5 3 6 5" xfId="20956"/>
    <cellStyle name="Normal 2 5 5 3 7" xfId="3386"/>
    <cellStyle name="Normal 2 5 5 3 7 2" xfId="16886"/>
    <cellStyle name="Normal 2 5 5 3 7 2 2" xfId="27137"/>
    <cellStyle name="Normal 2 5 5 3 7 3" xfId="13307"/>
    <cellStyle name="Normal 2 5 5 3 7 4" xfId="8050"/>
    <cellStyle name="Normal 2 5 5 3 7 5" xfId="22130"/>
    <cellStyle name="Normal 2 5 5 3 8" xfId="5611"/>
    <cellStyle name="Normal 2 5 5 3 8 2" xfId="14697"/>
    <cellStyle name="Normal 2 5 5 3 8 3" xfId="24701"/>
    <cellStyle name="Normal 2 5 5 3 9" xfId="9504"/>
    <cellStyle name="Normal 2 5 5 3 9 2" xfId="18331"/>
    <cellStyle name="Normal 2 5 5 3 9 3" xfId="28582"/>
    <cellStyle name="Normal 2 5 5 3_Degree data" xfId="1201"/>
    <cellStyle name="Normal 2 5 5 4" xfId="322"/>
    <cellStyle name="Normal 2 5 5 4 10" xfId="19794"/>
    <cellStyle name="Normal 2 5 5 4 2" xfId="632"/>
    <cellStyle name="Normal 2 5 5 4 2 2" xfId="2365"/>
    <cellStyle name="Normal 2 5 5 4 2 2 2" xfId="16260"/>
    <cellStyle name="Normal 2 5 5 4 2 2 2 2" xfId="26479"/>
    <cellStyle name="Normal 2 5 5 4 2 2 3" xfId="12682"/>
    <cellStyle name="Normal 2 5 5 4 2 2 4" xfId="7392"/>
    <cellStyle name="Normal 2 5 5 4 2 2 5" xfId="21472"/>
    <cellStyle name="Normal 2 5 5 4 2 3" xfId="3638"/>
    <cellStyle name="Normal 2 5 5 4 2 3 2" xfId="17285"/>
    <cellStyle name="Normal 2 5 5 4 2 3 2 2" xfId="27536"/>
    <cellStyle name="Normal 2 5 5 4 2 3 3" xfId="13706"/>
    <cellStyle name="Normal 2 5 5 4 2 3 4" xfId="8449"/>
    <cellStyle name="Normal 2 5 5 4 2 3 5" xfId="22529"/>
    <cellStyle name="Normal 2 5 5 4 2 4" xfId="6508"/>
    <cellStyle name="Normal 2 5 5 4 2 4 2" xfId="15592"/>
    <cellStyle name="Normal 2 5 5 4 2 4 3" xfId="25596"/>
    <cellStyle name="Normal 2 5 5 4 2 5" xfId="9903"/>
    <cellStyle name="Normal 2 5 5 4 2 5 2" xfId="18730"/>
    <cellStyle name="Normal 2 5 5 4 2 5 3" xfId="28981"/>
    <cellStyle name="Normal 2 5 5 4 2 6" xfId="11347"/>
    <cellStyle name="Normal 2 5 5 4 2 6 2" xfId="24078"/>
    <cellStyle name="Normal 2 5 5 4 2 7" xfId="4986"/>
    <cellStyle name="Normal 2 5 5 4 2 8" xfId="20589"/>
    <cellStyle name="Normal 2 5 5 4 3" xfId="991"/>
    <cellStyle name="Normal 2 5 5 4 3 2" xfId="2713"/>
    <cellStyle name="Normal 2 5 5 4 3 2 2" xfId="16665"/>
    <cellStyle name="Normal 2 5 5 4 3 2 2 2" xfId="26884"/>
    <cellStyle name="Normal 2 5 5 4 3 2 3" xfId="13086"/>
    <cellStyle name="Normal 2 5 5 4 3 2 4" xfId="7797"/>
    <cellStyle name="Normal 2 5 5 4 3 2 5" xfId="21877"/>
    <cellStyle name="Normal 2 5 5 4 3 3" xfId="3987"/>
    <cellStyle name="Normal 2 5 5 4 3 3 2" xfId="17633"/>
    <cellStyle name="Normal 2 5 5 4 3 3 2 2" xfId="27884"/>
    <cellStyle name="Normal 2 5 5 4 3 3 3" xfId="14054"/>
    <cellStyle name="Normal 2 5 5 4 3 3 4" xfId="8797"/>
    <cellStyle name="Normal 2 5 5 4 3 3 5" xfId="22877"/>
    <cellStyle name="Normal 2 5 5 4 3 4" xfId="6204"/>
    <cellStyle name="Normal 2 5 5 4 3 4 2" xfId="15288"/>
    <cellStyle name="Normal 2 5 5 4 3 4 3" xfId="25292"/>
    <cellStyle name="Normal 2 5 5 4 3 5" xfId="10251"/>
    <cellStyle name="Normal 2 5 5 4 3 5 2" xfId="19078"/>
    <cellStyle name="Normal 2 5 5 4 3 5 3" xfId="29329"/>
    <cellStyle name="Normal 2 5 5 4 3 6" xfId="11697"/>
    <cellStyle name="Normal 2 5 5 4 3 6 2" xfId="24483"/>
    <cellStyle name="Normal 2 5 5 4 3 7" xfId="5391"/>
    <cellStyle name="Normal 2 5 5 4 3 8" xfId="20285"/>
    <cellStyle name="Normal 2 5 5 4 4" xfId="1509"/>
    <cellStyle name="Normal 2 5 5 4 4 2" xfId="3109"/>
    <cellStyle name="Normal 2 5 5 4 4 2 2" xfId="18029"/>
    <cellStyle name="Normal 2 5 5 4 4 2 2 2" xfId="28280"/>
    <cellStyle name="Normal 2 5 5 4 4 2 3" xfId="14450"/>
    <cellStyle name="Normal 2 5 5 4 4 2 4" xfId="9193"/>
    <cellStyle name="Normal 2 5 5 4 4 2 5" xfId="23273"/>
    <cellStyle name="Normal 2 5 5 4 4 3" xfId="10647"/>
    <cellStyle name="Normal 2 5 5 4 4 3 2" xfId="19474"/>
    <cellStyle name="Normal 2 5 5 4 4 3 3" xfId="29725"/>
    <cellStyle name="Normal 2 5 5 4 4 4" xfId="12093"/>
    <cellStyle name="Normal 2 5 5 4 4 4 2" xfId="26175"/>
    <cellStyle name="Normal 2 5 5 4 4 5" xfId="7088"/>
    <cellStyle name="Normal 2 5 5 4 4 6" xfId="21168"/>
    <cellStyle name="Normal 2 5 5 4 5" xfId="2066"/>
    <cellStyle name="Normal 2 5 5 4 5 2" xfId="16986"/>
    <cellStyle name="Normal 2 5 5 4 5 2 2" xfId="27237"/>
    <cellStyle name="Normal 2 5 5 4 5 3" xfId="13407"/>
    <cellStyle name="Normal 2 5 5 4 5 4" xfId="8150"/>
    <cellStyle name="Normal 2 5 5 4 5 5" xfId="22230"/>
    <cellStyle name="Normal 2 5 5 4 6" xfId="5711"/>
    <cellStyle name="Normal 2 5 5 4 6 2" xfId="14797"/>
    <cellStyle name="Normal 2 5 5 4 6 3" xfId="24801"/>
    <cellStyle name="Normal 2 5 5 4 7" xfId="9604"/>
    <cellStyle name="Normal 2 5 5 4 7 2" xfId="18431"/>
    <cellStyle name="Normal 2 5 5 4 7 3" xfId="28682"/>
    <cellStyle name="Normal 2 5 5 4 8" xfId="11048"/>
    <cellStyle name="Normal 2 5 5 4 8 2" xfId="23774"/>
    <cellStyle name="Normal 2 5 5 4 9" xfId="4682"/>
    <cellStyle name="Normal 2 5 5 4_Degree data" xfId="1199"/>
    <cellStyle name="Normal 2 5 5 5" xfId="627"/>
    <cellStyle name="Normal 2 5 5 5 2" xfId="2360"/>
    <cellStyle name="Normal 2 5 5 5 2 2" xfId="15959"/>
    <cellStyle name="Normal 2 5 5 5 2 2 2" xfId="26016"/>
    <cellStyle name="Normal 2 5 5 5 2 3" xfId="12256"/>
    <cellStyle name="Normal 2 5 5 5 2 4" xfId="6929"/>
    <cellStyle name="Normal 2 5 5 5 2 5" xfId="21009"/>
    <cellStyle name="Normal 2 5 5 5 3" xfId="3633"/>
    <cellStyle name="Normal 2 5 5 5 3 2" xfId="17280"/>
    <cellStyle name="Normal 2 5 5 5 3 2 2" xfId="27531"/>
    <cellStyle name="Normal 2 5 5 5 3 3" xfId="13701"/>
    <cellStyle name="Normal 2 5 5 5 3 4" xfId="8444"/>
    <cellStyle name="Normal 2 5 5 5 3 5" xfId="22524"/>
    <cellStyle name="Normal 2 5 5 5 4" xfId="6045"/>
    <cellStyle name="Normal 2 5 5 5 4 2" xfId="15129"/>
    <cellStyle name="Normal 2 5 5 5 4 3" xfId="25133"/>
    <cellStyle name="Normal 2 5 5 5 5" xfId="9898"/>
    <cellStyle name="Normal 2 5 5 5 5 2" xfId="18725"/>
    <cellStyle name="Normal 2 5 5 5 5 3" xfId="28976"/>
    <cellStyle name="Normal 2 5 5 5 6" xfId="11342"/>
    <cellStyle name="Normal 2 5 5 5 6 2" xfId="23615"/>
    <cellStyle name="Normal 2 5 5 5 7" xfId="4523"/>
    <cellStyle name="Normal 2 5 5 5 8" xfId="20126"/>
    <cellStyle name="Normal 2 5 5 6" xfId="986"/>
    <cellStyle name="Normal 2 5 5 6 2" xfId="2708"/>
    <cellStyle name="Normal 2 5 5 6 2 2" xfId="16255"/>
    <cellStyle name="Normal 2 5 5 6 2 2 2" xfId="26474"/>
    <cellStyle name="Normal 2 5 5 6 2 3" xfId="12677"/>
    <cellStyle name="Normal 2 5 5 6 2 4" xfId="7387"/>
    <cellStyle name="Normal 2 5 5 6 2 5" xfId="21467"/>
    <cellStyle name="Normal 2 5 5 6 3" xfId="3982"/>
    <cellStyle name="Normal 2 5 5 6 3 2" xfId="17628"/>
    <cellStyle name="Normal 2 5 5 6 3 2 2" xfId="27879"/>
    <cellStyle name="Normal 2 5 5 6 3 3" xfId="14049"/>
    <cellStyle name="Normal 2 5 5 6 3 4" xfId="8792"/>
    <cellStyle name="Normal 2 5 5 6 3 5" xfId="22872"/>
    <cellStyle name="Normal 2 5 5 6 4" xfId="6503"/>
    <cellStyle name="Normal 2 5 5 6 4 2" xfId="15587"/>
    <cellStyle name="Normal 2 5 5 6 4 3" xfId="25591"/>
    <cellStyle name="Normal 2 5 5 6 5" xfId="10246"/>
    <cellStyle name="Normal 2 5 5 6 5 2" xfId="19073"/>
    <cellStyle name="Normal 2 5 5 6 5 3" xfId="29324"/>
    <cellStyle name="Normal 2 5 5 6 6" xfId="11692"/>
    <cellStyle name="Normal 2 5 5 6 6 2" xfId="24073"/>
    <cellStyle name="Normal 2 5 5 6 7" xfId="4981"/>
    <cellStyle name="Normal 2 5 5 6 8" xfId="20584"/>
    <cellStyle name="Normal 2 5 5 7" xfId="1338"/>
    <cellStyle name="Normal 2 5 5 7 2" xfId="2950"/>
    <cellStyle name="Normal 2 5 5 7 2 2" xfId="16506"/>
    <cellStyle name="Normal 2 5 5 7 2 2 2" xfId="26725"/>
    <cellStyle name="Normal 2 5 5 7 2 3" xfId="12928"/>
    <cellStyle name="Normal 2 5 5 7 2 4" xfId="7638"/>
    <cellStyle name="Normal 2 5 5 7 2 5" xfId="21718"/>
    <cellStyle name="Normal 2 5 5 7 3" xfId="4181"/>
    <cellStyle name="Normal 2 5 5 7 3 2" xfId="17870"/>
    <cellStyle name="Normal 2 5 5 7 3 2 2" xfId="28121"/>
    <cellStyle name="Normal 2 5 5 7 3 3" xfId="14291"/>
    <cellStyle name="Normal 2 5 5 7 3 4" xfId="9034"/>
    <cellStyle name="Normal 2 5 5 7 3 5" xfId="23114"/>
    <cellStyle name="Normal 2 5 5 7 4" xfId="5884"/>
    <cellStyle name="Normal 2 5 5 7 4 2" xfId="14970"/>
    <cellStyle name="Normal 2 5 5 7 4 3" xfId="24974"/>
    <cellStyle name="Normal 2 5 5 7 5" xfId="10488"/>
    <cellStyle name="Normal 2 5 5 7 5 2" xfId="19315"/>
    <cellStyle name="Normal 2 5 5 7 5 3" xfId="29566"/>
    <cellStyle name="Normal 2 5 5 7 6" xfId="11934"/>
    <cellStyle name="Normal 2 5 5 7 6 2" xfId="24324"/>
    <cellStyle name="Normal 2 5 5 7 7" xfId="5232"/>
    <cellStyle name="Normal 2 5 5 7 8" xfId="19967"/>
    <cellStyle name="Normal 2 5 5 8" xfId="1907"/>
    <cellStyle name="Normal 2 5 5 8 2" xfId="9445"/>
    <cellStyle name="Normal 2 5 5 8 2 2" xfId="18272"/>
    <cellStyle name="Normal 2 5 5 8 2 3" xfId="28523"/>
    <cellStyle name="Normal 2 5 5 8 3" xfId="10889"/>
    <cellStyle name="Normal 2 5 5 8 3 2" xfId="25858"/>
    <cellStyle name="Normal 2 5 5 8 4" xfId="6771"/>
    <cellStyle name="Normal 2 5 5 8 5" xfId="20851"/>
    <cellStyle name="Normal 2 5 5 9" xfId="1831"/>
    <cellStyle name="Normal 2 5 5 9 2" xfId="16825"/>
    <cellStyle name="Normal 2 5 5 9 2 2" xfId="27076"/>
    <cellStyle name="Normal 2 5 5 9 3" xfId="13246"/>
    <cellStyle name="Normal 2 5 5 9 4" xfId="7989"/>
    <cellStyle name="Normal 2 5 5 9 5" xfId="22069"/>
    <cellStyle name="Normal 2 5 5_Degree data" xfId="1204"/>
    <cellStyle name="Normal 2 5 6" xfId="255"/>
    <cellStyle name="Normal 2 5 6 10" xfId="10982"/>
    <cellStyle name="Normal 2 5 6 10 2" xfId="23491"/>
    <cellStyle name="Normal 2 5 6 11" xfId="4399"/>
    <cellStyle name="Normal 2 5 6 12" xfId="19728"/>
    <cellStyle name="Normal 2 5 6 2" xfId="357"/>
    <cellStyle name="Normal 2 5 6 2 10" xfId="19828"/>
    <cellStyle name="Normal 2 5 6 2 2" xfId="634"/>
    <cellStyle name="Normal 2 5 6 2 2 2" xfId="2367"/>
    <cellStyle name="Normal 2 5 6 2 2 2 2" xfId="16262"/>
    <cellStyle name="Normal 2 5 6 2 2 2 2 2" xfId="26481"/>
    <cellStyle name="Normal 2 5 6 2 2 2 3" xfId="12684"/>
    <cellStyle name="Normal 2 5 6 2 2 2 4" xfId="7394"/>
    <cellStyle name="Normal 2 5 6 2 2 2 5" xfId="21474"/>
    <cellStyle name="Normal 2 5 6 2 2 3" xfId="3640"/>
    <cellStyle name="Normal 2 5 6 2 2 3 2" xfId="17287"/>
    <cellStyle name="Normal 2 5 6 2 2 3 2 2" xfId="27538"/>
    <cellStyle name="Normal 2 5 6 2 2 3 3" xfId="13708"/>
    <cellStyle name="Normal 2 5 6 2 2 3 4" xfId="8451"/>
    <cellStyle name="Normal 2 5 6 2 2 3 5" xfId="22531"/>
    <cellStyle name="Normal 2 5 6 2 2 4" xfId="6510"/>
    <cellStyle name="Normal 2 5 6 2 2 4 2" xfId="15594"/>
    <cellStyle name="Normal 2 5 6 2 2 4 3" xfId="25598"/>
    <cellStyle name="Normal 2 5 6 2 2 5" xfId="9905"/>
    <cellStyle name="Normal 2 5 6 2 2 5 2" xfId="18732"/>
    <cellStyle name="Normal 2 5 6 2 2 5 3" xfId="28983"/>
    <cellStyle name="Normal 2 5 6 2 2 6" xfId="11349"/>
    <cellStyle name="Normal 2 5 6 2 2 6 2" xfId="24080"/>
    <cellStyle name="Normal 2 5 6 2 2 7" xfId="4988"/>
    <cellStyle name="Normal 2 5 6 2 2 8" xfId="20591"/>
    <cellStyle name="Normal 2 5 6 2 3" xfId="993"/>
    <cellStyle name="Normal 2 5 6 2 3 2" xfId="2715"/>
    <cellStyle name="Normal 2 5 6 2 3 2 2" xfId="16699"/>
    <cellStyle name="Normal 2 5 6 2 3 2 2 2" xfId="26918"/>
    <cellStyle name="Normal 2 5 6 2 3 2 3" xfId="13120"/>
    <cellStyle name="Normal 2 5 6 2 3 2 4" xfId="7831"/>
    <cellStyle name="Normal 2 5 6 2 3 2 5" xfId="21911"/>
    <cellStyle name="Normal 2 5 6 2 3 3" xfId="3989"/>
    <cellStyle name="Normal 2 5 6 2 3 3 2" xfId="17635"/>
    <cellStyle name="Normal 2 5 6 2 3 3 2 2" xfId="27886"/>
    <cellStyle name="Normal 2 5 6 2 3 3 3" xfId="14056"/>
    <cellStyle name="Normal 2 5 6 2 3 3 4" xfId="8799"/>
    <cellStyle name="Normal 2 5 6 2 3 3 5" xfId="22879"/>
    <cellStyle name="Normal 2 5 6 2 3 4" xfId="6238"/>
    <cellStyle name="Normal 2 5 6 2 3 4 2" xfId="15322"/>
    <cellStyle name="Normal 2 5 6 2 3 4 3" xfId="25326"/>
    <cellStyle name="Normal 2 5 6 2 3 5" xfId="10253"/>
    <cellStyle name="Normal 2 5 6 2 3 5 2" xfId="19080"/>
    <cellStyle name="Normal 2 5 6 2 3 5 3" xfId="29331"/>
    <cellStyle name="Normal 2 5 6 2 3 6" xfId="11699"/>
    <cellStyle name="Normal 2 5 6 2 3 6 2" xfId="24517"/>
    <cellStyle name="Normal 2 5 6 2 3 7" xfId="5425"/>
    <cellStyle name="Normal 2 5 6 2 3 8" xfId="20319"/>
    <cellStyle name="Normal 2 5 6 2 4" xfId="1544"/>
    <cellStyle name="Normal 2 5 6 2 4 2" xfId="3143"/>
    <cellStyle name="Normal 2 5 6 2 4 2 2" xfId="18063"/>
    <cellStyle name="Normal 2 5 6 2 4 2 2 2" xfId="28314"/>
    <cellStyle name="Normal 2 5 6 2 4 2 3" xfId="14484"/>
    <cellStyle name="Normal 2 5 6 2 4 2 4" xfId="9227"/>
    <cellStyle name="Normal 2 5 6 2 4 2 5" xfId="23307"/>
    <cellStyle name="Normal 2 5 6 2 4 3" xfId="10681"/>
    <cellStyle name="Normal 2 5 6 2 4 3 2" xfId="19508"/>
    <cellStyle name="Normal 2 5 6 2 4 3 3" xfId="29759"/>
    <cellStyle name="Normal 2 5 6 2 4 4" xfId="12127"/>
    <cellStyle name="Normal 2 5 6 2 4 4 2" xfId="26209"/>
    <cellStyle name="Normal 2 5 6 2 4 5" xfId="7122"/>
    <cellStyle name="Normal 2 5 6 2 4 6" xfId="21202"/>
    <cellStyle name="Normal 2 5 6 2 5" xfId="2100"/>
    <cellStyle name="Normal 2 5 6 2 5 2" xfId="17020"/>
    <cellStyle name="Normal 2 5 6 2 5 2 2" xfId="27271"/>
    <cellStyle name="Normal 2 5 6 2 5 3" xfId="13441"/>
    <cellStyle name="Normal 2 5 6 2 5 4" xfId="8184"/>
    <cellStyle name="Normal 2 5 6 2 5 5" xfId="22264"/>
    <cellStyle name="Normal 2 5 6 2 6" xfId="5745"/>
    <cellStyle name="Normal 2 5 6 2 6 2" xfId="14831"/>
    <cellStyle name="Normal 2 5 6 2 6 3" xfId="24835"/>
    <cellStyle name="Normal 2 5 6 2 7" xfId="9638"/>
    <cellStyle name="Normal 2 5 6 2 7 2" xfId="18465"/>
    <cellStyle name="Normal 2 5 6 2 7 3" xfId="28716"/>
    <cellStyle name="Normal 2 5 6 2 8" xfId="11082"/>
    <cellStyle name="Normal 2 5 6 2 8 2" xfId="23808"/>
    <cellStyle name="Normal 2 5 6 2 9" xfId="4716"/>
    <cellStyle name="Normal 2 5 6 2_Degree data" xfId="1283"/>
    <cellStyle name="Normal 2 5 6 3" xfId="633"/>
    <cellStyle name="Normal 2 5 6 3 2" xfId="2366"/>
    <cellStyle name="Normal 2 5 6 3 2 2" xfId="16036"/>
    <cellStyle name="Normal 2 5 6 3 2 2 2" xfId="26109"/>
    <cellStyle name="Normal 2 5 6 3 2 3" xfId="12375"/>
    <cellStyle name="Normal 2 5 6 3 2 4" xfId="7022"/>
    <cellStyle name="Normal 2 5 6 3 2 5" xfId="21102"/>
    <cellStyle name="Normal 2 5 6 3 3" xfId="3639"/>
    <cellStyle name="Normal 2 5 6 3 3 2" xfId="17286"/>
    <cellStyle name="Normal 2 5 6 3 3 2 2" xfId="27537"/>
    <cellStyle name="Normal 2 5 6 3 3 3" xfId="13707"/>
    <cellStyle name="Normal 2 5 6 3 3 4" xfId="8450"/>
    <cellStyle name="Normal 2 5 6 3 3 5" xfId="22530"/>
    <cellStyle name="Normal 2 5 6 3 4" xfId="6138"/>
    <cellStyle name="Normal 2 5 6 3 4 2" xfId="15222"/>
    <cellStyle name="Normal 2 5 6 3 4 3" xfId="25226"/>
    <cellStyle name="Normal 2 5 6 3 5" xfId="9904"/>
    <cellStyle name="Normal 2 5 6 3 5 2" xfId="18731"/>
    <cellStyle name="Normal 2 5 6 3 5 3" xfId="28982"/>
    <cellStyle name="Normal 2 5 6 3 6" xfId="11348"/>
    <cellStyle name="Normal 2 5 6 3 6 2" xfId="23708"/>
    <cellStyle name="Normal 2 5 6 3 7" xfId="4616"/>
    <cellStyle name="Normal 2 5 6 3 8" xfId="20219"/>
    <cellStyle name="Normal 2 5 6 4" xfId="992"/>
    <cellStyle name="Normal 2 5 6 4 2" xfId="2714"/>
    <cellStyle name="Normal 2 5 6 4 2 2" xfId="16261"/>
    <cellStyle name="Normal 2 5 6 4 2 2 2" xfId="26480"/>
    <cellStyle name="Normal 2 5 6 4 2 3" xfId="12683"/>
    <cellStyle name="Normal 2 5 6 4 2 4" xfId="7393"/>
    <cellStyle name="Normal 2 5 6 4 2 5" xfId="21473"/>
    <cellStyle name="Normal 2 5 6 4 3" xfId="3988"/>
    <cellStyle name="Normal 2 5 6 4 3 2" xfId="17634"/>
    <cellStyle name="Normal 2 5 6 4 3 2 2" xfId="27885"/>
    <cellStyle name="Normal 2 5 6 4 3 3" xfId="14055"/>
    <cellStyle name="Normal 2 5 6 4 3 4" xfId="8798"/>
    <cellStyle name="Normal 2 5 6 4 3 5" xfId="22878"/>
    <cellStyle name="Normal 2 5 6 4 4" xfId="6509"/>
    <cellStyle name="Normal 2 5 6 4 4 2" xfId="15593"/>
    <cellStyle name="Normal 2 5 6 4 4 3" xfId="25597"/>
    <cellStyle name="Normal 2 5 6 4 5" xfId="10252"/>
    <cellStyle name="Normal 2 5 6 4 5 2" xfId="19079"/>
    <cellStyle name="Normal 2 5 6 4 5 3" xfId="29330"/>
    <cellStyle name="Normal 2 5 6 4 6" xfId="11698"/>
    <cellStyle name="Normal 2 5 6 4 6 2" xfId="24079"/>
    <cellStyle name="Normal 2 5 6 4 7" xfId="4987"/>
    <cellStyle name="Normal 2 5 6 4 8" xfId="20590"/>
    <cellStyle name="Normal 2 5 6 5" xfId="1442"/>
    <cellStyle name="Normal 2 5 6 5 2" xfId="3043"/>
    <cellStyle name="Normal 2 5 6 5 2 2" xfId="16599"/>
    <cellStyle name="Normal 2 5 6 5 2 2 2" xfId="26818"/>
    <cellStyle name="Normal 2 5 6 5 2 3" xfId="13020"/>
    <cellStyle name="Normal 2 5 6 5 2 4" xfId="7731"/>
    <cellStyle name="Normal 2 5 6 5 2 5" xfId="21811"/>
    <cellStyle name="Normal 2 5 6 5 3" xfId="4257"/>
    <cellStyle name="Normal 2 5 6 5 3 2" xfId="17963"/>
    <cellStyle name="Normal 2 5 6 5 3 2 2" xfId="28214"/>
    <cellStyle name="Normal 2 5 6 5 3 3" xfId="14384"/>
    <cellStyle name="Normal 2 5 6 5 3 4" xfId="9127"/>
    <cellStyle name="Normal 2 5 6 5 3 5" xfId="23207"/>
    <cellStyle name="Normal 2 5 6 5 4" xfId="5919"/>
    <cellStyle name="Normal 2 5 6 5 4 2" xfId="15005"/>
    <cellStyle name="Normal 2 5 6 5 4 3" xfId="25009"/>
    <cellStyle name="Normal 2 5 6 5 5" xfId="10581"/>
    <cellStyle name="Normal 2 5 6 5 5 2" xfId="19408"/>
    <cellStyle name="Normal 2 5 6 5 5 3" xfId="29659"/>
    <cellStyle name="Normal 2 5 6 5 6" xfId="12027"/>
    <cellStyle name="Normal 2 5 6 5 6 2" xfId="24417"/>
    <cellStyle name="Normal 2 5 6 5 7" xfId="5325"/>
    <cellStyle name="Normal 2 5 6 5 8" xfId="20002"/>
    <cellStyle name="Normal 2 5 6 6" xfId="2000"/>
    <cellStyle name="Normal 2 5 6 6 2" xfId="15848"/>
    <cellStyle name="Normal 2 5 6 6 2 2" xfId="25892"/>
    <cellStyle name="Normal 2 5 6 6 3" xfId="12264"/>
    <cellStyle name="Normal 2 5 6 6 4" xfId="6805"/>
    <cellStyle name="Normal 2 5 6 6 5" xfId="20885"/>
    <cellStyle name="Normal 2 5 6 7" xfId="3419"/>
    <cellStyle name="Normal 2 5 6 7 2" xfId="16920"/>
    <cellStyle name="Normal 2 5 6 7 2 2" xfId="27171"/>
    <cellStyle name="Normal 2 5 6 7 3" xfId="13341"/>
    <cellStyle name="Normal 2 5 6 7 4" xfId="8084"/>
    <cellStyle name="Normal 2 5 6 7 5" xfId="22164"/>
    <cellStyle name="Normal 2 5 6 8" xfId="5645"/>
    <cellStyle name="Normal 2 5 6 8 2" xfId="14731"/>
    <cellStyle name="Normal 2 5 6 8 3" xfId="24735"/>
    <cellStyle name="Normal 2 5 6 9" xfId="9538"/>
    <cellStyle name="Normal 2 5 6 9 2" xfId="18365"/>
    <cellStyle name="Normal 2 5 6 9 3" xfId="28616"/>
    <cellStyle name="Normal 2 5 6_Degree data" xfId="1198"/>
    <cellStyle name="Normal 2 5 7" xfId="193"/>
    <cellStyle name="Normal 2 5 7 10" xfId="10925"/>
    <cellStyle name="Normal 2 5 7 10 2" xfId="23539"/>
    <cellStyle name="Normal 2 5 7 11" xfId="4447"/>
    <cellStyle name="Normal 2 5 7 12" xfId="19671"/>
    <cellStyle name="Normal 2 5 7 2" xfId="407"/>
    <cellStyle name="Normal 2 5 7 2 10" xfId="19876"/>
    <cellStyle name="Normal 2 5 7 2 2" xfId="636"/>
    <cellStyle name="Normal 2 5 7 2 2 2" xfId="2369"/>
    <cellStyle name="Normal 2 5 7 2 2 2 2" xfId="16264"/>
    <cellStyle name="Normal 2 5 7 2 2 2 2 2" xfId="26483"/>
    <cellStyle name="Normal 2 5 7 2 2 2 3" xfId="12686"/>
    <cellStyle name="Normal 2 5 7 2 2 2 4" xfId="7396"/>
    <cellStyle name="Normal 2 5 7 2 2 2 5" xfId="21476"/>
    <cellStyle name="Normal 2 5 7 2 2 3" xfId="3642"/>
    <cellStyle name="Normal 2 5 7 2 2 3 2" xfId="17289"/>
    <cellStyle name="Normal 2 5 7 2 2 3 2 2" xfId="27540"/>
    <cellStyle name="Normal 2 5 7 2 2 3 3" xfId="13710"/>
    <cellStyle name="Normal 2 5 7 2 2 3 4" xfId="8453"/>
    <cellStyle name="Normal 2 5 7 2 2 3 5" xfId="22533"/>
    <cellStyle name="Normal 2 5 7 2 2 4" xfId="6512"/>
    <cellStyle name="Normal 2 5 7 2 2 4 2" xfId="15596"/>
    <cellStyle name="Normal 2 5 7 2 2 4 3" xfId="25600"/>
    <cellStyle name="Normal 2 5 7 2 2 5" xfId="9907"/>
    <cellStyle name="Normal 2 5 7 2 2 5 2" xfId="18734"/>
    <cellStyle name="Normal 2 5 7 2 2 5 3" xfId="28985"/>
    <cellStyle name="Normal 2 5 7 2 2 6" xfId="11351"/>
    <cellStyle name="Normal 2 5 7 2 2 6 2" xfId="24082"/>
    <cellStyle name="Normal 2 5 7 2 2 7" xfId="4990"/>
    <cellStyle name="Normal 2 5 7 2 2 8" xfId="20593"/>
    <cellStyle name="Normal 2 5 7 2 3" xfId="995"/>
    <cellStyle name="Normal 2 5 7 2 3 2" xfId="2717"/>
    <cellStyle name="Normal 2 5 7 2 3 2 2" xfId="16747"/>
    <cellStyle name="Normal 2 5 7 2 3 2 2 2" xfId="26966"/>
    <cellStyle name="Normal 2 5 7 2 3 2 3" xfId="13168"/>
    <cellStyle name="Normal 2 5 7 2 3 2 4" xfId="7879"/>
    <cellStyle name="Normal 2 5 7 2 3 2 5" xfId="21959"/>
    <cellStyle name="Normal 2 5 7 2 3 3" xfId="3991"/>
    <cellStyle name="Normal 2 5 7 2 3 3 2" xfId="17637"/>
    <cellStyle name="Normal 2 5 7 2 3 3 2 2" xfId="27888"/>
    <cellStyle name="Normal 2 5 7 2 3 3 3" xfId="14058"/>
    <cellStyle name="Normal 2 5 7 2 3 3 4" xfId="8801"/>
    <cellStyle name="Normal 2 5 7 2 3 3 5" xfId="22881"/>
    <cellStyle name="Normal 2 5 7 2 3 4" xfId="6286"/>
    <cellStyle name="Normal 2 5 7 2 3 4 2" xfId="15370"/>
    <cellStyle name="Normal 2 5 7 2 3 4 3" xfId="25374"/>
    <cellStyle name="Normal 2 5 7 2 3 5" xfId="10255"/>
    <cellStyle name="Normal 2 5 7 2 3 5 2" xfId="19082"/>
    <cellStyle name="Normal 2 5 7 2 3 5 3" xfId="29333"/>
    <cellStyle name="Normal 2 5 7 2 3 6" xfId="11701"/>
    <cellStyle name="Normal 2 5 7 2 3 6 2" xfId="24565"/>
    <cellStyle name="Normal 2 5 7 2 3 7" xfId="5473"/>
    <cellStyle name="Normal 2 5 7 2 3 8" xfId="20367"/>
    <cellStyle name="Normal 2 5 7 2 4" xfId="1594"/>
    <cellStyle name="Normal 2 5 7 2 4 2" xfId="3191"/>
    <cellStyle name="Normal 2 5 7 2 4 2 2" xfId="18111"/>
    <cellStyle name="Normal 2 5 7 2 4 2 2 2" xfId="28362"/>
    <cellStyle name="Normal 2 5 7 2 4 2 3" xfId="14532"/>
    <cellStyle name="Normal 2 5 7 2 4 2 4" xfId="9275"/>
    <cellStyle name="Normal 2 5 7 2 4 2 5" xfId="23355"/>
    <cellStyle name="Normal 2 5 7 2 4 3" xfId="10729"/>
    <cellStyle name="Normal 2 5 7 2 4 3 2" xfId="19556"/>
    <cellStyle name="Normal 2 5 7 2 4 3 3" xfId="29807"/>
    <cellStyle name="Normal 2 5 7 2 4 4" xfId="12175"/>
    <cellStyle name="Normal 2 5 7 2 4 4 2" xfId="26257"/>
    <cellStyle name="Normal 2 5 7 2 4 5" xfId="7170"/>
    <cellStyle name="Normal 2 5 7 2 4 6" xfId="21250"/>
    <cellStyle name="Normal 2 5 7 2 5" xfId="2148"/>
    <cellStyle name="Normal 2 5 7 2 5 2" xfId="17068"/>
    <cellStyle name="Normal 2 5 7 2 5 2 2" xfId="27319"/>
    <cellStyle name="Normal 2 5 7 2 5 3" xfId="13489"/>
    <cellStyle name="Normal 2 5 7 2 5 4" xfId="8232"/>
    <cellStyle name="Normal 2 5 7 2 5 5" xfId="22312"/>
    <cellStyle name="Normal 2 5 7 2 6" xfId="5793"/>
    <cellStyle name="Normal 2 5 7 2 6 2" xfId="14879"/>
    <cellStyle name="Normal 2 5 7 2 6 3" xfId="24883"/>
    <cellStyle name="Normal 2 5 7 2 7" xfId="9686"/>
    <cellStyle name="Normal 2 5 7 2 7 2" xfId="18513"/>
    <cellStyle name="Normal 2 5 7 2 7 3" xfId="28764"/>
    <cellStyle name="Normal 2 5 7 2 8" xfId="11130"/>
    <cellStyle name="Normal 2 5 7 2 8 2" xfId="23856"/>
    <cellStyle name="Normal 2 5 7 2 9" xfId="4764"/>
    <cellStyle name="Normal 2 5 7 2_Degree data" xfId="1253"/>
    <cellStyle name="Normal 2 5 7 3" xfId="635"/>
    <cellStyle name="Normal 2 5 7 3 2" xfId="2368"/>
    <cellStyle name="Normal 2 5 7 3 2 2" xfId="15979"/>
    <cellStyle name="Normal 2 5 7 3 2 2 2" xfId="26052"/>
    <cellStyle name="Normal 2 5 7 3 2 3" xfId="12269"/>
    <cellStyle name="Normal 2 5 7 3 2 4" xfId="6965"/>
    <cellStyle name="Normal 2 5 7 3 2 5" xfId="21045"/>
    <cellStyle name="Normal 2 5 7 3 3" xfId="3641"/>
    <cellStyle name="Normal 2 5 7 3 3 2" xfId="17288"/>
    <cellStyle name="Normal 2 5 7 3 3 2 2" xfId="27539"/>
    <cellStyle name="Normal 2 5 7 3 3 3" xfId="13709"/>
    <cellStyle name="Normal 2 5 7 3 3 4" xfId="8452"/>
    <cellStyle name="Normal 2 5 7 3 3 5" xfId="22532"/>
    <cellStyle name="Normal 2 5 7 3 4" xfId="6081"/>
    <cellStyle name="Normal 2 5 7 3 4 2" xfId="15165"/>
    <cellStyle name="Normal 2 5 7 3 4 3" xfId="25169"/>
    <cellStyle name="Normal 2 5 7 3 5" xfId="9906"/>
    <cellStyle name="Normal 2 5 7 3 5 2" xfId="18733"/>
    <cellStyle name="Normal 2 5 7 3 5 3" xfId="28984"/>
    <cellStyle name="Normal 2 5 7 3 6" xfId="11350"/>
    <cellStyle name="Normal 2 5 7 3 6 2" xfId="23651"/>
    <cellStyle name="Normal 2 5 7 3 7" xfId="4559"/>
    <cellStyle name="Normal 2 5 7 3 8" xfId="20162"/>
    <cellStyle name="Normal 2 5 7 4" xfId="994"/>
    <cellStyle name="Normal 2 5 7 4 2" xfId="2716"/>
    <cellStyle name="Normal 2 5 7 4 2 2" xfId="16263"/>
    <cellStyle name="Normal 2 5 7 4 2 2 2" xfId="26482"/>
    <cellStyle name="Normal 2 5 7 4 2 3" xfId="12685"/>
    <cellStyle name="Normal 2 5 7 4 2 4" xfId="7395"/>
    <cellStyle name="Normal 2 5 7 4 2 5" xfId="21475"/>
    <cellStyle name="Normal 2 5 7 4 3" xfId="3990"/>
    <cellStyle name="Normal 2 5 7 4 3 2" xfId="17636"/>
    <cellStyle name="Normal 2 5 7 4 3 2 2" xfId="27887"/>
    <cellStyle name="Normal 2 5 7 4 3 3" xfId="14057"/>
    <cellStyle name="Normal 2 5 7 4 3 4" xfId="8800"/>
    <cellStyle name="Normal 2 5 7 4 3 5" xfId="22880"/>
    <cellStyle name="Normal 2 5 7 4 4" xfId="6511"/>
    <cellStyle name="Normal 2 5 7 4 4 2" xfId="15595"/>
    <cellStyle name="Normal 2 5 7 4 4 3" xfId="25599"/>
    <cellStyle name="Normal 2 5 7 4 5" xfId="10254"/>
    <cellStyle name="Normal 2 5 7 4 5 2" xfId="19081"/>
    <cellStyle name="Normal 2 5 7 4 5 3" xfId="29332"/>
    <cellStyle name="Normal 2 5 7 4 6" xfId="11700"/>
    <cellStyle name="Normal 2 5 7 4 6 2" xfId="24081"/>
    <cellStyle name="Normal 2 5 7 4 7" xfId="4989"/>
    <cellStyle name="Normal 2 5 7 4 8" xfId="20592"/>
    <cellStyle name="Normal 2 5 7 5" xfId="1380"/>
    <cellStyle name="Normal 2 5 7 5 2" xfId="2986"/>
    <cellStyle name="Normal 2 5 7 5 2 2" xfId="16542"/>
    <cellStyle name="Normal 2 5 7 5 2 2 2" xfId="26761"/>
    <cellStyle name="Normal 2 5 7 5 2 3" xfId="12963"/>
    <cellStyle name="Normal 2 5 7 5 2 4" xfId="7674"/>
    <cellStyle name="Normal 2 5 7 5 2 5" xfId="21754"/>
    <cellStyle name="Normal 2 5 7 5 3" xfId="4200"/>
    <cellStyle name="Normal 2 5 7 5 3 2" xfId="17906"/>
    <cellStyle name="Normal 2 5 7 5 3 2 2" xfId="28157"/>
    <cellStyle name="Normal 2 5 7 5 3 3" xfId="14327"/>
    <cellStyle name="Normal 2 5 7 5 3 4" xfId="9070"/>
    <cellStyle name="Normal 2 5 7 5 3 5" xfId="23150"/>
    <cellStyle name="Normal 2 5 7 5 4" xfId="5967"/>
    <cellStyle name="Normal 2 5 7 5 4 2" xfId="15053"/>
    <cellStyle name="Normal 2 5 7 5 4 3" xfId="25057"/>
    <cellStyle name="Normal 2 5 7 5 5" xfId="10524"/>
    <cellStyle name="Normal 2 5 7 5 5 2" xfId="19351"/>
    <cellStyle name="Normal 2 5 7 5 5 3" xfId="29602"/>
    <cellStyle name="Normal 2 5 7 5 6" xfId="11970"/>
    <cellStyle name="Normal 2 5 7 5 6 2" xfId="24360"/>
    <cellStyle name="Normal 2 5 7 5 7" xfId="5268"/>
    <cellStyle name="Normal 2 5 7 5 8" xfId="20050"/>
    <cellStyle name="Normal 2 5 7 6" xfId="1943"/>
    <cellStyle name="Normal 2 5 7 6 2" xfId="15896"/>
    <cellStyle name="Normal 2 5 7 6 2 2" xfId="25940"/>
    <cellStyle name="Normal 2 5 7 6 3" xfId="12408"/>
    <cellStyle name="Normal 2 5 7 6 4" xfId="6853"/>
    <cellStyle name="Normal 2 5 7 6 5" xfId="20933"/>
    <cellStyle name="Normal 2 5 7 7" xfId="3363"/>
    <cellStyle name="Normal 2 5 7 7 2" xfId="16863"/>
    <cellStyle name="Normal 2 5 7 7 2 2" xfId="27114"/>
    <cellStyle name="Normal 2 5 7 7 3" xfId="13284"/>
    <cellStyle name="Normal 2 5 7 7 4" xfId="8027"/>
    <cellStyle name="Normal 2 5 7 7 5" xfId="22107"/>
    <cellStyle name="Normal 2 5 7 8" xfId="5588"/>
    <cellStyle name="Normal 2 5 7 8 2" xfId="14674"/>
    <cellStyle name="Normal 2 5 7 8 3" xfId="24678"/>
    <cellStyle name="Normal 2 5 7 9" xfId="9481"/>
    <cellStyle name="Normal 2 5 7 9 2" xfId="18308"/>
    <cellStyle name="Normal 2 5 7 9 3" xfId="28559"/>
    <cellStyle name="Normal 2 5 7_Degree data" xfId="1306"/>
    <cellStyle name="Normal 2 5 8" xfId="463"/>
    <cellStyle name="Normal 2 5 8 10" xfId="4503"/>
    <cellStyle name="Normal 2 5 8 11" xfId="19932"/>
    <cellStyle name="Normal 2 5 8 2" xfId="637"/>
    <cellStyle name="Normal 2 5 8 2 2" xfId="2370"/>
    <cellStyle name="Normal 2 5 8 2 2 2" xfId="16095"/>
    <cellStyle name="Normal 2 5 8 2 2 2 2" xfId="26313"/>
    <cellStyle name="Normal 2 5 8 2 2 3" xfId="12517"/>
    <cellStyle name="Normal 2 5 8 2 2 4" xfId="7226"/>
    <cellStyle name="Normal 2 5 8 2 2 5" xfId="21306"/>
    <cellStyle name="Normal 2 5 8 2 3" xfId="3643"/>
    <cellStyle name="Normal 2 5 8 2 3 2" xfId="17290"/>
    <cellStyle name="Normal 2 5 8 2 3 2 2" xfId="27541"/>
    <cellStyle name="Normal 2 5 8 2 3 3" xfId="13711"/>
    <cellStyle name="Normal 2 5 8 2 3 4" xfId="8454"/>
    <cellStyle name="Normal 2 5 8 2 3 5" xfId="22534"/>
    <cellStyle name="Normal 2 5 8 2 4" xfId="6342"/>
    <cellStyle name="Normal 2 5 8 2 4 2" xfId="15426"/>
    <cellStyle name="Normal 2 5 8 2 4 3" xfId="25430"/>
    <cellStyle name="Normal 2 5 8 2 5" xfId="9908"/>
    <cellStyle name="Normal 2 5 8 2 5 2" xfId="18735"/>
    <cellStyle name="Normal 2 5 8 2 5 3" xfId="28986"/>
    <cellStyle name="Normal 2 5 8 2 6" xfId="11352"/>
    <cellStyle name="Normal 2 5 8 2 6 2" xfId="23912"/>
    <cellStyle name="Normal 2 5 8 2 7" xfId="4820"/>
    <cellStyle name="Normal 2 5 8 2 8" xfId="20423"/>
    <cellStyle name="Normal 2 5 8 3" xfId="996"/>
    <cellStyle name="Normal 2 5 8 3 2" xfId="2718"/>
    <cellStyle name="Normal 2 5 8 3 2 2" xfId="16265"/>
    <cellStyle name="Normal 2 5 8 3 2 2 2" xfId="26484"/>
    <cellStyle name="Normal 2 5 8 3 2 3" xfId="12687"/>
    <cellStyle name="Normal 2 5 8 3 2 4" xfId="7397"/>
    <cellStyle name="Normal 2 5 8 3 2 5" xfId="21477"/>
    <cellStyle name="Normal 2 5 8 3 3" xfId="3992"/>
    <cellStyle name="Normal 2 5 8 3 3 2" xfId="17638"/>
    <cellStyle name="Normal 2 5 8 3 3 2 2" xfId="27889"/>
    <cellStyle name="Normal 2 5 8 3 3 3" xfId="14059"/>
    <cellStyle name="Normal 2 5 8 3 3 4" xfId="8802"/>
    <cellStyle name="Normal 2 5 8 3 3 5" xfId="22882"/>
    <cellStyle name="Normal 2 5 8 3 4" xfId="6513"/>
    <cellStyle name="Normal 2 5 8 3 4 2" xfId="15597"/>
    <cellStyle name="Normal 2 5 8 3 4 3" xfId="25601"/>
    <cellStyle name="Normal 2 5 8 3 5" xfId="10256"/>
    <cellStyle name="Normal 2 5 8 3 5 2" xfId="19083"/>
    <cellStyle name="Normal 2 5 8 3 5 3" xfId="29334"/>
    <cellStyle name="Normal 2 5 8 3 6" xfId="11702"/>
    <cellStyle name="Normal 2 5 8 3 6 2" xfId="24083"/>
    <cellStyle name="Normal 2 5 8 3 7" xfId="4991"/>
    <cellStyle name="Normal 2 5 8 3 8" xfId="20594"/>
    <cellStyle name="Normal 2 5 8 4" xfId="1650"/>
    <cellStyle name="Normal 2 5 8 4 2" xfId="3247"/>
    <cellStyle name="Normal 2 5 8 4 2 2" xfId="16803"/>
    <cellStyle name="Normal 2 5 8 4 2 2 2" xfId="27022"/>
    <cellStyle name="Normal 2 5 8 4 2 3" xfId="13224"/>
    <cellStyle name="Normal 2 5 8 4 2 4" xfId="7935"/>
    <cellStyle name="Normal 2 5 8 4 2 5" xfId="22015"/>
    <cellStyle name="Normal 2 5 8 4 3" xfId="4316"/>
    <cellStyle name="Normal 2 5 8 4 3 2" xfId="18167"/>
    <cellStyle name="Normal 2 5 8 4 3 2 2" xfId="28418"/>
    <cellStyle name="Normal 2 5 8 4 3 3" xfId="14588"/>
    <cellStyle name="Normal 2 5 8 4 3 4" xfId="9331"/>
    <cellStyle name="Normal 2 5 8 4 3 5" xfId="23411"/>
    <cellStyle name="Normal 2 5 8 4 4" xfId="6023"/>
    <cellStyle name="Normal 2 5 8 4 4 2" xfId="15109"/>
    <cellStyle name="Normal 2 5 8 4 4 3" xfId="25113"/>
    <cellStyle name="Normal 2 5 8 4 5" xfId="10785"/>
    <cellStyle name="Normal 2 5 8 4 5 2" xfId="19612"/>
    <cellStyle name="Normal 2 5 8 4 5 3" xfId="29863"/>
    <cellStyle name="Normal 2 5 8 4 6" xfId="12231"/>
    <cellStyle name="Normal 2 5 8 4 6 2" xfId="24621"/>
    <cellStyle name="Normal 2 5 8 4 7" xfId="5529"/>
    <cellStyle name="Normal 2 5 8 4 8" xfId="20106"/>
    <cellStyle name="Normal 2 5 8 5" xfId="2204"/>
    <cellStyle name="Normal 2 5 8 5 2" xfId="15952"/>
    <cellStyle name="Normal 2 5 8 5 2 2" xfId="25996"/>
    <cellStyle name="Normal 2 5 8 5 3" xfId="12479"/>
    <cellStyle name="Normal 2 5 8 5 4" xfId="6909"/>
    <cellStyle name="Normal 2 5 8 5 5" xfId="20989"/>
    <cellStyle name="Normal 2 5 8 6" xfId="3478"/>
    <cellStyle name="Normal 2 5 8 6 2" xfId="17124"/>
    <cellStyle name="Normal 2 5 8 6 2 2" xfId="27375"/>
    <cellStyle name="Normal 2 5 8 6 3" xfId="13545"/>
    <cellStyle name="Normal 2 5 8 6 4" xfId="8288"/>
    <cellStyle name="Normal 2 5 8 6 5" xfId="22368"/>
    <cellStyle name="Normal 2 5 8 7" xfId="5849"/>
    <cellStyle name="Normal 2 5 8 7 2" xfId="14935"/>
    <cellStyle name="Normal 2 5 8 7 3" xfId="24939"/>
    <cellStyle name="Normal 2 5 8 8" xfId="9742"/>
    <cellStyle name="Normal 2 5 8 8 2" xfId="18569"/>
    <cellStyle name="Normal 2 5 8 8 3" xfId="28820"/>
    <cellStyle name="Normal 2 5 8 9" xfId="11186"/>
    <cellStyle name="Normal 2 5 8 9 2" xfId="23595"/>
    <cellStyle name="Normal 2 5 8_Degree data" xfId="1197"/>
    <cellStyle name="Normal 2 5 9" xfId="299"/>
    <cellStyle name="Normal 2 5 9 10" xfId="19771"/>
    <cellStyle name="Normal 2 5 9 2" xfId="638"/>
    <cellStyle name="Normal 2 5 9 2 2" xfId="2371"/>
    <cellStyle name="Normal 2 5 9 2 2 2" xfId="16266"/>
    <cellStyle name="Normal 2 5 9 2 2 2 2" xfId="26485"/>
    <cellStyle name="Normal 2 5 9 2 2 3" xfId="12688"/>
    <cellStyle name="Normal 2 5 9 2 2 4" xfId="7398"/>
    <cellStyle name="Normal 2 5 9 2 2 5" xfId="21478"/>
    <cellStyle name="Normal 2 5 9 2 3" xfId="3644"/>
    <cellStyle name="Normal 2 5 9 2 3 2" xfId="17291"/>
    <cellStyle name="Normal 2 5 9 2 3 2 2" xfId="27542"/>
    <cellStyle name="Normal 2 5 9 2 3 3" xfId="13712"/>
    <cellStyle name="Normal 2 5 9 2 3 4" xfId="8455"/>
    <cellStyle name="Normal 2 5 9 2 3 5" xfId="22535"/>
    <cellStyle name="Normal 2 5 9 2 4" xfId="6514"/>
    <cellStyle name="Normal 2 5 9 2 4 2" xfId="15598"/>
    <cellStyle name="Normal 2 5 9 2 4 3" xfId="25602"/>
    <cellStyle name="Normal 2 5 9 2 5" xfId="9909"/>
    <cellStyle name="Normal 2 5 9 2 5 2" xfId="18736"/>
    <cellStyle name="Normal 2 5 9 2 5 3" xfId="28987"/>
    <cellStyle name="Normal 2 5 9 2 6" xfId="11353"/>
    <cellStyle name="Normal 2 5 9 2 6 2" xfId="24084"/>
    <cellStyle name="Normal 2 5 9 2 7" xfId="4992"/>
    <cellStyle name="Normal 2 5 9 2 8" xfId="20595"/>
    <cellStyle name="Normal 2 5 9 3" xfId="997"/>
    <cellStyle name="Normal 2 5 9 3 2" xfId="2719"/>
    <cellStyle name="Normal 2 5 9 3 2 2" xfId="16642"/>
    <cellStyle name="Normal 2 5 9 3 2 2 2" xfId="26861"/>
    <cellStyle name="Normal 2 5 9 3 2 3" xfId="13063"/>
    <cellStyle name="Normal 2 5 9 3 2 4" xfId="7774"/>
    <cellStyle name="Normal 2 5 9 3 2 5" xfId="21854"/>
    <cellStyle name="Normal 2 5 9 3 3" xfId="3993"/>
    <cellStyle name="Normal 2 5 9 3 3 2" xfId="17639"/>
    <cellStyle name="Normal 2 5 9 3 3 2 2" xfId="27890"/>
    <cellStyle name="Normal 2 5 9 3 3 3" xfId="14060"/>
    <cellStyle name="Normal 2 5 9 3 3 4" xfId="8803"/>
    <cellStyle name="Normal 2 5 9 3 3 5" xfId="22883"/>
    <cellStyle name="Normal 2 5 9 3 4" xfId="6181"/>
    <cellStyle name="Normal 2 5 9 3 4 2" xfId="15265"/>
    <cellStyle name="Normal 2 5 9 3 4 3" xfId="25269"/>
    <cellStyle name="Normal 2 5 9 3 5" xfId="10257"/>
    <cellStyle name="Normal 2 5 9 3 5 2" xfId="19084"/>
    <cellStyle name="Normal 2 5 9 3 5 3" xfId="29335"/>
    <cellStyle name="Normal 2 5 9 3 6" xfId="11703"/>
    <cellStyle name="Normal 2 5 9 3 6 2" xfId="24460"/>
    <cellStyle name="Normal 2 5 9 3 7" xfId="5368"/>
    <cellStyle name="Normal 2 5 9 3 8" xfId="20262"/>
    <cellStyle name="Normal 2 5 9 4" xfId="1486"/>
    <cellStyle name="Normal 2 5 9 4 2" xfId="3086"/>
    <cellStyle name="Normal 2 5 9 4 2 2" xfId="18006"/>
    <cellStyle name="Normal 2 5 9 4 2 2 2" xfId="28257"/>
    <cellStyle name="Normal 2 5 9 4 2 3" xfId="14427"/>
    <cellStyle name="Normal 2 5 9 4 2 4" xfId="9170"/>
    <cellStyle name="Normal 2 5 9 4 2 5" xfId="23250"/>
    <cellStyle name="Normal 2 5 9 4 3" xfId="10624"/>
    <cellStyle name="Normal 2 5 9 4 3 2" xfId="19451"/>
    <cellStyle name="Normal 2 5 9 4 3 3" xfId="29702"/>
    <cellStyle name="Normal 2 5 9 4 4" xfId="12070"/>
    <cellStyle name="Normal 2 5 9 4 4 2" xfId="26152"/>
    <cellStyle name="Normal 2 5 9 4 5" xfId="7065"/>
    <cellStyle name="Normal 2 5 9 4 6" xfId="21145"/>
    <cellStyle name="Normal 2 5 9 5" xfId="2043"/>
    <cellStyle name="Normal 2 5 9 5 2" xfId="16963"/>
    <cellStyle name="Normal 2 5 9 5 2 2" xfId="27214"/>
    <cellStyle name="Normal 2 5 9 5 3" xfId="13384"/>
    <cellStyle name="Normal 2 5 9 5 4" xfId="8127"/>
    <cellStyle name="Normal 2 5 9 5 5" xfId="22207"/>
    <cellStyle name="Normal 2 5 9 6" xfId="5688"/>
    <cellStyle name="Normal 2 5 9 6 2" xfId="14774"/>
    <cellStyle name="Normal 2 5 9 6 3" xfId="24778"/>
    <cellStyle name="Normal 2 5 9 7" xfId="9581"/>
    <cellStyle name="Normal 2 5 9 7 2" xfId="18408"/>
    <cellStyle name="Normal 2 5 9 7 3" xfId="28659"/>
    <cellStyle name="Normal 2 5 9 8" xfId="11025"/>
    <cellStyle name="Normal 2 5 9 8 2" xfId="23751"/>
    <cellStyle name="Normal 2 5 9 9" xfId="4659"/>
    <cellStyle name="Normal 2 5 9_Degree data" xfId="1196"/>
    <cellStyle name="Normal 2 5_Degree data" xfId="1538"/>
    <cellStyle name="Normal 2 6" xfId="467"/>
    <cellStyle name="Normal 2 6 2" xfId="639"/>
    <cellStyle name="Normal 2 6 3" xfId="3298"/>
    <cellStyle name="Normal 2 6_Degree data" xfId="1195"/>
    <cellStyle name="Normal 2 7" xfId="3330"/>
    <cellStyle name="Normal 20" xfId="33"/>
    <cellStyle name="Normal 21" xfId="34"/>
    <cellStyle name="Normal 22" xfId="35"/>
    <cellStyle name="Normal 23" xfId="36"/>
    <cellStyle name="Normal 24" xfId="105"/>
    <cellStyle name="Normal 25" xfId="37"/>
    <cellStyle name="Normal 26" xfId="38"/>
    <cellStyle name="Normal 27" xfId="10"/>
    <cellStyle name="Normal 28" xfId="11"/>
    <cellStyle name="Normal 29" xfId="12"/>
    <cellStyle name="Normal 3" xfId="66"/>
    <cellStyle name="Normal 3 10" xfId="19625"/>
    <cellStyle name="Normal 3 2" xfId="119"/>
    <cellStyle name="Normal 3 2 2" xfId="470"/>
    <cellStyle name="Normal 3 2 2 10" xfId="4507"/>
    <cellStyle name="Normal 3 2 2 11" xfId="19936"/>
    <cellStyle name="Normal 3 2 2 2" xfId="640"/>
    <cellStyle name="Normal 3 2 2 2 2" xfId="2372"/>
    <cellStyle name="Normal 3 2 2 2 2 2" xfId="16099"/>
    <cellStyle name="Normal 3 2 2 2 2 2 2" xfId="26317"/>
    <cellStyle name="Normal 3 2 2 2 2 3" xfId="12521"/>
    <cellStyle name="Normal 3 2 2 2 2 4" xfId="7230"/>
    <cellStyle name="Normal 3 2 2 2 2 5" xfId="21310"/>
    <cellStyle name="Normal 3 2 2 2 3" xfId="3645"/>
    <cellStyle name="Normal 3 2 2 2 3 2" xfId="17292"/>
    <cellStyle name="Normal 3 2 2 2 3 2 2" xfId="27543"/>
    <cellStyle name="Normal 3 2 2 2 3 3" xfId="13713"/>
    <cellStyle name="Normal 3 2 2 2 3 4" xfId="8456"/>
    <cellStyle name="Normal 3 2 2 2 3 5" xfId="22536"/>
    <cellStyle name="Normal 3 2 2 2 4" xfId="6346"/>
    <cellStyle name="Normal 3 2 2 2 4 2" xfId="15430"/>
    <cellStyle name="Normal 3 2 2 2 4 3" xfId="25434"/>
    <cellStyle name="Normal 3 2 2 2 5" xfId="9910"/>
    <cellStyle name="Normal 3 2 2 2 5 2" xfId="18737"/>
    <cellStyle name="Normal 3 2 2 2 5 3" xfId="28988"/>
    <cellStyle name="Normal 3 2 2 2 6" xfId="11355"/>
    <cellStyle name="Normal 3 2 2 2 6 2" xfId="23916"/>
    <cellStyle name="Normal 3 2 2 2 7" xfId="4824"/>
    <cellStyle name="Normal 3 2 2 2 8" xfId="20427"/>
    <cellStyle name="Normal 3 2 2 3" xfId="998"/>
    <cellStyle name="Normal 3 2 2 3 2" xfId="2720"/>
    <cellStyle name="Normal 3 2 2 3 2 2" xfId="16267"/>
    <cellStyle name="Normal 3 2 2 3 2 2 2" xfId="26486"/>
    <cellStyle name="Normal 3 2 2 3 2 3" xfId="12689"/>
    <cellStyle name="Normal 3 2 2 3 2 4" xfId="7399"/>
    <cellStyle name="Normal 3 2 2 3 2 5" xfId="21479"/>
    <cellStyle name="Normal 3 2 2 3 3" xfId="3994"/>
    <cellStyle name="Normal 3 2 2 3 3 2" xfId="17640"/>
    <cellStyle name="Normal 3 2 2 3 3 2 2" xfId="27891"/>
    <cellStyle name="Normal 3 2 2 3 3 3" xfId="14061"/>
    <cellStyle name="Normal 3 2 2 3 3 4" xfId="8804"/>
    <cellStyle name="Normal 3 2 2 3 3 5" xfId="22884"/>
    <cellStyle name="Normal 3 2 2 3 4" xfId="6515"/>
    <cellStyle name="Normal 3 2 2 3 4 2" xfId="15599"/>
    <cellStyle name="Normal 3 2 2 3 4 3" xfId="25603"/>
    <cellStyle name="Normal 3 2 2 3 5" xfId="10258"/>
    <cellStyle name="Normal 3 2 2 3 5 2" xfId="19085"/>
    <cellStyle name="Normal 3 2 2 3 5 3" xfId="29336"/>
    <cellStyle name="Normal 3 2 2 3 6" xfId="11704"/>
    <cellStyle name="Normal 3 2 2 3 6 2" xfId="24085"/>
    <cellStyle name="Normal 3 2 2 3 7" xfId="4993"/>
    <cellStyle name="Normal 3 2 2 3 8" xfId="20596"/>
    <cellStyle name="Normal 3 2 2 4" xfId="1657"/>
    <cellStyle name="Normal 3 2 2 4 2" xfId="3251"/>
    <cellStyle name="Normal 3 2 2 4 2 2" xfId="16807"/>
    <cellStyle name="Normal 3 2 2 4 2 2 2" xfId="27026"/>
    <cellStyle name="Normal 3 2 2 4 2 3" xfId="13228"/>
    <cellStyle name="Normal 3 2 2 4 2 4" xfId="7939"/>
    <cellStyle name="Normal 3 2 2 4 2 5" xfId="22019"/>
    <cellStyle name="Normal 3 2 2 4 3" xfId="4320"/>
    <cellStyle name="Normal 3 2 2 4 3 2" xfId="18171"/>
    <cellStyle name="Normal 3 2 2 4 3 2 2" xfId="28422"/>
    <cellStyle name="Normal 3 2 2 4 3 3" xfId="14592"/>
    <cellStyle name="Normal 3 2 2 4 3 4" xfId="9335"/>
    <cellStyle name="Normal 3 2 2 4 3 5" xfId="23415"/>
    <cellStyle name="Normal 3 2 2 4 4" xfId="6027"/>
    <cellStyle name="Normal 3 2 2 4 4 2" xfId="15113"/>
    <cellStyle name="Normal 3 2 2 4 4 3" xfId="25117"/>
    <cellStyle name="Normal 3 2 2 4 5" xfId="10789"/>
    <cellStyle name="Normal 3 2 2 4 5 2" xfId="19616"/>
    <cellStyle name="Normal 3 2 2 4 5 3" xfId="29867"/>
    <cellStyle name="Normal 3 2 2 4 6" xfId="12235"/>
    <cellStyle name="Normal 3 2 2 4 6 2" xfId="24625"/>
    <cellStyle name="Normal 3 2 2 4 7" xfId="5533"/>
    <cellStyle name="Normal 3 2 2 4 8" xfId="20110"/>
    <cellStyle name="Normal 3 2 2 5" xfId="2208"/>
    <cellStyle name="Normal 3 2 2 5 2" xfId="15956"/>
    <cellStyle name="Normal 3 2 2 5 2 2" xfId="26000"/>
    <cellStyle name="Normal 3 2 2 5 3" xfId="12262"/>
    <cellStyle name="Normal 3 2 2 5 4" xfId="6913"/>
    <cellStyle name="Normal 3 2 2 5 5" xfId="20993"/>
    <cellStyle name="Normal 3 2 2 6" xfId="3482"/>
    <cellStyle name="Normal 3 2 2 6 2" xfId="17128"/>
    <cellStyle name="Normal 3 2 2 6 2 2" xfId="27379"/>
    <cellStyle name="Normal 3 2 2 6 3" xfId="13549"/>
    <cellStyle name="Normal 3 2 2 6 4" xfId="8292"/>
    <cellStyle name="Normal 3 2 2 6 5" xfId="22372"/>
    <cellStyle name="Normal 3 2 2 7" xfId="5853"/>
    <cellStyle name="Normal 3 2 2 7 2" xfId="14939"/>
    <cellStyle name="Normal 3 2 2 7 3" xfId="24943"/>
    <cellStyle name="Normal 3 2 2 8" xfId="9746"/>
    <cellStyle name="Normal 3 2 2 8 2" xfId="18573"/>
    <cellStyle name="Normal 3 2 2 8 3" xfId="28824"/>
    <cellStyle name="Normal 3 2 2 9" xfId="11190"/>
    <cellStyle name="Normal 3 2 2 9 2" xfId="23599"/>
    <cellStyle name="Normal 3 2 2_Degree data" xfId="1223"/>
    <cellStyle name="Normal 3 3" xfId="96"/>
    <cellStyle name="Normal 3 4" xfId="3301"/>
    <cellStyle name="Normal 3 5" xfId="3349"/>
    <cellStyle name="Normal 3 6" xfId="3297"/>
    <cellStyle name="Normal 3 7" xfId="3309"/>
    <cellStyle name="Normal 3 8" xfId="3338"/>
    <cellStyle name="Normal 3 9" xfId="4336"/>
    <cellStyle name="Normal 30" xfId="13"/>
    <cellStyle name="Normal 31" xfId="14"/>
    <cellStyle name="Normal 32" xfId="15"/>
    <cellStyle name="Normal 33" xfId="16"/>
    <cellStyle name="Normal 34" xfId="17"/>
    <cellStyle name="Normal 35" xfId="18"/>
    <cellStyle name="Normal 36" xfId="19"/>
    <cellStyle name="Normal 37" xfId="20"/>
    <cellStyle name="Normal 38" xfId="106"/>
    <cellStyle name="Normal 39" xfId="21"/>
    <cellStyle name="Normal 4" xfId="55"/>
    <cellStyle name="Normal 4 2" xfId="125"/>
    <cellStyle name="Normal 4 2 2" xfId="469"/>
    <cellStyle name="Normal 4 3" xfId="70"/>
    <cellStyle name="Normal 4 4" xfId="464"/>
    <cellStyle name="Normal 4 4 10" xfId="4504"/>
    <cellStyle name="Normal 4 4 11" xfId="19933"/>
    <cellStyle name="Normal 4 4 2" xfId="641"/>
    <cellStyle name="Normal 4 4 2 2" xfId="2373"/>
    <cellStyle name="Normal 4 4 2 2 2" xfId="16096"/>
    <cellStyle name="Normal 4 4 2 2 2 2" xfId="26314"/>
    <cellStyle name="Normal 4 4 2 2 3" xfId="12518"/>
    <cellStyle name="Normal 4 4 2 2 4" xfId="7227"/>
    <cellStyle name="Normal 4 4 2 2 5" xfId="21307"/>
    <cellStyle name="Normal 4 4 2 3" xfId="3646"/>
    <cellStyle name="Normal 4 4 2 3 2" xfId="17293"/>
    <cellStyle name="Normal 4 4 2 3 2 2" xfId="27544"/>
    <cellStyle name="Normal 4 4 2 3 3" xfId="13714"/>
    <cellStyle name="Normal 4 4 2 3 4" xfId="8457"/>
    <cellStyle name="Normal 4 4 2 3 5" xfId="22537"/>
    <cellStyle name="Normal 4 4 2 4" xfId="6343"/>
    <cellStyle name="Normal 4 4 2 4 2" xfId="15427"/>
    <cellStyle name="Normal 4 4 2 4 3" xfId="25431"/>
    <cellStyle name="Normal 4 4 2 5" xfId="9911"/>
    <cellStyle name="Normal 4 4 2 5 2" xfId="18738"/>
    <cellStyle name="Normal 4 4 2 5 3" xfId="28989"/>
    <cellStyle name="Normal 4 4 2 6" xfId="11356"/>
    <cellStyle name="Normal 4 4 2 6 2" xfId="23913"/>
    <cellStyle name="Normal 4 4 2 7" xfId="4821"/>
    <cellStyle name="Normal 4 4 2 8" xfId="20424"/>
    <cellStyle name="Normal 4 4 3" xfId="999"/>
    <cellStyle name="Normal 4 4 3 2" xfId="2721"/>
    <cellStyle name="Normal 4 4 3 2 2" xfId="16268"/>
    <cellStyle name="Normal 4 4 3 2 2 2" xfId="26487"/>
    <cellStyle name="Normal 4 4 3 2 3" xfId="12690"/>
    <cellStyle name="Normal 4 4 3 2 4" xfId="7400"/>
    <cellStyle name="Normal 4 4 3 2 5" xfId="21480"/>
    <cellStyle name="Normal 4 4 3 3" xfId="3995"/>
    <cellStyle name="Normal 4 4 3 3 2" xfId="17641"/>
    <cellStyle name="Normal 4 4 3 3 2 2" xfId="27892"/>
    <cellStyle name="Normal 4 4 3 3 3" xfId="14062"/>
    <cellStyle name="Normal 4 4 3 3 4" xfId="8805"/>
    <cellStyle name="Normal 4 4 3 3 5" xfId="22885"/>
    <cellStyle name="Normal 4 4 3 4" xfId="6516"/>
    <cellStyle name="Normal 4 4 3 4 2" xfId="15600"/>
    <cellStyle name="Normal 4 4 3 4 3" xfId="25604"/>
    <cellStyle name="Normal 4 4 3 5" xfId="10259"/>
    <cellStyle name="Normal 4 4 3 5 2" xfId="19086"/>
    <cellStyle name="Normal 4 4 3 5 3" xfId="29337"/>
    <cellStyle name="Normal 4 4 3 6" xfId="11705"/>
    <cellStyle name="Normal 4 4 3 6 2" xfId="24086"/>
    <cellStyle name="Normal 4 4 3 7" xfId="4994"/>
    <cellStyle name="Normal 4 4 3 8" xfId="20597"/>
    <cellStyle name="Normal 4 4 4" xfId="1651"/>
    <cellStyle name="Normal 4 4 4 2" xfId="3248"/>
    <cellStyle name="Normal 4 4 4 2 2" xfId="16804"/>
    <cellStyle name="Normal 4 4 4 2 2 2" xfId="27023"/>
    <cellStyle name="Normal 4 4 4 2 3" xfId="13225"/>
    <cellStyle name="Normal 4 4 4 2 4" xfId="7936"/>
    <cellStyle name="Normal 4 4 4 2 5" xfId="22016"/>
    <cellStyle name="Normal 4 4 4 3" xfId="4317"/>
    <cellStyle name="Normal 4 4 4 3 2" xfId="18168"/>
    <cellStyle name="Normal 4 4 4 3 2 2" xfId="28419"/>
    <cellStyle name="Normal 4 4 4 3 3" xfId="14589"/>
    <cellStyle name="Normal 4 4 4 3 4" xfId="9332"/>
    <cellStyle name="Normal 4 4 4 3 5" xfId="23412"/>
    <cellStyle name="Normal 4 4 4 4" xfId="6024"/>
    <cellStyle name="Normal 4 4 4 4 2" xfId="15110"/>
    <cellStyle name="Normal 4 4 4 4 3" xfId="25114"/>
    <cellStyle name="Normal 4 4 4 5" xfId="10786"/>
    <cellStyle name="Normal 4 4 4 5 2" xfId="19613"/>
    <cellStyle name="Normal 4 4 4 5 3" xfId="29864"/>
    <cellStyle name="Normal 4 4 4 6" xfId="12232"/>
    <cellStyle name="Normal 4 4 4 6 2" xfId="24622"/>
    <cellStyle name="Normal 4 4 4 7" xfId="5530"/>
    <cellStyle name="Normal 4 4 4 8" xfId="20107"/>
    <cellStyle name="Normal 4 4 5" xfId="2205"/>
    <cellStyle name="Normal 4 4 5 2" xfId="15953"/>
    <cellStyle name="Normal 4 4 5 2 2" xfId="25997"/>
    <cellStyle name="Normal 4 4 5 3" xfId="12395"/>
    <cellStyle name="Normal 4 4 5 4" xfId="6910"/>
    <cellStyle name="Normal 4 4 5 5" xfId="20990"/>
    <cellStyle name="Normal 4 4 6" xfId="3479"/>
    <cellStyle name="Normal 4 4 6 2" xfId="17125"/>
    <cellStyle name="Normal 4 4 6 2 2" xfId="27376"/>
    <cellStyle name="Normal 4 4 6 3" xfId="13546"/>
    <cellStyle name="Normal 4 4 6 4" xfId="8289"/>
    <cellStyle name="Normal 4 4 6 5" xfId="22369"/>
    <cellStyle name="Normal 4 4 7" xfId="5850"/>
    <cellStyle name="Normal 4 4 7 2" xfId="14936"/>
    <cellStyle name="Normal 4 4 7 3" xfId="24940"/>
    <cellStyle name="Normal 4 4 8" xfId="9743"/>
    <cellStyle name="Normal 4 4 8 2" xfId="18570"/>
    <cellStyle name="Normal 4 4 8 3" xfId="28821"/>
    <cellStyle name="Normal 4 4 9" xfId="11187"/>
    <cellStyle name="Normal 4 4 9 2" xfId="23596"/>
    <cellStyle name="Normal 4 4_Degree data" xfId="1222"/>
    <cellStyle name="Normal 40" xfId="22"/>
    <cellStyle name="Normal 41" xfId="23"/>
    <cellStyle name="Normal 42" xfId="24"/>
    <cellStyle name="Normal 43" xfId="25"/>
    <cellStyle name="Normal 44" xfId="26"/>
    <cellStyle name="Normal 45" xfId="27"/>
    <cellStyle name="Normal 46" xfId="28"/>
    <cellStyle name="Normal 47" xfId="29"/>
    <cellStyle name="Normal 48" xfId="30"/>
    <cellStyle name="Normal 49" xfId="39"/>
    <cellStyle name="Normal 5" xfId="53"/>
    <cellStyle name="Normal 5 10" xfId="1000"/>
    <cellStyle name="Normal 5 10 2" xfId="2722"/>
    <cellStyle name="Normal 5 10 2 2" xfId="16464"/>
    <cellStyle name="Normal 5 10 2 2 2" xfId="26683"/>
    <cellStyle name="Normal 5 10 2 3" xfId="12886"/>
    <cellStyle name="Normal 5 10 2 4" xfId="7596"/>
    <cellStyle name="Normal 5 10 2 5" xfId="21676"/>
    <cellStyle name="Normal 5 10 3" xfId="3996"/>
    <cellStyle name="Normal 5 10 3 2" xfId="17642"/>
    <cellStyle name="Normal 5 10 3 2 2" xfId="27893"/>
    <cellStyle name="Normal 5 10 3 3" xfId="14063"/>
    <cellStyle name="Normal 5 10 3 4" xfId="8806"/>
    <cellStyle name="Normal 5 10 3 5" xfId="22886"/>
    <cellStyle name="Normal 5 10 4" xfId="6716"/>
    <cellStyle name="Normal 5 10 4 2" xfId="15799"/>
    <cellStyle name="Normal 5 10 4 3" xfId="25803"/>
    <cellStyle name="Normal 5 10 5" xfId="10260"/>
    <cellStyle name="Normal 5 10 5 2" xfId="19087"/>
    <cellStyle name="Normal 5 10 5 3" xfId="29338"/>
    <cellStyle name="Normal 5 10 6" xfId="11706"/>
    <cellStyle name="Normal 5 10 6 2" xfId="24282"/>
    <cellStyle name="Normal 5 10 7" xfId="5190"/>
    <cellStyle name="Normal 5 10 8" xfId="20796"/>
    <cellStyle name="Normal 5 11" xfId="1240"/>
    <cellStyle name="Normal 5 11 2" xfId="2908"/>
    <cellStyle name="Normal 5 11 2 2" xfId="17828"/>
    <cellStyle name="Normal 5 11 2 2 2" xfId="28079"/>
    <cellStyle name="Normal 5 11 2 3" xfId="14249"/>
    <cellStyle name="Normal 5 11 2 4" xfId="8992"/>
    <cellStyle name="Normal 5 11 2 5" xfId="23072"/>
    <cellStyle name="Normal 5 11 3" xfId="10446"/>
    <cellStyle name="Normal 5 11 3 2" xfId="19273"/>
    <cellStyle name="Normal 5 11 3 3" xfId="29524"/>
    <cellStyle name="Normal 5 11 4" xfId="11892"/>
    <cellStyle name="Normal 5 11 4 2" xfId="27029"/>
    <cellStyle name="Normal 5 11 5" xfId="7942"/>
    <cellStyle name="Normal 5 11 6" xfId="22022"/>
    <cellStyle name="Normal 5 12" xfId="1865"/>
    <cellStyle name="Normal 5 12 2" xfId="9403"/>
    <cellStyle name="Normal 5 12 2 2" xfId="18230"/>
    <cellStyle name="Normal 5 12 2 3" xfId="28481"/>
    <cellStyle name="Normal 5 12 3" xfId="10847"/>
    <cellStyle name="Normal 5 12 3 2" xfId="27033"/>
    <cellStyle name="Normal 5 12 4" xfId="7946"/>
    <cellStyle name="Normal 5 12 5" xfId="22026"/>
    <cellStyle name="Normal 5 13" xfId="1816"/>
    <cellStyle name="Normal 5 13 2" xfId="14628"/>
    <cellStyle name="Normal 5 13 3" xfId="5542"/>
    <cellStyle name="Normal 5 13 4" xfId="24632"/>
    <cellStyle name="Normal 5 14" xfId="9359"/>
    <cellStyle name="Normal 5 14 2" xfId="18186"/>
    <cellStyle name="Normal 5 14 3" xfId="28437"/>
    <cellStyle name="Normal 5 15" xfId="10797"/>
    <cellStyle name="Normal 5 16" xfId="19624"/>
    <cellStyle name="Normal 5 2" xfId="97"/>
    <cellStyle name="Normal 5 2 10" xfId="9363"/>
    <cellStyle name="Normal 5 2 10 2" xfId="18190"/>
    <cellStyle name="Normal 5 2 10 3" xfId="28441"/>
    <cellStyle name="Normal 5 2 11" xfId="10802"/>
    <cellStyle name="Normal 5 2 11 2" xfId="23440"/>
    <cellStyle name="Normal 5 2 12" xfId="4348"/>
    <cellStyle name="Normal 5 2 2" xfId="128"/>
    <cellStyle name="Normal 5 2 2 10" xfId="9394"/>
    <cellStyle name="Normal 5 2 2 10 2" xfId="18221"/>
    <cellStyle name="Normal 5 2 2 10 3" xfId="28472"/>
    <cellStyle name="Normal 5 2 2 11" xfId="10838"/>
    <cellStyle name="Normal 5 2 2 12" xfId="19659"/>
    <cellStyle name="Normal 5 2 2 2" xfId="165"/>
    <cellStyle name="Normal 5 2 2 2 10" xfId="9352"/>
    <cellStyle name="Normal 5 2 2 2 11" xfId="14608"/>
    <cellStyle name="Normal 5 2 2 2 11 2" xfId="23479"/>
    <cellStyle name="Normal 5 2 2 2 12" xfId="4387"/>
    <cellStyle name="Normal 5 2 2 2 2" xfId="242"/>
    <cellStyle name="Normal 5 2 2 2 2 10" xfId="10970"/>
    <cellStyle name="Normal 5 2 2 2 2 10 2" xfId="23583"/>
    <cellStyle name="Normal 5 2 2 2 2 11" xfId="4491"/>
    <cellStyle name="Normal 5 2 2 2 2 12" xfId="19716"/>
    <cellStyle name="Normal 5 2 2 2 2 2" xfId="451"/>
    <cellStyle name="Normal 5 2 2 2 2 2 10" xfId="19920"/>
    <cellStyle name="Normal 5 2 2 2 2 2 2" xfId="645"/>
    <cellStyle name="Normal 5 2 2 2 2 2 2 2" xfId="2377"/>
    <cellStyle name="Normal 5 2 2 2 2 2 2 2 2" xfId="16272"/>
    <cellStyle name="Normal 5 2 2 2 2 2 2 2 2 2" xfId="26491"/>
    <cellStyle name="Normal 5 2 2 2 2 2 2 2 3" xfId="12694"/>
    <cellStyle name="Normal 5 2 2 2 2 2 2 2 4" xfId="7404"/>
    <cellStyle name="Normal 5 2 2 2 2 2 2 2 5" xfId="21484"/>
    <cellStyle name="Normal 5 2 2 2 2 2 2 3" xfId="3650"/>
    <cellStyle name="Normal 5 2 2 2 2 2 2 3 2" xfId="17297"/>
    <cellStyle name="Normal 5 2 2 2 2 2 2 3 2 2" xfId="27548"/>
    <cellStyle name="Normal 5 2 2 2 2 2 2 3 3" xfId="13718"/>
    <cellStyle name="Normal 5 2 2 2 2 2 2 3 4" xfId="8461"/>
    <cellStyle name="Normal 5 2 2 2 2 2 2 3 5" xfId="22541"/>
    <cellStyle name="Normal 5 2 2 2 2 2 2 4" xfId="6520"/>
    <cellStyle name="Normal 5 2 2 2 2 2 2 4 2" xfId="15604"/>
    <cellStyle name="Normal 5 2 2 2 2 2 2 4 3" xfId="25608"/>
    <cellStyle name="Normal 5 2 2 2 2 2 2 5" xfId="9915"/>
    <cellStyle name="Normal 5 2 2 2 2 2 2 5 2" xfId="18742"/>
    <cellStyle name="Normal 5 2 2 2 2 2 2 5 3" xfId="28993"/>
    <cellStyle name="Normal 5 2 2 2 2 2 2 6" xfId="11360"/>
    <cellStyle name="Normal 5 2 2 2 2 2 2 6 2" xfId="24090"/>
    <cellStyle name="Normal 5 2 2 2 2 2 2 7" xfId="4998"/>
    <cellStyle name="Normal 5 2 2 2 2 2 2 8" xfId="20601"/>
    <cellStyle name="Normal 5 2 2 2 2 2 3" xfId="1003"/>
    <cellStyle name="Normal 5 2 2 2 2 2 3 2" xfId="2725"/>
    <cellStyle name="Normal 5 2 2 2 2 2 3 2 2" xfId="16791"/>
    <cellStyle name="Normal 5 2 2 2 2 2 3 2 2 2" xfId="27010"/>
    <cellStyle name="Normal 5 2 2 2 2 2 3 2 3" xfId="13212"/>
    <cellStyle name="Normal 5 2 2 2 2 2 3 2 4" xfId="7923"/>
    <cellStyle name="Normal 5 2 2 2 2 2 3 2 5" xfId="22003"/>
    <cellStyle name="Normal 5 2 2 2 2 2 3 3" xfId="3999"/>
    <cellStyle name="Normal 5 2 2 2 2 2 3 3 2" xfId="17645"/>
    <cellStyle name="Normal 5 2 2 2 2 2 3 3 2 2" xfId="27896"/>
    <cellStyle name="Normal 5 2 2 2 2 2 3 3 3" xfId="14066"/>
    <cellStyle name="Normal 5 2 2 2 2 2 3 3 4" xfId="8809"/>
    <cellStyle name="Normal 5 2 2 2 2 2 3 3 5" xfId="22889"/>
    <cellStyle name="Normal 5 2 2 2 2 2 3 4" xfId="6330"/>
    <cellStyle name="Normal 5 2 2 2 2 2 3 4 2" xfId="15414"/>
    <cellStyle name="Normal 5 2 2 2 2 2 3 4 3" xfId="25418"/>
    <cellStyle name="Normal 5 2 2 2 2 2 3 5" xfId="10263"/>
    <cellStyle name="Normal 5 2 2 2 2 2 3 5 2" xfId="19090"/>
    <cellStyle name="Normal 5 2 2 2 2 2 3 5 3" xfId="29341"/>
    <cellStyle name="Normal 5 2 2 2 2 2 3 6" xfId="11709"/>
    <cellStyle name="Normal 5 2 2 2 2 2 3 6 2" xfId="24609"/>
    <cellStyle name="Normal 5 2 2 2 2 2 3 7" xfId="5517"/>
    <cellStyle name="Normal 5 2 2 2 2 2 3 8" xfId="20411"/>
    <cellStyle name="Normal 5 2 2 2 2 2 4" xfId="1638"/>
    <cellStyle name="Normal 5 2 2 2 2 2 4 2" xfId="3235"/>
    <cellStyle name="Normal 5 2 2 2 2 2 4 2 2" xfId="18155"/>
    <cellStyle name="Normal 5 2 2 2 2 2 4 2 2 2" xfId="28406"/>
    <cellStyle name="Normal 5 2 2 2 2 2 4 2 3" xfId="14576"/>
    <cellStyle name="Normal 5 2 2 2 2 2 4 2 4" xfId="9319"/>
    <cellStyle name="Normal 5 2 2 2 2 2 4 2 5" xfId="23399"/>
    <cellStyle name="Normal 5 2 2 2 2 2 4 3" xfId="10773"/>
    <cellStyle name="Normal 5 2 2 2 2 2 4 3 2" xfId="19600"/>
    <cellStyle name="Normal 5 2 2 2 2 2 4 3 3" xfId="29851"/>
    <cellStyle name="Normal 5 2 2 2 2 2 4 4" xfId="12219"/>
    <cellStyle name="Normal 5 2 2 2 2 2 4 4 2" xfId="26301"/>
    <cellStyle name="Normal 5 2 2 2 2 2 4 5" xfId="7214"/>
    <cellStyle name="Normal 5 2 2 2 2 2 4 6" xfId="21294"/>
    <cellStyle name="Normal 5 2 2 2 2 2 5" xfId="2192"/>
    <cellStyle name="Normal 5 2 2 2 2 2 5 2" xfId="17112"/>
    <cellStyle name="Normal 5 2 2 2 2 2 5 2 2" xfId="27363"/>
    <cellStyle name="Normal 5 2 2 2 2 2 5 3" xfId="13533"/>
    <cellStyle name="Normal 5 2 2 2 2 2 5 4" xfId="8276"/>
    <cellStyle name="Normal 5 2 2 2 2 2 5 5" xfId="22356"/>
    <cellStyle name="Normal 5 2 2 2 2 2 6" xfId="5837"/>
    <cellStyle name="Normal 5 2 2 2 2 2 6 2" xfId="14923"/>
    <cellStyle name="Normal 5 2 2 2 2 2 6 3" xfId="24927"/>
    <cellStyle name="Normal 5 2 2 2 2 2 7" xfId="9730"/>
    <cellStyle name="Normal 5 2 2 2 2 2 7 2" xfId="18557"/>
    <cellStyle name="Normal 5 2 2 2 2 2 7 3" xfId="28808"/>
    <cellStyle name="Normal 5 2 2 2 2 2 8" xfId="11174"/>
    <cellStyle name="Normal 5 2 2 2 2 2 8 2" xfId="23900"/>
    <cellStyle name="Normal 5 2 2 2 2 2 9" xfId="4808"/>
    <cellStyle name="Normal 5 2 2 2 2 2_Degree data" xfId="1219"/>
    <cellStyle name="Normal 5 2 2 2 2 3" xfId="644"/>
    <cellStyle name="Normal 5 2 2 2 2 3 2" xfId="2376"/>
    <cellStyle name="Normal 5 2 2 2 2 3 2 2" xfId="16024"/>
    <cellStyle name="Normal 5 2 2 2 2 3 2 2 2" xfId="26097"/>
    <cellStyle name="Normal 5 2 2 2 2 3 2 3" xfId="12476"/>
    <cellStyle name="Normal 5 2 2 2 2 3 2 4" xfId="7010"/>
    <cellStyle name="Normal 5 2 2 2 2 3 2 5" xfId="21090"/>
    <cellStyle name="Normal 5 2 2 2 2 3 3" xfId="3649"/>
    <cellStyle name="Normal 5 2 2 2 2 3 3 2" xfId="17296"/>
    <cellStyle name="Normal 5 2 2 2 2 3 3 2 2" xfId="27547"/>
    <cellStyle name="Normal 5 2 2 2 2 3 3 3" xfId="13717"/>
    <cellStyle name="Normal 5 2 2 2 2 3 3 4" xfId="8460"/>
    <cellStyle name="Normal 5 2 2 2 2 3 3 5" xfId="22540"/>
    <cellStyle name="Normal 5 2 2 2 2 3 4" xfId="6126"/>
    <cellStyle name="Normal 5 2 2 2 2 3 4 2" xfId="15210"/>
    <cellStyle name="Normal 5 2 2 2 2 3 4 3" xfId="25214"/>
    <cellStyle name="Normal 5 2 2 2 2 3 5" xfId="9914"/>
    <cellStyle name="Normal 5 2 2 2 2 3 5 2" xfId="18741"/>
    <cellStyle name="Normal 5 2 2 2 2 3 5 3" xfId="28992"/>
    <cellStyle name="Normal 5 2 2 2 2 3 6" xfId="11359"/>
    <cellStyle name="Normal 5 2 2 2 2 3 6 2" xfId="23696"/>
    <cellStyle name="Normal 5 2 2 2 2 3 7" xfId="4604"/>
    <cellStyle name="Normal 5 2 2 2 2 3 8" xfId="20207"/>
    <cellStyle name="Normal 5 2 2 2 2 4" xfId="1002"/>
    <cellStyle name="Normal 5 2 2 2 2 4 2" xfId="2724"/>
    <cellStyle name="Normal 5 2 2 2 2 4 2 2" xfId="16271"/>
    <cellStyle name="Normal 5 2 2 2 2 4 2 2 2" xfId="26490"/>
    <cellStyle name="Normal 5 2 2 2 2 4 2 3" xfId="12693"/>
    <cellStyle name="Normal 5 2 2 2 2 4 2 4" xfId="7403"/>
    <cellStyle name="Normal 5 2 2 2 2 4 2 5" xfId="21483"/>
    <cellStyle name="Normal 5 2 2 2 2 4 3" xfId="3998"/>
    <cellStyle name="Normal 5 2 2 2 2 4 3 2" xfId="17644"/>
    <cellStyle name="Normal 5 2 2 2 2 4 3 2 2" xfId="27895"/>
    <cellStyle name="Normal 5 2 2 2 2 4 3 3" xfId="14065"/>
    <cellStyle name="Normal 5 2 2 2 2 4 3 4" xfId="8808"/>
    <cellStyle name="Normal 5 2 2 2 2 4 3 5" xfId="22888"/>
    <cellStyle name="Normal 5 2 2 2 2 4 4" xfId="6519"/>
    <cellStyle name="Normal 5 2 2 2 2 4 4 2" xfId="15603"/>
    <cellStyle name="Normal 5 2 2 2 2 4 4 3" xfId="25607"/>
    <cellStyle name="Normal 5 2 2 2 2 4 5" xfId="10262"/>
    <cellStyle name="Normal 5 2 2 2 2 4 5 2" xfId="19089"/>
    <cellStyle name="Normal 5 2 2 2 2 4 5 3" xfId="29340"/>
    <cellStyle name="Normal 5 2 2 2 2 4 6" xfId="11708"/>
    <cellStyle name="Normal 5 2 2 2 2 4 6 2" xfId="24089"/>
    <cellStyle name="Normal 5 2 2 2 2 4 7" xfId="4997"/>
    <cellStyle name="Normal 5 2 2 2 2 4 8" xfId="20600"/>
    <cellStyle name="Normal 5 2 2 2 2 5" xfId="1429"/>
    <cellStyle name="Normal 5 2 2 2 2 5 2" xfId="3031"/>
    <cellStyle name="Normal 5 2 2 2 2 5 2 2" xfId="16587"/>
    <cellStyle name="Normal 5 2 2 2 2 5 2 2 2" xfId="26806"/>
    <cellStyle name="Normal 5 2 2 2 2 5 2 3" xfId="13008"/>
    <cellStyle name="Normal 5 2 2 2 2 5 2 4" xfId="7719"/>
    <cellStyle name="Normal 5 2 2 2 2 5 2 5" xfId="21799"/>
    <cellStyle name="Normal 5 2 2 2 2 5 3" xfId="4245"/>
    <cellStyle name="Normal 5 2 2 2 2 5 3 2" xfId="17951"/>
    <cellStyle name="Normal 5 2 2 2 2 5 3 2 2" xfId="28202"/>
    <cellStyle name="Normal 5 2 2 2 2 5 3 3" xfId="14372"/>
    <cellStyle name="Normal 5 2 2 2 2 5 3 4" xfId="9115"/>
    <cellStyle name="Normal 5 2 2 2 2 5 3 5" xfId="23195"/>
    <cellStyle name="Normal 5 2 2 2 2 5 4" xfId="6011"/>
    <cellStyle name="Normal 5 2 2 2 2 5 4 2" xfId="15097"/>
    <cellStyle name="Normal 5 2 2 2 2 5 4 3" xfId="25101"/>
    <cellStyle name="Normal 5 2 2 2 2 5 5" xfId="10569"/>
    <cellStyle name="Normal 5 2 2 2 2 5 5 2" xfId="19396"/>
    <cellStyle name="Normal 5 2 2 2 2 5 5 3" xfId="29647"/>
    <cellStyle name="Normal 5 2 2 2 2 5 6" xfId="12015"/>
    <cellStyle name="Normal 5 2 2 2 2 5 6 2" xfId="24405"/>
    <cellStyle name="Normal 5 2 2 2 2 5 7" xfId="5313"/>
    <cellStyle name="Normal 5 2 2 2 2 5 8" xfId="20094"/>
    <cellStyle name="Normal 5 2 2 2 2 6" xfId="1988"/>
    <cellStyle name="Normal 5 2 2 2 2 6 2" xfId="15940"/>
    <cellStyle name="Normal 5 2 2 2 2 6 2 2" xfId="25984"/>
    <cellStyle name="Normal 5 2 2 2 2 6 3" xfId="12301"/>
    <cellStyle name="Normal 5 2 2 2 2 6 4" xfId="6897"/>
    <cellStyle name="Normal 5 2 2 2 2 6 5" xfId="20977"/>
    <cellStyle name="Normal 5 2 2 2 2 7" xfId="3407"/>
    <cellStyle name="Normal 5 2 2 2 2 7 2" xfId="16908"/>
    <cellStyle name="Normal 5 2 2 2 2 7 2 2" xfId="27159"/>
    <cellStyle name="Normal 5 2 2 2 2 7 3" xfId="13329"/>
    <cellStyle name="Normal 5 2 2 2 2 7 4" xfId="8072"/>
    <cellStyle name="Normal 5 2 2 2 2 7 5" xfId="22152"/>
    <cellStyle name="Normal 5 2 2 2 2 8" xfId="5633"/>
    <cellStyle name="Normal 5 2 2 2 2 8 2" xfId="14719"/>
    <cellStyle name="Normal 5 2 2 2 2 8 3" xfId="24723"/>
    <cellStyle name="Normal 5 2 2 2 2 9" xfId="9526"/>
    <cellStyle name="Normal 5 2 2 2 2 9 2" xfId="18353"/>
    <cellStyle name="Normal 5 2 2 2 2 9 3" xfId="28604"/>
    <cellStyle name="Normal 5 2 2 2 2_Degree data" xfId="1220"/>
    <cellStyle name="Normal 5 2 2 2 3" xfId="397"/>
    <cellStyle name="Normal 5 2 2 2 4" xfId="344"/>
    <cellStyle name="Normal 5 2 2 2 4 10" xfId="19816"/>
    <cellStyle name="Normal 5 2 2 2 4 2" xfId="646"/>
    <cellStyle name="Normal 5 2 2 2 4 2 2" xfId="2378"/>
    <cellStyle name="Normal 5 2 2 2 4 2 2 2" xfId="16273"/>
    <cellStyle name="Normal 5 2 2 2 4 2 2 2 2" xfId="26492"/>
    <cellStyle name="Normal 5 2 2 2 4 2 2 3" xfId="12695"/>
    <cellStyle name="Normal 5 2 2 2 4 2 2 4" xfId="7405"/>
    <cellStyle name="Normal 5 2 2 2 4 2 2 5" xfId="21485"/>
    <cellStyle name="Normal 5 2 2 2 4 2 3" xfId="3651"/>
    <cellStyle name="Normal 5 2 2 2 4 2 3 2" xfId="17298"/>
    <cellStyle name="Normal 5 2 2 2 4 2 3 2 2" xfId="27549"/>
    <cellStyle name="Normal 5 2 2 2 4 2 3 3" xfId="13719"/>
    <cellStyle name="Normal 5 2 2 2 4 2 3 4" xfId="8462"/>
    <cellStyle name="Normal 5 2 2 2 4 2 3 5" xfId="22542"/>
    <cellStyle name="Normal 5 2 2 2 4 2 4" xfId="6521"/>
    <cellStyle name="Normal 5 2 2 2 4 2 4 2" xfId="15605"/>
    <cellStyle name="Normal 5 2 2 2 4 2 4 3" xfId="25609"/>
    <cellStyle name="Normal 5 2 2 2 4 2 5" xfId="9916"/>
    <cellStyle name="Normal 5 2 2 2 4 2 5 2" xfId="18743"/>
    <cellStyle name="Normal 5 2 2 2 4 2 5 3" xfId="28994"/>
    <cellStyle name="Normal 5 2 2 2 4 2 6" xfId="11361"/>
    <cellStyle name="Normal 5 2 2 2 4 2 6 2" xfId="24091"/>
    <cellStyle name="Normal 5 2 2 2 4 2 7" xfId="4999"/>
    <cellStyle name="Normal 5 2 2 2 4 2 8" xfId="20602"/>
    <cellStyle name="Normal 5 2 2 2 4 3" xfId="1004"/>
    <cellStyle name="Normal 5 2 2 2 4 3 2" xfId="2726"/>
    <cellStyle name="Normal 5 2 2 2 4 3 2 2" xfId="16687"/>
    <cellStyle name="Normal 5 2 2 2 4 3 2 2 2" xfId="26906"/>
    <cellStyle name="Normal 5 2 2 2 4 3 2 3" xfId="13108"/>
    <cellStyle name="Normal 5 2 2 2 4 3 2 4" xfId="7819"/>
    <cellStyle name="Normal 5 2 2 2 4 3 2 5" xfId="21899"/>
    <cellStyle name="Normal 5 2 2 2 4 3 3" xfId="4000"/>
    <cellStyle name="Normal 5 2 2 2 4 3 3 2" xfId="17646"/>
    <cellStyle name="Normal 5 2 2 2 4 3 3 2 2" xfId="27897"/>
    <cellStyle name="Normal 5 2 2 2 4 3 3 3" xfId="14067"/>
    <cellStyle name="Normal 5 2 2 2 4 3 3 4" xfId="8810"/>
    <cellStyle name="Normal 5 2 2 2 4 3 3 5" xfId="22890"/>
    <cellStyle name="Normal 5 2 2 2 4 3 4" xfId="6226"/>
    <cellStyle name="Normal 5 2 2 2 4 3 4 2" xfId="15310"/>
    <cellStyle name="Normal 5 2 2 2 4 3 4 3" xfId="25314"/>
    <cellStyle name="Normal 5 2 2 2 4 3 5" xfId="10264"/>
    <cellStyle name="Normal 5 2 2 2 4 3 5 2" xfId="19091"/>
    <cellStyle name="Normal 5 2 2 2 4 3 5 3" xfId="29342"/>
    <cellStyle name="Normal 5 2 2 2 4 3 6" xfId="11710"/>
    <cellStyle name="Normal 5 2 2 2 4 3 6 2" xfId="24505"/>
    <cellStyle name="Normal 5 2 2 2 4 3 7" xfId="5413"/>
    <cellStyle name="Normal 5 2 2 2 4 3 8" xfId="20307"/>
    <cellStyle name="Normal 5 2 2 2 4 4" xfId="1531"/>
    <cellStyle name="Normal 5 2 2 2 4 4 2" xfId="3131"/>
    <cellStyle name="Normal 5 2 2 2 4 4 2 2" xfId="18051"/>
    <cellStyle name="Normal 5 2 2 2 4 4 2 2 2" xfId="28302"/>
    <cellStyle name="Normal 5 2 2 2 4 4 2 3" xfId="14472"/>
    <cellStyle name="Normal 5 2 2 2 4 4 2 4" xfId="9215"/>
    <cellStyle name="Normal 5 2 2 2 4 4 2 5" xfId="23295"/>
    <cellStyle name="Normal 5 2 2 2 4 4 3" xfId="10669"/>
    <cellStyle name="Normal 5 2 2 2 4 4 3 2" xfId="19496"/>
    <cellStyle name="Normal 5 2 2 2 4 4 3 3" xfId="29747"/>
    <cellStyle name="Normal 5 2 2 2 4 4 4" xfId="12115"/>
    <cellStyle name="Normal 5 2 2 2 4 4 4 2" xfId="26197"/>
    <cellStyle name="Normal 5 2 2 2 4 4 5" xfId="7110"/>
    <cellStyle name="Normal 5 2 2 2 4 4 6" xfId="21190"/>
    <cellStyle name="Normal 5 2 2 2 4 5" xfId="2088"/>
    <cellStyle name="Normal 5 2 2 2 4 5 2" xfId="17008"/>
    <cellStyle name="Normal 5 2 2 2 4 5 2 2" xfId="27259"/>
    <cellStyle name="Normal 5 2 2 2 4 5 3" xfId="13429"/>
    <cellStyle name="Normal 5 2 2 2 4 5 4" xfId="8172"/>
    <cellStyle name="Normal 5 2 2 2 4 5 5" xfId="22252"/>
    <cellStyle name="Normal 5 2 2 2 4 6" xfId="5733"/>
    <cellStyle name="Normal 5 2 2 2 4 6 2" xfId="14819"/>
    <cellStyle name="Normal 5 2 2 2 4 6 3" xfId="24823"/>
    <cellStyle name="Normal 5 2 2 2 4 7" xfId="9626"/>
    <cellStyle name="Normal 5 2 2 2 4 7 2" xfId="18453"/>
    <cellStyle name="Normal 5 2 2 2 4 7 3" xfId="28704"/>
    <cellStyle name="Normal 5 2 2 2 4 8" xfId="11070"/>
    <cellStyle name="Normal 5 2 2 2 4 8 2" xfId="23796"/>
    <cellStyle name="Normal 5 2 2 2 4 9" xfId="4704"/>
    <cellStyle name="Normal 5 2 2 2 4_Degree data" xfId="1218"/>
    <cellStyle name="Normal 5 2 2 2 5" xfId="1813"/>
    <cellStyle name="Normal 5 2 2 2 5 2" xfId="14993"/>
    <cellStyle name="Normal 5 2 2 2 5 2 2" xfId="24997"/>
    <cellStyle name="Normal 5 2 2 2 5 3" xfId="12455"/>
    <cellStyle name="Normal 5 2 2 2 5 4" xfId="5907"/>
    <cellStyle name="Normal 5 2 2 2 5 5" xfId="19990"/>
    <cellStyle name="Normal 5 2 2 2 6" xfId="3303"/>
    <cellStyle name="Normal 5 2 2 2 6 2" xfId="15837"/>
    <cellStyle name="Normal 5 2 2 2 6 2 2" xfId="25880"/>
    <cellStyle name="Normal 5 2 2 2 6 3" xfId="12360"/>
    <cellStyle name="Normal 5 2 2 2 6 4" xfId="6793"/>
    <cellStyle name="Normal 5 2 2 2 6 5" xfId="20873"/>
    <cellStyle name="Normal 5 2 2 2 7" xfId="5537"/>
    <cellStyle name="Normal 5 2 2 2 8" xfId="9353"/>
    <cellStyle name="Normal 5 2 2 2 9" xfId="9351"/>
    <cellStyle name="Normal 5 2 2 3" xfId="287"/>
    <cellStyle name="Normal 5 2 2 3 10" xfId="11013"/>
    <cellStyle name="Normal 5 2 2 3 10 2" xfId="23522"/>
    <cellStyle name="Normal 5 2 2 3 11" xfId="4430"/>
    <cellStyle name="Normal 5 2 2 3 12" xfId="19759"/>
    <cellStyle name="Normal 5 2 2 3 2" xfId="389"/>
    <cellStyle name="Normal 5 2 2 3 2 10" xfId="19859"/>
    <cellStyle name="Normal 5 2 2 3 2 2" xfId="648"/>
    <cellStyle name="Normal 5 2 2 3 2 2 2" xfId="2380"/>
    <cellStyle name="Normal 5 2 2 3 2 2 2 2" xfId="16275"/>
    <cellStyle name="Normal 5 2 2 3 2 2 2 2 2" xfId="26494"/>
    <cellStyle name="Normal 5 2 2 3 2 2 2 3" xfId="12697"/>
    <cellStyle name="Normal 5 2 2 3 2 2 2 4" xfId="7407"/>
    <cellStyle name="Normal 5 2 2 3 2 2 2 5" xfId="21487"/>
    <cellStyle name="Normal 5 2 2 3 2 2 3" xfId="3653"/>
    <cellStyle name="Normal 5 2 2 3 2 2 3 2" xfId="17300"/>
    <cellStyle name="Normal 5 2 2 3 2 2 3 2 2" xfId="27551"/>
    <cellStyle name="Normal 5 2 2 3 2 2 3 3" xfId="13721"/>
    <cellStyle name="Normal 5 2 2 3 2 2 3 4" xfId="8464"/>
    <cellStyle name="Normal 5 2 2 3 2 2 3 5" xfId="22544"/>
    <cellStyle name="Normal 5 2 2 3 2 2 4" xfId="6523"/>
    <cellStyle name="Normal 5 2 2 3 2 2 4 2" xfId="15607"/>
    <cellStyle name="Normal 5 2 2 3 2 2 4 3" xfId="25611"/>
    <cellStyle name="Normal 5 2 2 3 2 2 5" xfId="9918"/>
    <cellStyle name="Normal 5 2 2 3 2 2 5 2" xfId="18745"/>
    <cellStyle name="Normal 5 2 2 3 2 2 5 3" xfId="28996"/>
    <cellStyle name="Normal 5 2 2 3 2 2 6" xfId="11363"/>
    <cellStyle name="Normal 5 2 2 3 2 2 6 2" xfId="24093"/>
    <cellStyle name="Normal 5 2 2 3 2 2 7" xfId="5001"/>
    <cellStyle name="Normal 5 2 2 3 2 2 8" xfId="20604"/>
    <cellStyle name="Normal 5 2 2 3 2 3" xfId="1006"/>
    <cellStyle name="Normal 5 2 2 3 2 3 2" xfId="2728"/>
    <cellStyle name="Normal 5 2 2 3 2 3 2 2" xfId="16730"/>
    <cellStyle name="Normal 5 2 2 3 2 3 2 2 2" xfId="26949"/>
    <cellStyle name="Normal 5 2 2 3 2 3 2 3" xfId="13151"/>
    <cellStyle name="Normal 5 2 2 3 2 3 2 4" xfId="7862"/>
    <cellStyle name="Normal 5 2 2 3 2 3 2 5" xfId="21942"/>
    <cellStyle name="Normal 5 2 2 3 2 3 3" xfId="4002"/>
    <cellStyle name="Normal 5 2 2 3 2 3 3 2" xfId="17648"/>
    <cellStyle name="Normal 5 2 2 3 2 3 3 2 2" xfId="27899"/>
    <cellStyle name="Normal 5 2 2 3 2 3 3 3" xfId="14069"/>
    <cellStyle name="Normal 5 2 2 3 2 3 3 4" xfId="8812"/>
    <cellStyle name="Normal 5 2 2 3 2 3 3 5" xfId="22892"/>
    <cellStyle name="Normal 5 2 2 3 2 3 4" xfId="6269"/>
    <cellStyle name="Normal 5 2 2 3 2 3 4 2" xfId="15353"/>
    <cellStyle name="Normal 5 2 2 3 2 3 4 3" xfId="25357"/>
    <cellStyle name="Normal 5 2 2 3 2 3 5" xfId="10266"/>
    <cellStyle name="Normal 5 2 2 3 2 3 5 2" xfId="19093"/>
    <cellStyle name="Normal 5 2 2 3 2 3 5 3" xfId="29344"/>
    <cellStyle name="Normal 5 2 2 3 2 3 6" xfId="11712"/>
    <cellStyle name="Normal 5 2 2 3 2 3 6 2" xfId="24548"/>
    <cellStyle name="Normal 5 2 2 3 2 3 7" xfId="5456"/>
    <cellStyle name="Normal 5 2 2 3 2 3 8" xfId="20350"/>
    <cellStyle name="Normal 5 2 2 3 2 4" xfId="1576"/>
    <cellStyle name="Normal 5 2 2 3 2 4 2" xfId="3174"/>
    <cellStyle name="Normal 5 2 2 3 2 4 2 2" xfId="18094"/>
    <cellStyle name="Normal 5 2 2 3 2 4 2 2 2" xfId="28345"/>
    <cellStyle name="Normal 5 2 2 3 2 4 2 3" xfId="14515"/>
    <cellStyle name="Normal 5 2 2 3 2 4 2 4" xfId="9258"/>
    <cellStyle name="Normal 5 2 2 3 2 4 2 5" xfId="23338"/>
    <cellStyle name="Normal 5 2 2 3 2 4 3" xfId="10712"/>
    <cellStyle name="Normal 5 2 2 3 2 4 3 2" xfId="19539"/>
    <cellStyle name="Normal 5 2 2 3 2 4 3 3" xfId="29790"/>
    <cellStyle name="Normal 5 2 2 3 2 4 4" xfId="12158"/>
    <cellStyle name="Normal 5 2 2 3 2 4 4 2" xfId="26240"/>
    <cellStyle name="Normal 5 2 2 3 2 4 5" xfId="7153"/>
    <cellStyle name="Normal 5 2 2 3 2 4 6" xfId="21233"/>
    <cellStyle name="Normal 5 2 2 3 2 5" xfId="2131"/>
    <cellStyle name="Normal 5 2 2 3 2 5 2" xfId="17051"/>
    <cellStyle name="Normal 5 2 2 3 2 5 2 2" xfId="27302"/>
    <cellStyle name="Normal 5 2 2 3 2 5 3" xfId="13472"/>
    <cellStyle name="Normal 5 2 2 3 2 5 4" xfId="8215"/>
    <cellStyle name="Normal 5 2 2 3 2 5 5" xfId="22295"/>
    <cellStyle name="Normal 5 2 2 3 2 6" xfId="5776"/>
    <cellStyle name="Normal 5 2 2 3 2 6 2" xfId="14862"/>
    <cellStyle name="Normal 5 2 2 3 2 6 3" xfId="24866"/>
    <cellStyle name="Normal 5 2 2 3 2 7" xfId="9669"/>
    <cellStyle name="Normal 5 2 2 3 2 7 2" xfId="18496"/>
    <cellStyle name="Normal 5 2 2 3 2 7 3" xfId="28747"/>
    <cellStyle name="Normal 5 2 2 3 2 8" xfId="11113"/>
    <cellStyle name="Normal 5 2 2 3 2 8 2" xfId="23839"/>
    <cellStyle name="Normal 5 2 2 3 2 9" xfId="4747"/>
    <cellStyle name="Normal 5 2 2 3 2_Degree data" xfId="1652"/>
    <cellStyle name="Normal 5 2 2 3 3" xfId="647"/>
    <cellStyle name="Normal 5 2 2 3 3 2" xfId="2379"/>
    <cellStyle name="Normal 5 2 2 3 3 2 2" xfId="16067"/>
    <cellStyle name="Normal 5 2 2 3 3 2 2 2" xfId="26140"/>
    <cellStyle name="Normal 5 2 2 3 3 2 3" xfId="12474"/>
    <cellStyle name="Normal 5 2 2 3 3 2 4" xfId="7053"/>
    <cellStyle name="Normal 5 2 2 3 3 2 5" xfId="21133"/>
    <cellStyle name="Normal 5 2 2 3 3 3" xfId="3652"/>
    <cellStyle name="Normal 5 2 2 3 3 3 2" xfId="17299"/>
    <cellStyle name="Normal 5 2 2 3 3 3 2 2" xfId="27550"/>
    <cellStyle name="Normal 5 2 2 3 3 3 3" xfId="13720"/>
    <cellStyle name="Normal 5 2 2 3 3 3 4" xfId="8463"/>
    <cellStyle name="Normal 5 2 2 3 3 3 5" xfId="22543"/>
    <cellStyle name="Normal 5 2 2 3 3 4" xfId="6169"/>
    <cellStyle name="Normal 5 2 2 3 3 4 2" xfId="15253"/>
    <cellStyle name="Normal 5 2 2 3 3 4 3" xfId="25257"/>
    <cellStyle name="Normal 5 2 2 3 3 5" xfId="9917"/>
    <cellStyle name="Normal 5 2 2 3 3 5 2" xfId="18744"/>
    <cellStyle name="Normal 5 2 2 3 3 5 3" xfId="28995"/>
    <cellStyle name="Normal 5 2 2 3 3 6" xfId="11362"/>
    <cellStyle name="Normal 5 2 2 3 3 6 2" xfId="23739"/>
    <cellStyle name="Normal 5 2 2 3 3 7" xfId="4647"/>
    <cellStyle name="Normal 5 2 2 3 3 8" xfId="20250"/>
    <cellStyle name="Normal 5 2 2 3 4" xfId="1005"/>
    <cellStyle name="Normal 5 2 2 3 4 2" xfId="2727"/>
    <cellStyle name="Normal 5 2 2 3 4 2 2" xfId="16274"/>
    <cellStyle name="Normal 5 2 2 3 4 2 2 2" xfId="26493"/>
    <cellStyle name="Normal 5 2 2 3 4 2 3" xfId="12696"/>
    <cellStyle name="Normal 5 2 2 3 4 2 4" xfId="7406"/>
    <cellStyle name="Normal 5 2 2 3 4 2 5" xfId="21486"/>
    <cellStyle name="Normal 5 2 2 3 4 3" xfId="4001"/>
    <cellStyle name="Normal 5 2 2 3 4 3 2" xfId="17647"/>
    <cellStyle name="Normal 5 2 2 3 4 3 2 2" xfId="27898"/>
    <cellStyle name="Normal 5 2 2 3 4 3 3" xfId="14068"/>
    <cellStyle name="Normal 5 2 2 3 4 3 4" xfId="8811"/>
    <cellStyle name="Normal 5 2 2 3 4 3 5" xfId="22891"/>
    <cellStyle name="Normal 5 2 2 3 4 4" xfId="6522"/>
    <cellStyle name="Normal 5 2 2 3 4 4 2" xfId="15606"/>
    <cellStyle name="Normal 5 2 2 3 4 4 3" xfId="25610"/>
    <cellStyle name="Normal 5 2 2 3 4 5" xfId="10265"/>
    <cellStyle name="Normal 5 2 2 3 4 5 2" xfId="19092"/>
    <cellStyle name="Normal 5 2 2 3 4 5 3" xfId="29343"/>
    <cellStyle name="Normal 5 2 2 3 4 6" xfId="11711"/>
    <cellStyle name="Normal 5 2 2 3 4 6 2" xfId="24092"/>
    <cellStyle name="Normal 5 2 2 3 4 7" xfId="5000"/>
    <cellStyle name="Normal 5 2 2 3 4 8" xfId="20603"/>
    <cellStyle name="Normal 5 2 2 3 5" xfId="1474"/>
    <cellStyle name="Normal 5 2 2 3 5 2" xfId="3074"/>
    <cellStyle name="Normal 5 2 2 3 5 2 2" xfId="16630"/>
    <cellStyle name="Normal 5 2 2 3 5 2 2 2" xfId="26849"/>
    <cellStyle name="Normal 5 2 2 3 5 2 3" xfId="13051"/>
    <cellStyle name="Normal 5 2 2 3 5 2 4" xfId="7762"/>
    <cellStyle name="Normal 5 2 2 3 5 2 5" xfId="21842"/>
    <cellStyle name="Normal 5 2 2 3 5 3" xfId="4288"/>
    <cellStyle name="Normal 5 2 2 3 5 3 2" xfId="17994"/>
    <cellStyle name="Normal 5 2 2 3 5 3 2 2" xfId="28245"/>
    <cellStyle name="Normal 5 2 2 3 5 3 3" xfId="14415"/>
    <cellStyle name="Normal 5 2 2 3 5 3 4" xfId="9158"/>
    <cellStyle name="Normal 5 2 2 3 5 3 5" xfId="23238"/>
    <cellStyle name="Normal 5 2 2 3 5 4" xfId="5950"/>
    <cellStyle name="Normal 5 2 2 3 5 4 2" xfId="15036"/>
    <cellStyle name="Normal 5 2 2 3 5 4 3" xfId="25040"/>
    <cellStyle name="Normal 5 2 2 3 5 5" xfId="10612"/>
    <cellStyle name="Normal 5 2 2 3 5 5 2" xfId="19439"/>
    <cellStyle name="Normal 5 2 2 3 5 5 3" xfId="29690"/>
    <cellStyle name="Normal 5 2 2 3 5 6" xfId="12058"/>
    <cellStyle name="Normal 5 2 2 3 5 6 2" xfId="24448"/>
    <cellStyle name="Normal 5 2 2 3 5 7" xfId="5356"/>
    <cellStyle name="Normal 5 2 2 3 5 8" xfId="20033"/>
    <cellStyle name="Normal 5 2 2 3 6" xfId="2031"/>
    <cellStyle name="Normal 5 2 2 3 6 2" xfId="15879"/>
    <cellStyle name="Normal 5 2 2 3 6 2 2" xfId="25923"/>
    <cellStyle name="Normal 5 2 2 3 6 3" xfId="10827"/>
    <cellStyle name="Normal 5 2 2 3 6 4" xfId="6836"/>
    <cellStyle name="Normal 5 2 2 3 6 5" xfId="20916"/>
    <cellStyle name="Normal 5 2 2 3 7" xfId="3450"/>
    <cellStyle name="Normal 5 2 2 3 7 2" xfId="16951"/>
    <cellStyle name="Normal 5 2 2 3 7 2 2" xfId="27202"/>
    <cellStyle name="Normal 5 2 2 3 7 3" xfId="13372"/>
    <cellStyle name="Normal 5 2 2 3 7 4" xfId="8115"/>
    <cellStyle name="Normal 5 2 2 3 7 5" xfId="22195"/>
    <cellStyle name="Normal 5 2 2 3 8" xfId="5676"/>
    <cellStyle name="Normal 5 2 2 3 8 2" xfId="14762"/>
    <cellStyle name="Normal 5 2 2 3 8 3" xfId="24766"/>
    <cellStyle name="Normal 5 2 2 3 9" xfId="9569"/>
    <cellStyle name="Normal 5 2 2 3 9 2" xfId="18396"/>
    <cellStyle name="Normal 5 2 2 3 9 3" xfId="28647"/>
    <cellStyle name="Normal 5 2 2 3_Degree data" xfId="1654"/>
    <cellStyle name="Normal 5 2 2 4" xfId="177"/>
    <cellStyle name="Normal 5 2 2 4 10" xfId="20150"/>
    <cellStyle name="Normal 5 2 2 4 2" xfId="649"/>
    <cellStyle name="Normal 5 2 2 4 2 2" xfId="2381"/>
    <cellStyle name="Normal 5 2 2 4 2 2 2" xfId="16276"/>
    <cellStyle name="Normal 5 2 2 4 2 2 2 2" xfId="26495"/>
    <cellStyle name="Normal 5 2 2 4 2 2 3" xfId="12698"/>
    <cellStyle name="Normal 5 2 2 4 2 2 4" xfId="7408"/>
    <cellStyle name="Normal 5 2 2 4 2 2 5" xfId="21488"/>
    <cellStyle name="Normal 5 2 2 4 2 3" xfId="3654"/>
    <cellStyle name="Normal 5 2 2 4 2 3 2" xfId="17301"/>
    <cellStyle name="Normal 5 2 2 4 2 3 2 2" xfId="27552"/>
    <cellStyle name="Normal 5 2 2 4 2 3 3" xfId="13722"/>
    <cellStyle name="Normal 5 2 2 4 2 3 4" xfId="8465"/>
    <cellStyle name="Normal 5 2 2 4 2 3 5" xfId="22545"/>
    <cellStyle name="Normal 5 2 2 4 2 4" xfId="6524"/>
    <cellStyle name="Normal 5 2 2 4 2 4 2" xfId="15608"/>
    <cellStyle name="Normal 5 2 2 4 2 4 3" xfId="25612"/>
    <cellStyle name="Normal 5 2 2 4 2 5" xfId="9919"/>
    <cellStyle name="Normal 5 2 2 4 2 5 2" xfId="18746"/>
    <cellStyle name="Normal 5 2 2 4 2 5 3" xfId="28997"/>
    <cellStyle name="Normal 5 2 2 4 2 6" xfId="11364"/>
    <cellStyle name="Normal 5 2 2 4 2 6 2" xfId="24094"/>
    <cellStyle name="Normal 5 2 2 4 2 7" xfId="5002"/>
    <cellStyle name="Normal 5 2 2 4 2 8" xfId="20605"/>
    <cellStyle name="Normal 5 2 2 4 3" xfId="1007"/>
    <cellStyle name="Normal 5 2 2 4 3 2" xfId="2729"/>
    <cellStyle name="Normal 5 2 2 4 3 2 2" xfId="16530"/>
    <cellStyle name="Normal 5 2 2 4 3 2 2 2" xfId="26749"/>
    <cellStyle name="Normal 5 2 2 4 3 2 3" xfId="12951"/>
    <cellStyle name="Normal 5 2 2 4 3 2 4" xfId="7662"/>
    <cellStyle name="Normal 5 2 2 4 3 2 5" xfId="21742"/>
    <cellStyle name="Normal 5 2 2 4 3 3" xfId="4003"/>
    <cellStyle name="Normal 5 2 2 4 3 3 2" xfId="17649"/>
    <cellStyle name="Normal 5 2 2 4 3 3 2 2" xfId="27900"/>
    <cellStyle name="Normal 5 2 2 4 3 3 3" xfId="14070"/>
    <cellStyle name="Normal 5 2 2 4 3 3 4" xfId="8813"/>
    <cellStyle name="Normal 5 2 2 4 3 3 5" xfId="22893"/>
    <cellStyle name="Normal 5 2 2 4 3 4" xfId="6718"/>
    <cellStyle name="Normal 5 2 2 4 3 4 2" xfId="15801"/>
    <cellStyle name="Normal 5 2 2 4 3 4 3" xfId="25805"/>
    <cellStyle name="Normal 5 2 2 4 3 5" xfId="10267"/>
    <cellStyle name="Normal 5 2 2 4 3 5 2" xfId="19094"/>
    <cellStyle name="Normal 5 2 2 4 3 5 3" xfId="29345"/>
    <cellStyle name="Normal 5 2 2 4 3 6" xfId="11713"/>
    <cellStyle name="Normal 5 2 2 4 3 6 2" xfId="24348"/>
    <cellStyle name="Normal 5 2 2 4 3 7" xfId="5256"/>
    <cellStyle name="Normal 5 2 2 4 3 8" xfId="20798"/>
    <cellStyle name="Normal 5 2 2 4 4" xfId="1364"/>
    <cellStyle name="Normal 5 2 2 4 4 2" xfId="2974"/>
    <cellStyle name="Normal 5 2 2 4 4 2 2" xfId="17894"/>
    <cellStyle name="Normal 5 2 2 4 4 2 2 2" xfId="28145"/>
    <cellStyle name="Normal 5 2 2 4 4 2 3" xfId="14315"/>
    <cellStyle name="Normal 5 2 2 4 4 2 4" xfId="9058"/>
    <cellStyle name="Normal 5 2 2 4 4 2 5" xfId="23138"/>
    <cellStyle name="Normal 5 2 2 4 4 3" xfId="10512"/>
    <cellStyle name="Normal 5 2 2 4 4 3 2" xfId="19339"/>
    <cellStyle name="Normal 5 2 2 4 4 3 3" xfId="29590"/>
    <cellStyle name="Normal 5 2 2 4 4 4" xfId="11958"/>
    <cellStyle name="Normal 5 2 2 4 4 4 2" xfId="26040"/>
    <cellStyle name="Normal 5 2 2 4 4 5" xfId="6953"/>
    <cellStyle name="Normal 5 2 2 4 4 6" xfId="21033"/>
    <cellStyle name="Normal 5 2 2 4 5" xfId="1931"/>
    <cellStyle name="Normal 5 2 2 4 5 2" xfId="16849"/>
    <cellStyle name="Normal 5 2 2 4 5 2 2" xfId="27100"/>
    <cellStyle name="Normal 5 2 2 4 5 3" xfId="13270"/>
    <cellStyle name="Normal 5 2 2 4 5 4" xfId="8013"/>
    <cellStyle name="Normal 5 2 2 4 5 5" xfId="22093"/>
    <cellStyle name="Normal 5 2 2 4 6" xfId="6069"/>
    <cellStyle name="Normal 5 2 2 4 6 2" xfId="15153"/>
    <cellStyle name="Normal 5 2 2 4 6 3" xfId="25157"/>
    <cellStyle name="Normal 5 2 2 4 7" xfId="9469"/>
    <cellStyle name="Normal 5 2 2 4 7 2" xfId="18296"/>
    <cellStyle name="Normal 5 2 2 4 7 3" xfId="28547"/>
    <cellStyle name="Normal 5 2 2 4 8" xfId="10913"/>
    <cellStyle name="Normal 5 2 2 4 8 2" xfId="23639"/>
    <cellStyle name="Normal 5 2 2 4 9" xfId="4547"/>
    <cellStyle name="Normal 5 2 2 4_Degree data" xfId="1274"/>
    <cellStyle name="Normal 5 2 2 5" xfId="643"/>
    <cellStyle name="Normal 5 2 2 5 2" xfId="2375"/>
    <cellStyle name="Normal 5 2 2 5 2 2" xfId="16270"/>
    <cellStyle name="Normal 5 2 2 5 2 2 2" xfId="26489"/>
    <cellStyle name="Normal 5 2 2 5 2 3" xfId="12692"/>
    <cellStyle name="Normal 5 2 2 5 2 4" xfId="7402"/>
    <cellStyle name="Normal 5 2 2 5 2 5" xfId="21482"/>
    <cellStyle name="Normal 5 2 2 5 3" xfId="3648"/>
    <cellStyle name="Normal 5 2 2 5 3 2" xfId="17295"/>
    <cellStyle name="Normal 5 2 2 5 3 2 2" xfId="27546"/>
    <cellStyle name="Normal 5 2 2 5 3 3" xfId="13716"/>
    <cellStyle name="Normal 5 2 2 5 3 4" xfId="8459"/>
    <cellStyle name="Normal 5 2 2 5 3 5" xfId="22539"/>
    <cellStyle name="Normal 5 2 2 5 4" xfId="6518"/>
    <cellStyle name="Normal 5 2 2 5 4 2" xfId="15602"/>
    <cellStyle name="Normal 5 2 2 5 4 3" xfId="25606"/>
    <cellStyle name="Normal 5 2 2 5 5" xfId="9913"/>
    <cellStyle name="Normal 5 2 2 5 5 2" xfId="18740"/>
    <cellStyle name="Normal 5 2 2 5 5 3" xfId="28991"/>
    <cellStyle name="Normal 5 2 2 5 6" xfId="11358"/>
    <cellStyle name="Normal 5 2 2 5 6 2" xfId="24088"/>
    <cellStyle name="Normal 5 2 2 5 7" xfId="4996"/>
    <cellStyle name="Normal 5 2 2 5 8" xfId="20599"/>
    <cellStyle name="Normal 5 2 2 6" xfId="1001"/>
    <cellStyle name="Normal 5 2 2 6 2" xfId="2723"/>
    <cellStyle name="Normal 5 2 2 6 2 2" xfId="16485"/>
    <cellStyle name="Normal 5 2 2 6 2 2 2" xfId="26704"/>
    <cellStyle name="Normal 5 2 2 6 2 3" xfId="12907"/>
    <cellStyle name="Normal 5 2 2 6 2 4" xfId="7617"/>
    <cellStyle name="Normal 5 2 2 6 2 5" xfId="21697"/>
    <cellStyle name="Normal 5 2 2 6 3" xfId="3997"/>
    <cellStyle name="Normal 5 2 2 6 3 2" xfId="17643"/>
    <cellStyle name="Normal 5 2 2 6 3 2 2" xfId="27894"/>
    <cellStyle name="Normal 5 2 2 6 3 3" xfId="14064"/>
    <cellStyle name="Normal 5 2 2 6 3 4" xfId="8807"/>
    <cellStyle name="Normal 5 2 2 6 3 5" xfId="22887"/>
    <cellStyle name="Normal 5 2 2 6 4" xfId="6726"/>
    <cellStyle name="Normal 5 2 2 6 4 2" xfId="15809"/>
    <cellStyle name="Normal 5 2 2 6 4 3" xfId="25813"/>
    <cellStyle name="Normal 5 2 2 6 5" xfId="10261"/>
    <cellStyle name="Normal 5 2 2 6 5 2" xfId="19088"/>
    <cellStyle name="Normal 5 2 2 6 5 3" xfId="29339"/>
    <cellStyle name="Normal 5 2 2 6 6" xfId="11707"/>
    <cellStyle name="Normal 5 2 2 6 6 2" xfId="24303"/>
    <cellStyle name="Normal 5 2 2 6 7" xfId="5211"/>
    <cellStyle name="Normal 5 2 2 6 8" xfId="20806"/>
    <cellStyle name="Normal 5 2 2 7" xfId="1315"/>
    <cellStyle name="Normal 5 2 2 7 2" xfId="2929"/>
    <cellStyle name="Normal 5 2 2 7 2 2" xfId="17849"/>
    <cellStyle name="Normal 5 2 2 7 2 2 2" xfId="28100"/>
    <cellStyle name="Normal 5 2 2 7 2 3" xfId="14270"/>
    <cellStyle name="Normal 5 2 2 7 2 4" xfId="9013"/>
    <cellStyle name="Normal 5 2 2 7 2 5" xfId="23093"/>
    <cellStyle name="Normal 5 2 2 7 3" xfId="10467"/>
    <cellStyle name="Normal 5 2 2 7 3 2" xfId="19294"/>
    <cellStyle name="Normal 5 2 2 7 3 3" xfId="29545"/>
    <cellStyle name="Normal 5 2 2 7 4" xfId="11913"/>
    <cellStyle name="Normal 5 2 2 7 4 2" xfId="25849"/>
    <cellStyle name="Normal 5 2 2 7 5" xfId="6762"/>
    <cellStyle name="Normal 5 2 2 7 6" xfId="20842"/>
    <cellStyle name="Normal 5 2 2 8" xfId="1886"/>
    <cellStyle name="Normal 5 2 2 8 2" xfId="9424"/>
    <cellStyle name="Normal 5 2 2 8 2 2" xfId="18251"/>
    <cellStyle name="Normal 5 2 2 8 2 3" xfId="28502"/>
    <cellStyle name="Normal 5 2 2 8 3" xfId="10868"/>
    <cellStyle name="Normal 5 2 2 8 3 2" xfId="27055"/>
    <cellStyle name="Normal 5 2 2 8 4" xfId="7968"/>
    <cellStyle name="Normal 5 2 2 8 5" xfId="22048"/>
    <cellStyle name="Normal 5 2 2 9" xfId="1856"/>
    <cellStyle name="Normal 5 2 2 9 2" xfId="14662"/>
    <cellStyle name="Normal 5 2 2 9 3" xfId="5576"/>
    <cellStyle name="Normal 5 2 2 9 4" xfId="24666"/>
    <cellStyle name="Normal 5 2 2_Degree data" xfId="1221"/>
    <cellStyle name="Normal 5 2 3" xfId="278"/>
    <cellStyle name="Normal 5 2 4" xfId="259"/>
    <cellStyle name="Normal 5 2 4 10" xfId="10986"/>
    <cellStyle name="Normal 5 2 4 10 2" xfId="23495"/>
    <cellStyle name="Normal 5 2 4 11" xfId="4403"/>
    <cellStyle name="Normal 5 2 4 12" xfId="19732"/>
    <cellStyle name="Normal 5 2 4 2" xfId="361"/>
    <cellStyle name="Normal 5 2 4 2 10" xfId="19832"/>
    <cellStyle name="Normal 5 2 4 2 2" xfId="651"/>
    <cellStyle name="Normal 5 2 4 2 2 2" xfId="2383"/>
    <cellStyle name="Normal 5 2 4 2 2 2 2" xfId="16278"/>
    <cellStyle name="Normal 5 2 4 2 2 2 2 2" xfId="26497"/>
    <cellStyle name="Normal 5 2 4 2 2 2 3" xfId="12700"/>
    <cellStyle name="Normal 5 2 4 2 2 2 4" xfId="7410"/>
    <cellStyle name="Normal 5 2 4 2 2 2 5" xfId="21490"/>
    <cellStyle name="Normal 5 2 4 2 2 3" xfId="3656"/>
    <cellStyle name="Normal 5 2 4 2 2 3 2" xfId="17303"/>
    <cellStyle name="Normal 5 2 4 2 2 3 2 2" xfId="27554"/>
    <cellStyle name="Normal 5 2 4 2 2 3 3" xfId="13724"/>
    <cellStyle name="Normal 5 2 4 2 2 3 4" xfId="8467"/>
    <cellStyle name="Normal 5 2 4 2 2 3 5" xfId="22547"/>
    <cellStyle name="Normal 5 2 4 2 2 4" xfId="6526"/>
    <cellStyle name="Normal 5 2 4 2 2 4 2" xfId="15610"/>
    <cellStyle name="Normal 5 2 4 2 2 4 3" xfId="25614"/>
    <cellStyle name="Normal 5 2 4 2 2 5" xfId="9921"/>
    <cellStyle name="Normal 5 2 4 2 2 5 2" xfId="18748"/>
    <cellStyle name="Normal 5 2 4 2 2 5 3" xfId="28999"/>
    <cellStyle name="Normal 5 2 4 2 2 6" xfId="11366"/>
    <cellStyle name="Normal 5 2 4 2 2 6 2" xfId="24096"/>
    <cellStyle name="Normal 5 2 4 2 2 7" xfId="5004"/>
    <cellStyle name="Normal 5 2 4 2 2 8" xfId="20607"/>
    <cellStyle name="Normal 5 2 4 2 3" xfId="1009"/>
    <cellStyle name="Normal 5 2 4 2 3 2" xfId="2731"/>
    <cellStyle name="Normal 5 2 4 2 3 2 2" xfId="16703"/>
    <cellStyle name="Normal 5 2 4 2 3 2 2 2" xfId="26922"/>
    <cellStyle name="Normal 5 2 4 2 3 2 3" xfId="13124"/>
    <cellStyle name="Normal 5 2 4 2 3 2 4" xfId="7835"/>
    <cellStyle name="Normal 5 2 4 2 3 2 5" xfId="21915"/>
    <cellStyle name="Normal 5 2 4 2 3 3" xfId="4005"/>
    <cellStyle name="Normal 5 2 4 2 3 3 2" xfId="17651"/>
    <cellStyle name="Normal 5 2 4 2 3 3 2 2" xfId="27902"/>
    <cellStyle name="Normal 5 2 4 2 3 3 3" xfId="14072"/>
    <cellStyle name="Normal 5 2 4 2 3 3 4" xfId="8815"/>
    <cellStyle name="Normal 5 2 4 2 3 3 5" xfId="22895"/>
    <cellStyle name="Normal 5 2 4 2 3 4" xfId="6242"/>
    <cellStyle name="Normal 5 2 4 2 3 4 2" xfId="15326"/>
    <cellStyle name="Normal 5 2 4 2 3 4 3" xfId="25330"/>
    <cellStyle name="Normal 5 2 4 2 3 5" xfId="10269"/>
    <cellStyle name="Normal 5 2 4 2 3 5 2" xfId="19096"/>
    <cellStyle name="Normal 5 2 4 2 3 5 3" xfId="29347"/>
    <cellStyle name="Normal 5 2 4 2 3 6" xfId="11715"/>
    <cellStyle name="Normal 5 2 4 2 3 6 2" xfId="24521"/>
    <cellStyle name="Normal 5 2 4 2 3 7" xfId="5429"/>
    <cellStyle name="Normal 5 2 4 2 3 8" xfId="20323"/>
    <cellStyle name="Normal 5 2 4 2 4" xfId="1548"/>
    <cellStyle name="Normal 5 2 4 2 4 2" xfId="3147"/>
    <cellStyle name="Normal 5 2 4 2 4 2 2" xfId="18067"/>
    <cellStyle name="Normal 5 2 4 2 4 2 2 2" xfId="28318"/>
    <cellStyle name="Normal 5 2 4 2 4 2 3" xfId="14488"/>
    <cellStyle name="Normal 5 2 4 2 4 2 4" xfId="9231"/>
    <cellStyle name="Normal 5 2 4 2 4 2 5" xfId="23311"/>
    <cellStyle name="Normal 5 2 4 2 4 3" xfId="10685"/>
    <cellStyle name="Normal 5 2 4 2 4 3 2" xfId="19512"/>
    <cellStyle name="Normal 5 2 4 2 4 3 3" xfId="29763"/>
    <cellStyle name="Normal 5 2 4 2 4 4" xfId="12131"/>
    <cellStyle name="Normal 5 2 4 2 4 4 2" xfId="26213"/>
    <cellStyle name="Normal 5 2 4 2 4 5" xfId="7126"/>
    <cellStyle name="Normal 5 2 4 2 4 6" xfId="21206"/>
    <cellStyle name="Normal 5 2 4 2 5" xfId="2104"/>
    <cellStyle name="Normal 5 2 4 2 5 2" xfId="17024"/>
    <cellStyle name="Normal 5 2 4 2 5 2 2" xfId="27275"/>
    <cellStyle name="Normal 5 2 4 2 5 3" xfId="13445"/>
    <cellStyle name="Normal 5 2 4 2 5 4" xfId="8188"/>
    <cellStyle name="Normal 5 2 4 2 5 5" xfId="22268"/>
    <cellStyle name="Normal 5 2 4 2 6" xfId="5749"/>
    <cellStyle name="Normal 5 2 4 2 6 2" xfId="14835"/>
    <cellStyle name="Normal 5 2 4 2 6 3" xfId="24839"/>
    <cellStyle name="Normal 5 2 4 2 7" xfId="9642"/>
    <cellStyle name="Normal 5 2 4 2 7 2" xfId="18469"/>
    <cellStyle name="Normal 5 2 4 2 7 3" xfId="28720"/>
    <cellStyle name="Normal 5 2 4 2 8" xfId="11086"/>
    <cellStyle name="Normal 5 2 4 2 8 2" xfId="23812"/>
    <cellStyle name="Normal 5 2 4 2 9" xfId="4720"/>
    <cellStyle name="Normal 5 2 4 2_Degree data" xfId="1265"/>
    <cellStyle name="Normal 5 2 4 3" xfId="650"/>
    <cellStyle name="Normal 5 2 4 3 2" xfId="2382"/>
    <cellStyle name="Normal 5 2 4 3 2 2" xfId="16040"/>
    <cellStyle name="Normal 5 2 4 3 2 2 2" xfId="26113"/>
    <cellStyle name="Normal 5 2 4 3 2 3" xfId="12374"/>
    <cellStyle name="Normal 5 2 4 3 2 4" xfId="7026"/>
    <cellStyle name="Normal 5 2 4 3 2 5" xfId="21106"/>
    <cellStyle name="Normal 5 2 4 3 3" xfId="3655"/>
    <cellStyle name="Normal 5 2 4 3 3 2" xfId="17302"/>
    <cellStyle name="Normal 5 2 4 3 3 2 2" xfId="27553"/>
    <cellStyle name="Normal 5 2 4 3 3 3" xfId="13723"/>
    <cellStyle name="Normal 5 2 4 3 3 4" xfId="8466"/>
    <cellStyle name="Normal 5 2 4 3 3 5" xfId="22546"/>
    <cellStyle name="Normal 5 2 4 3 4" xfId="6142"/>
    <cellStyle name="Normal 5 2 4 3 4 2" xfId="15226"/>
    <cellStyle name="Normal 5 2 4 3 4 3" xfId="25230"/>
    <cellStyle name="Normal 5 2 4 3 5" xfId="9920"/>
    <cellStyle name="Normal 5 2 4 3 5 2" xfId="18747"/>
    <cellStyle name="Normal 5 2 4 3 5 3" xfId="28998"/>
    <cellStyle name="Normal 5 2 4 3 6" xfId="11365"/>
    <cellStyle name="Normal 5 2 4 3 6 2" xfId="23712"/>
    <cellStyle name="Normal 5 2 4 3 7" xfId="4620"/>
    <cellStyle name="Normal 5 2 4 3 8" xfId="20223"/>
    <cellStyle name="Normal 5 2 4 4" xfId="1008"/>
    <cellStyle name="Normal 5 2 4 4 2" xfId="2730"/>
    <cellStyle name="Normal 5 2 4 4 2 2" xfId="16277"/>
    <cellStyle name="Normal 5 2 4 4 2 2 2" xfId="26496"/>
    <cellStyle name="Normal 5 2 4 4 2 3" xfId="12699"/>
    <cellStyle name="Normal 5 2 4 4 2 4" xfId="7409"/>
    <cellStyle name="Normal 5 2 4 4 2 5" xfId="21489"/>
    <cellStyle name="Normal 5 2 4 4 3" xfId="4004"/>
    <cellStyle name="Normal 5 2 4 4 3 2" xfId="17650"/>
    <cellStyle name="Normal 5 2 4 4 3 2 2" xfId="27901"/>
    <cellStyle name="Normal 5 2 4 4 3 3" xfId="14071"/>
    <cellStyle name="Normal 5 2 4 4 3 4" xfId="8814"/>
    <cellStyle name="Normal 5 2 4 4 3 5" xfId="22894"/>
    <cellStyle name="Normal 5 2 4 4 4" xfId="6525"/>
    <cellStyle name="Normal 5 2 4 4 4 2" xfId="15609"/>
    <cellStyle name="Normal 5 2 4 4 4 3" xfId="25613"/>
    <cellStyle name="Normal 5 2 4 4 5" xfId="10268"/>
    <cellStyle name="Normal 5 2 4 4 5 2" xfId="19095"/>
    <cellStyle name="Normal 5 2 4 4 5 3" xfId="29346"/>
    <cellStyle name="Normal 5 2 4 4 6" xfId="11714"/>
    <cellStyle name="Normal 5 2 4 4 6 2" xfId="24095"/>
    <cellStyle name="Normal 5 2 4 4 7" xfId="5003"/>
    <cellStyle name="Normal 5 2 4 4 8" xfId="20606"/>
    <cellStyle name="Normal 5 2 4 5" xfId="1446"/>
    <cellStyle name="Normal 5 2 4 5 2" xfId="3047"/>
    <cellStyle name="Normal 5 2 4 5 2 2" xfId="16603"/>
    <cellStyle name="Normal 5 2 4 5 2 2 2" xfId="26822"/>
    <cellStyle name="Normal 5 2 4 5 2 3" xfId="13024"/>
    <cellStyle name="Normal 5 2 4 5 2 4" xfId="7735"/>
    <cellStyle name="Normal 5 2 4 5 2 5" xfId="21815"/>
    <cellStyle name="Normal 5 2 4 5 3" xfId="4261"/>
    <cellStyle name="Normal 5 2 4 5 3 2" xfId="17967"/>
    <cellStyle name="Normal 5 2 4 5 3 2 2" xfId="28218"/>
    <cellStyle name="Normal 5 2 4 5 3 3" xfId="14388"/>
    <cellStyle name="Normal 5 2 4 5 3 4" xfId="9131"/>
    <cellStyle name="Normal 5 2 4 5 3 5" xfId="23211"/>
    <cellStyle name="Normal 5 2 4 5 4" xfId="5923"/>
    <cellStyle name="Normal 5 2 4 5 4 2" xfId="15009"/>
    <cellStyle name="Normal 5 2 4 5 4 3" xfId="25013"/>
    <cellStyle name="Normal 5 2 4 5 5" xfId="10585"/>
    <cellStyle name="Normal 5 2 4 5 5 2" xfId="19412"/>
    <cellStyle name="Normal 5 2 4 5 5 3" xfId="29663"/>
    <cellStyle name="Normal 5 2 4 5 6" xfId="12031"/>
    <cellStyle name="Normal 5 2 4 5 6 2" xfId="24421"/>
    <cellStyle name="Normal 5 2 4 5 7" xfId="5329"/>
    <cellStyle name="Normal 5 2 4 5 8" xfId="20006"/>
    <cellStyle name="Normal 5 2 4 6" xfId="2004"/>
    <cellStyle name="Normal 5 2 4 6 2" xfId="15852"/>
    <cellStyle name="Normal 5 2 4 6 2 2" xfId="25896"/>
    <cellStyle name="Normal 5 2 4 6 3" xfId="12412"/>
    <cellStyle name="Normal 5 2 4 6 4" xfId="6809"/>
    <cellStyle name="Normal 5 2 4 6 5" xfId="20889"/>
    <cellStyle name="Normal 5 2 4 7" xfId="3423"/>
    <cellStyle name="Normal 5 2 4 7 2" xfId="16924"/>
    <cellStyle name="Normal 5 2 4 7 2 2" xfId="27175"/>
    <cellStyle name="Normal 5 2 4 7 3" xfId="13345"/>
    <cellStyle name="Normal 5 2 4 7 4" xfId="8088"/>
    <cellStyle name="Normal 5 2 4 7 5" xfId="22168"/>
    <cellStyle name="Normal 5 2 4 8" xfId="5649"/>
    <cellStyle name="Normal 5 2 4 8 2" xfId="14735"/>
    <cellStyle name="Normal 5 2 4 8 3" xfId="24739"/>
    <cellStyle name="Normal 5 2 4 9" xfId="9542"/>
    <cellStyle name="Normal 5 2 4 9 2" xfId="18369"/>
    <cellStyle name="Normal 5 2 4 9 3" xfId="28620"/>
    <cellStyle name="Normal 5 2 4_Degree data" xfId="1266"/>
    <cellStyle name="Normal 5 2 5" xfId="199"/>
    <cellStyle name="Normal 5 2 5 10" xfId="10931"/>
    <cellStyle name="Normal 5 2 5 10 2" xfId="23545"/>
    <cellStyle name="Normal 5 2 5 11" xfId="4453"/>
    <cellStyle name="Normal 5 2 5 12" xfId="19677"/>
    <cellStyle name="Normal 5 2 5 2" xfId="413"/>
    <cellStyle name="Normal 5 2 5 2 10" xfId="19882"/>
    <cellStyle name="Normal 5 2 5 2 2" xfId="653"/>
    <cellStyle name="Normal 5 2 5 2 2 2" xfId="2385"/>
    <cellStyle name="Normal 5 2 5 2 2 2 2" xfId="16280"/>
    <cellStyle name="Normal 5 2 5 2 2 2 2 2" xfId="26499"/>
    <cellStyle name="Normal 5 2 5 2 2 2 3" xfId="12702"/>
    <cellStyle name="Normal 5 2 5 2 2 2 4" xfId="7412"/>
    <cellStyle name="Normal 5 2 5 2 2 2 5" xfId="21492"/>
    <cellStyle name="Normal 5 2 5 2 2 3" xfId="3658"/>
    <cellStyle name="Normal 5 2 5 2 2 3 2" xfId="17305"/>
    <cellStyle name="Normal 5 2 5 2 2 3 2 2" xfId="27556"/>
    <cellStyle name="Normal 5 2 5 2 2 3 3" xfId="13726"/>
    <cellStyle name="Normal 5 2 5 2 2 3 4" xfId="8469"/>
    <cellStyle name="Normal 5 2 5 2 2 3 5" xfId="22549"/>
    <cellStyle name="Normal 5 2 5 2 2 4" xfId="6528"/>
    <cellStyle name="Normal 5 2 5 2 2 4 2" xfId="15612"/>
    <cellStyle name="Normal 5 2 5 2 2 4 3" xfId="25616"/>
    <cellStyle name="Normal 5 2 5 2 2 5" xfId="9923"/>
    <cellStyle name="Normal 5 2 5 2 2 5 2" xfId="18750"/>
    <cellStyle name="Normal 5 2 5 2 2 5 3" xfId="29001"/>
    <cellStyle name="Normal 5 2 5 2 2 6" xfId="11368"/>
    <cellStyle name="Normal 5 2 5 2 2 6 2" xfId="24098"/>
    <cellStyle name="Normal 5 2 5 2 2 7" xfId="5006"/>
    <cellStyle name="Normal 5 2 5 2 2 8" xfId="20609"/>
    <cellStyle name="Normal 5 2 5 2 3" xfId="1011"/>
    <cellStyle name="Normal 5 2 5 2 3 2" xfId="2733"/>
    <cellStyle name="Normal 5 2 5 2 3 2 2" xfId="16753"/>
    <cellStyle name="Normal 5 2 5 2 3 2 2 2" xfId="26972"/>
    <cellStyle name="Normal 5 2 5 2 3 2 3" xfId="13174"/>
    <cellStyle name="Normal 5 2 5 2 3 2 4" xfId="7885"/>
    <cellStyle name="Normal 5 2 5 2 3 2 5" xfId="21965"/>
    <cellStyle name="Normal 5 2 5 2 3 3" xfId="4007"/>
    <cellStyle name="Normal 5 2 5 2 3 3 2" xfId="17653"/>
    <cellStyle name="Normal 5 2 5 2 3 3 2 2" xfId="27904"/>
    <cellStyle name="Normal 5 2 5 2 3 3 3" xfId="14074"/>
    <cellStyle name="Normal 5 2 5 2 3 3 4" xfId="8817"/>
    <cellStyle name="Normal 5 2 5 2 3 3 5" xfId="22897"/>
    <cellStyle name="Normal 5 2 5 2 3 4" xfId="6292"/>
    <cellStyle name="Normal 5 2 5 2 3 4 2" xfId="15376"/>
    <cellStyle name="Normal 5 2 5 2 3 4 3" xfId="25380"/>
    <cellStyle name="Normal 5 2 5 2 3 5" xfId="10271"/>
    <cellStyle name="Normal 5 2 5 2 3 5 2" xfId="19098"/>
    <cellStyle name="Normal 5 2 5 2 3 5 3" xfId="29349"/>
    <cellStyle name="Normal 5 2 5 2 3 6" xfId="11717"/>
    <cellStyle name="Normal 5 2 5 2 3 6 2" xfId="24571"/>
    <cellStyle name="Normal 5 2 5 2 3 7" xfId="5479"/>
    <cellStyle name="Normal 5 2 5 2 3 8" xfId="20373"/>
    <cellStyle name="Normal 5 2 5 2 4" xfId="1600"/>
    <cellStyle name="Normal 5 2 5 2 4 2" xfId="3197"/>
    <cellStyle name="Normal 5 2 5 2 4 2 2" xfId="18117"/>
    <cellStyle name="Normal 5 2 5 2 4 2 2 2" xfId="28368"/>
    <cellStyle name="Normal 5 2 5 2 4 2 3" xfId="14538"/>
    <cellStyle name="Normal 5 2 5 2 4 2 4" xfId="9281"/>
    <cellStyle name="Normal 5 2 5 2 4 2 5" xfId="23361"/>
    <cellStyle name="Normal 5 2 5 2 4 3" xfId="10735"/>
    <cellStyle name="Normal 5 2 5 2 4 3 2" xfId="19562"/>
    <cellStyle name="Normal 5 2 5 2 4 3 3" xfId="29813"/>
    <cellStyle name="Normal 5 2 5 2 4 4" xfId="12181"/>
    <cellStyle name="Normal 5 2 5 2 4 4 2" xfId="26263"/>
    <cellStyle name="Normal 5 2 5 2 4 5" xfId="7176"/>
    <cellStyle name="Normal 5 2 5 2 4 6" xfId="21256"/>
    <cellStyle name="Normal 5 2 5 2 5" xfId="2154"/>
    <cellStyle name="Normal 5 2 5 2 5 2" xfId="17074"/>
    <cellStyle name="Normal 5 2 5 2 5 2 2" xfId="27325"/>
    <cellStyle name="Normal 5 2 5 2 5 3" xfId="13495"/>
    <cellStyle name="Normal 5 2 5 2 5 4" xfId="8238"/>
    <cellStyle name="Normal 5 2 5 2 5 5" xfId="22318"/>
    <cellStyle name="Normal 5 2 5 2 6" xfId="5799"/>
    <cellStyle name="Normal 5 2 5 2 6 2" xfId="14885"/>
    <cellStyle name="Normal 5 2 5 2 6 3" xfId="24889"/>
    <cellStyle name="Normal 5 2 5 2 7" xfId="9692"/>
    <cellStyle name="Normal 5 2 5 2 7 2" xfId="18519"/>
    <cellStyle name="Normal 5 2 5 2 7 3" xfId="28770"/>
    <cellStyle name="Normal 5 2 5 2 8" xfId="11136"/>
    <cellStyle name="Normal 5 2 5 2 8 2" xfId="23862"/>
    <cellStyle name="Normal 5 2 5 2 9" xfId="4770"/>
    <cellStyle name="Normal 5 2 5 2_Degree data" xfId="1235"/>
    <cellStyle name="Normal 5 2 5 3" xfId="652"/>
    <cellStyle name="Normal 5 2 5 3 2" xfId="2384"/>
    <cellStyle name="Normal 5 2 5 3 2 2" xfId="15985"/>
    <cellStyle name="Normal 5 2 5 3 2 2 2" xfId="26058"/>
    <cellStyle name="Normal 5 2 5 3 2 3" xfId="12326"/>
    <cellStyle name="Normal 5 2 5 3 2 4" xfId="6971"/>
    <cellStyle name="Normal 5 2 5 3 2 5" xfId="21051"/>
    <cellStyle name="Normal 5 2 5 3 3" xfId="3657"/>
    <cellStyle name="Normal 5 2 5 3 3 2" xfId="17304"/>
    <cellStyle name="Normal 5 2 5 3 3 2 2" xfId="27555"/>
    <cellStyle name="Normal 5 2 5 3 3 3" xfId="13725"/>
    <cellStyle name="Normal 5 2 5 3 3 4" xfId="8468"/>
    <cellStyle name="Normal 5 2 5 3 3 5" xfId="22548"/>
    <cellStyle name="Normal 5 2 5 3 4" xfId="6087"/>
    <cellStyle name="Normal 5 2 5 3 4 2" xfId="15171"/>
    <cellStyle name="Normal 5 2 5 3 4 3" xfId="25175"/>
    <cellStyle name="Normal 5 2 5 3 5" xfId="9922"/>
    <cellStyle name="Normal 5 2 5 3 5 2" xfId="18749"/>
    <cellStyle name="Normal 5 2 5 3 5 3" xfId="29000"/>
    <cellStyle name="Normal 5 2 5 3 6" xfId="11367"/>
    <cellStyle name="Normal 5 2 5 3 6 2" xfId="23657"/>
    <cellStyle name="Normal 5 2 5 3 7" xfId="4565"/>
    <cellStyle name="Normal 5 2 5 3 8" xfId="20168"/>
    <cellStyle name="Normal 5 2 5 4" xfId="1010"/>
    <cellStyle name="Normal 5 2 5 4 2" xfId="2732"/>
    <cellStyle name="Normal 5 2 5 4 2 2" xfId="16279"/>
    <cellStyle name="Normal 5 2 5 4 2 2 2" xfId="26498"/>
    <cellStyle name="Normal 5 2 5 4 2 3" xfId="12701"/>
    <cellStyle name="Normal 5 2 5 4 2 4" xfId="7411"/>
    <cellStyle name="Normal 5 2 5 4 2 5" xfId="21491"/>
    <cellStyle name="Normal 5 2 5 4 3" xfId="4006"/>
    <cellStyle name="Normal 5 2 5 4 3 2" xfId="17652"/>
    <cellStyle name="Normal 5 2 5 4 3 2 2" xfId="27903"/>
    <cellStyle name="Normal 5 2 5 4 3 3" xfId="14073"/>
    <cellStyle name="Normal 5 2 5 4 3 4" xfId="8816"/>
    <cellStyle name="Normal 5 2 5 4 3 5" xfId="22896"/>
    <cellStyle name="Normal 5 2 5 4 4" xfId="6527"/>
    <cellStyle name="Normal 5 2 5 4 4 2" xfId="15611"/>
    <cellStyle name="Normal 5 2 5 4 4 3" xfId="25615"/>
    <cellStyle name="Normal 5 2 5 4 5" xfId="10270"/>
    <cellStyle name="Normal 5 2 5 4 5 2" xfId="19097"/>
    <cellStyle name="Normal 5 2 5 4 5 3" xfId="29348"/>
    <cellStyle name="Normal 5 2 5 4 6" xfId="11716"/>
    <cellStyle name="Normal 5 2 5 4 6 2" xfId="24097"/>
    <cellStyle name="Normal 5 2 5 4 7" xfId="5005"/>
    <cellStyle name="Normal 5 2 5 4 8" xfId="20608"/>
    <cellStyle name="Normal 5 2 5 5" xfId="1386"/>
    <cellStyle name="Normal 5 2 5 5 2" xfId="2992"/>
    <cellStyle name="Normal 5 2 5 5 2 2" xfId="16548"/>
    <cellStyle name="Normal 5 2 5 5 2 2 2" xfId="26767"/>
    <cellStyle name="Normal 5 2 5 5 2 3" xfId="12969"/>
    <cellStyle name="Normal 5 2 5 5 2 4" xfId="7680"/>
    <cellStyle name="Normal 5 2 5 5 2 5" xfId="21760"/>
    <cellStyle name="Normal 5 2 5 5 3" xfId="4206"/>
    <cellStyle name="Normal 5 2 5 5 3 2" xfId="17912"/>
    <cellStyle name="Normal 5 2 5 5 3 2 2" xfId="28163"/>
    <cellStyle name="Normal 5 2 5 5 3 3" xfId="14333"/>
    <cellStyle name="Normal 5 2 5 5 3 4" xfId="9076"/>
    <cellStyle name="Normal 5 2 5 5 3 5" xfId="23156"/>
    <cellStyle name="Normal 5 2 5 5 4" xfId="5973"/>
    <cellStyle name="Normal 5 2 5 5 4 2" xfId="15059"/>
    <cellStyle name="Normal 5 2 5 5 4 3" xfId="25063"/>
    <cellStyle name="Normal 5 2 5 5 5" xfId="10530"/>
    <cellStyle name="Normal 5 2 5 5 5 2" xfId="19357"/>
    <cellStyle name="Normal 5 2 5 5 5 3" xfId="29608"/>
    <cellStyle name="Normal 5 2 5 5 6" xfId="11976"/>
    <cellStyle name="Normal 5 2 5 5 6 2" xfId="24366"/>
    <cellStyle name="Normal 5 2 5 5 7" xfId="5274"/>
    <cellStyle name="Normal 5 2 5 5 8" xfId="20056"/>
    <cellStyle name="Normal 5 2 5 6" xfId="1949"/>
    <cellStyle name="Normal 5 2 5 6 2" xfId="15902"/>
    <cellStyle name="Normal 5 2 5 6 2 2" xfId="25946"/>
    <cellStyle name="Normal 5 2 5 6 3" xfId="12255"/>
    <cellStyle name="Normal 5 2 5 6 4" xfId="6859"/>
    <cellStyle name="Normal 5 2 5 6 5" xfId="20939"/>
    <cellStyle name="Normal 5 2 5 7" xfId="3369"/>
    <cellStyle name="Normal 5 2 5 7 2" xfId="16869"/>
    <cellStyle name="Normal 5 2 5 7 2 2" xfId="27120"/>
    <cellStyle name="Normal 5 2 5 7 3" xfId="13290"/>
    <cellStyle name="Normal 5 2 5 7 4" xfId="8033"/>
    <cellStyle name="Normal 5 2 5 7 5" xfId="22113"/>
    <cellStyle name="Normal 5 2 5 8" xfId="5594"/>
    <cellStyle name="Normal 5 2 5 8 2" xfId="14680"/>
    <cellStyle name="Normal 5 2 5 8 3" xfId="24684"/>
    <cellStyle name="Normal 5 2 5 9" xfId="9487"/>
    <cellStyle name="Normal 5 2 5 9 2" xfId="18314"/>
    <cellStyle name="Normal 5 2 5 9 3" xfId="28565"/>
    <cellStyle name="Normal 5 2 5_Degree data" xfId="1239"/>
    <cellStyle name="Normal 5 2 6" xfId="471"/>
    <cellStyle name="Normal 5 2 6 10" xfId="4508"/>
    <cellStyle name="Normal 5 2 6 11" xfId="19937"/>
    <cellStyle name="Normal 5 2 6 2" xfId="654"/>
    <cellStyle name="Normal 5 2 6 2 2" xfId="2386"/>
    <cellStyle name="Normal 5 2 6 2 2 2" xfId="16100"/>
    <cellStyle name="Normal 5 2 6 2 2 2 2" xfId="26318"/>
    <cellStyle name="Normal 5 2 6 2 2 3" xfId="12522"/>
    <cellStyle name="Normal 5 2 6 2 2 4" xfId="7231"/>
    <cellStyle name="Normal 5 2 6 2 2 5" xfId="21311"/>
    <cellStyle name="Normal 5 2 6 2 3" xfId="3659"/>
    <cellStyle name="Normal 5 2 6 2 3 2" xfId="17306"/>
    <cellStyle name="Normal 5 2 6 2 3 2 2" xfId="27557"/>
    <cellStyle name="Normal 5 2 6 2 3 3" xfId="13727"/>
    <cellStyle name="Normal 5 2 6 2 3 4" xfId="8470"/>
    <cellStyle name="Normal 5 2 6 2 3 5" xfId="22550"/>
    <cellStyle name="Normal 5 2 6 2 4" xfId="6347"/>
    <cellStyle name="Normal 5 2 6 2 4 2" xfId="15431"/>
    <cellStyle name="Normal 5 2 6 2 4 3" xfId="25435"/>
    <cellStyle name="Normal 5 2 6 2 5" xfId="9924"/>
    <cellStyle name="Normal 5 2 6 2 5 2" xfId="18751"/>
    <cellStyle name="Normal 5 2 6 2 5 3" xfId="29002"/>
    <cellStyle name="Normal 5 2 6 2 6" xfId="11369"/>
    <cellStyle name="Normal 5 2 6 2 6 2" xfId="23917"/>
    <cellStyle name="Normal 5 2 6 2 7" xfId="4825"/>
    <cellStyle name="Normal 5 2 6 2 8" xfId="20428"/>
    <cellStyle name="Normal 5 2 6 3" xfId="1012"/>
    <cellStyle name="Normal 5 2 6 3 2" xfId="2734"/>
    <cellStyle name="Normal 5 2 6 3 2 2" xfId="16281"/>
    <cellStyle name="Normal 5 2 6 3 2 2 2" xfId="26500"/>
    <cellStyle name="Normal 5 2 6 3 2 3" xfId="12703"/>
    <cellStyle name="Normal 5 2 6 3 2 4" xfId="7413"/>
    <cellStyle name="Normal 5 2 6 3 2 5" xfId="21493"/>
    <cellStyle name="Normal 5 2 6 3 3" xfId="4008"/>
    <cellStyle name="Normal 5 2 6 3 3 2" xfId="17654"/>
    <cellStyle name="Normal 5 2 6 3 3 2 2" xfId="27905"/>
    <cellStyle name="Normal 5 2 6 3 3 3" xfId="14075"/>
    <cellStyle name="Normal 5 2 6 3 3 4" xfId="8818"/>
    <cellStyle name="Normal 5 2 6 3 3 5" xfId="22898"/>
    <cellStyle name="Normal 5 2 6 3 4" xfId="6529"/>
    <cellStyle name="Normal 5 2 6 3 4 2" xfId="15613"/>
    <cellStyle name="Normal 5 2 6 3 4 3" xfId="25617"/>
    <cellStyle name="Normal 5 2 6 3 5" xfId="10272"/>
    <cellStyle name="Normal 5 2 6 3 5 2" xfId="19099"/>
    <cellStyle name="Normal 5 2 6 3 5 3" xfId="29350"/>
    <cellStyle name="Normal 5 2 6 3 6" xfId="11718"/>
    <cellStyle name="Normal 5 2 6 3 6 2" xfId="24099"/>
    <cellStyle name="Normal 5 2 6 3 7" xfId="5007"/>
    <cellStyle name="Normal 5 2 6 3 8" xfId="20610"/>
    <cellStyle name="Normal 5 2 6 4" xfId="1658"/>
    <cellStyle name="Normal 5 2 6 4 2" xfId="3252"/>
    <cellStyle name="Normal 5 2 6 4 2 2" xfId="16808"/>
    <cellStyle name="Normal 5 2 6 4 2 2 2" xfId="27027"/>
    <cellStyle name="Normal 5 2 6 4 2 3" xfId="13229"/>
    <cellStyle name="Normal 5 2 6 4 2 4" xfId="7940"/>
    <cellStyle name="Normal 5 2 6 4 2 5" xfId="22020"/>
    <cellStyle name="Normal 5 2 6 4 3" xfId="4321"/>
    <cellStyle name="Normal 5 2 6 4 3 2" xfId="18172"/>
    <cellStyle name="Normal 5 2 6 4 3 2 2" xfId="28423"/>
    <cellStyle name="Normal 5 2 6 4 3 3" xfId="14593"/>
    <cellStyle name="Normal 5 2 6 4 3 4" xfId="9336"/>
    <cellStyle name="Normal 5 2 6 4 3 5" xfId="23416"/>
    <cellStyle name="Normal 5 2 6 4 4" xfId="6028"/>
    <cellStyle name="Normal 5 2 6 4 4 2" xfId="15114"/>
    <cellStyle name="Normal 5 2 6 4 4 3" xfId="25118"/>
    <cellStyle name="Normal 5 2 6 4 5" xfId="10790"/>
    <cellStyle name="Normal 5 2 6 4 5 2" xfId="19617"/>
    <cellStyle name="Normal 5 2 6 4 5 3" xfId="29868"/>
    <cellStyle name="Normal 5 2 6 4 6" xfId="12236"/>
    <cellStyle name="Normal 5 2 6 4 6 2" xfId="24626"/>
    <cellStyle name="Normal 5 2 6 4 7" xfId="5534"/>
    <cellStyle name="Normal 5 2 6 4 8" xfId="20111"/>
    <cellStyle name="Normal 5 2 6 5" xfId="2209"/>
    <cellStyle name="Normal 5 2 6 5 2" xfId="15957"/>
    <cellStyle name="Normal 5 2 6 5 2 2" xfId="26001"/>
    <cellStyle name="Normal 5 2 6 5 3" xfId="12245"/>
    <cellStyle name="Normal 5 2 6 5 4" xfId="6914"/>
    <cellStyle name="Normal 5 2 6 5 5" xfId="20994"/>
    <cellStyle name="Normal 5 2 6 6" xfId="3483"/>
    <cellStyle name="Normal 5 2 6 6 2" xfId="17129"/>
    <cellStyle name="Normal 5 2 6 6 2 2" xfId="27380"/>
    <cellStyle name="Normal 5 2 6 6 3" xfId="13550"/>
    <cellStyle name="Normal 5 2 6 6 4" xfId="8293"/>
    <cellStyle name="Normal 5 2 6 6 5" xfId="22373"/>
    <cellStyle name="Normal 5 2 6 7" xfId="5854"/>
    <cellStyle name="Normal 5 2 6 7 2" xfId="14940"/>
    <cellStyle name="Normal 5 2 6 7 3" xfId="24944"/>
    <cellStyle name="Normal 5 2 6 8" xfId="9747"/>
    <cellStyle name="Normal 5 2 6 8 2" xfId="18574"/>
    <cellStyle name="Normal 5 2 6 8 3" xfId="28825"/>
    <cellStyle name="Normal 5 2 6 9" xfId="11191"/>
    <cellStyle name="Normal 5 2 6 9 2" xfId="23600"/>
    <cellStyle name="Normal 5 2 6_Degree data" xfId="1227"/>
    <cellStyle name="Normal 5 2 7" xfId="305"/>
    <cellStyle name="Normal 5 2 7 10" xfId="19777"/>
    <cellStyle name="Normal 5 2 7 2" xfId="655"/>
    <cellStyle name="Normal 5 2 7 2 2" xfId="2387"/>
    <cellStyle name="Normal 5 2 7 2 2 2" xfId="16282"/>
    <cellStyle name="Normal 5 2 7 2 2 2 2" xfId="26501"/>
    <cellStyle name="Normal 5 2 7 2 2 3" xfId="12704"/>
    <cellStyle name="Normal 5 2 7 2 2 4" xfId="7414"/>
    <cellStyle name="Normal 5 2 7 2 2 5" xfId="21494"/>
    <cellStyle name="Normal 5 2 7 2 3" xfId="3660"/>
    <cellStyle name="Normal 5 2 7 2 3 2" xfId="17307"/>
    <cellStyle name="Normal 5 2 7 2 3 2 2" xfId="27558"/>
    <cellStyle name="Normal 5 2 7 2 3 3" xfId="13728"/>
    <cellStyle name="Normal 5 2 7 2 3 4" xfId="8471"/>
    <cellStyle name="Normal 5 2 7 2 3 5" xfId="22551"/>
    <cellStyle name="Normal 5 2 7 2 4" xfId="6530"/>
    <cellStyle name="Normal 5 2 7 2 4 2" xfId="15614"/>
    <cellStyle name="Normal 5 2 7 2 4 3" xfId="25618"/>
    <cellStyle name="Normal 5 2 7 2 5" xfId="9925"/>
    <cellStyle name="Normal 5 2 7 2 5 2" xfId="18752"/>
    <cellStyle name="Normal 5 2 7 2 5 3" xfId="29003"/>
    <cellStyle name="Normal 5 2 7 2 6" xfId="11370"/>
    <cellStyle name="Normal 5 2 7 2 6 2" xfId="24100"/>
    <cellStyle name="Normal 5 2 7 2 7" xfId="5008"/>
    <cellStyle name="Normal 5 2 7 2 8" xfId="20611"/>
    <cellStyle name="Normal 5 2 7 3" xfId="1013"/>
    <cellStyle name="Normal 5 2 7 3 2" xfId="2735"/>
    <cellStyle name="Normal 5 2 7 3 2 2" xfId="16648"/>
    <cellStyle name="Normal 5 2 7 3 2 2 2" xfId="26867"/>
    <cellStyle name="Normal 5 2 7 3 2 3" xfId="13069"/>
    <cellStyle name="Normal 5 2 7 3 2 4" xfId="7780"/>
    <cellStyle name="Normal 5 2 7 3 2 5" xfId="21860"/>
    <cellStyle name="Normal 5 2 7 3 3" xfId="4009"/>
    <cellStyle name="Normal 5 2 7 3 3 2" xfId="17655"/>
    <cellStyle name="Normal 5 2 7 3 3 2 2" xfId="27906"/>
    <cellStyle name="Normal 5 2 7 3 3 3" xfId="14076"/>
    <cellStyle name="Normal 5 2 7 3 3 4" xfId="8819"/>
    <cellStyle name="Normal 5 2 7 3 3 5" xfId="22899"/>
    <cellStyle name="Normal 5 2 7 3 4" xfId="6187"/>
    <cellStyle name="Normal 5 2 7 3 4 2" xfId="15271"/>
    <cellStyle name="Normal 5 2 7 3 4 3" xfId="25275"/>
    <cellStyle name="Normal 5 2 7 3 5" xfId="10273"/>
    <cellStyle name="Normal 5 2 7 3 5 2" xfId="19100"/>
    <cellStyle name="Normal 5 2 7 3 5 3" xfId="29351"/>
    <cellStyle name="Normal 5 2 7 3 6" xfId="11719"/>
    <cellStyle name="Normal 5 2 7 3 6 2" xfId="24466"/>
    <cellStyle name="Normal 5 2 7 3 7" xfId="5374"/>
    <cellStyle name="Normal 5 2 7 3 8" xfId="20268"/>
    <cellStyle name="Normal 5 2 7 4" xfId="1492"/>
    <cellStyle name="Normal 5 2 7 4 2" xfId="3092"/>
    <cellStyle name="Normal 5 2 7 4 2 2" xfId="18012"/>
    <cellStyle name="Normal 5 2 7 4 2 2 2" xfId="28263"/>
    <cellStyle name="Normal 5 2 7 4 2 3" xfId="14433"/>
    <cellStyle name="Normal 5 2 7 4 2 4" xfId="9176"/>
    <cellStyle name="Normal 5 2 7 4 2 5" xfId="23256"/>
    <cellStyle name="Normal 5 2 7 4 3" xfId="10630"/>
    <cellStyle name="Normal 5 2 7 4 3 2" xfId="19457"/>
    <cellStyle name="Normal 5 2 7 4 3 3" xfId="29708"/>
    <cellStyle name="Normal 5 2 7 4 4" xfId="12076"/>
    <cellStyle name="Normal 5 2 7 4 4 2" xfId="26158"/>
    <cellStyle name="Normal 5 2 7 4 5" xfId="7071"/>
    <cellStyle name="Normal 5 2 7 4 6" xfId="21151"/>
    <cellStyle name="Normal 5 2 7 5" xfId="2049"/>
    <cellStyle name="Normal 5 2 7 5 2" xfId="16969"/>
    <cellStyle name="Normal 5 2 7 5 2 2" xfId="27220"/>
    <cellStyle name="Normal 5 2 7 5 3" xfId="13390"/>
    <cellStyle name="Normal 5 2 7 5 4" xfId="8133"/>
    <cellStyle name="Normal 5 2 7 5 5" xfId="22213"/>
    <cellStyle name="Normal 5 2 7 6" xfId="5694"/>
    <cellStyle name="Normal 5 2 7 6 2" xfId="14780"/>
    <cellStyle name="Normal 5 2 7 6 3" xfId="24784"/>
    <cellStyle name="Normal 5 2 7 7" xfId="9587"/>
    <cellStyle name="Normal 5 2 7 7 2" xfId="18414"/>
    <cellStyle name="Normal 5 2 7 7 3" xfId="28665"/>
    <cellStyle name="Normal 5 2 7 8" xfId="11031"/>
    <cellStyle name="Normal 5 2 7 8 2" xfId="23757"/>
    <cellStyle name="Normal 5 2 7 9" xfId="4665"/>
    <cellStyle name="Normal 5 2 7_Degree data" xfId="1281"/>
    <cellStyle name="Normal 5 2 8" xfId="1820"/>
    <cellStyle name="Normal 5 2 8 2" xfId="14953"/>
    <cellStyle name="Normal 5 2 8 2 2" xfId="24957"/>
    <cellStyle name="Normal 5 2 8 3" xfId="12296"/>
    <cellStyle name="Normal 5 2 8 4" xfId="5867"/>
    <cellStyle name="Normal 5 2 8 5" xfId="19950"/>
    <cellStyle name="Normal 5 2 9" xfId="3265"/>
    <cellStyle name="Normal 5 2 9 2" xfId="15826"/>
    <cellStyle name="Normal 5 2 9 2 2" xfId="25840"/>
    <cellStyle name="Normal 5 2 9 3" xfId="12449"/>
    <cellStyle name="Normal 5 2 9 4" xfId="6753"/>
    <cellStyle name="Normal 5 2 9 5" xfId="20833"/>
    <cellStyle name="Normal 5 3" xfId="114"/>
    <cellStyle name="Normal 5 3 10" xfId="1878"/>
    <cellStyle name="Normal 5 3 10 2" xfId="9416"/>
    <cellStyle name="Normal 5 3 10 2 2" xfId="18243"/>
    <cellStyle name="Normal 5 3 10 2 3" xfId="28494"/>
    <cellStyle name="Normal 5 3 10 3" xfId="10860"/>
    <cellStyle name="Normal 5 3 10 3 2" xfId="27047"/>
    <cellStyle name="Normal 5 3 10 4" xfId="7960"/>
    <cellStyle name="Normal 5 3 10 5" xfId="22040"/>
    <cellStyle name="Normal 5 3 11" xfId="1848"/>
    <cellStyle name="Normal 5 3 11 2" xfId="14629"/>
    <cellStyle name="Normal 5 3 11 3" xfId="5543"/>
    <cellStyle name="Normal 5 3 11 4" xfId="24633"/>
    <cellStyle name="Normal 5 3 12" xfId="9386"/>
    <cellStyle name="Normal 5 3 12 2" xfId="18213"/>
    <cellStyle name="Normal 5 3 12 3" xfId="28464"/>
    <cellStyle name="Normal 5 3 13" xfId="10830"/>
    <cellStyle name="Normal 5 3 13 2" xfId="23436"/>
    <cellStyle name="Normal 5 3 14" xfId="4344"/>
    <cellStyle name="Normal 5 3 15" xfId="19626"/>
    <cellStyle name="Normal 5 3 2" xfId="168"/>
    <cellStyle name="Normal 5 3 2 10" xfId="5568"/>
    <cellStyle name="Normal 5 3 2 10 2" xfId="14654"/>
    <cellStyle name="Normal 5 3 2 10 3" xfId="24658"/>
    <cellStyle name="Normal 5 3 2 11" xfId="9461"/>
    <cellStyle name="Normal 5 3 2 11 2" xfId="18288"/>
    <cellStyle name="Normal 5 3 2 11 3" xfId="28539"/>
    <cellStyle name="Normal 5 3 2 12" xfId="10905"/>
    <cellStyle name="Normal 5 3 2 12 2" xfId="23471"/>
    <cellStyle name="Normal 5 3 2 13" xfId="4379"/>
    <cellStyle name="Normal 5 3 2 14" xfId="19651"/>
    <cellStyle name="Normal 5 3 2 2" xfId="234"/>
    <cellStyle name="Normal 5 3 2 2 10" xfId="10962"/>
    <cellStyle name="Normal 5 3 2 2 10 2" xfId="23575"/>
    <cellStyle name="Normal 5 3 2 2 11" xfId="4483"/>
    <cellStyle name="Normal 5 3 2 2 12" xfId="19708"/>
    <cellStyle name="Normal 5 3 2 2 2" xfId="443"/>
    <cellStyle name="Normal 5 3 2 2 2 10" xfId="19912"/>
    <cellStyle name="Normal 5 3 2 2 2 2" xfId="659"/>
    <cellStyle name="Normal 5 3 2 2 2 2 2" xfId="2391"/>
    <cellStyle name="Normal 5 3 2 2 2 2 2 2" xfId="16286"/>
    <cellStyle name="Normal 5 3 2 2 2 2 2 2 2" xfId="26505"/>
    <cellStyle name="Normal 5 3 2 2 2 2 2 3" xfId="12708"/>
    <cellStyle name="Normal 5 3 2 2 2 2 2 4" xfId="7418"/>
    <cellStyle name="Normal 5 3 2 2 2 2 2 5" xfId="21498"/>
    <cellStyle name="Normal 5 3 2 2 2 2 3" xfId="3664"/>
    <cellStyle name="Normal 5 3 2 2 2 2 3 2" xfId="17311"/>
    <cellStyle name="Normal 5 3 2 2 2 2 3 2 2" xfId="27562"/>
    <cellStyle name="Normal 5 3 2 2 2 2 3 3" xfId="13732"/>
    <cellStyle name="Normal 5 3 2 2 2 2 3 4" xfId="8475"/>
    <cellStyle name="Normal 5 3 2 2 2 2 3 5" xfId="22555"/>
    <cellStyle name="Normal 5 3 2 2 2 2 4" xfId="6534"/>
    <cellStyle name="Normal 5 3 2 2 2 2 4 2" xfId="15618"/>
    <cellStyle name="Normal 5 3 2 2 2 2 4 3" xfId="25622"/>
    <cellStyle name="Normal 5 3 2 2 2 2 5" xfId="9929"/>
    <cellStyle name="Normal 5 3 2 2 2 2 5 2" xfId="18756"/>
    <cellStyle name="Normal 5 3 2 2 2 2 5 3" xfId="29007"/>
    <cellStyle name="Normal 5 3 2 2 2 2 6" xfId="11374"/>
    <cellStyle name="Normal 5 3 2 2 2 2 6 2" xfId="24104"/>
    <cellStyle name="Normal 5 3 2 2 2 2 7" xfId="5012"/>
    <cellStyle name="Normal 5 3 2 2 2 2 8" xfId="20615"/>
    <cellStyle name="Normal 5 3 2 2 2 3" xfId="1017"/>
    <cellStyle name="Normal 5 3 2 2 2 3 2" xfId="2739"/>
    <cellStyle name="Normal 5 3 2 2 2 3 2 2" xfId="16783"/>
    <cellStyle name="Normal 5 3 2 2 2 3 2 2 2" xfId="27002"/>
    <cellStyle name="Normal 5 3 2 2 2 3 2 3" xfId="13204"/>
    <cellStyle name="Normal 5 3 2 2 2 3 2 4" xfId="7915"/>
    <cellStyle name="Normal 5 3 2 2 2 3 2 5" xfId="21995"/>
    <cellStyle name="Normal 5 3 2 2 2 3 3" xfId="4013"/>
    <cellStyle name="Normal 5 3 2 2 2 3 3 2" xfId="17659"/>
    <cellStyle name="Normal 5 3 2 2 2 3 3 2 2" xfId="27910"/>
    <cellStyle name="Normal 5 3 2 2 2 3 3 3" xfId="14080"/>
    <cellStyle name="Normal 5 3 2 2 2 3 3 4" xfId="8823"/>
    <cellStyle name="Normal 5 3 2 2 2 3 3 5" xfId="22903"/>
    <cellStyle name="Normal 5 3 2 2 2 3 4" xfId="6322"/>
    <cellStyle name="Normal 5 3 2 2 2 3 4 2" xfId="15406"/>
    <cellStyle name="Normal 5 3 2 2 2 3 4 3" xfId="25410"/>
    <cellStyle name="Normal 5 3 2 2 2 3 5" xfId="10277"/>
    <cellStyle name="Normal 5 3 2 2 2 3 5 2" xfId="19104"/>
    <cellStyle name="Normal 5 3 2 2 2 3 5 3" xfId="29355"/>
    <cellStyle name="Normal 5 3 2 2 2 3 6" xfId="11723"/>
    <cellStyle name="Normal 5 3 2 2 2 3 6 2" xfId="24601"/>
    <cellStyle name="Normal 5 3 2 2 2 3 7" xfId="5509"/>
    <cellStyle name="Normal 5 3 2 2 2 3 8" xfId="20403"/>
    <cellStyle name="Normal 5 3 2 2 2 4" xfId="1630"/>
    <cellStyle name="Normal 5 3 2 2 2 4 2" xfId="3227"/>
    <cellStyle name="Normal 5 3 2 2 2 4 2 2" xfId="18147"/>
    <cellStyle name="Normal 5 3 2 2 2 4 2 2 2" xfId="28398"/>
    <cellStyle name="Normal 5 3 2 2 2 4 2 3" xfId="14568"/>
    <cellStyle name="Normal 5 3 2 2 2 4 2 4" xfId="9311"/>
    <cellStyle name="Normal 5 3 2 2 2 4 2 5" xfId="23391"/>
    <cellStyle name="Normal 5 3 2 2 2 4 3" xfId="10765"/>
    <cellStyle name="Normal 5 3 2 2 2 4 3 2" xfId="19592"/>
    <cellStyle name="Normal 5 3 2 2 2 4 3 3" xfId="29843"/>
    <cellStyle name="Normal 5 3 2 2 2 4 4" xfId="12211"/>
    <cellStyle name="Normal 5 3 2 2 2 4 4 2" xfId="26293"/>
    <cellStyle name="Normal 5 3 2 2 2 4 5" xfId="7206"/>
    <cellStyle name="Normal 5 3 2 2 2 4 6" xfId="21286"/>
    <cellStyle name="Normal 5 3 2 2 2 5" xfId="2184"/>
    <cellStyle name="Normal 5 3 2 2 2 5 2" xfId="17104"/>
    <cellStyle name="Normal 5 3 2 2 2 5 2 2" xfId="27355"/>
    <cellStyle name="Normal 5 3 2 2 2 5 3" xfId="13525"/>
    <cellStyle name="Normal 5 3 2 2 2 5 4" xfId="8268"/>
    <cellStyle name="Normal 5 3 2 2 2 5 5" xfId="22348"/>
    <cellStyle name="Normal 5 3 2 2 2 6" xfId="5829"/>
    <cellStyle name="Normal 5 3 2 2 2 6 2" xfId="14915"/>
    <cellStyle name="Normal 5 3 2 2 2 6 3" xfId="24919"/>
    <cellStyle name="Normal 5 3 2 2 2 7" xfId="9722"/>
    <cellStyle name="Normal 5 3 2 2 2 7 2" xfId="18549"/>
    <cellStyle name="Normal 5 3 2 2 2 7 3" xfId="28800"/>
    <cellStyle name="Normal 5 3 2 2 2 8" xfId="11166"/>
    <cellStyle name="Normal 5 3 2 2 2 8 2" xfId="23892"/>
    <cellStyle name="Normal 5 3 2 2 2 9" xfId="4800"/>
    <cellStyle name="Normal 5 3 2 2 2_Degree data" xfId="1193"/>
    <cellStyle name="Normal 5 3 2 2 3" xfId="658"/>
    <cellStyle name="Normal 5 3 2 2 3 2" xfId="2390"/>
    <cellStyle name="Normal 5 3 2 2 3 2 2" xfId="16016"/>
    <cellStyle name="Normal 5 3 2 2 3 2 2 2" xfId="26089"/>
    <cellStyle name="Normal 5 3 2 2 3 2 3" xfId="12484"/>
    <cellStyle name="Normal 5 3 2 2 3 2 4" xfId="7002"/>
    <cellStyle name="Normal 5 3 2 2 3 2 5" xfId="21082"/>
    <cellStyle name="Normal 5 3 2 2 3 3" xfId="3663"/>
    <cellStyle name="Normal 5 3 2 2 3 3 2" xfId="17310"/>
    <cellStyle name="Normal 5 3 2 2 3 3 2 2" xfId="27561"/>
    <cellStyle name="Normal 5 3 2 2 3 3 3" xfId="13731"/>
    <cellStyle name="Normal 5 3 2 2 3 3 4" xfId="8474"/>
    <cellStyle name="Normal 5 3 2 2 3 3 5" xfId="22554"/>
    <cellStyle name="Normal 5 3 2 2 3 4" xfId="6118"/>
    <cellStyle name="Normal 5 3 2 2 3 4 2" xfId="15202"/>
    <cellStyle name="Normal 5 3 2 2 3 4 3" xfId="25206"/>
    <cellStyle name="Normal 5 3 2 2 3 5" xfId="9928"/>
    <cellStyle name="Normal 5 3 2 2 3 5 2" xfId="18755"/>
    <cellStyle name="Normal 5 3 2 2 3 5 3" xfId="29006"/>
    <cellStyle name="Normal 5 3 2 2 3 6" xfId="11373"/>
    <cellStyle name="Normal 5 3 2 2 3 6 2" xfId="23688"/>
    <cellStyle name="Normal 5 3 2 2 3 7" xfId="4596"/>
    <cellStyle name="Normal 5 3 2 2 3 8" xfId="20199"/>
    <cellStyle name="Normal 5 3 2 2 4" xfId="1016"/>
    <cellStyle name="Normal 5 3 2 2 4 2" xfId="2738"/>
    <cellStyle name="Normal 5 3 2 2 4 2 2" xfId="16285"/>
    <cellStyle name="Normal 5 3 2 2 4 2 2 2" xfId="26504"/>
    <cellStyle name="Normal 5 3 2 2 4 2 3" xfId="12707"/>
    <cellStyle name="Normal 5 3 2 2 4 2 4" xfId="7417"/>
    <cellStyle name="Normal 5 3 2 2 4 2 5" xfId="21497"/>
    <cellStyle name="Normal 5 3 2 2 4 3" xfId="4012"/>
    <cellStyle name="Normal 5 3 2 2 4 3 2" xfId="17658"/>
    <cellStyle name="Normal 5 3 2 2 4 3 2 2" xfId="27909"/>
    <cellStyle name="Normal 5 3 2 2 4 3 3" xfId="14079"/>
    <cellStyle name="Normal 5 3 2 2 4 3 4" xfId="8822"/>
    <cellStyle name="Normal 5 3 2 2 4 3 5" xfId="22902"/>
    <cellStyle name="Normal 5 3 2 2 4 4" xfId="6533"/>
    <cellStyle name="Normal 5 3 2 2 4 4 2" xfId="15617"/>
    <cellStyle name="Normal 5 3 2 2 4 4 3" xfId="25621"/>
    <cellStyle name="Normal 5 3 2 2 4 5" xfId="10276"/>
    <cellStyle name="Normal 5 3 2 2 4 5 2" xfId="19103"/>
    <cellStyle name="Normal 5 3 2 2 4 5 3" xfId="29354"/>
    <cellStyle name="Normal 5 3 2 2 4 6" xfId="11722"/>
    <cellStyle name="Normal 5 3 2 2 4 6 2" xfId="24103"/>
    <cellStyle name="Normal 5 3 2 2 4 7" xfId="5011"/>
    <cellStyle name="Normal 5 3 2 2 4 8" xfId="20614"/>
    <cellStyle name="Normal 5 3 2 2 5" xfId="1421"/>
    <cellStyle name="Normal 5 3 2 2 5 2" xfId="3023"/>
    <cellStyle name="Normal 5 3 2 2 5 2 2" xfId="16579"/>
    <cellStyle name="Normal 5 3 2 2 5 2 2 2" xfId="26798"/>
    <cellStyle name="Normal 5 3 2 2 5 2 3" xfId="13000"/>
    <cellStyle name="Normal 5 3 2 2 5 2 4" xfId="7711"/>
    <cellStyle name="Normal 5 3 2 2 5 2 5" xfId="21791"/>
    <cellStyle name="Normal 5 3 2 2 5 3" xfId="4237"/>
    <cellStyle name="Normal 5 3 2 2 5 3 2" xfId="17943"/>
    <cellStyle name="Normal 5 3 2 2 5 3 2 2" xfId="28194"/>
    <cellStyle name="Normal 5 3 2 2 5 3 3" xfId="14364"/>
    <cellStyle name="Normal 5 3 2 2 5 3 4" xfId="9107"/>
    <cellStyle name="Normal 5 3 2 2 5 3 5" xfId="23187"/>
    <cellStyle name="Normal 5 3 2 2 5 4" xfId="6003"/>
    <cellStyle name="Normal 5 3 2 2 5 4 2" xfId="15089"/>
    <cellStyle name="Normal 5 3 2 2 5 4 3" xfId="25093"/>
    <cellStyle name="Normal 5 3 2 2 5 5" xfId="10561"/>
    <cellStyle name="Normal 5 3 2 2 5 5 2" xfId="19388"/>
    <cellStyle name="Normal 5 3 2 2 5 5 3" xfId="29639"/>
    <cellStyle name="Normal 5 3 2 2 5 6" xfId="12007"/>
    <cellStyle name="Normal 5 3 2 2 5 6 2" xfId="24397"/>
    <cellStyle name="Normal 5 3 2 2 5 7" xfId="5305"/>
    <cellStyle name="Normal 5 3 2 2 5 8" xfId="20086"/>
    <cellStyle name="Normal 5 3 2 2 6" xfId="1980"/>
    <cellStyle name="Normal 5 3 2 2 6 2" xfId="15932"/>
    <cellStyle name="Normal 5 3 2 2 6 2 2" xfId="25976"/>
    <cellStyle name="Normal 5 3 2 2 6 3" xfId="10799"/>
    <cellStyle name="Normal 5 3 2 2 6 4" xfId="6889"/>
    <cellStyle name="Normal 5 3 2 2 6 5" xfId="20969"/>
    <cellStyle name="Normal 5 3 2 2 7" xfId="3399"/>
    <cellStyle name="Normal 5 3 2 2 7 2" xfId="16900"/>
    <cellStyle name="Normal 5 3 2 2 7 2 2" xfId="27151"/>
    <cellStyle name="Normal 5 3 2 2 7 3" xfId="13321"/>
    <cellStyle name="Normal 5 3 2 2 7 4" xfId="8064"/>
    <cellStyle name="Normal 5 3 2 2 7 5" xfId="22144"/>
    <cellStyle name="Normal 5 3 2 2 8" xfId="5625"/>
    <cellStyle name="Normal 5 3 2 2 8 2" xfId="14711"/>
    <cellStyle name="Normal 5 3 2 2 8 3" xfId="24715"/>
    <cellStyle name="Normal 5 3 2 2 9" xfId="9518"/>
    <cellStyle name="Normal 5 3 2 2 9 2" xfId="18345"/>
    <cellStyle name="Normal 5 3 2 2 9 3" xfId="28596"/>
    <cellStyle name="Normal 5 3 2 2_Degree data" xfId="1194"/>
    <cellStyle name="Normal 5 3 2 3" xfId="400"/>
    <cellStyle name="Normal 5 3 2 3 10" xfId="4440"/>
    <cellStyle name="Normal 5 3 2 3 11" xfId="19869"/>
    <cellStyle name="Normal 5 3 2 3 2" xfId="660"/>
    <cellStyle name="Normal 5 3 2 3 2 2" xfId="2392"/>
    <cellStyle name="Normal 5 3 2 3 2 2 2" xfId="16077"/>
    <cellStyle name="Normal 5 3 2 3 2 2 2 2" xfId="26250"/>
    <cellStyle name="Normal 5 3 2 3 2 2 3" xfId="12365"/>
    <cellStyle name="Normal 5 3 2 3 2 2 4" xfId="7163"/>
    <cellStyle name="Normal 5 3 2 3 2 2 5" xfId="21243"/>
    <cellStyle name="Normal 5 3 2 3 2 3" xfId="3665"/>
    <cellStyle name="Normal 5 3 2 3 2 3 2" xfId="17312"/>
    <cellStyle name="Normal 5 3 2 3 2 3 2 2" xfId="27563"/>
    <cellStyle name="Normal 5 3 2 3 2 3 3" xfId="13733"/>
    <cellStyle name="Normal 5 3 2 3 2 3 4" xfId="8476"/>
    <cellStyle name="Normal 5 3 2 3 2 3 5" xfId="22556"/>
    <cellStyle name="Normal 5 3 2 3 2 4" xfId="6279"/>
    <cellStyle name="Normal 5 3 2 3 2 4 2" xfId="15363"/>
    <cellStyle name="Normal 5 3 2 3 2 4 3" xfId="25367"/>
    <cellStyle name="Normal 5 3 2 3 2 5" xfId="9930"/>
    <cellStyle name="Normal 5 3 2 3 2 5 2" xfId="18757"/>
    <cellStyle name="Normal 5 3 2 3 2 5 3" xfId="29008"/>
    <cellStyle name="Normal 5 3 2 3 2 6" xfId="11375"/>
    <cellStyle name="Normal 5 3 2 3 2 6 2" xfId="23849"/>
    <cellStyle name="Normal 5 3 2 3 2 7" xfId="4757"/>
    <cellStyle name="Normal 5 3 2 3 2 8" xfId="20360"/>
    <cellStyle name="Normal 5 3 2 3 3" xfId="1018"/>
    <cellStyle name="Normal 5 3 2 3 3 2" xfId="2740"/>
    <cellStyle name="Normal 5 3 2 3 3 2 2" xfId="16287"/>
    <cellStyle name="Normal 5 3 2 3 3 2 2 2" xfId="26506"/>
    <cellStyle name="Normal 5 3 2 3 3 2 3" xfId="12709"/>
    <cellStyle name="Normal 5 3 2 3 3 2 4" xfId="7419"/>
    <cellStyle name="Normal 5 3 2 3 3 2 5" xfId="21499"/>
    <cellStyle name="Normal 5 3 2 3 3 3" xfId="4014"/>
    <cellStyle name="Normal 5 3 2 3 3 3 2" xfId="17660"/>
    <cellStyle name="Normal 5 3 2 3 3 3 2 2" xfId="27911"/>
    <cellStyle name="Normal 5 3 2 3 3 3 3" xfId="14081"/>
    <cellStyle name="Normal 5 3 2 3 3 3 4" xfId="8824"/>
    <cellStyle name="Normal 5 3 2 3 3 3 5" xfId="22904"/>
    <cellStyle name="Normal 5 3 2 3 3 4" xfId="6535"/>
    <cellStyle name="Normal 5 3 2 3 3 4 2" xfId="15619"/>
    <cellStyle name="Normal 5 3 2 3 3 4 3" xfId="25623"/>
    <cellStyle name="Normal 5 3 2 3 3 5" xfId="10278"/>
    <cellStyle name="Normal 5 3 2 3 3 5 2" xfId="19105"/>
    <cellStyle name="Normal 5 3 2 3 3 5 3" xfId="29356"/>
    <cellStyle name="Normal 5 3 2 3 3 6" xfId="11724"/>
    <cellStyle name="Normal 5 3 2 3 3 6 2" xfId="24105"/>
    <cellStyle name="Normal 5 3 2 3 3 7" xfId="5013"/>
    <cellStyle name="Normal 5 3 2 3 3 8" xfId="20616"/>
    <cellStyle name="Normal 5 3 2 3 4" xfId="1587"/>
    <cellStyle name="Normal 5 3 2 3 4 2" xfId="3184"/>
    <cellStyle name="Normal 5 3 2 3 4 2 2" xfId="16740"/>
    <cellStyle name="Normal 5 3 2 3 4 2 2 2" xfId="26959"/>
    <cellStyle name="Normal 5 3 2 3 4 2 3" xfId="13161"/>
    <cellStyle name="Normal 5 3 2 3 4 2 4" xfId="7872"/>
    <cellStyle name="Normal 5 3 2 3 4 2 5" xfId="21952"/>
    <cellStyle name="Normal 5 3 2 3 4 3" xfId="4298"/>
    <cellStyle name="Normal 5 3 2 3 4 3 2" xfId="18104"/>
    <cellStyle name="Normal 5 3 2 3 4 3 2 2" xfId="28355"/>
    <cellStyle name="Normal 5 3 2 3 4 3 3" xfId="14525"/>
    <cellStyle name="Normal 5 3 2 3 4 3 4" xfId="9268"/>
    <cellStyle name="Normal 5 3 2 3 4 3 5" xfId="23348"/>
    <cellStyle name="Normal 5 3 2 3 4 4" xfId="5960"/>
    <cellStyle name="Normal 5 3 2 3 4 4 2" xfId="15046"/>
    <cellStyle name="Normal 5 3 2 3 4 4 3" xfId="25050"/>
    <cellStyle name="Normal 5 3 2 3 4 5" xfId="10722"/>
    <cellStyle name="Normal 5 3 2 3 4 5 2" xfId="19549"/>
    <cellStyle name="Normal 5 3 2 3 4 5 3" xfId="29800"/>
    <cellStyle name="Normal 5 3 2 3 4 6" xfId="12168"/>
    <cellStyle name="Normal 5 3 2 3 4 6 2" xfId="24558"/>
    <cellStyle name="Normal 5 3 2 3 4 7" xfId="5466"/>
    <cellStyle name="Normal 5 3 2 3 4 8" xfId="20043"/>
    <cellStyle name="Normal 5 3 2 3 5" xfId="2141"/>
    <cellStyle name="Normal 5 3 2 3 5 2" xfId="15889"/>
    <cellStyle name="Normal 5 3 2 3 5 2 2" xfId="25933"/>
    <cellStyle name="Normal 5 3 2 3 5 3" xfId="12350"/>
    <cellStyle name="Normal 5 3 2 3 5 4" xfId="6846"/>
    <cellStyle name="Normal 5 3 2 3 5 5" xfId="20926"/>
    <cellStyle name="Normal 5 3 2 3 6" xfId="3460"/>
    <cellStyle name="Normal 5 3 2 3 6 2" xfId="17061"/>
    <cellStyle name="Normal 5 3 2 3 6 2 2" xfId="27312"/>
    <cellStyle name="Normal 5 3 2 3 6 3" xfId="13482"/>
    <cellStyle name="Normal 5 3 2 3 6 4" xfId="8225"/>
    <cellStyle name="Normal 5 3 2 3 6 5" xfId="22305"/>
    <cellStyle name="Normal 5 3 2 3 7" xfId="5786"/>
    <cellStyle name="Normal 5 3 2 3 7 2" xfId="14872"/>
    <cellStyle name="Normal 5 3 2 3 7 3" xfId="24876"/>
    <cellStyle name="Normal 5 3 2 3 8" xfId="9679"/>
    <cellStyle name="Normal 5 3 2 3 8 2" xfId="18506"/>
    <cellStyle name="Normal 5 3 2 3 8 3" xfId="28757"/>
    <cellStyle name="Normal 5 3 2 3 9" xfId="11123"/>
    <cellStyle name="Normal 5 3 2 3 9 2" xfId="23532"/>
    <cellStyle name="Normal 5 3 2 3_Degree data" xfId="1192"/>
    <cellStyle name="Normal 5 3 2 4" xfId="336"/>
    <cellStyle name="Normal 5 3 2 4 10" xfId="19808"/>
    <cellStyle name="Normal 5 3 2 4 2" xfId="661"/>
    <cellStyle name="Normal 5 3 2 4 2 2" xfId="2393"/>
    <cellStyle name="Normal 5 3 2 4 2 2 2" xfId="16288"/>
    <cellStyle name="Normal 5 3 2 4 2 2 2 2" xfId="26507"/>
    <cellStyle name="Normal 5 3 2 4 2 2 3" xfId="12710"/>
    <cellStyle name="Normal 5 3 2 4 2 2 4" xfId="7420"/>
    <cellStyle name="Normal 5 3 2 4 2 2 5" xfId="21500"/>
    <cellStyle name="Normal 5 3 2 4 2 3" xfId="3666"/>
    <cellStyle name="Normal 5 3 2 4 2 3 2" xfId="17313"/>
    <cellStyle name="Normal 5 3 2 4 2 3 2 2" xfId="27564"/>
    <cellStyle name="Normal 5 3 2 4 2 3 3" xfId="13734"/>
    <cellStyle name="Normal 5 3 2 4 2 3 4" xfId="8477"/>
    <cellStyle name="Normal 5 3 2 4 2 3 5" xfId="22557"/>
    <cellStyle name="Normal 5 3 2 4 2 4" xfId="6536"/>
    <cellStyle name="Normal 5 3 2 4 2 4 2" xfId="15620"/>
    <cellStyle name="Normal 5 3 2 4 2 4 3" xfId="25624"/>
    <cellStyle name="Normal 5 3 2 4 2 5" xfId="9931"/>
    <cellStyle name="Normal 5 3 2 4 2 5 2" xfId="18758"/>
    <cellStyle name="Normal 5 3 2 4 2 5 3" xfId="29009"/>
    <cellStyle name="Normal 5 3 2 4 2 6" xfId="11376"/>
    <cellStyle name="Normal 5 3 2 4 2 6 2" xfId="24106"/>
    <cellStyle name="Normal 5 3 2 4 2 7" xfId="5014"/>
    <cellStyle name="Normal 5 3 2 4 2 8" xfId="20617"/>
    <cellStyle name="Normal 5 3 2 4 3" xfId="1019"/>
    <cellStyle name="Normal 5 3 2 4 3 2" xfId="2741"/>
    <cellStyle name="Normal 5 3 2 4 3 2 2" xfId="16679"/>
    <cellStyle name="Normal 5 3 2 4 3 2 2 2" xfId="26898"/>
    <cellStyle name="Normal 5 3 2 4 3 2 3" xfId="13100"/>
    <cellStyle name="Normal 5 3 2 4 3 2 4" xfId="7811"/>
    <cellStyle name="Normal 5 3 2 4 3 2 5" xfId="21891"/>
    <cellStyle name="Normal 5 3 2 4 3 3" xfId="4015"/>
    <cellStyle name="Normal 5 3 2 4 3 3 2" xfId="17661"/>
    <cellStyle name="Normal 5 3 2 4 3 3 2 2" xfId="27912"/>
    <cellStyle name="Normal 5 3 2 4 3 3 3" xfId="14082"/>
    <cellStyle name="Normal 5 3 2 4 3 3 4" xfId="8825"/>
    <cellStyle name="Normal 5 3 2 4 3 3 5" xfId="22905"/>
    <cellStyle name="Normal 5 3 2 4 3 4" xfId="6218"/>
    <cellStyle name="Normal 5 3 2 4 3 4 2" xfId="15302"/>
    <cellStyle name="Normal 5 3 2 4 3 4 3" xfId="25306"/>
    <cellStyle name="Normal 5 3 2 4 3 5" xfId="10279"/>
    <cellStyle name="Normal 5 3 2 4 3 5 2" xfId="19106"/>
    <cellStyle name="Normal 5 3 2 4 3 5 3" xfId="29357"/>
    <cellStyle name="Normal 5 3 2 4 3 6" xfId="11725"/>
    <cellStyle name="Normal 5 3 2 4 3 6 2" xfId="24497"/>
    <cellStyle name="Normal 5 3 2 4 3 7" xfId="5405"/>
    <cellStyle name="Normal 5 3 2 4 3 8" xfId="20299"/>
    <cellStyle name="Normal 5 3 2 4 4" xfId="1523"/>
    <cellStyle name="Normal 5 3 2 4 4 2" xfId="3123"/>
    <cellStyle name="Normal 5 3 2 4 4 2 2" xfId="18043"/>
    <cellStyle name="Normal 5 3 2 4 4 2 2 2" xfId="28294"/>
    <cellStyle name="Normal 5 3 2 4 4 2 3" xfId="14464"/>
    <cellStyle name="Normal 5 3 2 4 4 2 4" xfId="9207"/>
    <cellStyle name="Normal 5 3 2 4 4 2 5" xfId="23287"/>
    <cellStyle name="Normal 5 3 2 4 4 3" xfId="10661"/>
    <cellStyle name="Normal 5 3 2 4 4 3 2" xfId="19488"/>
    <cellStyle name="Normal 5 3 2 4 4 3 3" xfId="29739"/>
    <cellStyle name="Normal 5 3 2 4 4 4" xfId="12107"/>
    <cellStyle name="Normal 5 3 2 4 4 4 2" xfId="26189"/>
    <cellStyle name="Normal 5 3 2 4 4 5" xfId="7102"/>
    <cellStyle name="Normal 5 3 2 4 4 6" xfId="21182"/>
    <cellStyle name="Normal 5 3 2 4 5" xfId="2080"/>
    <cellStyle name="Normal 5 3 2 4 5 2" xfId="17000"/>
    <cellStyle name="Normal 5 3 2 4 5 2 2" xfId="27251"/>
    <cellStyle name="Normal 5 3 2 4 5 3" xfId="13421"/>
    <cellStyle name="Normal 5 3 2 4 5 4" xfId="8164"/>
    <cellStyle name="Normal 5 3 2 4 5 5" xfId="22244"/>
    <cellStyle name="Normal 5 3 2 4 6" xfId="5725"/>
    <cellStyle name="Normal 5 3 2 4 6 2" xfId="14811"/>
    <cellStyle name="Normal 5 3 2 4 6 3" xfId="24815"/>
    <cellStyle name="Normal 5 3 2 4 7" xfId="9618"/>
    <cellStyle name="Normal 5 3 2 4 7 2" xfId="18445"/>
    <cellStyle name="Normal 5 3 2 4 7 3" xfId="28696"/>
    <cellStyle name="Normal 5 3 2 4 8" xfId="11062"/>
    <cellStyle name="Normal 5 3 2 4 8 2" xfId="23788"/>
    <cellStyle name="Normal 5 3 2 4 9" xfId="4696"/>
    <cellStyle name="Normal 5 3 2 4_Degree data" xfId="1287"/>
    <cellStyle name="Normal 5 3 2 5" xfId="657"/>
    <cellStyle name="Normal 5 3 2 5 2" xfId="2389"/>
    <cellStyle name="Normal 5 3 2 5 2 2" xfId="15971"/>
    <cellStyle name="Normal 5 3 2 5 2 2 2" xfId="26032"/>
    <cellStyle name="Normal 5 3 2 5 2 3" xfId="12251"/>
    <cellStyle name="Normal 5 3 2 5 2 4" xfId="6945"/>
    <cellStyle name="Normal 5 3 2 5 2 5" xfId="21025"/>
    <cellStyle name="Normal 5 3 2 5 3" xfId="3662"/>
    <cellStyle name="Normal 5 3 2 5 3 2" xfId="17309"/>
    <cellStyle name="Normal 5 3 2 5 3 2 2" xfId="27560"/>
    <cellStyle name="Normal 5 3 2 5 3 3" xfId="13730"/>
    <cellStyle name="Normal 5 3 2 5 3 4" xfId="8473"/>
    <cellStyle name="Normal 5 3 2 5 3 5" xfId="22553"/>
    <cellStyle name="Normal 5 3 2 5 4" xfId="6061"/>
    <cellStyle name="Normal 5 3 2 5 4 2" xfId="15145"/>
    <cellStyle name="Normal 5 3 2 5 4 3" xfId="25149"/>
    <cellStyle name="Normal 5 3 2 5 5" xfId="9927"/>
    <cellStyle name="Normal 5 3 2 5 5 2" xfId="18754"/>
    <cellStyle name="Normal 5 3 2 5 5 3" xfId="29005"/>
    <cellStyle name="Normal 5 3 2 5 6" xfId="11372"/>
    <cellStyle name="Normal 5 3 2 5 6 2" xfId="23631"/>
    <cellStyle name="Normal 5 3 2 5 7" xfId="4539"/>
    <cellStyle name="Normal 5 3 2 5 8" xfId="20142"/>
    <cellStyle name="Normal 5 3 2 6" xfId="1015"/>
    <cellStyle name="Normal 5 3 2 6 2" xfId="2737"/>
    <cellStyle name="Normal 5 3 2 6 2 2" xfId="16284"/>
    <cellStyle name="Normal 5 3 2 6 2 2 2" xfId="26503"/>
    <cellStyle name="Normal 5 3 2 6 2 3" xfId="12706"/>
    <cellStyle name="Normal 5 3 2 6 2 4" xfId="7416"/>
    <cellStyle name="Normal 5 3 2 6 2 5" xfId="21496"/>
    <cellStyle name="Normal 5 3 2 6 3" xfId="4011"/>
    <cellStyle name="Normal 5 3 2 6 3 2" xfId="17657"/>
    <cellStyle name="Normal 5 3 2 6 3 2 2" xfId="27908"/>
    <cellStyle name="Normal 5 3 2 6 3 3" xfId="14078"/>
    <cellStyle name="Normal 5 3 2 6 3 4" xfId="8821"/>
    <cellStyle name="Normal 5 3 2 6 3 5" xfId="22901"/>
    <cellStyle name="Normal 5 3 2 6 4" xfId="6532"/>
    <cellStyle name="Normal 5 3 2 6 4 2" xfId="15616"/>
    <cellStyle name="Normal 5 3 2 6 4 3" xfId="25620"/>
    <cellStyle name="Normal 5 3 2 6 5" xfId="10275"/>
    <cellStyle name="Normal 5 3 2 6 5 2" xfId="19102"/>
    <cellStyle name="Normal 5 3 2 6 5 3" xfId="29353"/>
    <cellStyle name="Normal 5 3 2 6 6" xfId="11721"/>
    <cellStyle name="Normal 5 3 2 6 6 2" xfId="24102"/>
    <cellStyle name="Normal 5 3 2 6 7" xfId="5010"/>
    <cellStyle name="Normal 5 3 2 6 8" xfId="20613"/>
    <cellStyle name="Normal 5 3 2 7" xfId="1355"/>
    <cellStyle name="Normal 5 3 2 7 2" xfId="2966"/>
    <cellStyle name="Normal 5 3 2 7 2 2" xfId="16522"/>
    <cellStyle name="Normal 5 3 2 7 2 2 2" xfId="26741"/>
    <cellStyle name="Normal 5 3 2 7 2 3" xfId="12943"/>
    <cellStyle name="Normal 5 3 2 7 2 4" xfId="7654"/>
    <cellStyle name="Normal 5 3 2 7 2 5" xfId="21734"/>
    <cellStyle name="Normal 5 3 2 7 3" xfId="4192"/>
    <cellStyle name="Normal 5 3 2 7 3 2" xfId="17886"/>
    <cellStyle name="Normal 5 3 2 7 3 2 2" xfId="28137"/>
    <cellStyle name="Normal 5 3 2 7 3 3" xfId="14307"/>
    <cellStyle name="Normal 5 3 2 7 3 4" xfId="9050"/>
    <cellStyle name="Normal 5 3 2 7 3 5" xfId="23130"/>
    <cellStyle name="Normal 5 3 2 7 4" xfId="5899"/>
    <cellStyle name="Normal 5 3 2 7 4 2" xfId="14985"/>
    <cellStyle name="Normal 5 3 2 7 4 3" xfId="24989"/>
    <cellStyle name="Normal 5 3 2 7 5" xfId="10504"/>
    <cellStyle name="Normal 5 3 2 7 5 2" xfId="19331"/>
    <cellStyle name="Normal 5 3 2 7 5 3" xfId="29582"/>
    <cellStyle name="Normal 5 3 2 7 6" xfId="11950"/>
    <cellStyle name="Normal 5 3 2 7 6 2" xfId="24340"/>
    <cellStyle name="Normal 5 3 2 7 7" xfId="5248"/>
    <cellStyle name="Normal 5 3 2 7 8" xfId="19982"/>
    <cellStyle name="Normal 5 3 2 8" xfId="1923"/>
    <cellStyle name="Normal 5 3 2 8 2" xfId="15832"/>
    <cellStyle name="Normal 5 3 2 8 2 2" xfId="25872"/>
    <cellStyle name="Normal 5 3 2 8 3" xfId="12272"/>
    <cellStyle name="Normal 5 3 2 8 4" xfId="6785"/>
    <cellStyle name="Normal 5 3 2 8 5" xfId="20865"/>
    <cellStyle name="Normal 5 3 2 9" xfId="3354"/>
    <cellStyle name="Normal 5 3 2 9 2" xfId="16841"/>
    <cellStyle name="Normal 5 3 2 9 2 2" xfId="27092"/>
    <cellStyle name="Normal 5 3 2 9 3" xfId="13262"/>
    <cellStyle name="Normal 5 3 2 9 4" xfId="8005"/>
    <cellStyle name="Normal 5 3 2 9 5" xfId="22085"/>
    <cellStyle name="Normal 5 3 2_Degree data" xfId="1217"/>
    <cellStyle name="Normal 5 3 3" xfId="279"/>
    <cellStyle name="Normal 5 3 3 10" xfId="11005"/>
    <cellStyle name="Normal 5 3 3 10 2" xfId="23514"/>
    <cellStyle name="Normal 5 3 3 11" xfId="4422"/>
    <cellStyle name="Normal 5 3 3 12" xfId="19751"/>
    <cellStyle name="Normal 5 3 3 2" xfId="381"/>
    <cellStyle name="Normal 5 3 3 2 10" xfId="19851"/>
    <cellStyle name="Normal 5 3 3 2 2" xfId="663"/>
    <cellStyle name="Normal 5 3 3 2 2 2" xfId="2395"/>
    <cellStyle name="Normal 5 3 3 2 2 2 2" xfId="16290"/>
    <cellStyle name="Normal 5 3 3 2 2 2 2 2" xfId="26509"/>
    <cellStyle name="Normal 5 3 3 2 2 2 3" xfId="12712"/>
    <cellStyle name="Normal 5 3 3 2 2 2 4" xfId="7422"/>
    <cellStyle name="Normal 5 3 3 2 2 2 5" xfId="21502"/>
    <cellStyle name="Normal 5 3 3 2 2 3" xfId="3668"/>
    <cellStyle name="Normal 5 3 3 2 2 3 2" xfId="17315"/>
    <cellStyle name="Normal 5 3 3 2 2 3 2 2" xfId="27566"/>
    <cellStyle name="Normal 5 3 3 2 2 3 3" xfId="13736"/>
    <cellStyle name="Normal 5 3 3 2 2 3 4" xfId="8479"/>
    <cellStyle name="Normal 5 3 3 2 2 3 5" xfId="22559"/>
    <cellStyle name="Normal 5 3 3 2 2 4" xfId="6538"/>
    <cellStyle name="Normal 5 3 3 2 2 4 2" xfId="15622"/>
    <cellStyle name="Normal 5 3 3 2 2 4 3" xfId="25626"/>
    <cellStyle name="Normal 5 3 3 2 2 5" xfId="9933"/>
    <cellStyle name="Normal 5 3 3 2 2 5 2" xfId="18760"/>
    <cellStyle name="Normal 5 3 3 2 2 5 3" xfId="29011"/>
    <cellStyle name="Normal 5 3 3 2 2 6" xfId="11378"/>
    <cellStyle name="Normal 5 3 3 2 2 6 2" xfId="24108"/>
    <cellStyle name="Normal 5 3 3 2 2 7" xfId="5016"/>
    <cellStyle name="Normal 5 3 3 2 2 8" xfId="20619"/>
    <cellStyle name="Normal 5 3 3 2 3" xfId="1021"/>
    <cellStyle name="Normal 5 3 3 2 3 2" xfId="2743"/>
    <cellStyle name="Normal 5 3 3 2 3 2 2" xfId="16722"/>
    <cellStyle name="Normal 5 3 3 2 3 2 2 2" xfId="26941"/>
    <cellStyle name="Normal 5 3 3 2 3 2 3" xfId="13143"/>
    <cellStyle name="Normal 5 3 3 2 3 2 4" xfId="7854"/>
    <cellStyle name="Normal 5 3 3 2 3 2 5" xfId="21934"/>
    <cellStyle name="Normal 5 3 3 2 3 3" xfId="4017"/>
    <cellStyle name="Normal 5 3 3 2 3 3 2" xfId="17663"/>
    <cellStyle name="Normal 5 3 3 2 3 3 2 2" xfId="27914"/>
    <cellStyle name="Normal 5 3 3 2 3 3 3" xfId="14084"/>
    <cellStyle name="Normal 5 3 3 2 3 3 4" xfId="8827"/>
    <cellStyle name="Normal 5 3 3 2 3 3 5" xfId="22907"/>
    <cellStyle name="Normal 5 3 3 2 3 4" xfId="6261"/>
    <cellStyle name="Normal 5 3 3 2 3 4 2" xfId="15345"/>
    <cellStyle name="Normal 5 3 3 2 3 4 3" xfId="25349"/>
    <cellStyle name="Normal 5 3 3 2 3 5" xfId="10281"/>
    <cellStyle name="Normal 5 3 3 2 3 5 2" xfId="19108"/>
    <cellStyle name="Normal 5 3 3 2 3 5 3" xfId="29359"/>
    <cellStyle name="Normal 5 3 3 2 3 6" xfId="11727"/>
    <cellStyle name="Normal 5 3 3 2 3 6 2" xfId="24540"/>
    <cellStyle name="Normal 5 3 3 2 3 7" xfId="5448"/>
    <cellStyle name="Normal 5 3 3 2 3 8" xfId="20342"/>
    <cellStyle name="Normal 5 3 3 2 4" xfId="1568"/>
    <cellStyle name="Normal 5 3 3 2 4 2" xfId="3166"/>
    <cellStyle name="Normal 5 3 3 2 4 2 2" xfId="18086"/>
    <cellStyle name="Normal 5 3 3 2 4 2 2 2" xfId="28337"/>
    <cellStyle name="Normal 5 3 3 2 4 2 3" xfId="14507"/>
    <cellStyle name="Normal 5 3 3 2 4 2 4" xfId="9250"/>
    <cellStyle name="Normal 5 3 3 2 4 2 5" xfId="23330"/>
    <cellStyle name="Normal 5 3 3 2 4 3" xfId="10704"/>
    <cellStyle name="Normal 5 3 3 2 4 3 2" xfId="19531"/>
    <cellStyle name="Normal 5 3 3 2 4 3 3" xfId="29782"/>
    <cellStyle name="Normal 5 3 3 2 4 4" xfId="12150"/>
    <cellStyle name="Normal 5 3 3 2 4 4 2" xfId="26232"/>
    <cellStyle name="Normal 5 3 3 2 4 5" xfId="7145"/>
    <cellStyle name="Normal 5 3 3 2 4 6" xfId="21225"/>
    <cellStyle name="Normal 5 3 3 2 5" xfId="2123"/>
    <cellStyle name="Normal 5 3 3 2 5 2" xfId="17043"/>
    <cellStyle name="Normal 5 3 3 2 5 2 2" xfId="27294"/>
    <cellStyle name="Normal 5 3 3 2 5 3" xfId="13464"/>
    <cellStyle name="Normal 5 3 3 2 5 4" xfId="8207"/>
    <cellStyle name="Normal 5 3 3 2 5 5" xfId="22287"/>
    <cellStyle name="Normal 5 3 3 2 6" xfId="5768"/>
    <cellStyle name="Normal 5 3 3 2 6 2" xfId="14854"/>
    <cellStyle name="Normal 5 3 3 2 6 3" xfId="24858"/>
    <cellStyle name="Normal 5 3 3 2 7" xfId="9661"/>
    <cellStyle name="Normal 5 3 3 2 7 2" xfId="18488"/>
    <cellStyle name="Normal 5 3 3 2 7 3" xfId="28739"/>
    <cellStyle name="Normal 5 3 3 2 8" xfId="11105"/>
    <cellStyle name="Normal 5 3 3 2 8 2" xfId="23831"/>
    <cellStyle name="Normal 5 3 3 2 9" xfId="4739"/>
    <cellStyle name="Normal 5 3 3 2_Degree data" xfId="1304"/>
    <cellStyle name="Normal 5 3 3 3" xfId="662"/>
    <cellStyle name="Normal 5 3 3 3 2" xfId="2394"/>
    <cellStyle name="Normal 5 3 3 3 2 2" xfId="16059"/>
    <cellStyle name="Normal 5 3 3 3 2 2 2" xfId="26132"/>
    <cellStyle name="Normal 5 3 3 3 2 3" xfId="12370"/>
    <cellStyle name="Normal 5 3 3 3 2 4" xfId="7045"/>
    <cellStyle name="Normal 5 3 3 3 2 5" xfId="21125"/>
    <cellStyle name="Normal 5 3 3 3 3" xfId="3667"/>
    <cellStyle name="Normal 5 3 3 3 3 2" xfId="17314"/>
    <cellStyle name="Normal 5 3 3 3 3 2 2" xfId="27565"/>
    <cellStyle name="Normal 5 3 3 3 3 3" xfId="13735"/>
    <cellStyle name="Normal 5 3 3 3 3 4" xfId="8478"/>
    <cellStyle name="Normal 5 3 3 3 3 5" xfId="22558"/>
    <cellStyle name="Normal 5 3 3 3 4" xfId="6161"/>
    <cellStyle name="Normal 5 3 3 3 4 2" xfId="15245"/>
    <cellStyle name="Normal 5 3 3 3 4 3" xfId="25249"/>
    <cellStyle name="Normal 5 3 3 3 5" xfId="9932"/>
    <cellStyle name="Normal 5 3 3 3 5 2" xfId="18759"/>
    <cellStyle name="Normal 5 3 3 3 5 3" xfId="29010"/>
    <cellStyle name="Normal 5 3 3 3 6" xfId="11377"/>
    <cellStyle name="Normal 5 3 3 3 6 2" xfId="23731"/>
    <cellStyle name="Normal 5 3 3 3 7" xfId="4639"/>
    <cellStyle name="Normal 5 3 3 3 8" xfId="20242"/>
    <cellStyle name="Normal 5 3 3 4" xfId="1020"/>
    <cellStyle name="Normal 5 3 3 4 2" xfId="2742"/>
    <cellStyle name="Normal 5 3 3 4 2 2" xfId="16289"/>
    <cellStyle name="Normal 5 3 3 4 2 2 2" xfId="26508"/>
    <cellStyle name="Normal 5 3 3 4 2 3" xfId="12711"/>
    <cellStyle name="Normal 5 3 3 4 2 4" xfId="7421"/>
    <cellStyle name="Normal 5 3 3 4 2 5" xfId="21501"/>
    <cellStyle name="Normal 5 3 3 4 3" xfId="4016"/>
    <cellStyle name="Normal 5 3 3 4 3 2" xfId="17662"/>
    <cellStyle name="Normal 5 3 3 4 3 2 2" xfId="27913"/>
    <cellStyle name="Normal 5 3 3 4 3 3" xfId="14083"/>
    <cellStyle name="Normal 5 3 3 4 3 4" xfId="8826"/>
    <cellStyle name="Normal 5 3 3 4 3 5" xfId="22906"/>
    <cellStyle name="Normal 5 3 3 4 4" xfId="6537"/>
    <cellStyle name="Normal 5 3 3 4 4 2" xfId="15621"/>
    <cellStyle name="Normal 5 3 3 4 4 3" xfId="25625"/>
    <cellStyle name="Normal 5 3 3 4 5" xfId="10280"/>
    <cellStyle name="Normal 5 3 3 4 5 2" xfId="19107"/>
    <cellStyle name="Normal 5 3 3 4 5 3" xfId="29358"/>
    <cellStyle name="Normal 5 3 3 4 6" xfId="11726"/>
    <cellStyle name="Normal 5 3 3 4 6 2" xfId="24107"/>
    <cellStyle name="Normal 5 3 3 4 7" xfId="5015"/>
    <cellStyle name="Normal 5 3 3 4 8" xfId="20618"/>
    <cellStyle name="Normal 5 3 3 5" xfId="1466"/>
    <cellStyle name="Normal 5 3 3 5 2" xfId="3066"/>
    <cellStyle name="Normal 5 3 3 5 2 2" xfId="16622"/>
    <cellStyle name="Normal 5 3 3 5 2 2 2" xfId="26841"/>
    <cellStyle name="Normal 5 3 3 5 2 3" xfId="13043"/>
    <cellStyle name="Normal 5 3 3 5 2 4" xfId="7754"/>
    <cellStyle name="Normal 5 3 3 5 2 5" xfId="21834"/>
    <cellStyle name="Normal 5 3 3 5 3" xfId="4280"/>
    <cellStyle name="Normal 5 3 3 5 3 2" xfId="17986"/>
    <cellStyle name="Normal 5 3 3 5 3 2 2" xfId="28237"/>
    <cellStyle name="Normal 5 3 3 5 3 3" xfId="14407"/>
    <cellStyle name="Normal 5 3 3 5 3 4" xfId="9150"/>
    <cellStyle name="Normal 5 3 3 5 3 5" xfId="23230"/>
    <cellStyle name="Normal 5 3 3 5 4" xfId="5942"/>
    <cellStyle name="Normal 5 3 3 5 4 2" xfId="15028"/>
    <cellStyle name="Normal 5 3 3 5 4 3" xfId="25032"/>
    <cellStyle name="Normal 5 3 3 5 5" xfId="10604"/>
    <cellStyle name="Normal 5 3 3 5 5 2" xfId="19431"/>
    <cellStyle name="Normal 5 3 3 5 5 3" xfId="29682"/>
    <cellStyle name="Normal 5 3 3 5 6" xfId="12050"/>
    <cellStyle name="Normal 5 3 3 5 6 2" xfId="24440"/>
    <cellStyle name="Normal 5 3 3 5 7" xfId="5348"/>
    <cellStyle name="Normal 5 3 3 5 8" xfId="20025"/>
    <cellStyle name="Normal 5 3 3 6" xfId="2023"/>
    <cellStyle name="Normal 5 3 3 6 2" xfId="15871"/>
    <cellStyle name="Normal 5 3 3 6 2 2" xfId="25915"/>
    <cellStyle name="Normal 5 3 3 6 3" xfId="12413"/>
    <cellStyle name="Normal 5 3 3 6 4" xfId="6828"/>
    <cellStyle name="Normal 5 3 3 6 5" xfId="20908"/>
    <cellStyle name="Normal 5 3 3 7" xfId="3442"/>
    <cellStyle name="Normal 5 3 3 7 2" xfId="16943"/>
    <cellStyle name="Normal 5 3 3 7 2 2" xfId="27194"/>
    <cellStyle name="Normal 5 3 3 7 3" xfId="13364"/>
    <cellStyle name="Normal 5 3 3 7 4" xfId="8107"/>
    <cellStyle name="Normal 5 3 3 7 5" xfId="22187"/>
    <cellStyle name="Normal 5 3 3 8" xfId="5668"/>
    <cellStyle name="Normal 5 3 3 8 2" xfId="14754"/>
    <cellStyle name="Normal 5 3 3 8 3" xfId="24758"/>
    <cellStyle name="Normal 5 3 3 9" xfId="9561"/>
    <cellStyle name="Normal 5 3 3 9 2" xfId="18388"/>
    <cellStyle name="Normal 5 3 3 9 3" xfId="28639"/>
    <cellStyle name="Normal 5 3 3_Degree data" xfId="1286"/>
    <cellStyle name="Normal 5 3 4" xfId="195"/>
    <cellStyle name="Normal 5 3 4 10" xfId="10927"/>
    <cellStyle name="Normal 5 3 4 10 2" xfId="23541"/>
    <cellStyle name="Normal 5 3 4 11" xfId="4449"/>
    <cellStyle name="Normal 5 3 4 12" xfId="19673"/>
    <cellStyle name="Normal 5 3 4 2" xfId="409"/>
    <cellStyle name="Normal 5 3 4 2 10" xfId="19878"/>
    <cellStyle name="Normal 5 3 4 2 2" xfId="665"/>
    <cellStyle name="Normal 5 3 4 2 2 2" xfId="2397"/>
    <cellStyle name="Normal 5 3 4 2 2 2 2" xfId="16292"/>
    <cellStyle name="Normal 5 3 4 2 2 2 2 2" xfId="26511"/>
    <cellStyle name="Normal 5 3 4 2 2 2 3" xfId="12714"/>
    <cellStyle name="Normal 5 3 4 2 2 2 4" xfId="7424"/>
    <cellStyle name="Normal 5 3 4 2 2 2 5" xfId="21504"/>
    <cellStyle name="Normal 5 3 4 2 2 3" xfId="3670"/>
    <cellStyle name="Normal 5 3 4 2 2 3 2" xfId="17317"/>
    <cellStyle name="Normal 5 3 4 2 2 3 2 2" xfId="27568"/>
    <cellStyle name="Normal 5 3 4 2 2 3 3" xfId="13738"/>
    <cellStyle name="Normal 5 3 4 2 2 3 4" xfId="8481"/>
    <cellStyle name="Normal 5 3 4 2 2 3 5" xfId="22561"/>
    <cellStyle name="Normal 5 3 4 2 2 4" xfId="6540"/>
    <cellStyle name="Normal 5 3 4 2 2 4 2" xfId="15624"/>
    <cellStyle name="Normal 5 3 4 2 2 4 3" xfId="25628"/>
    <cellStyle name="Normal 5 3 4 2 2 5" xfId="9935"/>
    <cellStyle name="Normal 5 3 4 2 2 5 2" xfId="18762"/>
    <cellStyle name="Normal 5 3 4 2 2 5 3" xfId="29013"/>
    <cellStyle name="Normal 5 3 4 2 2 6" xfId="11380"/>
    <cellStyle name="Normal 5 3 4 2 2 6 2" xfId="24110"/>
    <cellStyle name="Normal 5 3 4 2 2 7" xfId="5018"/>
    <cellStyle name="Normal 5 3 4 2 2 8" xfId="20621"/>
    <cellStyle name="Normal 5 3 4 2 3" xfId="1023"/>
    <cellStyle name="Normal 5 3 4 2 3 2" xfId="2745"/>
    <cellStyle name="Normal 5 3 4 2 3 2 2" xfId="16749"/>
    <cellStyle name="Normal 5 3 4 2 3 2 2 2" xfId="26968"/>
    <cellStyle name="Normal 5 3 4 2 3 2 3" xfId="13170"/>
    <cellStyle name="Normal 5 3 4 2 3 2 4" xfId="7881"/>
    <cellStyle name="Normal 5 3 4 2 3 2 5" xfId="21961"/>
    <cellStyle name="Normal 5 3 4 2 3 3" xfId="4019"/>
    <cellStyle name="Normal 5 3 4 2 3 3 2" xfId="17665"/>
    <cellStyle name="Normal 5 3 4 2 3 3 2 2" xfId="27916"/>
    <cellStyle name="Normal 5 3 4 2 3 3 3" xfId="14086"/>
    <cellStyle name="Normal 5 3 4 2 3 3 4" xfId="8829"/>
    <cellStyle name="Normal 5 3 4 2 3 3 5" xfId="22909"/>
    <cellStyle name="Normal 5 3 4 2 3 4" xfId="6288"/>
    <cellStyle name="Normal 5 3 4 2 3 4 2" xfId="15372"/>
    <cellStyle name="Normal 5 3 4 2 3 4 3" xfId="25376"/>
    <cellStyle name="Normal 5 3 4 2 3 5" xfId="10283"/>
    <cellStyle name="Normal 5 3 4 2 3 5 2" xfId="19110"/>
    <cellStyle name="Normal 5 3 4 2 3 5 3" xfId="29361"/>
    <cellStyle name="Normal 5 3 4 2 3 6" xfId="11729"/>
    <cellStyle name="Normal 5 3 4 2 3 6 2" xfId="24567"/>
    <cellStyle name="Normal 5 3 4 2 3 7" xfId="5475"/>
    <cellStyle name="Normal 5 3 4 2 3 8" xfId="20369"/>
    <cellStyle name="Normal 5 3 4 2 4" xfId="1596"/>
    <cellStyle name="Normal 5 3 4 2 4 2" xfId="3193"/>
    <cellStyle name="Normal 5 3 4 2 4 2 2" xfId="18113"/>
    <cellStyle name="Normal 5 3 4 2 4 2 2 2" xfId="28364"/>
    <cellStyle name="Normal 5 3 4 2 4 2 3" xfId="14534"/>
    <cellStyle name="Normal 5 3 4 2 4 2 4" xfId="9277"/>
    <cellStyle name="Normal 5 3 4 2 4 2 5" xfId="23357"/>
    <cellStyle name="Normal 5 3 4 2 4 3" xfId="10731"/>
    <cellStyle name="Normal 5 3 4 2 4 3 2" xfId="19558"/>
    <cellStyle name="Normal 5 3 4 2 4 3 3" xfId="29809"/>
    <cellStyle name="Normal 5 3 4 2 4 4" xfId="12177"/>
    <cellStyle name="Normal 5 3 4 2 4 4 2" xfId="26259"/>
    <cellStyle name="Normal 5 3 4 2 4 5" xfId="7172"/>
    <cellStyle name="Normal 5 3 4 2 4 6" xfId="21252"/>
    <cellStyle name="Normal 5 3 4 2 5" xfId="2150"/>
    <cellStyle name="Normal 5 3 4 2 5 2" xfId="17070"/>
    <cellStyle name="Normal 5 3 4 2 5 2 2" xfId="27321"/>
    <cellStyle name="Normal 5 3 4 2 5 3" xfId="13491"/>
    <cellStyle name="Normal 5 3 4 2 5 4" xfId="8234"/>
    <cellStyle name="Normal 5 3 4 2 5 5" xfId="22314"/>
    <cellStyle name="Normal 5 3 4 2 6" xfId="5795"/>
    <cellStyle name="Normal 5 3 4 2 6 2" xfId="14881"/>
    <cellStyle name="Normal 5 3 4 2 6 3" xfId="24885"/>
    <cellStyle name="Normal 5 3 4 2 7" xfId="9688"/>
    <cellStyle name="Normal 5 3 4 2 7 2" xfId="18515"/>
    <cellStyle name="Normal 5 3 4 2 7 3" xfId="28766"/>
    <cellStyle name="Normal 5 3 4 2 8" xfId="11132"/>
    <cellStyle name="Normal 5 3 4 2 8 2" xfId="23858"/>
    <cellStyle name="Normal 5 3 4 2 9" xfId="4766"/>
    <cellStyle name="Normal 5 3 4 2_Degree data" xfId="1374"/>
    <cellStyle name="Normal 5 3 4 3" xfId="664"/>
    <cellStyle name="Normal 5 3 4 3 2" xfId="2396"/>
    <cellStyle name="Normal 5 3 4 3 2 2" xfId="15981"/>
    <cellStyle name="Normal 5 3 4 3 2 2 2" xfId="26054"/>
    <cellStyle name="Normal 5 3 4 3 2 3" xfId="12386"/>
    <cellStyle name="Normal 5 3 4 3 2 4" xfId="6967"/>
    <cellStyle name="Normal 5 3 4 3 2 5" xfId="21047"/>
    <cellStyle name="Normal 5 3 4 3 3" xfId="3669"/>
    <cellStyle name="Normal 5 3 4 3 3 2" xfId="17316"/>
    <cellStyle name="Normal 5 3 4 3 3 2 2" xfId="27567"/>
    <cellStyle name="Normal 5 3 4 3 3 3" xfId="13737"/>
    <cellStyle name="Normal 5 3 4 3 3 4" xfId="8480"/>
    <cellStyle name="Normal 5 3 4 3 3 5" xfId="22560"/>
    <cellStyle name="Normal 5 3 4 3 4" xfId="6083"/>
    <cellStyle name="Normal 5 3 4 3 4 2" xfId="15167"/>
    <cellStyle name="Normal 5 3 4 3 4 3" xfId="25171"/>
    <cellStyle name="Normal 5 3 4 3 5" xfId="9934"/>
    <cellStyle name="Normal 5 3 4 3 5 2" xfId="18761"/>
    <cellStyle name="Normal 5 3 4 3 5 3" xfId="29012"/>
    <cellStyle name="Normal 5 3 4 3 6" xfId="11379"/>
    <cellStyle name="Normal 5 3 4 3 6 2" xfId="23653"/>
    <cellStyle name="Normal 5 3 4 3 7" xfId="4561"/>
    <cellStyle name="Normal 5 3 4 3 8" xfId="20164"/>
    <cellStyle name="Normal 5 3 4 4" xfId="1022"/>
    <cellStyle name="Normal 5 3 4 4 2" xfId="2744"/>
    <cellStyle name="Normal 5 3 4 4 2 2" xfId="16291"/>
    <cellStyle name="Normal 5 3 4 4 2 2 2" xfId="26510"/>
    <cellStyle name="Normal 5 3 4 4 2 3" xfId="12713"/>
    <cellStyle name="Normal 5 3 4 4 2 4" xfId="7423"/>
    <cellStyle name="Normal 5 3 4 4 2 5" xfId="21503"/>
    <cellStyle name="Normal 5 3 4 4 3" xfId="4018"/>
    <cellStyle name="Normal 5 3 4 4 3 2" xfId="17664"/>
    <cellStyle name="Normal 5 3 4 4 3 2 2" xfId="27915"/>
    <cellStyle name="Normal 5 3 4 4 3 3" xfId="14085"/>
    <cellStyle name="Normal 5 3 4 4 3 4" xfId="8828"/>
    <cellStyle name="Normal 5 3 4 4 3 5" xfId="22908"/>
    <cellStyle name="Normal 5 3 4 4 4" xfId="6539"/>
    <cellStyle name="Normal 5 3 4 4 4 2" xfId="15623"/>
    <cellStyle name="Normal 5 3 4 4 4 3" xfId="25627"/>
    <cellStyle name="Normal 5 3 4 4 5" xfId="10282"/>
    <cellStyle name="Normal 5 3 4 4 5 2" xfId="19109"/>
    <cellStyle name="Normal 5 3 4 4 5 3" xfId="29360"/>
    <cellStyle name="Normal 5 3 4 4 6" xfId="11728"/>
    <cellStyle name="Normal 5 3 4 4 6 2" xfId="24109"/>
    <cellStyle name="Normal 5 3 4 4 7" xfId="5017"/>
    <cellStyle name="Normal 5 3 4 4 8" xfId="20620"/>
    <cellStyle name="Normal 5 3 4 5" xfId="1382"/>
    <cellStyle name="Normal 5 3 4 5 2" xfId="2988"/>
    <cellStyle name="Normal 5 3 4 5 2 2" xfId="16544"/>
    <cellStyle name="Normal 5 3 4 5 2 2 2" xfId="26763"/>
    <cellStyle name="Normal 5 3 4 5 2 3" xfId="12965"/>
    <cellStyle name="Normal 5 3 4 5 2 4" xfId="7676"/>
    <cellStyle name="Normal 5 3 4 5 2 5" xfId="21756"/>
    <cellStyle name="Normal 5 3 4 5 3" xfId="4202"/>
    <cellStyle name="Normal 5 3 4 5 3 2" xfId="17908"/>
    <cellStyle name="Normal 5 3 4 5 3 2 2" xfId="28159"/>
    <cellStyle name="Normal 5 3 4 5 3 3" xfId="14329"/>
    <cellStyle name="Normal 5 3 4 5 3 4" xfId="9072"/>
    <cellStyle name="Normal 5 3 4 5 3 5" xfId="23152"/>
    <cellStyle name="Normal 5 3 4 5 4" xfId="5969"/>
    <cellStyle name="Normal 5 3 4 5 4 2" xfId="15055"/>
    <cellStyle name="Normal 5 3 4 5 4 3" xfId="25059"/>
    <cellStyle name="Normal 5 3 4 5 5" xfId="10526"/>
    <cellStyle name="Normal 5 3 4 5 5 2" xfId="19353"/>
    <cellStyle name="Normal 5 3 4 5 5 3" xfId="29604"/>
    <cellStyle name="Normal 5 3 4 5 6" xfId="11972"/>
    <cellStyle name="Normal 5 3 4 5 6 2" xfId="24362"/>
    <cellStyle name="Normal 5 3 4 5 7" xfId="5270"/>
    <cellStyle name="Normal 5 3 4 5 8" xfId="20052"/>
    <cellStyle name="Normal 5 3 4 6" xfId="1945"/>
    <cellStyle name="Normal 5 3 4 6 2" xfId="15898"/>
    <cellStyle name="Normal 5 3 4 6 2 2" xfId="25942"/>
    <cellStyle name="Normal 5 3 4 6 3" xfId="12493"/>
    <cellStyle name="Normal 5 3 4 6 4" xfId="6855"/>
    <cellStyle name="Normal 5 3 4 6 5" xfId="20935"/>
    <cellStyle name="Normal 5 3 4 7" xfId="3365"/>
    <cellStyle name="Normal 5 3 4 7 2" xfId="16865"/>
    <cellStyle name="Normal 5 3 4 7 2 2" xfId="27116"/>
    <cellStyle name="Normal 5 3 4 7 3" xfId="13286"/>
    <cellStyle name="Normal 5 3 4 7 4" xfId="8029"/>
    <cellStyle name="Normal 5 3 4 7 5" xfId="22109"/>
    <cellStyle name="Normal 5 3 4 8" xfId="5590"/>
    <cellStyle name="Normal 5 3 4 8 2" xfId="14676"/>
    <cellStyle name="Normal 5 3 4 8 3" xfId="24680"/>
    <cellStyle name="Normal 5 3 4 9" xfId="9483"/>
    <cellStyle name="Normal 5 3 4 9 2" xfId="18310"/>
    <cellStyle name="Normal 5 3 4 9 3" xfId="28561"/>
    <cellStyle name="Normal 5 3 4_Degree data" xfId="1249"/>
    <cellStyle name="Normal 5 3 5" xfId="301"/>
    <cellStyle name="Normal 5 3 5 10" xfId="19773"/>
    <cellStyle name="Normal 5 3 5 2" xfId="666"/>
    <cellStyle name="Normal 5 3 5 2 2" xfId="2398"/>
    <cellStyle name="Normal 5 3 5 2 2 2" xfId="16293"/>
    <cellStyle name="Normal 5 3 5 2 2 2 2" xfId="26512"/>
    <cellStyle name="Normal 5 3 5 2 2 3" xfId="12715"/>
    <cellStyle name="Normal 5 3 5 2 2 4" xfId="7425"/>
    <cellStyle name="Normal 5 3 5 2 2 5" xfId="21505"/>
    <cellStyle name="Normal 5 3 5 2 3" xfId="3671"/>
    <cellStyle name="Normal 5 3 5 2 3 2" xfId="17318"/>
    <cellStyle name="Normal 5 3 5 2 3 2 2" xfId="27569"/>
    <cellStyle name="Normal 5 3 5 2 3 3" xfId="13739"/>
    <cellStyle name="Normal 5 3 5 2 3 4" xfId="8482"/>
    <cellStyle name="Normal 5 3 5 2 3 5" xfId="22562"/>
    <cellStyle name="Normal 5 3 5 2 4" xfId="6541"/>
    <cellStyle name="Normal 5 3 5 2 4 2" xfId="15625"/>
    <cellStyle name="Normal 5 3 5 2 4 3" xfId="25629"/>
    <cellStyle name="Normal 5 3 5 2 5" xfId="9936"/>
    <cellStyle name="Normal 5 3 5 2 5 2" xfId="18763"/>
    <cellStyle name="Normal 5 3 5 2 5 3" xfId="29014"/>
    <cellStyle name="Normal 5 3 5 2 6" xfId="11381"/>
    <cellStyle name="Normal 5 3 5 2 6 2" xfId="24111"/>
    <cellStyle name="Normal 5 3 5 2 7" xfId="5019"/>
    <cellStyle name="Normal 5 3 5 2 8" xfId="20622"/>
    <cellStyle name="Normal 5 3 5 3" xfId="1024"/>
    <cellStyle name="Normal 5 3 5 3 2" xfId="2746"/>
    <cellStyle name="Normal 5 3 5 3 2 2" xfId="16644"/>
    <cellStyle name="Normal 5 3 5 3 2 2 2" xfId="26863"/>
    <cellStyle name="Normal 5 3 5 3 2 3" xfId="13065"/>
    <cellStyle name="Normal 5 3 5 3 2 4" xfId="7776"/>
    <cellStyle name="Normal 5 3 5 3 2 5" xfId="21856"/>
    <cellStyle name="Normal 5 3 5 3 3" xfId="4020"/>
    <cellStyle name="Normal 5 3 5 3 3 2" xfId="17666"/>
    <cellStyle name="Normal 5 3 5 3 3 2 2" xfId="27917"/>
    <cellStyle name="Normal 5 3 5 3 3 3" xfId="14087"/>
    <cellStyle name="Normal 5 3 5 3 3 4" xfId="8830"/>
    <cellStyle name="Normal 5 3 5 3 3 5" xfId="22910"/>
    <cellStyle name="Normal 5 3 5 3 4" xfId="6183"/>
    <cellStyle name="Normal 5 3 5 3 4 2" xfId="15267"/>
    <cellStyle name="Normal 5 3 5 3 4 3" xfId="25271"/>
    <cellStyle name="Normal 5 3 5 3 5" xfId="10284"/>
    <cellStyle name="Normal 5 3 5 3 5 2" xfId="19111"/>
    <cellStyle name="Normal 5 3 5 3 5 3" xfId="29362"/>
    <cellStyle name="Normal 5 3 5 3 6" xfId="11730"/>
    <cellStyle name="Normal 5 3 5 3 6 2" xfId="24462"/>
    <cellStyle name="Normal 5 3 5 3 7" xfId="5370"/>
    <cellStyle name="Normal 5 3 5 3 8" xfId="20264"/>
    <cellStyle name="Normal 5 3 5 4" xfId="1488"/>
    <cellStyle name="Normal 5 3 5 4 2" xfId="3088"/>
    <cellStyle name="Normal 5 3 5 4 2 2" xfId="18008"/>
    <cellStyle name="Normal 5 3 5 4 2 2 2" xfId="28259"/>
    <cellStyle name="Normal 5 3 5 4 2 3" xfId="14429"/>
    <cellStyle name="Normal 5 3 5 4 2 4" xfId="9172"/>
    <cellStyle name="Normal 5 3 5 4 2 5" xfId="23252"/>
    <cellStyle name="Normal 5 3 5 4 3" xfId="10626"/>
    <cellStyle name="Normal 5 3 5 4 3 2" xfId="19453"/>
    <cellStyle name="Normal 5 3 5 4 3 3" xfId="29704"/>
    <cellStyle name="Normal 5 3 5 4 4" xfId="12072"/>
    <cellStyle name="Normal 5 3 5 4 4 2" xfId="26154"/>
    <cellStyle name="Normal 5 3 5 4 5" xfId="7067"/>
    <cellStyle name="Normal 5 3 5 4 6" xfId="21147"/>
    <cellStyle name="Normal 5 3 5 5" xfId="2045"/>
    <cellStyle name="Normal 5 3 5 5 2" xfId="16965"/>
    <cellStyle name="Normal 5 3 5 5 2 2" xfId="27216"/>
    <cellStyle name="Normal 5 3 5 5 3" xfId="13386"/>
    <cellStyle name="Normal 5 3 5 5 4" xfId="8129"/>
    <cellStyle name="Normal 5 3 5 5 5" xfId="22209"/>
    <cellStyle name="Normal 5 3 5 6" xfId="5690"/>
    <cellStyle name="Normal 5 3 5 6 2" xfId="14776"/>
    <cellStyle name="Normal 5 3 5 6 3" xfId="24780"/>
    <cellStyle name="Normal 5 3 5 7" xfId="9583"/>
    <cellStyle name="Normal 5 3 5 7 2" xfId="18410"/>
    <cellStyle name="Normal 5 3 5 7 3" xfId="28661"/>
    <cellStyle name="Normal 5 3 5 8" xfId="11027"/>
    <cellStyle name="Normal 5 3 5 8 2" xfId="23753"/>
    <cellStyle name="Normal 5 3 5 9" xfId="4661"/>
    <cellStyle name="Normal 5 3 5_Degree data" xfId="1336"/>
    <cellStyle name="Normal 5 3 6" xfId="140"/>
    <cellStyle name="Normal 5 3 6 10" xfId="20117"/>
    <cellStyle name="Normal 5 3 6 2" xfId="667"/>
    <cellStyle name="Normal 5 3 6 2 2" xfId="2399"/>
    <cellStyle name="Normal 5 3 6 2 2 2" xfId="16294"/>
    <cellStyle name="Normal 5 3 6 2 2 2 2" xfId="26513"/>
    <cellStyle name="Normal 5 3 6 2 2 3" xfId="12716"/>
    <cellStyle name="Normal 5 3 6 2 2 4" xfId="7426"/>
    <cellStyle name="Normal 5 3 6 2 2 5" xfId="21506"/>
    <cellStyle name="Normal 5 3 6 2 3" xfId="3672"/>
    <cellStyle name="Normal 5 3 6 2 3 2" xfId="17319"/>
    <cellStyle name="Normal 5 3 6 2 3 2 2" xfId="27570"/>
    <cellStyle name="Normal 5 3 6 2 3 3" xfId="13740"/>
    <cellStyle name="Normal 5 3 6 2 3 4" xfId="8483"/>
    <cellStyle name="Normal 5 3 6 2 3 5" xfId="22563"/>
    <cellStyle name="Normal 5 3 6 2 4" xfId="6542"/>
    <cellStyle name="Normal 5 3 6 2 4 2" xfId="15626"/>
    <cellStyle name="Normal 5 3 6 2 4 3" xfId="25630"/>
    <cellStyle name="Normal 5 3 6 2 5" xfId="9937"/>
    <cellStyle name="Normal 5 3 6 2 5 2" xfId="18764"/>
    <cellStyle name="Normal 5 3 6 2 5 3" xfId="29015"/>
    <cellStyle name="Normal 5 3 6 2 6" xfId="11382"/>
    <cellStyle name="Normal 5 3 6 2 6 2" xfId="24112"/>
    <cellStyle name="Normal 5 3 6 2 7" xfId="5020"/>
    <cellStyle name="Normal 5 3 6 2 8" xfId="20623"/>
    <cellStyle name="Normal 5 3 6 3" xfId="1025"/>
    <cellStyle name="Normal 5 3 6 3 2" xfId="2747"/>
    <cellStyle name="Normal 5 3 6 3 2 2" xfId="16497"/>
    <cellStyle name="Normal 5 3 6 3 2 2 2" xfId="26716"/>
    <cellStyle name="Normal 5 3 6 3 2 3" xfId="12919"/>
    <cellStyle name="Normal 5 3 6 3 2 4" xfId="7629"/>
    <cellStyle name="Normal 5 3 6 3 2 5" xfId="21709"/>
    <cellStyle name="Normal 5 3 6 3 3" xfId="4021"/>
    <cellStyle name="Normal 5 3 6 3 3 2" xfId="17667"/>
    <cellStyle name="Normal 5 3 6 3 3 2 2" xfId="27918"/>
    <cellStyle name="Normal 5 3 6 3 3 3" xfId="14088"/>
    <cellStyle name="Normal 5 3 6 3 3 4" xfId="8831"/>
    <cellStyle name="Normal 5 3 6 3 3 5" xfId="22911"/>
    <cellStyle name="Normal 5 3 6 3 4" xfId="5856"/>
    <cellStyle name="Normal 5 3 6 3 4 2" xfId="14942"/>
    <cellStyle name="Normal 5 3 6 3 4 3" xfId="24946"/>
    <cellStyle name="Normal 5 3 6 3 5" xfId="10285"/>
    <cellStyle name="Normal 5 3 6 3 5 2" xfId="19112"/>
    <cellStyle name="Normal 5 3 6 3 5 3" xfId="29363"/>
    <cellStyle name="Normal 5 3 6 3 6" xfId="11731"/>
    <cellStyle name="Normal 5 3 6 3 6 2" xfId="24315"/>
    <cellStyle name="Normal 5 3 6 3 7" xfId="5223"/>
    <cellStyle name="Normal 5 3 6 3 8" xfId="19939"/>
    <cellStyle name="Normal 5 3 6 4" xfId="1327"/>
    <cellStyle name="Normal 5 3 6 4 2" xfId="2941"/>
    <cellStyle name="Normal 5 3 6 4 2 2" xfId="17861"/>
    <cellStyle name="Normal 5 3 6 4 2 2 2" xfId="28112"/>
    <cellStyle name="Normal 5 3 6 4 2 3" xfId="14282"/>
    <cellStyle name="Normal 5 3 6 4 2 4" xfId="9025"/>
    <cellStyle name="Normal 5 3 6 4 2 5" xfId="23105"/>
    <cellStyle name="Normal 5 3 6 4 3" xfId="10479"/>
    <cellStyle name="Normal 5 3 6 4 3 2" xfId="19306"/>
    <cellStyle name="Normal 5 3 6 4 3 3" xfId="29557"/>
    <cellStyle name="Normal 5 3 6 4 4" xfId="11925"/>
    <cellStyle name="Normal 5 3 6 4 4 2" xfId="26007"/>
    <cellStyle name="Normal 5 3 6 4 5" xfId="6920"/>
    <cellStyle name="Normal 5 3 6 4 6" xfId="21000"/>
    <cellStyle name="Normal 5 3 6 5" xfId="1898"/>
    <cellStyle name="Normal 5 3 6 5 2" xfId="16816"/>
    <cellStyle name="Normal 5 3 6 5 2 2" xfId="27067"/>
    <cellStyle name="Normal 5 3 6 5 3" xfId="13237"/>
    <cellStyle name="Normal 5 3 6 5 4" xfId="7980"/>
    <cellStyle name="Normal 5 3 6 5 5" xfId="22060"/>
    <cellStyle name="Normal 5 3 6 6" xfId="6036"/>
    <cellStyle name="Normal 5 3 6 6 2" xfId="15120"/>
    <cellStyle name="Normal 5 3 6 6 3" xfId="25124"/>
    <cellStyle name="Normal 5 3 6 7" xfId="9436"/>
    <cellStyle name="Normal 5 3 6 7 2" xfId="18263"/>
    <cellStyle name="Normal 5 3 6 7 3" xfId="28514"/>
    <cellStyle name="Normal 5 3 6 8" xfId="10880"/>
    <cellStyle name="Normal 5 3 6 8 2" xfId="23606"/>
    <cellStyle name="Normal 5 3 6 9" xfId="4514"/>
    <cellStyle name="Normal 5 3 6_Degree data" xfId="1299"/>
    <cellStyle name="Normal 5 3 7" xfId="656"/>
    <cellStyle name="Normal 5 3 7 2" xfId="2388"/>
    <cellStyle name="Normal 5 3 7 2 2" xfId="16283"/>
    <cellStyle name="Normal 5 3 7 2 2 2" xfId="26502"/>
    <cellStyle name="Normal 5 3 7 2 3" xfId="12705"/>
    <cellStyle name="Normal 5 3 7 2 4" xfId="7415"/>
    <cellStyle name="Normal 5 3 7 2 5" xfId="21495"/>
    <cellStyle name="Normal 5 3 7 3" xfId="3661"/>
    <cellStyle name="Normal 5 3 7 3 2" xfId="17308"/>
    <cellStyle name="Normal 5 3 7 3 2 2" xfId="27559"/>
    <cellStyle name="Normal 5 3 7 3 3" xfId="13729"/>
    <cellStyle name="Normal 5 3 7 3 4" xfId="8472"/>
    <cellStyle name="Normal 5 3 7 3 5" xfId="22552"/>
    <cellStyle name="Normal 5 3 7 4" xfId="6531"/>
    <cellStyle name="Normal 5 3 7 4 2" xfId="15615"/>
    <cellStyle name="Normal 5 3 7 4 3" xfId="25619"/>
    <cellStyle name="Normal 5 3 7 5" xfId="9926"/>
    <cellStyle name="Normal 5 3 7 5 2" xfId="18753"/>
    <cellStyle name="Normal 5 3 7 5 3" xfId="29004"/>
    <cellStyle name="Normal 5 3 7 6" xfId="11371"/>
    <cellStyle name="Normal 5 3 7 6 2" xfId="24101"/>
    <cellStyle name="Normal 5 3 7 7" xfId="5009"/>
    <cellStyle name="Normal 5 3 7 8" xfId="20612"/>
    <cellStyle name="Normal 5 3 8" xfId="1014"/>
    <cellStyle name="Normal 5 3 8 2" xfId="2736"/>
    <cellStyle name="Normal 5 3 8 2 2" xfId="16477"/>
    <cellStyle name="Normal 5 3 8 2 2 2" xfId="26696"/>
    <cellStyle name="Normal 5 3 8 2 3" xfId="12899"/>
    <cellStyle name="Normal 5 3 8 2 4" xfId="7609"/>
    <cellStyle name="Normal 5 3 8 2 5" xfId="21689"/>
    <cellStyle name="Normal 5 3 8 3" xfId="4010"/>
    <cellStyle name="Normal 5 3 8 3 2" xfId="17656"/>
    <cellStyle name="Normal 5 3 8 3 2 2" xfId="27907"/>
    <cellStyle name="Normal 5 3 8 3 3" xfId="14077"/>
    <cellStyle name="Normal 5 3 8 3 4" xfId="8820"/>
    <cellStyle name="Normal 5 3 8 3 5" xfId="22900"/>
    <cellStyle name="Normal 5 3 8 4" xfId="5863"/>
    <cellStyle name="Normal 5 3 8 4 2" xfId="14949"/>
    <cellStyle name="Normal 5 3 8 4 3" xfId="24953"/>
    <cellStyle name="Normal 5 3 8 5" xfId="10274"/>
    <cellStyle name="Normal 5 3 8 5 2" xfId="19101"/>
    <cellStyle name="Normal 5 3 8 5 3" xfId="29352"/>
    <cellStyle name="Normal 5 3 8 6" xfId="11720"/>
    <cellStyle name="Normal 5 3 8 6 2" xfId="24295"/>
    <cellStyle name="Normal 5 3 8 7" xfId="5203"/>
    <cellStyle name="Normal 5 3 8 8" xfId="19946"/>
    <cellStyle name="Normal 5 3 9" xfId="1301"/>
    <cellStyle name="Normal 5 3 9 2" xfId="2921"/>
    <cellStyle name="Normal 5 3 9 2 2" xfId="17841"/>
    <cellStyle name="Normal 5 3 9 2 2 2" xfId="28092"/>
    <cellStyle name="Normal 5 3 9 2 3" xfId="14262"/>
    <cellStyle name="Normal 5 3 9 2 4" xfId="9005"/>
    <cellStyle name="Normal 5 3 9 2 5" xfId="23085"/>
    <cellStyle name="Normal 5 3 9 3" xfId="10459"/>
    <cellStyle name="Normal 5 3 9 3 2" xfId="19286"/>
    <cellStyle name="Normal 5 3 9 3 3" xfId="29537"/>
    <cellStyle name="Normal 5 3 9 4" xfId="11905"/>
    <cellStyle name="Normal 5 3 9 4 2" xfId="25836"/>
    <cellStyle name="Normal 5 3 9 5" xfId="6749"/>
    <cellStyle name="Normal 5 3 9 6" xfId="20829"/>
    <cellStyle name="Normal 5 3_Degree data" xfId="1313"/>
    <cellStyle name="Normal 5 4" xfId="93"/>
    <cellStyle name="Normal 5 4 10" xfId="1844"/>
    <cellStyle name="Normal 5 4 10 2" xfId="14651"/>
    <cellStyle name="Normal 5 4 10 3" xfId="5565"/>
    <cellStyle name="Normal 5 4 10 4" xfId="24655"/>
    <cellStyle name="Normal 5 4 11" xfId="9385"/>
    <cellStyle name="Normal 5 4 11 2" xfId="18212"/>
    <cellStyle name="Normal 5 4 11 3" xfId="28463"/>
    <cellStyle name="Normal 5 4 12" xfId="10826"/>
    <cellStyle name="Normal 5 4 12 2" xfId="23470"/>
    <cellStyle name="Normal 5 4 13" xfId="4378"/>
    <cellStyle name="Normal 5 4 14" xfId="19648"/>
    <cellStyle name="Normal 5 4 2" xfId="277"/>
    <cellStyle name="Normal 5 4 2 10" xfId="11004"/>
    <cellStyle name="Normal 5 4 2 10 2" xfId="23513"/>
    <cellStyle name="Normal 5 4 2 11" xfId="4421"/>
    <cellStyle name="Normal 5 4 2 12" xfId="19750"/>
    <cellStyle name="Normal 5 4 2 2" xfId="379"/>
    <cellStyle name="Normal 5 4 2 2 10" xfId="19850"/>
    <cellStyle name="Normal 5 4 2 2 2" xfId="670"/>
    <cellStyle name="Normal 5 4 2 2 2 2" xfId="2402"/>
    <cellStyle name="Normal 5 4 2 2 2 2 2" xfId="16297"/>
    <cellStyle name="Normal 5 4 2 2 2 2 2 2" xfId="26516"/>
    <cellStyle name="Normal 5 4 2 2 2 2 3" xfId="12719"/>
    <cellStyle name="Normal 5 4 2 2 2 2 4" xfId="7429"/>
    <cellStyle name="Normal 5 4 2 2 2 2 5" xfId="21509"/>
    <cellStyle name="Normal 5 4 2 2 2 3" xfId="3675"/>
    <cellStyle name="Normal 5 4 2 2 2 3 2" xfId="17322"/>
    <cellStyle name="Normal 5 4 2 2 2 3 2 2" xfId="27573"/>
    <cellStyle name="Normal 5 4 2 2 2 3 3" xfId="13743"/>
    <cellStyle name="Normal 5 4 2 2 2 3 4" xfId="8486"/>
    <cellStyle name="Normal 5 4 2 2 2 3 5" xfId="22566"/>
    <cellStyle name="Normal 5 4 2 2 2 4" xfId="6545"/>
    <cellStyle name="Normal 5 4 2 2 2 4 2" xfId="15629"/>
    <cellStyle name="Normal 5 4 2 2 2 4 3" xfId="25633"/>
    <cellStyle name="Normal 5 4 2 2 2 5" xfId="9940"/>
    <cellStyle name="Normal 5 4 2 2 2 5 2" xfId="18767"/>
    <cellStyle name="Normal 5 4 2 2 2 5 3" xfId="29018"/>
    <cellStyle name="Normal 5 4 2 2 2 6" xfId="11385"/>
    <cellStyle name="Normal 5 4 2 2 2 6 2" xfId="24115"/>
    <cellStyle name="Normal 5 4 2 2 2 7" xfId="5023"/>
    <cellStyle name="Normal 5 4 2 2 2 8" xfId="20626"/>
    <cellStyle name="Normal 5 4 2 2 3" xfId="1028"/>
    <cellStyle name="Normal 5 4 2 2 3 2" xfId="2750"/>
    <cellStyle name="Normal 5 4 2 2 3 2 2" xfId="16721"/>
    <cellStyle name="Normal 5 4 2 2 3 2 2 2" xfId="26940"/>
    <cellStyle name="Normal 5 4 2 2 3 2 3" xfId="13142"/>
    <cellStyle name="Normal 5 4 2 2 3 2 4" xfId="7853"/>
    <cellStyle name="Normal 5 4 2 2 3 2 5" xfId="21933"/>
    <cellStyle name="Normal 5 4 2 2 3 3" xfId="4024"/>
    <cellStyle name="Normal 5 4 2 2 3 3 2" xfId="17670"/>
    <cellStyle name="Normal 5 4 2 2 3 3 2 2" xfId="27921"/>
    <cellStyle name="Normal 5 4 2 2 3 3 3" xfId="14091"/>
    <cellStyle name="Normal 5 4 2 2 3 3 4" xfId="8834"/>
    <cellStyle name="Normal 5 4 2 2 3 3 5" xfId="22914"/>
    <cellStyle name="Normal 5 4 2 2 3 4" xfId="6260"/>
    <cellStyle name="Normal 5 4 2 2 3 4 2" xfId="15344"/>
    <cellStyle name="Normal 5 4 2 2 3 4 3" xfId="25348"/>
    <cellStyle name="Normal 5 4 2 2 3 5" xfId="10288"/>
    <cellStyle name="Normal 5 4 2 2 3 5 2" xfId="19115"/>
    <cellStyle name="Normal 5 4 2 2 3 5 3" xfId="29366"/>
    <cellStyle name="Normal 5 4 2 2 3 6" xfId="11734"/>
    <cellStyle name="Normal 5 4 2 2 3 6 2" xfId="24539"/>
    <cellStyle name="Normal 5 4 2 2 3 7" xfId="5447"/>
    <cellStyle name="Normal 5 4 2 2 3 8" xfId="20341"/>
    <cellStyle name="Normal 5 4 2 2 4" xfId="1566"/>
    <cellStyle name="Normal 5 4 2 2 4 2" xfId="3165"/>
    <cellStyle name="Normal 5 4 2 2 4 2 2" xfId="18085"/>
    <cellStyle name="Normal 5 4 2 2 4 2 2 2" xfId="28336"/>
    <cellStyle name="Normal 5 4 2 2 4 2 3" xfId="14506"/>
    <cellStyle name="Normal 5 4 2 2 4 2 4" xfId="9249"/>
    <cellStyle name="Normal 5 4 2 2 4 2 5" xfId="23329"/>
    <cellStyle name="Normal 5 4 2 2 4 3" xfId="10703"/>
    <cellStyle name="Normal 5 4 2 2 4 3 2" xfId="19530"/>
    <cellStyle name="Normal 5 4 2 2 4 3 3" xfId="29781"/>
    <cellStyle name="Normal 5 4 2 2 4 4" xfId="12149"/>
    <cellStyle name="Normal 5 4 2 2 4 4 2" xfId="26231"/>
    <cellStyle name="Normal 5 4 2 2 4 5" xfId="7144"/>
    <cellStyle name="Normal 5 4 2 2 4 6" xfId="21224"/>
    <cellStyle name="Normal 5 4 2 2 5" xfId="2122"/>
    <cellStyle name="Normal 5 4 2 2 5 2" xfId="17042"/>
    <cellStyle name="Normal 5 4 2 2 5 2 2" xfId="27293"/>
    <cellStyle name="Normal 5 4 2 2 5 3" xfId="13463"/>
    <cellStyle name="Normal 5 4 2 2 5 4" xfId="8206"/>
    <cellStyle name="Normal 5 4 2 2 5 5" xfId="22286"/>
    <cellStyle name="Normal 5 4 2 2 6" xfId="5767"/>
    <cellStyle name="Normal 5 4 2 2 6 2" xfId="14853"/>
    <cellStyle name="Normal 5 4 2 2 6 3" xfId="24857"/>
    <cellStyle name="Normal 5 4 2 2 7" xfId="9660"/>
    <cellStyle name="Normal 5 4 2 2 7 2" xfId="18487"/>
    <cellStyle name="Normal 5 4 2 2 7 3" xfId="28738"/>
    <cellStyle name="Normal 5 4 2 2 8" xfId="11104"/>
    <cellStyle name="Normal 5 4 2 2 8 2" xfId="23830"/>
    <cellStyle name="Normal 5 4 2 2 9" xfId="4738"/>
    <cellStyle name="Normal 5 4 2 2_Degree data" xfId="1288"/>
    <cellStyle name="Normal 5 4 2 3" xfId="669"/>
    <cellStyle name="Normal 5 4 2 3 2" xfId="2401"/>
    <cellStyle name="Normal 5 4 2 3 2 2" xfId="16058"/>
    <cellStyle name="Normal 5 4 2 3 2 2 2" xfId="26131"/>
    <cellStyle name="Normal 5 4 2 3 2 3" xfId="12480"/>
    <cellStyle name="Normal 5 4 2 3 2 4" xfId="7044"/>
    <cellStyle name="Normal 5 4 2 3 2 5" xfId="21124"/>
    <cellStyle name="Normal 5 4 2 3 3" xfId="3674"/>
    <cellStyle name="Normal 5 4 2 3 3 2" xfId="17321"/>
    <cellStyle name="Normal 5 4 2 3 3 2 2" xfId="27572"/>
    <cellStyle name="Normal 5 4 2 3 3 3" xfId="13742"/>
    <cellStyle name="Normal 5 4 2 3 3 4" xfId="8485"/>
    <cellStyle name="Normal 5 4 2 3 3 5" xfId="22565"/>
    <cellStyle name="Normal 5 4 2 3 4" xfId="6160"/>
    <cellStyle name="Normal 5 4 2 3 4 2" xfId="15244"/>
    <cellStyle name="Normal 5 4 2 3 4 3" xfId="25248"/>
    <cellStyle name="Normal 5 4 2 3 5" xfId="9939"/>
    <cellStyle name="Normal 5 4 2 3 5 2" xfId="18766"/>
    <cellStyle name="Normal 5 4 2 3 5 3" xfId="29017"/>
    <cellStyle name="Normal 5 4 2 3 6" xfId="11384"/>
    <cellStyle name="Normal 5 4 2 3 6 2" xfId="23730"/>
    <cellStyle name="Normal 5 4 2 3 7" xfId="4638"/>
    <cellStyle name="Normal 5 4 2 3 8" xfId="20241"/>
    <cellStyle name="Normal 5 4 2 4" xfId="1027"/>
    <cellStyle name="Normal 5 4 2 4 2" xfId="2749"/>
    <cellStyle name="Normal 5 4 2 4 2 2" xfId="16296"/>
    <cellStyle name="Normal 5 4 2 4 2 2 2" xfId="26515"/>
    <cellStyle name="Normal 5 4 2 4 2 3" xfId="12718"/>
    <cellStyle name="Normal 5 4 2 4 2 4" xfId="7428"/>
    <cellStyle name="Normal 5 4 2 4 2 5" xfId="21508"/>
    <cellStyle name="Normal 5 4 2 4 3" xfId="4023"/>
    <cellStyle name="Normal 5 4 2 4 3 2" xfId="17669"/>
    <cellStyle name="Normal 5 4 2 4 3 2 2" xfId="27920"/>
    <cellStyle name="Normal 5 4 2 4 3 3" xfId="14090"/>
    <cellStyle name="Normal 5 4 2 4 3 4" xfId="8833"/>
    <cellStyle name="Normal 5 4 2 4 3 5" xfId="22913"/>
    <cellStyle name="Normal 5 4 2 4 4" xfId="6544"/>
    <cellStyle name="Normal 5 4 2 4 4 2" xfId="15628"/>
    <cellStyle name="Normal 5 4 2 4 4 3" xfId="25632"/>
    <cellStyle name="Normal 5 4 2 4 5" xfId="10287"/>
    <cellStyle name="Normal 5 4 2 4 5 2" xfId="19114"/>
    <cellStyle name="Normal 5 4 2 4 5 3" xfId="29365"/>
    <cellStyle name="Normal 5 4 2 4 6" xfId="11733"/>
    <cellStyle name="Normal 5 4 2 4 6 2" xfId="24114"/>
    <cellStyle name="Normal 5 4 2 4 7" xfId="5022"/>
    <cellStyle name="Normal 5 4 2 4 8" xfId="20625"/>
    <cellStyle name="Normal 5 4 2 5" xfId="1464"/>
    <cellStyle name="Normal 5 4 2 5 2" xfId="3065"/>
    <cellStyle name="Normal 5 4 2 5 2 2" xfId="16621"/>
    <cellStyle name="Normal 5 4 2 5 2 2 2" xfId="26840"/>
    <cellStyle name="Normal 5 4 2 5 2 3" xfId="13042"/>
    <cellStyle name="Normal 5 4 2 5 2 4" xfId="7753"/>
    <cellStyle name="Normal 5 4 2 5 2 5" xfId="21833"/>
    <cellStyle name="Normal 5 4 2 5 3" xfId="4279"/>
    <cellStyle name="Normal 5 4 2 5 3 2" xfId="17985"/>
    <cellStyle name="Normal 5 4 2 5 3 2 2" xfId="28236"/>
    <cellStyle name="Normal 5 4 2 5 3 3" xfId="14406"/>
    <cellStyle name="Normal 5 4 2 5 3 4" xfId="9149"/>
    <cellStyle name="Normal 5 4 2 5 3 5" xfId="23229"/>
    <cellStyle name="Normal 5 4 2 5 4" xfId="5941"/>
    <cellStyle name="Normal 5 4 2 5 4 2" xfId="15027"/>
    <cellStyle name="Normal 5 4 2 5 4 3" xfId="25031"/>
    <cellStyle name="Normal 5 4 2 5 5" xfId="10603"/>
    <cellStyle name="Normal 5 4 2 5 5 2" xfId="19430"/>
    <cellStyle name="Normal 5 4 2 5 5 3" xfId="29681"/>
    <cellStyle name="Normal 5 4 2 5 6" xfId="12049"/>
    <cellStyle name="Normal 5 4 2 5 6 2" xfId="24439"/>
    <cellStyle name="Normal 5 4 2 5 7" xfId="5347"/>
    <cellStyle name="Normal 5 4 2 5 8" xfId="20024"/>
    <cellStyle name="Normal 5 4 2 6" xfId="2022"/>
    <cellStyle name="Normal 5 4 2 6 2" xfId="15870"/>
    <cellStyle name="Normal 5 4 2 6 2 2" xfId="25914"/>
    <cellStyle name="Normal 5 4 2 6 3" xfId="12468"/>
    <cellStyle name="Normal 5 4 2 6 4" xfId="6827"/>
    <cellStyle name="Normal 5 4 2 6 5" xfId="20907"/>
    <cellStyle name="Normal 5 4 2 7" xfId="3441"/>
    <cellStyle name="Normal 5 4 2 7 2" xfId="16942"/>
    <cellStyle name="Normal 5 4 2 7 2 2" xfId="27193"/>
    <cellStyle name="Normal 5 4 2 7 3" xfId="13363"/>
    <cellStyle name="Normal 5 4 2 7 4" xfId="8106"/>
    <cellStyle name="Normal 5 4 2 7 5" xfId="22186"/>
    <cellStyle name="Normal 5 4 2 8" xfId="5667"/>
    <cellStyle name="Normal 5 4 2 8 2" xfId="14753"/>
    <cellStyle name="Normal 5 4 2 8 3" xfId="24757"/>
    <cellStyle name="Normal 5 4 2 9" xfId="9560"/>
    <cellStyle name="Normal 5 4 2 9 2" xfId="18387"/>
    <cellStyle name="Normal 5 4 2 9 3" xfId="28638"/>
    <cellStyle name="Normal 5 4 2_Degree data" xfId="1191"/>
    <cellStyle name="Normal 5 4 3" xfId="232"/>
    <cellStyle name="Normal 5 4 3 10" xfId="10961"/>
    <cellStyle name="Normal 5 4 3 10 2" xfId="23574"/>
    <cellStyle name="Normal 5 4 3 11" xfId="4482"/>
    <cellStyle name="Normal 5 4 3 12" xfId="19707"/>
    <cellStyle name="Normal 5 4 3 2" xfId="442"/>
    <cellStyle name="Normal 5 4 3 2 10" xfId="19911"/>
    <cellStyle name="Normal 5 4 3 2 2" xfId="672"/>
    <cellStyle name="Normal 5 4 3 2 2 2" xfId="2404"/>
    <cellStyle name="Normal 5 4 3 2 2 2 2" xfId="16299"/>
    <cellStyle name="Normal 5 4 3 2 2 2 2 2" xfId="26518"/>
    <cellStyle name="Normal 5 4 3 2 2 2 3" xfId="12721"/>
    <cellStyle name="Normal 5 4 3 2 2 2 4" xfId="7431"/>
    <cellStyle name="Normal 5 4 3 2 2 2 5" xfId="21511"/>
    <cellStyle name="Normal 5 4 3 2 2 3" xfId="3677"/>
    <cellStyle name="Normal 5 4 3 2 2 3 2" xfId="17324"/>
    <cellStyle name="Normal 5 4 3 2 2 3 2 2" xfId="27575"/>
    <cellStyle name="Normal 5 4 3 2 2 3 3" xfId="13745"/>
    <cellStyle name="Normal 5 4 3 2 2 3 4" xfId="8488"/>
    <cellStyle name="Normal 5 4 3 2 2 3 5" xfId="22568"/>
    <cellStyle name="Normal 5 4 3 2 2 4" xfId="6547"/>
    <cellStyle name="Normal 5 4 3 2 2 4 2" xfId="15631"/>
    <cellStyle name="Normal 5 4 3 2 2 4 3" xfId="25635"/>
    <cellStyle name="Normal 5 4 3 2 2 5" xfId="9942"/>
    <cellStyle name="Normal 5 4 3 2 2 5 2" xfId="18769"/>
    <cellStyle name="Normal 5 4 3 2 2 5 3" xfId="29020"/>
    <cellStyle name="Normal 5 4 3 2 2 6" xfId="11387"/>
    <cellStyle name="Normal 5 4 3 2 2 6 2" xfId="24117"/>
    <cellStyle name="Normal 5 4 3 2 2 7" xfId="5025"/>
    <cellStyle name="Normal 5 4 3 2 2 8" xfId="20628"/>
    <cellStyle name="Normal 5 4 3 2 3" xfId="1030"/>
    <cellStyle name="Normal 5 4 3 2 3 2" xfId="2752"/>
    <cellStyle name="Normal 5 4 3 2 3 2 2" xfId="16782"/>
    <cellStyle name="Normal 5 4 3 2 3 2 2 2" xfId="27001"/>
    <cellStyle name="Normal 5 4 3 2 3 2 3" xfId="13203"/>
    <cellStyle name="Normal 5 4 3 2 3 2 4" xfId="7914"/>
    <cellStyle name="Normal 5 4 3 2 3 2 5" xfId="21994"/>
    <cellStyle name="Normal 5 4 3 2 3 3" xfId="4026"/>
    <cellStyle name="Normal 5 4 3 2 3 3 2" xfId="17672"/>
    <cellStyle name="Normal 5 4 3 2 3 3 2 2" xfId="27923"/>
    <cellStyle name="Normal 5 4 3 2 3 3 3" xfId="14093"/>
    <cellStyle name="Normal 5 4 3 2 3 3 4" xfId="8836"/>
    <cellStyle name="Normal 5 4 3 2 3 3 5" xfId="22916"/>
    <cellStyle name="Normal 5 4 3 2 3 4" xfId="6321"/>
    <cellStyle name="Normal 5 4 3 2 3 4 2" xfId="15405"/>
    <cellStyle name="Normal 5 4 3 2 3 4 3" xfId="25409"/>
    <cellStyle name="Normal 5 4 3 2 3 5" xfId="10290"/>
    <cellStyle name="Normal 5 4 3 2 3 5 2" xfId="19117"/>
    <cellStyle name="Normal 5 4 3 2 3 5 3" xfId="29368"/>
    <cellStyle name="Normal 5 4 3 2 3 6" xfId="11736"/>
    <cellStyle name="Normal 5 4 3 2 3 6 2" xfId="24600"/>
    <cellStyle name="Normal 5 4 3 2 3 7" xfId="5508"/>
    <cellStyle name="Normal 5 4 3 2 3 8" xfId="20402"/>
    <cellStyle name="Normal 5 4 3 2 4" xfId="1629"/>
    <cellStyle name="Normal 5 4 3 2 4 2" xfId="3226"/>
    <cellStyle name="Normal 5 4 3 2 4 2 2" xfId="18146"/>
    <cellStyle name="Normal 5 4 3 2 4 2 2 2" xfId="28397"/>
    <cellStyle name="Normal 5 4 3 2 4 2 3" xfId="14567"/>
    <cellStyle name="Normal 5 4 3 2 4 2 4" xfId="9310"/>
    <cellStyle name="Normal 5 4 3 2 4 2 5" xfId="23390"/>
    <cellStyle name="Normal 5 4 3 2 4 3" xfId="10764"/>
    <cellStyle name="Normal 5 4 3 2 4 3 2" xfId="19591"/>
    <cellStyle name="Normal 5 4 3 2 4 3 3" xfId="29842"/>
    <cellStyle name="Normal 5 4 3 2 4 4" xfId="12210"/>
    <cellStyle name="Normal 5 4 3 2 4 4 2" xfId="26292"/>
    <cellStyle name="Normal 5 4 3 2 4 5" xfId="7205"/>
    <cellStyle name="Normal 5 4 3 2 4 6" xfId="21285"/>
    <cellStyle name="Normal 5 4 3 2 5" xfId="2183"/>
    <cellStyle name="Normal 5 4 3 2 5 2" xfId="17103"/>
    <cellStyle name="Normal 5 4 3 2 5 2 2" xfId="27354"/>
    <cellStyle name="Normal 5 4 3 2 5 3" xfId="13524"/>
    <cellStyle name="Normal 5 4 3 2 5 4" xfId="8267"/>
    <cellStyle name="Normal 5 4 3 2 5 5" xfId="22347"/>
    <cellStyle name="Normal 5 4 3 2 6" xfId="5828"/>
    <cellStyle name="Normal 5 4 3 2 6 2" xfId="14914"/>
    <cellStyle name="Normal 5 4 3 2 6 3" xfId="24918"/>
    <cellStyle name="Normal 5 4 3 2 7" xfId="9721"/>
    <cellStyle name="Normal 5 4 3 2 7 2" xfId="18548"/>
    <cellStyle name="Normal 5 4 3 2 7 3" xfId="28799"/>
    <cellStyle name="Normal 5 4 3 2 8" xfId="11165"/>
    <cellStyle name="Normal 5 4 3 2 8 2" xfId="23891"/>
    <cellStyle name="Normal 5 4 3 2 9" xfId="4799"/>
    <cellStyle name="Normal 5 4 3 2_Degree data" xfId="1250"/>
    <cellStyle name="Normal 5 4 3 3" xfId="671"/>
    <cellStyle name="Normal 5 4 3 3 2" xfId="2403"/>
    <cellStyle name="Normal 5 4 3 3 2 2" xfId="16015"/>
    <cellStyle name="Normal 5 4 3 3 2 2 2" xfId="26088"/>
    <cellStyle name="Normal 5 4 3 3 2 3" xfId="12318"/>
    <cellStyle name="Normal 5 4 3 3 2 4" xfId="7001"/>
    <cellStyle name="Normal 5 4 3 3 2 5" xfId="21081"/>
    <cellStyle name="Normal 5 4 3 3 3" xfId="3676"/>
    <cellStyle name="Normal 5 4 3 3 3 2" xfId="17323"/>
    <cellStyle name="Normal 5 4 3 3 3 2 2" xfId="27574"/>
    <cellStyle name="Normal 5 4 3 3 3 3" xfId="13744"/>
    <cellStyle name="Normal 5 4 3 3 3 4" xfId="8487"/>
    <cellStyle name="Normal 5 4 3 3 3 5" xfId="22567"/>
    <cellStyle name="Normal 5 4 3 3 4" xfId="6117"/>
    <cellStyle name="Normal 5 4 3 3 4 2" xfId="15201"/>
    <cellStyle name="Normal 5 4 3 3 4 3" xfId="25205"/>
    <cellStyle name="Normal 5 4 3 3 5" xfId="9941"/>
    <cellStyle name="Normal 5 4 3 3 5 2" xfId="18768"/>
    <cellStyle name="Normal 5 4 3 3 5 3" xfId="29019"/>
    <cellStyle name="Normal 5 4 3 3 6" xfId="11386"/>
    <cellStyle name="Normal 5 4 3 3 6 2" xfId="23687"/>
    <cellStyle name="Normal 5 4 3 3 7" xfId="4595"/>
    <cellStyle name="Normal 5 4 3 3 8" xfId="20198"/>
    <cellStyle name="Normal 5 4 3 4" xfId="1029"/>
    <cellStyle name="Normal 5 4 3 4 2" xfId="2751"/>
    <cellStyle name="Normal 5 4 3 4 2 2" xfId="16298"/>
    <cellStyle name="Normal 5 4 3 4 2 2 2" xfId="26517"/>
    <cellStyle name="Normal 5 4 3 4 2 3" xfId="12720"/>
    <cellStyle name="Normal 5 4 3 4 2 4" xfId="7430"/>
    <cellStyle name="Normal 5 4 3 4 2 5" xfId="21510"/>
    <cellStyle name="Normal 5 4 3 4 3" xfId="4025"/>
    <cellStyle name="Normal 5 4 3 4 3 2" xfId="17671"/>
    <cellStyle name="Normal 5 4 3 4 3 2 2" xfId="27922"/>
    <cellStyle name="Normal 5 4 3 4 3 3" xfId="14092"/>
    <cellStyle name="Normal 5 4 3 4 3 4" xfId="8835"/>
    <cellStyle name="Normal 5 4 3 4 3 5" xfId="22915"/>
    <cellStyle name="Normal 5 4 3 4 4" xfId="6546"/>
    <cellStyle name="Normal 5 4 3 4 4 2" xfId="15630"/>
    <cellStyle name="Normal 5 4 3 4 4 3" xfId="25634"/>
    <cellStyle name="Normal 5 4 3 4 5" xfId="10289"/>
    <cellStyle name="Normal 5 4 3 4 5 2" xfId="19116"/>
    <cellStyle name="Normal 5 4 3 4 5 3" xfId="29367"/>
    <cellStyle name="Normal 5 4 3 4 6" xfId="11735"/>
    <cellStyle name="Normal 5 4 3 4 6 2" xfId="24116"/>
    <cellStyle name="Normal 5 4 3 4 7" xfId="5024"/>
    <cellStyle name="Normal 5 4 3 4 8" xfId="20627"/>
    <cellStyle name="Normal 5 4 3 5" xfId="1419"/>
    <cellStyle name="Normal 5 4 3 5 2" xfId="3022"/>
    <cellStyle name="Normal 5 4 3 5 2 2" xfId="16578"/>
    <cellStyle name="Normal 5 4 3 5 2 2 2" xfId="26797"/>
    <cellStyle name="Normal 5 4 3 5 2 3" xfId="12999"/>
    <cellStyle name="Normal 5 4 3 5 2 4" xfId="7710"/>
    <cellStyle name="Normal 5 4 3 5 2 5" xfId="21790"/>
    <cellStyle name="Normal 5 4 3 5 3" xfId="4236"/>
    <cellStyle name="Normal 5 4 3 5 3 2" xfId="17942"/>
    <cellStyle name="Normal 5 4 3 5 3 2 2" xfId="28193"/>
    <cellStyle name="Normal 5 4 3 5 3 3" xfId="14363"/>
    <cellStyle name="Normal 5 4 3 5 3 4" xfId="9106"/>
    <cellStyle name="Normal 5 4 3 5 3 5" xfId="23186"/>
    <cellStyle name="Normal 5 4 3 5 4" xfId="6002"/>
    <cellStyle name="Normal 5 4 3 5 4 2" xfId="15088"/>
    <cellStyle name="Normal 5 4 3 5 4 3" xfId="25092"/>
    <cellStyle name="Normal 5 4 3 5 5" xfId="10560"/>
    <cellStyle name="Normal 5 4 3 5 5 2" xfId="19387"/>
    <cellStyle name="Normal 5 4 3 5 5 3" xfId="29638"/>
    <cellStyle name="Normal 5 4 3 5 6" xfId="12006"/>
    <cellStyle name="Normal 5 4 3 5 6 2" xfId="24396"/>
    <cellStyle name="Normal 5 4 3 5 7" xfId="5304"/>
    <cellStyle name="Normal 5 4 3 5 8" xfId="20085"/>
    <cellStyle name="Normal 5 4 3 6" xfId="1979"/>
    <cellStyle name="Normal 5 4 3 6 2" xfId="15931"/>
    <cellStyle name="Normal 5 4 3 6 2 2" xfId="25975"/>
    <cellStyle name="Normal 5 4 3 6 3" xfId="12239"/>
    <cellStyle name="Normal 5 4 3 6 4" xfId="6888"/>
    <cellStyle name="Normal 5 4 3 6 5" xfId="20968"/>
    <cellStyle name="Normal 5 4 3 7" xfId="3398"/>
    <cellStyle name="Normal 5 4 3 7 2" xfId="16899"/>
    <cellStyle name="Normal 5 4 3 7 2 2" xfId="27150"/>
    <cellStyle name="Normal 5 4 3 7 3" xfId="13320"/>
    <cellStyle name="Normal 5 4 3 7 4" xfId="8063"/>
    <cellStyle name="Normal 5 4 3 7 5" xfId="22143"/>
    <cellStyle name="Normal 5 4 3 8" xfId="5624"/>
    <cellStyle name="Normal 5 4 3 8 2" xfId="14710"/>
    <cellStyle name="Normal 5 4 3 8 3" xfId="24714"/>
    <cellStyle name="Normal 5 4 3 9" xfId="9517"/>
    <cellStyle name="Normal 5 4 3 9 2" xfId="18344"/>
    <cellStyle name="Normal 5 4 3 9 3" xfId="28595"/>
    <cellStyle name="Normal 5 4 3_Degree data" xfId="1305"/>
    <cellStyle name="Normal 5 4 4" xfId="335"/>
    <cellStyle name="Normal 5 4 4 10" xfId="19807"/>
    <cellStyle name="Normal 5 4 4 2" xfId="673"/>
    <cellStyle name="Normal 5 4 4 2 2" xfId="2405"/>
    <cellStyle name="Normal 5 4 4 2 2 2" xfId="16300"/>
    <cellStyle name="Normal 5 4 4 2 2 2 2" xfId="26519"/>
    <cellStyle name="Normal 5 4 4 2 2 3" xfId="12722"/>
    <cellStyle name="Normal 5 4 4 2 2 4" xfId="7432"/>
    <cellStyle name="Normal 5 4 4 2 2 5" xfId="21512"/>
    <cellStyle name="Normal 5 4 4 2 3" xfId="3678"/>
    <cellStyle name="Normal 5 4 4 2 3 2" xfId="17325"/>
    <cellStyle name="Normal 5 4 4 2 3 2 2" xfId="27576"/>
    <cellStyle name="Normal 5 4 4 2 3 3" xfId="13746"/>
    <cellStyle name="Normal 5 4 4 2 3 4" xfId="8489"/>
    <cellStyle name="Normal 5 4 4 2 3 5" xfId="22569"/>
    <cellStyle name="Normal 5 4 4 2 4" xfId="6548"/>
    <cellStyle name="Normal 5 4 4 2 4 2" xfId="15632"/>
    <cellStyle name="Normal 5 4 4 2 4 3" xfId="25636"/>
    <cellStyle name="Normal 5 4 4 2 5" xfId="9943"/>
    <cellStyle name="Normal 5 4 4 2 5 2" xfId="18770"/>
    <cellStyle name="Normal 5 4 4 2 5 3" xfId="29021"/>
    <cellStyle name="Normal 5 4 4 2 6" xfId="11388"/>
    <cellStyle name="Normal 5 4 4 2 6 2" xfId="24118"/>
    <cellStyle name="Normal 5 4 4 2 7" xfId="5026"/>
    <cellStyle name="Normal 5 4 4 2 8" xfId="20629"/>
    <cellStyle name="Normal 5 4 4 3" xfId="1031"/>
    <cellStyle name="Normal 5 4 4 3 2" xfId="2753"/>
    <cellStyle name="Normal 5 4 4 3 2 2" xfId="16678"/>
    <cellStyle name="Normal 5 4 4 3 2 2 2" xfId="26897"/>
    <cellStyle name="Normal 5 4 4 3 2 3" xfId="13099"/>
    <cellStyle name="Normal 5 4 4 3 2 4" xfId="7810"/>
    <cellStyle name="Normal 5 4 4 3 2 5" xfId="21890"/>
    <cellStyle name="Normal 5 4 4 3 3" xfId="4027"/>
    <cellStyle name="Normal 5 4 4 3 3 2" xfId="17673"/>
    <cellStyle name="Normal 5 4 4 3 3 2 2" xfId="27924"/>
    <cellStyle name="Normal 5 4 4 3 3 3" xfId="14094"/>
    <cellStyle name="Normal 5 4 4 3 3 4" xfId="8837"/>
    <cellStyle name="Normal 5 4 4 3 3 5" xfId="22917"/>
    <cellStyle name="Normal 5 4 4 3 4" xfId="6217"/>
    <cellStyle name="Normal 5 4 4 3 4 2" xfId="15301"/>
    <cellStyle name="Normal 5 4 4 3 4 3" xfId="25305"/>
    <cellStyle name="Normal 5 4 4 3 5" xfId="10291"/>
    <cellStyle name="Normal 5 4 4 3 5 2" xfId="19118"/>
    <cellStyle name="Normal 5 4 4 3 5 3" xfId="29369"/>
    <cellStyle name="Normal 5 4 4 3 6" xfId="11737"/>
    <cellStyle name="Normal 5 4 4 3 6 2" xfId="24496"/>
    <cellStyle name="Normal 5 4 4 3 7" xfId="5404"/>
    <cellStyle name="Normal 5 4 4 3 8" xfId="20298"/>
    <cellStyle name="Normal 5 4 4 4" xfId="1522"/>
    <cellStyle name="Normal 5 4 4 4 2" xfId="3122"/>
    <cellStyle name="Normal 5 4 4 4 2 2" xfId="18042"/>
    <cellStyle name="Normal 5 4 4 4 2 2 2" xfId="28293"/>
    <cellStyle name="Normal 5 4 4 4 2 3" xfId="14463"/>
    <cellStyle name="Normal 5 4 4 4 2 4" xfId="9206"/>
    <cellStyle name="Normal 5 4 4 4 2 5" xfId="23286"/>
    <cellStyle name="Normal 5 4 4 4 3" xfId="10660"/>
    <cellStyle name="Normal 5 4 4 4 3 2" xfId="19487"/>
    <cellStyle name="Normal 5 4 4 4 3 3" xfId="29738"/>
    <cellStyle name="Normal 5 4 4 4 4" xfId="12106"/>
    <cellStyle name="Normal 5 4 4 4 4 2" xfId="26188"/>
    <cellStyle name="Normal 5 4 4 4 5" xfId="7101"/>
    <cellStyle name="Normal 5 4 4 4 6" xfId="21181"/>
    <cellStyle name="Normal 5 4 4 5" xfId="2079"/>
    <cellStyle name="Normal 5 4 4 5 2" xfId="16999"/>
    <cellStyle name="Normal 5 4 4 5 2 2" xfId="27250"/>
    <cellStyle name="Normal 5 4 4 5 3" xfId="13420"/>
    <cellStyle name="Normal 5 4 4 5 4" xfId="8163"/>
    <cellStyle name="Normal 5 4 4 5 5" xfId="22243"/>
    <cellStyle name="Normal 5 4 4 6" xfId="5724"/>
    <cellStyle name="Normal 5 4 4 6 2" xfId="14810"/>
    <cellStyle name="Normal 5 4 4 6 3" xfId="24814"/>
    <cellStyle name="Normal 5 4 4 7" xfId="9617"/>
    <cellStyle name="Normal 5 4 4 7 2" xfId="18444"/>
    <cellStyle name="Normal 5 4 4 7 3" xfId="28695"/>
    <cellStyle name="Normal 5 4 4 8" xfId="11061"/>
    <cellStyle name="Normal 5 4 4 8 2" xfId="23787"/>
    <cellStyle name="Normal 5 4 4 9" xfId="4695"/>
    <cellStyle name="Normal 5 4 4_Degree data" xfId="1297"/>
    <cellStyle name="Normal 5 4 5" xfId="164"/>
    <cellStyle name="Normal 5 4 5 10" xfId="20139"/>
    <cellStyle name="Normal 5 4 5 2" xfId="674"/>
    <cellStyle name="Normal 5 4 5 2 2" xfId="2406"/>
    <cellStyle name="Normal 5 4 5 2 2 2" xfId="16301"/>
    <cellStyle name="Normal 5 4 5 2 2 2 2" xfId="26520"/>
    <cellStyle name="Normal 5 4 5 2 2 3" xfId="12723"/>
    <cellStyle name="Normal 5 4 5 2 2 4" xfId="7433"/>
    <cellStyle name="Normal 5 4 5 2 2 5" xfId="21513"/>
    <cellStyle name="Normal 5 4 5 2 3" xfId="3679"/>
    <cellStyle name="Normal 5 4 5 2 3 2" xfId="17326"/>
    <cellStyle name="Normal 5 4 5 2 3 2 2" xfId="27577"/>
    <cellStyle name="Normal 5 4 5 2 3 3" xfId="13747"/>
    <cellStyle name="Normal 5 4 5 2 3 4" xfId="8490"/>
    <cellStyle name="Normal 5 4 5 2 3 5" xfId="22570"/>
    <cellStyle name="Normal 5 4 5 2 4" xfId="6549"/>
    <cellStyle name="Normal 5 4 5 2 4 2" xfId="15633"/>
    <cellStyle name="Normal 5 4 5 2 4 3" xfId="25637"/>
    <cellStyle name="Normal 5 4 5 2 5" xfId="9944"/>
    <cellStyle name="Normal 5 4 5 2 5 2" xfId="18771"/>
    <cellStyle name="Normal 5 4 5 2 5 3" xfId="29022"/>
    <cellStyle name="Normal 5 4 5 2 6" xfId="11389"/>
    <cellStyle name="Normal 5 4 5 2 6 2" xfId="24119"/>
    <cellStyle name="Normal 5 4 5 2 7" xfId="5027"/>
    <cellStyle name="Normal 5 4 5 2 8" xfId="20630"/>
    <cellStyle name="Normal 5 4 5 3" xfId="1032"/>
    <cellStyle name="Normal 5 4 5 3 2" xfId="2754"/>
    <cellStyle name="Normal 5 4 5 3 2 2" xfId="16519"/>
    <cellStyle name="Normal 5 4 5 3 2 2 2" xfId="26738"/>
    <cellStyle name="Normal 5 4 5 3 2 3" xfId="12941"/>
    <cellStyle name="Normal 5 4 5 3 2 4" xfId="7651"/>
    <cellStyle name="Normal 5 4 5 3 2 5" xfId="21731"/>
    <cellStyle name="Normal 5 4 5 3 3" xfId="4028"/>
    <cellStyle name="Normal 5 4 5 3 3 2" xfId="17674"/>
    <cellStyle name="Normal 5 4 5 3 3 2 2" xfId="27925"/>
    <cellStyle name="Normal 5 4 5 3 3 3" xfId="14095"/>
    <cellStyle name="Normal 5 4 5 3 3 4" xfId="8838"/>
    <cellStyle name="Normal 5 4 5 3 3 5" xfId="22918"/>
    <cellStyle name="Normal 5 4 5 3 4" xfId="6717"/>
    <cellStyle name="Normal 5 4 5 3 4 2" xfId="15800"/>
    <cellStyle name="Normal 5 4 5 3 4 3" xfId="25804"/>
    <cellStyle name="Normal 5 4 5 3 5" xfId="10292"/>
    <cellStyle name="Normal 5 4 5 3 5 2" xfId="19119"/>
    <cellStyle name="Normal 5 4 5 3 5 3" xfId="29370"/>
    <cellStyle name="Normal 5 4 5 3 6" xfId="11738"/>
    <cellStyle name="Normal 5 4 5 3 6 2" xfId="24337"/>
    <cellStyle name="Normal 5 4 5 3 7" xfId="5245"/>
    <cellStyle name="Normal 5 4 5 3 8" xfId="20797"/>
    <cellStyle name="Normal 5 4 5 4" xfId="1351"/>
    <cellStyle name="Normal 5 4 5 4 2" xfId="2963"/>
    <cellStyle name="Normal 5 4 5 4 2 2" xfId="17883"/>
    <cellStyle name="Normal 5 4 5 4 2 2 2" xfId="28134"/>
    <cellStyle name="Normal 5 4 5 4 2 3" xfId="14304"/>
    <cellStyle name="Normal 5 4 5 4 2 4" xfId="9047"/>
    <cellStyle name="Normal 5 4 5 4 2 5" xfId="23127"/>
    <cellStyle name="Normal 5 4 5 4 3" xfId="10501"/>
    <cellStyle name="Normal 5 4 5 4 3 2" xfId="19328"/>
    <cellStyle name="Normal 5 4 5 4 3 3" xfId="29579"/>
    <cellStyle name="Normal 5 4 5 4 4" xfId="11947"/>
    <cellStyle name="Normal 5 4 5 4 4 2" xfId="26029"/>
    <cellStyle name="Normal 5 4 5 4 5" xfId="6942"/>
    <cellStyle name="Normal 5 4 5 4 6" xfId="21022"/>
    <cellStyle name="Normal 5 4 5 5" xfId="1920"/>
    <cellStyle name="Normal 5 4 5 5 2" xfId="16838"/>
    <cellStyle name="Normal 5 4 5 5 2 2" xfId="27089"/>
    <cellStyle name="Normal 5 4 5 5 3" xfId="13259"/>
    <cellStyle name="Normal 5 4 5 5 4" xfId="8002"/>
    <cellStyle name="Normal 5 4 5 5 5" xfId="22082"/>
    <cellStyle name="Normal 5 4 5 6" xfId="6058"/>
    <cellStyle name="Normal 5 4 5 6 2" xfId="15142"/>
    <cellStyle name="Normal 5 4 5 6 3" xfId="25146"/>
    <cellStyle name="Normal 5 4 5 7" xfId="9458"/>
    <cellStyle name="Normal 5 4 5 7 2" xfId="18285"/>
    <cellStyle name="Normal 5 4 5 7 3" xfId="28536"/>
    <cellStyle name="Normal 5 4 5 8" xfId="10902"/>
    <cellStyle name="Normal 5 4 5 8 2" xfId="23628"/>
    <cellStyle name="Normal 5 4 5 9" xfId="4536"/>
    <cellStyle name="Normal 5 4 5_Degree data" xfId="1420"/>
    <cellStyle name="Normal 5 4 6" xfId="668"/>
    <cellStyle name="Normal 5 4 6 2" xfId="2400"/>
    <cellStyle name="Normal 5 4 6 2 2" xfId="16295"/>
    <cellStyle name="Normal 5 4 6 2 2 2" xfId="26514"/>
    <cellStyle name="Normal 5 4 6 2 3" xfId="12717"/>
    <cellStyle name="Normal 5 4 6 2 4" xfId="7427"/>
    <cellStyle name="Normal 5 4 6 2 5" xfId="21507"/>
    <cellStyle name="Normal 5 4 6 3" xfId="3673"/>
    <cellStyle name="Normal 5 4 6 3 2" xfId="17320"/>
    <cellStyle name="Normal 5 4 6 3 2 2" xfId="27571"/>
    <cellStyle name="Normal 5 4 6 3 3" xfId="13741"/>
    <cellStyle name="Normal 5 4 6 3 4" xfId="8484"/>
    <cellStyle name="Normal 5 4 6 3 5" xfId="22564"/>
    <cellStyle name="Normal 5 4 6 4" xfId="6543"/>
    <cellStyle name="Normal 5 4 6 4 2" xfId="15627"/>
    <cellStyle name="Normal 5 4 6 4 3" xfId="25631"/>
    <cellStyle name="Normal 5 4 6 5" xfId="9938"/>
    <cellStyle name="Normal 5 4 6 5 2" xfId="18765"/>
    <cellStyle name="Normal 5 4 6 5 3" xfId="29016"/>
    <cellStyle name="Normal 5 4 6 6" xfId="11383"/>
    <cellStyle name="Normal 5 4 6 6 2" xfId="24113"/>
    <cellStyle name="Normal 5 4 6 7" xfId="5021"/>
    <cellStyle name="Normal 5 4 6 8" xfId="20624"/>
    <cellStyle name="Normal 5 4 7" xfId="1026"/>
    <cellStyle name="Normal 5 4 7 2" xfId="2748"/>
    <cellStyle name="Normal 5 4 7 2 2" xfId="16476"/>
    <cellStyle name="Normal 5 4 7 2 2 2" xfId="26695"/>
    <cellStyle name="Normal 5 4 7 2 3" xfId="12898"/>
    <cellStyle name="Normal 5 4 7 2 4" xfId="7608"/>
    <cellStyle name="Normal 5 4 7 2 5" xfId="21688"/>
    <cellStyle name="Normal 5 4 7 3" xfId="4022"/>
    <cellStyle name="Normal 5 4 7 3 2" xfId="17668"/>
    <cellStyle name="Normal 5 4 7 3 2 2" xfId="27919"/>
    <cellStyle name="Normal 5 4 7 3 3" xfId="14089"/>
    <cellStyle name="Normal 5 4 7 3 4" xfId="8832"/>
    <cellStyle name="Normal 5 4 7 3 5" xfId="22912"/>
    <cellStyle name="Normal 5 4 7 4" xfId="5897"/>
    <cellStyle name="Normal 5 4 7 4 2" xfId="14983"/>
    <cellStyle name="Normal 5 4 7 4 3" xfId="24987"/>
    <cellStyle name="Normal 5 4 7 5" xfId="10286"/>
    <cellStyle name="Normal 5 4 7 5 2" xfId="19113"/>
    <cellStyle name="Normal 5 4 7 5 3" xfId="29364"/>
    <cellStyle name="Normal 5 4 7 6" xfId="11732"/>
    <cellStyle name="Normal 5 4 7 6 2" xfId="24294"/>
    <cellStyle name="Normal 5 4 7 7" xfId="5202"/>
    <cellStyle name="Normal 5 4 7 8" xfId="19980"/>
    <cellStyle name="Normal 5 4 8" xfId="1280"/>
    <cellStyle name="Normal 5 4 8 2" xfId="2920"/>
    <cellStyle name="Normal 5 4 8 2 2" xfId="17840"/>
    <cellStyle name="Normal 5 4 8 2 2 2" xfId="28091"/>
    <cellStyle name="Normal 5 4 8 2 3" xfId="14261"/>
    <cellStyle name="Normal 5 4 8 2 4" xfId="9004"/>
    <cellStyle name="Normal 5 4 8 2 5" xfId="23084"/>
    <cellStyle name="Normal 5 4 8 3" xfId="10458"/>
    <cellStyle name="Normal 5 4 8 3 2" xfId="19285"/>
    <cellStyle name="Normal 5 4 8 3 3" xfId="29536"/>
    <cellStyle name="Normal 5 4 8 4" xfId="11904"/>
    <cellStyle name="Normal 5 4 8 4 2" xfId="25871"/>
    <cellStyle name="Normal 5 4 8 5" xfId="6784"/>
    <cellStyle name="Normal 5 4 8 6" xfId="20864"/>
    <cellStyle name="Normal 5 4 9" xfId="1877"/>
    <cellStyle name="Normal 5 4 9 2" xfId="9415"/>
    <cellStyle name="Normal 5 4 9 2 2" xfId="18242"/>
    <cellStyle name="Normal 5 4 9 2 3" xfId="28493"/>
    <cellStyle name="Normal 5 4 9 3" xfId="10859"/>
    <cellStyle name="Normal 5 4 9 3 2" xfId="27046"/>
    <cellStyle name="Normal 5 4 9 4" xfId="7959"/>
    <cellStyle name="Normal 5 4 9 5" xfId="22039"/>
    <cellStyle name="Normal 5 4_Degree data" xfId="1251"/>
    <cellStyle name="Normal 5 5" xfId="152"/>
    <cellStyle name="Normal 5 5 10" xfId="5553"/>
    <cellStyle name="Normal 5 5 10 2" xfId="14639"/>
    <cellStyle name="Normal 5 5 10 3" xfId="24643"/>
    <cellStyle name="Normal 5 5 11" xfId="9373"/>
    <cellStyle name="Normal 5 5 11 2" xfId="18200"/>
    <cellStyle name="Normal 5 5 11 3" xfId="28451"/>
    <cellStyle name="Normal 5 5 12" xfId="10813"/>
    <cellStyle name="Normal 5 5 12 2" xfId="23458"/>
    <cellStyle name="Normal 5 5 13" xfId="4366"/>
    <cellStyle name="Normal 5 5 14" xfId="19636"/>
    <cellStyle name="Normal 5 5 2" xfId="265"/>
    <cellStyle name="Normal 5 5 2 10" xfId="10992"/>
    <cellStyle name="Normal 5 5 2 10 2" xfId="23501"/>
    <cellStyle name="Normal 5 5 2 11" xfId="4409"/>
    <cellStyle name="Normal 5 5 2 12" xfId="19738"/>
    <cellStyle name="Normal 5 5 2 2" xfId="367"/>
    <cellStyle name="Normal 5 5 2 2 10" xfId="19838"/>
    <cellStyle name="Normal 5 5 2 2 2" xfId="677"/>
    <cellStyle name="Normal 5 5 2 2 2 2" xfId="2409"/>
    <cellStyle name="Normal 5 5 2 2 2 2 2" xfId="16304"/>
    <cellStyle name="Normal 5 5 2 2 2 2 2 2" xfId="26523"/>
    <cellStyle name="Normal 5 5 2 2 2 2 3" xfId="12726"/>
    <cellStyle name="Normal 5 5 2 2 2 2 4" xfId="7436"/>
    <cellStyle name="Normal 5 5 2 2 2 2 5" xfId="21516"/>
    <cellStyle name="Normal 5 5 2 2 2 3" xfId="3682"/>
    <cellStyle name="Normal 5 5 2 2 2 3 2" xfId="17329"/>
    <cellStyle name="Normal 5 5 2 2 2 3 2 2" xfId="27580"/>
    <cellStyle name="Normal 5 5 2 2 2 3 3" xfId="13750"/>
    <cellStyle name="Normal 5 5 2 2 2 3 4" xfId="8493"/>
    <cellStyle name="Normal 5 5 2 2 2 3 5" xfId="22573"/>
    <cellStyle name="Normal 5 5 2 2 2 4" xfId="6552"/>
    <cellStyle name="Normal 5 5 2 2 2 4 2" xfId="15636"/>
    <cellStyle name="Normal 5 5 2 2 2 4 3" xfId="25640"/>
    <cellStyle name="Normal 5 5 2 2 2 5" xfId="9947"/>
    <cellStyle name="Normal 5 5 2 2 2 5 2" xfId="18774"/>
    <cellStyle name="Normal 5 5 2 2 2 5 3" xfId="29025"/>
    <cellStyle name="Normal 5 5 2 2 2 6" xfId="11392"/>
    <cellStyle name="Normal 5 5 2 2 2 6 2" xfId="24122"/>
    <cellStyle name="Normal 5 5 2 2 2 7" xfId="5030"/>
    <cellStyle name="Normal 5 5 2 2 2 8" xfId="20633"/>
    <cellStyle name="Normal 5 5 2 2 3" xfId="1035"/>
    <cellStyle name="Normal 5 5 2 2 3 2" xfId="2757"/>
    <cellStyle name="Normal 5 5 2 2 3 2 2" xfId="16709"/>
    <cellStyle name="Normal 5 5 2 2 3 2 2 2" xfId="26928"/>
    <cellStyle name="Normal 5 5 2 2 3 2 3" xfId="13130"/>
    <cellStyle name="Normal 5 5 2 2 3 2 4" xfId="7841"/>
    <cellStyle name="Normal 5 5 2 2 3 2 5" xfId="21921"/>
    <cellStyle name="Normal 5 5 2 2 3 3" xfId="4031"/>
    <cellStyle name="Normal 5 5 2 2 3 3 2" xfId="17677"/>
    <cellStyle name="Normal 5 5 2 2 3 3 2 2" xfId="27928"/>
    <cellStyle name="Normal 5 5 2 2 3 3 3" xfId="14098"/>
    <cellStyle name="Normal 5 5 2 2 3 3 4" xfId="8841"/>
    <cellStyle name="Normal 5 5 2 2 3 3 5" xfId="22921"/>
    <cellStyle name="Normal 5 5 2 2 3 4" xfId="6248"/>
    <cellStyle name="Normal 5 5 2 2 3 4 2" xfId="15332"/>
    <cellStyle name="Normal 5 5 2 2 3 4 3" xfId="25336"/>
    <cellStyle name="Normal 5 5 2 2 3 5" xfId="10295"/>
    <cellStyle name="Normal 5 5 2 2 3 5 2" xfId="19122"/>
    <cellStyle name="Normal 5 5 2 2 3 5 3" xfId="29373"/>
    <cellStyle name="Normal 5 5 2 2 3 6" xfId="11741"/>
    <cellStyle name="Normal 5 5 2 2 3 6 2" xfId="24527"/>
    <cellStyle name="Normal 5 5 2 2 3 7" xfId="5435"/>
    <cellStyle name="Normal 5 5 2 2 3 8" xfId="20329"/>
    <cellStyle name="Normal 5 5 2 2 4" xfId="1554"/>
    <cellStyle name="Normal 5 5 2 2 4 2" xfId="3153"/>
    <cellStyle name="Normal 5 5 2 2 4 2 2" xfId="18073"/>
    <cellStyle name="Normal 5 5 2 2 4 2 2 2" xfId="28324"/>
    <cellStyle name="Normal 5 5 2 2 4 2 3" xfId="14494"/>
    <cellStyle name="Normal 5 5 2 2 4 2 4" xfId="9237"/>
    <cellStyle name="Normal 5 5 2 2 4 2 5" xfId="23317"/>
    <cellStyle name="Normal 5 5 2 2 4 3" xfId="10691"/>
    <cellStyle name="Normal 5 5 2 2 4 3 2" xfId="19518"/>
    <cellStyle name="Normal 5 5 2 2 4 3 3" xfId="29769"/>
    <cellStyle name="Normal 5 5 2 2 4 4" xfId="12137"/>
    <cellStyle name="Normal 5 5 2 2 4 4 2" xfId="26219"/>
    <cellStyle name="Normal 5 5 2 2 4 5" xfId="7132"/>
    <cellStyle name="Normal 5 5 2 2 4 6" xfId="21212"/>
    <cellStyle name="Normal 5 5 2 2 5" xfId="2110"/>
    <cellStyle name="Normal 5 5 2 2 5 2" xfId="17030"/>
    <cellStyle name="Normal 5 5 2 2 5 2 2" xfId="27281"/>
    <cellStyle name="Normal 5 5 2 2 5 3" xfId="13451"/>
    <cellStyle name="Normal 5 5 2 2 5 4" xfId="8194"/>
    <cellStyle name="Normal 5 5 2 2 5 5" xfId="22274"/>
    <cellStyle name="Normal 5 5 2 2 6" xfId="5755"/>
    <cellStyle name="Normal 5 5 2 2 6 2" xfId="14841"/>
    <cellStyle name="Normal 5 5 2 2 6 3" xfId="24845"/>
    <cellStyle name="Normal 5 5 2 2 7" xfId="9648"/>
    <cellStyle name="Normal 5 5 2 2 7 2" xfId="18475"/>
    <cellStyle name="Normal 5 5 2 2 7 3" xfId="28726"/>
    <cellStyle name="Normal 5 5 2 2 8" xfId="11092"/>
    <cellStyle name="Normal 5 5 2 2 8 2" xfId="23818"/>
    <cellStyle name="Normal 5 5 2 2 9" xfId="4726"/>
    <cellStyle name="Normal 5 5 2 2_Degree data" xfId="1282"/>
    <cellStyle name="Normal 5 5 2 3" xfId="676"/>
    <cellStyle name="Normal 5 5 2 3 2" xfId="2408"/>
    <cellStyle name="Normal 5 5 2 3 2 2" xfId="16046"/>
    <cellStyle name="Normal 5 5 2 3 2 2 2" xfId="26119"/>
    <cellStyle name="Normal 5 5 2 3 2 3" xfId="12302"/>
    <cellStyle name="Normal 5 5 2 3 2 4" xfId="7032"/>
    <cellStyle name="Normal 5 5 2 3 2 5" xfId="21112"/>
    <cellStyle name="Normal 5 5 2 3 3" xfId="3681"/>
    <cellStyle name="Normal 5 5 2 3 3 2" xfId="17328"/>
    <cellStyle name="Normal 5 5 2 3 3 2 2" xfId="27579"/>
    <cellStyle name="Normal 5 5 2 3 3 3" xfId="13749"/>
    <cellStyle name="Normal 5 5 2 3 3 4" xfId="8492"/>
    <cellStyle name="Normal 5 5 2 3 3 5" xfId="22572"/>
    <cellStyle name="Normal 5 5 2 3 4" xfId="6148"/>
    <cellStyle name="Normal 5 5 2 3 4 2" xfId="15232"/>
    <cellStyle name="Normal 5 5 2 3 4 3" xfId="25236"/>
    <cellStyle name="Normal 5 5 2 3 5" xfId="9946"/>
    <cellStyle name="Normal 5 5 2 3 5 2" xfId="18773"/>
    <cellStyle name="Normal 5 5 2 3 5 3" xfId="29024"/>
    <cellStyle name="Normal 5 5 2 3 6" xfId="11391"/>
    <cellStyle name="Normal 5 5 2 3 6 2" xfId="23718"/>
    <cellStyle name="Normal 5 5 2 3 7" xfId="4626"/>
    <cellStyle name="Normal 5 5 2 3 8" xfId="20229"/>
    <cellStyle name="Normal 5 5 2 4" xfId="1034"/>
    <cellStyle name="Normal 5 5 2 4 2" xfId="2756"/>
    <cellStyle name="Normal 5 5 2 4 2 2" xfId="16303"/>
    <cellStyle name="Normal 5 5 2 4 2 2 2" xfId="26522"/>
    <cellStyle name="Normal 5 5 2 4 2 3" xfId="12725"/>
    <cellStyle name="Normal 5 5 2 4 2 4" xfId="7435"/>
    <cellStyle name="Normal 5 5 2 4 2 5" xfId="21515"/>
    <cellStyle name="Normal 5 5 2 4 3" xfId="4030"/>
    <cellStyle name="Normal 5 5 2 4 3 2" xfId="17676"/>
    <cellStyle name="Normal 5 5 2 4 3 2 2" xfId="27927"/>
    <cellStyle name="Normal 5 5 2 4 3 3" xfId="14097"/>
    <cellStyle name="Normal 5 5 2 4 3 4" xfId="8840"/>
    <cellStyle name="Normal 5 5 2 4 3 5" xfId="22920"/>
    <cellStyle name="Normal 5 5 2 4 4" xfId="6551"/>
    <cellStyle name="Normal 5 5 2 4 4 2" xfId="15635"/>
    <cellStyle name="Normal 5 5 2 4 4 3" xfId="25639"/>
    <cellStyle name="Normal 5 5 2 4 5" xfId="10294"/>
    <cellStyle name="Normal 5 5 2 4 5 2" xfId="19121"/>
    <cellStyle name="Normal 5 5 2 4 5 3" xfId="29372"/>
    <cellStyle name="Normal 5 5 2 4 6" xfId="11740"/>
    <cellStyle name="Normal 5 5 2 4 6 2" xfId="24121"/>
    <cellStyle name="Normal 5 5 2 4 7" xfId="5029"/>
    <cellStyle name="Normal 5 5 2 4 8" xfId="20632"/>
    <cellStyle name="Normal 5 5 2 5" xfId="1452"/>
    <cellStyle name="Normal 5 5 2 5 2" xfId="3053"/>
    <cellStyle name="Normal 5 5 2 5 2 2" xfId="16609"/>
    <cellStyle name="Normal 5 5 2 5 2 2 2" xfId="26828"/>
    <cellStyle name="Normal 5 5 2 5 2 3" xfId="13030"/>
    <cellStyle name="Normal 5 5 2 5 2 4" xfId="7741"/>
    <cellStyle name="Normal 5 5 2 5 2 5" xfId="21821"/>
    <cellStyle name="Normal 5 5 2 5 3" xfId="4267"/>
    <cellStyle name="Normal 5 5 2 5 3 2" xfId="17973"/>
    <cellStyle name="Normal 5 5 2 5 3 2 2" xfId="28224"/>
    <cellStyle name="Normal 5 5 2 5 3 3" xfId="14394"/>
    <cellStyle name="Normal 5 5 2 5 3 4" xfId="9137"/>
    <cellStyle name="Normal 5 5 2 5 3 5" xfId="23217"/>
    <cellStyle name="Normal 5 5 2 5 4" xfId="5929"/>
    <cellStyle name="Normal 5 5 2 5 4 2" xfId="15015"/>
    <cellStyle name="Normal 5 5 2 5 4 3" xfId="25019"/>
    <cellStyle name="Normal 5 5 2 5 5" xfId="10591"/>
    <cellStyle name="Normal 5 5 2 5 5 2" xfId="19418"/>
    <cellStyle name="Normal 5 5 2 5 5 3" xfId="29669"/>
    <cellStyle name="Normal 5 5 2 5 6" xfId="12037"/>
    <cellStyle name="Normal 5 5 2 5 6 2" xfId="24427"/>
    <cellStyle name="Normal 5 5 2 5 7" xfId="5335"/>
    <cellStyle name="Normal 5 5 2 5 8" xfId="20012"/>
    <cellStyle name="Normal 5 5 2 6" xfId="2010"/>
    <cellStyle name="Normal 5 5 2 6 2" xfId="15858"/>
    <cellStyle name="Normal 5 5 2 6 2 2" xfId="25902"/>
    <cellStyle name="Normal 5 5 2 6 3" xfId="12278"/>
    <cellStyle name="Normal 5 5 2 6 4" xfId="6815"/>
    <cellStyle name="Normal 5 5 2 6 5" xfId="20895"/>
    <cellStyle name="Normal 5 5 2 7" xfId="3429"/>
    <cellStyle name="Normal 5 5 2 7 2" xfId="16930"/>
    <cellStyle name="Normal 5 5 2 7 2 2" xfId="27181"/>
    <cellStyle name="Normal 5 5 2 7 3" xfId="13351"/>
    <cellStyle name="Normal 5 5 2 7 4" xfId="8094"/>
    <cellStyle name="Normal 5 5 2 7 5" xfId="22174"/>
    <cellStyle name="Normal 5 5 2 8" xfId="5655"/>
    <cellStyle name="Normal 5 5 2 8 2" xfId="14741"/>
    <cellStyle name="Normal 5 5 2 8 3" xfId="24745"/>
    <cellStyle name="Normal 5 5 2 9" xfId="9548"/>
    <cellStyle name="Normal 5 5 2 9 2" xfId="18375"/>
    <cellStyle name="Normal 5 5 2 9 3" xfId="28626"/>
    <cellStyle name="Normal 5 5 2_Degree data" xfId="1184"/>
    <cellStyle name="Normal 5 5 3" xfId="220"/>
    <cellStyle name="Normal 5 5 3 10" xfId="10949"/>
    <cellStyle name="Normal 5 5 3 10 2" xfId="23563"/>
    <cellStyle name="Normal 5 5 3 11" xfId="4471"/>
    <cellStyle name="Normal 5 5 3 12" xfId="19695"/>
    <cellStyle name="Normal 5 5 3 2" xfId="431"/>
    <cellStyle name="Normal 5 5 3 2 10" xfId="19900"/>
    <cellStyle name="Normal 5 5 3 2 2" xfId="679"/>
    <cellStyle name="Normal 5 5 3 2 2 2" xfId="2411"/>
    <cellStyle name="Normal 5 5 3 2 2 2 2" xfId="16306"/>
    <cellStyle name="Normal 5 5 3 2 2 2 2 2" xfId="26525"/>
    <cellStyle name="Normal 5 5 3 2 2 2 3" xfId="12728"/>
    <cellStyle name="Normal 5 5 3 2 2 2 4" xfId="7438"/>
    <cellStyle name="Normal 5 5 3 2 2 2 5" xfId="21518"/>
    <cellStyle name="Normal 5 5 3 2 2 3" xfId="3684"/>
    <cellStyle name="Normal 5 5 3 2 2 3 2" xfId="17331"/>
    <cellStyle name="Normal 5 5 3 2 2 3 2 2" xfId="27582"/>
    <cellStyle name="Normal 5 5 3 2 2 3 3" xfId="13752"/>
    <cellStyle name="Normal 5 5 3 2 2 3 4" xfId="8495"/>
    <cellStyle name="Normal 5 5 3 2 2 3 5" xfId="22575"/>
    <cellStyle name="Normal 5 5 3 2 2 4" xfId="6554"/>
    <cellStyle name="Normal 5 5 3 2 2 4 2" xfId="15638"/>
    <cellStyle name="Normal 5 5 3 2 2 4 3" xfId="25642"/>
    <cellStyle name="Normal 5 5 3 2 2 5" xfId="9949"/>
    <cellStyle name="Normal 5 5 3 2 2 5 2" xfId="18776"/>
    <cellStyle name="Normal 5 5 3 2 2 5 3" xfId="29027"/>
    <cellStyle name="Normal 5 5 3 2 2 6" xfId="11394"/>
    <cellStyle name="Normal 5 5 3 2 2 6 2" xfId="24124"/>
    <cellStyle name="Normal 5 5 3 2 2 7" xfId="5032"/>
    <cellStyle name="Normal 5 5 3 2 2 8" xfId="20635"/>
    <cellStyle name="Normal 5 5 3 2 3" xfId="1037"/>
    <cellStyle name="Normal 5 5 3 2 3 2" xfId="2759"/>
    <cellStyle name="Normal 5 5 3 2 3 2 2" xfId="16771"/>
    <cellStyle name="Normal 5 5 3 2 3 2 2 2" xfId="26990"/>
    <cellStyle name="Normal 5 5 3 2 3 2 3" xfId="13192"/>
    <cellStyle name="Normal 5 5 3 2 3 2 4" xfId="7903"/>
    <cellStyle name="Normal 5 5 3 2 3 2 5" xfId="21983"/>
    <cellStyle name="Normal 5 5 3 2 3 3" xfId="4033"/>
    <cellStyle name="Normal 5 5 3 2 3 3 2" xfId="17679"/>
    <cellStyle name="Normal 5 5 3 2 3 3 2 2" xfId="27930"/>
    <cellStyle name="Normal 5 5 3 2 3 3 3" xfId="14100"/>
    <cellStyle name="Normal 5 5 3 2 3 3 4" xfId="8843"/>
    <cellStyle name="Normal 5 5 3 2 3 3 5" xfId="22923"/>
    <cellStyle name="Normal 5 5 3 2 3 4" xfId="6310"/>
    <cellStyle name="Normal 5 5 3 2 3 4 2" xfId="15394"/>
    <cellStyle name="Normal 5 5 3 2 3 4 3" xfId="25398"/>
    <cellStyle name="Normal 5 5 3 2 3 5" xfId="10297"/>
    <cellStyle name="Normal 5 5 3 2 3 5 2" xfId="19124"/>
    <cellStyle name="Normal 5 5 3 2 3 5 3" xfId="29375"/>
    <cellStyle name="Normal 5 5 3 2 3 6" xfId="11743"/>
    <cellStyle name="Normal 5 5 3 2 3 6 2" xfId="24589"/>
    <cellStyle name="Normal 5 5 3 2 3 7" xfId="5497"/>
    <cellStyle name="Normal 5 5 3 2 3 8" xfId="20391"/>
    <cellStyle name="Normal 5 5 3 2 4" xfId="1618"/>
    <cellStyle name="Normal 5 5 3 2 4 2" xfId="3215"/>
    <cellStyle name="Normal 5 5 3 2 4 2 2" xfId="18135"/>
    <cellStyle name="Normal 5 5 3 2 4 2 2 2" xfId="28386"/>
    <cellStyle name="Normal 5 5 3 2 4 2 3" xfId="14556"/>
    <cellStyle name="Normal 5 5 3 2 4 2 4" xfId="9299"/>
    <cellStyle name="Normal 5 5 3 2 4 2 5" xfId="23379"/>
    <cellStyle name="Normal 5 5 3 2 4 3" xfId="10753"/>
    <cellStyle name="Normal 5 5 3 2 4 3 2" xfId="19580"/>
    <cellStyle name="Normal 5 5 3 2 4 3 3" xfId="29831"/>
    <cellStyle name="Normal 5 5 3 2 4 4" xfId="12199"/>
    <cellStyle name="Normal 5 5 3 2 4 4 2" xfId="26281"/>
    <cellStyle name="Normal 5 5 3 2 4 5" xfId="7194"/>
    <cellStyle name="Normal 5 5 3 2 4 6" xfId="21274"/>
    <cellStyle name="Normal 5 5 3 2 5" xfId="2172"/>
    <cellStyle name="Normal 5 5 3 2 5 2" xfId="17092"/>
    <cellStyle name="Normal 5 5 3 2 5 2 2" xfId="27343"/>
    <cellStyle name="Normal 5 5 3 2 5 3" xfId="13513"/>
    <cellStyle name="Normal 5 5 3 2 5 4" xfId="8256"/>
    <cellStyle name="Normal 5 5 3 2 5 5" xfId="22336"/>
    <cellStyle name="Normal 5 5 3 2 6" xfId="5817"/>
    <cellStyle name="Normal 5 5 3 2 6 2" xfId="14903"/>
    <cellStyle name="Normal 5 5 3 2 6 3" xfId="24907"/>
    <cellStyle name="Normal 5 5 3 2 7" xfId="9710"/>
    <cellStyle name="Normal 5 5 3 2 7 2" xfId="18537"/>
    <cellStyle name="Normal 5 5 3 2 7 3" xfId="28788"/>
    <cellStyle name="Normal 5 5 3 2 8" xfId="11154"/>
    <cellStyle name="Normal 5 5 3 2 8 2" xfId="23880"/>
    <cellStyle name="Normal 5 5 3 2 9" xfId="4788"/>
    <cellStyle name="Normal 5 5 3 2_Degree data" xfId="1230"/>
    <cellStyle name="Normal 5 5 3 3" xfId="678"/>
    <cellStyle name="Normal 5 5 3 3 2" xfId="2410"/>
    <cellStyle name="Normal 5 5 3 3 2 2" xfId="16003"/>
    <cellStyle name="Normal 5 5 3 3 2 2 2" xfId="26076"/>
    <cellStyle name="Normal 5 5 3 3 2 3" xfId="12322"/>
    <cellStyle name="Normal 5 5 3 3 2 4" xfId="6989"/>
    <cellStyle name="Normal 5 5 3 3 2 5" xfId="21069"/>
    <cellStyle name="Normal 5 5 3 3 3" xfId="3683"/>
    <cellStyle name="Normal 5 5 3 3 3 2" xfId="17330"/>
    <cellStyle name="Normal 5 5 3 3 3 2 2" xfId="27581"/>
    <cellStyle name="Normal 5 5 3 3 3 3" xfId="13751"/>
    <cellStyle name="Normal 5 5 3 3 3 4" xfId="8494"/>
    <cellStyle name="Normal 5 5 3 3 3 5" xfId="22574"/>
    <cellStyle name="Normal 5 5 3 3 4" xfId="6105"/>
    <cellStyle name="Normal 5 5 3 3 4 2" xfId="15189"/>
    <cellStyle name="Normal 5 5 3 3 4 3" xfId="25193"/>
    <cellStyle name="Normal 5 5 3 3 5" xfId="9948"/>
    <cellStyle name="Normal 5 5 3 3 5 2" xfId="18775"/>
    <cellStyle name="Normal 5 5 3 3 5 3" xfId="29026"/>
    <cellStyle name="Normal 5 5 3 3 6" xfId="11393"/>
    <cellStyle name="Normal 5 5 3 3 6 2" xfId="23675"/>
    <cellStyle name="Normal 5 5 3 3 7" xfId="4583"/>
    <cellStyle name="Normal 5 5 3 3 8" xfId="20186"/>
    <cellStyle name="Normal 5 5 3 4" xfId="1036"/>
    <cellStyle name="Normal 5 5 3 4 2" xfId="2758"/>
    <cellStyle name="Normal 5 5 3 4 2 2" xfId="16305"/>
    <cellStyle name="Normal 5 5 3 4 2 2 2" xfId="26524"/>
    <cellStyle name="Normal 5 5 3 4 2 3" xfId="12727"/>
    <cellStyle name="Normal 5 5 3 4 2 4" xfId="7437"/>
    <cellStyle name="Normal 5 5 3 4 2 5" xfId="21517"/>
    <cellStyle name="Normal 5 5 3 4 3" xfId="4032"/>
    <cellStyle name="Normal 5 5 3 4 3 2" xfId="17678"/>
    <cellStyle name="Normal 5 5 3 4 3 2 2" xfId="27929"/>
    <cellStyle name="Normal 5 5 3 4 3 3" xfId="14099"/>
    <cellStyle name="Normal 5 5 3 4 3 4" xfId="8842"/>
    <cellStyle name="Normal 5 5 3 4 3 5" xfId="22922"/>
    <cellStyle name="Normal 5 5 3 4 4" xfId="6553"/>
    <cellStyle name="Normal 5 5 3 4 4 2" xfId="15637"/>
    <cellStyle name="Normal 5 5 3 4 4 3" xfId="25641"/>
    <cellStyle name="Normal 5 5 3 4 5" xfId="10296"/>
    <cellStyle name="Normal 5 5 3 4 5 2" xfId="19123"/>
    <cellStyle name="Normal 5 5 3 4 5 3" xfId="29374"/>
    <cellStyle name="Normal 5 5 3 4 6" xfId="11742"/>
    <cellStyle name="Normal 5 5 3 4 6 2" xfId="24123"/>
    <cellStyle name="Normal 5 5 3 4 7" xfId="5031"/>
    <cellStyle name="Normal 5 5 3 4 8" xfId="20634"/>
    <cellStyle name="Normal 5 5 3 5" xfId="1407"/>
    <cellStyle name="Normal 5 5 3 5 2" xfId="3010"/>
    <cellStyle name="Normal 5 5 3 5 2 2" xfId="16566"/>
    <cellStyle name="Normal 5 5 3 5 2 2 2" xfId="26785"/>
    <cellStyle name="Normal 5 5 3 5 2 3" xfId="12987"/>
    <cellStyle name="Normal 5 5 3 5 2 4" xfId="7698"/>
    <cellStyle name="Normal 5 5 3 5 2 5" xfId="21778"/>
    <cellStyle name="Normal 5 5 3 5 3" xfId="4224"/>
    <cellStyle name="Normal 5 5 3 5 3 2" xfId="17930"/>
    <cellStyle name="Normal 5 5 3 5 3 2 2" xfId="28181"/>
    <cellStyle name="Normal 5 5 3 5 3 3" xfId="14351"/>
    <cellStyle name="Normal 5 5 3 5 3 4" xfId="9094"/>
    <cellStyle name="Normal 5 5 3 5 3 5" xfId="23174"/>
    <cellStyle name="Normal 5 5 3 5 4" xfId="5991"/>
    <cellStyle name="Normal 5 5 3 5 4 2" xfId="15077"/>
    <cellStyle name="Normal 5 5 3 5 4 3" xfId="25081"/>
    <cellStyle name="Normal 5 5 3 5 5" xfId="10548"/>
    <cellStyle name="Normal 5 5 3 5 5 2" xfId="19375"/>
    <cellStyle name="Normal 5 5 3 5 5 3" xfId="29626"/>
    <cellStyle name="Normal 5 5 3 5 6" xfId="11994"/>
    <cellStyle name="Normal 5 5 3 5 6 2" xfId="24384"/>
    <cellStyle name="Normal 5 5 3 5 7" xfId="5292"/>
    <cellStyle name="Normal 5 5 3 5 8" xfId="20074"/>
    <cellStyle name="Normal 5 5 3 6" xfId="1967"/>
    <cellStyle name="Normal 5 5 3 6 2" xfId="15920"/>
    <cellStyle name="Normal 5 5 3 6 2 2" xfId="25964"/>
    <cellStyle name="Normal 5 5 3 6 3" xfId="12343"/>
    <cellStyle name="Normal 5 5 3 6 4" xfId="6877"/>
    <cellStyle name="Normal 5 5 3 6 5" xfId="20957"/>
    <cellStyle name="Normal 5 5 3 7" xfId="3387"/>
    <cellStyle name="Normal 5 5 3 7 2" xfId="16887"/>
    <cellStyle name="Normal 5 5 3 7 2 2" xfId="27138"/>
    <cellStyle name="Normal 5 5 3 7 3" xfId="13308"/>
    <cellStyle name="Normal 5 5 3 7 4" xfId="8051"/>
    <cellStyle name="Normal 5 5 3 7 5" xfId="22131"/>
    <cellStyle name="Normal 5 5 3 8" xfId="5612"/>
    <cellStyle name="Normal 5 5 3 8 2" xfId="14698"/>
    <cellStyle name="Normal 5 5 3 8 3" xfId="24702"/>
    <cellStyle name="Normal 5 5 3 9" xfId="9505"/>
    <cellStyle name="Normal 5 5 3 9 2" xfId="18332"/>
    <cellStyle name="Normal 5 5 3 9 3" xfId="28583"/>
    <cellStyle name="Normal 5 5 3_Degree data" xfId="1247"/>
    <cellStyle name="Normal 5 5 4" xfId="323"/>
    <cellStyle name="Normal 5 5 4 10" xfId="19795"/>
    <cellStyle name="Normal 5 5 4 2" xfId="680"/>
    <cellStyle name="Normal 5 5 4 2 2" xfId="2412"/>
    <cellStyle name="Normal 5 5 4 2 2 2" xfId="16307"/>
    <cellStyle name="Normal 5 5 4 2 2 2 2" xfId="26526"/>
    <cellStyle name="Normal 5 5 4 2 2 3" xfId="12729"/>
    <cellStyle name="Normal 5 5 4 2 2 4" xfId="7439"/>
    <cellStyle name="Normal 5 5 4 2 2 5" xfId="21519"/>
    <cellStyle name="Normal 5 5 4 2 3" xfId="3685"/>
    <cellStyle name="Normal 5 5 4 2 3 2" xfId="17332"/>
    <cellStyle name="Normal 5 5 4 2 3 2 2" xfId="27583"/>
    <cellStyle name="Normal 5 5 4 2 3 3" xfId="13753"/>
    <cellStyle name="Normal 5 5 4 2 3 4" xfId="8496"/>
    <cellStyle name="Normal 5 5 4 2 3 5" xfId="22576"/>
    <cellStyle name="Normal 5 5 4 2 4" xfId="6555"/>
    <cellStyle name="Normal 5 5 4 2 4 2" xfId="15639"/>
    <cellStyle name="Normal 5 5 4 2 4 3" xfId="25643"/>
    <cellStyle name="Normal 5 5 4 2 5" xfId="9950"/>
    <cellStyle name="Normal 5 5 4 2 5 2" xfId="18777"/>
    <cellStyle name="Normal 5 5 4 2 5 3" xfId="29028"/>
    <cellStyle name="Normal 5 5 4 2 6" xfId="11395"/>
    <cellStyle name="Normal 5 5 4 2 6 2" xfId="24125"/>
    <cellStyle name="Normal 5 5 4 2 7" xfId="5033"/>
    <cellStyle name="Normal 5 5 4 2 8" xfId="20636"/>
    <cellStyle name="Normal 5 5 4 3" xfId="1038"/>
    <cellStyle name="Normal 5 5 4 3 2" xfId="2760"/>
    <cellStyle name="Normal 5 5 4 3 2 2" xfId="16666"/>
    <cellStyle name="Normal 5 5 4 3 2 2 2" xfId="26885"/>
    <cellStyle name="Normal 5 5 4 3 2 3" xfId="13087"/>
    <cellStyle name="Normal 5 5 4 3 2 4" xfId="7798"/>
    <cellStyle name="Normal 5 5 4 3 2 5" xfId="21878"/>
    <cellStyle name="Normal 5 5 4 3 3" xfId="4034"/>
    <cellStyle name="Normal 5 5 4 3 3 2" xfId="17680"/>
    <cellStyle name="Normal 5 5 4 3 3 2 2" xfId="27931"/>
    <cellStyle name="Normal 5 5 4 3 3 3" xfId="14101"/>
    <cellStyle name="Normal 5 5 4 3 3 4" xfId="8844"/>
    <cellStyle name="Normal 5 5 4 3 3 5" xfId="22924"/>
    <cellStyle name="Normal 5 5 4 3 4" xfId="6205"/>
    <cellStyle name="Normal 5 5 4 3 4 2" xfId="15289"/>
    <cellStyle name="Normal 5 5 4 3 4 3" xfId="25293"/>
    <cellStyle name="Normal 5 5 4 3 5" xfId="10298"/>
    <cellStyle name="Normal 5 5 4 3 5 2" xfId="19125"/>
    <cellStyle name="Normal 5 5 4 3 5 3" xfId="29376"/>
    <cellStyle name="Normal 5 5 4 3 6" xfId="11744"/>
    <cellStyle name="Normal 5 5 4 3 6 2" xfId="24484"/>
    <cellStyle name="Normal 5 5 4 3 7" xfId="5392"/>
    <cellStyle name="Normal 5 5 4 3 8" xfId="20286"/>
    <cellStyle name="Normal 5 5 4 4" xfId="1510"/>
    <cellStyle name="Normal 5 5 4 4 2" xfId="3110"/>
    <cellStyle name="Normal 5 5 4 4 2 2" xfId="18030"/>
    <cellStyle name="Normal 5 5 4 4 2 2 2" xfId="28281"/>
    <cellStyle name="Normal 5 5 4 4 2 3" xfId="14451"/>
    <cellStyle name="Normal 5 5 4 4 2 4" xfId="9194"/>
    <cellStyle name="Normal 5 5 4 4 2 5" xfId="23274"/>
    <cellStyle name="Normal 5 5 4 4 3" xfId="10648"/>
    <cellStyle name="Normal 5 5 4 4 3 2" xfId="19475"/>
    <cellStyle name="Normal 5 5 4 4 3 3" xfId="29726"/>
    <cellStyle name="Normal 5 5 4 4 4" xfId="12094"/>
    <cellStyle name="Normal 5 5 4 4 4 2" xfId="26176"/>
    <cellStyle name="Normal 5 5 4 4 5" xfId="7089"/>
    <cellStyle name="Normal 5 5 4 4 6" xfId="21169"/>
    <cellStyle name="Normal 5 5 4 5" xfId="2067"/>
    <cellStyle name="Normal 5 5 4 5 2" xfId="16987"/>
    <cellStyle name="Normal 5 5 4 5 2 2" xfId="27238"/>
    <cellStyle name="Normal 5 5 4 5 3" xfId="13408"/>
    <cellStyle name="Normal 5 5 4 5 4" xfId="8151"/>
    <cellStyle name="Normal 5 5 4 5 5" xfId="22231"/>
    <cellStyle name="Normal 5 5 4 6" xfId="5712"/>
    <cellStyle name="Normal 5 5 4 6 2" xfId="14798"/>
    <cellStyle name="Normal 5 5 4 6 3" xfId="24802"/>
    <cellStyle name="Normal 5 5 4 7" xfId="9605"/>
    <cellStyle name="Normal 5 5 4 7 2" xfId="18432"/>
    <cellStyle name="Normal 5 5 4 7 3" xfId="28683"/>
    <cellStyle name="Normal 5 5 4 8" xfId="11049"/>
    <cellStyle name="Normal 5 5 4 8 2" xfId="23775"/>
    <cellStyle name="Normal 5 5 4 9" xfId="4683"/>
    <cellStyle name="Normal 5 5 4_Degree data" xfId="1258"/>
    <cellStyle name="Normal 5 5 5" xfId="675"/>
    <cellStyle name="Normal 5 5 5 2" xfId="2407"/>
    <cellStyle name="Normal 5 5 5 2 2" xfId="15960"/>
    <cellStyle name="Normal 5 5 5 2 2 2" xfId="26017"/>
    <cellStyle name="Normal 5 5 5 2 3" xfId="12464"/>
    <cellStyle name="Normal 5 5 5 2 4" xfId="6930"/>
    <cellStyle name="Normal 5 5 5 2 5" xfId="21010"/>
    <cellStyle name="Normal 5 5 5 3" xfId="3680"/>
    <cellStyle name="Normal 5 5 5 3 2" xfId="17327"/>
    <cellStyle name="Normal 5 5 5 3 2 2" xfId="27578"/>
    <cellStyle name="Normal 5 5 5 3 3" xfId="13748"/>
    <cellStyle name="Normal 5 5 5 3 4" xfId="8491"/>
    <cellStyle name="Normal 5 5 5 3 5" xfId="22571"/>
    <cellStyle name="Normal 5 5 5 4" xfId="6046"/>
    <cellStyle name="Normal 5 5 5 4 2" xfId="15130"/>
    <cellStyle name="Normal 5 5 5 4 3" xfId="25134"/>
    <cellStyle name="Normal 5 5 5 5" xfId="9945"/>
    <cellStyle name="Normal 5 5 5 5 2" xfId="18772"/>
    <cellStyle name="Normal 5 5 5 5 3" xfId="29023"/>
    <cellStyle name="Normal 5 5 5 6" xfId="11390"/>
    <cellStyle name="Normal 5 5 5 6 2" xfId="23616"/>
    <cellStyle name="Normal 5 5 5 7" xfId="4524"/>
    <cellStyle name="Normal 5 5 5 8" xfId="20127"/>
    <cellStyle name="Normal 5 5 6" xfId="1033"/>
    <cellStyle name="Normal 5 5 6 2" xfId="2755"/>
    <cellStyle name="Normal 5 5 6 2 2" xfId="16302"/>
    <cellStyle name="Normal 5 5 6 2 2 2" xfId="26521"/>
    <cellStyle name="Normal 5 5 6 2 3" xfId="12724"/>
    <cellStyle name="Normal 5 5 6 2 4" xfId="7434"/>
    <cellStyle name="Normal 5 5 6 2 5" xfId="21514"/>
    <cellStyle name="Normal 5 5 6 3" xfId="4029"/>
    <cellStyle name="Normal 5 5 6 3 2" xfId="17675"/>
    <cellStyle name="Normal 5 5 6 3 2 2" xfId="27926"/>
    <cellStyle name="Normal 5 5 6 3 3" xfId="14096"/>
    <cellStyle name="Normal 5 5 6 3 4" xfId="8839"/>
    <cellStyle name="Normal 5 5 6 3 5" xfId="22919"/>
    <cellStyle name="Normal 5 5 6 4" xfId="6550"/>
    <cellStyle name="Normal 5 5 6 4 2" xfId="15634"/>
    <cellStyle name="Normal 5 5 6 4 3" xfId="25638"/>
    <cellStyle name="Normal 5 5 6 5" xfId="10293"/>
    <cellStyle name="Normal 5 5 6 5 2" xfId="19120"/>
    <cellStyle name="Normal 5 5 6 5 3" xfId="29371"/>
    <cellStyle name="Normal 5 5 6 6" xfId="11739"/>
    <cellStyle name="Normal 5 5 6 6 2" xfId="24120"/>
    <cellStyle name="Normal 5 5 6 7" xfId="5028"/>
    <cellStyle name="Normal 5 5 6 8" xfId="20631"/>
    <cellStyle name="Normal 5 5 7" xfId="1339"/>
    <cellStyle name="Normal 5 5 7 2" xfId="2951"/>
    <cellStyle name="Normal 5 5 7 2 2" xfId="16507"/>
    <cellStyle name="Normal 5 5 7 2 2 2" xfId="26726"/>
    <cellStyle name="Normal 5 5 7 2 3" xfId="12929"/>
    <cellStyle name="Normal 5 5 7 2 4" xfId="7639"/>
    <cellStyle name="Normal 5 5 7 2 5" xfId="21719"/>
    <cellStyle name="Normal 5 5 7 3" xfId="4182"/>
    <cellStyle name="Normal 5 5 7 3 2" xfId="17871"/>
    <cellStyle name="Normal 5 5 7 3 2 2" xfId="28122"/>
    <cellStyle name="Normal 5 5 7 3 3" xfId="14292"/>
    <cellStyle name="Normal 5 5 7 3 4" xfId="9035"/>
    <cellStyle name="Normal 5 5 7 3 5" xfId="23115"/>
    <cellStyle name="Normal 5 5 7 4" xfId="5885"/>
    <cellStyle name="Normal 5 5 7 4 2" xfId="14971"/>
    <cellStyle name="Normal 5 5 7 4 3" xfId="24975"/>
    <cellStyle name="Normal 5 5 7 5" xfId="10489"/>
    <cellStyle name="Normal 5 5 7 5 2" xfId="19316"/>
    <cellStyle name="Normal 5 5 7 5 3" xfId="29567"/>
    <cellStyle name="Normal 5 5 7 6" xfId="11935"/>
    <cellStyle name="Normal 5 5 7 6 2" xfId="24325"/>
    <cellStyle name="Normal 5 5 7 7" xfId="5233"/>
    <cellStyle name="Normal 5 5 7 8" xfId="19968"/>
    <cellStyle name="Normal 5 5 8" xfId="1908"/>
    <cellStyle name="Normal 5 5 8 2" xfId="9446"/>
    <cellStyle name="Normal 5 5 8 2 2" xfId="18273"/>
    <cellStyle name="Normal 5 5 8 2 3" xfId="28524"/>
    <cellStyle name="Normal 5 5 8 3" xfId="10890"/>
    <cellStyle name="Normal 5 5 8 3 2" xfId="25859"/>
    <cellStyle name="Normal 5 5 8 4" xfId="6772"/>
    <cellStyle name="Normal 5 5 8 5" xfId="20852"/>
    <cellStyle name="Normal 5 5 9" xfId="1832"/>
    <cellStyle name="Normal 5 5 9 2" xfId="16826"/>
    <cellStyle name="Normal 5 5 9 2 2" xfId="27077"/>
    <cellStyle name="Normal 5 5 9 3" xfId="13247"/>
    <cellStyle name="Normal 5 5 9 4" xfId="7990"/>
    <cellStyle name="Normal 5 5 9 5" xfId="22070"/>
    <cellStyle name="Normal 5 5_Degree data" xfId="1296"/>
    <cellStyle name="Normal 5 6" xfId="256"/>
    <cellStyle name="Normal 5 6 10" xfId="10983"/>
    <cellStyle name="Normal 5 6 10 2" xfId="23492"/>
    <cellStyle name="Normal 5 6 11" xfId="4400"/>
    <cellStyle name="Normal 5 6 12" xfId="19729"/>
    <cellStyle name="Normal 5 6 2" xfId="358"/>
    <cellStyle name="Normal 5 6 2 10" xfId="19829"/>
    <cellStyle name="Normal 5 6 2 2" xfId="682"/>
    <cellStyle name="Normal 5 6 2 2 2" xfId="2414"/>
    <cellStyle name="Normal 5 6 2 2 2 2" xfId="16309"/>
    <cellStyle name="Normal 5 6 2 2 2 2 2" xfId="26528"/>
    <cellStyle name="Normal 5 6 2 2 2 3" xfId="12731"/>
    <cellStyle name="Normal 5 6 2 2 2 4" xfId="7441"/>
    <cellStyle name="Normal 5 6 2 2 2 5" xfId="21521"/>
    <cellStyle name="Normal 5 6 2 2 3" xfId="3687"/>
    <cellStyle name="Normal 5 6 2 2 3 2" xfId="17334"/>
    <cellStyle name="Normal 5 6 2 2 3 2 2" xfId="27585"/>
    <cellStyle name="Normal 5 6 2 2 3 3" xfId="13755"/>
    <cellStyle name="Normal 5 6 2 2 3 4" xfId="8498"/>
    <cellStyle name="Normal 5 6 2 2 3 5" xfId="22578"/>
    <cellStyle name="Normal 5 6 2 2 4" xfId="6557"/>
    <cellStyle name="Normal 5 6 2 2 4 2" xfId="15641"/>
    <cellStyle name="Normal 5 6 2 2 4 3" xfId="25645"/>
    <cellStyle name="Normal 5 6 2 2 5" xfId="9952"/>
    <cellStyle name="Normal 5 6 2 2 5 2" xfId="18779"/>
    <cellStyle name="Normal 5 6 2 2 5 3" xfId="29030"/>
    <cellStyle name="Normal 5 6 2 2 6" xfId="11397"/>
    <cellStyle name="Normal 5 6 2 2 6 2" xfId="24127"/>
    <cellStyle name="Normal 5 6 2 2 7" xfId="5035"/>
    <cellStyle name="Normal 5 6 2 2 8" xfId="20638"/>
    <cellStyle name="Normal 5 6 2 3" xfId="1040"/>
    <cellStyle name="Normal 5 6 2 3 2" xfId="2762"/>
    <cellStyle name="Normal 5 6 2 3 2 2" xfId="16700"/>
    <cellStyle name="Normal 5 6 2 3 2 2 2" xfId="26919"/>
    <cellStyle name="Normal 5 6 2 3 2 3" xfId="13121"/>
    <cellStyle name="Normal 5 6 2 3 2 4" xfId="7832"/>
    <cellStyle name="Normal 5 6 2 3 2 5" xfId="21912"/>
    <cellStyle name="Normal 5 6 2 3 3" xfId="4036"/>
    <cellStyle name="Normal 5 6 2 3 3 2" xfId="17682"/>
    <cellStyle name="Normal 5 6 2 3 3 2 2" xfId="27933"/>
    <cellStyle name="Normal 5 6 2 3 3 3" xfId="14103"/>
    <cellStyle name="Normal 5 6 2 3 3 4" xfId="8846"/>
    <cellStyle name="Normal 5 6 2 3 3 5" xfId="22926"/>
    <cellStyle name="Normal 5 6 2 3 4" xfId="6239"/>
    <cellStyle name="Normal 5 6 2 3 4 2" xfId="15323"/>
    <cellStyle name="Normal 5 6 2 3 4 3" xfId="25327"/>
    <cellStyle name="Normal 5 6 2 3 5" xfId="10300"/>
    <cellStyle name="Normal 5 6 2 3 5 2" xfId="19127"/>
    <cellStyle name="Normal 5 6 2 3 5 3" xfId="29378"/>
    <cellStyle name="Normal 5 6 2 3 6" xfId="11746"/>
    <cellStyle name="Normal 5 6 2 3 6 2" xfId="24518"/>
    <cellStyle name="Normal 5 6 2 3 7" xfId="5426"/>
    <cellStyle name="Normal 5 6 2 3 8" xfId="20320"/>
    <cellStyle name="Normal 5 6 2 4" xfId="1545"/>
    <cellStyle name="Normal 5 6 2 4 2" xfId="3144"/>
    <cellStyle name="Normal 5 6 2 4 2 2" xfId="18064"/>
    <cellStyle name="Normal 5 6 2 4 2 2 2" xfId="28315"/>
    <cellStyle name="Normal 5 6 2 4 2 3" xfId="14485"/>
    <cellStyle name="Normal 5 6 2 4 2 4" xfId="9228"/>
    <cellStyle name="Normal 5 6 2 4 2 5" xfId="23308"/>
    <cellStyle name="Normal 5 6 2 4 3" xfId="10682"/>
    <cellStyle name="Normal 5 6 2 4 3 2" xfId="19509"/>
    <cellStyle name="Normal 5 6 2 4 3 3" xfId="29760"/>
    <cellStyle name="Normal 5 6 2 4 4" xfId="12128"/>
    <cellStyle name="Normal 5 6 2 4 4 2" xfId="26210"/>
    <cellStyle name="Normal 5 6 2 4 5" xfId="7123"/>
    <cellStyle name="Normal 5 6 2 4 6" xfId="21203"/>
    <cellStyle name="Normal 5 6 2 5" xfId="2101"/>
    <cellStyle name="Normal 5 6 2 5 2" xfId="17021"/>
    <cellStyle name="Normal 5 6 2 5 2 2" xfId="27272"/>
    <cellStyle name="Normal 5 6 2 5 3" xfId="13442"/>
    <cellStyle name="Normal 5 6 2 5 4" xfId="8185"/>
    <cellStyle name="Normal 5 6 2 5 5" xfId="22265"/>
    <cellStyle name="Normal 5 6 2 6" xfId="5746"/>
    <cellStyle name="Normal 5 6 2 6 2" xfId="14832"/>
    <cellStyle name="Normal 5 6 2 6 3" xfId="24836"/>
    <cellStyle name="Normal 5 6 2 7" xfId="9639"/>
    <cellStyle name="Normal 5 6 2 7 2" xfId="18466"/>
    <cellStyle name="Normal 5 6 2 7 3" xfId="28717"/>
    <cellStyle name="Normal 5 6 2 8" xfId="11083"/>
    <cellStyle name="Normal 5 6 2 8 2" xfId="23809"/>
    <cellStyle name="Normal 5 6 2 9" xfId="4717"/>
    <cellStyle name="Normal 5 6 2_Degree data" xfId="1298"/>
    <cellStyle name="Normal 5 6 3" xfId="681"/>
    <cellStyle name="Normal 5 6 3 2" xfId="2413"/>
    <cellStyle name="Normal 5 6 3 2 2" xfId="16037"/>
    <cellStyle name="Normal 5 6 3 2 2 2" xfId="26110"/>
    <cellStyle name="Normal 5 6 3 2 3" xfId="12313"/>
    <cellStyle name="Normal 5 6 3 2 4" xfId="7023"/>
    <cellStyle name="Normal 5 6 3 2 5" xfId="21103"/>
    <cellStyle name="Normal 5 6 3 3" xfId="3686"/>
    <cellStyle name="Normal 5 6 3 3 2" xfId="17333"/>
    <cellStyle name="Normal 5 6 3 3 2 2" xfId="27584"/>
    <cellStyle name="Normal 5 6 3 3 3" xfId="13754"/>
    <cellStyle name="Normal 5 6 3 3 4" xfId="8497"/>
    <cellStyle name="Normal 5 6 3 3 5" xfId="22577"/>
    <cellStyle name="Normal 5 6 3 4" xfId="6139"/>
    <cellStyle name="Normal 5 6 3 4 2" xfId="15223"/>
    <cellStyle name="Normal 5 6 3 4 3" xfId="25227"/>
    <cellStyle name="Normal 5 6 3 5" xfId="9951"/>
    <cellStyle name="Normal 5 6 3 5 2" xfId="18778"/>
    <cellStyle name="Normal 5 6 3 5 3" xfId="29029"/>
    <cellStyle name="Normal 5 6 3 6" xfId="11396"/>
    <cellStyle name="Normal 5 6 3 6 2" xfId="23709"/>
    <cellStyle name="Normal 5 6 3 7" xfId="4617"/>
    <cellStyle name="Normal 5 6 3 8" xfId="20220"/>
    <cellStyle name="Normal 5 6 4" xfId="1039"/>
    <cellStyle name="Normal 5 6 4 2" xfId="2761"/>
    <cellStyle name="Normal 5 6 4 2 2" xfId="16308"/>
    <cellStyle name="Normal 5 6 4 2 2 2" xfId="26527"/>
    <cellStyle name="Normal 5 6 4 2 3" xfId="12730"/>
    <cellStyle name="Normal 5 6 4 2 4" xfId="7440"/>
    <cellStyle name="Normal 5 6 4 2 5" xfId="21520"/>
    <cellStyle name="Normal 5 6 4 3" xfId="4035"/>
    <cellStyle name="Normal 5 6 4 3 2" xfId="17681"/>
    <cellStyle name="Normal 5 6 4 3 2 2" xfId="27932"/>
    <cellStyle name="Normal 5 6 4 3 3" xfId="14102"/>
    <cellStyle name="Normal 5 6 4 3 4" xfId="8845"/>
    <cellStyle name="Normal 5 6 4 3 5" xfId="22925"/>
    <cellStyle name="Normal 5 6 4 4" xfId="6556"/>
    <cellStyle name="Normal 5 6 4 4 2" xfId="15640"/>
    <cellStyle name="Normal 5 6 4 4 3" xfId="25644"/>
    <cellStyle name="Normal 5 6 4 5" xfId="10299"/>
    <cellStyle name="Normal 5 6 4 5 2" xfId="19126"/>
    <cellStyle name="Normal 5 6 4 5 3" xfId="29377"/>
    <cellStyle name="Normal 5 6 4 6" xfId="11745"/>
    <cellStyle name="Normal 5 6 4 6 2" xfId="24126"/>
    <cellStyle name="Normal 5 6 4 7" xfId="5034"/>
    <cellStyle name="Normal 5 6 4 8" xfId="20637"/>
    <cellStyle name="Normal 5 6 5" xfId="1443"/>
    <cellStyle name="Normal 5 6 5 2" xfId="3044"/>
    <cellStyle name="Normal 5 6 5 2 2" xfId="16600"/>
    <cellStyle name="Normal 5 6 5 2 2 2" xfId="26819"/>
    <cellStyle name="Normal 5 6 5 2 3" xfId="13021"/>
    <cellStyle name="Normal 5 6 5 2 4" xfId="7732"/>
    <cellStyle name="Normal 5 6 5 2 5" xfId="21812"/>
    <cellStyle name="Normal 5 6 5 3" xfId="4258"/>
    <cellStyle name="Normal 5 6 5 3 2" xfId="17964"/>
    <cellStyle name="Normal 5 6 5 3 2 2" xfId="28215"/>
    <cellStyle name="Normal 5 6 5 3 3" xfId="14385"/>
    <cellStyle name="Normal 5 6 5 3 4" xfId="9128"/>
    <cellStyle name="Normal 5 6 5 3 5" xfId="23208"/>
    <cellStyle name="Normal 5 6 5 4" xfId="5920"/>
    <cellStyle name="Normal 5 6 5 4 2" xfId="15006"/>
    <cellStyle name="Normal 5 6 5 4 3" xfId="25010"/>
    <cellStyle name="Normal 5 6 5 5" xfId="10582"/>
    <cellStyle name="Normal 5 6 5 5 2" xfId="19409"/>
    <cellStyle name="Normal 5 6 5 5 3" xfId="29660"/>
    <cellStyle name="Normal 5 6 5 6" xfId="12028"/>
    <cellStyle name="Normal 5 6 5 6 2" xfId="24418"/>
    <cellStyle name="Normal 5 6 5 7" xfId="5326"/>
    <cellStyle name="Normal 5 6 5 8" xfId="20003"/>
    <cellStyle name="Normal 5 6 6" xfId="2001"/>
    <cellStyle name="Normal 5 6 6 2" xfId="15849"/>
    <cellStyle name="Normal 5 6 6 2 2" xfId="25893"/>
    <cellStyle name="Normal 5 6 6 3" xfId="12426"/>
    <cellStyle name="Normal 5 6 6 4" xfId="6806"/>
    <cellStyle name="Normal 5 6 6 5" xfId="20886"/>
    <cellStyle name="Normal 5 6 7" xfId="3420"/>
    <cellStyle name="Normal 5 6 7 2" xfId="16921"/>
    <cellStyle name="Normal 5 6 7 2 2" xfId="27172"/>
    <cellStyle name="Normal 5 6 7 3" xfId="13342"/>
    <cellStyle name="Normal 5 6 7 4" xfId="8085"/>
    <cellStyle name="Normal 5 6 7 5" xfId="22165"/>
    <cellStyle name="Normal 5 6 8" xfId="5646"/>
    <cellStyle name="Normal 5 6 8 2" xfId="14732"/>
    <cellStyle name="Normal 5 6 8 3" xfId="24736"/>
    <cellStyle name="Normal 5 6 9" xfId="9539"/>
    <cellStyle name="Normal 5 6 9 2" xfId="18366"/>
    <cellStyle name="Normal 5 6 9 3" xfId="28617"/>
    <cellStyle name="Normal 5 6_Degree data" xfId="1275"/>
    <cellStyle name="Normal 5 7" xfId="466"/>
    <cellStyle name="Normal 5 7 10" xfId="4505"/>
    <cellStyle name="Normal 5 7 11" xfId="19934"/>
    <cellStyle name="Normal 5 7 2" xfId="683"/>
    <cellStyle name="Normal 5 7 2 2" xfId="2415"/>
    <cellStyle name="Normal 5 7 2 2 2" xfId="16097"/>
    <cellStyle name="Normal 5 7 2 2 2 2" xfId="26315"/>
    <cellStyle name="Normal 5 7 2 2 3" xfId="12519"/>
    <cellStyle name="Normal 5 7 2 2 4" xfId="7228"/>
    <cellStyle name="Normal 5 7 2 2 5" xfId="21308"/>
    <cellStyle name="Normal 5 7 2 3" xfId="3688"/>
    <cellStyle name="Normal 5 7 2 3 2" xfId="17335"/>
    <cellStyle name="Normal 5 7 2 3 2 2" xfId="27586"/>
    <cellStyle name="Normal 5 7 2 3 3" xfId="13756"/>
    <cellStyle name="Normal 5 7 2 3 4" xfId="8499"/>
    <cellStyle name="Normal 5 7 2 3 5" xfId="22579"/>
    <cellStyle name="Normal 5 7 2 4" xfId="6344"/>
    <cellStyle name="Normal 5 7 2 4 2" xfId="15428"/>
    <cellStyle name="Normal 5 7 2 4 3" xfId="25432"/>
    <cellStyle name="Normal 5 7 2 5" xfId="9953"/>
    <cellStyle name="Normal 5 7 2 5 2" xfId="18780"/>
    <cellStyle name="Normal 5 7 2 5 3" xfId="29031"/>
    <cellStyle name="Normal 5 7 2 6" xfId="11398"/>
    <cellStyle name="Normal 5 7 2 6 2" xfId="23914"/>
    <cellStyle name="Normal 5 7 2 7" xfId="4822"/>
    <cellStyle name="Normal 5 7 2 8" xfId="20425"/>
    <cellStyle name="Normal 5 7 3" xfId="1041"/>
    <cellStyle name="Normal 5 7 3 2" xfId="2763"/>
    <cellStyle name="Normal 5 7 3 2 2" xfId="16310"/>
    <cellStyle name="Normal 5 7 3 2 2 2" xfId="26529"/>
    <cellStyle name="Normal 5 7 3 2 3" xfId="12732"/>
    <cellStyle name="Normal 5 7 3 2 4" xfId="7442"/>
    <cellStyle name="Normal 5 7 3 2 5" xfId="21522"/>
    <cellStyle name="Normal 5 7 3 3" xfId="4037"/>
    <cellStyle name="Normal 5 7 3 3 2" xfId="17683"/>
    <cellStyle name="Normal 5 7 3 3 2 2" xfId="27934"/>
    <cellStyle name="Normal 5 7 3 3 3" xfId="14104"/>
    <cellStyle name="Normal 5 7 3 3 4" xfId="8847"/>
    <cellStyle name="Normal 5 7 3 3 5" xfId="22927"/>
    <cellStyle name="Normal 5 7 3 4" xfId="6558"/>
    <cellStyle name="Normal 5 7 3 4 2" xfId="15642"/>
    <cellStyle name="Normal 5 7 3 4 3" xfId="25646"/>
    <cellStyle name="Normal 5 7 3 5" xfId="10301"/>
    <cellStyle name="Normal 5 7 3 5 2" xfId="19128"/>
    <cellStyle name="Normal 5 7 3 5 3" xfId="29379"/>
    <cellStyle name="Normal 5 7 3 6" xfId="11747"/>
    <cellStyle name="Normal 5 7 3 6 2" xfId="24128"/>
    <cellStyle name="Normal 5 7 3 7" xfId="5036"/>
    <cellStyle name="Normal 5 7 3 8" xfId="20639"/>
    <cellStyle name="Normal 5 7 4" xfId="1653"/>
    <cellStyle name="Normal 5 7 4 2" xfId="3249"/>
    <cellStyle name="Normal 5 7 4 2 2" xfId="16805"/>
    <cellStyle name="Normal 5 7 4 2 2 2" xfId="27024"/>
    <cellStyle name="Normal 5 7 4 2 3" xfId="13226"/>
    <cellStyle name="Normal 5 7 4 2 4" xfId="7937"/>
    <cellStyle name="Normal 5 7 4 2 5" xfId="22017"/>
    <cellStyle name="Normal 5 7 4 3" xfId="4318"/>
    <cellStyle name="Normal 5 7 4 3 2" xfId="18169"/>
    <cellStyle name="Normal 5 7 4 3 2 2" xfId="28420"/>
    <cellStyle name="Normal 5 7 4 3 3" xfId="14590"/>
    <cellStyle name="Normal 5 7 4 3 4" xfId="9333"/>
    <cellStyle name="Normal 5 7 4 3 5" xfId="23413"/>
    <cellStyle name="Normal 5 7 4 4" xfId="6025"/>
    <cellStyle name="Normal 5 7 4 4 2" xfId="15111"/>
    <cellStyle name="Normal 5 7 4 4 3" xfId="25115"/>
    <cellStyle name="Normal 5 7 4 5" xfId="10787"/>
    <cellStyle name="Normal 5 7 4 5 2" xfId="19614"/>
    <cellStyle name="Normal 5 7 4 5 3" xfId="29865"/>
    <cellStyle name="Normal 5 7 4 6" xfId="12233"/>
    <cellStyle name="Normal 5 7 4 6 2" xfId="24623"/>
    <cellStyle name="Normal 5 7 4 7" xfId="5531"/>
    <cellStyle name="Normal 5 7 4 8" xfId="20108"/>
    <cellStyle name="Normal 5 7 5" xfId="2206"/>
    <cellStyle name="Normal 5 7 5 2" xfId="15954"/>
    <cellStyle name="Normal 5 7 5 2 2" xfId="25998"/>
    <cellStyle name="Normal 5 7 5 3" xfId="12334"/>
    <cellStyle name="Normal 5 7 5 4" xfId="6911"/>
    <cellStyle name="Normal 5 7 5 5" xfId="20991"/>
    <cellStyle name="Normal 5 7 6" xfId="3480"/>
    <cellStyle name="Normal 5 7 6 2" xfId="17126"/>
    <cellStyle name="Normal 5 7 6 2 2" xfId="27377"/>
    <cellStyle name="Normal 5 7 6 3" xfId="13547"/>
    <cellStyle name="Normal 5 7 6 4" xfId="8290"/>
    <cellStyle name="Normal 5 7 6 5" xfId="22370"/>
    <cellStyle name="Normal 5 7 7" xfId="5851"/>
    <cellStyle name="Normal 5 7 7 2" xfId="14937"/>
    <cellStyle name="Normal 5 7 7 3" xfId="24941"/>
    <cellStyle name="Normal 5 7 8" xfId="9744"/>
    <cellStyle name="Normal 5 7 8 2" xfId="18571"/>
    <cellStyle name="Normal 5 7 8 3" xfId="28822"/>
    <cellStyle name="Normal 5 7 9" xfId="11188"/>
    <cellStyle name="Normal 5 7 9 2" xfId="23597"/>
    <cellStyle name="Normal 5 7_Degree data" xfId="1229"/>
    <cellStyle name="Normal 5 8" xfId="139"/>
    <cellStyle name="Normal 5 8 10" xfId="20116"/>
    <cellStyle name="Normal 5 8 2" xfId="684"/>
    <cellStyle name="Normal 5 8 2 2" xfId="2416"/>
    <cellStyle name="Normal 5 8 2 2 2" xfId="16311"/>
    <cellStyle name="Normal 5 8 2 2 2 2" xfId="26530"/>
    <cellStyle name="Normal 5 8 2 2 3" xfId="12733"/>
    <cellStyle name="Normal 5 8 2 2 4" xfId="7443"/>
    <cellStyle name="Normal 5 8 2 2 5" xfId="21523"/>
    <cellStyle name="Normal 5 8 2 3" xfId="3689"/>
    <cellStyle name="Normal 5 8 2 3 2" xfId="17336"/>
    <cellStyle name="Normal 5 8 2 3 2 2" xfId="27587"/>
    <cellStyle name="Normal 5 8 2 3 3" xfId="13757"/>
    <cellStyle name="Normal 5 8 2 3 4" xfId="8500"/>
    <cellStyle name="Normal 5 8 2 3 5" xfId="22580"/>
    <cellStyle name="Normal 5 8 2 4" xfId="6559"/>
    <cellStyle name="Normal 5 8 2 4 2" xfId="15643"/>
    <cellStyle name="Normal 5 8 2 4 3" xfId="25647"/>
    <cellStyle name="Normal 5 8 2 5" xfId="9954"/>
    <cellStyle name="Normal 5 8 2 5 2" xfId="18781"/>
    <cellStyle name="Normal 5 8 2 5 3" xfId="29032"/>
    <cellStyle name="Normal 5 8 2 6" xfId="11399"/>
    <cellStyle name="Normal 5 8 2 6 2" xfId="24129"/>
    <cellStyle name="Normal 5 8 2 7" xfId="5037"/>
    <cellStyle name="Normal 5 8 2 8" xfId="20640"/>
    <cellStyle name="Normal 5 8 3" xfId="1042"/>
    <cellStyle name="Normal 5 8 3 2" xfId="2764"/>
    <cellStyle name="Normal 5 8 3 2 2" xfId="16496"/>
    <cellStyle name="Normal 5 8 3 2 2 2" xfId="26715"/>
    <cellStyle name="Normal 5 8 3 2 3" xfId="12918"/>
    <cellStyle name="Normal 5 8 3 2 4" xfId="7628"/>
    <cellStyle name="Normal 5 8 3 2 5" xfId="21708"/>
    <cellStyle name="Normal 5 8 3 3" xfId="4038"/>
    <cellStyle name="Normal 5 8 3 3 2" xfId="17684"/>
    <cellStyle name="Normal 5 8 3 3 2 2" xfId="27935"/>
    <cellStyle name="Normal 5 8 3 3 3" xfId="14105"/>
    <cellStyle name="Normal 5 8 3 3 4" xfId="8848"/>
    <cellStyle name="Normal 5 8 3 3 5" xfId="22928"/>
    <cellStyle name="Normal 5 8 3 4" xfId="6721"/>
    <cellStyle name="Normal 5 8 3 4 2" xfId="15804"/>
    <cellStyle name="Normal 5 8 3 4 3" xfId="25808"/>
    <cellStyle name="Normal 5 8 3 5" xfId="10302"/>
    <cellStyle name="Normal 5 8 3 5 2" xfId="19129"/>
    <cellStyle name="Normal 5 8 3 5 3" xfId="29380"/>
    <cellStyle name="Normal 5 8 3 6" xfId="11748"/>
    <cellStyle name="Normal 5 8 3 6 2" xfId="24314"/>
    <cellStyle name="Normal 5 8 3 7" xfId="5222"/>
    <cellStyle name="Normal 5 8 3 8" xfId="20801"/>
    <cellStyle name="Normal 5 8 4" xfId="1326"/>
    <cellStyle name="Normal 5 8 4 2" xfId="2940"/>
    <cellStyle name="Normal 5 8 4 2 2" xfId="17860"/>
    <cellStyle name="Normal 5 8 4 2 2 2" xfId="28111"/>
    <cellStyle name="Normal 5 8 4 2 3" xfId="14281"/>
    <cellStyle name="Normal 5 8 4 2 4" xfId="9024"/>
    <cellStyle name="Normal 5 8 4 2 5" xfId="23104"/>
    <cellStyle name="Normal 5 8 4 3" xfId="10478"/>
    <cellStyle name="Normal 5 8 4 3 2" xfId="19305"/>
    <cellStyle name="Normal 5 8 4 3 3" xfId="29556"/>
    <cellStyle name="Normal 5 8 4 4" xfId="11924"/>
    <cellStyle name="Normal 5 8 4 4 2" xfId="26006"/>
    <cellStyle name="Normal 5 8 4 5" xfId="6919"/>
    <cellStyle name="Normal 5 8 4 6" xfId="20999"/>
    <cellStyle name="Normal 5 8 5" xfId="1897"/>
    <cellStyle name="Normal 5 8 5 2" xfId="16815"/>
    <cellStyle name="Normal 5 8 5 2 2" xfId="27066"/>
    <cellStyle name="Normal 5 8 5 3" xfId="13236"/>
    <cellStyle name="Normal 5 8 5 4" xfId="7979"/>
    <cellStyle name="Normal 5 8 5 5" xfId="22059"/>
    <cellStyle name="Normal 5 8 6" xfId="6035"/>
    <cellStyle name="Normal 5 8 6 2" xfId="15119"/>
    <cellStyle name="Normal 5 8 6 3" xfId="25123"/>
    <cellStyle name="Normal 5 8 7" xfId="9435"/>
    <cellStyle name="Normal 5 8 7 2" xfId="18262"/>
    <cellStyle name="Normal 5 8 7 3" xfId="28513"/>
    <cellStyle name="Normal 5 8 8" xfId="10879"/>
    <cellStyle name="Normal 5 8 8 2" xfId="23605"/>
    <cellStyle name="Normal 5 8 9" xfId="4513"/>
    <cellStyle name="Normal 5 8_Degree data" xfId="1660"/>
    <cellStyle name="Normal 5 9" xfId="642"/>
    <cellStyle name="Normal 5 9 2" xfId="2374"/>
    <cellStyle name="Normal 5 9 2 2" xfId="16269"/>
    <cellStyle name="Normal 5 9 2 2 2" xfId="26488"/>
    <cellStyle name="Normal 5 9 2 3" xfId="12691"/>
    <cellStyle name="Normal 5 9 2 4" xfId="7401"/>
    <cellStyle name="Normal 5 9 2 5" xfId="21481"/>
    <cellStyle name="Normal 5 9 3" xfId="3647"/>
    <cellStyle name="Normal 5 9 3 2" xfId="17294"/>
    <cellStyle name="Normal 5 9 3 2 2" xfId="27545"/>
    <cellStyle name="Normal 5 9 3 3" xfId="13715"/>
    <cellStyle name="Normal 5 9 3 4" xfId="8458"/>
    <cellStyle name="Normal 5 9 3 5" xfId="22538"/>
    <cellStyle name="Normal 5 9 4" xfId="6517"/>
    <cellStyle name="Normal 5 9 4 2" xfId="15601"/>
    <cellStyle name="Normal 5 9 4 3" xfId="25605"/>
    <cellStyle name="Normal 5 9 5" xfId="9912"/>
    <cellStyle name="Normal 5 9 5 2" xfId="18739"/>
    <cellStyle name="Normal 5 9 5 3" xfId="28990"/>
    <cellStyle name="Normal 5 9 6" xfId="11357"/>
    <cellStyle name="Normal 5 9 6 2" xfId="24087"/>
    <cellStyle name="Normal 5 9 7" xfId="4995"/>
    <cellStyle name="Normal 5 9 8" xfId="20598"/>
    <cellStyle name="Normal 5_Degree data" xfId="1292"/>
    <cellStyle name="Normal 50" xfId="40"/>
    <cellStyle name="Normal 51" xfId="41"/>
    <cellStyle name="Normal 52" xfId="31"/>
    <cellStyle name="Normal 53" xfId="102"/>
    <cellStyle name="Normal 54" xfId="103"/>
    <cellStyle name="Normal 55" xfId="104"/>
    <cellStyle name="Normal 56" xfId="75"/>
    <cellStyle name="Normal 57" xfId="48"/>
    <cellStyle name="Normal 57 10" xfId="458"/>
    <cellStyle name="Normal 57 10 10" xfId="4498"/>
    <cellStyle name="Normal 57 10 11" xfId="19927"/>
    <cellStyle name="Normal 57 10 2" xfId="686"/>
    <cellStyle name="Normal 57 10 2 2" xfId="2418"/>
    <cellStyle name="Normal 57 10 2 2 2" xfId="16090"/>
    <cellStyle name="Normal 57 10 2 2 2 2" xfId="26308"/>
    <cellStyle name="Normal 57 10 2 2 3" xfId="12512"/>
    <cellStyle name="Normal 57 10 2 2 4" xfId="7221"/>
    <cellStyle name="Normal 57 10 2 2 5" xfId="21301"/>
    <cellStyle name="Normal 57 10 2 3" xfId="3691"/>
    <cellStyle name="Normal 57 10 2 3 2" xfId="17338"/>
    <cellStyle name="Normal 57 10 2 3 2 2" xfId="27589"/>
    <cellStyle name="Normal 57 10 2 3 3" xfId="13759"/>
    <cellStyle name="Normal 57 10 2 3 4" xfId="8502"/>
    <cellStyle name="Normal 57 10 2 3 5" xfId="22582"/>
    <cellStyle name="Normal 57 10 2 4" xfId="6337"/>
    <cellStyle name="Normal 57 10 2 4 2" xfId="15421"/>
    <cellStyle name="Normal 57 10 2 4 3" xfId="25425"/>
    <cellStyle name="Normal 57 10 2 5" xfId="9956"/>
    <cellStyle name="Normal 57 10 2 5 2" xfId="18783"/>
    <cellStyle name="Normal 57 10 2 5 3" xfId="29034"/>
    <cellStyle name="Normal 57 10 2 6" xfId="11401"/>
    <cellStyle name="Normal 57 10 2 6 2" xfId="23907"/>
    <cellStyle name="Normal 57 10 2 7" xfId="4815"/>
    <cellStyle name="Normal 57 10 2 8" xfId="20418"/>
    <cellStyle name="Normal 57 10 3" xfId="1044"/>
    <cellStyle name="Normal 57 10 3 2" xfId="2766"/>
    <cellStyle name="Normal 57 10 3 2 2" xfId="16313"/>
    <cellStyle name="Normal 57 10 3 2 2 2" xfId="26532"/>
    <cellStyle name="Normal 57 10 3 2 3" xfId="12735"/>
    <cellStyle name="Normal 57 10 3 2 4" xfId="7445"/>
    <cellStyle name="Normal 57 10 3 2 5" xfId="21525"/>
    <cellStyle name="Normal 57 10 3 3" xfId="4040"/>
    <cellStyle name="Normal 57 10 3 3 2" xfId="17686"/>
    <cellStyle name="Normal 57 10 3 3 2 2" xfId="27937"/>
    <cellStyle name="Normal 57 10 3 3 3" xfId="14107"/>
    <cellStyle name="Normal 57 10 3 3 4" xfId="8850"/>
    <cellStyle name="Normal 57 10 3 3 5" xfId="22930"/>
    <cellStyle name="Normal 57 10 3 4" xfId="6561"/>
    <cellStyle name="Normal 57 10 3 4 2" xfId="15645"/>
    <cellStyle name="Normal 57 10 3 4 3" xfId="25649"/>
    <cellStyle name="Normal 57 10 3 5" xfId="10304"/>
    <cellStyle name="Normal 57 10 3 5 2" xfId="19131"/>
    <cellStyle name="Normal 57 10 3 5 3" xfId="29382"/>
    <cellStyle name="Normal 57 10 3 6" xfId="11750"/>
    <cellStyle name="Normal 57 10 3 6 2" xfId="24131"/>
    <cellStyle name="Normal 57 10 3 7" xfId="5039"/>
    <cellStyle name="Normal 57 10 3 8" xfId="20642"/>
    <cellStyle name="Normal 57 10 4" xfId="1645"/>
    <cellStyle name="Normal 57 10 4 2" xfId="3242"/>
    <cellStyle name="Normal 57 10 4 2 2" xfId="16798"/>
    <cellStyle name="Normal 57 10 4 2 2 2" xfId="27017"/>
    <cellStyle name="Normal 57 10 4 2 3" xfId="13219"/>
    <cellStyle name="Normal 57 10 4 2 4" xfId="7930"/>
    <cellStyle name="Normal 57 10 4 2 5" xfId="22010"/>
    <cellStyle name="Normal 57 10 4 3" xfId="4311"/>
    <cellStyle name="Normal 57 10 4 3 2" xfId="18162"/>
    <cellStyle name="Normal 57 10 4 3 2 2" xfId="28413"/>
    <cellStyle name="Normal 57 10 4 3 3" xfId="14583"/>
    <cellStyle name="Normal 57 10 4 3 4" xfId="9326"/>
    <cellStyle name="Normal 57 10 4 3 5" xfId="23406"/>
    <cellStyle name="Normal 57 10 4 4" xfId="6018"/>
    <cellStyle name="Normal 57 10 4 4 2" xfId="15104"/>
    <cellStyle name="Normal 57 10 4 4 3" xfId="25108"/>
    <cellStyle name="Normal 57 10 4 5" xfId="10780"/>
    <cellStyle name="Normal 57 10 4 5 2" xfId="19607"/>
    <cellStyle name="Normal 57 10 4 5 3" xfId="29858"/>
    <cellStyle name="Normal 57 10 4 6" xfId="12226"/>
    <cellStyle name="Normal 57 10 4 6 2" xfId="24616"/>
    <cellStyle name="Normal 57 10 4 7" xfId="5524"/>
    <cellStyle name="Normal 57 10 4 8" xfId="20101"/>
    <cellStyle name="Normal 57 10 5" xfId="2199"/>
    <cellStyle name="Normal 57 10 5 2" xfId="15947"/>
    <cellStyle name="Normal 57 10 5 2 2" xfId="25991"/>
    <cellStyle name="Normal 57 10 5 3" xfId="12289"/>
    <cellStyle name="Normal 57 10 5 4" xfId="6904"/>
    <cellStyle name="Normal 57 10 5 5" xfId="20984"/>
    <cellStyle name="Normal 57 10 6" xfId="3473"/>
    <cellStyle name="Normal 57 10 6 2" xfId="17119"/>
    <cellStyle name="Normal 57 10 6 2 2" xfId="27370"/>
    <cellStyle name="Normal 57 10 6 3" xfId="13540"/>
    <cellStyle name="Normal 57 10 6 4" xfId="8283"/>
    <cellStyle name="Normal 57 10 6 5" xfId="22363"/>
    <cellStyle name="Normal 57 10 7" xfId="5844"/>
    <cellStyle name="Normal 57 10 7 2" xfId="14930"/>
    <cellStyle name="Normal 57 10 7 3" xfId="24934"/>
    <cellStyle name="Normal 57 10 8" xfId="9737"/>
    <cellStyle name="Normal 57 10 8 2" xfId="18564"/>
    <cellStyle name="Normal 57 10 8 3" xfId="28815"/>
    <cellStyle name="Normal 57 10 9" xfId="11181"/>
    <cellStyle name="Normal 57 10 9 2" xfId="23590"/>
    <cellStyle name="Normal 57 10_Degree data" xfId="1662"/>
    <cellStyle name="Normal 57 11" xfId="294"/>
    <cellStyle name="Normal 57 11 10" xfId="19766"/>
    <cellStyle name="Normal 57 11 2" xfId="687"/>
    <cellStyle name="Normal 57 11 2 2" xfId="2419"/>
    <cellStyle name="Normal 57 11 2 2 2" xfId="16314"/>
    <cellStyle name="Normal 57 11 2 2 2 2" xfId="26533"/>
    <cellStyle name="Normal 57 11 2 2 3" xfId="12736"/>
    <cellStyle name="Normal 57 11 2 2 4" xfId="7446"/>
    <cellStyle name="Normal 57 11 2 2 5" xfId="21526"/>
    <cellStyle name="Normal 57 11 2 3" xfId="3692"/>
    <cellStyle name="Normal 57 11 2 3 2" xfId="17339"/>
    <cellStyle name="Normal 57 11 2 3 2 2" xfId="27590"/>
    <cellStyle name="Normal 57 11 2 3 3" xfId="13760"/>
    <cellStyle name="Normal 57 11 2 3 4" xfId="8503"/>
    <cellStyle name="Normal 57 11 2 3 5" xfId="22583"/>
    <cellStyle name="Normal 57 11 2 4" xfId="6562"/>
    <cellStyle name="Normal 57 11 2 4 2" xfId="15646"/>
    <cellStyle name="Normal 57 11 2 4 3" xfId="25650"/>
    <cellStyle name="Normal 57 11 2 5" xfId="9957"/>
    <cellStyle name="Normal 57 11 2 5 2" xfId="18784"/>
    <cellStyle name="Normal 57 11 2 5 3" xfId="29035"/>
    <cellStyle name="Normal 57 11 2 6" xfId="11402"/>
    <cellStyle name="Normal 57 11 2 6 2" xfId="24132"/>
    <cellStyle name="Normal 57 11 2 7" xfId="5040"/>
    <cellStyle name="Normal 57 11 2 8" xfId="20643"/>
    <cellStyle name="Normal 57 11 3" xfId="1045"/>
    <cellStyle name="Normal 57 11 3 2" xfId="2767"/>
    <cellStyle name="Normal 57 11 3 2 2" xfId="16637"/>
    <cellStyle name="Normal 57 11 3 2 2 2" xfId="26856"/>
    <cellStyle name="Normal 57 11 3 2 3" xfId="13058"/>
    <cellStyle name="Normal 57 11 3 2 4" xfId="7769"/>
    <cellStyle name="Normal 57 11 3 2 5" xfId="21849"/>
    <cellStyle name="Normal 57 11 3 3" xfId="4041"/>
    <cellStyle name="Normal 57 11 3 3 2" xfId="17687"/>
    <cellStyle name="Normal 57 11 3 3 2 2" xfId="27938"/>
    <cellStyle name="Normal 57 11 3 3 3" xfId="14108"/>
    <cellStyle name="Normal 57 11 3 3 4" xfId="8851"/>
    <cellStyle name="Normal 57 11 3 3 5" xfId="22931"/>
    <cellStyle name="Normal 57 11 3 4" xfId="6176"/>
    <cellStyle name="Normal 57 11 3 4 2" xfId="15260"/>
    <cellStyle name="Normal 57 11 3 4 3" xfId="25264"/>
    <cellStyle name="Normal 57 11 3 5" xfId="10305"/>
    <cellStyle name="Normal 57 11 3 5 2" xfId="19132"/>
    <cellStyle name="Normal 57 11 3 5 3" xfId="29383"/>
    <cellStyle name="Normal 57 11 3 6" xfId="11751"/>
    <cellStyle name="Normal 57 11 3 6 2" xfId="24455"/>
    <cellStyle name="Normal 57 11 3 7" xfId="5363"/>
    <cellStyle name="Normal 57 11 3 8" xfId="20257"/>
    <cellStyle name="Normal 57 11 4" xfId="1481"/>
    <cellStyle name="Normal 57 11 4 2" xfId="3081"/>
    <cellStyle name="Normal 57 11 4 2 2" xfId="18001"/>
    <cellStyle name="Normal 57 11 4 2 2 2" xfId="28252"/>
    <cellStyle name="Normal 57 11 4 2 3" xfId="14422"/>
    <cellStyle name="Normal 57 11 4 2 4" xfId="9165"/>
    <cellStyle name="Normal 57 11 4 2 5" xfId="23245"/>
    <cellStyle name="Normal 57 11 4 3" xfId="10619"/>
    <cellStyle name="Normal 57 11 4 3 2" xfId="19446"/>
    <cellStyle name="Normal 57 11 4 3 3" xfId="29697"/>
    <cellStyle name="Normal 57 11 4 4" xfId="12065"/>
    <cellStyle name="Normal 57 11 4 4 2" xfId="26147"/>
    <cellStyle name="Normal 57 11 4 5" xfId="7060"/>
    <cellStyle name="Normal 57 11 4 6" xfId="21140"/>
    <cellStyle name="Normal 57 11 5" xfId="2038"/>
    <cellStyle name="Normal 57 11 5 2" xfId="16958"/>
    <cellStyle name="Normal 57 11 5 2 2" xfId="27209"/>
    <cellStyle name="Normal 57 11 5 3" xfId="13379"/>
    <cellStyle name="Normal 57 11 5 4" xfId="8122"/>
    <cellStyle name="Normal 57 11 5 5" xfId="22202"/>
    <cellStyle name="Normal 57 11 6" xfId="5683"/>
    <cellStyle name="Normal 57 11 6 2" xfId="14769"/>
    <cellStyle name="Normal 57 11 6 3" xfId="24773"/>
    <cellStyle name="Normal 57 11 7" xfId="9576"/>
    <cellStyle name="Normal 57 11 7 2" xfId="18403"/>
    <cellStyle name="Normal 57 11 7 3" xfId="28654"/>
    <cellStyle name="Normal 57 11 8" xfId="11020"/>
    <cellStyle name="Normal 57 11 8 2" xfId="23746"/>
    <cellStyle name="Normal 57 11 9" xfId="4654"/>
    <cellStyle name="Normal 57 11_Degree data" xfId="1663"/>
    <cellStyle name="Normal 57 12" xfId="135"/>
    <cellStyle name="Normal 57 12 10" xfId="20112"/>
    <cellStyle name="Normal 57 12 2" xfId="688"/>
    <cellStyle name="Normal 57 12 2 2" xfId="2420"/>
    <cellStyle name="Normal 57 12 2 2 2" xfId="16315"/>
    <cellStyle name="Normal 57 12 2 2 2 2" xfId="26534"/>
    <cellStyle name="Normal 57 12 2 2 3" xfId="12737"/>
    <cellStyle name="Normal 57 12 2 2 4" xfId="7447"/>
    <cellStyle name="Normal 57 12 2 2 5" xfId="21527"/>
    <cellStyle name="Normal 57 12 2 3" xfId="3693"/>
    <cellStyle name="Normal 57 12 2 3 2" xfId="17340"/>
    <cellStyle name="Normal 57 12 2 3 2 2" xfId="27591"/>
    <cellStyle name="Normal 57 12 2 3 3" xfId="13761"/>
    <cellStyle name="Normal 57 12 2 3 4" xfId="8504"/>
    <cellStyle name="Normal 57 12 2 3 5" xfId="22584"/>
    <cellStyle name="Normal 57 12 2 4" xfId="6563"/>
    <cellStyle name="Normal 57 12 2 4 2" xfId="15647"/>
    <cellStyle name="Normal 57 12 2 4 3" xfId="25651"/>
    <cellStyle name="Normal 57 12 2 5" xfId="9958"/>
    <cellStyle name="Normal 57 12 2 5 2" xfId="18785"/>
    <cellStyle name="Normal 57 12 2 5 3" xfId="29036"/>
    <cellStyle name="Normal 57 12 2 6" xfId="11403"/>
    <cellStyle name="Normal 57 12 2 6 2" xfId="24133"/>
    <cellStyle name="Normal 57 12 2 7" xfId="5041"/>
    <cellStyle name="Normal 57 12 2 8" xfId="20644"/>
    <cellStyle name="Normal 57 12 3" xfId="1046"/>
    <cellStyle name="Normal 57 12 3 2" xfId="2768"/>
    <cellStyle name="Normal 57 12 3 2 2" xfId="16492"/>
    <cellStyle name="Normal 57 12 3 2 2 2" xfId="26711"/>
    <cellStyle name="Normal 57 12 3 2 3" xfId="12914"/>
    <cellStyle name="Normal 57 12 3 2 4" xfId="7624"/>
    <cellStyle name="Normal 57 12 3 2 5" xfId="21704"/>
    <cellStyle name="Normal 57 12 3 3" xfId="4042"/>
    <cellStyle name="Normal 57 12 3 3 2" xfId="17688"/>
    <cellStyle name="Normal 57 12 3 3 2 2" xfId="27939"/>
    <cellStyle name="Normal 57 12 3 3 3" xfId="14109"/>
    <cellStyle name="Normal 57 12 3 3 4" xfId="8852"/>
    <cellStyle name="Normal 57 12 3 3 5" xfId="22932"/>
    <cellStyle name="Normal 57 12 3 4" xfId="6715"/>
    <cellStyle name="Normal 57 12 3 4 2" xfId="15798"/>
    <cellStyle name="Normal 57 12 3 4 3" xfId="25802"/>
    <cellStyle name="Normal 57 12 3 5" xfId="10306"/>
    <cellStyle name="Normal 57 12 3 5 2" xfId="19133"/>
    <cellStyle name="Normal 57 12 3 5 3" xfId="29384"/>
    <cellStyle name="Normal 57 12 3 6" xfId="11752"/>
    <cellStyle name="Normal 57 12 3 6 2" xfId="24310"/>
    <cellStyle name="Normal 57 12 3 7" xfId="5218"/>
    <cellStyle name="Normal 57 12 3 8" xfId="20795"/>
    <cellStyle name="Normal 57 12 4" xfId="1322"/>
    <cellStyle name="Normal 57 12 4 2" xfId="2936"/>
    <cellStyle name="Normal 57 12 4 2 2" xfId="17856"/>
    <cellStyle name="Normal 57 12 4 2 2 2" xfId="28107"/>
    <cellStyle name="Normal 57 12 4 2 3" xfId="14277"/>
    <cellStyle name="Normal 57 12 4 2 4" xfId="9020"/>
    <cellStyle name="Normal 57 12 4 2 5" xfId="23100"/>
    <cellStyle name="Normal 57 12 4 3" xfId="10474"/>
    <cellStyle name="Normal 57 12 4 3 2" xfId="19301"/>
    <cellStyle name="Normal 57 12 4 3 3" xfId="29552"/>
    <cellStyle name="Normal 57 12 4 4" xfId="11920"/>
    <cellStyle name="Normal 57 12 4 4 2" xfId="26002"/>
    <cellStyle name="Normal 57 12 4 5" xfId="6915"/>
    <cellStyle name="Normal 57 12 4 6" xfId="20995"/>
    <cellStyle name="Normal 57 12 5" xfId="1893"/>
    <cellStyle name="Normal 57 12 5 2" xfId="16811"/>
    <cellStyle name="Normal 57 12 5 2 2" xfId="27062"/>
    <cellStyle name="Normal 57 12 5 3" xfId="13232"/>
    <cellStyle name="Normal 57 12 5 4" xfId="7975"/>
    <cellStyle name="Normal 57 12 5 5" xfId="22055"/>
    <cellStyle name="Normal 57 12 6" xfId="6031"/>
    <cellStyle name="Normal 57 12 6 2" xfId="15115"/>
    <cellStyle name="Normal 57 12 6 3" xfId="25119"/>
    <cellStyle name="Normal 57 12 7" xfId="9431"/>
    <cellStyle name="Normal 57 12 7 2" xfId="18258"/>
    <cellStyle name="Normal 57 12 7 3" xfId="28509"/>
    <cellStyle name="Normal 57 12 8" xfId="10875"/>
    <cellStyle name="Normal 57 12 8 2" xfId="23601"/>
    <cellStyle name="Normal 57 12 9" xfId="4509"/>
    <cellStyle name="Normal 57 12_Degree data" xfId="1664"/>
    <cellStyle name="Normal 57 13" xfId="685"/>
    <cellStyle name="Normal 57 13 2" xfId="2417"/>
    <cellStyle name="Normal 57 13 2 2" xfId="16312"/>
    <cellStyle name="Normal 57 13 2 2 2" xfId="26531"/>
    <cellStyle name="Normal 57 13 2 3" xfId="12734"/>
    <cellStyle name="Normal 57 13 2 4" xfId="7444"/>
    <cellStyle name="Normal 57 13 2 5" xfId="21524"/>
    <cellStyle name="Normal 57 13 3" xfId="3690"/>
    <cellStyle name="Normal 57 13 3 2" xfId="17337"/>
    <cellStyle name="Normal 57 13 3 2 2" xfId="27588"/>
    <cellStyle name="Normal 57 13 3 3" xfId="13758"/>
    <cellStyle name="Normal 57 13 3 4" xfId="8501"/>
    <cellStyle name="Normal 57 13 3 5" xfId="22581"/>
    <cellStyle name="Normal 57 13 4" xfId="6560"/>
    <cellStyle name="Normal 57 13 4 2" xfId="15644"/>
    <cellStyle name="Normal 57 13 4 3" xfId="25648"/>
    <cellStyle name="Normal 57 13 5" xfId="9955"/>
    <cellStyle name="Normal 57 13 5 2" xfId="18782"/>
    <cellStyle name="Normal 57 13 5 3" xfId="29033"/>
    <cellStyle name="Normal 57 13 6" xfId="11400"/>
    <cellStyle name="Normal 57 13 6 2" xfId="24130"/>
    <cellStyle name="Normal 57 13 7" xfId="5038"/>
    <cellStyle name="Normal 57 13 8" xfId="20641"/>
    <cellStyle name="Normal 57 14" xfId="1043"/>
    <cellStyle name="Normal 57 14 2" xfId="2765"/>
    <cellStyle name="Normal 57 14 2 2" xfId="16462"/>
    <cellStyle name="Normal 57 14 2 2 2" xfId="26681"/>
    <cellStyle name="Normal 57 14 2 3" xfId="12884"/>
    <cellStyle name="Normal 57 14 2 4" xfId="7594"/>
    <cellStyle name="Normal 57 14 2 5" xfId="21674"/>
    <cellStyle name="Normal 57 14 3" xfId="4039"/>
    <cellStyle name="Normal 57 14 3 2" xfId="17685"/>
    <cellStyle name="Normal 57 14 3 2 2" xfId="27936"/>
    <cellStyle name="Normal 57 14 3 3" xfId="14106"/>
    <cellStyle name="Normal 57 14 3 4" xfId="8849"/>
    <cellStyle name="Normal 57 14 3 5" xfId="22929"/>
    <cellStyle name="Normal 57 14 4" xfId="5855"/>
    <cellStyle name="Normal 57 14 4 2" xfId="14941"/>
    <cellStyle name="Normal 57 14 4 3" xfId="24945"/>
    <cellStyle name="Normal 57 14 5" xfId="10303"/>
    <cellStyle name="Normal 57 14 5 2" xfId="19130"/>
    <cellStyle name="Normal 57 14 5 3" xfId="29381"/>
    <cellStyle name="Normal 57 14 6" xfId="11749"/>
    <cellStyle name="Normal 57 14 6 2" xfId="24280"/>
    <cellStyle name="Normal 57 14 7" xfId="5188"/>
    <cellStyle name="Normal 57 14 8" xfId="19938"/>
    <cellStyle name="Normal 57 15" xfId="1234"/>
    <cellStyle name="Normal 57 15 2" xfId="2906"/>
    <cellStyle name="Normal 57 15 2 2" xfId="17826"/>
    <cellStyle name="Normal 57 15 2 2 2" xfId="28077"/>
    <cellStyle name="Normal 57 15 2 3" xfId="14247"/>
    <cellStyle name="Normal 57 15 2 4" xfId="8990"/>
    <cellStyle name="Normal 57 15 2 5" xfId="23070"/>
    <cellStyle name="Normal 57 15 3" xfId="10444"/>
    <cellStyle name="Normal 57 15 3 2" xfId="19271"/>
    <cellStyle name="Normal 57 15 3 3" xfId="29522"/>
    <cellStyle name="Normal 57 15 4" xfId="11890"/>
    <cellStyle name="Normal 57 15 4 2" xfId="25829"/>
    <cellStyle name="Normal 57 15 5" xfId="6742"/>
    <cellStyle name="Normal 57 15 6" xfId="20822"/>
    <cellStyle name="Normal 57 16" xfId="1863"/>
    <cellStyle name="Normal 57 16 2" xfId="9401"/>
    <cellStyle name="Normal 57 16 2 2" xfId="18228"/>
    <cellStyle name="Normal 57 16 2 3" xfId="28479"/>
    <cellStyle name="Normal 57 16 3" xfId="10845"/>
    <cellStyle name="Normal 57 16 3 2" xfId="27031"/>
    <cellStyle name="Normal 57 16 4" xfId="7944"/>
    <cellStyle name="Normal 57 16 5" xfId="22024"/>
    <cellStyle name="Normal 57 17" xfId="1815"/>
    <cellStyle name="Normal 57 17 2" xfId="14624"/>
    <cellStyle name="Normal 57 17 3" xfId="5538"/>
    <cellStyle name="Normal 57 17 4" xfId="24628"/>
    <cellStyle name="Normal 57 18" xfId="9358"/>
    <cellStyle name="Normal 57 18 2" xfId="18185"/>
    <cellStyle name="Normal 57 18 3" xfId="28436"/>
    <cellStyle name="Normal 57 19" xfId="10796"/>
    <cellStyle name="Normal 57 19 2" xfId="23429"/>
    <cellStyle name="Normal 57 2" xfId="67"/>
    <cellStyle name="Normal 57 20" xfId="4337"/>
    <cellStyle name="Normal 57 21" xfId="19620"/>
    <cellStyle name="Normal 57 3" xfId="57"/>
    <cellStyle name="Normal 57 3 10" xfId="1244"/>
    <cellStyle name="Normal 57 3 10 2" xfId="2910"/>
    <cellStyle name="Normal 57 3 10 2 2" xfId="17830"/>
    <cellStyle name="Normal 57 3 10 2 2 2" xfId="28081"/>
    <cellStyle name="Normal 57 3 10 2 3" xfId="14251"/>
    <cellStyle name="Normal 57 3 10 2 4" xfId="8994"/>
    <cellStyle name="Normal 57 3 10 2 5" xfId="23074"/>
    <cellStyle name="Normal 57 3 10 3" xfId="10448"/>
    <cellStyle name="Normal 57 3 10 3 2" xfId="19275"/>
    <cellStyle name="Normal 57 3 10 3 3" xfId="29526"/>
    <cellStyle name="Normal 57 3 10 4" xfId="11894"/>
    <cellStyle name="Normal 57 3 10 4 2" xfId="25842"/>
    <cellStyle name="Normal 57 3 10 5" xfId="6755"/>
    <cellStyle name="Normal 57 3 10 6" xfId="20835"/>
    <cellStyle name="Normal 57 3 11" xfId="1867"/>
    <cellStyle name="Normal 57 3 11 2" xfId="9405"/>
    <cellStyle name="Normal 57 3 11 2 2" xfId="18232"/>
    <cellStyle name="Normal 57 3 11 2 3" xfId="28483"/>
    <cellStyle name="Normal 57 3 11 3" xfId="10849"/>
    <cellStyle name="Normal 57 3 11 3 2" xfId="27035"/>
    <cellStyle name="Normal 57 3 11 4" xfId="7948"/>
    <cellStyle name="Normal 57 3 11 5" xfId="22028"/>
    <cellStyle name="Normal 57 3 12" xfId="1822"/>
    <cellStyle name="Normal 57 3 12 2" xfId="14630"/>
    <cellStyle name="Normal 57 3 12 3" xfId="5544"/>
    <cellStyle name="Normal 57 3 12 4" xfId="24634"/>
    <cellStyle name="Normal 57 3 13" xfId="9365"/>
    <cellStyle name="Normal 57 3 13 2" xfId="18192"/>
    <cellStyle name="Normal 57 3 13 3" xfId="28443"/>
    <cellStyle name="Normal 57 3 14" xfId="10804"/>
    <cellStyle name="Normal 57 3 14 2" xfId="23442"/>
    <cellStyle name="Normal 57 3 15" xfId="4350"/>
    <cellStyle name="Normal 57 3 16" xfId="19627"/>
    <cellStyle name="Normal 57 3 2" xfId="115"/>
    <cellStyle name="Normal 57 3 2 10" xfId="1849"/>
    <cellStyle name="Normal 57 3 2 10 2" xfId="14655"/>
    <cellStyle name="Normal 57 3 2 10 3" xfId="5569"/>
    <cellStyle name="Normal 57 3 2 10 4" xfId="24659"/>
    <cellStyle name="Normal 57 3 2 11" xfId="9387"/>
    <cellStyle name="Normal 57 3 2 11 2" xfId="18214"/>
    <cellStyle name="Normal 57 3 2 11 3" xfId="28465"/>
    <cellStyle name="Normal 57 3 2 12" xfId="10831"/>
    <cellStyle name="Normal 57 3 2 12 2" xfId="23472"/>
    <cellStyle name="Normal 57 3 2 13" xfId="4380"/>
    <cellStyle name="Normal 57 3 2 14" xfId="19652"/>
    <cellStyle name="Normal 57 3 2 2" xfId="280"/>
    <cellStyle name="Normal 57 3 2 2 10" xfId="11006"/>
    <cellStyle name="Normal 57 3 2 2 10 2" xfId="23515"/>
    <cellStyle name="Normal 57 3 2 2 11" xfId="4423"/>
    <cellStyle name="Normal 57 3 2 2 12" xfId="19752"/>
    <cellStyle name="Normal 57 3 2 2 2" xfId="382"/>
    <cellStyle name="Normal 57 3 2 2 2 10" xfId="19852"/>
    <cellStyle name="Normal 57 3 2 2 2 2" xfId="692"/>
    <cellStyle name="Normal 57 3 2 2 2 2 2" xfId="2424"/>
    <cellStyle name="Normal 57 3 2 2 2 2 2 2" xfId="16319"/>
    <cellStyle name="Normal 57 3 2 2 2 2 2 2 2" xfId="26538"/>
    <cellStyle name="Normal 57 3 2 2 2 2 2 3" xfId="12741"/>
    <cellStyle name="Normal 57 3 2 2 2 2 2 4" xfId="7451"/>
    <cellStyle name="Normal 57 3 2 2 2 2 2 5" xfId="21531"/>
    <cellStyle name="Normal 57 3 2 2 2 2 3" xfId="3697"/>
    <cellStyle name="Normal 57 3 2 2 2 2 3 2" xfId="17344"/>
    <cellStyle name="Normal 57 3 2 2 2 2 3 2 2" xfId="27595"/>
    <cellStyle name="Normal 57 3 2 2 2 2 3 3" xfId="13765"/>
    <cellStyle name="Normal 57 3 2 2 2 2 3 4" xfId="8508"/>
    <cellStyle name="Normal 57 3 2 2 2 2 3 5" xfId="22588"/>
    <cellStyle name="Normal 57 3 2 2 2 2 4" xfId="6567"/>
    <cellStyle name="Normal 57 3 2 2 2 2 4 2" xfId="15651"/>
    <cellStyle name="Normal 57 3 2 2 2 2 4 3" xfId="25655"/>
    <cellStyle name="Normal 57 3 2 2 2 2 5" xfId="9962"/>
    <cellStyle name="Normal 57 3 2 2 2 2 5 2" xfId="18789"/>
    <cellStyle name="Normal 57 3 2 2 2 2 5 3" xfId="29040"/>
    <cellStyle name="Normal 57 3 2 2 2 2 6" xfId="11407"/>
    <cellStyle name="Normal 57 3 2 2 2 2 6 2" xfId="24137"/>
    <cellStyle name="Normal 57 3 2 2 2 2 7" xfId="5045"/>
    <cellStyle name="Normal 57 3 2 2 2 2 8" xfId="20648"/>
    <cellStyle name="Normal 57 3 2 2 2 3" xfId="1050"/>
    <cellStyle name="Normal 57 3 2 2 2 3 2" xfId="2772"/>
    <cellStyle name="Normal 57 3 2 2 2 3 2 2" xfId="16723"/>
    <cellStyle name="Normal 57 3 2 2 2 3 2 2 2" xfId="26942"/>
    <cellStyle name="Normal 57 3 2 2 2 3 2 3" xfId="13144"/>
    <cellStyle name="Normal 57 3 2 2 2 3 2 4" xfId="7855"/>
    <cellStyle name="Normal 57 3 2 2 2 3 2 5" xfId="21935"/>
    <cellStyle name="Normal 57 3 2 2 2 3 3" xfId="4046"/>
    <cellStyle name="Normal 57 3 2 2 2 3 3 2" xfId="17692"/>
    <cellStyle name="Normal 57 3 2 2 2 3 3 2 2" xfId="27943"/>
    <cellStyle name="Normal 57 3 2 2 2 3 3 3" xfId="14113"/>
    <cellStyle name="Normal 57 3 2 2 2 3 3 4" xfId="8856"/>
    <cellStyle name="Normal 57 3 2 2 2 3 3 5" xfId="22936"/>
    <cellStyle name="Normal 57 3 2 2 2 3 4" xfId="6262"/>
    <cellStyle name="Normal 57 3 2 2 2 3 4 2" xfId="15346"/>
    <cellStyle name="Normal 57 3 2 2 2 3 4 3" xfId="25350"/>
    <cellStyle name="Normal 57 3 2 2 2 3 5" xfId="10310"/>
    <cellStyle name="Normal 57 3 2 2 2 3 5 2" xfId="19137"/>
    <cellStyle name="Normal 57 3 2 2 2 3 5 3" xfId="29388"/>
    <cellStyle name="Normal 57 3 2 2 2 3 6" xfId="11756"/>
    <cellStyle name="Normal 57 3 2 2 2 3 6 2" xfId="24541"/>
    <cellStyle name="Normal 57 3 2 2 2 3 7" xfId="5449"/>
    <cellStyle name="Normal 57 3 2 2 2 3 8" xfId="20343"/>
    <cellStyle name="Normal 57 3 2 2 2 4" xfId="1569"/>
    <cellStyle name="Normal 57 3 2 2 2 4 2" xfId="3167"/>
    <cellStyle name="Normal 57 3 2 2 2 4 2 2" xfId="18087"/>
    <cellStyle name="Normal 57 3 2 2 2 4 2 2 2" xfId="28338"/>
    <cellStyle name="Normal 57 3 2 2 2 4 2 3" xfId="14508"/>
    <cellStyle name="Normal 57 3 2 2 2 4 2 4" xfId="9251"/>
    <cellStyle name="Normal 57 3 2 2 2 4 2 5" xfId="23331"/>
    <cellStyle name="Normal 57 3 2 2 2 4 3" xfId="10705"/>
    <cellStyle name="Normal 57 3 2 2 2 4 3 2" xfId="19532"/>
    <cellStyle name="Normal 57 3 2 2 2 4 3 3" xfId="29783"/>
    <cellStyle name="Normal 57 3 2 2 2 4 4" xfId="12151"/>
    <cellStyle name="Normal 57 3 2 2 2 4 4 2" xfId="26233"/>
    <cellStyle name="Normal 57 3 2 2 2 4 5" xfId="7146"/>
    <cellStyle name="Normal 57 3 2 2 2 4 6" xfId="21226"/>
    <cellStyle name="Normal 57 3 2 2 2 5" xfId="2124"/>
    <cellStyle name="Normal 57 3 2 2 2 5 2" xfId="17044"/>
    <cellStyle name="Normal 57 3 2 2 2 5 2 2" xfId="27295"/>
    <cellStyle name="Normal 57 3 2 2 2 5 3" xfId="13465"/>
    <cellStyle name="Normal 57 3 2 2 2 5 4" xfId="8208"/>
    <cellStyle name="Normal 57 3 2 2 2 5 5" xfId="22288"/>
    <cellStyle name="Normal 57 3 2 2 2 6" xfId="5769"/>
    <cellStyle name="Normal 57 3 2 2 2 6 2" xfId="14855"/>
    <cellStyle name="Normal 57 3 2 2 2 6 3" xfId="24859"/>
    <cellStyle name="Normal 57 3 2 2 2 7" xfId="9662"/>
    <cellStyle name="Normal 57 3 2 2 2 7 2" xfId="18489"/>
    <cellStyle name="Normal 57 3 2 2 2 7 3" xfId="28740"/>
    <cellStyle name="Normal 57 3 2 2 2 8" xfId="11106"/>
    <cellStyle name="Normal 57 3 2 2 2 8 2" xfId="23832"/>
    <cellStyle name="Normal 57 3 2 2 2 9" xfId="4740"/>
    <cellStyle name="Normal 57 3 2 2 2_Degree data" xfId="1668"/>
    <cellStyle name="Normal 57 3 2 2 3" xfId="691"/>
    <cellStyle name="Normal 57 3 2 2 3 2" xfId="2423"/>
    <cellStyle name="Normal 57 3 2 2 3 2 2" xfId="16060"/>
    <cellStyle name="Normal 57 3 2 2 3 2 2 2" xfId="26133"/>
    <cellStyle name="Normal 57 3 2 2 3 2 3" xfId="12308"/>
    <cellStyle name="Normal 57 3 2 2 3 2 4" xfId="7046"/>
    <cellStyle name="Normal 57 3 2 2 3 2 5" xfId="21126"/>
    <cellStyle name="Normal 57 3 2 2 3 3" xfId="3696"/>
    <cellStyle name="Normal 57 3 2 2 3 3 2" xfId="17343"/>
    <cellStyle name="Normal 57 3 2 2 3 3 2 2" xfId="27594"/>
    <cellStyle name="Normal 57 3 2 2 3 3 3" xfId="13764"/>
    <cellStyle name="Normal 57 3 2 2 3 3 4" xfId="8507"/>
    <cellStyle name="Normal 57 3 2 2 3 3 5" xfId="22587"/>
    <cellStyle name="Normal 57 3 2 2 3 4" xfId="6162"/>
    <cellStyle name="Normal 57 3 2 2 3 4 2" xfId="15246"/>
    <cellStyle name="Normal 57 3 2 2 3 4 3" xfId="25250"/>
    <cellStyle name="Normal 57 3 2 2 3 5" xfId="9961"/>
    <cellStyle name="Normal 57 3 2 2 3 5 2" xfId="18788"/>
    <cellStyle name="Normal 57 3 2 2 3 5 3" xfId="29039"/>
    <cellStyle name="Normal 57 3 2 2 3 6" xfId="11406"/>
    <cellStyle name="Normal 57 3 2 2 3 6 2" xfId="23732"/>
    <cellStyle name="Normal 57 3 2 2 3 7" xfId="4640"/>
    <cellStyle name="Normal 57 3 2 2 3 8" xfId="20243"/>
    <cellStyle name="Normal 57 3 2 2 4" xfId="1049"/>
    <cellStyle name="Normal 57 3 2 2 4 2" xfId="2771"/>
    <cellStyle name="Normal 57 3 2 2 4 2 2" xfId="16318"/>
    <cellStyle name="Normal 57 3 2 2 4 2 2 2" xfId="26537"/>
    <cellStyle name="Normal 57 3 2 2 4 2 3" xfId="12740"/>
    <cellStyle name="Normal 57 3 2 2 4 2 4" xfId="7450"/>
    <cellStyle name="Normal 57 3 2 2 4 2 5" xfId="21530"/>
    <cellStyle name="Normal 57 3 2 2 4 3" xfId="4045"/>
    <cellStyle name="Normal 57 3 2 2 4 3 2" xfId="17691"/>
    <cellStyle name="Normal 57 3 2 2 4 3 2 2" xfId="27942"/>
    <cellStyle name="Normal 57 3 2 2 4 3 3" xfId="14112"/>
    <cellStyle name="Normal 57 3 2 2 4 3 4" xfId="8855"/>
    <cellStyle name="Normal 57 3 2 2 4 3 5" xfId="22935"/>
    <cellStyle name="Normal 57 3 2 2 4 4" xfId="6566"/>
    <cellStyle name="Normal 57 3 2 2 4 4 2" xfId="15650"/>
    <cellStyle name="Normal 57 3 2 2 4 4 3" xfId="25654"/>
    <cellStyle name="Normal 57 3 2 2 4 5" xfId="10309"/>
    <cellStyle name="Normal 57 3 2 2 4 5 2" xfId="19136"/>
    <cellStyle name="Normal 57 3 2 2 4 5 3" xfId="29387"/>
    <cellStyle name="Normal 57 3 2 2 4 6" xfId="11755"/>
    <cellStyle name="Normal 57 3 2 2 4 6 2" xfId="24136"/>
    <cellStyle name="Normal 57 3 2 2 4 7" xfId="5044"/>
    <cellStyle name="Normal 57 3 2 2 4 8" xfId="20647"/>
    <cellStyle name="Normal 57 3 2 2 5" xfId="1467"/>
    <cellStyle name="Normal 57 3 2 2 5 2" xfId="3067"/>
    <cellStyle name="Normal 57 3 2 2 5 2 2" xfId="16623"/>
    <cellStyle name="Normal 57 3 2 2 5 2 2 2" xfId="26842"/>
    <cellStyle name="Normal 57 3 2 2 5 2 3" xfId="13044"/>
    <cellStyle name="Normal 57 3 2 2 5 2 4" xfId="7755"/>
    <cellStyle name="Normal 57 3 2 2 5 2 5" xfId="21835"/>
    <cellStyle name="Normal 57 3 2 2 5 3" xfId="4281"/>
    <cellStyle name="Normal 57 3 2 2 5 3 2" xfId="17987"/>
    <cellStyle name="Normal 57 3 2 2 5 3 2 2" xfId="28238"/>
    <cellStyle name="Normal 57 3 2 2 5 3 3" xfId="14408"/>
    <cellStyle name="Normal 57 3 2 2 5 3 4" xfId="9151"/>
    <cellStyle name="Normal 57 3 2 2 5 3 5" xfId="23231"/>
    <cellStyle name="Normal 57 3 2 2 5 4" xfId="5943"/>
    <cellStyle name="Normal 57 3 2 2 5 4 2" xfId="15029"/>
    <cellStyle name="Normal 57 3 2 2 5 4 3" xfId="25033"/>
    <cellStyle name="Normal 57 3 2 2 5 5" xfId="10605"/>
    <cellStyle name="Normal 57 3 2 2 5 5 2" xfId="19432"/>
    <cellStyle name="Normal 57 3 2 2 5 5 3" xfId="29683"/>
    <cellStyle name="Normal 57 3 2 2 5 6" xfId="12051"/>
    <cellStyle name="Normal 57 3 2 2 5 6 2" xfId="24441"/>
    <cellStyle name="Normal 57 3 2 2 5 7" xfId="5349"/>
    <cellStyle name="Normal 57 3 2 2 5 8" xfId="20026"/>
    <cellStyle name="Normal 57 3 2 2 6" xfId="2024"/>
    <cellStyle name="Normal 57 3 2 2 6 2" xfId="15872"/>
    <cellStyle name="Normal 57 3 2 2 6 2 2" xfId="25916"/>
    <cellStyle name="Normal 57 3 2 2 6 3" xfId="12352"/>
    <cellStyle name="Normal 57 3 2 2 6 4" xfId="6829"/>
    <cellStyle name="Normal 57 3 2 2 6 5" xfId="20909"/>
    <cellStyle name="Normal 57 3 2 2 7" xfId="3443"/>
    <cellStyle name="Normal 57 3 2 2 7 2" xfId="16944"/>
    <cellStyle name="Normal 57 3 2 2 7 2 2" xfId="27195"/>
    <cellStyle name="Normal 57 3 2 2 7 3" xfId="13365"/>
    <cellStyle name="Normal 57 3 2 2 7 4" xfId="8108"/>
    <cellStyle name="Normal 57 3 2 2 7 5" xfId="22188"/>
    <cellStyle name="Normal 57 3 2 2 8" xfId="5669"/>
    <cellStyle name="Normal 57 3 2 2 8 2" xfId="14755"/>
    <cellStyle name="Normal 57 3 2 2 8 3" xfId="24759"/>
    <cellStyle name="Normal 57 3 2 2 9" xfId="9562"/>
    <cellStyle name="Normal 57 3 2 2 9 2" xfId="18389"/>
    <cellStyle name="Normal 57 3 2 2 9 3" xfId="28640"/>
    <cellStyle name="Normal 57 3 2 2_Degree data" xfId="1667"/>
    <cellStyle name="Normal 57 3 2 3" xfId="235"/>
    <cellStyle name="Normal 57 3 2 3 10" xfId="10963"/>
    <cellStyle name="Normal 57 3 2 3 10 2" xfId="23576"/>
    <cellStyle name="Normal 57 3 2 3 11" xfId="4484"/>
    <cellStyle name="Normal 57 3 2 3 12" xfId="19709"/>
    <cellStyle name="Normal 57 3 2 3 2" xfId="444"/>
    <cellStyle name="Normal 57 3 2 3 2 10" xfId="19913"/>
    <cellStyle name="Normal 57 3 2 3 2 2" xfId="694"/>
    <cellStyle name="Normal 57 3 2 3 2 2 2" xfId="2426"/>
    <cellStyle name="Normal 57 3 2 3 2 2 2 2" xfId="16321"/>
    <cellStyle name="Normal 57 3 2 3 2 2 2 2 2" xfId="26540"/>
    <cellStyle name="Normal 57 3 2 3 2 2 2 3" xfId="12743"/>
    <cellStyle name="Normal 57 3 2 3 2 2 2 4" xfId="7453"/>
    <cellStyle name="Normal 57 3 2 3 2 2 2 5" xfId="21533"/>
    <cellStyle name="Normal 57 3 2 3 2 2 3" xfId="3699"/>
    <cellStyle name="Normal 57 3 2 3 2 2 3 2" xfId="17346"/>
    <cellStyle name="Normal 57 3 2 3 2 2 3 2 2" xfId="27597"/>
    <cellStyle name="Normal 57 3 2 3 2 2 3 3" xfId="13767"/>
    <cellStyle name="Normal 57 3 2 3 2 2 3 4" xfId="8510"/>
    <cellStyle name="Normal 57 3 2 3 2 2 3 5" xfId="22590"/>
    <cellStyle name="Normal 57 3 2 3 2 2 4" xfId="6569"/>
    <cellStyle name="Normal 57 3 2 3 2 2 4 2" xfId="15653"/>
    <cellStyle name="Normal 57 3 2 3 2 2 4 3" xfId="25657"/>
    <cellStyle name="Normal 57 3 2 3 2 2 5" xfId="9964"/>
    <cellStyle name="Normal 57 3 2 3 2 2 5 2" xfId="18791"/>
    <cellStyle name="Normal 57 3 2 3 2 2 5 3" xfId="29042"/>
    <cellStyle name="Normal 57 3 2 3 2 2 6" xfId="11409"/>
    <cellStyle name="Normal 57 3 2 3 2 2 6 2" xfId="24139"/>
    <cellStyle name="Normal 57 3 2 3 2 2 7" xfId="5047"/>
    <cellStyle name="Normal 57 3 2 3 2 2 8" xfId="20650"/>
    <cellStyle name="Normal 57 3 2 3 2 3" xfId="1052"/>
    <cellStyle name="Normal 57 3 2 3 2 3 2" xfId="2774"/>
    <cellStyle name="Normal 57 3 2 3 2 3 2 2" xfId="16784"/>
    <cellStyle name="Normal 57 3 2 3 2 3 2 2 2" xfId="27003"/>
    <cellStyle name="Normal 57 3 2 3 2 3 2 3" xfId="13205"/>
    <cellStyle name="Normal 57 3 2 3 2 3 2 4" xfId="7916"/>
    <cellStyle name="Normal 57 3 2 3 2 3 2 5" xfId="21996"/>
    <cellStyle name="Normal 57 3 2 3 2 3 3" xfId="4048"/>
    <cellStyle name="Normal 57 3 2 3 2 3 3 2" xfId="17694"/>
    <cellStyle name="Normal 57 3 2 3 2 3 3 2 2" xfId="27945"/>
    <cellStyle name="Normal 57 3 2 3 2 3 3 3" xfId="14115"/>
    <cellStyle name="Normal 57 3 2 3 2 3 3 4" xfId="8858"/>
    <cellStyle name="Normal 57 3 2 3 2 3 3 5" xfId="22938"/>
    <cellStyle name="Normal 57 3 2 3 2 3 4" xfId="6323"/>
    <cellStyle name="Normal 57 3 2 3 2 3 4 2" xfId="15407"/>
    <cellStyle name="Normal 57 3 2 3 2 3 4 3" xfId="25411"/>
    <cellStyle name="Normal 57 3 2 3 2 3 5" xfId="10312"/>
    <cellStyle name="Normal 57 3 2 3 2 3 5 2" xfId="19139"/>
    <cellStyle name="Normal 57 3 2 3 2 3 5 3" xfId="29390"/>
    <cellStyle name="Normal 57 3 2 3 2 3 6" xfId="11758"/>
    <cellStyle name="Normal 57 3 2 3 2 3 6 2" xfId="24602"/>
    <cellStyle name="Normal 57 3 2 3 2 3 7" xfId="5510"/>
    <cellStyle name="Normal 57 3 2 3 2 3 8" xfId="20404"/>
    <cellStyle name="Normal 57 3 2 3 2 4" xfId="1631"/>
    <cellStyle name="Normal 57 3 2 3 2 4 2" xfId="3228"/>
    <cellStyle name="Normal 57 3 2 3 2 4 2 2" xfId="18148"/>
    <cellStyle name="Normal 57 3 2 3 2 4 2 2 2" xfId="28399"/>
    <cellStyle name="Normal 57 3 2 3 2 4 2 3" xfId="14569"/>
    <cellStyle name="Normal 57 3 2 3 2 4 2 4" xfId="9312"/>
    <cellStyle name="Normal 57 3 2 3 2 4 2 5" xfId="23392"/>
    <cellStyle name="Normal 57 3 2 3 2 4 3" xfId="10766"/>
    <cellStyle name="Normal 57 3 2 3 2 4 3 2" xfId="19593"/>
    <cellStyle name="Normal 57 3 2 3 2 4 3 3" xfId="29844"/>
    <cellStyle name="Normal 57 3 2 3 2 4 4" xfId="12212"/>
    <cellStyle name="Normal 57 3 2 3 2 4 4 2" xfId="26294"/>
    <cellStyle name="Normal 57 3 2 3 2 4 5" xfId="7207"/>
    <cellStyle name="Normal 57 3 2 3 2 4 6" xfId="21287"/>
    <cellStyle name="Normal 57 3 2 3 2 5" xfId="2185"/>
    <cellStyle name="Normal 57 3 2 3 2 5 2" xfId="17105"/>
    <cellStyle name="Normal 57 3 2 3 2 5 2 2" xfId="27356"/>
    <cellStyle name="Normal 57 3 2 3 2 5 3" xfId="13526"/>
    <cellStyle name="Normal 57 3 2 3 2 5 4" xfId="8269"/>
    <cellStyle name="Normal 57 3 2 3 2 5 5" xfId="22349"/>
    <cellStyle name="Normal 57 3 2 3 2 6" xfId="5830"/>
    <cellStyle name="Normal 57 3 2 3 2 6 2" xfId="14916"/>
    <cellStyle name="Normal 57 3 2 3 2 6 3" xfId="24920"/>
    <cellStyle name="Normal 57 3 2 3 2 7" xfId="9723"/>
    <cellStyle name="Normal 57 3 2 3 2 7 2" xfId="18550"/>
    <cellStyle name="Normal 57 3 2 3 2 7 3" xfId="28801"/>
    <cellStyle name="Normal 57 3 2 3 2 8" xfId="11167"/>
    <cellStyle name="Normal 57 3 2 3 2 8 2" xfId="23893"/>
    <cellStyle name="Normal 57 3 2 3 2 9" xfId="4801"/>
    <cellStyle name="Normal 57 3 2 3 2_Degree data" xfId="1670"/>
    <cellStyle name="Normal 57 3 2 3 3" xfId="693"/>
    <cellStyle name="Normal 57 3 2 3 3 2" xfId="2425"/>
    <cellStyle name="Normal 57 3 2 3 3 2 2" xfId="16017"/>
    <cellStyle name="Normal 57 3 2 3 3 2 2 2" xfId="26090"/>
    <cellStyle name="Normal 57 3 2 3 3 2 3" xfId="12381"/>
    <cellStyle name="Normal 57 3 2 3 3 2 4" xfId="7003"/>
    <cellStyle name="Normal 57 3 2 3 3 2 5" xfId="21083"/>
    <cellStyle name="Normal 57 3 2 3 3 3" xfId="3698"/>
    <cellStyle name="Normal 57 3 2 3 3 3 2" xfId="17345"/>
    <cellStyle name="Normal 57 3 2 3 3 3 2 2" xfId="27596"/>
    <cellStyle name="Normal 57 3 2 3 3 3 3" xfId="13766"/>
    <cellStyle name="Normal 57 3 2 3 3 3 4" xfId="8509"/>
    <cellStyle name="Normal 57 3 2 3 3 3 5" xfId="22589"/>
    <cellStyle name="Normal 57 3 2 3 3 4" xfId="6119"/>
    <cellStyle name="Normal 57 3 2 3 3 4 2" xfId="15203"/>
    <cellStyle name="Normal 57 3 2 3 3 4 3" xfId="25207"/>
    <cellStyle name="Normal 57 3 2 3 3 5" xfId="9963"/>
    <cellStyle name="Normal 57 3 2 3 3 5 2" xfId="18790"/>
    <cellStyle name="Normal 57 3 2 3 3 5 3" xfId="29041"/>
    <cellStyle name="Normal 57 3 2 3 3 6" xfId="11408"/>
    <cellStyle name="Normal 57 3 2 3 3 6 2" xfId="23689"/>
    <cellStyle name="Normal 57 3 2 3 3 7" xfId="4597"/>
    <cellStyle name="Normal 57 3 2 3 3 8" xfId="20200"/>
    <cellStyle name="Normal 57 3 2 3 4" xfId="1051"/>
    <cellStyle name="Normal 57 3 2 3 4 2" xfId="2773"/>
    <cellStyle name="Normal 57 3 2 3 4 2 2" xfId="16320"/>
    <cellStyle name="Normal 57 3 2 3 4 2 2 2" xfId="26539"/>
    <cellStyle name="Normal 57 3 2 3 4 2 3" xfId="12742"/>
    <cellStyle name="Normal 57 3 2 3 4 2 4" xfId="7452"/>
    <cellStyle name="Normal 57 3 2 3 4 2 5" xfId="21532"/>
    <cellStyle name="Normal 57 3 2 3 4 3" xfId="4047"/>
    <cellStyle name="Normal 57 3 2 3 4 3 2" xfId="17693"/>
    <cellStyle name="Normal 57 3 2 3 4 3 2 2" xfId="27944"/>
    <cellStyle name="Normal 57 3 2 3 4 3 3" xfId="14114"/>
    <cellStyle name="Normal 57 3 2 3 4 3 4" xfId="8857"/>
    <cellStyle name="Normal 57 3 2 3 4 3 5" xfId="22937"/>
    <cellStyle name="Normal 57 3 2 3 4 4" xfId="6568"/>
    <cellStyle name="Normal 57 3 2 3 4 4 2" xfId="15652"/>
    <cellStyle name="Normal 57 3 2 3 4 4 3" xfId="25656"/>
    <cellStyle name="Normal 57 3 2 3 4 5" xfId="10311"/>
    <cellStyle name="Normal 57 3 2 3 4 5 2" xfId="19138"/>
    <cellStyle name="Normal 57 3 2 3 4 5 3" xfId="29389"/>
    <cellStyle name="Normal 57 3 2 3 4 6" xfId="11757"/>
    <cellStyle name="Normal 57 3 2 3 4 6 2" xfId="24138"/>
    <cellStyle name="Normal 57 3 2 3 4 7" xfId="5046"/>
    <cellStyle name="Normal 57 3 2 3 4 8" xfId="20649"/>
    <cellStyle name="Normal 57 3 2 3 5" xfId="1422"/>
    <cellStyle name="Normal 57 3 2 3 5 2" xfId="3024"/>
    <cellStyle name="Normal 57 3 2 3 5 2 2" xfId="16580"/>
    <cellStyle name="Normal 57 3 2 3 5 2 2 2" xfId="26799"/>
    <cellStyle name="Normal 57 3 2 3 5 2 3" xfId="13001"/>
    <cellStyle name="Normal 57 3 2 3 5 2 4" xfId="7712"/>
    <cellStyle name="Normal 57 3 2 3 5 2 5" xfId="21792"/>
    <cellStyle name="Normal 57 3 2 3 5 3" xfId="4238"/>
    <cellStyle name="Normal 57 3 2 3 5 3 2" xfId="17944"/>
    <cellStyle name="Normal 57 3 2 3 5 3 2 2" xfId="28195"/>
    <cellStyle name="Normal 57 3 2 3 5 3 3" xfId="14365"/>
    <cellStyle name="Normal 57 3 2 3 5 3 4" xfId="9108"/>
    <cellStyle name="Normal 57 3 2 3 5 3 5" xfId="23188"/>
    <cellStyle name="Normal 57 3 2 3 5 4" xfId="6004"/>
    <cellStyle name="Normal 57 3 2 3 5 4 2" xfId="15090"/>
    <cellStyle name="Normal 57 3 2 3 5 4 3" xfId="25094"/>
    <cellStyle name="Normal 57 3 2 3 5 5" xfId="10562"/>
    <cellStyle name="Normal 57 3 2 3 5 5 2" xfId="19389"/>
    <cellStyle name="Normal 57 3 2 3 5 5 3" xfId="29640"/>
    <cellStyle name="Normal 57 3 2 3 5 6" xfId="12008"/>
    <cellStyle name="Normal 57 3 2 3 5 6 2" xfId="24398"/>
    <cellStyle name="Normal 57 3 2 3 5 7" xfId="5306"/>
    <cellStyle name="Normal 57 3 2 3 5 8" xfId="20087"/>
    <cellStyle name="Normal 57 3 2 3 6" xfId="1981"/>
    <cellStyle name="Normal 57 3 2 3 6 2" xfId="15933"/>
    <cellStyle name="Normal 57 3 2 3 6 2 2" xfId="25977"/>
    <cellStyle name="Normal 57 3 2 3 6 3" xfId="12469"/>
    <cellStyle name="Normal 57 3 2 3 6 4" xfId="6890"/>
    <cellStyle name="Normal 57 3 2 3 6 5" xfId="20970"/>
    <cellStyle name="Normal 57 3 2 3 7" xfId="3400"/>
    <cellStyle name="Normal 57 3 2 3 7 2" xfId="16901"/>
    <cellStyle name="Normal 57 3 2 3 7 2 2" xfId="27152"/>
    <cellStyle name="Normal 57 3 2 3 7 3" xfId="13322"/>
    <cellStyle name="Normal 57 3 2 3 7 4" xfId="8065"/>
    <cellStyle name="Normal 57 3 2 3 7 5" xfId="22145"/>
    <cellStyle name="Normal 57 3 2 3 8" xfId="5626"/>
    <cellStyle name="Normal 57 3 2 3 8 2" xfId="14712"/>
    <cellStyle name="Normal 57 3 2 3 8 3" xfId="24716"/>
    <cellStyle name="Normal 57 3 2 3 9" xfId="9519"/>
    <cellStyle name="Normal 57 3 2 3 9 2" xfId="18346"/>
    <cellStyle name="Normal 57 3 2 3 9 3" xfId="28597"/>
    <cellStyle name="Normal 57 3 2 3_Degree data" xfId="1669"/>
    <cellStyle name="Normal 57 3 2 4" xfId="337"/>
    <cellStyle name="Normal 57 3 2 4 10" xfId="19809"/>
    <cellStyle name="Normal 57 3 2 4 2" xfId="695"/>
    <cellStyle name="Normal 57 3 2 4 2 2" xfId="2427"/>
    <cellStyle name="Normal 57 3 2 4 2 2 2" xfId="16322"/>
    <cellStyle name="Normal 57 3 2 4 2 2 2 2" xfId="26541"/>
    <cellStyle name="Normal 57 3 2 4 2 2 3" xfId="12744"/>
    <cellStyle name="Normal 57 3 2 4 2 2 4" xfId="7454"/>
    <cellStyle name="Normal 57 3 2 4 2 2 5" xfId="21534"/>
    <cellStyle name="Normal 57 3 2 4 2 3" xfId="3700"/>
    <cellStyle name="Normal 57 3 2 4 2 3 2" xfId="17347"/>
    <cellStyle name="Normal 57 3 2 4 2 3 2 2" xfId="27598"/>
    <cellStyle name="Normal 57 3 2 4 2 3 3" xfId="13768"/>
    <cellStyle name="Normal 57 3 2 4 2 3 4" xfId="8511"/>
    <cellStyle name="Normal 57 3 2 4 2 3 5" xfId="22591"/>
    <cellStyle name="Normal 57 3 2 4 2 4" xfId="6570"/>
    <cellStyle name="Normal 57 3 2 4 2 4 2" xfId="15654"/>
    <cellStyle name="Normal 57 3 2 4 2 4 3" xfId="25658"/>
    <cellStyle name="Normal 57 3 2 4 2 5" xfId="9965"/>
    <cellStyle name="Normal 57 3 2 4 2 5 2" xfId="18792"/>
    <cellStyle name="Normal 57 3 2 4 2 5 3" xfId="29043"/>
    <cellStyle name="Normal 57 3 2 4 2 6" xfId="11410"/>
    <cellStyle name="Normal 57 3 2 4 2 6 2" xfId="24140"/>
    <cellStyle name="Normal 57 3 2 4 2 7" xfId="5048"/>
    <cellStyle name="Normal 57 3 2 4 2 8" xfId="20651"/>
    <cellStyle name="Normal 57 3 2 4 3" xfId="1053"/>
    <cellStyle name="Normal 57 3 2 4 3 2" xfId="2775"/>
    <cellStyle name="Normal 57 3 2 4 3 2 2" xfId="16680"/>
    <cellStyle name="Normal 57 3 2 4 3 2 2 2" xfId="26899"/>
    <cellStyle name="Normal 57 3 2 4 3 2 3" xfId="13101"/>
    <cellStyle name="Normal 57 3 2 4 3 2 4" xfId="7812"/>
    <cellStyle name="Normal 57 3 2 4 3 2 5" xfId="21892"/>
    <cellStyle name="Normal 57 3 2 4 3 3" xfId="4049"/>
    <cellStyle name="Normal 57 3 2 4 3 3 2" xfId="17695"/>
    <cellStyle name="Normal 57 3 2 4 3 3 2 2" xfId="27946"/>
    <cellStyle name="Normal 57 3 2 4 3 3 3" xfId="14116"/>
    <cellStyle name="Normal 57 3 2 4 3 3 4" xfId="8859"/>
    <cellStyle name="Normal 57 3 2 4 3 3 5" xfId="22939"/>
    <cellStyle name="Normal 57 3 2 4 3 4" xfId="6219"/>
    <cellStyle name="Normal 57 3 2 4 3 4 2" xfId="15303"/>
    <cellStyle name="Normal 57 3 2 4 3 4 3" xfId="25307"/>
    <cellStyle name="Normal 57 3 2 4 3 5" xfId="10313"/>
    <cellStyle name="Normal 57 3 2 4 3 5 2" xfId="19140"/>
    <cellStyle name="Normal 57 3 2 4 3 5 3" xfId="29391"/>
    <cellStyle name="Normal 57 3 2 4 3 6" xfId="11759"/>
    <cellStyle name="Normal 57 3 2 4 3 6 2" xfId="24498"/>
    <cellStyle name="Normal 57 3 2 4 3 7" xfId="5406"/>
    <cellStyle name="Normal 57 3 2 4 3 8" xfId="20300"/>
    <cellStyle name="Normal 57 3 2 4 4" xfId="1524"/>
    <cellStyle name="Normal 57 3 2 4 4 2" xfId="3124"/>
    <cellStyle name="Normal 57 3 2 4 4 2 2" xfId="18044"/>
    <cellStyle name="Normal 57 3 2 4 4 2 2 2" xfId="28295"/>
    <cellStyle name="Normal 57 3 2 4 4 2 3" xfId="14465"/>
    <cellStyle name="Normal 57 3 2 4 4 2 4" xfId="9208"/>
    <cellStyle name="Normal 57 3 2 4 4 2 5" xfId="23288"/>
    <cellStyle name="Normal 57 3 2 4 4 3" xfId="10662"/>
    <cellStyle name="Normal 57 3 2 4 4 3 2" xfId="19489"/>
    <cellStyle name="Normal 57 3 2 4 4 3 3" xfId="29740"/>
    <cellStyle name="Normal 57 3 2 4 4 4" xfId="12108"/>
    <cellStyle name="Normal 57 3 2 4 4 4 2" xfId="26190"/>
    <cellStyle name="Normal 57 3 2 4 4 5" xfId="7103"/>
    <cellStyle name="Normal 57 3 2 4 4 6" xfId="21183"/>
    <cellStyle name="Normal 57 3 2 4 5" xfId="2081"/>
    <cellStyle name="Normal 57 3 2 4 5 2" xfId="17001"/>
    <cellStyle name="Normal 57 3 2 4 5 2 2" xfId="27252"/>
    <cellStyle name="Normal 57 3 2 4 5 3" xfId="13422"/>
    <cellStyle name="Normal 57 3 2 4 5 4" xfId="8165"/>
    <cellStyle name="Normal 57 3 2 4 5 5" xfId="22245"/>
    <cellStyle name="Normal 57 3 2 4 6" xfId="5726"/>
    <cellStyle name="Normal 57 3 2 4 6 2" xfId="14812"/>
    <cellStyle name="Normal 57 3 2 4 6 3" xfId="24816"/>
    <cellStyle name="Normal 57 3 2 4 7" xfId="9619"/>
    <cellStyle name="Normal 57 3 2 4 7 2" xfId="18446"/>
    <cellStyle name="Normal 57 3 2 4 7 3" xfId="28697"/>
    <cellStyle name="Normal 57 3 2 4 8" xfId="11063"/>
    <cellStyle name="Normal 57 3 2 4 8 2" xfId="23789"/>
    <cellStyle name="Normal 57 3 2 4 9" xfId="4697"/>
    <cellStyle name="Normal 57 3 2 4_Degree data" xfId="1671"/>
    <cellStyle name="Normal 57 3 2 5" xfId="169"/>
    <cellStyle name="Normal 57 3 2 5 10" xfId="20143"/>
    <cellStyle name="Normal 57 3 2 5 2" xfId="696"/>
    <cellStyle name="Normal 57 3 2 5 2 2" xfId="2428"/>
    <cellStyle name="Normal 57 3 2 5 2 2 2" xfId="16323"/>
    <cellStyle name="Normal 57 3 2 5 2 2 2 2" xfId="26542"/>
    <cellStyle name="Normal 57 3 2 5 2 2 3" xfId="12745"/>
    <cellStyle name="Normal 57 3 2 5 2 2 4" xfId="7455"/>
    <cellStyle name="Normal 57 3 2 5 2 2 5" xfId="21535"/>
    <cellStyle name="Normal 57 3 2 5 2 3" xfId="3701"/>
    <cellStyle name="Normal 57 3 2 5 2 3 2" xfId="17348"/>
    <cellStyle name="Normal 57 3 2 5 2 3 2 2" xfId="27599"/>
    <cellStyle name="Normal 57 3 2 5 2 3 3" xfId="13769"/>
    <cellStyle name="Normal 57 3 2 5 2 3 4" xfId="8512"/>
    <cellStyle name="Normal 57 3 2 5 2 3 5" xfId="22592"/>
    <cellStyle name="Normal 57 3 2 5 2 4" xfId="6571"/>
    <cellStyle name="Normal 57 3 2 5 2 4 2" xfId="15655"/>
    <cellStyle name="Normal 57 3 2 5 2 4 3" xfId="25659"/>
    <cellStyle name="Normal 57 3 2 5 2 5" xfId="9966"/>
    <cellStyle name="Normal 57 3 2 5 2 5 2" xfId="18793"/>
    <cellStyle name="Normal 57 3 2 5 2 5 3" xfId="29044"/>
    <cellStyle name="Normal 57 3 2 5 2 6" xfId="11411"/>
    <cellStyle name="Normal 57 3 2 5 2 6 2" xfId="24141"/>
    <cellStyle name="Normal 57 3 2 5 2 7" xfId="5049"/>
    <cellStyle name="Normal 57 3 2 5 2 8" xfId="20652"/>
    <cellStyle name="Normal 57 3 2 5 3" xfId="1054"/>
    <cellStyle name="Normal 57 3 2 5 3 2" xfId="2776"/>
    <cellStyle name="Normal 57 3 2 5 3 2 2" xfId="16523"/>
    <cellStyle name="Normal 57 3 2 5 3 2 2 2" xfId="26742"/>
    <cellStyle name="Normal 57 3 2 5 3 2 3" xfId="12944"/>
    <cellStyle name="Normal 57 3 2 5 3 2 4" xfId="7655"/>
    <cellStyle name="Normal 57 3 2 5 3 2 5" xfId="21735"/>
    <cellStyle name="Normal 57 3 2 5 3 3" xfId="4050"/>
    <cellStyle name="Normal 57 3 2 5 3 3 2" xfId="17696"/>
    <cellStyle name="Normal 57 3 2 5 3 3 2 2" xfId="27947"/>
    <cellStyle name="Normal 57 3 2 5 3 3 3" xfId="14117"/>
    <cellStyle name="Normal 57 3 2 5 3 3 4" xfId="8860"/>
    <cellStyle name="Normal 57 3 2 5 3 3 5" xfId="22940"/>
    <cellStyle name="Normal 57 3 2 5 3 4" xfId="6731"/>
    <cellStyle name="Normal 57 3 2 5 3 4 2" xfId="15814"/>
    <cellStyle name="Normal 57 3 2 5 3 4 3" xfId="25818"/>
    <cellStyle name="Normal 57 3 2 5 3 5" xfId="10314"/>
    <cellStyle name="Normal 57 3 2 5 3 5 2" xfId="19141"/>
    <cellStyle name="Normal 57 3 2 5 3 5 3" xfId="29392"/>
    <cellStyle name="Normal 57 3 2 5 3 6" xfId="11760"/>
    <cellStyle name="Normal 57 3 2 5 3 6 2" xfId="24341"/>
    <cellStyle name="Normal 57 3 2 5 3 7" xfId="5249"/>
    <cellStyle name="Normal 57 3 2 5 3 8" xfId="20811"/>
    <cellStyle name="Normal 57 3 2 5 4" xfId="1356"/>
    <cellStyle name="Normal 57 3 2 5 4 2" xfId="2967"/>
    <cellStyle name="Normal 57 3 2 5 4 2 2" xfId="17887"/>
    <cellStyle name="Normal 57 3 2 5 4 2 2 2" xfId="28138"/>
    <cellStyle name="Normal 57 3 2 5 4 2 3" xfId="14308"/>
    <cellStyle name="Normal 57 3 2 5 4 2 4" xfId="9051"/>
    <cellStyle name="Normal 57 3 2 5 4 2 5" xfId="23131"/>
    <cellStyle name="Normal 57 3 2 5 4 3" xfId="10505"/>
    <cellStyle name="Normal 57 3 2 5 4 3 2" xfId="19332"/>
    <cellStyle name="Normal 57 3 2 5 4 3 3" xfId="29583"/>
    <cellStyle name="Normal 57 3 2 5 4 4" xfId="11951"/>
    <cellStyle name="Normal 57 3 2 5 4 4 2" xfId="26033"/>
    <cellStyle name="Normal 57 3 2 5 4 5" xfId="6946"/>
    <cellStyle name="Normal 57 3 2 5 4 6" xfId="21026"/>
    <cellStyle name="Normal 57 3 2 5 5" xfId="1924"/>
    <cellStyle name="Normal 57 3 2 5 5 2" xfId="16842"/>
    <cellStyle name="Normal 57 3 2 5 5 2 2" xfId="27093"/>
    <cellStyle name="Normal 57 3 2 5 5 3" xfId="13263"/>
    <cellStyle name="Normal 57 3 2 5 5 4" xfId="8006"/>
    <cellStyle name="Normal 57 3 2 5 5 5" xfId="22086"/>
    <cellStyle name="Normal 57 3 2 5 6" xfId="6062"/>
    <cellStyle name="Normal 57 3 2 5 6 2" xfId="15146"/>
    <cellStyle name="Normal 57 3 2 5 6 3" xfId="25150"/>
    <cellStyle name="Normal 57 3 2 5 7" xfId="9462"/>
    <cellStyle name="Normal 57 3 2 5 7 2" xfId="18289"/>
    <cellStyle name="Normal 57 3 2 5 7 3" xfId="28540"/>
    <cellStyle name="Normal 57 3 2 5 8" xfId="10906"/>
    <cellStyle name="Normal 57 3 2 5 8 2" xfId="23632"/>
    <cellStyle name="Normal 57 3 2 5 9" xfId="4540"/>
    <cellStyle name="Normal 57 3 2 5_Degree data" xfId="1672"/>
    <cellStyle name="Normal 57 3 2 6" xfId="690"/>
    <cellStyle name="Normal 57 3 2 6 2" xfId="2422"/>
    <cellStyle name="Normal 57 3 2 6 2 2" xfId="16317"/>
    <cellStyle name="Normal 57 3 2 6 2 2 2" xfId="26536"/>
    <cellStyle name="Normal 57 3 2 6 2 3" xfId="12739"/>
    <cellStyle name="Normal 57 3 2 6 2 4" xfId="7449"/>
    <cellStyle name="Normal 57 3 2 6 2 5" xfId="21529"/>
    <cellStyle name="Normal 57 3 2 6 3" xfId="3695"/>
    <cellStyle name="Normal 57 3 2 6 3 2" xfId="17342"/>
    <cellStyle name="Normal 57 3 2 6 3 2 2" xfId="27593"/>
    <cellStyle name="Normal 57 3 2 6 3 3" xfId="13763"/>
    <cellStyle name="Normal 57 3 2 6 3 4" xfId="8506"/>
    <cellStyle name="Normal 57 3 2 6 3 5" xfId="22586"/>
    <cellStyle name="Normal 57 3 2 6 4" xfId="6565"/>
    <cellStyle name="Normal 57 3 2 6 4 2" xfId="15649"/>
    <cellStyle name="Normal 57 3 2 6 4 3" xfId="25653"/>
    <cellStyle name="Normal 57 3 2 6 5" xfId="9960"/>
    <cellStyle name="Normal 57 3 2 6 5 2" xfId="18787"/>
    <cellStyle name="Normal 57 3 2 6 5 3" xfId="29038"/>
    <cellStyle name="Normal 57 3 2 6 6" xfId="11405"/>
    <cellStyle name="Normal 57 3 2 6 6 2" xfId="24135"/>
    <cellStyle name="Normal 57 3 2 6 7" xfId="5043"/>
    <cellStyle name="Normal 57 3 2 6 8" xfId="20646"/>
    <cellStyle name="Normal 57 3 2 7" xfId="1048"/>
    <cellStyle name="Normal 57 3 2 7 2" xfId="2770"/>
    <cellStyle name="Normal 57 3 2 7 2 2" xfId="16478"/>
    <cellStyle name="Normal 57 3 2 7 2 2 2" xfId="26697"/>
    <cellStyle name="Normal 57 3 2 7 2 3" xfId="12900"/>
    <cellStyle name="Normal 57 3 2 7 2 4" xfId="7610"/>
    <cellStyle name="Normal 57 3 2 7 2 5" xfId="21690"/>
    <cellStyle name="Normal 57 3 2 7 3" xfId="4044"/>
    <cellStyle name="Normal 57 3 2 7 3 2" xfId="17690"/>
    <cellStyle name="Normal 57 3 2 7 3 2 2" xfId="27941"/>
    <cellStyle name="Normal 57 3 2 7 3 3" xfId="14111"/>
    <cellStyle name="Normal 57 3 2 7 3 4" xfId="8854"/>
    <cellStyle name="Normal 57 3 2 7 3 5" xfId="22934"/>
    <cellStyle name="Normal 57 3 2 7 4" xfId="5900"/>
    <cellStyle name="Normal 57 3 2 7 4 2" xfId="14986"/>
    <cellStyle name="Normal 57 3 2 7 4 3" xfId="24990"/>
    <cellStyle name="Normal 57 3 2 7 5" xfId="10308"/>
    <cellStyle name="Normal 57 3 2 7 5 2" xfId="19135"/>
    <cellStyle name="Normal 57 3 2 7 5 3" xfId="29386"/>
    <cellStyle name="Normal 57 3 2 7 6" xfId="11754"/>
    <cellStyle name="Normal 57 3 2 7 6 2" xfId="24296"/>
    <cellStyle name="Normal 57 3 2 7 7" xfId="5204"/>
    <cellStyle name="Normal 57 3 2 7 8" xfId="19983"/>
    <cellStyle name="Normal 57 3 2 8" xfId="1302"/>
    <cellStyle name="Normal 57 3 2 8 2" xfId="2922"/>
    <cellStyle name="Normal 57 3 2 8 2 2" xfId="17842"/>
    <cellStyle name="Normal 57 3 2 8 2 2 2" xfId="28093"/>
    <cellStyle name="Normal 57 3 2 8 2 3" xfId="14263"/>
    <cellStyle name="Normal 57 3 2 8 2 4" xfId="9006"/>
    <cellStyle name="Normal 57 3 2 8 2 5" xfId="23086"/>
    <cellStyle name="Normal 57 3 2 8 3" xfId="10460"/>
    <cellStyle name="Normal 57 3 2 8 3 2" xfId="19287"/>
    <cellStyle name="Normal 57 3 2 8 3 3" xfId="29538"/>
    <cellStyle name="Normal 57 3 2 8 4" xfId="11906"/>
    <cellStyle name="Normal 57 3 2 8 4 2" xfId="25873"/>
    <cellStyle name="Normal 57 3 2 8 5" xfId="6786"/>
    <cellStyle name="Normal 57 3 2 8 6" xfId="20866"/>
    <cellStyle name="Normal 57 3 2 9" xfId="1879"/>
    <cellStyle name="Normal 57 3 2 9 2" xfId="9417"/>
    <cellStyle name="Normal 57 3 2 9 2 2" xfId="18244"/>
    <cellStyle name="Normal 57 3 2 9 2 3" xfId="28495"/>
    <cellStyle name="Normal 57 3 2 9 3" xfId="10861"/>
    <cellStyle name="Normal 57 3 2 9 3 2" xfId="27048"/>
    <cellStyle name="Normal 57 3 2 9 4" xfId="7961"/>
    <cellStyle name="Normal 57 3 2 9 5" xfId="22041"/>
    <cellStyle name="Normal 57 3 2_Degree data" xfId="1666"/>
    <cellStyle name="Normal 57 3 3" xfId="154"/>
    <cellStyle name="Normal 57 3 3 10" xfId="5555"/>
    <cellStyle name="Normal 57 3 3 10 2" xfId="14641"/>
    <cellStyle name="Normal 57 3 3 10 3" xfId="24645"/>
    <cellStyle name="Normal 57 3 3 11" xfId="9375"/>
    <cellStyle name="Normal 57 3 3 11 2" xfId="18202"/>
    <cellStyle name="Normal 57 3 3 11 3" xfId="28453"/>
    <cellStyle name="Normal 57 3 3 12" xfId="10815"/>
    <cellStyle name="Normal 57 3 3 12 2" xfId="23460"/>
    <cellStyle name="Normal 57 3 3 13" xfId="4368"/>
    <cellStyle name="Normal 57 3 3 14" xfId="19638"/>
    <cellStyle name="Normal 57 3 3 2" xfId="267"/>
    <cellStyle name="Normal 57 3 3 2 10" xfId="10994"/>
    <cellStyle name="Normal 57 3 3 2 10 2" xfId="23503"/>
    <cellStyle name="Normal 57 3 3 2 11" xfId="4411"/>
    <cellStyle name="Normal 57 3 3 2 12" xfId="19740"/>
    <cellStyle name="Normal 57 3 3 2 2" xfId="369"/>
    <cellStyle name="Normal 57 3 3 2 2 10" xfId="19840"/>
    <cellStyle name="Normal 57 3 3 2 2 2" xfId="699"/>
    <cellStyle name="Normal 57 3 3 2 2 2 2" xfId="2431"/>
    <cellStyle name="Normal 57 3 3 2 2 2 2 2" xfId="16326"/>
    <cellStyle name="Normal 57 3 3 2 2 2 2 2 2" xfId="26545"/>
    <cellStyle name="Normal 57 3 3 2 2 2 2 3" xfId="12748"/>
    <cellStyle name="Normal 57 3 3 2 2 2 2 4" xfId="7458"/>
    <cellStyle name="Normal 57 3 3 2 2 2 2 5" xfId="21538"/>
    <cellStyle name="Normal 57 3 3 2 2 2 3" xfId="3704"/>
    <cellStyle name="Normal 57 3 3 2 2 2 3 2" xfId="17351"/>
    <cellStyle name="Normal 57 3 3 2 2 2 3 2 2" xfId="27602"/>
    <cellStyle name="Normal 57 3 3 2 2 2 3 3" xfId="13772"/>
    <cellStyle name="Normal 57 3 3 2 2 2 3 4" xfId="8515"/>
    <cellStyle name="Normal 57 3 3 2 2 2 3 5" xfId="22595"/>
    <cellStyle name="Normal 57 3 3 2 2 2 4" xfId="6574"/>
    <cellStyle name="Normal 57 3 3 2 2 2 4 2" xfId="15658"/>
    <cellStyle name="Normal 57 3 3 2 2 2 4 3" xfId="25662"/>
    <cellStyle name="Normal 57 3 3 2 2 2 5" xfId="9969"/>
    <cellStyle name="Normal 57 3 3 2 2 2 5 2" xfId="18796"/>
    <cellStyle name="Normal 57 3 3 2 2 2 5 3" xfId="29047"/>
    <cellStyle name="Normal 57 3 3 2 2 2 6" xfId="11414"/>
    <cellStyle name="Normal 57 3 3 2 2 2 6 2" xfId="24144"/>
    <cellStyle name="Normal 57 3 3 2 2 2 7" xfId="5052"/>
    <cellStyle name="Normal 57 3 3 2 2 2 8" xfId="20655"/>
    <cellStyle name="Normal 57 3 3 2 2 3" xfId="1057"/>
    <cellStyle name="Normal 57 3 3 2 2 3 2" xfId="2779"/>
    <cellStyle name="Normal 57 3 3 2 2 3 2 2" xfId="16711"/>
    <cellStyle name="Normal 57 3 3 2 2 3 2 2 2" xfId="26930"/>
    <cellStyle name="Normal 57 3 3 2 2 3 2 3" xfId="13132"/>
    <cellStyle name="Normal 57 3 3 2 2 3 2 4" xfId="7843"/>
    <cellStyle name="Normal 57 3 3 2 2 3 2 5" xfId="21923"/>
    <cellStyle name="Normal 57 3 3 2 2 3 3" xfId="4053"/>
    <cellStyle name="Normal 57 3 3 2 2 3 3 2" xfId="17699"/>
    <cellStyle name="Normal 57 3 3 2 2 3 3 2 2" xfId="27950"/>
    <cellStyle name="Normal 57 3 3 2 2 3 3 3" xfId="14120"/>
    <cellStyle name="Normal 57 3 3 2 2 3 3 4" xfId="8863"/>
    <cellStyle name="Normal 57 3 3 2 2 3 3 5" xfId="22943"/>
    <cellStyle name="Normal 57 3 3 2 2 3 4" xfId="6250"/>
    <cellStyle name="Normal 57 3 3 2 2 3 4 2" xfId="15334"/>
    <cellStyle name="Normal 57 3 3 2 2 3 4 3" xfId="25338"/>
    <cellStyle name="Normal 57 3 3 2 2 3 5" xfId="10317"/>
    <cellStyle name="Normal 57 3 3 2 2 3 5 2" xfId="19144"/>
    <cellStyle name="Normal 57 3 3 2 2 3 5 3" xfId="29395"/>
    <cellStyle name="Normal 57 3 3 2 2 3 6" xfId="11763"/>
    <cellStyle name="Normal 57 3 3 2 2 3 6 2" xfId="24529"/>
    <cellStyle name="Normal 57 3 3 2 2 3 7" xfId="5437"/>
    <cellStyle name="Normal 57 3 3 2 2 3 8" xfId="20331"/>
    <cellStyle name="Normal 57 3 3 2 2 4" xfId="1556"/>
    <cellStyle name="Normal 57 3 3 2 2 4 2" xfId="3155"/>
    <cellStyle name="Normal 57 3 3 2 2 4 2 2" xfId="18075"/>
    <cellStyle name="Normal 57 3 3 2 2 4 2 2 2" xfId="28326"/>
    <cellStyle name="Normal 57 3 3 2 2 4 2 3" xfId="14496"/>
    <cellStyle name="Normal 57 3 3 2 2 4 2 4" xfId="9239"/>
    <cellStyle name="Normal 57 3 3 2 2 4 2 5" xfId="23319"/>
    <cellStyle name="Normal 57 3 3 2 2 4 3" xfId="10693"/>
    <cellStyle name="Normal 57 3 3 2 2 4 3 2" xfId="19520"/>
    <cellStyle name="Normal 57 3 3 2 2 4 3 3" xfId="29771"/>
    <cellStyle name="Normal 57 3 3 2 2 4 4" xfId="12139"/>
    <cellStyle name="Normal 57 3 3 2 2 4 4 2" xfId="26221"/>
    <cellStyle name="Normal 57 3 3 2 2 4 5" xfId="7134"/>
    <cellStyle name="Normal 57 3 3 2 2 4 6" xfId="21214"/>
    <cellStyle name="Normal 57 3 3 2 2 5" xfId="2112"/>
    <cellStyle name="Normal 57 3 3 2 2 5 2" xfId="17032"/>
    <cellStyle name="Normal 57 3 3 2 2 5 2 2" xfId="27283"/>
    <cellStyle name="Normal 57 3 3 2 2 5 3" xfId="13453"/>
    <cellStyle name="Normal 57 3 3 2 2 5 4" xfId="8196"/>
    <cellStyle name="Normal 57 3 3 2 2 5 5" xfId="22276"/>
    <cellStyle name="Normal 57 3 3 2 2 6" xfId="5757"/>
    <cellStyle name="Normal 57 3 3 2 2 6 2" xfId="14843"/>
    <cellStyle name="Normal 57 3 3 2 2 6 3" xfId="24847"/>
    <cellStyle name="Normal 57 3 3 2 2 7" xfId="9650"/>
    <cellStyle name="Normal 57 3 3 2 2 7 2" xfId="18477"/>
    <cellStyle name="Normal 57 3 3 2 2 7 3" xfId="28728"/>
    <cellStyle name="Normal 57 3 3 2 2 8" xfId="11094"/>
    <cellStyle name="Normal 57 3 3 2 2 8 2" xfId="23820"/>
    <cellStyle name="Normal 57 3 3 2 2 9" xfId="4728"/>
    <cellStyle name="Normal 57 3 3 2 2_Degree data" xfId="1675"/>
    <cellStyle name="Normal 57 3 3 2 3" xfId="698"/>
    <cellStyle name="Normal 57 3 3 2 3 2" xfId="2430"/>
    <cellStyle name="Normal 57 3 3 2 3 2 2" xfId="16048"/>
    <cellStyle name="Normal 57 3 3 2 3 2 2 2" xfId="26121"/>
    <cellStyle name="Normal 57 3 3 2 3 2 3" xfId="12371"/>
    <cellStyle name="Normal 57 3 3 2 3 2 4" xfId="7034"/>
    <cellStyle name="Normal 57 3 3 2 3 2 5" xfId="21114"/>
    <cellStyle name="Normal 57 3 3 2 3 3" xfId="3703"/>
    <cellStyle name="Normal 57 3 3 2 3 3 2" xfId="17350"/>
    <cellStyle name="Normal 57 3 3 2 3 3 2 2" xfId="27601"/>
    <cellStyle name="Normal 57 3 3 2 3 3 3" xfId="13771"/>
    <cellStyle name="Normal 57 3 3 2 3 3 4" xfId="8514"/>
    <cellStyle name="Normal 57 3 3 2 3 3 5" xfId="22594"/>
    <cellStyle name="Normal 57 3 3 2 3 4" xfId="6150"/>
    <cellStyle name="Normal 57 3 3 2 3 4 2" xfId="15234"/>
    <cellStyle name="Normal 57 3 3 2 3 4 3" xfId="25238"/>
    <cellStyle name="Normal 57 3 3 2 3 5" xfId="9968"/>
    <cellStyle name="Normal 57 3 3 2 3 5 2" xfId="18795"/>
    <cellStyle name="Normal 57 3 3 2 3 5 3" xfId="29046"/>
    <cellStyle name="Normal 57 3 3 2 3 6" xfId="11413"/>
    <cellStyle name="Normal 57 3 3 2 3 6 2" xfId="23720"/>
    <cellStyle name="Normal 57 3 3 2 3 7" xfId="4628"/>
    <cellStyle name="Normal 57 3 3 2 3 8" xfId="20231"/>
    <cellStyle name="Normal 57 3 3 2 4" xfId="1056"/>
    <cellStyle name="Normal 57 3 3 2 4 2" xfId="2778"/>
    <cellStyle name="Normal 57 3 3 2 4 2 2" xfId="16325"/>
    <cellStyle name="Normal 57 3 3 2 4 2 2 2" xfId="26544"/>
    <cellStyle name="Normal 57 3 3 2 4 2 3" xfId="12747"/>
    <cellStyle name="Normal 57 3 3 2 4 2 4" xfId="7457"/>
    <cellStyle name="Normal 57 3 3 2 4 2 5" xfId="21537"/>
    <cellStyle name="Normal 57 3 3 2 4 3" xfId="4052"/>
    <cellStyle name="Normal 57 3 3 2 4 3 2" xfId="17698"/>
    <cellStyle name="Normal 57 3 3 2 4 3 2 2" xfId="27949"/>
    <cellStyle name="Normal 57 3 3 2 4 3 3" xfId="14119"/>
    <cellStyle name="Normal 57 3 3 2 4 3 4" xfId="8862"/>
    <cellStyle name="Normal 57 3 3 2 4 3 5" xfId="22942"/>
    <cellStyle name="Normal 57 3 3 2 4 4" xfId="6573"/>
    <cellStyle name="Normal 57 3 3 2 4 4 2" xfId="15657"/>
    <cellStyle name="Normal 57 3 3 2 4 4 3" xfId="25661"/>
    <cellStyle name="Normal 57 3 3 2 4 5" xfId="10316"/>
    <cellStyle name="Normal 57 3 3 2 4 5 2" xfId="19143"/>
    <cellStyle name="Normal 57 3 3 2 4 5 3" xfId="29394"/>
    <cellStyle name="Normal 57 3 3 2 4 6" xfId="11762"/>
    <cellStyle name="Normal 57 3 3 2 4 6 2" xfId="24143"/>
    <cellStyle name="Normal 57 3 3 2 4 7" xfId="5051"/>
    <cellStyle name="Normal 57 3 3 2 4 8" xfId="20654"/>
    <cellStyle name="Normal 57 3 3 2 5" xfId="1454"/>
    <cellStyle name="Normal 57 3 3 2 5 2" xfId="3055"/>
    <cellStyle name="Normal 57 3 3 2 5 2 2" xfId="16611"/>
    <cellStyle name="Normal 57 3 3 2 5 2 2 2" xfId="26830"/>
    <cellStyle name="Normal 57 3 3 2 5 2 3" xfId="13032"/>
    <cellStyle name="Normal 57 3 3 2 5 2 4" xfId="7743"/>
    <cellStyle name="Normal 57 3 3 2 5 2 5" xfId="21823"/>
    <cellStyle name="Normal 57 3 3 2 5 3" xfId="4269"/>
    <cellStyle name="Normal 57 3 3 2 5 3 2" xfId="17975"/>
    <cellStyle name="Normal 57 3 3 2 5 3 2 2" xfId="28226"/>
    <cellStyle name="Normal 57 3 3 2 5 3 3" xfId="14396"/>
    <cellStyle name="Normal 57 3 3 2 5 3 4" xfId="9139"/>
    <cellStyle name="Normal 57 3 3 2 5 3 5" xfId="23219"/>
    <cellStyle name="Normal 57 3 3 2 5 4" xfId="5931"/>
    <cellStyle name="Normal 57 3 3 2 5 4 2" xfId="15017"/>
    <cellStyle name="Normal 57 3 3 2 5 4 3" xfId="25021"/>
    <cellStyle name="Normal 57 3 3 2 5 5" xfId="10593"/>
    <cellStyle name="Normal 57 3 3 2 5 5 2" xfId="19420"/>
    <cellStyle name="Normal 57 3 3 2 5 5 3" xfId="29671"/>
    <cellStyle name="Normal 57 3 3 2 5 6" xfId="12039"/>
    <cellStyle name="Normal 57 3 3 2 5 6 2" xfId="24429"/>
    <cellStyle name="Normal 57 3 3 2 5 7" xfId="5337"/>
    <cellStyle name="Normal 57 3 3 2 5 8" xfId="20014"/>
    <cellStyle name="Normal 57 3 3 2 6" xfId="2012"/>
    <cellStyle name="Normal 57 3 3 2 6 2" xfId="15860"/>
    <cellStyle name="Normal 57 3 3 2 6 2 2" xfId="25904"/>
    <cellStyle name="Normal 57 3 3 2 6 3" xfId="12459"/>
    <cellStyle name="Normal 57 3 3 2 6 4" xfId="6817"/>
    <cellStyle name="Normal 57 3 3 2 6 5" xfId="20897"/>
    <cellStyle name="Normal 57 3 3 2 7" xfId="3431"/>
    <cellStyle name="Normal 57 3 3 2 7 2" xfId="16932"/>
    <cellStyle name="Normal 57 3 3 2 7 2 2" xfId="27183"/>
    <cellStyle name="Normal 57 3 3 2 7 3" xfId="13353"/>
    <cellStyle name="Normal 57 3 3 2 7 4" xfId="8096"/>
    <cellStyle name="Normal 57 3 3 2 7 5" xfId="22176"/>
    <cellStyle name="Normal 57 3 3 2 8" xfId="5657"/>
    <cellStyle name="Normal 57 3 3 2 8 2" xfId="14743"/>
    <cellStyle name="Normal 57 3 3 2 8 3" xfId="24747"/>
    <cellStyle name="Normal 57 3 3 2 9" xfId="9550"/>
    <cellStyle name="Normal 57 3 3 2 9 2" xfId="18377"/>
    <cellStyle name="Normal 57 3 3 2 9 3" xfId="28628"/>
    <cellStyle name="Normal 57 3 3 2_Degree data" xfId="1674"/>
    <cellStyle name="Normal 57 3 3 3" xfId="222"/>
    <cellStyle name="Normal 57 3 3 3 10" xfId="10951"/>
    <cellStyle name="Normal 57 3 3 3 10 2" xfId="23565"/>
    <cellStyle name="Normal 57 3 3 3 11" xfId="4473"/>
    <cellStyle name="Normal 57 3 3 3 12" xfId="19697"/>
    <cellStyle name="Normal 57 3 3 3 2" xfId="433"/>
    <cellStyle name="Normal 57 3 3 3 2 10" xfId="19902"/>
    <cellStyle name="Normal 57 3 3 3 2 2" xfId="701"/>
    <cellStyle name="Normal 57 3 3 3 2 2 2" xfId="2433"/>
    <cellStyle name="Normal 57 3 3 3 2 2 2 2" xfId="16328"/>
    <cellStyle name="Normal 57 3 3 3 2 2 2 2 2" xfId="26547"/>
    <cellStyle name="Normal 57 3 3 3 2 2 2 3" xfId="12750"/>
    <cellStyle name="Normal 57 3 3 3 2 2 2 4" xfId="7460"/>
    <cellStyle name="Normal 57 3 3 3 2 2 2 5" xfId="21540"/>
    <cellStyle name="Normal 57 3 3 3 2 2 3" xfId="3706"/>
    <cellStyle name="Normal 57 3 3 3 2 2 3 2" xfId="17353"/>
    <cellStyle name="Normal 57 3 3 3 2 2 3 2 2" xfId="27604"/>
    <cellStyle name="Normal 57 3 3 3 2 2 3 3" xfId="13774"/>
    <cellStyle name="Normal 57 3 3 3 2 2 3 4" xfId="8517"/>
    <cellStyle name="Normal 57 3 3 3 2 2 3 5" xfId="22597"/>
    <cellStyle name="Normal 57 3 3 3 2 2 4" xfId="6576"/>
    <cellStyle name="Normal 57 3 3 3 2 2 4 2" xfId="15660"/>
    <cellStyle name="Normal 57 3 3 3 2 2 4 3" xfId="25664"/>
    <cellStyle name="Normal 57 3 3 3 2 2 5" xfId="9971"/>
    <cellStyle name="Normal 57 3 3 3 2 2 5 2" xfId="18798"/>
    <cellStyle name="Normal 57 3 3 3 2 2 5 3" xfId="29049"/>
    <cellStyle name="Normal 57 3 3 3 2 2 6" xfId="11416"/>
    <cellStyle name="Normal 57 3 3 3 2 2 6 2" xfId="24146"/>
    <cellStyle name="Normal 57 3 3 3 2 2 7" xfId="5054"/>
    <cellStyle name="Normal 57 3 3 3 2 2 8" xfId="20657"/>
    <cellStyle name="Normal 57 3 3 3 2 3" xfId="1059"/>
    <cellStyle name="Normal 57 3 3 3 2 3 2" xfId="2781"/>
    <cellStyle name="Normal 57 3 3 3 2 3 2 2" xfId="16773"/>
    <cellStyle name="Normal 57 3 3 3 2 3 2 2 2" xfId="26992"/>
    <cellStyle name="Normal 57 3 3 3 2 3 2 3" xfId="13194"/>
    <cellStyle name="Normal 57 3 3 3 2 3 2 4" xfId="7905"/>
    <cellStyle name="Normal 57 3 3 3 2 3 2 5" xfId="21985"/>
    <cellStyle name="Normal 57 3 3 3 2 3 3" xfId="4055"/>
    <cellStyle name="Normal 57 3 3 3 2 3 3 2" xfId="17701"/>
    <cellStyle name="Normal 57 3 3 3 2 3 3 2 2" xfId="27952"/>
    <cellStyle name="Normal 57 3 3 3 2 3 3 3" xfId="14122"/>
    <cellStyle name="Normal 57 3 3 3 2 3 3 4" xfId="8865"/>
    <cellStyle name="Normal 57 3 3 3 2 3 3 5" xfId="22945"/>
    <cellStyle name="Normal 57 3 3 3 2 3 4" xfId="6312"/>
    <cellStyle name="Normal 57 3 3 3 2 3 4 2" xfId="15396"/>
    <cellStyle name="Normal 57 3 3 3 2 3 4 3" xfId="25400"/>
    <cellStyle name="Normal 57 3 3 3 2 3 5" xfId="10319"/>
    <cellStyle name="Normal 57 3 3 3 2 3 5 2" xfId="19146"/>
    <cellStyle name="Normal 57 3 3 3 2 3 5 3" xfId="29397"/>
    <cellStyle name="Normal 57 3 3 3 2 3 6" xfId="11765"/>
    <cellStyle name="Normal 57 3 3 3 2 3 6 2" xfId="24591"/>
    <cellStyle name="Normal 57 3 3 3 2 3 7" xfId="5499"/>
    <cellStyle name="Normal 57 3 3 3 2 3 8" xfId="20393"/>
    <cellStyle name="Normal 57 3 3 3 2 4" xfId="1620"/>
    <cellStyle name="Normal 57 3 3 3 2 4 2" xfId="3217"/>
    <cellStyle name="Normal 57 3 3 3 2 4 2 2" xfId="18137"/>
    <cellStyle name="Normal 57 3 3 3 2 4 2 2 2" xfId="28388"/>
    <cellStyle name="Normal 57 3 3 3 2 4 2 3" xfId="14558"/>
    <cellStyle name="Normal 57 3 3 3 2 4 2 4" xfId="9301"/>
    <cellStyle name="Normal 57 3 3 3 2 4 2 5" xfId="23381"/>
    <cellStyle name="Normal 57 3 3 3 2 4 3" xfId="10755"/>
    <cellStyle name="Normal 57 3 3 3 2 4 3 2" xfId="19582"/>
    <cellStyle name="Normal 57 3 3 3 2 4 3 3" xfId="29833"/>
    <cellStyle name="Normal 57 3 3 3 2 4 4" xfId="12201"/>
    <cellStyle name="Normal 57 3 3 3 2 4 4 2" xfId="26283"/>
    <cellStyle name="Normal 57 3 3 3 2 4 5" xfId="7196"/>
    <cellStyle name="Normal 57 3 3 3 2 4 6" xfId="21276"/>
    <cellStyle name="Normal 57 3 3 3 2 5" xfId="2174"/>
    <cellStyle name="Normal 57 3 3 3 2 5 2" xfId="17094"/>
    <cellStyle name="Normal 57 3 3 3 2 5 2 2" xfId="27345"/>
    <cellStyle name="Normal 57 3 3 3 2 5 3" xfId="13515"/>
    <cellStyle name="Normal 57 3 3 3 2 5 4" xfId="8258"/>
    <cellStyle name="Normal 57 3 3 3 2 5 5" xfId="22338"/>
    <cellStyle name="Normal 57 3 3 3 2 6" xfId="5819"/>
    <cellStyle name="Normal 57 3 3 3 2 6 2" xfId="14905"/>
    <cellStyle name="Normal 57 3 3 3 2 6 3" xfId="24909"/>
    <cellStyle name="Normal 57 3 3 3 2 7" xfId="9712"/>
    <cellStyle name="Normal 57 3 3 3 2 7 2" xfId="18539"/>
    <cellStyle name="Normal 57 3 3 3 2 7 3" xfId="28790"/>
    <cellStyle name="Normal 57 3 3 3 2 8" xfId="11156"/>
    <cellStyle name="Normal 57 3 3 3 2 8 2" xfId="23882"/>
    <cellStyle name="Normal 57 3 3 3 2 9" xfId="4790"/>
    <cellStyle name="Normal 57 3 3 3 2_Degree data" xfId="1677"/>
    <cellStyle name="Normal 57 3 3 3 3" xfId="700"/>
    <cellStyle name="Normal 57 3 3 3 3 2" xfId="2432"/>
    <cellStyle name="Normal 57 3 3 3 3 2 2" xfId="16005"/>
    <cellStyle name="Normal 57 3 3 3 3 2 2 2" xfId="26078"/>
    <cellStyle name="Normal 57 3 3 3 3 2 3" xfId="12452"/>
    <cellStyle name="Normal 57 3 3 3 3 2 4" xfId="6991"/>
    <cellStyle name="Normal 57 3 3 3 3 2 5" xfId="21071"/>
    <cellStyle name="Normal 57 3 3 3 3 3" xfId="3705"/>
    <cellStyle name="Normal 57 3 3 3 3 3 2" xfId="17352"/>
    <cellStyle name="Normal 57 3 3 3 3 3 2 2" xfId="27603"/>
    <cellStyle name="Normal 57 3 3 3 3 3 3" xfId="13773"/>
    <cellStyle name="Normal 57 3 3 3 3 3 4" xfId="8516"/>
    <cellStyle name="Normal 57 3 3 3 3 3 5" xfId="22596"/>
    <cellStyle name="Normal 57 3 3 3 3 4" xfId="6107"/>
    <cellStyle name="Normal 57 3 3 3 3 4 2" xfId="15191"/>
    <cellStyle name="Normal 57 3 3 3 3 4 3" xfId="25195"/>
    <cellStyle name="Normal 57 3 3 3 3 5" xfId="9970"/>
    <cellStyle name="Normal 57 3 3 3 3 5 2" xfId="18797"/>
    <cellStyle name="Normal 57 3 3 3 3 5 3" xfId="29048"/>
    <cellStyle name="Normal 57 3 3 3 3 6" xfId="11415"/>
    <cellStyle name="Normal 57 3 3 3 3 6 2" xfId="23677"/>
    <cellStyle name="Normal 57 3 3 3 3 7" xfId="4585"/>
    <cellStyle name="Normal 57 3 3 3 3 8" xfId="20188"/>
    <cellStyle name="Normal 57 3 3 3 4" xfId="1058"/>
    <cellStyle name="Normal 57 3 3 3 4 2" xfId="2780"/>
    <cellStyle name="Normal 57 3 3 3 4 2 2" xfId="16327"/>
    <cellStyle name="Normal 57 3 3 3 4 2 2 2" xfId="26546"/>
    <cellStyle name="Normal 57 3 3 3 4 2 3" xfId="12749"/>
    <cellStyle name="Normal 57 3 3 3 4 2 4" xfId="7459"/>
    <cellStyle name="Normal 57 3 3 3 4 2 5" xfId="21539"/>
    <cellStyle name="Normal 57 3 3 3 4 3" xfId="4054"/>
    <cellStyle name="Normal 57 3 3 3 4 3 2" xfId="17700"/>
    <cellStyle name="Normal 57 3 3 3 4 3 2 2" xfId="27951"/>
    <cellStyle name="Normal 57 3 3 3 4 3 3" xfId="14121"/>
    <cellStyle name="Normal 57 3 3 3 4 3 4" xfId="8864"/>
    <cellStyle name="Normal 57 3 3 3 4 3 5" xfId="22944"/>
    <cellStyle name="Normal 57 3 3 3 4 4" xfId="6575"/>
    <cellStyle name="Normal 57 3 3 3 4 4 2" xfId="15659"/>
    <cellStyle name="Normal 57 3 3 3 4 4 3" xfId="25663"/>
    <cellStyle name="Normal 57 3 3 3 4 5" xfId="10318"/>
    <cellStyle name="Normal 57 3 3 3 4 5 2" xfId="19145"/>
    <cellStyle name="Normal 57 3 3 3 4 5 3" xfId="29396"/>
    <cellStyle name="Normal 57 3 3 3 4 6" xfId="11764"/>
    <cellStyle name="Normal 57 3 3 3 4 6 2" xfId="24145"/>
    <cellStyle name="Normal 57 3 3 3 4 7" xfId="5053"/>
    <cellStyle name="Normal 57 3 3 3 4 8" xfId="20656"/>
    <cellStyle name="Normal 57 3 3 3 5" xfId="1409"/>
    <cellStyle name="Normal 57 3 3 3 5 2" xfId="3012"/>
    <cellStyle name="Normal 57 3 3 3 5 2 2" xfId="16568"/>
    <cellStyle name="Normal 57 3 3 3 5 2 2 2" xfId="26787"/>
    <cellStyle name="Normal 57 3 3 3 5 2 3" xfId="12989"/>
    <cellStyle name="Normal 57 3 3 3 5 2 4" xfId="7700"/>
    <cellStyle name="Normal 57 3 3 3 5 2 5" xfId="21780"/>
    <cellStyle name="Normal 57 3 3 3 5 3" xfId="4226"/>
    <cellStyle name="Normal 57 3 3 3 5 3 2" xfId="17932"/>
    <cellStyle name="Normal 57 3 3 3 5 3 2 2" xfId="28183"/>
    <cellStyle name="Normal 57 3 3 3 5 3 3" xfId="14353"/>
    <cellStyle name="Normal 57 3 3 3 5 3 4" xfId="9096"/>
    <cellStyle name="Normal 57 3 3 3 5 3 5" xfId="23176"/>
    <cellStyle name="Normal 57 3 3 3 5 4" xfId="5993"/>
    <cellStyle name="Normal 57 3 3 3 5 4 2" xfId="15079"/>
    <cellStyle name="Normal 57 3 3 3 5 4 3" xfId="25083"/>
    <cellStyle name="Normal 57 3 3 3 5 5" xfId="10550"/>
    <cellStyle name="Normal 57 3 3 3 5 5 2" xfId="19377"/>
    <cellStyle name="Normal 57 3 3 3 5 5 3" xfId="29628"/>
    <cellStyle name="Normal 57 3 3 3 5 6" xfId="11996"/>
    <cellStyle name="Normal 57 3 3 3 5 6 2" xfId="24386"/>
    <cellStyle name="Normal 57 3 3 3 5 7" xfId="5294"/>
    <cellStyle name="Normal 57 3 3 3 5 8" xfId="20076"/>
    <cellStyle name="Normal 57 3 3 3 6" xfId="1969"/>
    <cellStyle name="Normal 57 3 3 3 6 2" xfId="15922"/>
    <cellStyle name="Normal 57 3 3 3 6 2 2" xfId="25966"/>
    <cellStyle name="Normal 57 3 3 3 6 3" xfId="12457"/>
    <cellStyle name="Normal 57 3 3 3 6 4" xfId="6879"/>
    <cellStyle name="Normal 57 3 3 3 6 5" xfId="20959"/>
    <cellStyle name="Normal 57 3 3 3 7" xfId="3389"/>
    <cellStyle name="Normal 57 3 3 3 7 2" xfId="16889"/>
    <cellStyle name="Normal 57 3 3 3 7 2 2" xfId="27140"/>
    <cellStyle name="Normal 57 3 3 3 7 3" xfId="13310"/>
    <cellStyle name="Normal 57 3 3 3 7 4" xfId="8053"/>
    <cellStyle name="Normal 57 3 3 3 7 5" xfId="22133"/>
    <cellStyle name="Normal 57 3 3 3 8" xfId="5614"/>
    <cellStyle name="Normal 57 3 3 3 8 2" xfId="14700"/>
    <cellStyle name="Normal 57 3 3 3 8 3" xfId="24704"/>
    <cellStyle name="Normal 57 3 3 3 9" xfId="9507"/>
    <cellStyle name="Normal 57 3 3 3 9 2" xfId="18334"/>
    <cellStyle name="Normal 57 3 3 3 9 3" xfId="28585"/>
    <cellStyle name="Normal 57 3 3 3_Degree data" xfId="1676"/>
    <cellStyle name="Normal 57 3 3 4" xfId="325"/>
    <cellStyle name="Normal 57 3 3 4 10" xfId="19797"/>
    <cellStyle name="Normal 57 3 3 4 2" xfId="702"/>
    <cellStyle name="Normal 57 3 3 4 2 2" xfId="2434"/>
    <cellStyle name="Normal 57 3 3 4 2 2 2" xfId="16329"/>
    <cellStyle name="Normal 57 3 3 4 2 2 2 2" xfId="26548"/>
    <cellStyle name="Normal 57 3 3 4 2 2 3" xfId="12751"/>
    <cellStyle name="Normal 57 3 3 4 2 2 4" xfId="7461"/>
    <cellStyle name="Normal 57 3 3 4 2 2 5" xfId="21541"/>
    <cellStyle name="Normal 57 3 3 4 2 3" xfId="3707"/>
    <cellStyle name="Normal 57 3 3 4 2 3 2" xfId="17354"/>
    <cellStyle name="Normal 57 3 3 4 2 3 2 2" xfId="27605"/>
    <cellStyle name="Normal 57 3 3 4 2 3 3" xfId="13775"/>
    <cellStyle name="Normal 57 3 3 4 2 3 4" xfId="8518"/>
    <cellStyle name="Normal 57 3 3 4 2 3 5" xfId="22598"/>
    <cellStyle name="Normal 57 3 3 4 2 4" xfId="6577"/>
    <cellStyle name="Normal 57 3 3 4 2 4 2" xfId="15661"/>
    <cellStyle name="Normal 57 3 3 4 2 4 3" xfId="25665"/>
    <cellStyle name="Normal 57 3 3 4 2 5" xfId="9972"/>
    <cellStyle name="Normal 57 3 3 4 2 5 2" xfId="18799"/>
    <cellStyle name="Normal 57 3 3 4 2 5 3" xfId="29050"/>
    <cellStyle name="Normal 57 3 3 4 2 6" xfId="11417"/>
    <cellStyle name="Normal 57 3 3 4 2 6 2" xfId="24147"/>
    <cellStyle name="Normal 57 3 3 4 2 7" xfId="5055"/>
    <cellStyle name="Normal 57 3 3 4 2 8" xfId="20658"/>
    <cellStyle name="Normal 57 3 3 4 3" xfId="1060"/>
    <cellStyle name="Normal 57 3 3 4 3 2" xfId="2782"/>
    <cellStyle name="Normal 57 3 3 4 3 2 2" xfId="16668"/>
    <cellStyle name="Normal 57 3 3 4 3 2 2 2" xfId="26887"/>
    <cellStyle name="Normal 57 3 3 4 3 2 3" xfId="13089"/>
    <cellStyle name="Normal 57 3 3 4 3 2 4" xfId="7800"/>
    <cellStyle name="Normal 57 3 3 4 3 2 5" xfId="21880"/>
    <cellStyle name="Normal 57 3 3 4 3 3" xfId="4056"/>
    <cellStyle name="Normal 57 3 3 4 3 3 2" xfId="17702"/>
    <cellStyle name="Normal 57 3 3 4 3 3 2 2" xfId="27953"/>
    <cellStyle name="Normal 57 3 3 4 3 3 3" xfId="14123"/>
    <cellStyle name="Normal 57 3 3 4 3 3 4" xfId="8866"/>
    <cellStyle name="Normal 57 3 3 4 3 3 5" xfId="22946"/>
    <cellStyle name="Normal 57 3 3 4 3 4" xfId="6207"/>
    <cellStyle name="Normal 57 3 3 4 3 4 2" xfId="15291"/>
    <cellStyle name="Normal 57 3 3 4 3 4 3" xfId="25295"/>
    <cellStyle name="Normal 57 3 3 4 3 5" xfId="10320"/>
    <cellStyle name="Normal 57 3 3 4 3 5 2" xfId="19147"/>
    <cellStyle name="Normal 57 3 3 4 3 5 3" xfId="29398"/>
    <cellStyle name="Normal 57 3 3 4 3 6" xfId="11766"/>
    <cellStyle name="Normal 57 3 3 4 3 6 2" xfId="24486"/>
    <cellStyle name="Normal 57 3 3 4 3 7" xfId="5394"/>
    <cellStyle name="Normal 57 3 3 4 3 8" xfId="20288"/>
    <cellStyle name="Normal 57 3 3 4 4" xfId="1512"/>
    <cellStyle name="Normal 57 3 3 4 4 2" xfId="3112"/>
    <cellStyle name="Normal 57 3 3 4 4 2 2" xfId="18032"/>
    <cellStyle name="Normal 57 3 3 4 4 2 2 2" xfId="28283"/>
    <cellStyle name="Normal 57 3 3 4 4 2 3" xfId="14453"/>
    <cellStyle name="Normal 57 3 3 4 4 2 4" xfId="9196"/>
    <cellStyle name="Normal 57 3 3 4 4 2 5" xfId="23276"/>
    <cellStyle name="Normal 57 3 3 4 4 3" xfId="10650"/>
    <cellStyle name="Normal 57 3 3 4 4 3 2" xfId="19477"/>
    <cellStyle name="Normal 57 3 3 4 4 3 3" xfId="29728"/>
    <cellStyle name="Normal 57 3 3 4 4 4" xfId="12096"/>
    <cellStyle name="Normal 57 3 3 4 4 4 2" xfId="26178"/>
    <cellStyle name="Normal 57 3 3 4 4 5" xfId="7091"/>
    <cellStyle name="Normal 57 3 3 4 4 6" xfId="21171"/>
    <cellStyle name="Normal 57 3 3 4 5" xfId="2069"/>
    <cellStyle name="Normal 57 3 3 4 5 2" xfId="16989"/>
    <cellStyle name="Normal 57 3 3 4 5 2 2" xfId="27240"/>
    <cellStyle name="Normal 57 3 3 4 5 3" xfId="13410"/>
    <cellStyle name="Normal 57 3 3 4 5 4" xfId="8153"/>
    <cellStyle name="Normal 57 3 3 4 5 5" xfId="22233"/>
    <cellStyle name="Normal 57 3 3 4 6" xfId="5714"/>
    <cellStyle name="Normal 57 3 3 4 6 2" xfId="14800"/>
    <cellStyle name="Normal 57 3 3 4 6 3" xfId="24804"/>
    <cellStyle name="Normal 57 3 3 4 7" xfId="9607"/>
    <cellStyle name="Normal 57 3 3 4 7 2" xfId="18434"/>
    <cellStyle name="Normal 57 3 3 4 7 3" xfId="28685"/>
    <cellStyle name="Normal 57 3 3 4 8" xfId="11051"/>
    <cellStyle name="Normal 57 3 3 4 8 2" xfId="23777"/>
    <cellStyle name="Normal 57 3 3 4 9" xfId="4685"/>
    <cellStyle name="Normal 57 3 3 4_Degree data" xfId="1678"/>
    <cellStyle name="Normal 57 3 3 5" xfId="697"/>
    <cellStyle name="Normal 57 3 3 5 2" xfId="2429"/>
    <cellStyle name="Normal 57 3 3 5 2 2" xfId="15962"/>
    <cellStyle name="Normal 57 3 3 5 2 2 2" xfId="26019"/>
    <cellStyle name="Normal 57 3 3 5 2 3" xfId="12331"/>
    <cellStyle name="Normal 57 3 3 5 2 4" xfId="6932"/>
    <cellStyle name="Normal 57 3 3 5 2 5" xfId="21012"/>
    <cellStyle name="Normal 57 3 3 5 3" xfId="3702"/>
    <cellStyle name="Normal 57 3 3 5 3 2" xfId="17349"/>
    <cellStyle name="Normal 57 3 3 5 3 2 2" xfId="27600"/>
    <cellStyle name="Normal 57 3 3 5 3 3" xfId="13770"/>
    <cellStyle name="Normal 57 3 3 5 3 4" xfId="8513"/>
    <cellStyle name="Normal 57 3 3 5 3 5" xfId="22593"/>
    <cellStyle name="Normal 57 3 3 5 4" xfId="6048"/>
    <cellStyle name="Normal 57 3 3 5 4 2" xfId="15132"/>
    <cellStyle name="Normal 57 3 3 5 4 3" xfId="25136"/>
    <cellStyle name="Normal 57 3 3 5 5" xfId="9967"/>
    <cellStyle name="Normal 57 3 3 5 5 2" xfId="18794"/>
    <cellStyle name="Normal 57 3 3 5 5 3" xfId="29045"/>
    <cellStyle name="Normal 57 3 3 5 6" xfId="11412"/>
    <cellStyle name="Normal 57 3 3 5 6 2" xfId="23618"/>
    <cellStyle name="Normal 57 3 3 5 7" xfId="4526"/>
    <cellStyle name="Normal 57 3 3 5 8" xfId="20129"/>
    <cellStyle name="Normal 57 3 3 6" xfId="1055"/>
    <cellStyle name="Normal 57 3 3 6 2" xfId="2777"/>
    <cellStyle name="Normal 57 3 3 6 2 2" xfId="16324"/>
    <cellStyle name="Normal 57 3 3 6 2 2 2" xfId="26543"/>
    <cellStyle name="Normal 57 3 3 6 2 3" xfId="12746"/>
    <cellStyle name="Normal 57 3 3 6 2 4" xfId="7456"/>
    <cellStyle name="Normal 57 3 3 6 2 5" xfId="21536"/>
    <cellStyle name="Normal 57 3 3 6 3" xfId="4051"/>
    <cellStyle name="Normal 57 3 3 6 3 2" xfId="17697"/>
    <cellStyle name="Normal 57 3 3 6 3 2 2" xfId="27948"/>
    <cellStyle name="Normal 57 3 3 6 3 3" xfId="14118"/>
    <cellStyle name="Normal 57 3 3 6 3 4" xfId="8861"/>
    <cellStyle name="Normal 57 3 3 6 3 5" xfId="22941"/>
    <cellStyle name="Normal 57 3 3 6 4" xfId="6572"/>
    <cellStyle name="Normal 57 3 3 6 4 2" xfId="15656"/>
    <cellStyle name="Normal 57 3 3 6 4 3" xfId="25660"/>
    <cellStyle name="Normal 57 3 3 6 5" xfId="10315"/>
    <cellStyle name="Normal 57 3 3 6 5 2" xfId="19142"/>
    <cellStyle name="Normal 57 3 3 6 5 3" xfId="29393"/>
    <cellStyle name="Normal 57 3 3 6 6" xfId="11761"/>
    <cellStyle name="Normal 57 3 3 6 6 2" xfId="24142"/>
    <cellStyle name="Normal 57 3 3 6 7" xfId="5050"/>
    <cellStyle name="Normal 57 3 3 6 8" xfId="20653"/>
    <cellStyle name="Normal 57 3 3 7" xfId="1341"/>
    <cellStyle name="Normal 57 3 3 7 2" xfId="2953"/>
    <cellStyle name="Normal 57 3 3 7 2 2" xfId="16509"/>
    <cellStyle name="Normal 57 3 3 7 2 2 2" xfId="26728"/>
    <cellStyle name="Normal 57 3 3 7 2 3" xfId="12931"/>
    <cellStyle name="Normal 57 3 3 7 2 4" xfId="7641"/>
    <cellStyle name="Normal 57 3 3 7 2 5" xfId="21721"/>
    <cellStyle name="Normal 57 3 3 7 3" xfId="4184"/>
    <cellStyle name="Normal 57 3 3 7 3 2" xfId="17873"/>
    <cellStyle name="Normal 57 3 3 7 3 2 2" xfId="28124"/>
    <cellStyle name="Normal 57 3 3 7 3 3" xfId="14294"/>
    <cellStyle name="Normal 57 3 3 7 3 4" xfId="9037"/>
    <cellStyle name="Normal 57 3 3 7 3 5" xfId="23117"/>
    <cellStyle name="Normal 57 3 3 7 4" xfId="5887"/>
    <cellStyle name="Normal 57 3 3 7 4 2" xfId="14973"/>
    <cellStyle name="Normal 57 3 3 7 4 3" xfId="24977"/>
    <cellStyle name="Normal 57 3 3 7 5" xfId="10491"/>
    <cellStyle name="Normal 57 3 3 7 5 2" xfId="19318"/>
    <cellStyle name="Normal 57 3 3 7 5 3" xfId="29569"/>
    <cellStyle name="Normal 57 3 3 7 6" xfId="11937"/>
    <cellStyle name="Normal 57 3 3 7 6 2" xfId="24327"/>
    <cellStyle name="Normal 57 3 3 7 7" xfId="5235"/>
    <cellStyle name="Normal 57 3 3 7 8" xfId="19970"/>
    <cellStyle name="Normal 57 3 3 8" xfId="1910"/>
    <cellStyle name="Normal 57 3 3 8 2" xfId="9448"/>
    <cellStyle name="Normal 57 3 3 8 2 2" xfId="18275"/>
    <cellStyle name="Normal 57 3 3 8 2 3" xfId="28526"/>
    <cellStyle name="Normal 57 3 3 8 3" xfId="10892"/>
    <cellStyle name="Normal 57 3 3 8 3 2" xfId="25861"/>
    <cellStyle name="Normal 57 3 3 8 4" xfId="6774"/>
    <cellStyle name="Normal 57 3 3 8 5" xfId="20854"/>
    <cellStyle name="Normal 57 3 3 9" xfId="1834"/>
    <cellStyle name="Normal 57 3 3 9 2" xfId="16828"/>
    <cellStyle name="Normal 57 3 3 9 2 2" xfId="27079"/>
    <cellStyle name="Normal 57 3 3 9 3" xfId="13249"/>
    <cellStyle name="Normal 57 3 3 9 4" xfId="7992"/>
    <cellStyle name="Normal 57 3 3 9 5" xfId="22072"/>
    <cellStyle name="Normal 57 3 3_Degree data" xfId="1673"/>
    <cellStyle name="Normal 57 3 4" xfId="261"/>
    <cellStyle name="Normal 57 3 4 10" xfId="10988"/>
    <cellStyle name="Normal 57 3 4 10 2" xfId="23497"/>
    <cellStyle name="Normal 57 3 4 11" xfId="4405"/>
    <cellStyle name="Normal 57 3 4 12" xfId="19734"/>
    <cellStyle name="Normal 57 3 4 2" xfId="363"/>
    <cellStyle name="Normal 57 3 4 2 10" xfId="19834"/>
    <cellStyle name="Normal 57 3 4 2 2" xfId="704"/>
    <cellStyle name="Normal 57 3 4 2 2 2" xfId="2436"/>
    <cellStyle name="Normal 57 3 4 2 2 2 2" xfId="16331"/>
    <cellStyle name="Normal 57 3 4 2 2 2 2 2" xfId="26550"/>
    <cellStyle name="Normal 57 3 4 2 2 2 3" xfId="12753"/>
    <cellStyle name="Normal 57 3 4 2 2 2 4" xfId="7463"/>
    <cellStyle name="Normal 57 3 4 2 2 2 5" xfId="21543"/>
    <cellStyle name="Normal 57 3 4 2 2 3" xfId="3709"/>
    <cellStyle name="Normal 57 3 4 2 2 3 2" xfId="17356"/>
    <cellStyle name="Normal 57 3 4 2 2 3 2 2" xfId="27607"/>
    <cellStyle name="Normal 57 3 4 2 2 3 3" xfId="13777"/>
    <cellStyle name="Normal 57 3 4 2 2 3 4" xfId="8520"/>
    <cellStyle name="Normal 57 3 4 2 2 3 5" xfId="22600"/>
    <cellStyle name="Normal 57 3 4 2 2 4" xfId="6579"/>
    <cellStyle name="Normal 57 3 4 2 2 4 2" xfId="15663"/>
    <cellStyle name="Normal 57 3 4 2 2 4 3" xfId="25667"/>
    <cellStyle name="Normal 57 3 4 2 2 5" xfId="9974"/>
    <cellStyle name="Normal 57 3 4 2 2 5 2" xfId="18801"/>
    <cellStyle name="Normal 57 3 4 2 2 5 3" xfId="29052"/>
    <cellStyle name="Normal 57 3 4 2 2 6" xfId="11419"/>
    <cellStyle name="Normal 57 3 4 2 2 6 2" xfId="24149"/>
    <cellStyle name="Normal 57 3 4 2 2 7" xfId="5057"/>
    <cellStyle name="Normal 57 3 4 2 2 8" xfId="20660"/>
    <cellStyle name="Normal 57 3 4 2 3" xfId="1062"/>
    <cellStyle name="Normal 57 3 4 2 3 2" xfId="2784"/>
    <cellStyle name="Normal 57 3 4 2 3 2 2" xfId="16705"/>
    <cellStyle name="Normal 57 3 4 2 3 2 2 2" xfId="26924"/>
    <cellStyle name="Normal 57 3 4 2 3 2 3" xfId="13126"/>
    <cellStyle name="Normal 57 3 4 2 3 2 4" xfId="7837"/>
    <cellStyle name="Normal 57 3 4 2 3 2 5" xfId="21917"/>
    <cellStyle name="Normal 57 3 4 2 3 3" xfId="4058"/>
    <cellStyle name="Normal 57 3 4 2 3 3 2" xfId="17704"/>
    <cellStyle name="Normal 57 3 4 2 3 3 2 2" xfId="27955"/>
    <cellStyle name="Normal 57 3 4 2 3 3 3" xfId="14125"/>
    <cellStyle name="Normal 57 3 4 2 3 3 4" xfId="8868"/>
    <cellStyle name="Normal 57 3 4 2 3 3 5" xfId="22948"/>
    <cellStyle name="Normal 57 3 4 2 3 4" xfId="6244"/>
    <cellStyle name="Normal 57 3 4 2 3 4 2" xfId="15328"/>
    <cellStyle name="Normal 57 3 4 2 3 4 3" xfId="25332"/>
    <cellStyle name="Normal 57 3 4 2 3 5" xfId="10322"/>
    <cellStyle name="Normal 57 3 4 2 3 5 2" xfId="19149"/>
    <cellStyle name="Normal 57 3 4 2 3 5 3" xfId="29400"/>
    <cellStyle name="Normal 57 3 4 2 3 6" xfId="11768"/>
    <cellStyle name="Normal 57 3 4 2 3 6 2" xfId="24523"/>
    <cellStyle name="Normal 57 3 4 2 3 7" xfId="5431"/>
    <cellStyle name="Normal 57 3 4 2 3 8" xfId="20325"/>
    <cellStyle name="Normal 57 3 4 2 4" xfId="1550"/>
    <cellStyle name="Normal 57 3 4 2 4 2" xfId="3149"/>
    <cellStyle name="Normal 57 3 4 2 4 2 2" xfId="18069"/>
    <cellStyle name="Normal 57 3 4 2 4 2 2 2" xfId="28320"/>
    <cellStyle name="Normal 57 3 4 2 4 2 3" xfId="14490"/>
    <cellStyle name="Normal 57 3 4 2 4 2 4" xfId="9233"/>
    <cellStyle name="Normal 57 3 4 2 4 2 5" xfId="23313"/>
    <cellStyle name="Normal 57 3 4 2 4 3" xfId="10687"/>
    <cellStyle name="Normal 57 3 4 2 4 3 2" xfId="19514"/>
    <cellStyle name="Normal 57 3 4 2 4 3 3" xfId="29765"/>
    <cellStyle name="Normal 57 3 4 2 4 4" xfId="12133"/>
    <cellStyle name="Normal 57 3 4 2 4 4 2" xfId="26215"/>
    <cellStyle name="Normal 57 3 4 2 4 5" xfId="7128"/>
    <cellStyle name="Normal 57 3 4 2 4 6" xfId="21208"/>
    <cellStyle name="Normal 57 3 4 2 5" xfId="2106"/>
    <cellStyle name="Normal 57 3 4 2 5 2" xfId="17026"/>
    <cellStyle name="Normal 57 3 4 2 5 2 2" xfId="27277"/>
    <cellStyle name="Normal 57 3 4 2 5 3" xfId="13447"/>
    <cellStyle name="Normal 57 3 4 2 5 4" xfId="8190"/>
    <cellStyle name="Normal 57 3 4 2 5 5" xfId="22270"/>
    <cellStyle name="Normal 57 3 4 2 6" xfId="5751"/>
    <cellStyle name="Normal 57 3 4 2 6 2" xfId="14837"/>
    <cellStyle name="Normal 57 3 4 2 6 3" xfId="24841"/>
    <cellStyle name="Normal 57 3 4 2 7" xfId="9644"/>
    <cellStyle name="Normal 57 3 4 2 7 2" xfId="18471"/>
    <cellStyle name="Normal 57 3 4 2 7 3" xfId="28722"/>
    <cellStyle name="Normal 57 3 4 2 8" xfId="11088"/>
    <cellStyle name="Normal 57 3 4 2 8 2" xfId="23814"/>
    <cellStyle name="Normal 57 3 4 2 9" xfId="4722"/>
    <cellStyle name="Normal 57 3 4 2_Degree data" xfId="1680"/>
    <cellStyle name="Normal 57 3 4 3" xfId="703"/>
    <cellStyle name="Normal 57 3 4 3 2" xfId="2435"/>
    <cellStyle name="Normal 57 3 4 3 2 2" xfId="16042"/>
    <cellStyle name="Normal 57 3 4 3 2 2 2" xfId="26115"/>
    <cellStyle name="Normal 57 3 4 3 2 3" xfId="12271"/>
    <cellStyle name="Normal 57 3 4 3 2 4" xfId="7028"/>
    <cellStyle name="Normal 57 3 4 3 2 5" xfId="21108"/>
    <cellStyle name="Normal 57 3 4 3 3" xfId="3708"/>
    <cellStyle name="Normal 57 3 4 3 3 2" xfId="17355"/>
    <cellStyle name="Normal 57 3 4 3 3 2 2" xfId="27606"/>
    <cellStyle name="Normal 57 3 4 3 3 3" xfId="13776"/>
    <cellStyle name="Normal 57 3 4 3 3 4" xfId="8519"/>
    <cellStyle name="Normal 57 3 4 3 3 5" xfId="22599"/>
    <cellStyle name="Normal 57 3 4 3 4" xfId="6144"/>
    <cellStyle name="Normal 57 3 4 3 4 2" xfId="15228"/>
    <cellStyle name="Normal 57 3 4 3 4 3" xfId="25232"/>
    <cellStyle name="Normal 57 3 4 3 5" xfId="9973"/>
    <cellStyle name="Normal 57 3 4 3 5 2" xfId="18800"/>
    <cellStyle name="Normal 57 3 4 3 5 3" xfId="29051"/>
    <cellStyle name="Normal 57 3 4 3 6" xfId="11418"/>
    <cellStyle name="Normal 57 3 4 3 6 2" xfId="23714"/>
    <cellStyle name="Normal 57 3 4 3 7" xfId="4622"/>
    <cellStyle name="Normal 57 3 4 3 8" xfId="20225"/>
    <cellStyle name="Normal 57 3 4 4" xfId="1061"/>
    <cellStyle name="Normal 57 3 4 4 2" xfId="2783"/>
    <cellStyle name="Normal 57 3 4 4 2 2" xfId="16330"/>
    <cellStyle name="Normal 57 3 4 4 2 2 2" xfId="26549"/>
    <cellStyle name="Normal 57 3 4 4 2 3" xfId="12752"/>
    <cellStyle name="Normal 57 3 4 4 2 4" xfId="7462"/>
    <cellStyle name="Normal 57 3 4 4 2 5" xfId="21542"/>
    <cellStyle name="Normal 57 3 4 4 3" xfId="4057"/>
    <cellStyle name="Normal 57 3 4 4 3 2" xfId="17703"/>
    <cellStyle name="Normal 57 3 4 4 3 2 2" xfId="27954"/>
    <cellStyle name="Normal 57 3 4 4 3 3" xfId="14124"/>
    <cellStyle name="Normal 57 3 4 4 3 4" xfId="8867"/>
    <cellStyle name="Normal 57 3 4 4 3 5" xfId="22947"/>
    <cellStyle name="Normal 57 3 4 4 4" xfId="6578"/>
    <cellStyle name="Normal 57 3 4 4 4 2" xfId="15662"/>
    <cellStyle name="Normal 57 3 4 4 4 3" xfId="25666"/>
    <cellStyle name="Normal 57 3 4 4 5" xfId="10321"/>
    <cellStyle name="Normal 57 3 4 4 5 2" xfId="19148"/>
    <cellStyle name="Normal 57 3 4 4 5 3" xfId="29399"/>
    <cellStyle name="Normal 57 3 4 4 6" xfId="11767"/>
    <cellStyle name="Normal 57 3 4 4 6 2" xfId="24148"/>
    <cellStyle name="Normal 57 3 4 4 7" xfId="5056"/>
    <cellStyle name="Normal 57 3 4 4 8" xfId="20659"/>
    <cellStyle name="Normal 57 3 4 5" xfId="1448"/>
    <cellStyle name="Normal 57 3 4 5 2" xfId="3049"/>
    <cellStyle name="Normal 57 3 4 5 2 2" xfId="16605"/>
    <cellStyle name="Normal 57 3 4 5 2 2 2" xfId="26824"/>
    <cellStyle name="Normal 57 3 4 5 2 3" xfId="13026"/>
    <cellStyle name="Normal 57 3 4 5 2 4" xfId="7737"/>
    <cellStyle name="Normal 57 3 4 5 2 5" xfId="21817"/>
    <cellStyle name="Normal 57 3 4 5 3" xfId="4263"/>
    <cellStyle name="Normal 57 3 4 5 3 2" xfId="17969"/>
    <cellStyle name="Normal 57 3 4 5 3 2 2" xfId="28220"/>
    <cellStyle name="Normal 57 3 4 5 3 3" xfId="14390"/>
    <cellStyle name="Normal 57 3 4 5 3 4" xfId="9133"/>
    <cellStyle name="Normal 57 3 4 5 3 5" xfId="23213"/>
    <cellStyle name="Normal 57 3 4 5 4" xfId="5925"/>
    <cellStyle name="Normal 57 3 4 5 4 2" xfId="15011"/>
    <cellStyle name="Normal 57 3 4 5 4 3" xfId="25015"/>
    <cellStyle name="Normal 57 3 4 5 5" xfId="10587"/>
    <cellStyle name="Normal 57 3 4 5 5 2" xfId="19414"/>
    <cellStyle name="Normal 57 3 4 5 5 3" xfId="29665"/>
    <cellStyle name="Normal 57 3 4 5 6" xfId="12033"/>
    <cellStyle name="Normal 57 3 4 5 6 2" xfId="24423"/>
    <cellStyle name="Normal 57 3 4 5 7" xfId="5331"/>
    <cellStyle name="Normal 57 3 4 5 8" xfId="20008"/>
    <cellStyle name="Normal 57 3 4 6" xfId="2006"/>
    <cellStyle name="Normal 57 3 4 6 2" xfId="15854"/>
    <cellStyle name="Normal 57 3 4 6 2 2" xfId="25898"/>
    <cellStyle name="Normal 57 3 4 6 3" xfId="12446"/>
    <cellStyle name="Normal 57 3 4 6 4" xfId="6811"/>
    <cellStyle name="Normal 57 3 4 6 5" xfId="20891"/>
    <cellStyle name="Normal 57 3 4 7" xfId="3425"/>
    <cellStyle name="Normal 57 3 4 7 2" xfId="16926"/>
    <cellStyle name="Normal 57 3 4 7 2 2" xfId="27177"/>
    <cellStyle name="Normal 57 3 4 7 3" xfId="13347"/>
    <cellStyle name="Normal 57 3 4 7 4" xfId="8090"/>
    <cellStyle name="Normal 57 3 4 7 5" xfId="22170"/>
    <cellStyle name="Normal 57 3 4 8" xfId="5651"/>
    <cellStyle name="Normal 57 3 4 8 2" xfId="14737"/>
    <cellStyle name="Normal 57 3 4 8 3" xfId="24741"/>
    <cellStyle name="Normal 57 3 4 9" xfId="9544"/>
    <cellStyle name="Normal 57 3 4 9 2" xfId="18371"/>
    <cellStyle name="Normal 57 3 4 9 3" xfId="28622"/>
    <cellStyle name="Normal 57 3 4_Degree data" xfId="1679"/>
    <cellStyle name="Normal 57 3 5" xfId="201"/>
    <cellStyle name="Normal 57 3 5 10" xfId="10933"/>
    <cellStyle name="Normal 57 3 5 10 2" xfId="23547"/>
    <cellStyle name="Normal 57 3 5 11" xfId="4455"/>
    <cellStyle name="Normal 57 3 5 12" xfId="19679"/>
    <cellStyle name="Normal 57 3 5 2" xfId="415"/>
    <cellStyle name="Normal 57 3 5 2 10" xfId="19884"/>
    <cellStyle name="Normal 57 3 5 2 2" xfId="706"/>
    <cellStyle name="Normal 57 3 5 2 2 2" xfId="2438"/>
    <cellStyle name="Normal 57 3 5 2 2 2 2" xfId="16333"/>
    <cellStyle name="Normal 57 3 5 2 2 2 2 2" xfId="26552"/>
    <cellStyle name="Normal 57 3 5 2 2 2 3" xfId="12755"/>
    <cellStyle name="Normal 57 3 5 2 2 2 4" xfId="7465"/>
    <cellStyle name="Normal 57 3 5 2 2 2 5" xfId="21545"/>
    <cellStyle name="Normal 57 3 5 2 2 3" xfId="3711"/>
    <cellStyle name="Normal 57 3 5 2 2 3 2" xfId="17358"/>
    <cellStyle name="Normal 57 3 5 2 2 3 2 2" xfId="27609"/>
    <cellStyle name="Normal 57 3 5 2 2 3 3" xfId="13779"/>
    <cellStyle name="Normal 57 3 5 2 2 3 4" xfId="8522"/>
    <cellStyle name="Normal 57 3 5 2 2 3 5" xfId="22602"/>
    <cellStyle name="Normal 57 3 5 2 2 4" xfId="6581"/>
    <cellStyle name="Normal 57 3 5 2 2 4 2" xfId="15665"/>
    <cellStyle name="Normal 57 3 5 2 2 4 3" xfId="25669"/>
    <cellStyle name="Normal 57 3 5 2 2 5" xfId="9976"/>
    <cellStyle name="Normal 57 3 5 2 2 5 2" xfId="18803"/>
    <cellStyle name="Normal 57 3 5 2 2 5 3" xfId="29054"/>
    <cellStyle name="Normal 57 3 5 2 2 6" xfId="11421"/>
    <cellStyle name="Normal 57 3 5 2 2 6 2" xfId="24151"/>
    <cellStyle name="Normal 57 3 5 2 2 7" xfId="5059"/>
    <cellStyle name="Normal 57 3 5 2 2 8" xfId="20662"/>
    <cellStyle name="Normal 57 3 5 2 3" xfId="1064"/>
    <cellStyle name="Normal 57 3 5 2 3 2" xfId="2786"/>
    <cellStyle name="Normal 57 3 5 2 3 2 2" xfId="16755"/>
    <cellStyle name="Normal 57 3 5 2 3 2 2 2" xfId="26974"/>
    <cellStyle name="Normal 57 3 5 2 3 2 3" xfId="13176"/>
    <cellStyle name="Normal 57 3 5 2 3 2 4" xfId="7887"/>
    <cellStyle name="Normal 57 3 5 2 3 2 5" xfId="21967"/>
    <cellStyle name="Normal 57 3 5 2 3 3" xfId="4060"/>
    <cellStyle name="Normal 57 3 5 2 3 3 2" xfId="17706"/>
    <cellStyle name="Normal 57 3 5 2 3 3 2 2" xfId="27957"/>
    <cellStyle name="Normal 57 3 5 2 3 3 3" xfId="14127"/>
    <cellStyle name="Normal 57 3 5 2 3 3 4" xfId="8870"/>
    <cellStyle name="Normal 57 3 5 2 3 3 5" xfId="22950"/>
    <cellStyle name="Normal 57 3 5 2 3 4" xfId="6294"/>
    <cellStyle name="Normal 57 3 5 2 3 4 2" xfId="15378"/>
    <cellStyle name="Normal 57 3 5 2 3 4 3" xfId="25382"/>
    <cellStyle name="Normal 57 3 5 2 3 5" xfId="10324"/>
    <cellStyle name="Normal 57 3 5 2 3 5 2" xfId="19151"/>
    <cellStyle name="Normal 57 3 5 2 3 5 3" xfId="29402"/>
    <cellStyle name="Normal 57 3 5 2 3 6" xfId="11770"/>
    <cellStyle name="Normal 57 3 5 2 3 6 2" xfId="24573"/>
    <cellStyle name="Normal 57 3 5 2 3 7" xfId="5481"/>
    <cellStyle name="Normal 57 3 5 2 3 8" xfId="20375"/>
    <cellStyle name="Normal 57 3 5 2 4" xfId="1602"/>
    <cellStyle name="Normal 57 3 5 2 4 2" xfId="3199"/>
    <cellStyle name="Normal 57 3 5 2 4 2 2" xfId="18119"/>
    <cellStyle name="Normal 57 3 5 2 4 2 2 2" xfId="28370"/>
    <cellStyle name="Normal 57 3 5 2 4 2 3" xfId="14540"/>
    <cellStyle name="Normal 57 3 5 2 4 2 4" xfId="9283"/>
    <cellStyle name="Normal 57 3 5 2 4 2 5" xfId="23363"/>
    <cellStyle name="Normal 57 3 5 2 4 3" xfId="10737"/>
    <cellStyle name="Normal 57 3 5 2 4 3 2" xfId="19564"/>
    <cellStyle name="Normal 57 3 5 2 4 3 3" xfId="29815"/>
    <cellStyle name="Normal 57 3 5 2 4 4" xfId="12183"/>
    <cellStyle name="Normal 57 3 5 2 4 4 2" xfId="26265"/>
    <cellStyle name="Normal 57 3 5 2 4 5" xfId="7178"/>
    <cellStyle name="Normal 57 3 5 2 4 6" xfId="21258"/>
    <cellStyle name="Normal 57 3 5 2 5" xfId="2156"/>
    <cellStyle name="Normal 57 3 5 2 5 2" xfId="17076"/>
    <cellStyle name="Normal 57 3 5 2 5 2 2" xfId="27327"/>
    <cellStyle name="Normal 57 3 5 2 5 3" xfId="13497"/>
    <cellStyle name="Normal 57 3 5 2 5 4" xfId="8240"/>
    <cellStyle name="Normal 57 3 5 2 5 5" xfId="22320"/>
    <cellStyle name="Normal 57 3 5 2 6" xfId="5801"/>
    <cellStyle name="Normal 57 3 5 2 6 2" xfId="14887"/>
    <cellStyle name="Normal 57 3 5 2 6 3" xfId="24891"/>
    <cellStyle name="Normal 57 3 5 2 7" xfId="9694"/>
    <cellStyle name="Normal 57 3 5 2 7 2" xfId="18521"/>
    <cellStyle name="Normal 57 3 5 2 7 3" xfId="28772"/>
    <cellStyle name="Normal 57 3 5 2 8" xfId="11138"/>
    <cellStyle name="Normal 57 3 5 2 8 2" xfId="23864"/>
    <cellStyle name="Normal 57 3 5 2 9" xfId="4772"/>
    <cellStyle name="Normal 57 3 5 2_Degree data" xfId="1682"/>
    <cellStyle name="Normal 57 3 5 3" xfId="705"/>
    <cellStyle name="Normal 57 3 5 3 2" xfId="2437"/>
    <cellStyle name="Normal 57 3 5 3 2 2" xfId="15987"/>
    <cellStyle name="Normal 57 3 5 3 2 2 2" xfId="26060"/>
    <cellStyle name="Normal 57 3 5 3 2 3" xfId="12498"/>
    <cellStyle name="Normal 57 3 5 3 2 4" xfId="6973"/>
    <cellStyle name="Normal 57 3 5 3 2 5" xfId="21053"/>
    <cellStyle name="Normal 57 3 5 3 3" xfId="3710"/>
    <cellStyle name="Normal 57 3 5 3 3 2" xfId="17357"/>
    <cellStyle name="Normal 57 3 5 3 3 2 2" xfId="27608"/>
    <cellStyle name="Normal 57 3 5 3 3 3" xfId="13778"/>
    <cellStyle name="Normal 57 3 5 3 3 4" xfId="8521"/>
    <cellStyle name="Normal 57 3 5 3 3 5" xfId="22601"/>
    <cellStyle name="Normal 57 3 5 3 4" xfId="6089"/>
    <cellStyle name="Normal 57 3 5 3 4 2" xfId="15173"/>
    <cellStyle name="Normal 57 3 5 3 4 3" xfId="25177"/>
    <cellStyle name="Normal 57 3 5 3 5" xfId="9975"/>
    <cellStyle name="Normal 57 3 5 3 5 2" xfId="18802"/>
    <cellStyle name="Normal 57 3 5 3 5 3" xfId="29053"/>
    <cellStyle name="Normal 57 3 5 3 6" xfId="11420"/>
    <cellStyle name="Normal 57 3 5 3 6 2" xfId="23659"/>
    <cellStyle name="Normal 57 3 5 3 7" xfId="4567"/>
    <cellStyle name="Normal 57 3 5 3 8" xfId="20170"/>
    <cellStyle name="Normal 57 3 5 4" xfId="1063"/>
    <cellStyle name="Normal 57 3 5 4 2" xfId="2785"/>
    <cellStyle name="Normal 57 3 5 4 2 2" xfId="16332"/>
    <cellStyle name="Normal 57 3 5 4 2 2 2" xfId="26551"/>
    <cellStyle name="Normal 57 3 5 4 2 3" xfId="12754"/>
    <cellStyle name="Normal 57 3 5 4 2 4" xfId="7464"/>
    <cellStyle name="Normal 57 3 5 4 2 5" xfId="21544"/>
    <cellStyle name="Normal 57 3 5 4 3" xfId="4059"/>
    <cellStyle name="Normal 57 3 5 4 3 2" xfId="17705"/>
    <cellStyle name="Normal 57 3 5 4 3 2 2" xfId="27956"/>
    <cellStyle name="Normal 57 3 5 4 3 3" xfId="14126"/>
    <cellStyle name="Normal 57 3 5 4 3 4" xfId="8869"/>
    <cellStyle name="Normal 57 3 5 4 3 5" xfId="22949"/>
    <cellStyle name="Normal 57 3 5 4 4" xfId="6580"/>
    <cellStyle name="Normal 57 3 5 4 4 2" xfId="15664"/>
    <cellStyle name="Normal 57 3 5 4 4 3" xfId="25668"/>
    <cellStyle name="Normal 57 3 5 4 5" xfId="10323"/>
    <cellStyle name="Normal 57 3 5 4 5 2" xfId="19150"/>
    <cellStyle name="Normal 57 3 5 4 5 3" xfId="29401"/>
    <cellStyle name="Normal 57 3 5 4 6" xfId="11769"/>
    <cellStyle name="Normal 57 3 5 4 6 2" xfId="24150"/>
    <cellStyle name="Normal 57 3 5 4 7" xfId="5058"/>
    <cellStyle name="Normal 57 3 5 4 8" xfId="20661"/>
    <cellStyle name="Normal 57 3 5 5" xfId="1388"/>
    <cellStyle name="Normal 57 3 5 5 2" xfId="2994"/>
    <cellStyle name="Normal 57 3 5 5 2 2" xfId="16550"/>
    <cellStyle name="Normal 57 3 5 5 2 2 2" xfId="26769"/>
    <cellStyle name="Normal 57 3 5 5 2 3" xfId="12971"/>
    <cellStyle name="Normal 57 3 5 5 2 4" xfId="7682"/>
    <cellStyle name="Normal 57 3 5 5 2 5" xfId="21762"/>
    <cellStyle name="Normal 57 3 5 5 3" xfId="4208"/>
    <cellStyle name="Normal 57 3 5 5 3 2" xfId="17914"/>
    <cellStyle name="Normal 57 3 5 5 3 2 2" xfId="28165"/>
    <cellStyle name="Normal 57 3 5 5 3 3" xfId="14335"/>
    <cellStyle name="Normal 57 3 5 5 3 4" xfId="9078"/>
    <cellStyle name="Normal 57 3 5 5 3 5" xfId="23158"/>
    <cellStyle name="Normal 57 3 5 5 4" xfId="5975"/>
    <cellStyle name="Normal 57 3 5 5 4 2" xfId="15061"/>
    <cellStyle name="Normal 57 3 5 5 4 3" xfId="25065"/>
    <cellStyle name="Normal 57 3 5 5 5" xfId="10532"/>
    <cellStyle name="Normal 57 3 5 5 5 2" xfId="19359"/>
    <cellStyle name="Normal 57 3 5 5 5 3" xfId="29610"/>
    <cellStyle name="Normal 57 3 5 5 6" xfId="11978"/>
    <cellStyle name="Normal 57 3 5 5 6 2" xfId="24368"/>
    <cellStyle name="Normal 57 3 5 5 7" xfId="5276"/>
    <cellStyle name="Normal 57 3 5 5 8" xfId="20058"/>
    <cellStyle name="Normal 57 3 5 6" xfId="1951"/>
    <cellStyle name="Normal 57 3 5 6 2" xfId="15904"/>
    <cellStyle name="Normal 57 3 5 6 2 2" xfId="25948"/>
    <cellStyle name="Normal 57 3 5 6 3" xfId="12406"/>
    <cellStyle name="Normal 57 3 5 6 4" xfId="6861"/>
    <cellStyle name="Normal 57 3 5 6 5" xfId="20941"/>
    <cellStyle name="Normal 57 3 5 7" xfId="3371"/>
    <cellStyle name="Normal 57 3 5 7 2" xfId="16871"/>
    <cellStyle name="Normal 57 3 5 7 2 2" xfId="27122"/>
    <cellStyle name="Normal 57 3 5 7 3" xfId="13292"/>
    <cellStyle name="Normal 57 3 5 7 4" xfId="8035"/>
    <cellStyle name="Normal 57 3 5 7 5" xfId="22115"/>
    <cellStyle name="Normal 57 3 5 8" xfId="5596"/>
    <cellStyle name="Normal 57 3 5 8 2" xfId="14682"/>
    <cellStyle name="Normal 57 3 5 8 3" xfId="24686"/>
    <cellStyle name="Normal 57 3 5 9" xfId="9489"/>
    <cellStyle name="Normal 57 3 5 9 2" xfId="18316"/>
    <cellStyle name="Normal 57 3 5 9 3" xfId="28567"/>
    <cellStyle name="Normal 57 3 5_Degree data" xfId="1681"/>
    <cellStyle name="Normal 57 3 6" xfId="307"/>
    <cellStyle name="Normal 57 3 6 10" xfId="19779"/>
    <cellStyle name="Normal 57 3 6 2" xfId="707"/>
    <cellStyle name="Normal 57 3 6 2 2" xfId="2439"/>
    <cellStyle name="Normal 57 3 6 2 2 2" xfId="16334"/>
    <cellStyle name="Normal 57 3 6 2 2 2 2" xfId="26553"/>
    <cellStyle name="Normal 57 3 6 2 2 3" xfId="12756"/>
    <cellStyle name="Normal 57 3 6 2 2 4" xfId="7466"/>
    <cellStyle name="Normal 57 3 6 2 2 5" xfId="21546"/>
    <cellStyle name="Normal 57 3 6 2 3" xfId="3712"/>
    <cellStyle name="Normal 57 3 6 2 3 2" xfId="17359"/>
    <cellStyle name="Normal 57 3 6 2 3 2 2" xfId="27610"/>
    <cellStyle name="Normal 57 3 6 2 3 3" xfId="13780"/>
    <cellStyle name="Normal 57 3 6 2 3 4" xfId="8523"/>
    <cellStyle name="Normal 57 3 6 2 3 5" xfId="22603"/>
    <cellStyle name="Normal 57 3 6 2 4" xfId="6582"/>
    <cellStyle name="Normal 57 3 6 2 4 2" xfId="15666"/>
    <cellStyle name="Normal 57 3 6 2 4 3" xfId="25670"/>
    <cellStyle name="Normal 57 3 6 2 5" xfId="9977"/>
    <cellStyle name="Normal 57 3 6 2 5 2" xfId="18804"/>
    <cellStyle name="Normal 57 3 6 2 5 3" xfId="29055"/>
    <cellStyle name="Normal 57 3 6 2 6" xfId="11422"/>
    <cellStyle name="Normal 57 3 6 2 6 2" xfId="24152"/>
    <cellStyle name="Normal 57 3 6 2 7" xfId="5060"/>
    <cellStyle name="Normal 57 3 6 2 8" xfId="20663"/>
    <cellStyle name="Normal 57 3 6 3" xfId="1065"/>
    <cellStyle name="Normal 57 3 6 3 2" xfId="2787"/>
    <cellStyle name="Normal 57 3 6 3 2 2" xfId="16650"/>
    <cellStyle name="Normal 57 3 6 3 2 2 2" xfId="26869"/>
    <cellStyle name="Normal 57 3 6 3 2 3" xfId="13071"/>
    <cellStyle name="Normal 57 3 6 3 2 4" xfId="7782"/>
    <cellStyle name="Normal 57 3 6 3 2 5" xfId="21862"/>
    <cellStyle name="Normal 57 3 6 3 3" xfId="4061"/>
    <cellStyle name="Normal 57 3 6 3 3 2" xfId="17707"/>
    <cellStyle name="Normal 57 3 6 3 3 2 2" xfId="27958"/>
    <cellStyle name="Normal 57 3 6 3 3 3" xfId="14128"/>
    <cellStyle name="Normal 57 3 6 3 3 4" xfId="8871"/>
    <cellStyle name="Normal 57 3 6 3 3 5" xfId="22951"/>
    <cellStyle name="Normal 57 3 6 3 4" xfId="6189"/>
    <cellStyle name="Normal 57 3 6 3 4 2" xfId="15273"/>
    <cellStyle name="Normal 57 3 6 3 4 3" xfId="25277"/>
    <cellStyle name="Normal 57 3 6 3 5" xfId="10325"/>
    <cellStyle name="Normal 57 3 6 3 5 2" xfId="19152"/>
    <cellStyle name="Normal 57 3 6 3 5 3" xfId="29403"/>
    <cellStyle name="Normal 57 3 6 3 6" xfId="11771"/>
    <cellStyle name="Normal 57 3 6 3 6 2" xfId="24468"/>
    <cellStyle name="Normal 57 3 6 3 7" xfId="5376"/>
    <cellStyle name="Normal 57 3 6 3 8" xfId="20270"/>
    <cellStyle name="Normal 57 3 6 4" xfId="1494"/>
    <cellStyle name="Normal 57 3 6 4 2" xfId="3094"/>
    <cellStyle name="Normal 57 3 6 4 2 2" xfId="18014"/>
    <cellStyle name="Normal 57 3 6 4 2 2 2" xfId="28265"/>
    <cellStyle name="Normal 57 3 6 4 2 3" xfId="14435"/>
    <cellStyle name="Normal 57 3 6 4 2 4" xfId="9178"/>
    <cellStyle name="Normal 57 3 6 4 2 5" xfId="23258"/>
    <cellStyle name="Normal 57 3 6 4 3" xfId="10632"/>
    <cellStyle name="Normal 57 3 6 4 3 2" xfId="19459"/>
    <cellStyle name="Normal 57 3 6 4 3 3" xfId="29710"/>
    <cellStyle name="Normal 57 3 6 4 4" xfId="12078"/>
    <cellStyle name="Normal 57 3 6 4 4 2" xfId="26160"/>
    <cellStyle name="Normal 57 3 6 4 5" xfId="7073"/>
    <cellStyle name="Normal 57 3 6 4 6" xfId="21153"/>
    <cellStyle name="Normal 57 3 6 5" xfId="2051"/>
    <cellStyle name="Normal 57 3 6 5 2" xfId="16971"/>
    <cellStyle name="Normal 57 3 6 5 2 2" xfId="27222"/>
    <cellStyle name="Normal 57 3 6 5 3" xfId="13392"/>
    <cellStyle name="Normal 57 3 6 5 4" xfId="8135"/>
    <cellStyle name="Normal 57 3 6 5 5" xfId="22215"/>
    <cellStyle name="Normal 57 3 6 6" xfId="5696"/>
    <cellStyle name="Normal 57 3 6 6 2" xfId="14782"/>
    <cellStyle name="Normal 57 3 6 6 3" xfId="24786"/>
    <cellStyle name="Normal 57 3 6 7" xfId="9589"/>
    <cellStyle name="Normal 57 3 6 7 2" xfId="18416"/>
    <cellStyle name="Normal 57 3 6 7 3" xfId="28667"/>
    <cellStyle name="Normal 57 3 6 8" xfId="11033"/>
    <cellStyle name="Normal 57 3 6 8 2" xfId="23759"/>
    <cellStyle name="Normal 57 3 6 9" xfId="4667"/>
    <cellStyle name="Normal 57 3 6_Degree data" xfId="1683"/>
    <cellStyle name="Normal 57 3 7" xfId="141"/>
    <cellStyle name="Normal 57 3 7 10" xfId="20118"/>
    <cellStyle name="Normal 57 3 7 2" xfId="708"/>
    <cellStyle name="Normal 57 3 7 2 2" xfId="2440"/>
    <cellStyle name="Normal 57 3 7 2 2 2" xfId="16335"/>
    <cellStyle name="Normal 57 3 7 2 2 2 2" xfId="26554"/>
    <cellStyle name="Normal 57 3 7 2 2 3" xfId="12757"/>
    <cellStyle name="Normal 57 3 7 2 2 4" xfId="7467"/>
    <cellStyle name="Normal 57 3 7 2 2 5" xfId="21547"/>
    <cellStyle name="Normal 57 3 7 2 3" xfId="3713"/>
    <cellStyle name="Normal 57 3 7 2 3 2" xfId="17360"/>
    <cellStyle name="Normal 57 3 7 2 3 2 2" xfId="27611"/>
    <cellStyle name="Normal 57 3 7 2 3 3" xfId="13781"/>
    <cellStyle name="Normal 57 3 7 2 3 4" xfId="8524"/>
    <cellStyle name="Normal 57 3 7 2 3 5" xfId="22604"/>
    <cellStyle name="Normal 57 3 7 2 4" xfId="6583"/>
    <cellStyle name="Normal 57 3 7 2 4 2" xfId="15667"/>
    <cellStyle name="Normal 57 3 7 2 4 3" xfId="25671"/>
    <cellStyle name="Normal 57 3 7 2 5" xfId="9978"/>
    <cellStyle name="Normal 57 3 7 2 5 2" xfId="18805"/>
    <cellStyle name="Normal 57 3 7 2 5 3" xfId="29056"/>
    <cellStyle name="Normal 57 3 7 2 6" xfId="11423"/>
    <cellStyle name="Normal 57 3 7 2 6 2" xfId="24153"/>
    <cellStyle name="Normal 57 3 7 2 7" xfId="5061"/>
    <cellStyle name="Normal 57 3 7 2 8" xfId="20664"/>
    <cellStyle name="Normal 57 3 7 3" xfId="1066"/>
    <cellStyle name="Normal 57 3 7 3 2" xfId="2788"/>
    <cellStyle name="Normal 57 3 7 3 2 2" xfId="16498"/>
    <cellStyle name="Normal 57 3 7 3 2 2 2" xfId="26717"/>
    <cellStyle name="Normal 57 3 7 3 2 3" xfId="12920"/>
    <cellStyle name="Normal 57 3 7 3 2 4" xfId="7630"/>
    <cellStyle name="Normal 57 3 7 3 2 5" xfId="21710"/>
    <cellStyle name="Normal 57 3 7 3 3" xfId="4062"/>
    <cellStyle name="Normal 57 3 7 3 3 2" xfId="17708"/>
    <cellStyle name="Normal 57 3 7 3 3 2 2" xfId="27959"/>
    <cellStyle name="Normal 57 3 7 3 3 3" xfId="14129"/>
    <cellStyle name="Normal 57 3 7 3 3 4" xfId="8872"/>
    <cellStyle name="Normal 57 3 7 3 3 5" xfId="22952"/>
    <cellStyle name="Normal 57 3 7 3 4" xfId="6732"/>
    <cellStyle name="Normal 57 3 7 3 4 2" xfId="15815"/>
    <cellStyle name="Normal 57 3 7 3 4 3" xfId="25819"/>
    <cellStyle name="Normal 57 3 7 3 5" xfId="10326"/>
    <cellStyle name="Normal 57 3 7 3 5 2" xfId="19153"/>
    <cellStyle name="Normal 57 3 7 3 5 3" xfId="29404"/>
    <cellStyle name="Normal 57 3 7 3 6" xfId="11772"/>
    <cellStyle name="Normal 57 3 7 3 6 2" xfId="24316"/>
    <cellStyle name="Normal 57 3 7 3 7" xfId="5224"/>
    <cellStyle name="Normal 57 3 7 3 8" xfId="20812"/>
    <cellStyle name="Normal 57 3 7 4" xfId="1328"/>
    <cellStyle name="Normal 57 3 7 4 2" xfId="2942"/>
    <cellStyle name="Normal 57 3 7 4 2 2" xfId="17862"/>
    <cellStyle name="Normal 57 3 7 4 2 2 2" xfId="28113"/>
    <cellStyle name="Normal 57 3 7 4 2 3" xfId="14283"/>
    <cellStyle name="Normal 57 3 7 4 2 4" xfId="9026"/>
    <cellStyle name="Normal 57 3 7 4 2 5" xfId="23106"/>
    <cellStyle name="Normal 57 3 7 4 3" xfId="10480"/>
    <cellStyle name="Normal 57 3 7 4 3 2" xfId="19307"/>
    <cellStyle name="Normal 57 3 7 4 3 3" xfId="29558"/>
    <cellStyle name="Normal 57 3 7 4 4" xfId="11926"/>
    <cellStyle name="Normal 57 3 7 4 4 2" xfId="26008"/>
    <cellStyle name="Normal 57 3 7 4 5" xfId="6921"/>
    <cellStyle name="Normal 57 3 7 4 6" xfId="21001"/>
    <cellStyle name="Normal 57 3 7 5" xfId="1899"/>
    <cellStyle name="Normal 57 3 7 5 2" xfId="16817"/>
    <cellStyle name="Normal 57 3 7 5 2 2" xfId="27068"/>
    <cellStyle name="Normal 57 3 7 5 3" xfId="13238"/>
    <cellStyle name="Normal 57 3 7 5 4" xfId="7981"/>
    <cellStyle name="Normal 57 3 7 5 5" xfId="22061"/>
    <cellStyle name="Normal 57 3 7 6" xfId="6037"/>
    <cellStyle name="Normal 57 3 7 6 2" xfId="15121"/>
    <cellStyle name="Normal 57 3 7 6 3" xfId="25125"/>
    <cellStyle name="Normal 57 3 7 7" xfId="9437"/>
    <cellStyle name="Normal 57 3 7 7 2" xfId="18264"/>
    <cellStyle name="Normal 57 3 7 7 3" xfId="28515"/>
    <cellStyle name="Normal 57 3 7 8" xfId="10881"/>
    <cellStyle name="Normal 57 3 7 8 2" xfId="23607"/>
    <cellStyle name="Normal 57 3 7 9" xfId="4515"/>
    <cellStyle name="Normal 57 3 7_Degree data" xfId="1684"/>
    <cellStyle name="Normal 57 3 8" xfId="689"/>
    <cellStyle name="Normal 57 3 8 2" xfId="2421"/>
    <cellStyle name="Normal 57 3 8 2 2" xfId="16316"/>
    <cellStyle name="Normal 57 3 8 2 2 2" xfId="26535"/>
    <cellStyle name="Normal 57 3 8 2 3" xfId="12738"/>
    <cellStyle name="Normal 57 3 8 2 4" xfId="7448"/>
    <cellStyle name="Normal 57 3 8 2 5" xfId="21528"/>
    <cellStyle name="Normal 57 3 8 3" xfId="3694"/>
    <cellStyle name="Normal 57 3 8 3 2" xfId="17341"/>
    <cellStyle name="Normal 57 3 8 3 2 2" xfId="27592"/>
    <cellStyle name="Normal 57 3 8 3 3" xfId="13762"/>
    <cellStyle name="Normal 57 3 8 3 4" xfId="8505"/>
    <cellStyle name="Normal 57 3 8 3 5" xfId="22585"/>
    <cellStyle name="Normal 57 3 8 4" xfId="6564"/>
    <cellStyle name="Normal 57 3 8 4 2" xfId="15648"/>
    <cellStyle name="Normal 57 3 8 4 3" xfId="25652"/>
    <cellStyle name="Normal 57 3 8 5" xfId="9959"/>
    <cellStyle name="Normal 57 3 8 5 2" xfId="18786"/>
    <cellStyle name="Normal 57 3 8 5 3" xfId="29037"/>
    <cellStyle name="Normal 57 3 8 6" xfId="11404"/>
    <cellStyle name="Normal 57 3 8 6 2" xfId="24134"/>
    <cellStyle name="Normal 57 3 8 7" xfId="5042"/>
    <cellStyle name="Normal 57 3 8 8" xfId="20645"/>
    <cellStyle name="Normal 57 3 9" xfId="1047"/>
    <cellStyle name="Normal 57 3 9 2" xfId="2769"/>
    <cellStyle name="Normal 57 3 9 2 2" xfId="16466"/>
    <cellStyle name="Normal 57 3 9 2 2 2" xfId="26685"/>
    <cellStyle name="Normal 57 3 9 2 3" xfId="12888"/>
    <cellStyle name="Normal 57 3 9 2 4" xfId="7598"/>
    <cellStyle name="Normal 57 3 9 2 5" xfId="21678"/>
    <cellStyle name="Normal 57 3 9 3" xfId="4043"/>
    <cellStyle name="Normal 57 3 9 3 2" xfId="17689"/>
    <cellStyle name="Normal 57 3 9 3 2 2" xfId="27940"/>
    <cellStyle name="Normal 57 3 9 3 3" xfId="14110"/>
    <cellStyle name="Normal 57 3 9 3 4" xfId="8853"/>
    <cellStyle name="Normal 57 3 9 3 5" xfId="22933"/>
    <cellStyle name="Normal 57 3 9 4" xfId="5869"/>
    <cellStyle name="Normal 57 3 9 4 2" xfId="14955"/>
    <cellStyle name="Normal 57 3 9 4 3" xfId="24959"/>
    <cellStyle name="Normal 57 3 9 5" xfId="10307"/>
    <cellStyle name="Normal 57 3 9 5 2" xfId="19134"/>
    <cellStyle name="Normal 57 3 9 5 3" xfId="29385"/>
    <cellStyle name="Normal 57 3 9 6" xfId="11753"/>
    <cellStyle name="Normal 57 3 9 6 2" xfId="24284"/>
    <cellStyle name="Normal 57 3 9 7" xfId="5192"/>
    <cellStyle name="Normal 57 3 9 8" xfId="19952"/>
    <cellStyle name="Normal 57 3_Degree data" xfId="1665"/>
    <cellStyle name="Normal 57 4" xfId="89"/>
    <cellStyle name="Normal 57 4 10" xfId="1873"/>
    <cellStyle name="Normal 57 4 10 2" xfId="9411"/>
    <cellStyle name="Normal 57 4 10 2 2" xfId="18238"/>
    <cellStyle name="Normal 57 4 10 2 3" xfId="28489"/>
    <cellStyle name="Normal 57 4 10 3" xfId="10855"/>
    <cellStyle name="Normal 57 4 10 3 2" xfId="27042"/>
    <cellStyle name="Normal 57 4 10 4" xfId="7955"/>
    <cellStyle name="Normal 57 4 10 5" xfId="22035"/>
    <cellStyle name="Normal 57 4 11" xfId="1818"/>
    <cellStyle name="Normal 57 4 11 2" xfId="14647"/>
    <cellStyle name="Normal 57 4 11 3" xfId="5561"/>
    <cellStyle name="Normal 57 4 11 4" xfId="24651"/>
    <cellStyle name="Normal 57 4 12" xfId="9361"/>
    <cellStyle name="Normal 57 4 12 2" xfId="18188"/>
    <cellStyle name="Normal 57 4 12 3" xfId="28439"/>
    <cellStyle name="Normal 57 4 13" xfId="10800"/>
    <cellStyle name="Normal 57 4 13 2" xfId="23438"/>
    <cellStyle name="Normal 57 4 14" xfId="4346"/>
    <cellStyle name="Normal 57 4 15" xfId="19644"/>
    <cellStyle name="Normal 57 4 2" xfId="228"/>
    <cellStyle name="Normal 57 4 2 10" xfId="9381"/>
    <cellStyle name="Normal 57 4 2 10 2" xfId="18208"/>
    <cellStyle name="Normal 57 4 2 10 3" xfId="28459"/>
    <cellStyle name="Normal 57 4 2 11" xfId="10822"/>
    <cellStyle name="Normal 57 4 2 11 2" xfId="23466"/>
    <cellStyle name="Normal 57 4 2 12" xfId="4374"/>
    <cellStyle name="Normal 57 4 2 13" xfId="19703"/>
    <cellStyle name="Normal 57 4 2 2" xfId="273"/>
    <cellStyle name="Normal 57 4 2 2 10" xfId="11000"/>
    <cellStyle name="Normal 57 4 2 2 10 2" xfId="23509"/>
    <cellStyle name="Normal 57 4 2 2 11" xfId="4417"/>
    <cellStyle name="Normal 57 4 2 2 12" xfId="19746"/>
    <cellStyle name="Normal 57 4 2 2 2" xfId="375"/>
    <cellStyle name="Normal 57 4 2 2 2 10" xfId="19846"/>
    <cellStyle name="Normal 57 4 2 2 2 2" xfId="712"/>
    <cellStyle name="Normal 57 4 2 2 2 2 2" xfId="2444"/>
    <cellStyle name="Normal 57 4 2 2 2 2 2 2" xfId="16339"/>
    <cellStyle name="Normal 57 4 2 2 2 2 2 2 2" xfId="26558"/>
    <cellStyle name="Normal 57 4 2 2 2 2 2 3" xfId="12761"/>
    <cellStyle name="Normal 57 4 2 2 2 2 2 4" xfId="7471"/>
    <cellStyle name="Normal 57 4 2 2 2 2 2 5" xfId="21551"/>
    <cellStyle name="Normal 57 4 2 2 2 2 3" xfId="3717"/>
    <cellStyle name="Normal 57 4 2 2 2 2 3 2" xfId="17364"/>
    <cellStyle name="Normal 57 4 2 2 2 2 3 2 2" xfId="27615"/>
    <cellStyle name="Normal 57 4 2 2 2 2 3 3" xfId="13785"/>
    <cellStyle name="Normal 57 4 2 2 2 2 3 4" xfId="8528"/>
    <cellStyle name="Normal 57 4 2 2 2 2 3 5" xfId="22608"/>
    <cellStyle name="Normal 57 4 2 2 2 2 4" xfId="6587"/>
    <cellStyle name="Normal 57 4 2 2 2 2 4 2" xfId="15671"/>
    <cellStyle name="Normal 57 4 2 2 2 2 4 3" xfId="25675"/>
    <cellStyle name="Normal 57 4 2 2 2 2 5" xfId="9982"/>
    <cellStyle name="Normal 57 4 2 2 2 2 5 2" xfId="18809"/>
    <cellStyle name="Normal 57 4 2 2 2 2 5 3" xfId="29060"/>
    <cellStyle name="Normal 57 4 2 2 2 2 6" xfId="11427"/>
    <cellStyle name="Normal 57 4 2 2 2 2 6 2" xfId="24157"/>
    <cellStyle name="Normal 57 4 2 2 2 2 7" xfId="5065"/>
    <cellStyle name="Normal 57 4 2 2 2 2 8" xfId="20668"/>
    <cellStyle name="Normal 57 4 2 2 2 3" xfId="1070"/>
    <cellStyle name="Normal 57 4 2 2 2 3 2" xfId="2792"/>
    <cellStyle name="Normal 57 4 2 2 2 3 2 2" xfId="16717"/>
    <cellStyle name="Normal 57 4 2 2 2 3 2 2 2" xfId="26936"/>
    <cellStyle name="Normal 57 4 2 2 2 3 2 3" xfId="13138"/>
    <cellStyle name="Normal 57 4 2 2 2 3 2 4" xfId="7849"/>
    <cellStyle name="Normal 57 4 2 2 2 3 2 5" xfId="21929"/>
    <cellStyle name="Normal 57 4 2 2 2 3 3" xfId="4066"/>
    <cellStyle name="Normal 57 4 2 2 2 3 3 2" xfId="17712"/>
    <cellStyle name="Normal 57 4 2 2 2 3 3 2 2" xfId="27963"/>
    <cellStyle name="Normal 57 4 2 2 2 3 3 3" xfId="14133"/>
    <cellStyle name="Normal 57 4 2 2 2 3 3 4" xfId="8876"/>
    <cellStyle name="Normal 57 4 2 2 2 3 3 5" xfId="22956"/>
    <cellStyle name="Normal 57 4 2 2 2 3 4" xfId="6256"/>
    <cellStyle name="Normal 57 4 2 2 2 3 4 2" xfId="15340"/>
    <cellStyle name="Normal 57 4 2 2 2 3 4 3" xfId="25344"/>
    <cellStyle name="Normal 57 4 2 2 2 3 5" xfId="10330"/>
    <cellStyle name="Normal 57 4 2 2 2 3 5 2" xfId="19157"/>
    <cellStyle name="Normal 57 4 2 2 2 3 5 3" xfId="29408"/>
    <cellStyle name="Normal 57 4 2 2 2 3 6" xfId="11776"/>
    <cellStyle name="Normal 57 4 2 2 2 3 6 2" xfId="24535"/>
    <cellStyle name="Normal 57 4 2 2 2 3 7" xfId="5443"/>
    <cellStyle name="Normal 57 4 2 2 2 3 8" xfId="20337"/>
    <cellStyle name="Normal 57 4 2 2 2 4" xfId="1562"/>
    <cellStyle name="Normal 57 4 2 2 2 4 2" xfId="3161"/>
    <cellStyle name="Normal 57 4 2 2 2 4 2 2" xfId="18081"/>
    <cellStyle name="Normal 57 4 2 2 2 4 2 2 2" xfId="28332"/>
    <cellStyle name="Normal 57 4 2 2 2 4 2 3" xfId="14502"/>
    <cellStyle name="Normal 57 4 2 2 2 4 2 4" xfId="9245"/>
    <cellStyle name="Normal 57 4 2 2 2 4 2 5" xfId="23325"/>
    <cellStyle name="Normal 57 4 2 2 2 4 3" xfId="10699"/>
    <cellStyle name="Normal 57 4 2 2 2 4 3 2" xfId="19526"/>
    <cellStyle name="Normal 57 4 2 2 2 4 3 3" xfId="29777"/>
    <cellStyle name="Normal 57 4 2 2 2 4 4" xfId="12145"/>
    <cellStyle name="Normal 57 4 2 2 2 4 4 2" xfId="26227"/>
    <cellStyle name="Normal 57 4 2 2 2 4 5" xfId="7140"/>
    <cellStyle name="Normal 57 4 2 2 2 4 6" xfId="21220"/>
    <cellStyle name="Normal 57 4 2 2 2 5" xfId="2118"/>
    <cellStyle name="Normal 57 4 2 2 2 5 2" xfId="17038"/>
    <cellStyle name="Normal 57 4 2 2 2 5 2 2" xfId="27289"/>
    <cellStyle name="Normal 57 4 2 2 2 5 3" xfId="13459"/>
    <cellStyle name="Normal 57 4 2 2 2 5 4" xfId="8202"/>
    <cellStyle name="Normal 57 4 2 2 2 5 5" xfId="22282"/>
    <cellStyle name="Normal 57 4 2 2 2 6" xfId="5763"/>
    <cellStyle name="Normal 57 4 2 2 2 6 2" xfId="14849"/>
    <cellStyle name="Normal 57 4 2 2 2 6 3" xfId="24853"/>
    <cellStyle name="Normal 57 4 2 2 2 7" xfId="9656"/>
    <cellStyle name="Normal 57 4 2 2 2 7 2" xfId="18483"/>
    <cellStyle name="Normal 57 4 2 2 2 7 3" xfId="28734"/>
    <cellStyle name="Normal 57 4 2 2 2 8" xfId="11100"/>
    <cellStyle name="Normal 57 4 2 2 2 8 2" xfId="23826"/>
    <cellStyle name="Normal 57 4 2 2 2 9" xfId="4734"/>
    <cellStyle name="Normal 57 4 2 2 2_Degree data" xfId="1688"/>
    <cellStyle name="Normal 57 4 2 2 3" xfId="711"/>
    <cellStyle name="Normal 57 4 2 2 3 2" xfId="2443"/>
    <cellStyle name="Normal 57 4 2 2 3 2 2" xfId="16054"/>
    <cellStyle name="Normal 57 4 2 2 3 2 2 2" xfId="26127"/>
    <cellStyle name="Normal 57 4 2 2 3 2 3" xfId="12253"/>
    <cellStyle name="Normal 57 4 2 2 3 2 4" xfId="7040"/>
    <cellStyle name="Normal 57 4 2 2 3 2 5" xfId="21120"/>
    <cellStyle name="Normal 57 4 2 2 3 3" xfId="3716"/>
    <cellStyle name="Normal 57 4 2 2 3 3 2" xfId="17363"/>
    <cellStyle name="Normal 57 4 2 2 3 3 2 2" xfId="27614"/>
    <cellStyle name="Normal 57 4 2 2 3 3 3" xfId="13784"/>
    <cellStyle name="Normal 57 4 2 2 3 3 4" xfId="8527"/>
    <cellStyle name="Normal 57 4 2 2 3 3 5" xfId="22607"/>
    <cellStyle name="Normal 57 4 2 2 3 4" xfId="6156"/>
    <cellStyle name="Normal 57 4 2 2 3 4 2" xfId="15240"/>
    <cellStyle name="Normal 57 4 2 2 3 4 3" xfId="25244"/>
    <cellStyle name="Normal 57 4 2 2 3 5" xfId="9981"/>
    <cellStyle name="Normal 57 4 2 2 3 5 2" xfId="18808"/>
    <cellStyle name="Normal 57 4 2 2 3 5 3" xfId="29059"/>
    <cellStyle name="Normal 57 4 2 2 3 6" xfId="11426"/>
    <cellStyle name="Normal 57 4 2 2 3 6 2" xfId="23726"/>
    <cellStyle name="Normal 57 4 2 2 3 7" xfId="4634"/>
    <cellStyle name="Normal 57 4 2 2 3 8" xfId="20237"/>
    <cellStyle name="Normal 57 4 2 2 4" xfId="1069"/>
    <cellStyle name="Normal 57 4 2 2 4 2" xfId="2791"/>
    <cellStyle name="Normal 57 4 2 2 4 2 2" xfId="16338"/>
    <cellStyle name="Normal 57 4 2 2 4 2 2 2" xfId="26557"/>
    <cellStyle name="Normal 57 4 2 2 4 2 3" xfId="12760"/>
    <cellStyle name="Normal 57 4 2 2 4 2 4" xfId="7470"/>
    <cellStyle name="Normal 57 4 2 2 4 2 5" xfId="21550"/>
    <cellStyle name="Normal 57 4 2 2 4 3" xfId="4065"/>
    <cellStyle name="Normal 57 4 2 2 4 3 2" xfId="17711"/>
    <cellStyle name="Normal 57 4 2 2 4 3 2 2" xfId="27962"/>
    <cellStyle name="Normal 57 4 2 2 4 3 3" xfId="14132"/>
    <cellStyle name="Normal 57 4 2 2 4 3 4" xfId="8875"/>
    <cellStyle name="Normal 57 4 2 2 4 3 5" xfId="22955"/>
    <cellStyle name="Normal 57 4 2 2 4 4" xfId="6586"/>
    <cellStyle name="Normal 57 4 2 2 4 4 2" xfId="15670"/>
    <cellStyle name="Normal 57 4 2 2 4 4 3" xfId="25674"/>
    <cellStyle name="Normal 57 4 2 2 4 5" xfId="10329"/>
    <cellStyle name="Normal 57 4 2 2 4 5 2" xfId="19156"/>
    <cellStyle name="Normal 57 4 2 2 4 5 3" xfId="29407"/>
    <cellStyle name="Normal 57 4 2 2 4 6" xfId="11775"/>
    <cellStyle name="Normal 57 4 2 2 4 6 2" xfId="24156"/>
    <cellStyle name="Normal 57 4 2 2 4 7" xfId="5064"/>
    <cellStyle name="Normal 57 4 2 2 4 8" xfId="20667"/>
    <cellStyle name="Normal 57 4 2 2 5" xfId="1460"/>
    <cellStyle name="Normal 57 4 2 2 5 2" xfId="3061"/>
    <cellStyle name="Normal 57 4 2 2 5 2 2" xfId="16617"/>
    <cellStyle name="Normal 57 4 2 2 5 2 2 2" xfId="26836"/>
    <cellStyle name="Normal 57 4 2 2 5 2 3" xfId="13038"/>
    <cellStyle name="Normal 57 4 2 2 5 2 4" xfId="7749"/>
    <cellStyle name="Normal 57 4 2 2 5 2 5" xfId="21829"/>
    <cellStyle name="Normal 57 4 2 2 5 3" xfId="4275"/>
    <cellStyle name="Normal 57 4 2 2 5 3 2" xfId="17981"/>
    <cellStyle name="Normal 57 4 2 2 5 3 2 2" xfId="28232"/>
    <cellStyle name="Normal 57 4 2 2 5 3 3" xfId="14402"/>
    <cellStyle name="Normal 57 4 2 2 5 3 4" xfId="9145"/>
    <cellStyle name="Normal 57 4 2 2 5 3 5" xfId="23225"/>
    <cellStyle name="Normal 57 4 2 2 5 4" xfId="5937"/>
    <cellStyle name="Normal 57 4 2 2 5 4 2" xfId="15023"/>
    <cellStyle name="Normal 57 4 2 2 5 4 3" xfId="25027"/>
    <cellStyle name="Normal 57 4 2 2 5 5" xfId="10599"/>
    <cellStyle name="Normal 57 4 2 2 5 5 2" xfId="19426"/>
    <cellStyle name="Normal 57 4 2 2 5 5 3" xfId="29677"/>
    <cellStyle name="Normal 57 4 2 2 5 6" xfId="12045"/>
    <cellStyle name="Normal 57 4 2 2 5 6 2" xfId="24435"/>
    <cellStyle name="Normal 57 4 2 2 5 7" xfId="5343"/>
    <cellStyle name="Normal 57 4 2 2 5 8" xfId="20020"/>
    <cellStyle name="Normal 57 4 2 2 6" xfId="2018"/>
    <cellStyle name="Normal 57 4 2 2 6 2" xfId="15866"/>
    <cellStyle name="Normal 57 4 2 2 6 2 2" xfId="25910"/>
    <cellStyle name="Normal 57 4 2 2 6 3" xfId="12355"/>
    <cellStyle name="Normal 57 4 2 2 6 4" xfId="6823"/>
    <cellStyle name="Normal 57 4 2 2 6 5" xfId="20903"/>
    <cellStyle name="Normal 57 4 2 2 7" xfId="3437"/>
    <cellStyle name="Normal 57 4 2 2 7 2" xfId="16938"/>
    <cellStyle name="Normal 57 4 2 2 7 2 2" xfId="27189"/>
    <cellStyle name="Normal 57 4 2 2 7 3" xfId="13359"/>
    <cellStyle name="Normal 57 4 2 2 7 4" xfId="8102"/>
    <cellStyle name="Normal 57 4 2 2 7 5" xfId="22182"/>
    <cellStyle name="Normal 57 4 2 2 8" xfId="5663"/>
    <cellStyle name="Normal 57 4 2 2 8 2" xfId="14749"/>
    <cellStyle name="Normal 57 4 2 2 8 3" xfId="24753"/>
    <cellStyle name="Normal 57 4 2 2 9" xfId="9556"/>
    <cellStyle name="Normal 57 4 2 2 9 2" xfId="18383"/>
    <cellStyle name="Normal 57 4 2 2 9 3" xfId="28634"/>
    <cellStyle name="Normal 57 4 2 2_Degree data" xfId="1687"/>
    <cellStyle name="Normal 57 4 2 3" xfId="331"/>
    <cellStyle name="Normal 57 4 2 3 10" xfId="19803"/>
    <cellStyle name="Normal 57 4 2 3 2" xfId="713"/>
    <cellStyle name="Normal 57 4 2 3 2 2" xfId="2445"/>
    <cellStyle name="Normal 57 4 2 3 2 2 2" xfId="16340"/>
    <cellStyle name="Normal 57 4 2 3 2 2 2 2" xfId="26559"/>
    <cellStyle name="Normal 57 4 2 3 2 2 3" xfId="12762"/>
    <cellStyle name="Normal 57 4 2 3 2 2 4" xfId="7472"/>
    <cellStyle name="Normal 57 4 2 3 2 2 5" xfId="21552"/>
    <cellStyle name="Normal 57 4 2 3 2 3" xfId="3718"/>
    <cellStyle name="Normal 57 4 2 3 2 3 2" xfId="17365"/>
    <cellStyle name="Normal 57 4 2 3 2 3 2 2" xfId="27616"/>
    <cellStyle name="Normal 57 4 2 3 2 3 3" xfId="13786"/>
    <cellStyle name="Normal 57 4 2 3 2 3 4" xfId="8529"/>
    <cellStyle name="Normal 57 4 2 3 2 3 5" xfId="22609"/>
    <cellStyle name="Normal 57 4 2 3 2 4" xfId="6588"/>
    <cellStyle name="Normal 57 4 2 3 2 4 2" xfId="15672"/>
    <cellStyle name="Normal 57 4 2 3 2 4 3" xfId="25676"/>
    <cellStyle name="Normal 57 4 2 3 2 5" xfId="9983"/>
    <cellStyle name="Normal 57 4 2 3 2 5 2" xfId="18810"/>
    <cellStyle name="Normal 57 4 2 3 2 5 3" xfId="29061"/>
    <cellStyle name="Normal 57 4 2 3 2 6" xfId="11428"/>
    <cellStyle name="Normal 57 4 2 3 2 6 2" xfId="24158"/>
    <cellStyle name="Normal 57 4 2 3 2 7" xfId="5066"/>
    <cellStyle name="Normal 57 4 2 3 2 8" xfId="20669"/>
    <cellStyle name="Normal 57 4 2 3 3" xfId="1071"/>
    <cellStyle name="Normal 57 4 2 3 3 2" xfId="2793"/>
    <cellStyle name="Normal 57 4 2 3 3 2 2" xfId="16674"/>
    <cellStyle name="Normal 57 4 2 3 3 2 2 2" xfId="26893"/>
    <cellStyle name="Normal 57 4 2 3 3 2 3" xfId="13095"/>
    <cellStyle name="Normal 57 4 2 3 3 2 4" xfId="7806"/>
    <cellStyle name="Normal 57 4 2 3 3 2 5" xfId="21886"/>
    <cellStyle name="Normal 57 4 2 3 3 3" xfId="4067"/>
    <cellStyle name="Normal 57 4 2 3 3 3 2" xfId="17713"/>
    <cellStyle name="Normal 57 4 2 3 3 3 2 2" xfId="27964"/>
    <cellStyle name="Normal 57 4 2 3 3 3 3" xfId="14134"/>
    <cellStyle name="Normal 57 4 2 3 3 3 4" xfId="8877"/>
    <cellStyle name="Normal 57 4 2 3 3 3 5" xfId="22957"/>
    <cellStyle name="Normal 57 4 2 3 3 4" xfId="6213"/>
    <cellStyle name="Normal 57 4 2 3 3 4 2" xfId="15297"/>
    <cellStyle name="Normal 57 4 2 3 3 4 3" xfId="25301"/>
    <cellStyle name="Normal 57 4 2 3 3 5" xfId="10331"/>
    <cellStyle name="Normal 57 4 2 3 3 5 2" xfId="19158"/>
    <cellStyle name="Normal 57 4 2 3 3 5 3" xfId="29409"/>
    <cellStyle name="Normal 57 4 2 3 3 6" xfId="11777"/>
    <cellStyle name="Normal 57 4 2 3 3 6 2" xfId="24492"/>
    <cellStyle name="Normal 57 4 2 3 3 7" xfId="5400"/>
    <cellStyle name="Normal 57 4 2 3 3 8" xfId="20294"/>
    <cellStyle name="Normal 57 4 2 3 4" xfId="1518"/>
    <cellStyle name="Normal 57 4 2 3 4 2" xfId="3118"/>
    <cellStyle name="Normal 57 4 2 3 4 2 2" xfId="18038"/>
    <cellStyle name="Normal 57 4 2 3 4 2 2 2" xfId="28289"/>
    <cellStyle name="Normal 57 4 2 3 4 2 3" xfId="14459"/>
    <cellStyle name="Normal 57 4 2 3 4 2 4" xfId="9202"/>
    <cellStyle name="Normal 57 4 2 3 4 2 5" xfId="23282"/>
    <cellStyle name="Normal 57 4 2 3 4 3" xfId="10656"/>
    <cellStyle name="Normal 57 4 2 3 4 3 2" xfId="19483"/>
    <cellStyle name="Normal 57 4 2 3 4 3 3" xfId="29734"/>
    <cellStyle name="Normal 57 4 2 3 4 4" xfId="12102"/>
    <cellStyle name="Normal 57 4 2 3 4 4 2" xfId="26184"/>
    <cellStyle name="Normal 57 4 2 3 4 5" xfId="7097"/>
    <cellStyle name="Normal 57 4 2 3 4 6" xfId="21177"/>
    <cellStyle name="Normal 57 4 2 3 5" xfId="2075"/>
    <cellStyle name="Normal 57 4 2 3 5 2" xfId="16995"/>
    <cellStyle name="Normal 57 4 2 3 5 2 2" xfId="27246"/>
    <cellStyle name="Normal 57 4 2 3 5 3" xfId="13416"/>
    <cellStyle name="Normal 57 4 2 3 5 4" xfId="8159"/>
    <cellStyle name="Normal 57 4 2 3 5 5" xfId="22239"/>
    <cellStyle name="Normal 57 4 2 3 6" xfId="5720"/>
    <cellStyle name="Normal 57 4 2 3 6 2" xfId="14806"/>
    <cellStyle name="Normal 57 4 2 3 6 3" xfId="24810"/>
    <cellStyle name="Normal 57 4 2 3 7" xfId="9613"/>
    <cellStyle name="Normal 57 4 2 3 7 2" xfId="18440"/>
    <cellStyle name="Normal 57 4 2 3 7 3" xfId="28691"/>
    <cellStyle name="Normal 57 4 2 3 8" xfId="11057"/>
    <cellStyle name="Normal 57 4 2 3 8 2" xfId="23783"/>
    <cellStyle name="Normal 57 4 2 3 9" xfId="4691"/>
    <cellStyle name="Normal 57 4 2 3_Degree data" xfId="1689"/>
    <cellStyle name="Normal 57 4 2 4" xfId="710"/>
    <cellStyle name="Normal 57 4 2 4 2" xfId="2442"/>
    <cellStyle name="Normal 57 4 2 4 2 2" xfId="16011"/>
    <cellStyle name="Normal 57 4 2 4 2 2 2" xfId="26084"/>
    <cellStyle name="Normal 57 4 2 4 2 3" xfId="12292"/>
    <cellStyle name="Normal 57 4 2 4 2 4" xfId="6997"/>
    <cellStyle name="Normal 57 4 2 4 2 5" xfId="21077"/>
    <cellStyle name="Normal 57 4 2 4 3" xfId="3715"/>
    <cellStyle name="Normal 57 4 2 4 3 2" xfId="17362"/>
    <cellStyle name="Normal 57 4 2 4 3 2 2" xfId="27613"/>
    <cellStyle name="Normal 57 4 2 4 3 3" xfId="13783"/>
    <cellStyle name="Normal 57 4 2 4 3 4" xfId="8526"/>
    <cellStyle name="Normal 57 4 2 4 3 5" xfId="22606"/>
    <cellStyle name="Normal 57 4 2 4 4" xfId="6113"/>
    <cellStyle name="Normal 57 4 2 4 4 2" xfId="15197"/>
    <cellStyle name="Normal 57 4 2 4 4 3" xfId="25201"/>
    <cellStyle name="Normal 57 4 2 4 5" xfId="9980"/>
    <cellStyle name="Normal 57 4 2 4 5 2" xfId="18807"/>
    <cellStyle name="Normal 57 4 2 4 5 3" xfId="29058"/>
    <cellStyle name="Normal 57 4 2 4 6" xfId="11425"/>
    <cellStyle name="Normal 57 4 2 4 6 2" xfId="23683"/>
    <cellStyle name="Normal 57 4 2 4 7" xfId="4591"/>
    <cellStyle name="Normal 57 4 2 4 8" xfId="20194"/>
    <cellStyle name="Normal 57 4 2 5" xfId="1068"/>
    <cellStyle name="Normal 57 4 2 5 2" xfId="2790"/>
    <cellStyle name="Normal 57 4 2 5 2 2" xfId="16337"/>
    <cellStyle name="Normal 57 4 2 5 2 2 2" xfId="26556"/>
    <cellStyle name="Normal 57 4 2 5 2 3" xfId="12759"/>
    <cellStyle name="Normal 57 4 2 5 2 4" xfId="7469"/>
    <cellStyle name="Normal 57 4 2 5 2 5" xfId="21549"/>
    <cellStyle name="Normal 57 4 2 5 3" xfId="4064"/>
    <cellStyle name="Normal 57 4 2 5 3 2" xfId="17710"/>
    <cellStyle name="Normal 57 4 2 5 3 2 2" xfId="27961"/>
    <cellStyle name="Normal 57 4 2 5 3 3" xfId="14131"/>
    <cellStyle name="Normal 57 4 2 5 3 4" xfId="8874"/>
    <cellStyle name="Normal 57 4 2 5 3 5" xfId="22954"/>
    <cellStyle name="Normal 57 4 2 5 4" xfId="6585"/>
    <cellStyle name="Normal 57 4 2 5 4 2" xfId="15669"/>
    <cellStyle name="Normal 57 4 2 5 4 3" xfId="25673"/>
    <cellStyle name="Normal 57 4 2 5 5" xfId="10328"/>
    <cellStyle name="Normal 57 4 2 5 5 2" xfId="19155"/>
    <cellStyle name="Normal 57 4 2 5 5 3" xfId="29406"/>
    <cellStyle name="Normal 57 4 2 5 6" xfId="11774"/>
    <cellStyle name="Normal 57 4 2 5 6 2" xfId="24155"/>
    <cellStyle name="Normal 57 4 2 5 7" xfId="5063"/>
    <cellStyle name="Normal 57 4 2 5 8" xfId="20666"/>
    <cellStyle name="Normal 57 4 2 6" xfId="1415"/>
    <cellStyle name="Normal 57 4 2 6 2" xfId="3018"/>
    <cellStyle name="Normal 57 4 2 6 2 2" xfId="16574"/>
    <cellStyle name="Normal 57 4 2 6 2 2 2" xfId="26793"/>
    <cellStyle name="Normal 57 4 2 6 2 3" xfId="12995"/>
    <cellStyle name="Normal 57 4 2 6 2 4" xfId="7706"/>
    <cellStyle name="Normal 57 4 2 6 2 5" xfId="21786"/>
    <cellStyle name="Normal 57 4 2 6 3" xfId="4232"/>
    <cellStyle name="Normal 57 4 2 6 3 2" xfId="17938"/>
    <cellStyle name="Normal 57 4 2 6 3 2 2" xfId="28189"/>
    <cellStyle name="Normal 57 4 2 6 3 3" xfId="14359"/>
    <cellStyle name="Normal 57 4 2 6 3 4" xfId="9102"/>
    <cellStyle name="Normal 57 4 2 6 3 5" xfId="23182"/>
    <cellStyle name="Normal 57 4 2 6 4" xfId="5893"/>
    <cellStyle name="Normal 57 4 2 6 4 2" xfId="14979"/>
    <cellStyle name="Normal 57 4 2 6 4 3" xfId="24983"/>
    <cellStyle name="Normal 57 4 2 6 5" xfId="10556"/>
    <cellStyle name="Normal 57 4 2 6 5 2" xfId="19383"/>
    <cellStyle name="Normal 57 4 2 6 5 3" xfId="29634"/>
    <cellStyle name="Normal 57 4 2 6 6" xfId="12002"/>
    <cellStyle name="Normal 57 4 2 6 6 2" xfId="24392"/>
    <cellStyle name="Normal 57 4 2 6 7" xfId="5300"/>
    <cellStyle name="Normal 57 4 2 6 8" xfId="19976"/>
    <cellStyle name="Normal 57 4 2 7" xfId="1975"/>
    <cellStyle name="Normal 57 4 2 7 2" xfId="9513"/>
    <cellStyle name="Normal 57 4 2 7 2 2" xfId="18340"/>
    <cellStyle name="Normal 57 4 2 7 2 3" xfId="28591"/>
    <cellStyle name="Normal 57 4 2 7 3" xfId="10957"/>
    <cellStyle name="Normal 57 4 2 7 3 2" xfId="25867"/>
    <cellStyle name="Normal 57 4 2 7 4" xfId="6780"/>
    <cellStyle name="Normal 57 4 2 7 5" xfId="20860"/>
    <cellStyle name="Normal 57 4 2 8" xfId="1840"/>
    <cellStyle name="Normal 57 4 2 8 2" xfId="16895"/>
    <cellStyle name="Normal 57 4 2 8 2 2" xfId="27146"/>
    <cellStyle name="Normal 57 4 2 8 3" xfId="13316"/>
    <cellStyle name="Normal 57 4 2 8 4" xfId="8059"/>
    <cellStyle name="Normal 57 4 2 8 5" xfId="22139"/>
    <cellStyle name="Normal 57 4 2 9" xfId="5620"/>
    <cellStyle name="Normal 57 4 2 9 2" xfId="14706"/>
    <cellStyle name="Normal 57 4 2 9 3" xfId="24710"/>
    <cellStyle name="Normal 57 4 2_Degree data" xfId="1686"/>
    <cellStyle name="Normal 57 4 3" xfId="258"/>
    <cellStyle name="Normal 57 4 3 10" xfId="10985"/>
    <cellStyle name="Normal 57 4 3 10 2" xfId="23494"/>
    <cellStyle name="Normal 57 4 3 11" xfId="4402"/>
    <cellStyle name="Normal 57 4 3 12" xfId="19731"/>
    <cellStyle name="Normal 57 4 3 2" xfId="360"/>
    <cellStyle name="Normal 57 4 3 2 10" xfId="19831"/>
    <cellStyle name="Normal 57 4 3 2 2" xfId="715"/>
    <cellStyle name="Normal 57 4 3 2 2 2" xfId="2447"/>
    <cellStyle name="Normal 57 4 3 2 2 2 2" xfId="16342"/>
    <cellStyle name="Normal 57 4 3 2 2 2 2 2" xfId="26561"/>
    <cellStyle name="Normal 57 4 3 2 2 2 3" xfId="12764"/>
    <cellStyle name="Normal 57 4 3 2 2 2 4" xfId="7474"/>
    <cellStyle name="Normal 57 4 3 2 2 2 5" xfId="21554"/>
    <cellStyle name="Normal 57 4 3 2 2 3" xfId="3720"/>
    <cellStyle name="Normal 57 4 3 2 2 3 2" xfId="17367"/>
    <cellStyle name="Normal 57 4 3 2 2 3 2 2" xfId="27618"/>
    <cellStyle name="Normal 57 4 3 2 2 3 3" xfId="13788"/>
    <cellStyle name="Normal 57 4 3 2 2 3 4" xfId="8531"/>
    <cellStyle name="Normal 57 4 3 2 2 3 5" xfId="22611"/>
    <cellStyle name="Normal 57 4 3 2 2 4" xfId="6590"/>
    <cellStyle name="Normal 57 4 3 2 2 4 2" xfId="15674"/>
    <cellStyle name="Normal 57 4 3 2 2 4 3" xfId="25678"/>
    <cellStyle name="Normal 57 4 3 2 2 5" xfId="9985"/>
    <cellStyle name="Normal 57 4 3 2 2 5 2" xfId="18812"/>
    <cellStyle name="Normal 57 4 3 2 2 5 3" xfId="29063"/>
    <cellStyle name="Normal 57 4 3 2 2 6" xfId="11430"/>
    <cellStyle name="Normal 57 4 3 2 2 6 2" xfId="24160"/>
    <cellStyle name="Normal 57 4 3 2 2 7" xfId="5068"/>
    <cellStyle name="Normal 57 4 3 2 2 8" xfId="20671"/>
    <cellStyle name="Normal 57 4 3 2 3" xfId="1073"/>
    <cellStyle name="Normal 57 4 3 2 3 2" xfId="2795"/>
    <cellStyle name="Normal 57 4 3 2 3 2 2" xfId="16702"/>
    <cellStyle name="Normal 57 4 3 2 3 2 2 2" xfId="26921"/>
    <cellStyle name="Normal 57 4 3 2 3 2 3" xfId="13123"/>
    <cellStyle name="Normal 57 4 3 2 3 2 4" xfId="7834"/>
    <cellStyle name="Normal 57 4 3 2 3 2 5" xfId="21914"/>
    <cellStyle name="Normal 57 4 3 2 3 3" xfId="4069"/>
    <cellStyle name="Normal 57 4 3 2 3 3 2" xfId="17715"/>
    <cellStyle name="Normal 57 4 3 2 3 3 2 2" xfId="27966"/>
    <cellStyle name="Normal 57 4 3 2 3 3 3" xfId="14136"/>
    <cellStyle name="Normal 57 4 3 2 3 3 4" xfId="8879"/>
    <cellStyle name="Normal 57 4 3 2 3 3 5" xfId="22959"/>
    <cellStyle name="Normal 57 4 3 2 3 4" xfId="6241"/>
    <cellStyle name="Normal 57 4 3 2 3 4 2" xfId="15325"/>
    <cellStyle name="Normal 57 4 3 2 3 4 3" xfId="25329"/>
    <cellStyle name="Normal 57 4 3 2 3 5" xfId="10333"/>
    <cellStyle name="Normal 57 4 3 2 3 5 2" xfId="19160"/>
    <cellStyle name="Normal 57 4 3 2 3 5 3" xfId="29411"/>
    <cellStyle name="Normal 57 4 3 2 3 6" xfId="11779"/>
    <cellStyle name="Normal 57 4 3 2 3 6 2" xfId="24520"/>
    <cellStyle name="Normal 57 4 3 2 3 7" xfId="5428"/>
    <cellStyle name="Normal 57 4 3 2 3 8" xfId="20322"/>
    <cellStyle name="Normal 57 4 3 2 4" xfId="1547"/>
    <cellStyle name="Normal 57 4 3 2 4 2" xfId="3146"/>
    <cellStyle name="Normal 57 4 3 2 4 2 2" xfId="18066"/>
    <cellStyle name="Normal 57 4 3 2 4 2 2 2" xfId="28317"/>
    <cellStyle name="Normal 57 4 3 2 4 2 3" xfId="14487"/>
    <cellStyle name="Normal 57 4 3 2 4 2 4" xfId="9230"/>
    <cellStyle name="Normal 57 4 3 2 4 2 5" xfId="23310"/>
    <cellStyle name="Normal 57 4 3 2 4 3" xfId="10684"/>
    <cellStyle name="Normal 57 4 3 2 4 3 2" xfId="19511"/>
    <cellStyle name="Normal 57 4 3 2 4 3 3" xfId="29762"/>
    <cellStyle name="Normal 57 4 3 2 4 4" xfId="12130"/>
    <cellStyle name="Normal 57 4 3 2 4 4 2" xfId="26212"/>
    <cellStyle name="Normal 57 4 3 2 4 5" xfId="7125"/>
    <cellStyle name="Normal 57 4 3 2 4 6" xfId="21205"/>
    <cellStyle name="Normal 57 4 3 2 5" xfId="2103"/>
    <cellStyle name="Normal 57 4 3 2 5 2" xfId="17023"/>
    <cellStyle name="Normal 57 4 3 2 5 2 2" xfId="27274"/>
    <cellStyle name="Normal 57 4 3 2 5 3" xfId="13444"/>
    <cellStyle name="Normal 57 4 3 2 5 4" xfId="8187"/>
    <cellStyle name="Normal 57 4 3 2 5 5" xfId="22267"/>
    <cellStyle name="Normal 57 4 3 2 6" xfId="5748"/>
    <cellStyle name="Normal 57 4 3 2 6 2" xfId="14834"/>
    <cellStyle name="Normal 57 4 3 2 6 3" xfId="24838"/>
    <cellStyle name="Normal 57 4 3 2 7" xfId="9641"/>
    <cellStyle name="Normal 57 4 3 2 7 2" xfId="18468"/>
    <cellStyle name="Normal 57 4 3 2 7 3" xfId="28719"/>
    <cellStyle name="Normal 57 4 3 2 8" xfId="11085"/>
    <cellStyle name="Normal 57 4 3 2 8 2" xfId="23811"/>
    <cellStyle name="Normal 57 4 3 2 9" xfId="4719"/>
    <cellStyle name="Normal 57 4 3 2_Degree data" xfId="1691"/>
    <cellStyle name="Normal 57 4 3 3" xfId="714"/>
    <cellStyle name="Normal 57 4 3 3 2" xfId="2446"/>
    <cellStyle name="Normal 57 4 3 3 2 2" xfId="16039"/>
    <cellStyle name="Normal 57 4 3 3 2 2 2" xfId="26112"/>
    <cellStyle name="Normal 57 4 3 3 2 3" xfId="12470"/>
    <cellStyle name="Normal 57 4 3 3 2 4" xfId="7025"/>
    <cellStyle name="Normal 57 4 3 3 2 5" xfId="21105"/>
    <cellStyle name="Normal 57 4 3 3 3" xfId="3719"/>
    <cellStyle name="Normal 57 4 3 3 3 2" xfId="17366"/>
    <cellStyle name="Normal 57 4 3 3 3 2 2" xfId="27617"/>
    <cellStyle name="Normal 57 4 3 3 3 3" xfId="13787"/>
    <cellStyle name="Normal 57 4 3 3 3 4" xfId="8530"/>
    <cellStyle name="Normal 57 4 3 3 3 5" xfId="22610"/>
    <cellStyle name="Normal 57 4 3 3 4" xfId="6141"/>
    <cellStyle name="Normal 57 4 3 3 4 2" xfId="15225"/>
    <cellStyle name="Normal 57 4 3 3 4 3" xfId="25229"/>
    <cellStyle name="Normal 57 4 3 3 5" xfId="9984"/>
    <cellStyle name="Normal 57 4 3 3 5 2" xfId="18811"/>
    <cellStyle name="Normal 57 4 3 3 5 3" xfId="29062"/>
    <cellStyle name="Normal 57 4 3 3 6" xfId="11429"/>
    <cellStyle name="Normal 57 4 3 3 6 2" xfId="23711"/>
    <cellStyle name="Normal 57 4 3 3 7" xfId="4619"/>
    <cellStyle name="Normal 57 4 3 3 8" xfId="20222"/>
    <cellStyle name="Normal 57 4 3 4" xfId="1072"/>
    <cellStyle name="Normal 57 4 3 4 2" xfId="2794"/>
    <cellStyle name="Normal 57 4 3 4 2 2" xfId="16341"/>
    <cellStyle name="Normal 57 4 3 4 2 2 2" xfId="26560"/>
    <cellStyle name="Normal 57 4 3 4 2 3" xfId="12763"/>
    <cellStyle name="Normal 57 4 3 4 2 4" xfId="7473"/>
    <cellStyle name="Normal 57 4 3 4 2 5" xfId="21553"/>
    <cellStyle name="Normal 57 4 3 4 3" xfId="4068"/>
    <cellStyle name="Normal 57 4 3 4 3 2" xfId="17714"/>
    <cellStyle name="Normal 57 4 3 4 3 2 2" xfId="27965"/>
    <cellStyle name="Normal 57 4 3 4 3 3" xfId="14135"/>
    <cellStyle name="Normal 57 4 3 4 3 4" xfId="8878"/>
    <cellStyle name="Normal 57 4 3 4 3 5" xfId="22958"/>
    <cellStyle name="Normal 57 4 3 4 4" xfId="6589"/>
    <cellStyle name="Normal 57 4 3 4 4 2" xfId="15673"/>
    <cellStyle name="Normal 57 4 3 4 4 3" xfId="25677"/>
    <cellStyle name="Normal 57 4 3 4 5" xfId="10332"/>
    <cellStyle name="Normal 57 4 3 4 5 2" xfId="19159"/>
    <cellStyle name="Normal 57 4 3 4 5 3" xfId="29410"/>
    <cellStyle name="Normal 57 4 3 4 6" xfId="11778"/>
    <cellStyle name="Normal 57 4 3 4 6 2" xfId="24159"/>
    <cellStyle name="Normal 57 4 3 4 7" xfId="5067"/>
    <cellStyle name="Normal 57 4 3 4 8" xfId="20670"/>
    <cellStyle name="Normal 57 4 3 5" xfId="1445"/>
    <cellStyle name="Normal 57 4 3 5 2" xfId="3046"/>
    <cellStyle name="Normal 57 4 3 5 2 2" xfId="16602"/>
    <cellStyle name="Normal 57 4 3 5 2 2 2" xfId="26821"/>
    <cellStyle name="Normal 57 4 3 5 2 3" xfId="13023"/>
    <cellStyle name="Normal 57 4 3 5 2 4" xfId="7734"/>
    <cellStyle name="Normal 57 4 3 5 2 5" xfId="21814"/>
    <cellStyle name="Normal 57 4 3 5 3" xfId="4260"/>
    <cellStyle name="Normal 57 4 3 5 3 2" xfId="17966"/>
    <cellStyle name="Normal 57 4 3 5 3 2 2" xfId="28217"/>
    <cellStyle name="Normal 57 4 3 5 3 3" xfId="14387"/>
    <cellStyle name="Normal 57 4 3 5 3 4" xfId="9130"/>
    <cellStyle name="Normal 57 4 3 5 3 5" xfId="23210"/>
    <cellStyle name="Normal 57 4 3 5 4" xfId="5922"/>
    <cellStyle name="Normal 57 4 3 5 4 2" xfId="15008"/>
    <cellStyle name="Normal 57 4 3 5 4 3" xfId="25012"/>
    <cellStyle name="Normal 57 4 3 5 5" xfId="10584"/>
    <cellStyle name="Normal 57 4 3 5 5 2" xfId="19411"/>
    <cellStyle name="Normal 57 4 3 5 5 3" xfId="29662"/>
    <cellStyle name="Normal 57 4 3 5 6" xfId="12030"/>
    <cellStyle name="Normal 57 4 3 5 6 2" xfId="24420"/>
    <cellStyle name="Normal 57 4 3 5 7" xfId="5328"/>
    <cellStyle name="Normal 57 4 3 5 8" xfId="20005"/>
    <cellStyle name="Normal 57 4 3 6" xfId="2003"/>
    <cellStyle name="Normal 57 4 3 6 2" xfId="15851"/>
    <cellStyle name="Normal 57 4 3 6 2 2" xfId="25895"/>
    <cellStyle name="Normal 57 4 3 6 3" xfId="12445"/>
    <cellStyle name="Normal 57 4 3 6 4" xfId="6808"/>
    <cellStyle name="Normal 57 4 3 6 5" xfId="20888"/>
    <cellStyle name="Normal 57 4 3 7" xfId="3422"/>
    <cellStyle name="Normal 57 4 3 7 2" xfId="16923"/>
    <cellStyle name="Normal 57 4 3 7 2 2" xfId="27174"/>
    <cellStyle name="Normal 57 4 3 7 3" xfId="13344"/>
    <cellStyle name="Normal 57 4 3 7 4" xfId="8087"/>
    <cellStyle name="Normal 57 4 3 7 5" xfId="22167"/>
    <cellStyle name="Normal 57 4 3 8" xfId="5648"/>
    <cellStyle name="Normal 57 4 3 8 2" xfId="14734"/>
    <cellStyle name="Normal 57 4 3 8 3" xfId="24738"/>
    <cellStyle name="Normal 57 4 3 9" xfId="9541"/>
    <cellStyle name="Normal 57 4 3 9 2" xfId="18368"/>
    <cellStyle name="Normal 57 4 3 9 3" xfId="28619"/>
    <cellStyle name="Normal 57 4 3_Degree data" xfId="1690"/>
    <cellStyle name="Normal 57 4 4" xfId="197"/>
    <cellStyle name="Normal 57 4 4 10" xfId="10929"/>
    <cellStyle name="Normal 57 4 4 10 2" xfId="23543"/>
    <cellStyle name="Normal 57 4 4 11" xfId="4451"/>
    <cellStyle name="Normal 57 4 4 12" xfId="19675"/>
    <cellStyle name="Normal 57 4 4 2" xfId="411"/>
    <cellStyle name="Normal 57 4 4 2 10" xfId="19880"/>
    <cellStyle name="Normal 57 4 4 2 2" xfId="717"/>
    <cellStyle name="Normal 57 4 4 2 2 2" xfId="2449"/>
    <cellStyle name="Normal 57 4 4 2 2 2 2" xfId="16344"/>
    <cellStyle name="Normal 57 4 4 2 2 2 2 2" xfId="26563"/>
    <cellStyle name="Normal 57 4 4 2 2 2 3" xfId="12766"/>
    <cellStyle name="Normal 57 4 4 2 2 2 4" xfId="7476"/>
    <cellStyle name="Normal 57 4 4 2 2 2 5" xfId="21556"/>
    <cellStyle name="Normal 57 4 4 2 2 3" xfId="3722"/>
    <cellStyle name="Normal 57 4 4 2 2 3 2" xfId="17369"/>
    <cellStyle name="Normal 57 4 4 2 2 3 2 2" xfId="27620"/>
    <cellStyle name="Normal 57 4 4 2 2 3 3" xfId="13790"/>
    <cellStyle name="Normal 57 4 4 2 2 3 4" xfId="8533"/>
    <cellStyle name="Normal 57 4 4 2 2 3 5" xfId="22613"/>
    <cellStyle name="Normal 57 4 4 2 2 4" xfId="6592"/>
    <cellStyle name="Normal 57 4 4 2 2 4 2" xfId="15676"/>
    <cellStyle name="Normal 57 4 4 2 2 4 3" xfId="25680"/>
    <cellStyle name="Normal 57 4 4 2 2 5" xfId="9987"/>
    <cellStyle name="Normal 57 4 4 2 2 5 2" xfId="18814"/>
    <cellStyle name="Normal 57 4 4 2 2 5 3" xfId="29065"/>
    <cellStyle name="Normal 57 4 4 2 2 6" xfId="11432"/>
    <cellStyle name="Normal 57 4 4 2 2 6 2" xfId="24162"/>
    <cellStyle name="Normal 57 4 4 2 2 7" xfId="5070"/>
    <cellStyle name="Normal 57 4 4 2 2 8" xfId="20673"/>
    <cellStyle name="Normal 57 4 4 2 3" xfId="1075"/>
    <cellStyle name="Normal 57 4 4 2 3 2" xfId="2797"/>
    <cellStyle name="Normal 57 4 4 2 3 2 2" xfId="16751"/>
    <cellStyle name="Normal 57 4 4 2 3 2 2 2" xfId="26970"/>
    <cellStyle name="Normal 57 4 4 2 3 2 3" xfId="13172"/>
    <cellStyle name="Normal 57 4 4 2 3 2 4" xfId="7883"/>
    <cellStyle name="Normal 57 4 4 2 3 2 5" xfId="21963"/>
    <cellStyle name="Normal 57 4 4 2 3 3" xfId="4071"/>
    <cellStyle name="Normal 57 4 4 2 3 3 2" xfId="17717"/>
    <cellStyle name="Normal 57 4 4 2 3 3 2 2" xfId="27968"/>
    <cellStyle name="Normal 57 4 4 2 3 3 3" xfId="14138"/>
    <cellStyle name="Normal 57 4 4 2 3 3 4" xfId="8881"/>
    <cellStyle name="Normal 57 4 4 2 3 3 5" xfId="22961"/>
    <cellStyle name="Normal 57 4 4 2 3 4" xfId="6290"/>
    <cellStyle name="Normal 57 4 4 2 3 4 2" xfId="15374"/>
    <cellStyle name="Normal 57 4 4 2 3 4 3" xfId="25378"/>
    <cellStyle name="Normal 57 4 4 2 3 5" xfId="10335"/>
    <cellStyle name="Normal 57 4 4 2 3 5 2" xfId="19162"/>
    <cellStyle name="Normal 57 4 4 2 3 5 3" xfId="29413"/>
    <cellStyle name="Normal 57 4 4 2 3 6" xfId="11781"/>
    <cellStyle name="Normal 57 4 4 2 3 6 2" xfId="24569"/>
    <cellStyle name="Normal 57 4 4 2 3 7" xfId="5477"/>
    <cellStyle name="Normal 57 4 4 2 3 8" xfId="20371"/>
    <cellStyle name="Normal 57 4 4 2 4" xfId="1598"/>
    <cellStyle name="Normal 57 4 4 2 4 2" xfId="3195"/>
    <cellStyle name="Normal 57 4 4 2 4 2 2" xfId="18115"/>
    <cellStyle name="Normal 57 4 4 2 4 2 2 2" xfId="28366"/>
    <cellStyle name="Normal 57 4 4 2 4 2 3" xfId="14536"/>
    <cellStyle name="Normal 57 4 4 2 4 2 4" xfId="9279"/>
    <cellStyle name="Normal 57 4 4 2 4 2 5" xfId="23359"/>
    <cellStyle name="Normal 57 4 4 2 4 3" xfId="10733"/>
    <cellStyle name="Normal 57 4 4 2 4 3 2" xfId="19560"/>
    <cellStyle name="Normal 57 4 4 2 4 3 3" xfId="29811"/>
    <cellStyle name="Normal 57 4 4 2 4 4" xfId="12179"/>
    <cellStyle name="Normal 57 4 4 2 4 4 2" xfId="26261"/>
    <cellStyle name="Normal 57 4 4 2 4 5" xfId="7174"/>
    <cellStyle name="Normal 57 4 4 2 4 6" xfId="21254"/>
    <cellStyle name="Normal 57 4 4 2 5" xfId="2152"/>
    <cellStyle name="Normal 57 4 4 2 5 2" xfId="17072"/>
    <cellStyle name="Normal 57 4 4 2 5 2 2" xfId="27323"/>
    <cellStyle name="Normal 57 4 4 2 5 3" xfId="13493"/>
    <cellStyle name="Normal 57 4 4 2 5 4" xfId="8236"/>
    <cellStyle name="Normal 57 4 4 2 5 5" xfId="22316"/>
    <cellStyle name="Normal 57 4 4 2 6" xfId="5797"/>
    <cellStyle name="Normal 57 4 4 2 6 2" xfId="14883"/>
    <cellStyle name="Normal 57 4 4 2 6 3" xfId="24887"/>
    <cellStyle name="Normal 57 4 4 2 7" xfId="9690"/>
    <cellStyle name="Normal 57 4 4 2 7 2" xfId="18517"/>
    <cellStyle name="Normal 57 4 4 2 7 3" xfId="28768"/>
    <cellStyle name="Normal 57 4 4 2 8" xfId="11134"/>
    <cellStyle name="Normal 57 4 4 2 8 2" xfId="23860"/>
    <cellStyle name="Normal 57 4 4 2 9" xfId="4768"/>
    <cellStyle name="Normal 57 4 4 2_Degree data" xfId="1693"/>
    <cellStyle name="Normal 57 4 4 3" xfId="716"/>
    <cellStyle name="Normal 57 4 4 3 2" xfId="2448"/>
    <cellStyle name="Normal 57 4 4 3 2 2" xfId="15983"/>
    <cellStyle name="Normal 57 4 4 3 2 2 2" xfId="26056"/>
    <cellStyle name="Normal 57 4 4 3 2 3" xfId="12478"/>
    <cellStyle name="Normal 57 4 4 3 2 4" xfId="6969"/>
    <cellStyle name="Normal 57 4 4 3 2 5" xfId="21049"/>
    <cellStyle name="Normal 57 4 4 3 3" xfId="3721"/>
    <cellStyle name="Normal 57 4 4 3 3 2" xfId="17368"/>
    <cellStyle name="Normal 57 4 4 3 3 2 2" xfId="27619"/>
    <cellStyle name="Normal 57 4 4 3 3 3" xfId="13789"/>
    <cellStyle name="Normal 57 4 4 3 3 4" xfId="8532"/>
    <cellStyle name="Normal 57 4 4 3 3 5" xfId="22612"/>
    <cellStyle name="Normal 57 4 4 3 4" xfId="6085"/>
    <cellStyle name="Normal 57 4 4 3 4 2" xfId="15169"/>
    <cellStyle name="Normal 57 4 4 3 4 3" xfId="25173"/>
    <cellStyle name="Normal 57 4 4 3 5" xfId="9986"/>
    <cellStyle name="Normal 57 4 4 3 5 2" xfId="18813"/>
    <cellStyle name="Normal 57 4 4 3 5 3" xfId="29064"/>
    <cellStyle name="Normal 57 4 4 3 6" xfId="11431"/>
    <cellStyle name="Normal 57 4 4 3 6 2" xfId="23655"/>
    <cellStyle name="Normal 57 4 4 3 7" xfId="4563"/>
    <cellStyle name="Normal 57 4 4 3 8" xfId="20166"/>
    <cellStyle name="Normal 57 4 4 4" xfId="1074"/>
    <cellStyle name="Normal 57 4 4 4 2" xfId="2796"/>
    <cellStyle name="Normal 57 4 4 4 2 2" xfId="16343"/>
    <cellStyle name="Normal 57 4 4 4 2 2 2" xfId="26562"/>
    <cellStyle name="Normal 57 4 4 4 2 3" xfId="12765"/>
    <cellStyle name="Normal 57 4 4 4 2 4" xfId="7475"/>
    <cellStyle name="Normal 57 4 4 4 2 5" xfId="21555"/>
    <cellStyle name="Normal 57 4 4 4 3" xfId="4070"/>
    <cellStyle name="Normal 57 4 4 4 3 2" xfId="17716"/>
    <cellStyle name="Normal 57 4 4 4 3 2 2" xfId="27967"/>
    <cellStyle name="Normal 57 4 4 4 3 3" xfId="14137"/>
    <cellStyle name="Normal 57 4 4 4 3 4" xfId="8880"/>
    <cellStyle name="Normal 57 4 4 4 3 5" xfId="22960"/>
    <cellStyle name="Normal 57 4 4 4 4" xfId="6591"/>
    <cellStyle name="Normal 57 4 4 4 4 2" xfId="15675"/>
    <cellStyle name="Normal 57 4 4 4 4 3" xfId="25679"/>
    <cellStyle name="Normal 57 4 4 4 5" xfId="10334"/>
    <cellStyle name="Normal 57 4 4 4 5 2" xfId="19161"/>
    <cellStyle name="Normal 57 4 4 4 5 3" xfId="29412"/>
    <cellStyle name="Normal 57 4 4 4 6" xfId="11780"/>
    <cellStyle name="Normal 57 4 4 4 6 2" xfId="24161"/>
    <cellStyle name="Normal 57 4 4 4 7" xfId="5069"/>
    <cellStyle name="Normal 57 4 4 4 8" xfId="20672"/>
    <cellStyle name="Normal 57 4 4 5" xfId="1384"/>
    <cellStyle name="Normal 57 4 4 5 2" xfId="2990"/>
    <cellStyle name="Normal 57 4 4 5 2 2" xfId="16546"/>
    <cellStyle name="Normal 57 4 4 5 2 2 2" xfId="26765"/>
    <cellStyle name="Normal 57 4 4 5 2 3" xfId="12967"/>
    <cellStyle name="Normal 57 4 4 5 2 4" xfId="7678"/>
    <cellStyle name="Normal 57 4 4 5 2 5" xfId="21758"/>
    <cellStyle name="Normal 57 4 4 5 3" xfId="4204"/>
    <cellStyle name="Normal 57 4 4 5 3 2" xfId="17910"/>
    <cellStyle name="Normal 57 4 4 5 3 2 2" xfId="28161"/>
    <cellStyle name="Normal 57 4 4 5 3 3" xfId="14331"/>
    <cellStyle name="Normal 57 4 4 5 3 4" xfId="9074"/>
    <cellStyle name="Normal 57 4 4 5 3 5" xfId="23154"/>
    <cellStyle name="Normal 57 4 4 5 4" xfId="5971"/>
    <cellStyle name="Normal 57 4 4 5 4 2" xfId="15057"/>
    <cellStyle name="Normal 57 4 4 5 4 3" xfId="25061"/>
    <cellStyle name="Normal 57 4 4 5 5" xfId="10528"/>
    <cellStyle name="Normal 57 4 4 5 5 2" xfId="19355"/>
    <cellStyle name="Normal 57 4 4 5 5 3" xfId="29606"/>
    <cellStyle name="Normal 57 4 4 5 6" xfId="11974"/>
    <cellStyle name="Normal 57 4 4 5 6 2" xfId="24364"/>
    <cellStyle name="Normal 57 4 4 5 7" xfId="5272"/>
    <cellStyle name="Normal 57 4 4 5 8" xfId="20054"/>
    <cellStyle name="Normal 57 4 4 6" xfId="1947"/>
    <cellStyle name="Normal 57 4 4 6 2" xfId="15900"/>
    <cellStyle name="Normal 57 4 4 6 2 2" xfId="25944"/>
    <cellStyle name="Normal 57 4 4 6 3" xfId="12348"/>
    <cellStyle name="Normal 57 4 4 6 4" xfId="6857"/>
    <cellStyle name="Normal 57 4 4 6 5" xfId="20937"/>
    <cellStyle name="Normal 57 4 4 7" xfId="3367"/>
    <cellStyle name="Normal 57 4 4 7 2" xfId="16867"/>
    <cellStyle name="Normal 57 4 4 7 2 2" xfId="27118"/>
    <cellStyle name="Normal 57 4 4 7 3" xfId="13288"/>
    <cellStyle name="Normal 57 4 4 7 4" xfId="8031"/>
    <cellStyle name="Normal 57 4 4 7 5" xfId="22111"/>
    <cellStyle name="Normal 57 4 4 8" xfId="5592"/>
    <cellStyle name="Normal 57 4 4 8 2" xfId="14678"/>
    <cellStyle name="Normal 57 4 4 8 3" xfId="24682"/>
    <cellStyle name="Normal 57 4 4 9" xfId="9485"/>
    <cellStyle name="Normal 57 4 4 9 2" xfId="18312"/>
    <cellStyle name="Normal 57 4 4 9 3" xfId="28563"/>
    <cellStyle name="Normal 57 4 4_Degree data" xfId="1692"/>
    <cellStyle name="Normal 57 4 5" xfId="303"/>
    <cellStyle name="Normal 57 4 5 10" xfId="19775"/>
    <cellStyle name="Normal 57 4 5 2" xfId="718"/>
    <cellStyle name="Normal 57 4 5 2 2" xfId="2450"/>
    <cellStyle name="Normal 57 4 5 2 2 2" xfId="16345"/>
    <cellStyle name="Normal 57 4 5 2 2 2 2" xfId="26564"/>
    <cellStyle name="Normal 57 4 5 2 2 3" xfId="12767"/>
    <cellStyle name="Normal 57 4 5 2 2 4" xfId="7477"/>
    <cellStyle name="Normal 57 4 5 2 2 5" xfId="21557"/>
    <cellStyle name="Normal 57 4 5 2 3" xfId="3723"/>
    <cellStyle name="Normal 57 4 5 2 3 2" xfId="17370"/>
    <cellStyle name="Normal 57 4 5 2 3 2 2" xfId="27621"/>
    <cellStyle name="Normal 57 4 5 2 3 3" xfId="13791"/>
    <cellStyle name="Normal 57 4 5 2 3 4" xfId="8534"/>
    <cellStyle name="Normal 57 4 5 2 3 5" xfId="22614"/>
    <cellStyle name="Normal 57 4 5 2 4" xfId="6593"/>
    <cellStyle name="Normal 57 4 5 2 4 2" xfId="15677"/>
    <cellStyle name="Normal 57 4 5 2 4 3" xfId="25681"/>
    <cellStyle name="Normal 57 4 5 2 5" xfId="9988"/>
    <cellStyle name="Normal 57 4 5 2 5 2" xfId="18815"/>
    <cellStyle name="Normal 57 4 5 2 5 3" xfId="29066"/>
    <cellStyle name="Normal 57 4 5 2 6" xfId="11433"/>
    <cellStyle name="Normal 57 4 5 2 6 2" xfId="24163"/>
    <cellStyle name="Normal 57 4 5 2 7" xfId="5071"/>
    <cellStyle name="Normal 57 4 5 2 8" xfId="20674"/>
    <cellStyle name="Normal 57 4 5 3" xfId="1076"/>
    <cellStyle name="Normal 57 4 5 3 2" xfId="2798"/>
    <cellStyle name="Normal 57 4 5 3 2 2" xfId="16646"/>
    <cellStyle name="Normal 57 4 5 3 2 2 2" xfId="26865"/>
    <cellStyle name="Normal 57 4 5 3 2 3" xfId="13067"/>
    <cellStyle name="Normal 57 4 5 3 2 4" xfId="7778"/>
    <cellStyle name="Normal 57 4 5 3 2 5" xfId="21858"/>
    <cellStyle name="Normal 57 4 5 3 3" xfId="4072"/>
    <cellStyle name="Normal 57 4 5 3 3 2" xfId="17718"/>
    <cellStyle name="Normal 57 4 5 3 3 2 2" xfId="27969"/>
    <cellStyle name="Normal 57 4 5 3 3 3" xfId="14139"/>
    <cellStyle name="Normal 57 4 5 3 3 4" xfId="8882"/>
    <cellStyle name="Normal 57 4 5 3 3 5" xfId="22962"/>
    <cellStyle name="Normal 57 4 5 3 4" xfId="6185"/>
    <cellStyle name="Normal 57 4 5 3 4 2" xfId="15269"/>
    <cellStyle name="Normal 57 4 5 3 4 3" xfId="25273"/>
    <cellStyle name="Normal 57 4 5 3 5" xfId="10336"/>
    <cellStyle name="Normal 57 4 5 3 5 2" xfId="19163"/>
    <cellStyle name="Normal 57 4 5 3 5 3" xfId="29414"/>
    <cellStyle name="Normal 57 4 5 3 6" xfId="11782"/>
    <cellStyle name="Normal 57 4 5 3 6 2" xfId="24464"/>
    <cellStyle name="Normal 57 4 5 3 7" xfId="5372"/>
    <cellStyle name="Normal 57 4 5 3 8" xfId="20266"/>
    <cellStyle name="Normal 57 4 5 4" xfId="1490"/>
    <cellStyle name="Normal 57 4 5 4 2" xfId="3090"/>
    <cellStyle name="Normal 57 4 5 4 2 2" xfId="18010"/>
    <cellStyle name="Normal 57 4 5 4 2 2 2" xfId="28261"/>
    <cellStyle name="Normal 57 4 5 4 2 3" xfId="14431"/>
    <cellStyle name="Normal 57 4 5 4 2 4" xfId="9174"/>
    <cellStyle name="Normal 57 4 5 4 2 5" xfId="23254"/>
    <cellStyle name="Normal 57 4 5 4 3" xfId="10628"/>
    <cellStyle name="Normal 57 4 5 4 3 2" xfId="19455"/>
    <cellStyle name="Normal 57 4 5 4 3 3" xfId="29706"/>
    <cellStyle name="Normal 57 4 5 4 4" xfId="12074"/>
    <cellStyle name="Normal 57 4 5 4 4 2" xfId="26156"/>
    <cellStyle name="Normal 57 4 5 4 5" xfId="7069"/>
    <cellStyle name="Normal 57 4 5 4 6" xfId="21149"/>
    <cellStyle name="Normal 57 4 5 5" xfId="2047"/>
    <cellStyle name="Normal 57 4 5 5 2" xfId="16967"/>
    <cellStyle name="Normal 57 4 5 5 2 2" xfId="27218"/>
    <cellStyle name="Normal 57 4 5 5 3" xfId="13388"/>
    <cellStyle name="Normal 57 4 5 5 4" xfId="8131"/>
    <cellStyle name="Normal 57 4 5 5 5" xfId="22211"/>
    <cellStyle name="Normal 57 4 5 6" xfId="5692"/>
    <cellStyle name="Normal 57 4 5 6 2" xfId="14778"/>
    <cellStyle name="Normal 57 4 5 6 3" xfId="24782"/>
    <cellStyle name="Normal 57 4 5 7" xfId="9585"/>
    <cellStyle name="Normal 57 4 5 7 2" xfId="18412"/>
    <cellStyle name="Normal 57 4 5 7 3" xfId="28663"/>
    <cellStyle name="Normal 57 4 5 8" xfId="11029"/>
    <cellStyle name="Normal 57 4 5 8 2" xfId="23755"/>
    <cellStyle name="Normal 57 4 5 9" xfId="4663"/>
    <cellStyle name="Normal 57 4 5_Degree data" xfId="1694"/>
    <cellStyle name="Normal 57 4 6" xfId="160"/>
    <cellStyle name="Normal 57 4 6 10" xfId="20135"/>
    <cellStyle name="Normal 57 4 6 2" xfId="719"/>
    <cellStyle name="Normal 57 4 6 2 2" xfId="2451"/>
    <cellStyle name="Normal 57 4 6 2 2 2" xfId="16346"/>
    <cellStyle name="Normal 57 4 6 2 2 2 2" xfId="26565"/>
    <cellStyle name="Normal 57 4 6 2 2 3" xfId="12768"/>
    <cellStyle name="Normal 57 4 6 2 2 4" xfId="7478"/>
    <cellStyle name="Normal 57 4 6 2 2 5" xfId="21558"/>
    <cellStyle name="Normal 57 4 6 2 3" xfId="3724"/>
    <cellStyle name="Normal 57 4 6 2 3 2" xfId="17371"/>
    <cellStyle name="Normal 57 4 6 2 3 2 2" xfId="27622"/>
    <cellStyle name="Normal 57 4 6 2 3 3" xfId="13792"/>
    <cellStyle name="Normal 57 4 6 2 3 4" xfId="8535"/>
    <cellStyle name="Normal 57 4 6 2 3 5" xfId="22615"/>
    <cellStyle name="Normal 57 4 6 2 4" xfId="6594"/>
    <cellStyle name="Normal 57 4 6 2 4 2" xfId="15678"/>
    <cellStyle name="Normal 57 4 6 2 4 3" xfId="25682"/>
    <cellStyle name="Normal 57 4 6 2 5" xfId="9989"/>
    <cellStyle name="Normal 57 4 6 2 5 2" xfId="18816"/>
    <cellStyle name="Normal 57 4 6 2 5 3" xfId="29067"/>
    <cellStyle name="Normal 57 4 6 2 6" xfId="11434"/>
    <cellStyle name="Normal 57 4 6 2 6 2" xfId="24164"/>
    <cellStyle name="Normal 57 4 6 2 7" xfId="5072"/>
    <cellStyle name="Normal 57 4 6 2 8" xfId="20675"/>
    <cellStyle name="Normal 57 4 6 3" xfId="1077"/>
    <cellStyle name="Normal 57 4 6 3 2" xfId="2799"/>
    <cellStyle name="Normal 57 4 6 3 2 2" xfId="16515"/>
    <cellStyle name="Normal 57 4 6 3 2 2 2" xfId="26734"/>
    <cellStyle name="Normal 57 4 6 3 2 3" xfId="12937"/>
    <cellStyle name="Normal 57 4 6 3 2 4" xfId="7647"/>
    <cellStyle name="Normal 57 4 6 3 2 5" xfId="21727"/>
    <cellStyle name="Normal 57 4 6 3 3" xfId="4073"/>
    <cellStyle name="Normal 57 4 6 3 3 2" xfId="17719"/>
    <cellStyle name="Normal 57 4 6 3 3 2 2" xfId="27970"/>
    <cellStyle name="Normal 57 4 6 3 3 3" xfId="14140"/>
    <cellStyle name="Normal 57 4 6 3 3 4" xfId="8883"/>
    <cellStyle name="Normal 57 4 6 3 3 5" xfId="22963"/>
    <cellStyle name="Normal 57 4 6 3 4" xfId="6733"/>
    <cellStyle name="Normal 57 4 6 3 4 2" xfId="15816"/>
    <cellStyle name="Normal 57 4 6 3 4 3" xfId="25820"/>
    <cellStyle name="Normal 57 4 6 3 5" xfId="10337"/>
    <cellStyle name="Normal 57 4 6 3 5 2" xfId="19164"/>
    <cellStyle name="Normal 57 4 6 3 5 3" xfId="29415"/>
    <cellStyle name="Normal 57 4 6 3 6" xfId="11783"/>
    <cellStyle name="Normal 57 4 6 3 6 2" xfId="24333"/>
    <cellStyle name="Normal 57 4 6 3 7" xfId="5241"/>
    <cellStyle name="Normal 57 4 6 3 8" xfId="20813"/>
    <cellStyle name="Normal 57 4 6 4" xfId="1347"/>
    <cellStyle name="Normal 57 4 6 4 2" xfId="2959"/>
    <cellStyle name="Normal 57 4 6 4 2 2" xfId="17879"/>
    <cellStyle name="Normal 57 4 6 4 2 2 2" xfId="28130"/>
    <cellStyle name="Normal 57 4 6 4 2 3" xfId="14300"/>
    <cellStyle name="Normal 57 4 6 4 2 4" xfId="9043"/>
    <cellStyle name="Normal 57 4 6 4 2 5" xfId="23123"/>
    <cellStyle name="Normal 57 4 6 4 3" xfId="10497"/>
    <cellStyle name="Normal 57 4 6 4 3 2" xfId="19324"/>
    <cellStyle name="Normal 57 4 6 4 3 3" xfId="29575"/>
    <cellStyle name="Normal 57 4 6 4 4" xfId="11943"/>
    <cellStyle name="Normal 57 4 6 4 4 2" xfId="26025"/>
    <cellStyle name="Normal 57 4 6 4 5" xfId="6938"/>
    <cellStyle name="Normal 57 4 6 4 6" xfId="21018"/>
    <cellStyle name="Normal 57 4 6 5" xfId="1916"/>
    <cellStyle name="Normal 57 4 6 5 2" xfId="16834"/>
    <cellStyle name="Normal 57 4 6 5 2 2" xfId="27085"/>
    <cellStyle name="Normal 57 4 6 5 3" xfId="13255"/>
    <cellStyle name="Normal 57 4 6 5 4" xfId="7998"/>
    <cellStyle name="Normal 57 4 6 5 5" xfId="22078"/>
    <cellStyle name="Normal 57 4 6 6" xfId="6054"/>
    <cellStyle name="Normal 57 4 6 6 2" xfId="15138"/>
    <cellStyle name="Normal 57 4 6 6 3" xfId="25142"/>
    <cellStyle name="Normal 57 4 6 7" xfId="9454"/>
    <cellStyle name="Normal 57 4 6 7 2" xfId="18281"/>
    <cellStyle name="Normal 57 4 6 7 3" xfId="28532"/>
    <cellStyle name="Normal 57 4 6 8" xfId="10898"/>
    <cellStyle name="Normal 57 4 6 8 2" xfId="23624"/>
    <cellStyle name="Normal 57 4 6 9" xfId="4532"/>
    <cellStyle name="Normal 57 4 6_Degree data" xfId="1695"/>
    <cellStyle name="Normal 57 4 7" xfId="709"/>
    <cellStyle name="Normal 57 4 7 2" xfId="2441"/>
    <cellStyle name="Normal 57 4 7 2 2" xfId="16336"/>
    <cellStyle name="Normal 57 4 7 2 2 2" xfId="26555"/>
    <cellStyle name="Normal 57 4 7 2 3" xfId="12758"/>
    <cellStyle name="Normal 57 4 7 2 4" xfId="7468"/>
    <cellStyle name="Normal 57 4 7 2 5" xfId="21548"/>
    <cellStyle name="Normal 57 4 7 3" xfId="3714"/>
    <cellStyle name="Normal 57 4 7 3 2" xfId="17361"/>
    <cellStyle name="Normal 57 4 7 3 2 2" xfId="27612"/>
    <cellStyle name="Normal 57 4 7 3 3" xfId="13782"/>
    <cellStyle name="Normal 57 4 7 3 4" xfId="8525"/>
    <cellStyle name="Normal 57 4 7 3 5" xfId="22605"/>
    <cellStyle name="Normal 57 4 7 4" xfId="6584"/>
    <cellStyle name="Normal 57 4 7 4 2" xfId="15668"/>
    <cellStyle name="Normal 57 4 7 4 3" xfId="25672"/>
    <cellStyle name="Normal 57 4 7 5" xfId="9979"/>
    <cellStyle name="Normal 57 4 7 5 2" xfId="18806"/>
    <cellStyle name="Normal 57 4 7 5 3" xfId="29057"/>
    <cellStyle name="Normal 57 4 7 6" xfId="11424"/>
    <cellStyle name="Normal 57 4 7 6 2" xfId="24154"/>
    <cellStyle name="Normal 57 4 7 7" xfId="5062"/>
    <cellStyle name="Normal 57 4 7 8" xfId="20665"/>
    <cellStyle name="Normal 57 4 8" xfId="1067"/>
    <cellStyle name="Normal 57 4 8 2" xfId="2789"/>
    <cellStyle name="Normal 57 4 8 2 2" xfId="16472"/>
    <cellStyle name="Normal 57 4 8 2 2 2" xfId="26691"/>
    <cellStyle name="Normal 57 4 8 2 3" xfId="12894"/>
    <cellStyle name="Normal 57 4 8 2 4" xfId="7604"/>
    <cellStyle name="Normal 57 4 8 2 5" xfId="21684"/>
    <cellStyle name="Normal 57 4 8 3" xfId="4063"/>
    <cellStyle name="Normal 57 4 8 3 2" xfId="17709"/>
    <cellStyle name="Normal 57 4 8 3 2 2" xfId="27960"/>
    <cellStyle name="Normal 57 4 8 3 3" xfId="14130"/>
    <cellStyle name="Normal 57 4 8 3 4" xfId="8873"/>
    <cellStyle name="Normal 57 4 8 3 5" xfId="22953"/>
    <cellStyle name="Normal 57 4 8 4" xfId="5865"/>
    <cellStyle name="Normal 57 4 8 4 2" xfId="14951"/>
    <cellStyle name="Normal 57 4 8 4 3" xfId="24955"/>
    <cellStyle name="Normal 57 4 8 5" xfId="10327"/>
    <cellStyle name="Normal 57 4 8 5 2" xfId="19154"/>
    <cellStyle name="Normal 57 4 8 5 3" xfId="29405"/>
    <cellStyle name="Normal 57 4 8 6" xfId="11773"/>
    <cellStyle name="Normal 57 4 8 6 2" xfId="24290"/>
    <cellStyle name="Normal 57 4 8 7" xfId="5198"/>
    <cellStyle name="Normal 57 4 8 8" xfId="19948"/>
    <cellStyle name="Normal 57 4 9" xfId="1276"/>
    <cellStyle name="Normal 57 4 9 2" xfId="2916"/>
    <cellStyle name="Normal 57 4 9 2 2" xfId="17836"/>
    <cellStyle name="Normal 57 4 9 2 2 2" xfId="28087"/>
    <cellStyle name="Normal 57 4 9 2 3" xfId="14257"/>
    <cellStyle name="Normal 57 4 9 2 4" xfId="9000"/>
    <cellStyle name="Normal 57 4 9 2 5" xfId="23080"/>
    <cellStyle name="Normal 57 4 9 3" xfId="10454"/>
    <cellStyle name="Normal 57 4 9 3 2" xfId="19281"/>
    <cellStyle name="Normal 57 4 9 3 3" xfId="29532"/>
    <cellStyle name="Normal 57 4 9 4" xfId="11900"/>
    <cellStyle name="Normal 57 4 9 4 2" xfId="25838"/>
    <cellStyle name="Normal 57 4 9 5" xfId="6751"/>
    <cellStyle name="Normal 57 4 9 6" xfId="20831"/>
    <cellStyle name="Normal 57 4_Degree data" xfId="1685"/>
    <cellStyle name="Normal 57 5" xfId="129"/>
    <cellStyle name="Normal 57 5 10" xfId="1887"/>
    <cellStyle name="Normal 57 5 10 2" xfId="9425"/>
    <cellStyle name="Normal 57 5 10 2 2" xfId="18252"/>
    <cellStyle name="Normal 57 5 10 2 3" xfId="28503"/>
    <cellStyle name="Normal 57 5 10 3" xfId="10869"/>
    <cellStyle name="Normal 57 5 10 3 2" xfId="27056"/>
    <cellStyle name="Normal 57 5 10 4" xfId="7969"/>
    <cellStyle name="Normal 57 5 10 5" xfId="22049"/>
    <cellStyle name="Normal 57 5 11" xfId="1857"/>
    <cellStyle name="Normal 57 5 11 2" xfId="14663"/>
    <cellStyle name="Normal 57 5 11 3" xfId="5577"/>
    <cellStyle name="Normal 57 5 11 4" xfId="24667"/>
    <cellStyle name="Normal 57 5 12" xfId="9395"/>
    <cellStyle name="Normal 57 5 12 2" xfId="18222"/>
    <cellStyle name="Normal 57 5 12 3" xfId="28473"/>
    <cellStyle name="Normal 57 5 13" xfId="10839"/>
    <cellStyle name="Normal 57 5 13 2" xfId="23435"/>
    <cellStyle name="Normal 57 5 14" xfId="4343"/>
    <cellStyle name="Normal 57 5 15" xfId="19660"/>
    <cellStyle name="Normal 57 5 2" xfId="243"/>
    <cellStyle name="Normal 57 5 2 10" xfId="9527"/>
    <cellStyle name="Normal 57 5 2 10 2" xfId="18354"/>
    <cellStyle name="Normal 57 5 2 10 3" xfId="28605"/>
    <cellStyle name="Normal 57 5 2 11" xfId="10971"/>
    <cellStyle name="Normal 57 5 2 11 2" xfId="23480"/>
    <cellStyle name="Normal 57 5 2 12" xfId="4388"/>
    <cellStyle name="Normal 57 5 2 13" xfId="19717"/>
    <cellStyle name="Normal 57 5 2 2" xfId="452"/>
    <cellStyle name="Normal 57 5 2 2 10" xfId="4492"/>
    <cellStyle name="Normal 57 5 2 2 11" xfId="19921"/>
    <cellStyle name="Normal 57 5 2 2 2" xfId="722"/>
    <cellStyle name="Normal 57 5 2 2 2 2" xfId="2454"/>
    <cellStyle name="Normal 57 5 2 2 2 2 2" xfId="16085"/>
    <cellStyle name="Normal 57 5 2 2 2 2 2 2" xfId="26302"/>
    <cellStyle name="Normal 57 5 2 2 2 2 3" xfId="12507"/>
    <cellStyle name="Normal 57 5 2 2 2 2 4" xfId="7215"/>
    <cellStyle name="Normal 57 5 2 2 2 2 5" xfId="21295"/>
    <cellStyle name="Normal 57 5 2 2 2 3" xfId="3727"/>
    <cellStyle name="Normal 57 5 2 2 2 3 2" xfId="17374"/>
    <cellStyle name="Normal 57 5 2 2 2 3 2 2" xfId="27625"/>
    <cellStyle name="Normal 57 5 2 2 2 3 3" xfId="13795"/>
    <cellStyle name="Normal 57 5 2 2 2 3 4" xfId="8538"/>
    <cellStyle name="Normal 57 5 2 2 2 3 5" xfId="22618"/>
    <cellStyle name="Normal 57 5 2 2 2 4" xfId="6331"/>
    <cellStyle name="Normal 57 5 2 2 2 4 2" xfId="15415"/>
    <cellStyle name="Normal 57 5 2 2 2 4 3" xfId="25419"/>
    <cellStyle name="Normal 57 5 2 2 2 5" xfId="9992"/>
    <cellStyle name="Normal 57 5 2 2 2 5 2" xfId="18819"/>
    <cellStyle name="Normal 57 5 2 2 2 5 3" xfId="29070"/>
    <cellStyle name="Normal 57 5 2 2 2 6" xfId="11437"/>
    <cellStyle name="Normal 57 5 2 2 2 6 2" xfId="23901"/>
    <cellStyle name="Normal 57 5 2 2 2 7" xfId="4809"/>
    <cellStyle name="Normal 57 5 2 2 2 8" xfId="20412"/>
    <cellStyle name="Normal 57 5 2 2 3" xfId="1080"/>
    <cellStyle name="Normal 57 5 2 2 3 2" xfId="2802"/>
    <cellStyle name="Normal 57 5 2 2 3 2 2" xfId="16349"/>
    <cellStyle name="Normal 57 5 2 2 3 2 2 2" xfId="26568"/>
    <cellStyle name="Normal 57 5 2 2 3 2 3" xfId="12771"/>
    <cellStyle name="Normal 57 5 2 2 3 2 4" xfId="7481"/>
    <cellStyle name="Normal 57 5 2 2 3 2 5" xfId="21561"/>
    <cellStyle name="Normal 57 5 2 2 3 3" xfId="4076"/>
    <cellStyle name="Normal 57 5 2 2 3 3 2" xfId="17722"/>
    <cellStyle name="Normal 57 5 2 2 3 3 2 2" xfId="27973"/>
    <cellStyle name="Normal 57 5 2 2 3 3 3" xfId="14143"/>
    <cellStyle name="Normal 57 5 2 2 3 3 4" xfId="8886"/>
    <cellStyle name="Normal 57 5 2 2 3 3 5" xfId="22966"/>
    <cellStyle name="Normal 57 5 2 2 3 4" xfId="6597"/>
    <cellStyle name="Normal 57 5 2 2 3 4 2" xfId="15681"/>
    <cellStyle name="Normal 57 5 2 2 3 4 3" xfId="25685"/>
    <cellStyle name="Normal 57 5 2 2 3 5" xfId="10340"/>
    <cellStyle name="Normal 57 5 2 2 3 5 2" xfId="19167"/>
    <cellStyle name="Normal 57 5 2 2 3 5 3" xfId="29418"/>
    <cellStyle name="Normal 57 5 2 2 3 6" xfId="11786"/>
    <cellStyle name="Normal 57 5 2 2 3 6 2" xfId="24167"/>
    <cellStyle name="Normal 57 5 2 2 3 7" xfId="5075"/>
    <cellStyle name="Normal 57 5 2 2 3 8" xfId="20678"/>
    <cellStyle name="Normal 57 5 2 2 4" xfId="1639"/>
    <cellStyle name="Normal 57 5 2 2 4 2" xfId="3236"/>
    <cellStyle name="Normal 57 5 2 2 4 2 2" xfId="16792"/>
    <cellStyle name="Normal 57 5 2 2 4 2 2 2" xfId="27011"/>
    <cellStyle name="Normal 57 5 2 2 4 2 3" xfId="13213"/>
    <cellStyle name="Normal 57 5 2 2 4 2 4" xfId="7924"/>
    <cellStyle name="Normal 57 5 2 2 4 2 5" xfId="22004"/>
    <cellStyle name="Normal 57 5 2 2 4 3" xfId="4306"/>
    <cellStyle name="Normal 57 5 2 2 4 3 2" xfId="18156"/>
    <cellStyle name="Normal 57 5 2 2 4 3 2 2" xfId="28407"/>
    <cellStyle name="Normal 57 5 2 2 4 3 3" xfId="14577"/>
    <cellStyle name="Normal 57 5 2 2 4 3 4" xfId="9320"/>
    <cellStyle name="Normal 57 5 2 2 4 3 5" xfId="23400"/>
    <cellStyle name="Normal 57 5 2 2 4 4" xfId="6012"/>
    <cellStyle name="Normal 57 5 2 2 4 4 2" xfId="15098"/>
    <cellStyle name="Normal 57 5 2 2 4 4 3" xfId="25102"/>
    <cellStyle name="Normal 57 5 2 2 4 5" xfId="10774"/>
    <cellStyle name="Normal 57 5 2 2 4 5 2" xfId="19601"/>
    <cellStyle name="Normal 57 5 2 2 4 5 3" xfId="29852"/>
    <cellStyle name="Normal 57 5 2 2 4 6" xfId="12220"/>
    <cellStyle name="Normal 57 5 2 2 4 6 2" xfId="24610"/>
    <cellStyle name="Normal 57 5 2 2 4 7" xfId="5518"/>
    <cellStyle name="Normal 57 5 2 2 4 8" xfId="20095"/>
    <cellStyle name="Normal 57 5 2 2 5" xfId="2193"/>
    <cellStyle name="Normal 57 5 2 2 5 2" xfId="15941"/>
    <cellStyle name="Normal 57 5 2 2 5 2 2" xfId="25985"/>
    <cellStyle name="Normal 57 5 2 2 5 3" xfId="12447"/>
    <cellStyle name="Normal 57 5 2 2 5 4" xfId="6898"/>
    <cellStyle name="Normal 57 5 2 2 5 5" xfId="20978"/>
    <cellStyle name="Normal 57 5 2 2 6" xfId="3468"/>
    <cellStyle name="Normal 57 5 2 2 6 2" xfId="17113"/>
    <cellStyle name="Normal 57 5 2 2 6 2 2" xfId="27364"/>
    <cellStyle name="Normal 57 5 2 2 6 3" xfId="13534"/>
    <cellStyle name="Normal 57 5 2 2 6 4" xfId="8277"/>
    <cellStyle name="Normal 57 5 2 2 6 5" xfId="22357"/>
    <cellStyle name="Normal 57 5 2 2 7" xfId="5838"/>
    <cellStyle name="Normal 57 5 2 2 7 2" xfId="14924"/>
    <cellStyle name="Normal 57 5 2 2 7 3" xfId="24928"/>
    <cellStyle name="Normal 57 5 2 2 8" xfId="9731"/>
    <cellStyle name="Normal 57 5 2 2 8 2" xfId="18558"/>
    <cellStyle name="Normal 57 5 2 2 8 3" xfId="28809"/>
    <cellStyle name="Normal 57 5 2 2 9" xfId="11175"/>
    <cellStyle name="Normal 57 5 2 2 9 2" xfId="23584"/>
    <cellStyle name="Normal 57 5 2 2_Degree data" xfId="1698"/>
    <cellStyle name="Normal 57 5 2 3" xfId="345"/>
    <cellStyle name="Normal 57 5 2 3 10" xfId="19817"/>
    <cellStyle name="Normal 57 5 2 3 2" xfId="723"/>
    <cellStyle name="Normal 57 5 2 3 2 2" xfId="2455"/>
    <cellStyle name="Normal 57 5 2 3 2 2 2" xfId="16350"/>
    <cellStyle name="Normal 57 5 2 3 2 2 2 2" xfId="26569"/>
    <cellStyle name="Normal 57 5 2 3 2 2 3" xfId="12772"/>
    <cellStyle name="Normal 57 5 2 3 2 2 4" xfId="7482"/>
    <cellStyle name="Normal 57 5 2 3 2 2 5" xfId="21562"/>
    <cellStyle name="Normal 57 5 2 3 2 3" xfId="3728"/>
    <cellStyle name="Normal 57 5 2 3 2 3 2" xfId="17375"/>
    <cellStyle name="Normal 57 5 2 3 2 3 2 2" xfId="27626"/>
    <cellStyle name="Normal 57 5 2 3 2 3 3" xfId="13796"/>
    <cellStyle name="Normal 57 5 2 3 2 3 4" xfId="8539"/>
    <cellStyle name="Normal 57 5 2 3 2 3 5" xfId="22619"/>
    <cellStyle name="Normal 57 5 2 3 2 4" xfId="6598"/>
    <cellStyle name="Normal 57 5 2 3 2 4 2" xfId="15682"/>
    <cellStyle name="Normal 57 5 2 3 2 4 3" xfId="25686"/>
    <cellStyle name="Normal 57 5 2 3 2 5" xfId="9993"/>
    <cellStyle name="Normal 57 5 2 3 2 5 2" xfId="18820"/>
    <cellStyle name="Normal 57 5 2 3 2 5 3" xfId="29071"/>
    <cellStyle name="Normal 57 5 2 3 2 6" xfId="11438"/>
    <cellStyle name="Normal 57 5 2 3 2 6 2" xfId="24168"/>
    <cellStyle name="Normal 57 5 2 3 2 7" xfId="5076"/>
    <cellStyle name="Normal 57 5 2 3 2 8" xfId="20679"/>
    <cellStyle name="Normal 57 5 2 3 3" xfId="1081"/>
    <cellStyle name="Normal 57 5 2 3 3 2" xfId="2803"/>
    <cellStyle name="Normal 57 5 2 3 3 2 2" xfId="16688"/>
    <cellStyle name="Normal 57 5 2 3 3 2 2 2" xfId="26907"/>
    <cellStyle name="Normal 57 5 2 3 3 2 3" xfId="13109"/>
    <cellStyle name="Normal 57 5 2 3 3 2 4" xfId="7820"/>
    <cellStyle name="Normal 57 5 2 3 3 2 5" xfId="21900"/>
    <cellStyle name="Normal 57 5 2 3 3 3" xfId="4077"/>
    <cellStyle name="Normal 57 5 2 3 3 3 2" xfId="17723"/>
    <cellStyle name="Normal 57 5 2 3 3 3 2 2" xfId="27974"/>
    <cellStyle name="Normal 57 5 2 3 3 3 3" xfId="14144"/>
    <cellStyle name="Normal 57 5 2 3 3 3 4" xfId="8887"/>
    <cellStyle name="Normal 57 5 2 3 3 3 5" xfId="22967"/>
    <cellStyle name="Normal 57 5 2 3 3 4" xfId="6227"/>
    <cellStyle name="Normal 57 5 2 3 3 4 2" xfId="15311"/>
    <cellStyle name="Normal 57 5 2 3 3 4 3" xfId="25315"/>
    <cellStyle name="Normal 57 5 2 3 3 5" xfId="10341"/>
    <cellStyle name="Normal 57 5 2 3 3 5 2" xfId="19168"/>
    <cellStyle name="Normal 57 5 2 3 3 5 3" xfId="29419"/>
    <cellStyle name="Normal 57 5 2 3 3 6" xfId="11787"/>
    <cellStyle name="Normal 57 5 2 3 3 6 2" xfId="24506"/>
    <cellStyle name="Normal 57 5 2 3 3 7" xfId="5414"/>
    <cellStyle name="Normal 57 5 2 3 3 8" xfId="20308"/>
    <cellStyle name="Normal 57 5 2 3 4" xfId="1532"/>
    <cellStyle name="Normal 57 5 2 3 4 2" xfId="3132"/>
    <cellStyle name="Normal 57 5 2 3 4 2 2" xfId="18052"/>
    <cellStyle name="Normal 57 5 2 3 4 2 2 2" xfId="28303"/>
    <cellStyle name="Normal 57 5 2 3 4 2 3" xfId="14473"/>
    <cellStyle name="Normal 57 5 2 3 4 2 4" xfId="9216"/>
    <cellStyle name="Normal 57 5 2 3 4 2 5" xfId="23296"/>
    <cellStyle name="Normal 57 5 2 3 4 3" xfId="10670"/>
    <cellStyle name="Normal 57 5 2 3 4 3 2" xfId="19497"/>
    <cellStyle name="Normal 57 5 2 3 4 3 3" xfId="29748"/>
    <cellStyle name="Normal 57 5 2 3 4 4" xfId="12116"/>
    <cellStyle name="Normal 57 5 2 3 4 4 2" xfId="26198"/>
    <cellStyle name="Normal 57 5 2 3 4 5" xfId="7111"/>
    <cellStyle name="Normal 57 5 2 3 4 6" xfId="21191"/>
    <cellStyle name="Normal 57 5 2 3 5" xfId="2089"/>
    <cellStyle name="Normal 57 5 2 3 5 2" xfId="17009"/>
    <cellStyle name="Normal 57 5 2 3 5 2 2" xfId="27260"/>
    <cellStyle name="Normal 57 5 2 3 5 3" xfId="13430"/>
    <cellStyle name="Normal 57 5 2 3 5 4" xfId="8173"/>
    <cellStyle name="Normal 57 5 2 3 5 5" xfId="22253"/>
    <cellStyle name="Normal 57 5 2 3 6" xfId="5734"/>
    <cellStyle name="Normal 57 5 2 3 6 2" xfId="14820"/>
    <cellStyle name="Normal 57 5 2 3 6 3" xfId="24824"/>
    <cellStyle name="Normal 57 5 2 3 7" xfId="9627"/>
    <cellStyle name="Normal 57 5 2 3 7 2" xfId="18454"/>
    <cellStyle name="Normal 57 5 2 3 7 3" xfId="28705"/>
    <cellStyle name="Normal 57 5 2 3 8" xfId="11071"/>
    <cellStyle name="Normal 57 5 2 3 8 2" xfId="23797"/>
    <cellStyle name="Normal 57 5 2 3 9" xfId="4705"/>
    <cellStyle name="Normal 57 5 2 3_Degree data" xfId="1699"/>
    <cellStyle name="Normal 57 5 2 4" xfId="721"/>
    <cellStyle name="Normal 57 5 2 4 2" xfId="2453"/>
    <cellStyle name="Normal 57 5 2 4 2 2" xfId="16025"/>
    <cellStyle name="Normal 57 5 2 4 2 2 2" xfId="26098"/>
    <cellStyle name="Normal 57 5 2 4 2 3" xfId="12379"/>
    <cellStyle name="Normal 57 5 2 4 2 4" xfId="7011"/>
    <cellStyle name="Normal 57 5 2 4 2 5" xfId="21091"/>
    <cellStyle name="Normal 57 5 2 4 3" xfId="3726"/>
    <cellStyle name="Normal 57 5 2 4 3 2" xfId="17373"/>
    <cellStyle name="Normal 57 5 2 4 3 2 2" xfId="27624"/>
    <cellStyle name="Normal 57 5 2 4 3 3" xfId="13794"/>
    <cellStyle name="Normal 57 5 2 4 3 4" xfId="8537"/>
    <cellStyle name="Normal 57 5 2 4 3 5" xfId="22617"/>
    <cellStyle name="Normal 57 5 2 4 4" xfId="6127"/>
    <cellStyle name="Normal 57 5 2 4 4 2" xfId="15211"/>
    <cellStyle name="Normal 57 5 2 4 4 3" xfId="25215"/>
    <cellStyle name="Normal 57 5 2 4 5" xfId="9991"/>
    <cellStyle name="Normal 57 5 2 4 5 2" xfId="18818"/>
    <cellStyle name="Normal 57 5 2 4 5 3" xfId="29069"/>
    <cellStyle name="Normal 57 5 2 4 6" xfId="11436"/>
    <cellStyle name="Normal 57 5 2 4 6 2" xfId="23697"/>
    <cellStyle name="Normal 57 5 2 4 7" xfId="4605"/>
    <cellStyle name="Normal 57 5 2 4 8" xfId="20208"/>
    <cellStyle name="Normal 57 5 2 5" xfId="1079"/>
    <cellStyle name="Normal 57 5 2 5 2" xfId="2801"/>
    <cellStyle name="Normal 57 5 2 5 2 2" xfId="16348"/>
    <cellStyle name="Normal 57 5 2 5 2 2 2" xfId="26567"/>
    <cellStyle name="Normal 57 5 2 5 2 3" xfId="12770"/>
    <cellStyle name="Normal 57 5 2 5 2 4" xfId="7480"/>
    <cellStyle name="Normal 57 5 2 5 2 5" xfId="21560"/>
    <cellStyle name="Normal 57 5 2 5 3" xfId="4075"/>
    <cellStyle name="Normal 57 5 2 5 3 2" xfId="17721"/>
    <cellStyle name="Normal 57 5 2 5 3 2 2" xfId="27972"/>
    <cellStyle name="Normal 57 5 2 5 3 3" xfId="14142"/>
    <cellStyle name="Normal 57 5 2 5 3 4" xfId="8885"/>
    <cellStyle name="Normal 57 5 2 5 3 5" xfId="22965"/>
    <cellStyle name="Normal 57 5 2 5 4" xfId="6596"/>
    <cellStyle name="Normal 57 5 2 5 4 2" xfId="15680"/>
    <cellStyle name="Normal 57 5 2 5 4 3" xfId="25684"/>
    <cellStyle name="Normal 57 5 2 5 5" xfId="10339"/>
    <cellStyle name="Normal 57 5 2 5 5 2" xfId="19166"/>
    <cellStyle name="Normal 57 5 2 5 5 3" xfId="29417"/>
    <cellStyle name="Normal 57 5 2 5 6" xfId="11785"/>
    <cellStyle name="Normal 57 5 2 5 6 2" xfId="24166"/>
    <cellStyle name="Normal 57 5 2 5 7" xfId="5074"/>
    <cellStyle name="Normal 57 5 2 5 8" xfId="20677"/>
    <cellStyle name="Normal 57 5 2 6" xfId="1430"/>
    <cellStyle name="Normal 57 5 2 6 2" xfId="3032"/>
    <cellStyle name="Normal 57 5 2 6 2 2" xfId="16588"/>
    <cellStyle name="Normal 57 5 2 6 2 2 2" xfId="26807"/>
    <cellStyle name="Normal 57 5 2 6 2 3" xfId="13009"/>
    <cellStyle name="Normal 57 5 2 6 2 4" xfId="7720"/>
    <cellStyle name="Normal 57 5 2 6 2 5" xfId="21800"/>
    <cellStyle name="Normal 57 5 2 6 3" xfId="4246"/>
    <cellStyle name="Normal 57 5 2 6 3 2" xfId="17952"/>
    <cellStyle name="Normal 57 5 2 6 3 2 2" xfId="28203"/>
    <cellStyle name="Normal 57 5 2 6 3 3" xfId="14373"/>
    <cellStyle name="Normal 57 5 2 6 3 4" xfId="9116"/>
    <cellStyle name="Normal 57 5 2 6 3 5" xfId="23196"/>
    <cellStyle name="Normal 57 5 2 6 4" xfId="5908"/>
    <cellStyle name="Normal 57 5 2 6 4 2" xfId="14994"/>
    <cellStyle name="Normal 57 5 2 6 4 3" xfId="24998"/>
    <cellStyle name="Normal 57 5 2 6 5" xfId="10570"/>
    <cellStyle name="Normal 57 5 2 6 5 2" xfId="19397"/>
    <cellStyle name="Normal 57 5 2 6 5 3" xfId="29648"/>
    <cellStyle name="Normal 57 5 2 6 6" xfId="12016"/>
    <cellStyle name="Normal 57 5 2 6 6 2" xfId="24406"/>
    <cellStyle name="Normal 57 5 2 6 7" xfId="5314"/>
    <cellStyle name="Normal 57 5 2 6 8" xfId="19991"/>
    <cellStyle name="Normal 57 5 2 7" xfId="1989"/>
    <cellStyle name="Normal 57 5 2 7 2" xfId="15838"/>
    <cellStyle name="Normal 57 5 2 7 2 2" xfId="25881"/>
    <cellStyle name="Normal 57 5 2 7 3" xfId="12291"/>
    <cellStyle name="Normal 57 5 2 7 4" xfId="6794"/>
    <cellStyle name="Normal 57 5 2 7 5" xfId="20874"/>
    <cellStyle name="Normal 57 5 2 8" xfId="3408"/>
    <cellStyle name="Normal 57 5 2 8 2" xfId="16909"/>
    <cellStyle name="Normal 57 5 2 8 2 2" xfId="27160"/>
    <cellStyle name="Normal 57 5 2 8 3" xfId="13330"/>
    <cellStyle name="Normal 57 5 2 8 4" xfId="8073"/>
    <cellStyle name="Normal 57 5 2 8 5" xfId="22153"/>
    <cellStyle name="Normal 57 5 2 9" xfId="5634"/>
    <cellStyle name="Normal 57 5 2 9 2" xfId="14720"/>
    <cellStyle name="Normal 57 5 2 9 3" xfId="24724"/>
    <cellStyle name="Normal 57 5 2_Degree data" xfId="1697"/>
    <cellStyle name="Normal 57 5 3" xfId="288"/>
    <cellStyle name="Normal 57 5 3 10" xfId="11014"/>
    <cellStyle name="Normal 57 5 3 10 2" xfId="23523"/>
    <cellStyle name="Normal 57 5 3 11" xfId="4431"/>
    <cellStyle name="Normal 57 5 3 12" xfId="19760"/>
    <cellStyle name="Normal 57 5 3 2" xfId="390"/>
    <cellStyle name="Normal 57 5 3 2 10" xfId="19860"/>
    <cellStyle name="Normal 57 5 3 2 2" xfId="725"/>
    <cellStyle name="Normal 57 5 3 2 2 2" xfId="2457"/>
    <cellStyle name="Normal 57 5 3 2 2 2 2" xfId="16352"/>
    <cellStyle name="Normal 57 5 3 2 2 2 2 2" xfId="26571"/>
    <cellStyle name="Normal 57 5 3 2 2 2 3" xfId="12774"/>
    <cellStyle name="Normal 57 5 3 2 2 2 4" xfId="7484"/>
    <cellStyle name="Normal 57 5 3 2 2 2 5" xfId="21564"/>
    <cellStyle name="Normal 57 5 3 2 2 3" xfId="3730"/>
    <cellStyle name="Normal 57 5 3 2 2 3 2" xfId="17377"/>
    <cellStyle name="Normal 57 5 3 2 2 3 2 2" xfId="27628"/>
    <cellStyle name="Normal 57 5 3 2 2 3 3" xfId="13798"/>
    <cellStyle name="Normal 57 5 3 2 2 3 4" xfId="8541"/>
    <cellStyle name="Normal 57 5 3 2 2 3 5" xfId="22621"/>
    <cellStyle name="Normal 57 5 3 2 2 4" xfId="6600"/>
    <cellStyle name="Normal 57 5 3 2 2 4 2" xfId="15684"/>
    <cellStyle name="Normal 57 5 3 2 2 4 3" xfId="25688"/>
    <cellStyle name="Normal 57 5 3 2 2 5" xfId="9995"/>
    <cellStyle name="Normal 57 5 3 2 2 5 2" xfId="18822"/>
    <cellStyle name="Normal 57 5 3 2 2 5 3" xfId="29073"/>
    <cellStyle name="Normal 57 5 3 2 2 6" xfId="11440"/>
    <cellStyle name="Normal 57 5 3 2 2 6 2" xfId="24170"/>
    <cellStyle name="Normal 57 5 3 2 2 7" xfId="5078"/>
    <cellStyle name="Normal 57 5 3 2 2 8" xfId="20681"/>
    <cellStyle name="Normal 57 5 3 2 3" xfId="1083"/>
    <cellStyle name="Normal 57 5 3 2 3 2" xfId="2805"/>
    <cellStyle name="Normal 57 5 3 2 3 2 2" xfId="16731"/>
    <cellStyle name="Normal 57 5 3 2 3 2 2 2" xfId="26950"/>
    <cellStyle name="Normal 57 5 3 2 3 2 3" xfId="13152"/>
    <cellStyle name="Normal 57 5 3 2 3 2 4" xfId="7863"/>
    <cellStyle name="Normal 57 5 3 2 3 2 5" xfId="21943"/>
    <cellStyle name="Normal 57 5 3 2 3 3" xfId="4079"/>
    <cellStyle name="Normal 57 5 3 2 3 3 2" xfId="17725"/>
    <cellStyle name="Normal 57 5 3 2 3 3 2 2" xfId="27976"/>
    <cellStyle name="Normal 57 5 3 2 3 3 3" xfId="14146"/>
    <cellStyle name="Normal 57 5 3 2 3 3 4" xfId="8889"/>
    <cellStyle name="Normal 57 5 3 2 3 3 5" xfId="22969"/>
    <cellStyle name="Normal 57 5 3 2 3 4" xfId="6270"/>
    <cellStyle name="Normal 57 5 3 2 3 4 2" xfId="15354"/>
    <cellStyle name="Normal 57 5 3 2 3 4 3" xfId="25358"/>
    <cellStyle name="Normal 57 5 3 2 3 5" xfId="10343"/>
    <cellStyle name="Normal 57 5 3 2 3 5 2" xfId="19170"/>
    <cellStyle name="Normal 57 5 3 2 3 5 3" xfId="29421"/>
    <cellStyle name="Normal 57 5 3 2 3 6" xfId="11789"/>
    <cellStyle name="Normal 57 5 3 2 3 6 2" xfId="24549"/>
    <cellStyle name="Normal 57 5 3 2 3 7" xfId="5457"/>
    <cellStyle name="Normal 57 5 3 2 3 8" xfId="20351"/>
    <cellStyle name="Normal 57 5 3 2 4" xfId="1577"/>
    <cellStyle name="Normal 57 5 3 2 4 2" xfId="3175"/>
    <cellStyle name="Normal 57 5 3 2 4 2 2" xfId="18095"/>
    <cellStyle name="Normal 57 5 3 2 4 2 2 2" xfId="28346"/>
    <cellStyle name="Normal 57 5 3 2 4 2 3" xfId="14516"/>
    <cellStyle name="Normal 57 5 3 2 4 2 4" xfId="9259"/>
    <cellStyle name="Normal 57 5 3 2 4 2 5" xfId="23339"/>
    <cellStyle name="Normal 57 5 3 2 4 3" xfId="10713"/>
    <cellStyle name="Normal 57 5 3 2 4 3 2" xfId="19540"/>
    <cellStyle name="Normal 57 5 3 2 4 3 3" xfId="29791"/>
    <cellStyle name="Normal 57 5 3 2 4 4" xfId="12159"/>
    <cellStyle name="Normal 57 5 3 2 4 4 2" xfId="26241"/>
    <cellStyle name="Normal 57 5 3 2 4 5" xfId="7154"/>
    <cellStyle name="Normal 57 5 3 2 4 6" xfId="21234"/>
    <cellStyle name="Normal 57 5 3 2 5" xfId="2132"/>
    <cellStyle name="Normal 57 5 3 2 5 2" xfId="17052"/>
    <cellStyle name="Normal 57 5 3 2 5 2 2" xfId="27303"/>
    <cellStyle name="Normal 57 5 3 2 5 3" xfId="13473"/>
    <cellStyle name="Normal 57 5 3 2 5 4" xfId="8216"/>
    <cellStyle name="Normal 57 5 3 2 5 5" xfId="22296"/>
    <cellStyle name="Normal 57 5 3 2 6" xfId="5777"/>
    <cellStyle name="Normal 57 5 3 2 6 2" xfId="14863"/>
    <cellStyle name="Normal 57 5 3 2 6 3" xfId="24867"/>
    <cellStyle name="Normal 57 5 3 2 7" xfId="9670"/>
    <cellStyle name="Normal 57 5 3 2 7 2" xfId="18497"/>
    <cellStyle name="Normal 57 5 3 2 7 3" xfId="28748"/>
    <cellStyle name="Normal 57 5 3 2 8" xfId="11114"/>
    <cellStyle name="Normal 57 5 3 2 8 2" xfId="23840"/>
    <cellStyle name="Normal 57 5 3 2 9" xfId="4748"/>
    <cellStyle name="Normal 57 5 3 2_Degree data" xfId="1701"/>
    <cellStyle name="Normal 57 5 3 3" xfId="724"/>
    <cellStyle name="Normal 57 5 3 3 2" xfId="2456"/>
    <cellStyle name="Normal 57 5 3 3 2 2" xfId="16068"/>
    <cellStyle name="Normal 57 5 3 3 2 2 2" xfId="26141"/>
    <cellStyle name="Normal 57 5 3 3 2 3" xfId="12368"/>
    <cellStyle name="Normal 57 5 3 3 2 4" xfId="7054"/>
    <cellStyle name="Normal 57 5 3 3 2 5" xfId="21134"/>
    <cellStyle name="Normal 57 5 3 3 3" xfId="3729"/>
    <cellStyle name="Normal 57 5 3 3 3 2" xfId="17376"/>
    <cellStyle name="Normal 57 5 3 3 3 2 2" xfId="27627"/>
    <cellStyle name="Normal 57 5 3 3 3 3" xfId="13797"/>
    <cellStyle name="Normal 57 5 3 3 3 4" xfId="8540"/>
    <cellStyle name="Normal 57 5 3 3 3 5" xfId="22620"/>
    <cellStyle name="Normal 57 5 3 3 4" xfId="6170"/>
    <cellStyle name="Normal 57 5 3 3 4 2" xfId="15254"/>
    <cellStyle name="Normal 57 5 3 3 4 3" xfId="25258"/>
    <cellStyle name="Normal 57 5 3 3 5" xfId="9994"/>
    <cellStyle name="Normal 57 5 3 3 5 2" xfId="18821"/>
    <cellStyle name="Normal 57 5 3 3 5 3" xfId="29072"/>
    <cellStyle name="Normal 57 5 3 3 6" xfId="11439"/>
    <cellStyle name="Normal 57 5 3 3 6 2" xfId="23740"/>
    <cellStyle name="Normal 57 5 3 3 7" xfId="4648"/>
    <cellStyle name="Normal 57 5 3 3 8" xfId="20251"/>
    <cellStyle name="Normal 57 5 3 4" xfId="1082"/>
    <cellStyle name="Normal 57 5 3 4 2" xfId="2804"/>
    <cellStyle name="Normal 57 5 3 4 2 2" xfId="16351"/>
    <cellStyle name="Normal 57 5 3 4 2 2 2" xfId="26570"/>
    <cellStyle name="Normal 57 5 3 4 2 3" xfId="12773"/>
    <cellStyle name="Normal 57 5 3 4 2 4" xfId="7483"/>
    <cellStyle name="Normal 57 5 3 4 2 5" xfId="21563"/>
    <cellStyle name="Normal 57 5 3 4 3" xfId="4078"/>
    <cellStyle name="Normal 57 5 3 4 3 2" xfId="17724"/>
    <cellStyle name="Normal 57 5 3 4 3 2 2" xfId="27975"/>
    <cellStyle name="Normal 57 5 3 4 3 3" xfId="14145"/>
    <cellStyle name="Normal 57 5 3 4 3 4" xfId="8888"/>
    <cellStyle name="Normal 57 5 3 4 3 5" xfId="22968"/>
    <cellStyle name="Normal 57 5 3 4 4" xfId="6599"/>
    <cellStyle name="Normal 57 5 3 4 4 2" xfId="15683"/>
    <cellStyle name="Normal 57 5 3 4 4 3" xfId="25687"/>
    <cellStyle name="Normal 57 5 3 4 5" xfId="10342"/>
    <cellStyle name="Normal 57 5 3 4 5 2" xfId="19169"/>
    <cellStyle name="Normal 57 5 3 4 5 3" xfId="29420"/>
    <cellStyle name="Normal 57 5 3 4 6" xfId="11788"/>
    <cellStyle name="Normal 57 5 3 4 6 2" xfId="24169"/>
    <cellStyle name="Normal 57 5 3 4 7" xfId="5077"/>
    <cellStyle name="Normal 57 5 3 4 8" xfId="20680"/>
    <cellStyle name="Normal 57 5 3 5" xfId="1475"/>
    <cellStyle name="Normal 57 5 3 5 2" xfId="3075"/>
    <cellStyle name="Normal 57 5 3 5 2 2" xfId="16631"/>
    <cellStyle name="Normal 57 5 3 5 2 2 2" xfId="26850"/>
    <cellStyle name="Normal 57 5 3 5 2 3" xfId="13052"/>
    <cellStyle name="Normal 57 5 3 5 2 4" xfId="7763"/>
    <cellStyle name="Normal 57 5 3 5 2 5" xfId="21843"/>
    <cellStyle name="Normal 57 5 3 5 3" xfId="4289"/>
    <cellStyle name="Normal 57 5 3 5 3 2" xfId="17995"/>
    <cellStyle name="Normal 57 5 3 5 3 2 2" xfId="28246"/>
    <cellStyle name="Normal 57 5 3 5 3 3" xfId="14416"/>
    <cellStyle name="Normal 57 5 3 5 3 4" xfId="9159"/>
    <cellStyle name="Normal 57 5 3 5 3 5" xfId="23239"/>
    <cellStyle name="Normal 57 5 3 5 4" xfId="5951"/>
    <cellStyle name="Normal 57 5 3 5 4 2" xfId="15037"/>
    <cellStyle name="Normal 57 5 3 5 4 3" xfId="25041"/>
    <cellStyle name="Normal 57 5 3 5 5" xfId="10613"/>
    <cellStyle name="Normal 57 5 3 5 5 2" xfId="19440"/>
    <cellStyle name="Normal 57 5 3 5 5 3" xfId="29691"/>
    <cellStyle name="Normal 57 5 3 5 6" xfId="12059"/>
    <cellStyle name="Normal 57 5 3 5 6 2" xfId="24449"/>
    <cellStyle name="Normal 57 5 3 5 7" xfId="5357"/>
    <cellStyle name="Normal 57 5 3 5 8" xfId="20034"/>
    <cellStyle name="Normal 57 5 3 6" xfId="2032"/>
    <cellStyle name="Normal 57 5 3 6 2" xfId="15880"/>
    <cellStyle name="Normal 57 5 3 6 2 2" xfId="25924"/>
    <cellStyle name="Normal 57 5 3 6 3" xfId="12241"/>
    <cellStyle name="Normal 57 5 3 6 4" xfId="6837"/>
    <cellStyle name="Normal 57 5 3 6 5" xfId="20917"/>
    <cellStyle name="Normal 57 5 3 7" xfId="3451"/>
    <cellStyle name="Normal 57 5 3 7 2" xfId="16952"/>
    <cellStyle name="Normal 57 5 3 7 2 2" xfId="27203"/>
    <cellStyle name="Normal 57 5 3 7 3" xfId="13373"/>
    <cellStyle name="Normal 57 5 3 7 4" xfId="8116"/>
    <cellStyle name="Normal 57 5 3 7 5" xfId="22196"/>
    <cellStyle name="Normal 57 5 3 8" xfId="5677"/>
    <cellStyle name="Normal 57 5 3 8 2" xfId="14763"/>
    <cellStyle name="Normal 57 5 3 8 3" xfId="24767"/>
    <cellStyle name="Normal 57 5 3 9" xfId="9570"/>
    <cellStyle name="Normal 57 5 3 9 2" xfId="18397"/>
    <cellStyle name="Normal 57 5 3 9 3" xfId="28648"/>
    <cellStyle name="Normal 57 5 3_Degree data" xfId="1700"/>
    <cellStyle name="Normal 57 5 4" xfId="194"/>
    <cellStyle name="Normal 57 5 4 10" xfId="10926"/>
    <cellStyle name="Normal 57 5 4 10 2" xfId="23540"/>
    <cellStyle name="Normal 57 5 4 11" xfId="4448"/>
    <cellStyle name="Normal 57 5 4 12" xfId="19672"/>
    <cellStyle name="Normal 57 5 4 2" xfId="408"/>
    <cellStyle name="Normal 57 5 4 2 10" xfId="19877"/>
    <cellStyle name="Normal 57 5 4 2 2" xfId="727"/>
    <cellStyle name="Normal 57 5 4 2 2 2" xfId="2459"/>
    <cellStyle name="Normal 57 5 4 2 2 2 2" xfId="16354"/>
    <cellStyle name="Normal 57 5 4 2 2 2 2 2" xfId="26573"/>
    <cellStyle name="Normal 57 5 4 2 2 2 3" xfId="12776"/>
    <cellStyle name="Normal 57 5 4 2 2 2 4" xfId="7486"/>
    <cellStyle name="Normal 57 5 4 2 2 2 5" xfId="21566"/>
    <cellStyle name="Normal 57 5 4 2 2 3" xfId="3732"/>
    <cellStyle name="Normal 57 5 4 2 2 3 2" xfId="17379"/>
    <cellStyle name="Normal 57 5 4 2 2 3 2 2" xfId="27630"/>
    <cellStyle name="Normal 57 5 4 2 2 3 3" xfId="13800"/>
    <cellStyle name="Normal 57 5 4 2 2 3 4" xfId="8543"/>
    <cellStyle name="Normal 57 5 4 2 2 3 5" xfId="22623"/>
    <cellStyle name="Normal 57 5 4 2 2 4" xfId="6602"/>
    <cellStyle name="Normal 57 5 4 2 2 4 2" xfId="15686"/>
    <cellStyle name="Normal 57 5 4 2 2 4 3" xfId="25690"/>
    <cellStyle name="Normal 57 5 4 2 2 5" xfId="9997"/>
    <cellStyle name="Normal 57 5 4 2 2 5 2" xfId="18824"/>
    <cellStyle name="Normal 57 5 4 2 2 5 3" xfId="29075"/>
    <cellStyle name="Normal 57 5 4 2 2 6" xfId="11442"/>
    <cellStyle name="Normal 57 5 4 2 2 6 2" xfId="24172"/>
    <cellStyle name="Normal 57 5 4 2 2 7" xfId="5080"/>
    <cellStyle name="Normal 57 5 4 2 2 8" xfId="20683"/>
    <cellStyle name="Normal 57 5 4 2 3" xfId="1085"/>
    <cellStyle name="Normal 57 5 4 2 3 2" xfId="2807"/>
    <cellStyle name="Normal 57 5 4 2 3 2 2" xfId="16748"/>
    <cellStyle name="Normal 57 5 4 2 3 2 2 2" xfId="26967"/>
    <cellStyle name="Normal 57 5 4 2 3 2 3" xfId="13169"/>
    <cellStyle name="Normal 57 5 4 2 3 2 4" xfId="7880"/>
    <cellStyle name="Normal 57 5 4 2 3 2 5" xfId="21960"/>
    <cellStyle name="Normal 57 5 4 2 3 3" xfId="4081"/>
    <cellStyle name="Normal 57 5 4 2 3 3 2" xfId="17727"/>
    <cellStyle name="Normal 57 5 4 2 3 3 2 2" xfId="27978"/>
    <cellStyle name="Normal 57 5 4 2 3 3 3" xfId="14148"/>
    <cellStyle name="Normal 57 5 4 2 3 3 4" xfId="8891"/>
    <cellStyle name="Normal 57 5 4 2 3 3 5" xfId="22971"/>
    <cellStyle name="Normal 57 5 4 2 3 4" xfId="6287"/>
    <cellStyle name="Normal 57 5 4 2 3 4 2" xfId="15371"/>
    <cellStyle name="Normal 57 5 4 2 3 4 3" xfId="25375"/>
    <cellStyle name="Normal 57 5 4 2 3 5" xfId="10345"/>
    <cellStyle name="Normal 57 5 4 2 3 5 2" xfId="19172"/>
    <cellStyle name="Normal 57 5 4 2 3 5 3" xfId="29423"/>
    <cellStyle name="Normal 57 5 4 2 3 6" xfId="11791"/>
    <cellStyle name="Normal 57 5 4 2 3 6 2" xfId="24566"/>
    <cellStyle name="Normal 57 5 4 2 3 7" xfId="5474"/>
    <cellStyle name="Normal 57 5 4 2 3 8" xfId="20368"/>
    <cellStyle name="Normal 57 5 4 2 4" xfId="1595"/>
    <cellStyle name="Normal 57 5 4 2 4 2" xfId="3192"/>
    <cellStyle name="Normal 57 5 4 2 4 2 2" xfId="18112"/>
    <cellStyle name="Normal 57 5 4 2 4 2 2 2" xfId="28363"/>
    <cellStyle name="Normal 57 5 4 2 4 2 3" xfId="14533"/>
    <cellStyle name="Normal 57 5 4 2 4 2 4" xfId="9276"/>
    <cellStyle name="Normal 57 5 4 2 4 2 5" xfId="23356"/>
    <cellStyle name="Normal 57 5 4 2 4 3" xfId="10730"/>
    <cellStyle name="Normal 57 5 4 2 4 3 2" xfId="19557"/>
    <cellStyle name="Normal 57 5 4 2 4 3 3" xfId="29808"/>
    <cellStyle name="Normal 57 5 4 2 4 4" xfId="12176"/>
    <cellStyle name="Normal 57 5 4 2 4 4 2" xfId="26258"/>
    <cellStyle name="Normal 57 5 4 2 4 5" xfId="7171"/>
    <cellStyle name="Normal 57 5 4 2 4 6" xfId="21251"/>
    <cellStyle name="Normal 57 5 4 2 5" xfId="2149"/>
    <cellStyle name="Normal 57 5 4 2 5 2" xfId="17069"/>
    <cellStyle name="Normal 57 5 4 2 5 2 2" xfId="27320"/>
    <cellStyle name="Normal 57 5 4 2 5 3" xfId="13490"/>
    <cellStyle name="Normal 57 5 4 2 5 4" xfId="8233"/>
    <cellStyle name="Normal 57 5 4 2 5 5" xfId="22313"/>
    <cellStyle name="Normal 57 5 4 2 6" xfId="5794"/>
    <cellStyle name="Normal 57 5 4 2 6 2" xfId="14880"/>
    <cellStyle name="Normal 57 5 4 2 6 3" xfId="24884"/>
    <cellStyle name="Normal 57 5 4 2 7" xfId="9687"/>
    <cellStyle name="Normal 57 5 4 2 7 2" xfId="18514"/>
    <cellStyle name="Normal 57 5 4 2 7 3" xfId="28765"/>
    <cellStyle name="Normal 57 5 4 2 8" xfId="11131"/>
    <cellStyle name="Normal 57 5 4 2 8 2" xfId="23857"/>
    <cellStyle name="Normal 57 5 4 2 9" xfId="4765"/>
    <cellStyle name="Normal 57 5 4 2_Degree data" xfId="1703"/>
    <cellStyle name="Normal 57 5 4 3" xfId="726"/>
    <cellStyle name="Normal 57 5 4 3 2" xfId="2458"/>
    <cellStyle name="Normal 57 5 4 3 2 2" xfId="15980"/>
    <cellStyle name="Normal 57 5 4 3 2 2 2" xfId="26053"/>
    <cellStyle name="Normal 57 5 4 3 2 3" xfId="12460"/>
    <cellStyle name="Normal 57 5 4 3 2 4" xfId="6966"/>
    <cellStyle name="Normal 57 5 4 3 2 5" xfId="21046"/>
    <cellStyle name="Normal 57 5 4 3 3" xfId="3731"/>
    <cellStyle name="Normal 57 5 4 3 3 2" xfId="17378"/>
    <cellStyle name="Normal 57 5 4 3 3 2 2" xfId="27629"/>
    <cellStyle name="Normal 57 5 4 3 3 3" xfId="13799"/>
    <cellStyle name="Normal 57 5 4 3 3 4" xfId="8542"/>
    <cellStyle name="Normal 57 5 4 3 3 5" xfId="22622"/>
    <cellStyle name="Normal 57 5 4 3 4" xfId="6082"/>
    <cellStyle name="Normal 57 5 4 3 4 2" xfId="15166"/>
    <cellStyle name="Normal 57 5 4 3 4 3" xfId="25170"/>
    <cellStyle name="Normal 57 5 4 3 5" xfId="9996"/>
    <cellStyle name="Normal 57 5 4 3 5 2" xfId="18823"/>
    <cellStyle name="Normal 57 5 4 3 5 3" xfId="29074"/>
    <cellStyle name="Normal 57 5 4 3 6" xfId="11441"/>
    <cellStyle name="Normal 57 5 4 3 6 2" xfId="23652"/>
    <cellStyle name="Normal 57 5 4 3 7" xfId="4560"/>
    <cellStyle name="Normal 57 5 4 3 8" xfId="20163"/>
    <cellStyle name="Normal 57 5 4 4" xfId="1084"/>
    <cellStyle name="Normal 57 5 4 4 2" xfId="2806"/>
    <cellStyle name="Normal 57 5 4 4 2 2" xfId="16353"/>
    <cellStyle name="Normal 57 5 4 4 2 2 2" xfId="26572"/>
    <cellStyle name="Normal 57 5 4 4 2 3" xfId="12775"/>
    <cellStyle name="Normal 57 5 4 4 2 4" xfId="7485"/>
    <cellStyle name="Normal 57 5 4 4 2 5" xfId="21565"/>
    <cellStyle name="Normal 57 5 4 4 3" xfId="4080"/>
    <cellStyle name="Normal 57 5 4 4 3 2" xfId="17726"/>
    <cellStyle name="Normal 57 5 4 4 3 2 2" xfId="27977"/>
    <cellStyle name="Normal 57 5 4 4 3 3" xfId="14147"/>
    <cellStyle name="Normal 57 5 4 4 3 4" xfId="8890"/>
    <cellStyle name="Normal 57 5 4 4 3 5" xfId="22970"/>
    <cellStyle name="Normal 57 5 4 4 4" xfId="6601"/>
    <cellStyle name="Normal 57 5 4 4 4 2" xfId="15685"/>
    <cellStyle name="Normal 57 5 4 4 4 3" xfId="25689"/>
    <cellStyle name="Normal 57 5 4 4 5" xfId="10344"/>
    <cellStyle name="Normal 57 5 4 4 5 2" xfId="19171"/>
    <cellStyle name="Normal 57 5 4 4 5 3" xfId="29422"/>
    <cellStyle name="Normal 57 5 4 4 6" xfId="11790"/>
    <cellStyle name="Normal 57 5 4 4 6 2" xfId="24171"/>
    <cellStyle name="Normal 57 5 4 4 7" xfId="5079"/>
    <cellStyle name="Normal 57 5 4 4 8" xfId="20682"/>
    <cellStyle name="Normal 57 5 4 5" xfId="1381"/>
    <cellStyle name="Normal 57 5 4 5 2" xfId="2987"/>
    <cellStyle name="Normal 57 5 4 5 2 2" xfId="16543"/>
    <cellStyle name="Normal 57 5 4 5 2 2 2" xfId="26762"/>
    <cellStyle name="Normal 57 5 4 5 2 3" xfId="12964"/>
    <cellStyle name="Normal 57 5 4 5 2 4" xfId="7675"/>
    <cellStyle name="Normal 57 5 4 5 2 5" xfId="21755"/>
    <cellStyle name="Normal 57 5 4 5 3" xfId="4201"/>
    <cellStyle name="Normal 57 5 4 5 3 2" xfId="17907"/>
    <cellStyle name="Normal 57 5 4 5 3 2 2" xfId="28158"/>
    <cellStyle name="Normal 57 5 4 5 3 3" xfId="14328"/>
    <cellStyle name="Normal 57 5 4 5 3 4" xfId="9071"/>
    <cellStyle name="Normal 57 5 4 5 3 5" xfId="23151"/>
    <cellStyle name="Normal 57 5 4 5 4" xfId="5968"/>
    <cellStyle name="Normal 57 5 4 5 4 2" xfId="15054"/>
    <cellStyle name="Normal 57 5 4 5 4 3" xfId="25058"/>
    <cellStyle name="Normal 57 5 4 5 5" xfId="10525"/>
    <cellStyle name="Normal 57 5 4 5 5 2" xfId="19352"/>
    <cellStyle name="Normal 57 5 4 5 5 3" xfId="29603"/>
    <cellStyle name="Normal 57 5 4 5 6" xfId="11971"/>
    <cellStyle name="Normal 57 5 4 5 6 2" xfId="24361"/>
    <cellStyle name="Normal 57 5 4 5 7" xfId="5269"/>
    <cellStyle name="Normal 57 5 4 5 8" xfId="20051"/>
    <cellStyle name="Normal 57 5 4 6" xfId="1944"/>
    <cellStyle name="Normal 57 5 4 6 2" xfId="15897"/>
    <cellStyle name="Normal 57 5 4 6 2 2" xfId="25941"/>
    <cellStyle name="Normal 57 5 4 6 3" xfId="12347"/>
    <cellStyle name="Normal 57 5 4 6 4" xfId="6854"/>
    <cellStyle name="Normal 57 5 4 6 5" xfId="20934"/>
    <cellStyle name="Normal 57 5 4 7" xfId="3364"/>
    <cellStyle name="Normal 57 5 4 7 2" xfId="16864"/>
    <cellStyle name="Normal 57 5 4 7 2 2" xfId="27115"/>
    <cellStyle name="Normal 57 5 4 7 3" xfId="13285"/>
    <cellStyle name="Normal 57 5 4 7 4" xfId="8028"/>
    <cellStyle name="Normal 57 5 4 7 5" xfId="22108"/>
    <cellStyle name="Normal 57 5 4 8" xfId="5589"/>
    <cellStyle name="Normal 57 5 4 8 2" xfId="14675"/>
    <cellStyle name="Normal 57 5 4 8 3" xfId="24679"/>
    <cellStyle name="Normal 57 5 4 9" xfId="9482"/>
    <cellStyle name="Normal 57 5 4 9 2" xfId="18309"/>
    <cellStyle name="Normal 57 5 4 9 3" xfId="28560"/>
    <cellStyle name="Normal 57 5 4_Degree data" xfId="1702"/>
    <cellStyle name="Normal 57 5 5" xfId="300"/>
    <cellStyle name="Normal 57 5 5 10" xfId="19772"/>
    <cellStyle name="Normal 57 5 5 2" xfId="728"/>
    <cellStyle name="Normal 57 5 5 2 2" xfId="2460"/>
    <cellStyle name="Normal 57 5 5 2 2 2" xfId="16355"/>
    <cellStyle name="Normal 57 5 5 2 2 2 2" xfId="26574"/>
    <cellStyle name="Normal 57 5 5 2 2 3" xfId="12777"/>
    <cellStyle name="Normal 57 5 5 2 2 4" xfId="7487"/>
    <cellStyle name="Normal 57 5 5 2 2 5" xfId="21567"/>
    <cellStyle name="Normal 57 5 5 2 3" xfId="3733"/>
    <cellStyle name="Normal 57 5 5 2 3 2" xfId="17380"/>
    <cellStyle name="Normal 57 5 5 2 3 2 2" xfId="27631"/>
    <cellStyle name="Normal 57 5 5 2 3 3" xfId="13801"/>
    <cellStyle name="Normal 57 5 5 2 3 4" xfId="8544"/>
    <cellStyle name="Normal 57 5 5 2 3 5" xfId="22624"/>
    <cellStyle name="Normal 57 5 5 2 4" xfId="6603"/>
    <cellStyle name="Normal 57 5 5 2 4 2" xfId="15687"/>
    <cellStyle name="Normal 57 5 5 2 4 3" xfId="25691"/>
    <cellStyle name="Normal 57 5 5 2 5" xfId="9998"/>
    <cellStyle name="Normal 57 5 5 2 5 2" xfId="18825"/>
    <cellStyle name="Normal 57 5 5 2 5 3" xfId="29076"/>
    <cellStyle name="Normal 57 5 5 2 6" xfId="11443"/>
    <cellStyle name="Normal 57 5 5 2 6 2" xfId="24173"/>
    <cellStyle name="Normal 57 5 5 2 7" xfId="5081"/>
    <cellStyle name="Normal 57 5 5 2 8" xfId="20684"/>
    <cellStyle name="Normal 57 5 5 3" xfId="1086"/>
    <cellStyle name="Normal 57 5 5 3 2" xfId="2808"/>
    <cellStyle name="Normal 57 5 5 3 2 2" xfId="16643"/>
    <cellStyle name="Normal 57 5 5 3 2 2 2" xfId="26862"/>
    <cellStyle name="Normal 57 5 5 3 2 3" xfId="13064"/>
    <cellStyle name="Normal 57 5 5 3 2 4" xfId="7775"/>
    <cellStyle name="Normal 57 5 5 3 2 5" xfId="21855"/>
    <cellStyle name="Normal 57 5 5 3 3" xfId="4082"/>
    <cellStyle name="Normal 57 5 5 3 3 2" xfId="17728"/>
    <cellStyle name="Normal 57 5 5 3 3 2 2" xfId="27979"/>
    <cellStyle name="Normal 57 5 5 3 3 3" xfId="14149"/>
    <cellStyle name="Normal 57 5 5 3 3 4" xfId="8892"/>
    <cellStyle name="Normal 57 5 5 3 3 5" xfId="22972"/>
    <cellStyle name="Normal 57 5 5 3 4" xfId="6182"/>
    <cellStyle name="Normal 57 5 5 3 4 2" xfId="15266"/>
    <cellStyle name="Normal 57 5 5 3 4 3" xfId="25270"/>
    <cellStyle name="Normal 57 5 5 3 5" xfId="10346"/>
    <cellStyle name="Normal 57 5 5 3 5 2" xfId="19173"/>
    <cellStyle name="Normal 57 5 5 3 5 3" xfId="29424"/>
    <cellStyle name="Normal 57 5 5 3 6" xfId="11792"/>
    <cellStyle name="Normal 57 5 5 3 6 2" xfId="24461"/>
    <cellStyle name="Normal 57 5 5 3 7" xfId="5369"/>
    <cellStyle name="Normal 57 5 5 3 8" xfId="20263"/>
    <cellStyle name="Normal 57 5 5 4" xfId="1487"/>
    <cellStyle name="Normal 57 5 5 4 2" xfId="3087"/>
    <cellStyle name="Normal 57 5 5 4 2 2" xfId="18007"/>
    <cellStyle name="Normal 57 5 5 4 2 2 2" xfId="28258"/>
    <cellStyle name="Normal 57 5 5 4 2 3" xfId="14428"/>
    <cellStyle name="Normal 57 5 5 4 2 4" xfId="9171"/>
    <cellStyle name="Normal 57 5 5 4 2 5" xfId="23251"/>
    <cellStyle name="Normal 57 5 5 4 3" xfId="10625"/>
    <cellStyle name="Normal 57 5 5 4 3 2" xfId="19452"/>
    <cellStyle name="Normal 57 5 5 4 3 3" xfId="29703"/>
    <cellStyle name="Normal 57 5 5 4 4" xfId="12071"/>
    <cellStyle name="Normal 57 5 5 4 4 2" xfId="26153"/>
    <cellStyle name="Normal 57 5 5 4 5" xfId="7066"/>
    <cellStyle name="Normal 57 5 5 4 6" xfId="21146"/>
    <cellStyle name="Normal 57 5 5 5" xfId="2044"/>
    <cellStyle name="Normal 57 5 5 5 2" xfId="16964"/>
    <cellStyle name="Normal 57 5 5 5 2 2" xfId="27215"/>
    <cellStyle name="Normal 57 5 5 5 3" xfId="13385"/>
    <cellStyle name="Normal 57 5 5 5 4" xfId="8128"/>
    <cellStyle name="Normal 57 5 5 5 5" xfId="22208"/>
    <cellStyle name="Normal 57 5 5 6" xfId="5689"/>
    <cellStyle name="Normal 57 5 5 6 2" xfId="14775"/>
    <cellStyle name="Normal 57 5 5 6 3" xfId="24779"/>
    <cellStyle name="Normal 57 5 5 7" xfId="9582"/>
    <cellStyle name="Normal 57 5 5 7 2" xfId="18409"/>
    <cellStyle name="Normal 57 5 5 7 3" xfId="28660"/>
    <cellStyle name="Normal 57 5 5 8" xfId="11026"/>
    <cellStyle name="Normal 57 5 5 8 2" xfId="23752"/>
    <cellStyle name="Normal 57 5 5 9" xfId="4660"/>
    <cellStyle name="Normal 57 5 5_Degree data" xfId="1704"/>
    <cellStyle name="Normal 57 5 6" xfId="178"/>
    <cellStyle name="Normal 57 5 6 10" xfId="20151"/>
    <cellStyle name="Normal 57 5 6 2" xfId="729"/>
    <cellStyle name="Normal 57 5 6 2 2" xfId="2461"/>
    <cellStyle name="Normal 57 5 6 2 2 2" xfId="16356"/>
    <cellStyle name="Normal 57 5 6 2 2 2 2" xfId="26575"/>
    <cellStyle name="Normal 57 5 6 2 2 3" xfId="12778"/>
    <cellStyle name="Normal 57 5 6 2 2 4" xfId="7488"/>
    <cellStyle name="Normal 57 5 6 2 2 5" xfId="21568"/>
    <cellStyle name="Normal 57 5 6 2 3" xfId="3734"/>
    <cellStyle name="Normal 57 5 6 2 3 2" xfId="17381"/>
    <cellStyle name="Normal 57 5 6 2 3 2 2" xfId="27632"/>
    <cellStyle name="Normal 57 5 6 2 3 3" xfId="13802"/>
    <cellStyle name="Normal 57 5 6 2 3 4" xfId="8545"/>
    <cellStyle name="Normal 57 5 6 2 3 5" xfId="22625"/>
    <cellStyle name="Normal 57 5 6 2 4" xfId="6604"/>
    <cellStyle name="Normal 57 5 6 2 4 2" xfId="15688"/>
    <cellStyle name="Normal 57 5 6 2 4 3" xfId="25692"/>
    <cellStyle name="Normal 57 5 6 2 5" xfId="9999"/>
    <cellStyle name="Normal 57 5 6 2 5 2" xfId="18826"/>
    <cellStyle name="Normal 57 5 6 2 5 3" xfId="29077"/>
    <cellStyle name="Normal 57 5 6 2 6" xfId="11444"/>
    <cellStyle name="Normal 57 5 6 2 6 2" xfId="24174"/>
    <cellStyle name="Normal 57 5 6 2 7" xfId="5082"/>
    <cellStyle name="Normal 57 5 6 2 8" xfId="20685"/>
    <cellStyle name="Normal 57 5 6 3" xfId="1087"/>
    <cellStyle name="Normal 57 5 6 3 2" xfId="2809"/>
    <cellStyle name="Normal 57 5 6 3 2 2" xfId="16531"/>
    <cellStyle name="Normal 57 5 6 3 2 2 2" xfId="26750"/>
    <cellStyle name="Normal 57 5 6 3 2 3" xfId="12952"/>
    <cellStyle name="Normal 57 5 6 3 2 4" xfId="7663"/>
    <cellStyle name="Normal 57 5 6 3 2 5" xfId="21743"/>
    <cellStyle name="Normal 57 5 6 3 3" xfId="4083"/>
    <cellStyle name="Normal 57 5 6 3 3 2" xfId="17729"/>
    <cellStyle name="Normal 57 5 6 3 3 2 2" xfId="27980"/>
    <cellStyle name="Normal 57 5 6 3 3 3" xfId="14150"/>
    <cellStyle name="Normal 57 5 6 3 3 4" xfId="8893"/>
    <cellStyle name="Normal 57 5 6 3 3 5" xfId="22973"/>
    <cellStyle name="Normal 57 5 6 3 4" xfId="6734"/>
    <cellStyle name="Normal 57 5 6 3 4 2" xfId="15817"/>
    <cellStyle name="Normal 57 5 6 3 4 3" xfId="25821"/>
    <cellStyle name="Normal 57 5 6 3 5" xfId="10347"/>
    <cellStyle name="Normal 57 5 6 3 5 2" xfId="19174"/>
    <cellStyle name="Normal 57 5 6 3 5 3" xfId="29425"/>
    <cellStyle name="Normal 57 5 6 3 6" xfId="11793"/>
    <cellStyle name="Normal 57 5 6 3 6 2" xfId="24349"/>
    <cellStyle name="Normal 57 5 6 3 7" xfId="5257"/>
    <cellStyle name="Normal 57 5 6 3 8" xfId="20814"/>
    <cellStyle name="Normal 57 5 6 4" xfId="1365"/>
    <cellStyle name="Normal 57 5 6 4 2" xfId="2975"/>
    <cellStyle name="Normal 57 5 6 4 2 2" xfId="17895"/>
    <cellStyle name="Normal 57 5 6 4 2 2 2" xfId="28146"/>
    <cellStyle name="Normal 57 5 6 4 2 3" xfId="14316"/>
    <cellStyle name="Normal 57 5 6 4 2 4" xfId="9059"/>
    <cellStyle name="Normal 57 5 6 4 2 5" xfId="23139"/>
    <cellStyle name="Normal 57 5 6 4 3" xfId="10513"/>
    <cellStyle name="Normal 57 5 6 4 3 2" xfId="19340"/>
    <cellStyle name="Normal 57 5 6 4 3 3" xfId="29591"/>
    <cellStyle name="Normal 57 5 6 4 4" xfId="11959"/>
    <cellStyle name="Normal 57 5 6 4 4 2" xfId="26041"/>
    <cellStyle name="Normal 57 5 6 4 5" xfId="6954"/>
    <cellStyle name="Normal 57 5 6 4 6" xfId="21034"/>
    <cellStyle name="Normal 57 5 6 5" xfId="1932"/>
    <cellStyle name="Normal 57 5 6 5 2" xfId="16850"/>
    <cellStyle name="Normal 57 5 6 5 2 2" xfId="27101"/>
    <cellStyle name="Normal 57 5 6 5 3" xfId="13271"/>
    <cellStyle name="Normal 57 5 6 5 4" xfId="8014"/>
    <cellStyle name="Normal 57 5 6 5 5" xfId="22094"/>
    <cellStyle name="Normal 57 5 6 6" xfId="6070"/>
    <cellStyle name="Normal 57 5 6 6 2" xfId="15154"/>
    <cellStyle name="Normal 57 5 6 6 3" xfId="25158"/>
    <cellStyle name="Normal 57 5 6 7" xfId="9470"/>
    <cellStyle name="Normal 57 5 6 7 2" xfId="18297"/>
    <cellStyle name="Normal 57 5 6 7 3" xfId="28548"/>
    <cellStyle name="Normal 57 5 6 8" xfId="10914"/>
    <cellStyle name="Normal 57 5 6 8 2" xfId="23640"/>
    <cellStyle name="Normal 57 5 6 9" xfId="4548"/>
    <cellStyle name="Normal 57 5 6_Degree data" xfId="1705"/>
    <cellStyle name="Normal 57 5 7" xfId="720"/>
    <cellStyle name="Normal 57 5 7 2" xfId="2452"/>
    <cellStyle name="Normal 57 5 7 2 2" xfId="16347"/>
    <cellStyle name="Normal 57 5 7 2 2 2" xfId="26566"/>
    <cellStyle name="Normal 57 5 7 2 3" xfId="12769"/>
    <cellStyle name="Normal 57 5 7 2 4" xfId="7479"/>
    <cellStyle name="Normal 57 5 7 2 5" xfId="21559"/>
    <cellStyle name="Normal 57 5 7 3" xfId="3725"/>
    <cellStyle name="Normal 57 5 7 3 2" xfId="17372"/>
    <cellStyle name="Normal 57 5 7 3 2 2" xfId="27623"/>
    <cellStyle name="Normal 57 5 7 3 3" xfId="13793"/>
    <cellStyle name="Normal 57 5 7 3 4" xfId="8536"/>
    <cellStyle name="Normal 57 5 7 3 5" xfId="22616"/>
    <cellStyle name="Normal 57 5 7 4" xfId="6595"/>
    <cellStyle name="Normal 57 5 7 4 2" xfId="15679"/>
    <cellStyle name="Normal 57 5 7 4 3" xfId="25683"/>
    <cellStyle name="Normal 57 5 7 5" xfId="9990"/>
    <cellStyle name="Normal 57 5 7 5 2" xfId="18817"/>
    <cellStyle name="Normal 57 5 7 5 3" xfId="29068"/>
    <cellStyle name="Normal 57 5 7 6" xfId="11435"/>
    <cellStyle name="Normal 57 5 7 6 2" xfId="24165"/>
    <cellStyle name="Normal 57 5 7 7" xfId="5073"/>
    <cellStyle name="Normal 57 5 7 8" xfId="20676"/>
    <cellStyle name="Normal 57 5 8" xfId="1078"/>
    <cellStyle name="Normal 57 5 8 2" xfId="2800"/>
    <cellStyle name="Normal 57 5 8 2 2" xfId="16486"/>
    <cellStyle name="Normal 57 5 8 2 2 2" xfId="26705"/>
    <cellStyle name="Normal 57 5 8 2 3" xfId="12908"/>
    <cellStyle name="Normal 57 5 8 2 4" xfId="7618"/>
    <cellStyle name="Normal 57 5 8 2 5" xfId="21698"/>
    <cellStyle name="Normal 57 5 8 3" xfId="4074"/>
    <cellStyle name="Normal 57 5 8 3 2" xfId="17720"/>
    <cellStyle name="Normal 57 5 8 3 2 2" xfId="27971"/>
    <cellStyle name="Normal 57 5 8 3 3" xfId="14141"/>
    <cellStyle name="Normal 57 5 8 3 4" xfId="8884"/>
    <cellStyle name="Normal 57 5 8 3 5" xfId="22964"/>
    <cellStyle name="Normal 57 5 8 4" xfId="5862"/>
    <cellStyle name="Normal 57 5 8 4 2" xfId="14948"/>
    <cellStyle name="Normal 57 5 8 4 3" xfId="24952"/>
    <cellStyle name="Normal 57 5 8 5" xfId="10338"/>
    <cellStyle name="Normal 57 5 8 5 2" xfId="19165"/>
    <cellStyle name="Normal 57 5 8 5 3" xfId="29416"/>
    <cellStyle name="Normal 57 5 8 6" xfId="11784"/>
    <cellStyle name="Normal 57 5 8 6 2" xfId="24304"/>
    <cellStyle name="Normal 57 5 8 7" xfId="5212"/>
    <cellStyle name="Normal 57 5 8 8" xfId="19945"/>
    <cellStyle name="Normal 57 5 9" xfId="1316"/>
    <cellStyle name="Normal 57 5 9 2" xfId="2930"/>
    <cellStyle name="Normal 57 5 9 2 2" xfId="17850"/>
    <cellStyle name="Normal 57 5 9 2 2 2" xfId="28101"/>
    <cellStyle name="Normal 57 5 9 2 3" xfId="14271"/>
    <cellStyle name="Normal 57 5 9 2 4" xfId="9014"/>
    <cellStyle name="Normal 57 5 9 2 5" xfId="23094"/>
    <cellStyle name="Normal 57 5 9 3" xfId="10468"/>
    <cellStyle name="Normal 57 5 9 3 2" xfId="19295"/>
    <cellStyle name="Normal 57 5 9 3 3" xfId="29546"/>
    <cellStyle name="Normal 57 5 9 4" xfId="11914"/>
    <cellStyle name="Normal 57 5 9 4 2" xfId="25835"/>
    <cellStyle name="Normal 57 5 9 5" xfId="6748"/>
    <cellStyle name="Normal 57 5 9 6" xfId="20828"/>
    <cellStyle name="Normal 57 5_Degree data" xfId="1696"/>
    <cellStyle name="Normal 57 6" xfId="150"/>
    <cellStyle name="Normal 57 6 10" xfId="5551"/>
    <cellStyle name="Normal 57 6 10 2" xfId="14637"/>
    <cellStyle name="Normal 57 6 10 3" xfId="24641"/>
    <cellStyle name="Normal 57 6 11" xfId="9371"/>
    <cellStyle name="Normal 57 6 11 2" xfId="18198"/>
    <cellStyle name="Normal 57 6 11 3" xfId="28449"/>
    <cellStyle name="Normal 57 6 12" xfId="10811"/>
    <cellStyle name="Normal 57 6 12 2" xfId="23453"/>
    <cellStyle name="Normal 57 6 13" xfId="4361"/>
    <cellStyle name="Normal 57 6 14" xfId="19634"/>
    <cellStyle name="Normal 57 6 2" xfId="263"/>
    <cellStyle name="Normal 57 6 2 10" xfId="10990"/>
    <cellStyle name="Normal 57 6 2 10 2" xfId="23499"/>
    <cellStyle name="Normal 57 6 2 11" xfId="4407"/>
    <cellStyle name="Normal 57 6 2 12" xfId="19736"/>
    <cellStyle name="Normal 57 6 2 2" xfId="365"/>
    <cellStyle name="Normal 57 6 2 2 10" xfId="19836"/>
    <cellStyle name="Normal 57 6 2 2 2" xfId="732"/>
    <cellStyle name="Normal 57 6 2 2 2 2" xfId="2464"/>
    <cellStyle name="Normal 57 6 2 2 2 2 2" xfId="16359"/>
    <cellStyle name="Normal 57 6 2 2 2 2 2 2" xfId="26578"/>
    <cellStyle name="Normal 57 6 2 2 2 2 3" xfId="12781"/>
    <cellStyle name="Normal 57 6 2 2 2 2 4" xfId="7491"/>
    <cellStyle name="Normal 57 6 2 2 2 2 5" xfId="21571"/>
    <cellStyle name="Normal 57 6 2 2 2 3" xfId="3737"/>
    <cellStyle name="Normal 57 6 2 2 2 3 2" xfId="17384"/>
    <cellStyle name="Normal 57 6 2 2 2 3 2 2" xfId="27635"/>
    <cellStyle name="Normal 57 6 2 2 2 3 3" xfId="13805"/>
    <cellStyle name="Normal 57 6 2 2 2 3 4" xfId="8548"/>
    <cellStyle name="Normal 57 6 2 2 2 3 5" xfId="22628"/>
    <cellStyle name="Normal 57 6 2 2 2 4" xfId="6607"/>
    <cellStyle name="Normal 57 6 2 2 2 4 2" xfId="15691"/>
    <cellStyle name="Normal 57 6 2 2 2 4 3" xfId="25695"/>
    <cellStyle name="Normal 57 6 2 2 2 5" xfId="10002"/>
    <cellStyle name="Normal 57 6 2 2 2 5 2" xfId="18829"/>
    <cellStyle name="Normal 57 6 2 2 2 5 3" xfId="29080"/>
    <cellStyle name="Normal 57 6 2 2 2 6" xfId="11447"/>
    <cellStyle name="Normal 57 6 2 2 2 6 2" xfId="24177"/>
    <cellStyle name="Normal 57 6 2 2 2 7" xfId="5085"/>
    <cellStyle name="Normal 57 6 2 2 2 8" xfId="20688"/>
    <cellStyle name="Normal 57 6 2 2 3" xfId="1090"/>
    <cellStyle name="Normal 57 6 2 2 3 2" xfId="2812"/>
    <cellStyle name="Normal 57 6 2 2 3 2 2" xfId="16707"/>
    <cellStyle name="Normal 57 6 2 2 3 2 2 2" xfId="26926"/>
    <cellStyle name="Normal 57 6 2 2 3 2 3" xfId="13128"/>
    <cellStyle name="Normal 57 6 2 2 3 2 4" xfId="7839"/>
    <cellStyle name="Normal 57 6 2 2 3 2 5" xfId="21919"/>
    <cellStyle name="Normal 57 6 2 2 3 3" xfId="4086"/>
    <cellStyle name="Normal 57 6 2 2 3 3 2" xfId="17732"/>
    <cellStyle name="Normal 57 6 2 2 3 3 2 2" xfId="27983"/>
    <cellStyle name="Normal 57 6 2 2 3 3 3" xfId="14153"/>
    <cellStyle name="Normal 57 6 2 2 3 3 4" xfId="8896"/>
    <cellStyle name="Normal 57 6 2 2 3 3 5" xfId="22976"/>
    <cellStyle name="Normal 57 6 2 2 3 4" xfId="6246"/>
    <cellStyle name="Normal 57 6 2 2 3 4 2" xfId="15330"/>
    <cellStyle name="Normal 57 6 2 2 3 4 3" xfId="25334"/>
    <cellStyle name="Normal 57 6 2 2 3 5" xfId="10350"/>
    <cellStyle name="Normal 57 6 2 2 3 5 2" xfId="19177"/>
    <cellStyle name="Normal 57 6 2 2 3 5 3" xfId="29428"/>
    <cellStyle name="Normal 57 6 2 2 3 6" xfId="11796"/>
    <cellStyle name="Normal 57 6 2 2 3 6 2" xfId="24525"/>
    <cellStyle name="Normal 57 6 2 2 3 7" xfId="5433"/>
    <cellStyle name="Normal 57 6 2 2 3 8" xfId="20327"/>
    <cellStyle name="Normal 57 6 2 2 4" xfId="1552"/>
    <cellStyle name="Normal 57 6 2 2 4 2" xfId="3151"/>
    <cellStyle name="Normal 57 6 2 2 4 2 2" xfId="18071"/>
    <cellStyle name="Normal 57 6 2 2 4 2 2 2" xfId="28322"/>
    <cellStyle name="Normal 57 6 2 2 4 2 3" xfId="14492"/>
    <cellStyle name="Normal 57 6 2 2 4 2 4" xfId="9235"/>
    <cellStyle name="Normal 57 6 2 2 4 2 5" xfId="23315"/>
    <cellStyle name="Normal 57 6 2 2 4 3" xfId="10689"/>
    <cellStyle name="Normal 57 6 2 2 4 3 2" xfId="19516"/>
    <cellStyle name="Normal 57 6 2 2 4 3 3" xfId="29767"/>
    <cellStyle name="Normal 57 6 2 2 4 4" xfId="12135"/>
    <cellStyle name="Normal 57 6 2 2 4 4 2" xfId="26217"/>
    <cellStyle name="Normal 57 6 2 2 4 5" xfId="7130"/>
    <cellStyle name="Normal 57 6 2 2 4 6" xfId="21210"/>
    <cellStyle name="Normal 57 6 2 2 5" xfId="2108"/>
    <cellStyle name="Normal 57 6 2 2 5 2" xfId="17028"/>
    <cellStyle name="Normal 57 6 2 2 5 2 2" xfId="27279"/>
    <cellStyle name="Normal 57 6 2 2 5 3" xfId="13449"/>
    <cellStyle name="Normal 57 6 2 2 5 4" xfId="8192"/>
    <cellStyle name="Normal 57 6 2 2 5 5" xfId="22272"/>
    <cellStyle name="Normal 57 6 2 2 6" xfId="5753"/>
    <cellStyle name="Normal 57 6 2 2 6 2" xfId="14839"/>
    <cellStyle name="Normal 57 6 2 2 6 3" xfId="24843"/>
    <cellStyle name="Normal 57 6 2 2 7" xfId="9646"/>
    <cellStyle name="Normal 57 6 2 2 7 2" xfId="18473"/>
    <cellStyle name="Normal 57 6 2 2 7 3" xfId="28724"/>
    <cellStyle name="Normal 57 6 2 2 8" xfId="11090"/>
    <cellStyle name="Normal 57 6 2 2 8 2" xfId="23816"/>
    <cellStyle name="Normal 57 6 2 2 9" xfId="4724"/>
    <cellStyle name="Normal 57 6 2 2_Degree data" xfId="1708"/>
    <cellStyle name="Normal 57 6 2 3" xfId="731"/>
    <cellStyle name="Normal 57 6 2 3 2" xfId="2463"/>
    <cellStyle name="Normal 57 6 2 3 2 2" xfId="16044"/>
    <cellStyle name="Normal 57 6 2 3 2 2 2" xfId="26117"/>
    <cellStyle name="Normal 57 6 2 3 2 3" xfId="12373"/>
    <cellStyle name="Normal 57 6 2 3 2 4" xfId="7030"/>
    <cellStyle name="Normal 57 6 2 3 2 5" xfId="21110"/>
    <cellStyle name="Normal 57 6 2 3 3" xfId="3736"/>
    <cellStyle name="Normal 57 6 2 3 3 2" xfId="17383"/>
    <cellStyle name="Normal 57 6 2 3 3 2 2" xfId="27634"/>
    <cellStyle name="Normal 57 6 2 3 3 3" xfId="13804"/>
    <cellStyle name="Normal 57 6 2 3 3 4" xfId="8547"/>
    <cellStyle name="Normal 57 6 2 3 3 5" xfId="22627"/>
    <cellStyle name="Normal 57 6 2 3 4" xfId="6146"/>
    <cellStyle name="Normal 57 6 2 3 4 2" xfId="15230"/>
    <cellStyle name="Normal 57 6 2 3 4 3" xfId="25234"/>
    <cellStyle name="Normal 57 6 2 3 5" xfId="10001"/>
    <cellStyle name="Normal 57 6 2 3 5 2" xfId="18828"/>
    <cellStyle name="Normal 57 6 2 3 5 3" xfId="29079"/>
    <cellStyle name="Normal 57 6 2 3 6" xfId="11446"/>
    <cellStyle name="Normal 57 6 2 3 6 2" xfId="23716"/>
    <cellStyle name="Normal 57 6 2 3 7" xfId="4624"/>
    <cellStyle name="Normal 57 6 2 3 8" xfId="20227"/>
    <cellStyle name="Normal 57 6 2 4" xfId="1089"/>
    <cellStyle name="Normal 57 6 2 4 2" xfId="2811"/>
    <cellStyle name="Normal 57 6 2 4 2 2" xfId="16358"/>
    <cellStyle name="Normal 57 6 2 4 2 2 2" xfId="26577"/>
    <cellStyle name="Normal 57 6 2 4 2 3" xfId="12780"/>
    <cellStyle name="Normal 57 6 2 4 2 4" xfId="7490"/>
    <cellStyle name="Normal 57 6 2 4 2 5" xfId="21570"/>
    <cellStyle name="Normal 57 6 2 4 3" xfId="4085"/>
    <cellStyle name="Normal 57 6 2 4 3 2" xfId="17731"/>
    <cellStyle name="Normal 57 6 2 4 3 2 2" xfId="27982"/>
    <cellStyle name="Normal 57 6 2 4 3 3" xfId="14152"/>
    <cellStyle name="Normal 57 6 2 4 3 4" xfId="8895"/>
    <cellStyle name="Normal 57 6 2 4 3 5" xfId="22975"/>
    <cellStyle name="Normal 57 6 2 4 4" xfId="6606"/>
    <cellStyle name="Normal 57 6 2 4 4 2" xfId="15690"/>
    <cellStyle name="Normal 57 6 2 4 4 3" xfId="25694"/>
    <cellStyle name="Normal 57 6 2 4 5" xfId="10349"/>
    <cellStyle name="Normal 57 6 2 4 5 2" xfId="19176"/>
    <cellStyle name="Normal 57 6 2 4 5 3" xfId="29427"/>
    <cellStyle name="Normal 57 6 2 4 6" xfId="11795"/>
    <cellStyle name="Normal 57 6 2 4 6 2" xfId="24176"/>
    <cellStyle name="Normal 57 6 2 4 7" xfId="5084"/>
    <cellStyle name="Normal 57 6 2 4 8" xfId="20687"/>
    <cellStyle name="Normal 57 6 2 5" xfId="1450"/>
    <cellStyle name="Normal 57 6 2 5 2" xfId="3051"/>
    <cellStyle name="Normal 57 6 2 5 2 2" xfId="16607"/>
    <cellStyle name="Normal 57 6 2 5 2 2 2" xfId="26826"/>
    <cellStyle name="Normal 57 6 2 5 2 3" xfId="13028"/>
    <cellStyle name="Normal 57 6 2 5 2 4" xfId="7739"/>
    <cellStyle name="Normal 57 6 2 5 2 5" xfId="21819"/>
    <cellStyle name="Normal 57 6 2 5 3" xfId="4265"/>
    <cellStyle name="Normal 57 6 2 5 3 2" xfId="17971"/>
    <cellStyle name="Normal 57 6 2 5 3 2 2" xfId="28222"/>
    <cellStyle name="Normal 57 6 2 5 3 3" xfId="14392"/>
    <cellStyle name="Normal 57 6 2 5 3 4" xfId="9135"/>
    <cellStyle name="Normal 57 6 2 5 3 5" xfId="23215"/>
    <cellStyle name="Normal 57 6 2 5 4" xfId="5927"/>
    <cellStyle name="Normal 57 6 2 5 4 2" xfId="15013"/>
    <cellStyle name="Normal 57 6 2 5 4 3" xfId="25017"/>
    <cellStyle name="Normal 57 6 2 5 5" xfId="10589"/>
    <cellStyle name="Normal 57 6 2 5 5 2" xfId="19416"/>
    <cellStyle name="Normal 57 6 2 5 5 3" xfId="29667"/>
    <cellStyle name="Normal 57 6 2 5 6" xfId="12035"/>
    <cellStyle name="Normal 57 6 2 5 6 2" xfId="24425"/>
    <cellStyle name="Normal 57 6 2 5 7" xfId="5333"/>
    <cellStyle name="Normal 57 6 2 5 8" xfId="20010"/>
    <cellStyle name="Normal 57 6 2 6" xfId="2008"/>
    <cellStyle name="Normal 57 6 2 6 2" xfId="15856"/>
    <cellStyle name="Normal 57 6 2 6 2 2" xfId="25900"/>
    <cellStyle name="Normal 57 6 2 6 3" xfId="12417"/>
    <cellStyle name="Normal 57 6 2 6 4" xfId="6813"/>
    <cellStyle name="Normal 57 6 2 6 5" xfId="20893"/>
    <cellStyle name="Normal 57 6 2 7" xfId="3427"/>
    <cellStyle name="Normal 57 6 2 7 2" xfId="16928"/>
    <cellStyle name="Normal 57 6 2 7 2 2" xfId="27179"/>
    <cellStyle name="Normal 57 6 2 7 3" xfId="13349"/>
    <cellStyle name="Normal 57 6 2 7 4" xfId="8092"/>
    <cellStyle name="Normal 57 6 2 7 5" xfId="22172"/>
    <cellStyle name="Normal 57 6 2 8" xfId="5653"/>
    <cellStyle name="Normal 57 6 2 8 2" xfId="14739"/>
    <cellStyle name="Normal 57 6 2 8 3" xfId="24743"/>
    <cellStyle name="Normal 57 6 2 9" xfId="9546"/>
    <cellStyle name="Normal 57 6 2 9 2" xfId="18373"/>
    <cellStyle name="Normal 57 6 2 9 3" xfId="28624"/>
    <cellStyle name="Normal 57 6 2_Degree data" xfId="1707"/>
    <cellStyle name="Normal 57 6 3" xfId="212"/>
    <cellStyle name="Normal 57 6 3 10" xfId="10944"/>
    <cellStyle name="Normal 57 6 3 10 2" xfId="23558"/>
    <cellStyle name="Normal 57 6 3 11" xfId="4466"/>
    <cellStyle name="Normal 57 6 3 12" xfId="19690"/>
    <cellStyle name="Normal 57 6 3 2" xfId="426"/>
    <cellStyle name="Normal 57 6 3 2 10" xfId="19895"/>
    <cellStyle name="Normal 57 6 3 2 2" xfId="734"/>
    <cellStyle name="Normal 57 6 3 2 2 2" xfId="2466"/>
    <cellStyle name="Normal 57 6 3 2 2 2 2" xfId="16361"/>
    <cellStyle name="Normal 57 6 3 2 2 2 2 2" xfId="26580"/>
    <cellStyle name="Normal 57 6 3 2 2 2 3" xfId="12783"/>
    <cellStyle name="Normal 57 6 3 2 2 2 4" xfId="7493"/>
    <cellStyle name="Normal 57 6 3 2 2 2 5" xfId="21573"/>
    <cellStyle name="Normal 57 6 3 2 2 3" xfId="3739"/>
    <cellStyle name="Normal 57 6 3 2 2 3 2" xfId="17386"/>
    <cellStyle name="Normal 57 6 3 2 2 3 2 2" xfId="27637"/>
    <cellStyle name="Normal 57 6 3 2 2 3 3" xfId="13807"/>
    <cellStyle name="Normal 57 6 3 2 2 3 4" xfId="8550"/>
    <cellStyle name="Normal 57 6 3 2 2 3 5" xfId="22630"/>
    <cellStyle name="Normal 57 6 3 2 2 4" xfId="6609"/>
    <cellStyle name="Normal 57 6 3 2 2 4 2" xfId="15693"/>
    <cellStyle name="Normal 57 6 3 2 2 4 3" xfId="25697"/>
    <cellStyle name="Normal 57 6 3 2 2 5" xfId="10004"/>
    <cellStyle name="Normal 57 6 3 2 2 5 2" xfId="18831"/>
    <cellStyle name="Normal 57 6 3 2 2 5 3" xfId="29082"/>
    <cellStyle name="Normal 57 6 3 2 2 6" xfId="11449"/>
    <cellStyle name="Normal 57 6 3 2 2 6 2" xfId="24179"/>
    <cellStyle name="Normal 57 6 3 2 2 7" xfId="5087"/>
    <cellStyle name="Normal 57 6 3 2 2 8" xfId="20690"/>
    <cellStyle name="Normal 57 6 3 2 3" xfId="1092"/>
    <cellStyle name="Normal 57 6 3 2 3 2" xfId="2814"/>
    <cellStyle name="Normal 57 6 3 2 3 2 2" xfId="16766"/>
    <cellStyle name="Normal 57 6 3 2 3 2 2 2" xfId="26985"/>
    <cellStyle name="Normal 57 6 3 2 3 2 3" xfId="13187"/>
    <cellStyle name="Normal 57 6 3 2 3 2 4" xfId="7898"/>
    <cellStyle name="Normal 57 6 3 2 3 2 5" xfId="21978"/>
    <cellStyle name="Normal 57 6 3 2 3 3" xfId="4088"/>
    <cellStyle name="Normal 57 6 3 2 3 3 2" xfId="17734"/>
    <cellStyle name="Normal 57 6 3 2 3 3 2 2" xfId="27985"/>
    <cellStyle name="Normal 57 6 3 2 3 3 3" xfId="14155"/>
    <cellStyle name="Normal 57 6 3 2 3 3 4" xfId="8898"/>
    <cellStyle name="Normal 57 6 3 2 3 3 5" xfId="22978"/>
    <cellStyle name="Normal 57 6 3 2 3 4" xfId="6305"/>
    <cellStyle name="Normal 57 6 3 2 3 4 2" xfId="15389"/>
    <cellStyle name="Normal 57 6 3 2 3 4 3" xfId="25393"/>
    <cellStyle name="Normal 57 6 3 2 3 5" xfId="10352"/>
    <cellStyle name="Normal 57 6 3 2 3 5 2" xfId="19179"/>
    <cellStyle name="Normal 57 6 3 2 3 5 3" xfId="29430"/>
    <cellStyle name="Normal 57 6 3 2 3 6" xfId="11798"/>
    <cellStyle name="Normal 57 6 3 2 3 6 2" xfId="24584"/>
    <cellStyle name="Normal 57 6 3 2 3 7" xfId="5492"/>
    <cellStyle name="Normal 57 6 3 2 3 8" xfId="20386"/>
    <cellStyle name="Normal 57 6 3 2 4" xfId="1613"/>
    <cellStyle name="Normal 57 6 3 2 4 2" xfId="3210"/>
    <cellStyle name="Normal 57 6 3 2 4 2 2" xfId="18130"/>
    <cellStyle name="Normal 57 6 3 2 4 2 2 2" xfId="28381"/>
    <cellStyle name="Normal 57 6 3 2 4 2 3" xfId="14551"/>
    <cellStyle name="Normal 57 6 3 2 4 2 4" xfId="9294"/>
    <cellStyle name="Normal 57 6 3 2 4 2 5" xfId="23374"/>
    <cellStyle name="Normal 57 6 3 2 4 3" xfId="10748"/>
    <cellStyle name="Normal 57 6 3 2 4 3 2" xfId="19575"/>
    <cellStyle name="Normal 57 6 3 2 4 3 3" xfId="29826"/>
    <cellStyle name="Normal 57 6 3 2 4 4" xfId="12194"/>
    <cellStyle name="Normal 57 6 3 2 4 4 2" xfId="26276"/>
    <cellStyle name="Normal 57 6 3 2 4 5" xfId="7189"/>
    <cellStyle name="Normal 57 6 3 2 4 6" xfId="21269"/>
    <cellStyle name="Normal 57 6 3 2 5" xfId="2167"/>
    <cellStyle name="Normal 57 6 3 2 5 2" xfId="17087"/>
    <cellStyle name="Normal 57 6 3 2 5 2 2" xfId="27338"/>
    <cellStyle name="Normal 57 6 3 2 5 3" xfId="13508"/>
    <cellStyle name="Normal 57 6 3 2 5 4" xfId="8251"/>
    <cellStyle name="Normal 57 6 3 2 5 5" xfId="22331"/>
    <cellStyle name="Normal 57 6 3 2 6" xfId="5812"/>
    <cellStyle name="Normal 57 6 3 2 6 2" xfId="14898"/>
    <cellStyle name="Normal 57 6 3 2 6 3" xfId="24902"/>
    <cellStyle name="Normal 57 6 3 2 7" xfId="9705"/>
    <cellStyle name="Normal 57 6 3 2 7 2" xfId="18532"/>
    <cellStyle name="Normal 57 6 3 2 7 3" xfId="28783"/>
    <cellStyle name="Normal 57 6 3 2 8" xfId="11149"/>
    <cellStyle name="Normal 57 6 3 2 8 2" xfId="23875"/>
    <cellStyle name="Normal 57 6 3 2 9" xfId="4783"/>
    <cellStyle name="Normal 57 6 3 2_Degree data" xfId="1710"/>
    <cellStyle name="Normal 57 6 3 3" xfId="733"/>
    <cellStyle name="Normal 57 6 3 3 2" xfId="2465"/>
    <cellStyle name="Normal 57 6 3 3 2 2" xfId="15998"/>
    <cellStyle name="Normal 57 6 3 3 2 2 2" xfId="26071"/>
    <cellStyle name="Normal 57 6 3 3 2 3" xfId="12385"/>
    <cellStyle name="Normal 57 6 3 3 2 4" xfId="6984"/>
    <cellStyle name="Normal 57 6 3 3 2 5" xfId="21064"/>
    <cellStyle name="Normal 57 6 3 3 3" xfId="3738"/>
    <cellStyle name="Normal 57 6 3 3 3 2" xfId="17385"/>
    <cellStyle name="Normal 57 6 3 3 3 2 2" xfId="27636"/>
    <cellStyle name="Normal 57 6 3 3 3 3" xfId="13806"/>
    <cellStyle name="Normal 57 6 3 3 3 4" xfId="8549"/>
    <cellStyle name="Normal 57 6 3 3 3 5" xfId="22629"/>
    <cellStyle name="Normal 57 6 3 3 4" xfId="6100"/>
    <cellStyle name="Normal 57 6 3 3 4 2" xfId="15184"/>
    <cellStyle name="Normal 57 6 3 3 4 3" xfId="25188"/>
    <cellStyle name="Normal 57 6 3 3 5" xfId="10003"/>
    <cellStyle name="Normal 57 6 3 3 5 2" xfId="18830"/>
    <cellStyle name="Normal 57 6 3 3 5 3" xfId="29081"/>
    <cellStyle name="Normal 57 6 3 3 6" xfId="11448"/>
    <cellStyle name="Normal 57 6 3 3 6 2" xfId="23670"/>
    <cellStyle name="Normal 57 6 3 3 7" xfId="4578"/>
    <cellStyle name="Normal 57 6 3 3 8" xfId="20181"/>
    <cellStyle name="Normal 57 6 3 4" xfId="1091"/>
    <cellStyle name="Normal 57 6 3 4 2" xfId="2813"/>
    <cellStyle name="Normal 57 6 3 4 2 2" xfId="16360"/>
    <cellStyle name="Normal 57 6 3 4 2 2 2" xfId="26579"/>
    <cellStyle name="Normal 57 6 3 4 2 3" xfId="12782"/>
    <cellStyle name="Normal 57 6 3 4 2 4" xfId="7492"/>
    <cellStyle name="Normal 57 6 3 4 2 5" xfId="21572"/>
    <cellStyle name="Normal 57 6 3 4 3" xfId="4087"/>
    <cellStyle name="Normal 57 6 3 4 3 2" xfId="17733"/>
    <cellStyle name="Normal 57 6 3 4 3 2 2" xfId="27984"/>
    <cellStyle name="Normal 57 6 3 4 3 3" xfId="14154"/>
    <cellStyle name="Normal 57 6 3 4 3 4" xfId="8897"/>
    <cellStyle name="Normal 57 6 3 4 3 5" xfId="22977"/>
    <cellStyle name="Normal 57 6 3 4 4" xfId="6608"/>
    <cellStyle name="Normal 57 6 3 4 4 2" xfId="15692"/>
    <cellStyle name="Normal 57 6 3 4 4 3" xfId="25696"/>
    <cellStyle name="Normal 57 6 3 4 5" xfId="10351"/>
    <cellStyle name="Normal 57 6 3 4 5 2" xfId="19178"/>
    <cellStyle name="Normal 57 6 3 4 5 3" xfId="29429"/>
    <cellStyle name="Normal 57 6 3 4 6" xfId="11797"/>
    <cellStyle name="Normal 57 6 3 4 6 2" xfId="24178"/>
    <cellStyle name="Normal 57 6 3 4 7" xfId="5086"/>
    <cellStyle name="Normal 57 6 3 4 8" xfId="20689"/>
    <cellStyle name="Normal 57 6 3 5" xfId="1399"/>
    <cellStyle name="Normal 57 6 3 5 2" xfId="3005"/>
    <cellStyle name="Normal 57 6 3 5 2 2" xfId="16561"/>
    <cellStyle name="Normal 57 6 3 5 2 2 2" xfId="26780"/>
    <cellStyle name="Normal 57 6 3 5 2 3" xfId="12982"/>
    <cellStyle name="Normal 57 6 3 5 2 4" xfId="7693"/>
    <cellStyle name="Normal 57 6 3 5 2 5" xfId="21773"/>
    <cellStyle name="Normal 57 6 3 5 3" xfId="4219"/>
    <cellStyle name="Normal 57 6 3 5 3 2" xfId="17925"/>
    <cellStyle name="Normal 57 6 3 5 3 2 2" xfId="28176"/>
    <cellStyle name="Normal 57 6 3 5 3 3" xfId="14346"/>
    <cellStyle name="Normal 57 6 3 5 3 4" xfId="9089"/>
    <cellStyle name="Normal 57 6 3 5 3 5" xfId="23169"/>
    <cellStyle name="Normal 57 6 3 5 4" xfId="5986"/>
    <cellStyle name="Normal 57 6 3 5 4 2" xfId="15072"/>
    <cellStyle name="Normal 57 6 3 5 4 3" xfId="25076"/>
    <cellStyle name="Normal 57 6 3 5 5" xfId="10543"/>
    <cellStyle name="Normal 57 6 3 5 5 2" xfId="19370"/>
    <cellStyle name="Normal 57 6 3 5 5 3" xfId="29621"/>
    <cellStyle name="Normal 57 6 3 5 6" xfId="11989"/>
    <cellStyle name="Normal 57 6 3 5 6 2" xfId="24379"/>
    <cellStyle name="Normal 57 6 3 5 7" xfId="5287"/>
    <cellStyle name="Normal 57 6 3 5 8" xfId="20069"/>
    <cellStyle name="Normal 57 6 3 6" xfId="1962"/>
    <cellStyle name="Normal 57 6 3 6 2" xfId="15915"/>
    <cellStyle name="Normal 57 6 3 6 2 2" xfId="25959"/>
    <cellStyle name="Normal 57 6 3 6 3" xfId="12405"/>
    <cellStyle name="Normal 57 6 3 6 4" xfId="6872"/>
    <cellStyle name="Normal 57 6 3 6 5" xfId="20952"/>
    <cellStyle name="Normal 57 6 3 7" xfId="3382"/>
    <cellStyle name="Normal 57 6 3 7 2" xfId="16882"/>
    <cellStyle name="Normal 57 6 3 7 2 2" xfId="27133"/>
    <cellStyle name="Normal 57 6 3 7 3" xfId="13303"/>
    <cellStyle name="Normal 57 6 3 7 4" xfId="8046"/>
    <cellStyle name="Normal 57 6 3 7 5" xfId="22126"/>
    <cellStyle name="Normal 57 6 3 8" xfId="5607"/>
    <cellStyle name="Normal 57 6 3 8 2" xfId="14693"/>
    <cellStyle name="Normal 57 6 3 8 3" xfId="24697"/>
    <cellStyle name="Normal 57 6 3 9" xfId="9500"/>
    <cellStyle name="Normal 57 6 3 9 2" xfId="18327"/>
    <cellStyle name="Normal 57 6 3 9 3" xfId="28578"/>
    <cellStyle name="Normal 57 6 3_Degree data" xfId="1709"/>
    <cellStyle name="Normal 57 6 4" xfId="318"/>
    <cellStyle name="Normal 57 6 4 10" xfId="19790"/>
    <cellStyle name="Normal 57 6 4 2" xfId="735"/>
    <cellStyle name="Normal 57 6 4 2 2" xfId="2467"/>
    <cellStyle name="Normal 57 6 4 2 2 2" xfId="16362"/>
    <cellStyle name="Normal 57 6 4 2 2 2 2" xfId="26581"/>
    <cellStyle name="Normal 57 6 4 2 2 3" xfId="12784"/>
    <cellStyle name="Normal 57 6 4 2 2 4" xfId="7494"/>
    <cellStyle name="Normal 57 6 4 2 2 5" xfId="21574"/>
    <cellStyle name="Normal 57 6 4 2 3" xfId="3740"/>
    <cellStyle name="Normal 57 6 4 2 3 2" xfId="17387"/>
    <cellStyle name="Normal 57 6 4 2 3 2 2" xfId="27638"/>
    <cellStyle name="Normal 57 6 4 2 3 3" xfId="13808"/>
    <cellStyle name="Normal 57 6 4 2 3 4" xfId="8551"/>
    <cellStyle name="Normal 57 6 4 2 3 5" xfId="22631"/>
    <cellStyle name="Normal 57 6 4 2 4" xfId="6610"/>
    <cellStyle name="Normal 57 6 4 2 4 2" xfId="15694"/>
    <cellStyle name="Normal 57 6 4 2 4 3" xfId="25698"/>
    <cellStyle name="Normal 57 6 4 2 5" xfId="10005"/>
    <cellStyle name="Normal 57 6 4 2 5 2" xfId="18832"/>
    <cellStyle name="Normal 57 6 4 2 5 3" xfId="29083"/>
    <cellStyle name="Normal 57 6 4 2 6" xfId="11450"/>
    <cellStyle name="Normal 57 6 4 2 6 2" xfId="24180"/>
    <cellStyle name="Normal 57 6 4 2 7" xfId="5088"/>
    <cellStyle name="Normal 57 6 4 2 8" xfId="20691"/>
    <cellStyle name="Normal 57 6 4 3" xfId="1093"/>
    <cellStyle name="Normal 57 6 4 3 2" xfId="2815"/>
    <cellStyle name="Normal 57 6 4 3 2 2" xfId="16661"/>
    <cellStyle name="Normal 57 6 4 3 2 2 2" xfId="26880"/>
    <cellStyle name="Normal 57 6 4 3 2 3" xfId="13082"/>
    <cellStyle name="Normal 57 6 4 3 2 4" xfId="7793"/>
    <cellStyle name="Normal 57 6 4 3 2 5" xfId="21873"/>
    <cellStyle name="Normal 57 6 4 3 3" xfId="4089"/>
    <cellStyle name="Normal 57 6 4 3 3 2" xfId="17735"/>
    <cellStyle name="Normal 57 6 4 3 3 2 2" xfId="27986"/>
    <cellStyle name="Normal 57 6 4 3 3 3" xfId="14156"/>
    <cellStyle name="Normal 57 6 4 3 3 4" xfId="8899"/>
    <cellStyle name="Normal 57 6 4 3 3 5" xfId="22979"/>
    <cellStyle name="Normal 57 6 4 3 4" xfId="6200"/>
    <cellStyle name="Normal 57 6 4 3 4 2" xfId="15284"/>
    <cellStyle name="Normal 57 6 4 3 4 3" xfId="25288"/>
    <cellStyle name="Normal 57 6 4 3 5" xfId="10353"/>
    <cellStyle name="Normal 57 6 4 3 5 2" xfId="19180"/>
    <cellStyle name="Normal 57 6 4 3 5 3" xfId="29431"/>
    <cellStyle name="Normal 57 6 4 3 6" xfId="11799"/>
    <cellStyle name="Normal 57 6 4 3 6 2" xfId="24479"/>
    <cellStyle name="Normal 57 6 4 3 7" xfId="5387"/>
    <cellStyle name="Normal 57 6 4 3 8" xfId="20281"/>
    <cellStyle name="Normal 57 6 4 4" xfId="1505"/>
    <cellStyle name="Normal 57 6 4 4 2" xfId="3105"/>
    <cellStyle name="Normal 57 6 4 4 2 2" xfId="18025"/>
    <cellStyle name="Normal 57 6 4 4 2 2 2" xfId="28276"/>
    <cellStyle name="Normal 57 6 4 4 2 3" xfId="14446"/>
    <cellStyle name="Normal 57 6 4 4 2 4" xfId="9189"/>
    <cellStyle name="Normal 57 6 4 4 2 5" xfId="23269"/>
    <cellStyle name="Normal 57 6 4 4 3" xfId="10643"/>
    <cellStyle name="Normal 57 6 4 4 3 2" xfId="19470"/>
    <cellStyle name="Normal 57 6 4 4 3 3" xfId="29721"/>
    <cellStyle name="Normal 57 6 4 4 4" xfId="12089"/>
    <cellStyle name="Normal 57 6 4 4 4 2" xfId="26171"/>
    <cellStyle name="Normal 57 6 4 4 5" xfId="7084"/>
    <cellStyle name="Normal 57 6 4 4 6" xfId="21164"/>
    <cellStyle name="Normal 57 6 4 5" xfId="2062"/>
    <cellStyle name="Normal 57 6 4 5 2" xfId="16982"/>
    <cellStyle name="Normal 57 6 4 5 2 2" xfId="27233"/>
    <cellStyle name="Normal 57 6 4 5 3" xfId="13403"/>
    <cellStyle name="Normal 57 6 4 5 4" xfId="8146"/>
    <cellStyle name="Normal 57 6 4 5 5" xfId="22226"/>
    <cellStyle name="Normal 57 6 4 6" xfId="5707"/>
    <cellStyle name="Normal 57 6 4 6 2" xfId="14793"/>
    <cellStyle name="Normal 57 6 4 6 3" xfId="24797"/>
    <cellStyle name="Normal 57 6 4 7" xfId="9600"/>
    <cellStyle name="Normal 57 6 4 7 2" xfId="18427"/>
    <cellStyle name="Normal 57 6 4 7 3" xfId="28678"/>
    <cellStyle name="Normal 57 6 4 8" xfId="11044"/>
    <cellStyle name="Normal 57 6 4 8 2" xfId="23770"/>
    <cellStyle name="Normal 57 6 4 9" xfId="4678"/>
    <cellStyle name="Normal 57 6 4_Degree data" xfId="1711"/>
    <cellStyle name="Normal 57 6 5" xfId="730"/>
    <cellStyle name="Normal 57 6 5 2" xfId="2462"/>
    <cellStyle name="Normal 57 6 5 2 2" xfId="15958"/>
    <cellStyle name="Normal 57 6 5 2 2 2" xfId="26015"/>
    <cellStyle name="Normal 57 6 5 2 3" xfId="12294"/>
    <cellStyle name="Normal 57 6 5 2 4" xfId="6928"/>
    <cellStyle name="Normal 57 6 5 2 5" xfId="21008"/>
    <cellStyle name="Normal 57 6 5 3" xfId="3735"/>
    <cellStyle name="Normal 57 6 5 3 2" xfId="17382"/>
    <cellStyle name="Normal 57 6 5 3 2 2" xfId="27633"/>
    <cellStyle name="Normal 57 6 5 3 3" xfId="13803"/>
    <cellStyle name="Normal 57 6 5 3 4" xfId="8546"/>
    <cellStyle name="Normal 57 6 5 3 5" xfId="22626"/>
    <cellStyle name="Normal 57 6 5 4" xfId="6044"/>
    <cellStyle name="Normal 57 6 5 4 2" xfId="15128"/>
    <cellStyle name="Normal 57 6 5 4 3" xfId="25132"/>
    <cellStyle name="Normal 57 6 5 5" xfId="10000"/>
    <cellStyle name="Normal 57 6 5 5 2" xfId="18827"/>
    <cellStyle name="Normal 57 6 5 5 3" xfId="29078"/>
    <cellStyle name="Normal 57 6 5 6" xfId="11445"/>
    <cellStyle name="Normal 57 6 5 6 2" xfId="23614"/>
    <cellStyle name="Normal 57 6 5 7" xfId="4522"/>
    <cellStyle name="Normal 57 6 5 8" xfId="20125"/>
    <cellStyle name="Normal 57 6 6" xfId="1088"/>
    <cellStyle name="Normal 57 6 6 2" xfId="2810"/>
    <cellStyle name="Normal 57 6 6 2 2" xfId="16357"/>
    <cellStyle name="Normal 57 6 6 2 2 2" xfId="26576"/>
    <cellStyle name="Normal 57 6 6 2 3" xfId="12779"/>
    <cellStyle name="Normal 57 6 6 2 4" xfId="7489"/>
    <cellStyle name="Normal 57 6 6 2 5" xfId="21569"/>
    <cellStyle name="Normal 57 6 6 3" xfId="4084"/>
    <cellStyle name="Normal 57 6 6 3 2" xfId="17730"/>
    <cellStyle name="Normal 57 6 6 3 2 2" xfId="27981"/>
    <cellStyle name="Normal 57 6 6 3 3" xfId="14151"/>
    <cellStyle name="Normal 57 6 6 3 4" xfId="8894"/>
    <cellStyle name="Normal 57 6 6 3 5" xfId="22974"/>
    <cellStyle name="Normal 57 6 6 4" xfId="6605"/>
    <cellStyle name="Normal 57 6 6 4 2" xfId="15689"/>
    <cellStyle name="Normal 57 6 6 4 3" xfId="25693"/>
    <cellStyle name="Normal 57 6 6 5" xfId="10348"/>
    <cellStyle name="Normal 57 6 6 5 2" xfId="19175"/>
    <cellStyle name="Normal 57 6 6 5 3" xfId="29426"/>
    <cellStyle name="Normal 57 6 6 6" xfId="11794"/>
    <cellStyle name="Normal 57 6 6 6 2" xfId="24175"/>
    <cellStyle name="Normal 57 6 6 7" xfId="5083"/>
    <cellStyle name="Normal 57 6 6 8" xfId="20686"/>
    <cellStyle name="Normal 57 6 7" xfId="1337"/>
    <cellStyle name="Normal 57 6 7 2" xfId="2949"/>
    <cellStyle name="Normal 57 6 7 2 2" xfId="16505"/>
    <cellStyle name="Normal 57 6 7 2 2 2" xfId="26724"/>
    <cellStyle name="Normal 57 6 7 2 3" xfId="12927"/>
    <cellStyle name="Normal 57 6 7 2 4" xfId="7637"/>
    <cellStyle name="Normal 57 6 7 2 5" xfId="21717"/>
    <cellStyle name="Normal 57 6 7 3" xfId="4180"/>
    <cellStyle name="Normal 57 6 7 3 2" xfId="17869"/>
    <cellStyle name="Normal 57 6 7 3 2 2" xfId="28120"/>
    <cellStyle name="Normal 57 6 7 3 3" xfId="14290"/>
    <cellStyle name="Normal 57 6 7 3 4" xfId="9033"/>
    <cellStyle name="Normal 57 6 7 3 5" xfId="23113"/>
    <cellStyle name="Normal 57 6 7 4" xfId="5880"/>
    <cellStyle name="Normal 57 6 7 4 2" xfId="14966"/>
    <cellStyle name="Normal 57 6 7 4 3" xfId="24970"/>
    <cellStyle name="Normal 57 6 7 5" xfId="10487"/>
    <cellStyle name="Normal 57 6 7 5 2" xfId="19314"/>
    <cellStyle name="Normal 57 6 7 5 3" xfId="29565"/>
    <cellStyle name="Normal 57 6 7 6" xfId="11933"/>
    <cellStyle name="Normal 57 6 7 6 2" xfId="24323"/>
    <cellStyle name="Normal 57 6 7 7" xfId="5231"/>
    <cellStyle name="Normal 57 6 7 8" xfId="19963"/>
    <cellStyle name="Normal 57 6 8" xfId="1906"/>
    <cellStyle name="Normal 57 6 8 2" xfId="9444"/>
    <cellStyle name="Normal 57 6 8 2 2" xfId="18271"/>
    <cellStyle name="Normal 57 6 8 2 3" xfId="28522"/>
    <cellStyle name="Normal 57 6 8 3" xfId="10888"/>
    <cellStyle name="Normal 57 6 8 3 2" xfId="25854"/>
    <cellStyle name="Normal 57 6 8 4" xfId="6767"/>
    <cellStyle name="Normal 57 6 8 5" xfId="20847"/>
    <cellStyle name="Normal 57 6 9" xfId="1830"/>
    <cellStyle name="Normal 57 6 9 2" xfId="16824"/>
    <cellStyle name="Normal 57 6 9 2 2" xfId="27075"/>
    <cellStyle name="Normal 57 6 9 3" xfId="13245"/>
    <cellStyle name="Normal 57 6 9 4" xfId="7988"/>
    <cellStyle name="Normal 57 6 9 5" xfId="22068"/>
    <cellStyle name="Normal 57 6_Degree data" xfId="1706"/>
    <cellStyle name="Normal 57 7" xfId="218"/>
    <cellStyle name="Normal 57 7 10" xfId="9503"/>
    <cellStyle name="Normal 57 7 10 2" xfId="18330"/>
    <cellStyle name="Normal 57 7 10 3" xfId="28581"/>
    <cellStyle name="Normal 57 7 11" xfId="10947"/>
    <cellStyle name="Normal 57 7 11 2" xfId="23456"/>
    <cellStyle name="Normal 57 7 12" xfId="4364"/>
    <cellStyle name="Normal 57 7 13" xfId="19693"/>
    <cellStyle name="Normal 57 7 2" xfId="429"/>
    <cellStyle name="Normal 57 7 2 10" xfId="4469"/>
    <cellStyle name="Normal 57 7 2 11" xfId="19898"/>
    <cellStyle name="Normal 57 7 2 2" xfId="737"/>
    <cellStyle name="Normal 57 7 2 2 2" xfId="2469"/>
    <cellStyle name="Normal 57 7 2 2 2 2" xfId="16079"/>
    <cellStyle name="Normal 57 7 2 2 2 2 2" xfId="26279"/>
    <cellStyle name="Normal 57 7 2 2 2 3" xfId="12501"/>
    <cellStyle name="Normal 57 7 2 2 2 4" xfId="7192"/>
    <cellStyle name="Normal 57 7 2 2 2 5" xfId="21272"/>
    <cellStyle name="Normal 57 7 2 2 3" xfId="3742"/>
    <cellStyle name="Normal 57 7 2 2 3 2" xfId="17389"/>
    <cellStyle name="Normal 57 7 2 2 3 2 2" xfId="27640"/>
    <cellStyle name="Normal 57 7 2 2 3 3" xfId="13810"/>
    <cellStyle name="Normal 57 7 2 2 3 4" xfId="8553"/>
    <cellStyle name="Normal 57 7 2 2 3 5" xfId="22633"/>
    <cellStyle name="Normal 57 7 2 2 4" xfId="6308"/>
    <cellStyle name="Normal 57 7 2 2 4 2" xfId="15392"/>
    <cellStyle name="Normal 57 7 2 2 4 3" xfId="25396"/>
    <cellStyle name="Normal 57 7 2 2 5" xfId="10007"/>
    <cellStyle name="Normal 57 7 2 2 5 2" xfId="18834"/>
    <cellStyle name="Normal 57 7 2 2 5 3" xfId="29085"/>
    <cellStyle name="Normal 57 7 2 2 6" xfId="11452"/>
    <cellStyle name="Normal 57 7 2 2 6 2" xfId="23878"/>
    <cellStyle name="Normal 57 7 2 2 7" xfId="4786"/>
    <cellStyle name="Normal 57 7 2 2 8" xfId="20389"/>
    <cellStyle name="Normal 57 7 2 3" xfId="1095"/>
    <cellStyle name="Normal 57 7 2 3 2" xfId="2817"/>
    <cellStyle name="Normal 57 7 2 3 2 2" xfId="16364"/>
    <cellStyle name="Normal 57 7 2 3 2 2 2" xfId="26583"/>
    <cellStyle name="Normal 57 7 2 3 2 3" xfId="12786"/>
    <cellStyle name="Normal 57 7 2 3 2 4" xfId="7496"/>
    <cellStyle name="Normal 57 7 2 3 2 5" xfId="21576"/>
    <cellStyle name="Normal 57 7 2 3 3" xfId="4091"/>
    <cellStyle name="Normal 57 7 2 3 3 2" xfId="17737"/>
    <cellStyle name="Normal 57 7 2 3 3 2 2" xfId="27988"/>
    <cellStyle name="Normal 57 7 2 3 3 3" xfId="14158"/>
    <cellStyle name="Normal 57 7 2 3 3 4" xfId="8901"/>
    <cellStyle name="Normal 57 7 2 3 3 5" xfId="22981"/>
    <cellStyle name="Normal 57 7 2 3 4" xfId="6612"/>
    <cellStyle name="Normal 57 7 2 3 4 2" xfId="15696"/>
    <cellStyle name="Normal 57 7 2 3 4 3" xfId="25700"/>
    <cellStyle name="Normal 57 7 2 3 5" xfId="10355"/>
    <cellStyle name="Normal 57 7 2 3 5 2" xfId="19182"/>
    <cellStyle name="Normal 57 7 2 3 5 3" xfId="29433"/>
    <cellStyle name="Normal 57 7 2 3 6" xfId="11801"/>
    <cellStyle name="Normal 57 7 2 3 6 2" xfId="24182"/>
    <cellStyle name="Normal 57 7 2 3 7" xfId="5090"/>
    <cellStyle name="Normal 57 7 2 3 8" xfId="20693"/>
    <cellStyle name="Normal 57 7 2 4" xfId="1616"/>
    <cellStyle name="Normal 57 7 2 4 2" xfId="3213"/>
    <cellStyle name="Normal 57 7 2 4 2 2" xfId="16769"/>
    <cellStyle name="Normal 57 7 2 4 2 2 2" xfId="26988"/>
    <cellStyle name="Normal 57 7 2 4 2 3" xfId="13190"/>
    <cellStyle name="Normal 57 7 2 4 2 4" xfId="7901"/>
    <cellStyle name="Normal 57 7 2 4 2 5" xfId="21981"/>
    <cellStyle name="Normal 57 7 2 4 3" xfId="4300"/>
    <cellStyle name="Normal 57 7 2 4 3 2" xfId="18133"/>
    <cellStyle name="Normal 57 7 2 4 3 2 2" xfId="28384"/>
    <cellStyle name="Normal 57 7 2 4 3 3" xfId="14554"/>
    <cellStyle name="Normal 57 7 2 4 3 4" xfId="9297"/>
    <cellStyle name="Normal 57 7 2 4 3 5" xfId="23377"/>
    <cellStyle name="Normal 57 7 2 4 4" xfId="5989"/>
    <cellStyle name="Normal 57 7 2 4 4 2" xfId="15075"/>
    <cellStyle name="Normal 57 7 2 4 4 3" xfId="25079"/>
    <cellStyle name="Normal 57 7 2 4 5" xfId="10751"/>
    <cellStyle name="Normal 57 7 2 4 5 2" xfId="19578"/>
    <cellStyle name="Normal 57 7 2 4 5 3" xfId="29829"/>
    <cellStyle name="Normal 57 7 2 4 6" xfId="12197"/>
    <cellStyle name="Normal 57 7 2 4 6 2" xfId="24587"/>
    <cellStyle name="Normal 57 7 2 4 7" xfId="5495"/>
    <cellStyle name="Normal 57 7 2 4 8" xfId="20072"/>
    <cellStyle name="Normal 57 7 2 5" xfId="2170"/>
    <cellStyle name="Normal 57 7 2 5 2" xfId="15918"/>
    <cellStyle name="Normal 57 7 2 5 2 2" xfId="25962"/>
    <cellStyle name="Normal 57 7 2 5 3" xfId="12488"/>
    <cellStyle name="Normal 57 7 2 5 4" xfId="6875"/>
    <cellStyle name="Normal 57 7 2 5 5" xfId="20955"/>
    <cellStyle name="Normal 57 7 2 6" xfId="3462"/>
    <cellStyle name="Normal 57 7 2 6 2" xfId="17090"/>
    <cellStyle name="Normal 57 7 2 6 2 2" xfId="27341"/>
    <cellStyle name="Normal 57 7 2 6 3" xfId="13511"/>
    <cellStyle name="Normal 57 7 2 6 4" xfId="8254"/>
    <cellStyle name="Normal 57 7 2 6 5" xfId="22334"/>
    <cellStyle name="Normal 57 7 2 7" xfId="5815"/>
    <cellStyle name="Normal 57 7 2 7 2" xfId="14901"/>
    <cellStyle name="Normal 57 7 2 7 3" xfId="24905"/>
    <cellStyle name="Normal 57 7 2 8" xfId="9708"/>
    <cellStyle name="Normal 57 7 2 8 2" xfId="18535"/>
    <cellStyle name="Normal 57 7 2 8 3" xfId="28786"/>
    <cellStyle name="Normal 57 7 2 9" xfId="11152"/>
    <cellStyle name="Normal 57 7 2 9 2" xfId="23561"/>
    <cellStyle name="Normal 57 7 2_Degree data" xfId="1713"/>
    <cellStyle name="Normal 57 7 3" xfId="321"/>
    <cellStyle name="Normal 57 7 3 10" xfId="19793"/>
    <cellStyle name="Normal 57 7 3 2" xfId="738"/>
    <cellStyle name="Normal 57 7 3 2 2" xfId="2470"/>
    <cellStyle name="Normal 57 7 3 2 2 2" xfId="16365"/>
    <cellStyle name="Normal 57 7 3 2 2 2 2" xfId="26584"/>
    <cellStyle name="Normal 57 7 3 2 2 3" xfId="12787"/>
    <cellStyle name="Normal 57 7 3 2 2 4" xfId="7497"/>
    <cellStyle name="Normal 57 7 3 2 2 5" xfId="21577"/>
    <cellStyle name="Normal 57 7 3 2 3" xfId="3743"/>
    <cellStyle name="Normal 57 7 3 2 3 2" xfId="17390"/>
    <cellStyle name="Normal 57 7 3 2 3 2 2" xfId="27641"/>
    <cellStyle name="Normal 57 7 3 2 3 3" xfId="13811"/>
    <cellStyle name="Normal 57 7 3 2 3 4" xfId="8554"/>
    <cellStyle name="Normal 57 7 3 2 3 5" xfId="22634"/>
    <cellStyle name="Normal 57 7 3 2 4" xfId="6613"/>
    <cellStyle name="Normal 57 7 3 2 4 2" xfId="15697"/>
    <cellStyle name="Normal 57 7 3 2 4 3" xfId="25701"/>
    <cellStyle name="Normal 57 7 3 2 5" xfId="10008"/>
    <cellStyle name="Normal 57 7 3 2 5 2" xfId="18835"/>
    <cellStyle name="Normal 57 7 3 2 5 3" xfId="29086"/>
    <cellStyle name="Normal 57 7 3 2 6" xfId="11453"/>
    <cellStyle name="Normal 57 7 3 2 6 2" xfId="24183"/>
    <cellStyle name="Normal 57 7 3 2 7" xfId="5091"/>
    <cellStyle name="Normal 57 7 3 2 8" xfId="20694"/>
    <cellStyle name="Normal 57 7 3 3" xfId="1096"/>
    <cellStyle name="Normal 57 7 3 3 2" xfId="2818"/>
    <cellStyle name="Normal 57 7 3 3 2 2" xfId="16664"/>
    <cellStyle name="Normal 57 7 3 3 2 2 2" xfId="26883"/>
    <cellStyle name="Normal 57 7 3 3 2 3" xfId="13085"/>
    <cellStyle name="Normal 57 7 3 3 2 4" xfId="7796"/>
    <cellStyle name="Normal 57 7 3 3 2 5" xfId="21876"/>
    <cellStyle name="Normal 57 7 3 3 3" xfId="4092"/>
    <cellStyle name="Normal 57 7 3 3 3 2" xfId="17738"/>
    <cellStyle name="Normal 57 7 3 3 3 2 2" xfId="27989"/>
    <cellStyle name="Normal 57 7 3 3 3 3" xfId="14159"/>
    <cellStyle name="Normal 57 7 3 3 3 4" xfId="8902"/>
    <cellStyle name="Normal 57 7 3 3 3 5" xfId="22982"/>
    <cellStyle name="Normal 57 7 3 3 4" xfId="6203"/>
    <cellStyle name="Normal 57 7 3 3 4 2" xfId="15287"/>
    <cellStyle name="Normal 57 7 3 3 4 3" xfId="25291"/>
    <cellStyle name="Normal 57 7 3 3 5" xfId="10356"/>
    <cellStyle name="Normal 57 7 3 3 5 2" xfId="19183"/>
    <cellStyle name="Normal 57 7 3 3 5 3" xfId="29434"/>
    <cellStyle name="Normal 57 7 3 3 6" xfId="11802"/>
    <cellStyle name="Normal 57 7 3 3 6 2" xfId="24482"/>
    <cellStyle name="Normal 57 7 3 3 7" xfId="5390"/>
    <cellStyle name="Normal 57 7 3 3 8" xfId="20284"/>
    <cellStyle name="Normal 57 7 3 4" xfId="1508"/>
    <cellStyle name="Normal 57 7 3 4 2" xfId="3108"/>
    <cellStyle name="Normal 57 7 3 4 2 2" xfId="18028"/>
    <cellStyle name="Normal 57 7 3 4 2 2 2" xfId="28279"/>
    <cellStyle name="Normal 57 7 3 4 2 3" xfId="14449"/>
    <cellStyle name="Normal 57 7 3 4 2 4" xfId="9192"/>
    <cellStyle name="Normal 57 7 3 4 2 5" xfId="23272"/>
    <cellStyle name="Normal 57 7 3 4 3" xfId="10646"/>
    <cellStyle name="Normal 57 7 3 4 3 2" xfId="19473"/>
    <cellStyle name="Normal 57 7 3 4 3 3" xfId="29724"/>
    <cellStyle name="Normal 57 7 3 4 4" xfId="12092"/>
    <cellStyle name="Normal 57 7 3 4 4 2" xfId="26174"/>
    <cellStyle name="Normal 57 7 3 4 5" xfId="7087"/>
    <cellStyle name="Normal 57 7 3 4 6" xfId="21167"/>
    <cellStyle name="Normal 57 7 3 5" xfId="2065"/>
    <cellStyle name="Normal 57 7 3 5 2" xfId="16985"/>
    <cellStyle name="Normal 57 7 3 5 2 2" xfId="27236"/>
    <cellStyle name="Normal 57 7 3 5 3" xfId="13406"/>
    <cellStyle name="Normal 57 7 3 5 4" xfId="8149"/>
    <cellStyle name="Normal 57 7 3 5 5" xfId="22229"/>
    <cellStyle name="Normal 57 7 3 6" xfId="5710"/>
    <cellStyle name="Normal 57 7 3 6 2" xfId="14796"/>
    <cellStyle name="Normal 57 7 3 6 3" xfId="24800"/>
    <cellStyle name="Normal 57 7 3 7" xfId="9603"/>
    <cellStyle name="Normal 57 7 3 7 2" xfId="18430"/>
    <cellStyle name="Normal 57 7 3 7 3" xfId="28681"/>
    <cellStyle name="Normal 57 7 3 8" xfId="11047"/>
    <cellStyle name="Normal 57 7 3 8 2" xfId="23773"/>
    <cellStyle name="Normal 57 7 3 9" xfId="4681"/>
    <cellStyle name="Normal 57 7 3_Degree data" xfId="1714"/>
    <cellStyle name="Normal 57 7 4" xfId="736"/>
    <cellStyle name="Normal 57 7 4 2" xfId="2468"/>
    <cellStyle name="Normal 57 7 4 2 2" xfId="16001"/>
    <cellStyle name="Normal 57 7 4 2 2 2" xfId="26074"/>
    <cellStyle name="Normal 57 7 4 2 3" xfId="12472"/>
    <cellStyle name="Normal 57 7 4 2 4" xfId="6987"/>
    <cellStyle name="Normal 57 7 4 2 5" xfId="21067"/>
    <cellStyle name="Normal 57 7 4 3" xfId="3741"/>
    <cellStyle name="Normal 57 7 4 3 2" xfId="17388"/>
    <cellStyle name="Normal 57 7 4 3 2 2" xfId="27639"/>
    <cellStyle name="Normal 57 7 4 3 3" xfId="13809"/>
    <cellStyle name="Normal 57 7 4 3 4" xfId="8552"/>
    <cellStyle name="Normal 57 7 4 3 5" xfId="22632"/>
    <cellStyle name="Normal 57 7 4 4" xfId="6103"/>
    <cellStyle name="Normal 57 7 4 4 2" xfId="15187"/>
    <cellStyle name="Normal 57 7 4 4 3" xfId="25191"/>
    <cellStyle name="Normal 57 7 4 5" xfId="10006"/>
    <cellStyle name="Normal 57 7 4 5 2" xfId="18833"/>
    <cellStyle name="Normal 57 7 4 5 3" xfId="29084"/>
    <cellStyle name="Normal 57 7 4 6" xfId="11451"/>
    <cellStyle name="Normal 57 7 4 6 2" xfId="23673"/>
    <cellStyle name="Normal 57 7 4 7" xfId="4581"/>
    <cellStyle name="Normal 57 7 4 8" xfId="20184"/>
    <cellStyle name="Normal 57 7 5" xfId="1094"/>
    <cellStyle name="Normal 57 7 5 2" xfId="2816"/>
    <cellStyle name="Normal 57 7 5 2 2" xfId="16363"/>
    <cellStyle name="Normal 57 7 5 2 2 2" xfId="26582"/>
    <cellStyle name="Normal 57 7 5 2 3" xfId="12785"/>
    <cellStyle name="Normal 57 7 5 2 4" xfId="7495"/>
    <cellStyle name="Normal 57 7 5 2 5" xfId="21575"/>
    <cellStyle name="Normal 57 7 5 3" xfId="4090"/>
    <cellStyle name="Normal 57 7 5 3 2" xfId="17736"/>
    <cellStyle name="Normal 57 7 5 3 2 2" xfId="27987"/>
    <cellStyle name="Normal 57 7 5 3 3" xfId="14157"/>
    <cellStyle name="Normal 57 7 5 3 4" xfId="8900"/>
    <cellStyle name="Normal 57 7 5 3 5" xfId="22980"/>
    <cellStyle name="Normal 57 7 5 4" xfId="6611"/>
    <cellStyle name="Normal 57 7 5 4 2" xfId="15695"/>
    <cellStyle name="Normal 57 7 5 4 3" xfId="25699"/>
    <cellStyle name="Normal 57 7 5 5" xfId="10354"/>
    <cellStyle name="Normal 57 7 5 5 2" xfId="19181"/>
    <cellStyle name="Normal 57 7 5 5 3" xfId="29432"/>
    <cellStyle name="Normal 57 7 5 6" xfId="11800"/>
    <cellStyle name="Normal 57 7 5 6 2" xfId="24181"/>
    <cellStyle name="Normal 57 7 5 7" xfId="5089"/>
    <cellStyle name="Normal 57 7 5 8" xfId="20692"/>
    <cellStyle name="Normal 57 7 6" xfId="1405"/>
    <cellStyle name="Normal 57 7 6 2" xfId="3008"/>
    <cellStyle name="Normal 57 7 6 2 2" xfId="16564"/>
    <cellStyle name="Normal 57 7 6 2 2 2" xfId="26783"/>
    <cellStyle name="Normal 57 7 6 2 3" xfId="12985"/>
    <cellStyle name="Normal 57 7 6 2 4" xfId="7696"/>
    <cellStyle name="Normal 57 7 6 2 5" xfId="21776"/>
    <cellStyle name="Normal 57 7 6 3" xfId="4222"/>
    <cellStyle name="Normal 57 7 6 3 2" xfId="17928"/>
    <cellStyle name="Normal 57 7 6 3 2 2" xfId="28179"/>
    <cellStyle name="Normal 57 7 6 3 3" xfId="14349"/>
    <cellStyle name="Normal 57 7 6 3 4" xfId="9092"/>
    <cellStyle name="Normal 57 7 6 3 5" xfId="23172"/>
    <cellStyle name="Normal 57 7 6 4" xfId="5883"/>
    <cellStyle name="Normal 57 7 6 4 2" xfId="14969"/>
    <cellStyle name="Normal 57 7 6 4 3" xfId="24973"/>
    <cellStyle name="Normal 57 7 6 5" xfId="10546"/>
    <cellStyle name="Normal 57 7 6 5 2" xfId="19373"/>
    <cellStyle name="Normal 57 7 6 5 3" xfId="29624"/>
    <cellStyle name="Normal 57 7 6 6" xfId="11992"/>
    <cellStyle name="Normal 57 7 6 6 2" xfId="24382"/>
    <cellStyle name="Normal 57 7 6 7" xfId="5290"/>
    <cellStyle name="Normal 57 7 6 8" xfId="19966"/>
    <cellStyle name="Normal 57 7 7" xfId="1965"/>
    <cellStyle name="Normal 57 7 7 2" xfId="15828"/>
    <cellStyle name="Normal 57 7 7 2 2" xfId="25857"/>
    <cellStyle name="Normal 57 7 7 3" xfId="12248"/>
    <cellStyle name="Normal 57 7 7 4" xfId="6770"/>
    <cellStyle name="Normal 57 7 7 5" xfId="20850"/>
    <cellStyle name="Normal 57 7 8" xfId="3385"/>
    <cellStyle name="Normal 57 7 8 2" xfId="16885"/>
    <cellStyle name="Normal 57 7 8 2 2" xfId="27136"/>
    <cellStyle name="Normal 57 7 8 3" xfId="13306"/>
    <cellStyle name="Normal 57 7 8 4" xfId="8049"/>
    <cellStyle name="Normal 57 7 8 5" xfId="22129"/>
    <cellStyle name="Normal 57 7 9" xfId="5610"/>
    <cellStyle name="Normal 57 7 9 2" xfId="14696"/>
    <cellStyle name="Normal 57 7 9 3" xfId="24700"/>
    <cellStyle name="Normal 57 7_Degree data" xfId="1712"/>
    <cellStyle name="Normal 57 8" xfId="250"/>
    <cellStyle name="Normal 57 8 10" xfId="10977"/>
    <cellStyle name="Normal 57 8 10 2" xfId="23486"/>
    <cellStyle name="Normal 57 8 11" xfId="4394"/>
    <cellStyle name="Normal 57 8 12" xfId="19723"/>
    <cellStyle name="Normal 57 8 2" xfId="352"/>
    <cellStyle name="Normal 57 8 2 10" xfId="19823"/>
    <cellStyle name="Normal 57 8 2 2" xfId="740"/>
    <cellStyle name="Normal 57 8 2 2 2" xfId="2472"/>
    <cellStyle name="Normal 57 8 2 2 2 2" xfId="16367"/>
    <cellStyle name="Normal 57 8 2 2 2 2 2" xfId="26586"/>
    <cellStyle name="Normal 57 8 2 2 2 3" xfId="12789"/>
    <cellStyle name="Normal 57 8 2 2 2 4" xfId="7499"/>
    <cellStyle name="Normal 57 8 2 2 2 5" xfId="21579"/>
    <cellStyle name="Normal 57 8 2 2 3" xfId="3745"/>
    <cellStyle name="Normal 57 8 2 2 3 2" xfId="17392"/>
    <cellStyle name="Normal 57 8 2 2 3 2 2" xfId="27643"/>
    <cellStyle name="Normal 57 8 2 2 3 3" xfId="13813"/>
    <cellStyle name="Normal 57 8 2 2 3 4" xfId="8556"/>
    <cellStyle name="Normal 57 8 2 2 3 5" xfId="22636"/>
    <cellStyle name="Normal 57 8 2 2 4" xfId="6615"/>
    <cellStyle name="Normal 57 8 2 2 4 2" xfId="15699"/>
    <cellStyle name="Normal 57 8 2 2 4 3" xfId="25703"/>
    <cellStyle name="Normal 57 8 2 2 5" xfId="10010"/>
    <cellStyle name="Normal 57 8 2 2 5 2" xfId="18837"/>
    <cellStyle name="Normal 57 8 2 2 5 3" xfId="29088"/>
    <cellStyle name="Normal 57 8 2 2 6" xfId="11455"/>
    <cellStyle name="Normal 57 8 2 2 6 2" xfId="24185"/>
    <cellStyle name="Normal 57 8 2 2 7" xfId="5093"/>
    <cellStyle name="Normal 57 8 2 2 8" xfId="20696"/>
    <cellStyle name="Normal 57 8 2 3" xfId="1098"/>
    <cellStyle name="Normal 57 8 2 3 2" xfId="2820"/>
    <cellStyle name="Normal 57 8 2 3 2 2" xfId="16694"/>
    <cellStyle name="Normal 57 8 2 3 2 2 2" xfId="26913"/>
    <cellStyle name="Normal 57 8 2 3 2 3" xfId="13115"/>
    <cellStyle name="Normal 57 8 2 3 2 4" xfId="7826"/>
    <cellStyle name="Normal 57 8 2 3 2 5" xfId="21906"/>
    <cellStyle name="Normal 57 8 2 3 3" xfId="4094"/>
    <cellStyle name="Normal 57 8 2 3 3 2" xfId="17740"/>
    <cellStyle name="Normal 57 8 2 3 3 2 2" xfId="27991"/>
    <cellStyle name="Normal 57 8 2 3 3 3" xfId="14161"/>
    <cellStyle name="Normal 57 8 2 3 3 4" xfId="8904"/>
    <cellStyle name="Normal 57 8 2 3 3 5" xfId="22984"/>
    <cellStyle name="Normal 57 8 2 3 4" xfId="6233"/>
    <cellStyle name="Normal 57 8 2 3 4 2" xfId="15317"/>
    <cellStyle name="Normal 57 8 2 3 4 3" xfId="25321"/>
    <cellStyle name="Normal 57 8 2 3 5" xfId="10358"/>
    <cellStyle name="Normal 57 8 2 3 5 2" xfId="19185"/>
    <cellStyle name="Normal 57 8 2 3 5 3" xfId="29436"/>
    <cellStyle name="Normal 57 8 2 3 6" xfId="11804"/>
    <cellStyle name="Normal 57 8 2 3 6 2" xfId="24512"/>
    <cellStyle name="Normal 57 8 2 3 7" xfId="5420"/>
    <cellStyle name="Normal 57 8 2 3 8" xfId="20314"/>
    <cellStyle name="Normal 57 8 2 4" xfId="1539"/>
    <cellStyle name="Normal 57 8 2 4 2" xfId="3138"/>
    <cellStyle name="Normal 57 8 2 4 2 2" xfId="18058"/>
    <cellStyle name="Normal 57 8 2 4 2 2 2" xfId="28309"/>
    <cellStyle name="Normal 57 8 2 4 2 3" xfId="14479"/>
    <cellStyle name="Normal 57 8 2 4 2 4" xfId="9222"/>
    <cellStyle name="Normal 57 8 2 4 2 5" xfId="23302"/>
    <cellStyle name="Normal 57 8 2 4 3" xfId="10676"/>
    <cellStyle name="Normal 57 8 2 4 3 2" xfId="19503"/>
    <cellStyle name="Normal 57 8 2 4 3 3" xfId="29754"/>
    <cellStyle name="Normal 57 8 2 4 4" xfId="12122"/>
    <cellStyle name="Normal 57 8 2 4 4 2" xfId="26204"/>
    <cellStyle name="Normal 57 8 2 4 5" xfId="7117"/>
    <cellStyle name="Normal 57 8 2 4 6" xfId="21197"/>
    <cellStyle name="Normal 57 8 2 5" xfId="2095"/>
    <cellStyle name="Normal 57 8 2 5 2" xfId="17015"/>
    <cellStyle name="Normal 57 8 2 5 2 2" xfId="27266"/>
    <cellStyle name="Normal 57 8 2 5 3" xfId="13436"/>
    <cellStyle name="Normal 57 8 2 5 4" xfId="8179"/>
    <cellStyle name="Normal 57 8 2 5 5" xfId="22259"/>
    <cellStyle name="Normal 57 8 2 6" xfId="5740"/>
    <cellStyle name="Normal 57 8 2 6 2" xfId="14826"/>
    <cellStyle name="Normal 57 8 2 6 3" xfId="24830"/>
    <cellStyle name="Normal 57 8 2 7" xfId="9633"/>
    <cellStyle name="Normal 57 8 2 7 2" xfId="18460"/>
    <cellStyle name="Normal 57 8 2 7 3" xfId="28711"/>
    <cellStyle name="Normal 57 8 2 8" xfId="11077"/>
    <cellStyle name="Normal 57 8 2 8 2" xfId="23803"/>
    <cellStyle name="Normal 57 8 2 9" xfId="4711"/>
    <cellStyle name="Normal 57 8 2_Degree data" xfId="1716"/>
    <cellStyle name="Normal 57 8 3" xfId="739"/>
    <cellStyle name="Normal 57 8 3 2" xfId="2471"/>
    <cellStyle name="Normal 57 8 3 2 2" xfId="16031"/>
    <cellStyle name="Normal 57 8 3 2 2 2" xfId="26104"/>
    <cellStyle name="Normal 57 8 3 2 3" xfId="12297"/>
    <cellStyle name="Normal 57 8 3 2 4" xfId="7017"/>
    <cellStyle name="Normal 57 8 3 2 5" xfId="21097"/>
    <cellStyle name="Normal 57 8 3 3" xfId="3744"/>
    <cellStyle name="Normal 57 8 3 3 2" xfId="17391"/>
    <cellStyle name="Normal 57 8 3 3 2 2" xfId="27642"/>
    <cellStyle name="Normal 57 8 3 3 3" xfId="13812"/>
    <cellStyle name="Normal 57 8 3 3 4" xfId="8555"/>
    <cellStyle name="Normal 57 8 3 3 5" xfId="22635"/>
    <cellStyle name="Normal 57 8 3 4" xfId="6133"/>
    <cellStyle name="Normal 57 8 3 4 2" xfId="15217"/>
    <cellStyle name="Normal 57 8 3 4 3" xfId="25221"/>
    <cellStyle name="Normal 57 8 3 5" xfId="10009"/>
    <cellStyle name="Normal 57 8 3 5 2" xfId="18836"/>
    <cellStyle name="Normal 57 8 3 5 3" xfId="29087"/>
    <cellStyle name="Normal 57 8 3 6" xfId="11454"/>
    <cellStyle name="Normal 57 8 3 6 2" xfId="23703"/>
    <cellStyle name="Normal 57 8 3 7" xfId="4611"/>
    <cellStyle name="Normal 57 8 3 8" xfId="20214"/>
    <cellStyle name="Normal 57 8 4" xfId="1097"/>
    <cellStyle name="Normal 57 8 4 2" xfId="2819"/>
    <cellStyle name="Normal 57 8 4 2 2" xfId="16366"/>
    <cellStyle name="Normal 57 8 4 2 2 2" xfId="26585"/>
    <cellStyle name="Normal 57 8 4 2 3" xfId="12788"/>
    <cellStyle name="Normal 57 8 4 2 4" xfId="7498"/>
    <cellStyle name="Normal 57 8 4 2 5" xfId="21578"/>
    <cellStyle name="Normal 57 8 4 3" xfId="4093"/>
    <cellStyle name="Normal 57 8 4 3 2" xfId="17739"/>
    <cellStyle name="Normal 57 8 4 3 2 2" xfId="27990"/>
    <cellStyle name="Normal 57 8 4 3 3" xfId="14160"/>
    <cellStyle name="Normal 57 8 4 3 4" xfId="8903"/>
    <cellStyle name="Normal 57 8 4 3 5" xfId="22983"/>
    <cellStyle name="Normal 57 8 4 4" xfId="6614"/>
    <cellStyle name="Normal 57 8 4 4 2" xfId="15698"/>
    <cellStyle name="Normal 57 8 4 4 3" xfId="25702"/>
    <cellStyle name="Normal 57 8 4 5" xfId="10357"/>
    <cellStyle name="Normal 57 8 4 5 2" xfId="19184"/>
    <cellStyle name="Normal 57 8 4 5 3" xfId="29435"/>
    <cellStyle name="Normal 57 8 4 6" xfId="11803"/>
    <cellStyle name="Normal 57 8 4 6 2" xfId="24184"/>
    <cellStyle name="Normal 57 8 4 7" xfId="5092"/>
    <cellStyle name="Normal 57 8 4 8" xfId="20695"/>
    <cellStyle name="Normal 57 8 5" xfId="1437"/>
    <cellStyle name="Normal 57 8 5 2" xfId="3038"/>
    <cellStyle name="Normal 57 8 5 2 2" xfId="16594"/>
    <cellStyle name="Normal 57 8 5 2 2 2" xfId="26813"/>
    <cellStyle name="Normal 57 8 5 2 3" xfId="13015"/>
    <cellStyle name="Normal 57 8 5 2 4" xfId="7726"/>
    <cellStyle name="Normal 57 8 5 2 5" xfId="21806"/>
    <cellStyle name="Normal 57 8 5 3" xfId="4252"/>
    <cellStyle name="Normal 57 8 5 3 2" xfId="17958"/>
    <cellStyle name="Normal 57 8 5 3 2 2" xfId="28209"/>
    <cellStyle name="Normal 57 8 5 3 3" xfId="14379"/>
    <cellStyle name="Normal 57 8 5 3 4" xfId="9122"/>
    <cellStyle name="Normal 57 8 5 3 5" xfId="23202"/>
    <cellStyle name="Normal 57 8 5 4" xfId="5914"/>
    <cellStyle name="Normal 57 8 5 4 2" xfId="15000"/>
    <cellStyle name="Normal 57 8 5 4 3" xfId="25004"/>
    <cellStyle name="Normal 57 8 5 5" xfId="10576"/>
    <cellStyle name="Normal 57 8 5 5 2" xfId="19403"/>
    <cellStyle name="Normal 57 8 5 5 3" xfId="29654"/>
    <cellStyle name="Normal 57 8 5 6" xfId="12022"/>
    <cellStyle name="Normal 57 8 5 6 2" xfId="24412"/>
    <cellStyle name="Normal 57 8 5 7" xfId="5320"/>
    <cellStyle name="Normal 57 8 5 8" xfId="19997"/>
    <cellStyle name="Normal 57 8 6" xfId="1995"/>
    <cellStyle name="Normal 57 8 6 2" xfId="15843"/>
    <cellStyle name="Normal 57 8 6 2 2" xfId="25887"/>
    <cellStyle name="Normal 57 8 6 3" xfId="12427"/>
    <cellStyle name="Normal 57 8 6 4" xfId="6800"/>
    <cellStyle name="Normal 57 8 6 5" xfId="20880"/>
    <cellStyle name="Normal 57 8 7" xfId="3414"/>
    <cellStyle name="Normal 57 8 7 2" xfId="16915"/>
    <cellStyle name="Normal 57 8 7 2 2" xfId="27166"/>
    <cellStyle name="Normal 57 8 7 3" xfId="13336"/>
    <cellStyle name="Normal 57 8 7 4" xfId="8079"/>
    <cellStyle name="Normal 57 8 7 5" xfId="22159"/>
    <cellStyle name="Normal 57 8 8" xfId="5640"/>
    <cellStyle name="Normal 57 8 8 2" xfId="14726"/>
    <cellStyle name="Normal 57 8 8 3" xfId="24730"/>
    <cellStyle name="Normal 57 8 9" xfId="9533"/>
    <cellStyle name="Normal 57 8 9 2" xfId="18360"/>
    <cellStyle name="Normal 57 8 9 3" xfId="28611"/>
    <cellStyle name="Normal 57 8_Degree data" xfId="1715"/>
    <cellStyle name="Normal 57 9" xfId="188"/>
    <cellStyle name="Normal 57 9 10" xfId="10920"/>
    <cellStyle name="Normal 57 9 10 2" xfId="23534"/>
    <cellStyle name="Normal 57 9 11" xfId="4442"/>
    <cellStyle name="Normal 57 9 12" xfId="19666"/>
    <cellStyle name="Normal 57 9 2" xfId="402"/>
    <cellStyle name="Normal 57 9 2 10" xfId="19871"/>
    <cellStyle name="Normal 57 9 2 2" xfId="742"/>
    <cellStyle name="Normal 57 9 2 2 2" xfId="2474"/>
    <cellStyle name="Normal 57 9 2 2 2 2" xfId="16369"/>
    <cellStyle name="Normal 57 9 2 2 2 2 2" xfId="26588"/>
    <cellStyle name="Normal 57 9 2 2 2 3" xfId="12791"/>
    <cellStyle name="Normal 57 9 2 2 2 4" xfId="7501"/>
    <cellStyle name="Normal 57 9 2 2 2 5" xfId="21581"/>
    <cellStyle name="Normal 57 9 2 2 3" xfId="3747"/>
    <cellStyle name="Normal 57 9 2 2 3 2" xfId="17394"/>
    <cellStyle name="Normal 57 9 2 2 3 2 2" xfId="27645"/>
    <cellStyle name="Normal 57 9 2 2 3 3" xfId="13815"/>
    <cellStyle name="Normal 57 9 2 2 3 4" xfId="8558"/>
    <cellStyle name="Normal 57 9 2 2 3 5" xfId="22638"/>
    <cellStyle name="Normal 57 9 2 2 4" xfId="6617"/>
    <cellStyle name="Normal 57 9 2 2 4 2" xfId="15701"/>
    <cellStyle name="Normal 57 9 2 2 4 3" xfId="25705"/>
    <cellStyle name="Normal 57 9 2 2 5" xfId="10012"/>
    <cellStyle name="Normal 57 9 2 2 5 2" xfId="18839"/>
    <cellStyle name="Normal 57 9 2 2 5 3" xfId="29090"/>
    <cellStyle name="Normal 57 9 2 2 6" xfId="11457"/>
    <cellStyle name="Normal 57 9 2 2 6 2" xfId="24187"/>
    <cellStyle name="Normal 57 9 2 2 7" xfId="5095"/>
    <cellStyle name="Normal 57 9 2 2 8" xfId="20698"/>
    <cellStyle name="Normal 57 9 2 3" xfId="1100"/>
    <cellStyle name="Normal 57 9 2 3 2" xfId="2822"/>
    <cellStyle name="Normal 57 9 2 3 2 2" xfId="16742"/>
    <cellStyle name="Normal 57 9 2 3 2 2 2" xfId="26961"/>
    <cellStyle name="Normal 57 9 2 3 2 3" xfId="13163"/>
    <cellStyle name="Normal 57 9 2 3 2 4" xfId="7874"/>
    <cellStyle name="Normal 57 9 2 3 2 5" xfId="21954"/>
    <cellStyle name="Normal 57 9 2 3 3" xfId="4096"/>
    <cellStyle name="Normal 57 9 2 3 3 2" xfId="17742"/>
    <cellStyle name="Normal 57 9 2 3 3 2 2" xfId="27993"/>
    <cellStyle name="Normal 57 9 2 3 3 3" xfId="14163"/>
    <cellStyle name="Normal 57 9 2 3 3 4" xfId="8906"/>
    <cellStyle name="Normal 57 9 2 3 3 5" xfId="22986"/>
    <cellStyle name="Normal 57 9 2 3 4" xfId="6281"/>
    <cellStyle name="Normal 57 9 2 3 4 2" xfId="15365"/>
    <cellStyle name="Normal 57 9 2 3 4 3" xfId="25369"/>
    <cellStyle name="Normal 57 9 2 3 5" xfId="10360"/>
    <cellStyle name="Normal 57 9 2 3 5 2" xfId="19187"/>
    <cellStyle name="Normal 57 9 2 3 5 3" xfId="29438"/>
    <cellStyle name="Normal 57 9 2 3 6" xfId="11806"/>
    <cellStyle name="Normal 57 9 2 3 6 2" xfId="24560"/>
    <cellStyle name="Normal 57 9 2 3 7" xfId="5468"/>
    <cellStyle name="Normal 57 9 2 3 8" xfId="20362"/>
    <cellStyle name="Normal 57 9 2 4" xfId="1589"/>
    <cellStyle name="Normal 57 9 2 4 2" xfId="3186"/>
    <cellStyle name="Normal 57 9 2 4 2 2" xfId="18106"/>
    <cellStyle name="Normal 57 9 2 4 2 2 2" xfId="28357"/>
    <cellStyle name="Normal 57 9 2 4 2 3" xfId="14527"/>
    <cellStyle name="Normal 57 9 2 4 2 4" xfId="9270"/>
    <cellStyle name="Normal 57 9 2 4 2 5" xfId="23350"/>
    <cellStyle name="Normal 57 9 2 4 3" xfId="10724"/>
    <cellStyle name="Normal 57 9 2 4 3 2" xfId="19551"/>
    <cellStyle name="Normal 57 9 2 4 3 3" xfId="29802"/>
    <cellStyle name="Normal 57 9 2 4 4" xfId="12170"/>
    <cellStyle name="Normal 57 9 2 4 4 2" xfId="26252"/>
    <cellStyle name="Normal 57 9 2 4 5" xfId="7165"/>
    <cellStyle name="Normal 57 9 2 4 6" xfId="21245"/>
    <cellStyle name="Normal 57 9 2 5" xfId="2143"/>
    <cellStyle name="Normal 57 9 2 5 2" xfId="17063"/>
    <cellStyle name="Normal 57 9 2 5 2 2" xfId="27314"/>
    <cellStyle name="Normal 57 9 2 5 3" xfId="13484"/>
    <cellStyle name="Normal 57 9 2 5 4" xfId="8227"/>
    <cellStyle name="Normal 57 9 2 5 5" xfId="22307"/>
    <cellStyle name="Normal 57 9 2 6" xfId="5788"/>
    <cellStyle name="Normal 57 9 2 6 2" xfId="14874"/>
    <cellStyle name="Normal 57 9 2 6 3" xfId="24878"/>
    <cellStyle name="Normal 57 9 2 7" xfId="9681"/>
    <cellStyle name="Normal 57 9 2 7 2" xfId="18508"/>
    <cellStyle name="Normal 57 9 2 7 3" xfId="28759"/>
    <cellStyle name="Normal 57 9 2 8" xfId="11125"/>
    <cellStyle name="Normal 57 9 2 8 2" xfId="23851"/>
    <cellStyle name="Normal 57 9 2 9" xfId="4759"/>
    <cellStyle name="Normal 57 9 2_Degree data" xfId="1718"/>
    <cellStyle name="Normal 57 9 3" xfId="741"/>
    <cellStyle name="Normal 57 9 3 2" xfId="2473"/>
    <cellStyle name="Normal 57 9 3 2 2" xfId="15974"/>
    <cellStyle name="Normal 57 9 3 2 2 2" xfId="26047"/>
    <cellStyle name="Normal 57 9 3 2 3" xfId="12327"/>
    <cellStyle name="Normal 57 9 3 2 4" xfId="6960"/>
    <cellStyle name="Normal 57 9 3 2 5" xfId="21040"/>
    <cellStyle name="Normal 57 9 3 3" xfId="3746"/>
    <cellStyle name="Normal 57 9 3 3 2" xfId="17393"/>
    <cellStyle name="Normal 57 9 3 3 2 2" xfId="27644"/>
    <cellStyle name="Normal 57 9 3 3 3" xfId="13814"/>
    <cellStyle name="Normal 57 9 3 3 4" xfId="8557"/>
    <cellStyle name="Normal 57 9 3 3 5" xfId="22637"/>
    <cellStyle name="Normal 57 9 3 4" xfId="6076"/>
    <cellStyle name="Normal 57 9 3 4 2" xfId="15160"/>
    <cellStyle name="Normal 57 9 3 4 3" xfId="25164"/>
    <cellStyle name="Normal 57 9 3 5" xfId="10011"/>
    <cellStyle name="Normal 57 9 3 5 2" xfId="18838"/>
    <cellStyle name="Normal 57 9 3 5 3" xfId="29089"/>
    <cellStyle name="Normal 57 9 3 6" xfId="11456"/>
    <cellStyle name="Normal 57 9 3 6 2" xfId="23646"/>
    <cellStyle name="Normal 57 9 3 7" xfId="4554"/>
    <cellStyle name="Normal 57 9 3 8" xfId="20157"/>
    <cellStyle name="Normal 57 9 4" xfId="1099"/>
    <cellStyle name="Normal 57 9 4 2" xfId="2821"/>
    <cellStyle name="Normal 57 9 4 2 2" xfId="16368"/>
    <cellStyle name="Normal 57 9 4 2 2 2" xfId="26587"/>
    <cellStyle name="Normal 57 9 4 2 3" xfId="12790"/>
    <cellStyle name="Normal 57 9 4 2 4" xfId="7500"/>
    <cellStyle name="Normal 57 9 4 2 5" xfId="21580"/>
    <cellStyle name="Normal 57 9 4 3" xfId="4095"/>
    <cellStyle name="Normal 57 9 4 3 2" xfId="17741"/>
    <cellStyle name="Normal 57 9 4 3 2 2" xfId="27992"/>
    <cellStyle name="Normal 57 9 4 3 3" xfId="14162"/>
    <cellStyle name="Normal 57 9 4 3 4" xfId="8905"/>
    <cellStyle name="Normal 57 9 4 3 5" xfId="22985"/>
    <cellStyle name="Normal 57 9 4 4" xfId="6616"/>
    <cellStyle name="Normal 57 9 4 4 2" xfId="15700"/>
    <cellStyle name="Normal 57 9 4 4 3" xfId="25704"/>
    <cellStyle name="Normal 57 9 4 5" xfId="10359"/>
    <cellStyle name="Normal 57 9 4 5 2" xfId="19186"/>
    <cellStyle name="Normal 57 9 4 5 3" xfId="29437"/>
    <cellStyle name="Normal 57 9 4 6" xfId="11805"/>
    <cellStyle name="Normal 57 9 4 6 2" xfId="24186"/>
    <cellStyle name="Normal 57 9 4 7" xfId="5094"/>
    <cellStyle name="Normal 57 9 4 8" xfId="20697"/>
    <cellStyle name="Normal 57 9 5" xfId="1375"/>
    <cellStyle name="Normal 57 9 5 2" xfId="2981"/>
    <cellStyle name="Normal 57 9 5 2 2" xfId="16537"/>
    <cellStyle name="Normal 57 9 5 2 2 2" xfId="26756"/>
    <cellStyle name="Normal 57 9 5 2 3" xfId="12958"/>
    <cellStyle name="Normal 57 9 5 2 4" xfId="7669"/>
    <cellStyle name="Normal 57 9 5 2 5" xfId="21749"/>
    <cellStyle name="Normal 57 9 5 3" xfId="4195"/>
    <cellStyle name="Normal 57 9 5 3 2" xfId="17901"/>
    <cellStyle name="Normal 57 9 5 3 2 2" xfId="28152"/>
    <cellStyle name="Normal 57 9 5 3 3" xfId="14322"/>
    <cellStyle name="Normal 57 9 5 3 4" xfId="9065"/>
    <cellStyle name="Normal 57 9 5 3 5" xfId="23145"/>
    <cellStyle name="Normal 57 9 5 4" xfId="5962"/>
    <cellStyle name="Normal 57 9 5 4 2" xfId="15048"/>
    <cellStyle name="Normal 57 9 5 4 3" xfId="25052"/>
    <cellStyle name="Normal 57 9 5 5" xfId="10519"/>
    <cellStyle name="Normal 57 9 5 5 2" xfId="19346"/>
    <cellStyle name="Normal 57 9 5 5 3" xfId="29597"/>
    <cellStyle name="Normal 57 9 5 6" xfId="11965"/>
    <cellStyle name="Normal 57 9 5 6 2" xfId="24355"/>
    <cellStyle name="Normal 57 9 5 7" xfId="5263"/>
    <cellStyle name="Normal 57 9 5 8" xfId="20045"/>
    <cellStyle name="Normal 57 9 6" xfId="1938"/>
    <cellStyle name="Normal 57 9 6 2" xfId="15891"/>
    <cellStyle name="Normal 57 9 6 2 2" xfId="25935"/>
    <cellStyle name="Normal 57 9 6 3" xfId="12473"/>
    <cellStyle name="Normal 57 9 6 4" xfId="6848"/>
    <cellStyle name="Normal 57 9 6 5" xfId="20928"/>
    <cellStyle name="Normal 57 9 7" xfId="3358"/>
    <cellStyle name="Normal 57 9 7 2" xfId="16858"/>
    <cellStyle name="Normal 57 9 7 2 2" xfId="27109"/>
    <cellStyle name="Normal 57 9 7 3" xfId="13279"/>
    <cellStyle name="Normal 57 9 7 4" xfId="8022"/>
    <cellStyle name="Normal 57 9 7 5" xfId="22102"/>
    <cellStyle name="Normal 57 9 8" xfId="5583"/>
    <cellStyle name="Normal 57 9 8 2" xfId="14669"/>
    <cellStyle name="Normal 57 9 8 3" xfId="24673"/>
    <cellStyle name="Normal 57 9 9" xfId="9476"/>
    <cellStyle name="Normal 57 9 9 2" xfId="18303"/>
    <cellStyle name="Normal 57 9 9 3" xfId="28554"/>
    <cellStyle name="Normal 57 9_Degree data" xfId="1717"/>
    <cellStyle name="Normal 57_Degree data" xfId="1661"/>
    <cellStyle name="Normal 58" xfId="69"/>
    <cellStyle name="Normal 58 10" xfId="295"/>
    <cellStyle name="Normal 58 10 10" xfId="19767"/>
    <cellStyle name="Normal 58 10 2" xfId="744"/>
    <cellStyle name="Normal 58 10 2 2" xfId="2476"/>
    <cellStyle name="Normal 58 10 2 2 2" xfId="16371"/>
    <cellStyle name="Normal 58 10 2 2 2 2" xfId="26590"/>
    <cellStyle name="Normal 58 10 2 2 3" xfId="12793"/>
    <cellStyle name="Normal 58 10 2 2 4" xfId="7503"/>
    <cellStyle name="Normal 58 10 2 2 5" xfId="21583"/>
    <cellStyle name="Normal 58 10 2 3" xfId="3749"/>
    <cellStyle name="Normal 58 10 2 3 2" xfId="17396"/>
    <cellStyle name="Normal 58 10 2 3 2 2" xfId="27647"/>
    <cellStyle name="Normal 58 10 2 3 3" xfId="13817"/>
    <cellStyle name="Normal 58 10 2 3 4" xfId="8560"/>
    <cellStyle name="Normal 58 10 2 3 5" xfId="22640"/>
    <cellStyle name="Normal 58 10 2 4" xfId="6619"/>
    <cellStyle name="Normal 58 10 2 4 2" xfId="15703"/>
    <cellStyle name="Normal 58 10 2 4 3" xfId="25707"/>
    <cellStyle name="Normal 58 10 2 5" xfId="10014"/>
    <cellStyle name="Normal 58 10 2 5 2" xfId="18841"/>
    <cellStyle name="Normal 58 10 2 5 3" xfId="29092"/>
    <cellStyle name="Normal 58 10 2 6" xfId="11459"/>
    <cellStyle name="Normal 58 10 2 6 2" xfId="24189"/>
    <cellStyle name="Normal 58 10 2 7" xfId="5097"/>
    <cellStyle name="Normal 58 10 2 8" xfId="20700"/>
    <cellStyle name="Normal 58 10 3" xfId="1102"/>
    <cellStyle name="Normal 58 10 3 2" xfId="2824"/>
    <cellStyle name="Normal 58 10 3 2 2" xfId="16638"/>
    <cellStyle name="Normal 58 10 3 2 2 2" xfId="26857"/>
    <cellStyle name="Normal 58 10 3 2 3" xfId="13059"/>
    <cellStyle name="Normal 58 10 3 2 4" xfId="7770"/>
    <cellStyle name="Normal 58 10 3 2 5" xfId="21850"/>
    <cellStyle name="Normal 58 10 3 3" xfId="4098"/>
    <cellStyle name="Normal 58 10 3 3 2" xfId="17744"/>
    <cellStyle name="Normal 58 10 3 3 2 2" xfId="27995"/>
    <cellStyle name="Normal 58 10 3 3 3" xfId="14165"/>
    <cellStyle name="Normal 58 10 3 3 4" xfId="8908"/>
    <cellStyle name="Normal 58 10 3 3 5" xfId="22988"/>
    <cellStyle name="Normal 58 10 3 4" xfId="6177"/>
    <cellStyle name="Normal 58 10 3 4 2" xfId="15261"/>
    <cellStyle name="Normal 58 10 3 4 3" xfId="25265"/>
    <cellStyle name="Normal 58 10 3 5" xfId="10362"/>
    <cellStyle name="Normal 58 10 3 5 2" xfId="19189"/>
    <cellStyle name="Normal 58 10 3 5 3" xfId="29440"/>
    <cellStyle name="Normal 58 10 3 6" xfId="11808"/>
    <cellStyle name="Normal 58 10 3 6 2" xfId="24456"/>
    <cellStyle name="Normal 58 10 3 7" xfId="5364"/>
    <cellStyle name="Normal 58 10 3 8" xfId="20258"/>
    <cellStyle name="Normal 58 10 4" xfId="1482"/>
    <cellStyle name="Normal 58 10 4 2" xfId="3082"/>
    <cellStyle name="Normal 58 10 4 2 2" xfId="18002"/>
    <cellStyle name="Normal 58 10 4 2 2 2" xfId="28253"/>
    <cellStyle name="Normal 58 10 4 2 3" xfId="14423"/>
    <cellStyle name="Normal 58 10 4 2 4" xfId="9166"/>
    <cellStyle name="Normal 58 10 4 2 5" xfId="23246"/>
    <cellStyle name="Normal 58 10 4 3" xfId="10620"/>
    <cellStyle name="Normal 58 10 4 3 2" xfId="19447"/>
    <cellStyle name="Normal 58 10 4 3 3" xfId="29698"/>
    <cellStyle name="Normal 58 10 4 4" xfId="12066"/>
    <cellStyle name="Normal 58 10 4 4 2" xfId="26148"/>
    <cellStyle name="Normal 58 10 4 5" xfId="7061"/>
    <cellStyle name="Normal 58 10 4 6" xfId="21141"/>
    <cellStyle name="Normal 58 10 5" xfId="2039"/>
    <cellStyle name="Normal 58 10 5 2" xfId="16959"/>
    <cellStyle name="Normal 58 10 5 2 2" xfId="27210"/>
    <cellStyle name="Normal 58 10 5 3" xfId="13380"/>
    <cellStyle name="Normal 58 10 5 4" xfId="8123"/>
    <cellStyle name="Normal 58 10 5 5" xfId="22203"/>
    <cellStyle name="Normal 58 10 6" xfId="5684"/>
    <cellStyle name="Normal 58 10 6 2" xfId="14770"/>
    <cellStyle name="Normal 58 10 6 3" xfId="24774"/>
    <cellStyle name="Normal 58 10 7" xfId="9577"/>
    <cellStyle name="Normal 58 10 7 2" xfId="18404"/>
    <cellStyle name="Normal 58 10 7 3" xfId="28655"/>
    <cellStyle name="Normal 58 10 8" xfId="11021"/>
    <cellStyle name="Normal 58 10 8 2" xfId="23747"/>
    <cellStyle name="Normal 58 10 9" xfId="4655"/>
    <cellStyle name="Normal 58 10_Degree data" xfId="1720"/>
    <cellStyle name="Normal 58 11" xfId="137"/>
    <cellStyle name="Normal 58 11 10" xfId="20114"/>
    <cellStyle name="Normal 58 11 2" xfId="745"/>
    <cellStyle name="Normal 58 11 2 2" xfId="2477"/>
    <cellStyle name="Normal 58 11 2 2 2" xfId="16372"/>
    <cellStyle name="Normal 58 11 2 2 2 2" xfId="26591"/>
    <cellStyle name="Normal 58 11 2 2 3" xfId="12794"/>
    <cellStyle name="Normal 58 11 2 2 4" xfId="7504"/>
    <cellStyle name="Normal 58 11 2 2 5" xfId="21584"/>
    <cellStyle name="Normal 58 11 2 3" xfId="3750"/>
    <cellStyle name="Normal 58 11 2 3 2" xfId="17397"/>
    <cellStyle name="Normal 58 11 2 3 2 2" xfId="27648"/>
    <cellStyle name="Normal 58 11 2 3 3" xfId="13818"/>
    <cellStyle name="Normal 58 11 2 3 4" xfId="8561"/>
    <cellStyle name="Normal 58 11 2 3 5" xfId="22641"/>
    <cellStyle name="Normal 58 11 2 4" xfId="6620"/>
    <cellStyle name="Normal 58 11 2 4 2" xfId="15704"/>
    <cellStyle name="Normal 58 11 2 4 3" xfId="25708"/>
    <cellStyle name="Normal 58 11 2 5" xfId="10015"/>
    <cellStyle name="Normal 58 11 2 5 2" xfId="18842"/>
    <cellStyle name="Normal 58 11 2 5 3" xfId="29093"/>
    <cellStyle name="Normal 58 11 2 6" xfId="11460"/>
    <cellStyle name="Normal 58 11 2 6 2" xfId="24190"/>
    <cellStyle name="Normal 58 11 2 7" xfId="5098"/>
    <cellStyle name="Normal 58 11 2 8" xfId="20701"/>
    <cellStyle name="Normal 58 11 3" xfId="1103"/>
    <cellStyle name="Normal 58 11 3 2" xfId="2825"/>
    <cellStyle name="Normal 58 11 3 2 2" xfId="16494"/>
    <cellStyle name="Normal 58 11 3 2 2 2" xfId="26713"/>
    <cellStyle name="Normal 58 11 3 2 3" xfId="12916"/>
    <cellStyle name="Normal 58 11 3 2 4" xfId="7626"/>
    <cellStyle name="Normal 58 11 3 2 5" xfId="21706"/>
    <cellStyle name="Normal 58 11 3 3" xfId="4099"/>
    <cellStyle name="Normal 58 11 3 3 2" xfId="17745"/>
    <cellStyle name="Normal 58 11 3 3 2 2" xfId="27996"/>
    <cellStyle name="Normal 58 11 3 3 3" xfId="14166"/>
    <cellStyle name="Normal 58 11 3 3 4" xfId="8909"/>
    <cellStyle name="Normal 58 11 3 3 5" xfId="22989"/>
    <cellStyle name="Normal 58 11 3 4" xfId="6735"/>
    <cellStyle name="Normal 58 11 3 4 2" xfId="15818"/>
    <cellStyle name="Normal 58 11 3 4 3" xfId="25822"/>
    <cellStyle name="Normal 58 11 3 5" xfId="10363"/>
    <cellStyle name="Normal 58 11 3 5 2" xfId="19190"/>
    <cellStyle name="Normal 58 11 3 5 3" xfId="29441"/>
    <cellStyle name="Normal 58 11 3 6" xfId="11809"/>
    <cellStyle name="Normal 58 11 3 6 2" xfId="24312"/>
    <cellStyle name="Normal 58 11 3 7" xfId="5220"/>
    <cellStyle name="Normal 58 11 3 8" xfId="20815"/>
    <cellStyle name="Normal 58 11 4" xfId="1324"/>
    <cellStyle name="Normal 58 11 4 2" xfId="2938"/>
    <cellStyle name="Normal 58 11 4 2 2" xfId="17858"/>
    <cellStyle name="Normal 58 11 4 2 2 2" xfId="28109"/>
    <cellStyle name="Normal 58 11 4 2 3" xfId="14279"/>
    <cellStyle name="Normal 58 11 4 2 4" xfId="9022"/>
    <cellStyle name="Normal 58 11 4 2 5" xfId="23102"/>
    <cellStyle name="Normal 58 11 4 3" xfId="10476"/>
    <cellStyle name="Normal 58 11 4 3 2" xfId="19303"/>
    <cellStyle name="Normal 58 11 4 3 3" xfId="29554"/>
    <cellStyle name="Normal 58 11 4 4" xfId="11922"/>
    <cellStyle name="Normal 58 11 4 4 2" xfId="26004"/>
    <cellStyle name="Normal 58 11 4 5" xfId="6917"/>
    <cellStyle name="Normal 58 11 4 6" xfId="20997"/>
    <cellStyle name="Normal 58 11 5" xfId="1895"/>
    <cellStyle name="Normal 58 11 5 2" xfId="16813"/>
    <cellStyle name="Normal 58 11 5 2 2" xfId="27064"/>
    <cellStyle name="Normal 58 11 5 3" xfId="13234"/>
    <cellStyle name="Normal 58 11 5 4" xfId="7977"/>
    <cellStyle name="Normal 58 11 5 5" xfId="22057"/>
    <cellStyle name="Normal 58 11 6" xfId="6033"/>
    <cellStyle name="Normal 58 11 6 2" xfId="15117"/>
    <cellStyle name="Normal 58 11 6 3" xfId="25121"/>
    <cellStyle name="Normal 58 11 7" xfId="9433"/>
    <cellStyle name="Normal 58 11 7 2" xfId="18260"/>
    <cellStyle name="Normal 58 11 7 3" xfId="28511"/>
    <cellStyle name="Normal 58 11 8" xfId="10877"/>
    <cellStyle name="Normal 58 11 8 2" xfId="23603"/>
    <cellStyle name="Normal 58 11 9" xfId="4511"/>
    <cellStyle name="Normal 58 11_Degree data" xfId="1721"/>
    <cellStyle name="Normal 58 12" xfId="743"/>
    <cellStyle name="Normal 58 12 2" xfId="2475"/>
    <cellStyle name="Normal 58 12 2 2" xfId="16370"/>
    <cellStyle name="Normal 58 12 2 2 2" xfId="26589"/>
    <cellStyle name="Normal 58 12 2 3" xfId="12792"/>
    <cellStyle name="Normal 58 12 2 4" xfId="7502"/>
    <cellStyle name="Normal 58 12 2 5" xfId="21582"/>
    <cellStyle name="Normal 58 12 3" xfId="3748"/>
    <cellStyle name="Normal 58 12 3 2" xfId="17395"/>
    <cellStyle name="Normal 58 12 3 2 2" xfId="27646"/>
    <cellStyle name="Normal 58 12 3 3" xfId="13816"/>
    <cellStyle name="Normal 58 12 3 4" xfId="8559"/>
    <cellStyle name="Normal 58 12 3 5" xfId="22639"/>
    <cellStyle name="Normal 58 12 4" xfId="6618"/>
    <cellStyle name="Normal 58 12 4 2" xfId="15702"/>
    <cellStyle name="Normal 58 12 4 3" xfId="25706"/>
    <cellStyle name="Normal 58 12 5" xfId="10013"/>
    <cellStyle name="Normal 58 12 5 2" xfId="18840"/>
    <cellStyle name="Normal 58 12 5 3" xfId="29091"/>
    <cellStyle name="Normal 58 12 6" xfId="11458"/>
    <cellStyle name="Normal 58 12 6 2" xfId="24188"/>
    <cellStyle name="Normal 58 12 7" xfId="5096"/>
    <cellStyle name="Normal 58 12 8" xfId="20699"/>
    <cellStyle name="Normal 58 13" xfId="1101"/>
    <cellStyle name="Normal 58 13 2" xfId="2823"/>
    <cellStyle name="Normal 58 13 2 2" xfId="16467"/>
    <cellStyle name="Normal 58 13 2 2 2" xfId="26686"/>
    <cellStyle name="Normal 58 13 2 3" xfId="12889"/>
    <cellStyle name="Normal 58 13 2 4" xfId="7599"/>
    <cellStyle name="Normal 58 13 2 5" xfId="21679"/>
    <cellStyle name="Normal 58 13 3" xfId="4097"/>
    <cellStyle name="Normal 58 13 3 2" xfId="17743"/>
    <cellStyle name="Normal 58 13 3 2 2" xfId="27994"/>
    <cellStyle name="Normal 58 13 3 3" xfId="14164"/>
    <cellStyle name="Normal 58 13 3 4" xfId="8907"/>
    <cellStyle name="Normal 58 13 3 5" xfId="22987"/>
    <cellStyle name="Normal 58 13 4" xfId="5857"/>
    <cellStyle name="Normal 58 13 4 2" xfId="14943"/>
    <cellStyle name="Normal 58 13 4 3" xfId="24947"/>
    <cellStyle name="Normal 58 13 5" xfId="10361"/>
    <cellStyle name="Normal 58 13 5 2" xfId="19188"/>
    <cellStyle name="Normal 58 13 5 3" xfId="29439"/>
    <cellStyle name="Normal 58 13 6" xfId="11807"/>
    <cellStyle name="Normal 58 13 6 2" xfId="24285"/>
    <cellStyle name="Normal 58 13 7" xfId="5193"/>
    <cellStyle name="Normal 58 13 8" xfId="19940"/>
    <cellStyle name="Normal 58 14" xfId="1256"/>
    <cellStyle name="Normal 58 14 2" xfId="2911"/>
    <cellStyle name="Normal 58 14 2 2" xfId="17831"/>
    <cellStyle name="Normal 58 14 2 2 2" xfId="28082"/>
    <cellStyle name="Normal 58 14 2 3" xfId="14252"/>
    <cellStyle name="Normal 58 14 2 4" xfId="8995"/>
    <cellStyle name="Normal 58 14 2 5" xfId="23075"/>
    <cellStyle name="Normal 58 14 3" xfId="10449"/>
    <cellStyle name="Normal 58 14 3 2" xfId="19276"/>
    <cellStyle name="Normal 58 14 3 3" xfId="29527"/>
    <cellStyle name="Normal 58 14 4" xfId="11895"/>
    <cellStyle name="Normal 58 14 4 2" xfId="25830"/>
    <cellStyle name="Normal 58 14 5" xfId="6743"/>
    <cellStyle name="Normal 58 14 6" xfId="20823"/>
    <cellStyle name="Normal 58 15" xfId="1868"/>
    <cellStyle name="Normal 58 15 2" xfId="9406"/>
    <cellStyle name="Normal 58 15 2 2" xfId="18233"/>
    <cellStyle name="Normal 58 15 2 3" xfId="28484"/>
    <cellStyle name="Normal 58 15 3" xfId="10850"/>
    <cellStyle name="Normal 58 15 3 2" xfId="27037"/>
    <cellStyle name="Normal 58 15 4" xfId="7950"/>
    <cellStyle name="Normal 58 15 5" xfId="22030"/>
    <cellStyle name="Normal 58 16" xfId="1825"/>
    <cellStyle name="Normal 58 16 2" xfId="14626"/>
    <cellStyle name="Normal 58 16 3" xfId="5540"/>
    <cellStyle name="Normal 58 16 4" xfId="24630"/>
    <cellStyle name="Normal 58 17" xfId="9366"/>
    <cellStyle name="Normal 58 17 2" xfId="18193"/>
    <cellStyle name="Normal 58 17 3" xfId="28444"/>
    <cellStyle name="Normal 58 18" xfId="10805"/>
    <cellStyle name="Normal 58 18 2" xfId="23430"/>
    <cellStyle name="Normal 58 19" xfId="4338"/>
    <cellStyle name="Normal 58 2" xfId="68"/>
    <cellStyle name="Normal 58 20" xfId="19622"/>
    <cellStyle name="Normal 58 3" xfId="120"/>
    <cellStyle name="Normal 58 3 10" xfId="1880"/>
    <cellStyle name="Normal 58 3 10 2" xfId="9418"/>
    <cellStyle name="Normal 58 3 10 2 2" xfId="18245"/>
    <cellStyle name="Normal 58 3 10 2 3" xfId="28496"/>
    <cellStyle name="Normal 58 3 10 3" xfId="10862"/>
    <cellStyle name="Normal 58 3 10 3 2" xfId="27049"/>
    <cellStyle name="Normal 58 3 10 4" xfId="7962"/>
    <cellStyle name="Normal 58 3 10 5" xfId="22042"/>
    <cellStyle name="Normal 58 3 11" xfId="1850"/>
    <cellStyle name="Normal 58 3 11 2" xfId="14631"/>
    <cellStyle name="Normal 58 3 11 3" xfId="5545"/>
    <cellStyle name="Normal 58 3 11 4" xfId="24635"/>
    <cellStyle name="Normal 58 3 12" xfId="9388"/>
    <cellStyle name="Normal 58 3 12 2" xfId="18215"/>
    <cellStyle name="Normal 58 3 12 3" xfId="28466"/>
    <cellStyle name="Normal 58 3 13" xfId="10832"/>
    <cellStyle name="Normal 58 3 13 2" xfId="23443"/>
    <cellStyle name="Normal 58 3 14" xfId="4351"/>
    <cellStyle name="Normal 58 3 15" xfId="19628"/>
    <cellStyle name="Normal 58 3 2" xfId="171"/>
    <cellStyle name="Normal 58 3 2 10" xfId="5570"/>
    <cellStyle name="Normal 58 3 2 10 2" xfId="14656"/>
    <cellStyle name="Normal 58 3 2 10 3" xfId="24660"/>
    <cellStyle name="Normal 58 3 2 11" xfId="9463"/>
    <cellStyle name="Normal 58 3 2 11 2" xfId="18290"/>
    <cellStyle name="Normal 58 3 2 11 3" xfId="28541"/>
    <cellStyle name="Normal 58 3 2 12" xfId="10907"/>
    <cellStyle name="Normal 58 3 2 12 2" xfId="23473"/>
    <cellStyle name="Normal 58 3 2 13" xfId="4381"/>
    <cellStyle name="Normal 58 3 2 14" xfId="19653"/>
    <cellStyle name="Normal 58 3 2 2" xfId="236"/>
    <cellStyle name="Normal 58 3 2 2 10" xfId="10964"/>
    <cellStyle name="Normal 58 3 2 2 10 2" xfId="23577"/>
    <cellStyle name="Normal 58 3 2 2 11" xfId="4485"/>
    <cellStyle name="Normal 58 3 2 2 12" xfId="19710"/>
    <cellStyle name="Normal 58 3 2 2 2" xfId="445"/>
    <cellStyle name="Normal 58 3 2 2 2 10" xfId="19914"/>
    <cellStyle name="Normal 58 3 2 2 2 2" xfId="749"/>
    <cellStyle name="Normal 58 3 2 2 2 2 2" xfId="2481"/>
    <cellStyle name="Normal 58 3 2 2 2 2 2 2" xfId="16376"/>
    <cellStyle name="Normal 58 3 2 2 2 2 2 2 2" xfId="26595"/>
    <cellStyle name="Normal 58 3 2 2 2 2 2 3" xfId="12798"/>
    <cellStyle name="Normal 58 3 2 2 2 2 2 4" xfId="7508"/>
    <cellStyle name="Normal 58 3 2 2 2 2 2 5" xfId="21588"/>
    <cellStyle name="Normal 58 3 2 2 2 2 3" xfId="3754"/>
    <cellStyle name="Normal 58 3 2 2 2 2 3 2" xfId="17401"/>
    <cellStyle name="Normal 58 3 2 2 2 2 3 2 2" xfId="27652"/>
    <cellStyle name="Normal 58 3 2 2 2 2 3 3" xfId="13822"/>
    <cellStyle name="Normal 58 3 2 2 2 2 3 4" xfId="8565"/>
    <cellStyle name="Normal 58 3 2 2 2 2 3 5" xfId="22645"/>
    <cellStyle name="Normal 58 3 2 2 2 2 4" xfId="6624"/>
    <cellStyle name="Normal 58 3 2 2 2 2 4 2" xfId="15708"/>
    <cellStyle name="Normal 58 3 2 2 2 2 4 3" xfId="25712"/>
    <cellStyle name="Normal 58 3 2 2 2 2 5" xfId="10019"/>
    <cellStyle name="Normal 58 3 2 2 2 2 5 2" xfId="18846"/>
    <cellStyle name="Normal 58 3 2 2 2 2 5 3" xfId="29097"/>
    <cellStyle name="Normal 58 3 2 2 2 2 6" xfId="11464"/>
    <cellStyle name="Normal 58 3 2 2 2 2 6 2" xfId="24194"/>
    <cellStyle name="Normal 58 3 2 2 2 2 7" xfId="5102"/>
    <cellStyle name="Normal 58 3 2 2 2 2 8" xfId="20705"/>
    <cellStyle name="Normal 58 3 2 2 2 3" xfId="1107"/>
    <cellStyle name="Normal 58 3 2 2 2 3 2" xfId="2829"/>
    <cellStyle name="Normal 58 3 2 2 2 3 2 2" xfId="16785"/>
    <cellStyle name="Normal 58 3 2 2 2 3 2 2 2" xfId="27004"/>
    <cellStyle name="Normal 58 3 2 2 2 3 2 3" xfId="13206"/>
    <cellStyle name="Normal 58 3 2 2 2 3 2 4" xfId="7917"/>
    <cellStyle name="Normal 58 3 2 2 2 3 2 5" xfId="21997"/>
    <cellStyle name="Normal 58 3 2 2 2 3 3" xfId="4103"/>
    <cellStyle name="Normal 58 3 2 2 2 3 3 2" xfId="17749"/>
    <cellStyle name="Normal 58 3 2 2 2 3 3 2 2" xfId="28000"/>
    <cellStyle name="Normal 58 3 2 2 2 3 3 3" xfId="14170"/>
    <cellStyle name="Normal 58 3 2 2 2 3 3 4" xfId="8913"/>
    <cellStyle name="Normal 58 3 2 2 2 3 3 5" xfId="22993"/>
    <cellStyle name="Normal 58 3 2 2 2 3 4" xfId="6324"/>
    <cellStyle name="Normal 58 3 2 2 2 3 4 2" xfId="15408"/>
    <cellStyle name="Normal 58 3 2 2 2 3 4 3" xfId="25412"/>
    <cellStyle name="Normal 58 3 2 2 2 3 5" xfId="10367"/>
    <cellStyle name="Normal 58 3 2 2 2 3 5 2" xfId="19194"/>
    <cellStyle name="Normal 58 3 2 2 2 3 5 3" xfId="29445"/>
    <cellStyle name="Normal 58 3 2 2 2 3 6" xfId="11813"/>
    <cellStyle name="Normal 58 3 2 2 2 3 6 2" xfId="24603"/>
    <cellStyle name="Normal 58 3 2 2 2 3 7" xfId="5511"/>
    <cellStyle name="Normal 58 3 2 2 2 3 8" xfId="20405"/>
    <cellStyle name="Normal 58 3 2 2 2 4" xfId="1632"/>
    <cellStyle name="Normal 58 3 2 2 2 4 2" xfId="3229"/>
    <cellStyle name="Normal 58 3 2 2 2 4 2 2" xfId="18149"/>
    <cellStyle name="Normal 58 3 2 2 2 4 2 2 2" xfId="28400"/>
    <cellStyle name="Normal 58 3 2 2 2 4 2 3" xfId="14570"/>
    <cellStyle name="Normal 58 3 2 2 2 4 2 4" xfId="9313"/>
    <cellStyle name="Normal 58 3 2 2 2 4 2 5" xfId="23393"/>
    <cellStyle name="Normal 58 3 2 2 2 4 3" xfId="10767"/>
    <cellStyle name="Normal 58 3 2 2 2 4 3 2" xfId="19594"/>
    <cellStyle name="Normal 58 3 2 2 2 4 3 3" xfId="29845"/>
    <cellStyle name="Normal 58 3 2 2 2 4 4" xfId="12213"/>
    <cellStyle name="Normal 58 3 2 2 2 4 4 2" xfId="26295"/>
    <cellStyle name="Normal 58 3 2 2 2 4 5" xfId="7208"/>
    <cellStyle name="Normal 58 3 2 2 2 4 6" xfId="21288"/>
    <cellStyle name="Normal 58 3 2 2 2 5" xfId="2186"/>
    <cellStyle name="Normal 58 3 2 2 2 5 2" xfId="17106"/>
    <cellStyle name="Normal 58 3 2 2 2 5 2 2" xfId="27357"/>
    <cellStyle name="Normal 58 3 2 2 2 5 3" xfId="13527"/>
    <cellStyle name="Normal 58 3 2 2 2 5 4" xfId="8270"/>
    <cellStyle name="Normal 58 3 2 2 2 5 5" xfId="22350"/>
    <cellStyle name="Normal 58 3 2 2 2 6" xfId="5831"/>
    <cellStyle name="Normal 58 3 2 2 2 6 2" xfId="14917"/>
    <cellStyle name="Normal 58 3 2 2 2 6 3" xfId="24921"/>
    <cellStyle name="Normal 58 3 2 2 2 7" xfId="9724"/>
    <cellStyle name="Normal 58 3 2 2 2 7 2" xfId="18551"/>
    <cellStyle name="Normal 58 3 2 2 2 7 3" xfId="28802"/>
    <cellStyle name="Normal 58 3 2 2 2 8" xfId="11168"/>
    <cellStyle name="Normal 58 3 2 2 2 8 2" xfId="23894"/>
    <cellStyle name="Normal 58 3 2 2 2 9" xfId="4802"/>
    <cellStyle name="Normal 58 3 2 2 2_Degree data" xfId="1725"/>
    <cellStyle name="Normal 58 3 2 2 3" xfId="748"/>
    <cellStyle name="Normal 58 3 2 2 3 2" xfId="2480"/>
    <cellStyle name="Normal 58 3 2 2 3 2 2" xfId="16018"/>
    <cellStyle name="Normal 58 3 2 2 3 2 2 2" xfId="26091"/>
    <cellStyle name="Normal 58 3 2 2 3 2 3" xfId="12319"/>
    <cellStyle name="Normal 58 3 2 2 3 2 4" xfId="7004"/>
    <cellStyle name="Normal 58 3 2 2 3 2 5" xfId="21084"/>
    <cellStyle name="Normal 58 3 2 2 3 3" xfId="3753"/>
    <cellStyle name="Normal 58 3 2 2 3 3 2" xfId="17400"/>
    <cellStyle name="Normal 58 3 2 2 3 3 2 2" xfId="27651"/>
    <cellStyle name="Normal 58 3 2 2 3 3 3" xfId="13821"/>
    <cellStyle name="Normal 58 3 2 2 3 3 4" xfId="8564"/>
    <cellStyle name="Normal 58 3 2 2 3 3 5" xfId="22644"/>
    <cellStyle name="Normal 58 3 2 2 3 4" xfId="6120"/>
    <cellStyle name="Normal 58 3 2 2 3 4 2" xfId="15204"/>
    <cellStyle name="Normal 58 3 2 2 3 4 3" xfId="25208"/>
    <cellStyle name="Normal 58 3 2 2 3 5" xfId="10018"/>
    <cellStyle name="Normal 58 3 2 2 3 5 2" xfId="18845"/>
    <cellStyle name="Normal 58 3 2 2 3 5 3" xfId="29096"/>
    <cellStyle name="Normal 58 3 2 2 3 6" xfId="11463"/>
    <cellStyle name="Normal 58 3 2 2 3 6 2" xfId="23690"/>
    <cellStyle name="Normal 58 3 2 2 3 7" xfId="4598"/>
    <cellStyle name="Normal 58 3 2 2 3 8" xfId="20201"/>
    <cellStyle name="Normal 58 3 2 2 4" xfId="1106"/>
    <cellStyle name="Normal 58 3 2 2 4 2" xfId="2828"/>
    <cellStyle name="Normal 58 3 2 2 4 2 2" xfId="16375"/>
    <cellStyle name="Normal 58 3 2 2 4 2 2 2" xfId="26594"/>
    <cellStyle name="Normal 58 3 2 2 4 2 3" xfId="12797"/>
    <cellStyle name="Normal 58 3 2 2 4 2 4" xfId="7507"/>
    <cellStyle name="Normal 58 3 2 2 4 2 5" xfId="21587"/>
    <cellStyle name="Normal 58 3 2 2 4 3" xfId="4102"/>
    <cellStyle name="Normal 58 3 2 2 4 3 2" xfId="17748"/>
    <cellStyle name="Normal 58 3 2 2 4 3 2 2" xfId="27999"/>
    <cellStyle name="Normal 58 3 2 2 4 3 3" xfId="14169"/>
    <cellStyle name="Normal 58 3 2 2 4 3 4" xfId="8912"/>
    <cellStyle name="Normal 58 3 2 2 4 3 5" xfId="22992"/>
    <cellStyle name="Normal 58 3 2 2 4 4" xfId="6623"/>
    <cellStyle name="Normal 58 3 2 2 4 4 2" xfId="15707"/>
    <cellStyle name="Normal 58 3 2 2 4 4 3" xfId="25711"/>
    <cellStyle name="Normal 58 3 2 2 4 5" xfId="10366"/>
    <cellStyle name="Normal 58 3 2 2 4 5 2" xfId="19193"/>
    <cellStyle name="Normal 58 3 2 2 4 5 3" xfId="29444"/>
    <cellStyle name="Normal 58 3 2 2 4 6" xfId="11812"/>
    <cellStyle name="Normal 58 3 2 2 4 6 2" xfId="24193"/>
    <cellStyle name="Normal 58 3 2 2 4 7" xfId="5101"/>
    <cellStyle name="Normal 58 3 2 2 4 8" xfId="20704"/>
    <cellStyle name="Normal 58 3 2 2 5" xfId="1423"/>
    <cellStyle name="Normal 58 3 2 2 5 2" xfId="3025"/>
    <cellStyle name="Normal 58 3 2 2 5 2 2" xfId="16581"/>
    <cellStyle name="Normal 58 3 2 2 5 2 2 2" xfId="26800"/>
    <cellStyle name="Normal 58 3 2 2 5 2 3" xfId="13002"/>
    <cellStyle name="Normal 58 3 2 2 5 2 4" xfId="7713"/>
    <cellStyle name="Normal 58 3 2 2 5 2 5" xfId="21793"/>
    <cellStyle name="Normal 58 3 2 2 5 3" xfId="4239"/>
    <cellStyle name="Normal 58 3 2 2 5 3 2" xfId="17945"/>
    <cellStyle name="Normal 58 3 2 2 5 3 2 2" xfId="28196"/>
    <cellStyle name="Normal 58 3 2 2 5 3 3" xfId="14366"/>
    <cellStyle name="Normal 58 3 2 2 5 3 4" xfId="9109"/>
    <cellStyle name="Normal 58 3 2 2 5 3 5" xfId="23189"/>
    <cellStyle name="Normal 58 3 2 2 5 4" xfId="6005"/>
    <cellStyle name="Normal 58 3 2 2 5 4 2" xfId="15091"/>
    <cellStyle name="Normal 58 3 2 2 5 4 3" xfId="25095"/>
    <cellStyle name="Normal 58 3 2 2 5 5" xfId="10563"/>
    <cellStyle name="Normal 58 3 2 2 5 5 2" xfId="19390"/>
    <cellStyle name="Normal 58 3 2 2 5 5 3" xfId="29641"/>
    <cellStyle name="Normal 58 3 2 2 5 6" xfId="12009"/>
    <cellStyle name="Normal 58 3 2 2 5 6 2" xfId="24399"/>
    <cellStyle name="Normal 58 3 2 2 5 7" xfId="5307"/>
    <cellStyle name="Normal 58 3 2 2 5 8" xfId="20088"/>
    <cellStyle name="Normal 58 3 2 2 6" xfId="1982"/>
    <cellStyle name="Normal 58 3 2 2 6 2" xfId="15934"/>
    <cellStyle name="Normal 58 3 2 2 6 2 2" xfId="25978"/>
    <cellStyle name="Normal 58 3 2 2 6 3" xfId="12399"/>
    <cellStyle name="Normal 58 3 2 2 6 4" xfId="6891"/>
    <cellStyle name="Normal 58 3 2 2 6 5" xfId="20971"/>
    <cellStyle name="Normal 58 3 2 2 7" xfId="3401"/>
    <cellStyle name="Normal 58 3 2 2 7 2" xfId="16902"/>
    <cellStyle name="Normal 58 3 2 2 7 2 2" xfId="27153"/>
    <cellStyle name="Normal 58 3 2 2 7 3" xfId="13323"/>
    <cellStyle name="Normal 58 3 2 2 7 4" xfId="8066"/>
    <cellStyle name="Normal 58 3 2 2 7 5" xfId="22146"/>
    <cellStyle name="Normal 58 3 2 2 8" xfId="5627"/>
    <cellStyle name="Normal 58 3 2 2 8 2" xfId="14713"/>
    <cellStyle name="Normal 58 3 2 2 8 3" xfId="24717"/>
    <cellStyle name="Normal 58 3 2 2 9" xfId="9520"/>
    <cellStyle name="Normal 58 3 2 2 9 2" xfId="18347"/>
    <cellStyle name="Normal 58 3 2 2 9 3" xfId="28598"/>
    <cellStyle name="Normal 58 3 2 2_Degree data" xfId="1724"/>
    <cellStyle name="Normal 58 3 2 3" xfId="401"/>
    <cellStyle name="Normal 58 3 2 3 10" xfId="4441"/>
    <cellStyle name="Normal 58 3 2 3 11" xfId="19870"/>
    <cellStyle name="Normal 58 3 2 3 2" xfId="750"/>
    <cellStyle name="Normal 58 3 2 3 2 2" xfId="2482"/>
    <cellStyle name="Normal 58 3 2 3 2 2 2" xfId="16078"/>
    <cellStyle name="Normal 58 3 2 3 2 2 2 2" xfId="26251"/>
    <cellStyle name="Normal 58 3 2 3 2 2 3" xfId="12303"/>
    <cellStyle name="Normal 58 3 2 3 2 2 4" xfId="7164"/>
    <cellStyle name="Normal 58 3 2 3 2 2 5" xfId="21244"/>
    <cellStyle name="Normal 58 3 2 3 2 3" xfId="3755"/>
    <cellStyle name="Normal 58 3 2 3 2 3 2" xfId="17402"/>
    <cellStyle name="Normal 58 3 2 3 2 3 2 2" xfId="27653"/>
    <cellStyle name="Normal 58 3 2 3 2 3 3" xfId="13823"/>
    <cellStyle name="Normal 58 3 2 3 2 3 4" xfId="8566"/>
    <cellStyle name="Normal 58 3 2 3 2 3 5" xfId="22646"/>
    <cellStyle name="Normal 58 3 2 3 2 4" xfId="6280"/>
    <cellStyle name="Normal 58 3 2 3 2 4 2" xfId="15364"/>
    <cellStyle name="Normal 58 3 2 3 2 4 3" xfId="25368"/>
    <cellStyle name="Normal 58 3 2 3 2 5" xfId="10020"/>
    <cellStyle name="Normal 58 3 2 3 2 5 2" xfId="18847"/>
    <cellStyle name="Normal 58 3 2 3 2 5 3" xfId="29098"/>
    <cellStyle name="Normal 58 3 2 3 2 6" xfId="11465"/>
    <cellStyle name="Normal 58 3 2 3 2 6 2" xfId="23850"/>
    <cellStyle name="Normal 58 3 2 3 2 7" xfId="4758"/>
    <cellStyle name="Normal 58 3 2 3 2 8" xfId="20361"/>
    <cellStyle name="Normal 58 3 2 3 3" xfId="1108"/>
    <cellStyle name="Normal 58 3 2 3 3 2" xfId="2830"/>
    <cellStyle name="Normal 58 3 2 3 3 2 2" xfId="16377"/>
    <cellStyle name="Normal 58 3 2 3 3 2 2 2" xfId="26596"/>
    <cellStyle name="Normal 58 3 2 3 3 2 3" xfId="12799"/>
    <cellStyle name="Normal 58 3 2 3 3 2 4" xfId="7509"/>
    <cellStyle name="Normal 58 3 2 3 3 2 5" xfId="21589"/>
    <cellStyle name="Normal 58 3 2 3 3 3" xfId="4104"/>
    <cellStyle name="Normal 58 3 2 3 3 3 2" xfId="17750"/>
    <cellStyle name="Normal 58 3 2 3 3 3 2 2" xfId="28001"/>
    <cellStyle name="Normal 58 3 2 3 3 3 3" xfId="14171"/>
    <cellStyle name="Normal 58 3 2 3 3 3 4" xfId="8914"/>
    <cellStyle name="Normal 58 3 2 3 3 3 5" xfId="22994"/>
    <cellStyle name="Normal 58 3 2 3 3 4" xfId="6625"/>
    <cellStyle name="Normal 58 3 2 3 3 4 2" xfId="15709"/>
    <cellStyle name="Normal 58 3 2 3 3 4 3" xfId="25713"/>
    <cellStyle name="Normal 58 3 2 3 3 5" xfId="10368"/>
    <cellStyle name="Normal 58 3 2 3 3 5 2" xfId="19195"/>
    <cellStyle name="Normal 58 3 2 3 3 5 3" xfId="29446"/>
    <cellStyle name="Normal 58 3 2 3 3 6" xfId="11814"/>
    <cellStyle name="Normal 58 3 2 3 3 6 2" xfId="24195"/>
    <cellStyle name="Normal 58 3 2 3 3 7" xfId="5103"/>
    <cellStyle name="Normal 58 3 2 3 3 8" xfId="20706"/>
    <cellStyle name="Normal 58 3 2 3 4" xfId="1588"/>
    <cellStyle name="Normal 58 3 2 3 4 2" xfId="3185"/>
    <cellStyle name="Normal 58 3 2 3 4 2 2" xfId="16741"/>
    <cellStyle name="Normal 58 3 2 3 4 2 2 2" xfId="26960"/>
    <cellStyle name="Normal 58 3 2 3 4 2 3" xfId="13162"/>
    <cellStyle name="Normal 58 3 2 3 4 2 4" xfId="7873"/>
    <cellStyle name="Normal 58 3 2 3 4 2 5" xfId="21953"/>
    <cellStyle name="Normal 58 3 2 3 4 3" xfId="4299"/>
    <cellStyle name="Normal 58 3 2 3 4 3 2" xfId="18105"/>
    <cellStyle name="Normal 58 3 2 3 4 3 2 2" xfId="28356"/>
    <cellStyle name="Normal 58 3 2 3 4 3 3" xfId="14526"/>
    <cellStyle name="Normal 58 3 2 3 4 3 4" xfId="9269"/>
    <cellStyle name="Normal 58 3 2 3 4 3 5" xfId="23349"/>
    <cellStyle name="Normal 58 3 2 3 4 4" xfId="5961"/>
    <cellStyle name="Normal 58 3 2 3 4 4 2" xfId="15047"/>
    <cellStyle name="Normal 58 3 2 3 4 4 3" xfId="25051"/>
    <cellStyle name="Normal 58 3 2 3 4 5" xfId="10723"/>
    <cellStyle name="Normal 58 3 2 3 4 5 2" xfId="19550"/>
    <cellStyle name="Normal 58 3 2 3 4 5 3" xfId="29801"/>
    <cellStyle name="Normal 58 3 2 3 4 6" xfId="12169"/>
    <cellStyle name="Normal 58 3 2 3 4 6 2" xfId="24559"/>
    <cellStyle name="Normal 58 3 2 3 4 7" xfId="5467"/>
    <cellStyle name="Normal 58 3 2 3 4 8" xfId="20044"/>
    <cellStyle name="Normal 58 3 2 3 5" xfId="2142"/>
    <cellStyle name="Normal 58 3 2 3 5 2" xfId="15890"/>
    <cellStyle name="Normal 58 3 2 3 5 2 2" xfId="25934"/>
    <cellStyle name="Normal 58 3 2 3 5 3" xfId="12243"/>
    <cellStyle name="Normal 58 3 2 3 5 4" xfId="6847"/>
    <cellStyle name="Normal 58 3 2 3 5 5" xfId="20927"/>
    <cellStyle name="Normal 58 3 2 3 6" xfId="3461"/>
    <cellStyle name="Normal 58 3 2 3 6 2" xfId="17062"/>
    <cellStyle name="Normal 58 3 2 3 6 2 2" xfId="27313"/>
    <cellStyle name="Normal 58 3 2 3 6 3" xfId="13483"/>
    <cellStyle name="Normal 58 3 2 3 6 4" xfId="8226"/>
    <cellStyle name="Normal 58 3 2 3 6 5" xfId="22306"/>
    <cellStyle name="Normal 58 3 2 3 7" xfId="5787"/>
    <cellStyle name="Normal 58 3 2 3 7 2" xfId="14873"/>
    <cellStyle name="Normal 58 3 2 3 7 3" xfId="24877"/>
    <cellStyle name="Normal 58 3 2 3 8" xfId="9680"/>
    <cellStyle name="Normal 58 3 2 3 8 2" xfId="18507"/>
    <cellStyle name="Normal 58 3 2 3 8 3" xfId="28758"/>
    <cellStyle name="Normal 58 3 2 3 9" xfId="11124"/>
    <cellStyle name="Normal 58 3 2 3 9 2" xfId="23533"/>
    <cellStyle name="Normal 58 3 2 3_Degree data" xfId="1726"/>
    <cellStyle name="Normal 58 3 2 4" xfId="338"/>
    <cellStyle name="Normal 58 3 2 4 10" xfId="19810"/>
    <cellStyle name="Normal 58 3 2 4 2" xfId="751"/>
    <cellStyle name="Normal 58 3 2 4 2 2" xfId="2483"/>
    <cellStyle name="Normal 58 3 2 4 2 2 2" xfId="16378"/>
    <cellStyle name="Normal 58 3 2 4 2 2 2 2" xfId="26597"/>
    <cellStyle name="Normal 58 3 2 4 2 2 3" xfId="12800"/>
    <cellStyle name="Normal 58 3 2 4 2 2 4" xfId="7510"/>
    <cellStyle name="Normal 58 3 2 4 2 2 5" xfId="21590"/>
    <cellStyle name="Normal 58 3 2 4 2 3" xfId="3756"/>
    <cellStyle name="Normal 58 3 2 4 2 3 2" xfId="17403"/>
    <cellStyle name="Normal 58 3 2 4 2 3 2 2" xfId="27654"/>
    <cellStyle name="Normal 58 3 2 4 2 3 3" xfId="13824"/>
    <cellStyle name="Normal 58 3 2 4 2 3 4" xfId="8567"/>
    <cellStyle name="Normal 58 3 2 4 2 3 5" xfId="22647"/>
    <cellStyle name="Normal 58 3 2 4 2 4" xfId="6626"/>
    <cellStyle name="Normal 58 3 2 4 2 4 2" xfId="15710"/>
    <cellStyle name="Normal 58 3 2 4 2 4 3" xfId="25714"/>
    <cellStyle name="Normal 58 3 2 4 2 5" xfId="10021"/>
    <cellStyle name="Normal 58 3 2 4 2 5 2" xfId="18848"/>
    <cellStyle name="Normal 58 3 2 4 2 5 3" xfId="29099"/>
    <cellStyle name="Normal 58 3 2 4 2 6" xfId="11466"/>
    <cellStyle name="Normal 58 3 2 4 2 6 2" xfId="24196"/>
    <cellStyle name="Normal 58 3 2 4 2 7" xfId="5104"/>
    <cellStyle name="Normal 58 3 2 4 2 8" xfId="20707"/>
    <cellStyle name="Normal 58 3 2 4 3" xfId="1109"/>
    <cellStyle name="Normal 58 3 2 4 3 2" xfId="2831"/>
    <cellStyle name="Normal 58 3 2 4 3 2 2" xfId="16681"/>
    <cellStyle name="Normal 58 3 2 4 3 2 2 2" xfId="26900"/>
    <cellStyle name="Normal 58 3 2 4 3 2 3" xfId="13102"/>
    <cellStyle name="Normal 58 3 2 4 3 2 4" xfId="7813"/>
    <cellStyle name="Normal 58 3 2 4 3 2 5" xfId="21893"/>
    <cellStyle name="Normal 58 3 2 4 3 3" xfId="4105"/>
    <cellStyle name="Normal 58 3 2 4 3 3 2" xfId="17751"/>
    <cellStyle name="Normal 58 3 2 4 3 3 2 2" xfId="28002"/>
    <cellStyle name="Normal 58 3 2 4 3 3 3" xfId="14172"/>
    <cellStyle name="Normal 58 3 2 4 3 3 4" xfId="8915"/>
    <cellStyle name="Normal 58 3 2 4 3 3 5" xfId="22995"/>
    <cellStyle name="Normal 58 3 2 4 3 4" xfId="6220"/>
    <cellStyle name="Normal 58 3 2 4 3 4 2" xfId="15304"/>
    <cellStyle name="Normal 58 3 2 4 3 4 3" xfId="25308"/>
    <cellStyle name="Normal 58 3 2 4 3 5" xfId="10369"/>
    <cellStyle name="Normal 58 3 2 4 3 5 2" xfId="19196"/>
    <cellStyle name="Normal 58 3 2 4 3 5 3" xfId="29447"/>
    <cellStyle name="Normal 58 3 2 4 3 6" xfId="11815"/>
    <cellStyle name="Normal 58 3 2 4 3 6 2" xfId="24499"/>
    <cellStyle name="Normal 58 3 2 4 3 7" xfId="5407"/>
    <cellStyle name="Normal 58 3 2 4 3 8" xfId="20301"/>
    <cellStyle name="Normal 58 3 2 4 4" xfId="1525"/>
    <cellStyle name="Normal 58 3 2 4 4 2" xfId="3125"/>
    <cellStyle name="Normal 58 3 2 4 4 2 2" xfId="18045"/>
    <cellStyle name="Normal 58 3 2 4 4 2 2 2" xfId="28296"/>
    <cellStyle name="Normal 58 3 2 4 4 2 3" xfId="14466"/>
    <cellStyle name="Normal 58 3 2 4 4 2 4" xfId="9209"/>
    <cellStyle name="Normal 58 3 2 4 4 2 5" xfId="23289"/>
    <cellStyle name="Normal 58 3 2 4 4 3" xfId="10663"/>
    <cellStyle name="Normal 58 3 2 4 4 3 2" xfId="19490"/>
    <cellStyle name="Normal 58 3 2 4 4 3 3" xfId="29741"/>
    <cellStyle name="Normal 58 3 2 4 4 4" xfId="12109"/>
    <cellStyle name="Normal 58 3 2 4 4 4 2" xfId="26191"/>
    <cellStyle name="Normal 58 3 2 4 4 5" xfId="7104"/>
    <cellStyle name="Normal 58 3 2 4 4 6" xfId="21184"/>
    <cellStyle name="Normal 58 3 2 4 5" xfId="2082"/>
    <cellStyle name="Normal 58 3 2 4 5 2" xfId="17002"/>
    <cellStyle name="Normal 58 3 2 4 5 2 2" xfId="27253"/>
    <cellStyle name="Normal 58 3 2 4 5 3" xfId="13423"/>
    <cellStyle name="Normal 58 3 2 4 5 4" xfId="8166"/>
    <cellStyle name="Normal 58 3 2 4 5 5" xfId="22246"/>
    <cellStyle name="Normal 58 3 2 4 6" xfId="5727"/>
    <cellStyle name="Normal 58 3 2 4 6 2" xfId="14813"/>
    <cellStyle name="Normal 58 3 2 4 6 3" xfId="24817"/>
    <cellStyle name="Normal 58 3 2 4 7" xfId="9620"/>
    <cellStyle name="Normal 58 3 2 4 7 2" xfId="18447"/>
    <cellStyle name="Normal 58 3 2 4 7 3" xfId="28698"/>
    <cellStyle name="Normal 58 3 2 4 8" xfId="11064"/>
    <cellStyle name="Normal 58 3 2 4 8 2" xfId="23790"/>
    <cellStyle name="Normal 58 3 2 4 9" xfId="4698"/>
    <cellStyle name="Normal 58 3 2 4_Degree data" xfId="1727"/>
    <cellStyle name="Normal 58 3 2 5" xfId="747"/>
    <cellStyle name="Normal 58 3 2 5 2" xfId="2479"/>
    <cellStyle name="Normal 58 3 2 5 2 2" xfId="15972"/>
    <cellStyle name="Normal 58 3 2 5 2 2 2" xfId="26034"/>
    <cellStyle name="Normal 58 3 2 5 2 3" xfId="12390"/>
    <cellStyle name="Normal 58 3 2 5 2 4" xfId="6947"/>
    <cellStyle name="Normal 58 3 2 5 2 5" xfId="21027"/>
    <cellStyle name="Normal 58 3 2 5 3" xfId="3752"/>
    <cellStyle name="Normal 58 3 2 5 3 2" xfId="17399"/>
    <cellStyle name="Normal 58 3 2 5 3 2 2" xfId="27650"/>
    <cellStyle name="Normal 58 3 2 5 3 3" xfId="13820"/>
    <cellStyle name="Normal 58 3 2 5 3 4" xfId="8563"/>
    <cellStyle name="Normal 58 3 2 5 3 5" xfId="22643"/>
    <cellStyle name="Normal 58 3 2 5 4" xfId="6063"/>
    <cellStyle name="Normal 58 3 2 5 4 2" xfId="15147"/>
    <cellStyle name="Normal 58 3 2 5 4 3" xfId="25151"/>
    <cellStyle name="Normal 58 3 2 5 5" xfId="10017"/>
    <cellStyle name="Normal 58 3 2 5 5 2" xfId="18844"/>
    <cellStyle name="Normal 58 3 2 5 5 3" xfId="29095"/>
    <cellStyle name="Normal 58 3 2 5 6" xfId="11462"/>
    <cellStyle name="Normal 58 3 2 5 6 2" xfId="23633"/>
    <cellStyle name="Normal 58 3 2 5 7" xfId="4541"/>
    <cellStyle name="Normal 58 3 2 5 8" xfId="20144"/>
    <cellStyle name="Normal 58 3 2 6" xfId="1105"/>
    <cellStyle name="Normal 58 3 2 6 2" xfId="2827"/>
    <cellStyle name="Normal 58 3 2 6 2 2" xfId="16374"/>
    <cellStyle name="Normal 58 3 2 6 2 2 2" xfId="26593"/>
    <cellStyle name="Normal 58 3 2 6 2 3" xfId="12796"/>
    <cellStyle name="Normal 58 3 2 6 2 4" xfId="7506"/>
    <cellStyle name="Normal 58 3 2 6 2 5" xfId="21586"/>
    <cellStyle name="Normal 58 3 2 6 3" xfId="4101"/>
    <cellStyle name="Normal 58 3 2 6 3 2" xfId="17747"/>
    <cellStyle name="Normal 58 3 2 6 3 2 2" xfId="27998"/>
    <cellStyle name="Normal 58 3 2 6 3 3" xfId="14168"/>
    <cellStyle name="Normal 58 3 2 6 3 4" xfId="8911"/>
    <cellStyle name="Normal 58 3 2 6 3 5" xfId="22991"/>
    <cellStyle name="Normal 58 3 2 6 4" xfId="6622"/>
    <cellStyle name="Normal 58 3 2 6 4 2" xfId="15706"/>
    <cellStyle name="Normal 58 3 2 6 4 3" xfId="25710"/>
    <cellStyle name="Normal 58 3 2 6 5" xfId="10365"/>
    <cellStyle name="Normal 58 3 2 6 5 2" xfId="19192"/>
    <cellStyle name="Normal 58 3 2 6 5 3" xfId="29443"/>
    <cellStyle name="Normal 58 3 2 6 6" xfId="11811"/>
    <cellStyle name="Normal 58 3 2 6 6 2" xfId="24192"/>
    <cellStyle name="Normal 58 3 2 6 7" xfId="5100"/>
    <cellStyle name="Normal 58 3 2 6 8" xfId="20703"/>
    <cellStyle name="Normal 58 3 2 7" xfId="1358"/>
    <cellStyle name="Normal 58 3 2 7 2" xfId="2968"/>
    <cellStyle name="Normal 58 3 2 7 2 2" xfId="16524"/>
    <cellStyle name="Normal 58 3 2 7 2 2 2" xfId="26743"/>
    <cellStyle name="Normal 58 3 2 7 2 3" xfId="12945"/>
    <cellStyle name="Normal 58 3 2 7 2 4" xfId="7656"/>
    <cellStyle name="Normal 58 3 2 7 2 5" xfId="21736"/>
    <cellStyle name="Normal 58 3 2 7 3" xfId="4193"/>
    <cellStyle name="Normal 58 3 2 7 3 2" xfId="17888"/>
    <cellStyle name="Normal 58 3 2 7 3 2 2" xfId="28139"/>
    <cellStyle name="Normal 58 3 2 7 3 3" xfId="14309"/>
    <cellStyle name="Normal 58 3 2 7 3 4" xfId="9052"/>
    <cellStyle name="Normal 58 3 2 7 3 5" xfId="23132"/>
    <cellStyle name="Normal 58 3 2 7 4" xfId="5901"/>
    <cellStyle name="Normal 58 3 2 7 4 2" xfId="14987"/>
    <cellStyle name="Normal 58 3 2 7 4 3" xfId="24991"/>
    <cellStyle name="Normal 58 3 2 7 5" xfId="10506"/>
    <cellStyle name="Normal 58 3 2 7 5 2" xfId="19333"/>
    <cellStyle name="Normal 58 3 2 7 5 3" xfId="29584"/>
    <cellStyle name="Normal 58 3 2 7 6" xfId="11952"/>
    <cellStyle name="Normal 58 3 2 7 6 2" xfId="24342"/>
    <cellStyle name="Normal 58 3 2 7 7" xfId="5250"/>
    <cellStyle name="Normal 58 3 2 7 8" xfId="19984"/>
    <cellStyle name="Normal 58 3 2 8" xfId="1925"/>
    <cellStyle name="Normal 58 3 2 8 2" xfId="15833"/>
    <cellStyle name="Normal 58 3 2 8 2 2" xfId="25874"/>
    <cellStyle name="Normal 58 3 2 8 3" xfId="12451"/>
    <cellStyle name="Normal 58 3 2 8 4" xfId="6787"/>
    <cellStyle name="Normal 58 3 2 8 5" xfId="20867"/>
    <cellStyle name="Normal 58 3 2 9" xfId="3355"/>
    <cellStyle name="Normal 58 3 2 9 2" xfId="16843"/>
    <cellStyle name="Normal 58 3 2 9 2 2" xfId="27094"/>
    <cellStyle name="Normal 58 3 2 9 3" xfId="13264"/>
    <cellStyle name="Normal 58 3 2 9 4" xfId="8007"/>
    <cellStyle name="Normal 58 3 2 9 5" xfId="22087"/>
    <cellStyle name="Normal 58 3 2_Degree data" xfId="1723"/>
    <cellStyle name="Normal 58 3 3" xfId="281"/>
    <cellStyle name="Normal 58 3 3 10" xfId="11007"/>
    <cellStyle name="Normal 58 3 3 10 2" xfId="23516"/>
    <cellStyle name="Normal 58 3 3 11" xfId="4424"/>
    <cellStyle name="Normal 58 3 3 12" xfId="19753"/>
    <cellStyle name="Normal 58 3 3 2" xfId="383"/>
    <cellStyle name="Normal 58 3 3 2 10" xfId="19853"/>
    <cellStyle name="Normal 58 3 3 2 2" xfId="753"/>
    <cellStyle name="Normal 58 3 3 2 2 2" xfId="2485"/>
    <cellStyle name="Normal 58 3 3 2 2 2 2" xfId="16380"/>
    <cellStyle name="Normal 58 3 3 2 2 2 2 2" xfId="26599"/>
    <cellStyle name="Normal 58 3 3 2 2 2 3" xfId="12802"/>
    <cellStyle name="Normal 58 3 3 2 2 2 4" xfId="7512"/>
    <cellStyle name="Normal 58 3 3 2 2 2 5" xfId="21592"/>
    <cellStyle name="Normal 58 3 3 2 2 3" xfId="3758"/>
    <cellStyle name="Normal 58 3 3 2 2 3 2" xfId="17405"/>
    <cellStyle name="Normal 58 3 3 2 2 3 2 2" xfId="27656"/>
    <cellStyle name="Normal 58 3 3 2 2 3 3" xfId="13826"/>
    <cellStyle name="Normal 58 3 3 2 2 3 4" xfId="8569"/>
    <cellStyle name="Normal 58 3 3 2 2 3 5" xfId="22649"/>
    <cellStyle name="Normal 58 3 3 2 2 4" xfId="6628"/>
    <cellStyle name="Normal 58 3 3 2 2 4 2" xfId="15712"/>
    <cellStyle name="Normal 58 3 3 2 2 4 3" xfId="25716"/>
    <cellStyle name="Normal 58 3 3 2 2 5" xfId="10023"/>
    <cellStyle name="Normal 58 3 3 2 2 5 2" xfId="18850"/>
    <cellStyle name="Normal 58 3 3 2 2 5 3" xfId="29101"/>
    <cellStyle name="Normal 58 3 3 2 2 6" xfId="11468"/>
    <cellStyle name="Normal 58 3 3 2 2 6 2" xfId="24198"/>
    <cellStyle name="Normal 58 3 3 2 2 7" xfId="5106"/>
    <cellStyle name="Normal 58 3 3 2 2 8" xfId="20709"/>
    <cellStyle name="Normal 58 3 3 2 3" xfId="1111"/>
    <cellStyle name="Normal 58 3 3 2 3 2" xfId="2833"/>
    <cellStyle name="Normal 58 3 3 2 3 2 2" xfId="16724"/>
    <cellStyle name="Normal 58 3 3 2 3 2 2 2" xfId="26943"/>
    <cellStyle name="Normal 58 3 3 2 3 2 3" xfId="13145"/>
    <cellStyle name="Normal 58 3 3 2 3 2 4" xfId="7856"/>
    <cellStyle name="Normal 58 3 3 2 3 2 5" xfId="21936"/>
    <cellStyle name="Normal 58 3 3 2 3 3" xfId="4107"/>
    <cellStyle name="Normal 58 3 3 2 3 3 2" xfId="17753"/>
    <cellStyle name="Normal 58 3 3 2 3 3 2 2" xfId="28004"/>
    <cellStyle name="Normal 58 3 3 2 3 3 3" xfId="14174"/>
    <cellStyle name="Normal 58 3 3 2 3 3 4" xfId="8917"/>
    <cellStyle name="Normal 58 3 3 2 3 3 5" xfId="22997"/>
    <cellStyle name="Normal 58 3 3 2 3 4" xfId="6263"/>
    <cellStyle name="Normal 58 3 3 2 3 4 2" xfId="15347"/>
    <cellStyle name="Normal 58 3 3 2 3 4 3" xfId="25351"/>
    <cellStyle name="Normal 58 3 3 2 3 5" xfId="10371"/>
    <cellStyle name="Normal 58 3 3 2 3 5 2" xfId="19198"/>
    <cellStyle name="Normal 58 3 3 2 3 5 3" xfId="29449"/>
    <cellStyle name="Normal 58 3 3 2 3 6" xfId="11817"/>
    <cellStyle name="Normal 58 3 3 2 3 6 2" xfId="24542"/>
    <cellStyle name="Normal 58 3 3 2 3 7" xfId="5450"/>
    <cellStyle name="Normal 58 3 3 2 3 8" xfId="20344"/>
    <cellStyle name="Normal 58 3 3 2 4" xfId="1570"/>
    <cellStyle name="Normal 58 3 3 2 4 2" xfId="3168"/>
    <cellStyle name="Normal 58 3 3 2 4 2 2" xfId="18088"/>
    <cellStyle name="Normal 58 3 3 2 4 2 2 2" xfId="28339"/>
    <cellStyle name="Normal 58 3 3 2 4 2 3" xfId="14509"/>
    <cellStyle name="Normal 58 3 3 2 4 2 4" xfId="9252"/>
    <cellStyle name="Normal 58 3 3 2 4 2 5" xfId="23332"/>
    <cellStyle name="Normal 58 3 3 2 4 3" xfId="10706"/>
    <cellStyle name="Normal 58 3 3 2 4 3 2" xfId="19533"/>
    <cellStyle name="Normal 58 3 3 2 4 3 3" xfId="29784"/>
    <cellStyle name="Normal 58 3 3 2 4 4" xfId="12152"/>
    <cellStyle name="Normal 58 3 3 2 4 4 2" xfId="26234"/>
    <cellStyle name="Normal 58 3 3 2 4 5" xfId="7147"/>
    <cellStyle name="Normal 58 3 3 2 4 6" xfId="21227"/>
    <cellStyle name="Normal 58 3 3 2 5" xfId="2125"/>
    <cellStyle name="Normal 58 3 3 2 5 2" xfId="17045"/>
    <cellStyle name="Normal 58 3 3 2 5 2 2" xfId="27296"/>
    <cellStyle name="Normal 58 3 3 2 5 3" xfId="13466"/>
    <cellStyle name="Normal 58 3 3 2 5 4" xfId="8209"/>
    <cellStyle name="Normal 58 3 3 2 5 5" xfId="22289"/>
    <cellStyle name="Normal 58 3 3 2 6" xfId="5770"/>
    <cellStyle name="Normal 58 3 3 2 6 2" xfId="14856"/>
    <cellStyle name="Normal 58 3 3 2 6 3" xfId="24860"/>
    <cellStyle name="Normal 58 3 3 2 7" xfId="9663"/>
    <cellStyle name="Normal 58 3 3 2 7 2" xfId="18490"/>
    <cellStyle name="Normal 58 3 3 2 7 3" xfId="28741"/>
    <cellStyle name="Normal 58 3 3 2 8" xfId="11107"/>
    <cellStyle name="Normal 58 3 3 2 8 2" xfId="23833"/>
    <cellStyle name="Normal 58 3 3 2 9" xfId="4741"/>
    <cellStyle name="Normal 58 3 3 2_Degree data" xfId="1729"/>
    <cellStyle name="Normal 58 3 3 3" xfId="752"/>
    <cellStyle name="Normal 58 3 3 3 2" xfId="2484"/>
    <cellStyle name="Normal 58 3 3 3 2 2" xfId="16061"/>
    <cellStyle name="Normal 58 3 3 3 2 2 2" xfId="26134"/>
    <cellStyle name="Normal 58 3 3 3 2 3" xfId="12281"/>
    <cellStyle name="Normal 58 3 3 3 2 4" xfId="7047"/>
    <cellStyle name="Normal 58 3 3 3 2 5" xfId="21127"/>
    <cellStyle name="Normal 58 3 3 3 3" xfId="3757"/>
    <cellStyle name="Normal 58 3 3 3 3 2" xfId="17404"/>
    <cellStyle name="Normal 58 3 3 3 3 2 2" xfId="27655"/>
    <cellStyle name="Normal 58 3 3 3 3 3" xfId="13825"/>
    <cellStyle name="Normal 58 3 3 3 3 4" xfId="8568"/>
    <cellStyle name="Normal 58 3 3 3 3 5" xfId="22648"/>
    <cellStyle name="Normal 58 3 3 3 4" xfId="6163"/>
    <cellStyle name="Normal 58 3 3 3 4 2" xfId="15247"/>
    <cellStyle name="Normal 58 3 3 3 4 3" xfId="25251"/>
    <cellStyle name="Normal 58 3 3 3 5" xfId="10022"/>
    <cellStyle name="Normal 58 3 3 3 5 2" xfId="18849"/>
    <cellStyle name="Normal 58 3 3 3 5 3" xfId="29100"/>
    <cellStyle name="Normal 58 3 3 3 6" xfId="11467"/>
    <cellStyle name="Normal 58 3 3 3 6 2" xfId="23733"/>
    <cellStyle name="Normal 58 3 3 3 7" xfId="4641"/>
    <cellStyle name="Normal 58 3 3 3 8" xfId="20244"/>
    <cellStyle name="Normal 58 3 3 4" xfId="1110"/>
    <cellStyle name="Normal 58 3 3 4 2" xfId="2832"/>
    <cellStyle name="Normal 58 3 3 4 2 2" xfId="16379"/>
    <cellStyle name="Normal 58 3 3 4 2 2 2" xfId="26598"/>
    <cellStyle name="Normal 58 3 3 4 2 3" xfId="12801"/>
    <cellStyle name="Normal 58 3 3 4 2 4" xfId="7511"/>
    <cellStyle name="Normal 58 3 3 4 2 5" xfId="21591"/>
    <cellStyle name="Normal 58 3 3 4 3" xfId="4106"/>
    <cellStyle name="Normal 58 3 3 4 3 2" xfId="17752"/>
    <cellStyle name="Normal 58 3 3 4 3 2 2" xfId="28003"/>
    <cellStyle name="Normal 58 3 3 4 3 3" xfId="14173"/>
    <cellStyle name="Normal 58 3 3 4 3 4" xfId="8916"/>
    <cellStyle name="Normal 58 3 3 4 3 5" xfId="22996"/>
    <cellStyle name="Normal 58 3 3 4 4" xfId="6627"/>
    <cellStyle name="Normal 58 3 3 4 4 2" xfId="15711"/>
    <cellStyle name="Normal 58 3 3 4 4 3" xfId="25715"/>
    <cellStyle name="Normal 58 3 3 4 5" xfId="10370"/>
    <cellStyle name="Normal 58 3 3 4 5 2" xfId="19197"/>
    <cellStyle name="Normal 58 3 3 4 5 3" xfId="29448"/>
    <cellStyle name="Normal 58 3 3 4 6" xfId="11816"/>
    <cellStyle name="Normal 58 3 3 4 6 2" xfId="24197"/>
    <cellStyle name="Normal 58 3 3 4 7" xfId="5105"/>
    <cellStyle name="Normal 58 3 3 4 8" xfId="20708"/>
    <cellStyle name="Normal 58 3 3 5" xfId="1468"/>
    <cellStyle name="Normal 58 3 3 5 2" xfId="3068"/>
    <cellStyle name="Normal 58 3 3 5 2 2" xfId="16624"/>
    <cellStyle name="Normal 58 3 3 5 2 2 2" xfId="26843"/>
    <cellStyle name="Normal 58 3 3 5 2 3" xfId="13045"/>
    <cellStyle name="Normal 58 3 3 5 2 4" xfId="7756"/>
    <cellStyle name="Normal 58 3 3 5 2 5" xfId="21836"/>
    <cellStyle name="Normal 58 3 3 5 3" xfId="4282"/>
    <cellStyle name="Normal 58 3 3 5 3 2" xfId="17988"/>
    <cellStyle name="Normal 58 3 3 5 3 2 2" xfId="28239"/>
    <cellStyle name="Normal 58 3 3 5 3 3" xfId="14409"/>
    <cellStyle name="Normal 58 3 3 5 3 4" xfId="9152"/>
    <cellStyle name="Normal 58 3 3 5 3 5" xfId="23232"/>
    <cellStyle name="Normal 58 3 3 5 4" xfId="5944"/>
    <cellStyle name="Normal 58 3 3 5 4 2" xfId="15030"/>
    <cellStyle name="Normal 58 3 3 5 4 3" xfId="25034"/>
    <cellStyle name="Normal 58 3 3 5 5" xfId="10606"/>
    <cellStyle name="Normal 58 3 3 5 5 2" xfId="19433"/>
    <cellStyle name="Normal 58 3 3 5 5 3" xfId="29684"/>
    <cellStyle name="Normal 58 3 3 5 6" xfId="12052"/>
    <cellStyle name="Normal 58 3 3 5 6 2" xfId="24442"/>
    <cellStyle name="Normal 58 3 3 5 7" xfId="5350"/>
    <cellStyle name="Normal 58 3 3 5 8" xfId="20027"/>
    <cellStyle name="Normal 58 3 3 6" xfId="2025"/>
    <cellStyle name="Normal 58 3 3 6 2" xfId="15873"/>
    <cellStyle name="Normal 58 3 3 6 2 2" xfId="25917"/>
    <cellStyle name="Normal 58 3 3 6 3" xfId="12433"/>
    <cellStyle name="Normal 58 3 3 6 4" xfId="6830"/>
    <cellStyle name="Normal 58 3 3 6 5" xfId="20910"/>
    <cellStyle name="Normal 58 3 3 7" xfId="3444"/>
    <cellStyle name="Normal 58 3 3 7 2" xfId="16945"/>
    <cellStyle name="Normal 58 3 3 7 2 2" xfId="27196"/>
    <cellStyle name="Normal 58 3 3 7 3" xfId="13366"/>
    <cellStyle name="Normal 58 3 3 7 4" xfId="8109"/>
    <cellStyle name="Normal 58 3 3 7 5" xfId="22189"/>
    <cellStyle name="Normal 58 3 3 8" xfId="5670"/>
    <cellStyle name="Normal 58 3 3 8 2" xfId="14756"/>
    <cellStyle name="Normal 58 3 3 8 3" xfId="24760"/>
    <cellStyle name="Normal 58 3 3 9" xfId="9563"/>
    <cellStyle name="Normal 58 3 3 9 2" xfId="18390"/>
    <cellStyle name="Normal 58 3 3 9 3" xfId="28641"/>
    <cellStyle name="Normal 58 3 3_Degree data" xfId="1728"/>
    <cellStyle name="Normal 58 3 4" xfId="202"/>
    <cellStyle name="Normal 58 3 4 10" xfId="10934"/>
    <cellStyle name="Normal 58 3 4 10 2" xfId="23548"/>
    <cellStyle name="Normal 58 3 4 11" xfId="4456"/>
    <cellStyle name="Normal 58 3 4 12" xfId="19680"/>
    <cellStyle name="Normal 58 3 4 2" xfId="416"/>
    <cellStyle name="Normal 58 3 4 2 10" xfId="19885"/>
    <cellStyle name="Normal 58 3 4 2 2" xfId="755"/>
    <cellStyle name="Normal 58 3 4 2 2 2" xfId="2487"/>
    <cellStyle name="Normal 58 3 4 2 2 2 2" xfId="16382"/>
    <cellStyle name="Normal 58 3 4 2 2 2 2 2" xfId="26601"/>
    <cellStyle name="Normal 58 3 4 2 2 2 3" xfId="12804"/>
    <cellStyle name="Normal 58 3 4 2 2 2 4" xfId="7514"/>
    <cellStyle name="Normal 58 3 4 2 2 2 5" xfId="21594"/>
    <cellStyle name="Normal 58 3 4 2 2 3" xfId="3760"/>
    <cellStyle name="Normal 58 3 4 2 2 3 2" xfId="17407"/>
    <cellStyle name="Normal 58 3 4 2 2 3 2 2" xfId="27658"/>
    <cellStyle name="Normal 58 3 4 2 2 3 3" xfId="13828"/>
    <cellStyle name="Normal 58 3 4 2 2 3 4" xfId="8571"/>
    <cellStyle name="Normal 58 3 4 2 2 3 5" xfId="22651"/>
    <cellStyle name="Normal 58 3 4 2 2 4" xfId="6630"/>
    <cellStyle name="Normal 58 3 4 2 2 4 2" xfId="15714"/>
    <cellStyle name="Normal 58 3 4 2 2 4 3" xfId="25718"/>
    <cellStyle name="Normal 58 3 4 2 2 5" xfId="10025"/>
    <cellStyle name="Normal 58 3 4 2 2 5 2" xfId="18852"/>
    <cellStyle name="Normal 58 3 4 2 2 5 3" xfId="29103"/>
    <cellStyle name="Normal 58 3 4 2 2 6" xfId="11470"/>
    <cellStyle name="Normal 58 3 4 2 2 6 2" xfId="24200"/>
    <cellStyle name="Normal 58 3 4 2 2 7" xfId="5108"/>
    <cellStyle name="Normal 58 3 4 2 2 8" xfId="20711"/>
    <cellStyle name="Normal 58 3 4 2 3" xfId="1113"/>
    <cellStyle name="Normal 58 3 4 2 3 2" xfId="2835"/>
    <cellStyle name="Normal 58 3 4 2 3 2 2" xfId="16756"/>
    <cellStyle name="Normal 58 3 4 2 3 2 2 2" xfId="26975"/>
    <cellStyle name="Normal 58 3 4 2 3 2 3" xfId="13177"/>
    <cellStyle name="Normal 58 3 4 2 3 2 4" xfId="7888"/>
    <cellStyle name="Normal 58 3 4 2 3 2 5" xfId="21968"/>
    <cellStyle name="Normal 58 3 4 2 3 3" xfId="4109"/>
    <cellStyle name="Normal 58 3 4 2 3 3 2" xfId="17755"/>
    <cellStyle name="Normal 58 3 4 2 3 3 2 2" xfId="28006"/>
    <cellStyle name="Normal 58 3 4 2 3 3 3" xfId="14176"/>
    <cellStyle name="Normal 58 3 4 2 3 3 4" xfId="8919"/>
    <cellStyle name="Normal 58 3 4 2 3 3 5" xfId="22999"/>
    <cellStyle name="Normal 58 3 4 2 3 4" xfId="6295"/>
    <cellStyle name="Normal 58 3 4 2 3 4 2" xfId="15379"/>
    <cellStyle name="Normal 58 3 4 2 3 4 3" xfId="25383"/>
    <cellStyle name="Normal 58 3 4 2 3 5" xfId="10373"/>
    <cellStyle name="Normal 58 3 4 2 3 5 2" xfId="19200"/>
    <cellStyle name="Normal 58 3 4 2 3 5 3" xfId="29451"/>
    <cellStyle name="Normal 58 3 4 2 3 6" xfId="11819"/>
    <cellStyle name="Normal 58 3 4 2 3 6 2" xfId="24574"/>
    <cellStyle name="Normal 58 3 4 2 3 7" xfId="5482"/>
    <cellStyle name="Normal 58 3 4 2 3 8" xfId="20376"/>
    <cellStyle name="Normal 58 3 4 2 4" xfId="1603"/>
    <cellStyle name="Normal 58 3 4 2 4 2" xfId="3200"/>
    <cellStyle name="Normal 58 3 4 2 4 2 2" xfId="18120"/>
    <cellStyle name="Normal 58 3 4 2 4 2 2 2" xfId="28371"/>
    <cellStyle name="Normal 58 3 4 2 4 2 3" xfId="14541"/>
    <cellStyle name="Normal 58 3 4 2 4 2 4" xfId="9284"/>
    <cellStyle name="Normal 58 3 4 2 4 2 5" xfId="23364"/>
    <cellStyle name="Normal 58 3 4 2 4 3" xfId="10738"/>
    <cellStyle name="Normal 58 3 4 2 4 3 2" xfId="19565"/>
    <cellStyle name="Normal 58 3 4 2 4 3 3" xfId="29816"/>
    <cellStyle name="Normal 58 3 4 2 4 4" xfId="12184"/>
    <cellStyle name="Normal 58 3 4 2 4 4 2" xfId="26266"/>
    <cellStyle name="Normal 58 3 4 2 4 5" xfId="7179"/>
    <cellStyle name="Normal 58 3 4 2 4 6" xfId="21259"/>
    <cellStyle name="Normal 58 3 4 2 5" xfId="2157"/>
    <cellStyle name="Normal 58 3 4 2 5 2" xfId="17077"/>
    <cellStyle name="Normal 58 3 4 2 5 2 2" xfId="27328"/>
    <cellStyle name="Normal 58 3 4 2 5 3" xfId="13498"/>
    <cellStyle name="Normal 58 3 4 2 5 4" xfId="8241"/>
    <cellStyle name="Normal 58 3 4 2 5 5" xfId="22321"/>
    <cellStyle name="Normal 58 3 4 2 6" xfId="5802"/>
    <cellStyle name="Normal 58 3 4 2 6 2" xfId="14888"/>
    <cellStyle name="Normal 58 3 4 2 6 3" xfId="24892"/>
    <cellStyle name="Normal 58 3 4 2 7" xfId="9695"/>
    <cellStyle name="Normal 58 3 4 2 7 2" xfId="18522"/>
    <cellStyle name="Normal 58 3 4 2 7 3" xfId="28773"/>
    <cellStyle name="Normal 58 3 4 2 8" xfId="11139"/>
    <cellStyle name="Normal 58 3 4 2 8 2" xfId="23865"/>
    <cellStyle name="Normal 58 3 4 2 9" xfId="4773"/>
    <cellStyle name="Normal 58 3 4 2_Degree data" xfId="1731"/>
    <cellStyle name="Normal 58 3 4 3" xfId="754"/>
    <cellStyle name="Normal 58 3 4 3 2" xfId="2486"/>
    <cellStyle name="Normal 58 3 4 3 2 2" xfId="15988"/>
    <cellStyle name="Normal 58 3 4 3 2 2 2" xfId="26061"/>
    <cellStyle name="Normal 58 3 4 3 2 3" xfId="12387"/>
    <cellStyle name="Normal 58 3 4 3 2 4" xfId="6974"/>
    <cellStyle name="Normal 58 3 4 3 2 5" xfId="21054"/>
    <cellStyle name="Normal 58 3 4 3 3" xfId="3759"/>
    <cellStyle name="Normal 58 3 4 3 3 2" xfId="17406"/>
    <cellStyle name="Normal 58 3 4 3 3 2 2" xfId="27657"/>
    <cellStyle name="Normal 58 3 4 3 3 3" xfId="13827"/>
    <cellStyle name="Normal 58 3 4 3 3 4" xfId="8570"/>
    <cellStyle name="Normal 58 3 4 3 3 5" xfId="22650"/>
    <cellStyle name="Normal 58 3 4 3 4" xfId="6090"/>
    <cellStyle name="Normal 58 3 4 3 4 2" xfId="15174"/>
    <cellStyle name="Normal 58 3 4 3 4 3" xfId="25178"/>
    <cellStyle name="Normal 58 3 4 3 5" xfId="10024"/>
    <cellStyle name="Normal 58 3 4 3 5 2" xfId="18851"/>
    <cellStyle name="Normal 58 3 4 3 5 3" xfId="29102"/>
    <cellStyle name="Normal 58 3 4 3 6" xfId="11469"/>
    <cellStyle name="Normal 58 3 4 3 6 2" xfId="23660"/>
    <cellStyle name="Normal 58 3 4 3 7" xfId="4568"/>
    <cellStyle name="Normal 58 3 4 3 8" xfId="20171"/>
    <cellStyle name="Normal 58 3 4 4" xfId="1112"/>
    <cellStyle name="Normal 58 3 4 4 2" xfId="2834"/>
    <cellStyle name="Normal 58 3 4 4 2 2" xfId="16381"/>
    <cellStyle name="Normal 58 3 4 4 2 2 2" xfId="26600"/>
    <cellStyle name="Normal 58 3 4 4 2 3" xfId="12803"/>
    <cellStyle name="Normal 58 3 4 4 2 4" xfId="7513"/>
    <cellStyle name="Normal 58 3 4 4 2 5" xfId="21593"/>
    <cellStyle name="Normal 58 3 4 4 3" xfId="4108"/>
    <cellStyle name="Normal 58 3 4 4 3 2" xfId="17754"/>
    <cellStyle name="Normal 58 3 4 4 3 2 2" xfId="28005"/>
    <cellStyle name="Normal 58 3 4 4 3 3" xfId="14175"/>
    <cellStyle name="Normal 58 3 4 4 3 4" xfId="8918"/>
    <cellStyle name="Normal 58 3 4 4 3 5" xfId="22998"/>
    <cellStyle name="Normal 58 3 4 4 4" xfId="6629"/>
    <cellStyle name="Normal 58 3 4 4 4 2" xfId="15713"/>
    <cellStyle name="Normal 58 3 4 4 4 3" xfId="25717"/>
    <cellStyle name="Normal 58 3 4 4 5" xfId="10372"/>
    <cellStyle name="Normal 58 3 4 4 5 2" xfId="19199"/>
    <cellStyle name="Normal 58 3 4 4 5 3" xfId="29450"/>
    <cellStyle name="Normal 58 3 4 4 6" xfId="11818"/>
    <cellStyle name="Normal 58 3 4 4 6 2" xfId="24199"/>
    <cellStyle name="Normal 58 3 4 4 7" xfId="5107"/>
    <cellStyle name="Normal 58 3 4 4 8" xfId="20710"/>
    <cellStyle name="Normal 58 3 4 5" xfId="1389"/>
    <cellStyle name="Normal 58 3 4 5 2" xfId="2995"/>
    <cellStyle name="Normal 58 3 4 5 2 2" xfId="16551"/>
    <cellStyle name="Normal 58 3 4 5 2 2 2" xfId="26770"/>
    <cellStyle name="Normal 58 3 4 5 2 3" xfId="12972"/>
    <cellStyle name="Normal 58 3 4 5 2 4" xfId="7683"/>
    <cellStyle name="Normal 58 3 4 5 2 5" xfId="21763"/>
    <cellStyle name="Normal 58 3 4 5 3" xfId="4209"/>
    <cellStyle name="Normal 58 3 4 5 3 2" xfId="17915"/>
    <cellStyle name="Normal 58 3 4 5 3 2 2" xfId="28166"/>
    <cellStyle name="Normal 58 3 4 5 3 3" xfId="14336"/>
    <cellStyle name="Normal 58 3 4 5 3 4" xfId="9079"/>
    <cellStyle name="Normal 58 3 4 5 3 5" xfId="23159"/>
    <cellStyle name="Normal 58 3 4 5 4" xfId="5976"/>
    <cellStyle name="Normal 58 3 4 5 4 2" xfId="15062"/>
    <cellStyle name="Normal 58 3 4 5 4 3" xfId="25066"/>
    <cellStyle name="Normal 58 3 4 5 5" xfId="10533"/>
    <cellStyle name="Normal 58 3 4 5 5 2" xfId="19360"/>
    <cellStyle name="Normal 58 3 4 5 5 3" xfId="29611"/>
    <cellStyle name="Normal 58 3 4 5 6" xfId="11979"/>
    <cellStyle name="Normal 58 3 4 5 6 2" xfId="24369"/>
    <cellStyle name="Normal 58 3 4 5 7" xfId="5277"/>
    <cellStyle name="Normal 58 3 4 5 8" xfId="20059"/>
    <cellStyle name="Normal 58 3 4 6" xfId="1952"/>
    <cellStyle name="Normal 58 3 4 6 2" xfId="15905"/>
    <cellStyle name="Normal 58 3 4 6 2 2" xfId="25949"/>
    <cellStyle name="Normal 58 3 4 6 3" xfId="12345"/>
    <cellStyle name="Normal 58 3 4 6 4" xfId="6862"/>
    <cellStyle name="Normal 58 3 4 6 5" xfId="20942"/>
    <cellStyle name="Normal 58 3 4 7" xfId="3372"/>
    <cellStyle name="Normal 58 3 4 7 2" xfId="16872"/>
    <cellStyle name="Normal 58 3 4 7 2 2" xfId="27123"/>
    <cellStyle name="Normal 58 3 4 7 3" xfId="13293"/>
    <cellStyle name="Normal 58 3 4 7 4" xfId="8036"/>
    <cellStyle name="Normal 58 3 4 7 5" xfId="22116"/>
    <cellStyle name="Normal 58 3 4 8" xfId="5597"/>
    <cellStyle name="Normal 58 3 4 8 2" xfId="14683"/>
    <cellStyle name="Normal 58 3 4 8 3" xfId="24687"/>
    <cellStyle name="Normal 58 3 4 9" xfId="9490"/>
    <cellStyle name="Normal 58 3 4 9 2" xfId="18317"/>
    <cellStyle name="Normal 58 3 4 9 3" xfId="28568"/>
    <cellStyle name="Normal 58 3 4_Degree data" xfId="1730"/>
    <cellStyle name="Normal 58 3 5" xfId="308"/>
    <cellStyle name="Normal 58 3 5 10" xfId="19780"/>
    <cellStyle name="Normal 58 3 5 2" xfId="756"/>
    <cellStyle name="Normal 58 3 5 2 2" xfId="2488"/>
    <cellStyle name="Normal 58 3 5 2 2 2" xfId="16383"/>
    <cellStyle name="Normal 58 3 5 2 2 2 2" xfId="26602"/>
    <cellStyle name="Normal 58 3 5 2 2 3" xfId="12805"/>
    <cellStyle name="Normal 58 3 5 2 2 4" xfId="7515"/>
    <cellStyle name="Normal 58 3 5 2 2 5" xfId="21595"/>
    <cellStyle name="Normal 58 3 5 2 3" xfId="3761"/>
    <cellStyle name="Normal 58 3 5 2 3 2" xfId="17408"/>
    <cellStyle name="Normal 58 3 5 2 3 2 2" xfId="27659"/>
    <cellStyle name="Normal 58 3 5 2 3 3" xfId="13829"/>
    <cellStyle name="Normal 58 3 5 2 3 4" xfId="8572"/>
    <cellStyle name="Normal 58 3 5 2 3 5" xfId="22652"/>
    <cellStyle name="Normal 58 3 5 2 4" xfId="6631"/>
    <cellStyle name="Normal 58 3 5 2 4 2" xfId="15715"/>
    <cellStyle name="Normal 58 3 5 2 4 3" xfId="25719"/>
    <cellStyle name="Normal 58 3 5 2 5" xfId="10026"/>
    <cellStyle name="Normal 58 3 5 2 5 2" xfId="18853"/>
    <cellStyle name="Normal 58 3 5 2 5 3" xfId="29104"/>
    <cellStyle name="Normal 58 3 5 2 6" xfId="11471"/>
    <cellStyle name="Normal 58 3 5 2 6 2" xfId="24201"/>
    <cellStyle name="Normal 58 3 5 2 7" xfId="5109"/>
    <cellStyle name="Normal 58 3 5 2 8" xfId="20712"/>
    <cellStyle name="Normal 58 3 5 3" xfId="1114"/>
    <cellStyle name="Normal 58 3 5 3 2" xfId="2836"/>
    <cellStyle name="Normal 58 3 5 3 2 2" xfId="16651"/>
    <cellStyle name="Normal 58 3 5 3 2 2 2" xfId="26870"/>
    <cellStyle name="Normal 58 3 5 3 2 3" xfId="13072"/>
    <cellStyle name="Normal 58 3 5 3 2 4" xfId="7783"/>
    <cellStyle name="Normal 58 3 5 3 2 5" xfId="21863"/>
    <cellStyle name="Normal 58 3 5 3 3" xfId="4110"/>
    <cellStyle name="Normal 58 3 5 3 3 2" xfId="17756"/>
    <cellStyle name="Normal 58 3 5 3 3 2 2" xfId="28007"/>
    <cellStyle name="Normal 58 3 5 3 3 3" xfId="14177"/>
    <cellStyle name="Normal 58 3 5 3 3 4" xfId="8920"/>
    <cellStyle name="Normal 58 3 5 3 3 5" xfId="23000"/>
    <cellStyle name="Normal 58 3 5 3 4" xfId="6190"/>
    <cellStyle name="Normal 58 3 5 3 4 2" xfId="15274"/>
    <cellStyle name="Normal 58 3 5 3 4 3" xfId="25278"/>
    <cellStyle name="Normal 58 3 5 3 5" xfId="10374"/>
    <cellStyle name="Normal 58 3 5 3 5 2" xfId="19201"/>
    <cellStyle name="Normal 58 3 5 3 5 3" xfId="29452"/>
    <cellStyle name="Normal 58 3 5 3 6" xfId="11820"/>
    <cellStyle name="Normal 58 3 5 3 6 2" xfId="24469"/>
    <cellStyle name="Normal 58 3 5 3 7" xfId="5377"/>
    <cellStyle name="Normal 58 3 5 3 8" xfId="20271"/>
    <cellStyle name="Normal 58 3 5 4" xfId="1495"/>
    <cellStyle name="Normal 58 3 5 4 2" xfId="3095"/>
    <cellStyle name="Normal 58 3 5 4 2 2" xfId="18015"/>
    <cellStyle name="Normal 58 3 5 4 2 2 2" xfId="28266"/>
    <cellStyle name="Normal 58 3 5 4 2 3" xfId="14436"/>
    <cellStyle name="Normal 58 3 5 4 2 4" xfId="9179"/>
    <cellStyle name="Normal 58 3 5 4 2 5" xfId="23259"/>
    <cellStyle name="Normal 58 3 5 4 3" xfId="10633"/>
    <cellStyle name="Normal 58 3 5 4 3 2" xfId="19460"/>
    <cellStyle name="Normal 58 3 5 4 3 3" xfId="29711"/>
    <cellStyle name="Normal 58 3 5 4 4" xfId="12079"/>
    <cellStyle name="Normal 58 3 5 4 4 2" xfId="26161"/>
    <cellStyle name="Normal 58 3 5 4 5" xfId="7074"/>
    <cellStyle name="Normal 58 3 5 4 6" xfId="21154"/>
    <cellStyle name="Normal 58 3 5 5" xfId="2052"/>
    <cellStyle name="Normal 58 3 5 5 2" xfId="16972"/>
    <cellStyle name="Normal 58 3 5 5 2 2" xfId="27223"/>
    <cellStyle name="Normal 58 3 5 5 3" xfId="13393"/>
    <cellStyle name="Normal 58 3 5 5 4" xfId="8136"/>
    <cellStyle name="Normal 58 3 5 5 5" xfId="22216"/>
    <cellStyle name="Normal 58 3 5 6" xfId="5697"/>
    <cellStyle name="Normal 58 3 5 6 2" xfId="14783"/>
    <cellStyle name="Normal 58 3 5 6 3" xfId="24787"/>
    <cellStyle name="Normal 58 3 5 7" xfId="9590"/>
    <cellStyle name="Normal 58 3 5 7 2" xfId="18417"/>
    <cellStyle name="Normal 58 3 5 7 3" xfId="28668"/>
    <cellStyle name="Normal 58 3 5 8" xfId="11034"/>
    <cellStyle name="Normal 58 3 5 8 2" xfId="23760"/>
    <cellStyle name="Normal 58 3 5 9" xfId="4668"/>
    <cellStyle name="Normal 58 3 5_Degree data" xfId="1732"/>
    <cellStyle name="Normal 58 3 6" xfId="142"/>
    <cellStyle name="Normal 58 3 6 10" xfId="20119"/>
    <cellStyle name="Normal 58 3 6 2" xfId="757"/>
    <cellStyle name="Normal 58 3 6 2 2" xfId="2489"/>
    <cellStyle name="Normal 58 3 6 2 2 2" xfId="16384"/>
    <cellStyle name="Normal 58 3 6 2 2 2 2" xfId="26603"/>
    <cellStyle name="Normal 58 3 6 2 2 3" xfId="12806"/>
    <cellStyle name="Normal 58 3 6 2 2 4" xfId="7516"/>
    <cellStyle name="Normal 58 3 6 2 2 5" xfId="21596"/>
    <cellStyle name="Normal 58 3 6 2 3" xfId="3762"/>
    <cellStyle name="Normal 58 3 6 2 3 2" xfId="17409"/>
    <cellStyle name="Normal 58 3 6 2 3 2 2" xfId="27660"/>
    <cellStyle name="Normal 58 3 6 2 3 3" xfId="13830"/>
    <cellStyle name="Normal 58 3 6 2 3 4" xfId="8573"/>
    <cellStyle name="Normal 58 3 6 2 3 5" xfId="22653"/>
    <cellStyle name="Normal 58 3 6 2 4" xfId="6632"/>
    <cellStyle name="Normal 58 3 6 2 4 2" xfId="15716"/>
    <cellStyle name="Normal 58 3 6 2 4 3" xfId="25720"/>
    <cellStyle name="Normal 58 3 6 2 5" xfId="10027"/>
    <cellStyle name="Normal 58 3 6 2 5 2" xfId="18854"/>
    <cellStyle name="Normal 58 3 6 2 5 3" xfId="29105"/>
    <cellStyle name="Normal 58 3 6 2 6" xfId="11472"/>
    <cellStyle name="Normal 58 3 6 2 6 2" xfId="24202"/>
    <cellStyle name="Normal 58 3 6 2 7" xfId="5110"/>
    <cellStyle name="Normal 58 3 6 2 8" xfId="20713"/>
    <cellStyle name="Normal 58 3 6 3" xfId="1115"/>
    <cellStyle name="Normal 58 3 6 3 2" xfId="2837"/>
    <cellStyle name="Normal 58 3 6 3 2 2" xfId="16499"/>
    <cellStyle name="Normal 58 3 6 3 2 2 2" xfId="26718"/>
    <cellStyle name="Normal 58 3 6 3 2 3" xfId="12921"/>
    <cellStyle name="Normal 58 3 6 3 2 4" xfId="7631"/>
    <cellStyle name="Normal 58 3 6 3 2 5" xfId="21711"/>
    <cellStyle name="Normal 58 3 6 3 3" xfId="4111"/>
    <cellStyle name="Normal 58 3 6 3 3 2" xfId="17757"/>
    <cellStyle name="Normal 58 3 6 3 3 2 2" xfId="28008"/>
    <cellStyle name="Normal 58 3 6 3 3 3" xfId="14178"/>
    <cellStyle name="Normal 58 3 6 3 3 4" xfId="8921"/>
    <cellStyle name="Normal 58 3 6 3 3 5" xfId="23001"/>
    <cellStyle name="Normal 58 3 6 3 4" xfId="6736"/>
    <cellStyle name="Normal 58 3 6 3 4 2" xfId="15819"/>
    <cellStyle name="Normal 58 3 6 3 4 3" xfId="25823"/>
    <cellStyle name="Normal 58 3 6 3 5" xfId="10375"/>
    <cellStyle name="Normal 58 3 6 3 5 2" xfId="19202"/>
    <cellStyle name="Normal 58 3 6 3 5 3" xfId="29453"/>
    <cellStyle name="Normal 58 3 6 3 6" xfId="11821"/>
    <cellStyle name="Normal 58 3 6 3 6 2" xfId="24317"/>
    <cellStyle name="Normal 58 3 6 3 7" xfId="5225"/>
    <cellStyle name="Normal 58 3 6 3 8" xfId="20816"/>
    <cellStyle name="Normal 58 3 6 4" xfId="1329"/>
    <cellStyle name="Normal 58 3 6 4 2" xfId="2943"/>
    <cellStyle name="Normal 58 3 6 4 2 2" xfId="17863"/>
    <cellStyle name="Normal 58 3 6 4 2 2 2" xfId="28114"/>
    <cellStyle name="Normal 58 3 6 4 2 3" xfId="14284"/>
    <cellStyle name="Normal 58 3 6 4 2 4" xfId="9027"/>
    <cellStyle name="Normal 58 3 6 4 2 5" xfId="23107"/>
    <cellStyle name="Normal 58 3 6 4 3" xfId="10481"/>
    <cellStyle name="Normal 58 3 6 4 3 2" xfId="19308"/>
    <cellStyle name="Normal 58 3 6 4 3 3" xfId="29559"/>
    <cellStyle name="Normal 58 3 6 4 4" xfId="11927"/>
    <cellStyle name="Normal 58 3 6 4 4 2" xfId="26009"/>
    <cellStyle name="Normal 58 3 6 4 5" xfId="6922"/>
    <cellStyle name="Normal 58 3 6 4 6" xfId="21002"/>
    <cellStyle name="Normal 58 3 6 5" xfId="1900"/>
    <cellStyle name="Normal 58 3 6 5 2" xfId="16818"/>
    <cellStyle name="Normal 58 3 6 5 2 2" xfId="27069"/>
    <cellStyle name="Normal 58 3 6 5 3" xfId="13239"/>
    <cellStyle name="Normal 58 3 6 5 4" xfId="7982"/>
    <cellStyle name="Normal 58 3 6 5 5" xfId="22062"/>
    <cellStyle name="Normal 58 3 6 6" xfId="6038"/>
    <cellStyle name="Normal 58 3 6 6 2" xfId="15122"/>
    <cellStyle name="Normal 58 3 6 6 3" xfId="25126"/>
    <cellStyle name="Normal 58 3 6 7" xfId="9438"/>
    <cellStyle name="Normal 58 3 6 7 2" xfId="18265"/>
    <cellStyle name="Normal 58 3 6 7 3" xfId="28516"/>
    <cellStyle name="Normal 58 3 6 8" xfId="10882"/>
    <cellStyle name="Normal 58 3 6 8 2" xfId="23608"/>
    <cellStyle name="Normal 58 3 6 9" xfId="4516"/>
    <cellStyle name="Normal 58 3 6_Degree data" xfId="1733"/>
    <cellStyle name="Normal 58 3 7" xfId="746"/>
    <cellStyle name="Normal 58 3 7 2" xfId="2478"/>
    <cellStyle name="Normal 58 3 7 2 2" xfId="16373"/>
    <cellStyle name="Normal 58 3 7 2 2 2" xfId="26592"/>
    <cellStyle name="Normal 58 3 7 2 3" xfId="12795"/>
    <cellStyle name="Normal 58 3 7 2 4" xfId="7505"/>
    <cellStyle name="Normal 58 3 7 2 5" xfId="21585"/>
    <cellStyle name="Normal 58 3 7 3" xfId="3751"/>
    <cellStyle name="Normal 58 3 7 3 2" xfId="17398"/>
    <cellStyle name="Normal 58 3 7 3 2 2" xfId="27649"/>
    <cellStyle name="Normal 58 3 7 3 3" xfId="13819"/>
    <cellStyle name="Normal 58 3 7 3 4" xfId="8562"/>
    <cellStyle name="Normal 58 3 7 3 5" xfId="22642"/>
    <cellStyle name="Normal 58 3 7 4" xfId="6621"/>
    <cellStyle name="Normal 58 3 7 4 2" xfId="15705"/>
    <cellStyle name="Normal 58 3 7 4 3" xfId="25709"/>
    <cellStyle name="Normal 58 3 7 5" xfId="10016"/>
    <cellStyle name="Normal 58 3 7 5 2" xfId="18843"/>
    <cellStyle name="Normal 58 3 7 5 3" xfId="29094"/>
    <cellStyle name="Normal 58 3 7 6" xfId="11461"/>
    <cellStyle name="Normal 58 3 7 6 2" xfId="24191"/>
    <cellStyle name="Normal 58 3 7 7" xfId="5099"/>
    <cellStyle name="Normal 58 3 7 8" xfId="20702"/>
    <cellStyle name="Normal 58 3 8" xfId="1104"/>
    <cellStyle name="Normal 58 3 8 2" xfId="2826"/>
    <cellStyle name="Normal 58 3 8 2 2" xfId="16479"/>
    <cellStyle name="Normal 58 3 8 2 2 2" xfId="26698"/>
    <cellStyle name="Normal 58 3 8 2 3" xfId="12901"/>
    <cellStyle name="Normal 58 3 8 2 4" xfId="7611"/>
    <cellStyle name="Normal 58 3 8 2 5" xfId="21691"/>
    <cellStyle name="Normal 58 3 8 3" xfId="4100"/>
    <cellStyle name="Normal 58 3 8 3 2" xfId="17746"/>
    <cellStyle name="Normal 58 3 8 3 2 2" xfId="27997"/>
    <cellStyle name="Normal 58 3 8 3 3" xfId="14167"/>
    <cellStyle name="Normal 58 3 8 3 4" xfId="8910"/>
    <cellStyle name="Normal 58 3 8 3 5" xfId="22990"/>
    <cellStyle name="Normal 58 3 8 4" xfId="5870"/>
    <cellStyle name="Normal 58 3 8 4 2" xfId="14956"/>
    <cellStyle name="Normal 58 3 8 4 3" xfId="24960"/>
    <cellStyle name="Normal 58 3 8 5" xfId="10364"/>
    <cellStyle name="Normal 58 3 8 5 2" xfId="19191"/>
    <cellStyle name="Normal 58 3 8 5 3" xfId="29442"/>
    <cellStyle name="Normal 58 3 8 6" xfId="11810"/>
    <cellStyle name="Normal 58 3 8 6 2" xfId="24297"/>
    <cellStyle name="Normal 58 3 8 7" xfId="5205"/>
    <cellStyle name="Normal 58 3 8 8" xfId="19953"/>
    <cellStyle name="Normal 58 3 9" xfId="1307"/>
    <cellStyle name="Normal 58 3 9 2" xfId="2923"/>
    <cellStyle name="Normal 58 3 9 2 2" xfId="17843"/>
    <cellStyle name="Normal 58 3 9 2 2 2" xfId="28094"/>
    <cellStyle name="Normal 58 3 9 2 3" xfId="14264"/>
    <cellStyle name="Normal 58 3 9 2 4" xfId="9007"/>
    <cellStyle name="Normal 58 3 9 2 5" xfId="23087"/>
    <cellStyle name="Normal 58 3 9 3" xfId="10461"/>
    <cellStyle name="Normal 58 3 9 3 2" xfId="19288"/>
    <cellStyle name="Normal 58 3 9 3 3" xfId="29539"/>
    <cellStyle name="Normal 58 3 9 4" xfId="11907"/>
    <cellStyle name="Normal 58 3 9 4 2" xfId="25843"/>
    <cellStyle name="Normal 58 3 9 5" xfId="6756"/>
    <cellStyle name="Normal 58 3 9 6" xfId="20836"/>
    <cellStyle name="Normal 58 3_Degree data" xfId="1722"/>
    <cellStyle name="Normal 58 4" xfId="91"/>
    <cellStyle name="Normal 58 4 10" xfId="1875"/>
    <cellStyle name="Normal 58 4 10 2" xfId="9413"/>
    <cellStyle name="Normal 58 4 10 2 2" xfId="18240"/>
    <cellStyle name="Normal 58 4 10 2 3" xfId="28491"/>
    <cellStyle name="Normal 58 4 10 3" xfId="10857"/>
    <cellStyle name="Normal 58 4 10 3 2" xfId="27044"/>
    <cellStyle name="Normal 58 4 10 4" xfId="7957"/>
    <cellStyle name="Normal 58 4 10 5" xfId="22037"/>
    <cellStyle name="Normal 58 4 11" xfId="1842"/>
    <cellStyle name="Normal 58 4 11 2" xfId="14649"/>
    <cellStyle name="Normal 58 4 11 3" xfId="5563"/>
    <cellStyle name="Normal 58 4 11 4" xfId="24653"/>
    <cellStyle name="Normal 58 4 12" xfId="9383"/>
    <cellStyle name="Normal 58 4 12 2" xfId="18210"/>
    <cellStyle name="Normal 58 4 12 3" xfId="28461"/>
    <cellStyle name="Normal 58 4 13" xfId="10824"/>
    <cellStyle name="Normal 58 4 13 2" xfId="23454"/>
    <cellStyle name="Normal 58 4 14" xfId="4362"/>
    <cellStyle name="Normal 58 4 15" xfId="19646"/>
    <cellStyle name="Normal 58 4 2" xfId="230"/>
    <cellStyle name="Normal 58 4 2 10" xfId="9515"/>
    <cellStyle name="Normal 58 4 2 10 2" xfId="18342"/>
    <cellStyle name="Normal 58 4 2 10 3" xfId="28593"/>
    <cellStyle name="Normal 58 4 2 11" xfId="10959"/>
    <cellStyle name="Normal 58 4 2 11 2" xfId="23468"/>
    <cellStyle name="Normal 58 4 2 12" xfId="4376"/>
    <cellStyle name="Normal 58 4 2 13" xfId="19705"/>
    <cellStyle name="Normal 58 4 2 2" xfId="440"/>
    <cellStyle name="Normal 58 4 2 2 10" xfId="4480"/>
    <cellStyle name="Normal 58 4 2 2 11" xfId="19909"/>
    <cellStyle name="Normal 58 4 2 2 2" xfId="760"/>
    <cellStyle name="Normal 58 4 2 2 2 2" xfId="2492"/>
    <cellStyle name="Normal 58 4 2 2 2 2 2" xfId="16080"/>
    <cellStyle name="Normal 58 4 2 2 2 2 2 2" xfId="26290"/>
    <cellStyle name="Normal 58 4 2 2 2 2 3" xfId="12502"/>
    <cellStyle name="Normal 58 4 2 2 2 2 4" xfId="7203"/>
    <cellStyle name="Normal 58 4 2 2 2 2 5" xfId="21283"/>
    <cellStyle name="Normal 58 4 2 2 2 3" xfId="3765"/>
    <cellStyle name="Normal 58 4 2 2 2 3 2" xfId="17412"/>
    <cellStyle name="Normal 58 4 2 2 2 3 2 2" xfId="27663"/>
    <cellStyle name="Normal 58 4 2 2 2 3 3" xfId="13833"/>
    <cellStyle name="Normal 58 4 2 2 2 3 4" xfId="8576"/>
    <cellStyle name="Normal 58 4 2 2 2 3 5" xfId="22656"/>
    <cellStyle name="Normal 58 4 2 2 2 4" xfId="6319"/>
    <cellStyle name="Normal 58 4 2 2 2 4 2" xfId="15403"/>
    <cellStyle name="Normal 58 4 2 2 2 4 3" xfId="25407"/>
    <cellStyle name="Normal 58 4 2 2 2 5" xfId="10030"/>
    <cellStyle name="Normal 58 4 2 2 2 5 2" xfId="18857"/>
    <cellStyle name="Normal 58 4 2 2 2 5 3" xfId="29108"/>
    <cellStyle name="Normal 58 4 2 2 2 6" xfId="11475"/>
    <cellStyle name="Normal 58 4 2 2 2 6 2" xfId="23889"/>
    <cellStyle name="Normal 58 4 2 2 2 7" xfId="4797"/>
    <cellStyle name="Normal 58 4 2 2 2 8" xfId="20400"/>
    <cellStyle name="Normal 58 4 2 2 3" xfId="1118"/>
    <cellStyle name="Normal 58 4 2 2 3 2" xfId="2840"/>
    <cellStyle name="Normal 58 4 2 2 3 2 2" xfId="16387"/>
    <cellStyle name="Normal 58 4 2 2 3 2 2 2" xfId="26606"/>
    <cellStyle name="Normal 58 4 2 2 3 2 3" xfId="12809"/>
    <cellStyle name="Normal 58 4 2 2 3 2 4" xfId="7519"/>
    <cellStyle name="Normal 58 4 2 2 3 2 5" xfId="21599"/>
    <cellStyle name="Normal 58 4 2 2 3 3" xfId="4114"/>
    <cellStyle name="Normal 58 4 2 2 3 3 2" xfId="17760"/>
    <cellStyle name="Normal 58 4 2 2 3 3 2 2" xfId="28011"/>
    <cellStyle name="Normal 58 4 2 2 3 3 3" xfId="14181"/>
    <cellStyle name="Normal 58 4 2 2 3 3 4" xfId="8924"/>
    <cellStyle name="Normal 58 4 2 2 3 3 5" xfId="23004"/>
    <cellStyle name="Normal 58 4 2 2 3 4" xfId="6635"/>
    <cellStyle name="Normal 58 4 2 2 3 4 2" xfId="15719"/>
    <cellStyle name="Normal 58 4 2 2 3 4 3" xfId="25723"/>
    <cellStyle name="Normal 58 4 2 2 3 5" xfId="10378"/>
    <cellStyle name="Normal 58 4 2 2 3 5 2" xfId="19205"/>
    <cellStyle name="Normal 58 4 2 2 3 5 3" xfId="29456"/>
    <cellStyle name="Normal 58 4 2 2 3 6" xfId="11824"/>
    <cellStyle name="Normal 58 4 2 2 3 6 2" xfId="24205"/>
    <cellStyle name="Normal 58 4 2 2 3 7" xfId="5113"/>
    <cellStyle name="Normal 58 4 2 2 3 8" xfId="20716"/>
    <cellStyle name="Normal 58 4 2 2 4" xfId="1627"/>
    <cellStyle name="Normal 58 4 2 2 4 2" xfId="3224"/>
    <cellStyle name="Normal 58 4 2 2 4 2 2" xfId="16780"/>
    <cellStyle name="Normal 58 4 2 2 4 2 2 2" xfId="26999"/>
    <cellStyle name="Normal 58 4 2 2 4 2 3" xfId="13201"/>
    <cellStyle name="Normal 58 4 2 2 4 2 4" xfId="7912"/>
    <cellStyle name="Normal 58 4 2 2 4 2 5" xfId="21992"/>
    <cellStyle name="Normal 58 4 2 2 4 3" xfId="4301"/>
    <cellStyle name="Normal 58 4 2 2 4 3 2" xfId="18144"/>
    <cellStyle name="Normal 58 4 2 2 4 3 2 2" xfId="28395"/>
    <cellStyle name="Normal 58 4 2 2 4 3 3" xfId="14565"/>
    <cellStyle name="Normal 58 4 2 2 4 3 4" xfId="9308"/>
    <cellStyle name="Normal 58 4 2 2 4 3 5" xfId="23388"/>
    <cellStyle name="Normal 58 4 2 2 4 4" xfId="6000"/>
    <cellStyle name="Normal 58 4 2 2 4 4 2" xfId="15086"/>
    <cellStyle name="Normal 58 4 2 2 4 4 3" xfId="25090"/>
    <cellStyle name="Normal 58 4 2 2 4 5" xfId="10762"/>
    <cellStyle name="Normal 58 4 2 2 4 5 2" xfId="19589"/>
    <cellStyle name="Normal 58 4 2 2 4 5 3" xfId="29840"/>
    <cellStyle name="Normal 58 4 2 2 4 6" xfId="12208"/>
    <cellStyle name="Normal 58 4 2 2 4 6 2" xfId="24598"/>
    <cellStyle name="Normal 58 4 2 2 4 7" xfId="5506"/>
    <cellStyle name="Normal 58 4 2 2 4 8" xfId="20083"/>
    <cellStyle name="Normal 58 4 2 2 5" xfId="2181"/>
    <cellStyle name="Normal 58 4 2 2 5 2" xfId="15929"/>
    <cellStyle name="Normal 58 4 2 2 5 2 2" xfId="25973"/>
    <cellStyle name="Normal 58 4 2 2 5 3" xfId="12257"/>
    <cellStyle name="Normal 58 4 2 2 5 4" xfId="6886"/>
    <cellStyle name="Normal 58 4 2 2 5 5" xfId="20966"/>
    <cellStyle name="Normal 58 4 2 2 6" xfId="3463"/>
    <cellStyle name="Normal 58 4 2 2 6 2" xfId="17101"/>
    <cellStyle name="Normal 58 4 2 2 6 2 2" xfId="27352"/>
    <cellStyle name="Normal 58 4 2 2 6 3" xfId="13522"/>
    <cellStyle name="Normal 58 4 2 2 6 4" xfId="8265"/>
    <cellStyle name="Normal 58 4 2 2 6 5" xfId="22345"/>
    <cellStyle name="Normal 58 4 2 2 7" xfId="5826"/>
    <cellStyle name="Normal 58 4 2 2 7 2" xfId="14912"/>
    <cellStyle name="Normal 58 4 2 2 7 3" xfId="24916"/>
    <cellStyle name="Normal 58 4 2 2 8" xfId="9719"/>
    <cellStyle name="Normal 58 4 2 2 8 2" xfId="18546"/>
    <cellStyle name="Normal 58 4 2 2 8 3" xfId="28797"/>
    <cellStyle name="Normal 58 4 2 2 9" xfId="11163"/>
    <cellStyle name="Normal 58 4 2 2 9 2" xfId="23572"/>
    <cellStyle name="Normal 58 4 2 2_Degree data" xfId="1736"/>
    <cellStyle name="Normal 58 4 2 3" xfId="333"/>
    <cellStyle name="Normal 58 4 2 3 10" xfId="19805"/>
    <cellStyle name="Normal 58 4 2 3 2" xfId="761"/>
    <cellStyle name="Normal 58 4 2 3 2 2" xfId="2493"/>
    <cellStyle name="Normal 58 4 2 3 2 2 2" xfId="16388"/>
    <cellStyle name="Normal 58 4 2 3 2 2 2 2" xfId="26607"/>
    <cellStyle name="Normal 58 4 2 3 2 2 3" xfId="12810"/>
    <cellStyle name="Normal 58 4 2 3 2 2 4" xfId="7520"/>
    <cellStyle name="Normal 58 4 2 3 2 2 5" xfId="21600"/>
    <cellStyle name="Normal 58 4 2 3 2 3" xfId="3766"/>
    <cellStyle name="Normal 58 4 2 3 2 3 2" xfId="17413"/>
    <cellStyle name="Normal 58 4 2 3 2 3 2 2" xfId="27664"/>
    <cellStyle name="Normal 58 4 2 3 2 3 3" xfId="13834"/>
    <cellStyle name="Normal 58 4 2 3 2 3 4" xfId="8577"/>
    <cellStyle name="Normal 58 4 2 3 2 3 5" xfId="22657"/>
    <cellStyle name="Normal 58 4 2 3 2 4" xfId="6636"/>
    <cellStyle name="Normal 58 4 2 3 2 4 2" xfId="15720"/>
    <cellStyle name="Normal 58 4 2 3 2 4 3" xfId="25724"/>
    <cellStyle name="Normal 58 4 2 3 2 5" xfId="10031"/>
    <cellStyle name="Normal 58 4 2 3 2 5 2" xfId="18858"/>
    <cellStyle name="Normal 58 4 2 3 2 5 3" xfId="29109"/>
    <cellStyle name="Normal 58 4 2 3 2 6" xfId="11476"/>
    <cellStyle name="Normal 58 4 2 3 2 6 2" xfId="24206"/>
    <cellStyle name="Normal 58 4 2 3 2 7" xfId="5114"/>
    <cellStyle name="Normal 58 4 2 3 2 8" xfId="20717"/>
    <cellStyle name="Normal 58 4 2 3 3" xfId="1119"/>
    <cellStyle name="Normal 58 4 2 3 3 2" xfId="2841"/>
    <cellStyle name="Normal 58 4 2 3 3 2 2" xfId="16676"/>
    <cellStyle name="Normal 58 4 2 3 3 2 2 2" xfId="26895"/>
    <cellStyle name="Normal 58 4 2 3 3 2 3" xfId="13097"/>
    <cellStyle name="Normal 58 4 2 3 3 2 4" xfId="7808"/>
    <cellStyle name="Normal 58 4 2 3 3 2 5" xfId="21888"/>
    <cellStyle name="Normal 58 4 2 3 3 3" xfId="4115"/>
    <cellStyle name="Normal 58 4 2 3 3 3 2" xfId="17761"/>
    <cellStyle name="Normal 58 4 2 3 3 3 2 2" xfId="28012"/>
    <cellStyle name="Normal 58 4 2 3 3 3 3" xfId="14182"/>
    <cellStyle name="Normal 58 4 2 3 3 3 4" xfId="8925"/>
    <cellStyle name="Normal 58 4 2 3 3 3 5" xfId="23005"/>
    <cellStyle name="Normal 58 4 2 3 3 4" xfId="6215"/>
    <cellStyle name="Normal 58 4 2 3 3 4 2" xfId="15299"/>
    <cellStyle name="Normal 58 4 2 3 3 4 3" xfId="25303"/>
    <cellStyle name="Normal 58 4 2 3 3 5" xfId="10379"/>
    <cellStyle name="Normal 58 4 2 3 3 5 2" xfId="19206"/>
    <cellStyle name="Normal 58 4 2 3 3 5 3" xfId="29457"/>
    <cellStyle name="Normal 58 4 2 3 3 6" xfId="11825"/>
    <cellStyle name="Normal 58 4 2 3 3 6 2" xfId="24494"/>
    <cellStyle name="Normal 58 4 2 3 3 7" xfId="5402"/>
    <cellStyle name="Normal 58 4 2 3 3 8" xfId="20296"/>
    <cellStyle name="Normal 58 4 2 3 4" xfId="1520"/>
    <cellStyle name="Normal 58 4 2 3 4 2" xfId="3120"/>
    <cellStyle name="Normal 58 4 2 3 4 2 2" xfId="18040"/>
    <cellStyle name="Normal 58 4 2 3 4 2 2 2" xfId="28291"/>
    <cellStyle name="Normal 58 4 2 3 4 2 3" xfId="14461"/>
    <cellStyle name="Normal 58 4 2 3 4 2 4" xfId="9204"/>
    <cellStyle name="Normal 58 4 2 3 4 2 5" xfId="23284"/>
    <cellStyle name="Normal 58 4 2 3 4 3" xfId="10658"/>
    <cellStyle name="Normal 58 4 2 3 4 3 2" xfId="19485"/>
    <cellStyle name="Normal 58 4 2 3 4 3 3" xfId="29736"/>
    <cellStyle name="Normal 58 4 2 3 4 4" xfId="12104"/>
    <cellStyle name="Normal 58 4 2 3 4 4 2" xfId="26186"/>
    <cellStyle name="Normal 58 4 2 3 4 5" xfId="7099"/>
    <cellStyle name="Normal 58 4 2 3 4 6" xfId="21179"/>
    <cellStyle name="Normal 58 4 2 3 5" xfId="2077"/>
    <cellStyle name="Normal 58 4 2 3 5 2" xfId="16997"/>
    <cellStyle name="Normal 58 4 2 3 5 2 2" xfId="27248"/>
    <cellStyle name="Normal 58 4 2 3 5 3" xfId="13418"/>
    <cellStyle name="Normal 58 4 2 3 5 4" xfId="8161"/>
    <cellStyle name="Normal 58 4 2 3 5 5" xfId="22241"/>
    <cellStyle name="Normal 58 4 2 3 6" xfId="5722"/>
    <cellStyle name="Normal 58 4 2 3 6 2" xfId="14808"/>
    <cellStyle name="Normal 58 4 2 3 6 3" xfId="24812"/>
    <cellStyle name="Normal 58 4 2 3 7" xfId="9615"/>
    <cellStyle name="Normal 58 4 2 3 7 2" xfId="18442"/>
    <cellStyle name="Normal 58 4 2 3 7 3" xfId="28693"/>
    <cellStyle name="Normal 58 4 2 3 8" xfId="11059"/>
    <cellStyle name="Normal 58 4 2 3 8 2" xfId="23785"/>
    <cellStyle name="Normal 58 4 2 3 9" xfId="4693"/>
    <cellStyle name="Normal 58 4 2 3_Degree data" xfId="1737"/>
    <cellStyle name="Normal 58 4 2 4" xfId="759"/>
    <cellStyle name="Normal 58 4 2 4 2" xfId="2491"/>
    <cellStyle name="Normal 58 4 2 4 2 2" xfId="16013"/>
    <cellStyle name="Normal 58 4 2 4 2 2 2" xfId="26086"/>
    <cellStyle name="Normal 58 4 2 4 2 3" xfId="12466"/>
    <cellStyle name="Normal 58 4 2 4 2 4" xfId="6999"/>
    <cellStyle name="Normal 58 4 2 4 2 5" xfId="21079"/>
    <cellStyle name="Normal 58 4 2 4 3" xfId="3764"/>
    <cellStyle name="Normal 58 4 2 4 3 2" xfId="17411"/>
    <cellStyle name="Normal 58 4 2 4 3 2 2" xfId="27662"/>
    <cellStyle name="Normal 58 4 2 4 3 3" xfId="13832"/>
    <cellStyle name="Normal 58 4 2 4 3 4" xfId="8575"/>
    <cellStyle name="Normal 58 4 2 4 3 5" xfId="22655"/>
    <cellStyle name="Normal 58 4 2 4 4" xfId="6115"/>
    <cellStyle name="Normal 58 4 2 4 4 2" xfId="15199"/>
    <cellStyle name="Normal 58 4 2 4 4 3" xfId="25203"/>
    <cellStyle name="Normal 58 4 2 4 5" xfId="10029"/>
    <cellStyle name="Normal 58 4 2 4 5 2" xfId="18856"/>
    <cellStyle name="Normal 58 4 2 4 5 3" xfId="29107"/>
    <cellStyle name="Normal 58 4 2 4 6" xfId="11474"/>
    <cellStyle name="Normal 58 4 2 4 6 2" xfId="23685"/>
    <cellStyle name="Normal 58 4 2 4 7" xfId="4593"/>
    <cellStyle name="Normal 58 4 2 4 8" xfId="20196"/>
    <cellStyle name="Normal 58 4 2 5" xfId="1117"/>
    <cellStyle name="Normal 58 4 2 5 2" xfId="2839"/>
    <cellStyle name="Normal 58 4 2 5 2 2" xfId="16386"/>
    <cellStyle name="Normal 58 4 2 5 2 2 2" xfId="26605"/>
    <cellStyle name="Normal 58 4 2 5 2 3" xfId="12808"/>
    <cellStyle name="Normal 58 4 2 5 2 4" xfId="7518"/>
    <cellStyle name="Normal 58 4 2 5 2 5" xfId="21598"/>
    <cellStyle name="Normal 58 4 2 5 3" xfId="4113"/>
    <cellStyle name="Normal 58 4 2 5 3 2" xfId="17759"/>
    <cellStyle name="Normal 58 4 2 5 3 2 2" xfId="28010"/>
    <cellStyle name="Normal 58 4 2 5 3 3" xfId="14180"/>
    <cellStyle name="Normal 58 4 2 5 3 4" xfId="8923"/>
    <cellStyle name="Normal 58 4 2 5 3 5" xfId="23003"/>
    <cellStyle name="Normal 58 4 2 5 4" xfId="6634"/>
    <cellStyle name="Normal 58 4 2 5 4 2" xfId="15718"/>
    <cellStyle name="Normal 58 4 2 5 4 3" xfId="25722"/>
    <cellStyle name="Normal 58 4 2 5 5" xfId="10377"/>
    <cellStyle name="Normal 58 4 2 5 5 2" xfId="19204"/>
    <cellStyle name="Normal 58 4 2 5 5 3" xfId="29455"/>
    <cellStyle name="Normal 58 4 2 5 6" xfId="11823"/>
    <cellStyle name="Normal 58 4 2 5 6 2" xfId="24204"/>
    <cellStyle name="Normal 58 4 2 5 7" xfId="5112"/>
    <cellStyle name="Normal 58 4 2 5 8" xfId="20715"/>
    <cellStyle name="Normal 58 4 2 6" xfId="1417"/>
    <cellStyle name="Normal 58 4 2 6 2" xfId="3020"/>
    <cellStyle name="Normal 58 4 2 6 2 2" xfId="16576"/>
    <cellStyle name="Normal 58 4 2 6 2 2 2" xfId="26795"/>
    <cellStyle name="Normal 58 4 2 6 2 3" xfId="12997"/>
    <cellStyle name="Normal 58 4 2 6 2 4" xfId="7708"/>
    <cellStyle name="Normal 58 4 2 6 2 5" xfId="21788"/>
    <cellStyle name="Normal 58 4 2 6 3" xfId="4234"/>
    <cellStyle name="Normal 58 4 2 6 3 2" xfId="17940"/>
    <cellStyle name="Normal 58 4 2 6 3 2 2" xfId="28191"/>
    <cellStyle name="Normal 58 4 2 6 3 3" xfId="14361"/>
    <cellStyle name="Normal 58 4 2 6 3 4" xfId="9104"/>
    <cellStyle name="Normal 58 4 2 6 3 5" xfId="23184"/>
    <cellStyle name="Normal 58 4 2 6 4" xfId="5895"/>
    <cellStyle name="Normal 58 4 2 6 4 2" xfId="14981"/>
    <cellStyle name="Normal 58 4 2 6 4 3" xfId="24985"/>
    <cellStyle name="Normal 58 4 2 6 5" xfId="10558"/>
    <cellStyle name="Normal 58 4 2 6 5 2" xfId="19385"/>
    <cellStyle name="Normal 58 4 2 6 5 3" xfId="29636"/>
    <cellStyle name="Normal 58 4 2 6 6" xfId="12004"/>
    <cellStyle name="Normal 58 4 2 6 6 2" xfId="24394"/>
    <cellStyle name="Normal 58 4 2 6 7" xfId="5302"/>
    <cellStyle name="Normal 58 4 2 6 8" xfId="19978"/>
    <cellStyle name="Normal 58 4 2 7" xfId="1977"/>
    <cellStyle name="Normal 58 4 2 7 2" xfId="15830"/>
    <cellStyle name="Normal 58 4 2 7 2 2" xfId="25869"/>
    <cellStyle name="Normal 58 4 2 7 3" xfId="12471"/>
    <cellStyle name="Normal 58 4 2 7 4" xfId="6782"/>
    <cellStyle name="Normal 58 4 2 7 5" xfId="20862"/>
    <cellStyle name="Normal 58 4 2 8" xfId="3396"/>
    <cellStyle name="Normal 58 4 2 8 2" xfId="16897"/>
    <cellStyle name="Normal 58 4 2 8 2 2" xfId="27148"/>
    <cellStyle name="Normal 58 4 2 8 3" xfId="13318"/>
    <cellStyle name="Normal 58 4 2 8 4" xfId="8061"/>
    <cellStyle name="Normal 58 4 2 8 5" xfId="22141"/>
    <cellStyle name="Normal 58 4 2 9" xfId="5622"/>
    <cellStyle name="Normal 58 4 2 9 2" xfId="14708"/>
    <cellStyle name="Normal 58 4 2 9 3" xfId="24712"/>
    <cellStyle name="Normal 58 4 2_Degree data" xfId="1735"/>
    <cellStyle name="Normal 58 4 3" xfId="275"/>
    <cellStyle name="Normal 58 4 3 10" xfId="11002"/>
    <cellStyle name="Normal 58 4 3 10 2" xfId="23511"/>
    <cellStyle name="Normal 58 4 3 11" xfId="4419"/>
    <cellStyle name="Normal 58 4 3 12" xfId="19748"/>
    <cellStyle name="Normal 58 4 3 2" xfId="377"/>
    <cellStyle name="Normal 58 4 3 2 10" xfId="19848"/>
    <cellStyle name="Normal 58 4 3 2 2" xfId="763"/>
    <cellStyle name="Normal 58 4 3 2 2 2" xfId="2495"/>
    <cellStyle name="Normal 58 4 3 2 2 2 2" xfId="16390"/>
    <cellStyle name="Normal 58 4 3 2 2 2 2 2" xfId="26609"/>
    <cellStyle name="Normal 58 4 3 2 2 2 3" xfId="12812"/>
    <cellStyle name="Normal 58 4 3 2 2 2 4" xfId="7522"/>
    <cellStyle name="Normal 58 4 3 2 2 2 5" xfId="21602"/>
    <cellStyle name="Normal 58 4 3 2 2 3" xfId="3768"/>
    <cellStyle name="Normal 58 4 3 2 2 3 2" xfId="17415"/>
    <cellStyle name="Normal 58 4 3 2 2 3 2 2" xfId="27666"/>
    <cellStyle name="Normal 58 4 3 2 2 3 3" xfId="13836"/>
    <cellStyle name="Normal 58 4 3 2 2 3 4" xfId="8579"/>
    <cellStyle name="Normal 58 4 3 2 2 3 5" xfId="22659"/>
    <cellStyle name="Normal 58 4 3 2 2 4" xfId="6638"/>
    <cellStyle name="Normal 58 4 3 2 2 4 2" xfId="15722"/>
    <cellStyle name="Normal 58 4 3 2 2 4 3" xfId="25726"/>
    <cellStyle name="Normal 58 4 3 2 2 5" xfId="10033"/>
    <cellStyle name="Normal 58 4 3 2 2 5 2" xfId="18860"/>
    <cellStyle name="Normal 58 4 3 2 2 5 3" xfId="29111"/>
    <cellStyle name="Normal 58 4 3 2 2 6" xfId="11478"/>
    <cellStyle name="Normal 58 4 3 2 2 6 2" xfId="24208"/>
    <cellStyle name="Normal 58 4 3 2 2 7" xfId="5116"/>
    <cellStyle name="Normal 58 4 3 2 2 8" xfId="20719"/>
    <cellStyle name="Normal 58 4 3 2 3" xfId="1121"/>
    <cellStyle name="Normal 58 4 3 2 3 2" xfId="2843"/>
    <cellStyle name="Normal 58 4 3 2 3 2 2" xfId="16719"/>
    <cellStyle name="Normal 58 4 3 2 3 2 2 2" xfId="26938"/>
    <cellStyle name="Normal 58 4 3 2 3 2 3" xfId="13140"/>
    <cellStyle name="Normal 58 4 3 2 3 2 4" xfId="7851"/>
    <cellStyle name="Normal 58 4 3 2 3 2 5" xfId="21931"/>
    <cellStyle name="Normal 58 4 3 2 3 3" xfId="4117"/>
    <cellStyle name="Normal 58 4 3 2 3 3 2" xfId="17763"/>
    <cellStyle name="Normal 58 4 3 2 3 3 2 2" xfId="28014"/>
    <cellStyle name="Normal 58 4 3 2 3 3 3" xfId="14184"/>
    <cellStyle name="Normal 58 4 3 2 3 3 4" xfId="8927"/>
    <cellStyle name="Normal 58 4 3 2 3 3 5" xfId="23007"/>
    <cellStyle name="Normal 58 4 3 2 3 4" xfId="6258"/>
    <cellStyle name="Normal 58 4 3 2 3 4 2" xfId="15342"/>
    <cellStyle name="Normal 58 4 3 2 3 4 3" xfId="25346"/>
    <cellStyle name="Normal 58 4 3 2 3 5" xfId="10381"/>
    <cellStyle name="Normal 58 4 3 2 3 5 2" xfId="19208"/>
    <cellStyle name="Normal 58 4 3 2 3 5 3" xfId="29459"/>
    <cellStyle name="Normal 58 4 3 2 3 6" xfId="11827"/>
    <cellStyle name="Normal 58 4 3 2 3 6 2" xfId="24537"/>
    <cellStyle name="Normal 58 4 3 2 3 7" xfId="5445"/>
    <cellStyle name="Normal 58 4 3 2 3 8" xfId="20339"/>
    <cellStyle name="Normal 58 4 3 2 4" xfId="1564"/>
    <cellStyle name="Normal 58 4 3 2 4 2" xfId="3163"/>
    <cellStyle name="Normal 58 4 3 2 4 2 2" xfId="18083"/>
    <cellStyle name="Normal 58 4 3 2 4 2 2 2" xfId="28334"/>
    <cellStyle name="Normal 58 4 3 2 4 2 3" xfId="14504"/>
    <cellStyle name="Normal 58 4 3 2 4 2 4" xfId="9247"/>
    <cellStyle name="Normal 58 4 3 2 4 2 5" xfId="23327"/>
    <cellStyle name="Normal 58 4 3 2 4 3" xfId="10701"/>
    <cellStyle name="Normal 58 4 3 2 4 3 2" xfId="19528"/>
    <cellStyle name="Normal 58 4 3 2 4 3 3" xfId="29779"/>
    <cellStyle name="Normal 58 4 3 2 4 4" xfId="12147"/>
    <cellStyle name="Normal 58 4 3 2 4 4 2" xfId="26229"/>
    <cellStyle name="Normal 58 4 3 2 4 5" xfId="7142"/>
    <cellStyle name="Normal 58 4 3 2 4 6" xfId="21222"/>
    <cellStyle name="Normal 58 4 3 2 5" xfId="2120"/>
    <cellStyle name="Normal 58 4 3 2 5 2" xfId="17040"/>
    <cellStyle name="Normal 58 4 3 2 5 2 2" xfId="27291"/>
    <cellStyle name="Normal 58 4 3 2 5 3" xfId="13461"/>
    <cellStyle name="Normal 58 4 3 2 5 4" xfId="8204"/>
    <cellStyle name="Normal 58 4 3 2 5 5" xfId="22284"/>
    <cellStyle name="Normal 58 4 3 2 6" xfId="5765"/>
    <cellStyle name="Normal 58 4 3 2 6 2" xfId="14851"/>
    <cellStyle name="Normal 58 4 3 2 6 3" xfId="24855"/>
    <cellStyle name="Normal 58 4 3 2 7" xfId="9658"/>
    <cellStyle name="Normal 58 4 3 2 7 2" xfId="18485"/>
    <cellStyle name="Normal 58 4 3 2 7 3" xfId="28736"/>
    <cellStyle name="Normal 58 4 3 2 8" xfId="11102"/>
    <cellStyle name="Normal 58 4 3 2 8 2" xfId="23828"/>
    <cellStyle name="Normal 58 4 3 2 9" xfId="4736"/>
    <cellStyle name="Normal 58 4 3 2_Degree data" xfId="1739"/>
    <cellStyle name="Normal 58 4 3 3" xfId="762"/>
    <cellStyle name="Normal 58 4 3 3 2" xfId="2494"/>
    <cellStyle name="Normal 58 4 3 3 2 2" xfId="16056"/>
    <cellStyle name="Normal 58 4 3 3 2 2 2" xfId="26129"/>
    <cellStyle name="Normal 58 4 3 3 2 3" xfId="12369"/>
    <cellStyle name="Normal 58 4 3 3 2 4" xfId="7042"/>
    <cellStyle name="Normal 58 4 3 3 2 5" xfId="21122"/>
    <cellStyle name="Normal 58 4 3 3 3" xfId="3767"/>
    <cellStyle name="Normal 58 4 3 3 3 2" xfId="17414"/>
    <cellStyle name="Normal 58 4 3 3 3 2 2" xfId="27665"/>
    <cellStyle name="Normal 58 4 3 3 3 3" xfId="13835"/>
    <cellStyle name="Normal 58 4 3 3 3 4" xfId="8578"/>
    <cellStyle name="Normal 58 4 3 3 3 5" xfId="22658"/>
    <cellStyle name="Normal 58 4 3 3 4" xfId="6158"/>
    <cellStyle name="Normal 58 4 3 3 4 2" xfId="15242"/>
    <cellStyle name="Normal 58 4 3 3 4 3" xfId="25246"/>
    <cellStyle name="Normal 58 4 3 3 5" xfId="10032"/>
    <cellStyle name="Normal 58 4 3 3 5 2" xfId="18859"/>
    <cellStyle name="Normal 58 4 3 3 5 3" xfId="29110"/>
    <cellStyle name="Normal 58 4 3 3 6" xfId="11477"/>
    <cellStyle name="Normal 58 4 3 3 6 2" xfId="23728"/>
    <cellStyle name="Normal 58 4 3 3 7" xfId="4636"/>
    <cellStyle name="Normal 58 4 3 3 8" xfId="20239"/>
    <cellStyle name="Normal 58 4 3 4" xfId="1120"/>
    <cellStyle name="Normal 58 4 3 4 2" xfId="2842"/>
    <cellStyle name="Normal 58 4 3 4 2 2" xfId="16389"/>
    <cellStyle name="Normal 58 4 3 4 2 2 2" xfId="26608"/>
    <cellStyle name="Normal 58 4 3 4 2 3" xfId="12811"/>
    <cellStyle name="Normal 58 4 3 4 2 4" xfId="7521"/>
    <cellStyle name="Normal 58 4 3 4 2 5" xfId="21601"/>
    <cellStyle name="Normal 58 4 3 4 3" xfId="4116"/>
    <cellStyle name="Normal 58 4 3 4 3 2" xfId="17762"/>
    <cellStyle name="Normal 58 4 3 4 3 2 2" xfId="28013"/>
    <cellStyle name="Normal 58 4 3 4 3 3" xfId="14183"/>
    <cellStyle name="Normal 58 4 3 4 3 4" xfId="8926"/>
    <cellStyle name="Normal 58 4 3 4 3 5" xfId="23006"/>
    <cellStyle name="Normal 58 4 3 4 4" xfId="6637"/>
    <cellStyle name="Normal 58 4 3 4 4 2" xfId="15721"/>
    <cellStyle name="Normal 58 4 3 4 4 3" xfId="25725"/>
    <cellStyle name="Normal 58 4 3 4 5" xfId="10380"/>
    <cellStyle name="Normal 58 4 3 4 5 2" xfId="19207"/>
    <cellStyle name="Normal 58 4 3 4 5 3" xfId="29458"/>
    <cellStyle name="Normal 58 4 3 4 6" xfId="11826"/>
    <cellStyle name="Normal 58 4 3 4 6 2" xfId="24207"/>
    <cellStyle name="Normal 58 4 3 4 7" xfId="5115"/>
    <cellStyle name="Normal 58 4 3 4 8" xfId="20718"/>
    <cellStyle name="Normal 58 4 3 5" xfId="1462"/>
    <cellStyle name="Normal 58 4 3 5 2" xfId="3063"/>
    <cellStyle name="Normal 58 4 3 5 2 2" xfId="16619"/>
    <cellStyle name="Normal 58 4 3 5 2 2 2" xfId="26838"/>
    <cellStyle name="Normal 58 4 3 5 2 3" xfId="13040"/>
    <cellStyle name="Normal 58 4 3 5 2 4" xfId="7751"/>
    <cellStyle name="Normal 58 4 3 5 2 5" xfId="21831"/>
    <cellStyle name="Normal 58 4 3 5 3" xfId="4277"/>
    <cellStyle name="Normal 58 4 3 5 3 2" xfId="17983"/>
    <cellStyle name="Normal 58 4 3 5 3 2 2" xfId="28234"/>
    <cellStyle name="Normal 58 4 3 5 3 3" xfId="14404"/>
    <cellStyle name="Normal 58 4 3 5 3 4" xfId="9147"/>
    <cellStyle name="Normal 58 4 3 5 3 5" xfId="23227"/>
    <cellStyle name="Normal 58 4 3 5 4" xfId="5939"/>
    <cellStyle name="Normal 58 4 3 5 4 2" xfId="15025"/>
    <cellStyle name="Normal 58 4 3 5 4 3" xfId="25029"/>
    <cellStyle name="Normal 58 4 3 5 5" xfId="10601"/>
    <cellStyle name="Normal 58 4 3 5 5 2" xfId="19428"/>
    <cellStyle name="Normal 58 4 3 5 5 3" xfId="29679"/>
    <cellStyle name="Normal 58 4 3 5 6" xfId="12047"/>
    <cellStyle name="Normal 58 4 3 5 6 2" xfId="24437"/>
    <cellStyle name="Normal 58 4 3 5 7" xfId="5345"/>
    <cellStyle name="Normal 58 4 3 5 8" xfId="20022"/>
    <cellStyle name="Normal 58 4 3 6" xfId="2020"/>
    <cellStyle name="Normal 58 4 3 6 2" xfId="15868"/>
    <cellStyle name="Normal 58 4 3 6 2 2" xfId="25912"/>
    <cellStyle name="Normal 58 4 3 6 3" xfId="12260"/>
    <cellStyle name="Normal 58 4 3 6 4" xfId="6825"/>
    <cellStyle name="Normal 58 4 3 6 5" xfId="20905"/>
    <cellStyle name="Normal 58 4 3 7" xfId="3439"/>
    <cellStyle name="Normal 58 4 3 7 2" xfId="16940"/>
    <cellStyle name="Normal 58 4 3 7 2 2" xfId="27191"/>
    <cellStyle name="Normal 58 4 3 7 3" xfId="13361"/>
    <cellStyle name="Normal 58 4 3 7 4" xfId="8104"/>
    <cellStyle name="Normal 58 4 3 7 5" xfId="22184"/>
    <cellStyle name="Normal 58 4 3 8" xfId="5665"/>
    <cellStyle name="Normal 58 4 3 8 2" xfId="14751"/>
    <cellStyle name="Normal 58 4 3 8 3" xfId="24755"/>
    <cellStyle name="Normal 58 4 3 9" xfId="9558"/>
    <cellStyle name="Normal 58 4 3 9 2" xfId="18385"/>
    <cellStyle name="Normal 58 4 3 9 3" xfId="28636"/>
    <cellStyle name="Normal 58 4 3_Degree data" xfId="1738"/>
    <cellStyle name="Normal 58 4 4" xfId="213"/>
    <cellStyle name="Normal 58 4 4 10" xfId="10945"/>
    <cellStyle name="Normal 58 4 4 10 2" xfId="23559"/>
    <cellStyle name="Normal 58 4 4 11" xfId="4467"/>
    <cellStyle name="Normal 58 4 4 12" xfId="19691"/>
    <cellStyle name="Normal 58 4 4 2" xfId="427"/>
    <cellStyle name="Normal 58 4 4 2 10" xfId="19896"/>
    <cellStyle name="Normal 58 4 4 2 2" xfId="765"/>
    <cellStyle name="Normal 58 4 4 2 2 2" xfId="2497"/>
    <cellStyle name="Normal 58 4 4 2 2 2 2" xfId="16392"/>
    <cellStyle name="Normal 58 4 4 2 2 2 2 2" xfId="26611"/>
    <cellStyle name="Normal 58 4 4 2 2 2 3" xfId="12814"/>
    <cellStyle name="Normal 58 4 4 2 2 2 4" xfId="7524"/>
    <cellStyle name="Normal 58 4 4 2 2 2 5" xfId="21604"/>
    <cellStyle name="Normal 58 4 4 2 2 3" xfId="3770"/>
    <cellStyle name="Normal 58 4 4 2 2 3 2" xfId="17417"/>
    <cellStyle name="Normal 58 4 4 2 2 3 2 2" xfId="27668"/>
    <cellStyle name="Normal 58 4 4 2 2 3 3" xfId="13838"/>
    <cellStyle name="Normal 58 4 4 2 2 3 4" xfId="8581"/>
    <cellStyle name="Normal 58 4 4 2 2 3 5" xfId="22661"/>
    <cellStyle name="Normal 58 4 4 2 2 4" xfId="6640"/>
    <cellStyle name="Normal 58 4 4 2 2 4 2" xfId="15724"/>
    <cellStyle name="Normal 58 4 4 2 2 4 3" xfId="25728"/>
    <cellStyle name="Normal 58 4 4 2 2 5" xfId="10035"/>
    <cellStyle name="Normal 58 4 4 2 2 5 2" xfId="18862"/>
    <cellStyle name="Normal 58 4 4 2 2 5 3" xfId="29113"/>
    <cellStyle name="Normal 58 4 4 2 2 6" xfId="11480"/>
    <cellStyle name="Normal 58 4 4 2 2 6 2" xfId="24210"/>
    <cellStyle name="Normal 58 4 4 2 2 7" xfId="5118"/>
    <cellStyle name="Normal 58 4 4 2 2 8" xfId="20721"/>
    <cellStyle name="Normal 58 4 4 2 3" xfId="1123"/>
    <cellStyle name="Normal 58 4 4 2 3 2" xfId="2845"/>
    <cellStyle name="Normal 58 4 4 2 3 2 2" xfId="16767"/>
    <cellStyle name="Normal 58 4 4 2 3 2 2 2" xfId="26986"/>
    <cellStyle name="Normal 58 4 4 2 3 2 3" xfId="13188"/>
    <cellStyle name="Normal 58 4 4 2 3 2 4" xfId="7899"/>
    <cellStyle name="Normal 58 4 4 2 3 2 5" xfId="21979"/>
    <cellStyle name="Normal 58 4 4 2 3 3" xfId="4119"/>
    <cellStyle name="Normal 58 4 4 2 3 3 2" xfId="17765"/>
    <cellStyle name="Normal 58 4 4 2 3 3 2 2" xfId="28016"/>
    <cellStyle name="Normal 58 4 4 2 3 3 3" xfId="14186"/>
    <cellStyle name="Normal 58 4 4 2 3 3 4" xfId="8929"/>
    <cellStyle name="Normal 58 4 4 2 3 3 5" xfId="23009"/>
    <cellStyle name="Normal 58 4 4 2 3 4" xfId="6306"/>
    <cellStyle name="Normal 58 4 4 2 3 4 2" xfId="15390"/>
    <cellStyle name="Normal 58 4 4 2 3 4 3" xfId="25394"/>
    <cellStyle name="Normal 58 4 4 2 3 5" xfId="10383"/>
    <cellStyle name="Normal 58 4 4 2 3 5 2" xfId="19210"/>
    <cellStyle name="Normal 58 4 4 2 3 5 3" xfId="29461"/>
    <cellStyle name="Normal 58 4 4 2 3 6" xfId="11829"/>
    <cellStyle name="Normal 58 4 4 2 3 6 2" xfId="24585"/>
    <cellStyle name="Normal 58 4 4 2 3 7" xfId="5493"/>
    <cellStyle name="Normal 58 4 4 2 3 8" xfId="20387"/>
    <cellStyle name="Normal 58 4 4 2 4" xfId="1614"/>
    <cellStyle name="Normal 58 4 4 2 4 2" xfId="3211"/>
    <cellStyle name="Normal 58 4 4 2 4 2 2" xfId="18131"/>
    <cellStyle name="Normal 58 4 4 2 4 2 2 2" xfId="28382"/>
    <cellStyle name="Normal 58 4 4 2 4 2 3" xfId="14552"/>
    <cellStyle name="Normal 58 4 4 2 4 2 4" xfId="9295"/>
    <cellStyle name="Normal 58 4 4 2 4 2 5" xfId="23375"/>
    <cellStyle name="Normal 58 4 4 2 4 3" xfId="10749"/>
    <cellStyle name="Normal 58 4 4 2 4 3 2" xfId="19576"/>
    <cellStyle name="Normal 58 4 4 2 4 3 3" xfId="29827"/>
    <cellStyle name="Normal 58 4 4 2 4 4" xfId="12195"/>
    <cellStyle name="Normal 58 4 4 2 4 4 2" xfId="26277"/>
    <cellStyle name="Normal 58 4 4 2 4 5" xfId="7190"/>
    <cellStyle name="Normal 58 4 4 2 4 6" xfId="21270"/>
    <cellStyle name="Normal 58 4 4 2 5" xfId="2168"/>
    <cellStyle name="Normal 58 4 4 2 5 2" xfId="17088"/>
    <cellStyle name="Normal 58 4 4 2 5 2 2" xfId="27339"/>
    <cellStyle name="Normal 58 4 4 2 5 3" xfId="13509"/>
    <cellStyle name="Normal 58 4 4 2 5 4" xfId="8252"/>
    <cellStyle name="Normal 58 4 4 2 5 5" xfId="22332"/>
    <cellStyle name="Normal 58 4 4 2 6" xfId="5813"/>
    <cellStyle name="Normal 58 4 4 2 6 2" xfId="14899"/>
    <cellStyle name="Normal 58 4 4 2 6 3" xfId="24903"/>
    <cellStyle name="Normal 58 4 4 2 7" xfId="9706"/>
    <cellStyle name="Normal 58 4 4 2 7 2" xfId="18533"/>
    <cellStyle name="Normal 58 4 4 2 7 3" xfId="28784"/>
    <cellStyle name="Normal 58 4 4 2 8" xfId="11150"/>
    <cellStyle name="Normal 58 4 4 2 8 2" xfId="23876"/>
    <cellStyle name="Normal 58 4 4 2 9" xfId="4784"/>
    <cellStyle name="Normal 58 4 4 2_Degree data" xfId="1741"/>
    <cellStyle name="Normal 58 4 4 3" xfId="764"/>
    <cellStyle name="Normal 58 4 4 3 2" xfId="2496"/>
    <cellStyle name="Normal 58 4 4 3 2 2" xfId="15999"/>
    <cellStyle name="Normal 58 4 4 3 2 2 2" xfId="26072"/>
    <cellStyle name="Normal 58 4 4 3 2 3" xfId="12323"/>
    <cellStyle name="Normal 58 4 4 3 2 4" xfId="6985"/>
    <cellStyle name="Normal 58 4 4 3 2 5" xfId="21065"/>
    <cellStyle name="Normal 58 4 4 3 3" xfId="3769"/>
    <cellStyle name="Normal 58 4 4 3 3 2" xfId="17416"/>
    <cellStyle name="Normal 58 4 4 3 3 2 2" xfId="27667"/>
    <cellStyle name="Normal 58 4 4 3 3 3" xfId="13837"/>
    <cellStyle name="Normal 58 4 4 3 3 4" xfId="8580"/>
    <cellStyle name="Normal 58 4 4 3 3 5" xfId="22660"/>
    <cellStyle name="Normal 58 4 4 3 4" xfId="6101"/>
    <cellStyle name="Normal 58 4 4 3 4 2" xfId="15185"/>
    <cellStyle name="Normal 58 4 4 3 4 3" xfId="25189"/>
    <cellStyle name="Normal 58 4 4 3 5" xfId="10034"/>
    <cellStyle name="Normal 58 4 4 3 5 2" xfId="18861"/>
    <cellStyle name="Normal 58 4 4 3 5 3" xfId="29112"/>
    <cellStyle name="Normal 58 4 4 3 6" xfId="11479"/>
    <cellStyle name="Normal 58 4 4 3 6 2" xfId="23671"/>
    <cellStyle name="Normal 58 4 4 3 7" xfId="4579"/>
    <cellStyle name="Normal 58 4 4 3 8" xfId="20182"/>
    <cellStyle name="Normal 58 4 4 4" xfId="1122"/>
    <cellStyle name="Normal 58 4 4 4 2" xfId="2844"/>
    <cellStyle name="Normal 58 4 4 4 2 2" xfId="16391"/>
    <cellStyle name="Normal 58 4 4 4 2 2 2" xfId="26610"/>
    <cellStyle name="Normal 58 4 4 4 2 3" xfId="12813"/>
    <cellStyle name="Normal 58 4 4 4 2 4" xfId="7523"/>
    <cellStyle name="Normal 58 4 4 4 2 5" xfId="21603"/>
    <cellStyle name="Normal 58 4 4 4 3" xfId="4118"/>
    <cellStyle name="Normal 58 4 4 4 3 2" xfId="17764"/>
    <cellStyle name="Normal 58 4 4 4 3 2 2" xfId="28015"/>
    <cellStyle name="Normal 58 4 4 4 3 3" xfId="14185"/>
    <cellStyle name="Normal 58 4 4 4 3 4" xfId="8928"/>
    <cellStyle name="Normal 58 4 4 4 3 5" xfId="23008"/>
    <cellStyle name="Normal 58 4 4 4 4" xfId="6639"/>
    <cellStyle name="Normal 58 4 4 4 4 2" xfId="15723"/>
    <cellStyle name="Normal 58 4 4 4 4 3" xfId="25727"/>
    <cellStyle name="Normal 58 4 4 4 5" xfId="10382"/>
    <cellStyle name="Normal 58 4 4 4 5 2" xfId="19209"/>
    <cellStyle name="Normal 58 4 4 4 5 3" xfId="29460"/>
    <cellStyle name="Normal 58 4 4 4 6" xfId="11828"/>
    <cellStyle name="Normal 58 4 4 4 6 2" xfId="24209"/>
    <cellStyle name="Normal 58 4 4 4 7" xfId="5117"/>
    <cellStyle name="Normal 58 4 4 4 8" xfId="20720"/>
    <cellStyle name="Normal 58 4 4 5" xfId="1400"/>
    <cellStyle name="Normal 58 4 4 5 2" xfId="3006"/>
    <cellStyle name="Normal 58 4 4 5 2 2" xfId="16562"/>
    <cellStyle name="Normal 58 4 4 5 2 2 2" xfId="26781"/>
    <cellStyle name="Normal 58 4 4 5 2 3" xfId="12983"/>
    <cellStyle name="Normal 58 4 4 5 2 4" xfId="7694"/>
    <cellStyle name="Normal 58 4 4 5 2 5" xfId="21774"/>
    <cellStyle name="Normal 58 4 4 5 3" xfId="4220"/>
    <cellStyle name="Normal 58 4 4 5 3 2" xfId="17926"/>
    <cellStyle name="Normal 58 4 4 5 3 2 2" xfId="28177"/>
    <cellStyle name="Normal 58 4 4 5 3 3" xfId="14347"/>
    <cellStyle name="Normal 58 4 4 5 3 4" xfId="9090"/>
    <cellStyle name="Normal 58 4 4 5 3 5" xfId="23170"/>
    <cellStyle name="Normal 58 4 4 5 4" xfId="5987"/>
    <cellStyle name="Normal 58 4 4 5 4 2" xfId="15073"/>
    <cellStyle name="Normal 58 4 4 5 4 3" xfId="25077"/>
    <cellStyle name="Normal 58 4 4 5 5" xfId="10544"/>
    <cellStyle name="Normal 58 4 4 5 5 2" xfId="19371"/>
    <cellStyle name="Normal 58 4 4 5 5 3" xfId="29622"/>
    <cellStyle name="Normal 58 4 4 5 6" xfId="11990"/>
    <cellStyle name="Normal 58 4 4 5 6 2" xfId="24380"/>
    <cellStyle name="Normal 58 4 4 5 7" xfId="5288"/>
    <cellStyle name="Normal 58 4 4 5 8" xfId="20070"/>
    <cellStyle name="Normal 58 4 4 6" xfId="1963"/>
    <cellStyle name="Normal 58 4 4 6 2" xfId="15916"/>
    <cellStyle name="Normal 58 4 4 6 2 2" xfId="25960"/>
    <cellStyle name="Normal 58 4 4 6 3" xfId="12344"/>
    <cellStyle name="Normal 58 4 4 6 4" xfId="6873"/>
    <cellStyle name="Normal 58 4 4 6 5" xfId="20953"/>
    <cellStyle name="Normal 58 4 4 7" xfId="3383"/>
    <cellStyle name="Normal 58 4 4 7 2" xfId="16883"/>
    <cellStyle name="Normal 58 4 4 7 2 2" xfId="27134"/>
    <cellStyle name="Normal 58 4 4 7 3" xfId="13304"/>
    <cellStyle name="Normal 58 4 4 7 4" xfId="8047"/>
    <cellStyle name="Normal 58 4 4 7 5" xfId="22127"/>
    <cellStyle name="Normal 58 4 4 8" xfId="5608"/>
    <cellStyle name="Normal 58 4 4 8 2" xfId="14694"/>
    <cellStyle name="Normal 58 4 4 8 3" xfId="24698"/>
    <cellStyle name="Normal 58 4 4 9" xfId="9501"/>
    <cellStyle name="Normal 58 4 4 9 2" xfId="18328"/>
    <cellStyle name="Normal 58 4 4 9 3" xfId="28579"/>
    <cellStyle name="Normal 58 4 4_Degree data" xfId="1740"/>
    <cellStyle name="Normal 58 4 5" xfId="319"/>
    <cellStyle name="Normal 58 4 5 10" xfId="19791"/>
    <cellStyle name="Normal 58 4 5 2" xfId="766"/>
    <cellStyle name="Normal 58 4 5 2 2" xfId="2498"/>
    <cellStyle name="Normal 58 4 5 2 2 2" xfId="16393"/>
    <cellStyle name="Normal 58 4 5 2 2 2 2" xfId="26612"/>
    <cellStyle name="Normal 58 4 5 2 2 3" xfId="12815"/>
    <cellStyle name="Normal 58 4 5 2 2 4" xfId="7525"/>
    <cellStyle name="Normal 58 4 5 2 2 5" xfId="21605"/>
    <cellStyle name="Normal 58 4 5 2 3" xfId="3771"/>
    <cellStyle name="Normal 58 4 5 2 3 2" xfId="17418"/>
    <cellStyle name="Normal 58 4 5 2 3 2 2" xfId="27669"/>
    <cellStyle name="Normal 58 4 5 2 3 3" xfId="13839"/>
    <cellStyle name="Normal 58 4 5 2 3 4" xfId="8582"/>
    <cellStyle name="Normal 58 4 5 2 3 5" xfId="22662"/>
    <cellStyle name="Normal 58 4 5 2 4" xfId="6641"/>
    <cellStyle name="Normal 58 4 5 2 4 2" xfId="15725"/>
    <cellStyle name="Normal 58 4 5 2 4 3" xfId="25729"/>
    <cellStyle name="Normal 58 4 5 2 5" xfId="10036"/>
    <cellStyle name="Normal 58 4 5 2 5 2" xfId="18863"/>
    <cellStyle name="Normal 58 4 5 2 5 3" xfId="29114"/>
    <cellStyle name="Normal 58 4 5 2 6" xfId="11481"/>
    <cellStyle name="Normal 58 4 5 2 6 2" xfId="24211"/>
    <cellStyle name="Normal 58 4 5 2 7" xfId="5119"/>
    <cellStyle name="Normal 58 4 5 2 8" xfId="20722"/>
    <cellStyle name="Normal 58 4 5 3" xfId="1124"/>
    <cellStyle name="Normal 58 4 5 3 2" xfId="2846"/>
    <cellStyle name="Normal 58 4 5 3 2 2" xfId="16662"/>
    <cellStyle name="Normal 58 4 5 3 2 2 2" xfId="26881"/>
    <cellStyle name="Normal 58 4 5 3 2 3" xfId="13083"/>
    <cellStyle name="Normal 58 4 5 3 2 4" xfId="7794"/>
    <cellStyle name="Normal 58 4 5 3 2 5" xfId="21874"/>
    <cellStyle name="Normal 58 4 5 3 3" xfId="4120"/>
    <cellStyle name="Normal 58 4 5 3 3 2" xfId="17766"/>
    <cellStyle name="Normal 58 4 5 3 3 2 2" xfId="28017"/>
    <cellStyle name="Normal 58 4 5 3 3 3" xfId="14187"/>
    <cellStyle name="Normal 58 4 5 3 3 4" xfId="8930"/>
    <cellStyle name="Normal 58 4 5 3 3 5" xfId="23010"/>
    <cellStyle name="Normal 58 4 5 3 4" xfId="6201"/>
    <cellStyle name="Normal 58 4 5 3 4 2" xfId="15285"/>
    <cellStyle name="Normal 58 4 5 3 4 3" xfId="25289"/>
    <cellStyle name="Normal 58 4 5 3 5" xfId="10384"/>
    <cellStyle name="Normal 58 4 5 3 5 2" xfId="19211"/>
    <cellStyle name="Normal 58 4 5 3 5 3" xfId="29462"/>
    <cellStyle name="Normal 58 4 5 3 6" xfId="11830"/>
    <cellStyle name="Normal 58 4 5 3 6 2" xfId="24480"/>
    <cellStyle name="Normal 58 4 5 3 7" xfId="5388"/>
    <cellStyle name="Normal 58 4 5 3 8" xfId="20282"/>
    <cellStyle name="Normal 58 4 5 4" xfId="1506"/>
    <cellStyle name="Normal 58 4 5 4 2" xfId="3106"/>
    <cellStyle name="Normal 58 4 5 4 2 2" xfId="18026"/>
    <cellStyle name="Normal 58 4 5 4 2 2 2" xfId="28277"/>
    <cellStyle name="Normal 58 4 5 4 2 3" xfId="14447"/>
    <cellStyle name="Normal 58 4 5 4 2 4" xfId="9190"/>
    <cellStyle name="Normal 58 4 5 4 2 5" xfId="23270"/>
    <cellStyle name="Normal 58 4 5 4 3" xfId="10644"/>
    <cellStyle name="Normal 58 4 5 4 3 2" xfId="19471"/>
    <cellStyle name="Normal 58 4 5 4 3 3" xfId="29722"/>
    <cellStyle name="Normal 58 4 5 4 4" xfId="12090"/>
    <cellStyle name="Normal 58 4 5 4 4 2" xfId="26172"/>
    <cellStyle name="Normal 58 4 5 4 5" xfId="7085"/>
    <cellStyle name="Normal 58 4 5 4 6" xfId="21165"/>
    <cellStyle name="Normal 58 4 5 5" xfId="2063"/>
    <cellStyle name="Normal 58 4 5 5 2" xfId="16983"/>
    <cellStyle name="Normal 58 4 5 5 2 2" xfId="27234"/>
    <cellStyle name="Normal 58 4 5 5 3" xfId="13404"/>
    <cellStyle name="Normal 58 4 5 5 4" xfId="8147"/>
    <cellStyle name="Normal 58 4 5 5 5" xfId="22227"/>
    <cellStyle name="Normal 58 4 5 6" xfId="5708"/>
    <cellStyle name="Normal 58 4 5 6 2" xfId="14794"/>
    <cellStyle name="Normal 58 4 5 6 3" xfId="24798"/>
    <cellStyle name="Normal 58 4 5 7" xfId="9601"/>
    <cellStyle name="Normal 58 4 5 7 2" xfId="18428"/>
    <cellStyle name="Normal 58 4 5 7 3" xfId="28679"/>
    <cellStyle name="Normal 58 4 5 8" xfId="11045"/>
    <cellStyle name="Normal 58 4 5 8 2" xfId="23771"/>
    <cellStyle name="Normal 58 4 5 9" xfId="4679"/>
    <cellStyle name="Normal 58 4 5_Degree data" xfId="1742"/>
    <cellStyle name="Normal 58 4 6" xfId="162"/>
    <cellStyle name="Normal 58 4 6 10" xfId="20137"/>
    <cellStyle name="Normal 58 4 6 2" xfId="767"/>
    <cellStyle name="Normal 58 4 6 2 2" xfId="2499"/>
    <cellStyle name="Normal 58 4 6 2 2 2" xfId="16394"/>
    <cellStyle name="Normal 58 4 6 2 2 2 2" xfId="26613"/>
    <cellStyle name="Normal 58 4 6 2 2 3" xfId="12816"/>
    <cellStyle name="Normal 58 4 6 2 2 4" xfId="7526"/>
    <cellStyle name="Normal 58 4 6 2 2 5" xfId="21606"/>
    <cellStyle name="Normal 58 4 6 2 3" xfId="3772"/>
    <cellStyle name="Normal 58 4 6 2 3 2" xfId="17419"/>
    <cellStyle name="Normal 58 4 6 2 3 2 2" xfId="27670"/>
    <cellStyle name="Normal 58 4 6 2 3 3" xfId="13840"/>
    <cellStyle name="Normal 58 4 6 2 3 4" xfId="8583"/>
    <cellStyle name="Normal 58 4 6 2 3 5" xfId="22663"/>
    <cellStyle name="Normal 58 4 6 2 4" xfId="6642"/>
    <cellStyle name="Normal 58 4 6 2 4 2" xfId="15726"/>
    <cellStyle name="Normal 58 4 6 2 4 3" xfId="25730"/>
    <cellStyle name="Normal 58 4 6 2 5" xfId="10037"/>
    <cellStyle name="Normal 58 4 6 2 5 2" xfId="18864"/>
    <cellStyle name="Normal 58 4 6 2 5 3" xfId="29115"/>
    <cellStyle name="Normal 58 4 6 2 6" xfId="11482"/>
    <cellStyle name="Normal 58 4 6 2 6 2" xfId="24212"/>
    <cellStyle name="Normal 58 4 6 2 7" xfId="5120"/>
    <cellStyle name="Normal 58 4 6 2 8" xfId="20723"/>
    <cellStyle name="Normal 58 4 6 3" xfId="1125"/>
    <cellStyle name="Normal 58 4 6 3 2" xfId="2847"/>
    <cellStyle name="Normal 58 4 6 3 2 2" xfId="16517"/>
    <cellStyle name="Normal 58 4 6 3 2 2 2" xfId="26736"/>
    <cellStyle name="Normal 58 4 6 3 2 3" xfId="12939"/>
    <cellStyle name="Normal 58 4 6 3 2 4" xfId="7649"/>
    <cellStyle name="Normal 58 4 6 3 2 5" xfId="21729"/>
    <cellStyle name="Normal 58 4 6 3 3" xfId="4121"/>
    <cellStyle name="Normal 58 4 6 3 3 2" xfId="17767"/>
    <cellStyle name="Normal 58 4 6 3 3 2 2" xfId="28018"/>
    <cellStyle name="Normal 58 4 6 3 3 3" xfId="14188"/>
    <cellStyle name="Normal 58 4 6 3 3 4" xfId="8931"/>
    <cellStyle name="Normal 58 4 6 3 3 5" xfId="23011"/>
    <cellStyle name="Normal 58 4 6 3 4" xfId="6737"/>
    <cellStyle name="Normal 58 4 6 3 4 2" xfId="15820"/>
    <cellStyle name="Normal 58 4 6 3 4 3" xfId="25824"/>
    <cellStyle name="Normal 58 4 6 3 5" xfId="10385"/>
    <cellStyle name="Normal 58 4 6 3 5 2" xfId="19212"/>
    <cellStyle name="Normal 58 4 6 3 5 3" xfId="29463"/>
    <cellStyle name="Normal 58 4 6 3 6" xfId="11831"/>
    <cellStyle name="Normal 58 4 6 3 6 2" xfId="24335"/>
    <cellStyle name="Normal 58 4 6 3 7" xfId="5243"/>
    <cellStyle name="Normal 58 4 6 3 8" xfId="20817"/>
    <cellStyle name="Normal 58 4 6 4" xfId="1349"/>
    <cellStyle name="Normal 58 4 6 4 2" xfId="2961"/>
    <cellStyle name="Normal 58 4 6 4 2 2" xfId="17881"/>
    <cellStyle name="Normal 58 4 6 4 2 2 2" xfId="28132"/>
    <cellStyle name="Normal 58 4 6 4 2 3" xfId="14302"/>
    <cellStyle name="Normal 58 4 6 4 2 4" xfId="9045"/>
    <cellStyle name="Normal 58 4 6 4 2 5" xfId="23125"/>
    <cellStyle name="Normal 58 4 6 4 3" xfId="10499"/>
    <cellStyle name="Normal 58 4 6 4 3 2" xfId="19326"/>
    <cellStyle name="Normal 58 4 6 4 3 3" xfId="29577"/>
    <cellStyle name="Normal 58 4 6 4 4" xfId="11945"/>
    <cellStyle name="Normal 58 4 6 4 4 2" xfId="26027"/>
    <cellStyle name="Normal 58 4 6 4 5" xfId="6940"/>
    <cellStyle name="Normal 58 4 6 4 6" xfId="21020"/>
    <cellStyle name="Normal 58 4 6 5" xfId="1918"/>
    <cellStyle name="Normal 58 4 6 5 2" xfId="16836"/>
    <cellStyle name="Normal 58 4 6 5 2 2" xfId="27087"/>
    <cellStyle name="Normal 58 4 6 5 3" xfId="13257"/>
    <cellStyle name="Normal 58 4 6 5 4" xfId="8000"/>
    <cellStyle name="Normal 58 4 6 5 5" xfId="22080"/>
    <cellStyle name="Normal 58 4 6 6" xfId="6056"/>
    <cellStyle name="Normal 58 4 6 6 2" xfId="15140"/>
    <cellStyle name="Normal 58 4 6 6 3" xfId="25144"/>
    <cellStyle name="Normal 58 4 6 7" xfId="9456"/>
    <cellStyle name="Normal 58 4 6 7 2" xfId="18283"/>
    <cellStyle name="Normal 58 4 6 7 3" xfId="28534"/>
    <cellStyle name="Normal 58 4 6 8" xfId="10900"/>
    <cellStyle name="Normal 58 4 6 8 2" xfId="23626"/>
    <cellStyle name="Normal 58 4 6 9" xfId="4534"/>
    <cellStyle name="Normal 58 4 6_Degree data" xfId="1743"/>
    <cellStyle name="Normal 58 4 7" xfId="758"/>
    <cellStyle name="Normal 58 4 7 2" xfId="2490"/>
    <cellStyle name="Normal 58 4 7 2 2" xfId="16385"/>
    <cellStyle name="Normal 58 4 7 2 2 2" xfId="26604"/>
    <cellStyle name="Normal 58 4 7 2 3" xfId="12807"/>
    <cellStyle name="Normal 58 4 7 2 4" xfId="7517"/>
    <cellStyle name="Normal 58 4 7 2 5" xfId="21597"/>
    <cellStyle name="Normal 58 4 7 3" xfId="3763"/>
    <cellStyle name="Normal 58 4 7 3 2" xfId="17410"/>
    <cellStyle name="Normal 58 4 7 3 2 2" xfId="27661"/>
    <cellStyle name="Normal 58 4 7 3 3" xfId="13831"/>
    <cellStyle name="Normal 58 4 7 3 4" xfId="8574"/>
    <cellStyle name="Normal 58 4 7 3 5" xfId="22654"/>
    <cellStyle name="Normal 58 4 7 4" xfId="6633"/>
    <cellStyle name="Normal 58 4 7 4 2" xfId="15717"/>
    <cellStyle name="Normal 58 4 7 4 3" xfId="25721"/>
    <cellStyle name="Normal 58 4 7 5" xfId="10028"/>
    <cellStyle name="Normal 58 4 7 5 2" xfId="18855"/>
    <cellStyle name="Normal 58 4 7 5 3" xfId="29106"/>
    <cellStyle name="Normal 58 4 7 6" xfId="11473"/>
    <cellStyle name="Normal 58 4 7 6 2" xfId="24203"/>
    <cellStyle name="Normal 58 4 7 7" xfId="5111"/>
    <cellStyle name="Normal 58 4 7 8" xfId="20714"/>
    <cellStyle name="Normal 58 4 8" xfId="1116"/>
    <cellStyle name="Normal 58 4 8 2" xfId="2838"/>
    <cellStyle name="Normal 58 4 8 2 2" xfId="16474"/>
    <cellStyle name="Normal 58 4 8 2 2 2" xfId="26693"/>
    <cellStyle name="Normal 58 4 8 2 3" xfId="12896"/>
    <cellStyle name="Normal 58 4 8 2 4" xfId="7606"/>
    <cellStyle name="Normal 58 4 8 2 5" xfId="21686"/>
    <cellStyle name="Normal 58 4 8 3" xfId="4112"/>
    <cellStyle name="Normal 58 4 8 3 2" xfId="17758"/>
    <cellStyle name="Normal 58 4 8 3 2 2" xfId="28009"/>
    <cellStyle name="Normal 58 4 8 3 3" xfId="14179"/>
    <cellStyle name="Normal 58 4 8 3 4" xfId="8922"/>
    <cellStyle name="Normal 58 4 8 3 5" xfId="23002"/>
    <cellStyle name="Normal 58 4 8 4" xfId="5881"/>
    <cellStyle name="Normal 58 4 8 4 2" xfId="14967"/>
    <cellStyle name="Normal 58 4 8 4 3" xfId="24971"/>
    <cellStyle name="Normal 58 4 8 5" xfId="10376"/>
    <cellStyle name="Normal 58 4 8 5 2" xfId="19203"/>
    <cellStyle name="Normal 58 4 8 5 3" xfId="29454"/>
    <cellStyle name="Normal 58 4 8 6" xfId="11822"/>
    <cellStyle name="Normal 58 4 8 6 2" xfId="24292"/>
    <cellStyle name="Normal 58 4 8 7" xfId="5200"/>
    <cellStyle name="Normal 58 4 8 8" xfId="19964"/>
    <cellStyle name="Normal 58 4 9" xfId="1278"/>
    <cellStyle name="Normal 58 4 9 2" xfId="2918"/>
    <cellStyle name="Normal 58 4 9 2 2" xfId="17838"/>
    <cellStyle name="Normal 58 4 9 2 2 2" xfId="28089"/>
    <cellStyle name="Normal 58 4 9 2 3" xfId="14259"/>
    <cellStyle name="Normal 58 4 9 2 4" xfId="9002"/>
    <cellStyle name="Normal 58 4 9 2 5" xfId="23082"/>
    <cellStyle name="Normal 58 4 9 3" xfId="10456"/>
    <cellStyle name="Normal 58 4 9 3 2" xfId="19283"/>
    <cellStyle name="Normal 58 4 9 3 3" xfId="29534"/>
    <cellStyle name="Normal 58 4 9 4" xfId="11902"/>
    <cellStyle name="Normal 58 4 9 4 2" xfId="25855"/>
    <cellStyle name="Normal 58 4 9 5" xfId="6768"/>
    <cellStyle name="Normal 58 4 9 6" xfId="20848"/>
    <cellStyle name="Normal 58 4_Degree data" xfId="1734"/>
    <cellStyle name="Normal 58 5" xfId="130"/>
    <cellStyle name="Normal 58 5 10" xfId="1858"/>
    <cellStyle name="Normal 58 5 10 2" xfId="14664"/>
    <cellStyle name="Normal 58 5 10 3" xfId="5578"/>
    <cellStyle name="Normal 58 5 10 4" xfId="24668"/>
    <cellStyle name="Normal 58 5 11" xfId="9396"/>
    <cellStyle name="Normal 58 5 11 2" xfId="18223"/>
    <cellStyle name="Normal 58 5 11 3" xfId="28474"/>
    <cellStyle name="Normal 58 5 12" xfId="10840"/>
    <cellStyle name="Normal 58 5 12 2" xfId="23481"/>
    <cellStyle name="Normal 58 5 13" xfId="4389"/>
    <cellStyle name="Normal 58 5 14" xfId="19661"/>
    <cellStyle name="Normal 58 5 2" xfId="289"/>
    <cellStyle name="Normal 58 5 2 10" xfId="11015"/>
    <cellStyle name="Normal 58 5 2 10 2" xfId="23524"/>
    <cellStyle name="Normal 58 5 2 11" xfId="4432"/>
    <cellStyle name="Normal 58 5 2 12" xfId="19761"/>
    <cellStyle name="Normal 58 5 2 2" xfId="391"/>
    <cellStyle name="Normal 58 5 2 2 10" xfId="19861"/>
    <cellStyle name="Normal 58 5 2 2 2" xfId="770"/>
    <cellStyle name="Normal 58 5 2 2 2 2" xfId="2502"/>
    <cellStyle name="Normal 58 5 2 2 2 2 2" xfId="16397"/>
    <cellStyle name="Normal 58 5 2 2 2 2 2 2" xfId="26616"/>
    <cellStyle name="Normal 58 5 2 2 2 2 3" xfId="12819"/>
    <cellStyle name="Normal 58 5 2 2 2 2 4" xfId="7529"/>
    <cellStyle name="Normal 58 5 2 2 2 2 5" xfId="21609"/>
    <cellStyle name="Normal 58 5 2 2 2 3" xfId="3775"/>
    <cellStyle name="Normal 58 5 2 2 2 3 2" xfId="17422"/>
    <cellStyle name="Normal 58 5 2 2 2 3 2 2" xfId="27673"/>
    <cellStyle name="Normal 58 5 2 2 2 3 3" xfId="13843"/>
    <cellStyle name="Normal 58 5 2 2 2 3 4" xfId="8586"/>
    <cellStyle name="Normal 58 5 2 2 2 3 5" xfId="22666"/>
    <cellStyle name="Normal 58 5 2 2 2 4" xfId="6645"/>
    <cellStyle name="Normal 58 5 2 2 2 4 2" xfId="15729"/>
    <cellStyle name="Normal 58 5 2 2 2 4 3" xfId="25733"/>
    <cellStyle name="Normal 58 5 2 2 2 5" xfId="10040"/>
    <cellStyle name="Normal 58 5 2 2 2 5 2" xfId="18867"/>
    <cellStyle name="Normal 58 5 2 2 2 5 3" xfId="29118"/>
    <cellStyle name="Normal 58 5 2 2 2 6" xfId="11485"/>
    <cellStyle name="Normal 58 5 2 2 2 6 2" xfId="24215"/>
    <cellStyle name="Normal 58 5 2 2 2 7" xfId="5123"/>
    <cellStyle name="Normal 58 5 2 2 2 8" xfId="20726"/>
    <cellStyle name="Normal 58 5 2 2 3" xfId="1128"/>
    <cellStyle name="Normal 58 5 2 2 3 2" xfId="2850"/>
    <cellStyle name="Normal 58 5 2 2 3 2 2" xfId="16732"/>
    <cellStyle name="Normal 58 5 2 2 3 2 2 2" xfId="26951"/>
    <cellStyle name="Normal 58 5 2 2 3 2 3" xfId="13153"/>
    <cellStyle name="Normal 58 5 2 2 3 2 4" xfId="7864"/>
    <cellStyle name="Normal 58 5 2 2 3 2 5" xfId="21944"/>
    <cellStyle name="Normal 58 5 2 2 3 3" xfId="4124"/>
    <cellStyle name="Normal 58 5 2 2 3 3 2" xfId="17770"/>
    <cellStyle name="Normal 58 5 2 2 3 3 2 2" xfId="28021"/>
    <cellStyle name="Normal 58 5 2 2 3 3 3" xfId="14191"/>
    <cellStyle name="Normal 58 5 2 2 3 3 4" xfId="8934"/>
    <cellStyle name="Normal 58 5 2 2 3 3 5" xfId="23014"/>
    <cellStyle name="Normal 58 5 2 2 3 4" xfId="6271"/>
    <cellStyle name="Normal 58 5 2 2 3 4 2" xfId="15355"/>
    <cellStyle name="Normal 58 5 2 2 3 4 3" xfId="25359"/>
    <cellStyle name="Normal 58 5 2 2 3 5" xfId="10388"/>
    <cellStyle name="Normal 58 5 2 2 3 5 2" xfId="19215"/>
    <cellStyle name="Normal 58 5 2 2 3 5 3" xfId="29466"/>
    <cellStyle name="Normal 58 5 2 2 3 6" xfId="11834"/>
    <cellStyle name="Normal 58 5 2 2 3 6 2" xfId="24550"/>
    <cellStyle name="Normal 58 5 2 2 3 7" xfId="5458"/>
    <cellStyle name="Normal 58 5 2 2 3 8" xfId="20352"/>
    <cellStyle name="Normal 58 5 2 2 4" xfId="1578"/>
    <cellStyle name="Normal 58 5 2 2 4 2" xfId="3176"/>
    <cellStyle name="Normal 58 5 2 2 4 2 2" xfId="18096"/>
    <cellStyle name="Normal 58 5 2 2 4 2 2 2" xfId="28347"/>
    <cellStyle name="Normal 58 5 2 2 4 2 3" xfId="14517"/>
    <cellStyle name="Normal 58 5 2 2 4 2 4" xfId="9260"/>
    <cellStyle name="Normal 58 5 2 2 4 2 5" xfId="23340"/>
    <cellStyle name="Normal 58 5 2 2 4 3" xfId="10714"/>
    <cellStyle name="Normal 58 5 2 2 4 3 2" xfId="19541"/>
    <cellStyle name="Normal 58 5 2 2 4 3 3" xfId="29792"/>
    <cellStyle name="Normal 58 5 2 2 4 4" xfId="12160"/>
    <cellStyle name="Normal 58 5 2 2 4 4 2" xfId="26242"/>
    <cellStyle name="Normal 58 5 2 2 4 5" xfId="7155"/>
    <cellStyle name="Normal 58 5 2 2 4 6" xfId="21235"/>
    <cellStyle name="Normal 58 5 2 2 5" xfId="2133"/>
    <cellStyle name="Normal 58 5 2 2 5 2" xfId="17053"/>
    <cellStyle name="Normal 58 5 2 2 5 2 2" xfId="27304"/>
    <cellStyle name="Normal 58 5 2 2 5 3" xfId="13474"/>
    <cellStyle name="Normal 58 5 2 2 5 4" xfId="8217"/>
    <cellStyle name="Normal 58 5 2 2 5 5" xfId="22297"/>
    <cellStyle name="Normal 58 5 2 2 6" xfId="5778"/>
    <cellStyle name="Normal 58 5 2 2 6 2" xfId="14864"/>
    <cellStyle name="Normal 58 5 2 2 6 3" xfId="24868"/>
    <cellStyle name="Normal 58 5 2 2 7" xfId="9671"/>
    <cellStyle name="Normal 58 5 2 2 7 2" xfId="18498"/>
    <cellStyle name="Normal 58 5 2 2 7 3" xfId="28749"/>
    <cellStyle name="Normal 58 5 2 2 8" xfId="11115"/>
    <cellStyle name="Normal 58 5 2 2 8 2" xfId="23841"/>
    <cellStyle name="Normal 58 5 2 2 9" xfId="4749"/>
    <cellStyle name="Normal 58 5 2 2_Degree data" xfId="1746"/>
    <cellStyle name="Normal 58 5 2 3" xfId="769"/>
    <cellStyle name="Normal 58 5 2 3 2" xfId="2501"/>
    <cellStyle name="Normal 58 5 2 3 2 2" xfId="16069"/>
    <cellStyle name="Normal 58 5 2 3 2 2 2" xfId="26142"/>
    <cellStyle name="Normal 58 5 2 3 2 3" xfId="12306"/>
    <cellStyle name="Normal 58 5 2 3 2 4" xfId="7055"/>
    <cellStyle name="Normal 58 5 2 3 2 5" xfId="21135"/>
    <cellStyle name="Normal 58 5 2 3 3" xfId="3774"/>
    <cellStyle name="Normal 58 5 2 3 3 2" xfId="17421"/>
    <cellStyle name="Normal 58 5 2 3 3 2 2" xfId="27672"/>
    <cellStyle name="Normal 58 5 2 3 3 3" xfId="13842"/>
    <cellStyle name="Normal 58 5 2 3 3 4" xfId="8585"/>
    <cellStyle name="Normal 58 5 2 3 3 5" xfId="22665"/>
    <cellStyle name="Normal 58 5 2 3 4" xfId="6171"/>
    <cellStyle name="Normal 58 5 2 3 4 2" xfId="15255"/>
    <cellStyle name="Normal 58 5 2 3 4 3" xfId="25259"/>
    <cellStyle name="Normal 58 5 2 3 5" xfId="10039"/>
    <cellStyle name="Normal 58 5 2 3 5 2" xfId="18866"/>
    <cellStyle name="Normal 58 5 2 3 5 3" xfId="29117"/>
    <cellStyle name="Normal 58 5 2 3 6" xfId="11484"/>
    <cellStyle name="Normal 58 5 2 3 6 2" xfId="23741"/>
    <cellStyle name="Normal 58 5 2 3 7" xfId="4649"/>
    <cellStyle name="Normal 58 5 2 3 8" xfId="20252"/>
    <cellStyle name="Normal 58 5 2 4" xfId="1127"/>
    <cellStyle name="Normal 58 5 2 4 2" xfId="2849"/>
    <cellStyle name="Normal 58 5 2 4 2 2" xfId="16396"/>
    <cellStyle name="Normal 58 5 2 4 2 2 2" xfId="26615"/>
    <cellStyle name="Normal 58 5 2 4 2 3" xfId="12818"/>
    <cellStyle name="Normal 58 5 2 4 2 4" xfId="7528"/>
    <cellStyle name="Normal 58 5 2 4 2 5" xfId="21608"/>
    <cellStyle name="Normal 58 5 2 4 3" xfId="4123"/>
    <cellStyle name="Normal 58 5 2 4 3 2" xfId="17769"/>
    <cellStyle name="Normal 58 5 2 4 3 2 2" xfId="28020"/>
    <cellStyle name="Normal 58 5 2 4 3 3" xfId="14190"/>
    <cellStyle name="Normal 58 5 2 4 3 4" xfId="8933"/>
    <cellStyle name="Normal 58 5 2 4 3 5" xfId="23013"/>
    <cellStyle name="Normal 58 5 2 4 4" xfId="6644"/>
    <cellStyle name="Normal 58 5 2 4 4 2" xfId="15728"/>
    <cellStyle name="Normal 58 5 2 4 4 3" xfId="25732"/>
    <cellStyle name="Normal 58 5 2 4 5" xfId="10387"/>
    <cellStyle name="Normal 58 5 2 4 5 2" xfId="19214"/>
    <cellStyle name="Normal 58 5 2 4 5 3" xfId="29465"/>
    <cellStyle name="Normal 58 5 2 4 6" xfId="11833"/>
    <cellStyle name="Normal 58 5 2 4 6 2" xfId="24214"/>
    <cellStyle name="Normal 58 5 2 4 7" xfId="5122"/>
    <cellStyle name="Normal 58 5 2 4 8" xfId="20725"/>
    <cellStyle name="Normal 58 5 2 5" xfId="1476"/>
    <cellStyle name="Normal 58 5 2 5 2" xfId="3076"/>
    <cellStyle name="Normal 58 5 2 5 2 2" xfId="16632"/>
    <cellStyle name="Normal 58 5 2 5 2 2 2" xfId="26851"/>
    <cellStyle name="Normal 58 5 2 5 2 3" xfId="13053"/>
    <cellStyle name="Normal 58 5 2 5 2 4" xfId="7764"/>
    <cellStyle name="Normal 58 5 2 5 2 5" xfId="21844"/>
    <cellStyle name="Normal 58 5 2 5 3" xfId="4290"/>
    <cellStyle name="Normal 58 5 2 5 3 2" xfId="17996"/>
    <cellStyle name="Normal 58 5 2 5 3 2 2" xfId="28247"/>
    <cellStyle name="Normal 58 5 2 5 3 3" xfId="14417"/>
    <cellStyle name="Normal 58 5 2 5 3 4" xfId="9160"/>
    <cellStyle name="Normal 58 5 2 5 3 5" xfId="23240"/>
    <cellStyle name="Normal 58 5 2 5 4" xfId="5952"/>
    <cellStyle name="Normal 58 5 2 5 4 2" xfId="15038"/>
    <cellStyle name="Normal 58 5 2 5 4 3" xfId="25042"/>
    <cellStyle name="Normal 58 5 2 5 5" xfId="10614"/>
    <cellStyle name="Normal 58 5 2 5 5 2" xfId="19441"/>
    <cellStyle name="Normal 58 5 2 5 5 3" xfId="29692"/>
    <cellStyle name="Normal 58 5 2 5 6" xfId="12060"/>
    <cellStyle name="Normal 58 5 2 5 6 2" xfId="24450"/>
    <cellStyle name="Normal 58 5 2 5 7" xfId="5358"/>
    <cellStyle name="Normal 58 5 2 5 8" xfId="20035"/>
    <cellStyle name="Normal 58 5 2 6" xfId="2033"/>
    <cellStyle name="Normal 58 5 2 6 2" xfId="15881"/>
    <cellStyle name="Normal 58 5 2 6 2 2" xfId="25925"/>
    <cellStyle name="Normal 58 5 2 6 3" xfId="10809"/>
    <cellStyle name="Normal 58 5 2 6 4" xfId="6838"/>
    <cellStyle name="Normal 58 5 2 6 5" xfId="20918"/>
    <cellStyle name="Normal 58 5 2 7" xfId="3452"/>
    <cellStyle name="Normal 58 5 2 7 2" xfId="16953"/>
    <cellStyle name="Normal 58 5 2 7 2 2" xfId="27204"/>
    <cellStyle name="Normal 58 5 2 7 3" xfId="13374"/>
    <cellStyle name="Normal 58 5 2 7 4" xfId="8117"/>
    <cellStyle name="Normal 58 5 2 7 5" xfId="22197"/>
    <cellStyle name="Normal 58 5 2 8" xfId="5678"/>
    <cellStyle name="Normal 58 5 2 8 2" xfId="14764"/>
    <cellStyle name="Normal 58 5 2 8 3" xfId="24768"/>
    <cellStyle name="Normal 58 5 2 9" xfId="9571"/>
    <cellStyle name="Normal 58 5 2 9 2" xfId="18398"/>
    <cellStyle name="Normal 58 5 2 9 3" xfId="28649"/>
    <cellStyle name="Normal 58 5 2_Degree data" xfId="1745"/>
    <cellStyle name="Normal 58 5 3" xfId="244"/>
    <cellStyle name="Normal 58 5 3 10" xfId="10972"/>
    <cellStyle name="Normal 58 5 3 10 2" xfId="23585"/>
    <cellStyle name="Normal 58 5 3 11" xfId="4493"/>
    <cellStyle name="Normal 58 5 3 12" xfId="19718"/>
    <cellStyle name="Normal 58 5 3 2" xfId="453"/>
    <cellStyle name="Normal 58 5 3 2 10" xfId="19922"/>
    <cellStyle name="Normal 58 5 3 2 2" xfId="772"/>
    <cellStyle name="Normal 58 5 3 2 2 2" xfId="2504"/>
    <cellStyle name="Normal 58 5 3 2 2 2 2" xfId="16399"/>
    <cellStyle name="Normal 58 5 3 2 2 2 2 2" xfId="26618"/>
    <cellStyle name="Normal 58 5 3 2 2 2 3" xfId="12821"/>
    <cellStyle name="Normal 58 5 3 2 2 2 4" xfId="7531"/>
    <cellStyle name="Normal 58 5 3 2 2 2 5" xfId="21611"/>
    <cellStyle name="Normal 58 5 3 2 2 3" xfId="3777"/>
    <cellStyle name="Normal 58 5 3 2 2 3 2" xfId="17424"/>
    <cellStyle name="Normal 58 5 3 2 2 3 2 2" xfId="27675"/>
    <cellStyle name="Normal 58 5 3 2 2 3 3" xfId="13845"/>
    <cellStyle name="Normal 58 5 3 2 2 3 4" xfId="8588"/>
    <cellStyle name="Normal 58 5 3 2 2 3 5" xfId="22668"/>
    <cellStyle name="Normal 58 5 3 2 2 4" xfId="6647"/>
    <cellStyle name="Normal 58 5 3 2 2 4 2" xfId="15731"/>
    <cellStyle name="Normal 58 5 3 2 2 4 3" xfId="25735"/>
    <cellStyle name="Normal 58 5 3 2 2 5" xfId="10042"/>
    <cellStyle name="Normal 58 5 3 2 2 5 2" xfId="18869"/>
    <cellStyle name="Normal 58 5 3 2 2 5 3" xfId="29120"/>
    <cellStyle name="Normal 58 5 3 2 2 6" xfId="11487"/>
    <cellStyle name="Normal 58 5 3 2 2 6 2" xfId="24217"/>
    <cellStyle name="Normal 58 5 3 2 2 7" xfId="5125"/>
    <cellStyle name="Normal 58 5 3 2 2 8" xfId="20728"/>
    <cellStyle name="Normal 58 5 3 2 3" xfId="1130"/>
    <cellStyle name="Normal 58 5 3 2 3 2" xfId="2852"/>
    <cellStyle name="Normal 58 5 3 2 3 2 2" xfId="16793"/>
    <cellStyle name="Normal 58 5 3 2 3 2 2 2" xfId="27012"/>
    <cellStyle name="Normal 58 5 3 2 3 2 3" xfId="13214"/>
    <cellStyle name="Normal 58 5 3 2 3 2 4" xfId="7925"/>
    <cellStyle name="Normal 58 5 3 2 3 2 5" xfId="22005"/>
    <cellStyle name="Normal 58 5 3 2 3 3" xfId="4126"/>
    <cellStyle name="Normal 58 5 3 2 3 3 2" xfId="17772"/>
    <cellStyle name="Normal 58 5 3 2 3 3 2 2" xfId="28023"/>
    <cellStyle name="Normal 58 5 3 2 3 3 3" xfId="14193"/>
    <cellStyle name="Normal 58 5 3 2 3 3 4" xfId="8936"/>
    <cellStyle name="Normal 58 5 3 2 3 3 5" xfId="23016"/>
    <cellStyle name="Normal 58 5 3 2 3 4" xfId="6332"/>
    <cellStyle name="Normal 58 5 3 2 3 4 2" xfId="15416"/>
    <cellStyle name="Normal 58 5 3 2 3 4 3" xfId="25420"/>
    <cellStyle name="Normal 58 5 3 2 3 5" xfId="10390"/>
    <cellStyle name="Normal 58 5 3 2 3 5 2" xfId="19217"/>
    <cellStyle name="Normal 58 5 3 2 3 5 3" xfId="29468"/>
    <cellStyle name="Normal 58 5 3 2 3 6" xfId="11836"/>
    <cellStyle name="Normal 58 5 3 2 3 6 2" xfId="24611"/>
    <cellStyle name="Normal 58 5 3 2 3 7" xfId="5519"/>
    <cellStyle name="Normal 58 5 3 2 3 8" xfId="20413"/>
    <cellStyle name="Normal 58 5 3 2 4" xfId="1640"/>
    <cellStyle name="Normal 58 5 3 2 4 2" xfId="3237"/>
    <cellStyle name="Normal 58 5 3 2 4 2 2" xfId="18157"/>
    <cellStyle name="Normal 58 5 3 2 4 2 2 2" xfId="28408"/>
    <cellStyle name="Normal 58 5 3 2 4 2 3" xfId="14578"/>
    <cellStyle name="Normal 58 5 3 2 4 2 4" xfId="9321"/>
    <cellStyle name="Normal 58 5 3 2 4 2 5" xfId="23401"/>
    <cellStyle name="Normal 58 5 3 2 4 3" xfId="10775"/>
    <cellStyle name="Normal 58 5 3 2 4 3 2" xfId="19602"/>
    <cellStyle name="Normal 58 5 3 2 4 3 3" xfId="29853"/>
    <cellStyle name="Normal 58 5 3 2 4 4" xfId="12221"/>
    <cellStyle name="Normal 58 5 3 2 4 4 2" xfId="26303"/>
    <cellStyle name="Normal 58 5 3 2 4 5" xfId="7216"/>
    <cellStyle name="Normal 58 5 3 2 4 6" xfId="21296"/>
    <cellStyle name="Normal 58 5 3 2 5" xfId="2194"/>
    <cellStyle name="Normal 58 5 3 2 5 2" xfId="17114"/>
    <cellStyle name="Normal 58 5 3 2 5 2 2" xfId="27365"/>
    <cellStyle name="Normal 58 5 3 2 5 3" xfId="13535"/>
    <cellStyle name="Normal 58 5 3 2 5 4" xfId="8278"/>
    <cellStyle name="Normal 58 5 3 2 5 5" xfId="22358"/>
    <cellStyle name="Normal 58 5 3 2 6" xfId="5839"/>
    <cellStyle name="Normal 58 5 3 2 6 2" xfId="14925"/>
    <cellStyle name="Normal 58 5 3 2 6 3" xfId="24929"/>
    <cellStyle name="Normal 58 5 3 2 7" xfId="9732"/>
    <cellStyle name="Normal 58 5 3 2 7 2" xfId="18559"/>
    <cellStyle name="Normal 58 5 3 2 7 3" xfId="28810"/>
    <cellStyle name="Normal 58 5 3 2 8" xfId="11176"/>
    <cellStyle name="Normal 58 5 3 2 8 2" xfId="23902"/>
    <cellStyle name="Normal 58 5 3 2 9" xfId="4810"/>
    <cellStyle name="Normal 58 5 3 2_Degree data" xfId="1748"/>
    <cellStyle name="Normal 58 5 3 3" xfId="771"/>
    <cellStyle name="Normal 58 5 3 3 2" xfId="2503"/>
    <cellStyle name="Normal 58 5 3 3 2 2" xfId="16026"/>
    <cellStyle name="Normal 58 5 3 3 2 2 2" xfId="26099"/>
    <cellStyle name="Normal 58 5 3 3 2 3" xfId="12317"/>
    <cellStyle name="Normal 58 5 3 3 2 4" xfId="7012"/>
    <cellStyle name="Normal 58 5 3 3 2 5" xfId="21092"/>
    <cellStyle name="Normal 58 5 3 3 3" xfId="3776"/>
    <cellStyle name="Normal 58 5 3 3 3 2" xfId="17423"/>
    <cellStyle name="Normal 58 5 3 3 3 2 2" xfId="27674"/>
    <cellStyle name="Normal 58 5 3 3 3 3" xfId="13844"/>
    <cellStyle name="Normal 58 5 3 3 3 4" xfId="8587"/>
    <cellStyle name="Normal 58 5 3 3 3 5" xfId="22667"/>
    <cellStyle name="Normal 58 5 3 3 4" xfId="6128"/>
    <cellStyle name="Normal 58 5 3 3 4 2" xfId="15212"/>
    <cellStyle name="Normal 58 5 3 3 4 3" xfId="25216"/>
    <cellStyle name="Normal 58 5 3 3 5" xfId="10041"/>
    <cellStyle name="Normal 58 5 3 3 5 2" xfId="18868"/>
    <cellStyle name="Normal 58 5 3 3 5 3" xfId="29119"/>
    <cellStyle name="Normal 58 5 3 3 6" xfId="11486"/>
    <cellStyle name="Normal 58 5 3 3 6 2" xfId="23698"/>
    <cellStyle name="Normal 58 5 3 3 7" xfId="4606"/>
    <cellStyle name="Normal 58 5 3 3 8" xfId="20209"/>
    <cellStyle name="Normal 58 5 3 4" xfId="1129"/>
    <cellStyle name="Normal 58 5 3 4 2" xfId="2851"/>
    <cellStyle name="Normal 58 5 3 4 2 2" xfId="16398"/>
    <cellStyle name="Normal 58 5 3 4 2 2 2" xfId="26617"/>
    <cellStyle name="Normal 58 5 3 4 2 3" xfId="12820"/>
    <cellStyle name="Normal 58 5 3 4 2 4" xfId="7530"/>
    <cellStyle name="Normal 58 5 3 4 2 5" xfId="21610"/>
    <cellStyle name="Normal 58 5 3 4 3" xfId="4125"/>
    <cellStyle name="Normal 58 5 3 4 3 2" xfId="17771"/>
    <cellStyle name="Normal 58 5 3 4 3 2 2" xfId="28022"/>
    <cellStyle name="Normal 58 5 3 4 3 3" xfId="14192"/>
    <cellStyle name="Normal 58 5 3 4 3 4" xfId="8935"/>
    <cellStyle name="Normal 58 5 3 4 3 5" xfId="23015"/>
    <cellStyle name="Normal 58 5 3 4 4" xfId="6646"/>
    <cellStyle name="Normal 58 5 3 4 4 2" xfId="15730"/>
    <cellStyle name="Normal 58 5 3 4 4 3" xfId="25734"/>
    <cellStyle name="Normal 58 5 3 4 5" xfId="10389"/>
    <cellStyle name="Normal 58 5 3 4 5 2" xfId="19216"/>
    <cellStyle name="Normal 58 5 3 4 5 3" xfId="29467"/>
    <cellStyle name="Normal 58 5 3 4 6" xfId="11835"/>
    <cellStyle name="Normal 58 5 3 4 6 2" xfId="24216"/>
    <cellStyle name="Normal 58 5 3 4 7" xfId="5124"/>
    <cellStyle name="Normal 58 5 3 4 8" xfId="20727"/>
    <cellStyle name="Normal 58 5 3 5" xfId="1431"/>
    <cellStyle name="Normal 58 5 3 5 2" xfId="3033"/>
    <cellStyle name="Normal 58 5 3 5 2 2" xfId="16589"/>
    <cellStyle name="Normal 58 5 3 5 2 2 2" xfId="26808"/>
    <cellStyle name="Normal 58 5 3 5 2 3" xfId="13010"/>
    <cellStyle name="Normal 58 5 3 5 2 4" xfId="7721"/>
    <cellStyle name="Normal 58 5 3 5 2 5" xfId="21801"/>
    <cellStyle name="Normal 58 5 3 5 3" xfId="4247"/>
    <cellStyle name="Normal 58 5 3 5 3 2" xfId="17953"/>
    <cellStyle name="Normal 58 5 3 5 3 2 2" xfId="28204"/>
    <cellStyle name="Normal 58 5 3 5 3 3" xfId="14374"/>
    <cellStyle name="Normal 58 5 3 5 3 4" xfId="9117"/>
    <cellStyle name="Normal 58 5 3 5 3 5" xfId="23197"/>
    <cellStyle name="Normal 58 5 3 5 4" xfId="6013"/>
    <cellStyle name="Normal 58 5 3 5 4 2" xfId="15099"/>
    <cellStyle name="Normal 58 5 3 5 4 3" xfId="25103"/>
    <cellStyle name="Normal 58 5 3 5 5" xfId="10571"/>
    <cellStyle name="Normal 58 5 3 5 5 2" xfId="19398"/>
    <cellStyle name="Normal 58 5 3 5 5 3" xfId="29649"/>
    <cellStyle name="Normal 58 5 3 5 6" xfId="12017"/>
    <cellStyle name="Normal 58 5 3 5 6 2" xfId="24407"/>
    <cellStyle name="Normal 58 5 3 5 7" xfId="5315"/>
    <cellStyle name="Normal 58 5 3 5 8" xfId="20096"/>
    <cellStyle name="Normal 58 5 3 6" xfId="1990"/>
    <cellStyle name="Normal 58 5 3 6 2" xfId="15942"/>
    <cellStyle name="Normal 58 5 3 6 2 2" xfId="25986"/>
    <cellStyle name="Normal 58 5 3 6 3" xfId="12396"/>
    <cellStyle name="Normal 58 5 3 6 4" xfId="6899"/>
    <cellStyle name="Normal 58 5 3 6 5" xfId="20979"/>
    <cellStyle name="Normal 58 5 3 7" xfId="3409"/>
    <cellStyle name="Normal 58 5 3 7 2" xfId="16910"/>
    <cellStyle name="Normal 58 5 3 7 2 2" xfId="27161"/>
    <cellStyle name="Normal 58 5 3 7 3" xfId="13331"/>
    <cellStyle name="Normal 58 5 3 7 4" xfId="8074"/>
    <cellStyle name="Normal 58 5 3 7 5" xfId="22154"/>
    <cellStyle name="Normal 58 5 3 8" xfId="5635"/>
    <cellStyle name="Normal 58 5 3 8 2" xfId="14721"/>
    <cellStyle name="Normal 58 5 3 8 3" xfId="24725"/>
    <cellStyle name="Normal 58 5 3 9" xfId="9528"/>
    <cellStyle name="Normal 58 5 3 9 2" xfId="18355"/>
    <cellStyle name="Normal 58 5 3 9 3" xfId="28606"/>
    <cellStyle name="Normal 58 5 3_Degree data" xfId="1747"/>
    <cellStyle name="Normal 58 5 4" xfId="346"/>
    <cellStyle name="Normal 58 5 4 10" xfId="19818"/>
    <cellStyle name="Normal 58 5 4 2" xfId="773"/>
    <cellStyle name="Normal 58 5 4 2 2" xfId="2505"/>
    <cellStyle name="Normal 58 5 4 2 2 2" xfId="16400"/>
    <cellStyle name="Normal 58 5 4 2 2 2 2" xfId="26619"/>
    <cellStyle name="Normal 58 5 4 2 2 3" xfId="12822"/>
    <cellStyle name="Normal 58 5 4 2 2 4" xfId="7532"/>
    <cellStyle name="Normal 58 5 4 2 2 5" xfId="21612"/>
    <cellStyle name="Normal 58 5 4 2 3" xfId="3778"/>
    <cellStyle name="Normal 58 5 4 2 3 2" xfId="17425"/>
    <cellStyle name="Normal 58 5 4 2 3 2 2" xfId="27676"/>
    <cellStyle name="Normal 58 5 4 2 3 3" xfId="13846"/>
    <cellStyle name="Normal 58 5 4 2 3 4" xfId="8589"/>
    <cellStyle name="Normal 58 5 4 2 3 5" xfId="22669"/>
    <cellStyle name="Normal 58 5 4 2 4" xfId="6648"/>
    <cellStyle name="Normal 58 5 4 2 4 2" xfId="15732"/>
    <cellStyle name="Normal 58 5 4 2 4 3" xfId="25736"/>
    <cellStyle name="Normal 58 5 4 2 5" xfId="10043"/>
    <cellStyle name="Normal 58 5 4 2 5 2" xfId="18870"/>
    <cellStyle name="Normal 58 5 4 2 5 3" xfId="29121"/>
    <cellStyle name="Normal 58 5 4 2 6" xfId="11488"/>
    <cellStyle name="Normal 58 5 4 2 6 2" xfId="24218"/>
    <cellStyle name="Normal 58 5 4 2 7" xfId="5126"/>
    <cellStyle name="Normal 58 5 4 2 8" xfId="20729"/>
    <cellStyle name="Normal 58 5 4 3" xfId="1131"/>
    <cellStyle name="Normal 58 5 4 3 2" xfId="2853"/>
    <cellStyle name="Normal 58 5 4 3 2 2" xfId="16689"/>
    <cellStyle name="Normal 58 5 4 3 2 2 2" xfId="26908"/>
    <cellStyle name="Normal 58 5 4 3 2 3" xfId="13110"/>
    <cellStyle name="Normal 58 5 4 3 2 4" xfId="7821"/>
    <cellStyle name="Normal 58 5 4 3 2 5" xfId="21901"/>
    <cellStyle name="Normal 58 5 4 3 3" xfId="4127"/>
    <cellStyle name="Normal 58 5 4 3 3 2" xfId="17773"/>
    <cellStyle name="Normal 58 5 4 3 3 2 2" xfId="28024"/>
    <cellStyle name="Normal 58 5 4 3 3 3" xfId="14194"/>
    <cellStyle name="Normal 58 5 4 3 3 4" xfId="8937"/>
    <cellStyle name="Normal 58 5 4 3 3 5" xfId="23017"/>
    <cellStyle name="Normal 58 5 4 3 4" xfId="6228"/>
    <cellStyle name="Normal 58 5 4 3 4 2" xfId="15312"/>
    <cellStyle name="Normal 58 5 4 3 4 3" xfId="25316"/>
    <cellStyle name="Normal 58 5 4 3 5" xfId="10391"/>
    <cellStyle name="Normal 58 5 4 3 5 2" xfId="19218"/>
    <cellStyle name="Normal 58 5 4 3 5 3" xfId="29469"/>
    <cellStyle name="Normal 58 5 4 3 6" xfId="11837"/>
    <cellStyle name="Normal 58 5 4 3 6 2" xfId="24507"/>
    <cellStyle name="Normal 58 5 4 3 7" xfId="5415"/>
    <cellStyle name="Normal 58 5 4 3 8" xfId="20309"/>
    <cellStyle name="Normal 58 5 4 4" xfId="1533"/>
    <cellStyle name="Normal 58 5 4 4 2" xfId="3133"/>
    <cellStyle name="Normal 58 5 4 4 2 2" xfId="18053"/>
    <cellStyle name="Normal 58 5 4 4 2 2 2" xfId="28304"/>
    <cellStyle name="Normal 58 5 4 4 2 3" xfId="14474"/>
    <cellStyle name="Normal 58 5 4 4 2 4" xfId="9217"/>
    <cellStyle name="Normal 58 5 4 4 2 5" xfId="23297"/>
    <cellStyle name="Normal 58 5 4 4 3" xfId="10671"/>
    <cellStyle name="Normal 58 5 4 4 3 2" xfId="19498"/>
    <cellStyle name="Normal 58 5 4 4 3 3" xfId="29749"/>
    <cellStyle name="Normal 58 5 4 4 4" xfId="12117"/>
    <cellStyle name="Normal 58 5 4 4 4 2" xfId="26199"/>
    <cellStyle name="Normal 58 5 4 4 5" xfId="7112"/>
    <cellStyle name="Normal 58 5 4 4 6" xfId="21192"/>
    <cellStyle name="Normal 58 5 4 5" xfId="2090"/>
    <cellStyle name="Normal 58 5 4 5 2" xfId="17010"/>
    <cellStyle name="Normal 58 5 4 5 2 2" xfId="27261"/>
    <cellStyle name="Normal 58 5 4 5 3" xfId="13431"/>
    <cellStyle name="Normal 58 5 4 5 4" xfId="8174"/>
    <cellStyle name="Normal 58 5 4 5 5" xfId="22254"/>
    <cellStyle name="Normal 58 5 4 6" xfId="5735"/>
    <cellStyle name="Normal 58 5 4 6 2" xfId="14821"/>
    <cellStyle name="Normal 58 5 4 6 3" xfId="24825"/>
    <cellStyle name="Normal 58 5 4 7" xfId="9628"/>
    <cellStyle name="Normal 58 5 4 7 2" xfId="18455"/>
    <cellStyle name="Normal 58 5 4 7 3" xfId="28706"/>
    <cellStyle name="Normal 58 5 4 8" xfId="11072"/>
    <cellStyle name="Normal 58 5 4 8 2" xfId="23798"/>
    <cellStyle name="Normal 58 5 4 9" xfId="4706"/>
    <cellStyle name="Normal 58 5 4_Degree data" xfId="1749"/>
    <cellStyle name="Normal 58 5 5" xfId="179"/>
    <cellStyle name="Normal 58 5 5 10" xfId="20152"/>
    <cellStyle name="Normal 58 5 5 2" xfId="774"/>
    <cellStyle name="Normal 58 5 5 2 2" xfId="2506"/>
    <cellStyle name="Normal 58 5 5 2 2 2" xfId="16401"/>
    <cellStyle name="Normal 58 5 5 2 2 2 2" xfId="26620"/>
    <cellStyle name="Normal 58 5 5 2 2 3" xfId="12823"/>
    <cellStyle name="Normal 58 5 5 2 2 4" xfId="7533"/>
    <cellStyle name="Normal 58 5 5 2 2 5" xfId="21613"/>
    <cellStyle name="Normal 58 5 5 2 3" xfId="3779"/>
    <cellStyle name="Normal 58 5 5 2 3 2" xfId="17426"/>
    <cellStyle name="Normal 58 5 5 2 3 2 2" xfId="27677"/>
    <cellStyle name="Normal 58 5 5 2 3 3" xfId="13847"/>
    <cellStyle name="Normal 58 5 5 2 3 4" xfId="8590"/>
    <cellStyle name="Normal 58 5 5 2 3 5" xfId="22670"/>
    <cellStyle name="Normal 58 5 5 2 4" xfId="6649"/>
    <cellStyle name="Normal 58 5 5 2 4 2" xfId="15733"/>
    <cellStyle name="Normal 58 5 5 2 4 3" xfId="25737"/>
    <cellStyle name="Normal 58 5 5 2 5" xfId="10044"/>
    <cellStyle name="Normal 58 5 5 2 5 2" xfId="18871"/>
    <cellStyle name="Normal 58 5 5 2 5 3" xfId="29122"/>
    <cellStyle name="Normal 58 5 5 2 6" xfId="11489"/>
    <cellStyle name="Normal 58 5 5 2 6 2" xfId="24219"/>
    <cellStyle name="Normal 58 5 5 2 7" xfId="5127"/>
    <cellStyle name="Normal 58 5 5 2 8" xfId="20730"/>
    <cellStyle name="Normal 58 5 5 3" xfId="1132"/>
    <cellStyle name="Normal 58 5 5 3 2" xfId="2854"/>
    <cellStyle name="Normal 58 5 5 3 2 2" xfId="16532"/>
    <cellStyle name="Normal 58 5 5 3 2 2 2" xfId="26751"/>
    <cellStyle name="Normal 58 5 5 3 2 3" xfId="12953"/>
    <cellStyle name="Normal 58 5 5 3 2 4" xfId="7664"/>
    <cellStyle name="Normal 58 5 5 3 2 5" xfId="21744"/>
    <cellStyle name="Normal 58 5 5 3 3" xfId="4128"/>
    <cellStyle name="Normal 58 5 5 3 3 2" xfId="17774"/>
    <cellStyle name="Normal 58 5 5 3 3 2 2" xfId="28025"/>
    <cellStyle name="Normal 58 5 5 3 3 3" xfId="14195"/>
    <cellStyle name="Normal 58 5 5 3 3 4" xfId="8938"/>
    <cellStyle name="Normal 58 5 5 3 3 5" xfId="23018"/>
    <cellStyle name="Normal 58 5 5 3 4" xfId="6738"/>
    <cellStyle name="Normal 58 5 5 3 4 2" xfId="15821"/>
    <cellStyle name="Normal 58 5 5 3 4 3" xfId="25825"/>
    <cellStyle name="Normal 58 5 5 3 5" xfId="10392"/>
    <cellStyle name="Normal 58 5 5 3 5 2" xfId="19219"/>
    <cellStyle name="Normal 58 5 5 3 5 3" xfId="29470"/>
    <cellStyle name="Normal 58 5 5 3 6" xfId="11838"/>
    <cellStyle name="Normal 58 5 5 3 6 2" xfId="24350"/>
    <cellStyle name="Normal 58 5 5 3 7" xfId="5258"/>
    <cellStyle name="Normal 58 5 5 3 8" xfId="20818"/>
    <cellStyle name="Normal 58 5 5 4" xfId="1366"/>
    <cellStyle name="Normal 58 5 5 4 2" xfId="2976"/>
    <cellStyle name="Normal 58 5 5 4 2 2" xfId="17896"/>
    <cellStyle name="Normal 58 5 5 4 2 2 2" xfId="28147"/>
    <cellStyle name="Normal 58 5 5 4 2 3" xfId="14317"/>
    <cellStyle name="Normal 58 5 5 4 2 4" xfId="9060"/>
    <cellStyle name="Normal 58 5 5 4 2 5" xfId="23140"/>
    <cellStyle name="Normal 58 5 5 4 3" xfId="10514"/>
    <cellStyle name="Normal 58 5 5 4 3 2" xfId="19341"/>
    <cellStyle name="Normal 58 5 5 4 3 3" xfId="29592"/>
    <cellStyle name="Normal 58 5 5 4 4" xfId="11960"/>
    <cellStyle name="Normal 58 5 5 4 4 2" xfId="26042"/>
    <cellStyle name="Normal 58 5 5 4 5" xfId="6955"/>
    <cellStyle name="Normal 58 5 5 4 6" xfId="21035"/>
    <cellStyle name="Normal 58 5 5 5" xfId="1933"/>
    <cellStyle name="Normal 58 5 5 5 2" xfId="16851"/>
    <cellStyle name="Normal 58 5 5 5 2 2" xfId="27102"/>
    <cellStyle name="Normal 58 5 5 5 3" xfId="13272"/>
    <cellStyle name="Normal 58 5 5 5 4" xfId="8015"/>
    <cellStyle name="Normal 58 5 5 5 5" xfId="22095"/>
    <cellStyle name="Normal 58 5 5 6" xfId="6071"/>
    <cellStyle name="Normal 58 5 5 6 2" xfId="15155"/>
    <cellStyle name="Normal 58 5 5 6 3" xfId="25159"/>
    <cellStyle name="Normal 58 5 5 7" xfId="9471"/>
    <cellStyle name="Normal 58 5 5 7 2" xfId="18298"/>
    <cellStyle name="Normal 58 5 5 7 3" xfId="28549"/>
    <cellStyle name="Normal 58 5 5 8" xfId="10915"/>
    <cellStyle name="Normal 58 5 5 8 2" xfId="23641"/>
    <cellStyle name="Normal 58 5 5 9" xfId="4549"/>
    <cellStyle name="Normal 58 5 5_Degree data" xfId="1750"/>
    <cellStyle name="Normal 58 5 6" xfId="768"/>
    <cellStyle name="Normal 58 5 6 2" xfId="2500"/>
    <cellStyle name="Normal 58 5 6 2 2" xfId="16395"/>
    <cellStyle name="Normal 58 5 6 2 2 2" xfId="26614"/>
    <cellStyle name="Normal 58 5 6 2 3" xfId="12817"/>
    <cellStyle name="Normal 58 5 6 2 4" xfId="7527"/>
    <cellStyle name="Normal 58 5 6 2 5" xfId="21607"/>
    <cellStyle name="Normal 58 5 6 3" xfId="3773"/>
    <cellStyle name="Normal 58 5 6 3 2" xfId="17420"/>
    <cellStyle name="Normal 58 5 6 3 2 2" xfId="27671"/>
    <cellStyle name="Normal 58 5 6 3 3" xfId="13841"/>
    <cellStyle name="Normal 58 5 6 3 4" xfId="8584"/>
    <cellStyle name="Normal 58 5 6 3 5" xfId="22664"/>
    <cellStyle name="Normal 58 5 6 4" xfId="6643"/>
    <cellStyle name="Normal 58 5 6 4 2" xfId="15727"/>
    <cellStyle name="Normal 58 5 6 4 3" xfId="25731"/>
    <cellStyle name="Normal 58 5 6 5" xfId="10038"/>
    <cellStyle name="Normal 58 5 6 5 2" xfId="18865"/>
    <cellStyle name="Normal 58 5 6 5 3" xfId="29116"/>
    <cellStyle name="Normal 58 5 6 6" xfId="11483"/>
    <cellStyle name="Normal 58 5 6 6 2" xfId="24213"/>
    <cellStyle name="Normal 58 5 6 7" xfId="5121"/>
    <cellStyle name="Normal 58 5 6 8" xfId="20724"/>
    <cellStyle name="Normal 58 5 7" xfId="1126"/>
    <cellStyle name="Normal 58 5 7 2" xfId="2848"/>
    <cellStyle name="Normal 58 5 7 2 2" xfId="16487"/>
    <cellStyle name="Normal 58 5 7 2 2 2" xfId="26706"/>
    <cellStyle name="Normal 58 5 7 2 3" xfId="12909"/>
    <cellStyle name="Normal 58 5 7 2 4" xfId="7619"/>
    <cellStyle name="Normal 58 5 7 2 5" xfId="21699"/>
    <cellStyle name="Normal 58 5 7 3" xfId="4122"/>
    <cellStyle name="Normal 58 5 7 3 2" xfId="17768"/>
    <cellStyle name="Normal 58 5 7 3 2 2" xfId="28019"/>
    <cellStyle name="Normal 58 5 7 3 3" xfId="14189"/>
    <cellStyle name="Normal 58 5 7 3 4" xfId="8932"/>
    <cellStyle name="Normal 58 5 7 3 5" xfId="23012"/>
    <cellStyle name="Normal 58 5 7 4" xfId="5909"/>
    <cellStyle name="Normal 58 5 7 4 2" xfId="14995"/>
    <cellStyle name="Normal 58 5 7 4 3" xfId="24999"/>
    <cellStyle name="Normal 58 5 7 5" xfId="10386"/>
    <cellStyle name="Normal 58 5 7 5 2" xfId="19213"/>
    <cellStyle name="Normal 58 5 7 5 3" xfId="29464"/>
    <cellStyle name="Normal 58 5 7 6" xfId="11832"/>
    <cellStyle name="Normal 58 5 7 6 2" xfId="24305"/>
    <cellStyle name="Normal 58 5 7 7" xfId="5213"/>
    <cellStyle name="Normal 58 5 7 8" xfId="19992"/>
    <cellStyle name="Normal 58 5 8" xfId="1317"/>
    <cellStyle name="Normal 58 5 8 2" xfId="2931"/>
    <cellStyle name="Normal 58 5 8 2 2" xfId="17851"/>
    <cellStyle name="Normal 58 5 8 2 2 2" xfId="28102"/>
    <cellStyle name="Normal 58 5 8 2 3" xfId="14272"/>
    <cellStyle name="Normal 58 5 8 2 4" xfId="9015"/>
    <cellStyle name="Normal 58 5 8 2 5" xfId="23095"/>
    <cellStyle name="Normal 58 5 8 3" xfId="10469"/>
    <cellStyle name="Normal 58 5 8 3 2" xfId="19296"/>
    <cellStyle name="Normal 58 5 8 3 3" xfId="29547"/>
    <cellStyle name="Normal 58 5 8 4" xfId="11915"/>
    <cellStyle name="Normal 58 5 8 4 2" xfId="25882"/>
    <cellStyle name="Normal 58 5 8 5" xfId="6795"/>
    <cellStyle name="Normal 58 5 8 6" xfId="20875"/>
    <cellStyle name="Normal 58 5 9" xfId="1888"/>
    <cellStyle name="Normal 58 5 9 2" xfId="9426"/>
    <cellStyle name="Normal 58 5 9 2 2" xfId="18253"/>
    <cellStyle name="Normal 58 5 9 2 3" xfId="28504"/>
    <cellStyle name="Normal 58 5 9 3" xfId="10870"/>
    <cellStyle name="Normal 58 5 9 3 2" xfId="27057"/>
    <cellStyle name="Normal 58 5 9 4" xfId="7970"/>
    <cellStyle name="Normal 58 5 9 5" xfId="22050"/>
    <cellStyle name="Normal 58 5_Degree data" xfId="1744"/>
    <cellStyle name="Normal 58 6" xfId="155"/>
    <cellStyle name="Normal 58 6 10" xfId="5556"/>
    <cellStyle name="Normal 58 6 10 2" xfId="14642"/>
    <cellStyle name="Normal 58 6 10 3" xfId="24646"/>
    <cellStyle name="Normal 58 6 11" xfId="9376"/>
    <cellStyle name="Normal 58 6 11 2" xfId="18203"/>
    <cellStyle name="Normal 58 6 11 3" xfId="28454"/>
    <cellStyle name="Normal 58 6 12" xfId="10816"/>
    <cellStyle name="Normal 58 6 12 2" xfId="23461"/>
    <cellStyle name="Normal 58 6 13" xfId="4369"/>
    <cellStyle name="Normal 58 6 14" xfId="19639"/>
    <cellStyle name="Normal 58 6 2" xfId="268"/>
    <cellStyle name="Normal 58 6 2 10" xfId="10995"/>
    <cellStyle name="Normal 58 6 2 10 2" xfId="23504"/>
    <cellStyle name="Normal 58 6 2 11" xfId="4412"/>
    <cellStyle name="Normal 58 6 2 12" xfId="19741"/>
    <cellStyle name="Normal 58 6 2 2" xfId="370"/>
    <cellStyle name="Normal 58 6 2 2 10" xfId="19841"/>
    <cellStyle name="Normal 58 6 2 2 2" xfId="777"/>
    <cellStyle name="Normal 58 6 2 2 2 2" xfId="2509"/>
    <cellStyle name="Normal 58 6 2 2 2 2 2" xfId="16404"/>
    <cellStyle name="Normal 58 6 2 2 2 2 2 2" xfId="26623"/>
    <cellStyle name="Normal 58 6 2 2 2 2 3" xfId="12826"/>
    <cellStyle name="Normal 58 6 2 2 2 2 4" xfId="7536"/>
    <cellStyle name="Normal 58 6 2 2 2 2 5" xfId="21616"/>
    <cellStyle name="Normal 58 6 2 2 2 3" xfId="3782"/>
    <cellStyle name="Normal 58 6 2 2 2 3 2" xfId="17429"/>
    <cellStyle name="Normal 58 6 2 2 2 3 2 2" xfId="27680"/>
    <cellStyle name="Normal 58 6 2 2 2 3 3" xfId="13850"/>
    <cellStyle name="Normal 58 6 2 2 2 3 4" xfId="8593"/>
    <cellStyle name="Normal 58 6 2 2 2 3 5" xfId="22673"/>
    <cellStyle name="Normal 58 6 2 2 2 4" xfId="6652"/>
    <cellStyle name="Normal 58 6 2 2 2 4 2" xfId="15736"/>
    <cellStyle name="Normal 58 6 2 2 2 4 3" xfId="25740"/>
    <cellStyle name="Normal 58 6 2 2 2 5" xfId="10047"/>
    <cellStyle name="Normal 58 6 2 2 2 5 2" xfId="18874"/>
    <cellStyle name="Normal 58 6 2 2 2 5 3" xfId="29125"/>
    <cellStyle name="Normal 58 6 2 2 2 6" xfId="11492"/>
    <cellStyle name="Normal 58 6 2 2 2 6 2" xfId="24222"/>
    <cellStyle name="Normal 58 6 2 2 2 7" xfId="5130"/>
    <cellStyle name="Normal 58 6 2 2 2 8" xfId="20733"/>
    <cellStyle name="Normal 58 6 2 2 3" xfId="1135"/>
    <cellStyle name="Normal 58 6 2 2 3 2" xfId="2857"/>
    <cellStyle name="Normal 58 6 2 2 3 2 2" xfId="16712"/>
    <cellStyle name="Normal 58 6 2 2 3 2 2 2" xfId="26931"/>
    <cellStyle name="Normal 58 6 2 2 3 2 3" xfId="13133"/>
    <cellStyle name="Normal 58 6 2 2 3 2 4" xfId="7844"/>
    <cellStyle name="Normal 58 6 2 2 3 2 5" xfId="21924"/>
    <cellStyle name="Normal 58 6 2 2 3 3" xfId="4131"/>
    <cellStyle name="Normal 58 6 2 2 3 3 2" xfId="17777"/>
    <cellStyle name="Normal 58 6 2 2 3 3 2 2" xfId="28028"/>
    <cellStyle name="Normal 58 6 2 2 3 3 3" xfId="14198"/>
    <cellStyle name="Normal 58 6 2 2 3 3 4" xfId="8941"/>
    <cellStyle name="Normal 58 6 2 2 3 3 5" xfId="23021"/>
    <cellStyle name="Normal 58 6 2 2 3 4" xfId="6251"/>
    <cellStyle name="Normal 58 6 2 2 3 4 2" xfId="15335"/>
    <cellStyle name="Normal 58 6 2 2 3 4 3" xfId="25339"/>
    <cellStyle name="Normal 58 6 2 2 3 5" xfId="10395"/>
    <cellStyle name="Normal 58 6 2 2 3 5 2" xfId="19222"/>
    <cellStyle name="Normal 58 6 2 2 3 5 3" xfId="29473"/>
    <cellStyle name="Normal 58 6 2 2 3 6" xfId="11841"/>
    <cellStyle name="Normal 58 6 2 2 3 6 2" xfId="24530"/>
    <cellStyle name="Normal 58 6 2 2 3 7" xfId="5438"/>
    <cellStyle name="Normal 58 6 2 2 3 8" xfId="20332"/>
    <cellStyle name="Normal 58 6 2 2 4" xfId="1557"/>
    <cellStyle name="Normal 58 6 2 2 4 2" xfId="3156"/>
    <cellStyle name="Normal 58 6 2 2 4 2 2" xfId="18076"/>
    <cellStyle name="Normal 58 6 2 2 4 2 2 2" xfId="28327"/>
    <cellStyle name="Normal 58 6 2 2 4 2 3" xfId="14497"/>
    <cellStyle name="Normal 58 6 2 2 4 2 4" xfId="9240"/>
    <cellStyle name="Normal 58 6 2 2 4 2 5" xfId="23320"/>
    <cellStyle name="Normal 58 6 2 2 4 3" xfId="10694"/>
    <cellStyle name="Normal 58 6 2 2 4 3 2" xfId="19521"/>
    <cellStyle name="Normal 58 6 2 2 4 3 3" xfId="29772"/>
    <cellStyle name="Normal 58 6 2 2 4 4" xfId="12140"/>
    <cellStyle name="Normal 58 6 2 2 4 4 2" xfId="26222"/>
    <cellStyle name="Normal 58 6 2 2 4 5" xfId="7135"/>
    <cellStyle name="Normal 58 6 2 2 4 6" xfId="21215"/>
    <cellStyle name="Normal 58 6 2 2 5" xfId="2113"/>
    <cellStyle name="Normal 58 6 2 2 5 2" xfId="17033"/>
    <cellStyle name="Normal 58 6 2 2 5 2 2" xfId="27284"/>
    <cellStyle name="Normal 58 6 2 2 5 3" xfId="13454"/>
    <cellStyle name="Normal 58 6 2 2 5 4" xfId="8197"/>
    <cellStyle name="Normal 58 6 2 2 5 5" xfId="22277"/>
    <cellStyle name="Normal 58 6 2 2 6" xfId="5758"/>
    <cellStyle name="Normal 58 6 2 2 6 2" xfId="14844"/>
    <cellStyle name="Normal 58 6 2 2 6 3" xfId="24848"/>
    <cellStyle name="Normal 58 6 2 2 7" xfId="9651"/>
    <cellStyle name="Normal 58 6 2 2 7 2" xfId="18478"/>
    <cellStyle name="Normal 58 6 2 2 7 3" xfId="28729"/>
    <cellStyle name="Normal 58 6 2 2 8" xfId="11095"/>
    <cellStyle name="Normal 58 6 2 2 8 2" xfId="23821"/>
    <cellStyle name="Normal 58 6 2 2 9" xfId="4729"/>
    <cellStyle name="Normal 58 6 2 2_Degree data" xfId="1753"/>
    <cellStyle name="Normal 58 6 2 3" xfId="776"/>
    <cellStyle name="Normal 58 6 2 3 2" xfId="2508"/>
    <cellStyle name="Normal 58 6 2 3 2 2" xfId="16049"/>
    <cellStyle name="Normal 58 6 2 3 2 2 2" xfId="26122"/>
    <cellStyle name="Normal 58 6 2 3 2 3" xfId="12309"/>
    <cellStyle name="Normal 58 6 2 3 2 4" xfId="7035"/>
    <cellStyle name="Normal 58 6 2 3 2 5" xfId="21115"/>
    <cellStyle name="Normal 58 6 2 3 3" xfId="3781"/>
    <cellStyle name="Normal 58 6 2 3 3 2" xfId="17428"/>
    <cellStyle name="Normal 58 6 2 3 3 2 2" xfId="27679"/>
    <cellStyle name="Normal 58 6 2 3 3 3" xfId="13849"/>
    <cellStyle name="Normal 58 6 2 3 3 4" xfId="8592"/>
    <cellStyle name="Normal 58 6 2 3 3 5" xfId="22672"/>
    <cellStyle name="Normal 58 6 2 3 4" xfId="6151"/>
    <cellStyle name="Normal 58 6 2 3 4 2" xfId="15235"/>
    <cellStyle name="Normal 58 6 2 3 4 3" xfId="25239"/>
    <cellStyle name="Normal 58 6 2 3 5" xfId="10046"/>
    <cellStyle name="Normal 58 6 2 3 5 2" xfId="18873"/>
    <cellStyle name="Normal 58 6 2 3 5 3" xfId="29124"/>
    <cellStyle name="Normal 58 6 2 3 6" xfId="11491"/>
    <cellStyle name="Normal 58 6 2 3 6 2" xfId="23721"/>
    <cellStyle name="Normal 58 6 2 3 7" xfId="4629"/>
    <cellStyle name="Normal 58 6 2 3 8" xfId="20232"/>
    <cellStyle name="Normal 58 6 2 4" xfId="1134"/>
    <cellStyle name="Normal 58 6 2 4 2" xfId="2856"/>
    <cellStyle name="Normal 58 6 2 4 2 2" xfId="16403"/>
    <cellStyle name="Normal 58 6 2 4 2 2 2" xfId="26622"/>
    <cellStyle name="Normal 58 6 2 4 2 3" xfId="12825"/>
    <cellStyle name="Normal 58 6 2 4 2 4" xfId="7535"/>
    <cellStyle name="Normal 58 6 2 4 2 5" xfId="21615"/>
    <cellStyle name="Normal 58 6 2 4 3" xfId="4130"/>
    <cellStyle name="Normal 58 6 2 4 3 2" xfId="17776"/>
    <cellStyle name="Normal 58 6 2 4 3 2 2" xfId="28027"/>
    <cellStyle name="Normal 58 6 2 4 3 3" xfId="14197"/>
    <cellStyle name="Normal 58 6 2 4 3 4" xfId="8940"/>
    <cellStyle name="Normal 58 6 2 4 3 5" xfId="23020"/>
    <cellStyle name="Normal 58 6 2 4 4" xfId="6651"/>
    <cellStyle name="Normal 58 6 2 4 4 2" xfId="15735"/>
    <cellStyle name="Normal 58 6 2 4 4 3" xfId="25739"/>
    <cellStyle name="Normal 58 6 2 4 5" xfId="10394"/>
    <cellStyle name="Normal 58 6 2 4 5 2" xfId="19221"/>
    <cellStyle name="Normal 58 6 2 4 5 3" xfId="29472"/>
    <cellStyle name="Normal 58 6 2 4 6" xfId="11840"/>
    <cellStyle name="Normal 58 6 2 4 6 2" xfId="24221"/>
    <cellStyle name="Normal 58 6 2 4 7" xfId="5129"/>
    <cellStyle name="Normal 58 6 2 4 8" xfId="20732"/>
    <cellStyle name="Normal 58 6 2 5" xfId="1455"/>
    <cellStyle name="Normal 58 6 2 5 2" xfId="3056"/>
    <cellStyle name="Normal 58 6 2 5 2 2" xfId="16612"/>
    <cellStyle name="Normal 58 6 2 5 2 2 2" xfId="26831"/>
    <cellStyle name="Normal 58 6 2 5 2 3" xfId="13033"/>
    <cellStyle name="Normal 58 6 2 5 2 4" xfId="7744"/>
    <cellStyle name="Normal 58 6 2 5 2 5" xfId="21824"/>
    <cellStyle name="Normal 58 6 2 5 3" xfId="4270"/>
    <cellStyle name="Normal 58 6 2 5 3 2" xfId="17976"/>
    <cellStyle name="Normal 58 6 2 5 3 2 2" xfId="28227"/>
    <cellStyle name="Normal 58 6 2 5 3 3" xfId="14397"/>
    <cellStyle name="Normal 58 6 2 5 3 4" xfId="9140"/>
    <cellStyle name="Normal 58 6 2 5 3 5" xfId="23220"/>
    <cellStyle name="Normal 58 6 2 5 4" xfId="5932"/>
    <cellStyle name="Normal 58 6 2 5 4 2" xfId="15018"/>
    <cellStyle name="Normal 58 6 2 5 4 3" xfId="25022"/>
    <cellStyle name="Normal 58 6 2 5 5" xfId="10594"/>
    <cellStyle name="Normal 58 6 2 5 5 2" xfId="19421"/>
    <cellStyle name="Normal 58 6 2 5 5 3" xfId="29672"/>
    <cellStyle name="Normal 58 6 2 5 6" xfId="12040"/>
    <cellStyle name="Normal 58 6 2 5 6 2" xfId="24430"/>
    <cellStyle name="Normal 58 6 2 5 7" xfId="5338"/>
    <cellStyle name="Normal 58 6 2 5 8" xfId="20015"/>
    <cellStyle name="Normal 58 6 2 6" xfId="2013"/>
    <cellStyle name="Normal 58 6 2 6 2" xfId="15861"/>
    <cellStyle name="Normal 58 6 2 6 2 2" xfId="25905"/>
    <cellStyle name="Normal 58 6 2 6 3" xfId="12415"/>
    <cellStyle name="Normal 58 6 2 6 4" xfId="6818"/>
    <cellStyle name="Normal 58 6 2 6 5" xfId="20898"/>
    <cellStyle name="Normal 58 6 2 7" xfId="3432"/>
    <cellStyle name="Normal 58 6 2 7 2" xfId="16933"/>
    <cellStyle name="Normal 58 6 2 7 2 2" xfId="27184"/>
    <cellStyle name="Normal 58 6 2 7 3" xfId="13354"/>
    <cellStyle name="Normal 58 6 2 7 4" xfId="8097"/>
    <cellStyle name="Normal 58 6 2 7 5" xfId="22177"/>
    <cellStyle name="Normal 58 6 2 8" xfId="5658"/>
    <cellStyle name="Normal 58 6 2 8 2" xfId="14744"/>
    <cellStyle name="Normal 58 6 2 8 3" xfId="24748"/>
    <cellStyle name="Normal 58 6 2 9" xfId="9551"/>
    <cellStyle name="Normal 58 6 2 9 2" xfId="18378"/>
    <cellStyle name="Normal 58 6 2 9 3" xfId="28629"/>
    <cellStyle name="Normal 58 6 2_Degree data" xfId="1752"/>
    <cellStyle name="Normal 58 6 3" xfId="223"/>
    <cellStyle name="Normal 58 6 3 10" xfId="10952"/>
    <cellStyle name="Normal 58 6 3 10 2" xfId="23566"/>
    <cellStyle name="Normal 58 6 3 11" xfId="4474"/>
    <cellStyle name="Normal 58 6 3 12" xfId="19698"/>
    <cellStyle name="Normal 58 6 3 2" xfId="434"/>
    <cellStyle name="Normal 58 6 3 2 10" xfId="19903"/>
    <cellStyle name="Normal 58 6 3 2 2" xfId="779"/>
    <cellStyle name="Normal 58 6 3 2 2 2" xfId="2511"/>
    <cellStyle name="Normal 58 6 3 2 2 2 2" xfId="16406"/>
    <cellStyle name="Normal 58 6 3 2 2 2 2 2" xfId="26625"/>
    <cellStyle name="Normal 58 6 3 2 2 2 3" xfId="12828"/>
    <cellStyle name="Normal 58 6 3 2 2 2 4" xfId="7538"/>
    <cellStyle name="Normal 58 6 3 2 2 2 5" xfId="21618"/>
    <cellStyle name="Normal 58 6 3 2 2 3" xfId="3784"/>
    <cellStyle name="Normal 58 6 3 2 2 3 2" xfId="17431"/>
    <cellStyle name="Normal 58 6 3 2 2 3 2 2" xfId="27682"/>
    <cellStyle name="Normal 58 6 3 2 2 3 3" xfId="13852"/>
    <cellStyle name="Normal 58 6 3 2 2 3 4" xfId="8595"/>
    <cellStyle name="Normal 58 6 3 2 2 3 5" xfId="22675"/>
    <cellStyle name="Normal 58 6 3 2 2 4" xfId="6654"/>
    <cellStyle name="Normal 58 6 3 2 2 4 2" xfId="15738"/>
    <cellStyle name="Normal 58 6 3 2 2 4 3" xfId="25742"/>
    <cellStyle name="Normal 58 6 3 2 2 5" xfId="10049"/>
    <cellStyle name="Normal 58 6 3 2 2 5 2" xfId="18876"/>
    <cellStyle name="Normal 58 6 3 2 2 5 3" xfId="29127"/>
    <cellStyle name="Normal 58 6 3 2 2 6" xfId="11494"/>
    <cellStyle name="Normal 58 6 3 2 2 6 2" xfId="24224"/>
    <cellStyle name="Normal 58 6 3 2 2 7" xfId="5132"/>
    <cellStyle name="Normal 58 6 3 2 2 8" xfId="20735"/>
    <cellStyle name="Normal 58 6 3 2 3" xfId="1137"/>
    <cellStyle name="Normal 58 6 3 2 3 2" xfId="2859"/>
    <cellStyle name="Normal 58 6 3 2 3 2 2" xfId="16774"/>
    <cellStyle name="Normal 58 6 3 2 3 2 2 2" xfId="26993"/>
    <cellStyle name="Normal 58 6 3 2 3 2 3" xfId="13195"/>
    <cellStyle name="Normal 58 6 3 2 3 2 4" xfId="7906"/>
    <cellStyle name="Normal 58 6 3 2 3 2 5" xfId="21986"/>
    <cellStyle name="Normal 58 6 3 2 3 3" xfId="4133"/>
    <cellStyle name="Normal 58 6 3 2 3 3 2" xfId="17779"/>
    <cellStyle name="Normal 58 6 3 2 3 3 2 2" xfId="28030"/>
    <cellStyle name="Normal 58 6 3 2 3 3 3" xfId="14200"/>
    <cellStyle name="Normal 58 6 3 2 3 3 4" xfId="8943"/>
    <cellStyle name="Normal 58 6 3 2 3 3 5" xfId="23023"/>
    <cellStyle name="Normal 58 6 3 2 3 4" xfId="6313"/>
    <cellStyle name="Normal 58 6 3 2 3 4 2" xfId="15397"/>
    <cellStyle name="Normal 58 6 3 2 3 4 3" xfId="25401"/>
    <cellStyle name="Normal 58 6 3 2 3 5" xfId="10397"/>
    <cellStyle name="Normal 58 6 3 2 3 5 2" xfId="19224"/>
    <cellStyle name="Normal 58 6 3 2 3 5 3" xfId="29475"/>
    <cellStyle name="Normal 58 6 3 2 3 6" xfId="11843"/>
    <cellStyle name="Normal 58 6 3 2 3 6 2" xfId="24592"/>
    <cellStyle name="Normal 58 6 3 2 3 7" xfId="5500"/>
    <cellStyle name="Normal 58 6 3 2 3 8" xfId="20394"/>
    <cellStyle name="Normal 58 6 3 2 4" xfId="1621"/>
    <cellStyle name="Normal 58 6 3 2 4 2" xfId="3218"/>
    <cellStyle name="Normal 58 6 3 2 4 2 2" xfId="18138"/>
    <cellStyle name="Normal 58 6 3 2 4 2 2 2" xfId="28389"/>
    <cellStyle name="Normal 58 6 3 2 4 2 3" xfId="14559"/>
    <cellStyle name="Normal 58 6 3 2 4 2 4" xfId="9302"/>
    <cellStyle name="Normal 58 6 3 2 4 2 5" xfId="23382"/>
    <cellStyle name="Normal 58 6 3 2 4 3" xfId="10756"/>
    <cellStyle name="Normal 58 6 3 2 4 3 2" xfId="19583"/>
    <cellStyle name="Normal 58 6 3 2 4 3 3" xfId="29834"/>
    <cellStyle name="Normal 58 6 3 2 4 4" xfId="12202"/>
    <cellStyle name="Normal 58 6 3 2 4 4 2" xfId="26284"/>
    <cellStyle name="Normal 58 6 3 2 4 5" xfId="7197"/>
    <cellStyle name="Normal 58 6 3 2 4 6" xfId="21277"/>
    <cellStyle name="Normal 58 6 3 2 5" xfId="2175"/>
    <cellStyle name="Normal 58 6 3 2 5 2" xfId="17095"/>
    <cellStyle name="Normal 58 6 3 2 5 2 2" xfId="27346"/>
    <cellStyle name="Normal 58 6 3 2 5 3" xfId="13516"/>
    <cellStyle name="Normal 58 6 3 2 5 4" xfId="8259"/>
    <cellStyle name="Normal 58 6 3 2 5 5" xfId="22339"/>
    <cellStyle name="Normal 58 6 3 2 6" xfId="5820"/>
    <cellStyle name="Normal 58 6 3 2 6 2" xfId="14906"/>
    <cellStyle name="Normal 58 6 3 2 6 3" xfId="24910"/>
    <cellStyle name="Normal 58 6 3 2 7" xfId="9713"/>
    <cellStyle name="Normal 58 6 3 2 7 2" xfId="18540"/>
    <cellStyle name="Normal 58 6 3 2 7 3" xfId="28791"/>
    <cellStyle name="Normal 58 6 3 2 8" xfId="11157"/>
    <cellStyle name="Normal 58 6 3 2 8 2" xfId="23883"/>
    <cellStyle name="Normal 58 6 3 2 9" xfId="4791"/>
    <cellStyle name="Normal 58 6 3 2_Degree data" xfId="1755"/>
    <cellStyle name="Normal 58 6 3 3" xfId="778"/>
    <cellStyle name="Normal 58 6 3 3 2" xfId="2510"/>
    <cellStyle name="Normal 58 6 3 3 2 2" xfId="16006"/>
    <cellStyle name="Normal 58 6 3 3 2 2 2" xfId="26079"/>
    <cellStyle name="Normal 58 6 3 3 2 3" xfId="12382"/>
    <cellStyle name="Normal 58 6 3 3 2 4" xfId="6992"/>
    <cellStyle name="Normal 58 6 3 3 2 5" xfId="21072"/>
    <cellStyle name="Normal 58 6 3 3 3" xfId="3783"/>
    <cellStyle name="Normal 58 6 3 3 3 2" xfId="17430"/>
    <cellStyle name="Normal 58 6 3 3 3 2 2" xfId="27681"/>
    <cellStyle name="Normal 58 6 3 3 3 3" xfId="13851"/>
    <cellStyle name="Normal 58 6 3 3 3 4" xfId="8594"/>
    <cellStyle name="Normal 58 6 3 3 3 5" xfId="22674"/>
    <cellStyle name="Normal 58 6 3 3 4" xfId="6108"/>
    <cellStyle name="Normal 58 6 3 3 4 2" xfId="15192"/>
    <cellStyle name="Normal 58 6 3 3 4 3" xfId="25196"/>
    <cellStyle name="Normal 58 6 3 3 5" xfId="10048"/>
    <cellStyle name="Normal 58 6 3 3 5 2" xfId="18875"/>
    <cellStyle name="Normal 58 6 3 3 5 3" xfId="29126"/>
    <cellStyle name="Normal 58 6 3 3 6" xfId="11493"/>
    <cellStyle name="Normal 58 6 3 3 6 2" xfId="23678"/>
    <cellStyle name="Normal 58 6 3 3 7" xfId="4586"/>
    <cellStyle name="Normal 58 6 3 3 8" xfId="20189"/>
    <cellStyle name="Normal 58 6 3 4" xfId="1136"/>
    <cellStyle name="Normal 58 6 3 4 2" xfId="2858"/>
    <cellStyle name="Normal 58 6 3 4 2 2" xfId="16405"/>
    <cellStyle name="Normal 58 6 3 4 2 2 2" xfId="26624"/>
    <cellStyle name="Normal 58 6 3 4 2 3" xfId="12827"/>
    <cellStyle name="Normal 58 6 3 4 2 4" xfId="7537"/>
    <cellStyle name="Normal 58 6 3 4 2 5" xfId="21617"/>
    <cellStyle name="Normal 58 6 3 4 3" xfId="4132"/>
    <cellStyle name="Normal 58 6 3 4 3 2" xfId="17778"/>
    <cellStyle name="Normal 58 6 3 4 3 2 2" xfId="28029"/>
    <cellStyle name="Normal 58 6 3 4 3 3" xfId="14199"/>
    <cellStyle name="Normal 58 6 3 4 3 4" xfId="8942"/>
    <cellStyle name="Normal 58 6 3 4 3 5" xfId="23022"/>
    <cellStyle name="Normal 58 6 3 4 4" xfId="6653"/>
    <cellStyle name="Normal 58 6 3 4 4 2" xfId="15737"/>
    <cellStyle name="Normal 58 6 3 4 4 3" xfId="25741"/>
    <cellStyle name="Normal 58 6 3 4 5" xfId="10396"/>
    <cellStyle name="Normal 58 6 3 4 5 2" xfId="19223"/>
    <cellStyle name="Normal 58 6 3 4 5 3" xfId="29474"/>
    <cellStyle name="Normal 58 6 3 4 6" xfId="11842"/>
    <cellStyle name="Normal 58 6 3 4 6 2" xfId="24223"/>
    <cellStyle name="Normal 58 6 3 4 7" xfId="5131"/>
    <cellStyle name="Normal 58 6 3 4 8" xfId="20734"/>
    <cellStyle name="Normal 58 6 3 5" xfId="1410"/>
    <cellStyle name="Normal 58 6 3 5 2" xfId="3013"/>
    <cellStyle name="Normal 58 6 3 5 2 2" xfId="16569"/>
    <cellStyle name="Normal 58 6 3 5 2 2 2" xfId="26788"/>
    <cellStyle name="Normal 58 6 3 5 2 3" xfId="12990"/>
    <cellStyle name="Normal 58 6 3 5 2 4" xfId="7701"/>
    <cellStyle name="Normal 58 6 3 5 2 5" xfId="21781"/>
    <cellStyle name="Normal 58 6 3 5 3" xfId="4227"/>
    <cellStyle name="Normal 58 6 3 5 3 2" xfId="17933"/>
    <cellStyle name="Normal 58 6 3 5 3 2 2" xfId="28184"/>
    <cellStyle name="Normal 58 6 3 5 3 3" xfId="14354"/>
    <cellStyle name="Normal 58 6 3 5 3 4" xfId="9097"/>
    <cellStyle name="Normal 58 6 3 5 3 5" xfId="23177"/>
    <cellStyle name="Normal 58 6 3 5 4" xfId="5994"/>
    <cellStyle name="Normal 58 6 3 5 4 2" xfId="15080"/>
    <cellStyle name="Normal 58 6 3 5 4 3" xfId="25084"/>
    <cellStyle name="Normal 58 6 3 5 5" xfId="10551"/>
    <cellStyle name="Normal 58 6 3 5 5 2" xfId="19378"/>
    <cellStyle name="Normal 58 6 3 5 5 3" xfId="29629"/>
    <cellStyle name="Normal 58 6 3 5 6" xfId="11997"/>
    <cellStyle name="Normal 58 6 3 5 6 2" xfId="24387"/>
    <cellStyle name="Normal 58 6 3 5 7" xfId="5295"/>
    <cellStyle name="Normal 58 6 3 5 8" xfId="20077"/>
    <cellStyle name="Normal 58 6 3 6" xfId="1970"/>
    <cellStyle name="Normal 58 6 3 6 2" xfId="15923"/>
    <cellStyle name="Normal 58 6 3 6 2 2" xfId="25967"/>
    <cellStyle name="Normal 58 6 3 6 3" xfId="12402"/>
    <cellStyle name="Normal 58 6 3 6 4" xfId="6880"/>
    <cellStyle name="Normal 58 6 3 6 5" xfId="20960"/>
    <cellStyle name="Normal 58 6 3 7" xfId="3390"/>
    <cellStyle name="Normal 58 6 3 7 2" xfId="16890"/>
    <cellStyle name="Normal 58 6 3 7 2 2" xfId="27141"/>
    <cellStyle name="Normal 58 6 3 7 3" xfId="13311"/>
    <cellStyle name="Normal 58 6 3 7 4" xfId="8054"/>
    <cellStyle name="Normal 58 6 3 7 5" xfId="22134"/>
    <cellStyle name="Normal 58 6 3 8" xfId="5615"/>
    <cellStyle name="Normal 58 6 3 8 2" xfId="14701"/>
    <cellStyle name="Normal 58 6 3 8 3" xfId="24705"/>
    <cellStyle name="Normal 58 6 3 9" xfId="9508"/>
    <cellStyle name="Normal 58 6 3 9 2" xfId="18335"/>
    <cellStyle name="Normal 58 6 3 9 3" xfId="28586"/>
    <cellStyle name="Normal 58 6 3_Degree data" xfId="1754"/>
    <cellStyle name="Normal 58 6 4" xfId="326"/>
    <cellStyle name="Normal 58 6 4 10" xfId="19798"/>
    <cellStyle name="Normal 58 6 4 2" xfId="780"/>
    <cellStyle name="Normal 58 6 4 2 2" xfId="2512"/>
    <cellStyle name="Normal 58 6 4 2 2 2" xfId="16407"/>
    <cellStyle name="Normal 58 6 4 2 2 2 2" xfId="26626"/>
    <cellStyle name="Normal 58 6 4 2 2 3" xfId="12829"/>
    <cellStyle name="Normal 58 6 4 2 2 4" xfId="7539"/>
    <cellStyle name="Normal 58 6 4 2 2 5" xfId="21619"/>
    <cellStyle name="Normal 58 6 4 2 3" xfId="3785"/>
    <cellStyle name="Normal 58 6 4 2 3 2" xfId="17432"/>
    <cellStyle name="Normal 58 6 4 2 3 2 2" xfId="27683"/>
    <cellStyle name="Normal 58 6 4 2 3 3" xfId="13853"/>
    <cellStyle name="Normal 58 6 4 2 3 4" xfId="8596"/>
    <cellStyle name="Normal 58 6 4 2 3 5" xfId="22676"/>
    <cellStyle name="Normal 58 6 4 2 4" xfId="6655"/>
    <cellStyle name="Normal 58 6 4 2 4 2" xfId="15739"/>
    <cellStyle name="Normal 58 6 4 2 4 3" xfId="25743"/>
    <cellStyle name="Normal 58 6 4 2 5" xfId="10050"/>
    <cellStyle name="Normal 58 6 4 2 5 2" xfId="18877"/>
    <cellStyle name="Normal 58 6 4 2 5 3" xfId="29128"/>
    <cellStyle name="Normal 58 6 4 2 6" xfId="11495"/>
    <cellStyle name="Normal 58 6 4 2 6 2" xfId="24225"/>
    <cellStyle name="Normal 58 6 4 2 7" xfId="5133"/>
    <cellStyle name="Normal 58 6 4 2 8" xfId="20736"/>
    <cellStyle name="Normal 58 6 4 3" xfId="1138"/>
    <cellStyle name="Normal 58 6 4 3 2" xfId="2860"/>
    <cellStyle name="Normal 58 6 4 3 2 2" xfId="16669"/>
    <cellStyle name="Normal 58 6 4 3 2 2 2" xfId="26888"/>
    <cellStyle name="Normal 58 6 4 3 2 3" xfId="13090"/>
    <cellStyle name="Normal 58 6 4 3 2 4" xfId="7801"/>
    <cellStyle name="Normal 58 6 4 3 2 5" xfId="21881"/>
    <cellStyle name="Normal 58 6 4 3 3" xfId="4134"/>
    <cellStyle name="Normal 58 6 4 3 3 2" xfId="17780"/>
    <cellStyle name="Normal 58 6 4 3 3 2 2" xfId="28031"/>
    <cellStyle name="Normal 58 6 4 3 3 3" xfId="14201"/>
    <cellStyle name="Normal 58 6 4 3 3 4" xfId="8944"/>
    <cellStyle name="Normal 58 6 4 3 3 5" xfId="23024"/>
    <cellStyle name="Normal 58 6 4 3 4" xfId="6208"/>
    <cellStyle name="Normal 58 6 4 3 4 2" xfId="15292"/>
    <cellStyle name="Normal 58 6 4 3 4 3" xfId="25296"/>
    <cellStyle name="Normal 58 6 4 3 5" xfId="10398"/>
    <cellStyle name="Normal 58 6 4 3 5 2" xfId="19225"/>
    <cellStyle name="Normal 58 6 4 3 5 3" xfId="29476"/>
    <cellStyle name="Normal 58 6 4 3 6" xfId="11844"/>
    <cellStyle name="Normal 58 6 4 3 6 2" xfId="24487"/>
    <cellStyle name="Normal 58 6 4 3 7" xfId="5395"/>
    <cellStyle name="Normal 58 6 4 3 8" xfId="20289"/>
    <cellStyle name="Normal 58 6 4 4" xfId="1513"/>
    <cellStyle name="Normal 58 6 4 4 2" xfId="3113"/>
    <cellStyle name="Normal 58 6 4 4 2 2" xfId="18033"/>
    <cellStyle name="Normal 58 6 4 4 2 2 2" xfId="28284"/>
    <cellStyle name="Normal 58 6 4 4 2 3" xfId="14454"/>
    <cellStyle name="Normal 58 6 4 4 2 4" xfId="9197"/>
    <cellStyle name="Normal 58 6 4 4 2 5" xfId="23277"/>
    <cellStyle name="Normal 58 6 4 4 3" xfId="10651"/>
    <cellStyle name="Normal 58 6 4 4 3 2" xfId="19478"/>
    <cellStyle name="Normal 58 6 4 4 3 3" xfId="29729"/>
    <cellStyle name="Normal 58 6 4 4 4" xfId="12097"/>
    <cellStyle name="Normal 58 6 4 4 4 2" xfId="26179"/>
    <cellStyle name="Normal 58 6 4 4 5" xfId="7092"/>
    <cellStyle name="Normal 58 6 4 4 6" xfId="21172"/>
    <cellStyle name="Normal 58 6 4 5" xfId="2070"/>
    <cellStyle name="Normal 58 6 4 5 2" xfId="16990"/>
    <cellStyle name="Normal 58 6 4 5 2 2" xfId="27241"/>
    <cellStyle name="Normal 58 6 4 5 3" xfId="13411"/>
    <cellStyle name="Normal 58 6 4 5 4" xfId="8154"/>
    <cellStyle name="Normal 58 6 4 5 5" xfId="22234"/>
    <cellStyle name="Normal 58 6 4 6" xfId="5715"/>
    <cellStyle name="Normal 58 6 4 6 2" xfId="14801"/>
    <cellStyle name="Normal 58 6 4 6 3" xfId="24805"/>
    <cellStyle name="Normal 58 6 4 7" xfId="9608"/>
    <cellStyle name="Normal 58 6 4 7 2" xfId="18435"/>
    <cellStyle name="Normal 58 6 4 7 3" xfId="28686"/>
    <cellStyle name="Normal 58 6 4 8" xfId="11052"/>
    <cellStyle name="Normal 58 6 4 8 2" xfId="23778"/>
    <cellStyle name="Normal 58 6 4 9" xfId="4686"/>
    <cellStyle name="Normal 58 6 4_Degree data" xfId="1756"/>
    <cellStyle name="Normal 58 6 5" xfId="775"/>
    <cellStyle name="Normal 58 6 5 2" xfId="2507"/>
    <cellStyle name="Normal 58 6 5 2 2" xfId="15963"/>
    <cellStyle name="Normal 58 6 5 2 2 2" xfId="26020"/>
    <cellStyle name="Normal 58 6 5 2 3" xfId="12482"/>
    <cellStyle name="Normal 58 6 5 2 4" xfId="6933"/>
    <cellStyle name="Normal 58 6 5 2 5" xfId="21013"/>
    <cellStyle name="Normal 58 6 5 3" xfId="3780"/>
    <cellStyle name="Normal 58 6 5 3 2" xfId="17427"/>
    <cellStyle name="Normal 58 6 5 3 2 2" xfId="27678"/>
    <cellStyle name="Normal 58 6 5 3 3" xfId="13848"/>
    <cellStyle name="Normal 58 6 5 3 4" xfId="8591"/>
    <cellStyle name="Normal 58 6 5 3 5" xfId="22671"/>
    <cellStyle name="Normal 58 6 5 4" xfId="6049"/>
    <cellStyle name="Normal 58 6 5 4 2" xfId="15133"/>
    <cellStyle name="Normal 58 6 5 4 3" xfId="25137"/>
    <cellStyle name="Normal 58 6 5 5" xfId="10045"/>
    <cellStyle name="Normal 58 6 5 5 2" xfId="18872"/>
    <cellStyle name="Normal 58 6 5 5 3" xfId="29123"/>
    <cellStyle name="Normal 58 6 5 6" xfId="11490"/>
    <cellStyle name="Normal 58 6 5 6 2" xfId="23619"/>
    <cellStyle name="Normal 58 6 5 7" xfId="4527"/>
    <cellStyle name="Normal 58 6 5 8" xfId="20130"/>
    <cellStyle name="Normal 58 6 6" xfId="1133"/>
    <cellStyle name="Normal 58 6 6 2" xfId="2855"/>
    <cellStyle name="Normal 58 6 6 2 2" xfId="16402"/>
    <cellStyle name="Normal 58 6 6 2 2 2" xfId="26621"/>
    <cellStyle name="Normal 58 6 6 2 3" xfId="12824"/>
    <cellStyle name="Normal 58 6 6 2 4" xfId="7534"/>
    <cellStyle name="Normal 58 6 6 2 5" xfId="21614"/>
    <cellStyle name="Normal 58 6 6 3" xfId="4129"/>
    <cellStyle name="Normal 58 6 6 3 2" xfId="17775"/>
    <cellStyle name="Normal 58 6 6 3 2 2" xfId="28026"/>
    <cellStyle name="Normal 58 6 6 3 3" xfId="14196"/>
    <cellStyle name="Normal 58 6 6 3 4" xfId="8939"/>
    <cellStyle name="Normal 58 6 6 3 5" xfId="23019"/>
    <cellStyle name="Normal 58 6 6 4" xfId="6650"/>
    <cellStyle name="Normal 58 6 6 4 2" xfId="15734"/>
    <cellStyle name="Normal 58 6 6 4 3" xfId="25738"/>
    <cellStyle name="Normal 58 6 6 5" xfId="10393"/>
    <cellStyle name="Normal 58 6 6 5 2" xfId="19220"/>
    <cellStyle name="Normal 58 6 6 5 3" xfId="29471"/>
    <cellStyle name="Normal 58 6 6 6" xfId="11839"/>
    <cellStyle name="Normal 58 6 6 6 2" xfId="24220"/>
    <cellStyle name="Normal 58 6 6 7" xfId="5128"/>
    <cellStyle name="Normal 58 6 6 8" xfId="20731"/>
    <cellStyle name="Normal 58 6 7" xfId="1342"/>
    <cellStyle name="Normal 58 6 7 2" xfId="2954"/>
    <cellStyle name="Normal 58 6 7 2 2" xfId="16510"/>
    <cellStyle name="Normal 58 6 7 2 2 2" xfId="26729"/>
    <cellStyle name="Normal 58 6 7 2 3" xfId="12932"/>
    <cellStyle name="Normal 58 6 7 2 4" xfId="7642"/>
    <cellStyle name="Normal 58 6 7 2 5" xfId="21722"/>
    <cellStyle name="Normal 58 6 7 3" xfId="4185"/>
    <cellStyle name="Normal 58 6 7 3 2" xfId="17874"/>
    <cellStyle name="Normal 58 6 7 3 2 2" xfId="28125"/>
    <cellStyle name="Normal 58 6 7 3 3" xfId="14295"/>
    <cellStyle name="Normal 58 6 7 3 4" xfId="9038"/>
    <cellStyle name="Normal 58 6 7 3 5" xfId="23118"/>
    <cellStyle name="Normal 58 6 7 4" xfId="5888"/>
    <cellStyle name="Normal 58 6 7 4 2" xfId="14974"/>
    <cellStyle name="Normal 58 6 7 4 3" xfId="24978"/>
    <cellStyle name="Normal 58 6 7 5" xfId="10492"/>
    <cellStyle name="Normal 58 6 7 5 2" xfId="19319"/>
    <cellStyle name="Normal 58 6 7 5 3" xfId="29570"/>
    <cellStyle name="Normal 58 6 7 6" xfId="11938"/>
    <cellStyle name="Normal 58 6 7 6 2" xfId="24328"/>
    <cellStyle name="Normal 58 6 7 7" xfId="5236"/>
    <cellStyle name="Normal 58 6 7 8" xfId="19971"/>
    <cellStyle name="Normal 58 6 8" xfId="1911"/>
    <cellStyle name="Normal 58 6 8 2" xfId="9449"/>
    <cellStyle name="Normal 58 6 8 2 2" xfId="18276"/>
    <cellStyle name="Normal 58 6 8 2 3" xfId="28527"/>
    <cellStyle name="Normal 58 6 8 3" xfId="10893"/>
    <cellStyle name="Normal 58 6 8 3 2" xfId="25862"/>
    <cellStyle name="Normal 58 6 8 4" xfId="6775"/>
    <cellStyle name="Normal 58 6 8 5" xfId="20855"/>
    <cellStyle name="Normal 58 6 9" xfId="1835"/>
    <cellStyle name="Normal 58 6 9 2" xfId="16829"/>
    <cellStyle name="Normal 58 6 9 2 2" xfId="27080"/>
    <cellStyle name="Normal 58 6 9 3" xfId="13250"/>
    <cellStyle name="Normal 58 6 9 4" xfId="7993"/>
    <cellStyle name="Normal 58 6 9 5" xfId="22073"/>
    <cellStyle name="Normal 58 6_Degree data" xfId="1751"/>
    <cellStyle name="Normal 58 7" xfId="251"/>
    <cellStyle name="Normal 58 7 10" xfId="10978"/>
    <cellStyle name="Normal 58 7 10 2" xfId="23487"/>
    <cellStyle name="Normal 58 7 11" xfId="4395"/>
    <cellStyle name="Normal 58 7 12" xfId="19724"/>
    <cellStyle name="Normal 58 7 2" xfId="353"/>
    <cellStyle name="Normal 58 7 2 10" xfId="19824"/>
    <cellStyle name="Normal 58 7 2 2" xfId="782"/>
    <cellStyle name="Normal 58 7 2 2 2" xfId="2514"/>
    <cellStyle name="Normal 58 7 2 2 2 2" xfId="16409"/>
    <cellStyle name="Normal 58 7 2 2 2 2 2" xfId="26628"/>
    <cellStyle name="Normal 58 7 2 2 2 3" xfId="12831"/>
    <cellStyle name="Normal 58 7 2 2 2 4" xfId="7541"/>
    <cellStyle name="Normal 58 7 2 2 2 5" xfId="21621"/>
    <cellStyle name="Normal 58 7 2 2 3" xfId="3787"/>
    <cellStyle name="Normal 58 7 2 2 3 2" xfId="17434"/>
    <cellStyle name="Normal 58 7 2 2 3 2 2" xfId="27685"/>
    <cellStyle name="Normal 58 7 2 2 3 3" xfId="13855"/>
    <cellStyle name="Normal 58 7 2 2 3 4" xfId="8598"/>
    <cellStyle name="Normal 58 7 2 2 3 5" xfId="22678"/>
    <cellStyle name="Normal 58 7 2 2 4" xfId="6657"/>
    <cellStyle name="Normal 58 7 2 2 4 2" xfId="15741"/>
    <cellStyle name="Normal 58 7 2 2 4 3" xfId="25745"/>
    <cellStyle name="Normal 58 7 2 2 5" xfId="10052"/>
    <cellStyle name="Normal 58 7 2 2 5 2" xfId="18879"/>
    <cellStyle name="Normal 58 7 2 2 5 3" xfId="29130"/>
    <cellStyle name="Normal 58 7 2 2 6" xfId="11497"/>
    <cellStyle name="Normal 58 7 2 2 6 2" xfId="24227"/>
    <cellStyle name="Normal 58 7 2 2 7" xfId="5135"/>
    <cellStyle name="Normal 58 7 2 2 8" xfId="20738"/>
    <cellStyle name="Normal 58 7 2 3" xfId="1140"/>
    <cellStyle name="Normal 58 7 2 3 2" xfId="2862"/>
    <cellStyle name="Normal 58 7 2 3 2 2" xfId="16695"/>
    <cellStyle name="Normal 58 7 2 3 2 2 2" xfId="26914"/>
    <cellStyle name="Normal 58 7 2 3 2 3" xfId="13116"/>
    <cellStyle name="Normal 58 7 2 3 2 4" xfId="7827"/>
    <cellStyle name="Normal 58 7 2 3 2 5" xfId="21907"/>
    <cellStyle name="Normal 58 7 2 3 3" xfId="4136"/>
    <cellStyle name="Normal 58 7 2 3 3 2" xfId="17782"/>
    <cellStyle name="Normal 58 7 2 3 3 2 2" xfId="28033"/>
    <cellStyle name="Normal 58 7 2 3 3 3" xfId="14203"/>
    <cellStyle name="Normal 58 7 2 3 3 4" xfId="8946"/>
    <cellStyle name="Normal 58 7 2 3 3 5" xfId="23026"/>
    <cellStyle name="Normal 58 7 2 3 4" xfId="6234"/>
    <cellStyle name="Normal 58 7 2 3 4 2" xfId="15318"/>
    <cellStyle name="Normal 58 7 2 3 4 3" xfId="25322"/>
    <cellStyle name="Normal 58 7 2 3 5" xfId="10400"/>
    <cellStyle name="Normal 58 7 2 3 5 2" xfId="19227"/>
    <cellStyle name="Normal 58 7 2 3 5 3" xfId="29478"/>
    <cellStyle name="Normal 58 7 2 3 6" xfId="11846"/>
    <cellStyle name="Normal 58 7 2 3 6 2" xfId="24513"/>
    <cellStyle name="Normal 58 7 2 3 7" xfId="5421"/>
    <cellStyle name="Normal 58 7 2 3 8" xfId="20315"/>
    <cellStyle name="Normal 58 7 2 4" xfId="1540"/>
    <cellStyle name="Normal 58 7 2 4 2" xfId="3139"/>
    <cellStyle name="Normal 58 7 2 4 2 2" xfId="18059"/>
    <cellStyle name="Normal 58 7 2 4 2 2 2" xfId="28310"/>
    <cellStyle name="Normal 58 7 2 4 2 3" xfId="14480"/>
    <cellStyle name="Normal 58 7 2 4 2 4" xfId="9223"/>
    <cellStyle name="Normal 58 7 2 4 2 5" xfId="23303"/>
    <cellStyle name="Normal 58 7 2 4 3" xfId="10677"/>
    <cellStyle name="Normal 58 7 2 4 3 2" xfId="19504"/>
    <cellStyle name="Normal 58 7 2 4 3 3" xfId="29755"/>
    <cellStyle name="Normal 58 7 2 4 4" xfId="12123"/>
    <cellStyle name="Normal 58 7 2 4 4 2" xfId="26205"/>
    <cellStyle name="Normal 58 7 2 4 5" xfId="7118"/>
    <cellStyle name="Normal 58 7 2 4 6" xfId="21198"/>
    <cellStyle name="Normal 58 7 2 5" xfId="2096"/>
    <cellStyle name="Normal 58 7 2 5 2" xfId="17016"/>
    <cellStyle name="Normal 58 7 2 5 2 2" xfId="27267"/>
    <cellStyle name="Normal 58 7 2 5 3" xfId="13437"/>
    <cellStyle name="Normal 58 7 2 5 4" xfId="8180"/>
    <cellStyle name="Normal 58 7 2 5 5" xfId="22260"/>
    <cellStyle name="Normal 58 7 2 6" xfId="5741"/>
    <cellStyle name="Normal 58 7 2 6 2" xfId="14827"/>
    <cellStyle name="Normal 58 7 2 6 3" xfId="24831"/>
    <cellStyle name="Normal 58 7 2 7" xfId="9634"/>
    <cellStyle name="Normal 58 7 2 7 2" xfId="18461"/>
    <cellStyle name="Normal 58 7 2 7 3" xfId="28712"/>
    <cellStyle name="Normal 58 7 2 8" xfId="11078"/>
    <cellStyle name="Normal 58 7 2 8 2" xfId="23804"/>
    <cellStyle name="Normal 58 7 2 9" xfId="4712"/>
    <cellStyle name="Normal 58 7 2_Degree data" xfId="1758"/>
    <cellStyle name="Normal 58 7 3" xfId="781"/>
    <cellStyle name="Normal 58 7 3 2" xfId="2513"/>
    <cellStyle name="Normal 58 7 3 2 2" xfId="16032"/>
    <cellStyle name="Normal 58 7 3 2 2 2" xfId="26105"/>
    <cellStyle name="Normal 58 7 3 2 3" xfId="12258"/>
    <cellStyle name="Normal 58 7 3 2 4" xfId="7018"/>
    <cellStyle name="Normal 58 7 3 2 5" xfId="21098"/>
    <cellStyle name="Normal 58 7 3 3" xfId="3786"/>
    <cellStyle name="Normal 58 7 3 3 2" xfId="17433"/>
    <cellStyle name="Normal 58 7 3 3 2 2" xfId="27684"/>
    <cellStyle name="Normal 58 7 3 3 3" xfId="13854"/>
    <cellStyle name="Normal 58 7 3 3 4" xfId="8597"/>
    <cellStyle name="Normal 58 7 3 3 5" xfId="22677"/>
    <cellStyle name="Normal 58 7 3 4" xfId="6134"/>
    <cellStyle name="Normal 58 7 3 4 2" xfId="15218"/>
    <cellStyle name="Normal 58 7 3 4 3" xfId="25222"/>
    <cellStyle name="Normal 58 7 3 5" xfId="10051"/>
    <cellStyle name="Normal 58 7 3 5 2" xfId="18878"/>
    <cellStyle name="Normal 58 7 3 5 3" xfId="29129"/>
    <cellStyle name="Normal 58 7 3 6" xfId="11496"/>
    <cellStyle name="Normal 58 7 3 6 2" xfId="23704"/>
    <cellStyle name="Normal 58 7 3 7" xfId="4612"/>
    <cellStyle name="Normal 58 7 3 8" xfId="20215"/>
    <cellStyle name="Normal 58 7 4" xfId="1139"/>
    <cellStyle name="Normal 58 7 4 2" xfId="2861"/>
    <cellStyle name="Normal 58 7 4 2 2" xfId="16408"/>
    <cellStyle name="Normal 58 7 4 2 2 2" xfId="26627"/>
    <cellStyle name="Normal 58 7 4 2 3" xfId="12830"/>
    <cellStyle name="Normal 58 7 4 2 4" xfId="7540"/>
    <cellStyle name="Normal 58 7 4 2 5" xfId="21620"/>
    <cellStyle name="Normal 58 7 4 3" xfId="4135"/>
    <cellStyle name="Normal 58 7 4 3 2" xfId="17781"/>
    <cellStyle name="Normal 58 7 4 3 2 2" xfId="28032"/>
    <cellStyle name="Normal 58 7 4 3 3" xfId="14202"/>
    <cellStyle name="Normal 58 7 4 3 4" xfId="8945"/>
    <cellStyle name="Normal 58 7 4 3 5" xfId="23025"/>
    <cellStyle name="Normal 58 7 4 4" xfId="6656"/>
    <cellStyle name="Normal 58 7 4 4 2" xfId="15740"/>
    <cellStyle name="Normal 58 7 4 4 3" xfId="25744"/>
    <cellStyle name="Normal 58 7 4 5" xfId="10399"/>
    <cellStyle name="Normal 58 7 4 5 2" xfId="19226"/>
    <cellStyle name="Normal 58 7 4 5 3" xfId="29477"/>
    <cellStyle name="Normal 58 7 4 6" xfId="11845"/>
    <cellStyle name="Normal 58 7 4 6 2" xfId="24226"/>
    <cellStyle name="Normal 58 7 4 7" xfId="5134"/>
    <cellStyle name="Normal 58 7 4 8" xfId="20737"/>
    <cellStyle name="Normal 58 7 5" xfId="1438"/>
    <cellStyle name="Normal 58 7 5 2" xfId="3039"/>
    <cellStyle name="Normal 58 7 5 2 2" xfId="16595"/>
    <cellStyle name="Normal 58 7 5 2 2 2" xfId="26814"/>
    <cellStyle name="Normal 58 7 5 2 3" xfId="13016"/>
    <cellStyle name="Normal 58 7 5 2 4" xfId="7727"/>
    <cellStyle name="Normal 58 7 5 2 5" xfId="21807"/>
    <cellStyle name="Normal 58 7 5 3" xfId="4253"/>
    <cellStyle name="Normal 58 7 5 3 2" xfId="17959"/>
    <cellStyle name="Normal 58 7 5 3 2 2" xfId="28210"/>
    <cellStyle name="Normal 58 7 5 3 3" xfId="14380"/>
    <cellStyle name="Normal 58 7 5 3 4" xfId="9123"/>
    <cellStyle name="Normal 58 7 5 3 5" xfId="23203"/>
    <cellStyle name="Normal 58 7 5 4" xfId="5915"/>
    <cellStyle name="Normal 58 7 5 4 2" xfId="15001"/>
    <cellStyle name="Normal 58 7 5 4 3" xfId="25005"/>
    <cellStyle name="Normal 58 7 5 5" xfId="10577"/>
    <cellStyle name="Normal 58 7 5 5 2" xfId="19404"/>
    <cellStyle name="Normal 58 7 5 5 3" xfId="29655"/>
    <cellStyle name="Normal 58 7 5 6" xfId="12023"/>
    <cellStyle name="Normal 58 7 5 6 2" xfId="24413"/>
    <cellStyle name="Normal 58 7 5 7" xfId="5321"/>
    <cellStyle name="Normal 58 7 5 8" xfId="19998"/>
    <cellStyle name="Normal 58 7 6" xfId="1996"/>
    <cellStyle name="Normal 58 7 6 2" xfId="15844"/>
    <cellStyle name="Normal 58 7 6 2 2" xfId="25888"/>
    <cellStyle name="Normal 58 7 6 3" xfId="12481"/>
    <cellStyle name="Normal 58 7 6 4" xfId="6801"/>
    <cellStyle name="Normal 58 7 6 5" xfId="20881"/>
    <cellStyle name="Normal 58 7 7" xfId="3415"/>
    <cellStyle name="Normal 58 7 7 2" xfId="16916"/>
    <cellStyle name="Normal 58 7 7 2 2" xfId="27167"/>
    <cellStyle name="Normal 58 7 7 3" xfId="13337"/>
    <cellStyle name="Normal 58 7 7 4" xfId="8080"/>
    <cellStyle name="Normal 58 7 7 5" xfId="22160"/>
    <cellStyle name="Normal 58 7 8" xfId="5641"/>
    <cellStyle name="Normal 58 7 8 2" xfId="14727"/>
    <cellStyle name="Normal 58 7 8 3" xfId="24731"/>
    <cellStyle name="Normal 58 7 9" xfId="9534"/>
    <cellStyle name="Normal 58 7 9 2" xfId="18361"/>
    <cellStyle name="Normal 58 7 9 3" xfId="28612"/>
    <cellStyle name="Normal 58 7_Degree data" xfId="1757"/>
    <cellStyle name="Normal 58 8" xfId="189"/>
    <cellStyle name="Normal 58 8 10" xfId="10921"/>
    <cellStyle name="Normal 58 8 10 2" xfId="23535"/>
    <cellStyle name="Normal 58 8 11" xfId="4443"/>
    <cellStyle name="Normal 58 8 12" xfId="19667"/>
    <cellStyle name="Normal 58 8 2" xfId="403"/>
    <cellStyle name="Normal 58 8 2 10" xfId="19872"/>
    <cellStyle name="Normal 58 8 2 2" xfId="784"/>
    <cellStyle name="Normal 58 8 2 2 2" xfId="2516"/>
    <cellStyle name="Normal 58 8 2 2 2 2" xfId="16411"/>
    <cellStyle name="Normal 58 8 2 2 2 2 2" xfId="26630"/>
    <cellStyle name="Normal 58 8 2 2 2 3" xfId="12833"/>
    <cellStyle name="Normal 58 8 2 2 2 4" xfId="7543"/>
    <cellStyle name="Normal 58 8 2 2 2 5" xfId="21623"/>
    <cellStyle name="Normal 58 8 2 2 3" xfId="3789"/>
    <cellStyle name="Normal 58 8 2 2 3 2" xfId="17436"/>
    <cellStyle name="Normal 58 8 2 2 3 2 2" xfId="27687"/>
    <cellStyle name="Normal 58 8 2 2 3 3" xfId="13857"/>
    <cellStyle name="Normal 58 8 2 2 3 4" xfId="8600"/>
    <cellStyle name="Normal 58 8 2 2 3 5" xfId="22680"/>
    <cellStyle name="Normal 58 8 2 2 4" xfId="6659"/>
    <cellStyle name="Normal 58 8 2 2 4 2" xfId="15743"/>
    <cellStyle name="Normal 58 8 2 2 4 3" xfId="25747"/>
    <cellStyle name="Normal 58 8 2 2 5" xfId="10054"/>
    <cellStyle name="Normal 58 8 2 2 5 2" xfId="18881"/>
    <cellStyle name="Normal 58 8 2 2 5 3" xfId="29132"/>
    <cellStyle name="Normal 58 8 2 2 6" xfId="11499"/>
    <cellStyle name="Normal 58 8 2 2 6 2" xfId="24229"/>
    <cellStyle name="Normal 58 8 2 2 7" xfId="5137"/>
    <cellStyle name="Normal 58 8 2 2 8" xfId="20740"/>
    <cellStyle name="Normal 58 8 2 3" xfId="1142"/>
    <cellStyle name="Normal 58 8 2 3 2" xfId="2864"/>
    <cellStyle name="Normal 58 8 2 3 2 2" xfId="16743"/>
    <cellStyle name="Normal 58 8 2 3 2 2 2" xfId="26962"/>
    <cellStyle name="Normal 58 8 2 3 2 3" xfId="13164"/>
    <cellStyle name="Normal 58 8 2 3 2 4" xfId="7875"/>
    <cellStyle name="Normal 58 8 2 3 2 5" xfId="21955"/>
    <cellStyle name="Normal 58 8 2 3 3" xfId="4138"/>
    <cellStyle name="Normal 58 8 2 3 3 2" xfId="17784"/>
    <cellStyle name="Normal 58 8 2 3 3 2 2" xfId="28035"/>
    <cellStyle name="Normal 58 8 2 3 3 3" xfId="14205"/>
    <cellStyle name="Normal 58 8 2 3 3 4" xfId="8948"/>
    <cellStyle name="Normal 58 8 2 3 3 5" xfId="23028"/>
    <cellStyle name="Normal 58 8 2 3 4" xfId="6282"/>
    <cellStyle name="Normal 58 8 2 3 4 2" xfId="15366"/>
    <cellStyle name="Normal 58 8 2 3 4 3" xfId="25370"/>
    <cellStyle name="Normal 58 8 2 3 5" xfId="10402"/>
    <cellStyle name="Normal 58 8 2 3 5 2" xfId="19229"/>
    <cellStyle name="Normal 58 8 2 3 5 3" xfId="29480"/>
    <cellStyle name="Normal 58 8 2 3 6" xfId="11848"/>
    <cellStyle name="Normal 58 8 2 3 6 2" xfId="24561"/>
    <cellStyle name="Normal 58 8 2 3 7" xfId="5469"/>
    <cellStyle name="Normal 58 8 2 3 8" xfId="20363"/>
    <cellStyle name="Normal 58 8 2 4" xfId="1590"/>
    <cellStyle name="Normal 58 8 2 4 2" xfId="3187"/>
    <cellStyle name="Normal 58 8 2 4 2 2" xfId="18107"/>
    <cellStyle name="Normal 58 8 2 4 2 2 2" xfId="28358"/>
    <cellStyle name="Normal 58 8 2 4 2 3" xfId="14528"/>
    <cellStyle name="Normal 58 8 2 4 2 4" xfId="9271"/>
    <cellStyle name="Normal 58 8 2 4 2 5" xfId="23351"/>
    <cellStyle name="Normal 58 8 2 4 3" xfId="10725"/>
    <cellStyle name="Normal 58 8 2 4 3 2" xfId="19552"/>
    <cellStyle name="Normal 58 8 2 4 3 3" xfId="29803"/>
    <cellStyle name="Normal 58 8 2 4 4" xfId="12171"/>
    <cellStyle name="Normal 58 8 2 4 4 2" xfId="26253"/>
    <cellStyle name="Normal 58 8 2 4 5" xfId="7166"/>
    <cellStyle name="Normal 58 8 2 4 6" xfId="21246"/>
    <cellStyle name="Normal 58 8 2 5" xfId="2144"/>
    <cellStyle name="Normal 58 8 2 5 2" xfId="17064"/>
    <cellStyle name="Normal 58 8 2 5 2 2" xfId="27315"/>
    <cellStyle name="Normal 58 8 2 5 3" xfId="13485"/>
    <cellStyle name="Normal 58 8 2 5 4" xfId="8228"/>
    <cellStyle name="Normal 58 8 2 5 5" xfId="22308"/>
    <cellStyle name="Normal 58 8 2 6" xfId="5789"/>
    <cellStyle name="Normal 58 8 2 6 2" xfId="14875"/>
    <cellStyle name="Normal 58 8 2 6 3" xfId="24879"/>
    <cellStyle name="Normal 58 8 2 7" xfId="9682"/>
    <cellStyle name="Normal 58 8 2 7 2" xfId="18509"/>
    <cellStyle name="Normal 58 8 2 7 3" xfId="28760"/>
    <cellStyle name="Normal 58 8 2 8" xfId="11126"/>
    <cellStyle name="Normal 58 8 2 8 2" xfId="23852"/>
    <cellStyle name="Normal 58 8 2 9" xfId="4760"/>
    <cellStyle name="Normal 58 8 2_Degree data" xfId="1760"/>
    <cellStyle name="Normal 58 8 3" xfId="783"/>
    <cellStyle name="Normal 58 8 3 2" xfId="2515"/>
    <cellStyle name="Normal 58 8 3 2 2" xfId="15975"/>
    <cellStyle name="Normal 58 8 3 2 2 2" xfId="26048"/>
    <cellStyle name="Normal 58 8 3 2 3" xfId="12487"/>
    <cellStyle name="Normal 58 8 3 2 4" xfId="6961"/>
    <cellStyle name="Normal 58 8 3 2 5" xfId="21041"/>
    <cellStyle name="Normal 58 8 3 3" xfId="3788"/>
    <cellStyle name="Normal 58 8 3 3 2" xfId="17435"/>
    <cellStyle name="Normal 58 8 3 3 2 2" xfId="27686"/>
    <cellStyle name="Normal 58 8 3 3 3" xfId="13856"/>
    <cellStyle name="Normal 58 8 3 3 4" xfId="8599"/>
    <cellStyle name="Normal 58 8 3 3 5" xfId="22679"/>
    <cellStyle name="Normal 58 8 3 4" xfId="6077"/>
    <cellStyle name="Normal 58 8 3 4 2" xfId="15161"/>
    <cellStyle name="Normal 58 8 3 4 3" xfId="25165"/>
    <cellStyle name="Normal 58 8 3 5" xfId="10053"/>
    <cellStyle name="Normal 58 8 3 5 2" xfId="18880"/>
    <cellStyle name="Normal 58 8 3 5 3" xfId="29131"/>
    <cellStyle name="Normal 58 8 3 6" xfId="11498"/>
    <cellStyle name="Normal 58 8 3 6 2" xfId="23647"/>
    <cellStyle name="Normal 58 8 3 7" xfId="4555"/>
    <cellStyle name="Normal 58 8 3 8" xfId="20158"/>
    <cellStyle name="Normal 58 8 4" xfId="1141"/>
    <cellStyle name="Normal 58 8 4 2" xfId="2863"/>
    <cellStyle name="Normal 58 8 4 2 2" xfId="16410"/>
    <cellStyle name="Normal 58 8 4 2 2 2" xfId="26629"/>
    <cellStyle name="Normal 58 8 4 2 3" xfId="12832"/>
    <cellStyle name="Normal 58 8 4 2 4" xfId="7542"/>
    <cellStyle name="Normal 58 8 4 2 5" xfId="21622"/>
    <cellStyle name="Normal 58 8 4 3" xfId="4137"/>
    <cellStyle name="Normal 58 8 4 3 2" xfId="17783"/>
    <cellStyle name="Normal 58 8 4 3 2 2" xfId="28034"/>
    <cellStyle name="Normal 58 8 4 3 3" xfId="14204"/>
    <cellStyle name="Normal 58 8 4 3 4" xfId="8947"/>
    <cellStyle name="Normal 58 8 4 3 5" xfId="23027"/>
    <cellStyle name="Normal 58 8 4 4" xfId="6658"/>
    <cellStyle name="Normal 58 8 4 4 2" xfId="15742"/>
    <cellStyle name="Normal 58 8 4 4 3" xfId="25746"/>
    <cellStyle name="Normal 58 8 4 5" xfId="10401"/>
    <cellStyle name="Normal 58 8 4 5 2" xfId="19228"/>
    <cellStyle name="Normal 58 8 4 5 3" xfId="29479"/>
    <cellStyle name="Normal 58 8 4 6" xfId="11847"/>
    <cellStyle name="Normal 58 8 4 6 2" xfId="24228"/>
    <cellStyle name="Normal 58 8 4 7" xfId="5136"/>
    <cellStyle name="Normal 58 8 4 8" xfId="20739"/>
    <cellStyle name="Normal 58 8 5" xfId="1376"/>
    <cellStyle name="Normal 58 8 5 2" xfId="2982"/>
    <cellStyle name="Normal 58 8 5 2 2" xfId="16538"/>
    <cellStyle name="Normal 58 8 5 2 2 2" xfId="26757"/>
    <cellStyle name="Normal 58 8 5 2 3" xfId="12959"/>
    <cellStyle name="Normal 58 8 5 2 4" xfId="7670"/>
    <cellStyle name="Normal 58 8 5 2 5" xfId="21750"/>
    <cellStyle name="Normal 58 8 5 3" xfId="4196"/>
    <cellStyle name="Normal 58 8 5 3 2" xfId="17902"/>
    <cellStyle name="Normal 58 8 5 3 2 2" xfId="28153"/>
    <cellStyle name="Normal 58 8 5 3 3" xfId="14323"/>
    <cellStyle name="Normal 58 8 5 3 4" xfId="9066"/>
    <cellStyle name="Normal 58 8 5 3 5" xfId="23146"/>
    <cellStyle name="Normal 58 8 5 4" xfId="5963"/>
    <cellStyle name="Normal 58 8 5 4 2" xfId="15049"/>
    <cellStyle name="Normal 58 8 5 4 3" xfId="25053"/>
    <cellStyle name="Normal 58 8 5 5" xfId="10520"/>
    <cellStyle name="Normal 58 8 5 5 2" xfId="19347"/>
    <cellStyle name="Normal 58 8 5 5 3" xfId="29598"/>
    <cellStyle name="Normal 58 8 5 6" xfId="11966"/>
    <cellStyle name="Normal 58 8 5 6 2" xfId="24356"/>
    <cellStyle name="Normal 58 8 5 7" xfId="5264"/>
    <cellStyle name="Normal 58 8 5 8" xfId="20046"/>
    <cellStyle name="Normal 58 8 6" xfId="1939"/>
    <cellStyle name="Normal 58 8 6 2" xfId="15892"/>
    <cellStyle name="Normal 58 8 6 2 2" xfId="25936"/>
    <cellStyle name="Normal 58 8 6 3" xfId="12410"/>
    <cellStyle name="Normal 58 8 6 4" xfId="6849"/>
    <cellStyle name="Normal 58 8 6 5" xfId="20929"/>
    <cellStyle name="Normal 58 8 7" xfId="3359"/>
    <cellStyle name="Normal 58 8 7 2" xfId="16859"/>
    <cellStyle name="Normal 58 8 7 2 2" xfId="27110"/>
    <cellStyle name="Normal 58 8 7 3" xfId="13280"/>
    <cellStyle name="Normal 58 8 7 4" xfId="8023"/>
    <cellStyle name="Normal 58 8 7 5" xfId="22103"/>
    <cellStyle name="Normal 58 8 8" xfId="5584"/>
    <cellStyle name="Normal 58 8 8 2" xfId="14670"/>
    <cellStyle name="Normal 58 8 8 3" xfId="24674"/>
    <cellStyle name="Normal 58 8 9" xfId="9477"/>
    <cellStyle name="Normal 58 8 9 2" xfId="18304"/>
    <cellStyle name="Normal 58 8 9 3" xfId="28555"/>
    <cellStyle name="Normal 58 8_Degree data" xfId="1759"/>
    <cellStyle name="Normal 58 9" xfId="459"/>
    <cellStyle name="Normal 58 9 10" xfId="4499"/>
    <cellStyle name="Normal 58 9 11" xfId="19928"/>
    <cellStyle name="Normal 58 9 2" xfId="785"/>
    <cellStyle name="Normal 58 9 2 2" xfId="2517"/>
    <cellStyle name="Normal 58 9 2 2 2" xfId="16091"/>
    <cellStyle name="Normal 58 9 2 2 2 2" xfId="26309"/>
    <cellStyle name="Normal 58 9 2 2 3" xfId="12513"/>
    <cellStyle name="Normal 58 9 2 2 4" xfId="7222"/>
    <cellStyle name="Normal 58 9 2 2 5" xfId="21302"/>
    <cellStyle name="Normal 58 9 2 3" xfId="3790"/>
    <cellStyle name="Normal 58 9 2 3 2" xfId="17437"/>
    <cellStyle name="Normal 58 9 2 3 2 2" xfId="27688"/>
    <cellStyle name="Normal 58 9 2 3 3" xfId="13858"/>
    <cellStyle name="Normal 58 9 2 3 4" xfId="8601"/>
    <cellStyle name="Normal 58 9 2 3 5" xfId="22681"/>
    <cellStyle name="Normal 58 9 2 4" xfId="6338"/>
    <cellStyle name="Normal 58 9 2 4 2" xfId="15422"/>
    <cellStyle name="Normal 58 9 2 4 3" xfId="25426"/>
    <cellStyle name="Normal 58 9 2 5" xfId="10055"/>
    <cellStyle name="Normal 58 9 2 5 2" xfId="18882"/>
    <cellStyle name="Normal 58 9 2 5 3" xfId="29133"/>
    <cellStyle name="Normal 58 9 2 6" xfId="11500"/>
    <cellStyle name="Normal 58 9 2 6 2" xfId="23908"/>
    <cellStyle name="Normal 58 9 2 7" xfId="4816"/>
    <cellStyle name="Normal 58 9 2 8" xfId="20419"/>
    <cellStyle name="Normal 58 9 3" xfId="1143"/>
    <cellStyle name="Normal 58 9 3 2" xfId="2865"/>
    <cellStyle name="Normal 58 9 3 2 2" xfId="16412"/>
    <cellStyle name="Normal 58 9 3 2 2 2" xfId="26631"/>
    <cellStyle name="Normal 58 9 3 2 3" xfId="12834"/>
    <cellStyle name="Normal 58 9 3 2 4" xfId="7544"/>
    <cellStyle name="Normal 58 9 3 2 5" xfId="21624"/>
    <cellStyle name="Normal 58 9 3 3" xfId="4139"/>
    <cellStyle name="Normal 58 9 3 3 2" xfId="17785"/>
    <cellStyle name="Normal 58 9 3 3 2 2" xfId="28036"/>
    <cellStyle name="Normal 58 9 3 3 3" xfId="14206"/>
    <cellStyle name="Normal 58 9 3 3 4" xfId="8949"/>
    <cellStyle name="Normal 58 9 3 3 5" xfId="23029"/>
    <cellStyle name="Normal 58 9 3 4" xfId="6660"/>
    <cellStyle name="Normal 58 9 3 4 2" xfId="15744"/>
    <cellStyle name="Normal 58 9 3 4 3" xfId="25748"/>
    <cellStyle name="Normal 58 9 3 5" xfId="10403"/>
    <cellStyle name="Normal 58 9 3 5 2" xfId="19230"/>
    <cellStyle name="Normal 58 9 3 5 3" xfId="29481"/>
    <cellStyle name="Normal 58 9 3 6" xfId="11849"/>
    <cellStyle name="Normal 58 9 3 6 2" xfId="24230"/>
    <cellStyle name="Normal 58 9 3 7" xfId="5138"/>
    <cellStyle name="Normal 58 9 3 8" xfId="20741"/>
    <cellStyle name="Normal 58 9 4" xfId="1646"/>
    <cellStyle name="Normal 58 9 4 2" xfId="3243"/>
    <cellStyle name="Normal 58 9 4 2 2" xfId="16799"/>
    <cellStyle name="Normal 58 9 4 2 2 2" xfId="27018"/>
    <cellStyle name="Normal 58 9 4 2 3" xfId="13220"/>
    <cellStyle name="Normal 58 9 4 2 4" xfId="7931"/>
    <cellStyle name="Normal 58 9 4 2 5" xfId="22011"/>
    <cellStyle name="Normal 58 9 4 3" xfId="4312"/>
    <cellStyle name="Normal 58 9 4 3 2" xfId="18163"/>
    <cellStyle name="Normal 58 9 4 3 2 2" xfId="28414"/>
    <cellStyle name="Normal 58 9 4 3 3" xfId="14584"/>
    <cellStyle name="Normal 58 9 4 3 4" xfId="9327"/>
    <cellStyle name="Normal 58 9 4 3 5" xfId="23407"/>
    <cellStyle name="Normal 58 9 4 4" xfId="6019"/>
    <cellStyle name="Normal 58 9 4 4 2" xfId="15105"/>
    <cellStyle name="Normal 58 9 4 4 3" xfId="25109"/>
    <cellStyle name="Normal 58 9 4 5" xfId="10781"/>
    <cellStyle name="Normal 58 9 4 5 2" xfId="19608"/>
    <cellStyle name="Normal 58 9 4 5 3" xfId="29859"/>
    <cellStyle name="Normal 58 9 4 6" xfId="12227"/>
    <cellStyle name="Normal 58 9 4 6 2" xfId="24617"/>
    <cellStyle name="Normal 58 9 4 7" xfId="5525"/>
    <cellStyle name="Normal 58 9 4 8" xfId="20102"/>
    <cellStyle name="Normal 58 9 5" xfId="2200"/>
    <cellStyle name="Normal 58 9 5 2" xfId="15948"/>
    <cellStyle name="Normal 58 9 5 2 2" xfId="25992"/>
    <cellStyle name="Normal 58 9 5 3" xfId="12252"/>
    <cellStyle name="Normal 58 9 5 4" xfId="6905"/>
    <cellStyle name="Normal 58 9 5 5" xfId="20985"/>
    <cellStyle name="Normal 58 9 6" xfId="3474"/>
    <cellStyle name="Normal 58 9 6 2" xfId="17120"/>
    <cellStyle name="Normal 58 9 6 2 2" xfId="27371"/>
    <cellStyle name="Normal 58 9 6 3" xfId="13541"/>
    <cellStyle name="Normal 58 9 6 4" xfId="8284"/>
    <cellStyle name="Normal 58 9 6 5" xfId="22364"/>
    <cellStyle name="Normal 58 9 7" xfId="5845"/>
    <cellStyle name="Normal 58 9 7 2" xfId="14931"/>
    <cellStyle name="Normal 58 9 7 3" xfId="24935"/>
    <cellStyle name="Normal 58 9 8" xfId="9738"/>
    <cellStyle name="Normal 58 9 8 2" xfId="18565"/>
    <cellStyle name="Normal 58 9 8 3" xfId="28816"/>
    <cellStyle name="Normal 58 9 9" xfId="11182"/>
    <cellStyle name="Normal 58 9 9 2" xfId="23591"/>
    <cellStyle name="Normal 58 9_Degree data" xfId="1761"/>
    <cellStyle name="Normal 58_Degree data" xfId="1719"/>
    <cellStyle name="Normal 59" xfId="77"/>
    <cellStyle name="Normal 6" xfId="58"/>
    <cellStyle name="Normal 6 2 2" xfId="76"/>
    <cellStyle name="Normal 6_sreb progression tab 2 redo" xfId="65"/>
    <cellStyle name="Normal 60" xfId="186"/>
    <cellStyle name="Normal 60 2" xfId="786"/>
    <cellStyle name="Normal 60 3" xfId="3292"/>
    <cellStyle name="Normal 60_Degree data" xfId="1762"/>
    <cellStyle name="Normal 61" xfId="184"/>
    <cellStyle name="Normal 61 2" xfId="787"/>
    <cellStyle name="Normal 61 3" xfId="3277"/>
    <cellStyle name="Normal 61_Degree data" xfId="1763"/>
    <cellStyle name="Normal 62" xfId="148"/>
    <cellStyle name="Normal 62 2" xfId="788"/>
    <cellStyle name="Normal 62 3" xfId="3321"/>
    <cellStyle name="Normal 62_Degree data" xfId="1764"/>
    <cellStyle name="Normal 63" xfId="167"/>
    <cellStyle name="Normal 63 10" xfId="5567"/>
    <cellStyle name="Normal 63 10 2" xfId="14653"/>
    <cellStyle name="Normal 63 10 3" xfId="24657"/>
    <cellStyle name="Normal 63 11" xfId="9460"/>
    <cellStyle name="Normal 63 11 2" xfId="18287"/>
    <cellStyle name="Normal 63 11 3" xfId="28538"/>
    <cellStyle name="Normal 63 12" xfId="10904"/>
    <cellStyle name="Normal 63 12 2" xfId="23449"/>
    <cellStyle name="Normal 63 13" xfId="4357"/>
    <cellStyle name="Normal 63 14" xfId="19650"/>
    <cellStyle name="Normal 63 2" xfId="208"/>
    <cellStyle name="Normal 63 2 10" xfId="10940"/>
    <cellStyle name="Normal 63 2 10 2" xfId="23554"/>
    <cellStyle name="Normal 63 2 11" xfId="4462"/>
    <cellStyle name="Normal 63 2 12" xfId="19686"/>
    <cellStyle name="Normal 63 2 2" xfId="422"/>
    <cellStyle name="Normal 63 2 2 10" xfId="19891"/>
    <cellStyle name="Normal 63 2 2 2" xfId="791"/>
    <cellStyle name="Normal 63 2 2 2 2" xfId="2520"/>
    <cellStyle name="Normal 63 2 2 2 2 2" xfId="16415"/>
    <cellStyle name="Normal 63 2 2 2 2 2 2" xfId="26634"/>
    <cellStyle name="Normal 63 2 2 2 2 3" xfId="12837"/>
    <cellStyle name="Normal 63 2 2 2 2 4" xfId="7547"/>
    <cellStyle name="Normal 63 2 2 2 2 5" xfId="21627"/>
    <cellStyle name="Normal 63 2 2 2 3" xfId="3793"/>
    <cellStyle name="Normal 63 2 2 2 3 2" xfId="17440"/>
    <cellStyle name="Normal 63 2 2 2 3 2 2" xfId="27691"/>
    <cellStyle name="Normal 63 2 2 2 3 3" xfId="13861"/>
    <cellStyle name="Normal 63 2 2 2 3 4" xfId="8604"/>
    <cellStyle name="Normal 63 2 2 2 3 5" xfId="22684"/>
    <cellStyle name="Normal 63 2 2 2 4" xfId="6663"/>
    <cellStyle name="Normal 63 2 2 2 4 2" xfId="15747"/>
    <cellStyle name="Normal 63 2 2 2 4 3" xfId="25751"/>
    <cellStyle name="Normal 63 2 2 2 5" xfId="10058"/>
    <cellStyle name="Normal 63 2 2 2 5 2" xfId="18885"/>
    <cellStyle name="Normal 63 2 2 2 5 3" xfId="29136"/>
    <cellStyle name="Normal 63 2 2 2 6" xfId="11504"/>
    <cellStyle name="Normal 63 2 2 2 6 2" xfId="24233"/>
    <cellStyle name="Normal 63 2 2 2 7" xfId="5141"/>
    <cellStyle name="Normal 63 2 2 2 8" xfId="20744"/>
    <cellStyle name="Normal 63 2 2 3" xfId="1146"/>
    <cellStyle name="Normal 63 2 2 3 2" xfId="2868"/>
    <cellStyle name="Normal 63 2 2 3 2 2" xfId="16762"/>
    <cellStyle name="Normal 63 2 2 3 2 2 2" xfId="26981"/>
    <cellStyle name="Normal 63 2 2 3 2 3" xfId="13183"/>
    <cellStyle name="Normal 63 2 2 3 2 4" xfId="7894"/>
    <cellStyle name="Normal 63 2 2 3 2 5" xfId="21974"/>
    <cellStyle name="Normal 63 2 2 3 3" xfId="4142"/>
    <cellStyle name="Normal 63 2 2 3 3 2" xfId="17788"/>
    <cellStyle name="Normal 63 2 2 3 3 2 2" xfId="28039"/>
    <cellStyle name="Normal 63 2 2 3 3 3" xfId="14209"/>
    <cellStyle name="Normal 63 2 2 3 3 4" xfId="8952"/>
    <cellStyle name="Normal 63 2 2 3 3 5" xfId="23032"/>
    <cellStyle name="Normal 63 2 2 3 4" xfId="6301"/>
    <cellStyle name="Normal 63 2 2 3 4 2" xfId="15385"/>
    <cellStyle name="Normal 63 2 2 3 4 3" xfId="25389"/>
    <cellStyle name="Normal 63 2 2 3 5" xfId="10406"/>
    <cellStyle name="Normal 63 2 2 3 5 2" xfId="19233"/>
    <cellStyle name="Normal 63 2 2 3 5 3" xfId="29484"/>
    <cellStyle name="Normal 63 2 2 3 6" xfId="11852"/>
    <cellStyle name="Normal 63 2 2 3 6 2" xfId="24580"/>
    <cellStyle name="Normal 63 2 2 3 7" xfId="5488"/>
    <cellStyle name="Normal 63 2 2 3 8" xfId="20382"/>
    <cellStyle name="Normal 63 2 2 4" xfId="1609"/>
    <cellStyle name="Normal 63 2 2 4 2" xfId="3206"/>
    <cellStyle name="Normal 63 2 2 4 2 2" xfId="18126"/>
    <cellStyle name="Normal 63 2 2 4 2 2 2" xfId="28377"/>
    <cellStyle name="Normal 63 2 2 4 2 3" xfId="14547"/>
    <cellStyle name="Normal 63 2 2 4 2 4" xfId="9290"/>
    <cellStyle name="Normal 63 2 2 4 2 5" xfId="23370"/>
    <cellStyle name="Normal 63 2 2 4 3" xfId="10744"/>
    <cellStyle name="Normal 63 2 2 4 3 2" xfId="19571"/>
    <cellStyle name="Normal 63 2 2 4 3 3" xfId="29822"/>
    <cellStyle name="Normal 63 2 2 4 4" xfId="12190"/>
    <cellStyle name="Normal 63 2 2 4 4 2" xfId="26272"/>
    <cellStyle name="Normal 63 2 2 4 5" xfId="7185"/>
    <cellStyle name="Normal 63 2 2 4 6" xfId="21265"/>
    <cellStyle name="Normal 63 2 2 5" xfId="2163"/>
    <cellStyle name="Normal 63 2 2 5 2" xfId="17083"/>
    <cellStyle name="Normal 63 2 2 5 2 2" xfId="27334"/>
    <cellStyle name="Normal 63 2 2 5 3" xfId="13504"/>
    <cellStyle name="Normal 63 2 2 5 4" xfId="8247"/>
    <cellStyle name="Normal 63 2 2 5 5" xfId="22327"/>
    <cellStyle name="Normal 63 2 2 6" xfId="5808"/>
    <cellStyle name="Normal 63 2 2 6 2" xfId="14894"/>
    <cellStyle name="Normal 63 2 2 6 3" xfId="24898"/>
    <cellStyle name="Normal 63 2 2 7" xfId="9701"/>
    <cellStyle name="Normal 63 2 2 7 2" xfId="18528"/>
    <cellStyle name="Normal 63 2 2 7 3" xfId="28779"/>
    <cellStyle name="Normal 63 2 2 8" xfId="11145"/>
    <cellStyle name="Normal 63 2 2 8 2" xfId="23871"/>
    <cellStyle name="Normal 63 2 2 9" xfId="4779"/>
    <cellStyle name="Normal 63 2 2_Degree data" xfId="1767"/>
    <cellStyle name="Normal 63 2 3" xfId="790"/>
    <cellStyle name="Normal 63 2 3 2" xfId="2519"/>
    <cellStyle name="Normal 63 2 3 2 2" xfId="15994"/>
    <cellStyle name="Normal 63 2 3 2 2 2" xfId="26067"/>
    <cellStyle name="Normal 63 2 3 2 3" xfId="12437"/>
    <cellStyle name="Normal 63 2 3 2 4" xfId="6980"/>
    <cellStyle name="Normal 63 2 3 2 5" xfId="21060"/>
    <cellStyle name="Normal 63 2 3 3" xfId="3792"/>
    <cellStyle name="Normal 63 2 3 3 2" xfId="17439"/>
    <cellStyle name="Normal 63 2 3 3 2 2" xfId="27690"/>
    <cellStyle name="Normal 63 2 3 3 3" xfId="13860"/>
    <cellStyle name="Normal 63 2 3 3 4" xfId="8603"/>
    <cellStyle name="Normal 63 2 3 3 5" xfId="22683"/>
    <cellStyle name="Normal 63 2 3 4" xfId="6096"/>
    <cellStyle name="Normal 63 2 3 4 2" xfId="15180"/>
    <cellStyle name="Normal 63 2 3 4 3" xfId="25184"/>
    <cellStyle name="Normal 63 2 3 5" xfId="10057"/>
    <cellStyle name="Normal 63 2 3 5 2" xfId="18884"/>
    <cellStyle name="Normal 63 2 3 5 3" xfId="29135"/>
    <cellStyle name="Normal 63 2 3 6" xfId="11503"/>
    <cellStyle name="Normal 63 2 3 6 2" xfId="23666"/>
    <cellStyle name="Normal 63 2 3 7" xfId="4574"/>
    <cellStyle name="Normal 63 2 3 8" xfId="20177"/>
    <cellStyle name="Normal 63 2 4" xfId="1145"/>
    <cellStyle name="Normal 63 2 4 2" xfId="2867"/>
    <cellStyle name="Normal 63 2 4 2 2" xfId="16414"/>
    <cellStyle name="Normal 63 2 4 2 2 2" xfId="26633"/>
    <cellStyle name="Normal 63 2 4 2 3" xfId="12836"/>
    <cellStyle name="Normal 63 2 4 2 4" xfId="7546"/>
    <cellStyle name="Normal 63 2 4 2 5" xfId="21626"/>
    <cellStyle name="Normal 63 2 4 3" xfId="4141"/>
    <cellStyle name="Normal 63 2 4 3 2" xfId="17787"/>
    <cellStyle name="Normal 63 2 4 3 2 2" xfId="28038"/>
    <cellStyle name="Normal 63 2 4 3 3" xfId="14208"/>
    <cellStyle name="Normal 63 2 4 3 4" xfId="8951"/>
    <cellStyle name="Normal 63 2 4 3 5" xfId="23031"/>
    <cellStyle name="Normal 63 2 4 4" xfId="6662"/>
    <cellStyle name="Normal 63 2 4 4 2" xfId="15746"/>
    <cellStyle name="Normal 63 2 4 4 3" xfId="25750"/>
    <cellStyle name="Normal 63 2 4 5" xfId="10405"/>
    <cellStyle name="Normal 63 2 4 5 2" xfId="19232"/>
    <cellStyle name="Normal 63 2 4 5 3" xfId="29483"/>
    <cellStyle name="Normal 63 2 4 6" xfId="11851"/>
    <cellStyle name="Normal 63 2 4 6 2" xfId="24232"/>
    <cellStyle name="Normal 63 2 4 7" xfId="5140"/>
    <cellStyle name="Normal 63 2 4 8" xfId="20743"/>
    <cellStyle name="Normal 63 2 5" xfId="1395"/>
    <cellStyle name="Normal 63 2 5 2" xfId="3001"/>
    <cellStyle name="Normal 63 2 5 2 2" xfId="16557"/>
    <cellStyle name="Normal 63 2 5 2 2 2" xfId="26776"/>
    <cellStyle name="Normal 63 2 5 2 3" xfId="12978"/>
    <cellStyle name="Normal 63 2 5 2 4" xfId="7689"/>
    <cellStyle name="Normal 63 2 5 2 5" xfId="21769"/>
    <cellStyle name="Normal 63 2 5 3" xfId="4215"/>
    <cellStyle name="Normal 63 2 5 3 2" xfId="17921"/>
    <cellStyle name="Normal 63 2 5 3 2 2" xfId="28172"/>
    <cellStyle name="Normal 63 2 5 3 3" xfId="14342"/>
    <cellStyle name="Normal 63 2 5 3 4" xfId="9085"/>
    <cellStyle name="Normal 63 2 5 3 5" xfId="23165"/>
    <cellStyle name="Normal 63 2 5 4" xfId="5982"/>
    <cellStyle name="Normal 63 2 5 4 2" xfId="15068"/>
    <cellStyle name="Normal 63 2 5 4 3" xfId="25072"/>
    <cellStyle name="Normal 63 2 5 5" xfId="10539"/>
    <cellStyle name="Normal 63 2 5 5 2" xfId="19366"/>
    <cellStyle name="Normal 63 2 5 5 3" xfId="29617"/>
    <cellStyle name="Normal 63 2 5 6" xfId="11985"/>
    <cellStyle name="Normal 63 2 5 6 2" xfId="24375"/>
    <cellStyle name="Normal 63 2 5 7" xfId="5283"/>
    <cellStyle name="Normal 63 2 5 8" xfId="20065"/>
    <cellStyle name="Normal 63 2 6" xfId="1958"/>
    <cellStyle name="Normal 63 2 6 2" xfId="15911"/>
    <cellStyle name="Normal 63 2 6 2 2" xfId="25955"/>
    <cellStyle name="Normal 63 2 6 3" xfId="12442"/>
    <cellStyle name="Normal 63 2 6 4" xfId="6868"/>
    <cellStyle name="Normal 63 2 6 5" xfId="20948"/>
    <cellStyle name="Normal 63 2 7" xfId="3378"/>
    <cellStyle name="Normal 63 2 7 2" xfId="16878"/>
    <cellStyle name="Normal 63 2 7 2 2" xfId="27129"/>
    <cellStyle name="Normal 63 2 7 3" xfId="13299"/>
    <cellStyle name="Normal 63 2 7 4" xfId="8042"/>
    <cellStyle name="Normal 63 2 7 5" xfId="22122"/>
    <cellStyle name="Normal 63 2 8" xfId="5603"/>
    <cellStyle name="Normal 63 2 8 2" xfId="14689"/>
    <cellStyle name="Normal 63 2 8 3" xfId="24693"/>
    <cellStyle name="Normal 63 2 9" xfId="9496"/>
    <cellStyle name="Normal 63 2 9 2" xfId="18323"/>
    <cellStyle name="Normal 63 2 9 3" xfId="28574"/>
    <cellStyle name="Normal 63 2_Degree data" xfId="1766"/>
    <cellStyle name="Normal 63 3" xfId="399"/>
    <cellStyle name="Normal 63 3 10" xfId="4439"/>
    <cellStyle name="Normal 63 3 11" xfId="19868"/>
    <cellStyle name="Normal 63 3 2" xfId="792"/>
    <cellStyle name="Normal 63 3 2 2" xfId="2521"/>
    <cellStyle name="Normal 63 3 2 2 2" xfId="16076"/>
    <cellStyle name="Normal 63 3 2 2 2 2" xfId="26249"/>
    <cellStyle name="Normal 63 3 2 2 3" xfId="12434"/>
    <cellStyle name="Normal 63 3 2 2 4" xfId="7162"/>
    <cellStyle name="Normal 63 3 2 2 5" xfId="21242"/>
    <cellStyle name="Normal 63 3 2 3" xfId="3794"/>
    <cellStyle name="Normal 63 3 2 3 2" xfId="17441"/>
    <cellStyle name="Normal 63 3 2 3 2 2" xfId="27692"/>
    <cellStyle name="Normal 63 3 2 3 3" xfId="13862"/>
    <cellStyle name="Normal 63 3 2 3 4" xfId="8605"/>
    <cellStyle name="Normal 63 3 2 3 5" xfId="22685"/>
    <cellStyle name="Normal 63 3 2 4" xfId="6278"/>
    <cellStyle name="Normal 63 3 2 4 2" xfId="15362"/>
    <cellStyle name="Normal 63 3 2 4 3" xfId="25366"/>
    <cellStyle name="Normal 63 3 2 5" xfId="10059"/>
    <cellStyle name="Normal 63 3 2 5 2" xfId="18886"/>
    <cellStyle name="Normal 63 3 2 5 3" xfId="29137"/>
    <cellStyle name="Normal 63 3 2 6" xfId="11505"/>
    <cellStyle name="Normal 63 3 2 6 2" xfId="23848"/>
    <cellStyle name="Normal 63 3 2 7" xfId="4756"/>
    <cellStyle name="Normal 63 3 2 8" xfId="20359"/>
    <cellStyle name="Normal 63 3 3" xfId="1147"/>
    <cellStyle name="Normal 63 3 3 2" xfId="2869"/>
    <cellStyle name="Normal 63 3 3 2 2" xfId="16416"/>
    <cellStyle name="Normal 63 3 3 2 2 2" xfId="26635"/>
    <cellStyle name="Normal 63 3 3 2 3" xfId="12838"/>
    <cellStyle name="Normal 63 3 3 2 4" xfId="7548"/>
    <cellStyle name="Normal 63 3 3 2 5" xfId="21628"/>
    <cellStyle name="Normal 63 3 3 3" xfId="4143"/>
    <cellStyle name="Normal 63 3 3 3 2" xfId="17789"/>
    <cellStyle name="Normal 63 3 3 3 2 2" xfId="28040"/>
    <cellStyle name="Normal 63 3 3 3 3" xfId="14210"/>
    <cellStyle name="Normal 63 3 3 3 4" xfId="8953"/>
    <cellStyle name="Normal 63 3 3 3 5" xfId="23033"/>
    <cellStyle name="Normal 63 3 3 4" xfId="6664"/>
    <cellStyle name="Normal 63 3 3 4 2" xfId="15748"/>
    <cellStyle name="Normal 63 3 3 4 3" xfId="25752"/>
    <cellStyle name="Normal 63 3 3 5" xfId="10407"/>
    <cellStyle name="Normal 63 3 3 5 2" xfId="19234"/>
    <cellStyle name="Normal 63 3 3 5 3" xfId="29485"/>
    <cellStyle name="Normal 63 3 3 6" xfId="11853"/>
    <cellStyle name="Normal 63 3 3 6 2" xfId="24234"/>
    <cellStyle name="Normal 63 3 3 7" xfId="5142"/>
    <cellStyle name="Normal 63 3 3 8" xfId="20745"/>
    <cellStyle name="Normal 63 3 4" xfId="1586"/>
    <cellStyle name="Normal 63 3 4 2" xfId="3183"/>
    <cellStyle name="Normal 63 3 4 2 2" xfId="16739"/>
    <cellStyle name="Normal 63 3 4 2 2 2" xfId="26958"/>
    <cellStyle name="Normal 63 3 4 2 3" xfId="13160"/>
    <cellStyle name="Normal 63 3 4 2 4" xfId="7871"/>
    <cellStyle name="Normal 63 3 4 2 5" xfId="21951"/>
    <cellStyle name="Normal 63 3 4 3" xfId="4297"/>
    <cellStyle name="Normal 63 3 4 3 2" xfId="18103"/>
    <cellStyle name="Normal 63 3 4 3 2 2" xfId="28354"/>
    <cellStyle name="Normal 63 3 4 3 3" xfId="14524"/>
    <cellStyle name="Normal 63 3 4 3 4" xfId="9267"/>
    <cellStyle name="Normal 63 3 4 3 5" xfId="23347"/>
    <cellStyle name="Normal 63 3 4 4" xfId="5959"/>
    <cellStyle name="Normal 63 3 4 4 2" xfId="15045"/>
    <cellStyle name="Normal 63 3 4 4 3" xfId="25049"/>
    <cellStyle name="Normal 63 3 4 5" xfId="10721"/>
    <cellStyle name="Normal 63 3 4 5 2" xfId="19548"/>
    <cellStyle name="Normal 63 3 4 5 3" xfId="29799"/>
    <cellStyle name="Normal 63 3 4 6" xfId="12167"/>
    <cellStyle name="Normal 63 3 4 6 2" xfId="24557"/>
    <cellStyle name="Normal 63 3 4 7" xfId="5465"/>
    <cellStyle name="Normal 63 3 4 8" xfId="20042"/>
    <cellStyle name="Normal 63 3 5" xfId="2140"/>
    <cellStyle name="Normal 63 3 5 2" xfId="15888"/>
    <cellStyle name="Normal 63 3 5 2 2" xfId="25932"/>
    <cellStyle name="Normal 63 3 5 3" xfId="12411"/>
    <cellStyle name="Normal 63 3 5 4" xfId="6845"/>
    <cellStyle name="Normal 63 3 5 5" xfId="20925"/>
    <cellStyle name="Normal 63 3 6" xfId="3459"/>
    <cellStyle name="Normal 63 3 6 2" xfId="17060"/>
    <cellStyle name="Normal 63 3 6 2 2" xfId="27311"/>
    <cellStyle name="Normal 63 3 6 3" xfId="13481"/>
    <cellStyle name="Normal 63 3 6 4" xfId="8224"/>
    <cellStyle name="Normal 63 3 6 5" xfId="22304"/>
    <cellStyle name="Normal 63 3 7" xfId="5785"/>
    <cellStyle name="Normal 63 3 7 2" xfId="14871"/>
    <cellStyle name="Normal 63 3 7 3" xfId="24875"/>
    <cellStyle name="Normal 63 3 8" xfId="9678"/>
    <cellStyle name="Normal 63 3 8 2" xfId="18505"/>
    <cellStyle name="Normal 63 3 8 3" xfId="28756"/>
    <cellStyle name="Normal 63 3 9" xfId="11122"/>
    <cellStyle name="Normal 63 3 9 2" xfId="23531"/>
    <cellStyle name="Normal 63 3_Degree data" xfId="1768"/>
    <cellStyle name="Normal 63 4" xfId="314"/>
    <cellStyle name="Normal 63 4 10" xfId="19786"/>
    <cellStyle name="Normal 63 4 2" xfId="793"/>
    <cellStyle name="Normal 63 4 2 2" xfId="2522"/>
    <cellStyle name="Normal 63 4 2 2 2" xfId="16417"/>
    <cellStyle name="Normal 63 4 2 2 2 2" xfId="26636"/>
    <cellStyle name="Normal 63 4 2 2 3" xfId="12839"/>
    <cellStyle name="Normal 63 4 2 2 4" xfId="7549"/>
    <cellStyle name="Normal 63 4 2 2 5" xfId="21629"/>
    <cellStyle name="Normal 63 4 2 3" xfId="3795"/>
    <cellStyle name="Normal 63 4 2 3 2" xfId="17442"/>
    <cellStyle name="Normal 63 4 2 3 2 2" xfId="27693"/>
    <cellStyle name="Normal 63 4 2 3 3" xfId="13863"/>
    <cellStyle name="Normal 63 4 2 3 4" xfId="8606"/>
    <cellStyle name="Normal 63 4 2 3 5" xfId="22686"/>
    <cellStyle name="Normal 63 4 2 4" xfId="6665"/>
    <cellStyle name="Normal 63 4 2 4 2" xfId="15749"/>
    <cellStyle name="Normal 63 4 2 4 3" xfId="25753"/>
    <cellStyle name="Normal 63 4 2 5" xfId="10060"/>
    <cellStyle name="Normal 63 4 2 5 2" xfId="18887"/>
    <cellStyle name="Normal 63 4 2 5 3" xfId="29138"/>
    <cellStyle name="Normal 63 4 2 6" xfId="11506"/>
    <cellStyle name="Normal 63 4 2 6 2" xfId="24235"/>
    <cellStyle name="Normal 63 4 2 7" xfId="5143"/>
    <cellStyle name="Normal 63 4 2 8" xfId="20746"/>
    <cellStyle name="Normal 63 4 3" xfId="1148"/>
    <cellStyle name="Normal 63 4 3 2" xfId="2870"/>
    <cellStyle name="Normal 63 4 3 2 2" xfId="16657"/>
    <cellStyle name="Normal 63 4 3 2 2 2" xfId="26876"/>
    <cellStyle name="Normal 63 4 3 2 3" xfId="13078"/>
    <cellStyle name="Normal 63 4 3 2 4" xfId="7789"/>
    <cellStyle name="Normal 63 4 3 2 5" xfId="21869"/>
    <cellStyle name="Normal 63 4 3 3" xfId="4144"/>
    <cellStyle name="Normal 63 4 3 3 2" xfId="17790"/>
    <cellStyle name="Normal 63 4 3 3 2 2" xfId="28041"/>
    <cellStyle name="Normal 63 4 3 3 3" xfId="14211"/>
    <cellStyle name="Normal 63 4 3 3 4" xfId="8954"/>
    <cellStyle name="Normal 63 4 3 3 5" xfId="23034"/>
    <cellStyle name="Normal 63 4 3 4" xfId="6196"/>
    <cellStyle name="Normal 63 4 3 4 2" xfId="15280"/>
    <cellStyle name="Normal 63 4 3 4 3" xfId="25284"/>
    <cellStyle name="Normal 63 4 3 5" xfId="10408"/>
    <cellStyle name="Normal 63 4 3 5 2" xfId="19235"/>
    <cellStyle name="Normal 63 4 3 5 3" xfId="29486"/>
    <cellStyle name="Normal 63 4 3 6" xfId="11854"/>
    <cellStyle name="Normal 63 4 3 6 2" xfId="24475"/>
    <cellStyle name="Normal 63 4 3 7" xfId="5383"/>
    <cellStyle name="Normal 63 4 3 8" xfId="20277"/>
    <cellStyle name="Normal 63 4 4" xfId="1501"/>
    <cellStyle name="Normal 63 4 4 2" xfId="3101"/>
    <cellStyle name="Normal 63 4 4 2 2" xfId="18021"/>
    <cellStyle name="Normal 63 4 4 2 2 2" xfId="28272"/>
    <cellStyle name="Normal 63 4 4 2 3" xfId="14442"/>
    <cellStyle name="Normal 63 4 4 2 4" xfId="9185"/>
    <cellStyle name="Normal 63 4 4 2 5" xfId="23265"/>
    <cellStyle name="Normal 63 4 4 3" xfId="10639"/>
    <cellStyle name="Normal 63 4 4 3 2" xfId="19466"/>
    <cellStyle name="Normal 63 4 4 3 3" xfId="29717"/>
    <cellStyle name="Normal 63 4 4 4" xfId="12085"/>
    <cellStyle name="Normal 63 4 4 4 2" xfId="26167"/>
    <cellStyle name="Normal 63 4 4 5" xfId="7080"/>
    <cellStyle name="Normal 63 4 4 6" xfId="21160"/>
    <cellStyle name="Normal 63 4 5" xfId="2058"/>
    <cellStyle name="Normal 63 4 5 2" xfId="16978"/>
    <cellStyle name="Normal 63 4 5 2 2" xfId="27229"/>
    <cellStyle name="Normal 63 4 5 3" xfId="13399"/>
    <cellStyle name="Normal 63 4 5 4" xfId="8142"/>
    <cellStyle name="Normal 63 4 5 5" xfId="22222"/>
    <cellStyle name="Normal 63 4 6" xfId="5703"/>
    <cellStyle name="Normal 63 4 6 2" xfId="14789"/>
    <cellStyle name="Normal 63 4 6 3" xfId="24793"/>
    <cellStyle name="Normal 63 4 7" xfId="9596"/>
    <cellStyle name="Normal 63 4 7 2" xfId="18423"/>
    <cellStyle name="Normal 63 4 7 3" xfId="28674"/>
    <cellStyle name="Normal 63 4 8" xfId="11040"/>
    <cellStyle name="Normal 63 4 8 2" xfId="23766"/>
    <cellStyle name="Normal 63 4 9" xfId="4674"/>
    <cellStyle name="Normal 63 4_Degree data" xfId="1769"/>
    <cellStyle name="Normal 63 5" xfId="789"/>
    <cellStyle name="Normal 63 5 2" xfId="2518"/>
    <cellStyle name="Normal 63 5 2 2" xfId="15970"/>
    <cellStyle name="Normal 63 5 2 2 2" xfId="26031"/>
    <cellStyle name="Normal 63 5 2 3" xfId="12330"/>
    <cellStyle name="Normal 63 5 2 4" xfId="6944"/>
    <cellStyle name="Normal 63 5 2 5" xfId="21024"/>
    <cellStyle name="Normal 63 5 3" xfId="3791"/>
    <cellStyle name="Normal 63 5 3 2" xfId="17438"/>
    <cellStyle name="Normal 63 5 3 2 2" xfId="27689"/>
    <cellStyle name="Normal 63 5 3 3" xfId="13859"/>
    <cellStyle name="Normal 63 5 3 4" xfId="8602"/>
    <cellStyle name="Normal 63 5 3 5" xfId="22682"/>
    <cellStyle name="Normal 63 5 4" xfId="6060"/>
    <cellStyle name="Normal 63 5 4 2" xfId="15144"/>
    <cellStyle name="Normal 63 5 4 3" xfId="25148"/>
    <cellStyle name="Normal 63 5 5" xfId="10056"/>
    <cellStyle name="Normal 63 5 5 2" xfId="18883"/>
    <cellStyle name="Normal 63 5 5 3" xfId="29134"/>
    <cellStyle name="Normal 63 5 6" xfId="11502"/>
    <cellStyle name="Normal 63 5 6 2" xfId="23630"/>
    <cellStyle name="Normal 63 5 7" xfId="4538"/>
    <cellStyle name="Normal 63 5 8" xfId="20141"/>
    <cellStyle name="Normal 63 6" xfId="1144"/>
    <cellStyle name="Normal 63 6 2" xfId="2866"/>
    <cellStyle name="Normal 63 6 2 2" xfId="16413"/>
    <cellStyle name="Normal 63 6 2 2 2" xfId="26632"/>
    <cellStyle name="Normal 63 6 2 3" xfId="12835"/>
    <cellStyle name="Normal 63 6 2 4" xfId="7545"/>
    <cellStyle name="Normal 63 6 2 5" xfId="21625"/>
    <cellStyle name="Normal 63 6 3" xfId="4140"/>
    <cellStyle name="Normal 63 6 3 2" xfId="17786"/>
    <cellStyle name="Normal 63 6 3 2 2" xfId="28037"/>
    <cellStyle name="Normal 63 6 3 3" xfId="14207"/>
    <cellStyle name="Normal 63 6 3 4" xfId="8950"/>
    <cellStyle name="Normal 63 6 3 5" xfId="23030"/>
    <cellStyle name="Normal 63 6 4" xfId="6661"/>
    <cellStyle name="Normal 63 6 4 2" xfId="15745"/>
    <cellStyle name="Normal 63 6 4 3" xfId="25749"/>
    <cellStyle name="Normal 63 6 5" xfId="10404"/>
    <cellStyle name="Normal 63 6 5 2" xfId="19231"/>
    <cellStyle name="Normal 63 6 5 3" xfId="29482"/>
    <cellStyle name="Normal 63 6 6" xfId="11850"/>
    <cellStyle name="Normal 63 6 6 2" xfId="24231"/>
    <cellStyle name="Normal 63 6 7" xfId="5139"/>
    <cellStyle name="Normal 63 6 8" xfId="20742"/>
    <cellStyle name="Normal 63 7" xfId="1354"/>
    <cellStyle name="Normal 63 7 2" xfId="2965"/>
    <cellStyle name="Normal 63 7 2 2" xfId="16521"/>
    <cellStyle name="Normal 63 7 2 2 2" xfId="26740"/>
    <cellStyle name="Normal 63 7 2 3" xfId="12942"/>
    <cellStyle name="Normal 63 7 2 4" xfId="7653"/>
    <cellStyle name="Normal 63 7 2 5" xfId="21733"/>
    <cellStyle name="Normal 63 7 3" xfId="4191"/>
    <cellStyle name="Normal 63 7 3 2" xfId="17885"/>
    <cellStyle name="Normal 63 7 3 2 2" xfId="28136"/>
    <cellStyle name="Normal 63 7 3 3" xfId="14306"/>
    <cellStyle name="Normal 63 7 3 4" xfId="9049"/>
    <cellStyle name="Normal 63 7 3 5" xfId="23129"/>
    <cellStyle name="Normal 63 7 4" xfId="5876"/>
    <cellStyle name="Normal 63 7 4 2" xfId="14962"/>
    <cellStyle name="Normal 63 7 4 3" xfId="24966"/>
    <cellStyle name="Normal 63 7 5" xfId="10503"/>
    <cellStyle name="Normal 63 7 5 2" xfId="19330"/>
    <cellStyle name="Normal 63 7 5 3" xfId="29581"/>
    <cellStyle name="Normal 63 7 6" xfId="11949"/>
    <cellStyle name="Normal 63 7 6 2" xfId="24339"/>
    <cellStyle name="Normal 63 7 7" xfId="5247"/>
    <cellStyle name="Normal 63 7 8" xfId="19959"/>
    <cellStyle name="Normal 63 8" xfId="1922"/>
    <cellStyle name="Normal 63 8 2" xfId="15827"/>
    <cellStyle name="Normal 63 8 2 2" xfId="25850"/>
    <cellStyle name="Normal 63 8 3" xfId="12422"/>
    <cellStyle name="Normal 63 8 4" xfId="6763"/>
    <cellStyle name="Normal 63 8 5" xfId="20843"/>
    <cellStyle name="Normal 63 9" xfId="3353"/>
    <cellStyle name="Normal 63 9 2" xfId="16840"/>
    <cellStyle name="Normal 63 9 2 2" xfId="27091"/>
    <cellStyle name="Normal 63 9 3" xfId="13261"/>
    <cellStyle name="Normal 63 9 4" xfId="8004"/>
    <cellStyle name="Normal 63 9 5" xfId="22084"/>
    <cellStyle name="Normal 63_Degree data" xfId="1765"/>
    <cellStyle name="Normal 64" xfId="215"/>
    <cellStyle name="Normal 64 2" xfId="794"/>
    <cellStyle name="Normal 64 3" xfId="3255"/>
    <cellStyle name="Normal 64_Degree data" xfId="1770"/>
    <cellStyle name="Normal 65" xfId="217"/>
    <cellStyle name="Normal 65 2" xfId="795"/>
    <cellStyle name="Normal 65 3" xfId="1811"/>
    <cellStyle name="Normal 65_Degree data" xfId="1771"/>
    <cellStyle name="Normal 66" xfId="216"/>
    <cellStyle name="Normal 66 2" xfId="796"/>
    <cellStyle name="Normal 66 3" xfId="3312"/>
    <cellStyle name="Normal 66_Degree data" xfId="1772"/>
    <cellStyle name="Normal 67" xfId="249"/>
    <cellStyle name="Normal 67 2" xfId="797"/>
    <cellStyle name="Normal 67 3" xfId="3317"/>
    <cellStyle name="Normal 67_Degree data" xfId="1773"/>
    <cellStyle name="Normal 68" xfId="351"/>
    <cellStyle name="Normal 68 2" xfId="798"/>
    <cellStyle name="Normal 68 3" xfId="3293"/>
    <cellStyle name="Normal 68_Degree data" xfId="1774"/>
    <cellStyle name="Normal 69" xfId="380"/>
    <cellStyle name="Normal 69 2" xfId="799"/>
    <cellStyle name="Normal 69 3" xfId="3254"/>
    <cellStyle name="Normal 69_Degree data" xfId="1775"/>
    <cellStyle name="Normal 7" xfId="74"/>
    <cellStyle name="Normal 7 10" xfId="800"/>
    <cellStyle name="Normal 7 10 2" xfId="2523"/>
    <cellStyle name="Normal 7 10 2 2" xfId="16418"/>
    <cellStyle name="Normal 7 10 2 2 2" xfId="26637"/>
    <cellStyle name="Normal 7 10 2 3" xfId="12840"/>
    <cellStyle name="Normal 7 10 2 4" xfId="7550"/>
    <cellStyle name="Normal 7 10 2 5" xfId="21630"/>
    <cellStyle name="Normal 7 10 3" xfId="3797"/>
    <cellStyle name="Normal 7 10 3 2" xfId="17443"/>
    <cellStyle name="Normal 7 10 3 2 2" xfId="27694"/>
    <cellStyle name="Normal 7 10 3 3" xfId="13864"/>
    <cellStyle name="Normal 7 10 3 4" xfId="8607"/>
    <cellStyle name="Normal 7 10 3 5" xfId="22687"/>
    <cellStyle name="Normal 7 10 4" xfId="6666"/>
    <cellStyle name="Normal 7 10 4 2" xfId="15750"/>
    <cellStyle name="Normal 7 10 4 3" xfId="25754"/>
    <cellStyle name="Normal 7 10 5" xfId="10061"/>
    <cellStyle name="Normal 7 10 5 2" xfId="18888"/>
    <cellStyle name="Normal 7 10 5 3" xfId="29139"/>
    <cellStyle name="Normal 7 10 6" xfId="11507"/>
    <cellStyle name="Normal 7 10 6 2" xfId="24236"/>
    <cellStyle name="Normal 7 10 7" xfId="5144"/>
    <cellStyle name="Normal 7 10 8" xfId="20747"/>
    <cellStyle name="Normal 7 11" xfId="1149"/>
    <cellStyle name="Normal 7 11 2" xfId="2871"/>
    <cellStyle name="Normal 7 11 2 2" xfId="16470"/>
    <cellStyle name="Normal 7 11 2 2 2" xfId="26689"/>
    <cellStyle name="Normal 7 11 2 3" xfId="12892"/>
    <cellStyle name="Normal 7 11 2 4" xfId="7602"/>
    <cellStyle name="Normal 7 11 2 5" xfId="21682"/>
    <cellStyle name="Normal 7 11 3" xfId="4145"/>
    <cellStyle name="Normal 7 11 3 2" xfId="17791"/>
    <cellStyle name="Normal 7 11 3 2 2" xfId="28042"/>
    <cellStyle name="Normal 7 11 3 3" xfId="14212"/>
    <cellStyle name="Normal 7 11 3 4" xfId="8955"/>
    <cellStyle name="Normal 7 11 3 5" xfId="23035"/>
    <cellStyle name="Normal 7 11 4" xfId="5860"/>
    <cellStyle name="Normal 7 11 4 2" xfId="14946"/>
    <cellStyle name="Normal 7 11 4 3" xfId="24950"/>
    <cellStyle name="Normal 7 11 5" xfId="10409"/>
    <cellStyle name="Normal 7 11 5 2" xfId="19236"/>
    <cellStyle name="Normal 7 11 5 3" xfId="29487"/>
    <cellStyle name="Normal 7 11 6" xfId="11855"/>
    <cellStyle name="Normal 7 11 6 2" xfId="24288"/>
    <cellStyle name="Normal 7 11 7" xfId="5196"/>
    <cellStyle name="Normal 7 11 8" xfId="19943"/>
    <cellStyle name="Normal 7 12" xfId="1261"/>
    <cellStyle name="Normal 7 12 2" xfId="2914"/>
    <cellStyle name="Normal 7 12 2 2" xfId="17834"/>
    <cellStyle name="Normal 7 12 2 2 2" xfId="28085"/>
    <cellStyle name="Normal 7 12 2 3" xfId="14255"/>
    <cellStyle name="Normal 7 12 2 4" xfId="8998"/>
    <cellStyle name="Normal 7 12 2 5" xfId="23078"/>
    <cellStyle name="Normal 7 12 3" xfId="10452"/>
    <cellStyle name="Normal 7 12 3 2" xfId="19279"/>
    <cellStyle name="Normal 7 12 3 3" xfId="29530"/>
    <cellStyle name="Normal 7 12 4" xfId="11898"/>
    <cellStyle name="Normal 7 12 4 2" xfId="25833"/>
    <cellStyle name="Normal 7 12 5" xfId="6746"/>
    <cellStyle name="Normal 7 12 6" xfId="20826"/>
    <cellStyle name="Normal 7 13" xfId="1871"/>
    <cellStyle name="Normal 7 13 2" xfId="9409"/>
    <cellStyle name="Normal 7 13 2 2" xfId="18236"/>
    <cellStyle name="Normal 7 13 2 3" xfId="28487"/>
    <cellStyle name="Normal 7 13 3" xfId="10853"/>
    <cellStyle name="Normal 7 13 3 2" xfId="27040"/>
    <cellStyle name="Normal 7 13 4" xfId="7953"/>
    <cellStyle name="Normal 7 13 5" xfId="22033"/>
    <cellStyle name="Normal 7 14" xfId="1828"/>
    <cellStyle name="Normal 7 14 2" xfId="14634"/>
    <cellStyle name="Normal 7 14 3" xfId="5548"/>
    <cellStyle name="Normal 7 14 4" xfId="24638"/>
    <cellStyle name="Normal 7 15" xfId="9369"/>
    <cellStyle name="Normal 7 15 2" xfId="18196"/>
    <cellStyle name="Normal 7 15 3" xfId="28447"/>
    <cellStyle name="Normal 7 16" xfId="10808"/>
    <cellStyle name="Normal 7 16 2" xfId="23433"/>
    <cellStyle name="Normal 7 17" xfId="4341"/>
    <cellStyle name="Normal 7 18" xfId="19631"/>
    <cellStyle name="Normal 7 2" xfId="123"/>
    <cellStyle name="Normal 7 2 10" xfId="1883"/>
    <cellStyle name="Normal 7 2 10 2" xfId="9421"/>
    <cellStyle name="Normal 7 2 10 2 2" xfId="18248"/>
    <cellStyle name="Normal 7 2 10 2 3" xfId="28499"/>
    <cellStyle name="Normal 7 2 10 3" xfId="10865"/>
    <cellStyle name="Normal 7 2 10 3 2" xfId="27052"/>
    <cellStyle name="Normal 7 2 10 4" xfId="7965"/>
    <cellStyle name="Normal 7 2 10 5" xfId="22045"/>
    <cellStyle name="Normal 7 2 11" xfId="1853"/>
    <cellStyle name="Normal 7 2 11 2" xfId="14659"/>
    <cellStyle name="Normal 7 2 11 3" xfId="5573"/>
    <cellStyle name="Normal 7 2 11 4" xfId="24663"/>
    <cellStyle name="Normal 7 2 12" xfId="9391"/>
    <cellStyle name="Normal 7 2 12 2" xfId="18218"/>
    <cellStyle name="Normal 7 2 12 3" xfId="28469"/>
    <cellStyle name="Normal 7 2 13" xfId="10835"/>
    <cellStyle name="Normal 7 2 13 2" xfId="23446"/>
    <cellStyle name="Normal 7 2 14" xfId="4354"/>
    <cellStyle name="Normal 7 2 15" xfId="19656"/>
    <cellStyle name="Normal 7 2 2" xfId="239"/>
    <cellStyle name="Normal 7 2 2 10" xfId="9523"/>
    <cellStyle name="Normal 7 2 2 10 2" xfId="18350"/>
    <cellStyle name="Normal 7 2 2 10 3" xfId="28601"/>
    <cellStyle name="Normal 7 2 2 11" xfId="10967"/>
    <cellStyle name="Normal 7 2 2 11 2" xfId="23476"/>
    <cellStyle name="Normal 7 2 2 12" xfId="4384"/>
    <cellStyle name="Normal 7 2 2 13" xfId="19713"/>
    <cellStyle name="Normal 7 2 2 2" xfId="448"/>
    <cellStyle name="Normal 7 2 2 2 10" xfId="4488"/>
    <cellStyle name="Normal 7 2 2 2 11" xfId="19917"/>
    <cellStyle name="Normal 7 2 2 2 2" xfId="803"/>
    <cellStyle name="Normal 7 2 2 2 2 2" xfId="2526"/>
    <cellStyle name="Normal 7 2 2 2 2 2 2" xfId="16084"/>
    <cellStyle name="Normal 7 2 2 2 2 2 2 2" xfId="26298"/>
    <cellStyle name="Normal 7 2 2 2 2 2 3" xfId="12506"/>
    <cellStyle name="Normal 7 2 2 2 2 2 4" xfId="7211"/>
    <cellStyle name="Normal 7 2 2 2 2 2 5" xfId="21291"/>
    <cellStyle name="Normal 7 2 2 2 2 3" xfId="3800"/>
    <cellStyle name="Normal 7 2 2 2 2 3 2" xfId="17446"/>
    <cellStyle name="Normal 7 2 2 2 2 3 2 2" xfId="27697"/>
    <cellStyle name="Normal 7 2 2 2 2 3 3" xfId="13867"/>
    <cellStyle name="Normal 7 2 2 2 2 3 4" xfId="8610"/>
    <cellStyle name="Normal 7 2 2 2 2 3 5" xfId="22690"/>
    <cellStyle name="Normal 7 2 2 2 2 4" xfId="6327"/>
    <cellStyle name="Normal 7 2 2 2 2 4 2" xfId="15411"/>
    <cellStyle name="Normal 7 2 2 2 2 4 3" xfId="25415"/>
    <cellStyle name="Normal 7 2 2 2 2 5" xfId="10064"/>
    <cellStyle name="Normal 7 2 2 2 2 5 2" xfId="18891"/>
    <cellStyle name="Normal 7 2 2 2 2 5 3" xfId="29142"/>
    <cellStyle name="Normal 7 2 2 2 2 6" xfId="11510"/>
    <cellStyle name="Normal 7 2 2 2 2 6 2" xfId="23897"/>
    <cellStyle name="Normal 7 2 2 2 2 7" xfId="4805"/>
    <cellStyle name="Normal 7 2 2 2 2 8" xfId="20408"/>
    <cellStyle name="Normal 7 2 2 2 3" xfId="1152"/>
    <cellStyle name="Normal 7 2 2 2 3 2" xfId="2874"/>
    <cellStyle name="Normal 7 2 2 2 3 2 2" xfId="16421"/>
    <cellStyle name="Normal 7 2 2 2 3 2 2 2" xfId="26640"/>
    <cellStyle name="Normal 7 2 2 2 3 2 3" xfId="12843"/>
    <cellStyle name="Normal 7 2 2 2 3 2 4" xfId="7553"/>
    <cellStyle name="Normal 7 2 2 2 3 2 5" xfId="21633"/>
    <cellStyle name="Normal 7 2 2 2 3 3" xfId="4148"/>
    <cellStyle name="Normal 7 2 2 2 3 3 2" xfId="17794"/>
    <cellStyle name="Normal 7 2 2 2 3 3 2 2" xfId="28045"/>
    <cellStyle name="Normal 7 2 2 2 3 3 3" xfId="14215"/>
    <cellStyle name="Normal 7 2 2 2 3 3 4" xfId="8958"/>
    <cellStyle name="Normal 7 2 2 2 3 3 5" xfId="23038"/>
    <cellStyle name="Normal 7 2 2 2 3 4" xfId="6669"/>
    <cellStyle name="Normal 7 2 2 2 3 4 2" xfId="15753"/>
    <cellStyle name="Normal 7 2 2 2 3 4 3" xfId="25757"/>
    <cellStyle name="Normal 7 2 2 2 3 5" xfId="10412"/>
    <cellStyle name="Normal 7 2 2 2 3 5 2" xfId="19239"/>
    <cellStyle name="Normal 7 2 2 2 3 5 3" xfId="29490"/>
    <cellStyle name="Normal 7 2 2 2 3 6" xfId="11858"/>
    <cellStyle name="Normal 7 2 2 2 3 6 2" xfId="24239"/>
    <cellStyle name="Normal 7 2 2 2 3 7" xfId="5147"/>
    <cellStyle name="Normal 7 2 2 2 3 8" xfId="20750"/>
    <cellStyle name="Normal 7 2 2 2 4" xfId="1635"/>
    <cellStyle name="Normal 7 2 2 2 4 2" xfId="3232"/>
    <cellStyle name="Normal 7 2 2 2 4 2 2" xfId="16788"/>
    <cellStyle name="Normal 7 2 2 2 4 2 2 2" xfId="27007"/>
    <cellStyle name="Normal 7 2 2 2 4 2 3" xfId="13209"/>
    <cellStyle name="Normal 7 2 2 2 4 2 4" xfId="7920"/>
    <cellStyle name="Normal 7 2 2 2 4 2 5" xfId="22000"/>
    <cellStyle name="Normal 7 2 2 2 4 3" xfId="4305"/>
    <cellStyle name="Normal 7 2 2 2 4 3 2" xfId="18152"/>
    <cellStyle name="Normal 7 2 2 2 4 3 2 2" xfId="28403"/>
    <cellStyle name="Normal 7 2 2 2 4 3 3" xfId="14573"/>
    <cellStyle name="Normal 7 2 2 2 4 3 4" xfId="9316"/>
    <cellStyle name="Normal 7 2 2 2 4 3 5" xfId="23396"/>
    <cellStyle name="Normal 7 2 2 2 4 4" xfId="6008"/>
    <cellStyle name="Normal 7 2 2 2 4 4 2" xfId="15094"/>
    <cellStyle name="Normal 7 2 2 2 4 4 3" xfId="25098"/>
    <cellStyle name="Normal 7 2 2 2 4 5" xfId="10770"/>
    <cellStyle name="Normal 7 2 2 2 4 5 2" xfId="19597"/>
    <cellStyle name="Normal 7 2 2 2 4 5 3" xfId="29848"/>
    <cellStyle name="Normal 7 2 2 2 4 6" xfId="12216"/>
    <cellStyle name="Normal 7 2 2 2 4 6 2" xfId="24606"/>
    <cellStyle name="Normal 7 2 2 2 4 7" xfId="5514"/>
    <cellStyle name="Normal 7 2 2 2 4 8" xfId="20091"/>
    <cellStyle name="Normal 7 2 2 2 5" xfId="2189"/>
    <cellStyle name="Normal 7 2 2 2 5 2" xfId="15937"/>
    <cellStyle name="Normal 7 2 2 2 5 2 2" xfId="25981"/>
    <cellStyle name="Normal 7 2 2 2 5 3" xfId="12499"/>
    <cellStyle name="Normal 7 2 2 2 5 4" xfId="6894"/>
    <cellStyle name="Normal 7 2 2 2 5 5" xfId="20974"/>
    <cellStyle name="Normal 7 2 2 2 6" xfId="3467"/>
    <cellStyle name="Normal 7 2 2 2 6 2" xfId="17109"/>
    <cellStyle name="Normal 7 2 2 2 6 2 2" xfId="27360"/>
    <cellStyle name="Normal 7 2 2 2 6 3" xfId="13530"/>
    <cellStyle name="Normal 7 2 2 2 6 4" xfId="8273"/>
    <cellStyle name="Normal 7 2 2 2 6 5" xfId="22353"/>
    <cellStyle name="Normal 7 2 2 2 7" xfId="5834"/>
    <cellStyle name="Normal 7 2 2 2 7 2" xfId="14920"/>
    <cellStyle name="Normal 7 2 2 2 7 3" xfId="24924"/>
    <cellStyle name="Normal 7 2 2 2 8" xfId="9727"/>
    <cellStyle name="Normal 7 2 2 2 8 2" xfId="18554"/>
    <cellStyle name="Normal 7 2 2 2 8 3" xfId="28805"/>
    <cellStyle name="Normal 7 2 2 2 9" xfId="11171"/>
    <cellStyle name="Normal 7 2 2 2 9 2" xfId="23580"/>
    <cellStyle name="Normal 7 2 2 2_Degree data" xfId="1779"/>
    <cellStyle name="Normal 7 2 2 3" xfId="341"/>
    <cellStyle name="Normal 7 2 2 3 10" xfId="19813"/>
    <cellStyle name="Normal 7 2 2 3 2" xfId="804"/>
    <cellStyle name="Normal 7 2 2 3 2 2" xfId="2527"/>
    <cellStyle name="Normal 7 2 2 3 2 2 2" xfId="16422"/>
    <cellStyle name="Normal 7 2 2 3 2 2 2 2" xfId="26641"/>
    <cellStyle name="Normal 7 2 2 3 2 2 3" xfId="12844"/>
    <cellStyle name="Normal 7 2 2 3 2 2 4" xfId="7554"/>
    <cellStyle name="Normal 7 2 2 3 2 2 5" xfId="21634"/>
    <cellStyle name="Normal 7 2 2 3 2 3" xfId="3801"/>
    <cellStyle name="Normal 7 2 2 3 2 3 2" xfId="17447"/>
    <cellStyle name="Normal 7 2 2 3 2 3 2 2" xfId="27698"/>
    <cellStyle name="Normal 7 2 2 3 2 3 3" xfId="13868"/>
    <cellStyle name="Normal 7 2 2 3 2 3 4" xfId="8611"/>
    <cellStyle name="Normal 7 2 2 3 2 3 5" xfId="22691"/>
    <cellStyle name="Normal 7 2 2 3 2 4" xfId="6670"/>
    <cellStyle name="Normal 7 2 2 3 2 4 2" xfId="15754"/>
    <cellStyle name="Normal 7 2 2 3 2 4 3" xfId="25758"/>
    <cellStyle name="Normal 7 2 2 3 2 5" xfId="10065"/>
    <cellStyle name="Normal 7 2 2 3 2 5 2" xfId="18892"/>
    <cellStyle name="Normal 7 2 2 3 2 5 3" xfId="29143"/>
    <cellStyle name="Normal 7 2 2 3 2 6" xfId="11511"/>
    <cellStyle name="Normal 7 2 2 3 2 6 2" xfId="24240"/>
    <cellStyle name="Normal 7 2 2 3 2 7" xfId="5148"/>
    <cellStyle name="Normal 7 2 2 3 2 8" xfId="20751"/>
    <cellStyle name="Normal 7 2 2 3 3" xfId="1153"/>
    <cellStyle name="Normal 7 2 2 3 3 2" xfId="2875"/>
    <cellStyle name="Normal 7 2 2 3 3 2 2" xfId="16684"/>
    <cellStyle name="Normal 7 2 2 3 3 2 2 2" xfId="26903"/>
    <cellStyle name="Normal 7 2 2 3 3 2 3" xfId="13105"/>
    <cellStyle name="Normal 7 2 2 3 3 2 4" xfId="7816"/>
    <cellStyle name="Normal 7 2 2 3 3 2 5" xfId="21896"/>
    <cellStyle name="Normal 7 2 2 3 3 3" xfId="4149"/>
    <cellStyle name="Normal 7 2 2 3 3 3 2" xfId="17795"/>
    <cellStyle name="Normal 7 2 2 3 3 3 2 2" xfId="28046"/>
    <cellStyle name="Normal 7 2 2 3 3 3 3" xfId="14216"/>
    <cellStyle name="Normal 7 2 2 3 3 3 4" xfId="8959"/>
    <cellStyle name="Normal 7 2 2 3 3 3 5" xfId="23039"/>
    <cellStyle name="Normal 7 2 2 3 3 4" xfId="6223"/>
    <cellStyle name="Normal 7 2 2 3 3 4 2" xfId="15307"/>
    <cellStyle name="Normal 7 2 2 3 3 4 3" xfId="25311"/>
    <cellStyle name="Normal 7 2 2 3 3 5" xfId="10413"/>
    <cellStyle name="Normal 7 2 2 3 3 5 2" xfId="19240"/>
    <cellStyle name="Normal 7 2 2 3 3 5 3" xfId="29491"/>
    <cellStyle name="Normal 7 2 2 3 3 6" xfId="11859"/>
    <cellStyle name="Normal 7 2 2 3 3 6 2" xfId="24502"/>
    <cellStyle name="Normal 7 2 2 3 3 7" xfId="5410"/>
    <cellStyle name="Normal 7 2 2 3 3 8" xfId="20304"/>
    <cellStyle name="Normal 7 2 2 3 4" xfId="1528"/>
    <cellStyle name="Normal 7 2 2 3 4 2" xfId="3128"/>
    <cellStyle name="Normal 7 2 2 3 4 2 2" xfId="18048"/>
    <cellStyle name="Normal 7 2 2 3 4 2 2 2" xfId="28299"/>
    <cellStyle name="Normal 7 2 2 3 4 2 3" xfId="14469"/>
    <cellStyle name="Normal 7 2 2 3 4 2 4" xfId="9212"/>
    <cellStyle name="Normal 7 2 2 3 4 2 5" xfId="23292"/>
    <cellStyle name="Normal 7 2 2 3 4 3" xfId="10666"/>
    <cellStyle name="Normal 7 2 2 3 4 3 2" xfId="19493"/>
    <cellStyle name="Normal 7 2 2 3 4 3 3" xfId="29744"/>
    <cellStyle name="Normal 7 2 2 3 4 4" xfId="12112"/>
    <cellStyle name="Normal 7 2 2 3 4 4 2" xfId="26194"/>
    <cellStyle name="Normal 7 2 2 3 4 5" xfId="7107"/>
    <cellStyle name="Normal 7 2 2 3 4 6" xfId="21187"/>
    <cellStyle name="Normal 7 2 2 3 5" xfId="2085"/>
    <cellStyle name="Normal 7 2 2 3 5 2" xfId="17005"/>
    <cellStyle name="Normal 7 2 2 3 5 2 2" xfId="27256"/>
    <cellStyle name="Normal 7 2 2 3 5 3" xfId="13426"/>
    <cellStyle name="Normal 7 2 2 3 5 4" xfId="8169"/>
    <cellStyle name="Normal 7 2 2 3 5 5" xfId="22249"/>
    <cellStyle name="Normal 7 2 2 3 6" xfId="5730"/>
    <cellStyle name="Normal 7 2 2 3 6 2" xfId="14816"/>
    <cellStyle name="Normal 7 2 2 3 6 3" xfId="24820"/>
    <cellStyle name="Normal 7 2 2 3 7" xfId="9623"/>
    <cellStyle name="Normal 7 2 2 3 7 2" xfId="18450"/>
    <cellStyle name="Normal 7 2 2 3 7 3" xfId="28701"/>
    <cellStyle name="Normal 7 2 2 3 8" xfId="11067"/>
    <cellStyle name="Normal 7 2 2 3 8 2" xfId="23793"/>
    <cellStyle name="Normal 7 2 2 3 9" xfId="4701"/>
    <cellStyle name="Normal 7 2 2 3_Degree data" xfId="1780"/>
    <cellStyle name="Normal 7 2 2 4" xfId="802"/>
    <cellStyle name="Normal 7 2 2 4 2" xfId="2525"/>
    <cellStyle name="Normal 7 2 2 4 2 2" xfId="16021"/>
    <cellStyle name="Normal 7 2 2 4 2 2 2" xfId="26094"/>
    <cellStyle name="Normal 7 2 2 4 2 3" xfId="12458"/>
    <cellStyle name="Normal 7 2 2 4 2 4" xfId="7007"/>
    <cellStyle name="Normal 7 2 2 4 2 5" xfId="21087"/>
    <cellStyle name="Normal 7 2 2 4 3" xfId="3799"/>
    <cellStyle name="Normal 7 2 2 4 3 2" xfId="17445"/>
    <cellStyle name="Normal 7 2 2 4 3 2 2" xfId="27696"/>
    <cellStyle name="Normal 7 2 2 4 3 3" xfId="13866"/>
    <cellStyle name="Normal 7 2 2 4 3 4" xfId="8609"/>
    <cellStyle name="Normal 7 2 2 4 3 5" xfId="22689"/>
    <cellStyle name="Normal 7 2 2 4 4" xfId="6123"/>
    <cellStyle name="Normal 7 2 2 4 4 2" xfId="15207"/>
    <cellStyle name="Normal 7 2 2 4 4 3" xfId="25211"/>
    <cellStyle name="Normal 7 2 2 4 5" xfId="10063"/>
    <cellStyle name="Normal 7 2 2 4 5 2" xfId="18890"/>
    <cellStyle name="Normal 7 2 2 4 5 3" xfId="29141"/>
    <cellStyle name="Normal 7 2 2 4 6" xfId="11509"/>
    <cellStyle name="Normal 7 2 2 4 6 2" xfId="23693"/>
    <cellStyle name="Normal 7 2 2 4 7" xfId="4601"/>
    <cellStyle name="Normal 7 2 2 4 8" xfId="20204"/>
    <cellStyle name="Normal 7 2 2 5" xfId="1151"/>
    <cellStyle name="Normal 7 2 2 5 2" xfId="2873"/>
    <cellStyle name="Normal 7 2 2 5 2 2" xfId="16420"/>
    <cellStyle name="Normal 7 2 2 5 2 2 2" xfId="26639"/>
    <cellStyle name="Normal 7 2 2 5 2 3" xfId="12842"/>
    <cellStyle name="Normal 7 2 2 5 2 4" xfId="7552"/>
    <cellStyle name="Normal 7 2 2 5 2 5" xfId="21632"/>
    <cellStyle name="Normal 7 2 2 5 3" xfId="4147"/>
    <cellStyle name="Normal 7 2 2 5 3 2" xfId="17793"/>
    <cellStyle name="Normal 7 2 2 5 3 2 2" xfId="28044"/>
    <cellStyle name="Normal 7 2 2 5 3 3" xfId="14214"/>
    <cellStyle name="Normal 7 2 2 5 3 4" xfId="8957"/>
    <cellStyle name="Normal 7 2 2 5 3 5" xfId="23037"/>
    <cellStyle name="Normal 7 2 2 5 4" xfId="6668"/>
    <cellStyle name="Normal 7 2 2 5 4 2" xfId="15752"/>
    <cellStyle name="Normal 7 2 2 5 4 3" xfId="25756"/>
    <cellStyle name="Normal 7 2 2 5 5" xfId="10411"/>
    <cellStyle name="Normal 7 2 2 5 5 2" xfId="19238"/>
    <cellStyle name="Normal 7 2 2 5 5 3" xfId="29489"/>
    <cellStyle name="Normal 7 2 2 5 6" xfId="11857"/>
    <cellStyle name="Normal 7 2 2 5 6 2" xfId="24238"/>
    <cellStyle name="Normal 7 2 2 5 7" xfId="5146"/>
    <cellStyle name="Normal 7 2 2 5 8" xfId="20749"/>
    <cellStyle name="Normal 7 2 2 6" xfId="1426"/>
    <cellStyle name="Normal 7 2 2 6 2" xfId="3028"/>
    <cellStyle name="Normal 7 2 2 6 2 2" xfId="16584"/>
    <cellStyle name="Normal 7 2 2 6 2 2 2" xfId="26803"/>
    <cellStyle name="Normal 7 2 2 6 2 3" xfId="13005"/>
    <cellStyle name="Normal 7 2 2 6 2 4" xfId="7716"/>
    <cellStyle name="Normal 7 2 2 6 2 5" xfId="21796"/>
    <cellStyle name="Normal 7 2 2 6 3" xfId="4242"/>
    <cellStyle name="Normal 7 2 2 6 3 2" xfId="17948"/>
    <cellStyle name="Normal 7 2 2 6 3 2 2" xfId="28199"/>
    <cellStyle name="Normal 7 2 2 6 3 3" xfId="14369"/>
    <cellStyle name="Normal 7 2 2 6 3 4" xfId="9112"/>
    <cellStyle name="Normal 7 2 2 6 3 5" xfId="23192"/>
    <cellStyle name="Normal 7 2 2 6 4" xfId="5904"/>
    <cellStyle name="Normal 7 2 2 6 4 2" xfId="14990"/>
    <cellStyle name="Normal 7 2 2 6 4 3" xfId="24994"/>
    <cellStyle name="Normal 7 2 2 6 5" xfId="10566"/>
    <cellStyle name="Normal 7 2 2 6 5 2" xfId="19393"/>
    <cellStyle name="Normal 7 2 2 6 5 3" xfId="29644"/>
    <cellStyle name="Normal 7 2 2 6 6" xfId="12012"/>
    <cellStyle name="Normal 7 2 2 6 6 2" xfId="24402"/>
    <cellStyle name="Normal 7 2 2 6 7" xfId="5310"/>
    <cellStyle name="Normal 7 2 2 6 8" xfId="19987"/>
    <cellStyle name="Normal 7 2 2 7" xfId="1985"/>
    <cellStyle name="Normal 7 2 2 7 2" xfId="15836"/>
    <cellStyle name="Normal 7 2 2 7 2 2" xfId="25877"/>
    <cellStyle name="Normal 7 2 2 7 3" xfId="12429"/>
    <cellStyle name="Normal 7 2 2 7 4" xfId="6790"/>
    <cellStyle name="Normal 7 2 2 7 5" xfId="20870"/>
    <cellStyle name="Normal 7 2 2 8" xfId="3404"/>
    <cellStyle name="Normal 7 2 2 8 2" xfId="16905"/>
    <cellStyle name="Normal 7 2 2 8 2 2" xfId="27156"/>
    <cellStyle name="Normal 7 2 2 8 3" xfId="13326"/>
    <cellStyle name="Normal 7 2 2 8 4" xfId="8069"/>
    <cellStyle name="Normal 7 2 2 8 5" xfId="22149"/>
    <cellStyle name="Normal 7 2 2 9" xfId="5630"/>
    <cellStyle name="Normal 7 2 2 9 2" xfId="14716"/>
    <cellStyle name="Normal 7 2 2 9 3" xfId="24720"/>
    <cellStyle name="Normal 7 2 2_Degree data" xfId="1778"/>
    <cellStyle name="Normal 7 2 3" xfId="284"/>
    <cellStyle name="Normal 7 2 3 10" xfId="11010"/>
    <cellStyle name="Normal 7 2 3 10 2" xfId="23519"/>
    <cellStyle name="Normal 7 2 3 11" xfId="4427"/>
    <cellStyle name="Normal 7 2 3 12" xfId="19756"/>
    <cellStyle name="Normal 7 2 3 2" xfId="386"/>
    <cellStyle name="Normal 7 2 3 2 10" xfId="19856"/>
    <cellStyle name="Normal 7 2 3 2 2" xfId="806"/>
    <cellStyle name="Normal 7 2 3 2 2 2" xfId="2529"/>
    <cellStyle name="Normal 7 2 3 2 2 2 2" xfId="16424"/>
    <cellStyle name="Normal 7 2 3 2 2 2 2 2" xfId="26643"/>
    <cellStyle name="Normal 7 2 3 2 2 2 3" xfId="12846"/>
    <cellStyle name="Normal 7 2 3 2 2 2 4" xfId="7556"/>
    <cellStyle name="Normal 7 2 3 2 2 2 5" xfId="21636"/>
    <cellStyle name="Normal 7 2 3 2 2 3" xfId="3803"/>
    <cellStyle name="Normal 7 2 3 2 2 3 2" xfId="17449"/>
    <cellStyle name="Normal 7 2 3 2 2 3 2 2" xfId="27700"/>
    <cellStyle name="Normal 7 2 3 2 2 3 3" xfId="13870"/>
    <cellStyle name="Normal 7 2 3 2 2 3 4" xfId="8613"/>
    <cellStyle name="Normal 7 2 3 2 2 3 5" xfId="22693"/>
    <cellStyle name="Normal 7 2 3 2 2 4" xfId="6672"/>
    <cellStyle name="Normal 7 2 3 2 2 4 2" xfId="15756"/>
    <cellStyle name="Normal 7 2 3 2 2 4 3" xfId="25760"/>
    <cellStyle name="Normal 7 2 3 2 2 5" xfId="10067"/>
    <cellStyle name="Normal 7 2 3 2 2 5 2" xfId="18894"/>
    <cellStyle name="Normal 7 2 3 2 2 5 3" xfId="29145"/>
    <cellStyle name="Normal 7 2 3 2 2 6" xfId="11513"/>
    <cellStyle name="Normal 7 2 3 2 2 6 2" xfId="24242"/>
    <cellStyle name="Normal 7 2 3 2 2 7" xfId="5150"/>
    <cellStyle name="Normal 7 2 3 2 2 8" xfId="20753"/>
    <cellStyle name="Normal 7 2 3 2 3" xfId="1155"/>
    <cellStyle name="Normal 7 2 3 2 3 2" xfId="2877"/>
    <cellStyle name="Normal 7 2 3 2 3 2 2" xfId="16727"/>
    <cellStyle name="Normal 7 2 3 2 3 2 2 2" xfId="26946"/>
    <cellStyle name="Normal 7 2 3 2 3 2 3" xfId="13148"/>
    <cellStyle name="Normal 7 2 3 2 3 2 4" xfId="7859"/>
    <cellStyle name="Normal 7 2 3 2 3 2 5" xfId="21939"/>
    <cellStyle name="Normal 7 2 3 2 3 3" xfId="4151"/>
    <cellStyle name="Normal 7 2 3 2 3 3 2" xfId="17797"/>
    <cellStyle name="Normal 7 2 3 2 3 3 2 2" xfId="28048"/>
    <cellStyle name="Normal 7 2 3 2 3 3 3" xfId="14218"/>
    <cellStyle name="Normal 7 2 3 2 3 3 4" xfId="8961"/>
    <cellStyle name="Normal 7 2 3 2 3 3 5" xfId="23041"/>
    <cellStyle name="Normal 7 2 3 2 3 4" xfId="6266"/>
    <cellStyle name="Normal 7 2 3 2 3 4 2" xfId="15350"/>
    <cellStyle name="Normal 7 2 3 2 3 4 3" xfId="25354"/>
    <cellStyle name="Normal 7 2 3 2 3 5" xfId="10415"/>
    <cellStyle name="Normal 7 2 3 2 3 5 2" xfId="19242"/>
    <cellStyle name="Normal 7 2 3 2 3 5 3" xfId="29493"/>
    <cellStyle name="Normal 7 2 3 2 3 6" xfId="11861"/>
    <cellStyle name="Normal 7 2 3 2 3 6 2" xfId="24545"/>
    <cellStyle name="Normal 7 2 3 2 3 7" xfId="5453"/>
    <cellStyle name="Normal 7 2 3 2 3 8" xfId="20347"/>
    <cellStyle name="Normal 7 2 3 2 4" xfId="1573"/>
    <cellStyle name="Normal 7 2 3 2 4 2" xfId="3171"/>
    <cellStyle name="Normal 7 2 3 2 4 2 2" xfId="18091"/>
    <cellStyle name="Normal 7 2 3 2 4 2 2 2" xfId="28342"/>
    <cellStyle name="Normal 7 2 3 2 4 2 3" xfId="14512"/>
    <cellStyle name="Normal 7 2 3 2 4 2 4" xfId="9255"/>
    <cellStyle name="Normal 7 2 3 2 4 2 5" xfId="23335"/>
    <cellStyle name="Normal 7 2 3 2 4 3" xfId="10709"/>
    <cellStyle name="Normal 7 2 3 2 4 3 2" xfId="19536"/>
    <cellStyle name="Normal 7 2 3 2 4 3 3" xfId="29787"/>
    <cellStyle name="Normal 7 2 3 2 4 4" xfId="12155"/>
    <cellStyle name="Normal 7 2 3 2 4 4 2" xfId="26237"/>
    <cellStyle name="Normal 7 2 3 2 4 5" xfId="7150"/>
    <cellStyle name="Normal 7 2 3 2 4 6" xfId="21230"/>
    <cellStyle name="Normal 7 2 3 2 5" xfId="2128"/>
    <cellStyle name="Normal 7 2 3 2 5 2" xfId="17048"/>
    <cellStyle name="Normal 7 2 3 2 5 2 2" xfId="27299"/>
    <cellStyle name="Normal 7 2 3 2 5 3" xfId="13469"/>
    <cellStyle name="Normal 7 2 3 2 5 4" xfId="8212"/>
    <cellStyle name="Normal 7 2 3 2 5 5" xfId="22292"/>
    <cellStyle name="Normal 7 2 3 2 6" xfId="5773"/>
    <cellStyle name="Normal 7 2 3 2 6 2" xfId="14859"/>
    <cellStyle name="Normal 7 2 3 2 6 3" xfId="24863"/>
    <cellStyle name="Normal 7 2 3 2 7" xfId="9666"/>
    <cellStyle name="Normal 7 2 3 2 7 2" xfId="18493"/>
    <cellStyle name="Normal 7 2 3 2 7 3" xfId="28744"/>
    <cellStyle name="Normal 7 2 3 2 8" xfId="11110"/>
    <cellStyle name="Normal 7 2 3 2 8 2" xfId="23836"/>
    <cellStyle name="Normal 7 2 3 2 9" xfId="4744"/>
    <cellStyle name="Normal 7 2 3 2_Degree data" xfId="1782"/>
    <cellStyle name="Normal 7 2 3 3" xfId="805"/>
    <cellStyle name="Normal 7 2 3 3 2" xfId="2528"/>
    <cellStyle name="Normal 7 2 3 3 2 2" xfId="16064"/>
    <cellStyle name="Normal 7 2 3 3 2 2 2" xfId="26137"/>
    <cellStyle name="Normal 7 2 3 3 2 3" xfId="12441"/>
    <cellStyle name="Normal 7 2 3 3 2 4" xfId="7050"/>
    <cellStyle name="Normal 7 2 3 3 2 5" xfId="21130"/>
    <cellStyle name="Normal 7 2 3 3 3" xfId="3802"/>
    <cellStyle name="Normal 7 2 3 3 3 2" xfId="17448"/>
    <cellStyle name="Normal 7 2 3 3 3 2 2" xfId="27699"/>
    <cellStyle name="Normal 7 2 3 3 3 3" xfId="13869"/>
    <cellStyle name="Normal 7 2 3 3 3 4" xfId="8612"/>
    <cellStyle name="Normal 7 2 3 3 3 5" xfId="22692"/>
    <cellStyle name="Normal 7 2 3 3 4" xfId="6166"/>
    <cellStyle name="Normal 7 2 3 3 4 2" xfId="15250"/>
    <cellStyle name="Normal 7 2 3 3 4 3" xfId="25254"/>
    <cellStyle name="Normal 7 2 3 3 5" xfId="10066"/>
    <cellStyle name="Normal 7 2 3 3 5 2" xfId="18893"/>
    <cellStyle name="Normal 7 2 3 3 5 3" xfId="29144"/>
    <cellStyle name="Normal 7 2 3 3 6" xfId="11512"/>
    <cellStyle name="Normal 7 2 3 3 6 2" xfId="23736"/>
    <cellStyle name="Normal 7 2 3 3 7" xfId="4644"/>
    <cellStyle name="Normal 7 2 3 3 8" xfId="20247"/>
    <cellStyle name="Normal 7 2 3 4" xfId="1154"/>
    <cellStyle name="Normal 7 2 3 4 2" xfId="2876"/>
    <cellStyle name="Normal 7 2 3 4 2 2" xfId="16423"/>
    <cellStyle name="Normal 7 2 3 4 2 2 2" xfId="26642"/>
    <cellStyle name="Normal 7 2 3 4 2 3" xfId="12845"/>
    <cellStyle name="Normal 7 2 3 4 2 4" xfId="7555"/>
    <cellStyle name="Normal 7 2 3 4 2 5" xfId="21635"/>
    <cellStyle name="Normal 7 2 3 4 3" xfId="4150"/>
    <cellStyle name="Normal 7 2 3 4 3 2" xfId="17796"/>
    <cellStyle name="Normal 7 2 3 4 3 2 2" xfId="28047"/>
    <cellStyle name="Normal 7 2 3 4 3 3" xfId="14217"/>
    <cellStyle name="Normal 7 2 3 4 3 4" xfId="8960"/>
    <cellStyle name="Normal 7 2 3 4 3 5" xfId="23040"/>
    <cellStyle name="Normal 7 2 3 4 4" xfId="6671"/>
    <cellStyle name="Normal 7 2 3 4 4 2" xfId="15755"/>
    <cellStyle name="Normal 7 2 3 4 4 3" xfId="25759"/>
    <cellStyle name="Normal 7 2 3 4 5" xfId="10414"/>
    <cellStyle name="Normal 7 2 3 4 5 2" xfId="19241"/>
    <cellStyle name="Normal 7 2 3 4 5 3" xfId="29492"/>
    <cellStyle name="Normal 7 2 3 4 6" xfId="11860"/>
    <cellStyle name="Normal 7 2 3 4 6 2" xfId="24241"/>
    <cellStyle name="Normal 7 2 3 4 7" xfId="5149"/>
    <cellStyle name="Normal 7 2 3 4 8" xfId="20752"/>
    <cellStyle name="Normal 7 2 3 5" xfId="1471"/>
    <cellStyle name="Normal 7 2 3 5 2" xfId="3071"/>
    <cellStyle name="Normal 7 2 3 5 2 2" xfId="16627"/>
    <cellStyle name="Normal 7 2 3 5 2 2 2" xfId="26846"/>
    <cellStyle name="Normal 7 2 3 5 2 3" xfId="13048"/>
    <cellStyle name="Normal 7 2 3 5 2 4" xfId="7759"/>
    <cellStyle name="Normal 7 2 3 5 2 5" xfId="21839"/>
    <cellStyle name="Normal 7 2 3 5 3" xfId="4285"/>
    <cellStyle name="Normal 7 2 3 5 3 2" xfId="17991"/>
    <cellStyle name="Normal 7 2 3 5 3 2 2" xfId="28242"/>
    <cellStyle name="Normal 7 2 3 5 3 3" xfId="14412"/>
    <cellStyle name="Normal 7 2 3 5 3 4" xfId="9155"/>
    <cellStyle name="Normal 7 2 3 5 3 5" xfId="23235"/>
    <cellStyle name="Normal 7 2 3 5 4" xfId="5947"/>
    <cellStyle name="Normal 7 2 3 5 4 2" xfId="15033"/>
    <cellStyle name="Normal 7 2 3 5 4 3" xfId="25037"/>
    <cellStyle name="Normal 7 2 3 5 5" xfId="10609"/>
    <cellStyle name="Normal 7 2 3 5 5 2" xfId="19436"/>
    <cellStyle name="Normal 7 2 3 5 5 3" xfId="29687"/>
    <cellStyle name="Normal 7 2 3 5 6" xfId="12055"/>
    <cellStyle name="Normal 7 2 3 5 6 2" xfId="24445"/>
    <cellStyle name="Normal 7 2 3 5 7" xfId="5353"/>
    <cellStyle name="Normal 7 2 3 5 8" xfId="20030"/>
    <cellStyle name="Normal 7 2 3 6" xfId="2028"/>
    <cellStyle name="Normal 7 2 3 6 2" xfId="15876"/>
    <cellStyle name="Normal 7 2 3 6 2 2" xfId="25920"/>
    <cellStyle name="Normal 7 2 3 6 3" xfId="12353"/>
    <cellStyle name="Normal 7 2 3 6 4" xfId="6833"/>
    <cellStyle name="Normal 7 2 3 6 5" xfId="20913"/>
    <cellStyle name="Normal 7 2 3 7" xfId="3447"/>
    <cellStyle name="Normal 7 2 3 7 2" xfId="16948"/>
    <cellStyle name="Normal 7 2 3 7 2 2" xfId="27199"/>
    <cellStyle name="Normal 7 2 3 7 3" xfId="13369"/>
    <cellStyle name="Normal 7 2 3 7 4" xfId="8112"/>
    <cellStyle name="Normal 7 2 3 7 5" xfId="22192"/>
    <cellStyle name="Normal 7 2 3 8" xfId="5673"/>
    <cellStyle name="Normal 7 2 3 8 2" xfId="14759"/>
    <cellStyle name="Normal 7 2 3 8 3" xfId="24763"/>
    <cellStyle name="Normal 7 2 3 9" xfId="9566"/>
    <cellStyle name="Normal 7 2 3 9 2" xfId="18393"/>
    <cellStyle name="Normal 7 2 3 9 3" xfId="28644"/>
    <cellStyle name="Normal 7 2 3_Degree data" xfId="1781"/>
    <cellStyle name="Normal 7 2 4" xfId="205"/>
    <cellStyle name="Normal 7 2 4 10" xfId="10937"/>
    <cellStyle name="Normal 7 2 4 10 2" xfId="23551"/>
    <cellStyle name="Normal 7 2 4 11" xfId="4459"/>
    <cellStyle name="Normal 7 2 4 12" xfId="19683"/>
    <cellStyle name="Normal 7 2 4 2" xfId="419"/>
    <cellStyle name="Normal 7 2 4 2 10" xfId="19888"/>
    <cellStyle name="Normal 7 2 4 2 2" xfId="808"/>
    <cellStyle name="Normal 7 2 4 2 2 2" xfId="2531"/>
    <cellStyle name="Normal 7 2 4 2 2 2 2" xfId="16426"/>
    <cellStyle name="Normal 7 2 4 2 2 2 2 2" xfId="26645"/>
    <cellStyle name="Normal 7 2 4 2 2 2 3" xfId="12848"/>
    <cellStyle name="Normal 7 2 4 2 2 2 4" xfId="7558"/>
    <cellStyle name="Normal 7 2 4 2 2 2 5" xfId="21638"/>
    <cellStyle name="Normal 7 2 4 2 2 3" xfId="3805"/>
    <cellStyle name="Normal 7 2 4 2 2 3 2" xfId="17451"/>
    <cellStyle name="Normal 7 2 4 2 2 3 2 2" xfId="27702"/>
    <cellStyle name="Normal 7 2 4 2 2 3 3" xfId="13872"/>
    <cellStyle name="Normal 7 2 4 2 2 3 4" xfId="8615"/>
    <cellStyle name="Normal 7 2 4 2 2 3 5" xfId="22695"/>
    <cellStyle name="Normal 7 2 4 2 2 4" xfId="6674"/>
    <cellStyle name="Normal 7 2 4 2 2 4 2" xfId="15758"/>
    <cellStyle name="Normal 7 2 4 2 2 4 3" xfId="25762"/>
    <cellStyle name="Normal 7 2 4 2 2 5" xfId="10069"/>
    <cellStyle name="Normal 7 2 4 2 2 5 2" xfId="18896"/>
    <cellStyle name="Normal 7 2 4 2 2 5 3" xfId="29147"/>
    <cellStyle name="Normal 7 2 4 2 2 6" xfId="11515"/>
    <cellStyle name="Normal 7 2 4 2 2 6 2" xfId="24244"/>
    <cellStyle name="Normal 7 2 4 2 2 7" xfId="5152"/>
    <cellStyle name="Normal 7 2 4 2 2 8" xfId="20755"/>
    <cellStyle name="Normal 7 2 4 2 3" xfId="1157"/>
    <cellStyle name="Normal 7 2 4 2 3 2" xfId="2879"/>
    <cellStyle name="Normal 7 2 4 2 3 2 2" xfId="16759"/>
    <cellStyle name="Normal 7 2 4 2 3 2 2 2" xfId="26978"/>
    <cellStyle name="Normal 7 2 4 2 3 2 3" xfId="13180"/>
    <cellStyle name="Normal 7 2 4 2 3 2 4" xfId="7891"/>
    <cellStyle name="Normal 7 2 4 2 3 2 5" xfId="21971"/>
    <cellStyle name="Normal 7 2 4 2 3 3" xfId="4153"/>
    <cellStyle name="Normal 7 2 4 2 3 3 2" xfId="17799"/>
    <cellStyle name="Normal 7 2 4 2 3 3 2 2" xfId="28050"/>
    <cellStyle name="Normal 7 2 4 2 3 3 3" xfId="14220"/>
    <cellStyle name="Normal 7 2 4 2 3 3 4" xfId="8963"/>
    <cellStyle name="Normal 7 2 4 2 3 3 5" xfId="23043"/>
    <cellStyle name="Normal 7 2 4 2 3 4" xfId="6298"/>
    <cellStyle name="Normal 7 2 4 2 3 4 2" xfId="15382"/>
    <cellStyle name="Normal 7 2 4 2 3 4 3" xfId="25386"/>
    <cellStyle name="Normal 7 2 4 2 3 5" xfId="10417"/>
    <cellStyle name="Normal 7 2 4 2 3 5 2" xfId="19244"/>
    <cellStyle name="Normal 7 2 4 2 3 5 3" xfId="29495"/>
    <cellStyle name="Normal 7 2 4 2 3 6" xfId="11863"/>
    <cellStyle name="Normal 7 2 4 2 3 6 2" xfId="24577"/>
    <cellStyle name="Normal 7 2 4 2 3 7" xfId="5485"/>
    <cellStyle name="Normal 7 2 4 2 3 8" xfId="20379"/>
    <cellStyle name="Normal 7 2 4 2 4" xfId="1606"/>
    <cellStyle name="Normal 7 2 4 2 4 2" xfId="3203"/>
    <cellStyle name="Normal 7 2 4 2 4 2 2" xfId="18123"/>
    <cellStyle name="Normal 7 2 4 2 4 2 2 2" xfId="28374"/>
    <cellStyle name="Normal 7 2 4 2 4 2 3" xfId="14544"/>
    <cellStyle name="Normal 7 2 4 2 4 2 4" xfId="9287"/>
    <cellStyle name="Normal 7 2 4 2 4 2 5" xfId="23367"/>
    <cellStyle name="Normal 7 2 4 2 4 3" xfId="10741"/>
    <cellStyle name="Normal 7 2 4 2 4 3 2" xfId="19568"/>
    <cellStyle name="Normal 7 2 4 2 4 3 3" xfId="29819"/>
    <cellStyle name="Normal 7 2 4 2 4 4" xfId="12187"/>
    <cellStyle name="Normal 7 2 4 2 4 4 2" xfId="26269"/>
    <cellStyle name="Normal 7 2 4 2 4 5" xfId="7182"/>
    <cellStyle name="Normal 7 2 4 2 4 6" xfId="21262"/>
    <cellStyle name="Normal 7 2 4 2 5" xfId="2160"/>
    <cellStyle name="Normal 7 2 4 2 5 2" xfId="17080"/>
    <cellStyle name="Normal 7 2 4 2 5 2 2" xfId="27331"/>
    <cellStyle name="Normal 7 2 4 2 5 3" xfId="13501"/>
    <cellStyle name="Normal 7 2 4 2 5 4" xfId="8244"/>
    <cellStyle name="Normal 7 2 4 2 5 5" xfId="22324"/>
    <cellStyle name="Normal 7 2 4 2 6" xfId="5805"/>
    <cellStyle name="Normal 7 2 4 2 6 2" xfId="14891"/>
    <cellStyle name="Normal 7 2 4 2 6 3" xfId="24895"/>
    <cellStyle name="Normal 7 2 4 2 7" xfId="9698"/>
    <cellStyle name="Normal 7 2 4 2 7 2" xfId="18525"/>
    <cellStyle name="Normal 7 2 4 2 7 3" xfId="28776"/>
    <cellStyle name="Normal 7 2 4 2 8" xfId="11142"/>
    <cellStyle name="Normal 7 2 4 2 8 2" xfId="23868"/>
    <cellStyle name="Normal 7 2 4 2 9" xfId="4776"/>
    <cellStyle name="Normal 7 2 4 2_Degree data" xfId="1784"/>
    <cellStyle name="Normal 7 2 4 3" xfId="807"/>
    <cellStyle name="Normal 7 2 4 3 2" xfId="2530"/>
    <cellStyle name="Normal 7 2 4 3 2 2" xfId="15991"/>
    <cellStyle name="Normal 7 2 4 3 2 2 2" xfId="26064"/>
    <cellStyle name="Normal 7 2 4 3 2 3" xfId="12261"/>
    <cellStyle name="Normal 7 2 4 3 2 4" xfId="6977"/>
    <cellStyle name="Normal 7 2 4 3 2 5" xfId="21057"/>
    <cellStyle name="Normal 7 2 4 3 3" xfId="3804"/>
    <cellStyle name="Normal 7 2 4 3 3 2" xfId="17450"/>
    <cellStyle name="Normal 7 2 4 3 3 2 2" xfId="27701"/>
    <cellStyle name="Normal 7 2 4 3 3 3" xfId="13871"/>
    <cellStyle name="Normal 7 2 4 3 3 4" xfId="8614"/>
    <cellStyle name="Normal 7 2 4 3 3 5" xfId="22694"/>
    <cellStyle name="Normal 7 2 4 3 4" xfId="6093"/>
    <cellStyle name="Normal 7 2 4 3 4 2" xfId="15177"/>
    <cellStyle name="Normal 7 2 4 3 4 3" xfId="25181"/>
    <cellStyle name="Normal 7 2 4 3 5" xfId="10068"/>
    <cellStyle name="Normal 7 2 4 3 5 2" xfId="18895"/>
    <cellStyle name="Normal 7 2 4 3 5 3" xfId="29146"/>
    <cellStyle name="Normal 7 2 4 3 6" xfId="11514"/>
    <cellStyle name="Normal 7 2 4 3 6 2" xfId="23663"/>
    <cellStyle name="Normal 7 2 4 3 7" xfId="4571"/>
    <cellStyle name="Normal 7 2 4 3 8" xfId="20174"/>
    <cellStyle name="Normal 7 2 4 4" xfId="1156"/>
    <cellStyle name="Normal 7 2 4 4 2" xfId="2878"/>
    <cellStyle name="Normal 7 2 4 4 2 2" xfId="16425"/>
    <cellStyle name="Normal 7 2 4 4 2 2 2" xfId="26644"/>
    <cellStyle name="Normal 7 2 4 4 2 3" xfId="12847"/>
    <cellStyle name="Normal 7 2 4 4 2 4" xfId="7557"/>
    <cellStyle name="Normal 7 2 4 4 2 5" xfId="21637"/>
    <cellStyle name="Normal 7 2 4 4 3" xfId="4152"/>
    <cellStyle name="Normal 7 2 4 4 3 2" xfId="17798"/>
    <cellStyle name="Normal 7 2 4 4 3 2 2" xfId="28049"/>
    <cellStyle name="Normal 7 2 4 4 3 3" xfId="14219"/>
    <cellStyle name="Normal 7 2 4 4 3 4" xfId="8962"/>
    <cellStyle name="Normal 7 2 4 4 3 5" xfId="23042"/>
    <cellStyle name="Normal 7 2 4 4 4" xfId="6673"/>
    <cellStyle name="Normal 7 2 4 4 4 2" xfId="15757"/>
    <cellStyle name="Normal 7 2 4 4 4 3" xfId="25761"/>
    <cellStyle name="Normal 7 2 4 4 5" xfId="10416"/>
    <cellStyle name="Normal 7 2 4 4 5 2" xfId="19243"/>
    <cellStyle name="Normal 7 2 4 4 5 3" xfId="29494"/>
    <cellStyle name="Normal 7 2 4 4 6" xfId="11862"/>
    <cellStyle name="Normal 7 2 4 4 6 2" xfId="24243"/>
    <cellStyle name="Normal 7 2 4 4 7" xfId="5151"/>
    <cellStyle name="Normal 7 2 4 4 8" xfId="20754"/>
    <cellStyle name="Normal 7 2 4 5" xfId="1392"/>
    <cellStyle name="Normal 7 2 4 5 2" xfId="2998"/>
    <cellStyle name="Normal 7 2 4 5 2 2" xfId="16554"/>
    <cellStyle name="Normal 7 2 4 5 2 2 2" xfId="26773"/>
    <cellStyle name="Normal 7 2 4 5 2 3" xfId="12975"/>
    <cellStyle name="Normal 7 2 4 5 2 4" xfId="7686"/>
    <cellStyle name="Normal 7 2 4 5 2 5" xfId="21766"/>
    <cellStyle name="Normal 7 2 4 5 3" xfId="4212"/>
    <cellStyle name="Normal 7 2 4 5 3 2" xfId="17918"/>
    <cellStyle name="Normal 7 2 4 5 3 2 2" xfId="28169"/>
    <cellStyle name="Normal 7 2 4 5 3 3" xfId="14339"/>
    <cellStyle name="Normal 7 2 4 5 3 4" xfId="9082"/>
    <cellStyle name="Normal 7 2 4 5 3 5" xfId="23162"/>
    <cellStyle name="Normal 7 2 4 5 4" xfId="5979"/>
    <cellStyle name="Normal 7 2 4 5 4 2" xfId="15065"/>
    <cellStyle name="Normal 7 2 4 5 4 3" xfId="25069"/>
    <cellStyle name="Normal 7 2 4 5 5" xfId="10536"/>
    <cellStyle name="Normal 7 2 4 5 5 2" xfId="19363"/>
    <cellStyle name="Normal 7 2 4 5 5 3" xfId="29614"/>
    <cellStyle name="Normal 7 2 4 5 6" xfId="11982"/>
    <cellStyle name="Normal 7 2 4 5 6 2" xfId="24372"/>
    <cellStyle name="Normal 7 2 4 5 7" xfId="5280"/>
    <cellStyle name="Normal 7 2 4 5 8" xfId="20062"/>
    <cellStyle name="Normal 7 2 4 6" xfId="1955"/>
    <cellStyle name="Normal 7 2 4 6 2" xfId="15908"/>
    <cellStyle name="Normal 7 2 4 6 2 2" xfId="25952"/>
    <cellStyle name="Normal 7 2 4 6 3" xfId="12346"/>
    <cellStyle name="Normal 7 2 4 6 4" xfId="6865"/>
    <cellStyle name="Normal 7 2 4 6 5" xfId="20945"/>
    <cellStyle name="Normal 7 2 4 7" xfId="3375"/>
    <cellStyle name="Normal 7 2 4 7 2" xfId="16875"/>
    <cellStyle name="Normal 7 2 4 7 2 2" xfId="27126"/>
    <cellStyle name="Normal 7 2 4 7 3" xfId="13296"/>
    <cellStyle name="Normal 7 2 4 7 4" xfId="8039"/>
    <cellStyle name="Normal 7 2 4 7 5" xfId="22119"/>
    <cellStyle name="Normal 7 2 4 8" xfId="5600"/>
    <cellStyle name="Normal 7 2 4 8 2" xfId="14686"/>
    <cellStyle name="Normal 7 2 4 8 3" xfId="24690"/>
    <cellStyle name="Normal 7 2 4 9" xfId="9493"/>
    <cellStyle name="Normal 7 2 4 9 2" xfId="18320"/>
    <cellStyle name="Normal 7 2 4 9 3" xfId="28571"/>
    <cellStyle name="Normal 7 2 4_Degree data" xfId="1783"/>
    <cellStyle name="Normal 7 2 5" xfId="311"/>
    <cellStyle name="Normal 7 2 5 10" xfId="19783"/>
    <cellStyle name="Normal 7 2 5 2" xfId="809"/>
    <cellStyle name="Normal 7 2 5 2 2" xfId="2532"/>
    <cellStyle name="Normal 7 2 5 2 2 2" xfId="16427"/>
    <cellStyle name="Normal 7 2 5 2 2 2 2" xfId="26646"/>
    <cellStyle name="Normal 7 2 5 2 2 3" xfId="12849"/>
    <cellStyle name="Normal 7 2 5 2 2 4" xfId="7559"/>
    <cellStyle name="Normal 7 2 5 2 2 5" xfId="21639"/>
    <cellStyle name="Normal 7 2 5 2 3" xfId="3806"/>
    <cellStyle name="Normal 7 2 5 2 3 2" xfId="17452"/>
    <cellStyle name="Normal 7 2 5 2 3 2 2" xfId="27703"/>
    <cellStyle name="Normal 7 2 5 2 3 3" xfId="13873"/>
    <cellStyle name="Normal 7 2 5 2 3 4" xfId="8616"/>
    <cellStyle name="Normal 7 2 5 2 3 5" xfId="22696"/>
    <cellStyle name="Normal 7 2 5 2 4" xfId="6675"/>
    <cellStyle name="Normal 7 2 5 2 4 2" xfId="15759"/>
    <cellStyle name="Normal 7 2 5 2 4 3" xfId="25763"/>
    <cellStyle name="Normal 7 2 5 2 5" xfId="10070"/>
    <cellStyle name="Normal 7 2 5 2 5 2" xfId="18897"/>
    <cellStyle name="Normal 7 2 5 2 5 3" xfId="29148"/>
    <cellStyle name="Normal 7 2 5 2 6" xfId="11516"/>
    <cellStyle name="Normal 7 2 5 2 6 2" xfId="24245"/>
    <cellStyle name="Normal 7 2 5 2 7" xfId="5153"/>
    <cellStyle name="Normal 7 2 5 2 8" xfId="20756"/>
    <cellStyle name="Normal 7 2 5 3" xfId="1158"/>
    <cellStyle name="Normal 7 2 5 3 2" xfId="2880"/>
    <cellStyle name="Normal 7 2 5 3 2 2" xfId="16654"/>
    <cellStyle name="Normal 7 2 5 3 2 2 2" xfId="26873"/>
    <cellStyle name="Normal 7 2 5 3 2 3" xfId="13075"/>
    <cellStyle name="Normal 7 2 5 3 2 4" xfId="7786"/>
    <cellStyle name="Normal 7 2 5 3 2 5" xfId="21866"/>
    <cellStyle name="Normal 7 2 5 3 3" xfId="4154"/>
    <cellStyle name="Normal 7 2 5 3 3 2" xfId="17800"/>
    <cellStyle name="Normal 7 2 5 3 3 2 2" xfId="28051"/>
    <cellStyle name="Normal 7 2 5 3 3 3" xfId="14221"/>
    <cellStyle name="Normal 7 2 5 3 3 4" xfId="8964"/>
    <cellStyle name="Normal 7 2 5 3 3 5" xfId="23044"/>
    <cellStyle name="Normal 7 2 5 3 4" xfId="6193"/>
    <cellStyle name="Normal 7 2 5 3 4 2" xfId="15277"/>
    <cellStyle name="Normal 7 2 5 3 4 3" xfId="25281"/>
    <cellStyle name="Normal 7 2 5 3 5" xfId="10418"/>
    <cellStyle name="Normal 7 2 5 3 5 2" xfId="19245"/>
    <cellStyle name="Normal 7 2 5 3 5 3" xfId="29496"/>
    <cellStyle name="Normal 7 2 5 3 6" xfId="11864"/>
    <cellStyle name="Normal 7 2 5 3 6 2" xfId="24472"/>
    <cellStyle name="Normal 7 2 5 3 7" xfId="5380"/>
    <cellStyle name="Normal 7 2 5 3 8" xfId="20274"/>
    <cellStyle name="Normal 7 2 5 4" xfId="1498"/>
    <cellStyle name="Normal 7 2 5 4 2" xfId="3098"/>
    <cellStyle name="Normal 7 2 5 4 2 2" xfId="18018"/>
    <cellStyle name="Normal 7 2 5 4 2 2 2" xfId="28269"/>
    <cellStyle name="Normal 7 2 5 4 2 3" xfId="14439"/>
    <cellStyle name="Normal 7 2 5 4 2 4" xfId="9182"/>
    <cellStyle name="Normal 7 2 5 4 2 5" xfId="23262"/>
    <cellStyle name="Normal 7 2 5 4 3" xfId="10636"/>
    <cellStyle name="Normal 7 2 5 4 3 2" xfId="19463"/>
    <cellStyle name="Normal 7 2 5 4 3 3" xfId="29714"/>
    <cellStyle name="Normal 7 2 5 4 4" xfId="12082"/>
    <cellStyle name="Normal 7 2 5 4 4 2" xfId="26164"/>
    <cellStyle name="Normal 7 2 5 4 5" xfId="7077"/>
    <cellStyle name="Normal 7 2 5 4 6" xfId="21157"/>
    <cellStyle name="Normal 7 2 5 5" xfId="2055"/>
    <cellStyle name="Normal 7 2 5 5 2" xfId="16975"/>
    <cellStyle name="Normal 7 2 5 5 2 2" xfId="27226"/>
    <cellStyle name="Normal 7 2 5 5 3" xfId="13396"/>
    <cellStyle name="Normal 7 2 5 5 4" xfId="8139"/>
    <cellStyle name="Normal 7 2 5 5 5" xfId="22219"/>
    <cellStyle name="Normal 7 2 5 6" xfId="5700"/>
    <cellStyle name="Normal 7 2 5 6 2" xfId="14786"/>
    <cellStyle name="Normal 7 2 5 6 3" xfId="24790"/>
    <cellStyle name="Normal 7 2 5 7" xfId="9593"/>
    <cellStyle name="Normal 7 2 5 7 2" xfId="18420"/>
    <cellStyle name="Normal 7 2 5 7 3" xfId="28671"/>
    <cellStyle name="Normal 7 2 5 8" xfId="11037"/>
    <cellStyle name="Normal 7 2 5 8 2" xfId="23763"/>
    <cellStyle name="Normal 7 2 5 9" xfId="4671"/>
    <cellStyle name="Normal 7 2 5_Degree data" xfId="1785"/>
    <cellStyle name="Normal 7 2 6" xfId="174"/>
    <cellStyle name="Normal 7 2 6 10" xfId="20147"/>
    <cellStyle name="Normal 7 2 6 2" xfId="810"/>
    <cellStyle name="Normal 7 2 6 2 2" xfId="2533"/>
    <cellStyle name="Normal 7 2 6 2 2 2" xfId="16428"/>
    <cellStyle name="Normal 7 2 6 2 2 2 2" xfId="26647"/>
    <cellStyle name="Normal 7 2 6 2 2 3" xfId="12850"/>
    <cellStyle name="Normal 7 2 6 2 2 4" xfId="7560"/>
    <cellStyle name="Normal 7 2 6 2 2 5" xfId="21640"/>
    <cellStyle name="Normal 7 2 6 2 3" xfId="3807"/>
    <cellStyle name="Normal 7 2 6 2 3 2" xfId="17453"/>
    <cellStyle name="Normal 7 2 6 2 3 2 2" xfId="27704"/>
    <cellStyle name="Normal 7 2 6 2 3 3" xfId="13874"/>
    <cellStyle name="Normal 7 2 6 2 3 4" xfId="8617"/>
    <cellStyle name="Normal 7 2 6 2 3 5" xfId="22697"/>
    <cellStyle name="Normal 7 2 6 2 4" xfId="6676"/>
    <cellStyle name="Normal 7 2 6 2 4 2" xfId="15760"/>
    <cellStyle name="Normal 7 2 6 2 4 3" xfId="25764"/>
    <cellStyle name="Normal 7 2 6 2 5" xfId="10071"/>
    <cellStyle name="Normal 7 2 6 2 5 2" xfId="18898"/>
    <cellStyle name="Normal 7 2 6 2 5 3" xfId="29149"/>
    <cellStyle name="Normal 7 2 6 2 6" xfId="11517"/>
    <cellStyle name="Normal 7 2 6 2 6 2" xfId="24246"/>
    <cellStyle name="Normal 7 2 6 2 7" xfId="5154"/>
    <cellStyle name="Normal 7 2 6 2 8" xfId="20757"/>
    <cellStyle name="Normal 7 2 6 3" xfId="1159"/>
    <cellStyle name="Normal 7 2 6 3 2" xfId="2881"/>
    <cellStyle name="Normal 7 2 6 3 2 2" xfId="16527"/>
    <cellStyle name="Normal 7 2 6 3 2 2 2" xfId="26746"/>
    <cellStyle name="Normal 7 2 6 3 2 3" xfId="12948"/>
    <cellStyle name="Normal 7 2 6 3 2 4" xfId="7659"/>
    <cellStyle name="Normal 7 2 6 3 2 5" xfId="21739"/>
    <cellStyle name="Normal 7 2 6 3 3" xfId="4155"/>
    <cellStyle name="Normal 7 2 6 3 3 2" xfId="17801"/>
    <cellStyle name="Normal 7 2 6 3 3 2 2" xfId="28052"/>
    <cellStyle name="Normal 7 2 6 3 3 3" xfId="14222"/>
    <cellStyle name="Normal 7 2 6 3 3 4" xfId="8965"/>
    <cellStyle name="Normal 7 2 6 3 3 5" xfId="23045"/>
    <cellStyle name="Normal 7 2 6 3 4" xfId="6739"/>
    <cellStyle name="Normal 7 2 6 3 4 2" xfId="15822"/>
    <cellStyle name="Normal 7 2 6 3 4 3" xfId="25826"/>
    <cellStyle name="Normal 7 2 6 3 5" xfId="10419"/>
    <cellStyle name="Normal 7 2 6 3 5 2" xfId="19246"/>
    <cellStyle name="Normal 7 2 6 3 5 3" xfId="29497"/>
    <cellStyle name="Normal 7 2 6 3 6" xfId="11865"/>
    <cellStyle name="Normal 7 2 6 3 6 2" xfId="24345"/>
    <cellStyle name="Normal 7 2 6 3 7" xfId="5253"/>
    <cellStyle name="Normal 7 2 6 3 8" xfId="20819"/>
    <cellStyle name="Normal 7 2 6 4" xfId="1361"/>
    <cellStyle name="Normal 7 2 6 4 2" xfId="2971"/>
    <cellStyle name="Normal 7 2 6 4 2 2" xfId="17891"/>
    <cellStyle name="Normal 7 2 6 4 2 2 2" xfId="28142"/>
    <cellStyle name="Normal 7 2 6 4 2 3" xfId="14312"/>
    <cellStyle name="Normal 7 2 6 4 2 4" xfId="9055"/>
    <cellStyle name="Normal 7 2 6 4 2 5" xfId="23135"/>
    <cellStyle name="Normal 7 2 6 4 3" xfId="10509"/>
    <cellStyle name="Normal 7 2 6 4 3 2" xfId="19336"/>
    <cellStyle name="Normal 7 2 6 4 3 3" xfId="29587"/>
    <cellStyle name="Normal 7 2 6 4 4" xfId="11955"/>
    <cellStyle name="Normal 7 2 6 4 4 2" xfId="26037"/>
    <cellStyle name="Normal 7 2 6 4 5" xfId="6950"/>
    <cellStyle name="Normal 7 2 6 4 6" xfId="21030"/>
    <cellStyle name="Normal 7 2 6 5" xfId="1928"/>
    <cellStyle name="Normal 7 2 6 5 2" xfId="16846"/>
    <cellStyle name="Normal 7 2 6 5 2 2" xfId="27097"/>
    <cellStyle name="Normal 7 2 6 5 3" xfId="13267"/>
    <cellStyle name="Normal 7 2 6 5 4" xfId="8010"/>
    <cellStyle name="Normal 7 2 6 5 5" xfId="22090"/>
    <cellStyle name="Normal 7 2 6 6" xfId="6066"/>
    <cellStyle name="Normal 7 2 6 6 2" xfId="15150"/>
    <cellStyle name="Normal 7 2 6 6 3" xfId="25154"/>
    <cellStyle name="Normal 7 2 6 7" xfId="9466"/>
    <cellStyle name="Normal 7 2 6 7 2" xfId="18293"/>
    <cellStyle name="Normal 7 2 6 7 3" xfId="28544"/>
    <cellStyle name="Normal 7 2 6 8" xfId="10910"/>
    <cellStyle name="Normal 7 2 6 8 2" xfId="23636"/>
    <cellStyle name="Normal 7 2 6 9" xfId="4544"/>
    <cellStyle name="Normal 7 2 6_Degree data" xfId="1786"/>
    <cellStyle name="Normal 7 2 7" xfId="801"/>
    <cellStyle name="Normal 7 2 7 2" xfId="2524"/>
    <cellStyle name="Normal 7 2 7 2 2" xfId="16419"/>
    <cellStyle name="Normal 7 2 7 2 2 2" xfId="26638"/>
    <cellStyle name="Normal 7 2 7 2 3" xfId="12841"/>
    <cellStyle name="Normal 7 2 7 2 4" xfId="7551"/>
    <cellStyle name="Normal 7 2 7 2 5" xfId="21631"/>
    <cellStyle name="Normal 7 2 7 3" xfId="3798"/>
    <cellStyle name="Normal 7 2 7 3 2" xfId="17444"/>
    <cellStyle name="Normal 7 2 7 3 2 2" xfId="27695"/>
    <cellStyle name="Normal 7 2 7 3 3" xfId="13865"/>
    <cellStyle name="Normal 7 2 7 3 4" xfId="8608"/>
    <cellStyle name="Normal 7 2 7 3 5" xfId="22688"/>
    <cellStyle name="Normal 7 2 7 4" xfId="6667"/>
    <cellStyle name="Normal 7 2 7 4 2" xfId="15751"/>
    <cellStyle name="Normal 7 2 7 4 3" xfId="25755"/>
    <cellStyle name="Normal 7 2 7 5" xfId="10062"/>
    <cellStyle name="Normal 7 2 7 5 2" xfId="18889"/>
    <cellStyle name="Normal 7 2 7 5 3" xfId="29140"/>
    <cellStyle name="Normal 7 2 7 6" xfId="11508"/>
    <cellStyle name="Normal 7 2 7 6 2" xfId="24237"/>
    <cellStyle name="Normal 7 2 7 7" xfId="5145"/>
    <cellStyle name="Normal 7 2 7 8" xfId="20748"/>
    <cellStyle name="Normal 7 2 8" xfId="1150"/>
    <cellStyle name="Normal 7 2 8 2" xfId="2872"/>
    <cellStyle name="Normal 7 2 8 2 2" xfId="16482"/>
    <cellStyle name="Normal 7 2 8 2 2 2" xfId="26701"/>
    <cellStyle name="Normal 7 2 8 2 3" xfId="12904"/>
    <cellStyle name="Normal 7 2 8 2 4" xfId="7614"/>
    <cellStyle name="Normal 7 2 8 2 5" xfId="21694"/>
    <cellStyle name="Normal 7 2 8 3" xfId="4146"/>
    <cellStyle name="Normal 7 2 8 3 2" xfId="17792"/>
    <cellStyle name="Normal 7 2 8 3 2 2" xfId="28043"/>
    <cellStyle name="Normal 7 2 8 3 3" xfId="14213"/>
    <cellStyle name="Normal 7 2 8 3 4" xfId="8956"/>
    <cellStyle name="Normal 7 2 8 3 5" xfId="23036"/>
    <cellStyle name="Normal 7 2 8 4" xfId="5873"/>
    <cellStyle name="Normal 7 2 8 4 2" xfId="14959"/>
    <cellStyle name="Normal 7 2 8 4 3" xfId="24963"/>
    <cellStyle name="Normal 7 2 8 5" xfId="10410"/>
    <cellStyle name="Normal 7 2 8 5 2" xfId="19237"/>
    <cellStyle name="Normal 7 2 8 5 3" xfId="29488"/>
    <cellStyle name="Normal 7 2 8 6" xfId="11856"/>
    <cellStyle name="Normal 7 2 8 6 2" xfId="24300"/>
    <cellStyle name="Normal 7 2 8 7" xfId="5208"/>
    <cellStyle name="Normal 7 2 8 8" xfId="19956"/>
    <cellStyle name="Normal 7 2 9" xfId="1310"/>
    <cellStyle name="Normal 7 2 9 2" xfId="2926"/>
    <cellStyle name="Normal 7 2 9 2 2" xfId="17846"/>
    <cellStyle name="Normal 7 2 9 2 2 2" xfId="28097"/>
    <cellStyle name="Normal 7 2 9 2 3" xfId="14267"/>
    <cellStyle name="Normal 7 2 9 2 4" xfId="9010"/>
    <cellStyle name="Normal 7 2 9 2 5" xfId="23090"/>
    <cellStyle name="Normal 7 2 9 3" xfId="10464"/>
    <cellStyle name="Normal 7 2 9 3 2" xfId="19291"/>
    <cellStyle name="Normal 7 2 9 3 3" xfId="29542"/>
    <cellStyle name="Normal 7 2 9 4" xfId="11910"/>
    <cellStyle name="Normal 7 2 9 4 2" xfId="25846"/>
    <cellStyle name="Normal 7 2 9 5" xfId="6759"/>
    <cellStyle name="Normal 7 2 9 6" xfId="20839"/>
    <cellStyle name="Normal 7 2_Degree data" xfId="1777"/>
    <cellStyle name="Normal 7 3" xfId="133"/>
    <cellStyle name="Normal 7 3 10" xfId="1891"/>
    <cellStyle name="Normal 7 3 10 2" xfId="9429"/>
    <cellStyle name="Normal 7 3 10 2 2" xfId="18256"/>
    <cellStyle name="Normal 7 3 10 2 3" xfId="28507"/>
    <cellStyle name="Normal 7 3 10 3" xfId="10873"/>
    <cellStyle name="Normal 7 3 10 3 2" xfId="27060"/>
    <cellStyle name="Normal 7 3 10 4" xfId="7973"/>
    <cellStyle name="Normal 7 3 10 5" xfId="22053"/>
    <cellStyle name="Normal 7 3 11" xfId="1861"/>
    <cellStyle name="Normal 7 3 11 2" xfId="14667"/>
    <cellStyle name="Normal 7 3 11 3" xfId="5581"/>
    <cellStyle name="Normal 7 3 11 4" xfId="24671"/>
    <cellStyle name="Normal 7 3 12" xfId="9399"/>
    <cellStyle name="Normal 7 3 12 2" xfId="18226"/>
    <cellStyle name="Normal 7 3 12 3" xfId="28477"/>
    <cellStyle name="Normal 7 3 13" xfId="10843"/>
    <cellStyle name="Normal 7 3 13 2" xfId="23455"/>
    <cellStyle name="Normal 7 3 14" xfId="4363"/>
    <cellStyle name="Normal 7 3 15" xfId="19664"/>
    <cellStyle name="Normal 7 3 2" xfId="247"/>
    <cellStyle name="Normal 7 3 2 10" xfId="9531"/>
    <cellStyle name="Normal 7 3 2 10 2" xfId="18358"/>
    <cellStyle name="Normal 7 3 2 10 3" xfId="28609"/>
    <cellStyle name="Normal 7 3 2 11" xfId="10975"/>
    <cellStyle name="Normal 7 3 2 11 2" xfId="23484"/>
    <cellStyle name="Normal 7 3 2 12" xfId="4392"/>
    <cellStyle name="Normal 7 3 2 13" xfId="19721"/>
    <cellStyle name="Normal 7 3 2 2" xfId="456"/>
    <cellStyle name="Normal 7 3 2 2 10" xfId="4496"/>
    <cellStyle name="Normal 7 3 2 2 11" xfId="19925"/>
    <cellStyle name="Normal 7 3 2 2 2" xfId="813"/>
    <cellStyle name="Normal 7 3 2 2 2 2" xfId="2536"/>
    <cellStyle name="Normal 7 3 2 2 2 2 2" xfId="16088"/>
    <cellStyle name="Normal 7 3 2 2 2 2 2 2" xfId="26306"/>
    <cellStyle name="Normal 7 3 2 2 2 2 3" xfId="12510"/>
    <cellStyle name="Normal 7 3 2 2 2 2 4" xfId="7219"/>
    <cellStyle name="Normal 7 3 2 2 2 2 5" xfId="21299"/>
    <cellStyle name="Normal 7 3 2 2 2 3" xfId="3810"/>
    <cellStyle name="Normal 7 3 2 2 2 3 2" xfId="17456"/>
    <cellStyle name="Normal 7 3 2 2 2 3 2 2" xfId="27707"/>
    <cellStyle name="Normal 7 3 2 2 2 3 3" xfId="13877"/>
    <cellStyle name="Normal 7 3 2 2 2 3 4" xfId="8620"/>
    <cellStyle name="Normal 7 3 2 2 2 3 5" xfId="22700"/>
    <cellStyle name="Normal 7 3 2 2 2 4" xfId="6335"/>
    <cellStyle name="Normal 7 3 2 2 2 4 2" xfId="15419"/>
    <cellStyle name="Normal 7 3 2 2 2 4 3" xfId="25423"/>
    <cellStyle name="Normal 7 3 2 2 2 5" xfId="10074"/>
    <cellStyle name="Normal 7 3 2 2 2 5 2" xfId="18901"/>
    <cellStyle name="Normal 7 3 2 2 2 5 3" xfId="29152"/>
    <cellStyle name="Normal 7 3 2 2 2 6" xfId="11520"/>
    <cellStyle name="Normal 7 3 2 2 2 6 2" xfId="23905"/>
    <cellStyle name="Normal 7 3 2 2 2 7" xfId="4813"/>
    <cellStyle name="Normal 7 3 2 2 2 8" xfId="20416"/>
    <cellStyle name="Normal 7 3 2 2 3" xfId="1162"/>
    <cellStyle name="Normal 7 3 2 2 3 2" xfId="2884"/>
    <cellStyle name="Normal 7 3 2 2 3 2 2" xfId="16431"/>
    <cellStyle name="Normal 7 3 2 2 3 2 2 2" xfId="26650"/>
    <cellStyle name="Normal 7 3 2 2 3 2 3" xfId="12853"/>
    <cellStyle name="Normal 7 3 2 2 3 2 4" xfId="7563"/>
    <cellStyle name="Normal 7 3 2 2 3 2 5" xfId="21643"/>
    <cellStyle name="Normal 7 3 2 2 3 3" xfId="4158"/>
    <cellStyle name="Normal 7 3 2 2 3 3 2" xfId="17804"/>
    <cellStyle name="Normal 7 3 2 2 3 3 2 2" xfId="28055"/>
    <cellStyle name="Normal 7 3 2 2 3 3 3" xfId="14225"/>
    <cellStyle name="Normal 7 3 2 2 3 3 4" xfId="8968"/>
    <cellStyle name="Normal 7 3 2 2 3 3 5" xfId="23048"/>
    <cellStyle name="Normal 7 3 2 2 3 4" xfId="6679"/>
    <cellStyle name="Normal 7 3 2 2 3 4 2" xfId="15763"/>
    <cellStyle name="Normal 7 3 2 2 3 4 3" xfId="25767"/>
    <cellStyle name="Normal 7 3 2 2 3 5" xfId="10422"/>
    <cellStyle name="Normal 7 3 2 2 3 5 2" xfId="19249"/>
    <cellStyle name="Normal 7 3 2 2 3 5 3" xfId="29500"/>
    <cellStyle name="Normal 7 3 2 2 3 6" xfId="11868"/>
    <cellStyle name="Normal 7 3 2 2 3 6 2" xfId="24249"/>
    <cellStyle name="Normal 7 3 2 2 3 7" xfId="5157"/>
    <cellStyle name="Normal 7 3 2 2 3 8" xfId="20760"/>
    <cellStyle name="Normal 7 3 2 2 4" xfId="1643"/>
    <cellStyle name="Normal 7 3 2 2 4 2" xfId="3240"/>
    <cellStyle name="Normal 7 3 2 2 4 2 2" xfId="16796"/>
    <cellStyle name="Normal 7 3 2 2 4 2 2 2" xfId="27015"/>
    <cellStyle name="Normal 7 3 2 2 4 2 3" xfId="13217"/>
    <cellStyle name="Normal 7 3 2 2 4 2 4" xfId="7928"/>
    <cellStyle name="Normal 7 3 2 2 4 2 5" xfId="22008"/>
    <cellStyle name="Normal 7 3 2 2 4 3" xfId="4309"/>
    <cellStyle name="Normal 7 3 2 2 4 3 2" xfId="18160"/>
    <cellStyle name="Normal 7 3 2 2 4 3 2 2" xfId="28411"/>
    <cellStyle name="Normal 7 3 2 2 4 3 3" xfId="14581"/>
    <cellStyle name="Normal 7 3 2 2 4 3 4" xfId="9324"/>
    <cellStyle name="Normal 7 3 2 2 4 3 5" xfId="23404"/>
    <cellStyle name="Normal 7 3 2 2 4 4" xfId="6016"/>
    <cellStyle name="Normal 7 3 2 2 4 4 2" xfId="15102"/>
    <cellStyle name="Normal 7 3 2 2 4 4 3" xfId="25106"/>
    <cellStyle name="Normal 7 3 2 2 4 5" xfId="10778"/>
    <cellStyle name="Normal 7 3 2 2 4 5 2" xfId="19605"/>
    <cellStyle name="Normal 7 3 2 2 4 5 3" xfId="29856"/>
    <cellStyle name="Normal 7 3 2 2 4 6" xfId="12224"/>
    <cellStyle name="Normal 7 3 2 2 4 6 2" xfId="24614"/>
    <cellStyle name="Normal 7 3 2 2 4 7" xfId="5522"/>
    <cellStyle name="Normal 7 3 2 2 4 8" xfId="20099"/>
    <cellStyle name="Normal 7 3 2 2 5" xfId="2197"/>
    <cellStyle name="Normal 7 3 2 2 5 2" xfId="15945"/>
    <cellStyle name="Normal 7 3 2 2 5 2 2" xfId="25989"/>
    <cellStyle name="Normal 7 3 2 2 5 3" xfId="12397"/>
    <cellStyle name="Normal 7 3 2 2 5 4" xfId="6902"/>
    <cellStyle name="Normal 7 3 2 2 5 5" xfId="20982"/>
    <cellStyle name="Normal 7 3 2 2 6" xfId="3471"/>
    <cellStyle name="Normal 7 3 2 2 6 2" xfId="17117"/>
    <cellStyle name="Normal 7 3 2 2 6 2 2" xfId="27368"/>
    <cellStyle name="Normal 7 3 2 2 6 3" xfId="13538"/>
    <cellStyle name="Normal 7 3 2 2 6 4" xfId="8281"/>
    <cellStyle name="Normal 7 3 2 2 6 5" xfId="22361"/>
    <cellStyle name="Normal 7 3 2 2 7" xfId="5842"/>
    <cellStyle name="Normal 7 3 2 2 7 2" xfId="14928"/>
    <cellStyle name="Normal 7 3 2 2 7 3" xfId="24932"/>
    <cellStyle name="Normal 7 3 2 2 8" xfId="9735"/>
    <cellStyle name="Normal 7 3 2 2 8 2" xfId="18562"/>
    <cellStyle name="Normal 7 3 2 2 8 3" xfId="28813"/>
    <cellStyle name="Normal 7 3 2 2 9" xfId="11179"/>
    <cellStyle name="Normal 7 3 2 2 9 2" xfId="23588"/>
    <cellStyle name="Normal 7 3 2 2_Degree data" xfId="1789"/>
    <cellStyle name="Normal 7 3 2 3" xfId="349"/>
    <cellStyle name="Normal 7 3 2 3 10" xfId="19821"/>
    <cellStyle name="Normal 7 3 2 3 2" xfId="814"/>
    <cellStyle name="Normal 7 3 2 3 2 2" xfId="2537"/>
    <cellStyle name="Normal 7 3 2 3 2 2 2" xfId="16432"/>
    <cellStyle name="Normal 7 3 2 3 2 2 2 2" xfId="26651"/>
    <cellStyle name="Normal 7 3 2 3 2 2 3" xfId="12854"/>
    <cellStyle name="Normal 7 3 2 3 2 2 4" xfId="7564"/>
    <cellStyle name="Normal 7 3 2 3 2 2 5" xfId="21644"/>
    <cellStyle name="Normal 7 3 2 3 2 3" xfId="3811"/>
    <cellStyle name="Normal 7 3 2 3 2 3 2" xfId="17457"/>
    <cellStyle name="Normal 7 3 2 3 2 3 2 2" xfId="27708"/>
    <cellStyle name="Normal 7 3 2 3 2 3 3" xfId="13878"/>
    <cellStyle name="Normal 7 3 2 3 2 3 4" xfId="8621"/>
    <cellStyle name="Normal 7 3 2 3 2 3 5" xfId="22701"/>
    <cellStyle name="Normal 7 3 2 3 2 4" xfId="6680"/>
    <cellStyle name="Normal 7 3 2 3 2 4 2" xfId="15764"/>
    <cellStyle name="Normal 7 3 2 3 2 4 3" xfId="25768"/>
    <cellStyle name="Normal 7 3 2 3 2 5" xfId="10075"/>
    <cellStyle name="Normal 7 3 2 3 2 5 2" xfId="18902"/>
    <cellStyle name="Normal 7 3 2 3 2 5 3" xfId="29153"/>
    <cellStyle name="Normal 7 3 2 3 2 6" xfId="11521"/>
    <cellStyle name="Normal 7 3 2 3 2 6 2" xfId="24250"/>
    <cellStyle name="Normal 7 3 2 3 2 7" xfId="5158"/>
    <cellStyle name="Normal 7 3 2 3 2 8" xfId="20761"/>
    <cellStyle name="Normal 7 3 2 3 3" xfId="1163"/>
    <cellStyle name="Normal 7 3 2 3 3 2" xfId="2885"/>
    <cellStyle name="Normal 7 3 2 3 3 2 2" xfId="16692"/>
    <cellStyle name="Normal 7 3 2 3 3 2 2 2" xfId="26911"/>
    <cellStyle name="Normal 7 3 2 3 3 2 3" xfId="13113"/>
    <cellStyle name="Normal 7 3 2 3 3 2 4" xfId="7824"/>
    <cellStyle name="Normal 7 3 2 3 3 2 5" xfId="21904"/>
    <cellStyle name="Normal 7 3 2 3 3 3" xfId="4159"/>
    <cellStyle name="Normal 7 3 2 3 3 3 2" xfId="17805"/>
    <cellStyle name="Normal 7 3 2 3 3 3 2 2" xfId="28056"/>
    <cellStyle name="Normal 7 3 2 3 3 3 3" xfId="14226"/>
    <cellStyle name="Normal 7 3 2 3 3 3 4" xfId="8969"/>
    <cellStyle name="Normal 7 3 2 3 3 3 5" xfId="23049"/>
    <cellStyle name="Normal 7 3 2 3 3 4" xfId="6231"/>
    <cellStyle name="Normal 7 3 2 3 3 4 2" xfId="15315"/>
    <cellStyle name="Normal 7 3 2 3 3 4 3" xfId="25319"/>
    <cellStyle name="Normal 7 3 2 3 3 5" xfId="10423"/>
    <cellStyle name="Normal 7 3 2 3 3 5 2" xfId="19250"/>
    <cellStyle name="Normal 7 3 2 3 3 5 3" xfId="29501"/>
    <cellStyle name="Normal 7 3 2 3 3 6" xfId="11869"/>
    <cellStyle name="Normal 7 3 2 3 3 6 2" xfId="24510"/>
    <cellStyle name="Normal 7 3 2 3 3 7" xfId="5418"/>
    <cellStyle name="Normal 7 3 2 3 3 8" xfId="20312"/>
    <cellStyle name="Normal 7 3 2 3 4" xfId="1536"/>
    <cellStyle name="Normal 7 3 2 3 4 2" xfId="3136"/>
    <cellStyle name="Normal 7 3 2 3 4 2 2" xfId="18056"/>
    <cellStyle name="Normal 7 3 2 3 4 2 2 2" xfId="28307"/>
    <cellStyle name="Normal 7 3 2 3 4 2 3" xfId="14477"/>
    <cellStyle name="Normal 7 3 2 3 4 2 4" xfId="9220"/>
    <cellStyle name="Normal 7 3 2 3 4 2 5" xfId="23300"/>
    <cellStyle name="Normal 7 3 2 3 4 3" xfId="10674"/>
    <cellStyle name="Normal 7 3 2 3 4 3 2" xfId="19501"/>
    <cellStyle name="Normal 7 3 2 3 4 3 3" xfId="29752"/>
    <cellStyle name="Normal 7 3 2 3 4 4" xfId="12120"/>
    <cellStyle name="Normal 7 3 2 3 4 4 2" xfId="26202"/>
    <cellStyle name="Normal 7 3 2 3 4 5" xfId="7115"/>
    <cellStyle name="Normal 7 3 2 3 4 6" xfId="21195"/>
    <cellStyle name="Normal 7 3 2 3 5" xfId="2093"/>
    <cellStyle name="Normal 7 3 2 3 5 2" xfId="17013"/>
    <cellStyle name="Normal 7 3 2 3 5 2 2" xfId="27264"/>
    <cellStyle name="Normal 7 3 2 3 5 3" xfId="13434"/>
    <cellStyle name="Normal 7 3 2 3 5 4" xfId="8177"/>
    <cellStyle name="Normal 7 3 2 3 5 5" xfId="22257"/>
    <cellStyle name="Normal 7 3 2 3 6" xfId="5738"/>
    <cellStyle name="Normal 7 3 2 3 6 2" xfId="14824"/>
    <cellStyle name="Normal 7 3 2 3 6 3" xfId="24828"/>
    <cellStyle name="Normal 7 3 2 3 7" xfId="9631"/>
    <cellStyle name="Normal 7 3 2 3 7 2" xfId="18458"/>
    <cellStyle name="Normal 7 3 2 3 7 3" xfId="28709"/>
    <cellStyle name="Normal 7 3 2 3 8" xfId="11075"/>
    <cellStyle name="Normal 7 3 2 3 8 2" xfId="23801"/>
    <cellStyle name="Normal 7 3 2 3 9" xfId="4709"/>
    <cellStyle name="Normal 7 3 2 3_Degree data" xfId="1790"/>
    <cellStyle name="Normal 7 3 2 4" xfId="812"/>
    <cellStyle name="Normal 7 3 2 4 2" xfId="2535"/>
    <cellStyle name="Normal 7 3 2 4 2 2" xfId="16029"/>
    <cellStyle name="Normal 7 3 2 4 2 2 2" xfId="26102"/>
    <cellStyle name="Normal 7 3 2 4 2 3" xfId="12378"/>
    <cellStyle name="Normal 7 3 2 4 2 4" xfId="7015"/>
    <cellStyle name="Normal 7 3 2 4 2 5" xfId="21095"/>
    <cellStyle name="Normal 7 3 2 4 3" xfId="3809"/>
    <cellStyle name="Normal 7 3 2 4 3 2" xfId="17455"/>
    <cellStyle name="Normal 7 3 2 4 3 2 2" xfId="27706"/>
    <cellStyle name="Normal 7 3 2 4 3 3" xfId="13876"/>
    <cellStyle name="Normal 7 3 2 4 3 4" xfId="8619"/>
    <cellStyle name="Normal 7 3 2 4 3 5" xfId="22699"/>
    <cellStyle name="Normal 7 3 2 4 4" xfId="6131"/>
    <cellStyle name="Normal 7 3 2 4 4 2" xfId="15215"/>
    <cellStyle name="Normal 7 3 2 4 4 3" xfId="25219"/>
    <cellStyle name="Normal 7 3 2 4 5" xfId="10073"/>
    <cellStyle name="Normal 7 3 2 4 5 2" xfId="18900"/>
    <cellStyle name="Normal 7 3 2 4 5 3" xfId="29151"/>
    <cellStyle name="Normal 7 3 2 4 6" xfId="11519"/>
    <cellStyle name="Normal 7 3 2 4 6 2" xfId="23701"/>
    <cellStyle name="Normal 7 3 2 4 7" xfId="4609"/>
    <cellStyle name="Normal 7 3 2 4 8" xfId="20212"/>
    <cellStyle name="Normal 7 3 2 5" xfId="1161"/>
    <cellStyle name="Normal 7 3 2 5 2" xfId="2883"/>
    <cellStyle name="Normal 7 3 2 5 2 2" xfId="16430"/>
    <cellStyle name="Normal 7 3 2 5 2 2 2" xfId="26649"/>
    <cellStyle name="Normal 7 3 2 5 2 3" xfId="12852"/>
    <cellStyle name="Normal 7 3 2 5 2 4" xfId="7562"/>
    <cellStyle name="Normal 7 3 2 5 2 5" xfId="21642"/>
    <cellStyle name="Normal 7 3 2 5 3" xfId="4157"/>
    <cellStyle name="Normal 7 3 2 5 3 2" xfId="17803"/>
    <cellStyle name="Normal 7 3 2 5 3 2 2" xfId="28054"/>
    <cellStyle name="Normal 7 3 2 5 3 3" xfId="14224"/>
    <cellStyle name="Normal 7 3 2 5 3 4" xfId="8967"/>
    <cellStyle name="Normal 7 3 2 5 3 5" xfId="23047"/>
    <cellStyle name="Normal 7 3 2 5 4" xfId="6678"/>
    <cellStyle name="Normal 7 3 2 5 4 2" xfId="15762"/>
    <cellStyle name="Normal 7 3 2 5 4 3" xfId="25766"/>
    <cellStyle name="Normal 7 3 2 5 5" xfId="10421"/>
    <cellStyle name="Normal 7 3 2 5 5 2" xfId="19248"/>
    <cellStyle name="Normal 7 3 2 5 5 3" xfId="29499"/>
    <cellStyle name="Normal 7 3 2 5 6" xfId="11867"/>
    <cellStyle name="Normal 7 3 2 5 6 2" xfId="24248"/>
    <cellStyle name="Normal 7 3 2 5 7" xfId="5156"/>
    <cellStyle name="Normal 7 3 2 5 8" xfId="20759"/>
    <cellStyle name="Normal 7 3 2 6" xfId="1434"/>
    <cellStyle name="Normal 7 3 2 6 2" xfId="3036"/>
    <cellStyle name="Normal 7 3 2 6 2 2" xfId="16592"/>
    <cellStyle name="Normal 7 3 2 6 2 2 2" xfId="26811"/>
    <cellStyle name="Normal 7 3 2 6 2 3" xfId="13013"/>
    <cellStyle name="Normal 7 3 2 6 2 4" xfId="7724"/>
    <cellStyle name="Normal 7 3 2 6 2 5" xfId="21804"/>
    <cellStyle name="Normal 7 3 2 6 3" xfId="4250"/>
    <cellStyle name="Normal 7 3 2 6 3 2" xfId="17956"/>
    <cellStyle name="Normal 7 3 2 6 3 2 2" xfId="28207"/>
    <cellStyle name="Normal 7 3 2 6 3 3" xfId="14377"/>
    <cellStyle name="Normal 7 3 2 6 3 4" xfId="9120"/>
    <cellStyle name="Normal 7 3 2 6 3 5" xfId="23200"/>
    <cellStyle name="Normal 7 3 2 6 4" xfId="5912"/>
    <cellStyle name="Normal 7 3 2 6 4 2" xfId="14998"/>
    <cellStyle name="Normal 7 3 2 6 4 3" xfId="25002"/>
    <cellStyle name="Normal 7 3 2 6 5" xfId="10574"/>
    <cellStyle name="Normal 7 3 2 6 5 2" xfId="19401"/>
    <cellStyle name="Normal 7 3 2 6 5 3" xfId="29652"/>
    <cellStyle name="Normal 7 3 2 6 6" xfId="12020"/>
    <cellStyle name="Normal 7 3 2 6 6 2" xfId="24410"/>
    <cellStyle name="Normal 7 3 2 6 7" xfId="5318"/>
    <cellStyle name="Normal 7 3 2 6 8" xfId="19995"/>
    <cellStyle name="Normal 7 3 2 7" xfId="1993"/>
    <cellStyle name="Normal 7 3 2 7 2" xfId="15841"/>
    <cellStyle name="Normal 7 3 2 7 2 2" xfId="25885"/>
    <cellStyle name="Normal 7 3 2 7 3" xfId="12418"/>
    <cellStyle name="Normal 7 3 2 7 4" xfId="6798"/>
    <cellStyle name="Normal 7 3 2 7 5" xfId="20878"/>
    <cellStyle name="Normal 7 3 2 8" xfId="3412"/>
    <cellStyle name="Normal 7 3 2 8 2" xfId="16913"/>
    <cellStyle name="Normal 7 3 2 8 2 2" xfId="27164"/>
    <cellStyle name="Normal 7 3 2 8 3" xfId="13334"/>
    <cellStyle name="Normal 7 3 2 8 4" xfId="8077"/>
    <cellStyle name="Normal 7 3 2 8 5" xfId="22157"/>
    <cellStyle name="Normal 7 3 2 9" xfId="5638"/>
    <cellStyle name="Normal 7 3 2 9 2" xfId="14724"/>
    <cellStyle name="Normal 7 3 2 9 3" xfId="24728"/>
    <cellStyle name="Normal 7 3 2_Degree data" xfId="1788"/>
    <cellStyle name="Normal 7 3 3" xfId="292"/>
    <cellStyle name="Normal 7 3 3 10" xfId="11018"/>
    <cellStyle name="Normal 7 3 3 10 2" xfId="23527"/>
    <cellStyle name="Normal 7 3 3 11" xfId="4435"/>
    <cellStyle name="Normal 7 3 3 12" xfId="19764"/>
    <cellStyle name="Normal 7 3 3 2" xfId="394"/>
    <cellStyle name="Normal 7 3 3 2 10" xfId="19864"/>
    <cellStyle name="Normal 7 3 3 2 2" xfId="816"/>
    <cellStyle name="Normal 7 3 3 2 2 2" xfId="2539"/>
    <cellStyle name="Normal 7 3 3 2 2 2 2" xfId="16434"/>
    <cellStyle name="Normal 7 3 3 2 2 2 2 2" xfId="26653"/>
    <cellStyle name="Normal 7 3 3 2 2 2 3" xfId="12856"/>
    <cellStyle name="Normal 7 3 3 2 2 2 4" xfId="7566"/>
    <cellStyle name="Normal 7 3 3 2 2 2 5" xfId="21646"/>
    <cellStyle name="Normal 7 3 3 2 2 3" xfId="3813"/>
    <cellStyle name="Normal 7 3 3 2 2 3 2" xfId="17459"/>
    <cellStyle name="Normal 7 3 3 2 2 3 2 2" xfId="27710"/>
    <cellStyle name="Normal 7 3 3 2 2 3 3" xfId="13880"/>
    <cellStyle name="Normal 7 3 3 2 2 3 4" xfId="8623"/>
    <cellStyle name="Normal 7 3 3 2 2 3 5" xfId="22703"/>
    <cellStyle name="Normal 7 3 3 2 2 4" xfId="6682"/>
    <cellStyle name="Normal 7 3 3 2 2 4 2" xfId="15766"/>
    <cellStyle name="Normal 7 3 3 2 2 4 3" xfId="25770"/>
    <cellStyle name="Normal 7 3 3 2 2 5" xfId="10077"/>
    <cellStyle name="Normal 7 3 3 2 2 5 2" xfId="18904"/>
    <cellStyle name="Normal 7 3 3 2 2 5 3" xfId="29155"/>
    <cellStyle name="Normal 7 3 3 2 2 6" xfId="11523"/>
    <cellStyle name="Normal 7 3 3 2 2 6 2" xfId="24252"/>
    <cellStyle name="Normal 7 3 3 2 2 7" xfId="5160"/>
    <cellStyle name="Normal 7 3 3 2 2 8" xfId="20763"/>
    <cellStyle name="Normal 7 3 3 2 3" xfId="1165"/>
    <cellStyle name="Normal 7 3 3 2 3 2" xfId="2887"/>
    <cellStyle name="Normal 7 3 3 2 3 2 2" xfId="16735"/>
    <cellStyle name="Normal 7 3 3 2 3 2 2 2" xfId="26954"/>
    <cellStyle name="Normal 7 3 3 2 3 2 3" xfId="13156"/>
    <cellStyle name="Normal 7 3 3 2 3 2 4" xfId="7867"/>
    <cellStyle name="Normal 7 3 3 2 3 2 5" xfId="21947"/>
    <cellStyle name="Normal 7 3 3 2 3 3" xfId="4161"/>
    <cellStyle name="Normal 7 3 3 2 3 3 2" xfId="17807"/>
    <cellStyle name="Normal 7 3 3 2 3 3 2 2" xfId="28058"/>
    <cellStyle name="Normal 7 3 3 2 3 3 3" xfId="14228"/>
    <cellStyle name="Normal 7 3 3 2 3 3 4" xfId="8971"/>
    <cellStyle name="Normal 7 3 3 2 3 3 5" xfId="23051"/>
    <cellStyle name="Normal 7 3 3 2 3 4" xfId="6274"/>
    <cellStyle name="Normal 7 3 3 2 3 4 2" xfId="15358"/>
    <cellStyle name="Normal 7 3 3 2 3 4 3" xfId="25362"/>
    <cellStyle name="Normal 7 3 3 2 3 5" xfId="10425"/>
    <cellStyle name="Normal 7 3 3 2 3 5 2" xfId="19252"/>
    <cellStyle name="Normal 7 3 3 2 3 5 3" xfId="29503"/>
    <cellStyle name="Normal 7 3 3 2 3 6" xfId="11871"/>
    <cellStyle name="Normal 7 3 3 2 3 6 2" xfId="24553"/>
    <cellStyle name="Normal 7 3 3 2 3 7" xfId="5461"/>
    <cellStyle name="Normal 7 3 3 2 3 8" xfId="20355"/>
    <cellStyle name="Normal 7 3 3 2 4" xfId="1581"/>
    <cellStyle name="Normal 7 3 3 2 4 2" xfId="3179"/>
    <cellStyle name="Normal 7 3 3 2 4 2 2" xfId="18099"/>
    <cellStyle name="Normal 7 3 3 2 4 2 2 2" xfId="28350"/>
    <cellStyle name="Normal 7 3 3 2 4 2 3" xfId="14520"/>
    <cellStyle name="Normal 7 3 3 2 4 2 4" xfId="9263"/>
    <cellStyle name="Normal 7 3 3 2 4 2 5" xfId="23343"/>
    <cellStyle name="Normal 7 3 3 2 4 3" xfId="10717"/>
    <cellStyle name="Normal 7 3 3 2 4 3 2" xfId="19544"/>
    <cellStyle name="Normal 7 3 3 2 4 3 3" xfId="29795"/>
    <cellStyle name="Normal 7 3 3 2 4 4" xfId="12163"/>
    <cellStyle name="Normal 7 3 3 2 4 4 2" xfId="26245"/>
    <cellStyle name="Normal 7 3 3 2 4 5" xfId="7158"/>
    <cellStyle name="Normal 7 3 3 2 4 6" xfId="21238"/>
    <cellStyle name="Normal 7 3 3 2 5" xfId="2136"/>
    <cellStyle name="Normal 7 3 3 2 5 2" xfId="17056"/>
    <cellStyle name="Normal 7 3 3 2 5 2 2" xfId="27307"/>
    <cellStyle name="Normal 7 3 3 2 5 3" xfId="13477"/>
    <cellStyle name="Normal 7 3 3 2 5 4" xfId="8220"/>
    <cellStyle name="Normal 7 3 3 2 5 5" xfId="22300"/>
    <cellStyle name="Normal 7 3 3 2 6" xfId="5781"/>
    <cellStyle name="Normal 7 3 3 2 6 2" xfId="14867"/>
    <cellStyle name="Normal 7 3 3 2 6 3" xfId="24871"/>
    <cellStyle name="Normal 7 3 3 2 7" xfId="9674"/>
    <cellStyle name="Normal 7 3 3 2 7 2" xfId="18501"/>
    <cellStyle name="Normal 7 3 3 2 7 3" xfId="28752"/>
    <cellStyle name="Normal 7 3 3 2 8" xfId="11118"/>
    <cellStyle name="Normal 7 3 3 2 8 2" xfId="23844"/>
    <cellStyle name="Normal 7 3 3 2 9" xfId="4752"/>
    <cellStyle name="Normal 7 3 3 2_Degree data" xfId="1792"/>
    <cellStyle name="Normal 7 3 3 3" xfId="815"/>
    <cellStyle name="Normal 7 3 3 3 2" xfId="2538"/>
    <cellStyle name="Normal 7 3 3 3 2 2" xfId="16072"/>
    <cellStyle name="Normal 7 3 3 3 2 2 2" xfId="26145"/>
    <cellStyle name="Normal 7 3 3 3 2 3" xfId="12367"/>
    <cellStyle name="Normal 7 3 3 3 2 4" xfId="7058"/>
    <cellStyle name="Normal 7 3 3 3 2 5" xfId="21138"/>
    <cellStyle name="Normal 7 3 3 3 3" xfId="3812"/>
    <cellStyle name="Normal 7 3 3 3 3 2" xfId="17458"/>
    <cellStyle name="Normal 7 3 3 3 3 2 2" xfId="27709"/>
    <cellStyle name="Normal 7 3 3 3 3 3" xfId="13879"/>
    <cellStyle name="Normal 7 3 3 3 3 4" xfId="8622"/>
    <cellStyle name="Normal 7 3 3 3 3 5" xfId="22702"/>
    <cellStyle name="Normal 7 3 3 3 4" xfId="6174"/>
    <cellStyle name="Normal 7 3 3 3 4 2" xfId="15258"/>
    <cellStyle name="Normal 7 3 3 3 4 3" xfId="25262"/>
    <cellStyle name="Normal 7 3 3 3 5" xfId="10076"/>
    <cellStyle name="Normal 7 3 3 3 5 2" xfId="18903"/>
    <cellStyle name="Normal 7 3 3 3 5 3" xfId="29154"/>
    <cellStyle name="Normal 7 3 3 3 6" xfId="11522"/>
    <cellStyle name="Normal 7 3 3 3 6 2" xfId="23744"/>
    <cellStyle name="Normal 7 3 3 3 7" xfId="4652"/>
    <cellStyle name="Normal 7 3 3 3 8" xfId="20255"/>
    <cellStyle name="Normal 7 3 3 4" xfId="1164"/>
    <cellStyle name="Normal 7 3 3 4 2" xfId="2886"/>
    <cellStyle name="Normal 7 3 3 4 2 2" xfId="16433"/>
    <cellStyle name="Normal 7 3 3 4 2 2 2" xfId="26652"/>
    <cellStyle name="Normal 7 3 3 4 2 3" xfId="12855"/>
    <cellStyle name="Normal 7 3 3 4 2 4" xfId="7565"/>
    <cellStyle name="Normal 7 3 3 4 2 5" xfId="21645"/>
    <cellStyle name="Normal 7 3 3 4 3" xfId="4160"/>
    <cellStyle name="Normal 7 3 3 4 3 2" xfId="17806"/>
    <cellStyle name="Normal 7 3 3 4 3 2 2" xfId="28057"/>
    <cellStyle name="Normal 7 3 3 4 3 3" xfId="14227"/>
    <cellStyle name="Normal 7 3 3 4 3 4" xfId="8970"/>
    <cellStyle name="Normal 7 3 3 4 3 5" xfId="23050"/>
    <cellStyle name="Normal 7 3 3 4 4" xfId="6681"/>
    <cellStyle name="Normal 7 3 3 4 4 2" xfId="15765"/>
    <cellStyle name="Normal 7 3 3 4 4 3" xfId="25769"/>
    <cellStyle name="Normal 7 3 3 4 5" xfId="10424"/>
    <cellStyle name="Normal 7 3 3 4 5 2" xfId="19251"/>
    <cellStyle name="Normal 7 3 3 4 5 3" xfId="29502"/>
    <cellStyle name="Normal 7 3 3 4 6" xfId="11870"/>
    <cellStyle name="Normal 7 3 3 4 6 2" xfId="24251"/>
    <cellStyle name="Normal 7 3 3 4 7" xfId="5159"/>
    <cellStyle name="Normal 7 3 3 4 8" xfId="20762"/>
    <cellStyle name="Normal 7 3 3 5" xfId="1479"/>
    <cellStyle name="Normal 7 3 3 5 2" xfId="3079"/>
    <cellStyle name="Normal 7 3 3 5 2 2" xfId="16635"/>
    <cellStyle name="Normal 7 3 3 5 2 2 2" xfId="26854"/>
    <cellStyle name="Normal 7 3 3 5 2 3" xfId="13056"/>
    <cellStyle name="Normal 7 3 3 5 2 4" xfId="7767"/>
    <cellStyle name="Normal 7 3 3 5 2 5" xfId="21847"/>
    <cellStyle name="Normal 7 3 3 5 3" xfId="4293"/>
    <cellStyle name="Normal 7 3 3 5 3 2" xfId="17999"/>
    <cellStyle name="Normal 7 3 3 5 3 2 2" xfId="28250"/>
    <cellStyle name="Normal 7 3 3 5 3 3" xfId="14420"/>
    <cellStyle name="Normal 7 3 3 5 3 4" xfId="9163"/>
    <cellStyle name="Normal 7 3 3 5 3 5" xfId="23243"/>
    <cellStyle name="Normal 7 3 3 5 4" xfId="5955"/>
    <cellStyle name="Normal 7 3 3 5 4 2" xfId="15041"/>
    <cellStyle name="Normal 7 3 3 5 4 3" xfId="25045"/>
    <cellStyle name="Normal 7 3 3 5 5" xfId="10617"/>
    <cellStyle name="Normal 7 3 3 5 5 2" xfId="19444"/>
    <cellStyle name="Normal 7 3 3 5 5 3" xfId="29695"/>
    <cellStyle name="Normal 7 3 3 5 6" xfId="12063"/>
    <cellStyle name="Normal 7 3 3 5 6 2" xfId="24453"/>
    <cellStyle name="Normal 7 3 3 5 7" xfId="5361"/>
    <cellStyle name="Normal 7 3 3 5 8" xfId="20038"/>
    <cellStyle name="Normal 7 3 3 6" xfId="2036"/>
    <cellStyle name="Normal 7 3 3 6 2" xfId="15884"/>
    <cellStyle name="Normal 7 3 3 6 2 2" xfId="25928"/>
    <cellStyle name="Normal 7 3 3 6 3" xfId="12435"/>
    <cellStyle name="Normal 7 3 3 6 4" xfId="6841"/>
    <cellStyle name="Normal 7 3 3 6 5" xfId="20921"/>
    <cellStyle name="Normal 7 3 3 7" xfId="3455"/>
    <cellStyle name="Normal 7 3 3 7 2" xfId="16956"/>
    <cellStyle name="Normal 7 3 3 7 2 2" xfId="27207"/>
    <cellStyle name="Normal 7 3 3 7 3" xfId="13377"/>
    <cellStyle name="Normal 7 3 3 7 4" xfId="8120"/>
    <cellStyle name="Normal 7 3 3 7 5" xfId="22200"/>
    <cellStyle name="Normal 7 3 3 8" xfId="5681"/>
    <cellStyle name="Normal 7 3 3 8 2" xfId="14767"/>
    <cellStyle name="Normal 7 3 3 8 3" xfId="24771"/>
    <cellStyle name="Normal 7 3 3 9" xfId="9574"/>
    <cellStyle name="Normal 7 3 3 9 2" xfId="18401"/>
    <cellStyle name="Normal 7 3 3 9 3" xfId="28652"/>
    <cellStyle name="Normal 7 3 3_Degree data" xfId="1791"/>
    <cellStyle name="Normal 7 3 4" xfId="214"/>
    <cellStyle name="Normal 7 3 4 10" xfId="10946"/>
    <cellStyle name="Normal 7 3 4 10 2" xfId="23560"/>
    <cellStyle name="Normal 7 3 4 11" xfId="4468"/>
    <cellStyle name="Normal 7 3 4 12" xfId="19692"/>
    <cellStyle name="Normal 7 3 4 2" xfId="428"/>
    <cellStyle name="Normal 7 3 4 2 10" xfId="19897"/>
    <cellStyle name="Normal 7 3 4 2 2" xfId="818"/>
    <cellStyle name="Normal 7 3 4 2 2 2" xfId="2541"/>
    <cellStyle name="Normal 7 3 4 2 2 2 2" xfId="16436"/>
    <cellStyle name="Normal 7 3 4 2 2 2 2 2" xfId="26655"/>
    <cellStyle name="Normal 7 3 4 2 2 2 3" xfId="12858"/>
    <cellStyle name="Normal 7 3 4 2 2 2 4" xfId="7568"/>
    <cellStyle name="Normal 7 3 4 2 2 2 5" xfId="21648"/>
    <cellStyle name="Normal 7 3 4 2 2 3" xfId="3815"/>
    <cellStyle name="Normal 7 3 4 2 2 3 2" xfId="17461"/>
    <cellStyle name="Normal 7 3 4 2 2 3 2 2" xfId="27712"/>
    <cellStyle name="Normal 7 3 4 2 2 3 3" xfId="13882"/>
    <cellStyle name="Normal 7 3 4 2 2 3 4" xfId="8625"/>
    <cellStyle name="Normal 7 3 4 2 2 3 5" xfId="22705"/>
    <cellStyle name="Normal 7 3 4 2 2 4" xfId="6684"/>
    <cellStyle name="Normal 7 3 4 2 2 4 2" xfId="15768"/>
    <cellStyle name="Normal 7 3 4 2 2 4 3" xfId="25772"/>
    <cellStyle name="Normal 7 3 4 2 2 5" xfId="10079"/>
    <cellStyle name="Normal 7 3 4 2 2 5 2" xfId="18906"/>
    <cellStyle name="Normal 7 3 4 2 2 5 3" xfId="29157"/>
    <cellStyle name="Normal 7 3 4 2 2 6" xfId="11525"/>
    <cellStyle name="Normal 7 3 4 2 2 6 2" xfId="24254"/>
    <cellStyle name="Normal 7 3 4 2 2 7" xfId="5162"/>
    <cellStyle name="Normal 7 3 4 2 2 8" xfId="20765"/>
    <cellStyle name="Normal 7 3 4 2 3" xfId="1167"/>
    <cellStyle name="Normal 7 3 4 2 3 2" xfId="2889"/>
    <cellStyle name="Normal 7 3 4 2 3 2 2" xfId="16768"/>
    <cellStyle name="Normal 7 3 4 2 3 2 2 2" xfId="26987"/>
    <cellStyle name="Normal 7 3 4 2 3 2 3" xfId="13189"/>
    <cellStyle name="Normal 7 3 4 2 3 2 4" xfId="7900"/>
    <cellStyle name="Normal 7 3 4 2 3 2 5" xfId="21980"/>
    <cellStyle name="Normal 7 3 4 2 3 3" xfId="4163"/>
    <cellStyle name="Normal 7 3 4 2 3 3 2" xfId="17809"/>
    <cellStyle name="Normal 7 3 4 2 3 3 2 2" xfId="28060"/>
    <cellStyle name="Normal 7 3 4 2 3 3 3" xfId="14230"/>
    <cellStyle name="Normal 7 3 4 2 3 3 4" xfId="8973"/>
    <cellStyle name="Normal 7 3 4 2 3 3 5" xfId="23053"/>
    <cellStyle name="Normal 7 3 4 2 3 4" xfId="6307"/>
    <cellStyle name="Normal 7 3 4 2 3 4 2" xfId="15391"/>
    <cellStyle name="Normal 7 3 4 2 3 4 3" xfId="25395"/>
    <cellStyle name="Normal 7 3 4 2 3 5" xfId="10427"/>
    <cellStyle name="Normal 7 3 4 2 3 5 2" xfId="19254"/>
    <cellStyle name="Normal 7 3 4 2 3 5 3" xfId="29505"/>
    <cellStyle name="Normal 7 3 4 2 3 6" xfId="11873"/>
    <cellStyle name="Normal 7 3 4 2 3 6 2" xfId="24586"/>
    <cellStyle name="Normal 7 3 4 2 3 7" xfId="5494"/>
    <cellStyle name="Normal 7 3 4 2 3 8" xfId="20388"/>
    <cellStyle name="Normal 7 3 4 2 4" xfId="1615"/>
    <cellStyle name="Normal 7 3 4 2 4 2" xfId="3212"/>
    <cellStyle name="Normal 7 3 4 2 4 2 2" xfId="18132"/>
    <cellStyle name="Normal 7 3 4 2 4 2 2 2" xfId="28383"/>
    <cellStyle name="Normal 7 3 4 2 4 2 3" xfId="14553"/>
    <cellStyle name="Normal 7 3 4 2 4 2 4" xfId="9296"/>
    <cellStyle name="Normal 7 3 4 2 4 2 5" xfId="23376"/>
    <cellStyle name="Normal 7 3 4 2 4 3" xfId="10750"/>
    <cellStyle name="Normal 7 3 4 2 4 3 2" xfId="19577"/>
    <cellStyle name="Normal 7 3 4 2 4 3 3" xfId="29828"/>
    <cellStyle name="Normal 7 3 4 2 4 4" xfId="12196"/>
    <cellStyle name="Normal 7 3 4 2 4 4 2" xfId="26278"/>
    <cellStyle name="Normal 7 3 4 2 4 5" xfId="7191"/>
    <cellStyle name="Normal 7 3 4 2 4 6" xfId="21271"/>
    <cellStyle name="Normal 7 3 4 2 5" xfId="2169"/>
    <cellStyle name="Normal 7 3 4 2 5 2" xfId="17089"/>
    <cellStyle name="Normal 7 3 4 2 5 2 2" xfId="27340"/>
    <cellStyle name="Normal 7 3 4 2 5 3" xfId="13510"/>
    <cellStyle name="Normal 7 3 4 2 5 4" xfId="8253"/>
    <cellStyle name="Normal 7 3 4 2 5 5" xfId="22333"/>
    <cellStyle name="Normal 7 3 4 2 6" xfId="5814"/>
    <cellStyle name="Normal 7 3 4 2 6 2" xfId="14900"/>
    <cellStyle name="Normal 7 3 4 2 6 3" xfId="24904"/>
    <cellStyle name="Normal 7 3 4 2 7" xfId="9707"/>
    <cellStyle name="Normal 7 3 4 2 7 2" xfId="18534"/>
    <cellStyle name="Normal 7 3 4 2 7 3" xfId="28785"/>
    <cellStyle name="Normal 7 3 4 2 8" xfId="11151"/>
    <cellStyle name="Normal 7 3 4 2 8 2" xfId="23877"/>
    <cellStyle name="Normal 7 3 4 2 9" xfId="4785"/>
    <cellStyle name="Normal 7 3 4 2_Degree data" xfId="1794"/>
    <cellStyle name="Normal 7 3 4 3" xfId="817"/>
    <cellStyle name="Normal 7 3 4 3 2" xfId="2540"/>
    <cellStyle name="Normal 7 3 4 3 2 2" xfId="16000"/>
    <cellStyle name="Normal 7 3 4 3 2 2 2" xfId="26073"/>
    <cellStyle name="Normal 7 3 4 3 2 3" xfId="12249"/>
    <cellStyle name="Normal 7 3 4 3 2 4" xfId="6986"/>
    <cellStyle name="Normal 7 3 4 3 2 5" xfId="21066"/>
    <cellStyle name="Normal 7 3 4 3 3" xfId="3814"/>
    <cellStyle name="Normal 7 3 4 3 3 2" xfId="17460"/>
    <cellStyle name="Normal 7 3 4 3 3 2 2" xfId="27711"/>
    <cellStyle name="Normal 7 3 4 3 3 3" xfId="13881"/>
    <cellStyle name="Normal 7 3 4 3 3 4" xfId="8624"/>
    <cellStyle name="Normal 7 3 4 3 3 5" xfId="22704"/>
    <cellStyle name="Normal 7 3 4 3 4" xfId="6102"/>
    <cellStyle name="Normal 7 3 4 3 4 2" xfId="15186"/>
    <cellStyle name="Normal 7 3 4 3 4 3" xfId="25190"/>
    <cellStyle name="Normal 7 3 4 3 5" xfId="10078"/>
    <cellStyle name="Normal 7 3 4 3 5 2" xfId="18905"/>
    <cellStyle name="Normal 7 3 4 3 5 3" xfId="29156"/>
    <cellStyle name="Normal 7 3 4 3 6" xfId="11524"/>
    <cellStyle name="Normal 7 3 4 3 6 2" xfId="23672"/>
    <cellStyle name="Normal 7 3 4 3 7" xfId="4580"/>
    <cellStyle name="Normal 7 3 4 3 8" xfId="20183"/>
    <cellStyle name="Normal 7 3 4 4" xfId="1166"/>
    <cellStyle name="Normal 7 3 4 4 2" xfId="2888"/>
    <cellStyle name="Normal 7 3 4 4 2 2" xfId="16435"/>
    <cellStyle name="Normal 7 3 4 4 2 2 2" xfId="26654"/>
    <cellStyle name="Normal 7 3 4 4 2 3" xfId="12857"/>
    <cellStyle name="Normal 7 3 4 4 2 4" xfId="7567"/>
    <cellStyle name="Normal 7 3 4 4 2 5" xfId="21647"/>
    <cellStyle name="Normal 7 3 4 4 3" xfId="4162"/>
    <cellStyle name="Normal 7 3 4 4 3 2" xfId="17808"/>
    <cellStyle name="Normal 7 3 4 4 3 2 2" xfId="28059"/>
    <cellStyle name="Normal 7 3 4 4 3 3" xfId="14229"/>
    <cellStyle name="Normal 7 3 4 4 3 4" xfId="8972"/>
    <cellStyle name="Normal 7 3 4 4 3 5" xfId="23052"/>
    <cellStyle name="Normal 7 3 4 4 4" xfId="6683"/>
    <cellStyle name="Normal 7 3 4 4 4 2" xfId="15767"/>
    <cellStyle name="Normal 7 3 4 4 4 3" xfId="25771"/>
    <cellStyle name="Normal 7 3 4 4 5" xfId="10426"/>
    <cellStyle name="Normal 7 3 4 4 5 2" xfId="19253"/>
    <cellStyle name="Normal 7 3 4 4 5 3" xfId="29504"/>
    <cellStyle name="Normal 7 3 4 4 6" xfId="11872"/>
    <cellStyle name="Normal 7 3 4 4 6 2" xfId="24253"/>
    <cellStyle name="Normal 7 3 4 4 7" xfId="5161"/>
    <cellStyle name="Normal 7 3 4 4 8" xfId="20764"/>
    <cellStyle name="Normal 7 3 4 5" xfId="1401"/>
    <cellStyle name="Normal 7 3 4 5 2" xfId="3007"/>
    <cellStyle name="Normal 7 3 4 5 2 2" xfId="16563"/>
    <cellStyle name="Normal 7 3 4 5 2 2 2" xfId="26782"/>
    <cellStyle name="Normal 7 3 4 5 2 3" xfId="12984"/>
    <cellStyle name="Normal 7 3 4 5 2 4" xfId="7695"/>
    <cellStyle name="Normal 7 3 4 5 2 5" xfId="21775"/>
    <cellStyle name="Normal 7 3 4 5 3" xfId="4221"/>
    <cellStyle name="Normal 7 3 4 5 3 2" xfId="17927"/>
    <cellStyle name="Normal 7 3 4 5 3 2 2" xfId="28178"/>
    <cellStyle name="Normal 7 3 4 5 3 3" xfId="14348"/>
    <cellStyle name="Normal 7 3 4 5 3 4" xfId="9091"/>
    <cellStyle name="Normal 7 3 4 5 3 5" xfId="23171"/>
    <cellStyle name="Normal 7 3 4 5 4" xfId="5988"/>
    <cellStyle name="Normal 7 3 4 5 4 2" xfId="15074"/>
    <cellStyle name="Normal 7 3 4 5 4 3" xfId="25078"/>
    <cellStyle name="Normal 7 3 4 5 5" xfId="10545"/>
    <cellStyle name="Normal 7 3 4 5 5 2" xfId="19372"/>
    <cellStyle name="Normal 7 3 4 5 5 3" xfId="29623"/>
    <cellStyle name="Normal 7 3 4 5 6" xfId="11991"/>
    <cellStyle name="Normal 7 3 4 5 6 2" xfId="24381"/>
    <cellStyle name="Normal 7 3 4 5 7" xfId="5289"/>
    <cellStyle name="Normal 7 3 4 5 8" xfId="20071"/>
    <cellStyle name="Normal 7 3 4 6" xfId="1964"/>
    <cellStyle name="Normal 7 3 4 6 2" xfId="15917"/>
    <cellStyle name="Normal 7 3 4 6 2 2" xfId="25961"/>
    <cellStyle name="Normal 7 3 4 6 3" xfId="12276"/>
    <cellStyle name="Normal 7 3 4 6 4" xfId="6874"/>
    <cellStyle name="Normal 7 3 4 6 5" xfId="20954"/>
    <cellStyle name="Normal 7 3 4 7" xfId="3384"/>
    <cellStyle name="Normal 7 3 4 7 2" xfId="16884"/>
    <cellStyle name="Normal 7 3 4 7 2 2" xfId="27135"/>
    <cellStyle name="Normal 7 3 4 7 3" xfId="13305"/>
    <cellStyle name="Normal 7 3 4 7 4" xfId="8048"/>
    <cellStyle name="Normal 7 3 4 7 5" xfId="22128"/>
    <cellStyle name="Normal 7 3 4 8" xfId="5609"/>
    <cellStyle name="Normal 7 3 4 8 2" xfId="14695"/>
    <cellStyle name="Normal 7 3 4 8 3" xfId="24699"/>
    <cellStyle name="Normal 7 3 4 9" xfId="9502"/>
    <cellStyle name="Normal 7 3 4 9 2" xfId="18329"/>
    <cellStyle name="Normal 7 3 4 9 3" xfId="28580"/>
    <cellStyle name="Normal 7 3 4_Degree data" xfId="1793"/>
    <cellStyle name="Normal 7 3 5" xfId="320"/>
    <cellStyle name="Normal 7 3 5 10" xfId="19792"/>
    <cellStyle name="Normal 7 3 5 2" xfId="819"/>
    <cellStyle name="Normal 7 3 5 2 2" xfId="2542"/>
    <cellStyle name="Normal 7 3 5 2 2 2" xfId="16437"/>
    <cellStyle name="Normal 7 3 5 2 2 2 2" xfId="26656"/>
    <cellStyle name="Normal 7 3 5 2 2 3" xfId="12859"/>
    <cellStyle name="Normal 7 3 5 2 2 4" xfId="7569"/>
    <cellStyle name="Normal 7 3 5 2 2 5" xfId="21649"/>
    <cellStyle name="Normal 7 3 5 2 3" xfId="3816"/>
    <cellStyle name="Normal 7 3 5 2 3 2" xfId="17462"/>
    <cellStyle name="Normal 7 3 5 2 3 2 2" xfId="27713"/>
    <cellStyle name="Normal 7 3 5 2 3 3" xfId="13883"/>
    <cellStyle name="Normal 7 3 5 2 3 4" xfId="8626"/>
    <cellStyle name="Normal 7 3 5 2 3 5" xfId="22706"/>
    <cellStyle name="Normal 7 3 5 2 4" xfId="6685"/>
    <cellStyle name="Normal 7 3 5 2 4 2" xfId="15769"/>
    <cellStyle name="Normal 7 3 5 2 4 3" xfId="25773"/>
    <cellStyle name="Normal 7 3 5 2 5" xfId="10080"/>
    <cellStyle name="Normal 7 3 5 2 5 2" xfId="18907"/>
    <cellStyle name="Normal 7 3 5 2 5 3" xfId="29158"/>
    <cellStyle name="Normal 7 3 5 2 6" xfId="11526"/>
    <cellStyle name="Normal 7 3 5 2 6 2" xfId="24255"/>
    <cellStyle name="Normal 7 3 5 2 7" xfId="5163"/>
    <cellStyle name="Normal 7 3 5 2 8" xfId="20766"/>
    <cellStyle name="Normal 7 3 5 3" xfId="1168"/>
    <cellStyle name="Normal 7 3 5 3 2" xfId="2890"/>
    <cellStyle name="Normal 7 3 5 3 2 2" xfId="16663"/>
    <cellStyle name="Normal 7 3 5 3 2 2 2" xfId="26882"/>
    <cellStyle name="Normal 7 3 5 3 2 3" xfId="13084"/>
    <cellStyle name="Normal 7 3 5 3 2 4" xfId="7795"/>
    <cellStyle name="Normal 7 3 5 3 2 5" xfId="21875"/>
    <cellStyle name="Normal 7 3 5 3 3" xfId="4164"/>
    <cellStyle name="Normal 7 3 5 3 3 2" xfId="17810"/>
    <cellStyle name="Normal 7 3 5 3 3 2 2" xfId="28061"/>
    <cellStyle name="Normal 7 3 5 3 3 3" xfId="14231"/>
    <cellStyle name="Normal 7 3 5 3 3 4" xfId="8974"/>
    <cellStyle name="Normal 7 3 5 3 3 5" xfId="23054"/>
    <cellStyle name="Normal 7 3 5 3 4" xfId="6202"/>
    <cellStyle name="Normal 7 3 5 3 4 2" xfId="15286"/>
    <cellStyle name="Normal 7 3 5 3 4 3" xfId="25290"/>
    <cellStyle name="Normal 7 3 5 3 5" xfId="10428"/>
    <cellStyle name="Normal 7 3 5 3 5 2" xfId="19255"/>
    <cellStyle name="Normal 7 3 5 3 5 3" xfId="29506"/>
    <cellStyle name="Normal 7 3 5 3 6" xfId="11874"/>
    <cellStyle name="Normal 7 3 5 3 6 2" xfId="24481"/>
    <cellStyle name="Normal 7 3 5 3 7" xfId="5389"/>
    <cellStyle name="Normal 7 3 5 3 8" xfId="20283"/>
    <cellStyle name="Normal 7 3 5 4" xfId="1507"/>
    <cellStyle name="Normal 7 3 5 4 2" xfId="3107"/>
    <cellStyle name="Normal 7 3 5 4 2 2" xfId="18027"/>
    <cellStyle name="Normal 7 3 5 4 2 2 2" xfId="28278"/>
    <cellStyle name="Normal 7 3 5 4 2 3" xfId="14448"/>
    <cellStyle name="Normal 7 3 5 4 2 4" xfId="9191"/>
    <cellStyle name="Normal 7 3 5 4 2 5" xfId="23271"/>
    <cellStyle name="Normal 7 3 5 4 3" xfId="10645"/>
    <cellStyle name="Normal 7 3 5 4 3 2" xfId="19472"/>
    <cellStyle name="Normal 7 3 5 4 3 3" xfId="29723"/>
    <cellStyle name="Normal 7 3 5 4 4" xfId="12091"/>
    <cellStyle name="Normal 7 3 5 4 4 2" xfId="26173"/>
    <cellStyle name="Normal 7 3 5 4 5" xfId="7086"/>
    <cellStyle name="Normal 7 3 5 4 6" xfId="21166"/>
    <cellStyle name="Normal 7 3 5 5" xfId="2064"/>
    <cellStyle name="Normal 7 3 5 5 2" xfId="16984"/>
    <cellStyle name="Normal 7 3 5 5 2 2" xfId="27235"/>
    <cellStyle name="Normal 7 3 5 5 3" xfId="13405"/>
    <cellStyle name="Normal 7 3 5 5 4" xfId="8148"/>
    <cellStyle name="Normal 7 3 5 5 5" xfId="22228"/>
    <cellStyle name="Normal 7 3 5 6" xfId="5709"/>
    <cellStyle name="Normal 7 3 5 6 2" xfId="14795"/>
    <cellStyle name="Normal 7 3 5 6 3" xfId="24799"/>
    <cellStyle name="Normal 7 3 5 7" xfId="9602"/>
    <cellStyle name="Normal 7 3 5 7 2" xfId="18429"/>
    <cellStyle name="Normal 7 3 5 7 3" xfId="28680"/>
    <cellStyle name="Normal 7 3 5 8" xfId="11046"/>
    <cellStyle name="Normal 7 3 5 8 2" xfId="23772"/>
    <cellStyle name="Normal 7 3 5 9" xfId="4680"/>
    <cellStyle name="Normal 7 3 5_Degree data" xfId="1795"/>
    <cellStyle name="Normal 7 3 6" xfId="182"/>
    <cellStyle name="Normal 7 3 6 10" xfId="20155"/>
    <cellStyle name="Normal 7 3 6 2" xfId="820"/>
    <cellStyle name="Normal 7 3 6 2 2" xfId="2543"/>
    <cellStyle name="Normal 7 3 6 2 2 2" xfId="16438"/>
    <cellStyle name="Normal 7 3 6 2 2 2 2" xfId="26657"/>
    <cellStyle name="Normal 7 3 6 2 2 3" xfId="12860"/>
    <cellStyle name="Normal 7 3 6 2 2 4" xfId="7570"/>
    <cellStyle name="Normal 7 3 6 2 2 5" xfId="21650"/>
    <cellStyle name="Normal 7 3 6 2 3" xfId="3817"/>
    <cellStyle name="Normal 7 3 6 2 3 2" xfId="17463"/>
    <cellStyle name="Normal 7 3 6 2 3 2 2" xfId="27714"/>
    <cellStyle name="Normal 7 3 6 2 3 3" xfId="13884"/>
    <cellStyle name="Normal 7 3 6 2 3 4" xfId="8627"/>
    <cellStyle name="Normal 7 3 6 2 3 5" xfId="22707"/>
    <cellStyle name="Normal 7 3 6 2 4" xfId="6686"/>
    <cellStyle name="Normal 7 3 6 2 4 2" xfId="15770"/>
    <cellStyle name="Normal 7 3 6 2 4 3" xfId="25774"/>
    <cellStyle name="Normal 7 3 6 2 5" xfId="10081"/>
    <cellStyle name="Normal 7 3 6 2 5 2" xfId="18908"/>
    <cellStyle name="Normal 7 3 6 2 5 3" xfId="29159"/>
    <cellStyle name="Normal 7 3 6 2 6" xfId="11527"/>
    <cellStyle name="Normal 7 3 6 2 6 2" xfId="24256"/>
    <cellStyle name="Normal 7 3 6 2 7" xfId="5164"/>
    <cellStyle name="Normal 7 3 6 2 8" xfId="20767"/>
    <cellStyle name="Normal 7 3 6 3" xfId="1169"/>
    <cellStyle name="Normal 7 3 6 3 2" xfId="2891"/>
    <cellStyle name="Normal 7 3 6 3 2 2" xfId="16535"/>
    <cellStyle name="Normal 7 3 6 3 2 2 2" xfId="26754"/>
    <cellStyle name="Normal 7 3 6 3 2 3" xfId="12956"/>
    <cellStyle name="Normal 7 3 6 3 2 4" xfId="7667"/>
    <cellStyle name="Normal 7 3 6 3 2 5" xfId="21747"/>
    <cellStyle name="Normal 7 3 6 3 3" xfId="4165"/>
    <cellStyle name="Normal 7 3 6 3 3 2" xfId="17811"/>
    <cellStyle name="Normal 7 3 6 3 3 2 2" xfId="28062"/>
    <cellStyle name="Normal 7 3 6 3 3 3" xfId="14232"/>
    <cellStyle name="Normal 7 3 6 3 3 4" xfId="8975"/>
    <cellStyle name="Normal 7 3 6 3 3 5" xfId="23055"/>
    <cellStyle name="Normal 7 3 6 3 4" xfId="6740"/>
    <cellStyle name="Normal 7 3 6 3 4 2" xfId="15823"/>
    <cellStyle name="Normal 7 3 6 3 4 3" xfId="25827"/>
    <cellStyle name="Normal 7 3 6 3 5" xfId="10429"/>
    <cellStyle name="Normal 7 3 6 3 5 2" xfId="19256"/>
    <cellStyle name="Normal 7 3 6 3 5 3" xfId="29507"/>
    <cellStyle name="Normal 7 3 6 3 6" xfId="11875"/>
    <cellStyle name="Normal 7 3 6 3 6 2" xfId="24353"/>
    <cellStyle name="Normal 7 3 6 3 7" xfId="5261"/>
    <cellStyle name="Normal 7 3 6 3 8" xfId="20820"/>
    <cellStyle name="Normal 7 3 6 4" xfId="1369"/>
    <cellStyle name="Normal 7 3 6 4 2" xfId="2979"/>
    <cellStyle name="Normal 7 3 6 4 2 2" xfId="17899"/>
    <cellStyle name="Normal 7 3 6 4 2 2 2" xfId="28150"/>
    <cellStyle name="Normal 7 3 6 4 2 3" xfId="14320"/>
    <cellStyle name="Normal 7 3 6 4 2 4" xfId="9063"/>
    <cellStyle name="Normal 7 3 6 4 2 5" xfId="23143"/>
    <cellStyle name="Normal 7 3 6 4 3" xfId="10517"/>
    <cellStyle name="Normal 7 3 6 4 3 2" xfId="19344"/>
    <cellStyle name="Normal 7 3 6 4 3 3" xfId="29595"/>
    <cellStyle name="Normal 7 3 6 4 4" xfId="11963"/>
    <cellStyle name="Normal 7 3 6 4 4 2" xfId="26045"/>
    <cellStyle name="Normal 7 3 6 4 5" xfId="6958"/>
    <cellStyle name="Normal 7 3 6 4 6" xfId="21038"/>
    <cellStyle name="Normal 7 3 6 5" xfId="1936"/>
    <cellStyle name="Normal 7 3 6 5 2" xfId="16854"/>
    <cellStyle name="Normal 7 3 6 5 2 2" xfId="27105"/>
    <cellStyle name="Normal 7 3 6 5 3" xfId="13275"/>
    <cellStyle name="Normal 7 3 6 5 4" xfId="8018"/>
    <cellStyle name="Normal 7 3 6 5 5" xfId="22098"/>
    <cellStyle name="Normal 7 3 6 6" xfId="6074"/>
    <cellStyle name="Normal 7 3 6 6 2" xfId="15158"/>
    <cellStyle name="Normal 7 3 6 6 3" xfId="25162"/>
    <cellStyle name="Normal 7 3 6 7" xfId="9474"/>
    <cellStyle name="Normal 7 3 6 7 2" xfId="18301"/>
    <cellStyle name="Normal 7 3 6 7 3" xfId="28552"/>
    <cellStyle name="Normal 7 3 6 8" xfId="10918"/>
    <cellStyle name="Normal 7 3 6 8 2" xfId="23644"/>
    <cellStyle name="Normal 7 3 6 9" xfId="4552"/>
    <cellStyle name="Normal 7 3 6_Degree data" xfId="1796"/>
    <cellStyle name="Normal 7 3 7" xfId="811"/>
    <cellStyle name="Normal 7 3 7 2" xfId="2534"/>
    <cellStyle name="Normal 7 3 7 2 2" xfId="16429"/>
    <cellStyle name="Normal 7 3 7 2 2 2" xfId="26648"/>
    <cellStyle name="Normal 7 3 7 2 3" xfId="12851"/>
    <cellStyle name="Normal 7 3 7 2 4" xfId="7561"/>
    <cellStyle name="Normal 7 3 7 2 5" xfId="21641"/>
    <cellStyle name="Normal 7 3 7 3" xfId="3808"/>
    <cellStyle name="Normal 7 3 7 3 2" xfId="17454"/>
    <cellStyle name="Normal 7 3 7 3 2 2" xfId="27705"/>
    <cellStyle name="Normal 7 3 7 3 3" xfId="13875"/>
    <cellStyle name="Normal 7 3 7 3 4" xfId="8618"/>
    <cellStyle name="Normal 7 3 7 3 5" xfId="22698"/>
    <cellStyle name="Normal 7 3 7 4" xfId="6677"/>
    <cellStyle name="Normal 7 3 7 4 2" xfId="15761"/>
    <cellStyle name="Normal 7 3 7 4 3" xfId="25765"/>
    <cellStyle name="Normal 7 3 7 5" xfId="10072"/>
    <cellStyle name="Normal 7 3 7 5 2" xfId="18899"/>
    <cellStyle name="Normal 7 3 7 5 3" xfId="29150"/>
    <cellStyle name="Normal 7 3 7 6" xfId="11518"/>
    <cellStyle name="Normal 7 3 7 6 2" xfId="24247"/>
    <cellStyle name="Normal 7 3 7 7" xfId="5155"/>
    <cellStyle name="Normal 7 3 7 8" xfId="20758"/>
    <cellStyle name="Normal 7 3 8" xfId="1160"/>
    <cellStyle name="Normal 7 3 8 2" xfId="2882"/>
    <cellStyle name="Normal 7 3 8 2 2" xfId="16490"/>
    <cellStyle name="Normal 7 3 8 2 2 2" xfId="26709"/>
    <cellStyle name="Normal 7 3 8 2 3" xfId="12912"/>
    <cellStyle name="Normal 7 3 8 2 4" xfId="7622"/>
    <cellStyle name="Normal 7 3 8 2 5" xfId="21702"/>
    <cellStyle name="Normal 7 3 8 3" xfId="4156"/>
    <cellStyle name="Normal 7 3 8 3 2" xfId="17802"/>
    <cellStyle name="Normal 7 3 8 3 2 2" xfId="28053"/>
    <cellStyle name="Normal 7 3 8 3 3" xfId="14223"/>
    <cellStyle name="Normal 7 3 8 3 4" xfId="8966"/>
    <cellStyle name="Normal 7 3 8 3 5" xfId="23046"/>
    <cellStyle name="Normal 7 3 8 4" xfId="5882"/>
    <cellStyle name="Normal 7 3 8 4 2" xfId="14968"/>
    <cellStyle name="Normal 7 3 8 4 3" xfId="24972"/>
    <cellStyle name="Normal 7 3 8 5" xfId="10420"/>
    <cellStyle name="Normal 7 3 8 5 2" xfId="19247"/>
    <cellStyle name="Normal 7 3 8 5 3" xfId="29498"/>
    <cellStyle name="Normal 7 3 8 6" xfId="11866"/>
    <cellStyle name="Normal 7 3 8 6 2" xfId="24308"/>
    <cellStyle name="Normal 7 3 8 7" xfId="5216"/>
    <cellStyle name="Normal 7 3 8 8" xfId="19965"/>
    <cellStyle name="Normal 7 3 9" xfId="1320"/>
    <cellStyle name="Normal 7 3 9 2" xfId="2934"/>
    <cellStyle name="Normal 7 3 9 2 2" xfId="17854"/>
    <cellStyle name="Normal 7 3 9 2 2 2" xfId="28105"/>
    <cellStyle name="Normal 7 3 9 2 3" xfId="14275"/>
    <cellStyle name="Normal 7 3 9 2 4" xfId="9018"/>
    <cellStyle name="Normal 7 3 9 2 5" xfId="23098"/>
    <cellStyle name="Normal 7 3 9 3" xfId="10472"/>
    <cellStyle name="Normal 7 3 9 3 2" xfId="19299"/>
    <cellStyle name="Normal 7 3 9 3 3" xfId="29550"/>
    <cellStyle name="Normal 7 3 9 4" xfId="11918"/>
    <cellStyle name="Normal 7 3 9 4 2" xfId="25856"/>
    <cellStyle name="Normal 7 3 9 5" xfId="6769"/>
    <cellStyle name="Normal 7 3 9 6" xfId="20849"/>
    <cellStyle name="Normal 7 3_Degree data" xfId="1787"/>
    <cellStyle name="Normal 7 4" xfId="158"/>
    <cellStyle name="Normal 7 4 10" xfId="5559"/>
    <cellStyle name="Normal 7 4 10 2" xfId="14645"/>
    <cellStyle name="Normal 7 4 10 3" xfId="24649"/>
    <cellStyle name="Normal 7 4 11" xfId="9379"/>
    <cellStyle name="Normal 7 4 11 2" xfId="18206"/>
    <cellStyle name="Normal 7 4 11 3" xfId="28457"/>
    <cellStyle name="Normal 7 4 12" xfId="10819"/>
    <cellStyle name="Normal 7 4 12 2" xfId="23464"/>
    <cellStyle name="Normal 7 4 13" xfId="4372"/>
    <cellStyle name="Normal 7 4 14" xfId="19642"/>
    <cellStyle name="Normal 7 4 2" xfId="271"/>
    <cellStyle name="Normal 7 4 2 10" xfId="10998"/>
    <cellStyle name="Normal 7 4 2 10 2" xfId="23507"/>
    <cellStyle name="Normal 7 4 2 11" xfId="4415"/>
    <cellStyle name="Normal 7 4 2 12" xfId="19744"/>
    <cellStyle name="Normal 7 4 2 2" xfId="373"/>
    <cellStyle name="Normal 7 4 2 2 10" xfId="19844"/>
    <cellStyle name="Normal 7 4 2 2 2" xfId="823"/>
    <cellStyle name="Normal 7 4 2 2 2 2" xfId="2546"/>
    <cellStyle name="Normal 7 4 2 2 2 2 2" xfId="16441"/>
    <cellStyle name="Normal 7 4 2 2 2 2 2 2" xfId="26660"/>
    <cellStyle name="Normal 7 4 2 2 2 2 3" xfId="12863"/>
    <cellStyle name="Normal 7 4 2 2 2 2 4" xfId="7573"/>
    <cellStyle name="Normal 7 4 2 2 2 2 5" xfId="21653"/>
    <cellStyle name="Normal 7 4 2 2 2 3" xfId="3820"/>
    <cellStyle name="Normal 7 4 2 2 2 3 2" xfId="17466"/>
    <cellStyle name="Normal 7 4 2 2 2 3 2 2" xfId="27717"/>
    <cellStyle name="Normal 7 4 2 2 2 3 3" xfId="13887"/>
    <cellStyle name="Normal 7 4 2 2 2 3 4" xfId="8630"/>
    <cellStyle name="Normal 7 4 2 2 2 3 5" xfId="22710"/>
    <cellStyle name="Normal 7 4 2 2 2 4" xfId="6689"/>
    <cellStyle name="Normal 7 4 2 2 2 4 2" xfId="15773"/>
    <cellStyle name="Normal 7 4 2 2 2 4 3" xfId="25777"/>
    <cellStyle name="Normal 7 4 2 2 2 5" xfId="10084"/>
    <cellStyle name="Normal 7 4 2 2 2 5 2" xfId="18911"/>
    <cellStyle name="Normal 7 4 2 2 2 5 3" xfId="29162"/>
    <cellStyle name="Normal 7 4 2 2 2 6" xfId="11530"/>
    <cellStyle name="Normal 7 4 2 2 2 6 2" xfId="24259"/>
    <cellStyle name="Normal 7 4 2 2 2 7" xfId="5167"/>
    <cellStyle name="Normal 7 4 2 2 2 8" xfId="20770"/>
    <cellStyle name="Normal 7 4 2 2 3" xfId="1172"/>
    <cellStyle name="Normal 7 4 2 2 3 2" xfId="2894"/>
    <cellStyle name="Normal 7 4 2 2 3 2 2" xfId="16715"/>
    <cellStyle name="Normal 7 4 2 2 3 2 2 2" xfId="26934"/>
    <cellStyle name="Normal 7 4 2 2 3 2 3" xfId="13136"/>
    <cellStyle name="Normal 7 4 2 2 3 2 4" xfId="7847"/>
    <cellStyle name="Normal 7 4 2 2 3 2 5" xfId="21927"/>
    <cellStyle name="Normal 7 4 2 2 3 3" xfId="4168"/>
    <cellStyle name="Normal 7 4 2 2 3 3 2" xfId="17814"/>
    <cellStyle name="Normal 7 4 2 2 3 3 2 2" xfId="28065"/>
    <cellStyle name="Normal 7 4 2 2 3 3 3" xfId="14235"/>
    <cellStyle name="Normal 7 4 2 2 3 3 4" xfId="8978"/>
    <cellStyle name="Normal 7 4 2 2 3 3 5" xfId="23058"/>
    <cellStyle name="Normal 7 4 2 2 3 4" xfId="6254"/>
    <cellStyle name="Normal 7 4 2 2 3 4 2" xfId="15338"/>
    <cellStyle name="Normal 7 4 2 2 3 4 3" xfId="25342"/>
    <cellStyle name="Normal 7 4 2 2 3 5" xfId="10432"/>
    <cellStyle name="Normal 7 4 2 2 3 5 2" xfId="19259"/>
    <cellStyle name="Normal 7 4 2 2 3 5 3" xfId="29510"/>
    <cellStyle name="Normal 7 4 2 2 3 6" xfId="11878"/>
    <cellStyle name="Normal 7 4 2 2 3 6 2" xfId="24533"/>
    <cellStyle name="Normal 7 4 2 2 3 7" xfId="5441"/>
    <cellStyle name="Normal 7 4 2 2 3 8" xfId="20335"/>
    <cellStyle name="Normal 7 4 2 2 4" xfId="1560"/>
    <cellStyle name="Normal 7 4 2 2 4 2" xfId="3159"/>
    <cellStyle name="Normal 7 4 2 2 4 2 2" xfId="18079"/>
    <cellStyle name="Normal 7 4 2 2 4 2 2 2" xfId="28330"/>
    <cellStyle name="Normal 7 4 2 2 4 2 3" xfId="14500"/>
    <cellStyle name="Normal 7 4 2 2 4 2 4" xfId="9243"/>
    <cellStyle name="Normal 7 4 2 2 4 2 5" xfId="23323"/>
    <cellStyle name="Normal 7 4 2 2 4 3" xfId="10697"/>
    <cellStyle name="Normal 7 4 2 2 4 3 2" xfId="19524"/>
    <cellStyle name="Normal 7 4 2 2 4 3 3" xfId="29775"/>
    <cellStyle name="Normal 7 4 2 2 4 4" xfId="12143"/>
    <cellStyle name="Normal 7 4 2 2 4 4 2" xfId="26225"/>
    <cellStyle name="Normal 7 4 2 2 4 5" xfId="7138"/>
    <cellStyle name="Normal 7 4 2 2 4 6" xfId="21218"/>
    <cellStyle name="Normal 7 4 2 2 5" xfId="2116"/>
    <cellStyle name="Normal 7 4 2 2 5 2" xfId="17036"/>
    <cellStyle name="Normal 7 4 2 2 5 2 2" xfId="27287"/>
    <cellStyle name="Normal 7 4 2 2 5 3" xfId="13457"/>
    <cellStyle name="Normal 7 4 2 2 5 4" xfId="8200"/>
    <cellStyle name="Normal 7 4 2 2 5 5" xfId="22280"/>
    <cellStyle name="Normal 7 4 2 2 6" xfId="5761"/>
    <cellStyle name="Normal 7 4 2 2 6 2" xfId="14847"/>
    <cellStyle name="Normal 7 4 2 2 6 3" xfId="24851"/>
    <cellStyle name="Normal 7 4 2 2 7" xfId="9654"/>
    <cellStyle name="Normal 7 4 2 2 7 2" xfId="18481"/>
    <cellStyle name="Normal 7 4 2 2 7 3" xfId="28732"/>
    <cellStyle name="Normal 7 4 2 2 8" xfId="11098"/>
    <cellStyle name="Normal 7 4 2 2 8 2" xfId="23824"/>
    <cellStyle name="Normal 7 4 2 2 9" xfId="4732"/>
    <cellStyle name="Normal 7 4 2 2_Degree data" xfId="1799"/>
    <cellStyle name="Normal 7 4 2 3" xfId="822"/>
    <cellStyle name="Normal 7 4 2 3 2" xfId="2545"/>
    <cellStyle name="Normal 7 4 2 3 2 2" xfId="16052"/>
    <cellStyle name="Normal 7 4 2 3 2 2 2" xfId="26125"/>
    <cellStyle name="Normal 7 4 2 3 2 3" xfId="12310"/>
    <cellStyle name="Normal 7 4 2 3 2 4" xfId="7038"/>
    <cellStyle name="Normal 7 4 2 3 2 5" xfId="21118"/>
    <cellStyle name="Normal 7 4 2 3 3" xfId="3819"/>
    <cellStyle name="Normal 7 4 2 3 3 2" xfId="17465"/>
    <cellStyle name="Normal 7 4 2 3 3 2 2" xfId="27716"/>
    <cellStyle name="Normal 7 4 2 3 3 3" xfId="13886"/>
    <cellStyle name="Normal 7 4 2 3 3 4" xfId="8629"/>
    <cellStyle name="Normal 7 4 2 3 3 5" xfId="22709"/>
    <cellStyle name="Normal 7 4 2 3 4" xfId="6154"/>
    <cellStyle name="Normal 7 4 2 3 4 2" xfId="15238"/>
    <cellStyle name="Normal 7 4 2 3 4 3" xfId="25242"/>
    <cellStyle name="Normal 7 4 2 3 5" xfId="10083"/>
    <cellStyle name="Normal 7 4 2 3 5 2" xfId="18910"/>
    <cellStyle name="Normal 7 4 2 3 5 3" xfId="29161"/>
    <cellStyle name="Normal 7 4 2 3 6" xfId="11529"/>
    <cellStyle name="Normal 7 4 2 3 6 2" xfId="23724"/>
    <cellStyle name="Normal 7 4 2 3 7" xfId="4632"/>
    <cellStyle name="Normal 7 4 2 3 8" xfId="20235"/>
    <cellStyle name="Normal 7 4 2 4" xfId="1171"/>
    <cellStyle name="Normal 7 4 2 4 2" xfId="2893"/>
    <cellStyle name="Normal 7 4 2 4 2 2" xfId="16440"/>
    <cellStyle name="Normal 7 4 2 4 2 2 2" xfId="26659"/>
    <cellStyle name="Normal 7 4 2 4 2 3" xfId="12862"/>
    <cellStyle name="Normal 7 4 2 4 2 4" xfId="7572"/>
    <cellStyle name="Normal 7 4 2 4 2 5" xfId="21652"/>
    <cellStyle name="Normal 7 4 2 4 3" xfId="4167"/>
    <cellStyle name="Normal 7 4 2 4 3 2" xfId="17813"/>
    <cellStyle name="Normal 7 4 2 4 3 2 2" xfId="28064"/>
    <cellStyle name="Normal 7 4 2 4 3 3" xfId="14234"/>
    <cellStyle name="Normal 7 4 2 4 3 4" xfId="8977"/>
    <cellStyle name="Normal 7 4 2 4 3 5" xfId="23057"/>
    <cellStyle name="Normal 7 4 2 4 4" xfId="6688"/>
    <cellStyle name="Normal 7 4 2 4 4 2" xfId="15772"/>
    <cellStyle name="Normal 7 4 2 4 4 3" xfId="25776"/>
    <cellStyle name="Normal 7 4 2 4 5" xfId="10431"/>
    <cellStyle name="Normal 7 4 2 4 5 2" xfId="19258"/>
    <cellStyle name="Normal 7 4 2 4 5 3" xfId="29509"/>
    <cellStyle name="Normal 7 4 2 4 6" xfId="11877"/>
    <cellStyle name="Normal 7 4 2 4 6 2" xfId="24258"/>
    <cellStyle name="Normal 7 4 2 4 7" xfId="5166"/>
    <cellStyle name="Normal 7 4 2 4 8" xfId="20769"/>
    <cellStyle name="Normal 7 4 2 5" xfId="1458"/>
    <cellStyle name="Normal 7 4 2 5 2" xfId="3059"/>
    <cellStyle name="Normal 7 4 2 5 2 2" xfId="16615"/>
    <cellStyle name="Normal 7 4 2 5 2 2 2" xfId="26834"/>
    <cellStyle name="Normal 7 4 2 5 2 3" xfId="13036"/>
    <cellStyle name="Normal 7 4 2 5 2 4" xfId="7747"/>
    <cellStyle name="Normal 7 4 2 5 2 5" xfId="21827"/>
    <cellStyle name="Normal 7 4 2 5 3" xfId="4273"/>
    <cellStyle name="Normal 7 4 2 5 3 2" xfId="17979"/>
    <cellStyle name="Normal 7 4 2 5 3 2 2" xfId="28230"/>
    <cellStyle name="Normal 7 4 2 5 3 3" xfId="14400"/>
    <cellStyle name="Normal 7 4 2 5 3 4" xfId="9143"/>
    <cellStyle name="Normal 7 4 2 5 3 5" xfId="23223"/>
    <cellStyle name="Normal 7 4 2 5 4" xfId="5935"/>
    <cellStyle name="Normal 7 4 2 5 4 2" xfId="15021"/>
    <cellStyle name="Normal 7 4 2 5 4 3" xfId="25025"/>
    <cellStyle name="Normal 7 4 2 5 5" xfId="10597"/>
    <cellStyle name="Normal 7 4 2 5 5 2" xfId="19424"/>
    <cellStyle name="Normal 7 4 2 5 5 3" xfId="29675"/>
    <cellStyle name="Normal 7 4 2 5 6" xfId="12043"/>
    <cellStyle name="Normal 7 4 2 5 6 2" xfId="24433"/>
    <cellStyle name="Normal 7 4 2 5 7" xfId="5341"/>
    <cellStyle name="Normal 7 4 2 5 8" xfId="20018"/>
    <cellStyle name="Normal 7 4 2 6" xfId="2016"/>
    <cellStyle name="Normal 7 4 2 6 2" xfId="15864"/>
    <cellStyle name="Normal 7 4 2 6 2 2" xfId="25908"/>
    <cellStyle name="Normal 7 4 2 6 3" xfId="12497"/>
    <cellStyle name="Normal 7 4 2 6 4" xfId="6821"/>
    <cellStyle name="Normal 7 4 2 6 5" xfId="20901"/>
    <cellStyle name="Normal 7 4 2 7" xfId="3435"/>
    <cellStyle name="Normal 7 4 2 7 2" xfId="16936"/>
    <cellStyle name="Normal 7 4 2 7 2 2" xfId="27187"/>
    <cellStyle name="Normal 7 4 2 7 3" xfId="13357"/>
    <cellStyle name="Normal 7 4 2 7 4" xfId="8100"/>
    <cellStyle name="Normal 7 4 2 7 5" xfId="22180"/>
    <cellStyle name="Normal 7 4 2 8" xfId="5661"/>
    <cellStyle name="Normal 7 4 2 8 2" xfId="14747"/>
    <cellStyle name="Normal 7 4 2 8 3" xfId="24751"/>
    <cellStyle name="Normal 7 4 2 9" xfId="9554"/>
    <cellStyle name="Normal 7 4 2 9 2" xfId="18381"/>
    <cellStyle name="Normal 7 4 2 9 3" xfId="28632"/>
    <cellStyle name="Normal 7 4 2_Degree data" xfId="1798"/>
    <cellStyle name="Normal 7 4 3" xfId="226"/>
    <cellStyle name="Normal 7 4 3 10" xfId="10955"/>
    <cellStyle name="Normal 7 4 3 10 2" xfId="23569"/>
    <cellStyle name="Normal 7 4 3 11" xfId="4477"/>
    <cellStyle name="Normal 7 4 3 12" xfId="19701"/>
    <cellStyle name="Normal 7 4 3 2" xfId="437"/>
    <cellStyle name="Normal 7 4 3 2 10" xfId="19906"/>
    <cellStyle name="Normal 7 4 3 2 2" xfId="825"/>
    <cellStyle name="Normal 7 4 3 2 2 2" xfId="2548"/>
    <cellStyle name="Normal 7 4 3 2 2 2 2" xfId="16443"/>
    <cellStyle name="Normal 7 4 3 2 2 2 2 2" xfId="26662"/>
    <cellStyle name="Normal 7 4 3 2 2 2 3" xfId="12865"/>
    <cellStyle name="Normal 7 4 3 2 2 2 4" xfId="7575"/>
    <cellStyle name="Normal 7 4 3 2 2 2 5" xfId="21655"/>
    <cellStyle name="Normal 7 4 3 2 2 3" xfId="3822"/>
    <cellStyle name="Normal 7 4 3 2 2 3 2" xfId="17468"/>
    <cellStyle name="Normal 7 4 3 2 2 3 2 2" xfId="27719"/>
    <cellStyle name="Normal 7 4 3 2 2 3 3" xfId="13889"/>
    <cellStyle name="Normal 7 4 3 2 2 3 4" xfId="8632"/>
    <cellStyle name="Normal 7 4 3 2 2 3 5" xfId="22712"/>
    <cellStyle name="Normal 7 4 3 2 2 4" xfId="6691"/>
    <cellStyle name="Normal 7 4 3 2 2 4 2" xfId="15775"/>
    <cellStyle name="Normal 7 4 3 2 2 4 3" xfId="25779"/>
    <cellStyle name="Normal 7 4 3 2 2 5" xfId="10086"/>
    <cellStyle name="Normal 7 4 3 2 2 5 2" xfId="18913"/>
    <cellStyle name="Normal 7 4 3 2 2 5 3" xfId="29164"/>
    <cellStyle name="Normal 7 4 3 2 2 6" xfId="11532"/>
    <cellStyle name="Normal 7 4 3 2 2 6 2" xfId="24261"/>
    <cellStyle name="Normal 7 4 3 2 2 7" xfId="5169"/>
    <cellStyle name="Normal 7 4 3 2 2 8" xfId="20772"/>
    <cellStyle name="Normal 7 4 3 2 3" xfId="1174"/>
    <cellStyle name="Normal 7 4 3 2 3 2" xfId="2896"/>
    <cellStyle name="Normal 7 4 3 2 3 2 2" xfId="16777"/>
    <cellStyle name="Normal 7 4 3 2 3 2 2 2" xfId="26996"/>
    <cellStyle name="Normal 7 4 3 2 3 2 3" xfId="13198"/>
    <cellStyle name="Normal 7 4 3 2 3 2 4" xfId="7909"/>
    <cellStyle name="Normal 7 4 3 2 3 2 5" xfId="21989"/>
    <cellStyle name="Normal 7 4 3 2 3 3" xfId="4170"/>
    <cellStyle name="Normal 7 4 3 2 3 3 2" xfId="17816"/>
    <cellStyle name="Normal 7 4 3 2 3 3 2 2" xfId="28067"/>
    <cellStyle name="Normal 7 4 3 2 3 3 3" xfId="14237"/>
    <cellStyle name="Normal 7 4 3 2 3 3 4" xfId="8980"/>
    <cellStyle name="Normal 7 4 3 2 3 3 5" xfId="23060"/>
    <cellStyle name="Normal 7 4 3 2 3 4" xfId="6316"/>
    <cellStyle name="Normal 7 4 3 2 3 4 2" xfId="15400"/>
    <cellStyle name="Normal 7 4 3 2 3 4 3" xfId="25404"/>
    <cellStyle name="Normal 7 4 3 2 3 5" xfId="10434"/>
    <cellStyle name="Normal 7 4 3 2 3 5 2" xfId="19261"/>
    <cellStyle name="Normal 7 4 3 2 3 5 3" xfId="29512"/>
    <cellStyle name="Normal 7 4 3 2 3 6" xfId="11880"/>
    <cellStyle name="Normal 7 4 3 2 3 6 2" xfId="24595"/>
    <cellStyle name="Normal 7 4 3 2 3 7" xfId="5503"/>
    <cellStyle name="Normal 7 4 3 2 3 8" xfId="20397"/>
    <cellStyle name="Normal 7 4 3 2 4" xfId="1624"/>
    <cellStyle name="Normal 7 4 3 2 4 2" xfId="3221"/>
    <cellStyle name="Normal 7 4 3 2 4 2 2" xfId="18141"/>
    <cellStyle name="Normal 7 4 3 2 4 2 2 2" xfId="28392"/>
    <cellStyle name="Normal 7 4 3 2 4 2 3" xfId="14562"/>
    <cellStyle name="Normal 7 4 3 2 4 2 4" xfId="9305"/>
    <cellStyle name="Normal 7 4 3 2 4 2 5" xfId="23385"/>
    <cellStyle name="Normal 7 4 3 2 4 3" xfId="10759"/>
    <cellStyle name="Normal 7 4 3 2 4 3 2" xfId="19586"/>
    <cellStyle name="Normal 7 4 3 2 4 3 3" xfId="29837"/>
    <cellStyle name="Normal 7 4 3 2 4 4" xfId="12205"/>
    <cellStyle name="Normal 7 4 3 2 4 4 2" xfId="26287"/>
    <cellStyle name="Normal 7 4 3 2 4 5" xfId="7200"/>
    <cellStyle name="Normal 7 4 3 2 4 6" xfId="21280"/>
    <cellStyle name="Normal 7 4 3 2 5" xfId="2178"/>
    <cellStyle name="Normal 7 4 3 2 5 2" xfId="17098"/>
    <cellStyle name="Normal 7 4 3 2 5 2 2" xfId="27349"/>
    <cellStyle name="Normal 7 4 3 2 5 3" xfId="13519"/>
    <cellStyle name="Normal 7 4 3 2 5 4" xfId="8262"/>
    <cellStyle name="Normal 7 4 3 2 5 5" xfId="22342"/>
    <cellStyle name="Normal 7 4 3 2 6" xfId="5823"/>
    <cellStyle name="Normal 7 4 3 2 6 2" xfId="14909"/>
    <cellStyle name="Normal 7 4 3 2 6 3" xfId="24913"/>
    <cellStyle name="Normal 7 4 3 2 7" xfId="9716"/>
    <cellStyle name="Normal 7 4 3 2 7 2" xfId="18543"/>
    <cellStyle name="Normal 7 4 3 2 7 3" xfId="28794"/>
    <cellStyle name="Normal 7 4 3 2 8" xfId="11160"/>
    <cellStyle name="Normal 7 4 3 2 8 2" xfId="23886"/>
    <cellStyle name="Normal 7 4 3 2 9" xfId="4794"/>
    <cellStyle name="Normal 7 4 3 2_Degree data" xfId="1801"/>
    <cellStyle name="Normal 7 4 3 3" xfId="824"/>
    <cellStyle name="Normal 7 4 3 3 2" xfId="2547"/>
    <cellStyle name="Normal 7 4 3 3 2 2" xfId="16009"/>
    <cellStyle name="Normal 7 4 3 3 2 2 2" xfId="26082"/>
    <cellStyle name="Normal 7 4 3 3 2 3" xfId="12383"/>
    <cellStyle name="Normal 7 4 3 3 2 4" xfId="6995"/>
    <cellStyle name="Normal 7 4 3 3 2 5" xfId="21075"/>
    <cellStyle name="Normal 7 4 3 3 3" xfId="3821"/>
    <cellStyle name="Normal 7 4 3 3 3 2" xfId="17467"/>
    <cellStyle name="Normal 7 4 3 3 3 2 2" xfId="27718"/>
    <cellStyle name="Normal 7 4 3 3 3 3" xfId="13888"/>
    <cellStyle name="Normal 7 4 3 3 3 4" xfId="8631"/>
    <cellStyle name="Normal 7 4 3 3 3 5" xfId="22711"/>
    <cellStyle name="Normal 7 4 3 3 4" xfId="6111"/>
    <cellStyle name="Normal 7 4 3 3 4 2" xfId="15195"/>
    <cellStyle name="Normal 7 4 3 3 4 3" xfId="25199"/>
    <cellStyle name="Normal 7 4 3 3 5" xfId="10085"/>
    <cellStyle name="Normal 7 4 3 3 5 2" xfId="18912"/>
    <cellStyle name="Normal 7 4 3 3 5 3" xfId="29163"/>
    <cellStyle name="Normal 7 4 3 3 6" xfId="11531"/>
    <cellStyle name="Normal 7 4 3 3 6 2" xfId="23681"/>
    <cellStyle name="Normal 7 4 3 3 7" xfId="4589"/>
    <cellStyle name="Normal 7 4 3 3 8" xfId="20192"/>
    <cellStyle name="Normal 7 4 3 4" xfId="1173"/>
    <cellStyle name="Normal 7 4 3 4 2" xfId="2895"/>
    <cellStyle name="Normal 7 4 3 4 2 2" xfId="16442"/>
    <cellStyle name="Normal 7 4 3 4 2 2 2" xfId="26661"/>
    <cellStyle name="Normal 7 4 3 4 2 3" xfId="12864"/>
    <cellStyle name="Normal 7 4 3 4 2 4" xfId="7574"/>
    <cellStyle name="Normal 7 4 3 4 2 5" xfId="21654"/>
    <cellStyle name="Normal 7 4 3 4 3" xfId="4169"/>
    <cellStyle name="Normal 7 4 3 4 3 2" xfId="17815"/>
    <cellStyle name="Normal 7 4 3 4 3 2 2" xfId="28066"/>
    <cellStyle name="Normal 7 4 3 4 3 3" xfId="14236"/>
    <cellStyle name="Normal 7 4 3 4 3 4" xfId="8979"/>
    <cellStyle name="Normal 7 4 3 4 3 5" xfId="23059"/>
    <cellStyle name="Normal 7 4 3 4 4" xfId="6690"/>
    <cellStyle name="Normal 7 4 3 4 4 2" xfId="15774"/>
    <cellStyle name="Normal 7 4 3 4 4 3" xfId="25778"/>
    <cellStyle name="Normal 7 4 3 4 5" xfId="10433"/>
    <cellStyle name="Normal 7 4 3 4 5 2" xfId="19260"/>
    <cellStyle name="Normal 7 4 3 4 5 3" xfId="29511"/>
    <cellStyle name="Normal 7 4 3 4 6" xfId="11879"/>
    <cellStyle name="Normal 7 4 3 4 6 2" xfId="24260"/>
    <cellStyle name="Normal 7 4 3 4 7" xfId="5168"/>
    <cellStyle name="Normal 7 4 3 4 8" xfId="20771"/>
    <cellStyle name="Normal 7 4 3 5" xfId="1413"/>
    <cellStyle name="Normal 7 4 3 5 2" xfId="3016"/>
    <cellStyle name="Normal 7 4 3 5 2 2" xfId="16572"/>
    <cellStyle name="Normal 7 4 3 5 2 2 2" xfId="26791"/>
    <cellStyle name="Normal 7 4 3 5 2 3" xfId="12993"/>
    <cellStyle name="Normal 7 4 3 5 2 4" xfId="7704"/>
    <cellStyle name="Normal 7 4 3 5 2 5" xfId="21784"/>
    <cellStyle name="Normal 7 4 3 5 3" xfId="4230"/>
    <cellStyle name="Normal 7 4 3 5 3 2" xfId="17936"/>
    <cellStyle name="Normal 7 4 3 5 3 2 2" xfId="28187"/>
    <cellStyle name="Normal 7 4 3 5 3 3" xfId="14357"/>
    <cellStyle name="Normal 7 4 3 5 3 4" xfId="9100"/>
    <cellStyle name="Normal 7 4 3 5 3 5" xfId="23180"/>
    <cellStyle name="Normal 7 4 3 5 4" xfId="5997"/>
    <cellStyle name="Normal 7 4 3 5 4 2" xfId="15083"/>
    <cellStyle name="Normal 7 4 3 5 4 3" xfId="25087"/>
    <cellStyle name="Normal 7 4 3 5 5" xfId="10554"/>
    <cellStyle name="Normal 7 4 3 5 5 2" xfId="19381"/>
    <cellStyle name="Normal 7 4 3 5 5 3" xfId="29632"/>
    <cellStyle name="Normal 7 4 3 5 6" xfId="12000"/>
    <cellStyle name="Normal 7 4 3 5 6 2" xfId="24390"/>
    <cellStyle name="Normal 7 4 3 5 7" xfId="5298"/>
    <cellStyle name="Normal 7 4 3 5 8" xfId="20080"/>
    <cellStyle name="Normal 7 4 3 6" xfId="1973"/>
    <cellStyle name="Normal 7 4 3 6 2" xfId="15926"/>
    <cellStyle name="Normal 7 4 3 6 2 2" xfId="25970"/>
    <cellStyle name="Normal 7 4 3 6 3" xfId="12403"/>
    <cellStyle name="Normal 7 4 3 6 4" xfId="6883"/>
    <cellStyle name="Normal 7 4 3 6 5" xfId="20963"/>
    <cellStyle name="Normal 7 4 3 7" xfId="3393"/>
    <cellStyle name="Normal 7 4 3 7 2" xfId="16893"/>
    <cellStyle name="Normal 7 4 3 7 2 2" xfId="27144"/>
    <cellStyle name="Normal 7 4 3 7 3" xfId="13314"/>
    <cellStyle name="Normal 7 4 3 7 4" xfId="8057"/>
    <cellStyle name="Normal 7 4 3 7 5" xfId="22137"/>
    <cellStyle name="Normal 7 4 3 8" xfId="5618"/>
    <cellStyle name="Normal 7 4 3 8 2" xfId="14704"/>
    <cellStyle name="Normal 7 4 3 8 3" xfId="24708"/>
    <cellStyle name="Normal 7 4 3 9" xfId="9511"/>
    <cellStyle name="Normal 7 4 3 9 2" xfId="18338"/>
    <cellStyle name="Normal 7 4 3 9 3" xfId="28589"/>
    <cellStyle name="Normal 7 4 3_Degree data" xfId="1800"/>
    <cellStyle name="Normal 7 4 4" xfId="329"/>
    <cellStyle name="Normal 7 4 4 10" xfId="19801"/>
    <cellStyle name="Normal 7 4 4 2" xfId="826"/>
    <cellStyle name="Normal 7 4 4 2 2" xfId="2549"/>
    <cellStyle name="Normal 7 4 4 2 2 2" xfId="16444"/>
    <cellStyle name="Normal 7 4 4 2 2 2 2" xfId="26663"/>
    <cellStyle name="Normal 7 4 4 2 2 3" xfId="12866"/>
    <cellStyle name="Normal 7 4 4 2 2 4" xfId="7576"/>
    <cellStyle name="Normal 7 4 4 2 2 5" xfId="21656"/>
    <cellStyle name="Normal 7 4 4 2 3" xfId="3823"/>
    <cellStyle name="Normal 7 4 4 2 3 2" xfId="17469"/>
    <cellStyle name="Normal 7 4 4 2 3 2 2" xfId="27720"/>
    <cellStyle name="Normal 7 4 4 2 3 3" xfId="13890"/>
    <cellStyle name="Normal 7 4 4 2 3 4" xfId="8633"/>
    <cellStyle name="Normal 7 4 4 2 3 5" xfId="22713"/>
    <cellStyle name="Normal 7 4 4 2 4" xfId="6692"/>
    <cellStyle name="Normal 7 4 4 2 4 2" xfId="15776"/>
    <cellStyle name="Normal 7 4 4 2 4 3" xfId="25780"/>
    <cellStyle name="Normal 7 4 4 2 5" xfId="10087"/>
    <cellStyle name="Normal 7 4 4 2 5 2" xfId="18914"/>
    <cellStyle name="Normal 7 4 4 2 5 3" xfId="29165"/>
    <cellStyle name="Normal 7 4 4 2 6" xfId="11533"/>
    <cellStyle name="Normal 7 4 4 2 6 2" xfId="24262"/>
    <cellStyle name="Normal 7 4 4 2 7" xfId="5170"/>
    <cellStyle name="Normal 7 4 4 2 8" xfId="20773"/>
    <cellStyle name="Normal 7 4 4 3" xfId="1175"/>
    <cellStyle name="Normal 7 4 4 3 2" xfId="2897"/>
    <cellStyle name="Normal 7 4 4 3 2 2" xfId="16672"/>
    <cellStyle name="Normal 7 4 4 3 2 2 2" xfId="26891"/>
    <cellStyle name="Normal 7 4 4 3 2 3" xfId="13093"/>
    <cellStyle name="Normal 7 4 4 3 2 4" xfId="7804"/>
    <cellStyle name="Normal 7 4 4 3 2 5" xfId="21884"/>
    <cellStyle name="Normal 7 4 4 3 3" xfId="4171"/>
    <cellStyle name="Normal 7 4 4 3 3 2" xfId="17817"/>
    <cellStyle name="Normal 7 4 4 3 3 2 2" xfId="28068"/>
    <cellStyle name="Normal 7 4 4 3 3 3" xfId="14238"/>
    <cellStyle name="Normal 7 4 4 3 3 4" xfId="8981"/>
    <cellStyle name="Normal 7 4 4 3 3 5" xfId="23061"/>
    <cellStyle name="Normal 7 4 4 3 4" xfId="6211"/>
    <cellStyle name="Normal 7 4 4 3 4 2" xfId="15295"/>
    <cellStyle name="Normal 7 4 4 3 4 3" xfId="25299"/>
    <cellStyle name="Normal 7 4 4 3 5" xfId="10435"/>
    <cellStyle name="Normal 7 4 4 3 5 2" xfId="19262"/>
    <cellStyle name="Normal 7 4 4 3 5 3" xfId="29513"/>
    <cellStyle name="Normal 7 4 4 3 6" xfId="11881"/>
    <cellStyle name="Normal 7 4 4 3 6 2" xfId="24490"/>
    <cellStyle name="Normal 7 4 4 3 7" xfId="5398"/>
    <cellStyle name="Normal 7 4 4 3 8" xfId="20292"/>
    <cellStyle name="Normal 7 4 4 4" xfId="1516"/>
    <cellStyle name="Normal 7 4 4 4 2" xfId="3116"/>
    <cellStyle name="Normal 7 4 4 4 2 2" xfId="18036"/>
    <cellStyle name="Normal 7 4 4 4 2 2 2" xfId="28287"/>
    <cellStyle name="Normal 7 4 4 4 2 3" xfId="14457"/>
    <cellStyle name="Normal 7 4 4 4 2 4" xfId="9200"/>
    <cellStyle name="Normal 7 4 4 4 2 5" xfId="23280"/>
    <cellStyle name="Normal 7 4 4 4 3" xfId="10654"/>
    <cellStyle name="Normal 7 4 4 4 3 2" xfId="19481"/>
    <cellStyle name="Normal 7 4 4 4 3 3" xfId="29732"/>
    <cellStyle name="Normal 7 4 4 4 4" xfId="12100"/>
    <cellStyle name="Normal 7 4 4 4 4 2" xfId="26182"/>
    <cellStyle name="Normal 7 4 4 4 5" xfId="7095"/>
    <cellStyle name="Normal 7 4 4 4 6" xfId="21175"/>
    <cellStyle name="Normal 7 4 4 5" xfId="2073"/>
    <cellStyle name="Normal 7 4 4 5 2" xfId="16993"/>
    <cellStyle name="Normal 7 4 4 5 2 2" xfId="27244"/>
    <cellStyle name="Normal 7 4 4 5 3" xfId="13414"/>
    <cellStyle name="Normal 7 4 4 5 4" xfId="8157"/>
    <cellStyle name="Normal 7 4 4 5 5" xfId="22237"/>
    <cellStyle name="Normal 7 4 4 6" xfId="5718"/>
    <cellStyle name="Normal 7 4 4 6 2" xfId="14804"/>
    <cellStyle name="Normal 7 4 4 6 3" xfId="24808"/>
    <cellStyle name="Normal 7 4 4 7" xfId="9611"/>
    <cellStyle name="Normal 7 4 4 7 2" xfId="18438"/>
    <cellStyle name="Normal 7 4 4 7 3" xfId="28689"/>
    <cellStyle name="Normal 7 4 4 8" xfId="11055"/>
    <cellStyle name="Normal 7 4 4 8 2" xfId="23781"/>
    <cellStyle name="Normal 7 4 4 9" xfId="4689"/>
    <cellStyle name="Normal 7 4 4_Degree data" xfId="1802"/>
    <cellStyle name="Normal 7 4 5" xfId="821"/>
    <cellStyle name="Normal 7 4 5 2" xfId="2544"/>
    <cellStyle name="Normal 7 4 5 2 2" xfId="15966"/>
    <cellStyle name="Normal 7 4 5 2 2 2" xfId="26023"/>
    <cellStyle name="Normal 7 4 5 2 3" xfId="12283"/>
    <cellStyle name="Normal 7 4 5 2 4" xfId="6936"/>
    <cellStyle name="Normal 7 4 5 2 5" xfId="21016"/>
    <cellStyle name="Normal 7 4 5 3" xfId="3818"/>
    <cellStyle name="Normal 7 4 5 3 2" xfId="17464"/>
    <cellStyle name="Normal 7 4 5 3 2 2" xfId="27715"/>
    <cellStyle name="Normal 7 4 5 3 3" xfId="13885"/>
    <cellStyle name="Normal 7 4 5 3 4" xfId="8628"/>
    <cellStyle name="Normal 7 4 5 3 5" xfId="22708"/>
    <cellStyle name="Normal 7 4 5 4" xfId="6052"/>
    <cellStyle name="Normal 7 4 5 4 2" xfId="15136"/>
    <cellStyle name="Normal 7 4 5 4 3" xfId="25140"/>
    <cellStyle name="Normal 7 4 5 5" xfId="10082"/>
    <cellStyle name="Normal 7 4 5 5 2" xfId="18909"/>
    <cellStyle name="Normal 7 4 5 5 3" xfId="29160"/>
    <cellStyle name="Normal 7 4 5 6" xfId="11528"/>
    <cellStyle name="Normal 7 4 5 6 2" xfId="23622"/>
    <cellStyle name="Normal 7 4 5 7" xfId="4530"/>
    <cellStyle name="Normal 7 4 5 8" xfId="20133"/>
    <cellStyle name="Normal 7 4 6" xfId="1170"/>
    <cellStyle name="Normal 7 4 6 2" xfId="2892"/>
    <cellStyle name="Normal 7 4 6 2 2" xfId="16439"/>
    <cellStyle name="Normal 7 4 6 2 2 2" xfId="26658"/>
    <cellStyle name="Normal 7 4 6 2 3" xfId="12861"/>
    <cellStyle name="Normal 7 4 6 2 4" xfId="7571"/>
    <cellStyle name="Normal 7 4 6 2 5" xfId="21651"/>
    <cellStyle name="Normal 7 4 6 3" xfId="4166"/>
    <cellStyle name="Normal 7 4 6 3 2" xfId="17812"/>
    <cellStyle name="Normal 7 4 6 3 2 2" xfId="28063"/>
    <cellStyle name="Normal 7 4 6 3 3" xfId="14233"/>
    <cellStyle name="Normal 7 4 6 3 4" xfId="8976"/>
    <cellStyle name="Normal 7 4 6 3 5" xfId="23056"/>
    <cellStyle name="Normal 7 4 6 4" xfId="6687"/>
    <cellStyle name="Normal 7 4 6 4 2" xfId="15771"/>
    <cellStyle name="Normal 7 4 6 4 3" xfId="25775"/>
    <cellStyle name="Normal 7 4 6 5" xfId="10430"/>
    <cellStyle name="Normal 7 4 6 5 2" xfId="19257"/>
    <cellStyle name="Normal 7 4 6 5 3" xfId="29508"/>
    <cellStyle name="Normal 7 4 6 6" xfId="11876"/>
    <cellStyle name="Normal 7 4 6 6 2" xfId="24257"/>
    <cellStyle name="Normal 7 4 6 7" xfId="5165"/>
    <cellStyle name="Normal 7 4 6 8" xfId="20768"/>
    <cellStyle name="Normal 7 4 7" xfId="1345"/>
    <cellStyle name="Normal 7 4 7 2" xfId="2957"/>
    <cellStyle name="Normal 7 4 7 2 2" xfId="16513"/>
    <cellStyle name="Normal 7 4 7 2 2 2" xfId="26732"/>
    <cellStyle name="Normal 7 4 7 2 3" xfId="12935"/>
    <cellStyle name="Normal 7 4 7 2 4" xfId="7645"/>
    <cellStyle name="Normal 7 4 7 2 5" xfId="21725"/>
    <cellStyle name="Normal 7 4 7 3" xfId="4188"/>
    <cellStyle name="Normal 7 4 7 3 2" xfId="17877"/>
    <cellStyle name="Normal 7 4 7 3 2 2" xfId="28128"/>
    <cellStyle name="Normal 7 4 7 3 3" xfId="14298"/>
    <cellStyle name="Normal 7 4 7 3 4" xfId="9041"/>
    <cellStyle name="Normal 7 4 7 3 5" xfId="23121"/>
    <cellStyle name="Normal 7 4 7 4" xfId="5891"/>
    <cellStyle name="Normal 7 4 7 4 2" xfId="14977"/>
    <cellStyle name="Normal 7 4 7 4 3" xfId="24981"/>
    <cellStyle name="Normal 7 4 7 5" xfId="10495"/>
    <cellStyle name="Normal 7 4 7 5 2" xfId="19322"/>
    <cellStyle name="Normal 7 4 7 5 3" xfId="29573"/>
    <cellStyle name="Normal 7 4 7 6" xfId="11941"/>
    <cellStyle name="Normal 7 4 7 6 2" xfId="24331"/>
    <cellStyle name="Normal 7 4 7 7" xfId="5239"/>
    <cellStyle name="Normal 7 4 7 8" xfId="19974"/>
    <cellStyle name="Normal 7 4 8" xfId="1914"/>
    <cellStyle name="Normal 7 4 8 2" xfId="9452"/>
    <cellStyle name="Normal 7 4 8 2 2" xfId="18279"/>
    <cellStyle name="Normal 7 4 8 2 3" xfId="28530"/>
    <cellStyle name="Normal 7 4 8 3" xfId="10896"/>
    <cellStyle name="Normal 7 4 8 3 2" xfId="25865"/>
    <cellStyle name="Normal 7 4 8 4" xfId="6778"/>
    <cellStyle name="Normal 7 4 8 5" xfId="20858"/>
    <cellStyle name="Normal 7 4 9" xfId="1838"/>
    <cellStyle name="Normal 7 4 9 2" xfId="16832"/>
    <cellStyle name="Normal 7 4 9 2 2" xfId="27083"/>
    <cellStyle name="Normal 7 4 9 3" xfId="13253"/>
    <cellStyle name="Normal 7 4 9 4" xfId="7996"/>
    <cellStyle name="Normal 7 4 9 5" xfId="22076"/>
    <cellStyle name="Normal 7 4_Degree data" xfId="1797"/>
    <cellStyle name="Normal 7 5" xfId="254"/>
    <cellStyle name="Normal 7 5 10" xfId="10981"/>
    <cellStyle name="Normal 7 5 10 2" xfId="23490"/>
    <cellStyle name="Normal 7 5 11" xfId="4398"/>
    <cellStyle name="Normal 7 5 12" xfId="19727"/>
    <cellStyle name="Normal 7 5 2" xfId="356"/>
    <cellStyle name="Normal 7 5 2 10" xfId="19827"/>
    <cellStyle name="Normal 7 5 2 2" xfId="828"/>
    <cellStyle name="Normal 7 5 2 2 2" xfId="2551"/>
    <cellStyle name="Normal 7 5 2 2 2 2" xfId="16446"/>
    <cellStyle name="Normal 7 5 2 2 2 2 2" xfId="26665"/>
    <cellStyle name="Normal 7 5 2 2 2 3" xfId="12868"/>
    <cellStyle name="Normal 7 5 2 2 2 4" xfId="7578"/>
    <cellStyle name="Normal 7 5 2 2 2 5" xfId="21658"/>
    <cellStyle name="Normal 7 5 2 2 3" xfId="3825"/>
    <cellStyle name="Normal 7 5 2 2 3 2" xfId="17471"/>
    <cellStyle name="Normal 7 5 2 2 3 2 2" xfId="27722"/>
    <cellStyle name="Normal 7 5 2 2 3 3" xfId="13892"/>
    <cellStyle name="Normal 7 5 2 2 3 4" xfId="8635"/>
    <cellStyle name="Normal 7 5 2 2 3 5" xfId="22715"/>
    <cellStyle name="Normal 7 5 2 2 4" xfId="6694"/>
    <cellStyle name="Normal 7 5 2 2 4 2" xfId="15778"/>
    <cellStyle name="Normal 7 5 2 2 4 3" xfId="25782"/>
    <cellStyle name="Normal 7 5 2 2 5" xfId="10089"/>
    <cellStyle name="Normal 7 5 2 2 5 2" xfId="18916"/>
    <cellStyle name="Normal 7 5 2 2 5 3" xfId="29167"/>
    <cellStyle name="Normal 7 5 2 2 6" xfId="11535"/>
    <cellStyle name="Normal 7 5 2 2 6 2" xfId="24264"/>
    <cellStyle name="Normal 7 5 2 2 7" xfId="5172"/>
    <cellStyle name="Normal 7 5 2 2 8" xfId="20775"/>
    <cellStyle name="Normal 7 5 2 3" xfId="1177"/>
    <cellStyle name="Normal 7 5 2 3 2" xfId="2899"/>
    <cellStyle name="Normal 7 5 2 3 2 2" xfId="16698"/>
    <cellStyle name="Normal 7 5 2 3 2 2 2" xfId="26917"/>
    <cellStyle name="Normal 7 5 2 3 2 3" xfId="13119"/>
    <cellStyle name="Normal 7 5 2 3 2 4" xfId="7830"/>
    <cellStyle name="Normal 7 5 2 3 2 5" xfId="21910"/>
    <cellStyle name="Normal 7 5 2 3 3" xfId="4173"/>
    <cellStyle name="Normal 7 5 2 3 3 2" xfId="17819"/>
    <cellStyle name="Normal 7 5 2 3 3 2 2" xfId="28070"/>
    <cellStyle name="Normal 7 5 2 3 3 3" xfId="14240"/>
    <cellStyle name="Normal 7 5 2 3 3 4" xfId="8983"/>
    <cellStyle name="Normal 7 5 2 3 3 5" xfId="23063"/>
    <cellStyle name="Normal 7 5 2 3 4" xfId="6237"/>
    <cellStyle name="Normal 7 5 2 3 4 2" xfId="15321"/>
    <cellStyle name="Normal 7 5 2 3 4 3" xfId="25325"/>
    <cellStyle name="Normal 7 5 2 3 5" xfId="10437"/>
    <cellStyle name="Normal 7 5 2 3 5 2" xfId="19264"/>
    <cellStyle name="Normal 7 5 2 3 5 3" xfId="29515"/>
    <cellStyle name="Normal 7 5 2 3 6" xfId="11883"/>
    <cellStyle name="Normal 7 5 2 3 6 2" xfId="24516"/>
    <cellStyle name="Normal 7 5 2 3 7" xfId="5424"/>
    <cellStyle name="Normal 7 5 2 3 8" xfId="20318"/>
    <cellStyle name="Normal 7 5 2 4" xfId="1543"/>
    <cellStyle name="Normal 7 5 2 4 2" xfId="3142"/>
    <cellStyle name="Normal 7 5 2 4 2 2" xfId="18062"/>
    <cellStyle name="Normal 7 5 2 4 2 2 2" xfId="28313"/>
    <cellStyle name="Normal 7 5 2 4 2 3" xfId="14483"/>
    <cellStyle name="Normal 7 5 2 4 2 4" xfId="9226"/>
    <cellStyle name="Normal 7 5 2 4 2 5" xfId="23306"/>
    <cellStyle name="Normal 7 5 2 4 3" xfId="10680"/>
    <cellStyle name="Normal 7 5 2 4 3 2" xfId="19507"/>
    <cellStyle name="Normal 7 5 2 4 3 3" xfId="29758"/>
    <cellStyle name="Normal 7 5 2 4 4" xfId="12126"/>
    <cellStyle name="Normal 7 5 2 4 4 2" xfId="26208"/>
    <cellStyle name="Normal 7 5 2 4 5" xfId="7121"/>
    <cellStyle name="Normal 7 5 2 4 6" xfId="21201"/>
    <cellStyle name="Normal 7 5 2 5" xfId="2099"/>
    <cellStyle name="Normal 7 5 2 5 2" xfId="17019"/>
    <cellStyle name="Normal 7 5 2 5 2 2" xfId="27270"/>
    <cellStyle name="Normal 7 5 2 5 3" xfId="13440"/>
    <cellStyle name="Normal 7 5 2 5 4" xfId="8183"/>
    <cellStyle name="Normal 7 5 2 5 5" xfId="22263"/>
    <cellStyle name="Normal 7 5 2 6" xfId="5744"/>
    <cellStyle name="Normal 7 5 2 6 2" xfId="14830"/>
    <cellStyle name="Normal 7 5 2 6 3" xfId="24834"/>
    <cellStyle name="Normal 7 5 2 7" xfId="9637"/>
    <cellStyle name="Normal 7 5 2 7 2" xfId="18464"/>
    <cellStyle name="Normal 7 5 2 7 3" xfId="28715"/>
    <cellStyle name="Normal 7 5 2 8" xfId="11081"/>
    <cellStyle name="Normal 7 5 2 8 2" xfId="23807"/>
    <cellStyle name="Normal 7 5 2 9" xfId="4715"/>
    <cellStyle name="Normal 7 5 2_Degree data" xfId="1804"/>
    <cellStyle name="Normal 7 5 3" xfId="827"/>
    <cellStyle name="Normal 7 5 3 2" xfId="2550"/>
    <cellStyle name="Normal 7 5 3 2 2" xfId="16035"/>
    <cellStyle name="Normal 7 5 3 2 2 2" xfId="26108"/>
    <cellStyle name="Normal 7 5 3 2 3" xfId="12440"/>
    <cellStyle name="Normal 7 5 3 2 4" xfId="7021"/>
    <cellStyle name="Normal 7 5 3 2 5" xfId="21101"/>
    <cellStyle name="Normal 7 5 3 3" xfId="3824"/>
    <cellStyle name="Normal 7 5 3 3 2" xfId="17470"/>
    <cellStyle name="Normal 7 5 3 3 2 2" xfId="27721"/>
    <cellStyle name="Normal 7 5 3 3 3" xfId="13891"/>
    <cellStyle name="Normal 7 5 3 3 4" xfId="8634"/>
    <cellStyle name="Normal 7 5 3 3 5" xfId="22714"/>
    <cellStyle name="Normal 7 5 3 4" xfId="6137"/>
    <cellStyle name="Normal 7 5 3 4 2" xfId="15221"/>
    <cellStyle name="Normal 7 5 3 4 3" xfId="25225"/>
    <cellStyle name="Normal 7 5 3 5" xfId="10088"/>
    <cellStyle name="Normal 7 5 3 5 2" xfId="18915"/>
    <cellStyle name="Normal 7 5 3 5 3" xfId="29166"/>
    <cellStyle name="Normal 7 5 3 6" xfId="11534"/>
    <cellStyle name="Normal 7 5 3 6 2" xfId="23707"/>
    <cellStyle name="Normal 7 5 3 7" xfId="4615"/>
    <cellStyle name="Normal 7 5 3 8" xfId="20218"/>
    <cellStyle name="Normal 7 5 4" xfId="1176"/>
    <cellStyle name="Normal 7 5 4 2" xfId="2898"/>
    <cellStyle name="Normal 7 5 4 2 2" xfId="16445"/>
    <cellStyle name="Normal 7 5 4 2 2 2" xfId="26664"/>
    <cellStyle name="Normal 7 5 4 2 3" xfId="12867"/>
    <cellStyle name="Normal 7 5 4 2 4" xfId="7577"/>
    <cellStyle name="Normal 7 5 4 2 5" xfId="21657"/>
    <cellStyle name="Normal 7 5 4 3" xfId="4172"/>
    <cellStyle name="Normal 7 5 4 3 2" xfId="17818"/>
    <cellStyle name="Normal 7 5 4 3 2 2" xfId="28069"/>
    <cellStyle name="Normal 7 5 4 3 3" xfId="14239"/>
    <cellStyle name="Normal 7 5 4 3 4" xfId="8982"/>
    <cellStyle name="Normal 7 5 4 3 5" xfId="23062"/>
    <cellStyle name="Normal 7 5 4 4" xfId="6693"/>
    <cellStyle name="Normal 7 5 4 4 2" xfId="15777"/>
    <cellStyle name="Normal 7 5 4 4 3" xfId="25781"/>
    <cellStyle name="Normal 7 5 4 5" xfId="10436"/>
    <cellStyle name="Normal 7 5 4 5 2" xfId="19263"/>
    <cellStyle name="Normal 7 5 4 5 3" xfId="29514"/>
    <cellStyle name="Normal 7 5 4 6" xfId="11882"/>
    <cellStyle name="Normal 7 5 4 6 2" xfId="24263"/>
    <cellStyle name="Normal 7 5 4 7" xfId="5171"/>
    <cellStyle name="Normal 7 5 4 8" xfId="20774"/>
    <cellStyle name="Normal 7 5 5" xfId="1441"/>
    <cellStyle name="Normal 7 5 5 2" xfId="3042"/>
    <cellStyle name="Normal 7 5 5 2 2" xfId="16598"/>
    <cellStyle name="Normal 7 5 5 2 2 2" xfId="26817"/>
    <cellStyle name="Normal 7 5 5 2 3" xfId="13019"/>
    <cellStyle name="Normal 7 5 5 2 4" xfId="7730"/>
    <cellStyle name="Normal 7 5 5 2 5" xfId="21810"/>
    <cellStyle name="Normal 7 5 5 3" xfId="4256"/>
    <cellStyle name="Normal 7 5 5 3 2" xfId="17962"/>
    <cellStyle name="Normal 7 5 5 3 2 2" xfId="28213"/>
    <cellStyle name="Normal 7 5 5 3 3" xfId="14383"/>
    <cellStyle name="Normal 7 5 5 3 4" xfId="9126"/>
    <cellStyle name="Normal 7 5 5 3 5" xfId="23206"/>
    <cellStyle name="Normal 7 5 5 4" xfId="5918"/>
    <cellStyle name="Normal 7 5 5 4 2" xfId="15004"/>
    <cellStyle name="Normal 7 5 5 4 3" xfId="25008"/>
    <cellStyle name="Normal 7 5 5 5" xfId="10580"/>
    <cellStyle name="Normal 7 5 5 5 2" xfId="19407"/>
    <cellStyle name="Normal 7 5 5 5 3" xfId="29658"/>
    <cellStyle name="Normal 7 5 5 6" xfId="12026"/>
    <cellStyle name="Normal 7 5 5 6 2" xfId="24416"/>
    <cellStyle name="Normal 7 5 5 7" xfId="5324"/>
    <cellStyle name="Normal 7 5 5 8" xfId="20001"/>
    <cellStyle name="Normal 7 5 6" xfId="1999"/>
    <cellStyle name="Normal 7 5 6 2" xfId="15847"/>
    <cellStyle name="Normal 7 5 6 2 2" xfId="25891"/>
    <cellStyle name="Normal 7 5 6 3" xfId="12282"/>
    <cellStyle name="Normal 7 5 6 4" xfId="6804"/>
    <cellStyle name="Normal 7 5 6 5" xfId="20884"/>
    <cellStyle name="Normal 7 5 7" xfId="3418"/>
    <cellStyle name="Normal 7 5 7 2" xfId="16919"/>
    <cellStyle name="Normal 7 5 7 2 2" xfId="27170"/>
    <cellStyle name="Normal 7 5 7 3" xfId="13340"/>
    <cellStyle name="Normal 7 5 7 4" xfId="8083"/>
    <cellStyle name="Normal 7 5 7 5" xfId="22163"/>
    <cellStyle name="Normal 7 5 8" xfId="5644"/>
    <cellStyle name="Normal 7 5 8 2" xfId="14730"/>
    <cellStyle name="Normal 7 5 8 3" xfId="24734"/>
    <cellStyle name="Normal 7 5 9" xfId="9537"/>
    <cellStyle name="Normal 7 5 9 2" xfId="18364"/>
    <cellStyle name="Normal 7 5 9 3" xfId="28615"/>
    <cellStyle name="Normal 7 5_Degree data" xfId="1803"/>
    <cellStyle name="Normal 7 6" xfId="192"/>
    <cellStyle name="Normal 7 6 10" xfId="10924"/>
    <cellStyle name="Normal 7 6 10 2" xfId="23538"/>
    <cellStyle name="Normal 7 6 11" xfId="4446"/>
    <cellStyle name="Normal 7 6 12" xfId="19670"/>
    <cellStyle name="Normal 7 6 2" xfId="406"/>
    <cellStyle name="Normal 7 6 2 10" xfId="19875"/>
    <cellStyle name="Normal 7 6 2 2" xfId="830"/>
    <cellStyle name="Normal 7 6 2 2 2" xfId="2553"/>
    <cellStyle name="Normal 7 6 2 2 2 2" xfId="16448"/>
    <cellStyle name="Normal 7 6 2 2 2 2 2" xfId="26667"/>
    <cellStyle name="Normal 7 6 2 2 2 3" xfId="12870"/>
    <cellStyle name="Normal 7 6 2 2 2 4" xfId="7580"/>
    <cellStyle name="Normal 7 6 2 2 2 5" xfId="21660"/>
    <cellStyle name="Normal 7 6 2 2 3" xfId="3827"/>
    <cellStyle name="Normal 7 6 2 2 3 2" xfId="17473"/>
    <cellStyle name="Normal 7 6 2 2 3 2 2" xfId="27724"/>
    <cellStyle name="Normal 7 6 2 2 3 3" xfId="13894"/>
    <cellStyle name="Normal 7 6 2 2 3 4" xfId="8637"/>
    <cellStyle name="Normal 7 6 2 2 3 5" xfId="22717"/>
    <cellStyle name="Normal 7 6 2 2 4" xfId="6696"/>
    <cellStyle name="Normal 7 6 2 2 4 2" xfId="15780"/>
    <cellStyle name="Normal 7 6 2 2 4 3" xfId="25784"/>
    <cellStyle name="Normal 7 6 2 2 5" xfId="10091"/>
    <cellStyle name="Normal 7 6 2 2 5 2" xfId="18918"/>
    <cellStyle name="Normal 7 6 2 2 5 3" xfId="29169"/>
    <cellStyle name="Normal 7 6 2 2 6" xfId="11537"/>
    <cellStyle name="Normal 7 6 2 2 6 2" xfId="24266"/>
    <cellStyle name="Normal 7 6 2 2 7" xfId="5174"/>
    <cellStyle name="Normal 7 6 2 2 8" xfId="20777"/>
    <cellStyle name="Normal 7 6 2 3" xfId="1179"/>
    <cellStyle name="Normal 7 6 2 3 2" xfId="2901"/>
    <cellStyle name="Normal 7 6 2 3 2 2" xfId="16746"/>
    <cellStyle name="Normal 7 6 2 3 2 2 2" xfId="26965"/>
    <cellStyle name="Normal 7 6 2 3 2 3" xfId="13167"/>
    <cellStyle name="Normal 7 6 2 3 2 4" xfId="7878"/>
    <cellStyle name="Normal 7 6 2 3 2 5" xfId="21958"/>
    <cellStyle name="Normal 7 6 2 3 3" xfId="4175"/>
    <cellStyle name="Normal 7 6 2 3 3 2" xfId="17821"/>
    <cellStyle name="Normal 7 6 2 3 3 2 2" xfId="28072"/>
    <cellStyle name="Normal 7 6 2 3 3 3" xfId="14242"/>
    <cellStyle name="Normal 7 6 2 3 3 4" xfId="8985"/>
    <cellStyle name="Normal 7 6 2 3 3 5" xfId="23065"/>
    <cellStyle name="Normal 7 6 2 3 4" xfId="6285"/>
    <cellStyle name="Normal 7 6 2 3 4 2" xfId="15369"/>
    <cellStyle name="Normal 7 6 2 3 4 3" xfId="25373"/>
    <cellStyle name="Normal 7 6 2 3 5" xfId="10439"/>
    <cellStyle name="Normal 7 6 2 3 5 2" xfId="19266"/>
    <cellStyle name="Normal 7 6 2 3 5 3" xfId="29517"/>
    <cellStyle name="Normal 7 6 2 3 6" xfId="11885"/>
    <cellStyle name="Normal 7 6 2 3 6 2" xfId="24564"/>
    <cellStyle name="Normal 7 6 2 3 7" xfId="5472"/>
    <cellStyle name="Normal 7 6 2 3 8" xfId="20366"/>
    <cellStyle name="Normal 7 6 2 4" xfId="1593"/>
    <cellStyle name="Normal 7 6 2 4 2" xfId="3190"/>
    <cellStyle name="Normal 7 6 2 4 2 2" xfId="18110"/>
    <cellStyle name="Normal 7 6 2 4 2 2 2" xfId="28361"/>
    <cellStyle name="Normal 7 6 2 4 2 3" xfId="14531"/>
    <cellStyle name="Normal 7 6 2 4 2 4" xfId="9274"/>
    <cellStyle name="Normal 7 6 2 4 2 5" xfId="23354"/>
    <cellStyle name="Normal 7 6 2 4 3" xfId="10728"/>
    <cellStyle name="Normal 7 6 2 4 3 2" xfId="19555"/>
    <cellStyle name="Normal 7 6 2 4 3 3" xfId="29806"/>
    <cellStyle name="Normal 7 6 2 4 4" xfId="12174"/>
    <cellStyle name="Normal 7 6 2 4 4 2" xfId="26256"/>
    <cellStyle name="Normal 7 6 2 4 5" xfId="7169"/>
    <cellStyle name="Normal 7 6 2 4 6" xfId="21249"/>
    <cellStyle name="Normal 7 6 2 5" xfId="2147"/>
    <cellStyle name="Normal 7 6 2 5 2" xfId="17067"/>
    <cellStyle name="Normal 7 6 2 5 2 2" xfId="27318"/>
    <cellStyle name="Normal 7 6 2 5 3" xfId="13488"/>
    <cellStyle name="Normal 7 6 2 5 4" xfId="8231"/>
    <cellStyle name="Normal 7 6 2 5 5" xfId="22311"/>
    <cellStyle name="Normal 7 6 2 6" xfId="5792"/>
    <cellStyle name="Normal 7 6 2 6 2" xfId="14878"/>
    <cellStyle name="Normal 7 6 2 6 3" xfId="24882"/>
    <cellStyle name="Normal 7 6 2 7" xfId="9685"/>
    <cellStyle name="Normal 7 6 2 7 2" xfId="18512"/>
    <cellStyle name="Normal 7 6 2 7 3" xfId="28763"/>
    <cellStyle name="Normal 7 6 2 8" xfId="11129"/>
    <cellStyle name="Normal 7 6 2 8 2" xfId="23855"/>
    <cellStyle name="Normal 7 6 2 9" xfId="4763"/>
    <cellStyle name="Normal 7 6 2_Degree data" xfId="1806"/>
    <cellStyle name="Normal 7 6 3" xfId="829"/>
    <cellStyle name="Normal 7 6 3 2" xfId="2552"/>
    <cellStyle name="Normal 7 6 3 2 2" xfId="15978"/>
    <cellStyle name="Normal 7 6 3 2 2 2" xfId="26051"/>
    <cellStyle name="Normal 7 6 3 2 3" xfId="12287"/>
    <cellStyle name="Normal 7 6 3 2 4" xfId="6964"/>
    <cellStyle name="Normal 7 6 3 2 5" xfId="21044"/>
    <cellStyle name="Normal 7 6 3 3" xfId="3826"/>
    <cellStyle name="Normal 7 6 3 3 2" xfId="17472"/>
    <cellStyle name="Normal 7 6 3 3 2 2" xfId="27723"/>
    <cellStyle name="Normal 7 6 3 3 3" xfId="13893"/>
    <cellStyle name="Normal 7 6 3 3 4" xfId="8636"/>
    <cellStyle name="Normal 7 6 3 3 5" xfId="22716"/>
    <cellStyle name="Normal 7 6 3 4" xfId="6080"/>
    <cellStyle name="Normal 7 6 3 4 2" xfId="15164"/>
    <cellStyle name="Normal 7 6 3 4 3" xfId="25168"/>
    <cellStyle name="Normal 7 6 3 5" xfId="10090"/>
    <cellStyle name="Normal 7 6 3 5 2" xfId="18917"/>
    <cellStyle name="Normal 7 6 3 5 3" xfId="29168"/>
    <cellStyle name="Normal 7 6 3 6" xfId="11536"/>
    <cellStyle name="Normal 7 6 3 6 2" xfId="23650"/>
    <cellStyle name="Normal 7 6 3 7" xfId="4558"/>
    <cellStyle name="Normal 7 6 3 8" xfId="20161"/>
    <cellStyle name="Normal 7 6 4" xfId="1178"/>
    <cellStyle name="Normal 7 6 4 2" xfId="2900"/>
    <cellStyle name="Normal 7 6 4 2 2" xfId="16447"/>
    <cellStyle name="Normal 7 6 4 2 2 2" xfId="26666"/>
    <cellStyle name="Normal 7 6 4 2 3" xfId="12869"/>
    <cellStyle name="Normal 7 6 4 2 4" xfId="7579"/>
    <cellStyle name="Normal 7 6 4 2 5" xfId="21659"/>
    <cellStyle name="Normal 7 6 4 3" xfId="4174"/>
    <cellStyle name="Normal 7 6 4 3 2" xfId="17820"/>
    <cellStyle name="Normal 7 6 4 3 2 2" xfId="28071"/>
    <cellStyle name="Normal 7 6 4 3 3" xfId="14241"/>
    <cellStyle name="Normal 7 6 4 3 4" xfId="8984"/>
    <cellStyle name="Normal 7 6 4 3 5" xfId="23064"/>
    <cellStyle name="Normal 7 6 4 4" xfId="6695"/>
    <cellStyle name="Normal 7 6 4 4 2" xfId="15779"/>
    <cellStyle name="Normal 7 6 4 4 3" xfId="25783"/>
    <cellStyle name="Normal 7 6 4 5" xfId="10438"/>
    <cellStyle name="Normal 7 6 4 5 2" xfId="19265"/>
    <cellStyle name="Normal 7 6 4 5 3" xfId="29516"/>
    <cellStyle name="Normal 7 6 4 6" xfId="11884"/>
    <cellStyle name="Normal 7 6 4 6 2" xfId="24265"/>
    <cellStyle name="Normal 7 6 4 7" xfId="5173"/>
    <cellStyle name="Normal 7 6 4 8" xfId="20776"/>
    <cellStyle name="Normal 7 6 5" xfId="1379"/>
    <cellStyle name="Normal 7 6 5 2" xfId="2985"/>
    <cellStyle name="Normal 7 6 5 2 2" xfId="16541"/>
    <cellStyle name="Normal 7 6 5 2 2 2" xfId="26760"/>
    <cellStyle name="Normal 7 6 5 2 3" xfId="12962"/>
    <cellStyle name="Normal 7 6 5 2 4" xfId="7673"/>
    <cellStyle name="Normal 7 6 5 2 5" xfId="21753"/>
    <cellStyle name="Normal 7 6 5 3" xfId="4199"/>
    <cellStyle name="Normal 7 6 5 3 2" xfId="17905"/>
    <cellStyle name="Normal 7 6 5 3 2 2" xfId="28156"/>
    <cellStyle name="Normal 7 6 5 3 3" xfId="14326"/>
    <cellStyle name="Normal 7 6 5 3 4" xfId="9069"/>
    <cellStyle name="Normal 7 6 5 3 5" xfId="23149"/>
    <cellStyle name="Normal 7 6 5 4" xfId="5966"/>
    <cellStyle name="Normal 7 6 5 4 2" xfId="15052"/>
    <cellStyle name="Normal 7 6 5 4 3" xfId="25056"/>
    <cellStyle name="Normal 7 6 5 5" xfId="10523"/>
    <cellStyle name="Normal 7 6 5 5 2" xfId="19350"/>
    <cellStyle name="Normal 7 6 5 5 3" xfId="29601"/>
    <cellStyle name="Normal 7 6 5 6" xfId="11969"/>
    <cellStyle name="Normal 7 6 5 6 2" xfId="24359"/>
    <cellStyle name="Normal 7 6 5 7" xfId="5267"/>
    <cellStyle name="Normal 7 6 5 8" xfId="20049"/>
    <cellStyle name="Normal 7 6 6" xfId="1942"/>
    <cellStyle name="Normal 7 6 6 2" xfId="15895"/>
    <cellStyle name="Normal 7 6 6 2 2" xfId="25939"/>
    <cellStyle name="Normal 7 6 6 3" xfId="12453"/>
    <cellStyle name="Normal 7 6 6 4" xfId="6852"/>
    <cellStyle name="Normal 7 6 6 5" xfId="20932"/>
    <cellStyle name="Normal 7 6 7" xfId="3362"/>
    <cellStyle name="Normal 7 6 7 2" xfId="16862"/>
    <cellStyle name="Normal 7 6 7 2 2" xfId="27113"/>
    <cellStyle name="Normal 7 6 7 3" xfId="13283"/>
    <cellStyle name="Normal 7 6 7 4" xfId="8026"/>
    <cellStyle name="Normal 7 6 7 5" xfId="22106"/>
    <cellStyle name="Normal 7 6 8" xfId="5587"/>
    <cellStyle name="Normal 7 6 8 2" xfId="14673"/>
    <cellStyle name="Normal 7 6 8 3" xfId="24677"/>
    <cellStyle name="Normal 7 6 9" xfId="9480"/>
    <cellStyle name="Normal 7 6 9 2" xfId="18307"/>
    <cellStyle name="Normal 7 6 9 3" xfId="28558"/>
    <cellStyle name="Normal 7 6_Degree data" xfId="1805"/>
    <cellStyle name="Normal 7 7" xfId="462"/>
    <cellStyle name="Normal 7 7 10" xfId="4502"/>
    <cellStyle name="Normal 7 7 11" xfId="19931"/>
    <cellStyle name="Normal 7 7 2" xfId="831"/>
    <cellStyle name="Normal 7 7 2 2" xfId="2554"/>
    <cellStyle name="Normal 7 7 2 2 2" xfId="16094"/>
    <cellStyle name="Normal 7 7 2 2 2 2" xfId="26312"/>
    <cellStyle name="Normal 7 7 2 2 3" xfId="12516"/>
    <cellStyle name="Normal 7 7 2 2 4" xfId="7225"/>
    <cellStyle name="Normal 7 7 2 2 5" xfId="21305"/>
    <cellStyle name="Normal 7 7 2 3" xfId="3828"/>
    <cellStyle name="Normal 7 7 2 3 2" xfId="17474"/>
    <cellStyle name="Normal 7 7 2 3 2 2" xfId="27725"/>
    <cellStyle name="Normal 7 7 2 3 3" xfId="13895"/>
    <cellStyle name="Normal 7 7 2 3 4" xfId="8638"/>
    <cellStyle name="Normal 7 7 2 3 5" xfId="22718"/>
    <cellStyle name="Normal 7 7 2 4" xfId="6341"/>
    <cellStyle name="Normal 7 7 2 4 2" xfId="15425"/>
    <cellStyle name="Normal 7 7 2 4 3" xfId="25429"/>
    <cellStyle name="Normal 7 7 2 5" xfId="10092"/>
    <cellStyle name="Normal 7 7 2 5 2" xfId="18919"/>
    <cellStyle name="Normal 7 7 2 5 3" xfId="29170"/>
    <cellStyle name="Normal 7 7 2 6" xfId="11538"/>
    <cellStyle name="Normal 7 7 2 6 2" xfId="23911"/>
    <cellStyle name="Normal 7 7 2 7" xfId="4819"/>
    <cellStyle name="Normal 7 7 2 8" xfId="20422"/>
    <cellStyle name="Normal 7 7 3" xfId="1180"/>
    <cellStyle name="Normal 7 7 3 2" xfId="2902"/>
    <cellStyle name="Normal 7 7 3 2 2" xfId="16449"/>
    <cellStyle name="Normal 7 7 3 2 2 2" xfId="26668"/>
    <cellStyle name="Normal 7 7 3 2 3" xfId="12871"/>
    <cellStyle name="Normal 7 7 3 2 4" xfId="7581"/>
    <cellStyle name="Normal 7 7 3 2 5" xfId="21661"/>
    <cellStyle name="Normal 7 7 3 3" xfId="4176"/>
    <cellStyle name="Normal 7 7 3 3 2" xfId="17822"/>
    <cellStyle name="Normal 7 7 3 3 2 2" xfId="28073"/>
    <cellStyle name="Normal 7 7 3 3 3" xfId="14243"/>
    <cellStyle name="Normal 7 7 3 3 4" xfId="8986"/>
    <cellStyle name="Normal 7 7 3 3 5" xfId="23066"/>
    <cellStyle name="Normal 7 7 3 4" xfId="6697"/>
    <cellStyle name="Normal 7 7 3 4 2" xfId="15781"/>
    <cellStyle name="Normal 7 7 3 4 3" xfId="25785"/>
    <cellStyle name="Normal 7 7 3 5" xfId="10440"/>
    <cellStyle name="Normal 7 7 3 5 2" xfId="19267"/>
    <cellStyle name="Normal 7 7 3 5 3" xfId="29518"/>
    <cellStyle name="Normal 7 7 3 6" xfId="11886"/>
    <cellStyle name="Normal 7 7 3 6 2" xfId="24267"/>
    <cellStyle name="Normal 7 7 3 7" xfId="5175"/>
    <cellStyle name="Normal 7 7 3 8" xfId="20778"/>
    <cellStyle name="Normal 7 7 4" xfId="1649"/>
    <cellStyle name="Normal 7 7 4 2" xfId="3246"/>
    <cellStyle name="Normal 7 7 4 2 2" xfId="16802"/>
    <cellStyle name="Normal 7 7 4 2 2 2" xfId="27021"/>
    <cellStyle name="Normal 7 7 4 2 3" xfId="13223"/>
    <cellStyle name="Normal 7 7 4 2 4" xfId="7934"/>
    <cellStyle name="Normal 7 7 4 2 5" xfId="22014"/>
    <cellStyle name="Normal 7 7 4 3" xfId="4315"/>
    <cellStyle name="Normal 7 7 4 3 2" xfId="18166"/>
    <cellStyle name="Normal 7 7 4 3 2 2" xfId="28417"/>
    <cellStyle name="Normal 7 7 4 3 3" xfId="14587"/>
    <cellStyle name="Normal 7 7 4 3 4" xfId="9330"/>
    <cellStyle name="Normal 7 7 4 3 5" xfId="23410"/>
    <cellStyle name="Normal 7 7 4 4" xfId="6022"/>
    <cellStyle name="Normal 7 7 4 4 2" xfId="15108"/>
    <cellStyle name="Normal 7 7 4 4 3" xfId="25112"/>
    <cellStyle name="Normal 7 7 4 5" xfId="10784"/>
    <cellStyle name="Normal 7 7 4 5 2" xfId="19611"/>
    <cellStyle name="Normal 7 7 4 5 3" xfId="29862"/>
    <cellStyle name="Normal 7 7 4 6" xfId="12230"/>
    <cellStyle name="Normal 7 7 4 6 2" xfId="24620"/>
    <cellStyle name="Normal 7 7 4 7" xfId="5528"/>
    <cellStyle name="Normal 7 7 4 8" xfId="20105"/>
    <cellStyle name="Normal 7 7 5" xfId="2203"/>
    <cellStyle name="Normal 7 7 5 2" xfId="15951"/>
    <cellStyle name="Normal 7 7 5 2 2" xfId="25995"/>
    <cellStyle name="Normal 7 7 5 3" xfId="12333"/>
    <cellStyle name="Normal 7 7 5 4" xfId="6908"/>
    <cellStyle name="Normal 7 7 5 5" xfId="20988"/>
    <cellStyle name="Normal 7 7 6" xfId="3477"/>
    <cellStyle name="Normal 7 7 6 2" xfId="17123"/>
    <cellStyle name="Normal 7 7 6 2 2" xfId="27374"/>
    <cellStyle name="Normal 7 7 6 3" xfId="13544"/>
    <cellStyle name="Normal 7 7 6 4" xfId="8287"/>
    <cellStyle name="Normal 7 7 6 5" xfId="22367"/>
    <cellStyle name="Normal 7 7 7" xfId="5848"/>
    <cellStyle name="Normal 7 7 7 2" xfId="14934"/>
    <cellStyle name="Normal 7 7 7 3" xfId="24938"/>
    <cellStyle name="Normal 7 7 8" xfId="9741"/>
    <cellStyle name="Normal 7 7 8 2" xfId="18568"/>
    <cellStyle name="Normal 7 7 8 3" xfId="28819"/>
    <cellStyle name="Normal 7 7 9" xfId="11185"/>
    <cellStyle name="Normal 7 7 9 2" xfId="23594"/>
    <cellStyle name="Normal 7 7_Degree data" xfId="1807"/>
    <cellStyle name="Normal 7 8" xfId="298"/>
    <cellStyle name="Normal 7 8 10" xfId="19770"/>
    <cellStyle name="Normal 7 8 2" xfId="832"/>
    <cellStyle name="Normal 7 8 2 2" xfId="2555"/>
    <cellStyle name="Normal 7 8 2 2 2" xfId="16450"/>
    <cellStyle name="Normal 7 8 2 2 2 2" xfId="26669"/>
    <cellStyle name="Normal 7 8 2 2 3" xfId="12872"/>
    <cellStyle name="Normal 7 8 2 2 4" xfId="7582"/>
    <cellStyle name="Normal 7 8 2 2 5" xfId="21662"/>
    <cellStyle name="Normal 7 8 2 3" xfId="3829"/>
    <cellStyle name="Normal 7 8 2 3 2" xfId="17475"/>
    <cellStyle name="Normal 7 8 2 3 2 2" xfId="27726"/>
    <cellStyle name="Normal 7 8 2 3 3" xfId="13896"/>
    <cellStyle name="Normal 7 8 2 3 4" xfId="8639"/>
    <cellStyle name="Normal 7 8 2 3 5" xfId="22719"/>
    <cellStyle name="Normal 7 8 2 4" xfId="6698"/>
    <cellStyle name="Normal 7 8 2 4 2" xfId="15782"/>
    <cellStyle name="Normal 7 8 2 4 3" xfId="25786"/>
    <cellStyle name="Normal 7 8 2 5" xfId="10093"/>
    <cellStyle name="Normal 7 8 2 5 2" xfId="18920"/>
    <cellStyle name="Normal 7 8 2 5 3" xfId="29171"/>
    <cellStyle name="Normal 7 8 2 6" xfId="11539"/>
    <cellStyle name="Normal 7 8 2 6 2" xfId="24268"/>
    <cellStyle name="Normal 7 8 2 7" xfId="5176"/>
    <cellStyle name="Normal 7 8 2 8" xfId="20779"/>
    <cellStyle name="Normal 7 8 3" xfId="1181"/>
    <cellStyle name="Normal 7 8 3 2" xfId="2903"/>
    <cellStyle name="Normal 7 8 3 2 2" xfId="16641"/>
    <cellStyle name="Normal 7 8 3 2 2 2" xfId="26860"/>
    <cellStyle name="Normal 7 8 3 2 3" xfId="13062"/>
    <cellStyle name="Normal 7 8 3 2 4" xfId="7773"/>
    <cellStyle name="Normal 7 8 3 2 5" xfId="21853"/>
    <cellStyle name="Normal 7 8 3 3" xfId="4177"/>
    <cellStyle name="Normal 7 8 3 3 2" xfId="17823"/>
    <cellStyle name="Normal 7 8 3 3 2 2" xfId="28074"/>
    <cellStyle name="Normal 7 8 3 3 3" xfId="14244"/>
    <cellStyle name="Normal 7 8 3 3 4" xfId="8987"/>
    <cellStyle name="Normal 7 8 3 3 5" xfId="23067"/>
    <cellStyle name="Normal 7 8 3 4" xfId="6180"/>
    <cellStyle name="Normal 7 8 3 4 2" xfId="15264"/>
    <cellStyle name="Normal 7 8 3 4 3" xfId="25268"/>
    <cellStyle name="Normal 7 8 3 5" xfId="10441"/>
    <cellStyle name="Normal 7 8 3 5 2" xfId="19268"/>
    <cellStyle name="Normal 7 8 3 5 3" xfId="29519"/>
    <cellStyle name="Normal 7 8 3 6" xfId="11887"/>
    <cellStyle name="Normal 7 8 3 6 2" xfId="24459"/>
    <cellStyle name="Normal 7 8 3 7" xfId="5367"/>
    <cellStyle name="Normal 7 8 3 8" xfId="20261"/>
    <cellStyle name="Normal 7 8 4" xfId="1485"/>
    <cellStyle name="Normal 7 8 4 2" xfId="3085"/>
    <cellStyle name="Normal 7 8 4 2 2" xfId="18005"/>
    <cellStyle name="Normal 7 8 4 2 2 2" xfId="28256"/>
    <cellStyle name="Normal 7 8 4 2 3" xfId="14426"/>
    <cellStyle name="Normal 7 8 4 2 4" xfId="9169"/>
    <cellStyle name="Normal 7 8 4 2 5" xfId="23249"/>
    <cellStyle name="Normal 7 8 4 3" xfId="10623"/>
    <cellStyle name="Normal 7 8 4 3 2" xfId="19450"/>
    <cellStyle name="Normal 7 8 4 3 3" xfId="29701"/>
    <cellStyle name="Normal 7 8 4 4" xfId="12069"/>
    <cellStyle name="Normal 7 8 4 4 2" xfId="26151"/>
    <cellStyle name="Normal 7 8 4 5" xfId="7064"/>
    <cellStyle name="Normal 7 8 4 6" xfId="21144"/>
    <cellStyle name="Normal 7 8 5" xfId="2042"/>
    <cellStyle name="Normal 7 8 5 2" xfId="16962"/>
    <cellStyle name="Normal 7 8 5 2 2" xfId="27213"/>
    <cellStyle name="Normal 7 8 5 3" xfId="13383"/>
    <cellStyle name="Normal 7 8 5 4" xfId="8126"/>
    <cellStyle name="Normal 7 8 5 5" xfId="22206"/>
    <cellStyle name="Normal 7 8 6" xfId="5687"/>
    <cellStyle name="Normal 7 8 6 2" xfId="14773"/>
    <cellStyle name="Normal 7 8 6 3" xfId="24777"/>
    <cellStyle name="Normal 7 8 7" xfId="9580"/>
    <cellStyle name="Normal 7 8 7 2" xfId="18407"/>
    <cellStyle name="Normal 7 8 7 3" xfId="28658"/>
    <cellStyle name="Normal 7 8 8" xfId="11024"/>
    <cellStyle name="Normal 7 8 8 2" xfId="23750"/>
    <cellStyle name="Normal 7 8 9" xfId="4658"/>
    <cellStyle name="Normal 7 8_Degree data" xfId="1808"/>
    <cellStyle name="Normal 7 9" xfId="145"/>
    <cellStyle name="Normal 7 9 10" xfId="20122"/>
    <cellStyle name="Normal 7 9 2" xfId="833"/>
    <cellStyle name="Normal 7 9 2 2" xfId="2556"/>
    <cellStyle name="Normal 7 9 2 2 2" xfId="16451"/>
    <cellStyle name="Normal 7 9 2 2 2 2" xfId="26670"/>
    <cellStyle name="Normal 7 9 2 2 3" xfId="12873"/>
    <cellStyle name="Normal 7 9 2 2 4" xfId="7583"/>
    <cellStyle name="Normal 7 9 2 2 5" xfId="21663"/>
    <cellStyle name="Normal 7 9 2 3" xfId="3830"/>
    <cellStyle name="Normal 7 9 2 3 2" xfId="17476"/>
    <cellStyle name="Normal 7 9 2 3 2 2" xfId="27727"/>
    <cellStyle name="Normal 7 9 2 3 3" xfId="13897"/>
    <cellStyle name="Normal 7 9 2 3 4" xfId="8640"/>
    <cellStyle name="Normal 7 9 2 3 5" xfId="22720"/>
    <cellStyle name="Normal 7 9 2 4" xfId="6699"/>
    <cellStyle name="Normal 7 9 2 4 2" xfId="15783"/>
    <cellStyle name="Normal 7 9 2 4 3" xfId="25787"/>
    <cellStyle name="Normal 7 9 2 5" xfId="10094"/>
    <cellStyle name="Normal 7 9 2 5 2" xfId="18921"/>
    <cellStyle name="Normal 7 9 2 5 3" xfId="29172"/>
    <cellStyle name="Normal 7 9 2 6" xfId="11540"/>
    <cellStyle name="Normal 7 9 2 6 2" xfId="24269"/>
    <cellStyle name="Normal 7 9 2 7" xfId="5177"/>
    <cellStyle name="Normal 7 9 2 8" xfId="20780"/>
    <cellStyle name="Normal 7 9 3" xfId="1182"/>
    <cellStyle name="Normal 7 9 3 2" xfId="2904"/>
    <cellStyle name="Normal 7 9 3 2 2" xfId="16502"/>
    <cellStyle name="Normal 7 9 3 2 2 2" xfId="26721"/>
    <cellStyle name="Normal 7 9 3 2 3" xfId="12924"/>
    <cellStyle name="Normal 7 9 3 2 4" xfId="7634"/>
    <cellStyle name="Normal 7 9 3 2 5" xfId="21714"/>
    <cellStyle name="Normal 7 9 3 3" xfId="4178"/>
    <cellStyle name="Normal 7 9 3 3 2" xfId="17824"/>
    <cellStyle name="Normal 7 9 3 3 2 2" xfId="28075"/>
    <cellStyle name="Normal 7 9 3 3 3" xfId="14245"/>
    <cellStyle name="Normal 7 9 3 3 4" xfId="8988"/>
    <cellStyle name="Normal 7 9 3 3 5" xfId="23068"/>
    <cellStyle name="Normal 7 9 3 4" xfId="6741"/>
    <cellStyle name="Normal 7 9 3 4 2" xfId="15824"/>
    <cellStyle name="Normal 7 9 3 4 3" xfId="25828"/>
    <cellStyle name="Normal 7 9 3 5" xfId="10442"/>
    <cellStyle name="Normal 7 9 3 5 2" xfId="19269"/>
    <cellStyle name="Normal 7 9 3 5 3" xfId="29520"/>
    <cellStyle name="Normal 7 9 3 6" xfId="11888"/>
    <cellStyle name="Normal 7 9 3 6 2" xfId="24320"/>
    <cellStyle name="Normal 7 9 3 7" xfId="5228"/>
    <cellStyle name="Normal 7 9 3 8" xfId="20821"/>
    <cellStyle name="Normal 7 9 4" xfId="1332"/>
    <cellStyle name="Normal 7 9 4 2" xfId="2946"/>
    <cellStyle name="Normal 7 9 4 2 2" xfId="17866"/>
    <cellStyle name="Normal 7 9 4 2 2 2" xfId="28117"/>
    <cellStyle name="Normal 7 9 4 2 3" xfId="14287"/>
    <cellStyle name="Normal 7 9 4 2 4" xfId="9030"/>
    <cellStyle name="Normal 7 9 4 2 5" xfId="23110"/>
    <cellStyle name="Normal 7 9 4 3" xfId="10484"/>
    <cellStyle name="Normal 7 9 4 3 2" xfId="19311"/>
    <cellStyle name="Normal 7 9 4 3 3" xfId="29562"/>
    <cellStyle name="Normal 7 9 4 4" xfId="11930"/>
    <cellStyle name="Normal 7 9 4 4 2" xfId="26012"/>
    <cellStyle name="Normal 7 9 4 5" xfId="6925"/>
    <cellStyle name="Normal 7 9 4 6" xfId="21005"/>
    <cellStyle name="Normal 7 9 5" xfId="1903"/>
    <cellStyle name="Normal 7 9 5 2" xfId="16821"/>
    <cellStyle name="Normal 7 9 5 2 2" xfId="27072"/>
    <cellStyle name="Normal 7 9 5 3" xfId="13242"/>
    <cellStyle name="Normal 7 9 5 4" xfId="7985"/>
    <cellStyle name="Normal 7 9 5 5" xfId="22065"/>
    <cellStyle name="Normal 7 9 6" xfId="6041"/>
    <cellStyle name="Normal 7 9 6 2" xfId="15125"/>
    <cellStyle name="Normal 7 9 6 3" xfId="25129"/>
    <cellStyle name="Normal 7 9 7" xfId="9441"/>
    <cellStyle name="Normal 7 9 7 2" xfId="18268"/>
    <cellStyle name="Normal 7 9 7 3" xfId="28519"/>
    <cellStyle name="Normal 7 9 8" xfId="10885"/>
    <cellStyle name="Normal 7 9 8 2" xfId="23611"/>
    <cellStyle name="Normal 7 9 9" xfId="4519"/>
    <cellStyle name="Normal 7 9_Degree data" xfId="1809"/>
    <cellStyle name="Normal 7_Degree data" xfId="1776"/>
    <cellStyle name="Normal 70" xfId="3280"/>
    <cellStyle name="Normal 70 2" xfId="3263"/>
    <cellStyle name="Normal 70 2 2" xfId="3339"/>
    <cellStyle name="Normal 70 2 2 2" xfId="16452"/>
    <cellStyle name="Normal 70 2 2 2 2" xfId="26671"/>
    <cellStyle name="Normal 70 2 2 3" xfId="12874"/>
    <cellStyle name="Normal 70 2 2 4" xfId="7584"/>
    <cellStyle name="Normal 70 2 2 5" xfId="21664"/>
    <cellStyle name="Normal 70 2 3" xfId="4330"/>
    <cellStyle name="Normal 70 2 3 2" xfId="18181"/>
    <cellStyle name="Normal 70 2 3 2 2" xfId="28432"/>
    <cellStyle name="Normal 70 2 3 3" xfId="14602"/>
    <cellStyle name="Normal 70 2 3 4" xfId="9345"/>
    <cellStyle name="Normal 70 2 3 5" xfId="23425"/>
    <cellStyle name="Normal 70 2 4" xfId="6700"/>
    <cellStyle name="Normal 70 2 4 2" xfId="15784"/>
    <cellStyle name="Normal 70 2 4 3" xfId="25788"/>
    <cellStyle name="Normal 70 2 5" xfId="14614"/>
    <cellStyle name="Normal 70 2 5 2" xfId="24270"/>
    <cellStyle name="Normal 70 2 6" xfId="12424"/>
    <cellStyle name="Normal 70 2 7" xfId="5178"/>
    <cellStyle name="Normal 70 2 8" xfId="20781"/>
    <cellStyle name="Normal 70 3" xfId="6029"/>
    <cellStyle name="Normal 71" xfId="81"/>
    <cellStyle name="Normal 72" xfId="82"/>
    <cellStyle name="Normal 73" xfId="3283"/>
    <cellStyle name="Normal 73 2" xfId="3302"/>
    <cellStyle name="Normal 73 2 2" xfId="3340"/>
    <cellStyle name="Normal 73 2 2 2" xfId="16453"/>
    <cellStyle name="Normal 73 2 2 2 2" xfId="26672"/>
    <cellStyle name="Normal 73 2 2 3" xfId="12875"/>
    <cellStyle name="Normal 73 2 2 4" xfId="7585"/>
    <cellStyle name="Normal 73 2 2 5" xfId="21665"/>
    <cellStyle name="Normal 73 2 3" xfId="4328"/>
    <cellStyle name="Normal 73 2 3 2" xfId="18179"/>
    <cellStyle name="Normal 73 2 3 2 2" xfId="28430"/>
    <cellStyle name="Normal 73 2 3 3" xfId="14600"/>
    <cellStyle name="Normal 73 2 3 4" xfId="9343"/>
    <cellStyle name="Normal 73 2 3 5" xfId="23423"/>
    <cellStyle name="Normal 73 2 4" xfId="6701"/>
    <cellStyle name="Normal 73 2 4 2" xfId="15785"/>
    <cellStyle name="Normal 73 2 4 3" xfId="25789"/>
    <cellStyle name="Normal 73 2 5" xfId="14615"/>
    <cellStyle name="Normal 73 2 5 2" xfId="24271"/>
    <cellStyle name="Normal 73 2 6" xfId="12363"/>
    <cellStyle name="Normal 73 2 7" xfId="5179"/>
    <cellStyle name="Normal 73 2 8" xfId="20782"/>
    <cellStyle name="Normal 73 3" xfId="6030"/>
    <cellStyle name="Normal 74" xfId="3259"/>
    <cellStyle name="Normal 74 2" xfId="3341"/>
    <cellStyle name="Normal 74 2 2" xfId="16454"/>
    <cellStyle name="Normal 74 2 2 2" xfId="26673"/>
    <cellStyle name="Normal 74 2 3" xfId="12876"/>
    <cellStyle name="Normal 74 2 4" xfId="7586"/>
    <cellStyle name="Normal 74 2 5" xfId="21666"/>
    <cellStyle name="Normal 74 3" xfId="4326"/>
    <cellStyle name="Normal 74 3 2" xfId="18178"/>
    <cellStyle name="Normal 74 3 2 2" xfId="28429"/>
    <cellStyle name="Normal 74 3 3" xfId="14599"/>
    <cellStyle name="Normal 74 3 4" xfId="9342"/>
    <cellStyle name="Normal 74 3 5" xfId="23422"/>
    <cellStyle name="Normal 74 4" xfId="6702"/>
    <cellStyle name="Normal 74 4 2" xfId="15786"/>
    <cellStyle name="Normal 74 4 3" xfId="25790"/>
    <cellStyle name="Normal 74 5" xfId="14616"/>
    <cellStyle name="Normal 74 5 2" xfId="24272"/>
    <cellStyle name="Normal 74 6" xfId="12298"/>
    <cellStyle name="Normal 74 7" xfId="5180"/>
    <cellStyle name="Normal 74 8" xfId="20783"/>
    <cellStyle name="Normal 75" xfId="3285"/>
    <cellStyle name="Normal 75 2" xfId="3342"/>
    <cellStyle name="Normal 75 2 2" xfId="16455"/>
    <cellStyle name="Normal 75 2 2 2" xfId="26674"/>
    <cellStyle name="Normal 75 2 3" xfId="12877"/>
    <cellStyle name="Normal 75 2 4" xfId="7587"/>
    <cellStyle name="Normal 75 2 5" xfId="21667"/>
    <cellStyle name="Normal 75 3" xfId="4323"/>
    <cellStyle name="Normal 75 3 2" xfId="18175"/>
    <cellStyle name="Normal 75 3 2 2" xfId="28426"/>
    <cellStyle name="Normal 75 3 3" xfId="14596"/>
    <cellStyle name="Normal 75 3 4" xfId="9339"/>
    <cellStyle name="Normal 75 3 5" xfId="23419"/>
    <cellStyle name="Normal 75 4" xfId="6703"/>
    <cellStyle name="Normal 75 4 2" xfId="15787"/>
    <cellStyle name="Normal 75 4 3" xfId="25791"/>
    <cellStyle name="Normal 75 5" xfId="14617"/>
    <cellStyle name="Normal 75 5 2" xfId="24273"/>
    <cellStyle name="Normal 75 6" xfId="12259"/>
    <cellStyle name="Normal 75 7" xfId="5181"/>
    <cellStyle name="Normal 75 8" xfId="20784"/>
    <cellStyle name="Normal 76" xfId="3270"/>
    <cellStyle name="Normal 76 2" xfId="3343"/>
    <cellStyle name="Normal 76 2 2" xfId="16456"/>
    <cellStyle name="Normal 76 2 2 2" xfId="26675"/>
    <cellStyle name="Normal 76 2 3" xfId="12878"/>
    <cellStyle name="Normal 76 2 4" xfId="7588"/>
    <cellStyle name="Normal 76 2 5" xfId="21668"/>
    <cellStyle name="Normal 76 3" xfId="4322"/>
    <cellStyle name="Normal 76 3 2" xfId="18174"/>
    <cellStyle name="Normal 76 3 2 2" xfId="28425"/>
    <cellStyle name="Normal 76 3 3" xfId="14595"/>
    <cellStyle name="Normal 76 3 4" xfId="9338"/>
    <cellStyle name="Normal 76 3 5" xfId="23418"/>
    <cellStyle name="Normal 76 4" xfId="6704"/>
    <cellStyle name="Normal 76 4 2" xfId="15788"/>
    <cellStyle name="Normal 76 4 3" xfId="25792"/>
    <cellStyle name="Normal 76 5" xfId="14618"/>
    <cellStyle name="Normal 76 5 2" xfId="24274"/>
    <cellStyle name="Normal 76 6" xfId="12454"/>
    <cellStyle name="Normal 76 7" xfId="5182"/>
    <cellStyle name="Normal 76 8" xfId="20785"/>
    <cellStyle name="Normal 77" xfId="1847"/>
    <cellStyle name="Normal 77 2" xfId="3334"/>
    <cellStyle name="Normal 77 2 2" xfId="16102"/>
    <cellStyle name="Normal 77 2 2 2" xfId="26320"/>
    <cellStyle name="Normal 77 2 3" xfId="12524"/>
    <cellStyle name="Normal 77 2 4" xfId="7233"/>
    <cellStyle name="Normal 77 2 5" xfId="21313"/>
    <cellStyle name="Normal 77 3" xfId="4331"/>
    <cellStyle name="Normal 77 3 2" xfId="18182"/>
    <cellStyle name="Normal 77 3 2 2" xfId="28433"/>
    <cellStyle name="Normal 77 3 3" xfId="14603"/>
    <cellStyle name="Normal 77 3 4" xfId="9346"/>
    <cellStyle name="Normal 77 3 5" xfId="23426"/>
    <cellStyle name="Normal 77 4" xfId="6349"/>
    <cellStyle name="Normal 77 4 2" xfId="15433"/>
    <cellStyle name="Normal 77 4 3" xfId="25437"/>
    <cellStyle name="Normal 77 5" xfId="14610"/>
    <cellStyle name="Normal 77 5 2" xfId="23919"/>
    <cellStyle name="Normal 77 6" xfId="12425"/>
    <cellStyle name="Normal 77 7" xfId="4827"/>
    <cellStyle name="Normal 77 8" xfId="20430"/>
    <cellStyle name="Normal 78" xfId="1823"/>
    <cellStyle name="Normal 78 2" xfId="3344"/>
    <cellStyle name="Normal 78 2 2" xfId="16457"/>
    <cellStyle name="Normal 78 2 2 2" xfId="26676"/>
    <cellStyle name="Normal 78 2 3" xfId="12879"/>
    <cellStyle name="Normal 78 2 4" xfId="7589"/>
    <cellStyle name="Normal 78 2 5" xfId="21669"/>
    <cellStyle name="Normal 78 3" xfId="3357"/>
    <cellStyle name="Normal 78 3 2" xfId="16857"/>
    <cellStyle name="Normal 78 3 2 2" xfId="27108"/>
    <cellStyle name="Normal 78 3 3" xfId="13278"/>
    <cellStyle name="Normal 78 3 4" xfId="8021"/>
    <cellStyle name="Normal 78 3 5" xfId="22101"/>
    <cellStyle name="Normal 78 4" xfId="6705"/>
    <cellStyle name="Normal 78 4 2" xfId="15789"/>
    <cellStyle name="Normal 78 4 3" xfId="25793"/>
    <cellStyle name="Normal 78 5" xfId="14619"/>
    <cellStyle name="Normal 78 5 2" xfId="24275"/>
    <cellStyle name="Normal 78 6" xfId="12467"/>
    <cellStyle name="Normal 78 7" xfId="5183"/>
    <cellStyle name="Normal 78 8" xfId="20786"/>
    <cellStyle name="Normal 79" xfId="3324"/>
    <cellStyle name="Normal 79 2" xfId="3335"/>
    <cellStyle name="Normal 79 2 2" xfId="16103"/>
    <cellStyle name="Normal 79 2 2 2" xfId="26321"/>
    <cellStyle name="Normal 79 2 3" xfId="12525"/>
    <cellStyle name="Normal 79 2 4" xfId="7234"/>
    <cellStyle name="Normal 79 2 5" xfId="21314"/>
    <cellStyle name="Normal 79 3" xfId="4329"/>
    <cellStyle name="Normal 79 3 2" xfId="18180"/>
    <cellStyle name="Normal 79 3 2 2" xfId="28431"/>
    <cellStyle name="Normal 79 3 3" xfId="14601"/>
    <cellStyle name="Normal 79 3 4" xfId="9344"/>
    <cellStyle name="Normal 79 3 5" xfId="23424"/>
    <cellStyle name="Normal 79 4" xfId="6350"/>
    <cellStyle name="Normal 79 4 2" xfId="15434"/>
    <cellStyle name="Normal 79 4 3" xfId="25438"/>
    <cellStyle name="Normal 79 5" xfId="14611"/>
    <cellStyle name="Normal 79 5 2" xfId="23920"/>
    <cellStyle name="Normal 79 6" xfId="12364"/>
    <cellStyle name="Normal 79 7" xfId="4828"/>
    <cellStyle name="Normal 79 8" xfId="20431"/>
    <cellStyle name="Normal 8" xfId="61"/>
    <cellStyle name="Normal 8 2" xfId="116"/>
    <cellStyle name="Normal 8 3" xfId="107"/>
    <cellStyle name="Normal 80" xfId="3296"/>
    <cellStyle name="Normal 80 2" xfId="3336"/>
    <cellStyle name="Normal 80 2 2" xfId="16104"/>
    <cellStyle name="Normal 80 2 2 2" xfId="26322"/>
    <cellStyle name="Normal 80 2 3" xfId="12526"/>
    <cellStyle name="Normal 80 2 4" xfId="7235"/>
    <cellStyle name="Normal 80 2 5" xfId="21315"/>
    <cellStyle name="Normal 80 3" xfId="4325"/>
    <cellStyle name="Normal 80 3 2" xfId="18177"/>
    <cellStyle name="Normal 80 3 2 2" xfId="28428"/>
    <cellStyle name="Normal 80 3 3" xfId="14598"/>
    <cellStyle name="Normal 80 3 4" xfId="9341"/>
    <cellStyle name="Normal 80 3 5" xfId="23421"/>
    <cellStyle name="Normal 80 4" xfId="6351"/>
    <cellStyle name="Normal 80 4 2" xfId="15435"/>
    <cellStyle name="Normal 80 4 3" xfId="25439"/>
    <cellStyle name="Normal 80 5" xfId="14612"/>
    <cellStyle name="Normal 80 5 2" xfId="23921"/>
    <cellStyle name="Normal 80 6" xfId="12430"/>
    <cellStyle name="Normal 80 7" xfId="4829"/>
    <cellStyle name="Normal 80 8" xfId="20432"/>
    <cellStyle name="Normal 81" xfId="3300"/>
    <cellStyle name="Normal 81 2" xfId="3345"/>
    <cellStyle name="Normal 81 2 2" xfId="16458"/>
    <cellStyle name="Normal 81 2 2 2" xfId="26677"/>
    <cellStyle name="Normal 81 2 3" xfId="12880"/>
    <cellStyle name="Normal 81 2 4" xfId="7590"/>
    <cellStyle name="Normal 81 2 5" xfId="21670"/>
    <cellStyle name="Normal 81 3" xfId="3351"/>
    <cellStyle name="Normal 81 3 2" xfId="16810"/>
    <cellStyle name="Normal 81 3 2 2" xfId="27036"/>
    <cellStyle name="Normal 81 3 3" xfId="13231"/>
    <cellStyle name="Normal 81 3 4" xfId="7949"/>
    <cellStyle name="Normal 81 3 5" xfId="22029"/>
    <cellStyle name="Normal 81 4" xfId="6706"/>
    <cellStyle name="Normal 81 4 2" xfId="15790"/>
    <cellStyle name="Normal 81 4 3" xfId="25794"/>
    <cellStyle name="Normal 81 5" xfId="14620"/>
    <cellStyle name="Normal 81 5 2" xfId="24276"/>
    <cellStyle name="Normal 81 6" xfId="12423"/>
    <cellStyle name="Normal 81 7" xfId="5184"/>
    <cellStyle name="Normal 81 8" xfId="20787"/>
    <cellStyle name="Normal 82" xfId="3284"/>
    <cellStyle name="Normal 82 2" xfId="3346"/>
    <cellStyle name="Normal 82 2 2" xfId="16459"/>
    <cellStyle name="Normal 82 2 2 2" xfId="26678"/>
    <cellStyle name="Normal 82 2 3" xfId="12881"/>
    <cellStyle name="Normal 82 2 4" xfId="7591"/>
    <cellStyle name="Normal 82 2 5" xfId="21671"/>
    <cellStyle name="Normal 82 3" xfId="4332"/>
    <cellStyle name="Normal 82 3 2" xfId="18183"/>
    <cellStyle name="Normal 82 3 2 2" xfId="28434"/>
    <cellStyle name="Normal 82 3 3" xfId="14604"/>
    <cellStyle name="Normal 82 3 4" xfId="9347"/>
    <cellStyle name="Normal 82 3 5" xfId="23427"/>
    <cellStyle name="Normal 82 4" xfId="6707"/>
    <cellStyle name="Normal 82 4 2" xfId="15791"/>
    <cellStyle name="Normal 82 4 3" xfId="25795"/>
    <cellStyle name="Normal 82 5" xfId="14621"/>
    <cellStyle name="Normal 82 5 2" xfId="24277"/>
    <cellStyle name="Normal 82 6" xfId="12362"/>
    <cellStyle name="Normal 82 7" xfId="5185"/>
    <cellStyle name="Normal 82 8" xfId="20788"/>
    <cellStyle name="Normal 83" xfId="83"/>
    <cellStyle name="Normal 84" xfId="84"/>
    <cellStyle name="Normal 85" xfId="3264"/>
    <cellStyle name="Normal 85 2" xfId="3337"/>
    <cellStyle name="Normal 85 2 2" xfId="16105"/>
    <cellStyle name="Normal 85 2 2 2" xfId="26323"/>
    <cellStyle name="Normal 85 2 3" xfId="12527"/>
    <cellStyle name="Normal 85 2 4" xfId="7236"/>
    <cellStyle name="Normal 85 2 5" xfId="21316"/>
    <cellStyle name="Normal 85 3" xfId="4324"/>
    <cellStyle name="Normal 85 3 2" xfId="18176"/>
    <cellStyle name="Normal 85 3 2 2" xfId="28427"/>
    <cellStyle name="Normal 85 3 3" xfId="14597"/>
    <cellStyle name="Normal 85 3 4" xfId="9340"/>
    <cellStyle name="Normal 85 3 5" xfId="23420"/>
    <cellStyle name="Normal 85 4" xfId="6352"/>
    <cellStyle name="Normal 85 4 2" xfId="15436"/>
    <cellStyle name="Normal 85 4 3" xfId="25440"/>
    <cellStyle name="Normal 85 5" xfId="14613"/>
    <cellStyle name="Normal 85 5 2" xfId="23922"/>
    <cellStyle name="Normal 85 6" xfId="12491"/>
    <cellStyle name="Normal 85 7" xfId="4830"/>
    <cellStyle name="Normal 85 8" xfId="20433"/>
    <cellStyle name="Normal 86" xfId="85"/>
    <cellStyle name="Normal 87" xfId="3295"/>
    <cellStyle name="Normal 87 2" xfId="3333"/>
    <cellStyle name="Normal 87 2 2" xfId="16101"/>
    <cellStyle name="Normal 87 2 2 2" xfId="26319"/>
    <cellStyle name="Normal 87 2 3" xfId="12523"/>
    <cellStyle name="Normal 87 2 4" xfId="7232"/>
    <cellStyle name="Normal 87 2 5" xfId="21312"/>
    <cellStyle name="Normal 87 3" xfId="4333"/>
    <cellStyle name="Normal 87 3 2" xfId="18184"/>
    <cellStyle name="Normal 87 3 2 2" xfId="28435"/>
    <cellStyle name="Normal 87 3 3" xfId="14605"/>
    <cellStyle name="Normal 87 3 4" xfId="9348"/>
    <cellStyle name="Normal 87 3 5" xfId="23428"/>
    <cellStyle name="Normal 87 4" xfId="6348"/>
    <cellStyle name="Normal 87 4 2" xfId="15432"/>
    <cellStyle name="Normal 87 4 3" xfId="25436"/>
    <cellStyle name="Normal 87 5" xfId="14609"/>
    <cellStyle name="Normal 87 5 2" xfId="23918"/>
    <cellStyle name="Normal 87 6" xfId="12450"/>
    <cellStyle name="Normal 87 7" xfId="4826"/>
    <cellStyle name="Normal 87 8" xfId="20429"/>
    <cellStyle name="Normal 88" xfId="3348"/>
    <cellStyle name="Normal 89" xfId="3350"/>
    <cellStyle name="Normal 9" xfId="108"/>
    <cellStyle name="Normal 9 2" xfId="468"/>
    <cellStyle name="Normal 9 2 10" xfId="4506"/>
    <cellStyle name="Normal 9 2 11" xfId="19935"/>
    <cellStyle name="Normal 9 2 2" xfId="834"/>
    <cellStyle name="Normal 9 2 2 2" xfId="2557"/>
    <cellStyle name="Normal 9 2 2 2 2" xfId="16098"/>
    <cellStyle name="Normal 9 2 2 2 2 2" xfId="26316"/>
    <cellStyle name="Normal 9 2 2 2 3" xfId="12520"/>
    <cellStyle name="Normal 9 2 2 2 4" xfId="7229"/>
    <cellStyle name="Normal 9 2 2 2 5" xfId="21309"/>
    <cellStyle name="Normal 9 2 2 3" xfId="3831"/>
    <cellStyle name="Normal 9 2 2 3 2" xfId="17477"/>
    <cellStyle name="Normal 9 2 2 3 2 2" xfId="27728"/>
    <cellStyle name="Normal 9 2 2 3 3" xfId="13898"/>
    <cellStyle name="Normal 9 2 2 3 4" xfId="8641"/>
    <cellStyle name="Normal 9 2 2 3 5" xfId="22721"/>
    <cellStyle name="Normal 9 2 2 4" xfId="6345"/>
    <cellStyle name="Normal 9 2 2 4 2" xfId="15429"/>
    <cellStyle name="Normal 9 2 2 4 3" xfId="25433"/>
    <cellStyle name="Normal 9 2 2 5" xfId="10095"/>
    <cellStyle name="Normal 9 2 2 5 2" xfId="18922"/>
    <cellStyle name="Normal 9 2 2 5 3" xfId="29173"/>
    <cellStyle name="Normal 9 2 2 6" xfId="11541"/>
    <cellStyle name="Normal 9 2 2 6 2" xfId="23915"/>
    <cellStyle name="Normal 9 2 2 7" xfId="4823"/>
    <cellStyle name="Normal 9 2 2 8" xfId="20426"/>
    <cellStyle name="Normal 9 2 3" xfId="1183"/>
    <cellStyle name="Normal 9 2 3 2" xfId="2905"/>
    <cellStyle name="Normal 9 2 3 2 2" xfId="16460"/>
    <cellStyle name="Normal 9 2 3 2 2 2" xfId="26679"/>
    <cellStyle name="Normal 9 2 3 2 3" xfId="12882"/>
    <cellStyle name="Normal 9 2 3 2 4" xfId="7592"/>
    <cellStyle name="Normal 9 2 3 2 5" xfId="21672"/>
    <cellStyle name="Normal 9 2 3 3" xfId="4179"/>
    <cellStyle name="Normal 9 2 3 3 2" xfId="17825"/>
    <cellStyle name="Normal 9 2 3 3 2 2" xfId="28076"/>
    <cellStyle name="Normal 9 2 3 3 3" xfId="14246"/>
    <cellStyle name="Normal 9 2 3 3 4" xfId="8989"/>
    <cellStyle name="Normal 9 2 3 3 5" xfId="23069"/>
    <cellStyle name="Normal 9 2 3 4" xfId="6708"/>
    <cellStyle name="Normal 9 2 3 4 2" xfId="15792"/>
    <cellStyle name="Normal 9 2 3 4 3" xfId="25796"/>
    <cellStyle name="Normal 9 2 3 5" xfId="10443"/>
    <cellStyle name="Normal 9 2 3 5 2" xfId="19270"/>
    <cellStyle name="Normal 9 2 3 5 3" xfId="29521"/>
    <cellStyle name="Normal 9 2 3 6" xfId="11889"/>
    <cellStyle name="Normal 9 2 3 6 2" xfId="24278"/>
    <cellStyle name="Normal 9 2 3 7" xfId="5186"/>
    <cellStyle name="Normal 9 2 3 8" xfId="20789"/>
    <cellStyle name="Normal 9 2 4" xfId="1655"/>
    <cellStyle name="Normal 9 2 4 2" xfId="3250"/>
    <cellStyle name="Normal 9 2 4 2 2" xfId="16806"/>
    <cellStyle name="Normal 9 2 4 2 2 2" xfId="27025"/>
    <cellStyle name="Normal 9 2 4 2 3" xfId="13227"/>
    <cellStyle name="Normal 9 2 4 2 4" xfId="7938"/>
    <cellStyle name="Normal 9 2 4 2 5" xfId="22018"/>
    <cellStyle name="Normal 9 2 4 3" xfId="4319"/>
    <cellStyle name="Normal 9 2 4 3 2" xfId="18170"/>
    <cellStyle name="Normal 9 2 4 3 2 2" xfId="28421"/>
    <cellStyle name="Normal 9 2 4 3 3" xfId="14591"/>
    <cellStyle name="Normal 9 2 4 3 4" xfId="9334"/>
    <cellStyle name="Normal 9 2 4 3 5" xfId="23414"/>
    <cellStyle name="Normal 9 2 4 4" xfId="6026"/>
    <cellStyle name="Normal 9 2 4 4 2" xfId="15112"/>
    <cellStyle name="Normal 9 2 4 4 3" xfId="25116"/>
    <cellStyle name="Normal 9 2 4 5" xfId="10788"/>
    <cellStyle name="Normal 9 2 4 5 2" xfId="19615"/>
    <cellStyle name="Normal 9 2 4 5 3" xfId="29866"/>
    <cellStyle name="Normal 9 2 4 6" xfId="12234"/>
    <cellStyle name="Normal 9 2 4 6 2" xfId="24624"/>
    <cellStyle name="Normal 9 2 4 7" xfId="5532"/>
    <cellStyle name="Normal 9 2 4 8" xfId="20109"/>
    <cellStyle name="Normal 9 2 5" xfId="2207"/>
    <cellStyle name="Normal 9 2 5 2" xfId="15955"/>
    <cellStyle name="Normal 9 2 5 2 2" xfId="25999"/>
    <cellStyle name="Normal 9 2 5 3" xfId="12280"/>
    <cellStyle name="Normal 9 2 5 4" xfId="6912"/>
    <cellStyle name="Normal 9 2 5 5" xfId="20992"/>
    <cellStyle name="Normal 9 2 6" xfId="3481"/>
    <cellStyle name="Normal 9 2 6 2" xfId="17127"/>
    <cellStyle name="Normal 9 2 6 2 2" xfId="27378"/>
    <cellStyle name="Normal 9 2 6 3" xfId="13548"/>
    <cellStyle name="Normal 9 2 6 4" xfId="8291"/>
    <cellStyle name="Normal 9 2 6 5" xfId="22371"/>
    <cellStyle name="Normal 9 2 7" xfId="5852"/>
    <cellStyle name="Normal 9 2 7 2" xfId="14938"/>
    <cellStyle name="Normal 9 2 7 3" xfId="24942"/>
    <cellStyle name="Normal 9 2 8" xfId="9745"/>
    <cellStyle name="Normal 9 2 8 2" xfId="18572"/>
    <cellStyle name="Normal 9 2 8 3" xfId="28823"/>
    <cellStyle name="Normal 9 2 9" xfId="11189"/>
    <cellStyle name="Normal 9 2 9 2" xfId="23598"/>
    <cellStyle name="Normal 9 2_Degree data" xfId="1810"/>
    <cellStyle name="Normal 90" xfId="3796"/>
    <cellStyle name="Normal 91" xfId="4327"/>
    <cellStyle name="Normal 92" xfId="5536"/>
    <cellStyle name="Normal 93" xfId="6710"/>
    <cellStyle name="Normal 94" xfId="9350"/>
    <cellStyle name="Normal 95" xfId="9349"/>
    <cellStyle name="Normal 96" xfId="9354"/>
    <cellStyle name="Normal 97" xfId="9355"/>
    <cellStyle name="Normal 98" xfId="86"/>
    <cellStyle name="Normal 99" xfId="9357"/>
    <cellStyle name="Normal_01Degrees05" xfId="2"/>
    <cellStyle name="Normal_03SCH&amp;FTE05" xfId="4334"/>
    <cellStyle name="Normal_03TTA09mastersurvey" xfId="50"/>
    <cellStyle name="Normal_Degree02 Form" xfId="474"/>
    <cellStyle name="Normal_Degree02 Form 2" xfId="47"/>
    <cellStyle name="Normal_Degree02 Form 3" xfId="3279"/>
    <cellStyle name="Normal_Degrees02 Form" xfId="835"/>
    <cellStyle name="Normal_Degrees02 Form 2" xfId="476"/>
    <cellStyle name="Normal_Degrees02 Form 3" xfId="29871"/>
    <cellStyle name="Normal_SCH&amp;FTE02 Form" xfId="475"/>
    <cellStyle name="Normal_SCH&amp;FTE03 Form" xfId="29870"/>
    <cellStyle name="Normal_StProg01B" xfId="473"/>
    <cellStyle name="Normal_StProg02 Form" xfId="1188"/>
    <cellStyle name="Normal_Tuition02 Form" xfId="472"/>
    <cellStyle name="Note 2" xfId="3311"/>
    <cellStyle name="Note 2 10" xfId="20790"/>
    <cellStyle name="Note 2 2" xfId="3267"/>
    <cellStyle name="Note 2 3" xfId="3291"/>
    <cellStyle name="Note 2 4" xfId="3347"/>
    <cellStyle name="Note 2 4 2" xfId="16461"/>
    <cellStyle name="Note 2 4 2 2" xfId="26680"/>
    <cellStyle name="Note 2 4 3" xfId="12883"/>
    <cellStyle name="Note 2 4 4" xfId="7593"/>
    <cellStyle name="Note 2 4 5" xfId="21673"/>
    <cellStyle name="Note 2 5" xfId="3356"/>
    <cellStyle name="Note 2 5 2" xfId="16856"/>
    <cellStyle name="Note 2 5 2 2" xfId="27107"/>
    <cellStyle name="Note 2 5 3" xfId="13277"/>
    <cellStyle name="Note 2 5 4" xfId="8020"/>
    <cellStyle name="Note 2 5 5" xfId="22100"/>
    <cellStyle name="Note 2 6" xfId="6709"/>
    <cellStyle name="Note 2 6 2" xfId="15793"/>
    <cellStyle name="Note 2 6 3" xfId="25797"/>
    <cellStyle name="Note 2 7" xfId="14622"/>
    <cellStyle name="Note 2 7 2" xfId="24279"/>
    <cellStyle name="Note 2 8" xfId="12485"/>
    <cellStyle name="Note 2 9" xfId="5187"/>
    <cellStyle name="Note 3" xfId="3307"/>
    <cellStyle name="Note 4" xfId="3273"/>
    <cellStyle name="Output 2" xfId="3323"/>
    <cellStyle name="Output 3" xfId="3274"/>
    <cellStyle name="Percent" xfId="3" builtinId="5"/>
    <cellStyle name="Percent 2" xfId="43"/>
    <cellStyle name="Percent 2 2" xfId="113"/>
    <cellStyle name="Percent 2 2 2" xfId="185"/>
    <cellStyle name="Percent 2 2 3" xfId="170"/>
    <cellStyle name="Percent 2 3" xfId="3269"/>
    <cellStyle name="Percent 3" xfId="46"/>
    <cellStyle name="Percent 4" xfId="59"/>
    <cellStyle name="Percent 5" xfId="56"/>
    <cellStyle name="Percent 6" xfId="3261"/>
    <cellStyle name="questionable" xfId="4"/>
    <cellStyle name="questionable 2" xfId="98"/>
    <cellStyle name="review" xfId="5"/>
    <cellStyle name="Title 2" xfId="3258"/>
    <cellStyle name="Total 2" xfId="3268"/>
    <cellStyle name="Total 3" xfId="3320"/>
    <cellStyle name="Warning Text 2" xfId="3319"/>
  </cellStyles>
  <dxfs count="1203"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7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7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7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5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microsoft.com/office/2007/relationships/customDataProps" Target="customData/itemProps1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sa Cowan" refreshedDate="41675.418287499997" createdVersion="4" refreshedVersion="4" minRefreshableVersion="3" recordCount="718">
  <cacheSource type="worksheet">
    <worksheetSource ref="A9:FO727" sheet="Degree data"/>
  </cacheSource>
  <cacheFields count="195">
    <cacheField name="State" numFmtId="49">
      <sharedItems count="17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s v="WV " u="1"/>
      </sharedItems>
    </cacheField>
    <cacheField name="Institution" numFmtId="0">
      <sharedItems/>
    </cacheField>
    <cacheField name="Note" numFmtId="0">
      <sharedItems containsBlank="1"/>
    </cacheField>
    <cacheField name="ID" numFmtId="0">
      <sharedItems containsMixedTypes="1" containsNumber="1" containsInteger="1" minValue="100654" maxValue="870501"/>
    </cacheField>
    <cacheField name="SREB Type" numFmtId="0">
      <sharedItems containsMixedTypes="1" containsNumber="1" containsInteger="1" minValue="1" maxValue="99" count="16">
        <n v="1"/>
        <n v="2"/>
        <n v="3"/>
        <n v="4"/>
        <n v="5"/>
        <n v="6"/>
        <n v="8"/>
        <n v="9"/>
        <n v="10"/>
        <n v="12"/>
        <n v="13"/>
        <n v="15"/>
        <n v="7"/>
        <n v="99"/>
        <n v="14"/>
        <s v="???"/>
      </sharedItems>
      <fieldGroup par="185"/>
    </cacheField>
    <cacheField name="Old-Less Than 2-Year" numFmtId="37">
      <sharedItems containsString="0" containsBlank="1" containsNumber="1" containsInteger="1" minValue="0" maxValue="3780"/>
    </cacheField>
    <cacheField name="New-Less Than 2-Year" numFmtId="0">
      <sharedItems containsBlank="1" containsMixedTypes="1" containsNumber="1" containsInteger="1" minValue="0" maxValue="4055"/>
    </cacheField>
    <cacheField name="Old-2 But Less Than 4-Year" numFmtId="37">
      <sharedItems containsString="0" containsBlank="1" containsNumber="1" containsInteger="1" minValue="0" maxValue="3420"/>
    </cacheField>
    <cacheField name="New-2 But Less Than 4-Year" numFmtId="0">
      <sharedItems containsString="0" containsBlank="1" containsNumber="1" containsInteger="1" minValue="0" maxValue="2542"/>
    </cacheField>
    <cacheField name="Old-Associate's" numFmtId="37">
      <sharedItems containsString="0" containsBlank="1" containsNumber="1" containsInteger="1" minValue="0" maxValue="9445"/>
    </cacheField>
    <cacheField name="New-Associate's" numFmtId="0">
      <sharedItems containsString="0" containsBlank="1" containsNumber="1" containsInteger="1" minValue="0" maxValue="11959"/>
    </cacheField>
    <cacheField name="Old- Asso % of Bachs" numFmtId="9">
      <sharedItems containsSemiMixedTypes="0" containsString="0" containsNumber="1" minValue="0" maxValue="221.86363636363637"/>
    </cacheField>
    <cacheField name="New- Asso % of Bachs" numFmtId="9">
      <sharedItems containsSemiMixedTypes="0" containsString="0" containsNumber="1" minValue="0" maxValue="441"/>
    </cacheField>
    <cacheField name="Old-Bachelor's" numFmtId="37">
      <sharedItems containsString="0" containsBlank="1" containsNumber="1" containsInteger="1" minValue="0" maxValue="10646"/>
    </cacheField>
    <cacheField name="Old-Bach-TeachEd by CIP" numFmtId="37">
      <sharedItems containsString="0" containsBlank="1" containsNumber="1" containsInteger="1" minValue="0" maxValue="674"/>
    </cacheField>
    <cacheField name="Old-Bach-TeachEd by Courses" numFmtId="37">
      <sharedItems containsString="0" containsBlank="1" containsNumber="1" containsInteger="1" minValue="0" maxValue="535"/>
    </cacheField>
    <cacheField name="Old-Bach-TeachEd-Other" numFmtId="37">
      <sharedItems containsString="0" containsBlank="1" containsNumber="1" containsInteger="1" minValue="0" maxValue="798"/>
    </cacheField>
    <cacheField name="Old-Bach-TeachEd-Subtot" numFmtId="37">
      <sharedItems containsSemiMixedTypes="0" containsString="0" containsNumber="1" containsInteger="1" minValue="0" maxValue="798"/>
    </cacheField>
    <cacheField name="New-Bachelor's" numFmtId="0">
      <sharedItems containsString="0" containsBlank="1" containsNumber="1" containsInteger="1" minValue="0" maxValue="11514"/>
    </cacheField>
    <cacheField name="New-Bach-TeachEd by CIP" numFmtId="0">
      <sharedItems containsString="0" containsBlank="1" containsNumber="1" containsInteger="1" minValue="0" maxValue="712"/>
    </cacheField>
    <cacheField name="New-Bach-TeachEd by Courses" numFmtId="37">
      <sharedItems containsString="0" containsBlank="1" containsNumber="1" containsInteger="1" minValue="16" maxValue="583"/>
    </cacheField>
    <cacheField name="New-Bach-TeachEd-Other" numFmtId="37">
      <sharedItems containsString="0" containsBlank="1" containsNumber="1" containsInteger="1" minValue="0" maxValue="820"/>
    </cacheField>
    <cacheField name="New-Bach-TeachEd-Subtot" numFmtId="37">
      <sharedItems containsSemiMixedTypes="0" containsString="0" containsNumber="1" containsInteger="1" minValue="0" maxValue="820"/>
    </cacheField>
    <cacheField name="Old-B1 CIP" numFmtId="37">
      <sharedItems containsBlank="1" containsMixedTypes="1" containsNumber="1" containsInteger="1" minValue="1" maxValue="52"/>
    </cacheField>
    <cacheField name="Old-B1 #" numFmtId="37">
      <sharedItems containsString="0" containsBlank="1" containsNumber="1" containsInteger="1" minValue="7" maxValue="381"/>
    </cacheField>
    <cacheField name="New-B1 CIP" numFmtId="0">
      <sharedItems containsBlank="1" containsMixedTypes="1" containsNumber="1" containsInteger="1" minValue="1" maxValue="52"/>
    </cacheField>
    <cacheField name="New-B1 #" numFmtId="0">
      <sharedItems containsString="0" containsBlank="1" containsNumber="1" containsInteger="1" minValue="2" maxValue="437"/>
    </cacheField>
    <cacheField name="Old-B2 CIP" numFmtId="37">
      <sharedItems containsBlank="1" containsMixedTypes="1" containsNumber="1" containsInteger="1" minValue="3" maxValue="51"/>
    </cacheField>
    <cacheField name="Old-B2 #" numFmtId="37">
      <sharedItems containsString="0" containsBlank="1" containsNumber="1" containsInteger="1" minValue="6" maxValue="208"/>
    </cacheField>
    <cacheField name="New-B2 CIP" numFmtId="0">
      <sharedItems containsBlank="1" containsMixedTypes="1" containsNumber="1" containsInteger="1" minValue="11" maxValue="52"/>
    </cacheField>
    <cacheField name="New-B2 #" numFmtId="0">
      <sharedItems containsString="0" containsBlank="1" containsNumber="1" containsInteger="1" minValue="2" maxValue="189"/>
    </cacheField>
    <cacheField name="Old-B3 CIP" numFmtId="37">
      <sharedItems containsBlank="1" containsMixedTypes="1" containsNumber="1" containsInteger="1" minValue="13" maxValue="52"/>
    </cacheField>
    <cacheField name="Old-B3 #" numFmtId="37">
      <sharedItems containsString="0" containsBlank="1" containsNumber="1" containsInteger="1" minValue="2" maxValue="190"/>
    </cacheField>
    <cacheField name="New-B3 CIP" numFmtId="0">
      <sharedItems containsBlank="1" containsMixedTypes="1" containsNumber="1" containsInteger="1" minValue="3" maxValue="52"/>
    </cacheField>
    <cacheField name="New-B3 #" numFmtId="0">
      <sharedItems containsString="0" containsBlank="1" containsNumber="1" containsInteger="1" minValue="12" maxValue="187"/>
    </cacheField>
    <cacheField name="Old-B4 CIP" numFmtId="37">
      <sharedItems containsBlank="1" containsMixedTypes="1" containsNumber="1" containsInteger="1" minValue="11" maxValue="50"/>
    </cacheField>
    <cacheField name="Old-B4 #" numFmtId="37">
      <sharedItems containsString="0" containsBlank="1" containsNumber="1" containsInteger="1" minValue="4" maxValue="71"/>
    </cacheField>
    <cacheField name="New-B4 CIP" numFmtId="0">
      <sharedItems containsBlank="1" containsMixedTypes="1" containsNumber="1" containsInteger="1" minValue="11" maxValue="44"/>
    </cacheField>
    <cacheField name="New-B4 #" numFmtId="0">
      <sharedItems containsString="0" containsBlank="1" containsNumber="1" containsInteger="1" minValue="2" maxValue="145"/>
    </cacheField>
    <cacheField name="Old-B5 CIP" numFmtId="37">
      <sharedItems containsBlank="1" containsMixedTypes="1" containsNumber="1" containsInteger="1" minValue="9" maxValue="44"/>
    </cacheField>
    <cacheField name="Old-B5 #" numFmtId="37">
      <sharedItems containsString="0" containsBlank="1" containsNumber="1" containsInteger="1" minValue="1" maxValue="61"/>
    </cacheField>
    <cacheField name="New-B5 CIP" numFmtId="0">
      <sharedItems containsBlank="1" containsMixedTypes="1" containsNumber="1" containsInteger="1" minValue="26" maxValue="54"/>
    </cacheField>
    <cacheField name="New-B5 #" numFmtId="0">
      <sharedItems containsString="0" containsBlank="1" containsNumber="1" containsInteger="1" minValue="1" maxValue="81"/>
    </cacheField>
    <cacheField name="Old-Bachs#CIPs" numFmtId="37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7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7">
      <sharedItems containsString="0" containsBlank="1" containsNumber="1" containsInteger="1" minValue="0" maxValue="565"/>
    </cacheField>
    <cacheField name="New-Post-Bachelor's" numFmtId="0">
      <sharedItems containsString="0" containsBlank="1" containsNumber="1" containsInteger="1" minValue="0" maxValue="692"/>
    </cacheField>
    <cacheField name="Old-M1 CIP" numFmtId="37">
      <sharedItems containsBlank="1" containsMixedTypes="1" containsNumber="1" containsInteger="1" minValue="3" maxValue="52"/>
    </cacheField>
    <cacheField name="Old-M1 #" numFmtId="37">
      <sharedItems containsString="0" containsBlank="1" containsNumber="1" containsInteger="1" minValue="6" maxValue="2271"/>
    </cacheField>
    <cacheField name="New-M1 CIP" numFmtId="0">
      <sharedItems containsString="0" containsBlank="1" containsNumber="1" containsInteger="1" minValue="3" maxValue="52"/>
    </cacheField>
    <cacheField name="New-M1 #" numFmtId="0">
      <sharedItems containsString="0" containsBlank="1" containsNumber="1" containsInteger="1" minValue="6" maxValue="2324"/>
    </cacheField>
    <cacheField name="Old-M2 CIP" numFmtId="37">
      <sharedItems containsString="0" containsBlank="1" containsNumber="1" containsInteger="1" minValue="3" maxValue="52"/>
    </cacheField>
    <cacheField name="Old-M2 #" numFmtId="37">
      <sharedItems containsString="0" containsBlank="1" containsNumber="1" containsInteger="1" minValue="1" maxValue="873"/>
    </cacheField>
    <cacheField name="New-M2 CIP" numFmtId="0">
      <sharedItems containsBlank="1" containsMixedTypes="1" containsNumber="1" containsInteger="1" minValue="1" maxValue="91"/>
    </cacheField>
    <cacheField name="New-M2 #" numFmtId="0">
      <sharedItems containsString="0" containsBlank="1" containsNumber="1" containsInteger="1" minValue="1" maxValue="965"/>
    </cacheField>
    <cacheField name="Old-M3 CIP" numFmtId="37">
      <sharedItems containsString="0" containsBlank="1" containsNumber="1" containsInteger="1" minValue="0" maxValue="91"/>
    </cacheField>
    <cacheField name="Old-M3 #" numFmtId="37">
      <sharedItems containsString="0" containsBlank="1" containsNumber="1" containsInteger="1" minValue="0" maxValue="536"/>
    </cacheField>
    <cacheField name="New-M3 CIP" numFmtId="0">
      <sharedItems containsString="0" containsBlank="1" containsNumber="1" containsInteger="1" minValue="0" maxValue="54"/>
    </cacheField>
    <cacheField name="New-M3 #" numFmtId="0">
      <sharedItems containsString="0" containsBlank="1" containsNumber="1" containsInteger="1" minValue="0" maxValue="548"/>
    </cacheField>
    <cacheField name="Old-M4 CIP" numFmtId="37">
      <sharedItems containsString="0" containsBlank="1" containsNumber="1" containsInteger="1" minValue="0" maxValue="54"/>
    </cacheField>
    <cacheField name="Old-M4 #" numFmtId="37">
      <sharedItems containsString="0" containsBlank="1" containsNumber="1" containsInteger="1" minValue="0" maxValue="488"/>
    </cacheField>
    <cacheField name="New-M4 CIP" numFmtId="0">
      <sharedItems containsString="0" containsBlank="1" containsNumber="1" containsInteger="1" minValue="0" maxValue="54"/>
    </cacheField>
    <cacheField name="New-M4 #" numFmtId="0">
      <sharedItems containsString="0" containsBlank="1" containsNumber="1" containsInteger="1" minValue="0" maxValue="366"/>
    </cacheField>
    <cacheField name="Old-M5 CIP" numFmtId="37">
      <sharedItems containsString="0" containsBlank="1" containsNumber="1" containsInteger="1" minValue="0" maxValue="54"/>
    </cacheField>
    <cacheField name="Old-M5 #" numFmtId="37">
      <sharedItems containsString="0" containsBlank="1" containsNumber="1" containsInteger="1" minValue="0" maxValue="241"/>
    </cacheField>
    <cacheField name="New-M5 CIP" numFmtId="0">
      <sharedItems containsBlank="1" containsMixedTypes="1" containsNumber="1" containsInteger="1" minValue="0" maxValue="54"/>
    </cacheField>
    <cacheField name="New-M5 #" numFmtId="0">
      <sharedItems containsString="0" containsBlank="1" containsNumber="1" containsInteger="1" minValue="0" maxValue="255"/>
    </cacheField>
    <cacheField name="Old-M6 CIP" numFmtId="37">
      <sharedItems containsBlank="1" containsMixedTypes="1" containsNumber="1" containsInteger="1" minValue="0" maxValue="54"/>
    </cacheField>
    <cacheField name="Old-M6 #" numFmtId="37">
      <sharedItems containsString="0" containsBlank="1" containsNumber="1" containsInteger="1" minValue="0" maxValue="213"/>
    </cacheField>
    <cacheField name="New-M6 CIP" numFmtId="0">
      <sharedItems containsString="0" containsBlank="1" containsNumber="1" containsInteger="1" minValue="0" maxValue="54"/>
    </cacheField>
    <cacheField name="New-M6 #" numFmtId="0">
      <sharedItems containsString="0" containsBlank="1" containsNumber="1" containsInteger="1" minValue="0" maxValue="233"/>
    </cacheField>
    <cacheField name="Old-M7 CIP" numFmtId="37">
      <sharedItems containsBlank="1" containsMixedTypes="1" containsNumber="1" containsInteger="1" minValue="0" maxValue="54"/>
    </cacheField>
    <cacheField name="Old-M7 #" numFmtId="37">
      <sharedItems containsString="0" containsBlank="1" containsNumber="1" containsInteger="1" minValue="0" maxValue="185"/>
    </cacheField>
    <cacheField name="New-M7 CIP" numFmtId="0">
      <sharedItems containsBlank="1" containsMixedTypes="1" containsNumber="1" containsInteger="1" minValue="0" maxValue="54"/>
    </cacheField>
    <cacheField name="New-M7 #" numFmtId="0">
      <sharedItems containsString="0" containsBlank="1" containsNumber="1" containsInteger="1" minValue="0" maxValue="202"/>
    </cacheField>
    <cacheField name="Old-M8 CIP" numFmtId="37">
      <sharedItems containsString="0" containsBlank="1" containsNumber="1" containsInteger="1" minValue="0" maxValue="54"/>
    </cacheField>
    <cacheField name="Old-M8 #" numFmtId="37">
      <sharedItems containsString="0" containsBlank="1" containsNumber="1" containsInteger="1" minValue="0" maxValue="143"/>
    </cacheField>
    <cacheField name="New-M8 CIP" numFmtId="0">
      <sharedItems containsString="0" containsBlank="1" containsNumber="1" containsInteger="1" minValue="0" maxValue="54"/>
    </cacheField>
    <cacheField name="New-M8 #" numFmtId="0">
      <sharedItems containsString="0" containsBlank="1" containsNumber="1" containsInteger="1" minValue="0" maxValue="170"/>
    </cacheField>
    <cacheField name="Old-M9 CIP" numFmtId="37">
      <sharedItems containsString="0" containsBlank="1" containsNumber="1" containsInteger="1" minValue="0" maxValue="54"/>
    </cacheField>
    <cacheField name="Old-M9 #" numFmtId="37">
      <sharedItems containsString="0" containsBlank="1" containsNumber="1" containsInteger="1" minValue="0" maxValue="102"/>
    </cacheField>
    <cacheField name="New-M9 CIP" numFmtId="0">
      <sharedItems containsString="0" containsBlank="1" containsNumber="1" containsInteger="1" minValue="0" maxValue="54"/>
    </cacheField>
    <cacheField name="New-M9 #" numFmtId="0">
      <sharedItems containsString="0" containsBlank="1" containsNumber="1" containsInteger="1" minValue="0" maxValue="117"/>
    </cacheField>
    <cacheField name="Old-M10 CIP" numFmtId="37">
      <sharedItems containsString="0" containsBlank="1" containsNumber="1" containsInteger="1" minValue="0" maxValue="54"/>
    </cacheField>
    <cacheField name="Old-M10 #" numFmtId="37">
      <sharedItems containsString="0" containsBlank="1" containsNumber="1" containsInteger="1" minValue="0" maxValue="93"/>
    </cacheField>
    <cacheField name="New-M10 CIP" numFmtId="0">
      <sharedItems containsBlank="1" containsMixedTypes="1" containsNumber="1" containsInteger="1" minValue="0" maxValue="54"/>
    </cacheField>
    <cacheField name="New-M10 #" numFmtId="0">
      <sharedItems containsString="0" containsBlank="1" containsNumber="1" containsInteger="1" minValue="0" maxValue="95"/>
    </cacheField>
    <cacheField name="Old-Other Master's" numFmtId="37">
      <sharedItems containsString="0" containsBlank="1" containsNumber="1" containsInteger="1" minValue="0" maxValue="517"/>
    </cacheField>
    <cacheField name="New-Other Master's" numFmtId="0">
      <sharedItems containsString="0" containsBlank="1" containsNumber="1" containsInteger="1" minValue="0" maxValue="515"/>
    </cacheField>
    <cacheField name="Old-Total Master's#" numFmtId="37">
      <sharedItems containsSemiMixedTypes="0" containsString="0" containsNumber="1" containsInteger="1" minValue="0" maxValue="3921"/>
    </cacheField>
    <cacheField name="Old-Master'sCIP" numFmtId="37">
      <sharedItems containsSemiMixedTypes="0" containsString="0" containsNumber="1" containsInteger="1" minValue="0" maxValue="10"/>
    </cacheField>
    <cacheField name="New-Total Master's#" numFmtId="37">
      <sharedItems containsSemiMixedTypes="0" containsString="0" containsNumber="1" containsInteger="1" minValue="0" maxValue="3951"/>
    </cacheField>
    <cacheField name="New-Master's CIP" numFmtId="37">
      <sharedItems containsSemiMixedTypes="0" containsString="0" containsNumber="1" containsInteger="1" minValue="0" maxValue="10"/>
    </cacheField>
    <cacheField name="Old-D1 CIP" numFmtId="37">
      <sharedItems containsString="0" containsBlank="1" containsNumber="1" containsInteger="1" minValue="1" maxValue="52"/>
    </cacheField>
    <cacheField name="Old-D1 #" numFmtId="37">
      <sharedItems containsString="0" containsBlank="1" containsNumber="1" containsInteger="1" minValue="0" maxValue="291"/>
    </cacheField>
    <cacheField name="New-D1 CIP" numFmtId="0">
      <sharedItems containsBlank="1" containsMixedTypes="1" containsNumber="1" containsInteger="1" minValue="1" maxValue="52"/>
    </cacheField>
    <cacheField name="New-D1 #" numFmtId="0">
      <sharedItems containsString="0" containsBlank="1" containsNumber="1" containsInteger="1" minValue="1" maxValue="307"/>
    </cacheField>
    <cacheField name="Old-D2 CIP" numFmtId="37">
      <sharedItems containsString="0" containsBlank="1" containsNumber="1" containsInteger="1" minValue="0" maxValue="52"/>
    </cacheField>
    <cacheField name="Old-D2 #" numFmtId="37">
      <sharedItems containsString="0" containsBlank="1" containsNumber="1" containsInteger="1" minValue="0" maxValue="214"/>
    </cacheField>
    <cacheField name="New-D2 CIP" numFmtId="0">
      <sharedItems containsString="0" containsBlank="1" containsNumber="1" containsInteger="1" minValue="0" maxValue="54"/>
    </cacheField>
    <cacheField name="New-D2 #" numFmtId="0">
      <sharedItems containsString="0" containsBlank="1" containsNumber="1" containsInteger="1" minValue="0" maxValue="169"/>
    </cacheField>
    <cacheField name="Old-D3 CIP" numFmtId="37">
      <sharedItems containsString="0" containsBlank="1" containsNumber="1" containsInteger="1" minValue="0" maxValue="54"/>
    </cacheField>
    <cacheField name="Old-D3 #" numFmtId="37">
      <sharedItems containsString="0" containsBlank="1" containsNumber="1" containsInteger="1" minValue="0" maxValue="111"/>
    </cacheField>
    <cacheField name="New-D3 CIP" numFmtId="0">
      <sharedItems containsString="0" containsBlank="1" containsNumber="1" containsInteger="1" minValue="0" maxValue="52"/>
    </cacheField>
    <cacheField name="New-D3 #" numFmtId="0">
      <sharedItems containsString="0" containsBlank="1" containsNumber="1" containsInteger="1" minValue="0" maxValue="117"/>
    </cacheField>
    <cacheField name="Old-D4 CIP" numFmtId="37">
      <sharedItems containsString="0" containsBlank="1" containsNumber="1" containsInteger="1" minValue="0" maxValue="52"/>
    </cacheField>
    <cacheField name="Old-D4 #" numFmtId="37">
      <sharedItems containsString="0" containsBlank="1" containsNumber="1" containsInteger="1" minValue="0" maxValue="72"/>
    </cacheField>
    <cacheField name="New-D4 CIP" numFmtId="0">
      <sharedItems containsString="0" containsBlank="1" containsNumber="1" containsInteger="1" minValue="0" maxValue="54"/>
    </cacheField>
    <cacheField name="New-D4 #" numFmtId="0">
      <sharedItems containsString="0" containsBlank="1" containsNumber="1" containsInteger="1" minValue="0" maxValue="75"/>
    </cacheField>
    <cacheField name="Old-D5 CIP" numFmtId="37">
      <sharedItems containsString="0" containsBlank="1" containsNumber="1" containsInteger="1" minValue="0" maxValue="54"/>
    </cacheField>
    <cacheField name="Old-D5 #" numFmtId="37">
      <sharedItems containsString="0" containsBlank="1" containsNumber="1" containsInteger="1" minValue="0" maxValue="60"/>
    </cacheField>
    <cacheField name="New-D5 CIP" numFmtId="0">
      <sharedItems containsBlank="1" containsMixedTypes="1" containsNumber="1" containsInteger="1" minValue="0" maxValue="54"/>
    </cacheField>
    <cacheField name="New-D5 #" numFmtId="0">
      <sharedItems containsString="0" containsBlank="1" containsNumber="1" containsInteger="1" minValue="0" maxValue="62"/>
    </cacheField>
    <cacheField name="Old-D6 CIP" numFmtId="37">
      <sharedItems containsString="0" containsBlank="1" containsNumber="1" containsInteger="1" minValue="0" maxValue="54"/>
    </cacheField>
    <cacheField name="Old-D6 #" numFmtId="37">
      <sharedItems containsString="0" containsBlank="1" containsNumber="1" containsInteger="1" minValue="0" maxValue="50"/>
    </cacheField>
    <cacheField name="New-D6 CIP" numFmtId="0">
      <sharedItems containsString="0" containsBlank="1" containsNumber="1" containsInteger="1" minValue="0" maxValue="54"/>
    </cacheField>
    <cacheField name="New-D6 #" numFmtId="0">
      <sharedItems containsString="0" containsBlank="1" containsNumber="1" containsInteger="1" minValue="0" maxValue="53"/>
    </cacheField>
    <cacheField name="Old-D7 CIP" numFmtId="37">
      <sharedItems containsBlank="1" containsMixedTypes="1" containsNumber="1" containsInteger="1" minValue="0" maxValue="54"/>
    </cacheField>
    <cacheField name="Old-D7 #" numFmtId="37">
      <sharedItems containsString="0" containsBlank="1" containsNumber="1" containsInteger="1" minValue="0" maxValue="45"/>
    </cacheField>
    <cacheField name="New-D7 CIP" numFmtId="0">
      <sharedItems containsString="0" containsBlank="1" containsNumber="1" containsInteger="1" minValue="0" maxValue="54"/>
    </cacheField>
    <cacheField name="New-D7 #" numFmtId="0">
      <sharedItems containsString="0" containsBlank="1" containsNumber="1" containsInteger="1" minValue="0" maxValue="47"/>
    </cacheField>
    <cacheField name="Old-D8 CIP" numFmtId="37">
      <sharedItems containsString="0" containsBlank="1" containsNumber="1" containsInteger="1" minValue="0" maxValue="52"/>
    </cacheField>
    <cacheField name="Old-D8 #" numFmtId="37">
      <sharedItems containsString="0" containsBlank="1" containsNumber="1" containsInteger="1" minValue="0" maxValue="42"/>
    </cacheField>
    <cacheField name="New-D8 CIP" numFmtId="0">
      <sharedItems containsString="0" containsBlank="1" containsNumber="1" containsInteger="1" minValue="0" maxValue="54"/>
    </cacheField>
    <cacheField name="New-D8 #" numFmtId="0">
      <sharedItems containsString="0" containsBlank="1" containsNumber="1" containsInteger="1" minValue="0" maxValue="40"/>
    </cacheField>
    <cacheField name="Old-D9 CIP" numFmtId="37">
      <sharedItems containsBlank="1" containsMixedTypes="1" containsNumber="1" containsInteger="1" minValue="0" maxValue="54"/>
    </cacheField>
    <cacheField name="Old-D9 #" numFmtId="37">
      <sharedItems containsString="0" containsBlank="1" containsNumber="1" containsInteger="1" minValue="0" maxValue="27"/>
    </cacheField>
    <cacheField name="New-D9 CIP" numFmtId="0">
      <sharedItems containsString="0" containsBlank="1" containsNumber="1" containsInteger="1" minValue="0" maxValue="54"/>
    </cacheField>
    <cacheField name="New-D9 #" numFmtId="0">
      <sharedItems containsString="0" containsBlank="1" containsNumber="1" containsInteger="1" minValue="0" maxValue="30"/>
    </cacheField>
    <cacheField name="Old-D10 CIP" numFmtId="37">
      <sharedItems containsString="0" containsBlank="1" containsNumber="1" containsInteger="1" minValue="0" maxValue="54"/>
    </cacheField>
    <cacheField name="Old-D10 #" numFmtId="37">
      <sharedItems containsString="0" containsBlank="1" containsNumber="1" containsInteger="1" minValue="0" maxValue="25"/>
    </cacheField>
    <cacheField name="New-D10 CIP" numFmtId="0">
      <sharedItems containsBlank="1" containsMixedTypes="1" containsNumber="1" containsInteger="1" minValue="0" maxValue="54"/>
    </cacheField>
    <cacheField name="New-D10 #" numFmtId="0">
      <sharedItems containsString="0" containsBlank="1" containsNumber="1" containsInteger="1" minValue="0" maxValue="29"/>
    </cacheField>
    <cacheField name="Old-Other Doctorates" numFmtId="37">
      <sharedItems containsString="0" containsBlank="1" containsNumber="1" containsInteger="1" minValue="0" maxValue="154"/>
    </cacheField>
    <cacheField name="New-Other Doctorates" numFmtId="0">
      <sharedItems containsString="0" containsBlank="1" containsNumber="1" containsInteger="1" minValue="0" maxValue="155"/>
    </cacheField>
    <cacheField name="Old-Total Doctorates#" numFmtId="37">
      <sharedItems containsSemiMixedTypes="0" containsString="0" containsNumber="1" containsInteger="1" minValue="0" maxValue="937"/>
    </cacheField>
    <cacheField name="Old-Doctoral CIPs" numFmtId="37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7">
      <sharedItems containsSemiMixedTypes="0" containsString="0" containsNumber="1" containsInteger="1" minValue="0" maxValue="859"/>
    </cacheField>
    <cacheField name="New-Doctoral CIPs" numFmtId="37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7">
      <sharedItems containsSemiMixedTypes="0" containsString="0" containsNumber="1" containsInteger="1" minValue="0" maxValue="4858"/>
    </cacheField>
    <cacheField name="New-Total Advanced Degrees" numFmtId="37">
      <sharedItems containsSemiMixedTypes="0" containsString="0" containsNumber="1" containsInteger="1" minValue="0" maxValue="4810"/>
    </cacheField>
    <cacheField name="Old-Law" numFmtId="37">
      <sharedItems containsString="0" containsBlank="1" containsNumber="1" containsInteger="1" minValue="0" maxValue="410"/>
    </cacheField>
    <cacheField name="New-Law" numFmtId="0">
      <sharedItems containsString="0" containsBlank="1" containsNumber="1" containsInteger="1" minValue="0" maxValue="373"/>
    </cacheField>
    <cacheField name="Old-Medicine" numFmtId="37">
      <sharedItems containsString="0" containsBlank="1" containsNumber="1" containsInteger="1" minValue="60" maxValue="241"/>
    </cacheField>
    <cacheField name="New-Medicine" numFmtId="0">
      <sharedItems containsString="0" containsBlank="1" containsNumber="1" containsInteger="1" minValue="0" maxValue="237"/>
    </cacheField>
    <cacheField name="Old-Dentistry" numFmtId="37">
      <sharedItems containsString="0" containsBlank="1" containsNumber="1" containsInteger="1" minValue="41" maxValue="128"/>
    </cacheField>
    <cacheField name="New-Dentistry" numFmtId="0">
      <sharedItems containsString="0" containsBlank="1" containsNumber="1" containsInteger="1" minValue="0" maxValue="123"/>
    </cacheField>
    <cacheField name="Old-Pharmacy" numFmtId="37">
      <sharedItems containsString="0" containsBlank="1" containsNumber="1" containsInteger="1" minValue="69" maxValue="484"/>
    </cacheField>
    <cacheField name="New-Pharmacy" numFmtId="0">
      <sharedItems containsString="0" containsBlank="1" containsNumber="1" containsInteger="1" minValue="0" maxValue="461"/>
    </cacheField>
    <cacheField name="Old-Chiropractic" numFmtId="37">
      <sharedItems containsNonDate="0" containsString="0" containsBlank="1"/>
    </cacheField>
    <cacheField name="New-Chiropractic" numFmtId="37">
      <sharedItems containsNonDate="0" containsString="0" containsBlank="1"/>
    </cacheField>
    <cacheField name="Old-Optometry" numFmtId="37">
      <sharedItems containsString="0" containsBlank="1" containsNumber="1" containsInteger="1" minValue="26" maxValue="102"/>
    </cacheField>
    <cacheField name="New-Optometry" numFmtId="37">
      <sharedItems containsString="0" containsBlank="1" containsNumber="1" containsInteger="1" minValue="27" maxValue="91"/>
    </cacheField>
    <cacheField name="Old-Osteopathic Medicine" numFmtId="37">
      <sharedItems containsString="0" containsBlank="1" containsNumber="1" containsInteger="1" minValue="82" maxValue="198"/>
    </cacheField>
    <cacheField name="New-Osteopathic Medicine" numFmtId="37">
      <sharedItems containsString="0" containsBlank="1" containsNumber="1" containsInteger="1" minValue="83" maxValue="166"/>
    </cacheField>
    <cacheField name="Old-Veterinary Medicine" numFmtId="37">
      <sharedItems containsString="0" containsBlank="1" containsNumber="1" containsInteger="1" minValue="25" maxValue="121"/>
    </cacheField>
    <cacheField name="New-Veterinary Medicine" numFmtId="0">
      <sharedItems containsString="0" containsBlank="1" containsNumber="1" containsInteger="1" minValue="21" maxValue="129"/>
    </cacheField>
    <cacheField name="Old-Podiatry" numFmtId="37">
      <sharedItems containsNonDate="0" containsString="0" containsBlank="1"/>
    </cacheField>
    <cacheField name="New-Podiatry" numFmtId="37">
      <sharedItems containsNonDate="0" containsString="0" containsBlank="1"/>
    </cacheField>
    <cacheField name="Old-Oth PP" numFmtId="37">
      <sharedItems containsString="0" containsBlank="1" containsNumber="1" containsInteger="1" minValue="0" maxValue="162"/>
    </cacheField>
    <cacheField name="New-Oth PP" numFmtId="0">
      <sharedItems containsString="0" containsBlank="1" containsNumber="1" containsInteger="1" minValue="0" maxValue="137"/>
    </cacheField>
    <cacheField name="Old-FP Total" numFmtId="37">
      <sharedItems containsSemiMixedTypes="0" containsString="0" containsNumber="1" containsInteger="1" minValue="0" maxValue="1353"/>
    </cacheField>
    <cacheField name="New-FP Total" numFmtId="37">
      <sharedItems containsSemiMixedTypes="0" containsString="0" containsNumber="1" containsInteger="1" minValue="0" maxValue="1233"/>
    </cacheField>
    <cacheField name="Old-Oth Doc" numFmtId="37">
      <sharedItems containsNonDate="0" containsString="0" containsBlank="1"/>
    </cacheField>
    <cacheField name="New-Oth Doc" numFmtId="37">
      <sharedItems containsString="0" containsBlank="1" containsNumber="1" containsInteger="1" minValue="0" maxValue="0"/>
    </cacheField>
    <cacheField name="Old-Grand Total" numFmtId="37">
      <sharedItems containsSemiMixedTypes="0" containsString="0" containsNumber="1" containsInteger="1" minValue="0" maxValue="15094"/>
    </cacheField>
    <cacheField name="New-Grand Total" numFmtId="37">
      <sharedItems containsSemiMixedTypes="0" containsString="0" containsNumber="1" containsInteger="1" minValue="0" maxValue="14854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6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4"/>
          <x v="3"/>
          <x v="5"/>
        </discretePr>
        <groupItems count="6">
          <n v="15"/>
          <s v="Group1"/>
          <s v="Group2"/>
          <s v="Group3"/>
          <n v="99"/>
          <s v="???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8">
  <r>
    <x v="0"/>
    <s v="Auburn University"/>
    <m/>
    <n v="100858"/>
    <x v="0"/>
    <m/>
    <m/>
    <m/>
    <m/>
    <m/>
    <m/>
    <n v="0"/>
    <n v="0"/>
    <n v="4157"/>
    <n v="420"/>
    <m/>
    <m/>
    <n v="420"/>
    <n v="4285"/>
    <n v="457"/>
    <m/>
    <m/>
    <n v="457"/>
    <m/>
    <m/>
    <m/>
    <m/>
    <m/>
    <m/>
    <m/>
    <m/>
    <m/>
    <m/>
    <m/>
    <m/>
    <m/>
    <m/>
    <m/>
    <m/>
    <m/>
    <m/>
    <m/>
    <m/>
    <n v="0"/>
    <n v="0.72840371473628873"/>
    <n v="0"/>
    <n v="0.72271883960195649"/>
    <n v="40"/>
    <n v="58"/>
    <n v="52"/>
    <n v="263"/>
    <n v="52"/>
    <n v="275"/>
    <n v="13"/>
    <n v="259"/>
    <n v="13"/>
    <n v="261"/>
    <n v="14"/>
    <n v="227"/>
    <n v="14"/>
    <n v="204"/>
    <n v="1"/>
    <n v="50"/>
    <n v="4"/>
    <n v="62"/>
    <n v="51"/>
    <n v="50"/>
    <n v="1"/>
    <n v="53"/>
    <n v="4"/>
    <n v="40"/>
    <n v="51"/>
    <n v="45"/>
    <n v="42"/>
    <n v="29"/>
    <n v="23"/>
    <n v="26"/>
    <n v="44"/>
    <n v="23"/>
    <n v="42"/>
    <n v="24"/>
    <n v="23"/>
    <n v="17"/>
    <n v="3"/>
    <n v="22"/>
    <n v="26"/>
    <n v="16"/>
    <n v="44"/>
    <n v="21"/>
    <n v="103"/>
    <n v="116"/>
    <n v="1077"/>
    <n v="10"/>
    <n v="1109"/>
    <n v="10"/>
    <n v="14"/>
    <n v="63"/>
    <n v="14"/>
    <n v="67"/>
    <n v="13"/>
    <n v="37"/>
    <n v="13"/>
    <n v="49"/>
    <n v="42"/>
    <n v="18"/>
    <n v="42"/>
    <n v="29"/>
    <n v="1"/>
    <n v="17"/>
    <n v="1"/>
    <n v="19"/>
    <n v="40"/>
    <n v="12"/>
    <n v="40"/>
    <n v="16"/>
    <n v="52"/>
    <n v="11"/>
    <n v="27"/>
    <n v="12"/>
    <n v="23"/>
    <n v="9"/>
    <n v="51"/>
    <n v="12"/>
    <n v="51"/>
    <n v="7"/>
    <n v="26"/>
    <n v="11"/>
    <n v="27"/>
    <n v="6"/>
    <n v="44"/>
    <n v="10"/>
    <n v="19"/>
    <n v="4"/>
    <n v="52"/>
    <n v="9"/>
    <n v="20"/>
    <n v="13"/>
    <n v="204"/>
    <n v="10"/>
    <n v="0.30882352941176472"/>
    <n v="247"/>
    <n v="10"/>
    <n v="0.27125506072874495"/>
    <n v="1281"/>
    <n v="1356"/>
    <m/>
    <m/>
    <m/>
    <m/>
    <m/>
    <m/>
    <n v="133"/>
    <n v="131"/>
    <m/>
    <m/>
    <m/>
    <m/>
    <m/>
    <m/>
    <n v="90"/>
    <n v="90"/>
    <m/>
    <m/>
    <n v="6"/>
    <n v="9"/>
    <n v="229"/>
    <n v="230"/>
    <m/>
    <m/>
    <n v="5707"/>
    <n v="5929"/>
  </r>
  <r>
    <x v="0"/>
    <s v="University of Alabama "/>
    <m/>
    <n v="100751"/>
    <x v="0"/>
    <m/>
    <m/>
    <m/>
    <m/>
    <m/>
    <m/>
    <n v="0"/>
    <n v="0"/>
    <n v="4463"/>
    <n v="304"/>
    <m/>
    <m/>
    <n v="304"/>
    <n v="4482"/>
    <n v="367"/>
    <m/>
    <m/>
    <n v="367"/>
    <m/>
    <m/>
    <m/>
    <m/>
    <m/>
    <m/>
    <m/>
    <m/>
    <m/>
    <m/>
    <m/>
    <m/>
    <m/>
    <m/>
    <m/>
    <m/>
    <m/>
    <m/>
    <m/>
    <m/>
    <n v="0"/>
    <n v="0.69506307428749414"/>
    <n v="0"/>
    <n v="0.68605541099035661"/>
    <m/>
    <n v="0"/>
    <n v="52"/>
    <n v="375"/>
    <n v="52"/>
    <n v="373"/>
    <n v="13"/>
    <n v="223"/>
    <n v="13"/>
    <n v="216"/>
    <n v="44"/>
    <n v="150"/>
    <n v="44"/>
    <n v="210"/>
    <n v="51"/>
    <n v="132"/>
    <n v="19"/>
    <n v="138"/>
    <n v="19"/>
    <n v="127"/>
    <n v="51"/>
    <n v="134"/>
    <n v="25"/>
    <n v="123"/>
    <n v="25"/>
    <n v="110"/>
    <n v="22"/>
    <n v="94"/>
    <n v="22"/>
    <n v="79"/>
    <n v="14"/>
    <n v="73"/>
    <n v="14"/>
    <n v="75"/>
    <n v="9"/>
    <n v="48"/>
    <n v="9"/>
    <n v="50"/>
    <n v="42"/>
    <n v="26"/>
    <n v="50"/>
    <n v="34"/>
    <n v="186"/>
    <n v="205"/>
    <n v="1557"/>
    <n v="10"/>
    <n v="1624"/>
    <n v="10"/>
    <n v="13"/>
    <n v="57"/>
    <n v="13"/>
    <n v="63"/>
    <n v="42"/>
    <n v="21"/>
    <n v="14"/>
    <n v="14"/>
    <n v="14"/>
    <n v="19"/>
    <n v="42"/>
    <n v="14"/>
    <n v="40"/>
    <n v="19"/>
    <n v="40"/>
    <n v="12"/>
    <n v="31"/>
    <n v="14"/>
    <n v="52"/>
    <n v="11"/>
    <n v="52"/>
    <n v="11"/>
    <n v="26"/>
    <n v="10"/>
    <n v="9"/>
    <n v="10"/>
    <n v="27"/>
    <n v="8"/>
    <n v="50"/>
    <n v="9"/>
    <n v="9"/>
    <n v="8"/>
    <n v="44"/>
    <n v="8"/>
    <n v="54"/>
    <n v="7"/>
    <n v="23"/>
    <n v="5"/>
    <n v="16"/>
    <n v="6"/>
    <n v="17"/>
    <n v="30"/>
    <n v="190"/>
    <n v="10"/>
    <n v="0.3"/>
    <n v="183"/>
    <n v="10"/>
    <n v="0.34426229508196721"/>
    <n v="1747"/>
    <n v="1807"/>
    <n v="159"/>
    <n v="175"/>
    <m/>
    <m/>
    <m/>
    <m/>
    <m/>
    <m/>
    <m/>
    <m/>
    <m/>
    <m/>
    <m/>
    <m/>
    <m/>
    <m/>
    <m/>
    <m/>
    <n v="52"/>
    <n v="69"/>
    <n v="211"/>
    <n v="244"/>
    <m/>
    <m/>
    <n v="6421"/>
    <n v="6533"/>
  </r>
  <r>
    <x v="0"/>
    <s v="University of Alabama at Birmingham"/>
    <s v="Reclassified: met the criteria for Four-Year 2 in 2010-11, 2011-12, and 2012-13."/>
    <n v="100663"/>
    <x v="1"/>
    <n v="17"/>
    <n v="22"/>
    <m/>
    <m/>
    <m/>
    <m/>
    <n v="0"/>
    <n v="0"/>
    <n v="1997"/>
    <n v="157"/>
    <m/>
    <n v="90"/>
    <n v="247"/>
    <n v="1986"/>
    <n v="140"/>
    <m/>
    <n v="57"/>
    <n v="197"/>
    <m/>
    <m/>
    <m/>
    <m/>
    <m/>
    <m/>
    <m/>
    <m/>
    <m/>
    <m/>
    <m/>
    <m/>
    <m/>
    <m/>
    <m/>
    <m/>
    <m/>
    <m/>
    <m/>
    <m/>
    <n v="0"/>
    <n v="0.50050125313283211"/>
    <n v="0"/>
    <n v="0.47936278059377263"/>
    <n v="23"/>
    <n v="23"/>
    <n v="51"/>
    <n v="650"/>
    <n v="51"/>
    <n v="671"/>
    <n v="13"/>
    <n v="343"/>
    <n v="13"/>
    <n v="400"/>
    <n v="52"/>
    <n v="148"/>
    <n v="52"/>
    <n v="187"/>
    <n v="14"/>
    <n v="114"/>
    <n v="14"/>
    <n v="134"/>
    <n v="44"/>
    <n v="44"/>
    <n v="26"/>
    <n v="34"/>
    <n v="23"/>
    <n v="19"/>
    <n v="40"/>
    <n v="19"/>
    <n v="26"/>
    <n v="19"/>
    <n v="23"/>
    <n v="15"/>
    <n v="9"/>
    <n v="18"/>
    <n v="44"/>
    <n v="15"/>
    <n v="11"/>
    <n v="16"/>
    <n v="11"/>
    <n v="14"/>
    <n v="43"/>
    <n v="12"/>
    <n v="43"/>
    <n v="14"/>
    <n v="42"/>
    <n v="44"/>
    <n v="1425"/>
    <n v="10"/>
    <n v="1547"/>
    <n v="10"/>
    <n v="26"/>
    <n v="77"/>
    <n v="26"/>
    <n v="93"/>
    <n v="51"/>
    <n v="16"/>
    <n v="42"/>
    <n v="15"/>
    <n v="14"/>
    <n v="11"/>
    <n v="14"/>
    <n v="14"/>
    <n v="42"/>
    <n v="10"/>
    <n v="51"/>
    <n v="14"/>
    <n v="13"/>
    <n v="9"/>
    <n v="13"/>
    <n v="11"/>
    <n v="40"/>
    <n v="8"/>
    <n v="31"/>
    <n v="9"/>
    <n v="27"/>
    <n v="6"/>
    <n v="30"/>
    <n v="5"/>
    <n v="11"/>
    <n v="5"/>
    <n v="40"/>
    <n v="5"/>
    <n v="31"/>
    <n v="5"/>
    <n v="11"/>
    <n v="4"/>
    <n v="30"/>
    <n v="4"/>
    <n v="45"/>
    <n v="4"/>
    <n v="2"/>
    <n v="0"/>
    <n v="153"/>
    <n v="10"/>
    <n v="0.50326797385620914"/>
    <n v="174"/>
    <n v="10"/>
    <n v="0.53448275862068961"/>
    <n v="1578"/>
    <n v="1721"/>
    <m/>
    <m/>
    <n v="160"/>
    <n v="178"/>
    <n v="58"/>
    <n v="65"/>
    <m/>
    <m/>
    <m/>
    <m/>
    <n v="43"/>
    <n v="36"/>
    <m/>
    <m/>
    <m/>
    <m/>
    <m/>
    <m/>
    <n v="114"/>
    <n v="112"/>
    <n v="375"/>
    <n v="391"/>
    <m/>
    <m/>
    <n v="3990"/>
    <n v="4143"/>
  </r>
  <r>
    <x v="0"/>
    <s v="University of Alabama in Huntsville"/>
    <m/>
    <n v="100706"/>
    <x v="1"/>
    <m/>
    <m/>
    <m/>
    <m/>
    <m/>
    <m/>
    <n v="0"/>
    <n v="0"/>
    <n v="1028"/>
    <n v="22"/>
    <m/>
    <m/>
    <n v="22"/>
    <n v="1084"/>
    <n v="16"/>
    <m/>
    <m/>
    <n v="16"/>
    <m/>
    <m/>
    <m/>
    <m/>
    <m/>
    <m/>
    <m/>
    <m/>
    <m/>
    <m/>
    <m/>
    <m/>
    <m/>
    <m/>
    <m/>
    <m/>
    <m/>
    <m/>
    <m/>
    <m/>
    <n v="0"/>
    <n v="0.7133934767522554"/>
    <n v="0"/>
    <n v="0.71551155115511555"/>
    <n v="31"/>
    <n v="15"/>
    <n v="52"/>
    <n v="112"/>
    <n v="14"/>
    <n v="144"/>
    <n v="14"/>
    <n v="101"/>
    <n v="52"/>
    <n v="85"/>
    <n v="51"/>
    <n v="46"/>
    <n v="51"/>
    <n v="45"/>
    <n v="40"/>
    <n v="23"/>
    <n v="11"/>
    <n v="27"/>
    <n v="11"/>
    <n v="20"/>
    <n v="40"/>
    <n v="18"/>
    <n v="26"/>
    <n v="10"/>
    <n v="23"/>
    <n v="15"/>
    <n v="23"/>
    <n v="9"/>
    <n v="44"/>
    <n v="13"/>
    <n v="44"/>
    <n v="9"/>
    <n v="26"/>
    <n v="9"/>
    <n v="27"/>
    <n v="5"/>
    <n v="27"/>
    <n v="6"/>
    <n v="42"/>
    <n v="4"/>
    <n v="42"/>
    <n v="5"/>
    <n v="2"/>
    <n v="4"/>
    <n v="341"/>
    <n v="10"/>
    <n v="371"/>
    <n v="10"/>
    <n v="14"/>
    <n v="18"/>
    <n v="14"/>
    <n v="16"/>
    <n v="40"/>
    <n v="7"/>
    <n v="26"/>
    <n v="9"/>
    <n v="11"/>
    <n v="2"/>
    <n v="11"/>
    <n v="4"/>
    <n v="26"/>
    <n v="2"/>
    <n v="40"/>
    <n v="4"/>
    <n v="27"/>
    <n v="1"/>
    <n v="27"/>
    <n v="3"/>
    <m/>
    <m/>
    <n v="30"/>
    <n v="1"/>
    <m/>
    <m/>
    <m/>
    <m/>
    <m/>
    <m/>
    <m/>
    <m/>
    <m/>
    <m/>
    <m/>
    <m/>
    <m/>
    <m/>
    <m/>
    <m/>
    <m/>
    <n v="0"/>
    <n v="30"/>
    <n v="5"/>
    <n v="0.6"/>
    <n v="37"/>
    <n v="6"/>
    <n v="0.43243243243243246"/>
    <n v="371"/>
    <n v="408"/>
    <m/>
    <m/>
    <m/>
    <m/>
    <m/>
    <m/>
    <m/>
    <m/>
    <m/>
    <m/>
    <m/>
    <m/>
    <m/>
    <m/>
    <m/>
    <m/>
    <m/>
    <m/>
    <n v="11"/>
    <n v="8"/>
    <n v="11"/>
    <n v="8"/>
    <m/>
    <m/>
    <n v="1441"/>
    <n v="1515"/>
  </r>
  <r>
    <x v="0"/>
    <s v="Alabama Agricultural &amp; Mechanical University"/>
    <m/>
    <n v="100654"/>
    <x v="2"/>
    <m/>
    <m/>
    <m/>
    <m/>
    <m/>
    <m/>
    <n v="0"/>
    <n v="0"/>
    <n v="619"/>
    <n v="89"/>
    <m/>
    <m/>
    <n v="89"/>
    <n v="532"/>
    <n v="64"/>
    <m/>
    <m/>
    <n v="64"/>
    <m/>
    <m/>
    <m/>
    <m/>
    <m/>
    <m/>
    <m/>
    <m/>
    <m/>
    <m/>
    <m/>
    <m/>
    <m/>
    <m/>
    <m/>
    <m/>
    <m/>
    <m/>
    <m/>
    <m/>
    <n v="0"/>
    <n v="0.71313364055299544"/>
    <n v="0"/>
    <n v="0.70744680851063835"/>
    <m/>
    <m/>
    <n v="13"/>
    <n v="74"/>
    <n v="13"/>
    <n v="60"/>
    <n v="44"/>
    <n v="36"/>
    <n v="44"/>
    <n v="43"/>
    <n v="42"/>
    <n v="26"/>
    <n v="52"/>
    <n v="25"/>
    <n v="52"/>
    <n v="23"/>
    <n v="1"/>
    <n v="14"/>
    <n v="1"/>
    <n v="18"/>
    <n v="42"/>
    <n v="12"/>
    <n v="4"/>
    <n v="11"/>
    <n v="11"/>
    <n v="9"/>
    <n v="51"/>
    <n v="11"/>
    <n v="26"/>
    <n v="9"/>
    <n v="11"/>
    <n v="10"/>
    <n v="51"/>
    <n v="9"/>
    <n v="26"/>
    <n v="10"/>
    <n v="19"/>
    <n v="7"/>
    <n v="19"/>
    <n v="9"/>
    <n v="4"/>
    <n v="7"/>
    <n v="12"/>
    <n v="14"/>
    <n v="240"/>
    <n v="10"/>
    <n v="209"/>
    <n v="10"/>
    <n v="1"/>
    <n v="5"/>
    <n v="40"/>
    <n v="5"/>
    <n v="13"/>
    <n v="3"/>
    <n v="1"/>
    <n v="4"/>
    <n v="40"/>
    <n v="1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"/>
    <n v="0.55555555555555558"/>
    <n v="11"/>
    <n v="3"/>
    <n v="0.45454545454545453"/>
    <n v="249"/>
    <n v="220"/>
    <m/>
    <m/>
    <m/>
    <m/>
    <m/>
    <m/>
    <m/>
    <m/>
    <m/>
    <m/>
    <m/>
    <m/>
    <m/>
    <m/>
    <m/>
    <m/>
    <m/>
    <m/>
    <m/>
    <m/>
    <n v="0"/>
    <n v="0"/>
    <m/>
    <m/>
    <n v="868"/>
    <n v="752"/>
  </r>
  <r>
    <x v="0"/>
    <s v="Jacksonville State University "/>
    <m/>
    <n v="101480"/>
    <x v="2"/>
    <m/>
    <m/>
    <m/>
    <m/>
    <m/>
    <m/>
    <n v="0"/>
    <n v="0"/>
    <n v="1217"/>
    <n v="198"/>
    <m/>
    <m/>
    <n v="198"/>
    <n v="1258"/>
    <n v="191"/>
    <m/>
    <m/>
    <n v="191"/>
    <m/>
    <m/>
    <m/>
    <m/>
    <m/>
    <m/>
    <m/>
    <m/>
    <m/>
    <m/>
    <m/>
    <m/>
    <m/>
    <m/>
    <m/>
    <m/>
    <m/>
    <m/>
    <m/>
    <m/>
    <n v="0"/>
    <n v="0.72268408551068886"/>
    <n v="0"/>
    <n v="0.74262101534828806"/>
    <n v="19"/>
    <n v="17"/>
    <n v="13"/>
    <n v="248"/>
    <n v="13"/>
    <n v="238"/>
    <n v="44"/>
    <n v="65"/>
    <n v="44"/>
    <n v="62"/>
    <n v="52"/>
    <n v="23"/>
    <n v="51"/>
    <n v="19"/>
    <n v="51"/>
    <n v="16"/>
    <n v="52"/>
    <n v="16"/>
    <n v="54"/>
    <n v="15"/>
    <n v="26"/>
    <n v="14"/>
    <n v="42"/>
    <n v="13"/>
    <n v="11"/>
    <n v="10"/>
    <n v="11"/>
    <n v="12"/>
    <n v="23"/>
    <n v="10"/>
    <n v="43"/>
    <n v="11"/>
    <n v="31"/>
    <n v="9"/>
    <n v="26"/>
    <n v="10"/>
    <n v="42"/>
    <n v="9"/>
    <n v="15"/>
    <n v="9"/>
    <n v="15"/>
    <n v="8"/>
    <n v="26"/>
    <n v="24"/>
    <n v="448"/>
    <n v="10"/>
    <n v="41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8"/>
    <n v="419"/>
    <m/>
    <m/>
    <m/>
    <m/>
    <m/>
    <m/>
    <m/>
    <m/>
    <m/>
    <m/>
    <m/>
    <m/>
    <m/>
    <m/>
    <m/>
    <m/>
    <m/>
    <m/>
    <m/>
    <m/>
    <n v="0"/>
    <n v="0"/>
    <m/>
    <m/>
    <n v="1684"/>
    <n v="1694"/>
  </r>
  <r>
    <x v="0"/>
    <s v="Troy University"/>
    <m/>
    <n v="102368"/>
    <x v="2"/>
    <m/>
    <m/>
    <m/>
    <m/>
    <n v="212"/>
    <n v="218"/>
    <n v="0.10584123814278582"/>
    <n v="0.13038277511961721"/>
    <n v="2003"/>
    <n v="235"/>
    <m/>
    <m/>
    <n v="235"/>
    <n v="1672"/>
    <n v="201"/>
    <m/>
    <n v="6"/>
    <n v="207"/>
    <m/>
    <m/>
    <m/>
    <m/>
    <m/>
    <m/>
    <m/>
    <m/>
    <m/>
    <m/>
    <m/>
    <m/>
    <m/>
    <m/>
    <m/>
    <m/>
    <m/>
    <m/>
    <m/>
    <m/>
    <n v="0"/>
    <n v="0.64219301058031419"/>
    <n v="0"/>
    <n v="0.62133036046079526"/>
    <m/>
    <n v="0"/>
    <n v="52"/>
    <n v="376"/>
    <n v="13"/>
    <n v="275"/>
    <n v="13"/>
    <n v="284"/>
    <n v="52"/>
    <n v="249"/>
    <n v="42"/>
    <n v="109"/>
    <n v="42"/>
    <n v="97"/>
    <n v="51"/>
    <n v="35"/>
    <n v="51"/>
    <n v="55"/>
    <n v="44"/>
    <n v="31"/>
    <n v="31"/>
    <n v="29"/>
    <n v="31"/>
    <n v="20"/>
    <n v="43"/>
    <n v="27"/>
    <n v="43"/>
    <n v="14"/>
    <n v="44"/>
    <n v="27"/>
    <n v="30"/>
    <n v="11"/>
    <n v="11"/>
    <n v="13"/>
    <n v="45"/>
    <n v="11"/>
    <n v="30"/>
    <n v="13"/>
    <n v="11"/>
    <n v="5"/>
    <n v="45"/>
    <n v="9"/>
    <n v="0"/>
    <n v="0"/>
    <n v="896"/>
    <n v="10"/>
    <n v="79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96"/>
    <n v="794"/>
    <m/>
    <m/>
    <m/>
    <m/>
    <m/>
    <m/>
    <m/>
    <m/>
    <m/>
    <m/>
    <m/>
    <m/>
    <m/>
    <m/>
    <m/>
    <m/>
    <m/>
    <m/>
    <n v="8"/>
    <n v="7"/>
    <n v="8"/>
    <n v="7"/>
    <m/>
    <m/>
    <n v="3119"/>
    <n v="2691"/>
  </r>
  <r>
    <x v="0"/>
    <s v="University of South Alabama"/>
    <m/>
    <n v="102094"/>
    <x v="2"/>
    <n v="99"/>
    <n v="159"/>
    <n v="34"/>
    <n v="31"/>
    <m/>
    <m/>
    <n v="0"/>
    <n v="0"/>
    <n v="1713"/>
    <n v="204"/>
    <m/>
    <m/>
    <n v="204"/>
    <n v="1669"/>
    <n v="225"/>
    <m/>
    <m/>
    <n v="225"/>
    <m/>
    <m/>
    <m/>
    <m/>
    <m/>
    <m/>
    <m/>
    <m/>
    <m/>
    <m/>
    <m/>
    <m/>
    <m/>
    <m/>
    <m/>
    <m/>
    <m/>
    <m/>
    <m/>
    <m/>
    <n v="0"/>
    <n v="0.62087712939470818"/>
    <n v="0"/>
    <n v="0.59756534192624422"/>
    <m/>
    <n v="2"/>
    <n v="51"/>
    <n v="380"/>
    <n v="51"/>
    <n v="422"/>
    <n v="13"/>
    <n v="144"/>
    <n v="13"/>
    <n v="174"/>
    <n v="14"/>
    <n v="89"/>
    <n v="11"/>
    <n v="47"/>
    <n v="11"/>
    <n v="44"/>
    <n v="14"/>
    <n v="43"/>
    <n v="52"/>
    <n v="35"/>
    <n v="52"/>
    <n v="31"/>
    <n v="9"/>
    <n v="12"/>
    <n v="44"/>
    <n v="13"/>
    <n v="44"/>
    <n v="11"/>
    <n v="9"/>
    <n v="9"/>
    <n v="42"/>
    <n v="9"/>
    <n v="23"/>
    <n v="7"/>
    <n v="26"/>
    <n v="7"/>
    <n v="30"/>
    <n v="7"/>
    <n v="23"/>
    <n v="5"/>
    <n v="27"/>
    <n v="5"/>
    <n v="5"/>
    <n v="16"/>
    <n v="741"/>
    <n v="10"/>
    <n v="774"/>
    <n v="10"/>
    <n v="26"/>
    <n v="9"/>
    <n v="26"/>
    <n v="8"/>
    <n v="13"/>
    <n v="4"/>
    <n v="30"/>
    <n v="7"/>
    <n v="30"/>
    <n v="2"/>
    <n v="13"/>
    <n v="4"/>
    <m/>
    <m/>
    <n v="51"/>
    <n v="2"/>
    <m/>
    <m/>
    <m/>
    <m/>
    <m/>
    <m/>
    <m/>
    <m/>
    <m/>
    <m/>
    <m/>
    <m/>
    <m/>
    <m/>
    <m/>
    <m/>
    <m/>
    <m/>
    <m/>
    <m/>
    <m/>
    <m/>
    <m/>
    <m/>
    <m/>
    <m/>
    <n v="15"/>
    <n v="3"/>
    <n v="0.6"/>
    <n v="21"/>
    <n v="4"/>
    <n v="0.38095238095238093"/>
    <n v="756"/>
    <n v="795"/>
    <m/>
    <m/>
    <n v="69"/>
    <n v="78"/>
    <m/>
    <m/>
    <m/>
    <m/>
    <m/>
    <m/>
    <m/>
    <m/>
    <m/>
    <m/>
    <m/>
    <m/>
    <m/>
    <m/>
    <n v="88"/>
    <n v="59"/>
    <n v="157"/>
    <n v="137"/>
    <m/>
    <m/>
    <n v="2759"/>
    <n v="2793"/>
  </r>
  <r>
    <x v="0"/>
    <s v="Alabama State University "/>
    <m/>
    <n v="100724"/>
    <x v="3"/>
    <m/>
    <m/>
    <m/>
    <m/>
    <m/>
    <m/>
    <n v="0"/>
    <n v="0"/>
    <n v="568"/>
    <n v="101"/>
    <m/>
    <m/>
    <n v="101"/>
    <n v="542"/>
    <n v="101"/>
    <m/>
    <m/>
    <n v="101"/>
    <m/>
    <m/>
    <m/>
    <m/>
    <m/>
    <m/>
    <m/>
    <m/>
    <m/>
    <m/>
    <m/>
    <m/>
    <m/>
    <m/>
    <m/>
    <m/>
    <m/>
    <m/>
    <m/>
    <m/>
    <n v="0"/>
    <n v="0.65740740740740744"/>
    <n v="0"/>
    <n v="0.68694550063371351"/>
    <m/>
    <m/>
    <n v="13"/>
    <n v="187"/>
    <n v="13"/>
    <n v="142"/>
    <n v="44"/>
    <n v="24"/>
    <n v="52"/>
    <n v="24"/>
    <n v="52"/>
    <n v="18"/>
    <n v="44"/>
    <n v="22"/>
    <n v="26"/>
    <n v="7"/>
    <n v="51"/>
    <n v="11"/>
    <n v="51"/>
    <n v="6"/>
    <n v="27"/>
    <n v="3"/>
    <n v="54"/>
    <n v="2"/>
    <n v="26"/>
    <n v="2"/>
    <n v="27"/>
    <n v="1"/>
    <m/>
    <m/>
    <m/>
    <n v="0"/>
    <m/>
    <m/>
    <m/>
    <n v="0"/>
    <m/>
    <m/>
    <m/>
    <n v="0"/>
    <m/>
    <m/>
    <n v="0"/>
    <m/>
    <n v="245"/>
    <n v="7"/>
    <n v="20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5"/>
    <n v="204"/>
    <m/>
    <m/>
    <m/>
    <m/>
    <m/>
    <m/>
    <m/>
    <m/>
    <m/>
    <m/>
    <m/>
    <m/>
    <m/>
    <m/>
    <m/>
    <m/>
    <m/>
    <m/>
    <n v="51"/>
    <n v="43"/>
    <n v="51"/>
    <n v="43"/>
    <m/>
    <m/>
    <n v="864"/>
    <n v="789"/>
  </r>
  <r>
    <x v="0"/>
    <s v="Auburn University at Montgomery"/>
    <m/>
    <n v="100830"/>
    <x v="3"/>
    <m/>
    <m/>
    <m/>
    <m/>
    <m/>
    <m/>
    <n v="0"/>
    <n v="0"/>
    <n v="640"/>
    <n v="94"/>
    <m/>
    <n v="2"/>
    <n v="96"/>
    <n v="547"/>
    <n v="82"/>
    <m/>
    <m/>
    <n v="82"/>
    <m/>
    <m/>
    <m/>
    <m/>
    <m/>
    <m/>
    <m/>
    <m/>
    <m/>
    <m/>
    <m/>
    <m/>
    <m/>
    <m/>
    <m/>
    <m/>
    <m/>
    <m/>
    <m/>
    <m/>
    <n v="0"/>
    <n v="0.68157614483493079"/>
    <n v="0"/>
    <n v="0.62585812356979409"/>
    <m/>
    <m/>
    <n v="13"/>
    <n v="119"/>
    <n v="13"/>
    <n v="149"/>
    <n v="52"/>
    <n v="90"/>
    <n v="52"/>
    <n v="95"/>
    <n v="44"/>
    <n v="37"/>
    <n v="44"/>
    <n v="37"/>
    <n v="43"/>
    <n v="33"/>
    <n v="43"/>
    <n v="29"/>
    <n v="42"/>
    <n v="10"/>
    <n v="24"/>
    <n v="7"/>
    <n v="24"/>
    <n v="9"/>
    <n v="42"/>
    <n v="7"/>
    <n v="45"/>
    <n v="1"/>
    <n v="45"/>
    <n v="3"/>
    <m/>
    <m/>
    <m/>
    <m/>
    <m/>
    <m/>
    <m/>
    <m/>
    <m/>
    <m/>
    <m/>
    <m/>
    <m/>
    <m/>
    <n v="299"/>
    <n v="7"/>
    <n v="32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9"/>
    <n v="327"/>
    <m/>
    <m/>
    <m/>
    <m/>
    <m/>
    <m/>
    <m/>
    <m/>
    <m/>
    <m/>
    <m/>
    <m/>
    <m/>
    <m/>
    <m/>
    <m/>
    <m/>
    <m/>
    <m/>
    <m/>
    <n v="0"/>
    <n v="0"/>
    <m/>
    <m/>
    <n v="939"/>
    <n v="874"/>
  </r>
  <r>
    <x v="0"/>
    <s v="University of North Alabama"/>
    <m/>
    <n v="101879"/>
    <x v="3"/>
    <m/>
    <m/>
    <m/>
    <m/>
    <m/>
    <m/>
    <n v="0"/>
    <n v="0"/>
    <n v="912"/>
    <n v="114"/>
    <m/>
    <n v="17"/>
    <n v="131"/>
    <n v="941"/>
    <n v="113"/>
    <m/>
    <n v="7"/>
    <n v="120"/>
    <m/>
    <m/>
    <m/>
    <m/>
    <m/>
    <m/>
    <m/>
    <m/>
    <m/>
    <m/>
    <m/>
    <m/>
    <m/>
    <m/>
    <m/>
    <m/>
    <m/>
    <m/>
    <m/>
    <m/>
    <n v="0"/>
    <n v="0.71250000000000002"/>
    <n v="0"/>
    <n v="0.71613394216133941"/>
    <m/>
    <m/>
    <n v="52"/>
    <n v="230"/>
    <n v="52"/>
    <n v="242"/>
    <n v="13"/>
    <n v="68"/>
    <n v="13"/>
    <n v="75"/>
    <n v="51"/>
    <n v="18"/>
    <n v="51"/>
    <n v="15"/>
    <n v="42"/>
    <n v="16"/>
    <n v="42"/>
    <n v="13"/>
    <n v="54"/>
    <n v="11"/>
    <n v="43"/>
    <n v="12"/>
    <n v="23"/>
    <n v="10"/>
    <n v="23"/>
    <n v="7"/>
    <n v="43"/>
    <n v="9"/>
    <n v="31"/>
    <n v="4"/>
    <n v="31"/>
    <n v="6"/>
    <n v="54"/>
    <n v="4"/>
    <m/>
    <m/>
    <n v="45"/>
    <n v="1"/>
    <m/>
    <m/>
    <m/>
    <m/>
    <m/>
    <m/>
    <n v="368"/>
    <n v="8"/>
    <n v="37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8"/>
    <n v="373"/>
    <m/>
    <m/>
    <m/>
    <m/>
    <m/>
    <m/>
    <m/>
    <m/>
    <m/>
    <m/>
    <m/>
    <m/>
    <m/>
    <m/>
    <m/>
    <m/>
    <m/>
    <m/>
    <m/>
    <m/>
    <n v="0"/>
    <n v="0"/>
    <m/>
    <m/>
    <n v="1280"/>
    <n v="1314"/>
  </r>
  <r>
    <x v="0"/>
    <s v="University of Montevallo"/>
    <m/>
    <n v="101709"/>
    <x v="4"/>
    <m/>
    <m/>
    <m/>
    <m/>
    <m/>
    <m/>
    <n v="0"/>
    <n v="0"/>
    <n v="437"/>
    <n v="58"/>
    <m/>
    <n v="2"/>
    <n v="60"/>
    <n v="397"/>
    <n v="35"/>
    <m/>
    <m/>
    <n v="35"/>
    <m/>
    <m/>
    <m/>
    <m/>
    <m/>
    <m/>
    <m/>
    <m/>
    <m/>
    <m/>
    <m/>
    <m/>
    <m/>
    <m/>
    <m/>
    <m/>
    <m/>
    <m/>
    <m/>
    <m/>
    <n v="0"/>
    <n v="0.68068535825545173"/>
    <n v="0"/>
    <n v="0.63418530351437696"/>
    <m/>
    <m/>
    <n v="13"/>
    <n v="185"/>
    <n v="13"/>
    <n v="198"/>
    <n v="51"/>
    <n v="18"/>
    <n v="51"/>
    <n v="19"/>
    <n v="23"/>
    <n v="2"/>
    <n v="52"/>
    <n v="9"/>
    <m/>
    <m/>
    <n v="23"/>
    <n v="3"/>
    <m/>
    <m/>
    <m/>
    <m/>
    <m/>
    <m/>
    <m/>
    <m/>
    <m/>
    <m/>
    <m/>
    <m/>
    <m/>
    <m/>
    <m/>
    <m/>
    <m/>
    <m/>
    <m/>
    <m/>
    <m/>
    <m/>
    <m/>
    <m/>
    <m/>
    <m/>
    <n v="205"/>
    <n v="3"/>
    <n v="22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5"/>
    <n v="229"/>
    <m/>
    <m/>
    <m/>
    <m/>
    <m/>
    <m/>
    <m/>
    <m/>
    <m/>
    <m/>
    <m/>
    <m/>
    <m/>
    <m/>
    <m/>
    <m/>
    <m/>
    <m/>
    <m/>
    <m/>
    <n v="0"/>
    <n v="0"/>
    <m/>
    <m/>
    <n v="642"/>
    <n v="626"/>
  </r>
  <r>
    <x v="0"/>
    <s v="University of West Alabama"/>
    <m/>
    <n v="101587"/>
    <x v="4"/>
    <m/>
    <m/>
    <m/>
    <m/>
    <n v="63"/>
    <n v="53"/>
    <n v="0.33689839572192515"/>
    <n v="0.27319587628865977"/>
    <n v="187"/>
    <n v="68"/>
    <m/>
    <n v="1"/>
    <n v="69"/>
    <n v="194"/>
    <n v="66"/>
    <m/>
    <n v="20"/>
    <n v="86"/>
    <m/>
    <m/>
    <m/>
    <m/>
    <m/>
    <m/>
    <m/>
    <m/>
    <m/>
    <m/>
    <m/>
    <m/>
    <m/>
    <m/>
    <m/>
    <m/>
    <m/>
    <m/>
    <m/>
    <m/>
    <n v="0"/>
    <n v="0.14552529182879378"/>
    <n v="0"/>
    <n v="0.17062445030782761"/>
    <m/>
    <m/>
    <n v="13"/>
    <n v="1035"/>
    <n v="13"/>
    <n v="8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5"/>
    <n v="1"/>
    <n v="89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35"/>
    <n v="890"/>
    <m/>
    <m/>
    <m/>
    <m/>
    <m/>
    <m/>
    <m/>
    <m/>
    <m/>
    <m/>
    <m/>
    <m/>
    <m/>
    <m/>
    <m/>
    <m/>
    <m/>
    <m/>
    <m/>
    <m/>
    <n v="0"/>
    <n v="0"/>
    <m/>
    <m/>
    <n v="1285"/>
    <n v="1137"/>
  </r>
  <r>
    <x v="0"/>
    <s v="Athens State University"/>
    <m/>
    <n v="100812"/>
    <x v="5"/>
    <m/>
    <m/>
    <m/>
    <m/>
    <m/>
    <m/>
    <n v="0"/>
    <n v="0"/>
    <n v="961"/>
    <n v="285"/>
    <m/>
    <m/>
    <n v="285"/>
    <n v="940"/>
    <n v="278"/>
    <m/>
    <m/>
    <n v="278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1"/>
    <n v="940"/>
  </r>
  <r>
    <x v="0"/>
    <s v="Gadsden State Community College"/>
    <m/>
    <n v="101240"/>
    <x v="6"/>
    <n v="340"/>
    <n v="338"/>
    <m/>
    <m/>
    <n v="609"/>
    <n v="6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9"/>
    <n v="972"/>
  </r>
  <r>
    <x v="0"/>
    <s v="Jefferson State Community College"/>
    <m/>
    <n v="101505"/>
    <x v="6"/>
    <n v="328"/>
    <n v="411"/>
    <m/>
    <m/>
    <n v="764"/>
    <n v="8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2"/>
    <n v="1309"/>
  </r>
  <r>
    <x v="0"/>
    <s v="John C. Calhoun State Community College "/>
    <m/>
    <n v="101514"/>
    <x v="6"/>
    <n v="356"/>
    <n v="378"/>
    <m/>
    <m/>
    <n v="843"/>
    <n v="10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9"/>
    <n v="1423"/>
  </r>
  <r>
    <x v="0"/>
    <s v="Wallace Community College - Hanceville"/>
    <s v="Met the criteria for Two-Year 2 in 2012-13."/>
    <n v="101295"/>
    <x v="6"/>
    <n v="253"/>
    <n v="214"/>
    <m/>
    <m/>
    <n v="854"/>
    <n v="8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7"/>
    <n v="1037"/>
  </r>
  <r>
    <x v="0"/>
    <s v="Bevill State Community College"/>
    <m/>
    <n v="102429"/>
    <x v="7"/>
    <n v="340"/>
    <n v="342"/>
    <m/>
    <m/>
    <n v="422"/>
    <n v="4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2"/>
    <n v="766"/>
  </r>
  <r>
    <x v="0"/>
    <s v="Bishop State Community College"/>
    <m/>
    <n v="102030"/>
    <x v="7"/>
    <n v="166"/>
    <n v="191"/>
    <m/>
    <m/>
    <n v="239"/>
    <n v="3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5"/>
    <n v="498"/>
  </r>
  <r>
    <x v="0"/>
    <s v="Central Alabama Community College"/>
    <s v="Met the criteria for Two-Year 3 in 2012-13."/>
    <n v="100760"/>
    <x v="7"/>
    <n v="81"/>
    <n v="85"/>
    <m/>
    <m/>
    <n v="245"/>
    <n v="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6"/>
    <n v="338"/>
  </r>
  <r>
    <x v="0"/>
    <s v="Enterprise-Ozark Community College"/>
    <m/>
    <n v="101143"/>
    <x v="7"/>
    <n v="195"/>
    <n v="268"/>
    <m/>
    <m/>
    <n v="254"/>
    <n v="3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"/>
    <n v="598"/>
  </r>
  <r>
    <x v="0"/>
    <s v="George C. Wallace State Community College - Dothan"/>
    <m/>
    <n v="101286"/>
    <x v="7"/>
    <n v="261"/>
    <n v="374"/>
    <m/>
    <m/>
    <n v="463"/>
    <n v="5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4"/>
    <n v="877"/>
  </r>
  <r>
    <x v="0"/>
    <s v="James H. Faulkner State Community College"/>
    <m/>
    <n v="101161"/>
    <x v="7"/>
    <n v="64"/>
    <n v="76"/>
    <m/>
    <m/>
    <n v="378"/>
    <n v="4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2"/>
    <n v="507"/>
  </r>
  <r>
    <x v="0"/>
    <s v="Lawson State Community College "/>
    <m/>
    <n v="101569"/>
    <x v="7"/>
    <n v="396"/>
    <n v="372"/>
    <m/>
    <m/>
    <n v="244"/>
    <n v="2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0"/>
    <n v="652"/>
  </r>
  <r>
    <x v="0"/>
    <s v="Northeast Alabama State Community College "/>
    <m/>
    <n v="101897"/>
    <x v="7"/>
    <n v="391"/>
    <n v="370"/>
    <m/>
    <m/>
    <n v="411"/>
    <n v="5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2"/>
    <n v="902"/>
  </r>
  <r>
    <x v="0"/>
    <s v="Northwest-Shoals Community College"/>
    <m/>
    <n v="101736"/>
    <x v="7"/>
    <n v="150"/>
    <n v="335"/>
    <m/>
    <m/>
    <n v="295"/>
    <n v="4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"/>
    <n v="766"/>
  </r>
  <r>
    <x v="0"/>
    <s v="Shelton State Community College"/>
    <m/>
    <n v="102067"/>
    <x v="7"/>
    <n v="240"/>
    <n v="203"/>
    <m/>
    <m/>
    <n v="352"/>
    <n v="3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2"/>
    <n v="558"/>
  </r>
  <r>
    <x v="0"/>
    <s v="Southern Union State Community College"/>
    <m/>
    <n v="251260"/>
    <x v="7"/>
    <n v="145"/>
    <n v="148"/>
    <m/>
    <m/>
    <n v="507"/>
    <n v="5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2"/>
    <n v="729"/>
  </r>
  <r>
    <x v="0"/>
    <s v="Alabama Southern Community College"/>
    <m/>
    <n v="101949"/>
    <x v="8"/>
    <n v="112"/>
    <n v="125"/>
    <m/>
    <m/>
    <n v="180"/>
    <n v="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2"/>
    <n v="294"/>
  </r>
  <r>
    <x v="0"/>
    <s v="Chattahoochee Valley State Community College "/>
    <m/>
    <n v="101028"/>
    <x v="8"/>
    <n v="65"/>
    <n v="58"/>
    <m/>
    <m/>
    <n v="177"/>
    <n v="1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2"/>
    <n v="242"/>
  </r>
  <r>
    <x v="0"/>
    <s v="George Corley Wallace State Community College - Selma"/>
    <m/>
    <n v="101301"/>
    <x v="8"/>
    <n v="227"/>
    <n v="244"/>
    <m/>
    <m/>
    <n v="231"/>
    <n v="2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8"/>
    <n v="537"/>
  </r>
  <r>
    <x v="0"/>
    <s v="Jefferson Davis Community College"/>
    <m/>
    <n v="101499"/>
    <x v="8"/>
    <n v="118"/>
    <n v="85"/>
    <m/>
    <m/>
    <n v="141"/>
    <n v="1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9"/>
    <n v="247"/>
  </r>
  <r>
    <x v="0"/>
    <s v="Lurleen B. Wallace Community College "/>
    <m/>
    <n v="101602"/>
    <x v="8"/>
    <n v="141"/>
    <n v="165"/>
    <m/>
    <m/>
    <n v="237"/>
    <n v="2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8"/>
    <n v="402"/>
  </r>
  <r>
    <x v="0"/>
    <s v="Snead State Community College "/>
    <s v="Met the criteria for Two-Year 2 in 2012-13."/>
    <n v="102076"/>
    <x v="8"/>
    <n v="161"/>
    <n v="89"/>
    <m/>
    <m/>
    <n v="344"/>
    <n v="4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5"/>
    <n v="520"/>
  </r>
  <r>
    <x v="0"/>
    <s v="Trenholm State Technical College "/>
    <m/>
    <n v="102313"/>
    <x v="9"/>
    <n v="359"/>
    <n v="284"/>
    <m/>
    <m/>
    <n v="219"/>
    <n v="1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8"/>
    <n v="463"/>
  </r>
  <r>
    <x v="0"/>
    <s v="J.F. Drake State Technical College "/>
    <m/>
    <n v="101462"/>
    <x v="10"/>
    <n v="254"/>
    <n v="175"/>
    <m/>
    <m/>
    <n v="75"/>
    <n v="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9"/>
    <n v="246"/>
  </r>
  <r>
    <x v="0"/>
    <s v="J.F. Ingram State Technical College "/>
    <m/>
    <n v="101471"/>
    <x v="10"/>
    <n v="219"/>
    <n v="330"/>
    <m/>
    <m/>
    <n v="15"/>
    <n v="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"/>
    <n v="336"/>
  </r>
  <r>
    <x v="0"/>
    <s v="Reid State Technical College "/>
    <m/>
    <n v="101994"/>
    <x v="10"/>
    <n v="169"/>
    <n v="169"/>
    <m/>
    <m/>
    <n v="66"/>
    <n v="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"/>
    <n v="252"/>
  </r>
  <r>
    <x v="0"/>
    <s v="Marion Military Institute"/>
    <m/>
    <n v="101648"/>
    <x v="11"/>
    <n v="87"/>
    <m/>
    <m/>
    <m/>
    <n v="94"/>
    <n v="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"/>
    <n v="84"/>
  </r>
  <r>
    <x v="1"/>
    <s v="University of Arkansas, Fayetteville"/>
    <m/>
    <n v="106397"/>
    <x v="0"/>
    <m/>
    <n v="0"/>
    <m/>
    <n v="0"/>
    <m/>
    <n v="0"/>
    <n v="0"/>
    <n v="0"/>
    <n v="2958"/>
    <n v="142"/>
    <m/>
    <m/>
    <n v="142"/>
    <n v="3130"/>
    <n v="150"/>
    <m/>
    <m/>
    <n v="150"/>
    <m/>
    <m/>
    <m/>
    <m/>
    <m/>
    <m/>
    <m/>
    <m/>
    <m/>
    <m/>
    <m/>
    <m/>
    <m/>
    <m/>
    <m/>
    <m/>
    <m/>
    <m/>
    <m/>
    <m/>
    <n v="0"/>
    <n v="0.67828479706489342"/>
    <n v="0"/>
    <n v="0.68191721132897598"/>
    <n v="3"/>
    <n v="13"/>
    <n v="13"/>
    <n v="279"/>
    <n v="13"/>
    <n v="270"/>
    <n v="15"/>
    <n v="258"/>
    <n v="15"/>
    <n v="254"/>
    <n v="52"/>
    <n v="166"/>
    <n v="52"/>
    <n v="139"/>
    <n v="14"/>
    <n v="62"/>
    <n v="14"/>
    <n v="72"/>
    <n v="51"/>
    <n v="61"/>
    <n v="1"/>
    <n v="67"/>
    <n v="1"/>
    <n v="53"/>
    <n v="51"/>
    <n v="64"/>
    <n v="45"/>
    <n v="30"/>
    <n v="45"/>
    <n v="42"/>
    <n v="31"/>
    <n v="25"/>
    <n v="31"/>
    <n v="39"/>
    <n v="50"/>
    <n v="23"/>
    <n v="44"/>
    <n v="33"/>
    <n v="9"/>
    <n v="20"/>
    <n v="50"/>
    <n v="26"/>
    <n v="135"/>
    <n v="146"/>
    <n v="1112"/>
    <n v="10"/>
    <n v="1152"/>
    <n v="10"/>
    <n v="13"/>
    <n v="34"/>
    <n v="13"/>
    <n v="41"/>
    <n v="40"/>
    <n v="26"/>
    <n v="40"/>
    <n v="19"/>
    <n v="26"/>
    <n v="22"/>
    <n v="14"/>
    <n v="17"/>
    <n v="1"/>
    <n v="18"/>
    <n v="26"/>
    <n v="13"/>
    <n v="14"/>
    <n v="10"/>
    <n v="1"/>
    <n v="12"/>
    <n v="52"/>
    <n v="10"/>
    <n v="52"/>
    <n v="9"/>
    <n v="44"/>
    <n v="9"/>
    <n v="51"/>
    <n v="8"/>
    <n v="31"/>
    <n v="8"/>
    <n v="31"/>
    <n v="7"/>
    <n v="42"/>
    <n v="8"/>
    <n v="42"/>
    <n v="7"/>
    <n v="23"/>
    <n v="5"/>
    <n v="23"/>
    <n v="5"/>
    <n v="16"/>
    <n v="26"/>
    <n v="166"/>
    <n v="10"/>
    <n v="0.20481927710843373"/>
    <n v="164"/>
    <n v="10"/>
    <n v="0.25"/>
    <n v="1278"/>
    <n v="1316"/>
    <n v="122"/>
    <n v="131"/>
    <m/>
    <m/>
    <m/>
    <m/>
    <m/>
    <m/>
    <m/>
    <m/>
    <m/>
    <m/>
    <m/>
    <m/>
    <m/>
    <m/>
    <m/>
    <m/>
    <m/>
    <m/>
    <n v="122"/>
    <n v="131"/>
    <m/>
    <m/>
    <n v="4361"/>
    <n v="4590"/>
  </r>
  <r>
    <x v="1"/>
    <s v="Arkansas State University"/>
    <m/>
    <n v="106458"/>
    <x v="2"/>
    <m/>
    <n v="0"/>
    <m/>
    <m/>
    <n v="601"/>
    <n v="456"/>
    <n v="0.37989886219974717"/>
    <n v="0.27787934186471663"/>
    <n v="1582"/>
    <n v="310"/>
    <m/>
    <m/>
    <n v="310"/>
    <n v="1641"/>
    <n v="309"/>
    <m/>
    <m/>
    <n v="309"/>
    <m/>
    <m/>
    <m/>
    <m/>
    <m/>
    <m/>
    <m/>
    <m/>
    <m/>
    <m/>
    <m/>
    <m/>
    <m/>
    <m/>
    <m/>
    <m/>
    <m/>
    <m/>
    <m/>
    <m/>
    <n v="0"/>
    <n v="0.44513224535734386"/>
    <n v="0"/>
    <n v="0.41055791843882911"/>
    <n v="8"/>
    <n v="8"/>
    <n v="13"/>
    <n v="919"/>
    <n v="13"/>
    <n v="1430"/>
    <n v="51"/>
    <n v="117"/>
    <n v="51"/>
    <n v="112"/>
    <n v="52"/>
    <n v="70"/>
    <n v="52"/>
    <n v="76"/>
    <n v="44"/>
    <n v="60"/>
    <n v="44"/>
    <n v="49"/>
    <n v="9"/>
    <n v="27"/>
    <n v="9"/>
    <n v="34"/>
    <n v="19"/>
    <n v="25"/>
    <n v="31"/>
    <n v="27"/>
    <n v="54"/>
    <n v="18"/>
    <n v="1"/>
    <n v="18"/>
    <n v="45"/>
    <n v="16"/>
    <n v="26"/>
    <n v="16"/>
    <n v="11"/>
    <n v="15"/>
    <n v="11"/>
    <n v="15"/>
    <n v="26"/>
    <n v="13"/>
    <n v="19"/>
    <n v="12"/>
    <n v="69"/>
    <n v="63"/>
    <n v="1349"/>
    <n v="10"/>
    <n v="1852"/>
    <n v="10"/>
    <n v="13"/>
    <n v="8"/>
    <n v="13"/>
    <n v="11"/>
    <n v="5"/>
    <n v="4"/>
    <n v="3"/>
    <n v="3"/>
    <n v="3"/>
    <n v="1"/>
    <n v="5"/>
    <n v="3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"/>
    <n v="0.5714285714285714"/>
    <n v="17"/>
    <n v="3"/>
    <n v="0.6470588235294118"/>
    <n v="1363"/>
    <n v="1869"/>
    <m/>
    <m/>
    <m/>
    <m/>
    <m/>
    <m/>
    <m/>
    <m/>
    <m/>
    <m/>
    <m/>
    <m/>
    <m/>
    <m/>
    <m/>
    <m/>
    <m/>
    <m/>
    <m/>
    <n v="23"/>
    <n v="0"/>
    <n v="23"/>
    <m/>
    <m/>
    <n v="3554"/>
    <n v="3997"/>
  </r>
  <r>
    <x v="1"/>
    <s v="Arkansas Tech University"/>
    <s v="Reclassified: met the criteria for Four-Year 3 in 2010-11, 2011-12 and 2012-13."/>
    <n v="106467"/>
    <x v="2"/>
    <n v="357"/>
    <n v="390"/>
    <m/>
    <m/>
    <n v="263"/>
    <n v="264"/>
    <n v="0.22889469103568319"/>
    <n v="0.22278481012658227"/>
    <n v="1149"/>
    <n v="222"/>
    <m/>
    <m/>
    <n v="222"/>
    <n v="1185"/>
    <n v="199"/>
    <m/>
    <m/>
    <n v="199"/>
    <m/>
    <m/>
    <m/>
    <m/>
    <m/>
    <m/>
    <m/>
    <m/>
    <m/>
    <m/>
    <m/>
    <m/>
    <m/>
    <m/>
    <m/>
    <m/>
    <m/>
    <m/>
    <m/>
    <m/>
    <n v="0"/>
    <n v="0.57738693467336688"/>
    <n v="0"/>
    <n v="0.57053442465093884"/>
    <m/>
    <n v="0"/>
    <n v="13"/>
    <n v="117"/>
    <n v="13"/>
    <n v="142"/>
    <n v="23"/>
    <n v="26"/>
    <n v="23"/>
    <n v="25"/>
    <n v="11"/>
    <n v="24"/>
    <n v="43"/>
    <n v="24"/>
    <n v="43"/>
    <n v="24"/>
    <n v="11"/>
    <n v="18"/>
    <n v="3"/>
    <n v="5"/>
    <n v="9"/>
    <n v="6"/>
    <n v="54"/>
    <n v="5"/>
    <n v="42"/>
    <n v="5"/>
    <n v="9"/>
    <n v="4"/>
    <n v="54"/>
    <n v="5"/>
    <n v="14"/>
    <n v="4"/>
    <n v="51"/>
    <n v="4"/>
    <n v="51"/>
    <n v="4"/>
    <n v="24"/>
    <n v="3"/>
    <n v="16"/>
    <n v="3"/>
    <n v="3"/>
    <n v="2"/>
    <n v="5"/>
    <n v="4"/>
    <n v="221"/>
    <n v="10"/>
    <n v="23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238"/>
    <m/>
    <m/>
    <m/>
    <m/>
    <m/>
    <m/>
    <m/>
    <m/>
    <m/>
    <m/>
    <m/>
    <m/>
    <m/>
    <m/>
    <m/>
    <m/>
    <m/>
    <m/>
    <m/>
    <m/>
    <n v="0"/>
    <n v="0"/>
    <m/>
    <m/>
    <n v="1990"/>
    <n v="2077"/>
  </r>
  <r>
    <x v="1"/>
    <s v="University of Arkansas at Little Rock"/>
    <s v="Met the criteria for Four-Year 2 in 2012-13."/>
    <n v="106245"/>
    <x v="2"/>
    <m/>
    <n v="1"/>
    <m/>
    <m/>
    <n v="209"/>
    <n v="245"/>
    <n v="0.17772108843537415"/>
    <n v="0.1982200647249191"/>
    <n v="1176"/>
    <n v="43"/>
    <m/>
    <m/>
    <n v="43"/>
    <n v="1236"/>
    <n v="38"/>
    <m/>
    <m/>
    <n v="38"/>
    <m/>
    <m/>
    <m/>
    <m/>
    <m/>
    <m/>
    <m/>
    <m/>
    <m/>
    <m/>
    <m/>
    <m/>
    <m/>
    <m/>
    <m/>
    <m/>
    <m/>
    <m/>
    <m/>
    <m/>
    <n v="0"/>
    <n v="0.51897616946160641"/>
    <n v="0"/>
    <n v="0.52865697177074422"/>
    <n v="118"/>
    <n v="71"/>
    <n v="13"/>
    <n v="183"/>
    <n v="13"/>
    <n v="206"/>
    <n v="52"/>
    <n v="117"/>
    <n v="52"/>
    <n v="118"/>
    <n v="44"/>
    <n v="115"/>
    <n v="44"/>
    <n v="94"/>
    <n v="51"/>
    <n v="71"/>
    <n v="51"/>
    <n v="75"/>
    <n v="11"/>
    <n v="30"/>
    <n v="40"/>
    <n v="30"/>
    <n v="9"/>
    <n v="18"/>
    <n v="23"/>
    <n v="20"/>
    <n v="23"/>
    <n v="15"/>
    <n v="26"/>
    <n v="14"/>
    <n v="27"/>
    <n v="8"/>
    <n v="9"/>
    <n v="13"/>
    <n v="40"/>
    <n v="8"/>
    <n v="11"/>
    <n v="12"/>
    <n v="14"/>
    <n v="7"/>
    <n v="27"/>
    <n v="6"/>
    <n v="26"/>
    <n v="14"/>
    <n v="598"/>
    <n v="10"/>
    <n v="602"/>
    <n v="10"/>
    <n v="13"/>
    <n v="10"/>
    <n v="13"/>
    <n v="11"/>
    <n v="11"/>
    <n v="5"/>
    <n v="11"/>
    <n v="9"/>
    <n v="40"/>
    <n v="5"/>
    <n v="40"/>
    <n v="8"/>
    <n v="26"/>
    <n v="1"/>
    <n v="14"/>
    <n v="7"/>
    <m/>
    <m/>
    <n v="51"/>
    <n v="2"/>
    <m/>
    <m/>
    <n v="26"/>
    <n v="1"/>
    <m/>
    <m/>
    <n v="43"/>
    <n v="1"/>
    <m/>
    <m/>
    <m/>
    <m/>
    <m/>
    <m/>
    <m/>
    <m/>
    <m/>
    <m/>
    <m/>
    <m/>
    <m/>
    <m/>
    <n v="21"/>
    <n v="4"/>
    <n v="0.47619047619047616"/>
    <n v="39"/>
    <n v="7"/>
    <n v="0.28205128205128205"/>
    <n v="619"/>
    <n v="641"/>
    <n v="144"/>
    <n v="144"/>
    <m/>
    <m/>
    <m/>
    <m/>
    <m/>
    <m/>
    <m/>
    <m/>
    <m/>
    <m/>
    <m/>
    <m/>
    <m/>
    <m/>
    <m/>
    <m/>
    <m/>
    <m/>
    <n v="144"/>
    <n v="144"/>
    <m/>
    <m/>
    <n v="2266"/>
    <n v="2338"/>
  </r>
  <r>
    <x v="1"/>
    <s v="University of Central Arkansas "/>
    <m/>
    <n v="106704"/>
    <x v="2"/>
    <m/>
    <n v="0"/>
    <m/>
    <m/>
    <n v="1886"/>
    <n v="25"/>
    <n v="1.2581721147431622"/>
    <n v="1.6087516087516088E-2"/>
    <n v="1499"/>
    <n v="123"/>
    <m/>
    <m/>
    <n v="123"/>
    <n v="1554"/>
    <n v="132"/>
    <m/>
    <m/>
    <n v="132"/>
    <m/>
    <m/>
    <m/>
    <m/>
    <m/>
    <m/>
    <m/>
    <m/>
    <m/>
    <m/>
    <m/>
    <m/>
    <m/>
    <m/>
    <m/>
    <m/>
    <m/>
    <m/>
    <m/>
    <m/>
    <n v="0"/>
    <n v="0.37550100200400799"/>
    <n v="0"/>
    <n v="0.72011121408711776"/>
    <n v="2"/>
    <n v="6"/>
    <n v="13"/>
    <n v="156"/>
    <n v="13"/>
    <n v="160"/>
    <n v="51"/>
    <n v="146"/>
    <n v="51"/>
    <n v="136"/>
    <n v="52"/>
    <n v="52"/>
    <n v="52"/>
    <n v="42"/>
    <n v="25"/>
    <n v="51"/>
    <n v="25"/>
    <n v="40"/>
    <n v="19"/>
    <n v="31"/>
    <n v="19"/>
    <n v="33"/>
    <n v="42"/>
    <n v="30"/>
    <n v="42"/>
    <n v="25"/>
    <n v="50"/>
    <n v="17"/>
    <n v="27"/>
    <n v="15"/>
    <n v="27"/>
    <n v="16"/>
    <n v="50"/>
    <n v="11"/>
    <n v="26"/>
    <n v="10"/>
    <n v="11"/>
    <n v="10"/>
    <n v="44"/>
    <n v="10"/>
    <n v="26"/>
    <n v="10"/>
    <n v="28"/>
    <n v="31"/>
    <n v="547"/>
    <n v="10"/>
    <n v="513"/>
    <n v="10"/>
    <n v="51"/>
    <n v="0"/>
    <n v="42"/>
    <n v="3"/>
    <n v="42"/>
    <n v="3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"/>
    <n v="0"/>
    <n v="5"/>
    <n v="2"/>
    <n v="0.6"/>
    <n v="550"/>
    <n v="518"/>
    <m/>
    <m/>
    <m/>
    <m/>
    <m/>
    <m/>
    <m/>
    <m/>
    <m/>
    <m/>
    <m/>
    <m/>
    <m/>
    <m/>
    <m/>
    <m/>
    <m/>
    <m/>
    <n v="55"/>
    <n v="55"/>
    <n v="55"/>
    <n v="55"/>
    <m/>
    <m/>
    <n v="3992"/>
    <n v="2158"/>
  </r>
  <r>
    <x v="1"/>
    <s v="Henderson State University"/>
    <m/>
    <n v="107071"/>
    <x v="3"/>
    <m/>
    <n v="8"/>
    <m/>
    <m/>
    <m/>
    <n v="0"/>
    <n v="0"/>
    <n v="0"/>
    <n v="447"/>
    <n v="84"/>
    <m/>
    <m/>
    <n v="84"/>
    <n v="507"/>
    <n v="116"/>
    <m/>
    <m/>
    <n v="116"/>
    <m/>
    <m/>
    <m/>
    <m/>
    <m/>
    <m/>
    <m/>
    <m/>
    <m/>
    <m/>
    <m/>
    <m/>
    <m/>
    <m/>
    <m/>
    <m/>
    <m/>
    <m/>
    <m/>
    <m/>
    <n v="0"/>
    <n v="0.63948497854077258"/>
    <n v="0"/>
    <n v="0.66101694915254239"/>
    <n v="120"/>
    <n v="131"/>
    <n v="13"/>
    <n v="59"/>
    <n v="13"/>
    <n v="61"/>
    <n v="52"/>
    <n v="31"/>
    <n v="52"/>
    <n v="22"/>
    <n v="31"/>
    <n v="19"/>
    <n v="31"/>
    <n v="18"/>
    <n v="44"/>
    <n v="19"/>
    <n v="44"/>
    <n v="14"/>
    <n v="24"/>
    <n v="4"/>
    <n v="24"/>
    <n v="6"/>
    <m/>
    <m/>
    <m/>
    <m/>
    <m/>
    <m/>
    <m/>
    <m/>
    <m/>
    <m/>
    <m/>
    <m/>
    <m/>
    <m/>
    <m/>
    <m/>
    <m/>
    <m/>
    <m/>
    <m/>
    <m/>
    <m/>
    <n v="132"/>
    <n v="5"/>
    <n v="12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21"/>
    <m/>
    <m/>
    <m/>
    <m/>
    <m/>
    <m/>
    <m/>
    <m/>
    <m/>
    <m/>
    <m/>
    <m/>
    <m/>
    <m/>
    <m/>
    <m/>
    <m/>
    <m/>
    <m/>
    <m/>
    <n v="0"/>
    <n v="0"/>
    <m/>
    <m/>
    <n v="699"/>
    <n v="767"/>
  </r>
  <r>
    <x v="1"/>
    <s v="Southern Arkansas University"/>
    <m/>
    <n v="107983"/>
    <x v="3"/>
    <m/>
    <n v="0"/>
    <m/>
    <m/>
    <n v="63"/>
    <n v="144"/>
    <n v="0.16755319148936171"/>
    <n v="0.35467980295566504"/>
    <n v="376"/>
    <n v="77"/>
    <m/>
    <m/>
    <n v="77"/>
    <n v="406"/>
    <n v="61"/>
    <m/>
    <m/>
    <n v="61"/>
    <m/>
    <m/>
    <m/>
    <m/>
    <m/>
    <m/>
    <m/>
    <m/>
    <m/>
    <m/>
    <m/>
    <m/>
    <m/>
    <m/>
    <m/>
    <m/>
    <m/>
    <m/>
    <m/>
    <m/>
    <n v="0"/>
    <n v="0.64716006884681587"/>
    <n v="0"/>
    <n v="0.58082975679542204"/>
    <m/>
    <n v="0"/>
    <n v="13"/>
    <n v="93"/>
    <n v="13"/>
    <n v="94"/>
    <n v="52"/>
    <n v="22"/>
    <n v="52"/>
    <n v="25"/>
    <n v="44"/>
    <n v="14"/>
    <n v="31"/>
    <n v="13"/>
    <n v="1"/>
    <n v="7"/>
    <n v="44"/>
    <n v="8"/>
    <n v="11"/>
    <n v="4"/>
    <n v="1"/>
    <n v="6"/>
    <n v="31"/>
    <n v="2"/>
    <n v="11"/>
    <n v="3"/>
    <m/>
    <m/>
    <m/>
    <m/>
    <m/>
    <m/>
    <m/>
    <m/>
    <m/>
    <m/>
    <m/>
    <m/>
    <m/>
    <m/>
    <m/>
    <m/>
    <m/>
    <m/>
    <n v="142"/>
    <n v="6"/>
    <n v="149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2"/>
    <n v="149"/>
    <m/>
    <m/>
    <m/>
    <m/>
    <m/>
    <m/>
    <m/>
    <m/>
    <m/>
    <m/>
    <m/>
    <m/>
    <m/>
    <m/>
    <m/>
    <m/>
    <m/>
    <m/>
    <m/>
    <m/>
    <n v="0"/>
    <n v="0"/>
    <m/>
    <m/>
    <n v="581"/>
    <n v="699"/>
  </r>
  <r>
    <x v="1"/>
    <s v="University of Arkansas at Monticello"/>
    <m/>
    <n v="106485"/>
    <x v="4"/>
    <n v="389"/>
    <n v="424"/>
    <n v="16"/>
    <n v="23"/>
    <n v="153"/>
    <n v="193"/>
    <n v="0.49514563106796117"/>
    <n v="0.52162162162162162"/>
    <n v="309"/>
    <n v="23"/>
    <m/>
    <m/>
    <n v="23"/>
    <n v="370"/>
    <n v="51"/>
    <m/>
    <m/>
    <n v="51"/>
    <m/>
    <m/>
    <m/>
    <m/>
    <m/>
    <m/>
    <m/>
    <m/>
    <m/>
    <m/>
    <m/>
    <m/>
    <m/>
    <m/>
    <m/>
    <m/>
    <m/>
    <m/>
    <m/>
    <m/>
    <n v="0"/>
    <n v="0.33083511777301927"/>
    <n v="0"/>
    <n v="0.34971644612476371"/>
    <m/>
    <n v="0"/>
    <n v="13"/>
    <n v="62"/>
    <n v="13"/>
    <n v="42"/>
    <n v="3"/>
    <n v="5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  <n v="2"/>
    <n v="4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7"/>
    <n v="48"/>
    <m/>
    <m/>
    <m/>
    <m/>
    <m/>
    <m/>
    <m/>
    <m/>
    <m/>
    <m/>
    <m/>
    <m/>
    <m/>
    <m/>
    <m/>
    <m/>
    <m/>
    <m/>
    <m/>
    <m/>
    <n v="0"/>
    <n v="0"/>
    <m/>
    <m/>
    <n v="934"/>
    <n v="1058"/>
  </r>
  <r>
    <x v="1"/>
    <s v="University of Arkansas at Fort Smith"/>
    <m/>
    <n v="108092"/>
    <x v="5"/>
    <n v="372"/>
    <n v="224"/>
    <m/>
    <m/>
    <n v="402"/>
    <n v="326"/>
    <n v="0.75706214689265539"/>
    <n v="0.51993620414673047"/>
    <n v="531"/>
    <n v="109"/>
    <m/>
    <m/>
    <n v="109"/>
    <n v="627"/>
    <n v="89"/>
    <m/>
    <m/>
    <n v="89"/>
    <m/>
    <m/>
    <m/>
    <m/>
    <m/>
    <m/>
    <m/>
    <m/>
    <m/>
    <m/>
    <m/>
    <m/>
    <m/>
    <m/>
    <m/>
    <m/>
    <m/>
    <m/>
    <m/>
    <m/>
    <n v="0"/>
    <n v="0.40689655172413791"/>
    <n v="0"/>
    <n v="0.53271028037383172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5"/>
    <n v="1177"/>
  </r>
  <r>
    <x v="1"/>
    <s v="University of Arkansas at Pine Bluff"/>
    <s v="Met the criteria for Four-Year 5 in 2012-13."/>
    <n v="106412"/>
    <x v="5"/>
    <m/>
    <n v="0"/>
    <m/>
    <m/>
    <m/>
    <n v="0"/>
    <n v="0"/>
    <n v="0"/>
    <n v="382"/>
    <n v="17"/>
    <m/>
    <m/>
    <n v="17"/>
    <n v="461"/>
    <n v="23"/>
    <m/>
    <m/>
    <n v="23"/>
    <m/>
    <m/>
    <m/>
    <m/>
    <m/>
    <m/>
    <m/>
    <m/>
    <m/>
    <m/>
    <m/>
    <m/>
    <m/>
    <m/>
    <m/>
    <m/>
    <m/>
    <m/>
    <m/>
    <m/>
    <n v="0"/>
    <n v="0.94789081885856075"/>
    <n v="0"/>
    <n v="0.92570281124497988"/>
    <m/>
    <n v="0"/>
    <n v="13"/>
    <n v="14"/>
    <n v="13"/>
    <n v="19"/>
    <n v="51"/>
    <n v="5"/>
    <n v="1"/>
    <n v="12"/>
    <n v="1"/>
    <n v="2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3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"/>
    <n v="37"/>
    <m/>
    <m/>
    <m/>
    <m/>
    <m/>
    <m/>
    <m/>
    <m/>
    <m/>
    <m/>
    <m/>
    <m/>
    <m/>
    <m/>
    <m/>
    <m/>
    <m/>
    <m/>
    <m/>
    <m/>
    <n v="0"/>
    <n v="0"/>
    <m/>
    <m/>
    <n v="403"/>
    <n v="498"/>
  </r>
  <r>
    <x v="1"/>
    <s v="Northwest Arkansas Community College "/>
    <m/>
    <n v="367459"/>
    <x v="6"/>
    <n v="197"/>
    <n v="341"/>
    <m/>
    <m/>
    <n v="727"/>
    <n v="7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4"/>
    <n v="1110"/>
  </r>
  <r>
    <x v="1"/>
    <s v="Pulaski Technical College"/>
    <m/>
    <n v="107664"/>
    <x v="6"/>
    <n v="2170"/>
    <n v="1222"/>
    <n v="4"/>
    <n v="3"/>
    <n v="1551"/>
    <n v="10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5"/>
    <n v="2289"/>
  </r>
  <r>
    <x v="1"/>
    <s v="Arkansas State University-Beebe"/>
    <m/>
    <n v="106449"/>
    <x v="7"/>
    <n v="586"/>
    <n v="529"/>
    <m/>
    <m/>
    <n v="554"/>
    <n v="7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0"/>
    <n v="1235"/>
  </r>
  <r>
    <x v="1"/>
    <s v="National Park Community College"/>
    <m/>
    <n v="106980"/>
    <x v="7"/>
    <n v="222"/>
    <n v="185"/>
    <m/>
    <m/>
    <n v="408"/>
    <n v="4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0"/>
    <n v="667"/>
  </r>
  <r>
    <x v="1"/>
    <s v="Arkansas Northeastern College"/>
    <m/>
    <n v="107327"/>
    <x v="8"/>
    <n v="210"/>
    <n v="249"/>
    <m/>
    <m/>
    <n v="283"/>
    <n v="1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3"/>
    <n v="433"/>
  </r>
  <r>
    <x v="1"/>
    <s v="Arkansas State University Mountain Home"/>
    <m/>
    <n v="420538"/>
    <x v="8"/>
    <n v="335"/>
    <n v="303"/>
    <m/>
    <m/>
    <n v="244"/>
    <n v="2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9"/>
    <n v="571"/>
  </r>
  <r>
    <x v="1"/>
    <s v="Arkansas State University-Newport"/>
    <m/>
    <n v="440402"/>
    <x v="8"/>
    <n v="434"/>
    <n v="541"/>
    <m/>
    <m/>
    <n v="137"/>
    <n v="1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730"/>
  </r>
  <r>
    <x v="1"/>
    <s v="Black River Technical College"/>
    <m/>
    <n v="106625"/>
    <x v="8"/>
    <n v="210"/>
    <n v="269"/>
    <m/>
    <m/>
    <n v="218"/>
    <n v="2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8"/>
    <n v="520"/>
  </r>
  <r>
    <x v="1"/>
    <s v="College of the Ouachitas"/>
    <m/>
    <n v="107521"/>
    <x v="8"/>
    <n v="536"/>
    <n v="493"/>
    <m/>
    <m/>
    <n v="108"/>
    <n v="1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4"/>
    <n v="644"/>
  </r>
  <r>
    <x v="1"/>
    <s v="Cossatot Community College of the University of Arkansas"/>
    <m/>
    <n v="106795"/>
    <x v="8"/>
    <n v="167"/>
    <n v="154"/>
    <m/>
    <m/>
    <n v="104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1"/>
    <n v="287"/>
  </r>
  <r>
    <x v="1"/>
    <s v="East Arkansas Community College "/>
    <m/>
    <n v="106883"/>
    <x v="8"/>
    <n v="97"/>
    <n v="270"/>
    <m/>
    <m/>
    <n v="112"/>
    <n v="1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"/>
    <n v="388"/>
  </r>
  <r>
    <x v="1"/>
    <s v="Mid-South Community College "/>
    <m/>
    <n v="107318"/>
    <x v="8"/>
    <n v="79"/>
    <n v="145"/>
    <m/>
    <m/>
    <n v="115"/>
    <n v="1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"/>
    <n v="279"/>
  </r>
  <r>
    <x v="1"/>
    <s v="North Arkansas College"/>
    <m/>
    <n v="107460"/>
    <x v="8"/>
    <n v="273"/>
    <n v="389"/>
    <m/>
    <m/>
    <n v="217"/>
    <n v="2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674"/>
  </r>
  <r>
    <x v="1"/>
    <s v="Ozarka College "/>
    <m/>
    <n v="107549"/>
    <x v="8"/>
    <n v="216"/>
    <n v="186"/>
    <m/>
    <m/>
    <n v="159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403"/>
  </r>
  <r>
    <x v="1"/>
    <s v="Phillips Community College of the Univ of Arkansas"/>
    <m/>
    <n v="107619"/>
    <x v="8"/>
    <n v="260"/>
    <n v="167"/>
    <m/>
    <m/>
    <n v="221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289"/>
  </r>
  <r>
    <x v="1"/>
    <s v="Rich Mountain Community College "/>
    <m/>
    <n v="107743"/>
    <x v="8"/>
    <n v="102"/>
    <n v="135"/>
    <m/>
    <m/>
    <n v="95"/>
    <n v="1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"/>
    <n v="252"/>
  </r>
  <r>
    <x v="1"/>
    <s v="South Arkansas Community College"/>
    <m/>
    <n v="107974"/>
    <x v="8"/>
    <n v="310"/>
    <n v="473"/>
    <m/>
    <m/>
    <n v="136"/>
    <n v="1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6"/>
    <n v="631"/>
  </r>
  <r>
    <x v="1"/>
    <s v="Southeast Arkansas College"/>
    <m/>
    <n v="107637"/>
    <x v="8"/>
    <n v="427"/>
    <n v="512"/>
    <m/>
    <m/>
    <n v="168"/>
    <n v="1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5"/>
    <n v="708"/>
  </r>
  <r>
    <x v="1"/>
    <s v="Southern Arkansas University Tech"/>
    <m/>
    <n v="107992"/>
    <x v="8"/>
    <n v="612"/>
    <n v="604"/>
    <m/>
    <m/>
    <n v="140"/>
    <n v="1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2"/>
    <n v="742"/>
  </r>
  <r>
    <x v="1"/>
    <s v="University of Arkansas Community College at Batesville"/>
    <m/>
    <n v="106999"/>
    <x v="8"/>
    <n v="331"/>
    <n v="253"/>
    <m/>
    <m/>
    <n v="240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"/>
    <n v="474"/>
  </r>
  <r>
    <x v="1"/>
    <s v="University of Arkansas Community College at Hope"/>
    <m/>
    <n v="107725"/>
    <x v="8"/>
    <n v="373"/>
    <n v="293"/>
    <m/>
    <m/>
    <n v="161"/>
    <n v="1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4"/>
    <n v="463"/>
  </r>
  <r>
    <x v="1"/>
    <s v="University of Arkansas Community College at Morrilton"/>
    <m/>
    <n v="107585"/>
    <x v="8"/>
    <n v="436"/>
    <n v="476"/>
    <m/>
    <m/>
    <n v="351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7"/>
    <n v="909"/>
  </r>
  <r>
    <x v="1"/>
    <s v="University of Arkansas for Medical Sciences"/>
    <m/>
    <n v="106263"/>
    <x v="11"/>
    <n v="18"/>
    <n v="12"/>
    <m/>
    <m/>
    <n v="116"/>
    <n v="64"/>
    <n v="0.35582822085889571"/>
    <n v="0.18768328445747801"/>
    <n v="326"/>
    <m/>
    <m/>
    <m/>
    <n v="0"/>
    <n v="341"/>
    <n v="0"/>
    <m/>
    <m/>
    <n v="0"/>
    <m/>
    <m/>
    <m/>
    <m/>
    <m/>
    <m/>
    <m/>
    <m/>
    <m/>
    <m/>
    <m/>
    <m/>
    <m/>
    <m/>
    <m/>
    <m/>
    <m/>
    <m/>
    <m/>
    <m/>
    <n v="0"/>
    <n v="0.35942668136714445"/>
    <n v="0"/>
    <n v="0.39016018306636158"/>
    <n v="26"/>
    <n v="22"/>
    <n v="51"/>
    <n v="129"/>
    <n v="51"/>
    <n v="133"/>
    <n v="26"/>
    <n v="7"/>
    <n v="26"/>
    <n v="14"/>
    <n v="30"/>
    <n v="5"/>
    <n v="30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"/>
    <n v="3"/>
    <n v="158"/>
    <n v="3"/>
    <n v="51"/>
    <n v="14"/>
    <n v="26"/>
    <n v="15"/>
    <n v="26"/>
    <n v="8"/>
    <n v="51"/>
    <n v="13"/>
    <n v="30"/>
    <n v="6"/>
    <n v="3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3"/>
    <n v="0.5"/>
    <n v="32"/>
    <n v="3"/>
    <n v="0.46875"/>
    <n v="169"/>
    <n v="190"/>
    <m/>
    <m/>
    <n v="140"/>
    <n v="132"/>
    <m/>
    <m/>
    <n v="112"/>
    <n v="113"/>
    <m/>
    <m/>
    <m/>
    <m/>
    <m/>
    <m/>
    <m/>
    <m/>
    <m/>
    <m/>
    <m/>
    <m/>
    <n v="252"/>
    <n v="245"/>
    <m/>
    <m/>
    <n v="907"/>
    <n v="874"/>
  </r>
  <r>
    <x v="2"/>
    <s v="University of Delaware"/>
    <m/>
    <n v="130943"/>
    <x v="0"/>
    <m/>
    <m/>
    <m/>
    <m/>
    <n v="252"/>
    <n v="303"/>
    <n v="6.9594034797017396E-2"/>
    <n v="8.5714285714285715E-2"/>
    <n v="3621"/>
    <n v="321"/>
    <m/>
    <m/>
    <n v="321"/>
    <n v="3535"/>
    <n v="306"/>
    <m/>
    <m/>
    <n v="306"/>
    <m/>
    <m/>
    <m/>
    <m/>
    <m/>
    <m/>
    <m/>
    <m/>
    <m/>
    <m/>
    <m/>
    <m/>
    <m/>
    <m/>
    <m/>
    <m/>
    <m/>
    <m/>
    <m/>
    <m/>
    <n v="0"/>
    <n v="0.73329283110571086"/>
    <n v="0"/>
    <n v="0.72364380757420677"/>
    <m/>
    <m/>
    <n v="52"/>
    <n v="194"/>
    <n v="52"/>
    <n v="214"/>
    <n v="13"/>
    <n v="130"/>
    <n v="13"/>
    <n v="111"/>
    <n v="45"/>
    <n v="80"/>
    <n v="14"/>
    <n v="62"/>
    <n v="14"/>
    <n v="77"/>
    <n v="45"/>
    <n v="48"/>
    <n v="50"/>
    <n v="54"/>
    <n v="26"/>
    <n v="43"/>
    <n v="27"/>
    <n v="37"/>
    <n v="40"/>
    <n v="31"/>
    <n v="51"/>
    <n v="28"/>
    <n v="50"/>
    <n v="31"/>
    <n v="11"/>
    <n v="26"/>
    <n v="51"/>
    <n v="31"/>
    <n v="44"/>
    <n v="25"/>
    <n v="27"/>
    <n v="27"/>
    <n v="16"/>
    <n v="24"/>
    <n v="44"/>
    <n v="25"/>
    <n v="138"/>
    <n v="162"/>
    <n v="813"/>
    <n v="10"/>
    <n v="785"/>
    <n v="10"/>
    <n v="40"/>
    <n v="61"/>
    <n v="14"/>
    <n v="59"/>
    <n v="14"/>
    <n v="43"/>
    <n v="40"/>
    <n v="32"/>
    <n v="45"/>
    <n v="24"/>
    <n v="13"/>
    <n v="27"/>
    <n v="26"/>
    <n v="16"/>
    <n v="45"/>
    <n v="23"/>
    <n v="1"/>
    <n v="12"/>
    <n v="26"/>
    <n v="21"/>
    <n v="13"/>
    <n v="10"/>
    <n v="30"/>
    <n v="13"/>
    <n v="54"/>
    <n v="8"/>
    <n v="11"/>
    <n v="10"/>
    <n v="16"/>
    <n v="5"/>
    <n v="54"/>
    <n v="9"/>
    <n v="19"/>
    <n v="5"/>
    <n v="42"/>
    <n v="8"/>
    <n v="22"/>
    <n v="5"/>
    <n v="1"/>
    <n v="5"/>
    <n v="22"/>
    <n v="21"/>
    <n v="211"/>
    <n v="10"/>
    <n v="0.2890995260663507"/>
    <n v="228"/>
    <n v="10"/>
    <n v="0.25877192982456143"/>
    <n v="1024"/>
    <n v="1013"/>
    <m/>
    <m/>
    <m/>
    <m/>
    <m/>
    <m/>
    <m/>
    <m/>
    <m/>
    <m/>
    <m/>
    <m/>
    <m/>
    <m/>
    <m/>
    <m/>
    <m/>
    <m/>
    <n v="41"/>
    <n v="34"/>
    <n v="41"/>
    <n v="34"/>
    <m/>
    <m/>
    <n v="4938"/>
    <n v="4885"/>
  </r>
  <r>
    <x v="2"/>
    <s v="Delaware State University"/>
    <s v="Reclassified: met the criteria for Four-Year 3 in 2010-11, 2011-12 and 2012-13."/>
    <n v="130934"/>
    <x v="2"/>
    <m/>
    <m/>
    <m/>
    <m/>
    <m/>
    <m/>
    <n v="0"/>
    <n v="0"/>
    <n v="497"/>
    <n v="26"/>
    <m/>
    <m/>
    <n v="26"/>
    <n v="505"/>
    <n v="28"/>
    <m/>
    <m/>
    <n v="28"/>
    <m/>
    <m/>
    <m/>
    <m/>
    <m/>
    <m/>
    <m/>
    <m/>
    <m/>
    <m/>
    <m/>
    <m/>
    <m/>
    <m/>
    <m/>
    <m/>
    <m/>
    <m/>
    <m/>
    <m/>
    <n v="0"/>
    <n v="0.80944625407166126"/>
    <n v="0"/>
    <n v="0.79905063291139244"/>
    <m/>
    <m/>
    <n v="52"/>
    <n v="41"/>
    <n v="52"/>
    <n v="25"/>
    <n v="44"/>
    <n v="36"/>
    <n v="44"/>
    <n v="25"/>
    <n v="16"/>
    <n v="16"/>
    <n v="31"/>
    <n v="19"/>
    <n v="31"/>
    <n v="8"/>
    <n v="13"/>
    <n v="15"/>
    <n v="27"/>
    <n v="3"/>
    <n v="26"/>
    <n v="7"/>
    <n v="26"/>
    <n v="2"/>
    <n v="51"/>
    <n v="6"/>
    <n v="51"/>
    <n v="2"/>
    <n v="19"/>
    <n v="6"/>
    <n v="1"/>
    <n v="2"/>
    <n v="30"/>
    <n v="3"/>
    <n v="19"/>
    <n v="1"/>
    <n v="40"/>
    <n v="2"/>
    <n v="40"/>
    <n v="1"/>
    <n v="27"/>
    <n v="2"/>
    <n v="0"/>
    <n v="2"/>
    <n v="112"/>
    <n v="10"/>
    <n v="112"/>
    <n v="10"/>
    <n v="13"/>
    <n v="5"/>
    <n v="13"/>
    <n v="13"/>
    <m/>
    <m/>
    <n v="2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5"/>
    <n v="2"/>
    <n v="0.8666666666666667"/>
    <n v="117"/>
    <n v="127"/>
    <m/>
    <m/>
    <m/>
    <m/>
    <m/>
    <m/>
    <m/>
    <m/>
    <m/>
    <m/>
    <m/>
    <m/>
    <m/>
    <m/>
    <m/>
    <m/>
    <m/>
    <m/>
    <m/>
    <m/>
    <n v="0"/>
    <n v="0"/>
    <m/>
    <m/>
    <n v="614"/>
    <n v="632"/>
  </r>
  <r>
    <x v="2"/>
    <s v="Delaware Technical and Community College--Stanton-Wilmington"/>
    <m/>
    <n v="130916"/>
    <x v="6"/>
    <n v="117"/>
    <n v="72"/>
    <m/>
    <m/>
    <n v="573"/>
    <n v="5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0"/>
    <n v="638"/>
  </r>
  <r>
    <x v="2"/>
    <s v="Delaware Technical and Community College--Owens"/>
    <m/>
    <n v="130891"/>
    <x v="7"/>
    <n v="540"/>
    <n v="268"/>
    <m/>
    <m/>
    <n v="460"/>
    <n v="4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0"/>
    <n v="745"/>
  </r>
  <r>
    <x v="2"/>
    <s v="Delaware Technical and Community College--Terry"/>
    <m/>
    <n v="130907"/>
    <x v="7"/>
    <n v="79"/>
    <n v="75"/>
    <m/>
    <m/>
    <n v="308"/>
    <n v="3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7"/>
    <n v="464"/>
  </r>
  <r>
    <x v="3"/>
    <s v="Florida International University"/>
    <m/>
    <n v="133951"/>
    <x v="0"/>
    <m/>
    <m/>
    <m/>
    <m/>
    <n v="54"/>
    <n v="74"/>
    <n v="8.1362061172216369E-3"/>
    <n v="1.0223818734457032E-2"/>
    <n v="6637"/>
    <m/>
    <m/>
    <n v="312"/>
    <n v="312"/>
    <n v="7238"/>
    <m/>
    <m/>
    <n v="301"/>
    <n v="301"/>
    <m/>
    <m/>
    <m/>
    <m/>
    <m/>
    <m/>
    <m/>
    <m/>
    <m/>
    <m/>
    <m/>
    <m/>
    <m/>
    <m/>
    <m/>
    <m/>
    <m/>
    <m/>
    <m/>
    <m/>
    <n v="0"/>
    <n v="0.67531542531542532"/>
    <n v="0"/>
    <n v="0.66888457628684961"/>
    <n v="143"/>
    <n v="141"/>
    <n v="52"/>
    <n v="1036"/>
    <n v="52"/>
    <n v="1321"/>
    <n v="51"/>
    <n v="439"/>
    <n v="51"/>
    <n v="432"/>
    <n v="13"/>
    <n v="267"/>
    <n v="13"/>
    <n v="285"/>
    <n v="44"/>
    <n v="153"/>
    <n v="44"/>
    <n v="200"/>
    <n v="14"/>
    <n v="147"/>
    <n v="14"/>
    <n v="197"/>
    <n v="9"/>
    <n v="92"/>
    <n v="43"/>
    <n v="83"/>
    <n v="15"/>
    <n v="90"/>
    <n v="15"/>
    <n v="69"/>
    <n v="43"/>
    <n v="61"/>
    <n v="9"/>
    <n v="68"/>
    <n v="4"/>
    <n v="49"/>
    <n v="4"/>
    <n v="61"/>
    <n v="45"/>
    <n v="33"/>
    <n v="50"/>
    <n v="32"/>
    <n v="204"/>
    <n v="205"/>
    <n v="2571"/>
    <n v="10"/>
    <n v="2953"/>
    <n v="10"/>
    <n v="51"/>
    <n v="57"/>
    <n v="51"/>
    <n v="55"/>
    <n v="14"/>
    <n v="35"/>
    <n v="13"/>
    <n v="27"/>
    <n v="13"/>
    <n v="27"/>
    <n v="14"/>
    <n v="26"/>
    <n v="40"/>
    <n v="18"/>
    <n v="45"/>
    <n v="20"/>
    <n v="45"/>
    <n v="18"/>
    <n v="52"/>
    <n v="14"/>
    <n v="42"/>
    <n v="12"/>
    <n v="40"/>
    <n v="13"/>
    <n v="26"/>
    <n v="10"/>
    <n v="42"/>
    <n v="10"/>
    <n v="11"/>
    <n v="7"/>
    <n v="26"/>
    <n v="9"/>
    <n v="44"/>
    <n v="6"/>
    <n v="44"/>
    <n v="7"/>
    <n v="52"/>
    <n v="3"/>
    <n v="11"/>
    <n v="5"/>
    <n v="4"/>
    <n v="10"/>
    <n v="197"/>
    <n v="10"/>
    <n v="0.28934010152284262"/>
    <n v="196"/>
    <n v="10"/>
    <n v="0.28061224489795916"/>
    <n v="2768"/>
    <n v="3149"/>
    <n v="177"/>
    <n v="185"/>
    <m/>
    <m/>
    <m/>
    <m/>
    <m/>
    <m/>
    <m/>
    <m/>
    <m/>
    <m/>
    <m/>
    <m/>
    <m/>
    <m/>
    <m/>
    <m/>
    <n v="49"/>
    <n v="34"/>
    <n v="226"/>
    <n v="219"/>
    <m/>
    <m/>
    <n v="9828"/>
    <n v="10821"/>
  </r>
  <r>
    <x v="3"/>
    <s v="Florida State University "/>
    <m/>
    <n v="134097"/>
    <x v="0"/>
    <m/>
    <m/>
    <m/>
    <m/>
    <n v="111"/>
    <n v="163"/>
    <n v="1.4075576971848846E-2"/>
    <n v="2.0737913486005091E-2"/>
    <n v="7886"/>
    <m/>
    <m/>
    <n v="294"/>
    <n v="294"/>
    <n v="7860"/>
    <m/>
    <m/>
    <n v="257"/>
    <n v="257"/>
    <m/>
    <m/>
    <m/>
    <m/>
    <m/>
    <m/>
    <m/>
    <m/>
    <m/>
    <m/>
    <m/>
    <m/>
    <m/>
    <m/>
    <m/>
    <m/>
    <m/>
    <m/>
    <m/>
    <m/>
    <n v="0"/>
    <n v="0.71476479651953229"/>
    <n v="0"/>
    <n v="0.7125373946151754"/>
    <m/>
    <m/>
    <n v="13"/>
    <n v="340"/>
    <n v="13"/>
    <n v="288"/>
    <n v="52"/>
    <n v="239"/>
    <n v="52"/>
    <n v="281"/>
    <n v="25"/>
    <n v="238"/>
    <n v="44"/>
    <n v="279"/>
    <n v="44"/>
    <n v="224"/>
    <n v="25"/>
    <n v="227"/>
    <n v="50"/>
    <n v="183"/>
    <n v="50"/>
    <n v="163"/>
    <n v="45"/>
    <n v="170"/>
    <n v="45"/>
    <n v="156"/>
    <n v="51"/>
    <n v="160"/>
    <n v="51"/>
    <n v="126"/>
    <n v="9"/>
    <n v="89"/>
    <n v="9"/>
    <n v="87"/>
    <n v="31"/>
    <n v="66"/>
    <n v="31"/>
    <n v="70"/>
    <n v="14"/>
    <n v="61"/>
    <n v="40"/>
    <n v="64"/>
    <n v="448"/>
    <n v="401"/>
    <n v="2218"/>
    <n v="10"/>
    <n v="2142"/>
    <n v="10"/>
    <n v="13"/>
    <n v="73"/>
    <n v="13"/>
    <n v="64"/>
    <n v="40"/>
    <n v="64"/>
    <n v="40"/>
    <n v="56"/>
    <n v="50"/>
    <n v="41"/>
    <n v="45"/>
    <n v="43"/>
    <n v="27"/>
    <n v="27"/>
    <n v="50"/>
    <n v="35"/>
    <n v="26"/>
    <n v="25"/>
    <n v="26"/>
    <n v="30"/>
    <n v="45"/>
    <n v="25"/>
    <n v="51"/>
    <n v="25"/>
    <n v="42"/>
    <n v="23"/>
    <n v="23"/>
    <n v="20"/>
    <n v="14"/>
    <n v="21"/>
    <n v="14"/>
    <n v="20"/>
    <n v="52"/>
    <n v="19"/>
    <n v="42"/>
    <n v="20"/>
    <n v="23"/>
    <n v="15"/>
    <n v="27"/>
    <n v="19"/>
    <n v="96"/>
    <n v="112"/>
    <n v="429"/>
    <n v="10"/>
    <n v="0.17016317016317017"/>
    <n v="444"/>
    <n v="10"/>
    <n v="0.14414414414414414"/>
    <n v="2647"/>
    <n v="2586"/>
    <n v="276"/>
    <n v="288"/>
    <n v="113"/>
    <n v="118"/>
    <m/>
    <m/>
    <m/>
    <m/>
    <m/>
    <m/>
    <m/>
    <m/>
    <m/>
    <m/>
    <m/>
    <m/>
    <m/>
    <m/>
    <m/>
    <n v="16"/>
    <n v="389"/>
    <n v="422"/>
    <m/>
    <m/>
    <n v="11033"/>
    <n v="11031"/>
  </r>
  <r>
    <x v="3"/>
    <s v="University of Central Florida "/>
    <m/>
    <n v="132903"/>
    <x v="0"/>
    <m/>
    <m/>
    <m/>
    <m/>
    <n v="337"/>
    <n v="316"/>
    <n v="3.1655081720834116E-2"/>
    <n v="2.7444849748132709E-2"/>
    <n v="10646"/>
    <m/>
    <m/>
    <n v="798"/>
    <n v="798"/>
    <n v="11514"/>
    <m/>
    <m/>
    <n v="820"/>
    <n v="820"/>
    <m/>
    <m/>
    <m/>
    <m/>
    <m/>
    <m/>
    <m/>
    <m/>
    <m/>
    <m/>
    <m/>
    <m/>
    <m/>
    <m/>
    <m/>
    <m/>
    <m/>
    <m/>
    <m/>
    <m/>
    <n v="0"/>
    <n v="0.78637908110503763"/>
    <n v="0"/>
    <n v="0.79270223752151459"/>
    <m/>
    <m/>
    <n v="52"/>
    <n v="483"/>
    <n v="13"/>
    <n v="481"/>
    <n v="13"/>
    <n v="463"/>
    <n v="52"/>
    <n v="462"/>
    <n v="14"/>
    <n v="275"/>
    <n v="51"/>
    <n v="387"/>
    <n v="51"/>
    <n v="274"/>
    <n v="14"/>
    <n v="329"/>
    <n v="44"/>
    <n v="172"/>
    <n v="44"/>
    <n v="166"/>
    <n v="50"/>
    <n v="104"/>
    <n v="43"/>
    <n v="98"/>
    <n v="43"/>
    <n v="81"/>
    <n v="50"/>
    <n v="81"/>
    <n v="11"/>
    <n v="59"/>
    <n v="11"/>
    <n v="65"/>
    <n v="26"/>
    <n v="57"/>
    <n v="45"/>
    <n v="45"/>
    <n v="42"/>
    <n v="50"/>
    <n v="26"/>
    <n v="34"/>
    <n v="212"/>
    <n v="244"/>
    <n v="2230"/>
    <n v="10"/>
    <n v="2392"/>
    <n v="10"/>
    <n v="13"/>
    <n v="69"/>
    <n v="14"/>
    <n v="53"/>
    <n v="14"/>
    <n v="66"/>
    <n v="13"/>
    <n v="52"/>
    <n v="51"/>
    <n v="45"/>
    <n v="51"/>
    <n v="40"/>
    <n v="40"/>
    <n v="21"/>
    <n v="44"/>
    <n v="21"/>
    <n v="42"/>
    <n v="18"/>
    <n v="42"/>
    <n v="17"/>
    <n v="44"/>
    <n v="14"/>
    <n v="40"/>
    <n v="16"/>
    <n v="11"/>
    <n v="13"/>
    <n v="11"/>
    <n v="16"/>
    <n v="26"/>
    <n v="11"/>
    <n v="26"/>
    <n v="11"/>
    <n v="45"/>
    <n v="7"/>
    <n v="52"/>
    <n v="10"/>
    <n v="52"/>
    <n v="7"/>
    <n v="30"/>
    <n v="10"/>
    <n v="14"/>
    <n v="20"/>
    <n v="285"/>
    <n v="10"/>
    <n v="0.24210526315789474"/>
    <n v="266"/>
    <n v="10"/>
    <n v="0.19924812030075187"/>
    <n v="2515"/>
    <n v="2658"/>
    <m/>
    <m/>
    <m/>
    <m/>
    <m/>
    <m/>
    <m/>
    <m/>
    <m/>
    <m/>
    <m/>
    <m/>
    <m/>
    <m/>
    <m/>
    <m/>
    <m/>
    <m/>
    <n v="40"/>
    <n v="37"/>
    <n v="40"/>
    <n v="37"/>
    <m/>
    <m/>
    <n v="13538"/>
    <n v="14525"/>
  </r>
  <r>
    <x v="3"/>
    <s v="University of Florida"/>
    <m/>
    <n v="134130"/>
    <x v="0"/>
    <m/>
    <m/>
    <m/>
    <m/>
    <n v="198"/>
    <n v="210"/>
    <n v="2.2797927461139896E-2"/>
    <n v="2.4415765608650157E-2"/>
    <n v="8685"/>
    <m/>
    <m/>
    <n v="33"/>
    <n v="33"/>
    <n v="8601"/>
    <m/>
    <m/>
    <n v="47"/>
    <n v="47"/>
    <m/>
    <m/>
    <m/>
    <m/>
    <m/>
    <m/>
    <m/>
    <m/>
    <m/>
    <m/>
    <m/>
    <m/>
    <m/>
    <m/>
    <m/>
    <m/>
    <m/>
    <m/>
    <m/>
    <m/>
    <n v="0"/>
    <n v="0.57539419636941835"/>
    <n v="0"/>
    <n v="0.57903594991248153"/>
    <m/>
    <m/>
    <n v="52"/>
    <n v="1105"/>
    <n v="52"/>
    <n v="1101"/>
    <n v="14"/>
    <n v="873"/>
    <n v="14"/>
    <n v="965"/>
    <n v="51"/>
    <n v="536"/>
    <n v="51"/>
    <n v="548"/>
    <n v="13"/>
    <n v="488"/>
    <n v="13"/>
    <n v="366"/>
    <n v="1"/>
    <n v="117"/>
    <n v="22"/>
    <n v="114"/>
    <n v="22"/>
    <n v="114"/>
    <n v="4"/>
    <n v="104"/>
    <n v="4"/>
    <n v="93"/>
    <n v="1"/>
    <n v="104"/>
    <n v="26"/>
    <n v="84"/>
    <n v="26"/>
    <n v="90"/>
    <n v="50"/>
    <n v="65"/>
    <n v="31"/>
    <n v="69"/>
    <n v="15"/>
    <n v="64"/>
    <n v="45"/>
    <n v="67"/>
    <n v="382"/>
    <n v="423"/>
    <n v="3921"/>
    <n v="10"/>
    <n v="3951"/>
    <n v="10"/>
    <n v="14"/>
    <n v="234"/>
    <n v="14"/>
    <n v="210"/>
    <n v="51"/>
    <n v="214"/>
    <n v="51"/>
    <n v="169"/>
    <n v="26"/>
    <n v="111"/>
    <n v="26"/>
    <n v="117"/>
    <n v="40"/>
    <n v="72"/>
    <n v="40"/>
    <n v="75"/>
    <n v="45"/>
    <n v="60"/>
    <n v="13"/>
    <n v="62"/>
    <n v="13"/>
    <n v="50"/>
    <n v="42"/>
    <n v="38"/>
    <n v="42"/>
    <n v="45"/>
    <n v="45"/>
    <n v="35"/>
    <n v="1"/>
    <n v="42"/>
    <n v="1"/>
    <n v="32"/>
    <n v="23"/>
    <n v="23"/>
    <n v="27"/>
    <n v="21"/>
    <n v="16"/>
    <n v="19"/>
    <n v="9"/>
    <n v="18"/>
    <n v="67"/>
    <n v="82"/>
    <n v="937"/>
    <n v="10"/>
    <n v="0.24973319103521879"/>
    <n v="859"/>
    <n v="10"/>
    <n v="0.24447031431897556"/>
    <n v="4858"/>
    <n v="4810"/>
    <n v="410"/>
    <n v="334"/>
    <n v="127"/>
    <n v="134"/>
    <n v="83"/>
    <n v="83"/>
    <n v="484"/>
    <n v="461"/>
    <m/>
    <m/>
    <m/>
    <m/>
    <m/>
    <m/>
    <n v="87"/>
    <n v="84"/>
    <m/>
    <m/>
    <n v="162"/>
    <n v="137"/>
    <n v="1353"/>
    <n v="1233"/>
    <m/>
    <m/>
    <n v="15094"/>
    <n v="14854"/>
  </r>
  <r>
    <x v="3"/>
    <s v="University of South Florida "/>
    <m/>
    <n v="137351"/>
    <x v="0"/>
    <m/>
    <m/>
    <m/>
    <m/>
    <n v="170"/>
    <n v="190"/>
    <n v="2.0757020757020756E-2"/>
    <n v="2.1524866885691628E-2"/>
    <n v="8190"/>
    <m/>
    <m/>
    <n v="725"/>
    <n v="725"/>
    <n v="8827"/>
    <m/>
    <m/>
    <n v="656"/>
    <n v="656"/>
    <m/>
    <m/>
    <m/>
    <m/>
    <m/>
    <m/>
    <m/>
    <m/>
    <m/>
    <m/>
    <m/>
    <m/>
    <m/>
    <m/>
    <m/>
    <m/>
    <m/>
    <m/>
    <m/>
    <m/>
    <n v="0"/>
    <n v="0.71835803876852911"/>
    <n v="0"/>
    <n v="0.7236432202000328"/>
    <m/>
    <m/>
    <n v="13"/>
    <n v="620"/>
    <n v="13"/>
    <n v="647"/>
    <n v="51"/>
    <n v="544"/>
    <n v="51"/>
    <n v="546"/>
    <n v="52"/>
    <n v="373"/>
    <n v="52"/>
    <n v="350"/>
    <n v="14"/>
    <n v="239"/>
    <n v="14"/>
    <n v="227"/>
    <n v="26"/>
    <n v="169"/>
    <n v="26"/>
    <n v="201"/>
    <n v="25"/>
    <n v="152"/>
    <n v="25"/>
    <n v="136"/>
    <n v="44"/>
    <n v="98"/>
    <n v="44"/>
    <n v="108"/>
    <n v="4"/>
    <n v="42"/>
    <n v="45"/>
    <n v="53"/>
    <n v="45"/>
    <n v="41"/>
    <n v="11"/>
    <n v="48"/>
    <n v="50"/>
    <n v="35"/>
    <n v="50"/>
    <n v="47"/>
    <n v="256"/>
    <n v="367"/>
    <n v="2569"/>
    <n v="10"/>
    <n v="2730"/>
    <n v="10"/>
    <n v="51"/>
    <n v="81"/>
    <n v="51"/>
    <n v="62"/>
    <n v="13"/>
    <n v="63"/>
    <n v="14"/>
    <n v="53"/>
    <n v="14"/>
    <n v="40"/>
    <n v="13"/>
    <n v="52"/>
    <n v="40"/>
    <n v="38"/>
    <n v="40"/>
    <n v="36"/>
    <n v="26"/>
    <n v="25"/>
    <n v="26"/>
    <n v="26"/>
    <n v="42"/>
    <n v="23"/>
    <n v="42"/>
    <n v="22"/>
    <n v="45"/>
    <n v="13"/>
    <n v="45"/>
    <n v="21"/>
    <n v="23"/>
    <n v="12"/>
    <n v="23"/>
    <n v="9"/>
    <n v="38"/>
    <n v="5"/>
    <n v="52"/>
    <n v="6"/>
    <n v="52"/>
    <n v="4"/>
    <n v="38"/>
    <n v="6"/>
    <n v="12"/>
    <n v="12"/>
    <n v="316"/>
    <n v="10"/>
    <n v="0.25632911392405061"/>
    <n v="305"/>
    <n v="10"/>
    <n v="0.20327868852459016"/>
    <n v="2885"/>
    <n v="3035"/>
    <m/>
    <m/>
    <n v="109"/>
    <n v="109"/>
    <m/>
    <m/>
    <m/>
    <m/>
    <m/>
    <m/>
    <m/>
    <m/>
    <m/>
    <m/>
    <m/>
    <m/>
    <m/>
    <m/>
    <n v="47"/>
    <n v="37"/>
    <n v="156"/>
    <n v="146"/>
    <m/>
    <m/>
    <n v="11401"/>
    <n v="12198"/>
  </r>
  <r>
    <x v="3"/>
    <s v="Florida Atlantic University "/>
    <s v="Met the criteria for Four-Year 1 in 2012-13."/>
    <n v="133669"/>
    <x v="1"/>
    <m/>
    <m/>
    <m/>
    <m/>
    <n v="220"/>
    <n v="251"/>
    <n v="4.7898976703679513E-2"/>
    <n v="5.1308258381030251E-2"/>
    <n v="4593"/>
    <m/>
    <m/>
    <n v="456"/>
    <n v="456"/>
    <n v="4892"/>
    <m/>
    <m/>
    <n v="430"/>
    <n v="430"/>
    <m/>
    <m/>
    <m/>
    <m/>
    <m/>
    <m/>
    <m/>
    <m/>
    <m/>
    <m/>
    <m/>
    <m/>
    <m/>
    <m/>
    <m/>
    <m/>
    <m/>
    <m/>
    <m/>
    <m/>
    <n v="0"/>
    <n v="0.73323754789272033"/>
    <n v="0"/>
    <n v="0.74938725490196079"/>
    <m/>
    <m/>
    <n v="52"/>
    <n v="458"/>
    <n v="52"/>
    <n v="428"/>
    <n v="13"/>
    <n v="259"/>
    <n v="13"/>
    <n v="220"/>
    <n v="51"/>
    <n v="180"/>
    <n v="51"/>
    <n v="166"/>
    <n v="44"/>
    <n v="79"/>
    <n v="44"/>
    <n v="89"/>
    <n v="14"/>
    <n v="77"/>
    <n v="14"/>
    <n v="62"/>
    <n v="45"/>
    <n v="44"/>
    <n v="45"/>
    <n v="51"/>
    <n v="26"/>
    <n v="41"/>
    <n v="26"/>
    <n v="41"/>
    <n v="50"/>
    <n v="27"/>
    <n v="11"/>
    <n v="32"/>
    <n v="23"/>
    <n v="26"/>
    <n v="31"/>
    <n v="29"/>
    <n v="31"/>
    <n v="23"/>
    <n v="23"/>
    <n v="27"/>
    <n v="135"/>
    <n v="114"/>
    <n v="1349"/>
    <n v="10"/>
    <n v="1259"/>
    <n v="10"/>
    <n v="51"/>
    <n v="25"/>
    <n v="13"/>
    <n v="33"/>
    <n v="13"/>
    <n v="14"/>
    <n v="40"/>
    <n v="14"/>
    <n v="42"/>
    <n v="10"/>
    <n v="51"/>
    <n v="13"/>
    <n v="30"/>
    <n v="10"/>
    <n v="52"/>
    <n v="11"/>
    <n v="27"/>
    <n v="6"/>
    <n v="42"/>
    <n v="10"/>
    <n v="26"/>
    <n v="6"/>
    <n v="14"/>
    <n v="10"/>
    <n v="52"/>
    <n v="4"/>
    <n v="26"/>
    <n v="9"/>
    <n v="14"/>
    <n v="4"/>
    <n v="27"/>
    <n v="7"/>
    <n v="40"/>
    <n v="3"/>
    <n v="30"/>
    <n v="5"/>
    <n v="11"/>
    <n v="3"/>
    <n v="44"/>
    <n v="3"/>
    <n v="3"/>
    <n v="2"/>
    <n v="88"/>
    <n v="10"/>
    <n v="0.28409090909090912"/>
    <n v="117"/>
    <n v="10"/>
    <n v="0.28205128205128205"/>
    <n v="1437"/>
    <n v="1376"/>
    <m/>
    <m/>
    <m/>
    <m/>
    <m/>
    <m/>
    <m/>
    <m/>
    <m/>
    <m/>
    <m/>
    <m/>
    <m/>
    <m/>
    <m/>
    <m/>
    <m/>
    <m/>
    <n v="14"/>
    <n v="9"/>
    <n v="14"/>
    <n v="9"/>
    <m/>
    <m/>
    <n v="6264"/>
    <n v="6528"/>
  </r>
  <r>
    <x v="3"/>
    <s v="Florida Agricultural &amp; Mechanical University "/>
    <s v="Met the criteria for Four-Year 2 in 2011-12 and 2012-13."/>
    <n v="133650"/>
    <x v="2"/>
    <m/>
    <m/>
    <m/>
    <m/>
    <n v="67"/>
    <n v="59"/>
    <n v="5.1697530864197531E-2"/>
    <n v="4.0245566166439289E-2"/>
    <n v="1296"/>
    <m/>
    <m/>
    <n v="66"/>
    <n v="66"/>
    <n v="1466"/>
    <m/>
    <m/>
    <n v="59"/>
    <n v="59"/>
    <m/>
    <m/>
    <m/>
    <m/>
    <m/>
    <m/>
    <m/>
    <m/>
    <m/>
    <m/>
    <m/>
    <m/>
    <m/>
    <m/>
    <m/>
    <m/>
    <m/>
    <m/>
    <m/>
    <m/>
    <n v="0"/>
    <n v="0.6467065868263473"/>
    <n v="0"/>
    <n v="0.68281322775966469"/>
    <m/>
    <m/>
    <n v="45"/>
    <n v="88"/>
    <n v="45"/>
    <n v="69"/>
    <n v="52"/>
    <n v="50"/>
    <n v="52"/>
    <n v="38"/>
    <n v="51"/>
    <n v="43"/>
    <n v="51"/>
    <n v="35"/>
    <n v="13"/>
    <n v="42"/>
    <n v="13"/>
    <n v="34"/>
    <n v="44"/>
    <n v="16"/>
    <n v="4"/>
    <n v="22"/>
    <n v="4"/>
    <n v="13"/>
    <n v="44"/>
    <n v="20"/>
    <n v="42"/>
    <n v="13"/>
    <n v="14"/>
    <n v="13"/>
    <n v="40"/>
    <n v="8"/>
    <n v="42"/>
    <n v="10"/>
    <n v="11"/>
    <n v="6"/>
    <n v="26"/>
    <n v="8"/>
    <n v="1"/>
    <n v="5"/>
    <n v="40"/>
    <n v="7"/>
    <n v="10"/>
    <n v="14"/>
    <n v="294"/>
    <n v="10"/>
    <n v="270"/>
    <n v="10"/>
    <n v="51"/>
    <n v="23"/>
    <n v="51"/>
    <n v="32"/>
    <n v="14"/>
    <n v="4"/>
    <n v="13"/>
    <n v="6"/>
    <n v="13"/>
    <n v="3"/>
    <n v="3"/>
    <n v="3"/>
    <n v="3"/>
    <n v="2"/>
    <n v="40"/>
    <n v="2"/>
    <n v="26"/>
    <n v="2"/>
    <n v="14"/>
    <n v="1"/>
    <n v="40"/>
    <n v="1"/>
    <m/>
    <m/>
    <m/>
    <m/>
    <m/>
    <m/>
    <m/>
    <m/>
    <m/>
    <m/>
    <m/>
    <m/>
    <m/>
    <m/>
    <m/>
    <m/>
    <m/>
    <m/>
    <m/>
    <m/>
    <n v="35"/>
    <n v="6"/>
    <n v="0.65714285714285714"/>
    <n v="44"/>
    <n v="5"/>
    <n v="0.72727272727272729"/>
    <n v="329"/>
    <n v="314"/>
    <n v="160"/>
    <n v="152"/>
    <m/>
    <m/>
    <m/>
    <m/>
    <n v="139"/>
    <n v="135"/>
    <m/>
    <m/>
    <m/>
    <m/>
    <m/>
    <m/>
    <m/>
    <m/>
    <m/>
    <m/>
    <n v="13"/>
    <n v="21"/>
    <n v="312"/>
    <n v="308"/>
    <m/>
    <m/>
    <n v="2004"/>
    <n v="2147"/>
  </r>
  <r>
    <x v="3"/>
    <s v="University of North Florida"/>
    <m/>
    <n v="136172"/>
    <x v="2"/>
    <m/>
    <m/>
    <m/>
    <m/>
    <n v="347"/>
    <n v="380"/>
    <n v="0.11585976627712855"/>
    <n v="0.12206874397687119"/>
    <n v="2995"/>
    <m/>
    <m/>
    <n v="317"/>
    <n v="317"/>
    <n v="3113"/>
    <m/>
    <m/>
    <n v="243"/>
    <n v="243"/>
    <m/>
    <m/>
    <m/>
    <m/>
    <m/>
    <m/>
    <m/>
    <m/>
    <m/>
    <m/>
    <m/>
    <m/>
    <m/>
    <m/>
    <m/>
    <m/>
    <m/>
    <m/>
    <m/>
    <m/>
    <n v="0"/>
    <n v="0.75612219136581671"/>
    <n v="0"/>
    <n v="0.75048216007714563"/>
    <m/>
    <m/>
    <n v="52"/>
    <n v="205"/>
    <n v="52"/>
    <n v="174"/>
    <n v="51"/>
    <n v="127"/>
    <n v="13"/>
    <n v="153"/>
    <n v="13"/>
    <n v="113"/>
    <n v="51"/>
    <n v="133"/>
    <n v="44"/>
    <n v="28"/>
    <n v="44"/>
    <n v="26"/>
    <n v="42"/>
    <n v="27"/>
    <n v="23"/>
    <n v="19"/>
    <n v="54"/>
    <n v="12"/>
    <n v="43"/>
    <n v="14"/>
    <n v="23"/>
    <n v="10"/>
    <n v="42"/>
    <n v="13"/>
    <n v="43"/>
    <n v="9"/>
    <n v="14"/>
    <n v="12"/>
    <n v="27"/>
    <n v="9"/>
    <n v="54"/>
    <n v="10"/>
    <n v="26"/>
    <n v="9"/>
    <n v="26"/>
    <n v="9"/>
    <n v="10"/>
    <n v="14"/>
    <n v="559"/>
    <n v="10"/>
    <n v="577"/>
    <n v="10"/>
    <n v="51"/>
    <n v="28"/>
    <n v="51"/>
    <n v="35"/>
    <n v="13"/>
    <n v="8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"/>
    <n v="0.77777777777777779"/>
    <n v="43"/>
    <n v="2"/>
    <n v="0.81395348837209303"/>
    <n v="595"/>
    <n v="620"/>
    <m/>
    <m/>
    <m/>
    <m/>
    <m/>
    <m/>
    <m/>
    <m/>
    <m/>
    <m/>
    <m/>
    <m/>
    <m/>
    <m/>
    <m/>
    <m/>
    <m/>
    <m/>
    <n v="24"/>
    <n v="35"/>
    <n v="24"/>
    <n v="35"/>
    <m/>
    <m/>
    <n v="3961"/>
    <n v="4148"/>
  </r>
  <r>
    <x v="3"/>
    <s v="University of West Florida"/>
    <m/>
    <n v="138354"/>
    <x v="2"/>
    <m/>
    <m/>
    <m/>
    <m/>
    <n v="161"/>
    <n v="186"/>
    <n v="8.4603258013662641E-2"/>
    <n v="9.0599123234291284E-2"/>
    <n v="1903"/>
    <m/>
    <m/>
    <n v="207"/>
    <n v="207"/>
    <n v="2053"/>
    <m/>
    <m/>
    <n v="129"/>
    <n v="129"/>
    <m/>
    <m/>
    <m/>
    <m/>
    <m/>
    <m/>
    <m/>
    <m/>
    <m/>
    <m/>
    <m/>
    <m/>
    <m/>
    <m/>
    <m/>
    <m/>
    <m/>
    <m/>
    <m/>
    <m/>
    <n v="0"/>
    <n v="0.7219271623672231"/>
    <n v="0"/>
    <n v="0.75201465201465201"/>
    <m/>
    <m/>
    <n v="13"/>
    <n v="172"/>
    <n v="13"/>
    <n v="158"/>
    <n v="52"/>
    <n v="120"/>
    <n v="52"/>
    <n v="121"/>
    <n v="11"/>
    <n v="64"/>
    <n v="42"/>
    <n v="41"/>
    <n v="44"/>
    <n v="52"/>
    <n v="44"/>
    <n v="31"/>
    <n v="51"/>
    <n v="20"/>
    <n v="51"/>
    <n v="23"/>
    <n v="31"/>
    <n v="20"/>
    <n v="31"/>
    <n v="18"/>
    <n v="42"/>
    <n v="19"/>
    <n v="54"/>
    <n v="17"/>
    <n v="54"/>
    <n v="16"/>
    <n v="27"/>
    <n v="15"/>
    <n v="45"/>
    <n v="13"/>
    <n v="23"/>
    <n v="14"/>
    <n v="27"/>
    <n v="13"/>
    <n v="43"/>
    <n v="10"/>
    <n v="36"/>
    <n v="25"/>
    <n v="545"/>
    <n v="10"/>
    <n v="473"/>
    <n v="10"/>
    <n v="13"/>
    <n v="27"/>
    <n v="13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"/>
    <n v="1"/>
    <n v="18"/>
    <n v="1"/>
    <n v="1"/>
    <n v="572"/>
    <n v="491"/>
    <m/>
    <m/>
    <m/>
    <m/>
    <m/>
    <m/>
    <m/>
    <m/>
    <m/>
    <m/>
    <m/>
    <m/>
    <m/>
    <m/>
    <m/>
    <m/>
    <m/>
    <m/>
    <m/>
    <m/>
    <n v="0"/>
    <n v="0"/>
    <m/>
    <m/>
    <n v="2636"/>
    <n v="2730"/>
  </r>
  <r>
    <x v="3"/>
    <s v="Florida Gulf Coast University"/>
    <m/>
    <n v="433660"/>
    <x v="3"/>
    <m/>
    <m/>
    <m/>
    <m/>
    <n v="258"/>
    <n v="306"/>
    <n v="0.15965346534653466"/>
    <n v="0.17545871559633028"/>
    <n v="1616"/>
    <m/>
    <m/>
    <n v="159"/>
    <n v="159"/>
    <n v="1744"/>
    <m/>
    <m/>
    <n v="162"/>
    <n v="162"/>
    <m/>
    <m/>
    <m/>
    <m/>
    <m/>
    <m/>
    <m/>
    <m/>
    <m/>
    <m/>
    <m/>
    <m/>
    <m/>
    <m/>
    <m/>
    <m/>
    <m/>
    <m/>
    <m/>
    <m/>
    <n v="0"/>
    <n v="0.69655172413793098"/>
    <n v="0"/>
    <n v="0.69927826784282276"/>
    <n v="23"/>
    <n v="35"/>
    <n v="13"/>
    <n v="115"/>
    <n v="52"/>
    <n v="113"/>
    <n v="52"/>
    <n v="110"/>
    <n v="13"/>
    <n v="76"/>
    <n v="51"/>
    <n v="64"/>
    <n v="51"/>
    <n v="68"/>
    <n v="44"/>
    <n v="53"/>
    <n v="44"/>
    <n v="68"/>
    <n v="43"/>
    <n v="26"/>
    <n v="43"/>
    <n v="17"/>
    <n v="23"/>
    <n v="8"/>
    <n v="54"/>
    <n v="11"/>
    <n v="3"/>
    <n v="7"/>
    <n v="3"/>
    <n v="10"/>
    <n v="54"/>
    <n v="2"/>
    <n v="23"/>
    <n v="5"/>
    <m/>
    <m/>
    <n v="27"/>
    <n v="3"/>
    <m/>
    <m/>
    <m/>
    <m/>
    <m/>
    <m/>
    <n v="385"/>
    <n v="8"/>
    <n v="371"/>
    <n v="9"/>
    <n v="51"/>
    <n v="19"/>
    <n v="51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1"/>
    <n v="19"/>
    <n v="1"/>
    <n v="1"/>
    <n v="404"/>
    <n v="390"/>
    <m/>
    <m/>
    <m/>
    <m/>
    <m/>
    <m/>
    <m/>
    <m/>
    <m/>
    <m/>
    <m/>
    <m/>
    <m/>
    <m/>
    <m/>
    <m/>
    <m/>
    <m/>
    <n v="19"/>
    <n v="19"/>
    <n v="19"/>
    <n v="19"/>
    <m/>
    <m/>
    <n v="2320"/>
    <n v="2494"/>
  </r>
  <r>
    <x v="3"/>
    <s v="New College of Florida"/>
    <m/>
    <n v="262129"/>
    <x v="5"/>
    <m/>
    <m/>
    <m/>
    <m/>
    <n v="0"/>
    <m/>
    <n v="0"/>
    <n v="0"/>
    <n v="167"/>
    <m/>
    <m/>
    <n v="0"/>
    <n v="0"/>
    <n v="179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"/>
    <n v="179"/>
  </r>
  <r>
    <x v="3"/>
    <s v="Chipola College "/>
    <m/>
    <n v="133021"/>
    <x v="12"/>
    <n v="182"/>
    <n v="151"/>
    <n v="11"/>
    <n v="7"/>
    <n v="357"/>
    <n v="377"/>
    <n v="8.1136363636363633"/>
    <n v="4.5975609756097562"/>
    <n v="44"/>
    <m/>
    <m/>
    <m/>
    <n v="0"/>
    <n v="82"/>
    <m/>
    <m/>
    <m/>
    <n v="0"/>
    <s v="13"/>
    <n v="24"/>
    <s v="51"/>
    <n v="30"/>
    <s v="51"/>
    <n v="10"/>
    <s v="13"/>
    <n v="27"/>
    <s v="52"/>
    <n v="10"/>
    <s v="52"/>
    <n v="25"/>
    <m/>
    <m/>
    <m/>
    <m/>
    <m/>
    <m/>
    <m/>
    <m/>
    <n v="3"/>
    <n v="7.407407407407407E-2"/>
    <n v="3"/>
    <n v="0.13290113452188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4"/>
    <n v="617"/>
  </r>
  <r>
    <x v="3"/>
    <s v="Daytona State College "/>
    <m/>
    <n v="133386"/>
    <x v="12"/>
    <n v="1711"/>
    <n v="1453"/>
    <n v="82"/>
    <n v="59"/>
    <n v="2698"/>
    <n v="2758"/>
    <n v="9.8827838827838832"/>
    <n v="7.7690140845070426"/>
    <n v="273"/>
    <m/>
    <m/>
    <m/>
    <n v="0"/>
    <n v="355"/>
    <m/>
    <m/>
    <m/>
    <n v="0"/>
    <s v="52"/>
    <n v="226"/>
    <s v="52"/>
    <n v="281"/>
    <s v="13"/>
    <n v="45"/>
    <s v="13"/>
    <n v="57"/>
    <s v="15"/>
    <n v="2"/>
    <s v="15"/>
    <n v="17"/>
    <m/>
    <m/>
    <m/>
    <m/>
    <m/>
    <m/>
    <m/>
    <m/>
    <n v="3"/>
    <n v="5.7304785894206546E-2"/>
    <n v="3"/>
    <n v="7.67567567567567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64"/>
    <n v="4625"/>
  </r>
  <r>
    <x v="3"/>
    <s v="Edison State College "/>
    <m/>
    <n v="133508"/>
    <x v="12"/>
    <n v="290"/>
    <n v="286"/>
    <n v="0"/>
    <n v="0"/>
    <n v="2073"/>
    <n v="2399"/>
    <n v="8.3253012048192776"/>
    <n v="8.1598639455782305"/>
    <n v="249"/>
    <m/>
    <m/>
    <m/>
    <n v="0"/>
    <n v="294"/>
    <m/>
    <m/>
    <m/>
    <n v="0"/>
    <s v="13"/>
    <n v="94"/>
    <s v="13"/>
    <n v="110"/>
    <s v="51"/>
    <n v="82"/>
    <s v="52"/>
    <n v="78"/>
    <s v="52"/>
    <n v="39"/>
    <s v="51"/>
    <n v="77"/>
    <s v="43"/>
    <n v="34"/>
    <s v="43"/>
    <n v="29"/>
    <m/>
    <m/>
    <m/>
    <m/>
    <n v="4"/>
    <n v="9.5329249617151612E-2"/>
    <n v="4"/>
    <n v="9.86908358509566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2"/>
    <n v="2979"/>
  </r>
  <r>
    <x v="3"/>
    <s v="Florida State College at Jacksonville"/>
    <m/>
    <n v="133702"/>
    <x v="12"/>
    <n v="2176"/>
    <n v="2341"/>
    <n v="9"/>
    <n v="24"/>
    <n v="5409"/>
    <n v="5744"/>
    <n v="26.385365853658538"/>
    <n v="14.653061224489797"/>
    <n v="205"/>
    <m/>
    <m/>
    <m/>
    <n v="0"/>
    <n v="392"/>
    <m/>
    <m/>
    <m/>
    <n v="0"/>
    <s v="52"/>
    <n v="129"/>
    <s v="52"/>
    <n v="227"/>
    <s v="51"/>
    <n v="35"/>
    <s v="13"/>
    <n v="64"/>
    <s v="13"/>
    <n v="27"/>
    <s v="11"/>
    <n v="60"/>
    <s v="11"/>
    <n v="12"/>
    <s v="51"/>
    <n v="26"/>
    <s v="43"/>
    <n v="2"/>
    <s v="43"/>
    <n v="15"/>
    <n v="5"/>
    <n v="2.6285421207847159E-2"/>
    <n v="5"/>
    <n v="4.611222209151864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99"/>
    <n v="8501"/>
  </r>
  <r>
    <x v="3"/>
    <s v="Indian River State College "/>
    <m/>
    <n v="134608"/>
    <x v="12"/>
    <n v="1251"/>
    <n v="1210"/>
    <n v="5"/>
    <n v="6"/>
    <n v="2132"/>
    <n v="2691"/>
    <n v="8.8099173553719012"/>
    <n v="8.7941176470588243"/>
    <n v="242"/>
    <m/>
    <m/>
    <m/>
    <n v="0"/>
    <n v="306"/>
    <m/>
    <m/>
    <m/>
    <n v="0"/>
    <s v="52"/>
    <n v="168"/>
    <s v="52"/>
    <n v="204"/>
    <s v="13"/>
    <n v="42"/>
    <s v="13"/>
    <n v="46"/>
    <s v="51"/>
    <n v="32"/>
    <s v="51"/>
    <n v="41"/>
    <m/>
    <m/>
    <s v="44"/>
    <n v="13"/>
    <m/>
    <m/>
    <s v="10"/>
    <n v="2"/>
    <n v="3"/>
    <n v="6.6666666666666666E-2"/>
    <n v="5"/>
    <n v="7.263232850700213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30"/>
    <n v="4213"/>
  </r>
  <r>
    <x v="3"/>
    <s v="Miami Dade College "/>
    <m/>
    <n v="135717"/>
    <x v="12"/>
    <n v="1840"/>
    <n v="1472"/>
    <n v="17"/>
    <n v="25"/>
    <n v="9445"/>
    <n v="11959"/>
    <n v="22.223529411764705"/>
    <n v="17.92953523238381"/>
    <n v="425"/>
    <m/>
    <m/>
    <m/>
    <n v="0"/>
    <n v="667"/>
    <m/>
    <m/>
    <m/>
    <n v="0"/>
    <s v="13"/>
    <n v="194"/>
    <s v="52"/>
    <n v="191"/>
    <s v="43"/>
    <n v="153"/>
    <s v="43"/>
    <n v="168"/>
    <s v="51"/>
    <n v="78"/>
    <s v="13"/>
    <n v="150"/>
    <m/>
    <m/>
    <s v="51"/>
    <n v="145"/>
    <m/>
    <m/>
    <s v="50"/>
    <n v="13"/>
    <n v="3"/>
    <n v="3.6241152895028564E-2"/>
    <n v="5"/>
    <n v="4.722792607802874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27"/>
    <n v="14123"/>
  </r>
  <r>
    <x v="3"/>
    <s v="Northwest Florida State College"/>
    <m/>
    <n v="136233"/>
    <x v="12"/>
    <n v="322"/>
    <n v="325"/>
    <n v="0"/>
    <n v="0"/>
    <n v="1328"/>
    <n v="1321"/>
    <n v="10.456692913385826"/>
    <n v="7.6358381502890174"/>
    <n v="127"/>
    <m/>
    <m/>
    <m/>
    <n v="0"/>
    <n v="173"/>
    <m/>
    <m/>
    <m/>
    <n v="0"/>
    <s v="52"/>
    <n v="72"/>
    <s v="52"/>
    <n v="109"/>
    <s v="13"/>
    <n v="29"/>
    <s v="13"/>
    <n v="38"/>
    <s v="51"/>
    <n v="26"/>
    <s v="51"/>
    <n v="26"/>
    <m/>
    <m/>
    <m/>
    <m/>
    <m/>
    <m/>
    <m/>
    <m/>
    <n v="3"/>
    <n v="7.1468767585818799E-2"/>
    <n v="3"/>
    <n v="9.510720175920835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77"/>
    <n v="1819"/>
  </r>
  <r>
    <x v="3"/>
    <s v="St. Petersburg College "/>
    <m/>
    <n v="137078"/>
    <x v="12"/>
    <n v="611"/>
    <n v="584"/>
    <n v="34"/>
    <n v="0"/>
    <n v="2569"/>
    <n v="4019"/>
    <n v="142.72222222222223"/>
    <n v="3.8496168582375478"/>
    <n v="18"/>
    <m/>
    <m/>
    <m/>
    <n v="0"/>
    <n v="1044"/>
    <m/>
    <m/>
    <m/>
    <n v="0"/>
    <s v="51"/>
    <n v="381"/>
    <s v="51"/>
    <n v="437"/>
    <s v="52"/>
    <n v="208"/>
    <s v="13"/>
    <n v="189"/>
    <s v="13"/>
    <n v="190"/>
    <s v="52"/>
    <n v="187"/>
    <s v="11"/>
    <n v="71"/>
    <s v="43"/>
    <n v="88"/>
    <s v="43"/>
    <n v="61"/>
    <s v="11"/>
    <n v="81"/>
    <n v="5"/>
    <n v="5.569306930693069E-3"/>
    <n v="5"/>
    <n v="0.184876925801310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2"/>
    <n v="5647"/>
  </r>
  <r>
    <x v="3"/>
    <s v="Brevard Community College "/>
    <m/>
    <n v="132693"/>
    <x v="6"/>
    <n v="1048"/>
    <n v="1099"/>
    <n v="37"/>
    <n v="35"/>
    <n v="2961"/>
    <n v="311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46"/>
    <n v="4246"/>
  </r>
  <r>
    <x v="3"/>
    <s v="Broward College "/>
    <s v="Met the criteria for Two-Year with Bachelor's in 2011-12 and 2012-13."/>
    <n v="132709"/>
    <x v="6"/>
    <n v="786"/>
    <n v="940"/>
    <n v="1"/>
    <n v="3"/>
    <n v="4881"/>
    <n v="6218"/>
    <n v="221.86363636363637"/>
    <n v="22.128113879003557"/>
    <n v="22"/>
    <m/>
    <m/>
    <m/>
    <n v="0"/>
    <n v="281"/>
    <m/>
    <m/>
    <m/>
    <n v="0"/>
    <s v="13"/>
    <n v="22"/>
    <s v="52"/>
    <n v="173"/>
    <m/>
    <m/>
    <s v="13"/>
    <n v="57"/>
    <m/>
    <m/>
    <s v="51"/>
    <n v="27"/>
    <m/>
    <m/>
    <s v="11"/>
    <n v="24"/>
    <m/>
    <m/>
    <m/>
    <m/>
    <n v="1"/>
    <n v="3.8664323374340949E-3"/>
    <n v="4"/>
    <n v="3.775866702499328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90"/>
    <n v="7442"/>
  </r>
  <r>
    <x v="3"/>
    <s v="College of Central Florida"/>
    <m/>
    <n v="132851"/>
    <x v="6"/>
    <n v="515"/>
    <n v="478"/>
    <n v="4"/>
    <n v="6"/>
    <n v="1083"/>
    <n v="118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2"/>
    <n v="1669"/>
  </r>
  <r>
    <x v="3"/>
    <s v="Hillsborough Community College "/>
    <m/>
    <n v="134495"/>
    <x v="6"/>
    <n v="1317"/>
    <n v="1432"/>
    <n v="103"/>
    <n v="115"/>
    <n v="2951"/>
    <n v="384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71"/>
    <n v="5390"/>
  </r>
  <r>
    <x v="3"/>
    <s v="Palm Beach State College "/>
    <s v="Met the criteria for Two-Year with Bachelor's in 2011-12 and 2012-13."/>
    <n v="136358"/>
    <x v="6"/>
    <n v="1850"/>
    <n v="1697"/>
    <n v="113"/>
    <n v="46"/>
    <n v="3664"/>
    <n v="4021"/>
    <n v="42.114942528735632"/>
    <n v="25.611464968152866"/>
    <n v="87"/>
    <m/>
    <m/>
    <m/>
    <n v="0"/>
    <n v="157"/>
    <m/>
    <m/>
    <m/>
    <n v="0"/>
    <s v="52"/>
    <n v="87"/>
    <s v="52"/>
    <n v="157"/>
    <m/>
    <m/>
    <m/>
    <m/>
    <m/>
    <m/>
    <m/>
    <m/>
    <m/>
    <m/>
    <m/>
    <m/>
    <m/>
    <m/>
    <m/>
    <m/>
    <n v="1"/>
    <n v="1.5225761288064403E-2"/>
    <n v="1"/>
    <n v="2.65157912514777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4"/>
    <n v="5921"/>
  </r>
  <r>
    <x v="3"/>
    <s v="Pasco-Hernando Community College "/>
    <m/>
    <n v="136400"/>
    <x v="6"/>
    <n v="812"/>
    <n v="642"/>
    <n v="0"/>
    <n v="0"/>
    <n v="1396"/>
    <n v="173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8"/>
    <n v="2374"/>
  </r>
  <r>
    <x v="3"/>
    <s v="Pensacola State College "/>
    <s v="Met the criteria for Two-Year with Bachelor's in 2012-13."/>
    <n v="136473"/>
    <x v="6"/>
    <n v="612"/>
    <n v="608"/>
    <n v="0"/>
    <n v="0"/>
    <n v="1749"/>
    <n v="1766"/>
    <n v="0"/>
    <n v="103.88235294117646"/>
    <n v="0"/>
    <m/>
    <m/>
    <m/>
    <n v="0"/>
    <n v="17"/>
    <m/>
    <m/>
    <m/>
    <n v="0"/>
    <m/>
    <m/>
    <s v="52"/>
    <n v="15"/>
    <m/>
    <m/>
    <s v="51"/>
    <n v="2"/>
    <m/>
    <m/>
    <m/>
    <m/>
    <m/>
    <m/>
    <m/>
    <m/>
    <m/>
    <m/>
    <m/>
    <m/>
    <n v="0"/>
    <n v="0"/>
    <n v="2"/>
    <n v="7.109995817649519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61"/>
    <n v="2391"/>
  </r>
  <r>
    <x v="3"/>
    <s v="Polk State College "/>
    <s v="Met the criteria for Two-Year with Bachelor's in 2011-12 and 2012-13."/>
    <n v="136516"/>
    <x v="6"/>
    <n v="536"/>
    <n v="506"/>
    <n v="0"/>
    <n v="0"/>
    <n v="1287"/>
    <n v="1569"/>
    <n v="58.5"/>
    <n v="28.017857142857142"/>
    <n v="22"/>
    <m/>
    <m/>
    <m/>
    <n v="0"/>
    <n v="56"/>
    <m/>
    <m/>
    <m/>
    <n v="0"/>
    <s v="52"/>
    <n v="22"/>
    <s v="52"/>
    <n v="56"/>
    <m/>
    <m/>
    <m/>
    <m/>
    <m/>
    <m/>
    <m/>
    <m/>
    <m/>
    <m/>
    <m/>
    <m/>
    <m/>
    <m/>
    <m/>
    <m/>
    <n v="1"/>
    <n v="1.1924119241192412E-2"/>
    <n v="1"/>
    <n v="2.627874237447207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5"/>
    <n v="2131"/>
  </r>
  <r>
    <x v="3"/>
    <s v="Santa Fe College "/>
    <s v="Met the criteria for Two-Year with Bachelor's in 2012-13."/>
    <n v="137096"/>
    <x v="6"/>
    <n v="1388"/>
    <n v="524"/>
    <n v="42"/>
    <n v="32"/>
    <n v="2126"/>
    <n v="2912"/>
    <n v="0"/>
    <n v="44.121212121212125"/>
    <n v="0"/>
    <m/>
    <m/>
    <m/>
    <n v="0"/>
    <n v="66"/>
    <m/>
    <m/>
    <m/>
    <n v="0"/>
    <s v="51"/>
    <n v="18"/>
    <s v="51"/>
    <n v="66"/>
    <m/>
    <m/>
    <m/>
    <m/>
    <m/>
    <m/>
    <m/>
    <m/>
    <m/>
    <m/>
    <m/>
    <m/>
    <m/>
    <m/>
    <m/>
    <m/>
    <n v="1"/>
    <n v="0"/>
    <n v="1"/>
    <n v="1.867572156196943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6"/>
    <n v="3534"/>
  </r>
  <r>
    <x v="3"/>
    <s v="Seminole State College of Florida"/>
    <s v="Met the criteria for Two-Year with Bachelor's in 2012-13."/>
    <n v="137209"/>
    <x v="6"/>
    <n v="221"/>
    <n v="1683"/>
    <n v="22"/>
    <n v="37"/>
    <n v="730"/>
    <n v="2811"/>
    <n v="0"/>
    <n v="165.35294117647058"/>
    <n v="0"/>
    <m/>
    <m/>
    <m/>
    <n v="0"/>
    <n v="17"/>
    <m/>
    <m/>
    <m/>
    <n v="0"/>
    <m/>
    <m/>
    <s v="50"/>
    <n v="17"/>
    <m/>
    <m/>
    <m/>
    <m/>
    <m/>
    <m/>
    <m/>
    <m/>
    <m/>
    <m/>
    <m/>
    <m/>
    <m/>
    <m/>
    <m/>
    <m/>
    <n v="0"/>
    <n v="0"/>
    <n v="1"/>
    <n v="3.737906772207563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3"/>
    <n v="4548"/>
  </r>
  <r>
    <x v="3"/>
    <s v="State College of Florida, Manatee-Sarasota"/>
    <s v="Met the criteria for Two-Year with Bachelor's in 2011-12 and 2012-13."/>
    <n v="135391"/>
    <x v="6"/>
    <n v="54"/>
    <n v="65"/>
    <n v="0"/>
    <n v="0"/>
    <n v="1646"/>
    <n v="1714"/>
    <n v="49.878787878787875"/>
    <n v="38.954545454545453"/>
    <n v="33"/>
    <m/>
    <m/>
    <m/>
    <n v="0"/>
    <n v="44"/>
    <m/>
    <m/>
    <m/>
    <n v="0"/>
    <s v="51"/>
    <n v="33"/>
    <s v="51"/>
    <n v="44"/>
    <m/>
    <m/>
    <m/>
    <m/>
    <m/>
    <m/>
    <m/>
    <m/>
    <m/>
    <m/>
    <m/>
    <m/>
    <m/>
    <m/>
    <m/>
    <m/>
    <n v="1"/>
    <n v="1.9042123485285632E-2"/>
    <n v="1"/>
    <n v="2.413603949533735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3"/>
    <n v="1823"/>
  </r>
  <r>
    <x v="3"/>
    <s v="Tallahassee Community College "/>
    <m/>
    <n v="137759"/>
    <x v="6"/>
    <n v="412"/>
    <n v="478"/>
    <n v="10"/>
    <n v="5"/>
    <n v="2657"/>
    <n v="3278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9"/>
    <n v="3761"/>
  </r>
  <r>
    <x v="3"/>
    <s v="Valencia Community College "/>
    <m/>
    <n v="138187"/>
    <x v="6"/>
    <n v="3780"/>
    <n v="4055"/>
    <n v="0"/>
    <n v="0"/>
    <n v="6627"/>
    <n v="7974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07"/>
    <n v="12029"/>
  </r>
  <r>
    <x v="3"/>
    <s v="Florida Gateway College"/>
    <m/>
    <n v="135160"/>
    <x v="7"/>
    <n v="287"/>
    <n v="340"/>
    <n v="0"/>
    <n v="0"/>
    <n v="378"/>
    <n v="43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5"/>
    <n v="776"/>
  </r>
  <r>
    <x v="3"/>
    <s v="Gulf Coast Community College "/>
    <s v="Met the criteria for Two-Year with Bachelor's in 2012-13."/>
    <n v="134343"/>
    <x v="7"/>
    <n v="368"/>
    <n v="339"/>
    <n v="0"/>
    <n v="0"/>
    <n v="812"/>
    <n v="1021"/>
    <n v="0"/>
    <n v="255.25"/>
    <n v="0"/>
    <m/>
    <m/>
    <m/>
    <n v="0"/>
    <n v="4"/>
    <m/>
    <m/>
    <m/>
    <n v="0"/>
    <m/>
    <m/>
    <s v="11"/>
    <n v="4"/>
    <m/>
    <m/>
    <m/>
    <m/>
    <m/>
    <m/>
    <m/>
    <m/>
    <m/>
    <m/>
    <m/>
    <m/>
    <m/>
    <m/>
    <m/>
    <m/>
    <n v="0"/>
    <n v="0"/>
    <n v="1"/>
    <n v="2.932551319648093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0"/>
    <n v="1364"/>
  </r>
  <r>
    <x v="3"/>
    <s v="Lake-Sumter Community College "/>
    <m/>
    <n v="135188"/>
    <x v="7"/>
    <n v="60"/>
    <n v="47"/>
    <n v="0"/>
    <n v="0"/>
    <n v="590"/>
    <n v="73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0"/>
    <n v="779"/>
  </r>
  <r>
    <x v="3"/>
    <s v="South Florida Community College "/>
    <m/>
    <n v="137315"/>
    <x v="7"/>
    <n v="409"/>
    <n v="295"/>
    <n v="25"/>
    <n v="16"/>
    <n v="435"/>
    <n v="360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671"/>
  </r>
  <r>
    <x v="3"/>
    <s v="St. Johns River Community College "/>
    <s v="Met the criteria for Two-Year with Bachelor's in 2011-12 and 2012-13."/>
    <n v="137281"/>
    <x v="7"/>
    <n v="639"/>
    <n v="368"/>
    <n v="0"/>
    <n v="18"/>
    <n v="3518"/>
    <n v="882"/>
    <n v="3.6953781512605044"/>
    <n v="441"/>
    <n v="952"/>
    <m/>
    <m/>
    <m/>
    <n v="0"/>
    <n v="2"/>
    <m/>
    <m/>
    <m/>
    <n v="0"/>
    <m/>
    <m/>
    <s v="52"/>
    <n v="2"/>
    <m/>
    <m/>
    <m/>
    <m/>
    <m/>
    <m/>
    <m/>
    <m/>
    <m/>
    <m/>
    <m/>
    <m/>
    <m/>
    <m/>
    <m/>
    <m/>
    <n v="0"/>
    <n v="0.18633783519279704"/>
    <n v="1"/>
    <n v="1.574803149606299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09"/>
    <n v="1270"/>
  </r>
  <r>
    <x v="3"/>
    <s v="Florida Keys Community College "/>
    <m/>
    <n v="133960"/>
    <x v="8"/>
    <n v="58"/>
    <n v="65"/>
    <n v="0"/>
    <n v="0"/>
    <n v="159"/>
    <n v="21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"/>
    <n v="281"/>
  </r>
  <r>
    <x v="3"/>
    <s v="North Florida Community College "/>
    <m/>
    <n v="136145"/>
    <x v="8"/>
    <n v="189"/>
    <n v="172"/>
    <n v="2"/>
    <n v="8"/>
    <n v="178"/>
    <n v="17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"/>
    <n v="357"/>
  </r>
  <r>
    <x v="4"/>
    <s v="Georgia State University "/>
    <m/>
    <n v="139940"/>
    <x v="0"/>
    <m/>
    <m/>
    <m/>
    <m/>
    <m/>
    <m/>
    <n v="0"/>
    <n v="0"/>
    <n v="4117"/>
    <n v="298"/>
    <m/>
    <m/>
    <n v="298"/>
    <n v="4380"/>
    <n v="331"/>
    <m/>
    <m/>
    <n v="331"/>
    <m/>
    <m/>
    <m/>
    <m/>
    <m/>
    <m/>
    <m/>
    <m/>
    <m/>
    <m/>
    <m/>
    <m/>
    <m/>
    <m/>
    <m/>
    <m/>
    <m/>
    <m/>
    <m/>
    <m/>
    <n v="0"/>
    <n v="0.61438591255036556"/>
    <n v="0"/>
    <n v="0.6075738660008323"/>
    <n v="46"/>
    <n v="31"/>
    <n v="52"/>
    <n v="688"/>
    <n v="52"/>
    <n v="803"/>
    <n v="13"/>
    <n v="617"/>
    <n v="13"/>
    <n v="591"/>
    <n v="51"/>
    <n v="179"/>
    <n v="51"/>
    <n v="237"/>
    <n v="44"/>
    <n v="93"/>
    <n v="44"/>
    <n v="105"/>
    <n v="45"/>
    <n v="79"/>
    <n v="26"/>
    <n v="85"/>
    <n v="26"/>
    <n v="78"/>
    <n v="45"/>
    <n v="77"/>
    <n v="31"/>
    <n v="60"/>
    <n v="11"/>
    <n v="70"/>
    <n v="11"/>
    <n v="49"/>
    <n v="31"/>
    <n v="69"/>
    <n v="42"/>
    <n v="45"/>
    <n v="50"/>
    <n v="45"/>
    <n v="50"/>
    <n v="43"/>
    <n v="40"/>
    <n v="47"/>
    <n v="191"/>
    <n v="230"/>
    <n v="2122"/>
    <n v="10"/>
    <n v="2359"/>
    <n v="10"/>
    <n v="13"/>
    <n v="50"/>
    <n v="13"/>
    <n v="59"/>
    <n v="51"/>
    <n v="46"/>
    <n v="51"/>
    <n v="39"/>
    <n v="42"/>
    <n v="26"/>
    <n v="45"/>
    <n v="25"/>
    <n v="45"/>
    <n v="17"/>
    <n v="23"/>
    <n v="19"/>
    <n v="52"/>
    <n v="15"/>
    <n v="26"/>
    <n v="19"/>
    <n v="11"/>
    <n v="14"/>
    <n v="42"/>
    <n v="18"/>
    <n v="40"/>
    <n v="13"/>
    <n v="52"/>
    <n v="18"/>
    <n v="26"/>
    <n v="10"/>
    <n v="40"/>
    <n v="17"/>
    <n v="9"/>
    <n v="8"/>
    <n v="11"/>
    <n v="10"/>
    <n v="54"/>
    <n v="4"/>
    <n v="44"/>
    <n v="7"/>
    <n v="25"/>
    <n v="16"/>
    <n v="228"/>
    <n v="10"/>
    <n v="0.21929824561403508"/>
    <n v="247"/>
    <n v="10"/>
    <n v="0.23886639676113361"/>
    <n v="2350"/>
    <n v="2606"/>
    <n v="188"/>
    <n v="192"/>
    <m/>
    <m/>
    <m/>
    <m/>
    <m/>
    <m/>
    <m/>
    <m/>
    <m/>
    <m/>
    <m/>
    <m/>
    <m/>
    <m/>
    <m/>
    <m/>
    <m/>
    <m/>
    <n v="188"/>
    <n v="192"/>
    <m/>
    <m/>
    <n v="6701"/>
    <n v="7209"/>
  </r>
  <r>
    <x v="4"/>
    <s v="University of Georgia"/>
    <m/>
    <n v="139959"/>
    <x v="0"/>
    <m/>
    <m/>
    <m/>
    <m/>
    <m/>
    <m/>
    <n v="0"/>
    <n v="0"/>
    <n v="6830"/>
    <n v="446"/>
    <m/>
    <m/>
    <n v="446"/>
    <n v="6834"/>
    <n v="400"/>
    <m/>
    <m/>
    <n v="400"/>
    <m/>
    <m/>
    <m/>
    <m/>
    <m/>
    <m/>
    <m/>
    <m/>
    <m/>
    <m/>
    <m/>
    <m/>
    <m/>
    <m/>
    <m/>
    <m/>
    <m/>
    <m/>
    <m/>
    <m/>
    <n v="0"/>
    <n v="0.71458464113831344"/>
    <n v="0"/>
    <n v="0.7182343667892801"/>
    <m/>
    <m/>
    <n v="13"/>
    <n v="591"/>
    <n v="13"/>
    <n v="436"/>
    <n v="52"/>
    <n v="401"/>
    <n v="52"/>
    <n v="382"/>
    <n v="44"/>
    <n v="193"/>
    <n v="44"/>
    <n v="204"/>
    <n v="51"/>
    <n v="110"/>
    <n v="41"/>
    <n v="130"/>
    <n v="1"/>
    <n v="80"/>
    <n v="1"/>
    <n v="76"/>
    <n v="50"/>
    <n v="64"/>
    <n v="50"/>
    <n v="64"/>
    <n v="42"/>
    <n v="59"/>
    <n v="31"/>
    <n v="56"/>
    <n v="11"/>
    <n v="54"/>
    <n v="3"/>
    <n v="45"/>
    <n v="3"/>
    <n v="52"/>
    <n v="9"/>
    <n v="41"/>
    <n v="9"/>
    <n v="45"/>
    <n v="45"/>
    <n v="39"/>
    <n v="195"/>
    <n v="305"/>
    <n v="1844"/>
    <n v="10"/>
    <n v="1778"/>
    <n v="10"/>
    <n v="13"/>
    <n v="145"/>
    <n v="13"/>
    <n v="130"/>
    <n v="26"/>
    <n v="48"/>
    <n v="26"/>
    <n v="65"/>
    <n v="40"/>
    <n v="38"/>
    <n v="51"/>
    <n v="32"/>
    <n v="42"/>
    <n v="31"/>
    <n v="40"/>
    <n v="23"/>
    <n v="45"/>
    <n v="28"/>
    <n v="45"/>
    <n v="21"/>
    <n v="1"/>
    <n v="25"/>
    <n v="42"/>
    <n v="20"/>
    <n v="50"/>
    <n v="21"/>
    <n v="50"/>
    <n v="19"/>
    <n v="52"/>
    <n v="14"/>
    <n v="19"/>
    <n v="18"/>
    <n v="23"/>
    <n v="14"/>
    <n v="52"/>
    <n v="18"/>
    <n v="3"/>
    <n v="12"/>
    <n v="1"/>
    <n v="17"/>
    <n v="62"/>
    <n v="90"/>
    <n v="438"/>
    <n v="10"/>
    <n v="0.33105022831050229"/>
    <n v="453"/>
    <n v="10"/>
    <n v="0.28697571743929362"/>
    <n v="2282"/>
    <n v="2231"/>
    <n v="227"/>
    <n v="229"/>
    <m/>
    <m/>
    <m/>
    <m/>
    <n v="122"/>
    <n v="122"/>
    <m/>
    <m/>
    <m/>
    <m/>
    <m/>
    <m/>
    <n v="97"/>
    <n v="99"/>
    <m/>
    <m/>
    <m/>
    <m/>
    <n v="446"/>
    <n v="450"/>
    <m/>
    <m/>
    <n v="9558"/>
    <n v="9515"/>
  </r>
  <r>
    <x v="4"/>
    <s v="Georgia Institute of Technology"/>
    <m/>
    <n v="139755"/>
    <x v="1"/>
    <m/>
    <m/>
    <m/>
    <m/>
    <m/>
    <m/>
    <n v="0"/>
    <n v="0"/>
    <n v="3024"/>
    <n v="0"/>
    <m/>
    <m/>
    <n v="0"/>
    <n v="2866"/>
    <m/>
    <m/>
    <m/>
    <n v="0"/>
    <m/>
    <m/>
    <m/>
    <m/>
    <m/>
    <m/>
    <m/>
    <m/>
    <m/>
    <m/>
    <m/>
    <m/>
    <m/>
    <m/>
    <m/>
    <m/>
    <m/>
    <m/>
    <m/>
    <m/>
    <n v="0"/>
    <n v="0.56533931575995511"/>
    <n v="0"/>
    <n v="0.54311161644873984"/>
    <m/>
    <m/>
    <n v="14"/>
    <n v="928"/>
    <n v="14"/>
    <n v="973"/>
    <n v="52"/>
    <n v="293"/>
    <n v="52"/>
    <n v="333"/>
    <n v="11"/>
    <n v="281"/>
    <n v="11"/>
    <n v="187"/>
    <n v="4"/>
    <n v="167"/>
    <n v="4"/>
    <n v="164"/>
    <n v="40"/>
    <n v="38"/>
    <n v="27"/>
    <n v="90"/>
    <n v="27"/>
    <n v="35"/>
    <n v="40"/>
    <n v="39"/>
    <n v="51"/>
    <n v="35"/>
    <n v="50"/>
    <n v="27"/>
    <n v="45"/>
    <n v="24"/>
    <n v="45"/>
    <n v="25"/>
    <n v="26"/>
    <n v="19"/>
    <n v="51"/>
    <n v="23"/>
    <n v="50"/>
    <n v="16"/>
    <n v="26"/>
    <n v="21"/>
    <n v="42"/>
    <n v="48"/>
    <n v="1878"/>
    <n v="10"/>
    <n v="1930"/>
    <n v="10"/>
    <n v="14"/>
    <n v="291"/>
    <n v="14"/>
    <n v="307"/>
    <n v="40"/>
    <n v="62"/>
    <n v="40"/>
    <n v="51"/>
    <n v="11"/>
    <n v="31"/>
    <n v="11"/>
    <n v="44"/>
    <n v="4"/>
    <n v="14"/>
    <n v="26"/>
    <n v="18"/>
    <n v="27"/>
    <n v="13"/>
    <n v="42"/>
    <n v="15"/>
    <n v="26"/>
    <n v="11"/>
    <n v="4"/>
    <n v="14"/>
    <n v="44"/>
    <n v="8"/>
    <n v="27"/>
    <n v="13"/>
    <n v="52"/>
    <n v="8"/>
    <n v="44"/>
    <n v="12"/>
    <n v="9"/>
    <n v="4"/>
    <n v="52"/>
    <n v="4"/>
    <n v="54"/>
    <n v="1"/>
    <n v="54"/>
    <n v="3"/>
    <n v="4"/>
    <n v="0"/>
    <n v="447"/>
    <n v="10"/>
    <n v="0.65100671140939592"/>
    <n v="481"/>
    <n v="10"/>
    <n v="0.63825363825363823"/>
    <n v="2325"/>
    <n v="2411"/>
    <m/>
    <m/>
    <m/>
    <m/>
    <m/>
    <m/>
    <m/>
    <m/>
    <m/>
    <m/>
    <m/>
    <m/>
    <m/>
    <m/>
    <m/>
    <m/>
    <m/>
    <m/>
    <m/>
    <m/>
    <n v="0"/>
    <n v="0"/>
    <m/>
    <m/>
    <n v="5349"/>
    <n v="5277"/>
  </r>
  <r>
    <x v="4"/>
    <s v="Georgia Southern University"/>
    <m/>
    <n v="139931"/>
    <x v="2"/>
    <m/>
    <m/>
    <m/>
    <m/>
    <m/>
    <m/>
    <n v="0"/>
    <n v="0"/>
    <n v="2671"/>
    <n v="272"/>
    <m/>
    <m/>
    <n v="272"/>
    <n v="2786"/>
    <n v="249"/>
    <m/>
    <m/>
    <n v="249"/>
    <m/>
    <m/>
    <m/>
    <m/>
    <m/>
    <m/>
    <m/>
    <m/>
    <m/>
    <m/>
    <m/>
    <m/>
    <m/>
    <m/>
    <m/>
    <m/>
    <m/>
    <m/>
    <m/>
    <m/>
    <n v="0"/>
    <n v="0.75923820352472993"/>
    <n v="0"/>
    <n v="0.75830157866086012"/>
    <m/>
    <m/>
    <n v="13"/>
    <n v="365"/>
    <n v="13"/>
    <n v="309"/>
    <n v="52"/>
    <n v="164"/>
    <n v="52"/>
    <n v="197"/>
    <n v="31"/>
    <n v="78"/>
    <n v="31"/>
    <n v="74"/>
    <n v="51"/>
    <n v="50"/>
    <n v="51"/>
    <n v="61"/>
    <n v="45"/>
    <n v="20"/>
    <n v="45"/>
    <n v="24"/>
    <n v="44"/>
    <n v="19"/>
    <n v="26"/>
    <n v="22"/>
    <n v="50"/>
    <n v="19"/>
    <n v="44"/>
    <n v="22"/>
    <n v="42"/>
    <n v="11"/>
    <n v="42"/>
    <n v="21"/>
    <n v="23"/>
    <n v="8"/>
    <n v="27"/>
    <n v="14"/>
    <n v="26"/>
    <n v="8"/>
    <n v="50"/>
    <n v="14"/>
    <n v="33"/>
    <n v="52"/>
    <n v="775"/>
    <n v="10"/>
    <n v="810"/>
    <n v="10"/>
    <n v="13"/>
    <n v="57"/>
    <n v="13"/>
    <n v="66"/>
    <n v="51"/>
    <n v="15"/>
    <n v="51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2"/>
    <n v="0.79166666666666663"/>
    <n v="78"/>
    <n v="2"/>
    <n v="0.84615384615384615"/>
    <n v="847"/>
    <n v="888"/>
    <m/>
    <m/>
    <m/>
    <m/>
    <m/>
    <m/>
    <m/>
    <m/>
    <m/>
    <m/>
    <m/>
    <m/>
    <m/>
    <m/>
    <m/>
    <m/>
    <m/>
    <m/>
    <m/>
    <m/>
    <n v="0"/>
    <n v="0"/>
    <m/>
    <m/>
    <n v="3518"/>
    <n v="3674"/>
  </r>
  <r>
    <x v="4"/>
    <s v="University of West Georgia"/>
    <m/>
    <n v="141334"/>
    <x v="2"/>
    <m/>
    <m/>
    <m/>
    <m/>
    <m/>
    <m/>
    <n v="0"/>
    <n v="0"/>
    <n v="1470"/>
    <n v="280"/>
    <m/>
    <m/>
    <n v="280"/>
    <n v="1577"/>
    <n v="269"/>
    <m/>
    <m/>
    <n v="269"/>
    <m/>
    <m/>
    <m/>
    <m/>
    <m/>
    <m/>
    <m/>
    <m/>
    <m/>
    <m/>
    <m/>
    <m/>
    <m/>
    <m/>
    <m/>
    <m/>
    <m/>
    <m/>
    <m/>
    <m/>
    <n v="0"/>
    <n v="0.70033349213911389"/>
    <n v="0"/>
    <n v="0.73829588014981273"/>
    <n v="10"/>
    <n v="1"/>
    <n v="13"/>
    <n v="411"/>
    <n v="13"/>
    <n v="367"/>
    <n v="52"/>
    <n v="106"/>
    <n v="42"/>
    <n v="76"/>
    <n v="51"/>
    <n v="19"/>
    <n v="42"/>
    <n v="19"/>
    <n v="42"/>
    <n v="17"/>
    <n v="51"/>
    <n v="16"/>
    <n v="44"/>
    <n v="14"/>
    <n v="26"/>
    <n v="11"/>
    <n v="11"/>
    <n v="10"/>
    <n v="45"/>
    <n v="11"/>
    <n v="54"/>
    <n v="10"/>
    <n v="23"/>
    <n v="9"/>
    <n v="23"/>
    <n v="7"/>
    <n v="44"/>
    <n v="8"/>
    <n v="26"/>
    <n v="4"/>
    <n v="27"/>
    <n v="6"/>
    <n v="45"/>
    <n v="4"/>
    <n v="54"/>
    <n v="6"/>
    <n v="4"/>
    <n v="6"/>
    <n v="606"/>
    <n v="10"/>
    <n v="535"/>
    <n v="10"/>
    <n v="13"/>
    <n v="13"/>
    <n v="13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"/>
    <n v="1"/>
    <n v="23"/>
    <n v="1"/>
    <n v="1"/>
    <n v="619"/>
    <n v="558"/>
    <m/>
    <m/>
    <m/>
    <m/>
    <m/>
    <m/>
    <m/>
    <m/>
    <m/>
    <m/>
    <m/>
    <m/>
    <m/>
    <m/>
    <m/>
    <m/>
    <m/>
    <m/>
    <m/>
    <m/>
    <n v="0"/>
    <n v="0"/>
    <m/>
    <m/>
    <n v="2099"/>
    <n v="2136"/>
  </r>
  <r>
    <x v="4"/>
    <s v="Valdosta State University "/>
    <m/>
    <n v="141264"/>
    <x v="2"/>
    <m/>
    <m/>
    <m/>
    <m/>
    <n v="43"/>
    <n v="46"/>
    <n v="2.5903614457831327E-2"/>
    <n v="2.6620370370370371E-2"/>
    <n v="1660"/>
    <n v="284"/>
    <m/>
    <m/>
    <n v="284"/>
    <n v="1728"/>
    <n v="263"/>
    <m/>
    <m/>
    <n v="263"/>
    <m/>
    <m/>
    <m/>
    <m/>
    <m/>
    <m/>
    <m/>
    <m/>
    <m/>
    <m/>
    <m/>
    <m/>
    <m/>
    <m/>
    <m/>
    <m/>
    <m/>
    <m/>
    <m/>
    <m/>
    <n v="0"/>
    <n v="0.68965517241379315"/>
    <n v="0"/>
    <n v="0.65678449258836946"/>
    <m/>
    <m/>
    <n v="13"/>
    <n v="383"/>
    <n v="13"/>
    <n v="405"/>
    <n v="44"/>
    <n v="92"/>
    <n v="44"/>
    <n v="112"/>
    <n v="51"/>
    <n v="92"/>
    <n v="51"/>
    <n v="111"/>
    <n v="25"/>
    <n v="48"/>
    <n v="25"/>
    <n v="75"/>
    <n v="52"/>
    <n v="32"/>
    <n v="52"/>
    <n v="58"/>
    <n v="42"/>
    <n v="23"/>
    <n v="42"/>
    <n v="21"/>
    <n v="43"/>
    <n v="6"/>
    <n v="23"/>
    <n v="11"/>
    <n v="50"/>
    <n v="5"/>
    <n v="43"/>
    <n v="10"/>
    <n v="45"/>
    <n v="3"/>
    <n v="50"/>
    <n v="7"/>
    <n v="54"/>
    <n v="3"/>
    <n v="45"/>
    <n v="6"/>
    <n v="0"/>
    <n v="20"/>
    <n v="687"/>
    <n v="10"/>
    <n v="836"/>
    <n v="10"/>
    <n v="13"/>
    <n v="8"/>
    <n v="13"/>
    <n v="14"/>
    <n v="44"/>
    <n v="9"/>
    <n v="4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47058823529411764"/>
    <n v="21"/>
    <n v="2"/>
    <n v="0.66666666666666663"/>
    <n v="704"/>
    <n v="857"/>
    <m/>
    <m/>
    <m/>
    <m/>
    <m/>
    <m/>
    <m/>
    <m/>
    <m/>
    <m/>
    <m/>
    <m/>
    <m/>
    <m/>
    <m/>
    <m/>
    <m/>
    <m/>
    <m/>
    <m/>
    <n v="0"/>
    <n v="0"/>
    <m/>
    <m/>
    <n v="2407"/>
    <n v="2631"/>
  </r>
  <r>
    <x v="4"/>
    <s v="Albany State University "/>
    <m/>
    <n v="138716"/>
    <x v="3"/>
    <m/>
    <m/>
    <m/>
    <m/>
    <m/>
    <m/>
    <n v="0"/>
    <n v="0"/>
    <n v="563"/>
    <n v="117"/>
    <m/>
    <m/>
    <n v="117"/>
    <n v="626"/>
    <n v="100"/>
    <m/>
    <m/>
    <n v="100"/>
    <m/>
    <m/>
    <m/>
    <m/>
    <m/>
    <m/>
    <m/>
    <m/>
    <m/>
    <m/>
    <m/>
    <m/>
    <m/>
    <m/>
    <m/>
    <m/>
    <m/>
    <m/>
    <m/>
    <m/>
    <n v="0"/>
    <n v="0.79295774647887329"/>
    <n v="0"/>
    <n v="0.77093596059113301"/>
    <m/>
    <m/>
    <n v="13"/>
    <n v="97"/>
    <n v="13"/>
    <n v="91"/>
    <n v="44"/>
    <n v="26"/>
    <n v="44"/>
    <n v="35"/>
    <n v="51"/>
    <n v="12"/>
    <n v="51"/>
    <n v="27"/>
    <n v="43"/>
    <n v="6"/>
    <n v="43"/>
    <n v="19"/>
    <n v="52"/>
    <n v="6"/>
    <n v="52"/>
    <n v="14"/>
    <m/>
    <m/>
    <m/>
    <m/>
    <m/>
    <m/>
    <m/>
    <m/>
    <m/>
    <m/>
    <m/>
    <m/>
    <m/>
    <m/>
    <m/>
    <m/>
    <m/>
    <m/>
    <m/>
    <m/>
    <m/>
    <m/>
    <n v="147"/>
    <n v="5"/>
    <n v="18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7"/>
    <n v="186"/>
    <m/>
    <m/>
    <m/>
    <m/>
    <m/>
    <m/>
    <m/>
    <m/>
    <m/>
    <m/>
    <m/>
    <m/>
    <m/>
    <m/>
    <m/>
    <m/>
    <m/>
    <m/>
    <m/>
    <m/>
    <n v="0"/>
    <n v="0"/>
    <m/>
    <m/>
    <n v="710"/>
    <n v="812"/>
  </r>
  <r>
    <x v="4"/>
    <s v="Armstrong Atlantic State University"/>
    <m/>
    <n v="138789"/>
    <x v="3"/>
    <n v="138"/>
    <n v="54"/>
    <m/>
    <m/>
    <n v="63"/>
    <n v="55"/>
    <n v="6.9383259911894271E-2"/>
    <n v="6.2429057888762768E-2"/>
    <n v="908"/>
    <n v="155"/>
    <m/>
    <m/>
    <n v="155"/>
    <n v="881"/>
    <n v="117"/>
    <m/>
    <m/>
    <n v="117"/>
    <m/>
    <m/>
    <m/>
    <m/>
    <m/>
    <m/>
    <m/>
    <m/>
    <m/>
    <m/>
    <m/>
    <m/>
    <m/>
    <m/>
    <m/>
    <m/>
    <m/>
    <m/>
    <m/>
    <m/>
    <n v="0"/>
    <n v="0.59191655801825294"/>
    <n v="0"/>
    <n v="0.66041979010494756"/>
    <n v="108"/>
    <n v="99"/>
    <n v="13"/>
    <n v="227"/>
    <n v="13"/>
    <n v="159"/>
    <n v="51"/>
    <n v="50"/>
    <n v="51"/>
    <n v="51"/>
    <n v="43"/>
    <n v="7"/>
    <n v="54"/>
    <n v="8"/>
    <n v="54"/>
    <n v="5"/>
    <n v="11"/>
    <n v="4"/>
    <n v="9"/>
    <n v="4"/>
    <n v="43"/>
    <n v="4"/>
    <n v="11"/>
    <n v="4"/>
    <n v="9"/>
    <n v="1"/>
    <m/>
    <m/>
    <m/>
    <m/>
    <m/>
    <m/>
    <m/>
    <m/>
    <m/>
    <m/>
    <m/>
    <m/>
    <m/>
    <m/>
    <m/>
    <m/>
    <m/>
    <m/>
    <n v="297"/>
    <n v="6"/>
    <n v="227"/>
    <n v="6"/>
    <n v="51"/>
    <n v="20"/>
    <n v="51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18"/>
    <n v="1"/>
    <n v="1"/>
    <n v="317"/>
    <n v="245"/>
    <m/>
    <m/>
    <m/>
    <m/>
    <m/>
    <m/>
    <m/>
    <m/>
    <m/>
    <m/>
    <m/>
    <m/>
    <m/>
    <m/>
    <m/>
    <m/>
    <m/>
    <m/>
    <m/>
    <m/>
    <n v="0"/>
    <n v="0"/>
    <m/>
    <m/>
    <n v="1534"/>
    <n v="1334"/>
  </r>
  <r>
    <x v="4"/>
    <s v="Augusta State University"/>
    <s v="Reclassified: met the criteria for Four-Year 4 in 2010-11, 2011-12, and 2012-13."/>
    <n v="138983"/>
    <x v="3"/>
    <m/>
    <m/>
    <m/>
    <m/>
    <n v="14"/>
    <n v="10"/>
    <n v="2.1308980213089801E-2"/>
    <n v="1.4771048744460856E-2"/>
    <n v="657"/>
    <n v="115"/>
    <m/>
    <m/>
    <n v="115"/>
    <n v="677"/>
    <n v="106"/>
    <m/>
    <m/>
    <n v="106"/>
    <m/>
    <m/>
    <m/>
    <m/>
    <m/>
    <m/>
    <m/>
    <m/>
    <m/>
    <m/>
    <m/>
    <m/>
    <m/>
    <m/>
    <m/>
    <m/>
    <m/>
    <m/>
    <m/>
    <m/>
    <n v="0"/>
    <n v="0.59890610756608931"/>
    <n v="0"/>
    <n v="0.65158806544754577"/>
    <m/>
    <m/>
    <n v="13"/>
    <n v="345"/>
    <n v="13"/>
    <n v="264"/>
    <n v="52"/>
    <n v="46"/>
    <n v="52"/>
    <n v="46"/>
    <n v="44"/>
    <n v="15"/>
    <n v="42"/>
    <n v="21"/>
    <n v="42"/>
    <n v="12"/>
    <n v="44"/>
    <n v="13"/>
    <n v="31"/>
    <n v="8"/>
    <n v="31"/>
    <n v="8"/>
    <m/>
    <m/>
    <m/>
    <m/>
    <m/>
    <m/>
    <m/>
    <m/>
    <m/>
    <m/>
    <m/>
    <m/>
    <m/>
    <m/>
    <m/>
    <m/>
    <m/>
    <m/>
    <m/>
    <m/>
    <m/>
    <m/>
    <n v="426"/>
    <n v="5"/>
    <n v="3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6"/>
    <n v="352"/>
    <m/>
    <m/>
    <m/>
    <m/>
    <m/>
    <m/>
    <m/>
    <m/>
    <m/>
    <m/>
    <m/>
    <m/>
    <m/>
    <m/>
    <m/>
    <m/>
    <m/>
    <m/>
    <m/>
    <m/>
    <n v="0"/>
    <n v="0"/>
    <m/>
    <m/>
    <n v="1097"/>
    <n v="1039"/>
  </r>
  <r>
    <x v="4"/>
    <s v="Columbus State University"/>
    <m/>
    <n v="139366"/>
    <x v="3"/>
    <n v="160"/>
    <n v="82"/>
    <m/>
    <m/>
    <n v="32"/>
    <n v="34"/>
    <n v="3.5281146637265712E-2"/>
    <n v="3.9306358381502891E-2"/>
    <n v="907"/>
    <n v="154"/>
    <m/>
    <m/>
    <n v="154"/>
    <n v="865"/>
    <n v="142"/>
    <m/>
    <m/>
    <n v="142"/>
    <m/>
    <m/>
    <m/>
    <m/>
    <m/>
    <m/>
    <m/>
    <m/>
    <m/>
    <m/>
    <m/>
    <m/>
    <m/>
    <m/>
    <m/>
    <m/>
    <m/>
    <m/>
    <m/>
    <m/>
    <n v="0"/>
    <n v="0.59986772486772488"/>
    <n v="0"/>
    <n v="0.59327846364883396"/>
    <n v="1"/>
    <n v="8"/>
    <n v="13"/>
    <n v="230"/>
    <n v="13"/>
    <n v="252"/>
    <n v="45"/>
    <n v="120"/>
    <n v="45"/>
    <n v="124"/>
    <n v="11"/>
    <n v="30"/>
    <n v="52"/>
    <n v="60"/>
    <n v="52"/>
    <n v="27"/>
    <n v="11"/>
    <n v="21"/>
    <n v="3"/>
    <n v="5"/>
    <n v="3"/>
    <n v="6"/>
    <m/>
    <m/>
    <n v="50"/>
    <n v="5"/>
    <m/>
    <m/>
    <m/>
    <m/>
    <m/>
    <m/>
    <m/>
    <m/>
    <m/>
    <m/>
    <m/>
    <m/>
    <m/>
    <m/>
    <m/>
    <m/>
    <m/>
    <m/>
    <n v="412"/>
    <n v="5"/>
    <n v="468"/>
    <n v="6"/>
    <m/>
    <m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"/>
    <n v="1"/>
    <n v="1"/>
    <n v="412"/>
    <n v="469"/>
    <m/>
    <m/>
    <m/>
    <m/>
    <m/>
    <m/>
    <m/>
    <m/>
    <m/>
    <m/>
    <m/>
    <m/>
    <m/>
    <m/>
    <m/>
    <m/>
    <m/>
    <m/>
    <m/>
    <m/>
    <n v="0"/>
    <n v="0"/>
    <m/>
    <m/>
    <n v="1512"/>
    <n v="1458"/>
  </r>
  <r>
    <x v="4"/>
    <s v="Georgia College and State University"/>
    <m/>
    <n v="139861"/>
    <x v="3"/>
    <m/>
    <m/>
    <m/>
    <m/>
    <m/>
    <m/>
    <n v="0"/>
    <n v="0"/>
    <n v="1105"/>
    <n v="77"/>
    <m/>
    <m/>
    <n v="77"/>
    <n v="1215"/>
    <n v="101"/>
    <m/>
    <m/>
    <n v="101"/>
    <m/>
    <m/>
    <m/>
    <m/>
    <m/>
    <m/>
    <m/>
    <m/>
    <m/>
    <m/>
    <m/>
    <m/>
    <m/>
    <m/>
    <m/>
    <m/>
    <m/>
    <m/>
    <m/>
    <m/>
    <n v="0"/>
    <n v="0.70203303684879292"/>
    <n v="0"/>
    <n v="0.69547796222095015"/>
    <m/>
    <m/>
    <n v="13"/>
    <n v="244"/>
    <n v="13"/>
    <n v="277"/>
    <n v="52"/>
    <n v="128"/>
    <n v="52"/>
    <n v="151"/>
    <n v="43"/>
    <n v="35"/>
    <n v="44"/>
    <n v="37"/>
    <n v="51"/>
    <n v="24"/>
    <n v="26"/>
    <n v="21"/>
    <n v="26"/>
    <n v="16"/>
    <n v="51"/>
    <n v="19"/>
    <n v="23"/>
    <n v="14"/>
    <n v="23"/>
    <n v="14"/>
    <n v="43"/>
    <n v="5"/>
    <n v="43"/>
    <n v="9"/>
    <n v="54"/>
    <n v="3"/>
    <n v="54"/>
    <n v="4"/>
    <m/>
    <m/>
    <m/>
    <m/>
    <m/>
    <m/>
    <m/>
    <m/>
    <m/>
    <m/>
    <n v="469"/>
    <n v="8"/>
    <n v="53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69"/>
    <n v="532"/>
    <m/>
    <m/>
    <m/>
    <m/>
    <m/>
    <m/>
    <m/>
    <m/>
    <m/>
    <m/>
    <m/>
    <m/>
    <m/>
    <m/>
    <m/>
    <m/>
    <m/>
    <m/>
    <m/>
    <m/>
    <n v="0"/>
    <n v="0"/>
    <m/>
    <m/>
    <n v="1574"/>
    <n v="1747"/>
  </r>
  <r>
    <x v="4"/>
    <s v="Kennesaw State University"/>
    <s v="Met the criteria for Four-Year 3 in 2011-12 and 2012-13."/>
    <n v="140164"/>
    <x v="3"/>
    <m/>
    <m/>
    <m/>
    <m/>
    <m/>
    <m/>
    <n v="0"/>
    <n v="0"/>
    <n v="3319"/>
    <n v="580"/>
    <m/>
    <m/>
    <n v="580"/>
    <n v="3532"/>
    <n v="602"/>
    <m/>
    <m/>
    <n v="602"/>
    <m/>
    <m/>
    <m/>
    <m/>
    <m/>
    <m/>
    <m/>
    <m/>
    <m/>
    <m/>
    <m/>
    <m/>
    <m/>
    <m/>
    <m/>
    <m/>
    <m/>
    <m/>
    <m/>
    <m/>
    <n v="0"/>
    <n v="0.79023809523809518"/>
    <n v="0"/>
    <n v="0.81645862228386501"/>
    <n v="4"/>
    <n v="8"/>
    <n v="52"/>
    <n v="363"/>
    <n v="52"/>
    <n v="296"/>
    <n v="13"/>
    <n v="225"/>
    <n v="13"/>
    <n v="201"/>
    <n v="44"/>
    <n v="68"/>
    <n v="44"/>
    <n v="65"/>
    <n v="51"/>
    <n v="56"/>
    <n v="11"/>
    <n v="49"/>
    <n v="30"/>
    <n v="45"/>
    <n v="51"/>
    <n v="42"/>
    <n v="11"/>
    <n v="41"/>
    <n v="23"/>
    <n v="24"/>
    <n v="27"/>
    <n v="38"/>
    <n v="27"/>
    <n v="23"/>
    <n v="23"/>
    <n v="25"/>
    <n v="30"/>
    <n v="19"/>
    <n v="31"/>
    <n v="6"/>
    <n v="31"/>
    <n v="18"/>
    <n v="5"/>
    <n v="2"/>
    <n v="45"/>
    <n v="18"/>
    <m/>
    <n v="9"/>
    <n v="869"/>
    <n v="10"/>
    <n v="764"/>
    <n v="10"/>
    <n v="13"/>
    <n v="8"/>
    <n v="13"/>
    <n v="13"/>
    <m/>
    <m/>
    <n v="52"/>
    <n v="8"/>
    <m/>
    <m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22"/>
    <n v="3"/>
    <n v="0.59090909090909094"/>
    <n v="877"/>
    <n v="786"/>
    <m/>
    <m/>
    <m/>
    <m/>
    <m/>
    <m/>
    <m/>
    <m/>
    <m/>
    <m/>
    <m/>
    <m/>
    <m/>
    <m/>
    <m/>
    <m/>
    <m/>
    <m/>
    <m/>
    <m/>
    <n v="0"/>
    <n v="0"/>
    <m/>
    <m/>
    <n v="4200"/>
    <n v="4326"/>
  </r>
  <r>
    <x v="4"/>
    <s v="North Georgia College and State University"/>
    <s v="Reclassified: met the criteria for Four-Year 4 in 2010-11, 2011-12, and 2012-13."/>
    <n v="140669"/>
    <x v="3"/>
    <m/>
    <m/>
    <m/>
    <m/>
    <n v="150"/>
    <n v="160"/>
    <n v="0.1762632197414806"/>
    <n v="0.17094017094017094"/>
    <n v="851"/>
    <n v="187"/>
    <m/>
    <m/>
    <n v="187"/>
    <n v="936"/>
    <n v="209"/>
    <m/>
    <m/>
    <n v="209"/>
    <m/>
    <m/>
    <m/>
    <m/>
    <m/>
    <m/>
    <m/>
    <m/>
    <m/>
    <m/>
    <m/>
    <m/>
    <m/>
    <m/>
    <m/>
    <m/>
    <m/>
    <m/>
    <m/>
    <m/>
    <n v="0"/>
    <n v="0.70739817123857029"/>
    <n v="0"/>
    <n v="0.71614384085692429"/>
    <m/>
    <m/>
    <n v="13"/>
    <n v="108"/>
    <n v="13"/>
    <n v="93"/>
    <n v="42"/>
    <n v="21"/>
    <n v="51"/>
    <n v="29"/>
    <n v="51"/>
    <n v="20"/>
    <n v="52"/>
    <n v="22"/>
    <n v="52"/>
    <n v="19"/>
    <n v="42"/>
    <n v="15"/>
    <n v="44"/>
    <n v="10"/>
    <n v="54"/>
    <n v="11"/>
    <n v="54"/>
    <n v="1"/>
    <n v="45"/>
    <n v="9"/>
    <m/>
    <m/>
    <n v="44"/>
    <n v="6"/>
    <m/>
    <m/>
    <m/>
    <m/>
    <m/>
    <m/>
    <m/>
    <m/>
    <m/>
    <m/>
    <m/>
    <m/>
    <m/>
    <m/>
    <n v="179"/>
    <n v="6"/>
    <n v="185"/>
    <n v="7"/>
    <n v="51"/>
    <n v="23"/>
    <n v="51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"/>
    <n v="1"/>
    <n v="26"/>
    <n v="1"/>
    <n v="1"/>
    <n v="202"/>
    <n v="211"/>
    <m/>
    <m/>
    <m/>
    <m/>
    <m/>
    <m/>
    <m/>
    <m/>
    <m/>
    <m/>
    <m/>
    <m/>
    <m/>
    <m/>
    <m/>
    <m/>
    <m/>
    <m/>
    <m/>
    <m/>
    <n v="0"/>
    <n v="0"/>
    <m/>
    <m/>
    <n v="1203"/>
    <n v="1307"/>
  </r>
  <r>
    <x v="4"/>
    <s v="Clayton State University"/>
    <s v="Met the criteria for Four-Year 4 in 2012-13."/>
    <n v="139311"/>
    <x v="4"/>
    <n v="53"/>
    <n v="82"/>
    <m/>
    <m/>
    <n v="84"/>
    <n v="60"/>
    <n v="8.3665338645418322E-2"/>
    <n v="5.7581573896353169E-2"/>
    <n v="1004"/>
    <n v="48"/>
    <m/>
    <m/>
    <n v="48"/>
    <n v="1042"/>
    <n v="43"/>
    <m/>
    <m/>
    <n v="43"/>
    <m/>
    <m/>
    <m/>
    <m/>
    <m/>
    <m/>
    <m/>
    <m/>
    <m/>
    <m/>
    <m/>
    <m/>
    <m/>
    <m/>
    <m/>
    <m/>
    <m/>
    <m/>
    <m/>
    <m/>
    <n v="0"/>
    <n v="0.8345802161263508"/>
    <n v="0"/>
    <n v="0.81342701014832164"/>
    <m/>
    <m/>
    <n v="52"/>
    <n v="38"/>
    <n v="52"/>
    <n v="58"/>
    <n v="13"/>
    <n v="9"/>
    <n v="51"/>
    <n v="26"/>
    <n v="24"/>
    <n v="8"/>
    <n v="13"/>
    <n v="9"/>
    <n v="51"/>
    <n v="7"/>
    <n v="24"/>
    <n v="3"/>
    <m/>
    <m/>
    <n v="30"/>
    <n v="1"/>
    <m/>
    <m/>
    <m/>
    <m/>
    <m/>
    <m/>
    <m/>
    <m/>
    <m/>
    <m/>
    <m/>
    <m/>
    <m/>
    <m/>
    <m/>
    <m/>
    <m/>
    <m/>
    <m/>
    <m/>
    <m/>
    <m/>
    <n v="62"/>
    <n v="4"/>
    <n v="9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2"/>
    <n v="97"/>
    <m/>
    <m/>
    <m/>
    <m/>
    <m/>
    <m/>
    <m/>
    <m/>
    <m/>
    <m/>
    <m/>
    <m/>
    <m/>
    <m/>
    <m/>
    <m/>
    <m/>
    <m/>
    <m/>
    <m/>
    <n v="0"/>
    <n v="0"/>
    <m/>
    <m/>
    <n v="1203"/>
    <n v="1281"/>
  </r>
  <r>
    <x v="4"/>
    <s v="Fort Valley State University"/>
    <m/>
    <n v="139719"/>
    <x v="4"/>
    <m/>
    <m/>
    <m/>
    <m/>
    <m/>
    <m/>
    <n v="0"/>
    <n v="0"/>
    <n v="251"/>
    <n v="18"/>
    <m/>
    <m/>
    <n v="18"/>
    <n v="375"/>
    <n v="33"/>
    <m/>
    <m/>
    <n v="33"/>
    <m/>
    <m/>
    <m/>
    <m/>
    <m/>
    <m/>
    <m/>
    <m/>
    <m/>
    <m/>
    <m/>
    <m/>
    <m/>
    <m/>
    <m/>
    <m/>
    <m/>
    <m/>
    <m/>
    <m/>
    <n v="0"/>
    <n v="0.85665529010238906"/>
    <n v="0"/>
    <n v="0.88235294117647056"/>
    <m/>
    <m/>
    <n v="51"/>
    <n v="28"/>
    <n v="51"/>
    <n v="38"/>
    <n v="13"/>
    <n v="11"/>
    <n v="13"/>
    <n v="7"/>
    <n v="1"/>
    <n v="2"/>
    <n v="1"/>
    <n v="3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n v="42"/>
    <n v="4"/>
    <n v="5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"/>
    <n v="50"/>
    <m/>
    <m/>
    <m/>
    <m/>
    <m/>
    <m/>
    <m/>
    <m/>
    <m/>
    <m/>
    <m/>
    <m/>
    <m/>
    <m/>
    <m/>
    <m/>
    <m/>
    <m/>
    <m/>
    <m/>
    <n v="0"/>
    <n v="0"/>
    <m/>
    <m/>
    <n v="293"/>
    <n v="425"/>
  </r>
  <r>
    <x v="4"/>
    <s v="Georgia Southwestern State University"/>
    <m/>
    <n v="139764"/>
    <x v="4"/>
    <n v="4"/>
    <n v="6"/>
    <m/>
    <m/>
    <m/>
    <m/>
    <n v="0"/>
    <n v="0"/>
    <n v="523"/>
    <n v="131"/>
    <m/>
    <m/>
    <n v="131"/>
    <n v="526"/>
    <n v="122"/>
    <m/>
    <m/>
    <n v="122"/>
    <m/>
    <m/>
    <m/>
    <m/>
    <m/>
    <m/>
    <m/>
    <m/>
    <m/>
    <m/>
    <m/>
    <m/>
    <m/>
    <m/>
    <m/>
    <m/>
    <m/>
    <m/>
    <m/>
    <m/>
    <n v="0"/>
    <n v="0.70771312584573753"/>
    <n v="0"/>
    <n v="0.77352941176470591"/>
    <m/>
    <m/>
    <n v="13"/>
    <n v="169"/>
    <n v="13"/>
    <n v="114"/>
    <n v="52"/>
    <n v="34"/>
    <n v="52"/>
    <n v="29"/>
    <n v="11"/>
    <n v="9"/>
    <n v="1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3"/>
    <n v="14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2"/>
    <n v="148"/>
    <m/>
    <m/>
    <m/>
    <m/>
    <m/>
    <m/>
    <m/>
    <m/>
    <m/>
    <m/>
    <m/>
    <m/>
    <m/>
    <m/>
    <m/>
    <m/>
    <m/>
    <m/>
    <m/>
    <m/>
    <n v="0"/>
    <n v="0"/>
    <m/>
    <m/>
    <n v="739"/>
    <n v="680"/>
  </r>
  <r>
    <x v="4"/>
    <s v="Savannah State University"/>
    <m/>
    <n v="140960"/>
    <x v="4"/>
    <m/>
    <m/>
    <m/>
    <m/>
    <m/>
    <m/>
    <n v="0"/>
    <n v="0"/>
    <n v="370"/>
    <n v="0"/>
    <m/>
    <m/>
    <n v="0"/>
    <n v="395"/>
    <m/>
    <m/>
    <m/>
    <n v="0"/>
    <m/>
    <m/>
    <m/>
    <m/>
    <m/>
    <m/>
    <m/>
    <m/>
    <m/>
    <m/>
    <m/>
    <m/>
    <m/>
    <m/>
    <m/>
    <m/>
    <m/>
    <m/>
    <m/>
    <m/>
    <n v="0"/>
    <n v="0.89805825242718451"/>
    <n v="0"/>
    <n v="0.87004405286343611"/>
    <m/>
    <m/>
    <n v="44"/>
    <n v="34"/>
    <n v="44"/>
    <n v="39"/>
    <n v="26"/>
    <n v="5"/>
    <n v="52"/>
    <n v="10"/>
    <n v="52"/>
    <n v="3"/>
    <n v="26"/>
    <n v="7"/>
    <m/>
    <m/>
    <n v="45"/>
    <n v="3"/>
    <m/>
    <m/>
    <m/>
    <m/>
    <m/>
    <m/>
    <m/>
    <m/>
    <m/>
    <m/>
    <m/>
    <m/>
    <m/>
    <m/>
    <m/>
    <m/>
    <m/>
    <m/>
    <m/>
    <m/>
    <m/>
    <m/>
    <m/>
    <m/>
    <m/>
    <m/>
    <n v="42"/>
    <n v="3"/>
    <n v="59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"/>
    <n v="59"/>
    <m/>
    <m/>
    <m/>
    <m/>
    <m/>
    <m/>
    <m/>
    <m/>
    <m/>
    <m/>
    <m/>
    <m/>
    <m/>
    <m/>
    <m/>
    <m/>
    <m/>
    <m/>
    <m/>
    <m/>
    <n v="0"/>
    <n v="0"/>
    <m/>
    <m/>
    <n v="412"/>
    <n v="454"/>
  </r>
  <r>
    <x v="4"/>
    <s v="Georgia Gwinnett College"/>
    <m/>
    <n v="447689"/>
    <x v="5"/>
    <m/>
    <m/>
    <m/>
    <m/>
    <m/>
    <m/>
    <n v="0"/>
    <n v="0"/>
    <n v="185"/>
    <n v="0"/>
    <m/>
    <m/>
    <n v="0"/>
    <n v="340"/>
    <n v="38"/>
    <m/>
    <m/>
    <n v="38"/>
    <n v="52"/>
    <n v="100"/>
    <m/>
    <m/>
    <n v="42"/>
    <n v="34"/>
    <m/>
    <m/>
    <n v="26"/>
    <n v="30"/>
    <m/>
    <m/>
    <n v="11"/>
    <n v="21"/>
    <m/>
    <m/>
    <m/>
    <m/>
    <m/>
    <m/>
    <n v="4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"/>
    <n v="340"/>
  </r>
  <r>
    <x v="4"/>
    <s v="Macon State College "/>
    <m/>
    <n v="140322"/>
    <x v="5"/>
    <n v="13"/>
    <n v="4"/>
    <m/>
    <m/>
    <n v="316"/>
    <n v="310"/>
    <n v="0.61121856866537716"/>
    <n v="0.5535714285714286"/>
    <n v="517"/>
    <n v="64"/>
    <m/>
    <m/>
    <n v="64"/>
    <n v="560"/>
    <n v="88"/>
    <m/>
    <m/>
    <n v="88"/>
    <n v="52"/>
    <n v="172"/>
    <n v="52"/>
    <n v="150"/>
    <n v="51"/>
    <n v="116"/>
    <n v="51"/>
    <n v="16"/>
    <n v="13"/>
    <n v="64"/>
    <n v="13"/>
    <n v="88"/>
    <n v="11"/>
    <n v="54"/>
    <n v="11"/>
    <n v="51"/>
    <n v="44"/>
    <n v="37"/>
    <n v="44"/>
    <n v="38"/>
    <n v="5"/>
    <n v="0.61111111111111116"/>
    <n v="5"/>
    <n v="0.6407322654462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6"/>
    <n v="874"/>
  </r>
  <r>
    <x v="4"/>
    <s v="Dalton State College "/>
    <s v="Met the criteria for Four-Year 6 in 2011-12 and 2012-13."/>
    <n v="139463"/>
    <x v="12"/>
    <n v="117"/>
    <n v="114"/>
    <m/>
    <m/>
    <n v="310"/>
    <n v="361"/>
    <n v="1.3777777777777778"/>
    <n v="1.7190476190476192"/>
    <n v="225"/>
    <n v="76"/>
    <m/>
    <m/>
    <n v="76"/>
    <n v="210"/>
    <n v="59"/>
    <m/>
    <m/>
    <n v="59"/>
    <n v="52"/>
    <n v="96"/>
    <n v="52"/>
    <n v="69"/>
    <n v="13"/>
    <n v="76"/>
    <n v="13"/>
    <n v="59"/>
    <n v="44"/>
    <n v="17"/>
    <n v="26"/>
    <n v="23"/>
    <n v="26"/>
    <n v="15"/>
    <n v="43"/>
    <n v="19"/>
    <n v="27"/>
    <n v="6"/>
    <n v="54"/>
    <n v="15"/>
    <n v="5"/>
    <n v="0.34509202453987731"/>
    <n v="5"/>
    <n v="0.30656934306569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2"/>
    <n v="685"/>
  </r>
  <r>
    <x v="4"/>
    <s v="Gainesville State College "/>
    <m/>
    <n v="139773"/>
    <x v="12"/>
    <n v="27"/>
    <n v="22"/>
    <m/>
    <m/>
    <n v="768"/>
    <n v="834"/>
    <n v="8.8275862068965516"/>
    <n v="6.8925619834710741"/>
    <n v="87"/>
    <n v="60"/>
    <m/>
    <m/>
    <n v="60"/>
    <n v="121"/>
    <n v="79"/>
    <m/>
    <m/>
    <n v="79"/>
    <n v="13"/>
    <n v="60"/>
    <n v="13"/>
    <n v="79"/>
    <n v="3"/>
    <n v="13"/>
    <n v="52"/>
    <n v="15"/>
    <n v="52"/>
    <n v="10"/>
    <n v="3"/>
    <n v="13"/>
    <n v="50"/>
    <n v="4"/>
    <n v="44"/>
    <n v="12"/>
    <m/>
    <m/>
    <n v="50"/>
    <n v="2"/>
    <n v="4"/>
    <n v="9.8639455782312924E-2"/>
    <n v="5"/>
    <n v="0.123848515864892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2"/>
    <n v="977"/>
  </r>
  <r>
    <x v="4"/>
    <s v="Gordon College "/>
    <m/>
    <n v="139968"/>
    <x v="12"/>
    <m/>
    <m/>
    <m/>
    <m/>
    <n v="452"/>
    <n v="483"/>
    <n v="6.1917808219178081"/>
    <n v="4.83"/>
    <n v="73"/>
    <n v="51"/>
    <m/>
    <m/>
    <n v="51"/>
    <n v="100"/>
    <n v="50"/>
    <m/>
    <m/>
    <n v="50"/>
    <n v="13"/>
    <n v="51"/>
    <n v="13"/>
    <n v="50"/>
    <n v="51"/>
    <n v="22"/>
    <n v="51"/>
    <n v="38"/>
    <m/>
    <m/>
    <n v="26"/>
    <n v="12"/>
    <m/>
    <m/>
    <m/>
    <m/>
    <m/>
    <m/>
    <m/>
    <m/>
    <n v="2"/>
    <n v="0.13904761904761906"/>
    <n v="3"/>
    <n v="0.171526586620926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5"/>
    <n v="583"/>
  </r>
  <r>
    <x v="4"/>
    <s v="Georgia Perimeter College "/>
    <m/>
    <n v="244437"/>
    <x v="6"/>
    <n v="18"/>
    <n v="14"/>
    <m/>
    <m/>
    <n v="1800"/>
    <n v="21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8"/>
    <n v="2143"/>
  </r>
  <r>
    <x v="4"/>
    <s v="Abraham Baldwin Agricultural College "/>
    <s v="Met the criteria for Two-Year with Bachelor's in 2011-12 and 2012-13. "/>
    <n v="138558"/>
    <x v="7"/>
    <n v="1"/>
    <n v="2"/>
    <m/>
    <m/>
    <n v="507"/>
    <n v="455"/>
    <n v="10.787234042553191"/>
    <n v="9.2857142857142865"/>
    <n v="47"/>
    <m/>
    <m/>
    <m/>
    <n v="0"/>
    <n v="49"/>
    <m/>
    <m/>
    <m/>
    <n v="0"/>
    <n v="1"/>
    <n v="41"/>
    <n v="1"/>
    <n v="39"/>
    <n v="24"/>
    <n v="6"/>
    <n v="24"/>
    <n v="10"/>
    <m/>
    <m/>
    <m/>
    <m/>
    <m/>
    <m/>
    <m/>
    <m/>
    <m/>
    <m/>
    <m/>
    <m/>
    <n v="2"/>
    <n v="8.468468468468468E-2"/>
    <n v="2"/>
    <n v="9.683794466403161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5"/>
    <n v="506"/>
  </r>
  <r>
    <x v="4"/>
    <s v="Atlanta Metropolitan College"/>
    <m/>
    <n v="138901"/>
    <x v="7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4"/>
    <s v="Bainbridge College "/>
    <m/>
    <n v="139010"/>
    <x v="7"/>
    <n v="313"/>
    <n v="180"/>
    <m/>
    <m/>
    <n v="212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5"/>
    <n v="415"/>
  </r>
  <r>
    <x v="4"/>
    <s v="College of Coastal Georgia "/>
    <s v="Met the criteria for Two-Year with Bachelor's in 2011-12 and 2012-13. "/>
    <n v="139250"/>
    <x v="7"/>
    <n v="4"/>
    <n v="0"/>
    <m/>
    <m/>
    <n v="291"/>
    <n v="283"/>
    <n v="4.8499999999999996"/>
    <n v="2.282258064516129"/>
    <n v="60"/>
    <n v="39"/>
    <m/>
    <m/>
    <n v="39"/>
    <n v="124"/>
    <n v="59"/>
    <m/>
    <m/>
    <n v="59"/>
    <m/>
    <m/>
    <n v="13"/>
    <n v="59"/>
    <m/>
    <m/>
    <n v="51"/>
    <n v="48"/>
    <m/>
    <m/>
    <n v="52"/>
    <n v="14"/>
    <m/>
    <m/>
    <n v="42"/>
    <n v="2"/>
    <m/>
    <m/>
    <n v="26"/>
    <n v="1"/>
    <n v="0"/>
    <n v="0.16901408450704225"/>
    <n v="5"/>
    <n v="0.304668304668304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407"/>
  </r>
  <r>
    <x v="4"/>
    <s v="Darton College "/>
    <m/>
    <n v="138691"/>
    <x v="7"/>
    <n v="120"/>
    <n v="83"/>
    <m/>
    <m/>
    <n v="683"/>
    <n v="7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3"/>
    <n v="833"/>
  </r>
  <r>
    <x v="4"/>
    <s v="East Georgia College"/>
    <m/>
    <n v="139621"/>
    <x v="7"/>
    <m/>
    <m/>
    <m/>
    <m/>
    <n v="131"/>
    <n v="1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68"/>
  </r>
  <r>
    <x v="4"/>
    <s v="Georgia Highlands College"/>
    <m/>
    <n v="139700"/>
    <x v="7"/>
    <m/>
    <m/>
    <m/>
    <m/>
    <n v="499"/>
    <n v="6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600"/>
  </r>
  <r>
    <x v="4"/>
    <s v="Middle Georgia College "/>
    <s v="Met the criteria for Two-Year with Bachelor's in 2011-12 and 2012-13. "/>
    <n v="140483"/>
    <x v="7"/>
    <n v="89"/>
    <n v="121"/>
    <m/>
    <m/>
    <n v="384"/>
    <n v="363"/>
    <n v="13.241379310344827"/>
    <n v="7.8913043478260869"/>
    <n v="29"/>
    <n v="0"/>
    <m/>
    <m/>
    <n v="0"/>
    <n v="46"/>
    <n v="11"/>
    <m/>
    <m/>
    <n v="11"/>
    <n v="49"/>
    <n v="29"/>
    <n v="49"/>
    <n v="35"/>
    <m/>
    <m/>
    <n v="13"/>
    <n v="11"/>
    <m/>
    <m/>
    <m/>
    <m/>
    <m/>
    <m/>
    <m/>
    <m/>
    <m/>
    <m/>
    <m/>
    <m/>
    <n v="1"/>
    <n v="5.7768924302788842E-2"/>
    <n v="2"/>
    <n v="8.679245283018867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2"/>
    <n v="530"/>
  </r>
  <r>
    <x v="4"/>
    <s v="South Georgia College "/>
    <m/>
    <n v="140997"/>
    <x v="8"/>
    <m/>
    <m/>
    <m/>
    <m/>
    <n v="250"/>
    <n v="2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0"/>
    <n v="238"/>
  </r>
  <r>
    <x v="4"/>
    <s v="Waycross College "/>
    <m/>
    <n v="141307"/>
    <x v="8"/>
    <m/>
    <m/>
    <m/>
    <m/>
    <n v="105"/>
    <n v="1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"/>
    <n v="105"/>
  </r>
  <r>
    <x v="4"/>
    <s v="Georgia Health Sciences University"/>
    <m/>
    <n v="140401"/>
    <x v="11"/>
    <n v="14"/>
    <m/>
    <m/>
    <m/>
    <m/>
    <m/>
    <n v="0"/>
    <n v="0"/>
    <n v="230"/>
    <m/>
    <m/>
    <m/>
    <n v="0"/>
    <n v="197"/>
    <m/>
    <m/>
    <m/>
    <n v="0"/>
    <m/>
    <m/>
    <m/>
    <m/>
    <m/>
    <m/>
    <m/>
    <m/>
    <m/>
    <m/>
    <m/>
    <m/>
    <m/>
    <m/>
    <m/>
    <m/>
    <m/>
    <m/>
    <m/>
    <m/>
    <n v="0"/>
    <n v="0.27380952380952384"/>
    <n v="0"/>
    <n v="0.2459425717852684"/>
    <n v="28"/>
    <n v="14"/>
    <n v="51"/>
    <n v="252"/>
    <n v="51"/>
    <n v="273"/>
    <n v="26"/>
    <n v="3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55"/>
    <n v="2"/>
    <n v="274"/>
    <n v="2"/>
    <n v="51"/>
    <n v="48"/>
    <n v="51"/>
    <n v="56"/>
    <n v="26"/>
    <n v="26"/>
    <n v="26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"/>
    <n v="2"/>
    <n v="0.64864864864864868"/>
    <n v="75"/>
    <n v="2"/>
    <n v="0.7466666666666667"/>
    <n v="329"/>
    <n v="349"/>
    <m/>
    <m/>
    <n v="178"/>
    <n v="180"/>
    <n v="61"/>
    <n v="61"/>
    <m/>
    <m/>
    <m/>
    <m/>
    <m/>
    <m/>
    <m/>
    <m/>
    <m/>
    <m/>
    <m/>
    <m/>
    <m/>
    <m/>
    <n v="239"/>
    <n v="241"/>
    <m/>
    <m/>
    <n v="840"/>
    <n v="801"/>
  </r>
  <r>
    <x v="4"/>
    <s v="Southern Polytechnic State University"/>
    <m/>
    <n v="141097"/>
    <x v="11"/>
    <n v="11"/>
    <n v="12"/>
    <m/>
    <m/>
    <n v="9"/>
    <n v="6"/>
    <n v="1.2605042016806723E-2"/>
    <n v="8.23045267489712E-3"/>
    <n v="714"/>
    <n v="0"/>
    <m/>
    <m/>
    <n v="0"/>
    <n v="729"/>
    <m/>
    <m/>
    <m/>
    <n v="0"/>
    <m/>
    <m/>
    <m/>
    <m/>
    <m/>
    <m/>
    <m/>
    <m/>
    <m/>
    <m/>
    <m/>
    <m/>
    <m/>
    <m/>
    <m/>
    <m/>
    <m/>
    <m/>
    <m/>
    <m/>
    <n v="0"/>
    <n v="0.75555555555555554"/>
    <n v="0"/>
    <n v="0.72827172827172826"/>
    <n v="13"/>
    <n v="24"/>
    <n v="52"/>
    <n v="85"/>
    <n v="52"/>
    <n v="93"/>
    <n v="11"/>
    <n v="53"/>
    <n v="11"/>
    <n v="71"/>
    <n v="15"/>
    <n v="27"/>
    <n v="15"/>
    <n v="32"/>
    <n v="14"/>
    <n v="22"/>
    <n v="14"/>
    <n v="24"/>
    <n v="9"/>
    <n v="11"/>
    <n v="9"/>
    <n v="10"/>
    <m/>
    <m/>
    <m/>
    <m/>
    <m/>
    <m/>
    <m/>
    <m/>
    <m/>
    <m/>
    <m/>
    <m/>
    <m/>
    <m/>
    <m/>
    <m/>
    <m/>
    <m/>
    <m/>
    <m/>
    <m/>
    <m/>
    <n v="198"/>
    <n v="5"/>
    <n v="2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8"/>
    <n v="230"/>
    <m/>
    <m/>
    <m/>
    <m/>
    <m/>
    <m/>
    <m/>
    <m/>
    <m/>
    <m/>
    <m/>
    <m/>
    <m/>
    <m/>
    <m/>
    <m/>
    <m/>
    <m/>
    <m/>
    <m/>
    <n v="0"/>
    <n v="0"/>
    <m/>
    <m/>
    <n v="945"/>
    <n v="1001"/>
  </r>
  <r>
    <x v="4"/>
    <s v="Albany Technical College"/>
    <m/>
    <n v="138682"/>
    <x v="9"/>
    <n v="3079"/>
    <n v="2481"/>
    <n v="201"/>
    <n v="257"/>
    <n v="145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25"/>
    <n v="2955"/>
  </r>
  <r>
    <x v="4"/>
    <s v="Altamaha Technical College"/>
    <m/>
    <n v="366447"/>
    <x v="9"/>
    <n v="866"/>
    <n v="596"/>
    <n v="77"/>
    <n v="47"/>
    <n v="8"/>
    <n v="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1"/>
    <n v="649"/>
  </r>
  <r>
    <x v="4"/>
    <s v="Athens Technical College"/>
    <m/>
    <n v="246813"/>
    <x v="9"/>
    <n v="1667"/>
    <n v="1457"/>
    <n v="31"/>
    <n v="43"/>
    <n v="384"/>
    <n v="3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2"/>
    <n v="1848"/>
  </r>
  <r>
    <x v="4"/>
    <s v="Atlanta Technical College"/>
    <m/>
    <n v="138840"/>
    <x v="9"/>
    <n v="1857"/>
    <n v="1812"/>
    <n v="131"/>
    <n v="145"/>
    <n v="176"/>
    <n v="1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4"/>
    <n v="2136"/>
  </r>
  <r>
    <x v="4"/>
    <s v="Augusta Technical College"/>
    <m/>
    <n v="138956"/>
    <x v="9"/>
    <n v="1138"/>
    <n v="797"/>
    <n v="142"/>
    <n v="81"/>
    <n v="297"/>
    <n v="3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7"/>
    <n v="1192"/>
  </r>
  <r>
    <x v="4"/>
    <s v="Central Georgia Technical College"/>
    <m/>
    <n v="140304"/>
    <x v="9"/>
    <n v="1828"/>
    <n v="1781"/>
    <n v="103"/>
    <n v="90"/>
    <n v="294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5"/>
    <n v="2134"/>
  </r>
  <r>
    <x v="4"/>
    <s v="Chattahoochee Technical College"/>
    <m/>
    <n v="140331"/>
    <x v="9"/>
    <n v="2404"/>
    <n v="2042"/>
    <n v="145"/>
    <n v="155"/>
    <n v="526"/>
    <n v="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5"/>
    <n v="2653"/>
  </r>
  <r>
    <x v="4"/>
    <s v="Columbus Technical College"/>
    <m/>
    <n v="139357"/>
    <x v="9"/>
    <n v="914"/>
    <n v="813"/>
    <n v="98"/>
    <n v="80"/>
    <n v="335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7"/>
    <n v="1118"/>
  </r>
  <r>
    <x v="4"/>
    <s v="Georgia Northwestern Technical College"/>
    <m/>
    <n v="139384"/>
    <x v="9"/>
    <n v="1992"/>
    <n v="1820"/>
    <n v="227"/>
    <n v="204"/>
    <n v="365"/>
    <n v="4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84"/>
    <n v="2478"/>
  </r>
  <r>
    <x v="4"/>
    <s v="Georgia Piedmont Technical College"/>
    <m/>
    <n v="244446"/>
    <x v="9"/>
    <n v="1483"/>
    <n v="760"/>
    <n v="51"/>
    <n v="56"/>
    <n v="263"/>
    <n v="2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7"/>
    <n v="1105"/>
  </r>
  <r>
    <x v="4"/>
    <s v="Gwinnett Technical College"/>
    <m/>
    <n v="140012"/>
    <x v="9"/>
    <n v="2404"/>
    <n v="2500"/>
    <n v="73"/>
    <n v="49"/>
    <n v="668"/>
    <n v="5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5"/>
    <n v="3123"/>
  </r>
  <r>
    <x v="4"/>
    <s v="Lanier Technical College"/>
    <m/>
    <n v="140243"/>
    <x v="9"/>
    <n v="1676"/>
    <n v="1232"/>
    <n v="125"/>
    <n v="91"/>
    <n v="225"/>
    <n v="1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6"/>
    <n v="1505"/>
  </r>
  <r>
    <x v="4"/>
    <s v="Middle Georgia Technical College"/>
    <m/>
    <n v="140085"/>
    <x v="9"/>
    <n v="2475"/>
    <n v="1628"/>
    <n v="157"/>
    <n v="138"/>
    <n v="127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59"/>
    <n v="1894"/>
  </r>
  <r>
    <x v="4"/>
    <s v="Moultrie Technical College"/>
    <m/>
    <n v="140599"/>
    <x v="9"/>
    <n v="1587"/>
    <n v="837"/>
    <n v="112"/>
    <n v="53"/>
    <n v="44"/>
    <n v="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43"/>
    <n v="935"/>
  </r>
  <r>
    <x v="4"/>
    <s v="North Georgia Technical College"/>
    <m/>
    <n v="140678"/>
    <x v="9"/>
    <n v="898"/>
    <n v="680"/>
    <n v="119"/>
    <n v="60"/>
    <n v="165"/>
    <n v="1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2"/>
    <n v="843"/>
  </r>
  <r>
    <x v="4"/>
    <s v="Oconee Fall Line Technical College"/>
    <m/>
    <n v="420431"/>
    <x v="9"/>
    <n v="1273"/>
    <n v="854"/>
    <n v="85"/>
    <n v="90"/>
    <n v="102"/>
    <n v="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0"/>
    <n v="1006"/>
  </r>
  <r>
    <x v="4"/>
    <s v="Ogeechee Technical College"/>
    <m/>
    <n v="366465"/>
    <x v="9"/>
    <n v="1303"/>
    <n v="904"/>
    <n v="87"/>
    <n v="113"/>
    <n v="169"/>
    <n v="1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9"/>
    <n v="1133"/>
  </r>
  <r>
    <x v="4"/>
    <s v="Okefenokee Technical College"/>
    <m/>
    <n v="248776"/>
    <x v="9"/>
    <n v="801"/>
    <n v="446"/>
    <n v="80"/>
    <n v="55"/>
    <n v="54"/>
    <n v="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5"/>
    <n v="557"/>
  </r>
  <r>
    <x v="4"/>
    <s v="Savannah Technical College"/>
    <m/>
    <n v="140942"/>
    <x v="9"/>
    <n v="1752"/>
    <n v="1726"/>
    <n v="79"/>
    <n v="89"/>
    <n v="230"/>
    <n v="2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1"/>
    <n v="2042"/>
  </r>
  <r>
    <x v="4"/>
    <s v="South Georgia Technical College"/>
    <m/>
    <n v="141006"/>
    <x v="9"/>
    <n v="1417"/>
    <n v="1407"/>
    <n v="146"/>
    <n v="118"/>
    <n v="144"/>
    <n v="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7"/>
    <n v="1623"/>
  </r>
  <r>
    <x v="4"/>
    <s v="Southeastern Technical College"/>
    <m/>
    <n v="368911"/>
    <x v="9"/>
    <n v="859"/>
    <n v="520"/>
    <n v="45"/>
    <n v="25"/>
    <n v="46"/>
    <n v="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0"/>
    <n v="595"/>
  </r>
  <r>
    <x v="4"/>
    <s v="Southern Crescent Technical College"/>
    <m/>
    <n v="139986"/>
    <x v="9"/>
    <n v="2016"/>
    <n v="1456"/>
    <n v="106"/>
    <n v="73"/>
    <n v="387"/>
    <n v="3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09"/>
    <n v="1857"/>
  </r>
  <r>
    <x v="4"/>
    <s v="Southwest Georgia Technical College"/>
    <m/>
    <n v="141158"/>
    <x v="9"/>
    <n v="726"/>
    <n v="487"/>
    <n v="34"/>
    <n v="51"/>
    <n v="154"/>
    <n v="1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4"/>
    <n v="688"/>
  </r>
  <r>
    <x v="4"/>
    <s v="West Georgia Technical College"/>
    <m/>
    <n v="139278"/>
    <x v="9"/>
    <n v="2153"/>
    <n v="1751"/>
    <n v="85"/>
    <n v="70"/>
    <n v="320"/>
    <n v="3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8"/>
    <n v="2174"/>
  </r>
  <r>
    <x v="4"/>
    <s v="Wiregrass Georgia Technical College"/>
    <m/>
    <n v="141255"/>
    <x v="9"/>
    <n v="1957"/>
    <n v="1271"/>
    <n v="166"/>
    <n v="170"/>
    <n v="120"/>
    <n v="1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43"/>
    <n v="1581"/>
  </r>
  <r>
    <x v="5"/>
    <s v="University of Kentucky"/>
    <m/>
    <n v="157085"/>
    <x v="0"/>
    <n v="33"/>
    <n v="20"/>
    <m/>
    <m/>
    <m/>
    <m/>
    <n v="0"/>
    <n v="0"/>
    <n v="3712"/>
    <m/>
    <n v="169"/>
    <m/>
    <n v="169"/>
    <n v="3735"/>
    <m/>
    <n v="169"/>
    <m/>
    <n v="169"/>
    <m/>
    <m/>
    <m/>
    <m/>
    <m/>
    <m/>
    <m/>
    <m/>
    <m/>
    <m/>
    <m/>
    <m/>
    <m/>
    <m/>
    <m/>
    <m/>
    <m/>
    <m/>
    <m/>
    <m/>
    <n v="0"/>
    <n v="0.6361610968294773"/>
    <n v="0"/>
    <n v="0.62353923205342232"/>
    <m/>
    <m/>
    <n v="51"/>
    <n v="271"/>
    <n v="51"/>
    <n v="271"/>
    <n v="52"/>
    <n v="193"/>
    <n v="13"/>
    <n v="165"/>
    <n v="44"/>
    <n v="161"/>
    <n v="52"/>
    <n v="163"/>
    <n v="13"/>
    <n v="124"/>
    <n v="44"/>
    <n v="143"/>
    <n v="14"/>
    <n v="87"/>
    <n v="25"/>
    <n v="95"/>
    <n v="45"/>
    <n v="71"/>
    <n v="45"/>
    <n v="64"/>
    <n v="25"/>
    <n v="69"/>
    <n v="14"/>
    <n v="53"/>
    <n v="31"/>
    <n v="47"/>
    <n v="42"/>
    <n v="53"/>
    <n v="42"/>
    <n v="46"/>
    <n v="27"/>
    <n v="51"/>
    <n v="50"/>
    <n v="33"/>
    <n v="50"/>
    <n v="34"/>
    <n v="205"/>
    <n v="255"/>
    <n v="1307"/>
    <n v="10"/>
    <n v="1347"/>
    <n v="10"/>
    <n v="26"/>
    <n v="36"/>
    <n v="26"/>
    <n v="60"/>
    <n v="45"/>
    <n v="30"/>
    <n v="14"/>
    <n v="35"/>
    <n v="40"/>
    <n v="25"/>
    <n v="13"/>
    <n v="33"/>
    <n v="14"/>
    <n v="23"/>
    <n v="51"/>
    <n v="27"/>
    <n v="51"/>
    <n v="22"/>
    <n v="45"/>
    <n v="25"/>
    <n v="42"/>
    <n v="22"/>
    <n v="40"/>
    <n v="18"/>
    <n v="13"/>
    <n v="20"/>
    <n v="42"/>
    <n v="17"/>
    <n v="50"/>
    <n v="13"/>
    <n v="50"/>
    <n v="15"/>
    <n v="1"/>
    <n v="10"/>
    <n v="27"/>
    <n v="12"/>
    <n v="27"/>
    <n v="8"/>
    <n v="1"/>
    <n v="12"/>
    <n v="52"/>
    <n v="68"/>
    <n v="261"/>
    <n v="10"/>
    <n v="0.13793103448275862"/>
    <n v="322"/>
    <n v="10"/>
    <n v="0.18633540372670807"/>
    <n v="1568"/>
    <n v="1669"/>
    <n v="135"/>
    <n v="148"/>
    <n v="89"/>
    <n v="104"/>
    <n v="51"/>
    <n v="62"/>
    <n v="124"/>
    <n v="126"/>
    <m/>
    <m/>
    <m/>
    <m/>
    <m/>
    <m/>
    <m/>
    <m/>
    <m/>
    <m/>
    <n v="123"/>
    <n v="126"/>
    <n v="522"/>
    <n v="566"/>
    <m/>
    <m/>
    <n v="5835"/>
    <n v="5990"/>
  </r>
  <r>
    <x v="5"/>
    <s v="University of Louisville"/>
    <m/>
    <n v="157289"/>
    <x v="0"/>
    <n v="24"/>
    <n v="28"/>
    <m/>
    <m/>
    <n v="19"/>
    <n v="11"/>
    <n v="7.2574484339190219E-3"/>
    <n v="4.0710584752035525E-3"/>
    <n v="2618"/>
    <m/>
    <n v="171"/>
    <m/>
    <n v="171"/>
    <n v="2702"/>
    <m/>
    <n v="189"/>
    <m/>
    <n v="189"/>
    <m/>
    <m/>
    <m/>
    <m/>
    <m/>
    <m/>
    <m/>
    <m/>
    <m/>
    <m/>
    <m/>
    <m/>
    <m/>
    <m/>
    <m/>
    <m/>
    <m/>
    <m/>
    <m/>
    <m/>
    <n v="0"/>
    <n v="0.55868544600938963"/>
    <n v="0"/>
    <n v="0.55176638758423524"/>
    <n v="158"/>
    <n v="163"/>
    <n v="13"/>
    <n v="391"/>
    <n v="13"/>
    <n v="414"/>
    <n v="14"/>
    <n v="238"/>
    <n v="14"/>
    <n v="199"/>
    <n v="44"/>
    <n v="143"/>
    <n v="44"/>
    <n v="157"/>
    <n v="52"/>
    <n v="132"/>
    <n v="52"/>
    <n v="156"/>
    <n v="51"/>
    <n v="96"/>
    <n v="51"/>
    <n v="121"/>
    <n v="15"/>
    <n v="50"/>
    <n v="26"/>
    <n v="67"/>
    <n v="26"/>
    <n v="50"/>
    <n v="31"/>
    <n v="48"/>
    <n v="31"/>
    <n v="48"/>
    <n v="50"/>
    <n v="41"/>
    <n v="50"/>
    <n v="36"/>
    <n v="43"/>
    <n v="35"/>
    <n v="43"/>
    <n v="25"/>
    <n v="15"/>
    <n v="35"/>
    <n v="124"/>
    <n v="171"/>
    <n v="1333"/>
    <n v="10"/>
    <n v="1444"/>
    <n v="10"/>
    <n v="13"/>
    <n v="45"/>
    <n v="13"/>
    <n v="52"/>
    <n v="26"/>
    <n v="43"/>
    <n v="26"/>
    <n v="47"/>
    <n v="14"/>
    <n v="23"/>
    <n v="14"/>
    <n v="26"/>
    <n v="24"/>
    <n v="14"/>
    <n v="40"/>
    <n v="14"/>
    <n v="51"/>
    <n v="8"/>
    <n v="42"/>
    <n v="11"/>
    <n v="42"/>
    <n v="7"/>
    <n v="51"/>
    <n v="11"/>
    <n v="23"/>
    <n v="6"/>
    <n v="27"/>
    <n v="7"/>
    <n v="45"/>
    <n v="4"/>
    <n v="24"/>
    <n v="6"/>
    <n v="40"/>
    <n v="4"/>
    <n v="23"/>
    <n v="5"/>
    <n v="44"/>
    <n v="3"/>
    <n v="44"/>
    <n v="3"/>
    <n v="6"/>
    <n v="6"/>
    <n v="163"/>
    <n v="10"/>
    <n v="0.27607361963190186"/>
    <n v="188"/>
    <n v="10"/>
    <n v="0.27659574468085107"/>
    <n v="1496"/>
    <n v="1632"/>
    <n v="145"/>
    <n v="127"/>
    <n v="148"/>
    <n v="148"/>
    <n v="78"/>
    <n v="86"/>
    <m/>
    <m/>
    <m/>
    <m/>
    <m/>
    <m/>
    <m/>
    <m/>
    <m/>
    <m/>
    <m/>
    <m/>
    <m/>
    <m/>
    <n v="371"/>
    <n v="361"/>
    <m/>
    <m/>
    <n v="4686"/>
    <n v="4897"/>
  </r>
  <r>
    <x v="5"/>
    <s v="Eastern Kentucky University "/>
    <m/>
    <n v="156620"/>
    <x v="2"/>
    <n v="39"/>
    <n v="40"/>
    <m/>
    <m/>
    <n v="215"/>
    <n v="177"/>
    <n v="0.10070257611241218"/>
    <n v="7.8353253652058433E-2"/>
    <n v="2135"/>
    <m/>
    <n v="359"/>
    <m/>
    <n v="359"/>
    <n v="2259"/>
    <m/>
    <n v="315"/>
    <m/>
    <n v="315"/>
    <m/>
    <m/>
    <m/>
    <m/>
    <m/>
    <m/>
    <m/>
    <m/>
    <m/>
    <m/>
    <m/>
    <m/>
    <m/>
    <m/>
    <m/>
    <m/>
    <m/>
    <m/>
    <m/>
    <m/>
    <n v="0"/>
    <n v="0.68848758465011284"/>
    <n v="0"/>
    <n v="0.69981412639405205"/>
    <n v="8"/>
    <n v="1"/>
    <n v="13"/>
    <n v="351"/>
    <n v="13"/>
    <n v="310"/>
    <n v="43"/>
    <n v="116"/>
    <n v="43"/>
    <n v="131"/>
    <n v="51"/>
    <n v="95"/>
    <n v="51"/>
    <n v="110"/>
    <n v="42"/>
    <n v="38"/>
    <n v="42"/>
    <n v="36"/>
    <n v="52"/>
    <n v="21"/>
    <n v="52"/>
    <n v="32"/>
    <n v="23"/>
    <n v="19"/>
    <n v="23"/>
    <n v="27"/>
    <n v="26"/>
    <n v="18"/>
    <n v="26"/>
    <n v="18"/>
    <n v="54"/>
    <n v="10"/>
    <n v="11"/>
    <n v="18"/>
    <n v="31"/>
    <n v="7"/>
    <n v="44"/>
    <n v="17"/>
    <n v="40"/>
    <n v="6"/>
    <n v="50"/>
    <n v="13"/>
    <n v="19"/>
    <n v="30"/>
    <n v="700"/>
    <n v="10"/>
    <n v="74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0"/>
    <n v="742"/>
    <m/>
    <m/>
    <m/>
    <m/>
    <m/>
    <m/>
    <m/>
    <m/>
    <m/>
    <m/>
    <m/>
    <m/>
    <m/>
    <m/>
    <m/>
    <m/>
    <m/>
    <m/>
    <n v="4"/>
    <n v="9"/>
    <n v="4"/>
    <n v="9"/>
    <m/>
    <m/>
    <n v="3101"/>
    <n v="3228"/>
  </r>
  <r>
    <x v="5"/>
    <s v="Morehead State University "/>
    <m/>
    <n v="157386"/>
    <x v="2"/>
    <m/>
    <m/>
    <m/>
    <m/>
    <n v="165"/>
    <n v="163"/>
    <n v="0.15291936978683968"/>
    <n v="0.14618834080717488"/>
    <n v="1079"/>
    <m/>
    <n v="236"/>
    <m/>
    <n v="236"/>
    <n v="1115"/>
    <m/>
    <n v="209"/>
    <m/>
    <n v="209"/>
    <m/>
    <m/>
    <m/>
    <m/>
    <m/>
    <m/>
    <m/>
    <m/>
    <m/>
    <m/>
    <m/>
    <m/>
    <m/>
    <m/>
    <m/>
    <m/>
    <m/>
    <m/>
    <m/>
    <m/>
    <n v="0"/>
    <n v="0.64187983343248067"/>
    <n v="0"/>
    <n v="0.64191134139320671"/>
    <m/>
    <n v="3"/>
    <n v="13"/>
    <n v="313"/>
    <n v="13"/>
    <n v="283"/>
    <n v="52"/>
    <n v="58"/>
    <n v="52"/>
    <n v="82"/>
    <n v="50"/>
    <n v="13"/>
    <n v="23"/>
    <n v="19"/>
    <n v="23"/>
    <n v="13"/>
    <n v="42"/>
    <n v="19"/>
    <n v="42"/>
    <n v="11"/>
    <n v="50"/>
    <n v="17"/>
    <n v="15"/>
    <n v="9"/>
    <n v="44"/>
    <n v="12"/>
    <n v="44"/>
    <n v="9"/>
    <n v="9"/>
    <n v="9"/>
    <n v="9"/>
    <n v="6"/>
    <n v="15"/>
    <n v="6"/>
    <n v="45"/>
    <n v="3"/>
    <n v="26"/>
    <n v="5"/>
    <n v="26"/>
    <n v="2"/>
    <n v="45"/>
    <n v="4"/>
    <m/>
    <m/>
    <n v="437"/>
    <n v="10"/>
    <n v="45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7"/>
    <n v="456"/>
    <m/>
    <m/>
    <m/>
    <m/>
    <m/>
    <m/>
    <m/>
    <m/>
    <m/>
    <m/>
    <m/>
    <m/>
    <m/>
    <m/>
    <m/>
    <m/>
    <m/>
    <m/>
    <m/>
    <m/>
    <n v="0"/>
    <n v="0"/>
    <m/>
    <m/>
    <n v="1681"/>
    <n v="1737"/>
  </r>
  <r>
    <x v="5"/>
    <s v="Murray State University "/>
    <m/>
    <n v="157401"/>
    <x v="2"/>
    <m/>
    <m/>
    <m/>
    <m/>
    <n v="18"/>
    <n v="13"/>
    <n v="1.1597938144329897E-2"/>
    <n v="8.4967320261437902E-3"/>
    <n v="1552"/>
    <m/>
    <n v="275"/>
    <m/>
    <n v="275"/>
    <n v="1530"/>
    <m/>
    <n v="256"/>
    <m/>
    <n v="256"/>
    <m/>
    <m/>
    <m/>
    <m/>
    <m/>
    <m/>
    <m/>
    <m/>
    <m/>
    <m/>
    <m/>
    <m/>
    <m/>
    <m/>
    <m/>
    <m/>
    <m/>
    <m/>
    <m/>
    <m/>
    <n v="0"/>
    <n v="0.70004510599909786"/>
    <n v="0"/>
    <n v="0.67252747252747258"/>
    <m/>
    <m/>
    <n v="13"/>
    <n v="257"/>
    <n v="13"/>
    <n v="300"/>
    <n v="52"/>
    <n v="129"/>
    <n v="52"/>
    <n v="131"/>
    <n v="15"/>
    <n v="62"/>
    <n v="9"/>
    <n v="54"/>
    <n v="51"/>
    <n v="55"/>
    <n v="15"/>
    <n v="48"/>
    <n v="44"/>
    <n v="44"/>
    <n v="51"/>
    <n v="44"/>
    <n v="9"/>
    <n v="36"/>
    <n v="44"/>
    <n v="43"/>
    <n v="1"/>
    <n v="18"/>
    <n v="1"/>
    <n v="20"/>
    <n v="23"/>
    <n v="12"/>
    <n v="23"/>
    <n v="18"/>
    <n v="42"/>
    <n v="8"/>
    <n v="40"/>
    <n v="15"/>
    <n v="45"/>
    <n v="6"/>
    <n v="45"/>
    <n v="14"/>
    <n v="20"/>
    <n v="45"/>
    <n v="647"/>
    <n v="10"/>
    <n v="73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47"/>
    <n v="732"/>
    <m/>
    <m/>
    <m/>
    <m/>
    <m/>
    <m/>
    <m/>
    <m/>
    <m/>
    <m/>
    <m/>
    <m/>
    <m/>
    <m/>
    <m/>
    <m/>
    <m/>
    <m/>
    <m/>
    <m/>
    <n v="0"/>
    <n v="0"/>
    <m/>
    <m/>
    <n v="2217"/>
    <n v="2275"/>
  </r>
  <r>
    <x v="5"/>
    <s v="Western Kentucky University "/>
    <m/>
    <n v="157951"/>
    <x v="2"/>
    <n v="81"/>
    <n v="54"/>
    <m/>
    <m/>
    <n v="215"/>
    <n v="271"/>
    <n v="8.2979544577383255E-2"/>
    <n v="0.10199473089951072"/>
    <n v="2591"/>
    <m/>
    <n v="362"/>
    <m/>
    <n v="362"/>
    <n v="2657"/>
    <m/>
    <n v="344"/>
    <m/>
    <n v="344"/>
    <m/>
    <m/>
    <m/>
    <m/>
    <m/>
    <m/>
    <m/>
    <m/>
    <m/>
    <m/>
    <m/>
    <m/>
    <m/>
    <m/>
    <m/>
    <m/>
    <m/>
    <m/>
    <m/>
    <m/>
    <n v="0"/>
    <n v="0.66692406692406692"/>
    <n v="0"/>
    <n v="0.66061660865241179"/>
    <n v="73"/>
    <n v="47"/>
    <n v="13"/>
    <n v="230"/>
    <n v="13"/>
    <n v="298"/>
    <n v="51"/>
    <n v="171"/>
    <n v="51"/>
    <n v="161"/>
    <n v="42"/>
    <n v="89"/>
    <n v="44"/>
    <n v="90"/>
    <n v="44"/>
    <n v="88"/>
    <n v="31"/>
    <n v="85"/>
    <n v="52"/>
    <n v="75"/>
    <n v="42"/>
    <n v="67"/>
    <n v="25"/>
    <n v="66"/>
    <n v="25"/>
    <n v="57"/>
    <n v="31"/>
    <n v="57"/>
    <n v="52"/>
    <n v="51"/>
    <n v="45"/>
    <n v="33"/>
    <n v="45"/>
    <n v="32"/>
    <n v="11"/>
    <n v="20"/>
    <n v="11"/>
    <n v="31"/>
    <n v="26"/>
    <n v="16"/>
    <n v="27"/>
    <n v="23"/>
    <n v="75"/>
    <n v="78"/>
    <n v="920"/>
    <n v="10"/>
    <n v="97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20"/>
    <n v="973"/>
    <m/>
    <m/>
    <m/>
    <m/>
    <m/>
    <m/>
    <m/>
    <m/>
    <m/>
    <m/>
    <m/>
    <m/>
    <m/>
    <m/>
    <m/>
    <m/>
    <m/>
    <m/>
    <n v="5"/>
    <n v="20"/>
    <n v="5"/>
    <n v="20"/>
    <m/>
    <m/>
    <n v="3885"/>
    <n v="4022"/>
  </r>
  <r>
    <x v="5"/>
    <s v="Kentucky State University "/>
    <m/>
    <n v="157058"/>
    <x v="3"/>
    <m/>
    <m/>
    <m/>
    <m/>
    <n v="58"/>
    <n v="53"/>
    <n v="0.25663716814159293"/>
    <n v="0.23144104803493451"/>
    <n v="226"/>
    <m/>
    <n v="16"/>
    <m/>
    <n v="16"/>
    <n v="229"/>
    <m/>
    <n v="16"/>
    <m/>
    <n v="16"/>
    <m/>
    <m/>
    <m/>
    <m/>
    <m/>
    <m/>
    <m/>
    <m/>
    <m/>
    <m/>
    <m/>
    <m/>
    <m/>
    <m/>
    <m/>
    <m/>
    <m/>
    <m/>
    <m/>
    <m/>
    <n v="0"/>
    <n v="0.68902439024390238"/>
    <n v="0"/>
    <n v="0.66184971098265899"/>
    <m/>
    <m/>
    <n v="13"/>
    <n v="15"/>
    <n v="13"/>
    <n v="22"/>
    <n v="44"/>
    <n v="14"/>
    <n v="44"/>
    <n v="15"/>
    <n v="52"/>
    <n v="7"/>
    <n v="3"/>
    <n v="11"/>
    <n v="11"/>
    <n v="6"/>
    <n v="11"/>
    <n v="11"/>
    <n v="3"/>
    <n v="2"/>
    <n v="52"/>
    <n v="5"/>
    <m/>
    <m/>
    <m/>
    <m/>
    <m/>
    <m/>
    <m/>
    <m/>
    <m/>
    <m/>
    <m/>
    <m/>
    <m/>
    <m/>
    <m/>
    <m/>
    <m/>
    <m/>
    <m/>
    <m/>
    <m/>
    <m/>
    <n v="44"/>
    <n v="5"/>
    <n v="6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"/>
    <n v="64"/>
    <m/>
    <m/>
    <m/>
    <m/>
    <m/>
    <m/>
    <m/>
    <m/>
    <m/>
    <m/>
    <m/>
    <m/>
    <m/>
    <m/>
    <m/>
    <m/>
    <m/>
    <m/>
    <m/>
    <m/>
    <n v="0"/>
    <n v="0"/>
    <m/>
    <m/>
    <n v="328"/>
    <n v="346"/>
  </r>
  <r>
    <x v="5"/>
    <s v="Northern Kentucky University "/>
    <s v="Met the criteria for Four-Year 3 in 2012-13."/>
    <n v="157447"/>
    <x v="3"/>
    <m/>
    <n v="26"/>
    <n v="8"/>
    <n v="3"/>
    <n v="105"/>
    <n v="118"/>
    <n v="5.3191489361702128E-2"/>
    <n v="5.9595959595959598E-2"/>
    <n v="1974"/>
    <m/>
    <n v="204"/>
    <m/>
    <n v="204"/>
    <n v="1980"/>
    <m/>
    <n v="206"/>
    <m/>
    <n v="206"/>
    <m/>
    <m/>
    <m/>
    <m/>
    <m/>
    <m/>
    <m/>
    <m/>
    <m/>
    <m/>
    <m/>
    <m/>
    <m/>
    <m/>
    <m/>
    <m/>
    <m/>
    <m/>
    <m/>
    <m/>
    <n v="0"/>
    <n v="0.70349251603706342"/>
    <n v="0"/>
    <n v="0.68417415342087073"/>
    <n v="55"/>
    <n v="92"/>
    <n v="13"/>
    <n v="179"/>
    <n v="13"/>
    <n v="192"/>
    <n v="52"/>
    <n v="125"/>
    <n v="52"/>
    <n v="108"/>
    <n v="51"/>
    <n v="88"/>
    <n v="51"/>
    <n v="72"/>
    <n v="44"/>
    <n v="23"/>
    <n v="44"/>
    <n v="28"/>
    <n v="23"/>
    <n v="20"/>
    <n v="54"/>
    <n v="21"/>
    <n v="9"/>
    <n v="17"/>
    <n v="23"/>
    <n v="18"/>
    <n v="42"/>
    <n v="15"/>
    <n v="24"/>
    <n v="16"/>
    <n v="24"/>
    <n v="15"/>
    <n v="9"/>
    <n v="15"/>
    <n v="11"/>
    <n v="3"/>
    <n v="11"/>
    <n v="13"/>
    <m/>
    <m/>
    <n v="42"/>
    <n v="10"/>
    <m/>
    <n v="0"/>
    <n v="485"/>
    <n v="9"/>
    <n v="493"/>
    <n v="10"/>
    <m/>
    <m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4"/>
    <n v="1"/>
    <n v="1"/>
    <n v="485"/>
    <n v="507"/>
    <n v="177"/>
    <n v="154"/>
    <m/>
    <m/>
    <m/>
    <m/>
    <m/>
    <m/>
    <m/>
    <m/>
    <m/>
    <m/>
    <m/>
    <m/>
    <m/>
    <m/>
    <m/>
    <m/>
    <n v="2"/>
    <n v="14"/>
    <n v="179"/>
    <n v="168"/>
    <m/>
    <m/>
    <n v="2806"/>
    <n v="2894"/>
  </r>
  <r>
    <x v="5"/>
    <s v="Bluegrass Community and Technical College"/>
    <m/>
    <n v="157173"/>
    <x v="6"/>
    <n v="2556"/>
    <n v="2283"/>
    <m/>
    <m/>
    <n v="1138"/>
    <n v="12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94"/>
    <n v="3570"/>
  </r>
  <r>
    <x v="5"/>
    <s v="Jefferson Community and Technical College "/>
    <m/>
    <n v="156921"/>
    <x v="6"/>
    <n v="2518"/>
    <n v="2019"/>
    <m/>
    <m/>
    <n v="955"/>
    <n v="10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73"/>
    <n v="3099"/>
  </r>
  <r>
    <x v="5"/>
    <s v="Ashland Community and Technical College"/>
    <m/>
    <n v="156231"/>
    <x v="7"/>
    <n v="826"/>
    <n v="1069"/>
    <m/>
    <m/>
    <n v="410"/>
    <n v="4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6"/>
    <n v="1532"/>
  </r>
  <r>
    <x v="5"/>
    <s v="Big Sandy Community and Technical College "/>
    <m/>
    <n v="157553"/>
    <x v="7"/>
    <n v="736"/>
    <n v="808"/>
    <m/>
    <m/>
    <n v="324"/>
    <n v="3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0"/>
    <n v="1134"/>
  </r>
  <r>
    <x v="5"/>
    <s v="Elizabethtown Community and Technical College "/>
    <m/>
    <n v="156648"/>
    <x v="7"/>
    <n v="1188"/>
    <n v="1350"/>
    <m/>
    <m/>
    <n v="649"/>
    <n v="8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37"/>
    <n v="2179"/>
  </r>
  <r>
    <x v="5"/>
    <s v="Hazard Community and Technical College"/>
    <s v="Reclassified: met the criteria for classification as a Two-Year 2 in 2010-11, 2011-12, and 2012-13."/>
    <n v="156790"/>
    <x v="7"/>
    <n v="1207"/>
    <n v="875"/>
    <m/>
    <m/>
    <n v="411"/>
    <n v="3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8"/>
    <n v="1247"/>
  </r>
  <r>
    <x v="5"/>
    <s v="Hopkinsville Community College "/>
    <m/>
    <n v="156860"/>
    <x v="7"/>
    <n v="729"/>
    <n v="774"/>
    <m/>
    <m/>
    <n v="430"/>
    <n v="5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9"/>
    <n v="1305"/>
  </r>
  <r>
    <x v="5"/>
    <s v="Madisonville Community College"/>
    <m/>
    <n v="157304"/>
    <x v="7"/>
    <n v="690"/>
    <n v="543"/>
    <m/>
    <m/>
    <n v="432"/>
    <n v="4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2"/>
    <n v="987"/>
  </r>
  <r>
    <x v="5"/>
    <s v="Maysville Community and Technical College "/>
    <m/>
    <n v="157331"/>
    <x v="7"/>
    <n v="1394"/>
    <n v="1308"/>
    <m/>
    <m/>
    <n v="266"/>
    <n v="3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0"/>
    <n v="1652"/>
  </r>
  <r>
    <x v="5"/>
    <s v="Owensboro Community and Technical College "/>
    <m/>
    <n v="247940"/>
    <x v="7"/>
    <n v="1284"/>
    <n v="1254"/>
    <m/>
    <m/>
    <n v="569"/>
    <n v="6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3"/>
    <n v="1867"/>
  </r>
  <r>
    <x v="5"/>
    <s v="Somerset Community and Technical College "/>
    <m/>
    <n v="157711"/>
    <x v="7"/>
    <n v="1542"/>
    <n v="1713"/>
    <m/>
    <m/>
    <n v="614"/>
    <n v="6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6"/>
    <n v="2398"/>
  </r>
  <r>
    <x v="5"/>
    <s v="Southeast Kentucky Community and Technical College"/>
    <m/>
    <n v="157739"/>
    <x v="7"/>
    <n v="564"/>
    <n v="638"/>
    <m/>
    <m/>
    <n v="402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6"/>
    <n v="1071"/>
  </r>
  <r>
    <x v="5"/>
    <s v="West Kentucky Community and Technical College"/>
    <m/>
    <n v="157483"/>
    <x v="7"/>
    <n v="1712"/>
    <n v="2031"/>
    <m/>
    <m/>
    <n v="557"/>
    <n v="6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9"/>
    <n v="2692"/>
  </r>
  <r>
    <x v="5"/>
    <s v="Henderson Community College "/>
    <m/>
    <n v="156851"/>
    <x v="8"/>
    <n v="422"/>
    <n v="344"/>
    <m/>
    <m/>
    <n v="191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3"/>
    <n v="522"/>
  </r>
  <r>
    <x v="5"/>
    <s v="Gateway Community and Technical College"/>
    <m/>
    <n v="157438"/>
    <x v="9"/>
    <n v="954"/>
    <n v="942"/>
    <m/>
    <m/>
    <n v="290"/>
    <n v="3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4"/>
    <n v="1307"/>
  </r>
  <r>
    <x v="5"/>
    <s v="Southcentral Kentucky Community and Technical College"/>
    <m/>
    <n v="156338"/>
    <x v="9"/>
    <n v="1592"/>
    <n v="1640"/>
    <m/>
    <m/>
    <n v="261"/>
    <n v="3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3"/>
    <n v="1982"/>
  </r>
  <r>
    <x v="6"/>
    <s v="Louisiana State University and A&amp;M College"/>
    <m/>
    <n v="159391"/>
    <x v="0"/>
    <m/>
    <m/>
    <m/>
    <m/>
    <m/>
    <m/>
    <n v="0"/>
    <n v="0"/>
    <n v="4440"/>
    <n v="432"/>
    <m/>
    <m/>
    <n v="432"/>
    <n v="4600"/>
    <n v="458"/>
    <m/>
    <m/>
    <n v="458"/>
    <m/>
    <m/>
    <m/>
    <m/>
    <m/>
    <m/>
    <m/>
    <m/>
    <m/>
    <m/>
    <m/>
    <m/>
    <m/>
    <m/>
    <m/>
    <m/>
    <m/>
    <m/>
    <m/>
    <m/>
    <n v="0"/>
    <n v="0.7647261453668619"/>
    <n v="0"/>
    <n v="0.74421614625465138"/>
    <m/>
    <m/>
    <n v="52"/>
    <n v="247"/>
    <n v="52"/>
    <n v="278"/>
    <n v="13"/>
    <n v="196"/>
    <n v="13"/>
    <n v="186"/>
    <n v="44"/>
    <n v="123"/>
    <n v="44"/>
    <n v="177"/>
    <n v="14"/>
    <n v="99"/>
    <n v="14"/>
    <n v="108"/>
    <n v="25"/>
    <n v="67"/>
    <n v="25"/>
    <n v="73"/>
    <n v="50"/>
    <n v="57"/>
    <n v="50"/>
    <n v="51"/>
    <n v="1"/>
    <n v="39"/>
    <n v="27"/>
    <n v="37"/>
    <n v="11"/>
    <n v="34"/>
    <n v="1"/>
    <n v="35"/>
    <n v="45"/>
    <n v="30"/>
    <n v="40"/>
    <n v="34"/>
    <n v="40"/>
    <n v="22"/>
    <n v="3"/>
    <n v="32"/>
    <m/>
    <m/>
    <n v="914"/>
    <n v="10"/>
    <n v="1011"/>
    <n v="10"/>
    <n v="13"/>
    <n v="36"/>
    <n v="40"/>
    <n v="43"/>
    <n v="40"/>
    <n v="33"/>
    <n v="13"/>
    <n v="43"/>
    <n v="14"/>
    <n v="28"/>
    <n v="14"/>
    <n v="33"/>
    <n v="50"/>
    <n v="26"/>
    <n v="50"/>
    <n v="31"/>
    <n v="26"/>
    <n v="22"/>
    <n v="26"/>
    <n v="29"/>
    <n v="45"/>
    <n v="19"/>
    <n v="42"/>
    <n v="24"/>
    <n v="11"/>
    <n v="10"/>
    <n v="45"/>
    <n v="21"/>
    <n v="42"/>
    <n v="10"/>
    <n v="51"/>
    <n v="17"/>
    <n v="23"/>
    <n v="10"/>
    <n v="9"/>
    <n v="14"/>
    <n v="51"/>
    <n v="9"/>
    <n v="1"/>
    <n v="13"/>
    <m/>
    <m/>
    <n v="203"/>
    <n v="10"/>
    <n v="0.17733990147783252"/>
    <n v="268"/>
    <n v="10"/>
    <n v="0.16044776119402984"/>
    <n v="1117"/>
    <n v="1279"/>
    <n v="174"/>
    <n v="220"/>
    <m/>
    <m/>
    <m/>
    <m/>
    <m/>
    <m/>
    <m/>
    <m/>
    <m/>
    <m/>
    <m/>
    <m/>
    <n v="75"/>
    <n v="82"/>
    <m/>
    <m/>
    <m/>
    <m/>
    <n v="249"/>
    <n v="302"/>
    <m/>
    <m/>
    <n v="5806"/>
    <n v="6181"/>
  </r>
  <r>
    <x v="6"/>
    <s v="Louisiana Tech University "/>
    <m/>
    <n v="159647"/>
    <x v="1"/>
    <m/>
    <m/>
    <m/>
    <m/>
    <n v="91"/>
    <n v="70"/>
    <n v="7.3743922204213941E-2"/>
    <n v="5.686433793663688E-2"/>
    <n v="1234"/>
    <n v="92"/>
    <m/>
    <m/>
    <n v="92"/>
    <n v="1231"/>
    <n v="78"/>
    <m/>
    <m/>
    <n v="78"/>
    <m/>
    <m/>
    <m/>
    <m/>
    <m/>
    <m/>
    <m/>
    <m/>
    <m/>
    <m/>
    <m/>
    <m/>
    <m/>
    <m/>
    <m/>
    <m/>
    <m/>
    <m/>
    <m/>
    <m/>
    <n v="0"/>
    <n v="0.68252212389380529"/>
    <n v="0"/>
    <n v="0.68924972004479279"/>
    <n v="41"/>
    <n v="17"/>
    <n v="13"/>
    <n v="169"/>
    <n v="13"/>
    <n v="176"/>
    <n v="14"/>
    <n v="82"/>
    <n v="52"/>
    <n v="67"/>
    <n v="52"/>
    <n v="47"/>
    <n v="14"/>
    <n v="65"/>
    <n v="42"/>
    <n v="27"/>
    <n v="42"/>
    <n v="30"/>
    <n v="51"/>
    <n v="23"/>
    <n v="51"/>
    <n v="21"/>
    <n v="11"/>
    <n v="17"/>
    <n v="30"/>
    <n v="16"/>
    <n v="27"/>
    <n v="12"/>
    <n v="27"/>
    <n v="15"/>
    <n v="4"/>
    <n v="12"/>
    <n v="4"/>
    <n v="15"/>
    <n v="30"/>
    <n v="11"/>
    <n v="11"/>
    <n v="12"/>
    <n v="26"/>
    <n v="9"/>
    <n v="26"/>
    <n v="10"/>
    <m/>
    <m/>
    <n v="409"/>
    <n v="10"/>
    <n v="427"/>
    <n v="10"/>
    <n v="14"/>
    <n v="17"/>
    <n v="14"/>
    <n v="15"/>
    <n v="11"/>
    <n v="6"/>
    <n v="11"/>
    <n v="9"/>
    <n v="13"/>
    <n v="3"/>
    <n v="42"/>
    <n v="8"/>
    <n v="52"/>
    <n v="3"/>
    <n v="13"/>
    <n v="6"/>
    <n v="51"/>
    <n v="2"/>
    <n v="52"/>
    <n v="3"/>
    <n v="42"/>
    <n v="2"/>
    <m/>
    <m/>
    <m/>
    <m/>
    <m/>
    <m/>
    <m/>
    <m/>
    <m/>
    <m/>
    <m/>
    <m/>
    <m/>
    <m/>
    <m/>
    <m/>
    <m/>
    <m/>
    <m/>
    <m/>
    <n v="33"/>
    <n v="6"/>
    <n v="0.51515151515151514"/>
    <n v="41"/>
    <n v="5"/>
    <n v="0.36585365853658536"/>
    <n v="442"/>
    <n v="468"/>
    <m/>
    <m/>
    <m/>
    <m/>
    <m/>
    <m/>
    <m/>
    <m/>
    <m/>
    <m/>
    <m/>
    <m/>
    <m/>
    <m/>
    <m/>
    <m/>
    <m/>
    <m/>
    <m/>
    <m/>
    <n v="0"/>
    <n v="0"/>
    <m/>
    <m/>
    <n v="1808"/>
    <n v="1786"/>
  </r>
  <r>
    <x v="6"/>
    <s v="University of Louisiana at Lafayette"/>
    <m/>
    <n v="160658"/>
    <x v="1"/>
    <m/>
    <m/>
    <m/>
    <m/>
    <m/>
    <m/>
    <n v="0"/>
    <n v="0"/>
    <n v="2279"/>
    <n v="253"/>
    <m/>
    <m/>
    <n v="253"/>
    <n v="2296"/>
    <n v="306"/>
    <m/>
    <m/>
    <n v="306"/>
    <m/>
    <m/>
    <m/>
    <m/>
    <m/>
    <m/>
    <m/>
    <m/>
    <m/>
    <m/>
    <m/>
    <m/>
    <m/>
    <m/>
    <m/>
    <m/>
    <m/>
    <m/>
    <m/>
    <m/>
    <n v="0"/>
    <n v="0.85548048048048053"/>
    <n v="0"/>
    <n v="0.84567219152854511"/>
    <m/>
    <n v="52"/>
    <n v="14"/>
    <n v="77"/>
    <n v="14"/>
    <n v="65"/>
    <n v="13"/>
    <n v="68"/>
    <n v="52"/>
    <n v="51"/>
    <n v="52"/>
    <n v="57"/>
    <n v="11"/>
    <n v="50"/>
    <n v="11"/>
    <n v="49"/>
    <n v="13"/>
    <n v="48"/>
    <n v="51"/>
    <n v="43"/>
    <n v="51"/>
    <n v="40"/>
    <n v="4"/>
    <n v="16"/>
    <n v="4"/>
    <n v="19"/>
    <n v="23"/>
    <n v="13"/>
    <n v="40"/>
    <n v="14"/>
    <n v="40"/>
    <n v="12"/>
    <n v="54"/>
    <n v="13"/>
    <n v="27"/>
    <n v="10"/>
    <n v="42"/>
    <n v="10"/>
    <n v="26"/>
    <n v="10"/>
    <n v="50"/>
    <n v="8"/>
    <m/>
    <m/>
    <n v="355"/>
    <n v="10"/>
    <n v="318"/>
    <n v="10"/>
    <n v="26"/>
    <n v="5"/>
    <n v="23"/>
    <n v="13"/>
    <n v="23"/>
    <n v="5"/>
    <n v="14"/>
    <n v="8"/>
    <n v="13"/>
    <n v="4"/>
    <n v="27"/>
    <n v="6"/>
    <n v="11"/>
    <n v="4"/>
    <n v="26"/>
    <n v="6"/>
    <n v="30"/>
    <n v="3"/>
    <n v="11"/>
    <n v="6"/>
    <n v="27"/>
    <n v="3"/>
    <n v="51"/>
    <n v="5"/>
    <n v="14"/>
    <n v="3"/>
    <n v="5"/>
    <n v="3"/>
    <n v="51"/>
    <n v="2"/>
    <n v="13"/>
    <n v="2"/>
    <n v="5"/>
    <n v="1"/>
    <m/>
    <m/>
    <m/>
    <m/>
    <m/>
    <m/>
    <m/>
    <m/>
    <n v="30"/>
    <n v="9"/>
    <n v="0.16666666666666666"/>
    <n v="49"/>
    <n v="8"/>
    <n v="0.26530612244897961"/>
    <n v="385"/>
    <n v="367"/>
    <m/>
    <m/>
    <m/>
    <m/>
    <m/>
    <m/>
    <m/>
    <m/>
    <m/>
    <m/>
    <m/>
    <m/>
    <m/>
    <m/>
    <m/>
    <m/>
    <m/>
    <m/>
    <m/>
    <m/>
    <n v="0"/>
    <n v="0"/>
    <m/>
    <m/>
    <n v="2664"/>
    <n v="2715"/>
  </r>
  <r>
    <x v="6"/>
    <s v="University of New Orleans"/>
    <m/>
    <n v="159939"/>
    <x v="1"/>
    <m/>
    <m/>
    <m/>
    <m/>
    <m/>
    <m/>
    <n v="0"/>
    <n v="0"/>
    <n v="1435"/>
    <n v="54"/>
    <m/>
    <m/>
    <n v="54"/>
    <n v="1405"/>
    <n v="60"/>
    <m/>
    <m/>
    <n v="60"/>
    <m/>
    <m/>
    <m/>
    <m/>
    <m/>
    <m/>
    <m/>
    <m/>
    <m/>
    <m/>
    <m/>
    <m/>
    <m/>
    <m/>
    <m/>
    <m/>
    <m/>
    <m/>
    <m/>
    <m/>
    <n v="0"/>
    <n v="0.68009478672985779"/>
    <n v="0"/>
    <n v="0.66242338519566246"/>
    <m/>
    <m/>
    <n v="52"/>
    <n v="270"/>
    <n v="52"/>
    <n v="286"/>
    <n v="13"/>
    <n v="78"/>
    <n v="13"/>
    <n v="117"/>
    <n v="50"/>
    <n v="62"/>
    <n v="50"/>
    <n v="61"/>
    <n v="14"/>
    <n v="54"/>
    <n v="51"/>
    <n v="39"/>
    <n v="51"/>
    <n v="53"/>
    <n v="14"/>
    <n v="33"/>
    <n v="45"/>
    <n v="25"/>
    <n v="4"/>
    <n v="27"/>
    <n v="4"/>
    <n v="24"/>
    <n v="23"/>
    <n v="24"/>
    <n v="23"/>
    <n v="23"/>
    <n v="44"/>
    <n v="23"/>
    <n v="54"/>
    <n v="21"/>
    <n v="45"/>
    <n v="23"/>
    <n v="11"/>
    <n v="21"/>
    <n v="40"/>
    <n v="20"/>
    <m/>
    <m/>
    <n v="631"/>
    <n v="10"/>
    <n v="653"/>
    <n v="10"/>
    <n v="13"/>
    <n v="23"/>
    <n v="13"/>
    <n v="19"/>
    <n v="14"/>
    <n v="9"/>
    <n v="40"/>
    <n v="17"/>
    <n v="45"/>
    <n v="4"/>
    <n v="45"/>
    <n v="9"/>
    <n v="40"/>
    <n v="4"/>
    <n v="52"/>
    <n v="6"/>
    <n v="42"/>
    <n v="2"/>
    <n v="14"/>
    <n v="6"/>
    <n v="52"/>
    <n v="1"/>
    <n v="42"/>
    <n v="3"/>
    <n v="26"/>
    <n v="1"/>
    <n v="26"/>
    <n v="3"/>
    <m/>
    <m/>
    <m/>
    <m/>
    <m/>
    <m/>
    <m/>
    <m/>
    <m/>
    <m/>
    <m/>
    <m/>
    <m/>
    <m/>
    <n v="44"/>
    <n v="7"/>
    <n v="0.52272727272727271"/>
    <n v="63"/>
    <n v="7"/>
    <n v="0.30158730158730157"/>
    <n v="675"/>
    <n v="716"/>
    <m/>
    <m/>
    <m/>
    <m/>
    <m/>
    <m/>
    <m/>
    <m/>
    <m/>
    <m/>
    <m/>
    <m/>
    <m/>
    <m/>
    <m/>
    <m/>
    <m/>
    <m/>
    <m/>
    <m/>
    <n v="0"/>
    <n v="0"/>
    <m/>
    <m/>
    <n v="2110"/>
    <n v="2121"/>
  </r>
  <r>
    <x v="6"/>
    <s v="Southeastern Louisiana University "/>
    <m/>
    <n v="160612"/>
    <x v="2"/>
    <m/>
    <m/>
    <m/>
    <m/>
    <n v="173"/>
    <n v="62"/>
    <n v="8.9544513457556929E-2"/>
    <n v="3.1536113936927769E-2"/>
    <n v="1932"/>
    <n v="216"/>
    <m/>
    <m/>
    <n v="216"/>
    <n v="1966"/>
    <n v="238"/>
    <m/>
    <m/>
    <n v="238"/>
    <m/>
    <m/>
    <m/>
    <m/>
    <m/>
    <m/>
    <m/>
    <m/>
    <m/>
    <m/>
    <m/>
    <m/>
    <m/>
    <m/>
    <m/>
    <m/>
    <m/>
    <m/>
    <m/>
    <m/>
    <n v="0"/>
    <n v="0.76003147128245474"/>
    <n v="0"/>
    <n v="0.81576763485477177"/>
    <m/>
    <m/>
    <n v="13"/>
    <n v="214"/>
    <n v="13"/>
    <n v="182"/>
    <n v="52"/>
    <n v="85"/>
    <n v="52"/>
    <n v="75"/>
    <n v="51"/>
    <n v="47"/>
    <n v="51"/>
    <n v="45"/>
    <n v="23"/>
    <n v="15"/>
    <n v="23"/>
    <n v="14"/>
    <n v="54"/>
    <n v="13"/>
    <n v="54"/>
    <n v="12"/>
    <n v="9"/>
    <n v="13"/>
    <n v="9"/>
    <n v="11"/>
    <n v="26"/>
    <n v="12"/>
    <n v="30"/>
    <n v="10"/>
    <n v="45"/>
    <n v="11"/>
    <n v="45"/>
    <n v="6"/>
    <n v="30"/>
    <n v="9"/>
    <n v="26"/>
    <n v="6"/>
    <n v="50"/>
    <n v="8"/>
    <n v="50"/>
    <n v="5"/>
    <m/>
    <m/>
    <n v="427"/>
    <n v="10"/>
    <n v="366"/>
    <n v="10"/>
    <n v="13"/>
    <n v="10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16"/>
    <n v="1"/>
    <n v="1"/>
    <n v="437"/>
    <n v="382"/>
    <m/>
    <m/>
    <m/>
    <m/>
    <m/>
    <m/>
    <m/>
    <m/>
    <m/>
    <m/>
    <m/>
    <m/>
    <m/>
    <m/>
    <m/>
    <m/>
    <m/>
    <m/>
    <m/>
    <m/>
    <n v="0"/>
    <n v="0"/>
    <m/>
    <m/>
    <n v="2542"/>
    <n v="2410"/>
  </r>
  <r>
    <x v="6"/>
    <s v="Southern University and A&amp;M College at Baton Rouge "/>
    <s v="Met the criteria for Four-Year 2 in 2012-13."/>
    <n v="160621"/>
    <x v="2"/>
    <m/>
    <m/>
    <m/>
    <m/>
    <m/>
    <m/>
    <n v="0"/>
    <n v="0"/>
    <n v="848"/>
    <n v="40"/>
    <m/>
    <m/>
    <n v="40"/>
    <n v="798"/>
    <n v="34"/>
    <m/>
    <m/>
    <n v="34"/>
    <m/>
    <m/>
    <m/>
    <m/>
    <m/>
    <m/>
    <m/>
    <m/>
    <m/>
    <m/>
    <m/>
    <m/>
    <m/>
    <m/>
    <m/>
    <m/>
    <m/>
    <m/>
    <m/>
    <m/>
    <n v="0"/>
    <n v="0.64242424242424245"/>
    <n v="0"/>
    <n v="0.61290322580645162"/>
    <m/>
    <m/>
    <n v="51"/>
    <n v="84"/>
    <n v="51"/>
    <n v="108"/>
    <n v="13"/>
    <n v="41"/>
    <n v="13"/>
    <n v="49"/>
    <n v="43"/>
    <n v="40"/>
    <n v="43"/>
    <n v="26"/>
    <n v="52"/>
    <n v="31"/>
    <n v="52"/>
    <n v="26"/>
    <n v="44"/>
    <n v="30"/>
    <n v="44"/>
    <n v="26"/>
    <n v="11"/>
    <n v="24"/>
    <n v="11"/>
    <n v="19"/>
    <n v="45"/>
    <n v="17"/>
    <n v="14"/>
    <n v="17"/>
    <n v="14"/>
    <n v="12"/>
    <n v="9"/>
    <n v="9"/>
    <n v="3"/>
    <n v="12"/>
    <n v="45"/>
    <n v="7"/>
    <n v="9"/>
    <n v="7"/>
    <n v="26"/>
    <n v="4"/>
    <m/>
    <m/>
    <n v="298"/>
    <n v="10"/>
    <n v="291"/>
    <n v="10"/>
    <n v="13"/>
    <n v="9"/>
    <n v="13"/>
    <n v="15"/>
    <n v="44"/>
    <n v="8"/>
    <n v="44"/>
    <n v="12"/>
    <n v="51"/>
    <n v="3"/>
    <n v="26"/>
    <n v="6"/>
    <n v="26"/>
    <n v="2"/>
    <n v="51"/>
    <n v="5"/>
    <n v="3"/>
    <n v="1"/>
    <n v="3"/>
    <n v="5"/>
    <m/>
    <m/>
    <m/>
    <m/>
    <m/>
    <m/>
    <m/>
    <m/>
    <m/>
    <m/>
    <m/>
    <m/>
    <m/>
    <m/>
    <m/>
    <m/>
    <m/>
    <m/>
    <m/>
    <m/>
    <m/>
    <m/>
    <n v="23"/>
    <n v="5"/>
    <n v="0.39130434782608697"/>
    <n v="43"/>
    <n v="5"/>
    <n v="0.34883720930232559"/>
    <n v="321"/>
    <n v="334"/>
    <n v="151"/>
    <n v="170"/>
    <m/>
    <m/>
    <m/>
    <m/>
    <m/>
    <m/>
    <m/>
    <m/>
    <m/>
    <m/>
    <m/>
    <m/>
    <m/>
    <m/>
    <m/>
    <m/>
    <m/>
    <m/>
    <n v="151"/>
    <n v="170"/>
    <m/>
    <m/>
    <n v="1320"/>
    <n v="1302"/>
  </r>
  <r>
    <x v="6"/>
    <s v="University of Louisiana at Monroe"/>
    <m/>
    <n v="159993"/>
    <x v="2"/>
    <m/>
    <m/>
    <m/>
    <m/>
    <n v="69"/>
    <n v="55"/>
    <n v="6.2727272727272729E-2"/>
    <n v="4.9283154121863799E-2"/>
    <n v="1100"/>
    <n v="67"/>
    <m/>
    <m/>
    <n v="67"/>
    <n v="1116"/>
    <n v="69"/>
    <m/>
    <m/>
    <n v="69"/>
    <m/>
    <m/>
    <m/>
    <m/>
    <m/>
    <m/>
    <m/>
    <m/>
    <m/>
    <m/>
    <m/>
    <m/>
    <m/>
    <m/>
    <m/>
    <m/>
    <m/>
    <m/>
    <m/>
    <m/>
    <n v="0"/>
    <n v="0.73235685752330226"/>
    <n v="0"/>
    <n v="0.7103755569700827"/>
    <m/>
    <m/>
    <n v="13"/>
    <n v="95"/>
    <n v="13"/>
    <n v="127"/>
    <n v="51"/>
    <n v="34"/>
    <n v="51"/>
    <n v="44"/>
    <n v="52"/>
    <n v="27"/>
    <n v="52"/>
    <n v="41"/>
    <n v="42"/>
    <n v="16"/>
    <n v="42"/>
    <n v="15"/>
    <n v="31"/>
    <n v="11"/>
    <n v="26"/>
    <n v="15"/>
    <n v="43"/>
    <n v="8"/>
    <n v="30"/>
    <n v="14"/>
    <n v="30"/>
    <n v="7"/>
    <n v="9"/>
    <n v="13"/>
    <n v="26"/>
    <n v="7"/>
    <n v="31"/>
    <n v="11"/>
    <n v="54"/>
    <n v="5"/>
    <n v="54"/>
    <n v="9"/>
    <n v="50"/>
    <n v="4"/>
    <n v="43"/>
    <n v="5"/>
    <m/>
    <m/>
    <n v="214"/>
    <n v="10"/>
    <n v="294"/>
    <n v="10"/>
    <n v="51"/>
    <n v="13"/>
    <n v="51"/>
    <n v="8"/>
    <n v="13"/>
    <n v="5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"/>
    <n v="0.72222222222222221"/>
    <n v="10"/>
    <n v="2"/>
    <n v="0.8"/>
    <n v="232"/>
    <n v="304"/>
    <m/>
    <m/>
    <m/>
    <m/>
    <m/>
    <m/>
    <n v="101"/>
    <n v="96"/>
    <m/>
    <m/>
    <m/>
    <m/>
    <m/>
    <m/>
    <m/>
    <m/>
    <m/>
    <m/>
    <m/>
    <m/>
    <n v="101"/>
    <n v="96"/>
    <m/>
    <m/>
    <n v="1502"/>
    <n v="1571"/>
  </r>
  <r>
    <x v="6"/>
    <s v="Grambling State University"/>
    <m/>
    <n v="159009"/>
    <x v="3"/>
    <m/>
    <m/>
    <m/>
    <m/>
    <n v="35"/>
    <n v="16"/>
    <n v="5.0359712230215826E-2"/>
    <n v="2.3323615160349854E-2"/>
    <n v="695"/>
    <n v="47"/>
    <m/>
    <m/>
    <n v="47"/>
    <n v="686"/>
    <n v="41"/>
    <m/>
    <m/>
    <n v="41"/>
    <m/>
    <m/>
    <m/>
    <m/>
    <m/>
    <m/>
    <m/>
    <m/>
    <m/>
    <m/>
    <m/>
    <m/>
    <m/>
    <m/>
    <m/>
    <m/>
    <m/>
    <m/>
    <m/>
    <m/>
    <n v="0"/>
    <n v="0.76710816777041946"/>
    <n v="0"/>
    <n v="0.75633958103638366"/>
    <m/>
    <m/>
    <n v="44"/>
    <n v="40"/>
    <n v="43"/>
    <n v="56"/>
    <n v="13"/>
    <n v="40"/>
    <n v="44"/>
    <n v="56"/>
    <n v="43"/>
    <n v="37"/>
    <n v="31"/>
    <n v="29"/>
    <n v="31"/>
    <n v="29"/>
    <n v="13"/>
    <n v="27"/>
    <n v="51"/>
    <n v="26"/>
    <n v="51"/>
    <n v="21"/>
    <n v="9"/>
    <n v="2"/>
    <n v="9"/>
    <n v="10"/>
    <m/>
    <m/>
    <m/>
    <m/>
    <m/>
    <m/>
    <m/>
    <m/>
    <m/>
    <m/>
    <m/>
    <m/>
    <m/>
    <m/>
    <m/>
    <m/>
    <m/>
    <m/>
    <n v="174"/>
    <n v="6"/>
    <n v="199"/>
    <n v="6"/>
    <n v="13"/>
    <n v="2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6"/>
    <n v="1"/>
    <n v="1"/>
    <n v="176"/>
    <n v="205"/>
    <m/>
    <m/>
    <m/>
    <m/>
    <m/>
    <m/>
    <m/>
    <m/>
    <m/>
    <m/>
    <m/>
    <m/>
    <m/>
    <m/>
    <m/>
    <m/>
    <m/>
    <m/>
    <m/>
    <m/>
    <n v="0"/>
    <n v="0"/>
    <m/>
    <m/>
    <n v="906"/>
    <n v="907"/>
  </r>
  <r>
    <x v="6"/>
    <s v="Louisiana State University in Shreveport"/>
    <m/>
    <n v="159416"/>
    <x v="3"/>
    <m/>
    <m/>
    <m/>
    <m/>
    <m/>
    <m/>
    <n v="0"/>
    <n v="0"/>
    <n v="565"/>
    <n v="53"/>
    <m/>
    <m/>
    <n v="53"/>
    <n v="517"/>
    <n v="39"/>
    <m/>
    <m/>
    <n v="39"/>
    <m/>
    <m/>
    <m/>
    <m/>
    <m/>
    <m/>
    <m/>
    <m/>
    <m/>
    <m/>
    <m/>
    <m/>
    <m/>
    <m/>
    <m/>
    <m/>
    <m/>
    <m/>
    <m/>
    <m/>
    <n v="0"/>
    <n v="0.83703703703703702"/>
    <n v="0"/>
    <n v="0.82587859424920129"/>
    <m/>
    <m/>
    <n v="52"/>
    <n v="34"/>
    <n v="52"/>
    <n v="37"/>
    <n v="51"/>
    <n v="16"/>
    <n v="42"/>
    <n v="20"/>
    <n v="42"/>
    <n v="14"/>
    <n v="51"/>
    <n v="15"/>
    <n v="13"/>
    <n v="14"/>
    <n v="13"/>
    <n v="12"/>
    <n v="44"/>
    <n v="10"/>
    <n v="24"/>
    <n v="8"/>
    <n v="24"/>
    <n v="10"/>
    <n v="44"/>
    <n v="7"/>
    <n v="11"/>
    <n v="8"/>
    <n v="11"/>
    <n v="7"/>
    <n v="31"/>
    <n v="4"/>
    <n v="31"/>
    <n v="2"/>
    <m/>
    <m/>
    <n v="26"/>
    <n v="1"/>
    <m/>
    <m/>
    <m/>
    <m/>
    <m/>
    <m/>
    <n v="110"/>
    <n v="8"/>
    <n v="10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0"/>
    <n v="109"/>
    <m/>
    <m/>
    <m/>
    <m/>
    <m/>
    <m/>
    <m/>
    <m/>
    <m/>
    <m/>
    <m/>
    <m/>
    <m/>
    <m/>
    <m/>
    <m/>
    <m/>
    <m/>
    <m/>
    <m/>
    <n v="0"/>
    <n v="0"/>
    <m/>
    <m/>
    <n v="675"/>
    <n v="626"/>
  </r>
  <r>
    <x v="6"/>
    <s v="McNeese State University"/>
    <m/>
    <n v="159717"/>
    <x v="3"/>
    <m/>
    <m/>
    <m/>
    <m/>
    <n v="172"/>
    <n v="119"/>
    <n v="0.17497456765005087"/>
    <n v="0.1076923076923077"/>
    <n v="983"/>
    <n v="105"/>
    <m/>
    <m/>
    <n v="105"/>
    <n v="1105"/>
    <n v="107"/>
    <m/>
    <m/>
    <n v="107"/>
    <m/>
    <m/>
    <m/>
    <m/>
    <m/>
    <m/>
    <m/>
    <m/>
    <m/>
    <m/>
    <m/>
    <m/>
    <m/>
    <m/>
    <m/>
    <m/>
    <m/>
    <m/>
    <m/>
    <m/>
    <n v="0"/>
    <n v="0.64756258234519104"/>
    <n v="0"/>
    <n v="0.71986970684039087"/>
    <n v="27"/>
    <n v="26"/>
    <n v="13"/>
    <n v="150"/>
    <n v="13"/>
    <n v="125"/>
    <n v="52"/>
    <n v="34"/>
    <n v="52"/>
    <n v="31"/>
    <n v="14"/>
    <n v="29"/>
    <n v="40"/>
    <n v="30"/>
    <n v="27"/>
    <n v="27"/>
    <n v="31"/>
    <n v="24"/>
    <n v="31"/>
    <n v="26"/>
    <n v="14"/>
    <n v="21"/>
    <n v="51"/>
    <n v="22"/>
    <n v="51"/>
    <n v="18"/>
    <n v="23"/>
    <n v="19"/>
    <n v="42"/>
    <n v="15"/>
    <n v="40"/>
    <n v="17"/>
    <n v="23"/>
    <n v="12"/>
    <n v="42"/>
    <n v="12"/>
    <n v="27"/>
    <n v="9"/>
    <m/>
    <m/>
    <m/>
    <m/>
    <m/>
    <m/>
    <n v="336"/>
    <n v="9"/>
    <n v="28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6"/>
    <n v="285"/>
    <m/>
    <m/>
    <m/>
    <m/>
    <m/>
    <m/>
    <m/>
    <m/>
    <m/>
    <m/>
    <m/>
    <m/>
    <m/>
    <m/>
    <m/>
    <m/>
    <m/>
    <m/>
    <m/>
    <m/>
    <n v="0"/>
    <n v="0"/>
    <m/>
    <m/>
    <n v="1518"/>
    <n v="1535"/>
  </r>
  <r>
    <x v="6"/>
    <s v="Nicholls State University "/>
    <m/>
    <n v="159966"/>
    <x v="3"/>
    <m/>
    <m/>
    <m/>
    <m/>
    <n v="152"/>
    <n v="157"/>
    <n v="0.15849843587069865"/>
    <n v="0.17252747252747253"/>
    <n v="959"/>
    <n v="84"/>
    <m/>
    <m/>
    <n v="84"/>
    <n v="910"/>
    <n v="103"/>
    <m/>
    <m/>
    <n v="103"/>
    <m/>
    <m/>
    <m/>
    <m/>
    <m/>
    <m/>
    <m/>
    <m/>
    <m/>
    <m/>
    <m/>
    <m/>
    <m/>
    <m/>
    <m/>
    <m/>
    <m/>
    <m/>
    <m/>
    <m/>
    <n v="0"/>
    <n v="0.77588996763754048"/>
    <n v="0"/>
    <n v="0.72050673000791765"/>
    <m/>
    <m/>
    <n v="13"/>
    <n v="72"/>
    <n v="13"/>
    <n v="86"/>
    <n v="52"/>
    <n v="24"/>
    <n v="52"/>
    <n v="71"/>
    <n v="42"/>
    <n v="16"/>
    <n v="42"/>
    <n v="24"/>
    <n v="26"/>
    <n v="8"/>
    <n v="27"/>
    <n v="9"/>
    <n v="27"/>
    <n v="5"/>
    <n v="26"/>
    <n v="6"/>
    <m/>
    <m/>
    <m/>
    <m/>
    <m/>
    <m/>
    <m/>
    <m/>
    <m/>
    <m/>
    <m/>
    <m/>
    <m/>
    <m/>
    <m/>
    <m/>
    <m/>
    <m/>
    <m/>
    <m/>
    <m/>
    <m/>
    <n v="125"/>
    <n v="5"/>
    <n v="19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5"/>
    <n v="196"/>
    <m/>
    <m/>
    <m/>
    <m/>
    <m/>
    <m/>
    <m/>
    <m/>
    <m/>
    <m/>
    <m/>
    <m/>
    <m/>
    <m/>
    <m/>
    <m/>
    <m/>
    <m/>
    <m/>
    <m/>
    <n v="0"/>
    <n v="0"/>
    <m/>
    <m/>
    <n v="1236"/>
    <n v="1263"/>
  </r>
  <r>
    <x v="6"/>
    <s v="Northwestern State University"/>
    <m/>
    <n v="160038"/>
    <x v="3"/>
    <m/>
    <m/>
    <m/>
    <m/>
    <n v="724"/>
    <n v="869"/>
    <n v="0.6648301193755739"/>
    <n v="0.80166051660516602"/>
    <n v="1089"/>
    <n v="61"/>
    <m/>
    <m/>
    <n v="61"/>
    <n v="1084"/>
    <n v="50"/>
    <m/>
    <m/>
    <n v="50"/>
    <m/>
    <m/>
    <m/>
    <m/>
    <m/>
    <m/>
    <m/>
    <m/>
    <m/>
    <m/>
    <m/>
    <m/>
    <m/>
    <m/>
    <m/>
    <m/>
    <m/>
    <m/>
    <m/>
    <m/>
    <n v="0"/>
    <n v="0.50959288722508189"/>
    <n v="0"/>
    <n v="0.47523016220955722"/>
    <n v="57"/>
    <n v="56"/>
    <n v="13"/>
    <n v="146"/>
    <n v="13"/>
    <n v="149"/>
    <n v="51"/>
    <n v="57"/>
    <n v="51"/>
    <n v="65"/>
    <n v="23"/>
    <n v="15"/>
    <n v="42"/>
    <n v="21"/>
    <n v="31"/>
    <n v="15"/>
    <n v="31"/>
    <n v="21"/>
    <n v="50"/>
    <n v="12"/>
    <n v="50"/>
    <n v="8"/>
    <n v="42"/>
    <n v="12"/>
    <n v="23"/>
    <n v="5"/>
    <n v="30"/>
    <n v="10"/>
    <n v="30"/>
    <n v="3"/>
    <m/>
    <m/>
    <m/>
    <m/>
    <m/>
    <m/>
    <m/>
    <m/>
    <m/>
    <m/>
    <m/>
    <m/>
    <m/>
    <m/>
    <n v="267"/>
    <n v="7"/>
    <n v="27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7"/>
    <n v="272"/>
    <m/>
    <m/>
    <m/>
    <m/>
    <m/>
    <m/>
    <m/>
    <m/>
    <m/>
    <m/>
    <m/>
    <m/>
    <m/>
    <m/>
    <m/>
    <m/>
    <m/>
    <m/>
    <m/>
    <m/>
    <n v="0"/>
    <n v="0"/>
    <m/>
    <m/>
    <n v="2137"/>
    <n v="2281"/>
  </r>
  <r>
    <x v="6"/>
    <s v="Southern University at New Orleans"/>
    <s v="Met the criteria for Four-Year 5 in 2012-13."/>
    <n v="160630"/>
    <x v="3"/>
    <m/>
    <m/>
    <m/>
    <m/>
    <n v="24"/>
    <n v="27"/>
    <n v="8.7591240875912413E-2"/>
    <n v="8.8815789473684209E-2"/>
    <n v="274"/>
    <n v="4"/>
    <m/>
    <m/>
    <n v="4"/>
    <n v="304"/>
    <n v="7"/>
    <m/>
    <m/>
    <n v="7"/>
    <m/>
    <m/>
    <m/>
    <m/>
    <m/>
    <m/>
    <m/>
    <m/>
    <m/>
    <m/>
    <m/>
    <m/>
    <m/>
    <m/>
    <m/>
    <m/>
    <m/>
    <m/>
    <m/>
    <m/>
    <n v="0"/>
    <n v="0.60219780219780217"/>
    <n v="0"/>
    <n v="0.62809917355371903"/>
    <m/>
    <m/>
    <n v="44"/>
    <n v="82"/>
    <n v="44"/>
    <n v="109"/>
    <n v="43"/>
    <n v="42"/>
    <n v="52"/>
    <n v="20"/>
    <n v="52"/>
    <n v="16"/>
    <n v="43"/>
    <n v="13"/>
    <n v="30"/>
    <n v="15"/>
    <n v="30"/>
    <n v="11"/>
    <n v="11"/>
    <n v="2"/>
    <m/>
    <m/>
    <m/>
    <m/>
    <m/>
    <m/>
    <m/>
    <m/>
    <m/>
    <m/>
    <m/>
    <m/>
    <m/>
    <m/>
    <m/>
    <m/>
    <m/>
    <m/>
    <m/>
    <m/>
    <m/>
    <m/>
    <m/>
    <m/>
    <n v="157"/>
    <n v="5"/>
    <n v="15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7"/>
    <n v="153"/>
    <m/>
    <m/>
    <m/>
    <m/>
    <m/>
    <m/>
    <m/>
    <m/>
    <m/>
    <m/>
    <m/>
    <m/>
    <m/>
    <m/>
    <m/>
    <m/>
    <m/>
    <m/>
    <m/>
    <m/>
    <n v="0"/>
    <n v="0"/>
    <m/>
    <m/>
    <n v="455"/>
    <n v="484"/>
  </r>
  <r>
    <x v="6"/>
    <s v="Louisiana State University at Alexandria"/>
    <m/>
    <n v="159382"/>
    <x v="5"/>
    <n v="15"/>
    <n v="5"/>
    <m/>
    <m/>
    <n v="142"/>
    <n v="118"/>
    <n v="0.88198757763975155"/>
    <n v="0.65555555555555556"/>
    <n v="161"/>
    <n v="6"/>
    <m/>
    <m/>
    <n v="6"/>
    <n v="180"/>
    <n v="14"/>
    <m/>
    <m/>
    <n v="14"/>
    <n v="52"/>
    <n v="43"/>
    <n v="52"/>
    <n v="40"/>
    <n v="24"/>
    <n v="42"/>
    <n v="24"/>
    <n v="36"/>
    <n v="42"/>
    <n v="25"/>
    <n v="42"/>
    <n v="19"/>
    <n v="43"/>
    <n v="10"/>
    <n v="43"/>
    <n v="16"/>
    <n v="9"/>
    <n v="9"/>
    <n v="54"/>
    <n v="15"/>
    <n v="5"/>
    <n v="0.50628930817610063"/>
    <n v="5"/>
    <n v="0.59405940594059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8"/>
    <n v="303"/>
  </r>
  <r>
    <x v="6"/>
    <s v="Baton Rouge Community College"/>
    <m/>
    <n v="437103"/>
    <x v="6"/>
    <n v="192"/>
    <n v="199"/>
    <m/>
    <m/>
    <n v="385"/>
    <n v="3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7"/>
    <n v="596"/>
  </r>
  <r>
    <x v="6"/>
    <s v="Bossier Parish Community College"/>
    <s v="Reclassified: met the criteria for Two-Year 1 in 2010-11, 2011-12, and 2012-13."/>
    <n v="158431"/>
    <x v="6"/>
    <n v="336"/>
    <n v="342"/>
    <m/>
    <m/>
    <n v="554"/>
    <n v="6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0"/>
    <n v="972"/>
  </r>
  <r>
    <x v="6"/>
    <s v="Delgado Community College "/>
    <m/>
    <n v="158662"/>
    <x v="6"/>
    <n v="311"/>
    <n v="856"/>
    <n v="25"/>
    <n v="18"/>
    <n v="1116"/>
    <n v="12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2"/>
    <n v="2127"/>
  </r>
  <r>
    <x v="6"/>
    <s v="Louisiana State University at Eunice"/>
    <m/>
    <n v="159407"/>
    <x v="7"/>
    <n v="19"/>
    <n v="14"/>
    <m/>
    <m/>
    <n v="270"/>
    <n v="2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"/>
    <n v="289"/>
  </r>
  <r>
    <x v="6"/>
    <s v="South Louisiana Community College"/>
    <s v="Met the criteria for Two-Year 1 in 2012-13."/>
    <n v="434061"/>
    <x v="7"/>
    <n v="279"/>
    <n v="295"/>
    <m/>
    <m/>
    <n v="211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579"/>
  </r>
  <r>
    <x v="6"/>
    <s v="Louisiana Delta Community College"/>
    <s v="Met the criteria for Two-Year 2 in 2011-12 and 2012-13."/>
    <n v="440624"/>
    <x v="8"/>
    <n v="61"/>
    <n v="153"/>
    <m/>
    <m/>
    <n v="125"/>
    <n v="1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"/>
    <n v="270"/>
  </r>
  <r>
    <x v="6"/>
    <s v="Nunez Community College"/>
    <m/>
    <n v="158884"/>
    <x v="8"/>
    <n v="140"/>
    <n v="160"/>
    <m/>
    <m/>
    <n v="120"/>
    <n v="1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320"/>
  </r>
  <r>
    <x v="6"/>
    <s v="River Parishes Community College"/>
    <m/>
    <n v="436304"/>
    <x v="8"/>
    <n v="220"/>
    <n v="289"/>
    <m/>
    <m/>
    <n v="108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8"/>
    <n v="422"/>
  </r>
  <r>
    <x v="6"/>
    <s v="Southern University in Shreveport"/>
    <s v="Met the criteria for Two-Year 2 in 2011-12 and 2012-13."/>
    <n v="160649"/>
    <x v="8"/>
    <n v="70"/>
    <n v="78"/>
    <m/>
    <m/>
    <n v="271"/>
    <n v="3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"/>
    <n v="403"/>
  </r>
  <r>
    <x v="6"/>
    <s v="Acadiana Technical College"/>
    <m/>
    <n v="159443"/>
    <x v="9"/>
    <n v="1326"/>
    <n v="1412"/>
    <m/>
    <m/>
    <n v="77"/>
    <n v="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3"/>
    <n v="1501"/>
  </r>
  <r>
    <x v="6"/>
    <s v="Capital Area Technical College"/>
    <m/>
    <n v="158352"/>
    <x v="9"/>
    <n v="991"/>
    <n v="836"/>
    <m/>
    <m/>
    <n v="17"/>
    <n v="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8"/>
    <n v="860"/>
  </r>
  <r>
    <x v="6"/>
    <s v="Central LA Technical College"/>
    <m/>
    <n v="158088"/>
    <x v="9"/>
    <n v="781"/>
    <n v="869"/>
    <m/>
    <m/>
    <n v="14"/>
    <n v="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5"/>
    <n v="904"/>
  </r>
  <r>
    <x v="6"/>
    <s v="L.E. Fletcher Technical Community College"/>
    <m/>
    <n v="160481"/>
    <x v="9"/>
    <n v="270"/>
    <n v="188"/>
    <m/>
    <m/>
    <n v="96"/>
    <n v="1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324"/>
  </r>
  <r>
    <x v="6"/>
    <s v="Northeast Technical College"/>
    <m/>
    <n v="158769"/>
    <x v="9"/>
    <n v="645"/>
    <n v="511"/>
    <m/>
    <m/>
    <n v="31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6"/>
    <n v="555"/>
  </r>
  <r>
    <x v="6"/>
    <s v="Northshore Technical College"/>
    <m/>
    <n v="160667"/>
    <x v="9"/>
    <n v="492"/>
    <n v="725"/>
    <m/>
    <m/>
    <n v="15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7"/>
    <n v="769"/>
  </r>
  <r>
    <x v="6"/>
    <s v="Northwest LA Technical College"/>
    <m/>
    <n v="160010"/>
    <x v="9"/>
    <n v="807"/>
    <n v="767"/>
    <m/>
    <m/>
    <n v="46"/>
    <n v="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3"/>
    <n v="803"/>
  </r>
  <r>
    <x v="6"/>
    <s v="South Central LA Technical College"/>
    <m/>
    <n v="160913"/>
    <x v="9"/>
    <n v="432"/>
    <n v="488"/>
    <m/>
    <m/>
    <n v="121"/>
    <n v="1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3"/>
    <n v="630"/>
  </r>
  <r>
    <x v="6"/>
    <s v="Sowela Technical Community College"/>
    <m/>
    <n v="160579"/>
    <x v="9"/>
    <n v="861"/>
    <n v="918"/>
    <m/>
    <m/>
    <n v="240"/>
    <n v="3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1"/>
    <n v="1240"/>
  </r>
  <r>
    <x v="6"/>
    <s v="Louisiana State University Health Sciences Center - New Orleans"/>
    <m/>
    <n v="159373"/>
    <x v="11"/>
    <m/>
    <m/>
    <m/>
    <m/>
    <n v="11"/>
    <n v="5"/>
    <n v="3.9711191335740074E-2"/>
    <n v="1.524390243902439E-2"/>
    <n v="277"/>
    <m/>
    <m/>
    <m/>
    <n v="0"/>
    <n v="328"/>
    <m/>
    <m/>
    <m/>
    <n v="0"/>
    <m/>
    <m/>
    <m/>
    <m/>
    <m/>
    <m/>
    <m/>
    <m/>
    <m/>
    <m/>
    <m/>
    <m/>
    <m/>
    <m/>
    <m/>
    <m/>
    <m/>
    <m/>
    <m/>
    <m/>
    <n v="0"/>
    <n v="0.39069111424541608"/>
    <n v="0"/>
    <n v="0.41414141414141414"/>
    <m/>
    <m/>
    <n v="51"/>
    <n v="166"/>
    <n v="51"/>
    <n v="206"/>
    <m/>
    <m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6"/>
    <n v="1"/>
    <n v="210"/>
    <n v="2"/>
    <n v="26"/>
    <n v="20"/>
    <n v="26"/>
    <n v="15"/>
    <n v="51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90909090909090906"/>
    <n v="17"/>
    <n v="2"/>
    <n v="0.88235294117647056"/>
    <n v="188"/>
    <n v="227"/>
    <m/>
    <m/>
    <n v="180"/>
    <n v="174"/>
    <n v="53"/>
    <n v="58"/>
    <m/>
    <m/>
    <m/>
    <m/>
    <m/>
    <m/>
    <m/>
    <m/>
    <m/>
    <m/>
    <m/>
    <m/>
    <m/>
    <m/>
    <n v="233"/>
    <n v="232"/>
    <m/>
    <m/>
    <n v="709"/>
    <n v="792"/>
  </r>
  <r>
    <x v="6"/>
    <s v="Louisiana State University Health Sciences Center - Shreveport"/>
    <m/>
    <n v="435000"/>
    <x v="11"/>
    <m/>
    <m/>
    <m/>
    <m/>
    <m/>
    <m/>
    <n v="0"/>
    <n v="0"/>
    <n v="52"/>
    <m/>
    <m/>
    <m/>
    <n v="0"/>
    <n v="56"/>
    <m/>
    <m/>
    <m/>
    <n v="0"/>
    <m/>
    <m/>
    <m/>
    <m/>
    <m/>
    <m/>
    <m/>
    <m/>
    <m/>
    <m/>
    <m/>
    <m/>
    <m/>
    <m/>
    <m/>
    <m/>
    <m/>
    <m/>
    <m/>
    <m/>
    <n v="0"/>
    <n v="0.25365853658536586"/>
    <n v="0"/>
    <n v="0.25806451612903225"/>
    <m/>
    <m/>
    <n v="51"/>
    <n v="31"/>
    <n v="51"/>
    <n v="31"/>
    <n v="26"/>
    <n v="1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"/>
    <n v="36"/>
    <n v="2"/>
    <n v="26"/>
    <n v="10"/>
    <n v="26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16"/>
    <n v="1"/>
    <n v="1"/>
    <n v="42"/>
    <n v="52"/>
    <m/>
    <m/>
    <n v="111"/>
    <n v="109"/>
    <m/>
    <m/>
    <m/>
    <m/>
    <m/>
    <m/>
    <m/>
    <m/>
    <m/>
    <m/>
    <m/>
    <m/>
    <m/>
    <m/>
    <m/>
    <m/>
    <n v="111"/>
    <n v="109"/>
    <m/>
    <m/>
    <n v="205"/>
    <n v="217"/>
  </r>
  <r>
    <x v="7"/>
    <s v="University of Maryland College Park"/>
    <m/>
    <n v="163286"/>
    <x v="0"/>
    <m/>
    <m/>
    <n v="47"/>
    <n v="42"/>
    <m/>
    <m/>
    <n v="0"/>
    <n v="0"/>
    <n v="6987"/>
    <n v="601"/>
    <m/>
    <m/>
    <n v="601"/>
    <n v="7043"/>
    <n v="618"/>
    <m/>
    <m/>
    <n v="618"/>
    <m/>
    <m/>
    <m/>
    <m/>
    <m/>
    <m/>
    <m/>
    <m/>
    <m/>
    <m/>
    <m/>
    <m/>
    <m/>
    <m/>
    <m/>
    <m/>
    <m/>
    <m/>
    <m/>
    <m/>
    <n v="0"/>
    <n v="0.69239916757506692"/>
    <n v="0"/>
    <n v="0.68471709119191138"/>
    <n v="137"/>
    <n v="104"/>
    <n v="52"/>
    <n v="571"/>
    <n v="52"/>
    <n v="740"/>
    <n v="14"/>
    <n v="386"/>
    <n v="14"/>
    <n v="423"/>
    <n v="13"/>
    <n v="314"/>
    <n v="13"/>
    <n v="303"/>
    <n v="44"/>
    <n v="202"/>
    <n v="44"/>
    <n v="194"/>
    <n v="25"/>
    <n v="149"/>
    <n v="25"/>
    <n v="117"/>
    <n v="45"/>
    <n v="96"/>
    <n v="45"/>
    <n v="95"/>
    <n v="11"/>
    <n v="84"/>
    <n v="30"/>
    <n v="72"/>
    <n v="30"/>
    <n v="68"/>
    <n v="11"/>
    <n v="65"/>
    <n v="26"/>
    <n v="67"/>
    <n v="51"/>
    <n v="57"/>
    <n v="51"/>
    <n v="50"/>
    <n v="3"/>
    <n v="53"/>
    <n v="321"/>
    <n v="321"/>
    <n v="2308"/>
    <n v="10"/>
    <n v="2440"/>
    <n v="10"/>
    <n v="14"/>
    <n v="126"/>
    <n v="14"/>
    <n v="122"/>
    <n v="40"/>
    <n v="71"/>
    <n v="13"/>
    <n v="101"/>
    <n v="13"/>
    <n v="67"/>
    <n v="40"/>
    <n v="64"/>
    <n v="45"/>
    <n v="56"/>
    <n v="45"/>
    <n v="57"/>
    <n v="26"/>
    <n v="39"/>
    <n v="26"/>
    <n v="41"/>
    <n v="50"/>
    <n v="34"/>
    <n v="50"/>
    <n v="37"/>
    <n v="27"/>
    <n v="27"/>
    <n v="27"/>
    <n v="29"/>
    <n v="11"/>
    <n v="27"/>
    <n v="11"/>
    <n v="28"/>
    <n v="42"/>
    <n v="17"/>
    <n v="16"/>
    <n v="26"/>
    <n v="52"/>
    <n v="17"/>
    <n v="52"/>
    <n v="19"/>
    <n v="99"/>
    <n v="108"/>
    <n v="580"/>
    <n v="10"/>
    <n v="0.21724137931034482"/>
    <n v="632"/>
    <n v="10"/>
    <n v="0.19303797468354431"/>
    <n v="2888"/>
    <n v="3072"/>
    <m/>
    <m/>
    <m/>
    <m/>
    <m/>
    <m/>
    <m/>
    <m/>
    <m/>
    <m/>
    <m/>
    <m/>
    <m/>
    <m/>
    <n v="25"/>
    <n v="21"/>
    <m/>
    <m/>
    <n v="7"/>
    <n v="4"/>
    <n v="32"/>
    <n v="25"/>
    <m/>
    <m/>
    <n v="10091"/>
    <n v="10286"/>
  </r>
  <r>
    <x v="7"/>
    <s v="Morgan State University"/>
    <m/>
    <n v="163453"/>
    <x v="1"/>
    <m/>
    <m/>
    <m/>
    <m/>
    <m/>
    <m/>
    <n v="0"/>
    <n v="0"/>
    <n v="813"/>
    <n v="54"/>
    <m/>
    <m/>
    <n v="54"/>
    <n v="902"/>
    <n v="40"/>
    <m/>
    <m/>
    <n v="40"/>
    <m/>
    <m/>
    <m/>
    <m/>
    <m/>
    <m/>
    <m/>
    <m/>
    <m/>
    <m/>
    <m/>
    <m/>
    <m/>
    <m/>
    <m/>
    <m/>
    <m/>
    <m/>
    <m/>
    <m/>
    <n v="0"/>
    <n v="0.77354900095147483"/>
    <n v="0"/>
    <n v="0.75418060200668902"/>
    <m/>
    <n v="2"/>
    <n v="51"/>
    <n v="46"/>
    <n v="44"/>
    <n v="64"/>
    <n v="44"/>
    <n v="43"/>
    <n v="52"/>
    <n v="45"/>
    <n v="52"/>
    <n v="33"/>
    <n v="51"/>
    <n v="40"/>
    <n v="4"/>
    <n v="25"/>
    <n v="4"/>
    <n v="34"/>
    <n v="14"/>
    <n v="16"/>
    <n v="14"/>
    <n v="27"/>
    <n v="13"/>
    <n v="11"/>
    <n v="13"/>
    <n v="15"/>
    <n v="45"/>
    <n v="7"/>
    <n v="30"/>
    <n v="7"/>
    <n v="50"/>
    <n v="5"/>
    <n v="45"/>
    <n v="6"/>
    <n v="23"/>
    <n v="4"/>
    <n v="23"/>
    <n v="5"/>
    <n v="5"/>
    <n v="4"/>
    <n v="50"/>
    <n v="5"/>
    <n v="12"/>
    <n v="7"/>
    <n v="206"/>
    <n v="10"/>
    <n v="255"/>
    <n v="10"/>
    <n v="13"/>
    <n v="8"/>
    <n v="13"/>
    <n v="14"/>
    <n v="52"/>
    <n v="6"/>
    <n v="14"/>
    <n v="8"/>
    <n v="14"/>
    <n v="5"/>
    <n v="51"/>
    <n v="8"/>
    <n v="44"/>
    <n v="4"/>
    <n v="23"/>
    <n v="3"/>
    <n v="51"/>
    <n v="4"/>
    <n v="52"/>
    <n v="2"/>
    <n v="54"/>
    <n v="2"/>
    <n v="44"/>
    <n v="1"/>
    <n v="23"/>
    <n v="2"/>
    <n v="54"/>
    <n v="1"/>
    <n v="26"/>
    <n v="1"/>
    <m/>
    <m/>
    <m/>
    <m/>
    <m/>
    <m/>
    <m/>
    <m/>
    <m/>
    <m/>
    <m/>
    <m/>
    <n v="32"/>
    <n v="8"/>
    <n v="0.25"/>
    <n v="37"/>
    <n v="7"/>
    <n v="0.3783783783783784"/>
    <n v="238"/>
    <n v="292"/>
    <m/>
    <m/>
    <m/>
    <m/>
    <m/>
    <m/>
    <m/>
    <m/>
    <m/>
    <m/>
    <m/>
    <m/>
    <m/>
    <m/>
    <m/>
    <m/>
    <m/>
    <m/>
    <m/>
    <m/>
    <n v="0"/>
    <n v="0"/>
    <m/>
    <m/>
    <n v="1051"/>
    <n v="1196"/>
  </r>
  <r>
    <x v="7"/>
    <s v="University of Maryland, Baltimore County"/>
    <m/>
    <n v="163268"/>
    <x v="1"/>
    <m/>
    <m/>
    <n v="107"/>
    <n v="118"/>
    <m/>
    <m/>
    <n v="0"/>
    <n v="0"/>
    <n v="1905"/>
    <n v="1"/>
    <m/>
    <m/>
    <n v="1"/>
    <n v="2140"/>
    <n v="2"/>
    <m/>
    <m/>
    <n v="2"/>
    <m/>
    <m/>
    <m/>
    <m/>
    <m/>
    <m/>
    <m/>
    <m/>
    <m/>
    <m/>
    <m/>
    <m/>
    <m/>
    <m/>
    <m/>
    <m/>
    <m/>
    <m/>
    <m/>
    <m/>
    <n v="0"/>
    <n v="0.6757715501951046"/>
    <n v="0"/>
    <n v="0.6927808352217546"/>
    <n v="128"/>
    <n v="154"/>
    <n v="13"/>
    <n v="172"/>
    <n v="11"/>
    <n v="163"/>
    <n v="11"/>
    <n v="152"/>
    <n v="13"/>
    <n v="129"/>
    <n v="30"/>
    <n v="60"/>
    <n v="30"/>
    <n v="59"/>
    <n v="52"/>
    <n v="58"/>
    <n v="52"/>
    <n v="48"/>
    <n v="14"/>
    <n v="30"/>
    <n v="14"/>
    <n v="45"/>
    <n v="45"/>
    <n v="26"/>
    <n v="45"/>
    <n v="45"/>
    <n v="54"/>
    <n v="15"/>
    <n v="44"/>
    <n v="28"/>
    <n v="40"/>
    <n v="14"/>
    <n v="27"/>
    <n v="20"/>
    <n v="27"/>
    <n v="12"/>
    <n v="42"/>
    <n v="17"/>
    <n v="42"/>
    <n v="11"/>
    <n v="26"/>
    <n v="15"/>
    <n v="32"/>
    <n v="36"/>
    <n v="582"/>
    <n v="10"/>
    <n v="605"/>
    <n v="10"/>
    <n v="11"/>
    <n v="19"/>
    <n v="40"/>
    <n v="14"/>
    <n v="14"/>
    <n v="15"/>
    <n v="11"/>
    <n v="12"/>
    <n v="42"/>
    <n v="14"/>
    <n v="14"/>
    <n v="11"/>
    <n v="26"/>
    <n v="12"/>
    <n v="42"/>
    <n v="9"/>
    <n v="30"/>
    <n v="11"/>
    <n v="30"/>
    <n v="9"/>
    <n v="40"/>
    <n v="10"/>
    <n v="26"/>
    <n v="8"/>
    <n v="27"/>
    <n v="8"/>
    <n v="44"/>
    <n v="7"/>
    <n v="44"/>
    <n v="8"/>
    <n v="27"/>
    <n v="2"/>
    <m/>
    <m/>
    <m/>
    <m/>
    <m/>
    <m/>
    <m/>
    <m/>
    <m/>
    <m/>
    <n v="97"/>
    <n v="8"/>
    <n v="0.19587628865979381"/>
    <n v="72"/>
    <n v="8"/>
    <n v="0.19444444444444445"/>
    <n v="679"/>
    <n v="677"/>
    <m/>
    <m/>
    <m/>
    <m/>
    <m/>
    <m/>
    <m/>
    <m/>
    <m/>
    <m/>
    <m/>
    <m/>
    <m/>
    <m/>
    <m/>
    <m/>
    <m/>
    <m/>
    <m/>
    <m/>
    <n v="0"/>
    <n v="0"/>
    <m/>
    <m/>
    <n v="2819"/>
    <n v="3089"/>
  </r>
  <r>
    <x v="7"/>
    <s v="Towson University "/>
    <m/>
    <n v="164076"/>
    <x v="2"/>
    <m/>
    <m/>
    <m/>
    <m/>
    <m/>
    <m/>
    <n v="0"/>
    <n v="0"/>
    <n v="3948"/>
    <n v="674"/>
    <m/>
    <m/>
    <n v="674"/>
    <n v="4103"/>
    <n v="712"/>
    <m/>
    <m/>
    <n v="712"/>
    <m/>
    <m/>
    <m/>
    <m/>
    <m/>
    <m/>
    <m/>
    <m/>
    <m/>
    <m/>
    <m/>
    <m/>
    <m/>
    <m/>
    <m/>
    <m/>
    <m/>
    <m/>
    <m/>
    <m/>
    <n v="0"/>
    <n v="0.7640797367911748"/>
    <n v="0"/>
    <n v="0.76349088202456272"/>
    <n v="153"/>
    <n v="156"/>
    <n v="13"/>
    <n v="414"/>
    <n v="13"/>
    <n v="424"/>
    <n v="51"/>
    <n v="170"/>
    <n v="51"/>
    <n v="172"/>
    <n v="52"/>
    <n v="139"/>
    <n v="52"/>
    <n v="140"/>
    <n v="11"/>
    <n v="98"/>
    <n v="11"/>
    <n v="129"/>
    <n v="42"/>
    <n v="54"/>
    <n v="42"/>
    <n v="49"/>
    <n v="26"/>
    <n v="39"/>
    <n v="26"/>
    <n v="33"/>
    <n v="23"/>
    <n v="25"/>
    <n v="23"/>
    <n v="24"/>
    <n v="43"/>
    <n v="19"/>
    <n v="24"/>
    <n v="24"/>
    <n v="24"/>
    <n v="18"/>
    <n v="50"/>
    <n v="23"/>
    <n v="38"/>
    <n v="15"/>
    <n v="45"/>
    <n v="17"/>
    <n v="62"/>
    <n v="61"/>
    <n v="1053"/>
    <n v="10"/>
    <n v="1096"/>
    <n v="10"/>
    <n v="11"/>
    <n v="4"/>
    <n v="11"/>
    <n v="4"/>
    <n v="13"/>
    <n v="1"/>
    <n v="13"/>
    <n v="3"/>
    <n v="38"/>
    <n v="1"/>
    <n v="51"/>
    <n v="3"/>
    <m/>
    <m/>
    <n v="38"/>
    <n v="2"/>
    <m/>
    <m/>
    <m/>
    <m/>
    <m/>
    <m/>
    <m/>
    <m/>
    <m/>
    <m/>
    <m/>
    <m/>
    <m/>
    <m/>
    <m/>
    <m/>
    <m/>
    <m/>
    <m/>
    <m/>
    <m/>
    <m/>
    <m/>
    <m/>
    <m/>
    <m/>
    <n v="6"/>
    <n v="3"/>
    <n v="0.66666666666666663"/>
    <n v="12"/>
    <n v="4"/>
    <n v="0.33333333333333331"/>
    <n v="1059"/>
    <n v="1108"/>
    <m/>
    <m/>
    <m/>
    <m/>
    <m/>
    <m/>
    <m/>
    <m/>
    <m/>
    <m/>
    <m/>
    <m/>
    <m/>
    <m/>
    <m/>
    <m/>
    <m/>
    <m/>
    <n v="7"/>
    <n v="7"/>
    <n v="7"/>
    <n v="7"/>
    <m/>
    <m/>
    <n v="5167"/>
    <n v="5374"/>
  </r>
  <r>
    <x v="7"/>
    <s v="Bowie State University "/>
    <m/>
    <n v="162007"/>
    <x v="3"/>
    <m/>
    <m/>
    <m/>
    <m/>
    <m/>
    <m/>
    <n v="0"/>
    <n v="0"/>
    <n v="683"/>
    <n v="32"/>
    <m/>
    <m/>
    <n v="32"/>
    <n v="688"/>
    <n v="36"/>
    <m/>
    <m/>
    <n v="36"/>
    <m/>
    <m/>
    <m/>
    <m/>
    <m/>
    <m/>
    <m/>
    <m/>
    <m/>
    <m/>
    <m/>
    <m/>
    <m/>
    <m/>
    <m/>
    <m/>
    <m/>
    <m/>
    <m/>
    <m/>
    <n v="0"/>
    <n v="0.73678532901833871"/>
    <n v="0"/>
    <n v="0.70132517838939856"/>
    <n v="1"/>
    <n v="0"/>
    <n v="13"/>
    <n v="79"/>
    <n v="13"/>
    <n v="73"/>
    <n v="52"/>
    <n v="64"/>
    <n v="52"/>
    <n v="69"/>
    <n v="42"/>
    <n v="33"/>
    <n v="51"/>
    <n v="39"/>
    <n v="44"/>
    <n v="20"/>
    <n v="42"/>
    <n v="36"/>
    <n v="9"/>
    <n v="20"/>
    <n v="44"/>
    <n v="30"/>
    <n v="51"/>
    <n v="11"/>
    <n v="9"/>
    <n v="27"/>
    <n v="11"/>
    <n v="7"/>
    <n v="11"/>
    <n v="8"/>
    <n v="23"/>
    <n v="1"/>
    <n v="23"/>
    <n v="1"/>
    <m/>
    <m/>
    <n v="27"/>
    <n v="1"/>
    <m/>
    <m/>
    <m/>
    <m/>
    <m/>
    <m/>
    <n v="235"/>
    <n v="8"/>
    <n v="284"/>
    <n v="9"/>
    <n v="13"/>
    <n v="8"/>
    <n v="13"/>
    <n v="8"/>
    <m/>
    <m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9"/>
    <n v="2"/>
    <n v="0.88888888888888884"/>
    <n v="243"/>
    <n v="293"/>
    <m/>
    <m/>
    <m/>
    <m/>
    <m/>
    <m/>
    <m/>
    <m/>
    <m/>
    <m/>
    <m/>
    <m/>
    <m/>
    <m/>
    <m/>
    <m/>
    <m/>
    <m/>
    <m/>
    <m/>
    <n v="0"/>
    <n v="0"/>
    <m/>
    <m/>
    <n v="927"/>
    <n v="981"/>
  </r>
  <r>
    <x v="7"/>
    <s v="Frostburg State University "/>
    <m/>
    <n v="162584"/>
    <x v="3"/>
    <m/>
    <m/>
    <n v="47"/>
    <n v="61"/>
    <m/>
    <m/>
    <n v="0"/>
    <n v="0"/>
    <n v="850"/>
    <n v="131"/>
    <m/>
    <m/>
    <n v="131"/>
    <n v="892"/>
    <n v="122"/>
    <m/>
    <m/>
    <n v="122"/>
    <m/>
    <m/>
    <m/>
    <m/>
    <m/>
    <m/>
    <m/>
    <m/>
    <m/>
    <m/>
    <m/>
    <m/>
    <m/>
    <m/>
    <m/>
    <m/>
    <m/>
    <m/>
    <m/>
    <m/>
    <n v="0"/>
    <n v="0.75622775800711739"/>
    <n v="0"/>
    <n v="0.78659611992945322"/>
    <n v="11"/>
    <n v="6"/>
    <n v="13"/>
    <n v="145"/>
    <n v="13"/>
    <n v="111"/>
    <n v="52"/>
    <n v="39"/>
    <n v="52"/>
    <n v="39"/>
    <n v="42"/>
    <n v="13"/>
    <n v="42"/>
    <n v="11"/>
    <n v="31"/>
    <n v="9"/>
    <n v="26"/>
    <n v="7"/>
    <n v="11"/>
    <n v="6"/>
    <n v="11"/>
    <n v="6"/>
    <n v="26"/>
    <n v="4"/>
    <n v="31"/>
    <n v="1"/>
    <m/>
    <m/>
    <m/>
    <m/>
    <m/>
    <m/>
    <m/>
    <m/>
    <m/>
    <m/>
    <m/>
    <m/>
    <m/>
    <m/>
    <m/>
    <m/>
    <m/>
    <m/>
    <n v="216"/>
    <n v="6"/>
    <n v="175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6"/>
    <n v="175"/>
    <m/>
    <m/>
    <m/>
    <m/>
    <m/>
    <m/>
    <m/>
    <m/>
    <m/>
    <m/>
    <m/>
    <m/>
    <m/>
    <m/>
    <m/>
    <m/>
    <m/>
    <m/>
    <m/>
    <m/>
    <n v="0"/>
    <n v="0"/>
    <m/>
    <m/>
    <n v="1124"/>
    <n v="1134"/>
  </r>
  <r>
    <x v="7"/>
    <s v="Salisbury University "/>
    <m/>
    <n v="163851"/>
    <x v="3"/>
    <m/>
    <m/>
    <m/>
    <m/>
    <m/>
    <m/>
    <n v="0"/>
    <n v="0"/>
    <n v="1709"/>
    <n v="290"/>
    <m/>
    <m/>
    <n v="290"/>
    <n v="1787"/>
    <n v="312"/>
    <m/>
    <m/>
    <n v="312"/>
    <m/>
    <m/>
    <m/>
    <m/>
    <m/>
    <m/>
    <m/>
    <m/>
    <m/>
    <m/>
    <m/>
    <m/>
    <m/>
    <m/>
    <m/>
    <m/>
    <m/>
    <m/>
    <m/>
    <m/>
    <n v="0"/>
    <n v="0.88002059732234805"/>
    <n v="0"/>
    <n v="0.87856440511307765"/>
    <n v="8"/>
    <n v="8"/>
    <n v="13"/>
    <n v="59"/>
    <n v="13"/>
    <n v="77"/>
    <n v="44"/>
    <n v="54"/>
    <n v="44"/>
    <n v="72"/>
    <n v="52"/>
    <n v="37"/>
    <n v="51"/>
    <n v="22"/>
    <n v="51"/>
    <n v="36"/>
    <n v="52"/>
    <n v="21"/>
    <n v="23"/>
    <n v="18"/>
    <n v="23"/>
    <n v="21"/>
    <n v="30"/>
    <n v="15"/>
    <n v="30"/>
    <n v="15"/>
    <n v="45"/>
    <n v="6"/>
    <n v="45"/>
    <n v="9"/>
    <m/>
    <m/>
    <n v="26"/>
    <n v="2"/>
    <m/>
    <m/>
    <m/>
    <m/>
    <m/>
    <m/>
    <m/>
    <m/>
    <m/>
    <m/>
    <n v="225"/>
    <n v="7"/>
    <n v="23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5"/>
    <n v="239"/>
    <m/>
    <m/>
    <m/>
    <m/>
    <m/>
    <m/>
    <m/>
    <m/>
    <m/>
    <m/>
    <m/>
    <m/>
    <m/>
    <m/>
    <m/>
    <m/>
    <m/>
    <m/>
    <m/>
    <m/>
    <n v="0"/>
    <n v="0"/>
    <m/>
    <m/>
    <n v="1942"/>
    <n v="2034"/>
  </r>
  <r>
    <x v="7"/>
    <s v="University of Baltimore"/>
    <s v="Met the criteria for Four-Year 3 in 2012-13."/>
    <n v="161873"/>
    <x v="3"/>
    <m/>
    <m/>
    <m/>
    <m/>
    <m/>
    <m/>
    <n v="0"/>
    <n v="0"/>
    <n v="631"/>
    <m/>
    <m/>
    <m/>
    <n v="0"/>
    <n v="625"/>
    <m/>
    <m/>
    <m/>
    <n v="0"/>
    <m/>
    <m/>
    <m/>
    <m/>
    <m/>
    <m/>
    <m/>
    <m/>
    <m/>
    <m/>
    <m/>
    <m/>
    <m/>
    <m/>
    <m/>
    <m/>
    <m/>
    <m/>
    <m/>
    <m/>
    <n v="0"/>
    <n v="0.43487250172294967"/>
    <n v="0"/>
    <n v="0.42229729729729731"/>
    <n v="26"/>
    <n v="29"/>
    <n v="52"/>
    <n v="210"/>
    <n v="52"/>
    <n v="191"/>
    <n v="44"/>
    <n v="90"/>
    <n v="44"/>
    <n v="85"/>
    <n v="22"/>
    <n v="61"/>
    <n v="22"/>
    <n v="53"/>
    <n v="50"/>
    <n v="57"/>
    <n v="50"/>
    <n v="31"/>
    <n v="42"/>
    <n v="26"/>
    <n v="42"/>
    <n v="35"/>
    <n v="51"/>
    <n v="17"/>
    <n v="51"/>
    <n v="27"/>
    <n v="43"/>
    <n v="11"/>
    <n v="30"/>
    <n v="23"/>
    <n v="11"/>
    <n v="10"/>
    <n v="23"/>
    <n v="18"/>
    <n v="30"/>
    <n v="9"/>
    <n v="43"/>
    <n v="9"/>
    <m/>
    <m/>
    <n v="11"/>
    <n v="6"/>
    <m/>
    <m/>
    <n v="491"/>
    <n v="9"/>
    <n v="478"/>
    <n v="10"/>
    <n v="44"/>
    <n v="7"/>
    <n v="44"/>
    <n v="4"/>
    <n v="50"/>
    <n v="2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77777777777777779"/>
    <n v="5"/>
    <n v="2"/>
    <n v="0.8"/>
    <n v="500"/>
    <n v="483"/>
    <n v="294"/>
    <n v="343"/>
    <m/>
    <m/>
    <m/>
    <m/>
    <m/>
    <m/>
    <m/>
    <m/>
    <m/>
    <m/>
    <m/>
    <m/>
    <m/>
    <m/>
    <m/>
    <m/>
    <m/>
    <m/>
    <n v="294"/>
    <n v="343"/>
    <m/>
    <m/>
    <n v="1451"/>
    <n v="1480"/>
  </r>
  <r>
    <x v="7"/>
    <s v="University of Maryland Eastern Shore "/>
    <m/>
    <n v="163338"/>
    <x v="3"/>
    <m/>
    <m/>
    <n v="0"/>
    <m/>
    <m/>
    <m/>
    <n v="0"/>
    <n v="0"/>
    <n v="506"/>
    <n v="31"/>
    <m/>
    <m/>
    <n v="31"/>
    <n v="627"/>
    <n v="26"/>
    <m/>
    <m/>
    <n v="26"/>
    <m/>
    <m/>
    <m/>
    <m/>
    <m/>
    <m/>
    <m/>
    <m/>
    <m/>
    <m/>
    <m/>
    <m/>
    <m/>
    <m/>
    <m/>
    <m/>
    <m/>
    <m/>
    <m/>
    <m/>
    <n v="0"/>
    <n v="0.80190174326465924"/>
    <n v="0"/>
    <n v="0.82717678100263847"/>
    <m/>
    <m/>
    <n v="13"/>
    <n v="32"/>
    <n v="13"/>
    <n v="33"/>
    <n v="11"/>
    <n v="26"/>
    <n v="11"/>
    <n v="18"/>
    <n v="51"/>
    <n v="9"/>
    <n v="51"/>
    <n v="9"/>
    <n v="1"/>
    <n v="6"/>
    <n v="1"/>
    <n v="8"/>
    <n v="45"/>
    <n v="4"/>
    <n v="45"/>
    <n v="6"/>
    <n v="26"/>
    <n v="2"/>
    <n v="26"/>
    <n v="2"/>
    <m/>
    <m/>
    <n v="3"/>
    <n v="2"/>
    <m/>
    <m/>
    <m/>
    <m/>
    <m/>
    <m/>
    <m/>
    <m/>
    <m/>
    <m/>
    <m/>
    <m/>
    <m/>
    <m/>
    <n v="79"/>
    <n v="6"/>
    <n v="78"/>
    <n v="7"/>
    <n v="30"/>
    <n v="16"/>
    <n v="30"/>
    <n v="24"/>
    <n v="26"/>
    <n v="5"/>
    <n v="26"/>
    <n v="2"/>
    <n v="13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"/>
    <n v="0.69565217391304346"/>
    <n v="27"/>
    <n v="3"/>
    <n v="0.88888888888888884"/>
    <n v="102"/>
    <n v="105"/>
    <m/>
    <m/>
    <m/>
    <m/>
    <m/>
    <m/>
    <m/>
    <m/>
    <m/>
    <m/>
    <m/>
    <m/>
    <m/>
    <m/>
    <m/>
    <m/>
    <m/>
    <m/>
    <n v="23"/>
    <n v="26"/>
    <n v="23"/>
    <n v="26"/>
    <m/>
    <m/>
    <n v="631"/>
    <n v="758"/>
  </r>
  <r>
    <x v="7"/>
    <s v="Coppin State University"/>
    <s v="Reclassified: met the criteria for Four-Year 5 in 2010-11, 2011-12, and 2012-13."/>
    <n v="162283"/>
    <x v="4"/>
    <m/>
    <m/>
    <m/>
    <m/>
    <m/>
    <m/>
    <n v="0"/>
    <n v="0"/>
    <n v="379"/>
    <n v="42"/>
    <m/>
    <m/>
    <n v="42"/>
    <n v="460"/>
    <n v="44"/>
    <m/>
    <m/>
    <n v="44"/>
    <m/>
    <m/>
    <m/>
    <m/>
    <m/>
    <m/>
    <m/>
    <m/>
    <m/>
    <m/>
    <m/>
    <m/>
    <m/>
    <m/>
    <m/>
    <m/>
    <m/>
    <m/>
    <m/>
    <m/>
    <n v="0"/>
    <n v="0.82932166301969368"/>
    <n v="0"/>
    <n v="0.88803088803088803"/>
    <n v="1"/>
    <n v="0"/>
    <n v="51"/>
    <n v="31"/>
    <n v="51"/>
    <n v="28"/>
    <n v="45"/>
    <n v="20"/>
    <n v="45"/>
    <n v="14"/>
    <n v="13"/>
    <n v="18"/>
    <n v="13"/>
    <n v="10"/>
    <n v="43"/>
    <n v="8"/>
    <n v="43"/>
    <n v="6"/>
    <m/>
    <m/>
    <m/>
    <m/>
    <m/>
    <m/>
    <m/>
    <m/>
    <m/>
    <m/>
    <m/>
    <m/>
    <m/>
    <m/>
    <m/>
    <m/>
    <m/>
    <m/>
    <m/>
    <m/>
    <m/>
    <m/>
    <m/>
    <m/>
    <m/>
    <m/>
    <n v="77"/>
    <n v="4"/>
    <n v="5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58"/>
    <m/>
    <m/>
    <m/>
    <m/>
    <m/>
    <m/>
    <m/>
    <m/>
    <m/>
    <m/>
    <m/>
    <m/>
    <m/>
    <m/>
    <m/>
    <m/>
    <m/>
    <m/>
    <m/>
    <m/>
    <n v="0"/>
    <n v="0"/>
    <m/>
    <m/>
    <n v="457"/>
    <n v="518"/>
  </r>
  <r>
    <x v="7"/>
    <s v="Saint Mary's College of Maryland"/>
    <m/>
    <n v="163912"/>
    <x v="5"/>
    <m/>
    <m/>
    <m/>
    <m/>
    <m/>
    <m/>
    <n v="0"/>
    <n v="0"/>
    <n v="410"/>
    <m/>
    <m/>
    <m/>
    <n v="0"/>
    <n v="444"/>
    <m/>
    <m/>
    <m/>
    <n v="0"/>
    <m/>
    <m/>
    <m/>
    <m/>
    <m/>
    <m/>
    <m/>
    <m/>
    <m/>
    <m/>
    <m/>
    <m/>
    <m/>
    <m/>
    <m/>
    <m/>
    <m/>
    <m/>
    <m/>
    <m/>
    <n v="0"/>
    <n v="0.9255079006772009"/>
    <n v="0"/>
    <n v="0.94468085106382982"/>
    <m/>
    <m/>
    <n v="13"/>
    <n v="33"/>
    <n v="1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"/>
    <n v="26"/>
    <m/>
    <m/>
    <m/>
    <m/>
    <m/>
    <m/>
    <m/>
    <m/>
    <m/>
    <m/>
    <m/>
    <m/>
    <m/>
    <m/>
    <m/>
    <m/>
    <m/>
    <m/>
    <m/>
    <m/>
    <n v="0"/>
    <n v="0"/>
    <m/>
    <m/>
    <n v="443"/>
    <n v="470"/>
  </r>
  <r>
    <x v="7"/>
    <s v="Anne Arundel Community College "/>
    <m/>
    <n v="161767"/>
    <x v="6"/>
    <n v="669"/>
    <n v="678"/>
    <m/>
    <m/>
    <n v="1505"/>
    <n v="15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4"/>
    <n v="2245"/>
  </r>
  <r>
    <x v="7"/>
    <s v="College of Southern Maryland"/>
    <m/>
    <n v="162122"/>
    <x v="6"/>
    <n v="377"/>
    <n v="482"/>
    <m/>
    <m/>
    <n v="821"/>
    <n v="9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8"/>
    <n v="1472"/>
  </r>
  <r>
    <x v="7"/>
    <s v="Community College of Baltimore County (all campuses)"/>
    <m/>
    <n v="434672"/>
    <x v="6"/>
    <n v="476"/>
    <n v="604"/>
    <m/>
    <m/>
    <n v="1854"/>
    <n v="21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0"/>
    <n v="2736"/>
  </r>
  <r>
    <x v="7"/>
    <s v="Howard Community College "/>
    <m/>
    <n v="162779"/>
    <x v="6"/>
    <n v="70"/>
    <n v="102"/>
    <m/>
    <m/>
    <n v="872"/>
    <n v="9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2"/>
    <n v="1057"/>
  </r>
  <r>
    <x v="7"/>
    <s v="Montgomery College (all campuses)"/>
    <m/>
    <n v="163426"/>
    <x v="6"/>
    <n v="377"/>
    <n v="329"/>
    <m/>
    <m/>
    <n v="2183"/>
    <n v="23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0"/>
    <n v="2712"/>
  </r>
  <r>
    <x v="7"/>
    <s v="Prince George's Community College "/>
    <m/>
    <n v="163657"/>
    <x v="6"/>
    <n v="230"/>
    <n v="202"/>
    <m/>
    <m/>
    <n v="800"/>
    <n v="9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0"/>
    <n v="1106"/>
  </r>
  <r>
    <x v="7"/>
    <s v="Allegany College of Maryland"/>
    <m/>
    <n v="161688"/>
    <x v="7"/>
    <n v="216"/>
    <n v="231"/>
    <m/>
    <m/>
    <n v="603"/>
    <n v="5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9"/>
    <n v="793"/>
  </r>
  <r>
    <x v="7"/>
    <s v="Baltimore City Community College"/>
    <m/>
    <n v="161864"/>
    <x v="7"/>
    <n v="62"/>
    <n v="61"/>
    <m/>
    <m/>
    <n v="470"/>
    <n v="5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601"/>
  </r>
  <r>
    <x v="7"/>
    <s v="Carroll Community College"/>
    <m/>
    <n v="405872"/>
    <x v="7"/>
    <n v="33"/>
    <n v="22"/>
    <m/>
    <m/>
    <n v="534"/>
    <n v="5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7"/>
    <n v="579"/>
  </r>
  <r>
    <x v="7"/>
    <s v="Frederick Community College "/>
    <m/>
    <n v="162557"/>
    <x v="7"/>
    <n v="140"/>
    <n v="163"/>
    <m/>
    <m/>
    <n v="778"/>
    <n v="8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8"/>
    <n v="1009"/>
  </r>
  <r>
    <x v="7"/>
    <s v="Hagerstown Community College "/>
    <m/>
    <n v="162690"/>
    <x v="7"/>
    <n v="368"/>
    <n v="356"/>
    <m/>
    <m/>
    <n v="490"/>
    <n v="5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8"/>
    <n v="907"/>
  </r>
  <r>
    <x v="7"/>
    <s v="Harford Community College "/>
    <m/>
    <n v="162706"/>
    <x v="7"/>
    <n v="65"/>
    <n v="51"/>
    <m/>
    <m/>
    <n v="772"/>
    <n v="8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7"/>
    <n v="885"/>
  </r>
  <r>
    <x v="7"/>
    <s v="Wor-Wic Community College "/>
    <m/>
    <n v="164313"/>
    <x v="7"/>
    <n v="130"/>
    <n v="149"/>
    <m/>
    <m/>
    <n v="371"/>
    <n v="3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1"/>
    <n v="531"/>
  </r>
  <r>
    <x v="7"/>
    <s v="Cecil Community College "/>
    <m/>
    <n v="162104"/>
    <x v="8"/>
    <n v="75"/>
    <n v="63"/>
    <m/>
    <m/>
    <n v="235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0"/>
    <n v="307"/>
  </r>
  <r>
    <x v="7"/>
    <s v="Chesapeake College "/>
    <m/>
    <n v="162168"/>
    <x v="8"/>
    <n v="42"/>
    <n v="41"/>
    <m/>
    <m/>
    <n v="251"/>
    <n v="2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3"/>
    <n v="313"/>
  </r>
  <r>
    <x v="7"/>
    <s v="Garrett College "/>
    <m/>
    <n v="162609"/>
    <x v="8"/>
    <n v="7"/>
    <n v="2"/>
    <m/>
    <m/>
    <n v="98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"/>
    <n v="135"/>
  </r>
  <r>
    <x v="7"/>
    <s v="University of Maryland University College"/>
    <m/>
    <n v="163204"/>
    <x v="11"/>
    <m/>
    <m/>
    <n v="584"/>
    <n v="659"/>
    <n v="285"/>
    <n v="398"/>
    <n v="8.7155963302752298E-2"/>
    <n v="0.10252447192168986"/>
    <n v="3270"/>
    <m/>
    <m/>
    <m/>
    <n v="0"/>
    <n v="3882"/>
    <m/>
    <m/>
    <m/>
    <n v="0"/>
    <m/>
    <m/>
    <m/>
    <m/>
    <m/>
    <m/>
    <m/>
    <m/>
    <m/>
    <m/>
    <m/>
    <m/>
    <m/>
    <m/>
    <m/>
    <m/>
    <m/>
    <m/>
    <m/>
    <m/>
    <n v="0"/>
    <n v="0.41661358134794241"/>
    <n v="0"/>
    <n v="0.43316224057130104"/>
    <n v="565"/>
    <n v="692"/>
    <n v="52"/>
    <n v="2271"/>
    <n v="52"/>
    <n v="2324"/>
    <n v="11"/>
    <n v="466"/>
    <n v="11"/>
    <n v="493"/>
    <n v="51"/>
    <n v="203"/>
    <n v="51"/>
    <n v="254"/>
    <n v="13"/>
    <n v="85"/>
    <n v="13"/>
    <n v="127"/>
    <n v="26"/>
    <n v="65"/>
    <n v="26"/>
    <n v="86"/>
    <m/>
    <m/>
    <m/>
    <m/>
    <m/>
    <m/>
    <m/>
    <m/>
    <m/>
    <m/>
    <m/>
    <m/>
    <m/>
    <m/>
    <m/>
    <m/>
    <m/>
    <m/>
    <m/>
    <m/>
    <m/>
    <m/>
    <n v="3090"/>
    <n v="5"/>
    <n v="328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90"/>
    <n v="3284"/>
    <m/>
    <m/>
    <m/>
    <m/>
    <m/>
    <m/>
    <m/>
    <m/>
    <m/>
    <m/>
    <m/>
    <m/>
    <m/>
    <m/>
    <m/>
    <m/>
    <m/>
    <m/>
    <n v="55"/>
    <n v="47"/>
    <n v="55"/>
    <n v="47"/>
    <m/>
    <m/>
    <n v="7849"/>
    <n v="8962"/>
  </r>
  <r>
    <x v="7"/>
    <s v="University of Maryland, Baltimore"/>
    <m/>
    <n v="163259"/>
    <x v="11"/>
    <m/>
    <m/>
    <m/>
    <m/>
    <m/>
    <m/>
    <n v="0"/>
    <n v="0"/>
    <n v="359"/>
    <m/>
    <m/>
    <m/>
    <n v="0"/>
    <n v="340"/>
    <m/>
    <m/>
    <m/>
    <n v="0"/>
    <m/>
    <m/>
    <m/>
    <m/>
    <m/>
    <m/>
    <m/>
    <m/>
    <m/>
    <m/>
    <m/>
    <m/>
    <m/>
    <m/>
    <m/>
    <m/>
    <m/>
    <m/>
    <m/>
    <m/>
    <n v="0"/>
    <n v="0.1812216052498738"/>
    <n v="0"/>
    <n v="0.16190476190476191"/>
    <n v="0"/>
    <n v="3"/>
    <n v="44"/>
    <n v="378"/>
    <n v="44"/>
    <n v="454"/>
    <n v="51"/>
    <n v="352"/>
    <n v="51"/>
    <n v="377"/>
    <n v="26"/>
    <n v="15"/>
    <n v="26"/>
    <n v="23"/>
    <n v="22"/>
    <n v="6"/>
    <n v="22"/>
    <n v="2"/>
    <m/>
    <m/>
    <n v="30"/>
    <n v="1"/>
    <m/>
    <m/>
    <m/>
    <m/>
    <m/>
    <m/>
    <m/>
    <m/>
    <m/>
    <m/>
    <m/>
    <m/>
    <m/>
    <m/>
    <m/>
    <m/>
    <m/>
    <m/>
    <m/>
    <m/>
    <m/>
    <m/>
    <n v="751"/>
    <n v="4"/>
    <n v="857"/>
    <n v="5"/>
    <n v="26"/>
    <n v="32"/>
    <n v="26"/>
    <n v="42"/>
    <n v="51"/>
    <n v="27"/>
    <n v="51"/>
    <n v="26"/>
    <n v="44"/>
    <n v="3"/>
    <n v="44"/>
    <n v="6"/>
    <n v="30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n v="63"/>
    <n v="4"/>
    <n v="0.50793650793650791"/>
    <n v="75"/>
    <n v="4"/>
    <n v="0.56000000000000005"/>
    <n v="814"/>
    <n v="932"/>
    <n v="293"/>
    <n v="321"/>
    <n v="150"/>
    <n v="153"/>
    <n v="128"/>
    <n v="123"/>
    <n v="145"/>
    <n v="156"/>
    <m/>
    <m/>
    <m/>
    <m/>
    <m/>
    <m/>
    <m/>
    <m/>
    <m/>
    <m/>
    <n v="92"/>
    <n v="72"/>
    <n v="808"/>
    <n v="825"/>
    <m/>
    <m/>
    <n v="1981"/>
    <n v="2100"/>
  </r>
  <r>
    <x v="8"/>
    <s v="Mississippi State University"/>
    <m/>
    <n v="176080"/>
    <x v="0"/>
    <m/>
    <m/>
    <m/>
    <m/>
    <m/>
    <m/>
    <n v="0"/>
    <n v="0"/>
    <n v="2759"/>
    <n v="473"/>
    <m/>
    <m/>
    <n v="473"/>
    <n v="2922"/>
    <n v="528"/>
    <m/>
    <m/>
    <n v="528"/>
    <m/>
    <m/>
    <m/>
    <m/>
    <m/>
    <m/>
    <m/>
    <m/>
    <m/>
    <m/>
    <m/>
    <m/>
    <m/>
    <m/>
    <m/>
    <m/>
    <m/>
    <m/>
    <m/>
    <m/>
    <n v="0"/>
    <n v="0.71587960560456665"/>
    <n v="0"/>
    <n v="0.7286783042394015"/>
    <m/>
    <m/>
    <n v="13"/>
    <n v="227"/>
    <n v="13"/>
    <n v="214"/>
    <n v="52"/>
    <n v="219"/>
    <n v="52"/>
    <n v="211"/>
    <n v="40"/>
    <n v="109"/>
    <n v="40"/>
    <n v="115"/>
    <n v="14"/>
    <n v="75"/>
    <n v="14"/>
    <n v="84"/>
    <n v="44"/>
    <n v="40"/>
    <n v="26"/>
    <n v="40"/>
    <n v="26"/>
    <n v="33"/>
    <n v="19"/>
    <n v="31"/>
    <n v="3"/>
    <n v="32"/>
    <n v="44"/>
    <n v="29"/>
    <n v="1"/>
    <n v="27"/>
    <n v="3"/>
    <n v="25"/>
    <n v="19"/>
    <n v="20"/>
    <n v="1"/>
    <n v="20"/>
    <n v="11"/>
    <n v="19"/>
    <n v="23"/>
    <n v="19"/>
    <n v="82"/>
    <n v="88"/>
    <n v="883"/>
    <n v="10"/>
    <n v="876"/>
    <n v="10"/>
    <n v="14"/>
    <n v="41"/>
    <n v="14"/>
    <n v="42"/>
    <n v="13"/>
    <n v="36"/>
    <n v="13"/>
    <n v="27"/>
    <n v="3"/>
    <n v="18"/>
    <n v="26"/>
    <n v="14"/>
    <n v="26"/>
    <n v="12"/>
    <n v="3"/>
    <n v="11"/>
    <n v="1"/>
    <n v="6"/>
    <n v="52"/>
    <n v="8"/>
    <n v="19"/>
    <n v="5"/>
    <n v="44"/>
    <n v="7"/>
    <n v="40"/>
    <n v="5"/>
    <n v="40"/>
    <n v="6"/>
    <n v="52"/>
    <n v="4"/>
    <n v="1"/>
    <n v="5"/>
    <n v="11"/>
    <n v="3"/>
    <n v="51"/>
    <n v="5"/>
    <n v="45"/>
    <n v="2"/>
    <n v="11"/>
    <n v="3"/>
    <n v="7"/>
    <n v="7"/>
    <n v="139"/>
    <n v="10"/>
    <n v="0.29496402877697842"/>
    <n v="135"/>
    <n v="10"/>
    <n v="0.31111111111111112"/>
    <n v="1022"/>
    <n v="1011"/>
    <m/>
    <m/>
    <m/>
    <m/>
    <m/>
    <m/>
    <m/>
    <m/>
    <m/>
    <m/>
    <m/>
    <m/>
    <m/>
    <m/>
    <n v="73"/>
    <n v="77"/>
    <m/>
    <m/>
    <m/>
    <m/>
    <n v="73"/>
    <n v="77"/>
    <m/>
    <m/>
    <n v="3854"/>
    <n v="4010"/>
  </r>
  <r>
    <x v="8"/>
    <s v="University of Southern Mississippi"/>
    <s v="Met the criteria for Four-Year 2 in 2012-13."/>
    <n v="176372"/>
    <x v="0"/>
    <m/>
    <m/>
    <m/>
    <m/>
    <m/>
    <m/>
    <n v="0"/>
    <n v="0"/>
    <n v="2361"/>
    <n v="316"/>
    <m/>
    <m/>
    <n v="316"/>
    <n v="2520"/>
    <n v="314"/>
    <m/>
    <m/>
    <n v="314"/>
    <m/>
    <m/>
    <m/>
    <m/>
    <m/>
    <m/>
    <m/>
    <m/>
    <m/>
    <m/>
    <m/>
    <m/>
    <m/>
    <m/>
    <m/>
    <m/>
    <m/>
    <m/>
    <m/>
    <m/>
    <n v="0"/>
    <n v="0.7215770171149144"/>
    <n v="0"/>
    <n v="0.72351421188630494"/>
    <m/>
    <m/>
    <n v="13"/>
    <n v="217"/>
    <n v="13"/>
    <n v="188"/>
    <n v="51"/>
    <n v="116"/>
    <n v="51"/>
    <n v="149"/>
    <n v="52"/>
    <n v="65"/>
    <n v="52"/>
    <n v="70"/>
    <n v="25"/>
    <n v="59"/>
    <n v="44"/>
    <n v="68"/>
    <n v="44"/>
    <n v="52"/>
    <n v="25"/>
    <n v="60"/>
    <n v="11"/>
    <n v="31"/>
    <n v="31"/>
    <n v="35"/>
    <n v="31"/>
    <n v="29"/>
    <n v="9"/>
    <n v="24"/>
    <n v="50"/>
    <n v="28"/>
    <n v="11"/>
    <n v="23"/>
    <n v="9"/>
    <n v="25"/>
    <n v="40"/>
    <n v="22"/>
    <n v="42"/>
    <n v="25"/>
    <n v="19"/>
    <n v="21"/>
    <n v="124"/>
    <n v="100"/>
    <n v="771"/>
    <n v="10"/>
    <n v="760"/>
    <n v="10"/>
    <n v="13"/>
    <n v="44"/>
    <n v="13"/>
    <n v="102"/>
    <n v="42"/>
    <n v="19"/>
    <n v="42"/>
    <n v="17"/>
    <n v="23"/>
    <n v="14"/>
    <n v="51"/>
    <n v="13"/>
    <n v="51"/>
    <n v="11"/>
    <n v="23"/>
    <n v="11"/>
    <n v="11"/>
    <n v="10"/>
    <n v="50"/>
    <n v="11"/>
    <n v="9"/>
    <n v="9"/>
    <n v="14"/>
    <n v="10"/>
    <n v="14"/>
    <n v="8"/>
    <n v="45"/>
    <n v="7"/>
    <n v="26"/>
    <n v="7"/>
    <n v="40"/>
    <n v="6"/>
    <n v="45"/>
    <n v="5"/>
    <n v="52"/>
    <n v="6"/>
    <n v="40"/>
    <n v="4"/>
    <n v="9"/>
    <n v="5"/>
    <n v="9"/>
    <n v="15"/>
    <n v="140"/>
    <n v="10"/>
    <n v="0.31428571428571428"/>
    <n v="203"/>
    <n v="10"/>
    <n v="0.50246305418719217"/>
    <n v="911"/>
    <n v="963"/>
    <m/>
    <m/>
    <m/>
    <m/>
    <m/>
    <m/>
    <m/>
    <m/>
    <m/>
    <m/>
    <m/>
    <m/>
    <m/>
    <m/>
    <m/>
    <m/>
    <m/>
    <m/>
    <m/>
    <m/>
    <n v="0"/>
    <n v="0"/>
    <m/>
    <m/>
    <n v="3272"/>
    <n v="3483"/>
  </r>
  <r>
    <x v="8"/>
    <s v="Jackson State University "/>
    <m/>
    <n v="175856"/>
    <x v="1"/>
    <m/>
    <m/>
    <m/>
    <m/>
    <m/>
    <m/>
    <n v="0"/>
    <n v="0"/>
    <n v="1033"/>
    <n v="146"/>
    <m/>
    <m/>
    <n v="146"/>
    <n v="1064"/>
    <n v="150"/>
    <m/>
    <m/>
    <n v="150"/>
    <m/>
    <m/>
    <m/>
    <m/>
    <m/>
    <m/>
    <m/>
    <m/>
    <m/>
    <m/>
    <m/>
    <m/>
    <m/>
    <m/>
    <m/>
    <m/>
    <m/>
    <m/>
    <m/>
    <m/>
    <n v="0"/>
    <n v="0.68820786142571622"/>
    <n v="0"/>
    <n v="0.68248877485567672"/>
    <m/>
    <m/>
    <n v="13"/>
    <n v="185"/>
    <n v="13"/>
    <n v="190"/>
    <n v="51"/>
    <n v="67"/>
    <n v="51"/>
    <n v="72"/>
    <n v="44"/>
    <n v="50"/>
    <n v="44"/>
    <n v="62"/>
    <n v="52"/>
    <n v="27"/>
    <n v="52"/>
    <n v="21"/>
    <n v="14"/>
    <n v="13"/>
    <n v="45"/>
    <n v="14"/>
    <n v="45"/>
    <n v="13"/>
    <n v="14"/>
    <n v="11"/>
    <n v="23"/>
    <n v="11"/>
    <n v="4"/>
    <n v="10"/>
    <n v="15"/>
    <n v="8"/>
    <n v="23"/>
    <n v="10"/>
    <n v="26"/>
    <n v="7"/>
    <n v="26"/>
    <n v="9"/>
    <n v="4"/>
    <n v="6"/>
    <n v="11"/>
    <n v="7"/>
    <n v="29"/>
    <n v="29"/>
    <n v="416"/>
    <n v="10"/>
    <n v="435"/>
    <n v="10"/>
    <n v="13"/>
    <n v="29"/>
    <n v="13"/>
    <n v="35"/>
    <n v="44"/>
    <n v="8"/>
    <n v="52"/>
    <n v="6"/>
    <n v="3"/>
    <n v="5"/>
    <n v="40"/>
    <n v="5"/>
    <n v="40"/>
    <n v="4"/>
    <n v="3"/>
    <n v="4"/>
    <n v="52"/>
    <n v="4"/>
    <n v="42"/>
    <n v="4"/>
    <n v="42"/>
    <n v="1"/>
    <n v="44"/>
    <n v="4"/>
    <n v="51"/>
    <n v="1"/>
    <n v="4"/>
    <n v="2"/>
    <m/>
    <m/>
    <m/>
    <m/>
    <m/>
    <m/>
    <m/>
    <m/>
    <m/>
    <m/>
    <m/>
    <m/>
    <m/>
    <m/>
    <n v="52"/>
    <n v="7"/>
    <n v="0.55769230769230771"/>
    <n v="60"/>
    <n v="7"/>
    <n v="0.58333333333333337"/>
    <n v="468"/>
    <n v="495"/>
    <m/>
    <m/>
    <m/>
    <m/>
    <m/>
    <m/>
    <m/>
    <m/>
    <m/>
    <m/>
    <m/>
    <m/>
    <m/>
    <m/>
    <m/>
    <m/>
    <m/>
    <m/>
    <m/>
    <m/>
    <n v="0"/>
    <n v="0"/>
    <m/>
    <m/>
    <n v="1501"/>
    <n v="1559"/>
  </r>
  <r>
    <x v="8"/>
    <s v="University of Mississippi"/>
    <m/>
    <n v="176017"/>
    <x v="1"/>
    <m/>
    <m/>
    <m/>
    <m/>
    <m/>
    <m/>
    <n v="0"/>
    <n v="0"/>
    <n v="2866"/>
    <n v="329"/>
    <m/>
    <m/>
    <n v="329"/>
    <n v="2661"/>
    <n v="332"/>
    <m/>
    <m/>
    <n v="332"/>
    <m/>
    <m/>
    <m/>
    <m/>
    <m/>
    <m/>
    <m/>
    <m/>
    <m/>
    <m/>
    <m/>
    <m/>
    <m/>
    <m/>
    <m/>
    <m/>
    <m/>
    <m/>
    <m/>
    <m/>
    <n v="0"/>
    <n v="0.73374295954941116"/>
    <n v="0"/>
    <n v="0.71957815035154138"/>
    <m/>
    <m/>
    <n v="13"/>
    <n v="279"/>
    <n v="13"/>
    <n v="261"/>
    <n v="52"/>
    <n v="149"/>
    <n v="52"/>
    <n v="156"/>
    <n v="51"/>
    <n v="55"/>
    <n v="51"/>
    <n v="49"/>
    <n v="14"/>
    <n v="39"/>
    <n v="14"/>
    <n v="36"/>
    <n v="16"/>
    <n v="23"/>
    <n v="16"/>
    <n v="27"/>
    <n v="45"/>
    <n v="23"/>
    <n v="31"/>
    <n v="25"/>
    <n v="31"/>
    <n v="17"/>
    <n v="45"/>
    <n v="19"/>
    <n v="42"/>
    <n v="14"/>
    <n v="50"/>
    <n v="19"/>
    <n v="5"/>
    <n v="13"/>
    <n v="23"/>
    <n v="17"/>
    <n v="9"/>
    <n v="11"/>
    <n v="19"/>
    <n v="14"/>
    <n v="68"/>
    <n v="61"/>
    <n v="691"/>
    <n v="10"/>
    <n v="684"/>
    <n v="10"/>
    <n v="13"/>
    <n v="26"/>
    <n v="13"/>
    <n v="25"/>
    <n v="51"/>
    <n v="17"/>
    <n v="51"/>
    <n v="18"/>
    <n v="14"/>
    <n v="15"/>
    <n v="52"/>
    <n v="8"/>
    <n v="42"/>
    <n v="8"/>
    <n v="40"/>
    <n v="6"/>
    <n v="52"/>
    <n v="8"/>
    <n v="54"/>
    <n v="6"/>
    <n v="40"/>
    <n v="7"/>
    <n v="42"/>
    <n v="5"/>
    <n v="23"/>
    <n v="4"/>
    <n v="23"/>
    <n v="3"/>
    <n v="27"/>
    <n v="4"/>
    <n v="50"/>
    <n v="3"/>
    <n v="26"/>
    <n v="3"/>
    <n v="26"/>
    <n v="3"/>
    <n v="31"/>
    <n v="3"/>
    <n v="45"/>
    <n v="3"/>
    <n v="6"/>
    <n v="4"/>
    <n v="101"/>
    <n v="10"/>
    <n v="0.25742574257425743"/>
    <n v="84"/>
    <n v="10"/>
    <n v="0.29761904761904762"/>
    <n v="792"/>
    <n v="768"/>
    <n v="150"/>
    <n v="164"/>
    <m/>
    <m/>
    <m/>
    <m/>
    <n v="98"/>
    <n v="105"/>
    <m/>
    <m/>
    <m/>
    <m/>
    <m/>
    <m/>
    <m/>
    <m/>
    <m/>
    <m/>
    <m/>
    <m/>
    <n v="248"/>
    <n v="269"/>
    <m/>
    <m/>
    <n v="3906"/>
    <n v="3698"/>
  </r>
  <r>
    <x v="8"/>
    <s v="Alcorn State University"/>
    <m/>
    <n v="175342"/>
    <x v="3"/>
    <m/>
    <m/>
    <m/>
    <m/>
    <n v="31"/>
    <n v="22"/>
    <n v="8.4010840108401083E-2"/>
    <n v="5.7894736842105263E-2"/>
    <n v="369"/>
    <n v="11"/>
    <m/>
    <m/>
    <n v="11"/>
    <n v="380"/>
    <n v="17"/>
    <m/>
    <m/>
    <n v="17"/>
    <m/>
    <m/>
    <m/>
    <m/>
    <m/>
    <m/>
    <m/>
    <m/>
    <m/>
    <m/>
    <m/>
    <m/>
    <m/>
    <m/>
    <m/>
    <m/>
    <m/>
    <m/>
    <m/>
    <m/>
    <n v="0"/>
    <n v="0.59420289855072461"/>
    <n v="0"/>
    <n v="0.67495559502664293"/>
    <m/>
    <m/>
    <n v="13"/>
    <n v="164"/>
    <n v="13"/>
    <n v="124"/>
    <n v="51"/>
    <n v="18"/>
    <n v="51"/>
    <n v="21"/>
    <n v="1"/>
    <n v="15"/>
    <n v="26"/>
    <n v="7"/>
    <n v="52"/>
    <n v="15"/>
    <n v="52"/>
    <n v="6"/>
    <n v="26"/>
    <n v="9"/>
    <n v="1"/>
    <n v="2"/>
    <m/>
    <m/>
    <n v="11"/>
    <n v="1"/>
    <m/>
    <m/>
    <m/>
    <m/>
    <m/>
    <m/>
    <m/>
    <m/>
    <m/>
    <m/>
    <m/>
    <m/>
    <m/>
    <m/>
    <m/>
    <m/>
    <m/>
    <m/>
    <n v="221"/>
    <n v="5"/>
    <n v="16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161"/>
    <m/>
    <m/>
    <m/>
    <m/>
    <m/>
    <m/>
    <m/>
    <m/>
    <m/>
    <m/>
    <m/>
    <m/>
    <m/>
    <m/>
    <m/>
    <m/>
    <m/>
    <m/>
    <m/>
    <m/>
    <n v="0"/>
    <n v="0"/>
    <m/>
    <m/>
    <n v="621"/>
    <n v="563"/>
  </r>
  <r>
    <x v="8"/>
    <s v="Delta State University"/>
    <m/>
    <n v="175616"/>
    <x v="3"/>
    <m/>
    <m/>
    <m/>
    <m/>
    <m/>
    <m/>
    <n v="0"/>
    <n v="0"/>
    <n v="559"/>
    <n v="109"/>
    <m/>
    <m/>
    <n v="109"/>
    <n v="503"/>
    <n v="113"/>
    <m/>
    <m/>
    <n v="113"/>
    <m/>
    <m/>
    <m/>
    <m/>
    <m/>
    <m/>
    <m/>
    <m/>
    <m/>
    <m/>
    <m/>
    <m/>
    <m/>
    <m/>
    <m/>
    <m/>
    <m/>
    <m/>
    <m/>
    <m/>
    <n v="0"/>
    <n v="0.62597984322508393"/>
    <n v="0"/>
    <n v="0.64487179487179491"/>
    <m/>
    <m/>
    <n v="13"/>
    <n v="200"/>
    <n v="13"/>
    <n v="189"/>
    <n v="52"/>
    <n v="71"/>
    <n v="52"/>
    <n v="43"/>
    <n v="51"/>
    <n v="30"/>
    <n v="49"/>
    <n v="20"/>
    <n v="43"/>
    <n v="23"/>
    <n v="51"/>
    <n v="13"/>
    <n v="44"/>
    <n v="5"/>
    <n v="43"/>
    <n v="4"/>
    <n v="43"/>
    <n v="4"/>
    <n v="44"/>
    <n v="4"/>
    <m/>
    <m/>
    <n v="30"/>
    <n v="2"/>
    <m/>
    <m/>
    <m/>
    <m/>
    <m/>
    <m/>
    <m/>
    <m/>
    <m/>
    <m/>
    <m/>
    <m/>
    <m/>
    <m/>
    <n v="333"/>
    <n v="6"/>
    <n v="275"/>
    <n v="7"/>
    <n v="13"/>
    <n v="1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2"/>
    <n v="1"/>
    <n v="1"/>
    <n v="334"/>
    <n v="277"/>
    <m/>
    <m/>
    <m/>
    <m/>
    <m/>
    <m/>
    <m/>
    <m/>
    <m/>
    <m/>
    <m/>
    <m/>
    <m/>
    <m/>
    <m/>
    <m/>
    <m/>
    <m/>
    <m/>
    <m/>
    <n v="0"/>
    <n v="0"/>
    <m/>
    <m/>
    <n v="893"/>
    <n v="780"/>
  </r>
  <r>
    <x v="8"/>
    <s v="Mississippi Valley State University"/>
    <m/>
    <n v="176044"/>
    <x v="3"/>
    <m/>
    <m/>
    <m/>
    <m/>
    <m/>
    <m/>
    <n v="0"/>
    <n v="0"/>
    <n v="305"/>
    <n v="89"/>
    <m/>
    <m/>
    <n v="89"/>
    <n v="345"/>
    <n v="79"/>
    <m/>
    <m/>
    <n v="79"/>
    <m/>
    <m/>
    <m/>
    <m/>
    <m/>
    <m/>
    <m/>
    <m/>
    <m/>
    <m/>
    <m/>
    <m/>
    <m/>
    <m/>
    <m/>
    <m/>
    <m/>
    <m/>
    <m/>
    <m/>
    <n v="0"/>
    <n v="0.74938574938574942"/>
    <n v="0"/>
    <n v="0.7293868921775899"/>
    <m/>
    <m/>
    <n v="43"/>
    <n v="33"/>
    <n v="44"/>
    <n v="49"/>
    <n v="13"/>
    <n v="29"/>
    <n v="43"/>
    <n v="36"/>
    <n v="44"/>
    <n v="25"/>
    <n v="13"/>
    <n v="19"/>
    <n v="52"/>
    <n v="6"/>
    <n v="52"/>
    <n v="16"/>
    <n v="26"/>
    <n v="5"/>
    <n v="26"/>
    <n v="6"/>
    <n v="51"/>
    <n v="4"/>
    <n v="51"/>
    <n v="2"/>
    <m/>
    <m/>
    <m/>
    <m/>
    <m/>
    <m/>
    <m/>
    <m/>
    <m/>
    <m/>
    <m/>
    <m/>
    <m/>
    <m/>
    <m/>
    <m/>
    <m/>
    <m/>
    <n v="102"/>
    <n v="6"/>
    <n v="12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2"/>
    <n v="128"/>
    <m/>
    <m/>
    <m/>
    <m/>
    <m/>
    <m/>
    <m/>
    <m/>
    <m/>
    <m/>
    <m/>
    <m/>
    <m/>
    <m/>
    <m/>
    <m/>
    <m/>
    <m/>
    <m/>
    <m/>
    <n v="0"/>
    <n v="0"/>
    <m/>
    <m/>
    <n v="407"/>
    <n v="473"/>
  </r>
  <r>
    <x v="8"/>
    <s v="Mississippi University for Women"/>
    <m/>
    <n v="176035"/>
    <x v="4"/>
    <m/>
    <m/>
    <m/>
    <m/>
    <n v="54"/>
    <n v="48"/>
    <n v="0.11739130434782609"/>
    <n v="8.43585237258348E-2"/>
    <n v="460"/>
    <n v="51"/>
    <m/>
    <m/>
    <n v="51"/>
    <n v="569"/>
    <n v="45"/>
    <m/>
    <m/>
    <n v="45"/>
    <m/>
    <m/>
    <m/>
    <m/>
    <m/>
    <m/>
    <m/>
    <m/>
    <m/>
    <m/>
    <m/>
    <m/>
    <m/>
    <m/>
    <m/>
    <m/>
    <m/>
    <m/>
    <m/>
    <m/>
    <n v="0"/>
    <n v="0.75782537067545308"/>
    <n v="0"/>
    <n v="0.80140845070422539"/>
    <m/>
    <m/>
    <n v="51"/>
    <n v="52"/>
    <n v="51"/>
    <n v="51"/>
    <n v="13"/>
    <n v="41"/>
    <n v="13"/>
    <n v="37"/>
    <m/>
    <m/>
    <n v="5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2"/>
    <n v="9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3"/>
    <n v="93"/>
    <m/>
    <m/>
    <m/>
    <m/>
    <m/>
    <m/>
    <m/>
    <m/>
    <m/>
    <m/>
    <m/>
    <m/>
    <m/>
    <m/>
    <m/>
    <m/>
    <m/>
    <m/>
    <m/>
    <m/>
    <n v="0"/>
    <n v="0"/>
    <m/>
    <m/>
    <n v="607"/>
    <n v="710"/>
  </r>
  <r>
    <x v="8"/>
    <s v="University of Mississippi Medical Center"/>
    <m/>
    <n v="176026"/>
    <x v="11"/>
    <m/>
    <m/>
    <m/>
    <m/>
    <m/>
    <m/>
    <n v="0"/>
    <n v="0"/>
    <n v="263"/>
    <m/>
    <m/>
    <m/>
    <n v="0"/>
    <n v="249"/>
    <m/>
    <m/>
    <m/>
    <n v="0"/>
    <m/>
    <m/>
    <m/>
    <m/>
    <m/>
    <m/>
    <m/>
    <m/>
    <m/>
    <m/>
    <m/>
    <m/>
    <m/>
    <m/>
    <m/>
    <m/>
    <m/>
    <m/>
    <m/>
    <m/>
    <n v="0"/>
    <n v="0.41222570532915359"/>
    <n v="0"/>
    <n v="0.41293532338308458"/>
    <m/>
    <m/>
    <n v="51"/>
    <n v="80"/>
    <n v="51"/>
    <n v="76"/>
    <n v="26"/>
    <n v="42"/>
    <n v="26"/>
    <n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"/>
    <n v="2"/>
    <n v="132"/>
    <n v="2"/>
    <n v="51"/>
    <n v="66"/>
    <n v="51"/>
    <n v="63"/>
    <n v="26"/>
    <n v="23"/>
    <n v="26"/>
    <n v="15"/>
    <n v="14"/>
    <n v="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3"/>
    <n v="0.71739130434782605"/>
    <n v="80"/>
    <n v="3"/>
    <n v="0.78749999999999998"/>
    <n v="214"/>
    <n v="212"/>
    <m/>
    <m/>
    <n v="120"/>
    <n v="106"/>
    <n v="41"/>
    <n v="36"/>
    <m/>
    <m/>
    <m/>
    <m/>
    <m/>
    <m/>
    <m/>
    <m/>
    <m/>
    <m/>
    <m/>
    <m/>
    <m/>
    <m/>
    <n v="161"/>
    <n v="142"/>
    <m/>
    <m/>
    <n v="638"/>
    <n v="603"/>
  </r>
  <r>
    <x v="8"/>
    <s v="Hinds Community College "/>
    <m/>
    <n v="175786"/>
    <x v="6"/>
    <n v="775"/>
    <n v="638"/>
    <m/>
    <m/>
    <n v="1521"/>
    <n v="13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96"/>
    <n v="2033"/>
  </r>
  <r>
    <x v="8"/>
    <s v="Itawamba Community College "/>
    <m/>
    <n v="175829"/>
    <x v="6"/>
    <n v="122"/>
    <n v="94"/>
    <m/>
    <m/>
    <n v="1229"/>
    <n v="1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1"/>
    <n v="1550"/>
  </r>
  <r>
    <x v="8"/>
    <s v="Mississippi Gulf Coast Community College "/>
    <m/>
    <n v="176071"/>
    <x v="6"/>
    <n v="125"/>
    <n v="77"/>
    <m/>
    <m/>
    <n v="2165"/>
    <n v="19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90"/>
    <n v="2002"/>
  </r>
  <r>
    <x v="8"/>
    <s v="Northwest Mississippi Community College "/>
    <m/>
    <n v="176178"/>
    <x v="6"/>
    <n v="230"/>
    <n v="59"/>
    <m/>
    <m/>
    <n v="918"/>
    <n v="6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8"/>
    <n v="665"/>
  </r>
  <r>
    <x v="8"/>
    <s v="Copiah-Lincoln Community College "/>
    <m/>
    <n v="175573"/>
    <x v="7"/>
    <n v="142"/>
    <n v="147"/>
    <m/>
    <m/>
    <n v="569"/>
    <n v="6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1"/>
    <n v="763"/>
  </r>
  <r>
    <x v="8"/>
    <s v="East Central Community College "/>
    <m/>
    <n v="175643"/>
    <x v="7"/>
    <n v="79"/>
    <n v="85"/>
    <m/>
    <m/>
    <n v="370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"/>
    <n v="428"/>
  </r>
  <r>
    <x v="8"/>
    <s v="East Mississippi Community College "/>
    <m/>
    <n v="175652"/>
    <x v="7"/>
    <n v="146"/>
    <n v="177"/>
    <m/>
    <m/>
    <n v="613"/>
    <n v="7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9"/>
    <n v="967"/>
  </r>
  <r>
    <x v="8"/>
    <s v="Holmes Community College "/>
    <s v="Met criteria for Two-Year 1 in 2012-13."/>
    <n v="175810"/>
    <x v="7"/>
    <n v="137"/>
    <n v="45"/>
    <m/>
    <m/>
    <n v="983"/>
    <n v="9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0"/>
    <n v="1036"/>
  </r>
  <r>
    <x v="8"/>
    <s v="Jones County Junior College "/>
    <m/>
    <n v="175883"/>
    <x v="7"/>
    <n v="251"/>
    <n v="235"/>
    <m/>
    <m/>
    <n v="613"/>
    <n v="7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4"/>
    <n v="999"/>
  </r>
  <r>
    <x v="8"/>
    <s v="Meridian Community College "/>
    <m/>
    <n v="175935"/>
    <x v="7"/>
    <n v="253"/>
    <n v="244"/>
    <m/>
    <m/>
    <n v="524"/>
    <n v="5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829"/>
  </r>
  <r>
    <x v="8"/>
    <s v="Mississippi Delta Community College "/>
    <m/>
    <n v="176008"/>
    <x v="7"/>
    <n v="100"/>
    <n v="119"/>
    <m/>
    <m/>
    <n v="368"/>
    <n v="4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8"/>
    <n v="542"/>
  </r>
  <r>
    <x v="8"/>
    <s v="Northeast Mississippi Community College "/>
    <m/>
    <n v="176169"/>
    <x v="7"/>
    <n v="89"/>
    <n v="67"/>
    <m/>
    <m/>
    <n v="456"/>
    <n v="5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"/>
    <n v="632"/>
  </r>
  <r>
    <x v="8"/>
    <s v="Pearl River Community College "/>
    <m/>
    <n v="176239"/>
    <x v="7"/>
    <n v="184"/>
    <n v="182"/>
    <m/>
    <m/>
    <n v="696"/>
    <n v="7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0"/>
    <n v="908"/>
  </r>
  <r>
    <x v="8"/>
    <s v="Coahoma Community College "/>
    <m/>
    <n v="175519"/>
    <x v="8"/>
    <n v="92"/>
    <n v="144"/>
    <m/>
    <m/>
    <n v="180"/>
    <n v="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"/>
    <n v="447"/>
  </r>
  <r>
    <x v="8"/>
    <s v="Southwest Mississippi Community College"/>
    <m/>
    <n v="176354"/>
    <x v="8"/>
    <n v="139"/>
    <n v="151"/>
    <m/>
    <m/>
    <n v="343"/>
    <n v="3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2"/>
    <n v="470"/>
  </r>
  <r>
    <x v="9"/>
    <s v="North Carolina State University "/>
    <m/>
    <n v="199193"/>
    <x v="0"/>
    <m/>
    <m/>
    <m/>
    <m/>
    <n v="127"/>
    <n v="154"/>
    <n v="2.450791200308761E-2"/>
    <n v="2.8184480234260616E-2"/>
    <n v="5182"/>
    <m/>
    <n v="326"/>
    <m/>
    <n v="326"/>
    <n v="5464"/>
    <m/>
    <n v="341"/>
    <m/>
    <n v="341"/>
    <m/>
    <m/>
    <m/>
    <m/>
    <m/>
    <m/>
    <m/>
    <m/>
    <m/>
    <m/>
    <m/>
    <m/>
    <m/>
    <m/>
    <m/>
    <m/>
    <m/>
    <m/>
    <m/>
    <m/>
    <n v="0"/>
    <n v="0.65937142130041992"/>
    <n v="0"/>
    <n v="0.64274791201035175"/>
    <n v="0"/>
    <m/>
    <n v="14"/>
    <n v="488"/>
    <n v="14"/>
    <n v="617"/>
    <n v="13"/>
    <n v="332"/>
    <n v="13"/>
    <n v="407"/>
    <n v="52"/>
    <n v="318"/>
    <n v="52"/>
    <n v="268"/>
    <n v="11"/>
    <n v="212"/>
    <n v="11"/>
    <n v="253"/>
    <n v="44"/>
    <n v="112"/>
    <n v="44"/>
    <n v="99"/>
    <n v="45"/>
    <n v="76"/>
    <n v="45"/>
    <n v="80"/>
    <n v="1"/>
    <n v="70"/>
    <n v="23"/>
    <n v="76"/>
    <n v="26"/>
    <n v="66"/>
    <n v="26"/>
    <n v="73"/>
    <n v="23"/>
    <n v="65"/>
    <n v="4"/>
    <n v="71"/>
    <n v="27"/>
    <n v="59"/>
    <n v="1"/>
    <n v="69"/>
    <n v="282"/>
    <n v="345"/>
    <n v="2080"/>
    <n v="10"/>
    <n v="2358"/>
    <n v="10"/>
    <n v="14"/>
    <n v="130"/>
    <n v="14"/>
    <n v="151"/>
    <n v="13"/>
    <n v="55"/>
    <n v="13"/>
    <n v="62"/>
    <n v="26"/>
    <n v="43"/>
    <n v="26"/>
    <n v="40"/>
    <n v="27"/>
    <n v="34"/>
    <n v="27"/>
    <n v="38"/>
    <n v="40"/>
    <n v="27"/>
    <n v="40"/>
    <n v="34"/>
    <n v="11"/>
    <n v="25"/>
    <n v="1"/>
    <n v="29"/>
    <n v="1"/>
    <n v="23"/>
    <n v="42"/>
    <n v="19"/>
    <n v="3"/>
    <n v="17"/>
    <n v="3"/>
    <n v="16"/>
    <n v="42"/>
    <n v="13"/>
    <n v="11"/>
    <n v="15"/>
    <n v="45"/>
    <n v="12"/>
    <n v="45"/>
    <n v="15"/>
    <n v="16"/>
    <n v="27"/>
    <n v="395"/>
    <n v="10"/>
    <n v="0.32911392405063289"/>
    <n v="446"/>
    <n v="10"/>
    <n v="0.33856502242152464"/>
    <n v="2475"/>
    <n v="2804"/>
    <m/>
    <m/>
    <m/>
    <m/>
    <m/>
    <m/>
    <m/>
    <m/>
    <m/>
    <m/>
    <m/>
    <m/>
    <m/>
    <m/>
    <n v="75"/>
    <n v="79"/>
    <m/>
    <m/>
    <m/>
    <m/>
    <n v="75"/>
    <n v="79"/>
    <m/>
    <m/>
    <n v="7859"/>
    <n v="8501"/>
  </r>
  <r>
    <x v="9"/>
    <s v="University of North Carolina at Chapel Hill "/>
    <m/>
    <n v="199120"/>
    <x v="0"/>
    <n v="4"/>
    <n v="4"/>
    <m/>
    <m/>
    <m/>
    <m/>
    <n v="0"/>
    <n v="0"/>
    <n v="4654"/>
    <m/>
    <n v="108"/>
    <m/>
    <n v="108"/>
    <n v="4445"/>
    <m/>
    <n v="104"/>
    <m/>
    <n v="104"/>
    <m/>
    <m/>
    <m/>
    <m/>
    <m/>
    <m/>
    <m/>
    <m/>
    <m/>
    <m/>
    <m/>
    <m/>
    <m/>
    <m/>
    <m/>
    <m/>
    <m/>
    <m/>
    <m/>
    <m/>
    <n v="0"/>
    <n v="0.60020634511220017"/>
    <n v="0"/>
    <n v="0.58226355776788052"/>
    <n v="0"/>
    <m/>
    <n v="52"/>
    <n v="572"/>
    <n v="52"/>
    <n v="555"/>
    <n v="51"/>
    <n v="444"/>
    <n v="51"/>
    <n v="501"/>
    <n v="13"/>
    <n v="182"/>
    <n v="13"/>
    <n v="206"/>
    <n v="44"/>
    <n v="168"/>
    <n v="44"/>
    <n v="150"/>
    <n v="25"/>
    <n v="109"/>
    <n v="25"/>
    <n v="103"/>
    <n v="11"/>
    <n v="66"/>
    <n v="11"/>
    <n v="64"/>
    <n v="45"/>
    <n v="51"/>
    <n v="26"/>
    <n v="55"/>
    <n v="26"/>
    <n v="35"/>
    <n v="45"/>
    <n v="50"/>
    <n v="50"/>
    <n v="33"/>
    <n v="4"/>
    <n v="37"/>
    <n v="4"/>
    <n v="31"/>
    <n v="9"/>
    <n v="30"/>
    <n v="233"/>
    <n v="255"/>
    <n v="1924"/>
    <n v="10"/>
    <n v="2006"/>
    <n v="10"/>
    <n v="26"/>
    <n v="124"/>
    <n v="26"/>
    <n v="110"/>
    <n v="51"/>
    <n v="71"/>
    <n v="51"/>
    <n v="67"/>
    <n v="40"/>
    <n v="53"/>
    <n v="40"/>
    <n v="54"/>
    <n v="45"/>
    <n v="39"/>
    <n v="45"/>
    <n v="52"/>
    <n v="42"/>
    <n v="25"/>
    <n v="13"/>
    <n v="24"/>
    <n v="13"/>
    <n v="21"/>
    <n v="42"/>
    <n v="22"/>
    <n v="16"/>
    <n v="18"/>
    <n v="27"/>
    <n v="21"/>
    <n v="27"/>
    <n v="18"/>
    <n v="16"/>
    <n v="20"/>
    <n v="9"/>
    <n v="17"/>
    <n v="11"/>
    <n v="18"/>
    <n v="54"/>
    <n v="16"/>
    <n v="54"/>
    <n v="18"/>
    <n v="104"/>
    <n v="89"/>
    <n v="506"/>
    <n v="10"/>
    <n v="0.24505928853754941"/>
    <n v="495"/>
    <n v="10"/>
    <n v="0.22222222222222221"/>
    <n v="2430"/>
    <n v="2501"/>
    <n v="245"/>
    <n v="259"/>
    <n v="154"/>
    <n v="165"/>
    <n v="81"/>
    <n v="76"/>
    <n v="142"/>
    <n v="146"/>
    <m/>
    <m/>
    <m/>
    <m/>
    <m/>
    <m/>
    <m/>
    <m/>
    <m/>
    <m/>
    <n v="44"/>
    <n v="38"/>
    <n v="666"/>
    <n v="684"/>
    <m/>
    <m/>
    <n v="7754"/>
    <n v="7634"/>
  </r>
  <r>
    <x v="9"/>
    <s v="University of North Carolina at Greensboro"/>
    <m/>
    <n v="199148"/>
    <x v="0"/>
    <m/>
    <m/>
    <m/>
    <m/>
    <m/>
    <m/>
    <n v="0"/>
    <n v="0"/>
    <n v="2762"/>
    <m/>
    <n v="332"/>
    <m/>
    <n v="332"/>
    <n v="2958"/>
    <m/>
    <n v="378"/>
    <m/>
    <n v="378"/>
    <m/>
    <m/>
    <m/>
    <m/>
    <m/>
    <m/>
    <m/>
    <m/>
    <m/>
    <m/>
    <m/>
    <m/>
    <m/>
    <m/>
    <m/>
    <m/>
    <m/>
    <m/>
    <m/>
    <m/>
    <n v="0"/>
    <n v="0.70747950819672134"/>
    <n v="0"/>
    <n v="0.73000987166831199"/>
    <n v="33"/>
    <n v="15"/>
    <n v="13"/>
    <n v="201"/>
    <n v="13"/>
    <n v="258"/>
    <n v="51"/>
    <n v="157"/>
    <n v="51"/>
    <n v="148"/>
    <n v="52"/>
    <n v="122"/>
    <n v="52"/>
    <n v="88"/>
    <n v="44"/>
    <n v="96"/>
    <n v="44"/>
    <n v="73"/>
    <n v="25"/>
    <n v="73"/>
    <n v="25"/>
    <n v="69"/>
    <n v="24"/>
    <n v="63"/>
    <n v="24"/>
    <n v="60"/>
    <n v="50"/>
    <n v="54"/>
    <n v="50"/>
    <n v="57"/>
    <n v="31"/>
    <n v="38"/>
    <n v="31"/>
    <n v="30"/>
    <n v="11"/>
    <n v="25"/>
    <n v="11"/>
    <n v="29"/>
    <n v="23"/>
    <n v="20"/>
    <n v="23"/>
    <n v="22"/>
    <n v="130"/>
    <n v="132"/>
    <n v="979"/>
    <n v="10"/>
    <n v="966"/>
    <n v="10"/>
    <n v="13"/>
    <n v="57"/>
    <n v="13"/>
    <n v="39"/>
    <n v="50"/>
    <n v="18"/>
    <n v="50"/>
    <n v="15"/>
    <n v="51"/>
    <n v="10"/>
    <n v="51"/>
    <n v="11"/>
    <n v="19"/>
    <n v="8"/>
    <n v="31"/>
    <n v="10"/>
    <n v="23"/>
    <n v="8"/>
    <n v="23"/>
    <n v="9"/>
    <n v="31"/>
    <n v="7"/>
    <n v="42"/>
    <n v="8"/>
    <n v="42"/>
    <n v="7"/>
    <n v="19"/>
    <n v="4"/>
    <n v="45"/>
    <n v="7"/>
    <n v="30"/>
    <n v="4"/>
    <n v="54"/>
    <n v="4"/>
    <n v="52"/>
    <n v="4"/>
    <n v="30"/>
    <n v="2"/>
    <n v="54"/>
    <n v="4"/>
    <n v="2"/>
    <n v="5"/>
    <n v="130"/>
    <n v="10"/>
    <n v="0.43846153846153846"/>
    <n v="113"/>
    <n v="10"/>
    <n v="0.34513274336283184"/>
    <n v="1109"/>
    <n v="1079"/>
    <m/>
    <m/>
    <m/>
    <m/>
    <m/>
    <m/>
    <m/>
    <m/>
    <m/>
    <m/>
    <m/>
    <m/>
    <m/>
    <m/>
    <m/>
    <m/>
    <m/>
    <m/>
    <m/>
    <m/>
    <n v="0"/>
    <n v="0"/>
    <m/>
    <m/>
    <n v="3904"/>
    <n v="4052"/>
  </r>
  <r>
    <x v="9"/>
    <s v="East Carolina University "/>
    <s v="Reclassified: met the criteria for Four-Year 2 in 2010-11, 2011-12, and 2012-13."/>
    <n v="198464"/>
    <x v="1"/>
    <m/>
    <m/>
    <m/>
    <m/>
    <m/>
    <m/>
    <n v="0"/>
    <n v="0"/>
    <n v="3855"/>
    <m/>
    <n v="458"/>
    <m/>
    <n v="458"/>
    <n v="4174"/>
    <m/>
    <n v="487"/>
    <m/>
    <n v="487"/>
    <m/>
    <m/>
    <m/>
    <m/>
    <m/>
    <m/>
    <m/>
    <m/>
    <m/>
    <m/>
    <m/>
    <m/>
    <m/>
    <m/>
    <m/>
    <m/>
    <m/>
    <m/>
    <m/>
    <m/>
    <n v="0"/>
    <n v="0.66672431684538225"/>
    <n v="0"/>
    <n v="0.68730446237444431"/>
    <n v="32"/>
    <n v="45"/>
    <n v="13"/>
    <n v="515"/>
    <n v="13"/>
    <n v="479"/>
    <n v="51"/>
    <n v="373"/>
    <n v="51"/>
    <n v="387"/>
    <n v="52"/>
    <n v="247"/>
    <n v="52"/>
    <n v="283"/>
    <n v="25"/>
    <n v="115"/>
    <n v="44"/>
    <n v="95"/>
    <n v="44"/>
    <n v="94"/>
    <n v="25"/>
    <n v="85"/>
    <n v="23"/>
    <n v="57"/>
    <n v="15"/>
    <n v="54"/>
    <n v="15"/>
    <n v="53"/>
    <n v="31"/>
    <n v="46"/>
    <n v="45"/>
    <n v="43"/>
    <n v="23"/>
    <n v="44"/>
    <n v="31"/>
    <n v="35"/>
    <n v="45"/>
    <n v="40"/>
    <n v="50"/>
    <n v="32"/>
    <n v="30"/>
    <n v="37"/>
    <n v="183"/>
    <n v="167"/>
    <n v="1747"/>
    <n v="10"/>
    <n v="1717"/>
    <n v="10"/>
    <n v="26"/>
    <n v="21"/>
    <n v="26"/>
    <n v="18"/>
    <n v="13"/>
    <n v="15"/>
    <n v="51"/>
    <n v="9"/>
    <n v="51"/>
    <n v="7"/>
    <n v="13"/>
    <n v="5"/>
    <n v="23"/>
    <n v="2"/>
    <n v="30"/>
    <n v="3"/>
    <n v="30"/>
    <n v="2"/>
    <n v="42"/>
    <n v="3"/>
    <m/>
    <m/>
    <n v="23"/>
    <n v="1"/>
    <m/>
    <m/>
    <m/>
    <m/>
    <m/>
    <m/>
    <m/>
    <m/>
    <m/>
    <m/>
    <m/>
    <m/>
    <m/>
    <m/>
    <m/>
    <m/>
    <m/>
    <m/>
    <n v="47"/>
    <n v="5"/>
    <n v="0.44680851063829785"/>
    <n v="39"/>
    <n v="6"/>
    <n v="0.46153846153846156"/>
    <n v="1794"/>
    <n v="1756"/>
    <m/>
    <m/>
    <n v="70"/>
    <n v="71"/>
    <m/>
    <m/>
    <m/>
    <m/>
    <m/>
    <m/>
    <m/>
    <m/>
    <m/>
    <m/>
    <m/>
    <m/>
    <m/>
    <m/>
    <n v="31"/>
    <n v="27"/>
    <n v="101"/>
    <n v="98"/>
    <m/>
    <m/>
    <n v="5782"/>
    <n v="6073"/>
  </r>
  <r>
    <x v="9"/>
    <s v="University of North Carolina at Charlotte"/>
    <s v="Met the criteria for Four-Year 1 in 2012-13."/>
    <n v="199139"/>
    <x v="1"/>
    <m/>
    <m/>
    <m/>
    <m/>
    <m/>
    <m/>
    <n v="0"/>
    <n v="0"/>
    <n v="3795"/>
    <m/>
    <n v="319"/>
    <m/>
    <n v="319"/>
    <n v="3964"/>
    <m/>
    <n v="327"/>
    <m/>
    <n v="327"/>
    <m/>
    <m/>
    <m/>
    <m/>
    <m/>
    <m/>
    <m/>
    <m/>
    <m/>
    <m/>
    <m/>
    <m/>
    <m/>
    <m/>
    <m/>
    <m/>
    <m/>
    <m/>
    <m/>
    <m/>
    <n v="0"/>
    <n v="0.7059151785714286"/>
    <n v="0"/>
    <n v="0.71629924105529452"/>
    <n v="309"/>
    <n v="240"/>
    <n v="13"/>
    <n v="302"/>
    <n v="13"/>
    <n v="291"/>
    <n v="52"/>
    <n v="293"/>
    <n v="52"/>
    <n v="269"/>
    <n v="51"/>
    <n v="129"/>
    <n v="11"/>
    <n v="133"/>
    <n v="14"/>
    <n v="96"/>
    <n v="51"/>
    <n v="128"/>
    <n v="11"/>
    <n v="89"/>
    <n v="44"/>
    <n v="76"/>
    <n v="44"/>
    <n v="55"/>
    <n v="14"/>
    <n v="71"/>
    <n v="30"/>
    <n v="35"/>
    <n v="4"/>
    <n v="42"/>
    <n v="23"/>
    <n v="29"/>
    <n v="23"/>
    <n v="33"/>
    <n v="4"/>
    <n v="26"/>
    <n v="30"/>
    <n v="32"/>
    <n v="40"/>
    <n v="23"/>
    <n v="40"/>
    <n v="24"/>
    <n v="107"/>
    <n v="113"/>
    <n v="1184"/>
    <n v="10"/>
    <n v="1212"/>
    <n v="10"/>
    <n v="13"/>
    <n v="37"/>
    <n v="13"/>
    <n v="40"/>
    <n v="11"/>
    <n v="12"/>
    <n v="11"/>
    <n v="16"/>
    <n v="30"/>
    <n v="8"/>
    <n v="14"/>
    <n v="15"/>
    <n v="27"/>
    <n v="6"/>
    <n v="27"/>
    <n v="10"/>
    <n v="44"/>
    <n v="5"/>
    <n v="26"/>
    <n v="8"/>
    <n v="14"/>
    <n v="4"/>
    <n v="30"/>
    <n v="7"/>
    <n v="26"/>
    <n v="4"/>
    <n v="40"/>
    <n v="7"/>
    <n v="40"/>
    <n v="4"/>
    <n v="51"/>
    <n v="7"/>
    <n v="51"/>
    <n v="3"/>
    <n v="42"/>
    <n v="3"/>
    <n v="42"/>
    <n v="2"/>
    <n v="45"/>
    <n v="3"/>
    <n v="3"/>
    <n v="2"/>
    <n v="88"/>
    <n v="10"/>
    <n v="0.42045454545454547"/>
    <n v="118"/>
    <n v="10"/>
    <n v="0.33898305084745761"/>
    <n v="1272"/>
    <n v="1330"/>
    <m/>
    <m/>
    <m/>
    <m/>
    <m/>
    <m/>
    <m/>
    <m/>
    <m/>
    <m/>
    <m/>
    <m/>
    <m/>
    <m/>
    <m/>
    <m/>
    <m/>
    <m/>
    <m/>
    <m/>
    <n v="0"/>
    <n v="0"/>
    <m/>
    <m/>
    <n v="5376"/>
    <n v="5534"/>
  </r>
  <r>
    <x v="9"/>
    <s v="Appalachian State University "/>
    <m/>
    <n v="197869"/>
    <x v="2"/>
    <m/>
    <m/>
    <m/>
    <m/>
    <m/>
    <m/>
    <n v="0"/>
    <n v="0"/>
    <n v="3010"/>
    <m/>
    <n v="535"/>
    <m/>
    <n v="535"/>
    <n v="3435"/>
    <m/>
    <n v="583"/>
    <m/>
    <n v="583"/>
    <m/>
    <m/>
    <m/>
    <m/>
    <m/>
    <m/>
    <m/>
    <m/>
    <m/>
    <m/>
    <m/>
    <m/>
    <m/>
    <m/>
    <m/>
    <m/>
    <m/>
    <m/>
    <m/>
    <m/>
    <n v="0"/>
    <n v="0.77717531629227987"/>
    <n v="0"/>
    <n v="0.79772410589874598"/>
    <n v="29"/>
    <n v="16"/>
    <n v="13"/>
    <n v="378"/>
    <n v="13"/>
    <n v="385"/>
    <n v="52"/>
    <n v="87"/>
    <n v="52"/>
    <n v="102"/>
    <n v="51"/>
    <n v="66"/>
    <n v="44"/>
    <n v="63"/>
    <n v="25"/>
    <n v="43"/>
    <n v="51"/>
    <n v="62"/>
    <n v="44"/>
    <n v="30"/>
    <n v="42"/>
    <n v="33"/>
    <n v="42"/>
    <n v="29"/>
    <n v="45"/>
    <n v="32"/>
    <n v="45"/>
    <n v="29"/>
    <n v="15"/>
    <n v="28"/>
    <n v="15"/>
    <n v="18"/>
    <n v="25"/>
    <n v="25"/>
    <n v="54"/>
    <n v="17"/>
    <n v="26"/>
    <n v="16"/>
    <n v="31"/>
    <n v="14"/>
    <n v="43"/>
    <n v="16"/>
    <n v="107"/>
    <n v="80"/>
    <n v="818"/>
    <n v="10"/>
    <n v="842"/>
    <n v="10"/>
    <n v="13"/>
    <n v="16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n v="1"/>
    <n v="13"/>
    <n v="1"/>
    <n v="1"/>
    <n v="834"/>
    <n v="855"/>
    <m/>
    <m/>
    <m/>
    <m/>
    <m/>
    <m/>
    <m/>
    <m/>
    <m/>
    <m/>
    <m/>
    <m/>
    <m/>
    <m/>
    <m/>
    <m/>
    <m/>
    <m/>
    <m/>
    <m/>
    <n v="0"/>
    <n v="0"/>
    <m/>
    <m/>
    <n v="3873"/>
    <n v="4306"/>
  </r>
  <r>
    <x v="9"/>
    <s v="North Carolina A&amp;T State University"/>
    <m/>
    <n v="199102"/>
    <x v="2"/>
    <m/>
    <m/>
    <m/>
    <m/>
    <m/>
    <m/>
    <n v="0"/>
    <n v="0"/>
    <n v="1306"/>
    <m/>
    <n v="40"/>
    <m/>
    <n v="40"/>
    <n v="1278"/>
    <m/>
    <n v="61"/>
    <m/>
    <n v="61"/>
    <m/>
    <m/>
    <m/>
    <m/>
    <m/>
    <m/>
    <m/>
    <m/>
    <m/>
    <m/>
    <m/>
    <m/>
    <m/>
    <m/>
    <m/>
    <m/>
    <m/>
    <m/>
    <m/>
    <m/>
    <n v="0"/>
    <n v="0.77877161598091826"/>
    <n v="0"/>
    <n v="0.76756756756756761"/>
    <n v="0"/>
    <m/>
    <n v="13"/>
    <n v="177"/>
    <n v="13"/>
    <n v="199"/>
    <n v="14"/>
    <n v="53"/>
    <n v="14"/>
    <n v="40"/>
    <n v="15"/>
    <n v="44"/>
    <n v="1"/>
    <n v="26"/>
    <n v="11"/>
    <n v="19"/>
    <n v="15"/>
    <n v="24"/>
    <n v="1"/>
    <n v="14"/>
    <n v="11"/>
    <n v="23"/>
    <n v="19"/>
    <n v="10"/>
    <n v="44"/>
    <n v="20"/>
    <n v="26"/>
    <n v="10"/>
    <n v="26"/>
    <n v="8"/>
    <n v="23"/>
    <n v="9"/>
    <n v="23"/>
    <n v="7"/>
    <n v="40"/>
    <n v="6"/>
    <n v="40"/>
    <n v="4"/>
    <n v="52"/>
    <n v="6"/>
    <n v="52"/>
    <n v="4"/>
    <n v="3"/>
    <n v="3"/>
    <n v="351"/>
    <n v="10"/>
    <n v="358"/>
    <n v="10"/>
    <n v="14"/>
    <n v="12"/>
    <n v="14"/>
    <n v="15"/>
    <n v="30"/>
    <n v="6"/>
    <n v="3"/>
    <n v="8"/>
    <n v="3"/>
    <n v="2"/>
    <n v="3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3"/>
    <n v="0.6"/>
    <n v="29"/>
    <n v="3"/>
    <n v="0.51724137931034486"/>
    <n v="371"/>
    <n v="387"/>
    <m/>
    <m/>
    <m/>
    <m/>
    <m/>
    <m/>
    <m/>
    <m/>
    <m/>
    <m/>
    <m/>
    <m/>
    <m/>
    <m/>
    <m/>
    <m/>
    <m/>
    <m/>
    <m/>
    <m/>
    <n v="0"/>
    <n v="0"/>
    <m/>
    <m/>
    <n v="1677"/>
    <n v="1665"/>
  </r>
  <r>
    <x v="9"/>
    <s v="North Carolina Central University "/>
    <m/>
    <n v="199157"/>
    <x v="2"/>
    <m/>
    <m/>
    <m/>
    <m/>
    <m/>
    <m/>
    <n v="0"/>
    <n v="0"/>
    <n v="901"/>
    <m/>
    <n v="49"/>
    <m/>
    <n v="49"/>
    <n v="918"/>
    <m/>
    <n v="64"/>
    <m/>
    <n v="64"/>
    <m/>
    <m/>
    <m/>
    <m/>
    <m/>
    <m/>
    <m/>
    <m/>
    <m/>
    <m/>
    <m/>
    <m/>
    <m/>
    <m/>
    <m/>
    <m/>
    <m/>
    <m/>
    <m/>
    <m/>
    <n v="0"/>
    <n v="0.57461734693877553"/>
    <n v="0"/>
    <n v="0.60355029585798814"/>
    <n v="0"/>
    <m/>
    <n v="25"/>
    <n v="127"/>
    <n v="25"/>
    <n v="89"/>
    <n v="13"/>
    <n v="89"/>
    <n v="13"/>
    <n v="79"/>
    <n v="44"/>
    <n v="76"/>
    <n v="44"/>
    <n v="79"/>
    <n v="51"/>
    <n v="50"/>
    <n v="51"/>
    <n v="38"/>
    <n v="52"/>
    <n v="31"/>
    <n v="52"/>
    <n v="27"/>
    <n v="11"/>
    <n v="28"/>
    <n v="11"/>
    <n v="24"/>
    <n v="26"/>
    <n v="20"/>
    <n v="19"/>
    <n v="16"/>
    <n v="42"/>
    <n v="15"/>
    <n v="43"/>
    <n v="15"/>
    <n v="43"/>
    <n v="13"/>
    <n v="26"/>
    <n v="14"/>
    <n v="19"/>
    <n v="9"/>
    <n v="42"/>
    <n v="14"/>
    <n v="31"/>
    <n v="43"/>
    <n v="489"/>
    <n v="10"/>
    <n v="43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9"/>
    <n v="438"/>
    <n v="178"/>
    <n v="165"/>
    <m/>
    <m/>
    <m/>
    <m/>
    <m/>
    <m/>
    <m/>
    <m/>
    <m/>
    <m/>
    <m/>
    <m/>
    <m/>
    <m/>
    <m/>
    <m/>
    <m/>
    <m/>
    <n v="178"/>
    <n v="165"/>
    <m/>
    <m/>
    <n v="1568"/>
    <n v="1521"/>
  </r>
  <r>
    <x v="9"/>
    <s v="University of North Carolina at Wilmington"/>
    <m/>
    <n v="199218"/>
    <x v="2"/>
    <m/>
    <m/>
    <m/>
    <m/>
    <m/>
    <m/>
    <n v="0"/>
    <n v="0"/>
    <n v="2639"/>
    <m/>
    <n v="285"/>
    <m/>
    <n v="285"/>
    <n v="2715"/>
    <m/>
    <n v="298"/>
    <m/>
    <n v="298"/>
    <m/>
    <m/>
    <m/>
    <m/>
    <m/>
    <m/>
    <m/>
    <m/>
    <m/>
    <m/>
    <m/>
    <m/>
    <m/>
    <m/>
    <m/>
    <m/>
    <m/>
    <m/>
    <m/>
    <m/>
    <n v="0"/>
    <n v="0.84098151688973866"/>
    <n v="0"/>
    <n v="0.84843749999999996"/>
    <n v="4"/>
    <n v="10"/>
    <n v="52"/>
    <n v="129"/>
    <n v="52"/>
    <n v="115"/>
    <n v="13"/>
    <n v="89"/>
    <n v="13"/>
    <n v="80"/>
    <n v="44"/>
    <n v="52"/>
    <n v="44"/>
    <n v="50"/>
    <n v="23"/>
    <n v="33"/>
    <n v="23"/>
    <n v="38"/>
    <n v="40"/>
    <n v="28"/>
    <n v="40"/>
    <n v="31"/>
    <n v="42"/>
    <n v="25"/>
    <n v="54"/>
    <n v="21"/>
    <n v="3"/>
    <n v="23"/>
    <n v="11"/>
    <n v="20"/>
    <n v="51"/>
    <n v="23"/>
    <n v="24"/>
    <n v="19"/>
    <n v="24"/>
    <n v="22"/>
    <n v="42"/>
    <n v="18"/>
    <n v="26"/>
    <n v="17"/>
    <n v="51"/>
    <n v="18"/>
    <n v="39"/>
    <n v="50"/>
    <n v="480"/>
    <n v="10"/>
    <n v="460"/>
    <n v="10"/>
    <n v="13"/>
    <n v="13"/>
    <n v="13"/>
    <n v="12"/>
    <n v="26"/>
    <n v="2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"/>
    <n v="0.8666666666666667"/>
    <n v="15"/>
    <n v="2"/>
    <n v="0.8"/>
    <n v="495"/>
    <n v="475"/>
    <m/>
    <m/>
    <m/>
    <m/>
    <m/>
    <m/>
    <m/>
    <m/>
    <m/>
    <m/>
    <m/>
    <m/>
    <m/>
    <m/>
    <m/>
    <m/>
    <m/>
    <m/>
    <m/>
    <m/>
    <n v="0"/>
    <n v="0"/>
    <m/>
    <m/>
    <n v="3138"/>
    <n v="3200"/>
  </r>
  <r>
    <x v="9"/>
    <s v="Western Carolina University "/>
    <m/>
    <n v="200004"/>
    <x v="2"/>
    <m/>
    <m/>
    <m/>
    <m/>
    <m/>
    <m/>
    <n v="0"/>
    <n v="0"/>
    <n v="1654"/>
    <m/>
    <n v="188"/>
    <m/>
    <n v="188"/>
    <n v="1783"/>
    <m/>
    <n v="240"/>
    <m/>
    <n v="240"/>
    <m/>
    <m/>
    <m/>
    <m/>
    <m/>
    <m/>
    <m/>
    <m/>
    <m/>
    <m/>
    <m/>
    <m/>
    <m/>
    <m/>
    <m/>
    <m/>
    <m/>
    <m/>
    <m/>
    <m/>
    <n v="0"/>
    <n v="0.70563139931740615"/>
    <n v="0"/>
    <n v="0.74884502309953804"/>
    <n v="0"/>
    <m/>
    <n v="13"/>
    <n v="263"/>
    <n v="13"/>
    <n v="201"/>
    <n v="52"/>
    <n v="173"/>
    <n v="52"/>
    <n v="146"/>
    <n v="51"/>
    <n v="117"/>
    <n v="51"/>
    <n v="102"/>
    <n v="44"/>
    <n v="40"/>
    <n v="44"/>
    <n v="41"/>
    <n v="15"/>
    <n v="22"/>
    <n v="15"/>
    <n v="32"/>
    <n v="23"/>
    <n v="13"/>
    <n v="23"/>
    <n v="16"/>
    <n v="42"/>
    <n v="9"/>
    <n v="42"/>
    <n v="15"/>
    <n v="54"/>
    <n v="9"/>
    <n v="26"/>
    <n v="11"/>
    <n v="26"/>
    <n v="8"/>
    <n v="50"/>
    <n v="9"/>
    <n v="50"/>
    <n v="8"/>
    <n v="54"/>
    <n v="9"/>
    <n v="14"/>
    <n v="11"/>
    <n v="676"/>
    <n v="10"/>
    <n v="593"/>
    <n v="10"/>
    <n v="13"/>
    <n v="14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5"/>
    <n v="1"/>
    <n v="1"/>
    <n v="690"/>
    <n v="598"/>
    <m/>
    <m/>
    <m/>
    <m/>
    <m/>
    <m/>
    <m/>
    <m/>
    <m/>
    <m/>
    <m/>
    <m/>
    <m/>
    <m/>
    <m/>
    <m/>
    <m/>
    <m/>
    <m/>
    <m/>
    <n v="0"/>
    <n v="0"/>
    <m/>
    <m/>
    <n v="2344"/>
    <n v="2381"/>
  </r>
  <r>
    <x v="9"/>
    <s v="Fayetteville State University "/>
    <m/>
    <n v="198543"/>
    <x v="3"/>
    <m/>
    <m/>
    <m/>
    <m/>
    <m/>
    <m/>
    <n v="0"/>
    <n v="0"/>
    <n v="902"/>
    <m/>
    <n v="99"/>
    <m/>
    <n v="99"/>
    <n v="991"/>
    <m/>
    <n v="82"/>
    <m/>
    <n v="82"/>
    <m/>
    <m/>
    <m/>
    <m/>
    <m/>
    <m/>
    <m/>
    <m/>
    <m/>
    <m/>
    <m/>
    <m/>
    <m/>
    <m/>
    <m/>
    <m/>
    <m/>
    <m/>
    <m/>
    <m/>
    <n v="0"/>
    <n v="0.88"/>
    <n v="0"/>
    <n v="0.86099044309296269"/>
    <n v="0"/>
    <m/>
    <n v="13"/>
    <n v="53"/>
    <n v="44"/>
    <n v="60"/>
    <n v="44"/>
    <n v="25"/>
    <n v="13"/>
    <n v="48"/>
    <n v="52"/>
    <n v="15"/>
    <n v="52"/>
    <n v="19"/>
    <n v="42"/>
    <n v="10"/>
    <n v="42"/>
    <n v="10"/>
    <n v="43"/>
    <n v="6"/>
    <n v="43"/>
    <n v="10"/>
    <n v="45"/>
    <n v="6"/>
    <n v="45"/>
    <n v="8"/>
    <n v="23"/>
    <n v="1"/>
    <n v="26"/>
    <n v="2"/>
    <n v="26"/>
    <n v="1"/>
    <n v="27"/>
    <n v="2"/>
    <m/>
    <m/>
    <m/>
    <m/>
    <m/>
    <m/>
    <m/>
    <m/>
    <m/>
    <m/>
    <n v="117"/>
    <n v="8"/>
    <n v="159"/>
    <n v="8"/>
    <n v="13"/>
    <n v="6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1"/>
    <n v="1"/>
    <n v="1"/>
    <n v="123"/>
    <n v="160"/>
    <m/>
    <m/>
    <m/>
    <m/>
    <m/>
    <m/>
    <m/>
    <m/>
    <m/>
    <m/>
    <m/>
    <m/>
    <m/>
    <m/>
    <m/>
    <m/>
    <m/>
    <m/>
    <m/>
    <m/>
    <n v="0"/>
    <n v="0"/>
    <m/>
    <m/>
    <n v="1025"/>
    <n v="1151"/>
  </r>
  <r>
    <x v="9"/>
    <s v="University of North Carolina at Pembroke"/>
    <m/>
    <n v="199281"/>
    <x v="4"/>
    <m/>
    <m/>
    <m/>
    <m/>
    <m/>
    <m/>
    <n v="0"/>
    <n v="0"/>
    <n v="824"/>
    <m/>
    <n v="100"/>
    <m/>
    <n v="100"/>
    <n v="905"/>
    <m/>
    <n v="128"/>
    <m/>
    <n v="128"/>
    <m/>
    <m/>
    <m/>
    <m/>
    <m/>
    <m/>
    <m/>
    <m/>
    <m/>
    <m/>
    <m/>
    <m/>
    <m/>
    <m/>
    <m/>
    <m/>
    <m/>
    <m/>
    <m/>
    <m/>
    <n v="0"/>
    <n v="0.7636700648748842"/>
    <n v="0"/>
    <n v="0.80875781948168002"/>
    <n v="0"/>
    <m/>
    <n v="13"/>
    <n v="184"/>
    <n v="13"/>
    <n v="158"/>
    <n v="44"/>
    <n v="57"/>
    <n v="44"/>
    <n v="42"/>
    <n v="52"/>
    <n v="14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5"/>
    <n v="3"/>
    <n v="2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5"/>
    <n v="214"/>
    <m/>
    <m/>
    <m/>
    <m/>
    <m/>
    <m/>
    <m/>
    <m/>
    <m/>
    <m/>
    <m/>
    <m/>
    <m/>
    <m/>
    <m/>
    <m/>
    <m/>
    <m/>
    <m/>
    <m/>
    <n v="0"/>
    <n v="0"/>
    <m/>
    <m/>
    <n v="1079"/>
    <n v="1119"/>
  </r>
  <r>
    <x v="9"/>
    <s v="Winston-Salem State University "/>
    <m/>
    <n v="199999"/>
    <x v="4"/>
    <m/>
    <m/>
    <m/>
    <m/>
    <m/>
    <m/>
    <n v="0"/>
    <n v="0"/>
    <n v="1246"/>
    <m/>
    <n v="56"/>
    <m/>
    <n v="56"/>
    <n v="1295"/>
    <m/>
    <n v="46"/>
    <m/>
    <n v="46"/>
    <m/>
    <m/>
    <m/>
    <m/>
    <m/>
    <m/>
    <m/>
    <m/>
    <m/>
    <m/>
    <m/>
    <m/>
    <m/>
    <m/>
    <m/>
    <m/>
    <m/>
    <m/>
    <m/>
    <m/>
    <n v="0"/>
    <n v="0.89511494252873558"/>
    <n v="0"/>
    <n v="0.87975543478260865"/>
    <n v="0"/>
    <m/>
    <n v="51"/>
    <n v="85"/>
    <n v="51"/>
    <n v="130"/>
    <n v="13"/>
    <n v="30"/>
    <n v="13"/>
    <n v="20"/>
    <n v="52"/>
    <n v="24"/>
    <n v="52"/>
    <n v="16"/>
    <n v="11"/>
    <n v="7"/>
    <n v="11"/>
    <n v="11"/>
    <m/>
    <m/>
    <m/>
    <m/>
    <m/>
    <m/>
    <m/>
    <m/>
    <m/>
    <m/>
    <m/>
    <m/>
    <m/>
    <m/>
    <m/>
    <m/>
    <m/>
    <m/>
    <m/>
    <m/>
    <m/>
    <m/>
    <m/>
    <m/>
    <m/>
    <m/>
    <n v="146"/>
    <n v="4"/>
    <n v="1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6"/>
    <n v="177"/>
    <m/>
    <m/>
    <m/>
    <m/>
    <m/>
    <m/>
    <m/>
    <m/>
    <m/>
    <m/>
    <m/>
    <m/>
    <m/>
    <m/>
    <m/>
    <m/>
    <m/>
    <m/>
    <m/>
    <m/>
    <n v="0"/>
    <n v="0"/>
    <m/>
    <m/>
    <n v="1392"/>
    <n v="1472"/>
  </r>
  <r>
    <x v="9"/>
    <s v="Elizabeth City State University "/>
    <m/>
    <n v="198507"/>
    <x v="5"/>
    <m/>
    <m/>
    <m/>
    <m/>
    <m/>
    <m/>
    <n v="0"/>
    <n v="0"/>
    <n v="486"/>
    <m/>
    <n v="58"/>
    <m/>
    <n v="58"/>
    <n v="406"/>
    <m/>
    <n v="43"/>
    <m/>
    <n v="43"/>
    <m/>
    <m/>
    <m/>
    <m/>
    <m/>
    <m/>
    <m/>
    <m/>
    <m/>
    <m/>
    <m/>
    <m/>
    <m/>
    <m/>
    <m/>
    <m/>
    <m/>
    <m/>
    <m/>
    <m/>
    <n v="0"/>
    <n v="0.95294117647058818"/>
    <n v="0"/>
    <n v="0.94638694638694643"/>
    <n v="0"/>
    <m/>
    <n v="13"/>
    <n v="20"/>
    <n v="13"/>
    <n v="19"/>
    <n v="27"/>
    <n v="3"/>
    <n v="27"/>
    <n v="3"/>
    <n v="26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"/>
    <n v="2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"/>
    <n v="23"/>
    <m/>
    <m/>
    <m/>
    <m/>
    <m/>
    <m/>
    <m/>
    <m/>
    <m/>
    <m/>
    <m/>
    <m/>
    <m/>
    <m/>
    <m/>
    <m/>
    <m/>
    <m/>
    <m/>
    <m/>
    <n v="0"/>
    <n v="0"/>
    <m/>
    <m/>
    <n v="510"/>
    <n v="429"/>
  </r>
  <r>
    <x v="9"/>
    <s v="University of North Carolina at Asheville"/>
    <m/>
    <n v="199111"/>
    <x v="5"/>
    <m/>
    <m/>
    <m/>
    <m/>
    <m/>
    <m/>
    <n v="0"/>
    <n v="0"/>
    <n v="685"/>
    <m/>
    <n v="47"/>
    <m/>
    <n v="47"/>
    <n v="713"/>
    <m/>
    <n v="41"/>
    <m/>
    <n v="41"/>
    <m/>
    <m/>
    <m/>
    <m/>
    <m/>
    <m/>
    <m/>
    <m/>
    <m/>
    <m/>
    <m/>
    <m/>
    <m/>
    <m/>
    <m/>
    <m/>
    <m/>
    <m/>
    <m/>
    <m/>
    <n v="0"/>
    <n v="0.99131693198263382"/>
    <n v="0"/>
    <n v="0.9861687413554634"/>
    <n v="0"/>
    <m/>
    <n v="24"/>
    <n v="6"/>
    <n v="2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"/>
    <n v="10"/>
    <m/>
    <m/>
    <m/>
    <m/>
    <m/>
    <m/>
    <m/>
    <m/>
    <m/>
    <m/>
    <m/>
    <m/>
    <m/>
    <m/>
    <m/>
    <m/>
    <m/>
    <m/>
    <m/>
    <m/>
    <n v="0"/>
    <n v="0"/>
    <m/>
    <m/>
    <n v="691"/>
    <n v="723"/>
  </r>
  <r>
    <x v="9"/>
    <s v="North Carolina School of the Arts"/>
    <m/>
    <n v="199184"/>
    <x v="11"/>
    <m/>
    <m/>
    <n v="8"/>
    <n v="7"/>
    <m/>
    <m/>
    <n v="0"/>
    <n v="0"/>
    <n v="154"/>
    <m/>
    <n v="0"/>
    <m/>
    <n v="0"/>
    <n v="145"/>
    <m/>
    <m/>
    <m/>
    <n v="0"/>
    <m/>
    <m/>
    <m/>
    <m/>
    <m/>
    <m/>
    <m/>
    <m/>
    <m/>
    <m/>
    <m/>
    <m/>
    <m/>
    <m/>
    <m/>
    <m/>
    <m/>
    <m/>
    <m/>
    <m/>
    <n v="0"/>
    <n v="0.72641509433962259"/>
    <n v="0"/>
    <n v="0.74358974358974361"/>
    <n v="0"/>
    <m/>
    <n v="50"/>
    <n v="50"/>
    <n v="50"/>
    <n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1"/>
    <n v="4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0"/>
    <n v="43"/>
    <m/>
    <m/>
    <m/>
    <m/>
    <m/>
    <m/>
    <m/>
    <m/>
    <m/>
    <m/>
    <m/>
    <m/>
    <m/>
    <m/>
    <m/>
    <m/>
    <m/>
    <m/>
    <m/>
    <m/>
    <n v="0"/>
    <n v="0"/>
    <m/>
    <m/>
    <n v="212"/>
    <n v="195"/>
  </r>
  <r>
    <x v="9"/>
    <s v="Asheville-Buncombe Technical Community College"/>
    <m/>
    <n v="197887"/>
    <x v="6"/>
    <n v="349"/>
    <n v="523"/>
    <m/>
    <m/>
    <n v="723"/>
    <n v="7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2"/>
    <n v="1267"/>
  </r>
  <r>
    <x v="9"/>
    <s v="Cape Fear Community College"/>
    <m/>
    <n v="198154"/>
    <x v="6"/>
    <n v="515"/>
    <n v="474"/>
    <m/>
    <m/>
    <n v="1056"/>
    <n v="10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1"/>
    <n v="1530"/>
  </r>
  <r>
    <x v="9"/>
    <s v="Central Piedmont Community College "/>
    <m/>
    <n v="198260"/>
    <x v="6"/>
    <n v="341"/>
    <n v="496"/>
    <m/>
    <m/>
    <n v="1144"/>
    <n v="15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5"/>
    <n v="2057"/>
  </r>
  <r>
    <x v="9"/>
    <s v="Fayetteville Technical Community College"/>
    <m/>
    <n v="198534"/>
    <x v="6"/>
    <n v="449"/>
    <n v="559"/>
    <m/>
    <m/>
    <n v="836"/>
    <n v="8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5"/>
    <n v="1405"/>
  </r>
  <r>
    <x v="9"/>
    <s v="Forsyth Technical Community College"/>
    <m/>
    <n v="198552"/>
    <x v="6"/>
    <n v="506"/>
    <n v="447"/>
    <m/>
    <m/>
    <n v="843"/>
    <n v="8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9"/>
    <n v="1278"/>
  </r>
  <r>
    <x v="9"/>
    <s v="Gaston College "/>
    <s v="Met the criteria for Two-Year 2 in 2011-12 and 2012-13."/>
    <n v="198570"/>
    <x v="6"/>
    <n v="349"/>
    <n v="264"/>
    <m/>
    <m/>
    <n v="639"/>
    <n v="6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8"/>
    <n v="866"/>
  </r>
  <r>
    <x v="9"/>
    <s v="Guilford Technical Community College"/>
    <m/>
    <n v="198622"/>
    <x v="6"/>
    <n v="167"/>
    <n v="110"/>
    <m/>
    <m/>
    <n v="2270"/>
    <n v="14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7"/>
    <n v="1607"/>
  </r>
  <r>
    <x v="9"/>
    <s v="Pitt Community College"/>
    <m/>
    <n v="199333"/>
    <x v="6"/>
    <n v="382"/>
    <n v="415"/>
    <m/>
    <m/>
    <n v="771"/>
    <n v="7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3"/>
    <n v="1212"/>
  </r>
  <r>
    <x v="9"/>
    <s v="Rowan-Cabarrus Community College"/>
    <m/>
    <n v="199494"/>
    <x v="6"/>
    <n v="264"/>
    <n v="233"/>
    <m/>
    <m/>
    <n v="592"/>
    <n v="5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6"/>
    <n v="768"/>
  </r>
  <r>
    <x v="9"/>
    <s v="Wake Technical Community College"/>
    <m/>
    <n v="199856"/>
    <x v="6"/>
    <n v="671"/>
    <n v="592"/>
    <m/>
    <m/>
    <n v="1158"/>
    <n v="13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29"/>
    <n v="1941"/>
  </r>
  <r>
    <x v="9"/>
    <s v="Alamance Community College"/>
    <m/>
    <n v="199786"/>
    <x v="7"/>
    <n v="274"/>
    <n v="345"/>
    <m/>
    <m/>
    <n v="520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4"/>
    <n v="899"/>
  </r>
  <r>
    <x v="9"/>
    <s v="Caldwell Community College &amp; Technical Institute"/>
    <m/>
    <n v="198118"/>
    <x v="7"/>
    <n v="252"/>
    <n v="272"/>
    <m/>
    <m/>
    <n v="548"/>
    <n v="6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0"/>
    <n v="937"/>
  </r>
  <r>
    <x v="9"/>
    <s v="Catawba Valley Community College"/>
    <m/>
    <n v="198233"/>
    <x v="7"/>
    <n v="250"/>
    <n v="164"/>
    <m/>
    <m/>
    <n v="519"/>
    <n v="5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9"/>
    <n v="680"/>
  </r>
  <r>
    <x v="9"/>
    <s v="Central Carolina Commuity College"/>
    <m/>
    <n v="198251"/>
    <x v="7"/>
    <n v="780"/>
    <n v="630"/>
    <m/>
    <m/>
    <n v="431"/>
    <n v="4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1"/>
    <n v="1082"/>
  </r>
  <r>
    <x v="9"/>
    <s v="Cleveland Community College"/>
    <m/>
    <n v="198321"/>
    <x v="7"/>
    <n v="316"/>
    <n v="198"/>
    <m/>
    <m/>
    <n v="231"/>
    <n v="2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7"/>
    <n v="460"/>
  </r>
  <r>
    <x v="9"/>
    <s v="Coastal Carolina Community College "/>
    <m/>
    <n v="198330"/>
    <x v="7"/>
    <n v="464"/>
    <n v="496"/>
    <m/>
    <m/>
    <n v="550"/>
    <n v="5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4"/>
    <n v="1036"/>
  </r>
  <r>
    <x v="9"/>
    <s v="Craven Community College "/>
    <m/>
    <n v="198367"/>
    <x v="7"/>
    <n v="253"/>
    <n v="319"/>
    <m/>
    <m/>
    <n v="292"/>
    <n v="4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"/>
    <n v="730"/>
  </r>
  <r>
    <x v="9"/>
    <s v="Davidson County Community College "/>
    <m/>
    <n v="198376"/>
    <x v="7"/>
    <n v="452"/>
    <n v="397"/>
    <m/>
    <m/>
    <n v="406"/>
    <n v="4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8"/>
    <n v="855"/>
  </r>
  <r>
    <x v="9"/>
    <s v="Durham Technical Community College"/>
    <m/>
    <n v="198455"/>
    <x v="7"/>
    <n v="426"/>
    <n v="473"/>
    <m/>
    <m/>
    <n v="351"/>
    <n v="4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895"/>
  </r>
  <r>
    <x v="9"/>
    <s v="Edgecombe Community College"/>
    <m/>
    <n v="198491"/>
    <x v="7"/>
    <n v="107"/>
    <n v="137"/>
    <m/>
    <m/>
    <n v="257"/>
    <n v="2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421"/>
  </r>
  <r>
    <x v="9"/>
    <s v="Haywood Community College"/>
    <s v="Met the criteria for Two-Year 3 in 2011-12 and 2012-13."/>
    <n v="198668"/>
    <x v="7"/>
    <n v="192"/>
    <n v="274"/>
    <m/>
    <m/>
    <n v="215"/>
    <n v="2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"/>
    <n v="563"/>
  </r>
  <r>
    <x v="9"/>
    <s v="Isothermal Community College "/>
    <s v="Met the criteria for Two-Year 3 in 2012-13."/>
    <n v="198710"/>
    <x v="7"/>
    <n v="231"/>
    <n v="163"/>
    <m/>
    <m/>
    <n v="312"/>
    <n v="2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3"/>
    <n v="432"/>
  </r>
  <r>
    <x v="9"/>
    <s v="Johnston Community College"/>
    <m/>
    <n v="198774"/>
    <x v="7"/>
    <n v="261"/>
    <n v="226"/>
    <m/>
    <m/>
    <n v="393"/>
    <n v="4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4"/>
    <n v="712"/>
  </r>
  <r>
    <x v="9"/>
    <s v="Lenoir Community College "/>
    <m/>
    <n v="198817"/>
    <x v="7"/>
    <n v="275"/>
    <n v="189"/>
    <m/>
    <m/>
    <n v="322"/>
    <n v="3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7"/>
    <n v="510"/>
  </r>
  <r>
    <x v="9"/>
    <s v="Mitchell Community College "/>
    <m/>
    <n v="198987"/>
    <x v="7"/>
    <n v="155"/>
    <n v="141"/>
    <m/>
    <m/>
    <n v="285"/>
    <n v="3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0"/>
    <n v="461"/>
  </r>
  <r>
    <x v="9"/>
    <s v="Nash Community College"/>
    <m/>
    <n v="199087"/>
    <x v="7"/>
    <n v="163"/>
    <n v="221"/>
    <m/>
    <m/>
    <n v="255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8"/>
    <n v="492"/>
  </r>
  <r>
    <x v="9"/>
    <s v="Randolph Community College"/>
    <m/>
    <n v="199421"/>
    <x v="7"/>
    <n v="90"/>
    <n v="76"/>
    <m/>
    <m/>
    <n v="331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1"/>
    <n v="419"/>
  </r>
  <r>
    <x v="9"/>
    <s v="Robeson Community College"/>
    <m/>
    <n v="199476"/>
    <x v="7"/>
    <n v="128"/>
    <n v="17"/>
    <m/>
    <m/>
    <n v="238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246"/>
  </r>
  <r>
    <x v="9"/>
    <s v="Sandhills Community College "/>
    <m/>
    <n v="199634"/>
    <x v="7"/>
    <n v="142"/>
    <n v="129"/>
    <m/>
    <m/>
    <n v="460"/>
    <n v="4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2"/>
    <n v="572"/>
  </r>
  <r>
    <x v="9"/>
    <s v="Stanly Community College"/>
    <m/>
    <n v="199740"/>
    <x v="7"/>
    <n v="257"/>
    <n v="240"/>
    <m/>
    <m/>
    <n v="411"/>
    <n v="4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8"/>
    <n v="661"/>
  </r>
  <r>
    <x v="9"/>
    <s v="Surry Community College "/>
    <m/>
    <n v="199768"/>
    <x v="7"/>
    <n v="116"/>
    <n v="126"/>
    <m/>
    <m/>
    <n v="336"/>
    <n v="3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2"/>
    <n v="490"/>
  </r>
  <r>
    <x v="9"/>
    <s v="Vance-Granville Community College "/>
    <m/>
    <n v="199838"/>
    <x v="7"/>
    <n v="259"/>
    <n v="201"/>
    <m/>
    <m/>
    <n v="326"/>
    <n v="3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5"/>
    <n v="527"/>
  </r>
  <r>
    <x v="9"/>
    <s v="Wayne Community College"/>
    <m/>
    <n v="199892"/>
    <x v="7"/>
    <n v="262"/>
    <n v="195"/>
    <m/>
    <m/>
    <n v="371"/>
    <n v="4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3"/>
    <n v="665"/>
  </r>
  <r>
    <x v="9"/>
    <s v="Western Piedmont Community College "/>
    <m/>
    <n v="199908"/>
    <x v="7"/>
    <n v="161"/>
    <n v="96"/>
    <m/>
    <m/>
    <n v="456"/>
    <n v="4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7"/>
    <n v="559"/>
  </r>
  <r>
    <x v="9"/>
    <s v="Wilkes Community College "/>
    <m/>
    <n v="199926"/>
    <x v="7"/>
    <n v="154"/>
    <n v="190"/>
    <m/>
    <m/>
    <n v="338"/>
    <n v="3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2"/>
    <n v="530"/>
  </r>
  <r>
    <x v="9"/>
    <s v="Beaufort County Community College "/>
    <m/>
    <n v="197966"/>
    <x v="8"/>
    <n v="58"/>
    <n v="53"/>
    <n v="3420"/>
    <n v="2542"/>
    <n v="142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20"/>
    <n v="2796"/>
  </r>
  <r>
    <x v="9"/>
    <s v="Bladen Community College"/>
    <m/>
    <n v="198011"/>
    <x v="8"/>
    <n v="92"/>
    <n v="75"/>
    <m/>
    <m/>
    <n v="140"/>
    <n v="1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"/>
    <n v="221"/>
  </r>
  <r>
    <x v="9"/>
    <s v="Blue Ridge Community College"/>
    <m/>
    <n v="198039"/>
    <x v="8"/>
    <n v="77"/>
    <n v="44"/>
    <m/>
    <m/>
    <n v="209"/>
    <n v="2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6"/>
    <n v="253"/>
  </r>
  <r>
    <x v="9"/>
    <s v="Brunswick Community College"/>
    <m/>
    <n v="198084"/>
    <x v="8"/>
    <n v="120"/>
    <n v="161"/>
    <m/>
    <m/>
    <n v="152"/>
    <n v="2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"/>
    <n v="367"/>
  </r>
  <r>
    <x v="9"/>
    <s v="Carteret Community College"/>
    <m/>
    <n v="198206"/>
    <x v="8"/>
    <n v="157"/>
    <n v="179"/>
    <m/>
    <m/>
    <n v="170"/>
    <n v="1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377"/>
  </r>
  <r>
    <x v="9"/>
    <s v="College of the Albemarle"/>
    <s v="Met the criteria for Two-Year 2 in 2012-13."/>
    <n v="197814"/>
    <x v="8"/>
    <n v="187"/>
    <n v="123"/>
    <m/>
    <m/>
    <n v="180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7"/>
    <n v="358"/>
  </r>
  <r>
    <x v="9"/>
    <s v="Halifax Community College "/>
    <m/>
    <n v="198640"/>
    <x v="8"/>
    <n v="267"/>
    <n v="107"/>
    <m/>
    <m/>
    <n v="136"/>
    <n v="1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240"/>
  </r>
  <r>
    <x v="9"/>
    <s v="James Sprunt Community College"/>
    <m/>
    <n v="198729"/>
    <x v="8"/>
    <n v="210"/>
    <n v="167"/>
    <m/>
    <m/>
    <n v="152"/>
    <n v="1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2"/>
    <n v="308"/>
  </r>
  <r>
    <x v="9"/>
    <s v="Martin Community College "/>
    <m/>
    <n v="198905"/>
    <x v="8"/>
    <n v="80"/>
    <n v="59"/>
    <m/>
    <m/>
    <n v="66"/>
    <n v="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45"/>
  </r>
  <r>
    <x v="9"/>
    <s v="Mayland Community College"/>
    <m/>
    <n v="198914"/>
    <x v="8"/>
    <n v="190"/>
    <n v="105"/>
    <m/>
    <m/>
    <n v="83"/>
    <n v="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3"/>
    <n v="206"/>
  </r>
  <r>
    <x v="9"/>
    <s v="McDowell Technical Community College"/>
    <m/>
    <n v="198923"/>
    <x v="8"/>
    <n v="172"/>
    <n v="91"/>
    <m/>
    <m/>
    <n v="155"/>
    <n v="1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220"/>
  </r>
  <r>
    <x v="9"/>
    <s v="Montgomery Community College"/>
    <m/>
    <n v="199023"/>
    <x v="8"/>
    <n v="182"/>
    <n v="200"/>
    <m/>
    <m/>
    <n v="77"/>
    <n v="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9"/>
    <n v="284"/>
  </r>
  <r>
    <x v="9"/>
    <s v="Pamlico Community College"/>
    <m/>
    <n v="199263"/>
    <x v="8"/>
    <n v="162"/>
    <n v="21"/>
    <m/>
    <m/>
    <n v="46"/>
    <n v="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53"/>
  </r>
  <r>
    <x v="9"/>
    <s v="Piedmont Community College"/>
    <m/>
    <n v="199324"/>
    <x v="8"/>
    <n v="344"/>
    <n v="199"/>
    <m/>
    <m/>
    <n v="195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9"/>
    <n v="375"/>
  </r>
  <r>
    <x v="9"/>
    <s v="Richmond Community College"/>
    <s v="Met the criteria for Two-Year 2 in 2012-13."/>
    <n v="199449"/>
    <x v="8"/>
    <n v="95"/>
    <n v="70"/>
    <m/>
    <m/>
    <n v="192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7"/>
    <n v="299"/>
  </r>
  <r>
    <x v="9"/>
    <s v="Roanoke-Chowan Community College"/>
    <m/>
    <n v="199467"/>
    <x v="8"/>
    <n v="60"/>
    <n v="66"/>
    <m/>
    <m/>
    <n v="47"/>
    <n v="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"/>
    <n v="134"/>
  </r>
  <r>
    <x v="9"/>
    <s v="Rockingham Community College "/>
    <m/>
    <n v="199485"/>
    <x v="8"/>
    <n v="177"/>
    <n v="143"/>
    <m/>
    <m/>
    <n v="199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"/>
    <n v="360"/>
  </r>
  <r>
    <x v="9"/>
    <s v="Sampson Community College"/>
    <m/>
    <n v="199625"/>
    <x v="8"/>
    <n v="159"/>
    <n v="150"/>
    <m/>
    <m/>
    <n v="132"/>
    <n v="1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1"/>
    <n v="308"/>
  </r>
  <r>
    <x v="9"/>
    <s v="South Piedmont Community College"/>
    <s v="Met the criteria for Two-Year 2 in 2012-13."/>
    <n v="197850"/>
    <x v="8"/>
    <n v="213"/>
    <n v="142"/>
    <m/>
    <m/>
    <n v="240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3"/>
    <n v="377"/>
  </r>
  <r>
    <x v="9"/>
    <s v="Southeastern Community College "/>
    <s v="Met the criteria for Two-Year 2 in 2012-13."/>
    <n v="199722"/>
    <x v="8"/>
    <n v="125"/>
    <n v="116"/>
    <m/>
    <m/>
    <n v="118"/>
    <n v="1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"/>
    <n v="284"/>
  </r>
  <r>
    <x v="9"/>
    <s v="Southwestern Community College "/>
    <s v="Met the criteria for Two-Year 2 in 2012-13."/>
    <n v="199731"/>
    <x v="8"/>
    <n v="141"/>
    <n v="128"/>
    <m/>
    <m/>
    <n v="297"/>
    <n v="3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8"/>
    <n v="482"/>
  </r>
  <r>
    <x v="9"/>
    <s v="Tri-County Community College "/>
    <m/>
    <n v="199795"/>
    <x v="8"/>
    <n v="25"/>
    <n v="43"/>
    <m/>
    <m/>
    <n v="137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"/>
    <n v="165"/>
  </r>
  <r>
    <x v="9"/>
    <s v="Wilson Community College"/>
    <m/>
    <n v="199953"/>
    <x v="8"/>
    <n v="127"/>
    <n v="100"/>
    <m/>
    <m/>
    <n v="202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9"/>
    <n v="318"/>
  </r>
  <r>
    <x v="10"/>
    <s v="Oklahoma State University Main Campus"/>
    <m/>
    <n v="207388"/>
    <x v="0"/>
    <m/>
    <m/>
    <m/>
    <m/>
    <m/>
    <m/>
    <n v="0"/>
    <n v="0"/>
    <n v="3655"/>
    <n v="250"/>
    <m/>
    <m/>
    <n v="250"/>
    <n v="3781"/>
    <n v="259"/>
    <m/>
    <m/>
    <n v="259"/>
    <m/>
    <m/>
    <m/>
    <m/>
    <m/>
    <m/>
    <m/>
    <m/>
    <m/>
    <m/>
    <m/>
    <m/>
    <m/>
    <m/>
    <m/>
    <m/>
    <m/>
    <m/>
    <m/>
    <m/>
    <n v="0"/>
    <n v="0.71012240139887317"/>
    <n v="0"/>
    <n v="0.69173069886571537"/>
    <n v="57"/>
    <n v="72"/>
    <n v="52"/>
    <n v="298"/>
    <n v="14"/>
    <n v="246"/>
    <n v="14"/>
    <n v="235"/>
    <n v="52"/>
    <n v="245"/>
    <n v="13"/>
    <n v="125"/>
    <n v="13"/>
    <n v="147"/>
    <n v="30"/>
    <n v="85"/>
    <n v="1"/>
    <n v="110"/>
    <n v="1"/>
    <n v="71"/>
    <n v="30"/>
    <n v="89"/>
    <n v="26"/>
    <n v="40"/>
    <n v="11"/>
    <n v="81"/>
    <n v="19"/>
    <n v="37"/>
    <n v="19"/>
    <n v="56"/>
    <n v="42"/>
    <n v="30"/>
    <n v="51"/>
    <n v="31"/>
    <n v="11"/>
    <n v="29"/>
    <n v="26"/>
    <n v="30"/>
    <n v="51"/>
    <n v="19"/>
    <n v="42"/>
    <n v="29"/>
    <n v="112"/>
    <n v="170"/>
    <n v="1081"/>
    <n v="10"/>
    <n v="1234"/>
    <n v="10"/>
    <n v="13"/>
    <n v="35"/>
    <n v="13"/>
    <n v="46"/>
    <n v="42"/>
    <n v="30"/>
    <n v="42"/>
    <n v="27"/>
    <n v="14"/>
    <n v="21"/>
    <n v="14"/>
    <n v="25"/>
    <n v="26"/>
    <n v="19"/>
    <n v="1"/>
    <n v="20"/>
    <n v="19"/>
    <n v="14"/>
    <n v="19"/>
    <n v="19"/>
    <n v="40"/>
    <n v="13"/>
    <n v="26"/>
    <n v="17"/>
    <n v="1"/>
    <n v="12"/>
    <n v="40"/>
    <n v="11"/>
    <n v="52"/>
    <n v="12"/>
    <n v="52"/>
    <n v="10"/>
    <n v="31"/>
    <n v="6"/>
    <n v="51"/>
    <n v="7"/>
    <n v="11"/>
    <n v="5"/>
    <n v="31"/>
    <n v="6"/>
    <n v="22"/>
    <n v="24"/>
    <n v="189"/>
    <n v="10"/>
    <n v="0.18518518518518517"/>
    <n v="212"/>
    <n v="10"/>
    <n v="0.21698113207547171"/>
    <n v="1270"/>
    <n v="1446"/>
    <m/>
    <m/>
    <m/>
    <m/>
    <m/>
    <m/>
    <m/>
    <m/>
    <m/>
    <m/>
    <m/>
    <m/>
    <n v="82"/>
    <n v="83"/>
    <n v="83"/>
    <n v="84"/>
    <m/>
    <m/>
    <m/>
    <m/>
    <n v="165"/>
    <n v="167"/>
    <m/>
    <m/>
    <n v="5147"/>
    <n v="5466"/>
  </r>
  <r>
    <x v="10"/>
    <s v="University of Oklahoma Norman Campus"/>
    <m/>
    <n v="207500"/>
    <x v="0"/>
    <m/>
    <m/>
    <m/>
    <m/>
    <m/>
    <m/>
    <n v="0"/>
    <n v="0"/>
    <n v="4442"/>
    <n v="167"/>
    <m/>
    <m/>
    <n v="167"/>
    <n v="4450"/>
    <n v="156"/>
    <m/>
    <m/>
    <n v="156"/>
    <m/>
    <m/>
    <m/>
    <m/>
    <m/>
    <m/>
    <m/>
    <m/>
    <m/>
    <m/>
    <m/>
    <m/>
    <m/>
    <m/>
    <m/>
    <m/>
    <m/>
    <m/>
    <m/>
    <m/>
    <n v="0"/>
    <n v="0.60525957214879411"/>
    <n v="0"/>
    <n v="0.61566131710016603"/>
    <n v="53"/>
    <n v="86"/>
    <n v="52"/>
    <n v="455"/>
    <n v="52"/>
    <n v="488"/>
    <n v="5"/>
    <n v="269"/>
    <n v="44"/>
    <n v="250"/>
    <n v="44"/>
    <n v="263"/>
    <n v="30"/>
    <n v="215"/>
    <n v="30"/>
    <n v="166"/>
    <n v="14"/>
    <n v="157"/>
    <n v="13"/>
    <n v="163"/>
    <n v="13"/>
    <n v="145"/>
    <n v="14"/>
    <n v="138"/>
    <n v="24"/>
    <n v="142"/>
    <n v="24"/>
    <n v="102"/>
    <n v="40"/>
    <n v="72"/>
    <n v="40"/>
    <n v="73"/>
    <n v="25"/>
    <n v="60"/>
    <n v="45"/>
    <n v="61"/>
    <n v="45"/>
    <n v="54"/>
    <n v="25"/>
    <n v="55"/>
    <n v="50"/>
    <n v="49"/>
    <n v="229"/>
    <n v="195"/>
    <n v="1974"/>
    <n v="10"/>
    <n v="1827"/>
    <n v="10"/>
    <n v="26"/>
    <n v="32"/>
    <n v="14"/>
    <n v="40"/>
    <n v="40"/>
    <n v="27"/>
    <n v="40"/>
    <n v="32"/>
    <n v="13"/>
    <n v="24"/>
    <n v="13"/>
    <n v="29"/>
    <n v="42"/>
    <n v="23"/>
    <n v="45"/>
    <n v="22"/>
    <n v="14"/>
    <n v="21"/>
    <n v="42"/>
    <n v="17"/>
    <n v="45"/>
    <n v="19"/>
    <n v="50"/>
    <n v="12"/>
    <n v="50"/>
    <n v="13"/>
    <n v="52"/>
    <n v="10"/>
    <n v="9"/>
    <n v="10"/>
    <n v="27"/>
    <n v="8"/>
    <n v="27"/>
    <n v="7"/>
    <n v="9"/>
    <n v="7"/>
    <n v="51"/>
    <n v="6"/>
    <n v="11"/>
    <n v="6"/>
    <n v="29"/>
    <n v="35"/>
    <n v="211"/>
    <n v="10"/>
    <n v="0.15165876777251186"/>
    <n v="218"/>
    <n v="10"/>
    <n v="0.1834862385321101"/>
    <n v="2185"/>
    <n v="2045"/>
    <n v="160"/>
    <n v="186"/>
    <n v="164"/>
    <n v="156"/>
    <n v="62"/>
    <n v="58"/>
    <n v="120"/>
    <n v="116"/>
    <m/>
    <m/>
    <m/>
    <m/>
    <m/>
    <m/>
    <m/>
    <m/>
    <m/>
    <m/>
    <n v="153"/>
    <n v="131"/>
    <n v="659"/>
    <n v="647"/>
    <m/>
    <m/>
    <n v="7339"/>
    <n v="7228"/>
  </r>
  <r>
    <x v="10"/>
    <s v="Northeastern State University"/>
    <m/>
    <n v="207263"/>
    <x v="2"/>
    <m/>
    <m/>
    <m/>
    <m/>
    <m/>
    <m/>
    <n v="0"/>
    <n v="0"/>
    <n v="1430"/>
    <n v="320"/>
    <m/>
    <m/>
    <n v="320"/>
    <n v="1513"/>
    <n v="312"/>
    <m/>
    <m/>
    <n v="312"/>
    <m/>
    <m/>
    <m/>
    <m/>
    <m/>
    <m/>
    <m/>
    <m/>
    <m/>
    <m/>
    <m/>
    <m/>
    <m/>
    <m/>
    <m/>
    <m/>
    <m/>
    <m/>
    <m/>
    <m/>
    <n v="0"/>
    <n v="0.80022383883603809"/>
    <n v="0"/>
    <n v="0.83177570093457942"/>
    <m/>
    <m/>
    <n v="13"/>
    <n v="163"/>
    <n v="13"/>
    <n v="114"/>
    <n v="52"/>
    <n v="55"/>
    <n v="52"/>
    <n v="47"/>
    <n v="42"/>
    <n v="30"/>
    <n v="51"/>
    <n v="34"/>
    <n v="51"/>
    <n v="21"/>
    <n v="42"/>
    <n v="24"/>
    <n v="25"/>
    <n v="19"/>
    <n v="25"/>
    <n v="14"/>
    <n v="23"/>
    <n v="14"/>
    <n v="23"/>
    <n v="12"/>
    <n v="43"/>
    <n v="11"/>
    <n v="43"/>
    <n v="11"/>
    <n v="31"/>
    <n v="9"/>
    <n v="15"/>
    <n v="8"/>
    <n v="15"/>
    <n v="4"/>
    <n v="31"/>
    <n v="8"/>
    <n v="5"/>
    <n v="3"/>
    <n v="9"/>
    <n v="4"/>
    <n v="2"/>
    <n v="3"/>
    <n v="331"/>
    <n v="10"/>
    <n v="27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31"/>
    <n v="279"/>
    <m/>
    <m/>
    <m/>
    <m/>
    <m/>
    <m/>
    <m/>
    <m/>
    <m/>
    <m/>
    <n v="26"/>
    <n v="27"/>
    <m/>
    <m/>
    <m/>
    <m/>
    <m/>
    <m/>
    <m/>
    <m/>
    <n v="26"/>
    <n v="27"/>
    <m/>
    <m/>
    <n v="1787"/>
    <n v="1819"/>
  </r>
  <r>
    <x v="10"/>
    <s v="University of Central Oklahoma"/>
    <m/>
    <n v="206941"/>
    <x v="2"/>
    <m/>
    <m/>
    <m/>
    <m/>
    <n v="58"/>
    <n v="58"/>
    <n v="2.5550660792951541E-2"/>
    <n v="2.3897816234033788E-2"/>
    <n v="2270"/>
    <n v="246"/>
    <m/>
    <m/>
    <n v="246"/>
    <n v="2427"/>
    <n v="254"/>
    <m/>
    <m/>
    <n v="254"/>
    <m/>
    <m/>
    <m/>
    <m/>
    <m/>
    <m/>
    <m/>
    <m/>
    <m/>
    <m/>
    <m/>
    <m/>
    <m/>
    <m/>
    <m/>
    <m/>
    <m/>
    <m/>
    <m/>
    <m/>
    <n v="0"/>
    <n v="0.79287460705553614"/>
    <n v="0"/>
    <n v="0.78467507274490789"/>
    <m/>
    <m/>
    <n v="13"/>
    <n v="259"/>
    <n v="13"/>
    <n v="253"/>
    <n v="52"/>
    <n v="82"/>
    <n v="52"/>
    <n v="88"/>
    <n v="19"/>
    <n v="38"/>
    <n v="51"/>
    <n v="52"/>
    <n v="51"/>
    <n v="37"/>
    <n v="19"/>
    <n v="46"/>
    <n v="42"/>
    <n v="35"/>
    <n v="42"/>
    <n v="38"/>
    <n v="23"/>
    <n v="14"/>
    <n v="50"/>
    <n v="36"/>
    <n v="43"/>
    <n v="31"/>
    <n v="23"/>
    <n v="34"/>
    <n v="50"/>
    <n v="13"/>
    <n v="43"/>
    <n v="25"/>
    <n v="54"/>
    <n v="10"/>
    <n v="45"/>
    <n v="19"/>
    <n v="23"/>
    <n v="6"/>
    <n v="54"/>
    <n v="7"/>
    <n v="10"/>
    <n v="10"/>
    <n v="535"/>
    <n v="10"/>
    <n v="60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5"/>
    <n v="608"/>
    <m/>
    <m/>
    <m/>
    <m/>
    <m/>
    <m/>
    <m/>
    <m/>
    <m/>
    <m/>
    <m/>
    <m/>
    <m/>
    <m/>
    <m/>
    <m/>
    <m/>
    <m/>
    <m/>
    <m/>
    <n v="0"/>
    <n v="0"/>
    <m/>
    <m/>
    <n v="2863"/>
    <n v="3093"/>
  </r>
  <r>
    <x v="10"/>
    <s v="Southeastern Oklahoma State University "/>
    <s v="Reclassified: met the criteria for Four-Year 4 in 2010-11, 2011-12, and 2012-13."/>
    <n v="207847"/>
    <x v="3"/>
    <m/>
    <m/>
    <m/>
    <m/>
    <m/>
    <m/>
    <n v="0"/>
    <n v="0"/>
    <n v="623"/>
    <n v="125"/>
    <m/>
    <m/>
    <n v="125"/>
    <n v="610"/>
    <n v="110"/>
    <m/>
    <m/>
    <n v="110"/>
    <m/>
    <m/>
    <m/>
    <m/>
    <m/>
    <m/>
    <m/>
    <m/>
    <m/>
    <m/>
    <m/>
    <m/>
    <m/>
    <m/>
    <m/>
    <m/>
    <m/>
    <m/>
    <m/>
    <m/>
    <n v="0"/>
    <n v="0.8229854689564069"/>
    <n v="0"/>
    <n v="0.7901554404145078"/>
    <m/>
    <m/>
    <n v="14"/>
    <n v="53"/>
    <n v="14"/>
    <n v="71"/>
    <n v="13"/>
    <n v="42"/>
    <n v="13"/>
    <n v="43"/>
    <n v="15"/>
    <n v="16"/>
    <n v="15"/>
    <n v="20"/>
    <n v="52"/>
    <n v="13"/>
    <n v="52"/>
    <n v="16"/>
    <n v="42"/>
    <n v="10"/>
    <n v="42"/>
    <n v="9"/>
    <m/>
    <m/>
    <n v="31"/>
    <n v="3"/>
    <m/>
    <m/>
    <m/>
    <m/>
    <m/>
    <m/>
    <m/>
    <m/>
    <m/>
    <m/>
    <m/>
    <m/>
    <m/>
    <m/>
    <m/>
    <m/>
    <m/>
    <m/>
    <n v="134"/>
    <n v="5"/>
    <n v="16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4"/>
    <n v="162"/>
    <m/>
    <m/>
    <m/>
    <m/>
    <m/>
    <m/>
    <m/>
    <m/>
    <m/>
    <m/>
    <m/>
    <m/>
    <m/>
    <m/>
    <m/>
    <m/>
    <m/>
    <m/>
    <m/>
    <m/>
    <n v="0"/>
    <n v="0"/>
    <m/>
    <m/>
    <n v="757"/>
    <n v="772"/>
  </r>
  <r>
    <x v="10"/>
    <s v="Cameron University "/>
    <m/>
    <n v="206914"/>
    <x v="4"/>
    <m/>
    <m/>
    <m/>
    <m/>
    <n v="184"/>
    <n v="185"/>
    <n v="0.34200743494423791"/>
    <n v="0.32743362831858408"/>
    <n v="538"/>
    <n v="102"/>
    <m/>
    <m/>
    <n v="102"/>
    <n v="565"/>
    <n v="71"/>
    <m/>
    <m/>
    <n v="71"/>
    <m/>
    <m/>
    <m/>
    <m/>
    <m/>
    <m/>
    <m/>
    <m/>
    <m/>
    <m/>
    <m/>
    <m/>
    <m/>
    <m/>
    <m/>
    <m/>
    <m/>
    <m/>
    <m/>
    <m/>
    <n v="0"/>
    <n v="0.65370595382746055"/>
    <n v="0"/>
    <n v="0.66943127962085303"/>
    <m/>
    <m/>
    <n v="13"/>
    <n v="45"/>
    <n v="13"/>
    <n v="39"/>
    <n v="52"/>
    <n v="32"/>
    <n v="42"/>
    <n v="30"/>
    <n v="42"/>
    <n v="24"/>
    <n v="52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  <n v="3"/>
    <n v="9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1"/>
    <n v="94"/>
    <m/>
    <m/>
    <m/>
    <m/>
    <m/>
    <m/>
    <m/>
    <m/>
    <m/>
    <m/>
    <m/>
    <m/>
    <m/>
    <m/>
    <m/>
    <m/>
    <m/>
    <m/>
    <m/>
    <m/>
    <n v="0"/>
    <n v="0"/>
    <m/>
    <m/>
    <n v="823"/>
    <n v="844"/>
  </r>
  <r>
    <x v="10"/>
    <s v="East Central University "/>
    <m/>
    <n v="207041"/>
    <x v="4"/>
    <m/>
    <m/>
    <m/>
    <m/>
    <m/>
    <m/>
    <n v="0"/>
    <n v="0"/>
    <n v="679"/>
    <n v="76"/>
    <m/>
    <m/>
    <n v="76"/>
    <n v="547"/>
    <n v="87"/>
    <m/>
    <m/>
    <n v="87"/>
    <m/>
    <m/>
    <m/>
    <m/>
    <m/>
    <m/>
    <m/>
    <m/>
    <m/>
    <m/>
    <m/>
    <m/>
    <m/>
    <m/>
    <m/>
    <m/>
    <m/>
    <m/>
    <m/>
    <m/>
    <n v="0"/>
    <n v="0.67967967967967968"/>
    <n v="0"/>
    <n v="0.66870415647921755"/>
    <m/>
    <m/>
    <n v="13"/>
    <n v="254"/>
    <n v="13"/>
    <n v="194"/>
    <n v="44"/>
    <n v="45"/>
    <n v="44"/>
    <n v="51"/>
    <n v="52"/>
    <n v="11"/>
    <n v="52"/>
    <n v="13"/>
    <n v="42"/>
    <n v="10"/>
    <n v="42"/>
    <n v="13"/>
    <m/>
    <m/>
    <m/>
    <m/>
    <m/>
    <m/>
    <m/>
    <m/>
    <m/>
    <m/>
    <m/>
    <m/>
    <m/>
    <m/>
    <m/>
    <m/>
    <m/>
    <m/>
    <m/>
    <m/>
    <m/>
    <m/>
    <m/>
    <m/>
    <m/>
    <m/>
    <n v="320"/>
    <n v="4"/>
    <n v="27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0"/>
    <n v="271"/>
    <m/>
    <m/>
    <m/>
    <m/>
    <m/>
    <m/>
    <m/>
    <m/>
    <m/>
    <m/>
    <m/>
    <m/>
    <m/>
    <m/>
    <m/>
    <m/>
    <m/>
    <m/>
    <m/>
    <m/>
    <n v="0"/>
    <n v="0"/>
    <m/>
    <m/>
    <n v="999"/>
    <n v="818"/>
  </r>
  <r>
    <x v="10"/>
    <s v="Langston University"/>
    <m/>
    <n v="207209"/>
    <x v="4"/>
    <m/>
    <m/>
    <m/>
    <m/>
    <n v="17"/>
    <n v="16"/>
    <n v="5.8620689655172413E-2"/>
    <n v="5.2459016393442623E-2"/>
    <n v="290"/>
    <n v="21"/>
    <m/>
    <m/>
    <n v="21"/>
    <n v="305"/>
    <n v="34"/>
    <m/>
    <m/>
    <n v="34"/>
    <m/>
    <m/>
    <m/>
    <m/>
    <m/>
    <m/>
    <m/>
    <m/>
    <m/>
    <m/>
    <m/>
    <m/>
    <m/>
    <m/>
    <m/>
    <m/>
    <m/>
    <m/>
    <m/>
    <m/>
    <n v="0"/>
    <n v="0.73604060913705582"/>
    <n v="0"/>
    <n v="0.73849878934624702"/>
    <m/>
    <m/>
    <n v="51"/>
    <n v="42"/>
    <n v="51"/>
    <n v="57"/>
    <n v="13"/>
    <n v="26"/>
    <n v="13"/>
    <n v="24"/>
    <n v="52"/>
    <n v="5"/>
    <n v="5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  <n v="3"/>
    <n v="9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3"/>
    <n v="92"/>
    <m/>
    <m/>
    <m/>
    <m/>
    <m/>
    <m/>
    <m/>
    <m/>
    <m/>
    <m/>
    <m/>
    <m/>
    <m/>
    <m/>
    <m/>
    <m/>
    <m/>
    <m/>
    <n v="14"/>
    <n v="0"/>
    <n v="14"/>
    <n v="0"/>
    <m/>
    <m/>
    <n v="394"/>
    <n v="413"/>
  </r>
  <r>
    <x v="10"/>
    <s v="Northwestern Oklahoma State University "/>
    <m/>
    <n v="207306"/>
    <x v="4"/>
    <m/>
    <m/>
    <m/>
    <m/>
    <m/>
    <m/>
    <n v="0"/>
    <n v="0"/>
    <n v="317"/>
    <n v="64"/>
    <m/>
    <m/>
    <n v="64"/>
    <n v="342"/>
    <n v="59"/>
    <m/>
    <m/>
    <n v="59"/>
    <m/>
    <m/>
    <m/>
    <m/>
    <m/>
    <m/>
    <m/>
    <m/>
    <m/>
    <m/>
    <m/>
    <m/>
    <m/>
    <m/>
    <m/>
    <m/>
    <m/>
    <m/>
    <m/>
    <m/>
    <n v="0"/>
    <n v="0.85675675675675678"/>
    <n v="0"/>
    <n v="0.88601036269430056"/>
    <m/>
    <m/>
    <n v="13"/>
    <n v="33"/>
    <n v="13"/>
    <n v="27"/>
    <n v="42"/>
    <n v="20"/>
    <n v="42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"/>
    <n v="4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"/>
    <n v="44"/>
    <m/>
    <m/>
    <m/>
    <m/>
    <m/>
    <m/>
    <m/>
    <m/>
    <m/>
    <m/>
    <m/>
    <m/>
    <m/>
    <m/>
    <m/>
    <m/>
    <m/>
    <m/>
    <m/>
    <m/>
    <n v="0"/>
    <n v="0"/>
    <m/>
    <m/>
    <n v="370"/>
    <n v="386"/>
  </r>
  <r>
    <x v="10"/>
    <s v="Southwestern Oklahoma State University"/>
    <m/>
    <n v="207865"/>
    <x v="4"/>
    <m/>
    <m/>
    <m/>
    <m/>
    <n v="98"/>
    <n v="67"/>
    <n v="0.17594254937163376"/>
    <n v="0.13508064516129031"/>
    <n v="557"/>
    <n v="81"/>
    <m/>
    <m/>
    <n v="81"/>
    <n v="496"/>
    <n v="91"/>
    <m/>
    <m/>
    <n v="91"/>
    <m/>
    <m/>
    <m/>
    <m/>
    <m/>
    <m/>
    <m/>
    <m/>
    <m/>
    <m/>
    <m/>
    <m/>
    <m/>
    <m/>
    <m/>
    <m/>
    <m/>
    <m/>
    <m/>
    <m/>
    <n v="0"/>
    <n v="0.58202716823406475"/>
    <n v="0"/>
    <n v="0.57540603248259858"/>
    <m/>
    <m/>
    <n v="13"/>
    <n v="147"/>
    <n v="13"/>
    <n v="154"/>
    <n v="42"/>
    <n v="40"/>
    <n v="52"/>
    <n v="34"/>
    <n v="52"/>
    <n v="34"/>
    <n v="42"/>
    <n v="29"/>
    <n v="50"/>
    <n v="1"/>
    <n v="50"/>
    <n v="5"/>
    <m/>
    <m/>
    <m/>
    <m/>
    <m/>
    <m/>
    <m/>
    <m/>
    <m/>
    <m/>
    <m/>
    <m/>
    <m/>
    <m/>
    <m/>
    <m/>
    <m/>
    <m/>
    <m/>
    <m/>
    <m/>
    <m/>
    <m/>
    <m/>
    <m/>
    <m/>
    <n v="222"/>
    <n v="4"/>
    <n v="22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2"/>
    <n v="222"/>
    <m/>
    <m/>
    <m/>
    <m/>
    <m/>
    <m/>
    <n v="80"/>
    <n v="77"/>
    <m/>
    <m/>
    <m/>
    <m/>
    <m/>
    <m/>
    <m/>
    <m/>
    <m/>
    <m/>
    <m/>
    <m/>
    <n v="80"/>
    <n v="77"/>
    <m/>
    <m/>
    <n v="957"/>
    <n v="862"/>
  </r>
  <r>
    <x v="10"/>
    <s v="Oklahoma Panhandle State University "/>
    <m/>
    <n v="207351"/>
    <x v="5"/>
    <m/>
    <m/>
    <m/>
    <m/>
    <n v="61"/>
    <n v="59"/>
    <n v="0.29756097560975608"/>
    <n v="0.26457399103139012"/>
    <n v="205"/>
    <n v="17"/>
    <m/>
    <m/>
    <n v="17"/>
    <n v="223"/>
    <n v="22"/>
    <m/>
    <m/>
    <n v="22"/>
    <m/>
    <m/>
    <m/>
    <m/>
    <m/>
    <m/>
    <m/>
    <m/>
    <m/>
    <m/>
    <m/>
    <m/>
    <m/>
    <m/>
    <m/>
    <m/>
    <m/>
    <m/>
    <m/>
    <m/>
    <n v="0"/>
    <n v="0.77067669172932329"/>
    <n v="0"/>
    <n v="0.790780141843971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6"/>
    <n v="282"/>
  </r>
  <r>
    <x v="10"/>
    <s v="Rogers State University"/>
    <m/>
    <n v="207661"/>
    <x v="5"/>
    <m/>
    <n v="0"/>
    <m/>
    <m/>
    <n v="276"/>
    <n v="230"/>
    <n v="1.0147058823529411"/>
    <n v="0.79584775086505188"/>
    <n v="272"/>
    <n v="0"/>
    <m/>
    <m/>
    <n v="0"/>
    <n v="289"/>
    <m/>
    <m/>
    <m/>
    <n v="0"/>
    <m/>
    <m/>
    <m/>
    <m/>
    <m/>
    <m/>
    <m/>
    <m/>
    <m/>
    <m/>
    <m/>
    <m/>
    <m/>
    <m/>
    <m/>
    <m/>
    <m/>
    <m/>
    <m/>
    <m/>
    <n v="0"/>
    <n v="0.49635036496350365"/>
    <n v="0"/>
    <n v="0.556840077071290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519"/>
  </r>
  <r>
    <x v="10"/>
    <s v="University of Science and Arts of Oklahoma"/>
    <m/>
    <n v="207722"/>
    <x v="5"/>
    <m/>
    <m/>
    <m/>
    <m/>
    <m/>
    <n v="0"/>
    <n v="0"/>
    <n v="0"/>
    <n v="211"/>
    <n v="26"/>
    <m/>
    <m/>
    <n v="26"/>
    <n v="188"/>
    <n v="36"/>
    <m/>
    <m/>
    <n v="36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1"/>
    <n v="188"/>
  </r>
  <r>
    <x v="10"/>
    <s v="Oklahoma State University Technical Branch-Okmulgee "/>
    <s v="Met the criteria for Two-Year 2 institution in 2012-13."/>
    <n v="207564"/>
    <x v="12"/>
    <m/>
    <m/>
    <m/>
    <m/>
    <n v="591"/>
    <n v="641"/>
    <n v="12.061224489795919"/>
    <n v="0"/>
    <n v="49"/>
    <n v="0"/>
    <m/>
    <m/>
    <n v="0"/>
    <m/>
    <m/>
    <m/>
    <m/>
    <n v="0"/>
    <n v="11"/>
    <n v="40"/>
    <n v="11"/>
    <n v="36"/>
    <n v="15"/>
    <n v="9"/>
    <n v="15"/>
    <n v="18"/>
    <m/>
    <m/>
    <m/>
    <m/>
    <m/>
    <m/>
    <m/>
    <m/>
    <m/>
    <m/>
    <m/>
    <m/>
    <n v="2"/>
    <n v="7.6562500000000006E-2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0"/>
    <n v="641"/>
  </r>
  <r>
    <x v="10"/>
    <s v="Oklahoma State University-Oklahoma City "/>
    <s v="Met the criteria for Two-Year 1 institution in 2012-13."/>
    <n v="207397"/>
    <x v="12"/>
    <n v="27"/>
    <n v="46"/>
    <m/>
    <m/>
    <n v="421"/>
    <n v="705"/>
    <n v="60.142857142857146"/>
    <n v="0"/>
    <n v="7"/>
    <n v="0"/>
    <m/>
    <m/>
    <n v="0"/>
    <m/>
    <m/>
    <m/>
    <m/>
    <n v="0"/>
    <n v="43"/>
    <n v="7"/>
    <n v="43"/>
    <n v="17"/>
    <m/>
    <m/>
    <m/>
    <m/>
    <m/>
    <m/>
    <m/>
    <m/>
    <m/>
    <m/>
    <m/>
    <m/>
    <m/>
    <m/>
    <m/>
    <m/>
    <n v="1"/>
    <n v="1.5384615384615385E-2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5"/>
    <n v="751"/>
  </r>
  <r>
    <x v="10"/>
    <s v="Oklahoma City Community College "/>
    <m/>
    <n v="207449"/>
    <x v="6"/>
    <n v="149"/>
    <n v="202"/>
    <m/>
    <m/>
    <n v="991"/>
    <n v="13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0"/>
    <n v="1575"/>
  </r>
  <r>
    <x v="10"/>
    <s v="Rose State College "/>
    <m/>
    <n v="207670"/>
    <x v="6"/>
    <n v="10"/>
    <n v="13"/>
    <m/>
    <m/>
    <n v="760"/>
    <n v="8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0"/>
    <n v="860"/>
  </r>
  <r>
    <x v="10"/>
    <s v="Tulsa Community College "/>
    <m/>
    <n v="207935"/>
    <x v="6"/>
    <n v="261"/>
    <n v="367"/>
    <m/>
    <m/>
    <n v="2061"/>
    <n v="22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22"/>
    <n v="2615"/>
  </r>
  <r>
    <x v="10"/>
    <s v="Carl Albert State College"/>
    <s v="Reclassified: met the criteria for Two-Year 2 institution in 2010-11, 2011-12, and 2012-13."/>
    <n v="206923"/>
    <x v="7"/>
    <n v="27"/>
    <n v="13"/>
    <m/>
    <m/>
    <n v="450"/>
    <n v="4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7"/>
    <n v="424"/>
  </r>
  <r>
    <x v="10"/>
    <s v="Northern Oklahoma College "/>
    <m/>
    <n v="207281"/>
    <x v="7"/>
    <n v="0"/>
    <n v="0"/>
    <m/>
    <m/>
    <n v="790"/>
    <n v="8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0"/>
    <n v="835"/>
  </r>
  <r>
    <x v="10"/>
    <s v="Connors State College "/>
    <s v="Met the criteria for Two-Year 2 institution in 2012-13."/>
    <n v="206996"/>
    <x v="8"/>
    <n v="4"/>
    <s v="0"/>
    <m/>
    <m/>
    <n v="327"/>
    <n v="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1"/>
    <n v="331"/>
  </r>
  <r>
    <x v="10"/>
    <s v="Eastern Oklahoma State College "/>
    <m/>
    <n v="207050"/>
    <x v="8"/>
    <n v="7"/>
    <n v="9"/>
    <m/>
    <m/>
    <n v="241"/>
    <n v="18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"/>
    <n v="190"/>
  </r>
  <r>
    <x v="10"/>
    <s v="Murray State College "/>
    <m/>
    <n v="207236"/>
    <x v="8"/>
    <n v="0"/>
    <n v="0"/>
    <m/>
    <m/>
    <n v="353"/>
    <n v="4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"/>
    <n v="408"/>
  </r>
  <r>
    <x v="10"/>
    <s v="Northeastern Oklahoma A &amp; M College "/>
    <m/>
    <n v="207290"/>
    <x v="8"/>
    <n v="45"/>
    <n v="47"/>
    <m/>
    <m/>
    <n v="372"/>
    <n v="4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7"/>
    <n v="447"/>
  </r>
  <r>
    <x v="10"/>
    <s v="Redlands Community College"/>
    <m/>
    <n v="207069"/>
    <x v="8"/>
    <n v="23"/>
    <n v="29"/>
    <m/>
    <m/>
    <n v="249"/>
    <n v="3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"/>
    <n v="333"/>
  </r>
  <r>
    <x v="10"/>
    <s v="Seminole State College "/>
    <m/>
    <n v="207740"/>
    <x v="8"/>
    <n v="26"/>
    <n v="18"/>
    <m/>
    <m/>
    <n v="282"/>
    <n v="2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8"/>
    <n v="314"/>
  </r>
  <r>
    <x v="10"/>
    <s v="Western Oklahoma State College "/>
    <s v="Met the criteria for Two-Year 2 institution in 2011-12 and 2012-13."/>
    <n v="208035"/>
    <x v="8"/>
    <n v="7"/>
    <n v="14"/>
    <m/>
    <m/>
    <n v="292"/>
    <n v="2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9"/>
    <n v="291"/>
  </r>
  <r>
    <x v="10"/>
    <s v="Canadian Valley Technology Center                 "/>
    <m/>
    <n v="365374"/>
    <x v="9"/>
    <n v="469"/>
    <n v="481"/>
    <n v="30"/>
    <n v="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485"/>
  </r>
  <r>
    <x v="10"/>
    <s v="Francis Tuttle Technology Center                  "/>
    <m/>
    <n v="245999"/>
    <x v="9"/>
    <n v="675"/>
    <n v="638"/>
    <n v="46"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643"/>
  </r>
  <r>
    <x v="10"/>
    <s v="Metro Technology Centers                          "/>
    <m/>
    <n v="363165"/>
    <x v="9"/>
    <n v="384"/>
    <n v="446"/>
    <n v="115"/>
    <n v="11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9"/>
    <n v="563"/>
  </r>
  <r>
    <x v="10"/>
    <s v="Autry Technology Center                           "/>
    <m/>
    <n v="365213"/>
    <x v="10"/>
    <n v="259"/>
    <n v="255"/>
    <n v="16"/>
    <n v="7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5"/>
    <n v="262"/>
  </r>
  <r>
    <x v="10"/>
    <s v="Caddo Kiowa Technology Center                     "/>
    <m/>
    <n v="364946"/>
    <x v="10"/>
    <n v="180"/>
    <n v="18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"/>
    <n v="183"/>
  </r>
  <r>
    <x v="10"/>
    <s v="Central Technology Center                         "/>
    <m/>
    <n v="246017"/>
    <x v="10"/>
    <n v="755"/>
    <n v="906"/>
    <n v="3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8"/>
    <n v="906"/>
  </r>
  <r>
    <x v="10"/>
    <s v="Chisholm Trail Technology Center                  "/>
    <m/>
    <n v="375656"/>
    <x v="10"/>
    <n v="82"/>
    <n v="61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"/>
    <n v="61"/>
  </r>
  <r>
    <x v="10"/>
    <s v="Eastern Oklahoma County Technology Center         "/>
    <m/>
    <n v="418348"/>
    <x v="10"/>
    <n v="227"/>
    <n v="210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7"/>
    <n v="210"/>
  </r>
  <r>
    <x v="10"/>
    <s v="Gordon Cooper Technology Center                   "/>
    <m/>
    <n v="375683"/>
    <x v="10"/>
    <n v="363"/>
    <n v="323"/>
    <n v="49"/>
    <n v="34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357"/>
  </r>
  <r>
    <x v="10"/>
    <s v="Great Plains Technology Center                    "/>
    <m/>
    <n v="364548"/>
    <x v="10"/>
    <n v="491"/>
    <n v="559"/>
    <n v="31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2"/>
    <n v="568"/>
  </r>
  <r>
    <x v="10"/>
    <s v="Green Country Technology Center                   "/>
    <m/>
    <n v="428019"/>
    <x v="10"/>
    <n v="146"/>
    <n v="158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58"/>
  </r>
  <r>
    <x v="10"/>
    <s v="High Plains Technology Center                     "/>
    <m/>
    <n v="208053"/>
    <x v="10"/>
    <n v="91"/>
    <n v="95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"/>
    <n v="95"/>
  </r>
  <r>
    <x v="10"/>
    <s v="Indian Capital Technology Center-Muskogee         "/>
    <m/>
    <n v="418296"/>
    <x v="10"/>
    <n v="314"/>
    <n v="306"/>
    <n v="16"/>
    <n v="1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0"/>
    <n v="317"/>
  </r>
  <r>
    <x v="10"/>
    <s v="Indian Capital Technology Center-Sallisaw         "/>
    <m/>
    <n v="421540"/>
    <x v="10"/>
    <n v="116"/>
    <n v="10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"/>
    <n v="103"/>
  </r>
  <r>
    <x v="10"/>
    <s v="Indian Capital Technology Center-Stilwell         "/>
    <m/>
    <n v="421559"/>
    <x v="10"/>
    <n v="58"/>
    <n v="87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"/>
    <n v="87"/>
  </r>
  <r>
    <x v="10"/>
    <s v="Indian Capital Technology Center-Tahlequah        "/>
    <m/>
    <n v="208026"/>
    <x v="10"/>
    <n v="158"/>
    <n v="14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"/>
    <n v="143"/>
  </r>
  <r>
    <x v="10"/>
    <s v="Kiamichi Technology Center-Atoka                  "/>
    <m/>
    <n v="375692"/>
    <x v="10"/>
    <n v="67"/>
    <n v="46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"/>
    <n v="46"/>
  </r>
  <r>
    <x v="10"/>
    <s v="Kiamichi Technology Center-Durant                 "/>
    <m/>
    <n v="375708"/>
    <x v="10"/>
    <n v="128"/>
    <n v="13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"/>
    <n v="133"/>
  </r>
  <r>
    <x v="10"/>
    <s v="Kiamichi Technology Center-Hugo                   "/>
    <m/>
    <n v="375717"/>
    <x v="10"/>
    <n v="153"/>
    <n v="155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"/>
    <n v="155"/>
  </r>
  <r>
    <x v="10"/>
    <s v="Kiamichi Technology Center-Idabel                 "/>
    <m/>
    <n v="375735"/>
    <x v="10"/>
    <n v="154"/>
    <n v="158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"/>
    <n v="158"/>
  </r>
  <r>
    <x v="10"/>
    <s v="Kiamichi Technology Center-McAlester              "/>
    <m/>
    <n v="375726"/>
    <x v="10"/>
    <n v="187"/>
    <n v="252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"/>
    <n v="252"/>
  </r>
  <r>
    <x v="10"/>
    <s v="Kiamichi Technology Center-Poteau                 "/>
    <m/>
    <n v="375744"/>
    <x v="10"/>
    <n v="204"/>
    <n v="20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4"/>
    <n v="203"/>
  </r>
  <r>
    <x v="10"/>
    <s v="Kiamichi Technology Center-Spiro                  "/>
    <m/>
    <n v="375753"/>
    <x v="10"/>
    <n v="37"/>
    <n v="46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"/>
    <n v="46"/>
  </r>
  <r>
    <x v="10"/>
    <s v="Kiamichi Technology Center-Stigler                "/>
    <m/>
    <n v="405748"/>
    <x v="10"/>
    <n v="49"/>
    <n v="71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"/>
    <n v="71"/>
  </r>
  <r>
    <x v="10"/>
    <s v="Kiamichi Technology Center-Talihina               "/>
    <m/>
    <n v="375762"/>
    <x v="10"/>
    <n v="41"/>
    <n v="55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"/>
    <n v="55"/>
  </r>
  <r>
    <x v="10"/>
    <s v="Meridian Technology Center                        "/>
    <m/>
    <n v="365480"/>
    <x v="10"/>
    <n v="275"/>
    <n v="262"/>
    <n v="9"/>
    <n v="1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4"/>
    <n v="274"/>
  </r>
  <r>
    <x v="10"/>
    <s v="Mid-America Technology Center                     "/>
    <m/>
    <n v="418320"/>
    <x v="10"/>
    <n v="287"/>
    <n v="279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7"/>
    <n v="279"/>
  </r>
  <r>
    <x v="10"/>
    <s v="Mid-Del Technology Center                         "/>
    <m/>
    <n v="431017"/>
    <x v="10"/>
    <n v="173"/>
    <n v="23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"/>
    <n v="233"/>
  </r>
  <r>
    <x v="10"/>
    <s v="Moore Norman Technology Center                    "/>
    <m/>
    <n v="248606"/>
    <x v="10"/>
    <n v="489"/>
    <n v="515"/>
    <m/>
    <n v="8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9"/>
    <n v="523"/>
  </r>
  <r>
    <x v="10"/>
    <s v="Northeast Technology Center-Afton                 "/>
    <m/>
    <n v="420459"/>
    <x v="10"/>
    <n v="206"/>
    <n v="217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"/>
    <n v="217"/>
  </r>
  <r>
    <x v="10"/>
    <s v="Northeast Technology Center-Claremore"/>
    <s v="New institution no longer in start up phase. "/>
    <n v="456560"/>
    <x v="10"/>
    <n v="65"/>
    <n v="64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"/>
    <n v="64"/>
  </r>
  <r>
    <x v="10"/>
    <s v="Northeast Technology Center-Kansas                "/>
    <m/>
    <n v="432074"/>
    <x v="10"/>
    <n v="110"/>
    <n v="82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"/>
    <n v="82"/>
  </r>
  <r>
    <x v="10"/>
    <s v="Northeast Technology Center-Pryor                 "/>
    <m/>
    <n v="418339"/>
    <x v="10"/>
    <n v="218"/>
    <n v="199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8"/>
    <n v="199"/>
  </r>
  <r>
    <x v="10"/>
    <s v="Northwest Technology Center-Alva                  "/>
    <m/>
    <n v="366623"/>
    <x v="10"/>
    <n v="29"/>
    <n v="28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"/>
    <n v="28"/>
  </r>
  <r>
    <x v="10"/>
    <s v="Northwest Technology Center-Fairview              "/>
    <m/>
    <n v="407601"/>
    <x v="10"/>
    <n v="44"/>
    <n v="32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"/>
    <n v="32"/>
  </r>
  <r>
    <x v="10"/>
    <s v="Pioneer Technology Center                         "/>
    <m/>
    <n v="364627"/>
    <x v="10"/>
    <n v="165"/>
    <n v="196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"/>
    <n v="196"/>
  </r>
  <r>
    <x v="10"/>
    <s v="Pontotoc Technology Center                        "/>
    <m/>
    <n v="206905"/>
    <x v="10"/>
    <n v="108"/>
    <n v="12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123"/>
  </r>
  <r>
    <x v="10"/>
    <s v="Red River Technology Center                       "/>
    <m/>
    <n v="250993"/>
    <x v="10"/>
    <n v="155"/>
    <n v="194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"/>
    <n v="194"/>
  </r>
  <r>
    <x v="10"/>
    <s v="Southern Oklahoma Technology Center               "/>
    <m/>
    <n v="365198"/>
    <x v="10"/>
    <n v="213"/>
    <n v="264"/>
    <m/>
    <n v="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"/>
    <n v="270"/>
  </r>
  <r>
    <x v="10"/>
    <s v="Southwest Technology Center                       "/>
    <m/>
    <n v="368364"/>
    <x v="10"/>
    <n v="150"/>
    <n v="158"/>
    <n v="1"/>
    <n v="2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160"/>
  </r>
  <r>
    <x v="10"/>
    <s v="Tri County Technology Center                      "/>
    <m/>
    <n v="418287"/>
    <x v="10"/>
    <n v="262"/>
    <n v="270"/>
    <n v="9"/>
    <n v="1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1"/>
    <n v="280"/>
  </r>
  <r>
    <x v="10"/>
    <s v="Tulsa County Area Voc Tech School Dist 18-Peoria  "/>
    <m/>
    <n v="207607"/>
    <x v="10"/>
    <n v="385"/>
    <n v="403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5"/>
    <n v="403"/>
  </r>
  <r>
    <x v="10"/>
    <s v="Tulsa Technology Center-Broken Arrow Campus       "/>
    <m/>
    <n v="261393"/>
    <x v="10"/>
    <n v="521"/>
    <n v="694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1"/>
    <n v="694"/>
  </r>
  <r>
    <x v="10"/>
    <s v="Tulsa Technology Center-Lemley Campus             "/>
    <m/>
    <n v="261375"/>
    <x v="10"/>
    <n v="857"/>
    <n v="815"/>
    <n v="16"/>
    <n v="1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3"/>
    <n v="831"/>
  </r>
  <r>
    <x v="10"/>
    <s v="Tulsa Technology Center-Riverside Campus          "/>
    <m/>
    <n v="261384"/>
    <x v="10"/>
    <n v="326"/>
    <n v="345"/>
    <n v="36"/>
    <n v="38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2"/>
    <n v="383"/>
  </r>
  <r>
    <x v="10"/>
    <s v="Wes Watkins Technology Center                     "/>
    <m/>
    <n v="418357"/>
    <x v="10"/>
    <n v="105"/>
    <n v="125"/>
    <m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"/>
    <n v="125"/>
  </r>
  <r>
    <x v="10"/>
    <s v="Western Technology Center                         "/>
    <m/>
    <n v="418302"/>
    <x v="10"/>
    <n v="223"/>
    <n v="211"/>
    <n v="5"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"/>
    <n v="216"/>
  </r>
  <r>
    <x v="11"/>
    <s v="Clemson University"/>
    <m/>
    <n v="217882"/>
    <x v="0"/>
    <m/>
    <m/>
    <m/>
    <m/>
    <m/>
    <m/>
    <n v="0"/>
    <n v="0"/>
    <n v="3318"/>
    <n v="186"/>
    <m/>
    <m/>
    <n v="186"/>
    <n v="3441"/>
    <n v="230"/>
    <m/>
    <m/>
    <n v="230"/>
    <m/>
    <m/>
    <m/>
    <m/>
    <m/>
    <m/>
    <m/>
    <m/>
    <m/>
    <m/>
    <m/>
    <m/>
    <m/>
    <m/>
    <m/>
    <m/>
    <m/>
    <m/>
    <m/>
    <m/>
    <n v="0"/>
    <n v="0.73439575033200533"/>
    <n v="0"/>
    <n v="0.72717666948436177"/>
    <m/>
    <m/>
    <n v="52"/>
    <n v="227"/>
    <n v="14"/>
    <n v="269"/>
    <n v="14"/>
    <n v="215"/>
    <n v="13"/>
    <n v="224"/>
    <n v="13"/>
    <n v="164"/>
    <n v="52"/>
    <n v="185"/>
    <n v="4"/>
    <n v="75"/>
    <n v="40"/>
    <n v="76"/>
    <n v="11"/>
    <n v="55"/>
    <n v="10"/>
    <n v="40"/>
    <n v="1"/>
    <n v="45"/>
    <n v="11"/>
    <n v="37"/>
    <n v="23"/>
    <n v="31"/>
    <n v="27"/>
    <n v="36"/>
    <n v="51"/>
    <n v="28"/>
    <n v="51"/>
    <n v="31"/>
    <n v="27"/>
    <n v="25"/>
    <n v="26"/>
    <n v="26"/>
    <n v="45"/>
    <n v="24"/>
    <n v="23"/>
    <n v="25"/>
    <n v="119"/>
    <n v="122"/>
    <n v="1008"/>
    <n v="10"/>
    <n v="1071"/>
    <n v="10"/>
    <n v="14"/>
    <n v="71"/>
    <n v="14"/>
    <n v="79"/>
    <n v="13"/>
    <n v="21"/>
    <n v="26"/>
    <n v="23"/>
    <n v="40"/>
    <n v="21"/>
    <n v="40"/>
    <n v="18"/>
    <n v="26"/>
    <n v="15"/>
    <n v="13"/>
    <n v="14"/>
    <n v="11"/>
    <n v="9"/>
    <n v="1"/>
    <n v="10"/>
    <n v="31"/>
    <n v="9"/>
    <n v="27"/>
    <n v="10"/>
    <n v="42"/>
    <n v="9"/>
    <n v="41"/>
    <n v="10"/>
    <n v="9"/>
    <n v="8"/>
    <n v="11"/>
    <n v="8"/>
    <n v="3"/>
    <n v="7"/>
    <n v="42"/>
    <n v="8"/>
    <n v="1"/>
    <n v="6"/>
    <n v="31"/>
    <n v="7"/>
    <n v="16"/>
    <n v="33"/>
    <n v="192"/>
    <n v="10"/>
    <n v="0.36979166666666669"/>
    <n v="220"/>
    <n v="10"/>
    <n v="0.35909090909090907"/>
    <n v="1200"/>
    <n v="1291"/>
    <m/>
    <m/>
    <m/>
    <m/>
    <m/>
    <m/>
    <m/>
    <m/>
    <m/>
    <m/>
    <m/>
    <m/>
    <m/>
    <m/>
    <m/>
    <m/>
    <m/>
    <m/>
    <m/>
    <m/>
    <n v="0"/>
    <n v="0"/>
    <m/>
    <m/>
    <n v="4518"/>
    <n v="4732"/>
  </r>
  <r>
    <x v="11"/>
    <s v="University of South Carolina-Columbia"/>
    <m/>
    <n v="218663"/>
    <x v="0"/>
    <m/>
    <m/>
    <n v="15"/>
    <n v="16"/>
    <n v="6"/>
    <n v="7"/>
    <n v="1.344688480502017E-3"/>
    <n v="1.5364354697102723E-3"/>
    <n v="4462"/>
    <n v="279"/>
    <m/>
    <n v="26"/>
    <n v="305"/>
    <n v="4556"/>
    <n v="195"/>
    <m/>
    <n v="20"/>
    <n v="215"/>
    <m/>
    <m/>
    <m/>
    <m/>
    <m/>
    <m/>
    <m/>
    <m/>
    <m/>
    <m/>
    <m/>
    <m/>
    <m/>
    <m/>
    <m/>
    <m/>
    <m/>
    <m/>
    <m/>
    <m/>
    <n v="0"/>
    <n v="0.63371680159068311"/>
    <n v="0"/>
    <n v="0.63622399106270078"/>
    <n v="83"/>
    <n v="91"/>
    <n v="13"/>
    <n v="401"/>
    <n v="13"/>
    <n v="396"/>
    <n v="52"/>
    <n v="351"/>
    <n v="52"/>
    <n v="369"/>
    <n v="44"/>
    <n v="260"/>
    <n v="44"/>
    <n v="260"/>
    <n v="51"/>
    <n v="188"/>
    <n v="51"/>
    <n v="221"/>
    <n v="25"/>
    <n v="164"/>
    <n v="25"/>
    <n v="156"/>
    <n v="14"/>
    <n v="87"/>
    <n v="14"/>
    <n v="77"/>
    <n v="26"/>
    <n v="49"/>
    <n v="26"/>
    <n v="56"/>
    <n v="45"/>
    <n v="46"/>
    <n v="50"/>
    <n v="50"/>
    <n v="40"/>
    <n v="39"/>
    <n v="40"/>
    <n v="40"/>
    <n v="50"/>
    <n v="39"/>
    <n v="45"/>
    <n v="37"/>
    <n v="148"/>
    <n v="155"/>
    <n v="1772"/>
    <n v="10"/>
    <n v="1817"/>
    <n v="10"/>
    <n v="13"/>
    <n v="57"/>
    <n v="51"/>
    <n v="46"/>
    <n v="51"/>
    <n v="47"/>
    <n v="13"/>
    <n v="42"/>
    <n v="26"/>
    <n v="36"/>
    <n v="14"/>
    <n v="40"/>
    <n v="40"/>
    <n v="35"/>
    <n v="26"/>
    <n v="37"/>
    <n v="14"/>
    <n v="29"/>
    <n v="40"/>
    <n v="28"/>
    <n v="45"/>
    <n v="15"/>
    <n v="27"/>
    <n v="17"/>
    <n v="50"/>
    <n v="13"/>
    <n v="45"/>
    <n v="14"/>
    <n v="42"/>
    <n v="12"/>
    <n v="42"/>
    <n v="13"/>
    <n v="23"/>
    <n v="11"/>
    <n v="50"/>
    <n v="11"/>
    <n v="52"/>
    <n v="11"/>
    <n v="23"/>
    <n v="9"/>
    <n v="23"/>
    <n v="22"/>
    <n v="289"/>
    <n v="10"/>
    <n v="0.1972318339100346"/>
    <n v="279"/>
    <n v="10"/>
    <n v="0.16487455197132617"/>
    <n v="2061"/>
    <n v="2096"/>
    <n v="229"/>
    <n v="220"/>
    <n v="80"/>
    <n v="75"/>
    <m/>
    <m/>
    <n v="105"/>
    <n v="100"/>
    <m/>
    <m/>
    <m/>
    <m/>
    <m/>
    <m/>
    <m/>
    <m/>
    <m/>
    <m/>
    <m/>
    <m/>
    <n v="414"/>
    <n v="395"/>
    <m/>
    <m/>
    <n v="7041"/>
    <n v="7161"/>
  </r>
  <r>
    <x v="11"/>
    <s v="College of Charleston"/>
    <m/>
    <n v="217819"/>
    <x v="2"/>
    <m/>
    <m/>
    <m/>
    <m/>
    <m/>
    <m/>
    <n v="0"/>
    <n v="0"/>
    <n v="2025"/>
    <n v="217"/>
    <m/>
    <n v="25"/>
    <n v="242"/>
    <n v="2114"/>
    <n v="209"/>
    <m/>
    <n v="33"/>
    <n v="242"/>
    <m/>
    <m/>
    <m/>
    <m/>
    <m/>
    <m/>
    <m/>
    <m/>
    <m/>
    <m/>
    <m/>
    <m/>
    <m/>
    <m/>
    <m/>
    <m/>
    <m/>
    <m/>
    <m/>
    <m/>
    <n v="0"/>
    <n v="0.91422121896162534"/>
    <n v="0"/>
    <n v="0.89919183326244156"/>
    <n v="7"/>
    <n v="12"/>
    <n v="13"/>
    <n v="70"/>
    <n v="13"/>
    <n v="77"/>
    <n v="3"/>
    <n v="22"/>
    <n v="52"/>
    <n v="48"/>
    <n v="44"/>
    <n v="18"/>
    <n v="44"/>
    <n v="32"/>
    <n v="52"/>
    <n v="17"/>
    <n v="3"/>
    <n v="16"/>
    <n v="9"/>
    <n v="15"/>
    <n v="9"/>
    <n v="10"/>
    <n v="26"/>
    <n v="11"/>
    <n v="23"/>
    <n v="10"/>
    <n v="23"/>
    <n v="10"/>
    <n v="27"/>
    <n v="9"/>
    <n v="54"/>
    <n v="9"/>
    <n v="26"/>
    <n v="8"/>
    <n v="16"/>
    <n v="5"/>
    <n v="11"/>
    <n v="7"/>
    <n v="11"/>
    <n v="4"/>
    <n v="54"/>
    <n v="7"/>
    <n v="2"/>
    <n v="1"/>
    <n v="183"/>
    <n v="10"/>
    <n v="22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3"/>
    <n v="225"/>
    <m/>
    <m/>
    <m/>
    <m/>
    <m/>
    <m/>
    <m/>
    <m/>
    <m/>
    <m/>
    <m/>
    <m/>
    <m/>
    <m/>
    <m/>
    <m/>
    <m/>
    <m/>
    <m/>
    <m/>
    <n v="0"/>
    <n v="0"/>
    <m/>
    <m/>
    <n v="2215"/>
    <n v="2351"/>
  </r>
  <r>
    <x v="11"/>
    <s v="Winthrop University "/>
    <m/>
    <n v="218964"/>
    <x v="2"/>
    <m/>
    <m/>
    <m/>
    <m/>
    <m/>
    <m/>
    <n v="0"/>
    <n v="0"/>
    <n v="937"/>
    <n v="151"/>
    <m/>
    <n v="33"/>
    <n v="184"/>
    <n v="969"/>
    <n v="138"/>
    <m/>
    <n v="33"/>
    <n v="171"/>
    <m/>
    <m/>
    <m/>
    <m/>
    <m/>
    <m/>
    <m/>
    <m/>
    <m/>
    <m/>
    <m/>
    <m/>
    <m/>
    <m/>
    <m/>
    <m/>
    <m/>
    <m/>
    <m/>
    <m/>
    <n v="0"/>
    <n v="0.72804972804972801"/>
    <n v="0"/>
    <n v="0.71724648408586233"/>
    <m/>
    <m/>
    <n v="13"/>
    <n v="153"/>
    <n v="13"/>
    <n v="159"/>
    <n v="52"/>
    <n v="71"/>
    <n v="52"/>
    <n v="75"/>
    <n v="44"/>
    <n v="37"/>
    <n v="44"/>
    <n v="44"/>
    <n v="50"/>
    <n v="20"/>
    <n v="50"/>
    <n v="27"/>
    <n v="19"/>
    <n v="18"/>
    <n v="19"/>
    <n v="25"/>
    <n v="42"/>
    <n v="18"/>
    <n v="42"/>
    <n v="18"/>
    <n v="23"/>
    <n v="8"/>
    <n v="26"/>
    <n v="9"/>
    <n v="54"/>
    <n v="7"/>
    <n v="24"/>
    <n v="7"/>
    <n v="24"/>
    <n v="6"/>
    <n v="31"/>
    <n v="7"/>
    <n v="16"/>
    <n v="5"/>
    <n v="23"/>
    <n v="4"/>
    <n v="7"/>
    <n v="7"/>
    <n v="350"/>
    <n v="10"/>
    <n v="38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0"/>
    <n v="382"/>
    <m/>
    <m/>
    <m/>
    <m/>
    <m/>
    <m/>
    <m/>
    <m/>
    <m/>
    <m/>
    <m/>
    <m/>
    <m/>
    <m/>
    <m/>
    <m/>
    <m/>
    <m/>
    <m/>
    <m/>
    <n v="0"/>
    <n v="0"/>
    <m/>
    <m/>
    <n v="1287"/>
    <n v="1351"/>
  </r>
  <r>
    <x v="11"/>
    <s v="The Citadel, the Military College of South Carolina "/>
    <s v="Met the criteria for Four-Year 3 in 2011-12 and 2012-13."/>
    <n v="217864"/>
    <x v="3"/>
    <m/>
    <m/>
    <m/>
    <m/>
    <m/>
    <m/>
    <n v="0"/>
    <n v="0"/>
    <n v="522"/>
    <n v="39"/>
    <m/>
    <m/>
    <n v="39"/>
    <n v="495"/>
    <n v="41"/>
    <m/>
    <n v="1"/>
    <n v="42"/>
    <m/>
    <m/>
    <m/>
    <m/>
    <m/>
    <m/>
    <m/>
    <m/>
    <m/>
    <m/>
    <m/>
    <m/>
    <m/>
    <m/>
    <m/>
    <m/>
    <m/>
    <m/>
    <m/>
    <m/>
    <n v="0"/>
    <n v="0.62815884476534301"/>
    <n v="0"/>
    <n v="0.62658227848101267"/>
    <m/>
    <m/>
    <n v="52"/>
    <n v="97"/>
    <n v="13"/>
    <n v="107"/>
    <n v="13"/>
    <n v="95"/>
    <n v="52"/>
    <n v="89"/>
    <n v="42"/>
    <n v="56"/>
    <n v="42"/>
    <n v="33"/>
    <n v="31"/>
    <n v="21"/>
    <n v="31"/>
    <n v="23"/>
    <n v="45"/>
    <n v="9"/>
    <n v="15"/>
    <n v="15"/>
    <n v="54"/>
    <n v="9"/>
    <n v="26"/>
    <n v="9"/>
    <n v="15"/>
    <n v="8"/>
    <n v="45"/>
    <n v="6"/>
    <n v="26"/>
    <n v="8"/>
    <n v="54"/>
    <n v="6"/>
    <n v="11"/>
    <n v="3"/>
    <n v="23"/>
    <n v="4"/>
    <n v="23"/>
    <n v="3"/>
    <n v="11"/>
    <n v="3"/>
    <m/>
    <m/>
    <n v="309"/>
    <n v="10"/>
    <n v="29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9"/>
    <n v="295"/>
    <m/>
    <m/>
    <m/>
    <m/>
    <m/>
    <m/>
    <m/>
    <m/>
    <m/>
    <m/>
    <m/>
    <m/>
    <m/>
    <m/>
    <m/>
    <m/>
    <m/>
    <m/>
    <m/>
    <m/>
    <n v="0"/>
    <n v="0"/>
    <m/>
    <m/>
    <n v="831"/>
    <n v="790"/>
  </r>
  <r>
    <x v="11"/>
    <s v="Coastal Carolina University"/>
    <m/>
    <n v="218724"/>
    <x v="4"/>
    <m/>
    <m/>
    <m/>
    <m/>
    <m/>
    <m/>
    <n v="0"/>
    <n v="0"/>
    <n v="1379"/>
    <n v="140"/>
    <m/>
    <m/>
    <n v="140"/>
    <n v="1399"/>
    <n v="123"/>
    <m/>
    <m/>
    <n v="123"/>
    <m/>
    <m/>
    <m/>
    <m/>
    <m/>
    <m/>
    <m/>
    <m/>
    <m/>
    <m/>
    <m/>
    <m/>
    <m/>
    <m/>
    <m/>
    <m/>
    <m/>
    <m/>
    <m/>
    <m/>
    <n v="0"/>
    <n v="0.91994663108739161"/>
    <n v="0"/>
    <n v="0.88544303797468349"/>
    <m/>
    <m/>
    <n v="13"/>
    <n v="78"/>
    <n v="13"/>
    <n v="138"/>
    <n v="52"/>
    <n v="31"/>
    <n v="52"/>
    <n v="33"/>
    <n v="26"/>
    <n v="11"/>
    <n v="26"/>
    <n v="7"/>
    <m/>
    <m/>
    <n v="23"/>
    <n v="3"/>
    <m/>
    <m/>
    <m/>
    <m/>
    <m/>
    <m/>
    <m/>
    <m/>
    <m/>
    <m/>
    <m/>
    <m/>
    <m/>
    <m/>
    <m/>
    <m/>
    <m/>
    <m/>
    <m/>
    <m/>
    <m/>
    <m/>
    <m/>
    <m/>
    <m/>
    <m/>
    <n v="120"/>
    <n v="3"/>
    <n v="18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0"/>
    <n v="181"/>
    <m/>
    <m/>
    <m/>
    <m/>
    <m/>
    <m/>
    <m/>
    <m/>
    <m/>
    <m/>
    <m/>
    <m/>
    <m/>
    <m/>
    <m/>
    <m/>
    <m/>
    <m/>
    <m/>
    <m/>
    <n v="0"/>
    <n v="0"/>
    <m/>
    <m/>
    <n v="1499"/>
    <n v="1580"/>
  </r>
  <r>
    <x v="11"/>
    <s v="Francis Marion University "/>
    <m/>
    <n v="218061"/>
    <x v="4"/>
    <m/>
    <m/>
    <m/>
    <m/>
    <m/>
    <m/>
    <n v="0"/>
    <n v="0"/>
    <n v="553"/>
    <n v="47"/>
    <m/>
    <m/>
    <n v="47"/>
    <n v="566"/>
    <n v="48"/>
    <m/>
    <n v="3"/>
    <n v="51"/>
    <m/>
    <m/>
    <m/>
    <m/>
    <m/>
    <m/>
    <m/>
    <m/>
    <m/>
    <m/>
    <m/>
    <m/>
    <m/>
    <m/>
    <m/>
    <m/>
    <m/>
    <m/>
    <m/>
    <m/>
    <n v="0"/>
    <n v="0.88764044943820219"/>
    <n v="0"/>
    <n v="0.88993710691823902"/>
    <m/>
    <m/>
    <n v="13"/>
    <n v="45"/>
    <n v="13"/>
    <n v="38"/>
    <n v="52"/>
    <n v="14"/>
    <n v="42"/>
    <n v="18"/>
    <n v="42"/>
    <n v="11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"/>
    <n v="7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0"/>
    <n v="70"/>
    <m/>
    <m/>
    <m/>
    <m/>
    <m/>
    <m/>
    <m/>
    <m/>
    <m/>
    <m/>
    <m/>
    <m/>
    <m/>
    <m/>
    <m/>
    <m/>
    <m/>
    <m/>
    <m/>
    <m/>
    <n v="0"/>
    <n v="0"/>
    <m/>
    <m/>
    <n v="623"/>
    <n v="636"/>
  </r>
  <r>
    <x v="11"/>
    <s v="South Carolina State University "/>
    <m/>
    <n v="218733"/>
    <x v="4"/>
    <m/>
    <m/>
    <m/>
    <m/>
    <m/>
    <m/>
    <n v="0"/>
    <n v="0"/>
    <n v="548"/>
    <n v="56"/>
    <m/>
    <m/>
    <n v="56"/>
    <n v="583"/>
    <n v="56"/>
    <m/>
    <m/>
    <n v="56"/>
    <m/>
    <m/>
    <m/>
    <m/>
    <m/>
    <m/>
    <m/>
    <m/>
    <m/>
    <m/>
    <m/>
    <m/>
    <m/>
    <m/>
    <m/>
    <m/>
    <m/>
    <m/>
    <m/>
    <m/>
    <n v="0"/>
    <n v="0.75795297372060855"/>
    <n v="0"/>
    <n v="0.7857142857142857"/>
    <m/>
    <m/>
    <n v="13"/>
    <n v="91"/>
    <n v="51"/>
    <n v="72"/>
    <n v="51"/>
    <n v="54"/>
    <n v="13"/>
    <n v="61"/>
    <n v="52"/>
    <n v="11"/>
    <n v="52"/>
    <n v="16"/>
    <n v="19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158"/>
    <n v="4"/>
    <n v="149"/>
    <n v="3"/>
    <n v="13"/>
    <n v="17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10"/>
    <n v="1"/>
    <n v="1"/>
    <n v="175"/>
    <n v="159"/>
    <m/>
    <m/>
    <m/>
    <m/>
    <m/>
    <m/>
    <m/>
    <m/>
    <m/>
    <m/>
    <m/>
    <m/>
    <m/>
    <m/>
    <m/>
    <m/>
    <m/>
    <m/>
    <m/>
    <m/>
    <n v="0"/>
    <n v="0"/>
    <m/>
    <m/>
    <n v="723"/>
    <n v="742"/>
  </r>
  <r>
    <x v="11"/>
    <s v="Lander University"/>
    <m/>
    <n v="218229"/>
    <x v="5"/>
    <n v="5"/>
    <n v="6"/>
    <m/>
    <m/>
    <m/>
    <m/>
    <n v="0"/>
    <n v="0"/>
    <n v="430"/>
    <n v="68"/>
    <m/>
    <n v="7"/>
    <n v="75"/>
    <n v="445"/>
    <n v="63"/>
    <m/>
    <n v="6"/>
    <n v="69"/>
    <m/>
    <m/>
    <m/>
    <m/>
    <m/>
    <m/>
    <m/>
    <m/>
    <m/>
    <m/>
    <m/>
    <m/>
    <m/>
    <m/>
    <m/>
    <m/>
    <m/>
    <m/>
    <m/>
    <m/>
    <n v="0"/>
    <n v="0.9641255605381166"/>
    <n v="0"/>
    <n v="0.94882729211087424"/>
    <m/>
    <m/>
    <n v="13"/>
    <n v="11"/>
    <n v="13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18"/>
    <m/>
    <m/>
    <m/>
    <m/>
    <m/>
    <m/>
    <m/>
    <m/>
    <m/>
    <m/>
    <m/>
    <m/>
    <m/>
    <m/>
    <m/>
    <m/>
    <m/>
    <m/>
    <m/>
    <m/>
    <n v="0"/>
    <n v="0"/>
    <m/>
    <m/>
    <n v="446"/>
    <n v="469"/>
  </r>
  <r>
    <x v="11"/>
    <s v="University of South Carolina-Aiken"/>
    <m/>
    <n v="218645"/>
    <x v="5"/>
    <m/>
    <m/>
    <m/>
    <m/>
    <m/>
    <m/>
    <n v="0"/>
    <n v="0"/>
    <n v="498"/>
    <n v="72"/>
    <m/>
    <m/>
    <n v="72"/>
    <n v="524"/>
    <n v="63"/>
    <m/>
    <m/>
    <n v="63"/>
    <m/>
    <m/>
    <m/>
    <m/>
    <m/>
    <m/>
    <m/>
    <m/>
    <m/>
    <m/>
    <m/>
    <m/>
    <m/>
    <m/>
    <m/>
    <m/>
    <m/>
    <m/>
    <m/>
    <m/>
    <n v="0"/>
    <n v="0.98613861386138613"/>
    <n v="0"/>
    <n v="0.97579143389199252"/>
    <m/>
    <m/>
    <n v="42"/>
    <n v="6"/>
    <n v="13"/>
    <n v="12"/>
    <n v="13"/>
    <n v="1"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"/>
    <n v="13"/>
    <m/>
    <m/>
    <m/>
    <m/>
    <m/>
    <m/>
    <m/>
    <m/>
    <m/>
    <m/>
    <m/>
    <m/>
    <m/>
    <m/>
    <m/>
    <m/>
    <m/>
    <m/>
    <m/>
    <m/>
    <n v="0"/>
    <n v="0"/>
    <m/>
    <m/>
    <n v="505"/>
    <n v="537"/>
  </r>
  <r>
    <x v="11"/>
    <s v="University of South Carolina-Beaufort"/>
    <m/>
    <n v="218654"/>
    <x v="5"/>
    <m/>
    <m/>
    <m/>
    <m/>
    <n v="3"/>
    <n v="3"/>
    <n v="1.3888888888888888E-2"/>
    <n v="1.1627906976744186E-2"/>
    <n v="216"/>
    <n v="22"/>
    <m/>
    <m/>
    <n v="22"/>
    <n v="258"/>
    <n v="21"/>
    <m/>
    <m/>
    <n v="21"/>
    <m/>
    <m/>
    <m/>
    <m/>
    <m/>
    <m/>
    <m/>
    <m/>
    <m/>
    <m/>
    <m/>
    <m/>
    <m/>
    <m/>
    <m/>
    <m/>
    <m/>
    <m/>
    <m/>
    <m/>
    <n v="0"/>
    <n v="0.98630136986301364"/>
    <n v="0"/>
    <n v="0.98850574712643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"/>
    <n v="261"/>
  </r>
  <r>
    <x v="11"/>
    <s v="University of South Carolina-Upstate"/>
    <m/>
    <n v="218742"/>
    <x v="5"/>
    <m/>
    <m/>
    <m/>
    <m/>
    <m/>
    <m/>
    <n v="0"/>
    <n v="0"/>
    <n v="1078"/>
    <n v="216"/>
    <m/>
    <m/>
    <n v="216"/>
    <n v="1092"/>
    <n v="220"/>
    <m/>
    <m/>
    <n v="220"/>
    <m/>
    <m/>
    <m/>
    <m/>
    <m/>
    <m/>
    <m/>
    <m/>
    <m/>
    <m/>
    <m/>
    <m/>
    <m/>
    <m/>
    <m/>
    <m/>
    <m/>
    <m/>
    <m/>
    <m/>
    <n v="0"/>
    <n v="0.9908088235294118"/>
    <n v="0"/>
    <n v="0.98467087466185754"/>
    <n v="2"/>
    <n v="3"/>
    <n v="13"/>
    <n v="8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"/>
    <n v="14"/>
    <m/>
    <m/>
    <m/>
    <m/>
    <m/>
    <m/>
    <m/>
    <m/>
    <m/>
    <m/>
    <m/>
    <m/>
    <m/>
    <m/>
    <m/>
    <m/>
    <m/>
    <m/>
    <m/>
    <m/>
    <n v="0"/>
    <n v="0"/>
    <m/>
    <m/>
    <n v="1088"/>
    <n v="1109"/>
  </r>
  <r>
    <x v="11"/>
    <s v="Florence-Darlington Technical College "/>
    <s v="Reclassified: met the criteria for Two-Year 1 in 2010-11, 2011-12, and 2012-13."/>
    <n v="218025"/>
    <x v="6"/>
    <n v="292"/>
    <n v="311"/>
    <m/>
    <m/>
    <n v="525"/>
    <n v="5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7"/>
    <n v="845"/>
  </r>
  <r>
    <x v="11"/>
    <s v="Greenville Technical College "/>
    <m/>
    <n v="218113"/>
    <x v="6"/>
    <n v="1765"/>
    <n v="1601"/>
    <m/>
    <m/>
    <n v="1194"/>
    <n v="1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59"/>
    <n v="2824"/>
  </r>
  <r>
    <x v="11"/>
    <s v="Horry-Georgetown Technical College "/>
    <m/>
    <n v="218140"/>
    <x v="6"/>
    <n v="747"/>
    <n v="611"/>
    <m/>
    <m/>
    <n v="735"/>
    <n v="8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2"/>
    <n v="1478"/>
  </r>
  <r>
    <x v="11"/>
    <s v="Midlands Technical College "/>
    <m/>
    <n v="218353"/>
    <x v="6"/>
    <n v="908"/>
    <n v="1017"/>
    <m/>
    <m/>
    <n v="1006"/>
    <n v="1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4"/>
    <n v="2161"/>
  </r>
  <r>
    <x v="11"/>
    <s v="Piedmont Technical College "/>
    <s v="Reclassified: met the criteria for Two-Year 1 in 2010-11, 2011-12, and 2012-13."/>
    <n v="218520"/>
    <x v="6"/>
    <n v="499"/>
    <n v="577"/>
    <m/>
    <m/>
    <n v="582"/>
    <n v="5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1"/>
    <n v="1157"/>
  </r>
  <r>
    <x v="11"/>
    <s v="Tri-County Technical College "/>
    <m/>
    <n v="218885"/>
    <x v="6"/>
    <n v="462"/>
    <n v="714"/>
    <m/>
    <m/>
    <n v="598"/>
    <n v="5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0"/>
    <n v="1311"/>
  </r>
  <r>
    <x v="11"/>
    <s v="Trident Technical College "/>
    <m/>
    <n v="218894"/>
    <x v="6"/>
    <n v="1048"/>
    <n v="1395"/>
    <m/>
    <m/>
    <n v="1203"/>
    <n v="12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1"/>
    <n v="2645"/>
  </r>
  <r>
    <x v="11"/>
    <s v="Aiken Technical College "/>
    <m/>
    <n v="217615"/>
    <x v="7"/>
    <n v="457"/>
    <n v="408"/>
    <m/>
    <m/>
    <n v="283"/>
    <n v="2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0"/>
    <n v="687"/>
  </r>
  <r>
    <x v="11"/>
    <s v="Central Carolina Technical College "/>
    <m/>
    <n v="218858"/>
    <x v="7"/>
    <n v="441"/>
    <n v="551"/>
    <m/>
    <m/>
    <n v="206"/>
    <n v="3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7"/>
    <n v="859"/>
  </r>
  <r>
    <x v="11"/>
    <s v="Orangeburg-Calhoun Technical College "/>
    <m/>
    <n v="218487"/>
    <x v="7"/>
    <n v="295"/>
    <n v="218"/>
    <m/>
    <m/>
    <n v="217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2"/>
    <n v="443"/>
  </r>
  <r>
    <x v="11"/>
    <s v="Spartanburg Community College "/>
    <m/>
    <n v="218830"/>
    <x v="7"/>
    <n v="334"/>
    <n v="300"/>
    <m/>
    <m/>
    <n v="433"/>
    <n v="5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7"/>
    <n v="809"/>
  </r>
  <r>
    <x v="11"/>
    <s v="York Technical College "/>
    <m/>
    <n v="218991"/>
    <x v="7"/>
    <n v="539"/>
    <n v="480"/>
    <m/>
    <m/>
    <n v="503"/>
    <n v="4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2"/>
    <n v="943"/>
  </r>
  <r>
    <x v="11"/>
    <s v="Denmark Technical College "/>
    <s v="Met the criteria for Two-Year 2 in 2012-13."/>
    <n v="217989"/>
    <x v="8"/>
    <n v="131"/>
    <n v="244"/>
    <m/>
    <m/>
    <n v="66"/>
    <n v="1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"/>
    <n v="351"/>
  </r>
  <r>
    <x v="11"/>
    <s v="Northeastern Technical College "/>
    <m/>
    <n v="217837"/>
    <x v="8"/>
    <n v="116"/>
    <n v="146"/>
    <m/>
    <m/>
    <n v="124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0"/>
    <n v="274"/>
  </r>
  <r>
    <x v="11"/>
    <s v="Technical College of the Lowcountry"/>
    <m/>
    <n v="217712"/>
    <x v="8"/>
    <n v="275"/>
    <n v="265"/>
    <m/>
    <m/>
    <n v="173"/>
    <n v="2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8"/>
    <n v="475"/>
  </r>
  <r>
    <x v="11"/>
    <s v="University of South Carolina-Lancaster"/>
    <m/>
    <n v="218672"/>
    <x v="8"/>
    <m/>
    <m/>
    <m/>
    <m/>
    <n v="129"/>
    <n v="1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"/>
    <n v="132"/>
  </r>
  <r>
    <x v="11"/>
    <s v="University of South Carolina-Salkehatchie"/>
    <m/>
    <n v="218681"/>
    <x v="8"/>
    <m/>
    <m/>
    <m/>
    <m/>
    <n v="146"/>
    <n v="1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"/>
    <n v="147"/>
  </r>
  <r>
    <x v="11"/>
    <s v="University of South Carolina-Sumter"/>
    <m/>
    <n v="218690"/>
    <x v="8"/>
    <m/>
    <m/>
    <m/>
    <m/>
    <n v="91"/>
    <n v="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"/>
    <n v="78"/>
  </r>
  <r>
    <x v="11"/>
    <s v="University of South Carolina-Union"/>
    <m/>
    <n v="218706"/>
    <x v="8"/>
    <m/>
    <m/>
    <m/>
    <m/>
    <n v="49"/>
    <n v="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"/>
    <n v="69"/>
  </r>
  <r>
    <x v="11"/>
    <s v="Willamsburg Technical College "/>
    <m/>
    <n v="218955"/>
    <x v="8"/>
    <n v="112"/>
    <n v="76"/>
    <m/>
    <m/>
    <n v="69"/>
    <n v="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"/>
    <n v="169"/>
  </r>
  <r>
    <x v="11"/>
    <s v="Medical University of South Carolina"/>
    <m/>
    <n v="218335"/>
    <x v="11"/>
    <m/>
    <m/>
    <m/>
    <m/>
    <m/>
    <m/>
    <n v="0"/>
    <n v="0"/>
    <n v="189"/>
    <m/>
    <m/>
    <m/>
    <n v="0"/>
    <n v="124"/>
    <m/>
    <m/>
    <m/>
    <n v="0"/>
    <m/>
    <m/>
    <m/>
    <m/>
    <m/>
    <m/>
    <m/>
    <m/>
    <m/>
    <m/>
    <m/>
    <m/>
    <m/>
    <m/>
    <m/>
    <m/>
    <m/>
    <m/>
    <m/>
    <m/>
    <n v="0"/>
    <n v="0.2371392722710163"/>
    <n v="0"/>
    <n v="0.15636822194199243"/>
    <n v="6"/>
    <n v="4"/>
    <n v="51"/>
    <n v="210"/>
    <n v="51"/>
    <n v="253"/>
    <n v="26"/>
    <n v="7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7"/>
    <n v="2"/>
    <n v="256"/>
    <n v="2"/>
    <n v="51"/>
    <n v="72"/>
    <n v="51"/>
    <n v="108"/>
    <n v="26"/>
    <n v="24"/>
    <n v="26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"/>
    <n v="2"/>
    <n v="0.75"/>
    <n v="130"/>
    <n v="2"/>
    <n v="0.83076923076923082"/>
    <n v="313"/>
    <n v="386"/>
    <m/>
    <m/>
    <n v="163"/>
    <n v="142"/>
    <n v="51"/>
    <n v="57"/>
    <n v="75"/>
    <n v="80"/>
    <m/>
    <m/>
    <m/>
    <m/>
    <m/>
    <m/>
    <m/>
    <m/>
    <m/>
    <m/>
    <m/>
    <m/>
    <n v="289"/>
    <n v="279"/>
    <m/>
    <m/>
    <n v="797"/>
    <n v="793"/>
  </r>
  <r>
    <x v="12"/>
    <s v="University of Memphis"/>
    <m/>
    <n v="220862"/>
    <x v="0"/>
    <m/>
    <m/>
    <m/>
    <m/>
    <m/>
    <m/>
    <n v="0"/>
    <n v="0"/>
    <n v="2678"/>
    <m/>
    <m/>
    <m/>
    <n v="0"/>
    <n v="2724"/>
    <m/>
    <m/>
    <m/>
    <n v="0"/>
    <m/>
    <m/>
    <m/>
    <m/>
    <m/>
    <m/>
    <m/>
    <m/>
    <m/>
    <m/>
    <m/>
    <m/>
    <m/>
    <m/>
    <m/>
    <m/>
    <m/>
    <m/>
    <m/>
    <m/>
    <n v="0"/>
    <n v="0.67354124748490951"/>
    <n v="0"/>
    <n v="0.68031968031968026"/>
    <m/>
    <m/>
    <n v="13"/>
    <n v="284"/>
    <n v="13"/>
    <n v="236"/>
    <n v="52"/>
    <n v="203"/>
    <n v="52"/>
    <n v="189"/>
    <n v="51"/>
    <n v="156"/>
    <n v="51"/>
    <n v="168"/>
    <n v="23"/>
    <n v="52"/>
    <n v="24"/>
    <n v="49"/>
    <n v="50"/>
    <n v="40"/>
    <n v="23"/>
    <n v="40"/>
    <n v="24"/>
    <n v="34"/>
    <n v="50"/>
    <n v="40"/>
    <n v="11"/>
    <n v="31"/>
    <n v="14"/>
    <n v="36"/>
    <n v="14"/>
    <n v="31"/>
    <n v="31"/>
    <n v="32"/>
    <n v="31"/>
    <n v="30"/>
    <n v="45"/>
    <n v="31"/>
    <n v="45"/>
    <n v="28"/>
    <n v="42"/>
    <n v="30"/>
    <n v="153"/>
    <n v="158"/>
    <n v="1042"/>
    <n v="10"/>
    <n v="1009"/>
    <n v="10"/>
    <n v="42"/>
    <n v="24"/>
    <n v="13"/>
    <n v="31"/>
    <n v="13"/>
    <n v="20"/>
    <n v="42"/>
    <n v="23"/>
    <n v="51"/>
    <n v="12"/>
    <n v="52"/>
    <n v="13"/>
    <n v="50"/>
    <n v="11"/>
    <n v="50"/>
    <n v="12"/>
    <n v="52"/>
    <n v="11"/>
    <n v="51"/>
    <n v="9"/>
    <n v="9"/>
    <n v="8"/>
    <n v="54"/>
    <n v="9"/>
    <n v="54"/>
    <n v="8"/>
    <n v="11"/>
    <n v="8"/>
    <n v="27"/>
    <n v="7"/>
    <n v="14"/>
    <n v="7"/>
    <n v="14"/>
    <n v="6"/>
    <n v="23"/>
    <n v="6"/>
    <n v="40"/>
    <n v="6"/>
    <n v="26"/>
    <n v="6"/>
    <n v="15"/>
    <n v="12"/>
    <n v="128"/>
    <n v="10"/>
    <n v="0.1875"/>
    <n v="136"/>
    <n v="10"/>
    <n v="0.22794117647058823"/>
    <n v="1170"/>
    <n v="1145"/>
    <n v="128"/>
    <n v="135"/>
    <m/>
    <m/>
    <m/>
    <m/>
    <m/>
    <m/>
    <m/>
    <m/>
    <m/>
    <m/>
    <m/>
    <m/>
    <m/>
    <m/>
    <m/>
    <m/>
    <m/>
    <m/>
    <n v="128"/>
    <n v="135"/>
    <m/>
    <m/>
    <n v="3976"/>
    <n v="4004"/>
  </r>
  <r>
    <x v="12"/>
    <s v="University of Tennessee, Knoxville"/>
    <m/>
    <n v="221759"/>
    <x v="0"/>
    <m/>
    <m/>
    <m/>
    <m/>
    <m/>
    <m/>
    <n v="0"/>
    <n v="0"/>
    <n v="4332"/>
    <m/>
    <m/>
    <m/>
    <n v="0"/>
    <n v="4539"/>
    <m/>
    <m/>
    <m/>
    <n v="0"/>
    <m/>
    <m/>
    <m/>
    <m/>
    <m/>
    <m/>
    <m/>
    <m/>
    <m/>
    <m/>
    <m/>
    <m/>
    <m/>
    <m/>
    <m/>
    <m/>
    <m/>
    <m/>
    <m/>
    <m/>
    <n v="0"/>
    <n v="0.68457648546144123"/>
    <n v="0"/>
    <n v="0.67817122366651728"/>
    <m/>
    <m/>
    <n v="52"/>
    <n v="332"/>
    <n v="52"/>
    <n v="360"/>
    <n v="30"/>
    <n v="252"/>
    <n v="13"/>
    <n v="254"/>
    <n v="44"/>
    <n v="199"/>
    <n v="44"/>
    <n v="199"/>
    <n v="31"/>
    <n v="102"/>
    <n v="14"/>
    <n v="163"/>
    <n v="40"/>
    <n v="89"/>
    <n v="31"/>
    <n v="92"/>
    <n v="42"/>
    <n v="81"/>
    <n v="51"/>
    <n v="77"/>
    <n v="51"/>
    <n v="77"/>
    <n v="25"/>
    <n v="73"/>
    <n v="25"/>
    <n v="73"/>
    <n v="1"/>
    <n v="54"/>
    <n v="41"/>
    <n v="64"/>
    <n v="50"/>
    <n v="50"/>
    <n v="50"/>
    <n v="44"/>
    <n v="42"/>
    <n v="34"/>
    <n v="202"/>
    <n v="227"/>
    <n v="1515"/>
    <n v="10"/>
    <n v="1583"/>
    <n v="10"/>
    <n v="40"/>
    <n v="45"/>
    <n v="14"/>
    <n v="58"/>
    <n v="30"/>
    <n v="35"/>
    <n v="40"/>
    <n v="44"/>
    <n v="42"/>
    <n v="34"/>
    <n v="42"/>
    <n v="39"/>
    <n v="26"/>
    <n v="26"/>
    <n v="13"/>
    <n v="30"/>
    <n v="45"/>
    <n v="17"/>
    <n v="26"/>
    <n v="23"/>
    <n v="52"/>
    <n v="15"/>
    <n v="52"/>
    <n v="16"/>
    <n v="31"/>
    <n v="14"/>
    <n v="45"/>
    <n v="15"/>
    <n v="41"/>
    <n v="14"/>
    <n v="51"/>
    <n v="15"/>
    <n v="27"/>
    <n v="10"/>
    <n v="23"/>
    <n v="11"/>
    <n v="10"/>
    <n v="9"/>
    <n v="27"/>
    <n v="11"/>
    <n v="51"/>
    <n v="57"/>
    <n v="270"/>
    <n v="10"/>
    <n v="0.16666666666666666"/>
    <n v="319"/>
    <n v="10"/>
    <n v="0.18181818181818182"/>
    <n v="1785"/>
    <n v="1902"/>
    <n v="147"/>
    <n v="155"/>
    <m/>
    <m/>
    <m/>
    <m/>
    <m/>
    <m/>
    <m/>
    <m/>
    <m/>
    <m/>
    <m/>
    <m/>
    <n v="64"/>
    <n v="97"/>
    <m/>
    <m/>
    <m/>
    <m/>
    <n v="211"/>
    <n v="252"/>
    <m/>
    <m/>
    <n v="6328"/>
    <n v="6693"/>
  </r>
  <r>
    <x v="12"/>
    <s v="Tennessee State University "/>
    <m/>
    <n v="221838"/>
    <x v="1"/>
    <m/>
    <m/>
    <m/>
    <m/>
    <n v="115"/>
    <n v="139"/>
    <n v="0.11904761904761904"/>
    <n v="0.14494264859228362"/>
    <n v="966"/>
    <m/>
    <m/>
    <m/>
    <n v="0"/>
    <n v="959"/>
    <m/>
    <m/>
    <m/>
    <n v="0"/>
    <m/>
    <m/>
    <m/>
    <m/>
    <m/>
    <m/>
    <m/>
    <m/>
    <m/>
    <m/>
    <m/>
    <m/>
    <m/>
    <m/>
    <m/>
    <m/>
    <m/>
    <m/>
    <m/>
    <m/>
    <n v="0"/>
    <n v="0.63344262295081966"/>
    <n v="0"/>
    <n v="0.59788029925187036"/>
    <m/>
    <m/>
    <n v="13"/>
    <n v="108"/>
    <n v="51"/>
    <n v="144"/>
    <n v="51"/>
    <n v="107"/>
    <n v="13"/>
    <n v="113"/>
    <n v="52"/>
    <n v="33"/>
    <n v="42"/>
    <n v="37"/>
    <n v="44"/>
    <n v="30"/>
    <n v="44"/>
    <n v="25"/>
    <n v="42"/>
    <n v="22"/>
    <n v="52"/>
    <n v="23"/>
    <n v="31"/>
    <n v="20"/>
    <n v="14"/>
    <n v="22"/>
    <n v="1"/>
    <n v="12"/>
    <n v="1"/>
    <n v="18"/>
    <n v="26"/>
    <n v="10"/>
    <n v="31"/>
    <n v="13"/>
    <n v="24"/>
    <n v="8"/>
    <n v="40"/>
    <n v="11"/>
    <n v="14"/>
    <n v="7"/>
    <n v="26"/>
    <n v="9"/>
    <n v="20"/>
    <n v="19"/>
    <n v="377"/>
    <n v="10"/>
    <n v="434"/>
    <n v="10"/>
    <n v="51"/>
    <n v="28"/>
    <n v="51"/>
    <n v="30"/>
    <n v="13"/>
    <n v="24"/>
    <n v="13"/>
    <n v="29"/>
    <n v="42"/>
    <n v="8"/>
    <n v="42"/>
    <n v="6"/>
    <n v="26"/>
    <n v="4"/>
    <n v="14"/>
    <n v="4"/>
    <n v="14"/>
    <n v="2"/>
    <n v="44"/>
    <n v="2"/>
    <n v="44"/>
    <n v="1"/>
    <n v="26"/>
    <n v="1"/>
    <m/>
    <m/>
    <m/>
    <m/>
    <m/>
    <m/>
    <m/>
    <m/>
    <m/>
    <m/>
    <m/>
    <m/>
    <m/>
    <m/>
    <m/>
    <m/>
    <m/>
    <m/>
    <n v="67"/>
    <n v="6"/>
    <n v="0.41791044776119401"/>
    <n v="72"/>
    <n v="6"/>
    <n v="0.41666666666666669"/>
    <n v="444"/>
    <n v="506"/>
    <m/>
    <m/>
    <m/>
    <m/>
    <m/>
    <m/>
    <m/>
    <m/>
    <m/>
    <m/>
    <m/>
    <m/>
    <m/>
    <m/>
    <m/>
    <m/>
    <m/>
    <m/>
    <m/>
    <m/>
    <n v="0"/>
    <n v="0"/>
    <m/>
    <m/>
    <n v="1525"/>
    <n v="1604"/>
  </r>
  <r>
    <x v="12"/>
    <s v="Austin Peay State University "/>
    <m/>
    <n v="219602"/>
    <x v="2"/>
    <m/>
    <m/>
    <m/>
    <m/>
    <n v="225"/>
    <n v="241"/>
    <n v="0.18101367658889783"/>
    <n v="0.1836890243902439"/>
    <n v="1243"/>
    <m/>
    <m/>
    <m/>
    <n v="0"/>
    <n v="1312"/>
    <m/>
    <m/>
    <m/>
    <n v="0"/>
    <m/>
    <m/>
    <m/>
    <m/>
    <m/>
    <m/>
    <m/>
    <m/>
    <m/>
    <m/>
    <m/>
    <m/>
    <m/>
    <m/>
    <m/>
    <m/>
    <m/>
    <m/>
    <m/>
    <m/>
    <n v="0"/>
    <n v="0.70464852607709749"/>
    <n v="0"/>
    <n v="0.69824374667376266"/>
    <m/>
    <m/>
    <n v="13"/>
    <n v="115"/>
    <n v="13"/>
    <n v="139"/>
    <n v="52"/>
    <n v="51"/>
    <n v="31"/>
    <n v="35"/>
    <n v="9"/>
    <n v="24"/>
    <n v="52"/>
    <n v="35"/>
    <n v="31"/>
    <n v="24"/>
    <n v="9"/>
    <n v="27"/>
    <n v="51"/>
    <n v="24"/>
    <n v="51"/>
    <n v="16"/>
    <n v="50"/>
    <n v="12"/>
    <n v="54"/>
    <n v="15"/>
    <n v="24"/>
    <n v="9"/>
    <n v="44"/>
    <n v="13"/>
    <n v="26"/>
    <n v="9"/>
    <n v="50"/>
    <n v="12"/>
    <n v="23"/>
    <n v="8"/>
    <n v="42"/>
    <n v="10"/>
    <n v="44"/>
    <n v="8"/>
    <n v="23"/>
    <n v="8"/>
    <n v="12"/>
    <n v="16"/>
    <n v="296"/>
    <n v="10"/>
    <n v="3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6"/>
    <n v="326"/>
    <m/>
    <m/>
    <m/>
    <m/>
    <m/>
    <m/>
    <m/>
    <m/>
    <m/>
    <m/>
    <m/>
    <m/>
    <m/>
    <m/>
    <m/>
    <m/>
    <m/>
    <m/>
    <m/>
    <m/>
    <n v="0"/>
    <n v="0"/>
    <m/>
    <m/>
    <n v="1764"/>
    <n v="1879"/>
  </r>
  <r>
    <x v="12"/>
    <s v="East Tennessee State University "/>
    <m/>
    <n v="220075"/>
    <x v="2"/>
    <m/>
    <m/>
    <m/>
    <m/>
    <m/>
    <m/>
    <n v="0"/>
    <n v="0"/>
    <n v="2028"/>
    <m/>
    <m/>
    <m/>
    <n v="0"/>
    <n v="2146"/>
    <m/>
    <m/>
    <m/>
    <n v="0"/>
    <m/>
    <m/>
    <m/>
    <m/>
    <m/>
    <m/>
    <m/>
    <m/>
    <m/>
    <m/>
    <m/>
    <m/>
    <m/>
    <m/>
    <m/>
    <m/>
    <m/>
    <m/>
    <m/>
    <m/>
    <n v="0"/>
    <n v="0.70686650400836526"/>
    <n v="0"/>
    <n v="0.72182980154725862"/>
    <m/>
    <m/>
    <n v="13"/>
    <n v="174"/>
    <n v="13"/>
    <n v="153"/>
    <n v="51"/>
    <n v="134"/>
    <n v="51"/>
    <n v="124"/>
    <n v="52"/>
    <n v="95"/>
    <n v="52"/>
    <n v="106"/>
    <n v="44"/>
    <n v="35"/>
    <n v="31"/>
    <n v="35"/>
    <n v="31"/>
    <n v="26"/>
    <n v="44"/>
    <n v="33"/>
    <n v="26"/>
    <n v="25"/>
    <n v="24"/>
    <n v="21"/>
    <n v="15"/>
    <n v="24"/>
    <n v="11"/>
    <n v="17"/>
    <n v="11"/>
    <n v="21"/>
    <n v="54"/>
    <n v="17"/>
    <n v="43"/>
    <n v="15"/>
    <n v="40"/>
    <n v="16"/>
    <n v="24"/>
    <n v="14"/>
    <n v="15"/>
    <n v="15"/>
    <n v="67"/>
    <n v="72"/>
    <n v="630"/>
    <n v="10"/>
    <n v="609"/>
    <n v="10"/>
    <n v="51"/>
    <n v="40"/>
    <n v="13"/>
    <n v="39"/>
    <n v="13"/>
    <n v="38"/>
    <n v="51"/>
    <n v="37"/>
    <n v="26"/>
    <n v="1"/>
    <n v="26"/>
    <n v="6"/>
    <m/>
    <m/>
    <n v="42"/>
    <n v="1"/>
    <m/>
    <m/>
    <m/>
    <m/>
    <m/>
    <m/>
    <m/>
    <m/>
    <m/>
    <m/>
    <m/>
    <m/>
    <m/>
    <m/>
    <m/>
    <m/>
    <m/>
    <m/>
    <m/>
    <m/>
    <m/>
    <m/>
    <m/>
    <m/>
    <m/>
    <m/>
    <n v="79"/>
    <n v="3"/>
    <n v="0.50632911392405067"/>
    <n v="83"/>
    <n v="4"/>
    <n v="0.46987951807228917"/>
    <n v="709"/>
    <n v="692"/>
    <m/>
    <m/>
    <n v="60"/>
    <n v="58"/>
    <m/>
    <m/>
    <n v="72"/>
    <n v="77"/>
    <m/>
    <m/>
    <m/>
    <m/>
    <m/>
    <m/>
    <m/>
    <m/>
    <m/>
    <m/>
    <m/>
    <m/>
    <n v="132"/>
    <n v="135"/>
    <m/>
    <m/>
    <n v="2869"/>
    <n v="2973"/>
  </r>
  <r>
    <x v="12"/>
    <s v="Middle Tennessee State University "/>
    <m/>
    <n v="220978"/>
    <x v="2"/>
    <m/>
    <m/>
    <m/>
    <m/>
    <m/>
    <m/>
    <n v="0"/>
    <n v="0"/>
    <n v="3868"/>
    <m/>
    <m/>
    <m/>
    <n v="0"/>
    <n v="3911"/>
    <m/>
    <m/>
    <m/>
    <n v="0"/>
    <m/>
    <m/>
    <m/>
    <m/>
    <m/>
    <m/>
    <m/>
    <m/>
    <m/>
    <m/>
    <m/>
    <m/>
    <m/>
    <m/>
    <m/>
    <m/>
    <m/>
    <m/>
    <m/>
    <m/>
    <n v="0"/>
    <n v="0.80399085429224693"/>
    <n v="0"/>
    <n v="0.80539538714991765"/>
    <m/>
    <m/>
    <n v="13"/>
    <n v="451"/>
    <n v="13"/>
    <n v="399"/>
    <n v="52"/>
    <n v="197"/>
    <n v="52"/>
    <n v="185"/>
    <n v="31"/>
    <n v="44"/>
    <n v="11"/>
    <n v="42"/>
    <n v="26"/>
    <n v="31"/>
    <n v="42"/>
    <n v="41"/>
    <n v="42"/>
    <n v="28"/>
    <n v="31"/>
    <n v="40"/>
    <n v="51"/>
    <n v="24"/>
    <n v="26"/>
    <n v="38"/>
    <n v="23"/>
    <n v="20"/>
    <n v="54"/>
    <n v="22"/>
    <n v="45"/>
    <n v="20"/>
    <n v="45"/>
    <n v="18"/>
    <n v="54"/>
    <n v="17"/>
    <n v="24"/>
    <n v="17"/>
    <n v="10"/>
    <n v="10"/>
    <n v="50"/>
    <n v="16"/>
    <n v="81"/>
    <n v="107"/>
    <n v="923"/>
    <n v="10"/>
    <n v="925"/>
    <n v="10"/>
    <n v="31"/>
    <n v="8"/>
    <n v="31"/>
    <n v="7"/>
    <n v="23"/>
    <n v="7"/>
    <n v="23"/>
    <n v="5"/>
    <n v="54"/>
    <n v="3"/>
    <n v="13"/>
    <n v="4"/>
    <n v="40"/>
    <n v="1"/>
    <n v="54"/>
    <n v="3"/>
    <n v="45"/>
    <n v="1"/>
    <n v="45"/>
    <n v="1"/>
    <m/>
    <m/>
    <m/>
    <m/>
    <m/>
    <m/>
    <m/>
    <m/>
    <m/>
    <m/>
    <m/>
    <m/>
    <m/>
    <m/>
    <m/>
    <m/>
    <m/>
    <m/>
    <m/>
    <m/>
    <m/>
    <m/>
    <n v="20"/>
    <n v="5"/>
    <n v="0.4"/>
    <n v="20"/>
    <n v="5"/>
    <n v="0.35"/>
    <n v="943"/>
    <n v="945"/>
    <m/>
    <m/>
    <m/>
    <m/>
    <m/>
    <m/>
    <m/>
    <m/>
    <m/>
    <m/>
    <m/>
    <m/>
    <m/>
    <m/>
    <m/>
    <m/>
    <m/>
    <m/>
    <m/>
    <m/>
    <n v="0"/>
    <n v="0"/>
    <m/>
    <m/>
    <n v="4811"/>
    <n v="4856"/>
  </r>
  <r>
    <x v="12"/>
    <s v="Tennessee Technological University "/>
    <m/>
    <n v="221847"/>
    <x v="2"/>
    <m/>
    <m/>
    <m/>
    <m/>
    <m/>
    <m/>
    <n v="0"/>
    <n v="0"/>
    <n v="1603"/>
    <m/>
    <m/>
    <m/>
    <n v="0"/>
    <n v="1696"/>
    <m/>
    <m/>
    <m/>
    <n v="0"/>
    <m/>
    <m/>
    <m/>
    <m/>
    <m/>
    <m/>
    <m/>
    <m/>
    <m/>
    <m/>
    <m/>
    <m/>
    <m/>
    <m/>
    <m/>
    <m/>
    <m/>
    <m/>
    <m/>
    <m/>
    <n v="0"/>
    <n v="0.63712241653418122"/>
    <n v="0"/>
    <n v="0.78591288229842449"/>
    <m/>
    <m/>
    <n v="13"/>
    <n v="284"/>
    <n v="13"/>
    <n v="273"/>
    <n v="52"/>
    <n v="203"/>
    <n v="52"/>
    <n v="81"/>
    <n v="51"/>
    <n v="156"/>
    <n v="14"/>
    <n v="30"/>
    <n v="23"/>
    <n v="52"/>
    <n v="51"/>
    <n v="14"/>
    <n v="50"/>
    <n v="40"/>
    <n v="31"/>
    <n v="13"/>
    <n v="24"/>
    <n v="34"/>
    <n v="26"/>
    <n v="10"/>
    <n v="11"/>
    <n v="31"/>
    <n v="24"/>
    <n v="7"/>
    <n v="14"/>
    <n v="31"/>
    <n v="23"/>
    <n v="6"/>
    <n v="31"/>
    <n v="30"/>
    <n v="40"/>
    <n v="5"/>
    <n v="45"/>
    <n v="28"/>
    <n v="11"/>
    <n v="3"/>
    <n v="3"/>
    <n v="2"/>
    <n v="892"/>
    <n v="10"/>
    <n v="444"/>
    <n v="10"/>
    <n v="14"/>
    <n v="10"/>
    <n v="14"/>
    <n v="14"/>
    <n v="13"/>
    <n v="8"/>
    <n v="13"/>
    <n v="3"/>
    <n v="3"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0.47619047619047616"/>
    <n v="18"/>
    <n v="3"/>
    <n v="0.77777777777777779"/>
    <n v="913"/>
    <n v="462"/>
    <m/>
    <m/>
    <m/>
    <m/>
    <m/>
    <m/>
    <m/>
    <m/>
    <m/>
    <m/>
    <m/>
    <m/>
    <m/>
    <m/>
    <m/>
    <m/>
    <m/>
    <m/>
    <m/>
    <m/>
    <n v="0"/>
    <n v="0"/>
    <m/>
    <m/>
    <n v="2516"/>
    <n v="2158"/>
  </r>
  <r>
    <x v="12"/>
    <s v="University of Tennessee at Chattanooga"/>
    <m/>
    <n v="221740"/>
    <x v="2"/>
    <m/>
    <m/>
    <m/>
    <m/>
    <m/>
    <m/>
    <n v="0"/>
    <n v="0"/>
    <n v="1320"/>
    <m/>
    <m/>
    <m/>
    <n v="0"/>
    <n v="1514"/>
    <m/>
    <m/>
    <m/>
    <n v="0"/>
    <m/>
    <m/>
    <m/>
    <m/>
    <m/>
    <m/>
    <m/>
    <m/>
    <m/>
    <m/>
    <m/>
    <m/>
    <m/>
    <m/>
    <m/>
    <m/>
    <m/>
    <m/>
    <m/>
    <m/>
    <n v="0"/>
    <n v="0.72847682119205293"/>
    <n v="0"/>
    <n v="0.73566569484936828"/>
    <m/>
    <m/>
    <n v="31"/>
    <n v="124"/>
    <n v="13"/>
    <n v="152"/>
    <n v="52"/>
    <n v="114"/>
    <n v="52"/>
    <n v="142"/>
    <n v="51"/>
    <n v="95"/>
    <n v="51"/>
    <n v="51"/>
    <n v="42"/>
    <n v="21"/>
    <n v="15"/>
    <n v="31"/>
    <n v="30"/>
    <n v="18"/>
    <n v="42"/>
    <n v="26"/>
    <n v="44"/>
    <n v="16"/>
    <n v="14"/>
    <n v="20"/>
    <n v="23"/>
    <n v="12"/>
    <n v="23"/>
    <n v="19"/>
    <n v="50"/>
    <n v="10"/>
    <n v="44"/>
    <n v="14"/>
    <n v="40"/>
    <n v="8"/>
    <n v="3"/>
    <n v="8"/>
    <n v="10"/>
    <n v="7"/>
    <n v="50"/>
    <n v="7"/>
    <n v="7"/>
    <n v="20"/>
    <n v="432"/>
    <n v="10"/>
    <n v="490"/>
    <n v="10"/>
    <n v="51"/>
    <n v="48"/>
    <n v="51"/>
    <n v="43"/>
    <n v="30"/>
    <n v="9"/>
    <n v="13"/>
    <n v="10"/>
    <n v="42"/>
    <n v="3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"/>
    <n v="0.8"/>
    <n v="54"/>
    <n v="3"/>
    <n v="0.79629629629629628"/>
    <n v="492"/>
    <n v="544"/>
    <m/>
    <m/>
    <m/>
    <m/>
    <m/>
    <m/>
    <m/>
    <m/>
    <m/>
    <m/>
    <m/>
    <m/>
    <m/>
    <m/>
    <m/>
    <m/>
    <m/>
    <m/>
    <m/>
    <m/>
    <n v="0"/>
    <n v="0"/>
    <m/>
    <m/>
    <n v="1812"/>
    <n v="2058"/>
  </r>
  <r>
    <x v="12"/>
    <s v="University of Tennessee at Martin"/>
    <m/>
    <n v="221768"/>
    <x v="4"/>
    <m/>
    <m/>
    <m/>
    <m/>
    <m/>
    <m/>
    <n v="0"/>
    <n v="0"/>
    <n v="1038"/>
    <m/>
    <m/>
    <m/>
    <n v="0"/>
    <n v="1116"/>
    <m/>
    <m/>
    <m/>
    <n v="0"/>
    <m/>
    <m/>
    <m/>
    <m/>
    <m/>
    <m/>
    <m/>
    <m/>
    <m/>
    <m/>
    <m/>
    <m/>
    <m/>
    <m/>
    <m/>
    <m/>
    <m/>
    <m/>
    <m/>
    <m/>
    <n v="0"/>
    <n v="0.88793840889649278"/>
    <n v="0"/>
    <n v="0.89423076923076927"/>
    <m/>
    <m/>
    <n v="31"/>
    <n v="48"/>
    <n v="13"/>
    <n v="64"/>
    <n v="52"/>
    <n v="43"/>
    <n v="52"/>
    <n v="48"/>
    <n v="30"/>
    <n v="19"/>
    <n v="19"/>
    <n v="13"/>
    <n v="19"/>
    <n v="15"/>
    <n v="1"/>
    <n v="7"/>
    <n v="10"/>
    <n v="6"/>
    <m/>
    <m/>
    <m/>
    <m/>
    <m/>
    <m/>
    <m/>
    <m/>
    <m/>
    <m/>
    <m/>
    <m/>
    <m/>
    <m/>
    <m/>
    <m/>
    <m/>
    <m/>
    <m/>
    <m/>
    <m/>
    <m/>
    <m/>
    <m/>
    <n v="131"/>
    <n v="5"/>
    <n v="13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1"/>
    <n v="132"/>
    <m/>
    <m/>
    <m/>
    <m/>
    <m/>
    <m/>
    <m/>
    <m/>
    <m/>
    <m/>
    <m/>
    <m/>
    <m/>
    <m/>
    <m/>
    <m/>
    <m/>
    <m/>
    <m/>
    <m/>
    <n v="0"/>
    <n v="0"/>
    <m/>
    <m/>
    <n v="1169"/>
    <n v="1248"/>
  </r>
  <r>
    <x v="12"/>
    <s v="Chattanooga State Technical Community College "/>
    <m/>
    <n v="219824"/>
    <x v="6"/>
    <m/>
    <m/>
    <m/>
    <m/>
    <n v="842"/>
    <n v="8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2"/>
    <n v="896"/>
  </r>
  <r>
    <x v="12"/>
    <s v="Nashville State Technical Community College"/>
    <m/>
    <n v="221184"/>
    <x v="6"/>
    <m/>
    <m/>
    <m/>
    <m/>
    <n v="531"/>
    <n v="7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1"/>
    <n v="718"/>
  </r>
  <r>
    <x v="12"/>
    <s v="Pellissippi State Technical Community College"/>
    <m/>
    <n v="221643"/>
    <x v="6"/>
    <m/>
    <m/>
    <m/>
    <m/>
    <n v="932"/>
    <n v="11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2"/>
    <n v="1101"/>
  </r>
  <r>
    <x v="12"/>
    <s v="Southwest Tennessee Community College"/>
    <m/>
    <n v="221485"/>
    <x v="6"/>
    <m/>
    <m/>
    <m/>
    <m/>
    <n v="841"/>
    <n v="8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1"/>
    <n v="808"/>
  </r>
  <r>
    <x v="12"/>
    <s v="Volunteer State Community College "/>
    <m/>
    <n v="222053"/>
    <x v="6"/>
    <m/>
    <m/>
    <m/>
    <m/>
    <n v="723"/>
    <n v="7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3"/>
    <n v="763"/>
  </r>
  <r>
    <x v="12"/>
    <s v="Cleveland State Community College "/>
    <m/>
    <n v="219879"/>
    <x v="7"/>
    <m/>
    <m/>
    <m/>
    <m/>
    <n v="354"/>
    <n v="3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4"/>
    <n v="370"/>
  </r>
  <r>
    <x v="12"/>
    <s v="Columbia State Community College "/>
    <m/>
    <n v="219888"/>
    <x v="7"/>
    <m/>
    <m/>
    <m/>
    <m/>
    <n v="540"/>
    <n v="6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0"/>
    <n v="611"/>
  </r>
  <r>
    <x v="12"/>
    <s v="Dyersburg State Community College "/>
    <m/>
    <n v="220057"/>
    <x v="7"/>
    <m/>
    <m/>
    <m/>
    <m/>
    <n v="260"/>
    <n v="2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280"/>
  </r>
  <r>
    <x v="12"/>
    <s v="Jackson State Community College "/>
    <m/>
    <n v="220400"/>
    <x v="7"/>
    <m/>
    <m/>
    <m/>
    <m/>
    <n v="576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6"/>
    <n v="554"/>
  </r>
  <r>
    <x v="12"/>
    <s v="Motlow State Community College "/>
    <m/>
    <n v="221096"/>
    <x v="7"/>
    <m/>
    <m/>
    <m/>
    <m/>
    <n v="526"/>
    <n v="6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"/>
    <n v="627"/>
  </r>
  <r>
    <x v="12"/>
    <s v="Northeast State Technical Community College"/>
    <m/>
    <n v="221908"/>
    <x v="7"/>
    <m/>
    <m/>
    <m/>
    <m/>
    <n v="696"/>
    <n v="7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6"/>
    <n v="764"/>
  </r>
  <r>
    <x v="12"/>
    <s v="Roane State Community College "/>
    <m/>
    <n v="221397"/>
    <x v="7"/>
    <m/>
    <m/>
    <m/>
    <m/>
    <n v="771"/>
    <n v="8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1"/>
    <n v="804"/>
  </r>
  <r>
    <x v="12"/>
    <s v="Walters State Community College "/>
    <m/>
    <n v="222062"/>
    <x v="7"/>
    <m/>
    <m/>
    <m/>
    <m/>
    <n v="720"/>
    <n v="7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0"/>
    <n v="791"/>
  </r>
  <r>
    <x v="12"/>
    <s v="Tennessee Technology Center at Chattanooga"/>
    <s v="Reclassified: Met the criteria for Technical Institute or College 1 in 2010-11, 2011-12, and 2012-13."/>
    <s v="219824B"/>
    <x v="9"/>
    <n v="535"/>
    <n v="6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5"/>
    <n v="650"/>
  </r>
  <r>
    <x v="12"/>
    <s v="Tennessee Technology Center at Athens"/>
    <m/>
    <n v="219596"/>
    <x v="10"/>
    <n v="175"/>
    <n v="1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"/>
    <n v="157"/>
  </r>
  <r>
    <x v="12"/>
    <s v="Tennessee Technology Center at Covington"/>
    <m/>
    <n v="219921"/>
    <x v="10"/>
    <n v="126"/>
    <n v="1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"/>
    <n v="108"/>
  </r>
  <r>
    <x v="12"/>
    <s v="Tennessee Technology Center at Crossville"/>
    <m/>
    <n v="221591"/>
    <x v="10"/>
    <n v="202"/>
    <n v="21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"/>
    <n v="215"/>
  </r>
  <r>
    <x v="12"/>
    <s v="Tennessee Technology Center at Crump"/>
    <m/>
    <n v="221430"/>
    <x v="10"/>
    <n v="221"/>
    <n v="16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"/>
    <n v="161"/>
  </r>
  <r>
    <x v="12"/>
    <s v="Tennessee Technology Center at Dickson"/>
    <m/>
    <n v="219994"/>
    <x v="10"/>
    <n v="377"/>
    <n v="35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7"/>
    <n v="354"/>
  </r>
  <r>
    <x v="12"/>
    <s v="Tennessee Technology Center at Elizabethton"/>
    <m/>
    <n v="220127"/>
    <x v="10"/>
    <n v="464"/>
    <n v="48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4"/>
    <n v="487"/>
  </r>
  <r>
    <x v="12"/>
    <s v="Tennessee Technology Center at Harriman"/>
    <m/>
    <n v="220251"/>
    <x v="10"/>
    <n v="257"/>
    <n v="1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7"/>
    <n v="137"/>
  </r>
  <r>
    <x v="12"/>
    <s v="Tennessee Technology Center at Hartsville"/>
    <m/>
    <n v="220279"/>
    <x v="10"/>
    <n v="378"/>
    <n v="30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8"/>
    <n v="301"/>
  </r>
  <r>
    <x v="12"/>
    <s v="Tennessee Technology Center at Hohenwald"/>
    <m/>
    <n v="220321"/>
    <x v="10"/>
    <n v="318"/>
    <n v="2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8"/>
    <n v="255"/>
  </r>
  <r>
    <x v="12"/>
    <s v="Tennessee Technology Center at Jacksboro"/>
    <m/>
    <n v="220394"/>
    <x v="10"/>
    <n v="162"/>
    <n v="1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"/>
    <n v="135"/>
  </r>
  <r>
    <x v="12"/>
    <s v="Tennessee Technology Center at Jackson"/>
    <m/>
    <n v="221616"/>
    <x v="10"/>
    <n v="435"/>
    <n v="41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5"/>
    <n v="414"/>
  </r>
  <r>
    <x v="12"/>
    <s v="Tennessee Technology Center at Knoxville"/>
    <m/>
    <n v="221625"/>
    <x v="10"/>
    <n v="494"/>
    <n v="4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"/>
    <n v="420"/>
  </r>
  <r>
    <x v="12"/>
    <s v="Tennessee Technology Center at Livingston"/>
    <m/>
    <n v="220640"/>
    <x v="10"/>
    <n v="237"/>
    <n v="2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218"/>
  </r>
  <r>
    <x v="12"/>
    <s v="Tennessee Technology Center at McKenzie"/>
    <m/>
    <n v="220756"/>
    <x v="10"/>
    <n v="206"/>
    <n v="14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"/>
    <n v="148"/>
  </r>
  <r>
    <x v="12"/>
    <s v="Tennessee Technology Center at McMinnville"/>
    <m/>
    <n v="221607"/>
    <x v="10"/>
    <n v="238"/>
    <n v="18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8"/>
    <n v="180"/>
  </r>
  <r>
    <x v="12"/>
    <s v="Tennessee Technology Center at Memphis"/>
    <m/>
    <n v="220853"/>
    <x v="10"/>
    <n v="517"/>
    <n v="5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7"/>
    <n v="560"/>
  </r>
  <r>
    <x v="12"/>
    <s v="Tennessee Technology Center at Morristown"/>
    <m/>
    <n v="221050"/>
    <x v="10"/>
    <n v="400"/>
    <n v="32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0"/>
    <n v="322"/>
  </r>
  <r>
    <x v="12"/>
    <s v="Tennessee Technology Center at Murfreesboro"/>
    <m/>
    <n v="221102"/>
    <x v="10"/>
    <n v="255"/>
    <n v="25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"/>
    <n v="253"/>
  </r>
  <r>
    <x v="12"/>
    <s v="Tennessee Technology Center at Nashville"/>
    <m/>
    <n v="248925"/>
    <x v="10"/>
    <n v="581"/>
    <n v="59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1"/>
    <n v="594"/>
  </r>
  <r>
    <x v="12"/>
    <s v="Tennessee Technology Center at Newbern"/>
    <m/>
    <n v="221236"/>
    <x v="10"/>
    <n v="108"/>
    <n v="9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"/>
    <n v="92"/>
  </r>
  <r>
    <x v="12"/>
    <s v="Tennessee Technology Center at Oneida"/>
    <m/>
    <n v="221582"/>
    <x v="10"/>
    <n v="250"/>
    <n v="1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0"/>
    <n v="168"/>
  </r>
  <r>
    <x v="12"/>
    <s v="Tennessee Technology Center at Paris"/>
    <m/>
    <n v="221281"/>
    <x v="10"/>
    <n v="289"/>
    <n v="26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9"/>
    <n v="260"/>
  </r>
  <r>
    <x v="12"/>
    <s v="Tennessee Technology Center at Pulaski"/>
    <m/>
    <n v="221333"/>
    <x v="10"/>
    <n v="424"/>
    <n v="2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4"/>
    <n v="220"/>
  </r>
  <r>
    <x v="12"/>
    <s v="Tennessee Technology Center at Ripley"/>
    <m/>
    <n v="221388"/>
    <x v="10"/>
    <n v="136"/>
    <n v="12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"/>
    <n v="126"/>
  </r>
  <r>
    <x v="12"/>
    <s v="Tennessee Technology Center at Shelbyville"/>
    <m/>
    <n v="221494"/>
    <x v="10"/>
    <n v="368"/>
    <n v="2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281"/>
  </r>
  <r>
    <x v="12"/>
    <s v="Tennessee Technology Center at Whiteville"/>
    <m/>
    <n v="221634"/>
    <x v="10"/>
    <n v="117"/>
    <n v="11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"/>
    <n v="112"/>
  </r>
  <r>
    <x v="12"/>
    <s v="University of Tennessee Health Science Center"/>
    <m/>
    <n v="221704"/>
    <x v="11"/>
    <m/>
    <m/>
    <m/>
    <m/>
    <m/>
    <m/>
    <n v="0"/>
    <n v="0"/>
    <n v="45"/>
    <m/>
    <m/>
    <m/>
    <n v="0"/>
    <n v="39"/>
    <m/>
    <m/>
    <m/>
    <n v="0"/>
    <m/>
    <m/>
    <m/>
    <m/>
    <m/>
    <m/>
    <m/>
    <m/>
    <m/>
    <m/>
    <m/>
    <m/>
    <m/>
    <m/>
    <m/>
    <m/>
    <m/>
    <m/>
    <m/>
    <m/>
    <n v="0"/>
    <n v="6.0810810810810814E-2"/>
    <n v="0"/>
    <n v="5.078125E-2"/>
    <m/>
    <m/>
    <n v="51"/>
    <n v="149"/>
    <n v="51"/>
    <n v="168"/>
    <n v="26"/>
    <n v="21"/>
    <n v="26"/>
    <n v="22"/>
    <n v="4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"/>
    <n v="3"/>
    <n v="190"/>
    <n v="2"/>
    <n v="51"/>
    <n v="86"/>
    <n v="51"/>
    <n v="126"/>
    <n v="26"/>
    <n v="14"/>
    <n v="26"/>
    <n v="15"/>
    <n v="40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  <n v="3"/>
    <n v="0.85148514851485146"/>
    <n v="142"/>
    <n v="3"/>
    <n v="0.88732394366197187"/>
    <n v="275"/>
    <n v="332"/>
    <m/>
    <m/>
    <n v="140"/>
    <n v="149"/>
    <n v="83"/>
    <n v="76"/>
    <n v="197"/>
    <n v="172"/>
    <m/>
    <m/>
    <m/>
    <m/>
    <m/>
    <m/>
    <m/>
    <m/>
    <m/>
    <m/>
    <m/>
    <m/>
    <n v="420"/>
    <n v="397"/>
    <m/>
    <m/>
    <n v="740"/>
    <n v="768"/>
  </r>
  <r>
    <x v="13"/>
    <s v="Texas A&amp;M University "/>
    <m/>
    <n v="228723"/>
    <x v="0"/>
    <m/>
    <m/>
    <m/>
    <m/>
    <m/>
    <m/>
    <n v="0"/>
    <n v="0"/>
    <n v="8748"/>
    <m/>
    <m/>
    <m/>
    <n v="0"/>
    <n v="9020"/>
    <m/>
    <m/>
    <m/>
    <n v="0"/>
    <m/>
    <m/>
    <m/>
    <m/>
    <m/>
    <m/>
    <m/>
    <m/>
    <m/>
    <m/>
    <m/>
    <m/>
    <m/>
    <m/>
    <m/>
    <m/>
    <m/>
    <m/>
    <m/>
    <m/>
    <n v="0"/>
    <n v="0.74654377880184331"/>
    <n v="0"/>
    <n v="0.75595038551793492"/>
    <m/>
    <m/>
    <n v="14"/>
    <n v="626"/>
    <n v="14"/>
    <n v="538"/>
    <n v="52"/>
    <n v="464"/>
    <n v="52"/>
    <n v="466"/>
    <n v="13"/>
    <n v="248"/>
    <n v="13"/>
    <n v="250"/>
    <n v="11"/>
    <n v="160"/>
    <n v="11"/>
    <n v="186"/>
    <n v="1"/>
    <n v="132"/>
    <n v="1"/>
    <n v="107"/>
    <n v="45"/>
    <n v="105"/>
    <n v="45"/>
    <n v="92"/>
    <n v="40"/>
    <n v="74"/>
    <n v="4"/>
    <n v="79"/>
    <n v="4"/>
    <n v="69"/>
    <n v="40"/>
    <n v="63"/>
    <n v="31"/>
    <n v="56"/>
    <n v="27"/>
    <n v="55"/>
    <n v="42"/>
    <n v="55"/>
    <n v="26"/>
    <n v="53"/>
    <n v="242"/>
    <n v="216"/>
    <n v="2231"/>
    <n v="10"/>
    <n v="2105"/>
    <n v="10"/>
    <n v="14"/>
    <n v="183"/>
    <n v="14"/>
    <n v="200"/>
    <n v="13"/>
    <n v="90"/>
    <n v="40"/>
    <n v="73"/>
    <n v="40"/>
    <n v="67"/>
    <n v="13"/>
    <n v="67"/>
    <n v="26"/>
    <n v="48"/>
    <n v="1"/>
    <n v="57"/>
    <n v="42"/>
    <n v="45"/>
    <n v="42"/>
    <n v="48"/>
    <n v="1"/>
    <n v="36"/>
    <n v="26"/>
    <n v="47"/>
    <n v="45"/>
    <n v="33"/>
    <n v="45"/>
    <n v="42"/>
    <n v="27"/>
    <n v="18"/>
    <n v="27"/>
    <n v="29"/>
    <n v="11"/>
    <n v="16"/>
    <n v="11"/>
    <n v="21"/>
    <n v="31"/>
    <n v="15"/>
    <n v="4"/>
    <n v="15"/>
    <n v="67"/>
    <n v="79"/>
    <n v="618"/>
    <n v="10"/>
    <n v="0.29611650485436891"/>
    <n v="678"/>
    <n v="10"/>
    <n v="0.29498525073746312"/>
    <n v="2849"/>
    <n v="2783"/>
    <m/>
    <m/>
    <m/>
    <m/>
    <m/>
    <m/>
    <m/>
    <m/>
    <m/>
    <m/>
    <m/>
    <m/>
    <m/>
    <m/>
    <n v="121"/>
    <n v="129"/>
    <m/>
    <m/>
    <m/>
    <m/>
    <n v="121"/>
    <n v="129"/>
    <m/>
    <m/>
    <n v="11718"/>
    <n v="11932"/>
  </r>
  <r>
    <x v="13"/>
    <s v="Texas Tech University "/>
    <m/>
    <n v="229115"/>
    <x v="0"/>
    <m/>
    <m/>
    <m/>
    <m/>
    <m/>
    <m/>
    <n v="0"/>
    <n v="0"/>
    <n v="4605"/>
    <m/>
    <m/>
    <m/>
    <n v="0"/>
    <n v="4941"/>
    <m/>
    <m/>
    <m/>
    <n v="0"/>
    <m/>
    <m/>
    <m/>
    <m/>
    <m/>
    <m/>
    <m/>
    <m/>
    <m/>
    <m/>
    <m/>
    <m/>
    <m/>
    <m/>
    <m/>
    <m/>
    <m/>
    <m/>
    <m/>
    <m/>
    <n v="0"/>
    <n v="0.72303344324069707"/>
    <n v="0"/>
    <n v="0.70434782608695656"/>
    <m/>
    <m/>
    <n v="52"/>
    <n v="343"/>
    <n v="52"/>
    <n v="432"/>
    <n v="13"/>
    <n v="221"/>
    <n v="13"/>
    <n v="242"/>
    <n v="14"/>
    <n v="154"/>
    <n v="14"/>
    <n v="193"/>
    <n v="30"/>
    <n v="53"/>
    <n v="19"/>
    <n v="84"/>
    <n v="4"/>
    <n v="52"/>
    <n v="1"/>
    <n v="73"/>
    <n v="19"/>
    <n v="46"/>
    <n v="4"/>
    <n v="73"/>
    <n v="11"/>
    <n v="42"/>
    <n v="11"/>
    <n v="61"/>
    <n v="26"/>
    <n v="42"/>
    <n v="30"/>
    <n v="46"/>
    <n v="31"/>
    <n v="41"/>
    <n v="23"/>
    <n v="45"/>
    <n v="27"/>
    <n v="40"/>
    <n v="40"/>
    <n v="42"/>
    <n v="266"/>
    <n v="314"/>
    <n v="1300"/>
    <n v="10"/>
    <n v="1605"/>
    <n v="10"/>
    <n v="13"/>
    <n v="47"/>
    <n v="13"/>
    <n v="53"/>
    <n v="14"/>
    <n v="38"/>
    <n v="14"/>
    <n v="35"/>
    <n v="40"/>
    <n v="24"/>
    <n v="50"/>
    <n v="24"/>
    <n v="50"/>
    <n v="24"/>
    <n v="23"/>
    <n v="23"/>
    <n v="23"/>
    <n v="22"/>
    <n v="1"/>
    <n v="18"/>
    <n v="42"/>
    <n v="21"/>
    <n v="52"/>
    <n v="17"/>
    <n v="52"/>
    <n v="18"/>
    <n v="42"/>
    <n v="15"/>
    <n v="1"/>
    <n v="17"/>
    <n v="26"/>
    <n v="11"/>
    <n v="26"/>
    <n v="15"/>
    <n v="40"/>
    <n v="11"/>
    <n v="27"/>
    <n v="9"/>
    <n v="19"/>
    <n v="9"/>
    <n v="30"/>
    <n v="37"/>
    <n v="265"/>
    <n v="10"/>
    <n v="0.17735849056603772"/>
    <n v="253"/>
    <n v="10"/>
    <n v="0.20948616600790515"/>
    <n v="1565"/>
    <n v="1858"/>
    <n v="199"/>
    <n v="216"/>
    <m/>
    <m/>
    <m/>
    <m/>
    <m/>
    <m/>
    <m/>
    <m/>
    <m/>
    <m/>
    <m/>
    <m/>
    <m/>
    <m/>
    <m/>
    <m/>
    <m/>
    <m/>
    <n v="199"/>
    <n v="216"/>
    <m/>
    <m/>
    <n v="6369"/>
    <n v="7015"/>
  </r>
  <r>
    <x v="13"/>
    <s v="University of Houston"/>
    <m/>
    <n v="225511"/>
    <x v="0"/>
    <m/>
    <m/>
    <m/>
    <m/>
    <m/>
    <m/>
    <n v="0"/>
    <n v="0"/>
    <n v="5092"/>
    <m/>
    <m/>
    <m/>
    <n v="0"/>
    <n v="5426"/>
    <m/>
    <m/>
    <m/>
    <n v="0"/>
    <m/>
    <m/>
    <m/>
    <m/>
    <m/>
    <m/>
    <m/>
    <m/>
    <m/>
    <m/>
    <m/>
    <m/>
    <m/>
    <m/>
    <m/>
    <m/>
    <m/>
    <m/>
    <m/>
    <m/>
    <n v="0"/>
    <n v="0.64990427568602427"/>
    <n v="0"/>
    <n v="0.65833535549623878"/>
    <m/>
    <m/>
    <n v="52"/>
    <n v="709"/>
    <n v="52"/>
    <n v="798"/>
    <n v="14"/>
    <n v="253"/>
    <n v="13"/>
    <n v="218"/>
    <n v="13"/>
    <n v="188"/>
    <n v="14"/>
    <n v="173"/>
    <n v="44"/>
    <n v="162"/>
    <n v="44"/>
    <n v="156"/>
    <n v="11"/>
    <n v="96"/>
    <n v="11"/>
    <n v="104"/>
    <n v="22"/>
    <n v="89"/>
    <n v="45"/>
    <n v="87"/>
    <n v="50"/>
    <n v="68"/>
    <n v="40"/>
    <n v="81"/>
    <n v="45"/>
    <n v="67"/>
    <n v="50"/>
    <n v="78"/>
    <n v="51"/>
    <n v="57"/>
    <n v="22"/>
    <n v="72"/>
    <n v="40"/>
    <n v="40"/>
    <n v="51"/>
    <n v="48"/>
    <n v="198"/>
    <n v="218"/>
    <n v="1927"/>
    <n v="10"/>
    <n v="2033"/>
    <n v="10"/>
    <n v="13"/>
    <n v="60"/>
    <n v="13"/>
    <n v="61"/>
    <n v="14"/>
    <n v="52"/>
    <n v="14"/>
    <n v="40"/>
    <n v="42"/>
    <n v="46"/>
    <n v="42"/>
    <n v="32"/>
    <n v="40"/>
    <n v="35"/>
    <n v="40"/>
    <n v="31"/>
    <n v="51"/>
    <n v="22"/>
    <n v="26"/>
    <n v="22"/>
    <n v="11"/>
    <n v="19"/>
    <n v="23"/>
    <n v="17"/>
    <n v="26"/>
    <n v="13"/>
    <n v="45"/>
    <n v="17"/>
    <n v="27"/>
    <n v="10"/>
    <n v="52"/>
    <n v="14"/>
    <n v="45"/>
    <n v="9"/>
    <n v="11"/>
    <n v="12"/>
    <n v="23"/>
    <n v="8"/>
    <n v="27"/>
    <n v="12"/>
    <n v="32"/>
    <n v="46"/>
    <n v="306"/>
    <n v="10"/>
    <n v="0.19607843137254902"/>
    <n v="304"/>
    <n v="10"/>
    <n v="0.20065789473684212"/>
    <n v="2233"/>
    <n v="2337"/>
    <n v="282"/>
    <n v="262"/>
    <m/>
    <m/>
    <m/>
    <m/>
    <n v="126"/>
    <n v="126"/>
    <m/>
    <m/>
    <n v="102"/>
    <n v="91"/>
    <m/>
    <m/>
    <m/>
    <m/>
    <m/>
    <m/>
    <m/>
    <m/>
    <n v="510"/>
    <n v="479"/>
    <m/>
    <m/>
    <n v="7835"/>
    <n v="8242"/>
  </r>
  <r>
    <x v="13"/>
    <s v="University of North Texas"/>
    <m/>
    <n v="227216"/>
    <x v="0"/>
    <m/>
    <m/>
    <m/>
    <m/>
    <m/>
    <m/>
    <n v="0"/>
    <n v="0"/>
    <n v="6571"/>
    <m/>
    <m/>
    <m/>
    <n v="0"/>
    <n v="6262"/>
    <m/>
    <m/>
    <m/>
    <n v="0"/>
    <m/>
    <m/>
    <m/>
    <m/>
    <m/>
    <m/>
    <m/>
    <m/>
    <m/>
    <m/>
    <m/>
    <m/>
    <m/>
    <m/>
    <m/>
    <m/>
    <m/>
    <m/>
    <m/>
    <m/>
    <n v="0"/>
    <n v="0.76335966542750933"/>
    <n v="0"/>
    <n v="0.73679256383103897"/>
    <m/>
    <m/>
    <n v="25"/>
    <n v="432"/>
    <n v="25"/>
    <n v="414"/>
    <n v="13"/>
    <n v="369"/>
    <n v="13"/>
    <n v="406"/>
    <n v="52"/>
    <n v="280"/>
    <n v="52"/>
    <n v="317"/>
    <n v="11"/>
    <n v="105"/>
    <n v="50"/>
    <n v="128"/>
    <n v="50"/>
    <n v="97"/>
    <n v="11"/>
    <n v="115"/>
    <n v="51"/>
    <n v="90"/>
    <n v="42"/>
    <n v="89"/>
    <n v="42"/>
    <n v="68"/>
    <n v="45"/>
    <n v="83"/>
    <n v="14"/>
    <n v="54"/>
    <n v="51"/>
    <n v="82"/>
    <n v="45"/>
    <n v="53"/>
    <n v="44"/>
    <n v="64"/>
    <n v="44"/>
    <n v="50"/>
    <n v="14"/>
    <n v="59"/>
    <n v="222"/>
    <n v="245"/>
    <n v="1820"/>
    <n v="10"/>
    <n v="2002"/>
    <n v="10"/>
    <n v="13"/>
    <n v="62"/>
    <n v="13"/>
    <n v="63"/>
    <n v="50"/>
    <n v="24"/>
    <n v="50"/>
    <n v="39"/>
    <n v="42"/>
    <n v="23"/>
    <n v="52"/>
    <n v="19"/>
    <n v="40"/>
    <n v="20"/>
    <n v="11"/>
    <n v="16"/>
    <n v="11"/>
    <n v="19"/>
    <n v="42"/>
    <n v="16"/>
    <n v="45"/>
    <n v="11"/>
    <n v="40"/>
    <n v="14"/>
    <n v="52"/>
    <n v="10"/>
    <n v="23"/>
    <n v="10"/>
    <n v="14"/>
    <n v="8"/>
    <n v="45"/>
    <n v="10"/>
    <n v="26"/>
    <n v="8"/>
    <n v="30"/>
    <n v="8"/>
    <n v="3"/>
    <n v="5"/>
    <n v="26"/>
    <n v="7"/>
    <n v="20"/>
    <n v="23"/>
    <n v="210"/>
    <n v="10"/>
    <n v="0.29523809523809524"/>
    <n v="225"/>
    <n v="10"/>
    <n v="0.28000000000000003"/>
    <n v="2030"/>
    <n v="2227"/>
    <m/>
    <m/>
    <m/>
    <m/>
    <m/>
    <m/>
    <m/>
    <m/>
    <m/>
    <m/>
    <m/>
    <m/>
    <m/>
    <m/>
    <m/>
    <m/>
    <m/>
    <m/>
    <n v="7"/>
    <n v="10"/>
    <n v="7"/>
    <n v="10"/>
    <m/>
    <m/>
    <n v="8608"/>
    <n v="8499"/>
  </r>
  <r>
    <x v="13"/>
    <s v="University of Texas at Arlington"/>
    <m/>
    <n v="228769"/>
    <x v="0"/>
    <m/>
    <m/>
    <m/>
    <m/>
    <m/>
    <m/>
    <n v="0"/>
    <n v="0"/>
    <n v="5103"/>
    <m/>
    <m/>
    <m/>
    <n v="0"/>
    <n v="5773"/>
    <m/>
    <m/>
    <m/>
    <n v="0"/>
    <m/>
    <m/>
    <m/>
    <m/>
    <m/>
    <m/>
    <m/>
    <m/>
    <m/>
    <m/>
    <m/>
    <m/>
    <m/>
    <m/>
    <m/>
    <m/>
    <m/>
    <m/>
    <m/>
    <m/>
    <n v="0"/>
    <n v="0.66732051785013735"/>
    <n v="0"/>
    <n v="0.62607092506235762"/>
    <m/>
    <m/>
    <n v="52"/>
    <n v="647"/>
    <n v="13"/>
    <n v="1368"/>
    <n v="13"/>
    <n v="513"/>
    <n v="52"/>
    <n v="632"/>
    <n v="14"/>
    <n v="360"/>
    <n v="14"/>
    <n v="323"/>
    <n v="44"/>
    <n v="274"/>
    <n v="44"/>
    <n v="281"/>
    <n v="51"/>
    <n v="194"/>
    <n v="51"/>
    <n v="255"/>
    <n v="4"/>
    <n v="82"/>
    <n v="4"/>
    <n v="91"/>
    <n v="11"/>
    <n v="54"/>
    <n v="11"/>
    <n v="57"/>
    <n v="45"/>
    <n v="52"/>
    <n v="43"/>
    <n v="45"/>
    <n v="43"/>
    <n v="45"/>
    <n v="45"/>
    <n v="34"/>
    <n v="30"/>
    <n v="35"/>
    <n v="40"/>
    <n v="24"/>
    <n v="161"/>
    <n v="170"/>
    <n v="2417"/>
    <n v="10"/>
    <n v="3280"/>
    <n v="10"/>
    <n v="14"/>
    <n v="45"/>
    <n v="14"/>
    <n v="58"/>
    <n v="40"/>
    <n v="19"/>
    <n v="44"/>
    <n v="24"/>
    <n v="44"/>
    <n v="12"/>
    <n v="52"/>
    <n v="15"/>
    <n v="42"/>
    <n v="10"/>
    <n v="40"/>
    <n v="12"/>
    <n v="11"/>
    <n v="8"/>
    <n v="51"/>
    <n v="11"/>
    <n v="52"/>
    <n v="7"/>
    <n v="27"/>
    <n v="8"/>
    <n v="23"/>
    <n v="5"/>
    <n v="23"/>
    <n v="7"/>
    <n v="16"/>
    <n v="4"/>
    <n v="42"/>
    <n v="7"/>
    <n v="27"/>
    <n v="4"/>
    <n v="11"/>
    <n v="6"/>
    <n v="51"/>
    <n v="4"/>
    <n v="3"/>
    <n v="5"/>
    <n v="9"/>
    <n v="15"/>
    <n v="127"/>
    <n v="10"/>
    <n v="0.3543307086614173"/>
    <n v="168"/>
    <n v="10"/>
    <n v="0.34523809523809523"/>
    <n v="2544"/>
    <n v="3448"/>
    <m/>
    <m/>
    <m/>
    <m/>
    <m/>
    <m/>
    <m/>
    <m/>
    <m/>
    <m/>
    <m/>
    <m/>
    <m/>
    <m/>
    <m/>
    <m/>
    <m/>
    <m/>
    <m/>
    <m/>
    <n v="0"/>
    <n v="0"/>
    <m/>
    <m/>
    <n v="7647"/>
    <n v="9221"/>
  </r>
  <r>
    <x v="13"/>
    <s v="University of Texas at Austin"/>
    <m/>
    <n v="228778"/>
    <x v="0"/>
    <m/>
    <m/>
    <m/>
    <m/>
    <m/>
    <m/>
    <n v="0"/>
    <n v="0"/>
    <n v="9027"/>
    <m/>
    <m/>
    <m/>
    <n v="0"/>
    <n v="8860"/>
    <m/>
    <m/>
    <m/>
    <n v="0"/>
    <m/>
    <m/>
    <m/>
    <m/>
    <m/>
    <m/>
    <m/>
    <m/>
    <m/>
    <m/>
    <m/>
    <m/>
    <m/>
    <m/>
    <m/>
    <m/>
    <m/>
    <m/>
    <m/>
    <m/>
    <n v="0"/>
    <n v="0.67542087542087537"/>
    <n v="0"/>
    <n v="0.66431731273899675"/>
    <m/>
    <m/>
    <n v="52"/>
    <n v="907"/>
    <n v="52"/>
    <n v="949"/>
    <n v="14"/>
    <n v="441"/>
    <n v="14"/>
    <n v="395"/>
    <n v="44"/>
    <n v="275"/>
    <n v="44"/>
    <n v="289"/>
    <n v="13"/>
    <n v="187"/>
    <n v="13"/>
    <n v="245"/>
    <n v="9"/>
    <n v="146"/>
    <n v="9"/>
    <n v="157"/>
    <n v="4"/>
    <n v="109"/>
    <n v="25"/>
    <n v="125"/>
    <n v="51"/>
    <n v="106"/>
    <n v="4"/>
    <n v="123"/>
    <n v="25"/>
    <n v="103"/>
    <n v="50"/>
    <n v="120"/>
    <n v="50"/>
    <n v="102"/>
    <n v="51"/>
    <n v="117"/>
    <n v="45"/>
    <n v="93"/>
    <n v="45"/>
    <n v="95"/>
    <n v="517"/>
    <n v="515"/>
    <n v="2986"/>
    <n v="10"/>
    <n v="3130"/>
    <n v="10"/>
    <n v="14"/>
    <n v="202"/>
    <n v="14"/>
    <n v="214"/>
    <n v="13"/>
    <n v="105"/>
    <n v="13"/>
    <n v="85"/>
    <n v="40"/>
    <n v="82"/>
    <n v="40"/>
    <n v="78"/>
    <n v="45"/>
    <n v="61"/>
    <n v="50"/>
    <n v="57"/>
    <n v="26"/>
    <n v="54"/>
    <n v="45"/>
    <n v="55"/>
    <n v="42"/>
    <n v="49"/>
    <n v="26"/>
    <n v="53"/>
    <n v="16"/>
    <n v="44"/>
    <n v="42"/>
    <n v="47"/>
    <n v="50"/>
    <n v="41"/>
    <n v="16"/>
    <n v="40"/>
    <n v="23"/>
    <n v="27"/>
    <n v="51"/>
    <n v="30"/>
    <n v="51"/>
    <n v="25"/>
    <n v="54"/>
    <n v="29"/>
    <n v="154"/>
    <n v="155"/>
    <n v="844"/>
    <n v="10"/>
    <n v="0.23933649289099526"/>
    <n v="843"/>
    <n v="10"/>
    <n v="0.25385527876631081"/>
    <n v="3830"/>
    <n v="3973"/>
    <n v="382"/>
    <n v="373"/>
    <m/>
    <m/>
    <m/>
    <m/>
    <n v="117"/>
    <n v="127"/>
    <m/>
    <m/>
    <m/>
    <m/>
    <m/>
    <m/>
    <m/>
    <m/>
    <m/>
    <m/>
    <n v="9"/>
    <n v="4"/>
    <n v="508"/>
    <n v="504"/>
    <m/>
    <m/>
    <n v="13365"/>
    <n v="13337"/>
  </r>
  <r>
    <x v="13"/>
    <s v="University of Texas at Dallas"/>
    <m/>
    <n v="228787"/>
    <x v="0"/>
    <m/>
    <m/>
    <m/>
    <m/>
    <m/>
    <m/>
    <n v="0"/>
    <n v="0"/>
    <n v="2314"/>
    <m/>
    <m/>
    <m/>
    <n v="0"/>
    <n v="2510"/>
    <m/>
    <m/>
    <m/>
    <n v="0"/>
    <m/>
    <m/>
    <m/>
    <m/>
    <m/>
    <m/>
    <m/>
    <m/>
    <m/>
    <m/>
    <m/>
    <m/>
    <m/>
    <m/>
    <m/>
    <m/>
    <m/>
    <m/>
    <m/>
    <m/>
    <n v="0"/>
    <n v="0.51721054984354042"/>
    <n v="0"/>
    <n v="0.5114099429502853"/>
    <m/>
    <m/>
    <n v="52"/>
    <n v="974"/>
    <n v="52"/>
    <n v="1106"/>
    <n v="11"/>
    <n v="299"/>
    <n v="11"/>
    <n v="320"/>
    <n v="14"/>
    <n v="186"/>
    <n v="14"/>
    <n v="240"/>
    <n v="51"/>
    <n v="162"/>
    <n v="51"/>
    <n v="171"/>
    <n v="30"/>
    <n v="69"/>
    <n v="30"/>
    <n v="68"/>
    <n v="45"/>
    <n v="56"/>
    <n v="45"/>
    <n v="68"/>
    <n v="44"/>
    <n v="48"/>
    <n v="44"/>
    <n v="47"/>
    <n v="50"/>
    <n v="39"/>
    <n v="24"/>
    <n v="36"/>
    <n v="26"/>
    <n v="35"/>
    <n v="26"/>
    <n v="32"/>
    <n v="24"/>
    <n v="33"/>
    <n v="50"/>
    <n v="28"/>
    <n v="93"/>
    <n v="103"/>
    <n v="1994"/>
    <n v="10"/>
    <n v="2219"/>
    <n v="10"/>
    <n v="14"/>
    <n v="34"/>
    <n v="14"/>
    <n v="52"/>
    <n v="11"/>
    <n v="25"/>
    <n v="11"/>
    <n v="25"/>
    <n v="44"/>
    <n v="19"/>
    <n v="24"/>
    <n v="16"/>
    <n v="45"/>
    <n v="19"/>
    <n v="44"/>
    <n v="15"/>
    <n v="52"/>
    <n v="16"/>
    <n v="26"/>
    <n v="14"/>
    <n v="24"/>
    <n v="14"/>
    <n v="52"/>
    <n v="14"/>
    <n v="40"/>
    <n v="13"/>
    <n v="45"/>
    <n v="13"/>
    <n v="26"/>
    <n v="10"/>
    <n v="40"/>
    <n v="11"/>
    <n v="27"/>
    <n v="6"/>
    <n v="27"/>
    <n v="5"/>
    <n v="42"/>
    <n v="4"/>
    <n v="42"/>
    <n v="3"/>
    <m/>
    <m/>
    <n v="160"/>
    <n v="10"/>
    <n v="0.21249999999999999"/>
    <n v="168"/>
    <n v="10"/>
    <n v="0.30952380952380953"/>
    <n v="2154"/>
    <n v="2387"/>
    <m/>
    <m/>
    <m/>
    <m/>
    <m/>
    <m/>
    <m/>
    <m/>
    <m/>
    <m/>
    <m/>
    <m/>
    <m/>
    <m/>
    <m/>
    <m/>
    <m/>
    <m/>
    <n v="6"/>
    <n v="11"/>
    <n v="6"/>
    <n v="11"/>
    <m/>
    <m/>
    <n v="4474"/>
    <n v="4908"/>
  </r>
  <r>
    <x v="13"/>
    <s v="Texas Woman's University"/>
    <m/>
    <n v="229179"/>
    <x v="1"/>
    <m/>
    <m/>
    <m/>
    <m/>
    <m/>
    <m/>
    <n v="0"/>
    <n v="0"/>
    <n v="1725"/>
    <m/>
    <m/>
    <m/>
    <n v="0"/>
    <n v="1919"/>
    <m/>
    <m/>
    <m/>
    <n v="0"/>
    <m/>
    <m/>
    <m/>
    <m/>
    <m/>
    <m/>
    <m/>
    <m/>
    <m/>
    <m/>
    <m/>
    <m/>
    <m/>
    <m/>
    <m/>
    <m/>
    <m/>
    <m/>
    <m/>
    <m/>
    <n v="0"/>
    <n v="0.4859154929577465"/>
    <n v="0"/>
    <n v="0.52388752388752391"/>
    <m/>
    <m/>
    <n v="51"/>
    <n v="485"/>
    <n v="52"/>
    <n v="515"/>
    <n v="52"/>
    <n v="479"/>
    <n v="51"/>
    <n v="443"/>
    <n v="13"/>
    <n v="252"/>
    <n v="13"/>
    <n v="186"/>
    <n v="25"/>
    <n v="193"/>
    <n v="25"/>
    <n v="158"/>
    <n v="19"/>
    <n v="43"/>
    <n v="19"/>
    <n v="55"/>
    <n v="30"/>
    <n v="42"/>
    <n v="30"/>
    <n v="45"/>
    <n v="50"/>
    <n v="32"/>
    <n v="50"/>
    <n v="41"/>
    <n v="31"/>
    <n v="30"/>
    <n v="31"/>
    <n v="37"/>
    <n v="42"/>
    <n v="18"/>
    <n v="42"/>
    <n v="24"/>
    <n v="45"/>
    <n v="10"/>
    <n v="5"/>
    <n v="20"/>
    <n v="22"/>
    <n v="34"/>
    <n v="1606"/>
    <n v="10"/>
    <n v="1558"/>
    <n v="10"/>
    <n v="51"/>
    <n v="43"/>
    <n v="51"/>
    <n v="36"/>
    <n v="42"/>
    <n v="17"/>
    <n v="19"/>
    <n v="10"/>
    <n v="19"/>
    <n v="9"/>
    <n v="42"/>
    <n v="9"/>
    <n v="31"/>
    <n v="8"/>
    <n v="31"/>
    <n v="8"/>
    <n v="13"/>
    <n v="6"/>
    <n v="45"/>
    <n v="7"/>
    <n v="23"/>
    <n v="6"/>
    <n v="13"/>
    <n v="5"/>
    <n v="50"/>
    <n v="4"/>
    <n v="30"/>
    <n v="3"/>
    <n v="30"/>
    <n v="3"/>
    <n v="50"/>
    <n v="3"/>
    <n v="45"/>
    <n v="3"/>
    <n v="23"/>
    <n v="2"/>
    <n v="25"/>
    <n v="2"/>
    <n v="25"/>
    <n v="2"/>
    <n v="2"/>
    <m/>
    <n v="103"/>
    <n v="10"/>
    <n v="0.41747572815533979"/>
    <n v="85"/>
    <n v="10"/>
    <n v="0.42352941176470588"/>
    <n v="1709"/>
    <n v="1643"/>
    <m/>
    <m/>
    <m/>
    <m/>
    <m/>
    <m/>
    <m/>
    <m/>
    <m/>
    <m/>
    <m/>
    <m/>
    <m/>
    <m/>
    <m/>
    <m/>
    <m/>
    <m/>
    <n v="116"/>
    <n v="101"/>
    <n v="116"/>
    <n v="101"/>
    <m/>
    <m/>
    <n v="3550"/>
    <n v="3663"/>
  </r>
  <r>
    <x v="13"/>
    <s v="University of Texas at El Paso"/>
    <m/>
    <n v="228796"/>
    <x v="1"/>
    <m/>
    <m/>
    <m/>
    <m/>
    <m/>
    <m/>
    <n v="0"/>
    <n v="0"/>
    <n v="3008"/>
    <m/>
    <m/>
    <m/>
    <n v="0"/>
    <n v="3132"/>
    <m/>
    <m/>
    <m/>
    <n v="0"/>
    <m/>
    <m/>
    <m/>
    <m/>
    <m/>
    <m/>
    <m/>
    <m/>
    <m/>
    <m/>
    <m/>
    <m/>
    <m/>
    <m/>
    <m/>
    <m/>
    <m/>
    <m/>
    <m/>
    <m/>
    <n v="0"/>
    <n v="0.72359874909790711"/>
    <n v="0"/>
    <n v="0.72082853855005757"/>
    <m/>
    <m/>
    <n v="13"/>
    <n v="338"/>
    <n v="13"/>
    <n v="349"/>
    <n v="52"/>
    <n v="167"/>
    <n v="52"/>
    <n v="167"/>
    <n v="14"/>
    <n v="131"/>
    <n v="14"/>
    <n v="155"/>
    <n v="51"/>
    <n v="95"/>
    <n v="30"/>
    <n v="130"/>
    <n v="30"/>
    <n v="85"/>
    <n v="51"/>
    <n v="96"/>
    <n v="9"/>
    <n v="43"/>
    <n v="44"/>
    <n v="46"/>
    <n v="23"/>
    <n v="30"/>
    <n v="23"/>
    <n v="31"/>
    <n v="11"/>
    <n v="25"/>
    <n v="9"/>
    <n v="23"/>
    <n v="27"/>
    <n v="20"/>
    <n v="27"/>
    <n v="18"/>
    <n v="44"/>
    <n v="19"/>
    <n v="11"/>
    <n v="16"/>
    <n v="118"/>
    <n v="103"/>
    <n v="1071"/>
    <n v="10"/>
    <n v="1134"/>
    <n v="10"/>
    <n v="14"/>
    <n v="21"/>
    <n v="14"/>
    <n v="24"/>
    <n v="40"/>
    <n v="9"/>
    <n v="13"/>
    <n v="8"/>
    <n v="42"/>
    <n v="8"/>
    <n v="40"/>
    <n v="7"/>
    <n v="26"/>
    <n v="7"/>
    <n v="26"/>
    <n v="5"/>
    <n v="54"/>
    <n v="5"/>
    <n v="52"/>
    <n v="5"/>
    <n v="23"/>
    <n v="4"/>
    <n v="42"/>
    <n v="4"/>
    <n v="51"/>
    <n v="4"/>
    <n v="54"/>
    <n v="4"/>
    <n v="13"/>
    <n v="3"/>
    <n v="23"/>
    <n v="3"/>
    <n v="52"/>
    <n v="2"/>
    <n v="51"/>
    <n v="3"/>
    <n v="11"/>
    <n v="1"/>
    <n v="11"/>
    <n v="2"/>
    <m/>
    <n v="1"/>
    <n v="64"/>
    <n v="10"/>
    <n v="0.328125"/>
    <n v="66"/>
    <n v="10"/>
    <n v="0.36363636363636365"/>
    <n v="1135"/>
    <n v="1200"/>
    <m/>
    <m/>
    <m/>
    <m/>
    <m/>
    <m/>
    <m/>
    <m/>
    <m/>
    <m/>
    <m/>
    <m/>
    <m/>
    <m/>
    <m/>
    <m/>
    <m/>
    <m/>
    <n v="14"/>
    <n v="13"/>
    <n v="14"/>
    <n v="13"/>
    <m/>
    <m/>
    <n v="4157"/>
    <n v="4345"/>
  </r>
  <r>
    <x v="13"/>
    <s v="University of Texas at San Antonio"/>
    <m/>
    <n v="229027"/>
    <x v="1"/>
    <m/>
    <m/>
    <m/>
    <m/>
    <m/>
    <m/>
    <n v="0"/>
    <n v="0"/>
    <n v="4148"/>
    <m/>
    <m/>
    <m/>
    <n v="0"/>
    <n v="4243"/>
    <m/>
    <m/>
    <m/>
    <n v="0"/>
    <m/>
    <m/>
    <m/>
    <m/>
    <m/>
    <m/>
    <m/>
    <m/>
    <m/>
    <m/>
    <m/>
    <m/>
    <m/>
    <m/>
    <m/>
    <m/>
    <m/>
    <m/>
    <m/>
    <m/>
    <n v="0"/>
    <n v="0.79417959027378904"/>
    <n v="0"/>
    <n v="0.77271899471863048"/>
    <m/>
    <m/>
    <n v="13"/>
    <n v="326"/>
    <n v="13"/>
    <n v="382"/>
    <n v="52"/>
    <n v="183"/>
    <n v="52"/>
    <n v="214"/>
    <n v="14"/>
    <n v="106"/>
    <n v="44"/>
    <n v="89"/>
    <n v="44"/>
    <n v="74"/>
    <n v="14"/>
    <n v="85"/>
    <n v="26"/>
    <n v="62"/>
    <n v="26"/>
    <n v="57"/>
    <n v="4"/>
    <n v="41"/>
    <n v="11"/>
    <n v="48"/>
    <n v="45"/>
    <n v="40"/>
    <n v="31"/>
    <n v="48"/>
    <n v="54"/>
    <n v="28"/>
    <n v="4"/>
    <n v="41"/>
    <n v="31"/>
    <n v="21"/>
    <n v="27"/>
    <n v="33"/>
    <n v="11"/>
    <n v="19"/>
    <n v="45"/>
    <n v="32"/>
    <n v="107"/>
    <n v="140"/>
    <n v="1007"/>
    <n v="10"/>
    <n v="1169"/>
    <n v="10"/>
    <n v="14"/>
    <n v="12"/>
    <n v="13"/>
    <n v="19"/>
    <n v="45"/>
    <n v="12"/>
    <n v="14"/>
    <n v="17"/>
    <n v="13"/>
    <n v="11"/>
    <n v="45"/>
    <n v="11"/>
    <n v="52"/>
    <n v="10"/>
    <n v="52"/>
    <n v="11"/>
    <n v="26"/>
    <n v="8"/>
    <n v="26"/>
    <n v="7"/>
    <n v="11"/>
    <n v="5"/>
    <n v="23"/>
    <n v="4"/>
    <n v="40"/>
    <n v="5"/>
    <n v="27"/>
    <n v="4"/>
    <n v="23"/>
    <n v="4"/>
    <n v="11"/>
    <n v="3"/>
    <n v="27"/>
    <n v="1"/>
    <n v="40"/>
    <n v="3"/>
    <m/>
    <m/>
    <m/>
    <m/>
    <m/>
    <m/>
    <n v="68"/>
    <n v="9"/>
    <n v="0.17647058823529413"/>
    <n v="79"/>
    <n v="9"/>
    <n v="0.24050632911392406"/>
    <n v="1075"/>
    <n v="1248"/>
    <m/>
    <m/>
    <m/>
    <m/>
    <m/>
    <m/>
    <m/>
    <m/>
    <m/>
    <m/>
    <m/>
    <m/>
    <m/>
    <m/>
    <m/>
    <m/>
    <m/>
    <m/>
    <m/>
    <m/>
    <n v="0"/>
    <n v="0"/>
    <m/>
    <m/>
    <n v="5223"/>
    <n v="5491"/>
  </r>
  <r>
    <x v="13"/>
    <s v="Angelo State University"/>
    <m/>
    <n v="222831"/>
    <x v="2"/>
    <m/>
    <m/>
    <m/>
    <m/>
    <n v="155"/>
    <n v="141"/>
    <n v="0.19254658385093168"/>
    <n v="0.15128755364806867"/>
    <n v="805"/>
    <m/>
    <m/>
    <m/>
    <n v="0"/>
    <n v="932"/>
    <m/>
    <m/>
    <m/>
    <n v="0"/>
    <m/>
    <m/>
    <m/>
    <m/>
    <m/>
    <m/>
    <m/>
    <m/>
    <m/>
    <m/>
    <m/>
    <m/>
    <m/>
    <m/>
    <m/>
    <m/>
    <m/>
    <m/>
    <m/>
    <m/>
    <n v="0"/>
    <n v="0.7018308631211857"/>
    <n v="0"/>
    <n v="0.6939687267311988"/>
    <m/>
    <m/>
    <n v="13"/>
    <n v="84"/>
    <n v="13"/>
    <n v="122"/>
    <n v="51"/>
    <n v="26"/>
    <n v="52"/>
    <n v="32"/>
    <n v="52"/>
    <n v="21"/>
    <n v="42"/>
    <n v="25"/>
    <n v="42"/>
    <n v="16"/>
    <n v="51"/>
    <n v="16"/>
    <n v="1"/>
    <n v="9"/>
    <n v="31"/>
    <n v="13"/>
    <n v="31"/>
    <n v="9"/>
    <n v="1"/>
    <n v="11"/>
    <n v="9"/>
    <n v="6"/>
    <n v="9"/>
    <n v="10"/>
    <n v="23"/>
    <n v="5"/>
    <n v="26"/>
    <n v="8"/>
    <n v="26"/>
    <n v="4"/>
    <n v="23"/>
    <n v="5"/>
    <n v="44"/>
    <n v="3"/>
    <n v="44"/>
    <n v="3"/>
    <n v="4"/>
    <n v="6"/>
    <n v="187"/>
    <n v="10"/>
    <n v="25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7"/>
    <n v="251"/>
    <m/>
    <m/>
    <m/>
    <m/>
    <m/>
    <m/>
    <m/>
    <m/>
    <m/>
    <m/>
    <m/>
    <m/>
    <m/>
    <m/>
    <m/>
    <m/>
    <m/>
    <m/>
    <m/>
    <n v="19"/>
    <n v="0"/>
    <n v="19"/>
    <m/>
    <m/>
    <n v="1147"/>
    <n v="1343"/>
  </r>
  <r>
    <x v="13"/>
    <s v="Lamar University"/>
    <m/>
    <n v="226091"/>
    <x v="2"/>
    <m/>
    <m/>
    <m/>
    <m/>
    <n v="42"/>
    <n v="27"/>
    <n v="3.2357473035439135E-2"/>
    <n v="1.9955654101995565E-2"/>
    <n v="1298"/>
    <m/>
    <m/>
    <m/>
    <n v="0"/>
    <n v="1353"/>
    <m/>
    <m/>
    <m/>
    <n v="0"/>
    <m/>
    <m/>
    <m/>
    <m/>
    <m/>
    <m/>
    <m/>
    <m/>
    <m/>
    <m/>
    <m/>
    <m/>
    <m/>
    <m/>
    <m/>
    <m/>
    <m/>
    <m/>
    <m/>
    <m/>
    <n v="0"/>
    <n v="0.35223880597014923"/>
    <n v="0"/>
    <n v="0.44950166112956813"/>
    <m/>
    <m/>
    <n v="13"/>
    <n v="1841"/>
    <n v="13"/>
    <n v="1233"/>
    <n v="14"/>
    <n v="250"/>
    <n v="14"/>
    <n v="121"/>
    <n v="52"/>
    <n v="71"/>
    <n v="52"/>
    <n v="83"/>
    <n v="42"/>
    <n v="29"/>
    <n v="51"/>
    <n v="31"/>
    <n v="51"/>
    <n v="27"/>
    <n v="42"/>
    <n v="24"/>
    <n v="40"/>
    <n v="20"/>
    <n v="40"/>
    <n v="19"/>
    <n v="11"/>
    <n v="13"/>
    <n v="11"/>
    <n v="15"/>
    <n v="23"/>
    <n v="12"/>
    <n v="19"/>
    <n v="13"/>
    <n v="19"/>
    <n v="9"/>
    <n v="31"/>
    <n v="10"/>
    <n v="31"/>
    <n v="9"/>
    <n v="23"/>
    <n v="8"/>
    <n v="32"/>
    <n v="36"/>
    <n v="2313"/>
    <n v="10"/>
    <n v="1593"/>
    <n v="10"/>
    <n v="13"/>
    <n v="21"/>
    <n v="13"/>
    <n v="21"/>
    <n v="14"/>
    <n v="10"/>
    <n v="14"/>
    <n v="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"/>
    <n v="0.67741935483870963"/>
    <n v="28"/>
    <n v="2"/>
    <n v="0.75"/>
    <n v="2344"/>
    <n v="1621"/>
    <m/>
    <m/>
    <m/>
    <m/>
    <m/>
    <m/>
    <m/>
    <m/>
    <m/>
    <m/>
    <m/>
    <m/>
    <m/>
    <m/>
    <m/>
    <m/>
    <m/>
    <m/>
    <n v="1"/>
    <n v="9"/>
    <n v="1"/>
    <n v="9"/>
    <m/>
    <m/>
    <n v="3685"/>
    <n v="3010"/>
  </r>
  <r>
    <x v="13"/>
    <s v="Midwestern State University"/>
    <m/>
    <n v="226833"/>
    <x v="2"/>
    <m/>
    <m/>
    <m/>
    <m/>
    <n v="49"/>
    <n v="40"/>
    <n v="4.7711781888997079E-2"/>
    <n v="3.7523452157598502E-2"/>
    <n v="1027"/>
    <m/>
    <m/>
    <m/>
    <n v="0"/>
    <n v="1066"/>
    <m/>
    <m/>
    <m/>
    <n v="0"/>
    <m/>
    <m/>
    <m/>
    <m/>
    <m/>
    <m/>
    <m/>
    <m/>
    <m/>
    <m/>
    <m/>
    <m/>
    <m/>
    <m/>
    <m/>
    <m/>
    <m/>
    <m/>
    <m/>
    <m/>
    <n v="0"/>
    <n v="0.80234375000000002"/>
    <n v="0"/>
    <n v="0.79611650485436891"/>
    <m/>
    <m/>
    <n v="51"/>
    <n v="49"/>
    <n v="51"/>
    <n v="65"/>
    <n v="13"/>
    <n v="48"/>
    <n v="13"/>
    <n v="52"/>
    <n v="52"/>
    <n v="44"/>
    <n v="52"/>
    <n v="43"/>
    <n v="42"/>
    <n v="16"/>
    <n v="42"/>
    <n v="23"/>
    <n v="11"/>
    <n v="11"/>
    <n v="26"/>
    <n v="19"/>
    <n v="44"/>
    <n v="9"/>
    <n v="54"/>
    <n v="8"/>
    <n v="31"/>
    <n v="7"/>
    <n v="44"/>
    <n v="7"/>
    <n v="26"/>
    <n v="6"/>
    <n v="11"/>
    <n v="5"/>
    <n v="45"/>
    <n v="6"/>
    <n v="23"/>
    <n v="4"/>
    <n v="23"/>
    <n v="5"/>
    <n v="45"/>
    <n v="4"/>
    <n v="3"/>
    <n v="3"/>
    <n v="204"/>
    <n v="10"/>
    <n v="23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4"/>
    <n v="233"/>
    <m/>
    <m/>
    <m/>
    <m/>
    <m/>
    <m/>
    <m/>
    <m/>
    <m/>
    <m/>
    <m/>
    <m/>
    <m/>
    <m/>
    <m/>
    <m/>
    <m/>
    <m/>
    <m/>
    <m/>
    <n v="0"/>
    <n v="0"/>
    <m/>
    <m/>
    <n v="1280"/>
    <n v="1339"/>
  </r>
  <r>
    <x v="13"/>
    <s v="Prairie View A&amp;M University"/>
    <m/>
    <n v="227526"/>
    <x v="2"/>
    <m/>
    <m/>
    <m/>
    <m/>
    <m/>
    <m/>
    <n v="0"/>
    <n v="0"/>
    <n v="904"/>
    <m/>
    <m/>
    <m/>
    <n v="0"/>
    <n v="1026"/>
    <m/>
    <m/>
    <m/>
    <n v="0"/>
    <m/>
    <m/>
    <m/>
    <m/>
    <m/>
    <m/>
    <m/>
    <m/>
    <m/>
    <m/>
    <m/>
    <m/>
    <m/>
    <m/>
    <m/>
    <m/>
    <m/>
    <m/>
    <m/>
    <m/>
    <n v="0"/>
    <n v="0.62216104611149348"/>
    <n v="0"/>
    <n v="0.68951612903225812"/>
    <m/>
    <m/>
    <n v="42"/>
    <n v="209"/>
    <n v="42"/>
    <n v="156"/>
    <n v="13"/>
    <n v="160"/>
    <n v="13"/>
    <n v="104"/>
    <n v="52"/>
    <n v="48"/>
    <n v="52"/>
    <n v="45"/>
    <n v="4"/>
    <n v="31"/>
    <n v="51"/>
    <n v="35"/>
    <n v="51"/>
    <n v="19"/>
    <n v="4"/>
    <n v="25"/>
    <n v="14"/>
    <n v="17"/>
    <n v="14"/>
    <n v="20"/>
    <n v="19"/>
    <n v="10"/>
    <n v="19"/>
    <n v="17"/>
    <n v="1"/>
    <n v="8"/>
    <n v="11"/>
    <n v="15"/>
    <n v="11"/>
    <n v="8"/>
    <n v="1"/>
    <n v="10"/>
    <n v="45"/>
    <n v="7"/>
    <n v="40"/>
    <n v="6"/>
    <n v="17"/>
    <n v="12"/>
    <n v="534"/>
    <n v="10"/>
    <n v="445"/>
    <n v="10"/>
    <n v="43"/>
    <n v="7"/>
    <n v="13"/>
    <n v="7"/>
    <n v="13"/>
    <n v="5"/>
    <n v="14"/>
    <n v="7"/>
    <n v="14"/>
    <n v="2"/>
    <n v="42"/>
    <n v="2"/>
    <n v="42"/>
    <n v="1"/>
    <n v="43"/>
    <n v="1"/>
    <m/>
    <m/>
    <m/>
    <m/>
    <m/>
    <m/>
    <m/>
    <m/>
    <m/>
    <m/>
    <m/>
    <m/>
    <m/>
    <m/>
    <m/>
    <m/>
    <m/>
    <m/>
    <m/>
    <m/>
    <m/>
    <m/>
    <m/>
    <m/>
    <m/>
    <m/>
    <n v="15"/>
    <n v="4"/>
    <n v="0.46666666666666667"/>
    <n v="17"/>
    <n v="4"/>
    <n v="0.41176470588235292"/>
    <n v="549"/>
    <n v="462"/>
    <m/>
    <m/>
    <m/>
    <m/>
    <m/>
    <m/>
    <m/>
    <m/>
    <m/>
    <m/>
    <m/>
    <m/>
    <m/>
    <m/>
    <m/>
    <m/>
    <m/>
    <m/>
    <m/>
    <m/>
    <n v="0"/>
    <n v="0"/>
    <m/>
    <m/>
    <n v="1453"/>
    <n v="1488"/>
  </r>
  <r>
    <x v="13"/>
    <s v="Sam Houston State University "/>
    <m/>
    <n v="227881"/>
    <x v="2"/>
    <m/>
    <m/>
    <m/>
    <m/>
    <m/>
    <m/>
    <n v="0"/>
    <n v="0"/>
    <n v="3013"/>
    <m/>
    <m/>
    <m/>
    <n v="0"/>
    <n v="2978"/>
    <m/>
    <m/>
    <m/>
    <n v="0"/>
    <m/>
    <m/>
    <m/>
    <m/>
    <m/>
    <m/>
    <m/>
    <m/>
    <m/>
    <m/>
    <m/>
    <m/>
    <m/>
    <m/>
    <m/>
    <m/>
    <m/>
    <m/>
    <m/>
    <m/>
    <n v="0"/>
    <n v="0.76647163571610277"/>
    <n v="0"/>
    <n v="0.75872611464968154"/>
    <m/>
    <m/>
    <n v="13"/>
    <n v="291"/>
    <n v="13"/>
    <n v="300"/>
    <n v="25"/>
    <n v="160"/>
    <n v="52"/>
    <n v="135"/>
    <n v="52"/>
    <n v="113"/>
    <n v="25"/>
    <n v="132"/>
    <n v="50"/>
    <n v="82"/>
    <n v="43"/>
    <n v="124"/>
    <n v="43"/>
    <n v="79"/>
    <n v="50"/>
    <n v="64"/>
    <n v="42"/>
    <n v="35"/>
    <n v="54"/>
    <n v="20"/>
    <n v="1"/>
    <n v="21"/>
    <n v="42"/>
    <n v="19"/>
    <n v="11"/>
    <n v="21"/>
    <n v="11"/>
    <n v="16"/>
    <n v="54"/>
    <n v="21"/>
    <n v="1"/>
    <n v="14"/>
    <n v="23"/>
    <n v="11"/>
    <n v="27"/>
    <n v="14"/>
    <n v="41"/>
    <n v="56"/>
    <n v="875"/>
    <n v="10"/>
    <n v="894"/>
    <n v="10"/>
    <n v="13"/>
    <n v="24"/>
    <n v="13"/>
    <n v="32"/>
    <n v="43"/>
    <n v="15"/>
    <n v="43"/>
    <n v="15"/>
    <n v="42"/>
    <n v="4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3"/>
    <n v="0.55813953488372092"/>
    <n v="53"/>
    <n v="3"/>
    <n v="0.60377358490566035"/>
    <n v="918"/>
    <n v="947"/>
    <m/>
    <m/>
    <m/>
    <m/>
    <m/>
    <m/>
    <m/>
    <m/>
    <m/>
    <m/>
    <m/>
    <m/>
    <m/>
    <m/>
    <m/>
    <m/>
    <m/>
    <m/>
    <m/>
    <m/>
    <n v="0"/>
    <n v="0"/>
    <m/>
    <m/>
    <n v="3931"/>
    <n v="3925"/>
  </r>
  <r>
    <x v="13"/>
    <s v="Stephen F. Austin State University"/>
    <m/>
    <n v="228431"/>
    <x v="2"/>
    <m/>
    <m/>
    <m/>
    <m/>
    <m/>
    <m/>
    <n v="0"/>
    <n v="0"/>
    <n v="1880"/>
    <m/>
    <m/>
    <m/>
    <n v="0"/>
    <n v="2011"/>
    <m/>
    <m/>
    <m/>
    <n v="0"/>
    <m/>
    <m/>
    <m/>
    <m/>
    <m/>
    <m/>
    <m/>
    <m/>
    <m/>
    <m/>
    <m/>
    <m/>
    <m/>
    <m/>
    <m/>
    <m/>
    <m/>
    <m/>
    <m/>
    <m/>
    <n v="0"/>
    <n v="0.80756013745704469"/>
    <n v="0"/>
    <n v="0.81384055038445968"/>
    <m/>
    <m/>
    <n v="13"/>
    <n v="89"/>
    <n v="13"/>
    <n v="117"/>
    <n v="52"/>
    <n v="65"/>
    <n v="44"/>
    <n v="64"/>
    <n v="44"/>
    <n v="56"/>
    <n v="52"/>
    <n v="58"/>
    <n v="42"/>
    <n v="32"/>
    <n v="51"/>
    <n v="37"/>
    <n v="51"/>
    <n v="31"/>
    <n v="42"/>
    <n v="26"/>
    <n v="26"/>
    <n v="24"/>
    <n v="50"/>
    <n v="23"/>
    <n v="30"/>
    <n v="24"/>
    <n v="30"/>
    <n v="21"/>
    <n v="19"/>
    <n v="22"/>
    <n v="31"/>
    <n v="17"/>
    <n v="3"/>
    <n v="20"/>
    <n v="19"/>
    <n v="16"/>
    <n v="31"/>
    <n v="16"/>
    <n v="26"/>
    <n v="15"/>
    <n v="56"/>
    <n v="51"/>
    <n v="435"/>
    <n v="10"/>
    <n v="445"/>
    <n v="10"/>
    <n v="13"/>
    <n v="12"/>
    <n v="13"/>
    <n v="12"/>
    <n v="3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"/>
    <n v="0.92307692307692313"/>
    <n v="15"/>
    <n v="2"/>
    <n v="0.8"/>
    <n v="448"/>
    <n v="460"/>
    <m/>
    <m/>
    <m/>
    <m/>
    <m/>
    <m/>
    <m/>
    <m/>
    <m/>
    <m/>
    <m/>
    <m/>
    <m/>
    <m/>
    <m/>
    <m/>
    <m/>
    <m/>
    <m/>
    <m/>
    <n v="0"/>
    <n v="0"/>
    <m/>
    <m/>
    <n v="2328"/>
    <n v="2471"/>
  </r>
  <r>
    <x v="13"/>
    <s v="Sul Ross State University "/>
    <m/>
    <n v="228501"/>
    <x v="2"/>
    <m/>
    <m/>
    <m/>
    <m/>
    <n v="19"/>
    <n v="11"/>
    <n v="0.10160427807486631"/>
    <n v="5.7894736842105263E-2"/>
    <n v="187"/>
    <m/>
    <m/>
    <m/>
    <n v="0"/>
    <n v="190"/>
    <m/>
    <m/>
    <m/>
    <n v="0"/>
    <m/>
    <m/>
    <m/>
    <m/>
    <m/>
    <m/>
    <m/>
    <m/>
    <m/>
    <m/>
    <m/>
    <m/>
    <m/>
    <m/>
    <m/>
    <m/>
    <m/>
    <m/>
    <m/>
    <m/>
    <n v="0"/>
    <n v="0.49340369393139843"/>
    <n v="0"/>
    <n v="0.50264550264550267"/>
    <m/>
    <m/>
    <n v="13"/>
    <n v="104"/>
    <n v="13"/>
    <n v="89"/>
    <n v="43"/>
    <n v="19"/>
    <n v="52"/>
    <n v="28"/>
    <n v="52"/>
    <n v="18"/>
    <n v="43"/>
    <n v="20"/>
    <n v="1"/>
    <n v="6"/>
    <n v="54"/>
    <n v="10"/>
    <n v="44"/>
    <n v="6"/>
    <n v="23"/>
    <n v="6"/>
    <n v="3"/>
    <n v="3"/>
    <n v="44"/>
    <n v="6"/>
    <n v="23"/>
    <n v="3"/>
    <n v="3"/>
    <n v="5"/>
    <n v="45"/>
    <n v="3"/>
    <n v="26"/>
    <n v="5"/>
    <n v="54"/>
    <n v="3"/>
    <n v="1"/>
    <n v="3"/>
    <n v="24"/>
    <n v="2"/>
    <n v="24"/>
    <n v="3"/>
    <n v="6"/>
    <n v="2"/>
    <n v="173"/>
    <n v="10"/>
    <n v="17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3"/>
    <n v="177"/>
    <m/>
    <m/>
    <m/>
    <m/>
    <m/>
    <m/>
    <m/>
    <m/>
    <m/>
    <m/>
    <m/>
    <m/>
    <m/>
    <m/>
    <m/>
    <m/>
    <m/>
    <m/>
    <m/>
    <m/>
    <n v="0"/>
    <n v="0"/>
    <m/>
    <m/>
    <n v="379"/>
    <n v="378"/>
  </r>
  <r>
    <x v="13"/>
    <s v="Tarleton State University"/>
    <m/>
    <n v="228529"/>
    <x v="2"/>
    <m/>
    <m/>
    <m/>
    <m/>
    <n v="27"/>
    <n v="32"/>
    <n v="1.7704918032786884E-2"/>
    <n v="1.9631901840490799E-2"/>
    <n v="1525"/>
    <m/>
    <m/>
    <m/>
    <n v="0"/>
    <n v="1630"/>
    <m/>
    <m/>
    <m/>
    <n v="0"/>
    <m/>
    <m/>
    <m/>
    <m/>
    <m/>
    <m/>
    <m/>
    <m/>
    <m/>
    <m/>
    <m/>
    <m/>
    <m/>
    <m/>
    <m/>
    <m/>
    <m/>
    <m/>
    <m/>
    <m/>
    <n v="0"/>
    <n v="0.8124667021843367"/>
    <n v="0"/>
    <n v="0.77693040991420403"/>
    <m/>
    <m/>
    <n v="13"/>
    <n v="122"/>
    <n v="13"/>
    <n v="156"/>
    <n v="52"/>
    <n v="68"/>
    <n v="52"/>
    <n v="106"/>
    <n v="11"/>
    <n v="31"/>
    <n v="1"/>
    <n v="36"/>
    <n v="42"/>
    <n v="31"/>
    <n v="42"/>
    <n v="34"/>
    <n v="1"/>
    <n v="24"/>
    <n v="43"/>
    <n v="28"/>
    <n v="43"/>
    <n v="10"/>
    <n v="11"/>
    <n v="21"/>
    <n v="23"/>
    <n v="6"/>
    <n v="31"/>
    <n v="18"/>
    <n v="54"/>
    <n v="6"/>
    <n v="26"/>
    <n v="8"/>
    <n v="24"/>
    <n v="5"/>
    <n v="15"/>
    <n v="5"/>
    <n v="27"/>
    <n v="5"/>
    <n v="23"/>
    <n v="4"/>
    <n v="5"/>
    <n v="12"/>
    <n v="313"/>
    <n v="10"/>
    <n v="428"/>
    <n v="10"/>
    <n v="13"/>
    <n v="12"/>
    <s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8"/>
    <n v="1"/>
    <n v="1"/>
    <n v="325"/>
    <n v="436"/>
    <m/>
    <m/>
    <m/>
    <m/>
    <m/>
    <m/>
    <m/>
    <m/>
    <m/>
    <m/>
    <m/>
    <m/>
    <m/>
    <m/>
    <m/>
    <m/>
    <m/>
    <m/>
    <m/>
    <m/>
    <n v="0"/>
    <n v="0"/>
    <m/>
    <m/>
    <n v="1877"/>
    <n v="2098"/>
  </r>
  <r>
    <x v="13"/>
    <s v="Texas A &amp; M International University"/>
    <m/>
    <n v="226152"/>
    <x v="2"/>
    <m/>
    <m/>
    <m/>
    <m/>
    <m/>
    <m/>
    <n v="0"/>
    <n v="0"/>
    <n v="766"/>
    <m/>
    <m/>
    <m/>
    <n v="0"/>
    <n v="805"/>
    <m/>
    <m/>
    <m/>
    <n v="0"/>
    <m/>
    <m/>
    <m/>
    <m/>
    <m/>
    <m/>
    <m/>
    <m/>
    <m/>
    <m/>
    <m/>
    <m/>
    <m/>
    <m/>
    <m/>
    <m/>
    <m/>
    <m/>
    <m/>
    <m/>
    <n v="0"/>
    <n v="0.74441205053449955"/>
    <n v="0"/>
    <n v="0.76086956521739135"/>
    <m/>
    <m/>
    <n v="52"/>
    <n v="133"/>
    <n v="52"/>
    <n v="120"/>
    <n v="13"/>
    <n v="61"/>
    <n v="13"/>
    <n v="72"/>
    <n v="51"/>
    <n v="12"/>
    <n v="45"/>
    <n v="13"/>
    <n v="44"/>
    <n v="11"/>
    <n v="44"/>
    <n v="10"/>
    <n v="23"/>
    <n v="10"/>
    <n v="43"/>
    <n v="9"/>
    <n v="26"/>
    <n v="9"/>
    <n v="42"/>
    <n v="7"/>
    <n v="45"/>
    <n v="9"/>
    <n v="16"/>
    <n v="4"/>
    <n v="42"/>
    <n v="6"/>
    <n v="23"/>
    <n v="4"/>
    <n v="43"/>
    <n v="5"/>
    <n v="26"/>
    <n v="4"/>
    <n v="16"/>
    <n v="3"/>
    <n v="54"/>
    <n v="3"/>
    <n v="2"/>
    <n v="2"/>
    <n v="261"/>
    <n v="10"/>
    <n v="248"/>
    <n v="10"/>
    <n v="52"/>
    <n v="2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5"/>
    <n v="1"/>
    <n v="1"/>
    <n v="263"/>
    <n v="253"/>
    <m/>
    <m/>
    <m/>
    <m/>
    <m/>
    <m/>
    <m/>
    <m/>
    <m/>
    <m/>
    <m/>
    <m/>
    <m/>
    <m/>
    <m/>
    <m/>
    <m/>
    <m/>
    <m/>
    <m/>
    <n v="0"/>
    <n v="0"/>
    <m/>
    <m/>
    <n v="1029"/>
    <n v="1058"/>
  </r>
  <r>
    <x v="13"/>
    <s v="Texas A&amp;M University-Commerce"/>
    <m/>
    <n v="224554"/>
    <x v="2"/>
    <m/>
    <m/>
    <m/>
    <m/>
    <m/>
    <m/>
    <n v="0"/>
    <n v="0"/>
    <n v="1313"/>
    <m/>
    <m/>
    <m/>
    <n v="0"/>
    <n v="1507"/>
    <m/>
    <m/>
    <m/>
    <n v="0"/>
    <m/>
    <m/>
    <m/>
    <m/>
    <m/>
    <m/>
    <m/>
    <m/>
    <m/>
    <m/>
    <m/>
    <m/>
    <m/>
    <m/>
    <m/>
    <m/>
    <m/>
    <m/>
    <m/>
    <m/>
    <n v="0"/>
    <n v="0.51289062500000004"/>
    <n v="0"/>
    <n v="0.51188858695652173"/>
    <m/>
    <m/>
    <n v="52"/>
    <n v="426"/>
    <n v="52"/>
    <n v="607"/>
    <n v="13"/>
    <n v="397"/>
    <n v="13"/>
    <n v="405"/>
    <n v="11"/>
    <n v="138"/>
    <n v="11"/>
    <n v="121"/>
    <n v="44"/>
    <n v="76"/>
    <n v="44"/>
    <n v="64"/>
    <n v="15"/>
    <n v="32"/>
    <n v="15"/>
    <n v="53"/>
    <n v="31"/>
    <n v="21"/>
    <n v="23"/>
    <n v="24"/>
    <n v="50"/>
    <n v="19"/>
    <n v="42"/>
    <n v="20"/>
    <n v="25"/>
    <n v="16"/>
    <n v="50"/>
    <n v="19"/>
    <n v="42"/>
    <n v="16"/>
    <n v="40"/>
    <n v="18"/>
    <n v="23"/>
    <n v="13"/>
    <n v="31"/>
    <n v="15"/>
    <n v="42"/>
    <n v="57"/>
    <n v="1196"/>
    <n v="10"/>
    <n v="1403"/>
    <n v="10"/>
    <n v="13"/>
    <n v="39"/>
    <n v="13"/>
    <n v="26"/>
    <n v="23"/>
    <n v="6"/>
    <n v="42"/>
    <n v="5"/>
    <n v="42"/>
    <n v="6"/>
    <n v="2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3"/>
    <n v="0.76470588235294112"/>
    <n v="34"/>
    <n v="3"/>
    <n v="0.76470588235294112"/>
    <n v="1247"/>
    <n v="1437"/>
    <m/>
    <m/>
    <m/>
    <m/>
    <m/>
    <m/>
    <m/>
    <m/>
    <m/>
    <m/>
    <m/>
    <m/>
    <m/>
    <m/>
    <m/>
    <m/>
    <m/>
    <m/>
    <m/>
    <m/>
    <n v="0"/>
    <n v="0"/>
    <m/>
    <m/>
    <n v="2560"/>
    <n v="2944"/>
  </r>
  <r>
    <x v="13"/>
    <s v="Texas A&amp;M University-Corpus Christi "/>
    <m/>
    <n v="224147"/>
    <x v="2"/>
    <m/>
    <m/>
    <m/>
    <m/>
    <m/>
    <m/>
    <n v="0"/>
    <n v="0"/>
    <n v="1315"/>
    <m/>
    <m/>
    <m/>
    <n v="0"/>
    <n v="1515"/>
    <m/>
    <m/>
    <m/>
    <n v="0"/>
    <m/>
    <m/>
    <m/>
    <m/>
    <m/>
    <m/>
    <m/>
    <m/>
    <m/>
    <m/>
    <m/>
    <m/>
    <m/>
    <m/>
    <m/>
    <m/>
    <m/>
    <m/>
    <m/>
    <m/>
    <n v="0"/>
    <n v="0.70058604155567394"/>
    <n v="0"/>
    <n v="0.73153066151617574"/>
    <m/>
    <m/>
    <n v="13"/>
    <n v="186"/>
    <n v="13"/>
    <n v="198"/>
    <n v="52"/>
    <n v="116"/>
    <n v="51"/>
    <n v="103"/>
    <n v="51"/>
    <n v="86"/>
    <n v="52"/>
    <n v="103"/>
    <n v="11"/>
    <n v="37"/>
    <n v="11"/>
    <n v="36"/>
    <n v="9"/>
    <n v="18"/>
    <n v="44"/>
    <n v="13"/>
    <n v="3"/>
    <n v="12"/>
    <n v="23"/>
    <n v="12"/>
    <n v="50"/>
    <n v="12"/>
    <n v="26"/>
    <n v="12"/>
    <n v="42"/>
    <n v="11"/>
    <n v="3"/>
    <n v="11"/>
    <n v="44"/>
    <n v="11"/>
    <n v="42"/>
    <n v="9"/>
    <n v="26"/>
    <n v="10"/>
    <n v="9"/>
    <n v="8"/>
    <n v="33"/>
    <n v="22"/>
    <n v="532"/>
    <n v="10"/>
    <n v="527"/>
    <n v="10"/>
    <n v="13"/>
    <n v="28"/>
    <n v="13"/>
    <n v="25"/>
    <n v="3"/>
    <n v="1"/>
    <n v="3"/>
    <n v="4"/>
    <n v="26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3"/>
    <n v="0.93333333333333335"/>
    <n v="29"/>
    <n v="3"/>
    <n v="0.86206896551724133"/>
    <n v="562"/>
    <n v="556"/>
    <m/>
    <m/>
    <m/>
    <m/>
    <m/>
    <m/>
    <m/>
    <m/>
    <m/>
    <m/>
    <m/>
    <m/>
    <m/>
    <m/>
    <m/>
    <m/>
    <m/>
    <m/>
    <m/>
    <m/>
    <n v="0"/>
    <n v="0"/>
    <m/>
    <m/>
    <n v="1877"/>
    <n v="2071"/>
  </r>
  <r>
    <x v="13"/>
    <s v="Texas A&amp;M University-Kingsville"/>
    <m/>
    <n v="228705"/>
    <x v="2"/>
    <m/>
    <m/>
    <m/>
    <m/>
    <m/>
    <m/>
    <n v="0"/>
    <n v="0"/>
    <n v="738"/>
    <m/>
    <m/>
    <m/>
    <n v="0"/>
    <n v="855"/>
    <m/>
    <m/>
    <m/>
    <n v="0"/>
    <m/>
    <m/>
    <m/>
    <m/>
    <m/>
    <m/>
    <m/>
    <m/>
    <m/>
    <m/>
    <m/>
    <m/>
    <m/>
    <m/>
    <m/>
    <m/>
    <m/>
    <m/>
    <m/>
    <m/>
    <n v="0"/>
    <n v="0.6029411764705882"/>
    <n v="0"/>
    <n v="0.666406858924396"/>
    <m/>
    <m/>
    <n v="14"/>
    <n v="168"/>
    <n v="14"/>
    <n v="130"/>
    <n v="13"/>
    <n v="87"/>
    <n v="13"/>
    <n v="87"/>
    <n v="11"/>
    <n v="73"/>
    <n v="11"/>
    <n v="46"/>
    <n v="51"/>
    <n v="28"/>
    <n v="1"/>
    <n v="28"/>
    <n v="1"/>
    <n v="27"/>
    <n v="51"/>
    <n v="21"/>
    <n v="42"/>
    <n v="14"/>
    <n v="42"/>
    <n v="18"/>
    <n v="40"/>
    <n v="13"/>
    <n v="45"/>
    <n v="13"/>
    <n v="52"/>
    <n v="12"/>
    <n v="19"/>
    <n v="11"/>
    <n v="3"/>
    <n v="10"/>
    <n v="26"/>
    <n v="9"/>
    <n v="15"/>
    <n v="6"/>
    <n v="15"/>
    <n v="8"/>
    <n v="26"/>
    <n v="28"/>
    <n v="464"/>
    <n v="10"/>
    <n v="399"/>
    <n v="10"/>
    <n v="13"/>
    <n v="16"/>
    <n v="13"/>
    <n v="18"/>
    <n v="3"/>
    <n v="5"/>
    <n v="3"/>
    <n v="6"/>
    <n v="14"/>
    <n v="1"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0.72727272727272729"/>
    <n v="29"/>
    <n v="3"/>
    <n v="0.62068965517241381"/>
    <n v="486"/>
    <n v="428"/>
    <m/>
    <m/>
    <m/>
    <m/>
    <m/>
    <m/>
    <m/>
    <m/>
    <m/>
    <m/>
    <m/>
    <m/>
    <m/>
    <m/>
    <m/>
    <m/>
    <m/>
    <m/>
    <m/>
    <m/>
    <n v="0"/>
    <n v="0"/>
    <m/>
    <m/>
    <n v="1224"/>
    <n v="1283"/>
  </r>
  <r>
    <x v="13"/>
    <s v="Texas Southern University "/>
    <m/>
    <n v="229063"/>
    <x v="2"/>
    <m/>
    <m/>
    <m/>
    <m/>
    <m/>
    <m/>
    <n v="0"/>
    <n v="0"/>
    <n v="721"/>
    <m/>
    <m/>
    <m/>
    <n v="0"/>
    <n v="737"/>
    <m/>
    <m/>
    <m/>
    <n v="0"/>
    <m/>
    <m/>
    <m/>
    <m/>
    <m/>
    <m/>
    <m/>
    <m/>
    <m/>
    <m/>
    <m/>
    <m/>
    <m/>
    <m/>
    <m/>
    <m/>
    <m/>
    <m/>
    <m/>
    <m/>
    <n v="0"/>
    <n v="0.56460454189506659"/>
    <n v="0"/>
    <n v="0.55496987951807231"/>
    <m/>
    <m/>
    <n v="52"/>
    <n v="96"/>
    <n v="44"/>
    <n v="84"/>
    <n v="13"/>
    <n v="51"/>
    <n v="52"/>
    <n v="64"/>
    <n v="44"/>
    <n v="41"/>
    <n v="13"/>
    <n v="43"/>
    <n v="51"/>
    <n v="18"/>
    <n v="26"/>
    <n v="15"/>
    <n v="42"/>
    <n v="14"/>
    <n v="9"/>
    <n v="14"/>
    <n v="4"/>
    <n v="9"/>
    <n v="45"/>
    <n v="10"/>
    <n v="19"/>
    <n v="6"/>
    <n v="42"/>
    <n v="8"/>
    <n v="9"/>
    <n v="5"/>
    <n v="51"/>
    <n v="8"/>
    <n v="45"/>
    <n v="5"/>
    <n v="19"/>
    <n v="7"/>
    <n v="26"/>
    <n v="4"/>
    <n v="4"/>
    <n v="6"/>
    <n v="12"/>
    <n v="21"/>
    <n v="261"/>
    <n v="10"/>
    <n v="280"/>
    <n v="10"/>
    <n v="13"/>
    <n v="18"/>
    <n v="13"/>
    <n v="11"/>
    <n v="4"/>
    <n v="2"/>
    <n v="4"/>
    <n v="3"/>
    <n v="26"/>
    <n v="2"/>
    <n v="51"/>
    <n v="3"/>
    <m/>
    <m/>
    <n v="26"/>
    <n v="2"/>
    <m/>
    <m/>
    <n v="43"/>
    <n v="1"/>
    <m/>
    <m/>
    <m/>
    <m/>
    <m/>
    <m/>
    <m/>
    <m/>
    <m/>
    <m/>
    <m/>
    <m/>
    <m/>
    <m/>
    <m/>
    <m/>
    <m/>
    <m/>
    <m/>
    <m/>
    <m/>
    <m/>
    <n v="22"/>
    <n v="3"/>
    <n v="0.81818181818181823"/>
    <n v="20"/>
    <n v="5"/>
    <n v="0.55000000000000004"/>
    <n v="283"/>
    <n v="300"/>
    <n v="161"/>
    <n v="179"/>
    <m/>
    <m/>
    <m/>
    <m/>
    <n v="112"/>
    <n v="112"/>
    <m/>
    <m/>
    <m/>
    <m/>
    <m/>
    <m/>
    <m/>
    <m/>
    <m/>
    <m/>
    <m/>
    <m/>
    <n v="273"/>
    <n v="291"/>
    <m/>
    <m/>
    <n v="1277"/>
    <n v="1328"/>
  </r>
  <r>
    <x v="13"/>
    <s v="Texas State University-San Marcos"/>
    <m/>
    <n v="228459"/>
    <x v="2"/>
    <m/>
    <m/>
    <m/>
    <m/>
    <m/>
    <m/>
    <n v="0"/>
    <n v="0"/>
    <n v="5349"/>
    <m/>
    <m/>
    <m/>
    <n v="0"/>
    <n v="5435"/>
    <m/>
    <m/>
    <m/>
    <n v="0"/>
    <m/>
    <m/>
    <m/>
    <m/>
    <m/>
    <m/>
    <m/>
    <m/>
    <m/>
    <m/>
    <m/>
    <m/>
    <m/>
    <m/>
    <m/>
    <m/>
    <m/>
    <m/>
    <m/>
    <m/>
    <n v="0"/>
    <n v="0.79220971563981046"/>
    <n v="0"/>
    <n v="0.79343065693430659"/>
    <m/>
    <m/>
    <n v="13"/>
    <n v="481"/>
    <n v="13"/>
    <n v="352"/>
    <n v="52"/>
    <n v="141"/>
    <n v="52"/>
    <n v="164"/>
    <n v="42"/>
    <n v="93"/>
    <n v="44"/>
    <n v="138"/>
    <n v="44"/>
    <n v="93"/>
    <n v="51"/>
    <n v="90"/>
    <n v="51"/>
    <n v="71"/>
    <n v="23"/>
    <n v="81"/>
    <n v="45"/>
    <n v="66"/>
    <n v="42"/>
    <n v="76"/>
    <n v="23"/>
    <n v="65"/>
    <n v="45"/>
    <n v="74"/>
    <n v="26"/>
    <n v="43"/>
    <n v="11"/>
    <n v="51"/>
    <n v="22"/>
    <n v="32"/>
    <n v="30"/>
    <n v="50"/>
    <n v="50"/>
    <n v="32"/>
    <n v="26"/>
    <n v="46"/>
    <n v="222"/>
    <n v="219"/>
    <n v="1339"/>
    <n v="10"/>
    <n v="1341"/>
    <n v="10"/>
    <n v="45"/>
    <n v="11"/>
    <n v="13"/>
    <n v="20"/>
    <n v="13"/>
    <n v="9"/>
    <n v="45"/>
    <n v="8"/>
    <n v="3"/>
    <n v="5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"/>
    <n v="0.44"/>
    <n v="34"/>
    <n v="3"/>
    <n v="0.58823529411764708"/>
    <n v="1364"/>
    <n v="1375"/>
    <m/>
    <m/>
    <m/>
    <m/>
    <m/>
    <m/>
    <m/>
    <m/>
    <m/>
    <m/>
    <m/>
    <m/>
    <m/>
    <m/>
    <m/>
    <m/>
    <m/>
    <m/>
    <n v="39"/>
    <n v="40"/>
    <n v="39"/>
    <n v="40"/>
    <m/>
    <m/>
    <n v="6752"/>
    <n v="6850"/>
  </r>
  <r>
    <x v="13"/>
    <s v="University of Houston-Clear Lake "/>
    <m/>
    <n v="225414"/>
    <x v="2"/>
    <m/>
    <m/>
    <m/>
    <m/>
    <m/>
    <m/>
    <n v="0"/>
    <n v="0"/>
    <n v="1197"/>
    <m/>
    <m/>
    <m/>
    <n v="0"/>
    <n v="1251"/>
    <m/>
    <m/>
    <m/>
    <n v="0"/>
    <m/>
    <m/>
    <m/>
    <m/>
    <m/>
    <m/>
    <m/>
    <m/>
    <m/>
    <m/>
    <m/>
    <m/>
    <m/>
    <m/>
    <m/>
    <m/>
    <m/>
    <m/>
    <m/>
    <m/>
    <n v="0"/>
    <n v="0.51998262380538662"/>
    <n v="0"/>
    <n v="0.53806451612903228"/>
    <m/>
    <m/>
    <n v="52"/>
    <n v="239"/>
    <n v="52"/>
    <n v="228"/>
    <n v="13"/>
    <n v="199"/>
    <n v="11"/>
    <n v="172"/>
    <n v="11"/>
    <n v="149"/>
    <n v="13"/>
    <n v="142"/>
    <n v="26"/>
    <n v="74"/>
    <n v="51"/>
    <n v="98"/>
    <n v="51"/>
    <n v="68"/>
    <n v="42"/>
    <n v="77"/>
    <n v="14"/>
    <n v="66"/>
    <n v="14"/>
    <n v="53"/>
    <n v="42"/>
    <n v="63"/>
    <n v="26"/>
    <n v="53"/>
    <n v="25"/>
    <n v="42"/>
    <n v="45"/>
    <n v="33"/>
    <n v="30"/>
    <n v="41"/>
    <n v="25"/>
    <n v="30"/>
    <n v="23"/>
    <n v="32"/>
    <n v="15"/>
    <n v="26"/>
    <n v="123"/>
    <n v="147"/>
    <n v="1096"/>
    <n v="10"/>
    <n v="1059"/>
    <n v="10"/>
    <n v="13"/>
    <n v="9"/>
    <n v="13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5"/>
    <n v="1"/>
    <n v="1"/>
    <n v="1105"/>
    <n v="1074"/>
    <m/>
    <m/>
    <m/>
    <m/>
    <m/>
    <m/>
    <m/>
    <m/>
    <m/>
    <m/>
    <m/>
    <m/>
    <m/>
    <m/>
    <m/>
    <m/>
    <m/>
    <m/>
    <m/>
    <m/>
    <n v="0"/>
    <n v="0"/>
    <m/>
    <m/>
    <n v="2302"/>
    <n v="2325"/>
  </r>
  <r>
    <x v="13"/>
    <s v="University of Texas at Brownsville"/>
    <m/>
    <n v="227377"/>
    <x v="2"/>
    <m/>
    <m/>
    <m/>
    <m/>
    <m/>
    <m/>
    <n v="0"/>
    <n v="0"/>
    <n v="1075"/>
    <m/>
    <m/>
    <m/>
    <n v="0"/>
    <n v="1149"/>
    <m/>
    <m/>
    <m/>
    <n v="0"/>
    <m/>
    <m/>
    <m/>
    <m/>
    <m/>
    <m/>
    <m/>
    <m/>
    <m/>
    <m/>
    <m/>
    <m/>
    <m/>
    <m/>
    <m/>
    <m/>
    <m/>
    <m/>
    <m/>
    <m/>
    <n v="0"/>
    <n v="0.83592534992223955"/>
    <n v="0"/>
    <n v="0.82602444284687271"/>
    <m/>
    <m/>
    <n v="13"/>
    <n v="109"/>
    <n v="13"/>
    <n v="143"/>
    <n v="52"/>
    <n v="27"/>
    <n v="52"/>
    <n v="26"/>
    <n v="27"/>
    <n v="13"/>
    <n v="51"/>
    <n v="16"/>
    <n v="16"/>
    <n v="12"/>
    <n v="30"/>
    <n v="10"/>
    <n v="30"/>
    <n v="12"/>
    <n v="16"/>
    <n v="9"/>
    <n v="23"/>
    <n v="9"/>
    <n v="44"/>
    <n v="8"/>
    <n v="51"/>
    <n v="6"/>
    <n v="27"/>
    <n v="6"/>
    <n v="44"/>
    <n v="5"/>
    <n v="11"/>
    <n v="3"/>
    <n v="40"/>
    <n v="4"/>
    <n v="23"/>
    <n v="3"/>
    <n v="54"/>
    <n v="4"/>
    <n v="40"/>
    <n v="3"/>
    <n v="4"/>
    <n v="7"/>
    <n v="205"/>
    <n v="10"/>
    <n v="234"/>
    <n v="10"/>
    <n v="13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8"/>
    <n v="1"/>
    <n v="1"/>
    <n v="211"/>
    <n v="242"/>
    <m/>
    <m/>
    <m/>
    <m/>
    <m/>
    <m/>
    <m/>
    <m/>
    <m/>
    <m/>
    <m/>
    <m/>
    <m/>
    <m/>
    <m/>
    <m/>
    <m/>
    <m/>
    <m/>
    <m/>
    <n v="0"/>
    <n v="0"/>
    <m/>
    <m/>
    <n v="1286"/>
    <n v="1391"/>
  </r>
  <r>
    <x v="13"/>
    <s v="University of Texas at Tyler"/>
    <m/>
    <n v="228802"/>
    <x v="2"/>
    <m/>
    <m/>
    <m/>
    <m/>
    <m/>
    <m/>
    <n v="0"/>
    <n v="0"/>
    <n v="1188"/>
    <m/>
    <m/>
    <m/>
    <n v="0"/>
    <n v="1144"/>
    <m/>
    <m/>
    <m/>
    <n v="0"/>
    <m/>
    <m/>
    <m/>
    <m/>
    <m/>
    <m/>
    <m/>
    <m/>
    <m/>
    <m/>
    <m/>
    <m/>
    <m/>
    <m/>
    <m/>
    <m/>
    <m/>
    <m/>
    <m/>
    <m/>
    <n v="0"/>
    <n v="0.724390243902439"/>
    <n v="0"/>
    <n v="0.70227133210558623"/>
    <m/>
    <m/>
    <n v="13"/>
    <n v="157"/>
    <n v="13"/>
    <n v="143"/>
    <n v="52"/>
    <n v="125"/>
    <n v="52"/>
    <n v="102"/>
    <n v="51"/>
    <n v="59"/>
    <n v="51"/>
    <n v="64"/>
    <n v="42"/>
    <n v="26"/>
    <n v="42"/>
    <n v="44"/>
    <n v="14"/>
    <n v="14"/>
    <n v="14"/>
    <n v="23"/>
    <n v="31"/>
    <n v="11"/>
    <n v="31"/>
    <n v="17"/>
    <n v="23"/>
    <n v="10"/>
    <n v="11"/>
    <n v="15"/>
    <n v="11"/>
    <n v="9"/>
    <n v="15"/>
    <n v="11"/>
    <n v="15"/>
    <n v="9"/>
    <n v="23"/>
    <n v="9"/>
    <n v="44"/>
    <n v="9"/>
    <n v="44"/>
    <n v="9"/>
    <n v="19"/>
    <n v="32"/>
    <n v="448"/>
    <n v="10"/>
    <n v="469"/>
    <n v="10"/>
    <n v="51"/>
    <n v="4"/>
    <n v="51"/>
    <n v="15"/>
    <m/>
    <m/>
    <n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16"/>
    <n v="2"/>
    <n v="0.9375"/>
    <n v="452"/>
    <n v="485"/>
    <m/>
    <m/>
    <m/>
    <m/>
    <m/>
    <m/>
    <m/>
    <m/>
    <m/>
    <m/>
    <m/>
    <m/>
    <m/>
    <m/>
    <m/>
    <m/>
    <m/>
    <m/>
    <m/>
    <m/>
    <n v="0"/>
    <n v="0"/>
    <m/>
    <m/>
    <n v="1640"/>
    <n v="1629"/>
  </r>
  <r>
    <x v="13"/>
    <s v="University of Texas of the Permian Basin"/>
    <m/>
    <n v="229018"/>
    <x v="2"/>
    <m/>
    <m/>
    <m/>
    <m/>
    <m/>
    <m/>
    <n v="0"/>
    <n v="0"/>
    <n v="541"/>
    <m/>
    <m/>
    <m/>
    <n v="0"/>
    <n v="546"/>
    <m/>
    <m/>
    <m/>
    <n v="0"/>
    <m/>
    <m/>
    <m/>
    <m/>
    <m/>
    <m/>
    <m/>
    <m/>
    <m/>
    <m/>
    <m/>
    <m/>
    <m/>
    <m/>
    <m/>
    <m/>
    <m/>
    <m/>
    <m/>
    <m/>
    <n v="0"/>
    <n v="0.78179190751445082"/>
    <n v="0"/>
    <n v="0.7822349570200573"/>
    <m/>
    <m/>
    <n v="13"/>
    <n v="58"/>
    <n v="13"/>
    <n v="67"/>
    <n v="52"/>
    <n v="40"/>
    <n v="52"/>
    <n v="29"/>
    <n v="42"/>
    <n v="10"/>
    <n v="31"/>
    <n v="10"/>
    <n v="44"/>
    <n v="9"/>
    <n v="42"/>
    <n v="10"/>
    <n v="23"/>
    <n v="6"/>
    <n v="27"/>
    <n v="9"/>
    <n v="26"/>
    <n v="6"/>
    <n v="40"/>
    <n v="7"/>
    <n v="40"/>
    <n v="6"/>
    <n v="26"/>
    <n v="4"/>
    <n v="16"/>
    <n v="5"/>
    <n v="43"/>
    <n v="4"/>
    <n v="31"/>
    <n v="4"/>
    <n v="44"/>
    <n v="4"/>
    <n v="54"/>
    <n v="4"/>
    <n v="54"/>
    <n v="4"/>
    <n v="3"/>
    <n v="4"/>
    <n v="151"/>
    <n v="10"/>
    <n v="15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1"/>
    <n v="152"/>
    <m/>
    <m/>
    <m/>
    <m/>
    <m/>
    <m/>
    <m/>
    <m/>
    <m/>
    <m/>
    <m/>
    <m/>
    <m/>
    <m/>
    <m/>
    <m/>
    <m/>
    <m/>
    <m/>
    <m/>
    <n v="0"/>
    <n v="0"/>
    <m/>
    <m/>
    <n v="692"/>
    <n v="698"/>
  </r>
  <r>
    <x v="13"/>
    <s v="University of Texas-Pan American"/>
    <m/>
    <n v="227368"/>
    <x v="2"/>
    <m/>
    <m/>
    <m/>
    <m/>
    <m/>
    <m/>
    <n v="0"/>
    <n v="0"/>
    <n v="2658"/>
    <m/>
    <m/>
    <m/>
    <n v="0"/>
    <n v="2462"/>
    <m/>
    <m/>
    <m/>
    <n v="0"/>
    <m/>
    <m/>
    <m/>
    <m/>
    <m/>
    <m/>
    <m/>
    <m/>
    <m/>
    <m/>
    <m/>
    <m/>
    <m/>
    <m/>
    <m/>
    <m/>
    <m/>
    <m/>
    <m/>
    <m/>
    <n v="0"/>
    <n v="0.76247848537005158"/>
    <n v="0"/>
    <n v="0.77788309636650865"/>
    <m/>
    <m/>
    <n v="13"/>
    <n v="237"/>
    <n v="13"/>
    <n v="148"/>
    <n v="51"/>
    <n v="170"/>
    <n v="51"/>
    <n v="141"/>
    <n v="44"/>
    <n v="73"/>
    <n v="52"/>
    <n v="95"/>
    <n v="52"/>
    <n v="64"/>
    <n v="44"/>
    <n v="63"/>
    <n v="14"/>
    <n v="40"/>
    <n v="30"/>
    <n v="33"/>
    <n v="23"/>
    <n v="27"/>
    <n v="14"/>
    <n v="29"/>
    <n v="42"/>
    <n v="27"/>
    <n v="42"/>
    <n v="22"/>
    <n v="27"/>
    <n v="24"/>
    <n v="23"/>
    <n v="21"/>
    <n v="30"/>
    <n v="24"/>
    <n v="11"/>
    <n v="18"/>
    <n v="11"/>
    <n v="19"/>
    <n v="9"/>
    <n v="17"/>
    <n v="113"/>
    <n v="98"/>
    <n v="818"/>
    <n v="10"/>
    <n v="685"/>
    <n v="10"/>
    <n v="52"/>
    <n v="6"/>
    <n v="52"/>
    <n v="11"/>
    <n v="13"/>
    <n v="4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"/>
    <n v="0.6"/>
    <n v="18"/>
    <n v="2"/>
    <n v="0.61111111111111116"/>
    <n v="828"/>
    <n v="703"/>
    <m/>
    <m/>
    <m/>
    <m/>
    <m/>
    <m/>
    <m/>
    <m/>
    <m/>
    <m/>
    <m/>
    <m/>
    <m/>
    <m/>
    <m/>
    <m/>
    <m/>
    <m/>
    <m/>
    <m/>
    <n v="0"/>
    <n v="0"/>
    <m/>
    <m/>
    <n v="3486"/>
    <n v="3165"/>
  </r>
  <r>
    <x v="13"/>
    <s v="West Texas A&amp;M University"/>
    <m/>
    <n v="229814"/>
    <x v="2"/>
    <m/>
    <m/>
    <m/>
    <m/>
    <m/>
    <m/>
    <n v="0"/>
    <n v="0"/>
    <n v="1294"/>
    <m/>
    <m/>
    <m/>
    <n v="0"/>
    <n v="1253"/>
    <m/>
    <m/>
    <m/>
    <n v="0"/>
    <m/>
    <m/>
    <m/>
    <m/>
    <m/>
    <m/>
    <m/>
    <m/>
    <m/>
    <m/>
    <m/>
    <m/>
    <m/>
    <m/>
    <m/>
    <m/>
    <m/>
    <m/>
    <m/>
    <m/>
    <n v="0"/>
    <n v="0.80123839009287923"/>
    <n v="0"/>
    <n v="0.78263585259212987"/>
    <m/>
    <m/>
    <n v="52"/>
    <n v="89"/>
    <n v="52"/>
    <n v="115"/>
    <n v="13"/>
    <n v="71"/>
    <n v="13"/>
    <n v="78"/>
    <n v="51"/>
    <n v="45"/>
    <n v="51"/>
    <n v="39"/>
    <n v="9"/>
    <n v="15"/>
    <n v="44"/>
    <n v="19"/>
    <n v="31"/>
    <n v="15"/>
    <n v="1"/>
    <n v="15"/>
    <n v="42"/>
    <n v="15"/>
    <n v="50"/>
    <n v="15"/>
    <n v="50"/>
    <n v="14"/>
    <n v="42"/>
    <n v="13"/>
    <n v="1"/>
    <n v="12"/>
    <n v="31"/>
    <n v="8"/>
    <n v="15"/>
    <n v="8"/>
    <n v="15"/>
    <n v="7"/>
    <n v="26"/>
    <n v="8"/>
    <n v="3"/>
    <n v="6"/>
    <n v="28"/>
    <n v="28"/>
    <n v="320"/>
    <n v="10"/>
    <n v="343"/>
    <n v="10"/>
    <n v="1"/>
    <n v="1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5"/>
    <n v="1"/>
    <n v="1"/>
    <n v="321"/>
    <n v="348"/>
    <m/>
    <m/>
    <m/>
    <m/>
    <m/>
    <m/>
    <m/>
    <m/>
    <m/>
    <m/>
    <m/>
    <m/>
    <m/>
    <m/>
    <m/>
    <m/>
    <m/>
    <m/>
    <m/>
    <m/>
    <n v="0"/>
    <n v="0"/>
    <m/>
    <m/>
    <n v="1615"/>
    <n v="1601"/>
  </r>
  <r>
    <x v="13"/>
    <s v="Texas A &amp; M University - Central Texas"/>
    <s v="Reclassified: met the criteria for Four-Year 4 in 2010-11, 2011-12, and 2012-13."/>
    <s v="???"/>
    <x v="3"/>
    <m/>
    <m/>
    <m/>
    <m/>
    <m/>
    <m/>
    <n v="0"/>
    <n v="0"/>
    <n v="462"/>
    <m/>
    <m/>
    <m/>
    <n v="0"/>
    <n v="469"/>
    <m/>
    <m/>
    <m/>
    <n v="0"/>
    <m/>
    <m/>
    <m/>
    <m/>
    <m/>
    <m/>
    <m/>
    <m/>
    <m/>
    <m/>
    <m/>
    <m/>
    <m/>
    <m/>
    <m/>
    <m/>
    <m/>
    <m/>
    <m/>
    <m/>
    <n v="0"/>
    <n v="0.67642752562225472"/>
    <n v="0"/>
    <n v="0.71603053435114505"/>
    <m/>
    <m/>
    <n v="52"/>
    <n v="61"/>
    <n v="52"/>
    <n v="61"/>
    <n v="13"/>
    <n v="56"/>
    <n v="42"/>
    <n v="50"/>
    <n v="42"/>
    <n v="49"/>
    <n v="13"/>
    <n v="39"/>
    <n v="11"/>
    <n v="37"/>
    <n v="11"/>
    <n v="19"/>
    <n v="43"/>
    <n v="7"/>
    <n v="54"/>
    <n v="9"/>
    <n v="54"/>
    <n v="7"/>
    <n v="27"/>
    <n v="4"/>
    <n v="24"/>
    <n v="2"/>
    <n v="43"/>
    <n v="4"/>
    <n v="27"/>
    <n v="1"/>
    <m/>
    <m/>
    <n v="45"/>
    <n v="1"/>
    <m/>
    <m/>
    <m/>
    <m/>
    <m/>
    <m/>
    <m/>
    <m/>
    <n v="221"/>
    <n v="9"/>
    <n v="18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1"/>
    <n v="186"/>
    <m/>
    <m/>
    <m/>
    <m/>
    <m/>
    <m/>
    <m/>
    <m/>
    <m/>
    <m/>
    <m/>
    <m/>
    <m/>
    <m/>
    <m/>
    <m/>
    <m/>
    <m/>
    <m/>
    <m/>
    <n v="0"/>
    <n v="0"/>
    <m/>
    <m/>
    <n v="683"/>
    <n v="655"/>
  </r>
  <r>
    <x v="13"/>
    <s v="Texas A&amp;M -Texarkana"/>
    <m/>
    <n v="224545"/>
    <x v="3"/>
    <m/>
    <m/>
    <m/>
    <m/>
    <m/>
    <m/>
    <n v="0"/>
    <n v="0"/>
    <n v="335"/>
    <m/>
    <m/>
    <m/>
    <n v="0"/>
    <n v="376"/>
    <m/>
    <m/>
    <m/>
    <n v="0"/>
    <m/>
    <m/>
    <m/>
    <m/>
    <m/>
    <m/>
    <m/>
    <m/>
    <m/>
    <m/>
    <m/>
    <m/>
    <m/>
    <m/>
    <m/>
    <m/>
    <m/>
    <m/>
    <m/>
    <m/>
    <n v="0"/>
    <n v="0.67134268537074149"/>
    <n v="0"/>
    <n v="0.75653923541247481"/>
    <m/>
    <m/>
    <n v="13"/>
    <n v="99"/>
    <n v="13"/>
    <n v="64"/>
    <n v="52"/>
    <n v="32"/>
    <n v="52"/>
    <n v="30"/>
    <n v="30"/>
    <n v="14"/>
    <n v="30"/>
    <n v="11"/>
    <n v="42"/>
    <n v="7"/>
    <n v="42"/>
    <n v="11"/>
    <n v="51"/>
    <n v="7"/>
    <n v="51"/>
    <n v="3"/>
    <n v="23"/>
    <n v="4"/>
    <n v="23"/>
    <n v="2"/>
    <n v="54"/>
    <n v="1"/>
    <n v="0"/>
    <n v="0"/>
    <m/>
    <m/>
    <m/>
    <m/>
    <m/>
    <m/>
    <m/>
    <m/>
    <m/>
    <m/>
    <m/>
    <m/>
    <m/>
    <m/>
    <n v="164"/>
    <n v="7"/>
    <n v="121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4"/>
    <n v="121"/>
    <m/>
    <m/>
    <m/>
    <m/>
    <m/>
    <m/>
    <m/>
    <m/>
    <m/>
    <m/>
    <m/>
    <m/>
    <m/>
    <m/>
    <m/>
    <m/>
    <m/>
    <m/>
    <m/>
    <m/>
    <n v="0"/>
    <n v="0"/>
    <m/>
    <m/>
    <n v="499"/>
    <n v="497"/>
  </r>
  <r>
    <x v="13"/>
    <s v="University of Houston-Victoria"/>
    <m/>
    <n v="225502"/>
    <x v="3"/>
    <m/>
    <m/>
    <m/>
    <m/>
    <m/>
    <m/>
    <n v="0"/>
    <n v="0"/>
    <n v="596"/>
    <m/>
    <m/>
    <m/>
    <n v="0"/>
    <n v="619"/>
    <m/>
    <m/>
    <m/>
    <n v="0"/>
    <m/>
    <m/>
    <m/>
    <m/>
    <m/>
    <m/>
    <m/>
    <m/>
    <m/>
    <m/>
    <m/>
    <m/>
    <m/>
    <m/>
    <m/>
    <m/>
    <m/>
    <m/>
    <m/>
    <m/>
    <n v="0"/>
    <n v="0.5814634146341463"/>
    <n v="0"/>
    <n v="0.58896289248334921"/>
    <m/>
    <m/>
    <n v="52"/>
    <n v="208"/>
    <n v="52"/>
    <n v="257"/>
    <n v="13"/>
    <n v="150"/>
    <n v="13"/>
    <n v="112"/>
    <n v="11"/>
    <n v="25"/>
    <n v="11"/>
    <n v="19"/>
    <n v="30"/>
    <n v="21"/>
    <n v="51"/>
    <n v="18"/>
    <n v="42"/>
    <n v="14"/>
    <n v="42"/>
    <n v="13"/>
    <n v="51"/>
    <n v="9"/>
    <n v="30"/>
    <n v="11"/>
    <n v="9"/>
    <n v="2"/>
    <n v="9"/>
    <n v="2"/>
    <m/>
    <m/>
    <m/>
    <m/>
    <m/>
    <m/>
    <m/>
    <m/>
    <m/>
    <m/>
    <m/>
    <m/>
    <m/>
    <m/>
    <n v="429"/>
    <n v="7"/>
    <n v="43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9"/>
    <n v="432"/>
    <m/>
    <m/>
    <m/>
    <m/>
    <m/>
    <m/>
    <m/>
    <m/>
    <m/>
    <m/>
    <m/>
    <m/>
    <m/>
    <m/>
    <m/>
    <m/>
    <m/>
    <m/>
    <m/>
    <m/>
    <n v="0"/>
    <n v="0"/>
    <m/>
    <m/>
    <n v="1025"/>
    <n v="1051"/>
  </r>
  <r>
    <x v="13"/>
    <s v="Sul Ross State University-Rio Grande College"/>
    <m/>
    <s v="228501B"/>
    <x v="4"/>
    <m/>
    <m/>
    <m/>
    <m/>
    <m/>
    <m/>
    <n v="0"/>
    <n v="0"/>
    <n v="163"/>
    <m/>
    <m/>
    <m/>
    <n v="0"/>
    <n v="154"/>
    <m/>
    <m/>
    <m/>
    <n v="0"/>
    <m/>
    <m/>
    <m/>
    <m/>
    <m/>
    <m/>
    <m/>
    <m/>
    <m/>
    <m/>
    <m/>
    <m/>
    <m/>
    <m/>
    <m/>
    <m/>
    <m/>
    <m/>
    <m/>
    <m/>
    <n v="0"/>
    <n v="0.81909547738693467"/>
    <n v="0"/>
    <n v="0.66666666666666663"/>
    <m/>
    <m/>
    <n v="13"/>
    <n v="35"/>
    <n v="13"/>
    <n v="72"/>
    <n v="52"/>
    <n v="1"/>
    <n v="52"/>
    <n v="5"/>
    <m/>
    <m/>
    <n v="0"/>
    <n v="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n v="36"/>
    <n v="2"/>
    <n v="7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"/>
    <n v="77"/>
    <m/>
    <m/>
    <m/>
    <m/>
    <m/>
    <m/>
    <m/>
    <m/>
    <m/>
    <m/>
    <m/>
    <m/>
    <m/>
    <m/>
    <m/>
    <m/>
    <m/>
    <m/>
    <m/>
    <m/>
    <n v="0"/>
    <n v="0"/>
    <m/>
    <m/>
    <n v="199"/>
    <n v="231"/>
  </r>
  <r>
    <x v="13"/>
    <s v="Texas A &amp; M University - San Antonio"/>
    <s v="Reclassified: met the criteria for Four-Year 5 in 2010-11, 2011-12, and 2012-13."/>
    <n v="870501"/>
    <x v="4"/>
    <m/>
    <m/>
    <m/>
    <m/>
    <m/>
    <m/>
    <n v="0"/>
    <n v="0"/>
    <n v="620"/>
    <m/>
    <m/>
    <m/>
    <n v="0"/>
    <n v="647"/>
    <m/>
    <m/>
    <m/>
    <n v="0"/>
    <m/>
    <m/>
    <m/>
    <m/>
    <m/>
    <m/>
    <m/>
    <m/>
    <m/>
    <m/>
    <m/>
    <m/>
    <m/>
    <m/>
    <m/>
    <m/>
    <m/>
    <m/>
    <m/>
    <m/>
    <n v="0"/>
    <n v="0.76827757125154894"/>
    <n v="0"/>
    <n v="0.72860360360360366"/>
    <m/>
    <m/>
    <n v="13"/>
    <n v="149"/>
    <n v="13"/>
    <n v="159"/>
    <n v="52"/>
    <n v="36"/>
    <n v="52"/>
    <n v="76"/>
    <n v="31"/>
    <n v="2"/>
    <n v="23"/>
    <n v="3"/>
    <m/>
    <m/>
    <n v="31"/>
    <n v="3"/>
    <m/>
    <m/>
    <m/>
    <m/>
    <m/>
    <m/>
    <m/>
    <m/>
    <m/>
    <m/>
    <m/>
    <m/>
    <m/>
    <m/>
    <m/>
    <m/>
    <m/>
    <m/>
    <m/>
    <m/>
    <m/>
    <m/>
    <m/>
    <m/>
    <m/>
    <m/>
    <n v="187"/>
    <n v="3"/>
    <n v="24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7"/>
    <n v="241"/>
    <m/>
    <m/>
    <m/>
    <m/>
    <m/>
    <m/>
    <m/>
    <m/>
    <m/>
    <m/>
    <m/>
    <m/>
    <m/>
    <m/>
    <m/>
    <m/>
    <m/>
    <m/>
    <m/>
    <m/>
    <n v="0"/>
    <n v="0"/>
    <m/>
    <m/>
    <n v="807"/>
    <n v="888"/>
  </r>
  <r>
    <x v="13"/>
    <s v="University of Houston-Downtown"/>
    <m/>
    <n v="225432"/>
    <x v="4"/>
    <m/>
    <m/>
    <m/>
    <m/>
    <m/>
    <m/>
    <n v="0"/>
    <n v="0"/>
    <n v="2437"/>
    <m/>
    <m/>
    <m/>
    <n v="0"/>
    <n v="2351"/>
    <m/>
    <m/>
    <m/>
    <n v="0"/>
    <m/>
    <m/>
    <m/>
    <m/>
    <m/>
    <m/>
    <m/>
    <m/>
    <m/>
    <m/>
    <m/>
    <m/>
    <m/>
    <m/>
    <m/>
    <m/>
    <m/>
    <m/>
    <m/>
    <m/>
    <n v="0"/>
    <n v="0.98266129032258065"/>
    <n v="0"/>
    <n v="0.97673452430411301"/>
    <m/>
    <m/>
    <n v="43"/>
    <n v="21"/>
    <n v="43"/>
    <n v="44"/>
    <n v="13"/>
    <n v="15"/>
    <n v="13"/>
    <n v="9"/>
    <n v="23"/>
    <n v="7"/>
    <n v="23"/>
    <n v="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n v="43"/>
    <n v="3"/>
    <n v="5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"/>
    <n v="56"/>
    <m/>
    <m/>
    <m/>
    <m/>
    <m/>
    <m/>
    <m/>
    <m/>
    <m/>
    <m/>
    <m/>
    <m/>
    <m/>
    <m/>
    <m/>
    <m/>
    <m/>
    <m/>
    <m/>
    <m/>
    <n v="0"/>
    <n v="0"/>
    <m/>
    <m/>
    <n v="2480"/>
    <n v="2407"/>
  </r>
  <r>
    <x v="13"/>
    <s v="Texas A&amp;M University at Galveston"/>
    <m/>
    <n v="228714"/>
    <x v="5"/>
    <m/>
    <m/>
    <m/>
    <m/>
    <m/>
    <m/>
    <n v="0"/>
    <n v="0"/>
    <n v="250"/>
    <m/>
    <m/>
    <m/>
    <n v="0"/>
    <n v="314"/>
    <m/>
    <m/>
    <m/>
    <n v="0"/>
    <m/>
    <m/>
    <m/>
    <m/>
    <m/>
    <m/>
    <m/>
    <m/>
    <m/>
    <m/>
    <m/>
    <m/>
    <m/>
    <m/>
    <m/>
    <m/>
    <m/>
    <m/>
    <m/>
    <m/>
    <n v="0"/>
    <n v="0.96525096525096521"/>
    <n v="0"/>
    <n v="0.95731707317073167"/>
    <m/>
    <m/>
    <n v="3"/>
    <n v="7"/>
    <n v="3"/>
    <n v="11"/>
    <n v="26"/>
    <n v="2"/>
    <n v="26"/>
    <n v="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n v="9"/>
    <n v="2"/>
    <n v="12"/>
    <n v="2"/>
    <m/>
    <m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2"/>
    <n v="1"/>
    <n v="1"/>
    <n v="9"/>
    <n v="14"/>
    <m/>
    <m/>
    <m/>
    <m/>
    <m/>
    <m/>
    <m/>
    <m/>
    <m/>
    <m/>
    <m/>
    <m/>
    <m/>
    <m/>
    <m/>
    <m/>
    <m/>
    <m/>
    <m/>
    <m/>
    <n v="0"/>
    <n v="0"/>
    <m/>
    <m/>
    <n v="259"/>
    <n v="328"/>
  </r>
  <r>
    <x v="13"/>
    <s v="Brazosport College "/>
    <m/>
    <n v="223506"/>
    <x v="12"/>
    <n v="283"/>
    <n v="217"/>
    <m/>
    <m/>
    <n v="268"/>
    <n v="420"/>
    <n v="14.105263157894736"/>
    <n v="28"/>
    <n v="19"/>
    <m/>
    <m/>
    <m/>
    <n v="0"/>
    <n v="15"/>
    <m/>
    <m/>
    <m/>
    <n v="0"/>
    <n v="52"/>
    <n v="19"/>
    <n v="52"/>
    <n v="15"/>
    <m/>
    <m/>
    <m/>
    <m/>
    <m/>
    <m/>
    <m/>
    <m/>
    <m/>
    <m/>
    <m/>
    <m/>
    <m/>
    <m/>
    <m/>
    <m/>
    <n v="1"/>
    <n v="3.3333333333333333E-2"/>
    <n v="1"/>
    <n v="2.300613496932515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0"/>
    <n v="652"/>
  </r>
  <r>
    <x v="13"/>
    <s v="Midland College "/>
    <m/>
    <n v="226806"/>
    <x v="12"/>
    <n v="241"/>
    <n v="213"/>
    <m/>
    <m/>
    <n v="445"/>
    <n v="377"/>
    <n v="21.19047619047619"/>
    <n v="31.416666666666668"/>
    <n v="21"/>
    <m/>
    <m/>
    <m/>
    <n v="0"/>
    <n v="12"/>
    <m/>
    <m/>
    <m/>
    <n v="0"/>
    <n v="52"/>
    <n v="21"/>
    <n v="52"/>
    <n v="12"/>
    <m/>
    <m/>
    <m/>
    <m/>
    <m/>
    <m/>
    <m/>
    <m/>
    <m/>
    <m/>
    <m/>
    <m/>
    <m/>
    <m/>
    <m/>
    <m/>
    <n v="1"/>
    <n v="2.9702970297029702E-2"/>
    <n v="1"/>
    <n v="1.993355481727574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7"/>
    <n v="602"/>
  </r>
  <r>
    <x v="13"/>
    <s v="South Texas College"/>
    <m/>
    <n v="409315"/>
    <x v="12"/>
    <n v="1258"/>
    <n v="1544"/>
    <m/>
    <m/>
    <n v="2054"/>
    <n v="2312"/>
    <n v="17.406779661016948"/>
    <n v="20.828828828828829"/>
    <n v="118"/>
    <m/>
    <m/>
    <m/>
    <n v="0"/>
    <n v="111"/>
    <m/>
    <m/>
    <m/>
    <n v="0"/>
    <n v="52"/>
    <n v="69"/>
    <n v="52"/>
    <n v="75"/>
    <n v="11"/>
    <n v="49"/>
    <n v="11"/>
    <n v="36"/>
    <m/>
    <m/>
    <m/>
    <m/>
    <m/>
    <m/>
    <m/>
    <m/>
    <m/>
    <m/>
    <m/>
    <m/>
    <n v="2"/>
    <n v="3.4402332361516033E-2"/>
    <n v="2"/>
    <n v="2.798084194605495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30"/>
    <n v="3967"/>
  </r>
  <r>
    <x v="13"/>
    <s v="Amarillo College "/>
    <m/>
    <n v="222576"/>
    <x v="6"/>
    <n v="693"/>
    <n v="596"/>
    <m/>
    <m/>
    <n v="984"/>
    <n v="1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7"/>
    <n v="1698"/>
  </r>
  <r>
    <x v="13"/>
    <s v="Austin Community College "/>
    <m/>
    <n v="222992"/>
    <x v="6"/>
    <n v="810"/>
    <n v="829"/>
    <m/>
    <m/>
    <n v="1529"/>
    <n v="17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9"/>
    <n v="2620"/>
  </r>
  <r>
    <x v="13"/>
    <s v="Blinn College "/>
    <m/>
    <n v="223427"/>
    <x v="6"/>
    <n v="461"/>
    <n v="375"/>
    <m/>
    <m/>
    <n v="800"/>
    <n v="8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1"/>
    <n v="1195"/>
  </r>
  <r>
    <x v="13"/>
    <s v="Brookhaven College (DCCCD)"/>
    <m/>
    <n v="223524"/>
    <x v="6"/>
    <n v="187"/>
    <n v="214"/>
    <m/>
    <m/>
    <n v="682"/>
    <n v="6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880"/>
  </r>
  <r>
    <x v="13"/>
    <s v="Central Texas College "/>
    <m/>
    <n v="223816"/>
    <x v="6"/>
    <n v="479"/>
    <n v="547"/>
    <m/>
    <m/>
    <n v="1447"/>
    <n v="15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26"/>
    <n v="2061"/>
  </r>
  <r>
    <x v="13"/>
    <s v="Collin County Community College District"/>
    <m/>
    <n v="247834"/>
    <x v="6"/>
    <n v="552"/>
    <n v="293"/>
    <m/>
    <m/>
    <n v="1573"/>
    <n v="18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5"/>
    <n v="2156"/>
  </r>
  <r>
    <x v="13"/>
    <s v="Del Mar College "/>
    <m/>
    <n v="224350"/>
    <x v="6"/>
    <n v="519"/>
    <n v="490"/>
    <m/>
    <m/>
    <n v="1053"/>
    <n v="9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2"/>
    <n v="1455"/>
  </r>
  <r>
    <x v="13"/>
    <s v="Eastfield College (DCCCD)"/>
    <m/>
    <n v="224572"/>
    <x v="6"/>
    <n v="559"/>
    <n v="458"/>
    <m/>
    <m/>
    <n v="614"/>
    <n v="7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3"/>
    <n v="1169"/>
  </r>
  <r>
    <x v="13"/>
    <s v="El Centro College  (DCCCD)"/>
    <m/>
    <n v="224615"/>
    <x v="6"/>
    <n v="676"/>
    <n v="625"/>
    <m/>
    <m/>
    <n v="666"/>
    <n v="7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2"/>
    <n v="1378"/>
  </r>
  <r>
    <x v="13"/>
    <s v="El Paso County Community College District"/>
    <m/>
    <n v="224642"/>
    <x v="6"/>
    <n v="706"/>
    <n v="611"/>
    <m/>
    <m/>
    <n v="3023"/>
    <n v="38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29"/>
    <n v="4470"/>
  </r>
  <r>
    <x v="13"/>
    <s v="Houston Community College"/>
    <m/>
    <n v="225423"/>
    <x v="6"/>
    <n v="1598"/>
    <n v="1580"/>
    <m/>
    <m/>
    <n v="3689"/>
    <n v="4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87"/>
    <n v="5758"/>
  </r>
  <r>
    <x v="13"/>
    <s v="Kilgore College "/>
    <m/>
    <n v="226019"/>
    <x v="6"/>
    <n v="758"/>
    <n v="727"/>
    <m/>
    <m/>
    <n v="648"/>
    <n v="7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6"/>
    <n v="1473"/>
  </r>
  <r>
    <x v="13"/>
    <s v="Laredo Community College "/>
    <m/>
    <n v="226134"/>
    <x v="6"/>
    <n v="418"/>
    <n v="544"/>
    <m/>
    <m/>
    <n v="742"/>
    <n v="7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0"/>
    <n v="1293"/>
  </r>
  <r>
    <x v="13"/>
    <s v="Lone Star College System District"/>
    <m/>
    <n v="227182"/>
    <x v="6"/>
    <n v="1304"/>
    <n v="1355"/>
    <m/>
    <m/>
    <n v="3299"/>
    <n v="38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03"/>
    <n v="5212"/>
  </r>
  <r>
    <x v="13"/>
    <s v="McLennan Community College "/>
    <m/>
    <n v="226578"/>
    <x v="6"/>
    <n v="341"/>
    <n v="350"/>
    <m/>
    <m/>
    <n v="794"/>
    <n v="7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5"/>
    <n v="1120"/>
  </r>
  <r>
    <x v="13"/>
    <s v="Navarro College "/>
    <m/>
    <n v="227146"/>
    <x v="6"/>
    <n v="500"/>
    <n v="519"/>
    <m/>
    <m/>
    <n v="627"/>
    <n v="7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7"/>
    <n v="1305"/>
  </r>
  <r>
    <x v="13"/>
    <s v="North Central Texas Community College"/>
    <m/>
    <n v="224110"/>
    <x v="6"/>
    <n v="208"/>
    <n v="243"/>
    <m/>
    <m/>
    <n v="574"/>
    <n v="6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2"/>
    <n v="868"/>
  </r>
  <r>
    <x v="13"/>
    <s v="North Lake College (DCCCD)"/>
    <m/>
    <n v="227191"/>
    <x v="6"/>
    <n v="187"/>
    <n v="244"/>
    <m/>
    <m/>
    <n v="992"/>
    <n v="10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9"/>
    <n v="1313"/>
  </r>
  <r>
    <x v="13"/>
    <s v="Northwest Vista College (ACCD)"/>
    <m/>
    <n v="420398"/>
    <x v="6"/>
    <n v="194"/>
    <n v="201"/>
    <m/>
    <m/>
    <n v="941"/>
    <n v="11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5"/>
    <n v="1352"/>
  </r>
  <r>
    <x v="13"/>
    <s v="Palo Alto College (ACCD)"/>
    <m/>
    <n v="246354"/>
    <x v="6"/>
    <n v="202"/>
    <n v="164"/>
    <m/>
    <m/>
    <n v="861"/>
    <n v="7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3"/>
    <n v="938"/>
  </r>
  <r>
    <x v="13"/>
    <s v="Richland College (DCCCD)"/>
    <m/>
    <n v="227766"/>
    <x v="6"/>
    <n v="187"/>
    <n v="230"/>
    <m/>
    <m/>
    <n v="1130"/>
    <n v="1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7"/>
    <n v="1533"/>
  </r>
  <r>
    <x v="13"/>
    <s v="San Antonio College (ACCD)"/>
    <m/>
    <n v="227924"/>
    <x v="6"/>
    <n v="401"/>
    <n v="575"/>
    <m/>
    <m/>
    <n v="1470"/>
    <n v="19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71"/>
    <n v="2533"/>
  </r>
  <r>
    <x v="13"/>
    <s v="San Jacinto College"/>
    <m/>
    <n v="227979"/>
    <x v="6"/>
    <n v="1687"/>
    <n v="1952"/>
    <m/>
    <m/>
    <n v="2489"/>
    <n v="27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76"/>
    <n v="4738"/>
  </r>
  <r>
    <x v="13"/>
    <s v="South Plains College "/>
    <m/>
    <n v="228158"/>
    <x v="6"/>
    <n v="499"/>
    <n v="633"/>
    <m/>
    <m/>
    <n v="614"/>
    <n v="6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3"/>
    <n v="1297"/>
  </r>
  <r>
    <x v="13"/>
    <s v="St. Philip's College (ACCD)"/>
    <m/>
    <n v="227854"/>
    <x v="6"/>
    <n v="715"/>
    <n v="579"/>
    <m/>
    <m/>
    <n v="718"/>
    <n v="8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3"/>
    <n v="1434"/>
  </r>
  <r>
    <x v="13"/>
    <s v="Tarrant County College"/>
    <m/>
    <n v="228547"/>
    <x v="6"/>
    <n v="947"/>
    <n v="1100"/>
    <m/>
    <m/>
    <n v="3179"/>
    <n v="35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6"/>
    <n v="4622"/>
  </r>
  <r>
    <x v="13"/>
    <s v="Texas Southmost College "/>
    <s v="Met criteria for Two-Year 2 in 2012-13."/>
    <n v="229072"/>
    <x v="6"/>
    <n v="178"/>
    <n v="222"/>
    <m/>
    <m/>
    <n v="819"/>
    <n v="9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7"/>
    <n v="1159"/>
  </r>
  <r>
    <x v="13"/>
    <s v="Texas State Technical College-Waco"/>
    <s v="Met criteria for Two-Year 2 in 2012-13."/>
    <n v="228680"/>
    <x v="6"/>
    <n v="380"/>
    <n v="342"/>
    <m/>
    <m/>
    <n v="718"/>
    <n v="9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8"/>
    <n v="1266"/>
  </r>
  <r>
    <x v="13"/>
    <s v="Trinity Valley Community College"/>
    <m/>
    <n v="225308"/>
    <x v="6"/>
    <n v="818"/>
    <n v="734"/>
    <m/>
    <m/>
    <n v="716"/>
    <n v="8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4"/>
    <n v="1541"/>
  </r>
  <r>
    <x v="13"/>
    <s v="Tyler Junior College "/>
    <m/>
    <n v="229355"/>
    <x v="6"/>
    <n v="648"/>
    <n v="766"/>
    <m/>
    <m/>
    <n v="943"/>
    <n v="10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1"/>
    <n v="1856"/>
  </r>
  <r>
    <x v="13"/>
    <s v="Alvin Community College "/>
    <m/>
    <n v="222567"/>
    <x v="7"/>
    <n v="410"/>
    <n v="363"/>
    <m/>
    <m/>
    <n v="524"/>
    <n v="5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4"/>
    <n v="915"/>
  </r>
  <r>
    <x v="13"/>
    <s v="Angelina College "/>
    <m/>
    <n v="222822"/>
    <x v="7"/>
    <n v="410"/>
    <n v="404"/>
    <m/>
    <m/>
    <n v="342"/>
    <n v="3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2"/>
    <n v="718"/>
  </r>
  <r>
    <x v="13"/>
    <s v="Cedar Valley College (DCCCD)"/>
    <m/>
    <n v="223773"/>
    <x v="7"/>
    <n v="714"/>
    <n v="533"/>
    <m/>
    <m/>
    <n v="333"/>
    <n v="4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7"/>
    <n v="953"/>
  </r>
  <r>
    <x v="13"/>
    <s v="Cisco Junior College "/>
    <m/>
    <n v="223898"/>
    <x v="7"/>
    <n v="224"/>
    <n v="310"/>
    <m/>
    <m/>
    <n v="225"/>
    <n v="3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"/>
    <n v="627"/>
  </r>
  <r>
    <x v="13"/>
    <s v="Coastal Bend College"/>
    <m/>
    <n v="223320"/>
    <x v="7"/>
    <n v="456"/>
    <n v="528"/>
    <m/>
    <m/>
    <n v="280"/>
    <n v="2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6"/>
    <n v="805"/>
  </r>
  <r>
    <x v="13"/>
    <s v="College of the Mainland"/>
    <m/>
    <n v="226408"/>
    <x v="7"/>
    <n v="244"/>
    <n v="212"/>
    <m/>
    <m/>
    <n v="391"/>
    <n v="3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5"/>
    <n v="602"/>
  </r>
  <r>
    <x v="13"/>
    <s v="Grayson County College "/>
    <m/>
    <n v="225070"/>
    <x v="7"/>
    <n v="421"/>
    <n v="459"/>
    <m/>
    <m/>
    <n v="521"/>
    <n v="5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2"/>
    <n v="985"/>
  </r>
  <r>
    <x v="13"/>
    <s v="Hill College"/>
    <m/>
    <n v="225371"/>
    <x v="7"/>
    <n v="461"/>
    <n v="626"/>
    <m/>
    <m/>
    <n v="286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7"/>
    <n v="995"/>
  </r>
  <r>
    <x v="13"/>
    <s v="Howard College (HCJCD)"/>
    <m/>
    <n v="225520"/>
    <x v="7"/>
    <n v="195"/>
    <n v="235"/>
    <m/>
    <m/>
    <n v="293"/>
    <n v="2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8"/>
    <n v="531"/>
  </r>
  <r>
    <x v="13"/>
    <s v="Lamar Institute of Technology"/>
    <m/>
    <n v="441760"/>
    <x v="7"/>
    <n v="136"/>
    <n v="183"/>
    <m/>
    <m/>
    <n v="409"/>
    <n v="3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"/>
    <n v="534"/>
  </r>
  <r>
    <x v="13"/>
    <s v="Lamar State College-Port Arthur"/>
    <s v="Reclassified: Met the criteria for Two-Year 2 in 2010-11, 2011-12, and 2012-13."/>
    <n v="226116"/>
    <x v="7"/>
    <n v="205"/>
    <n v="214"/>
    <m/>
    <m/>
    <n v="222"/>
    <n v="3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7"/>
    <n v="517"/>
  </r>
  <r>
    <x v="13"/>
    <s v="Lee College "/>
    <m/>
    <n v="226204"/>
    <x v="7"/>
    <n v="940"/>
    <n v="646"/>
    <m/>
    <m/>
    <n v="752"/>
    <n v="6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2"/>
    <n v="1324"/>
  </r>
  <r>
    <x v="13"/>
    <s v="Mountain View College  (DCCCD)"/>
    <m/>
    <n v="226930"/>
    <x v="7"/>
    <n v="235"/>
    <n v="189"/>
    <m/>
    <m/>
    <n v="613"/>
    <n v="5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8"/>
    <n v="712"/>
  </r>
  <r>
    <x v="13"/>
    <s v="Northeast Texas Community College "/>
    <m/>
    <n v="227225"/>
    <x v="7"/>
    <n v="139"/>
    <n v="169"/>
    <m/>
    <m/>
    <n v="299"/>
    <n v="3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8"/>
    <n v="511"/>
  </r>
  <r>
    <x v="13"/>
    <s v="Odessa College "/>
    <m/>
    <n v="227304"/>
    <x v="7"/>
    <n v="269"/>
    <n v="237"/>
    <m/>
    <m/>
    <n v="343"/>
    <n v="3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2"/>
    <n v="606"/>
  </r>
  <r>
    <x v="13"/>
    <s v="Paris Junior College"/>
    <m/>
    <n v="227401"/>
    <x v="7"/>
    <n v="437"/>
    <n v="414"/>
    <m/>
    <m/>
    <n v="448"/>
    <n v="4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5"/>
    <n v="893"/>
  </r>
  <r>
    <x v="13"/>
    <s v="Southwest Texas Junior College "/>
    <m/>
    <n v="228316"/>
    <x v="7"/>
    <n v="301"/>
    <n v="305"/>
    <m/>
    <m/>
    <n v="473"/>
    <n v="5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4"/>
    <n v="810"/>
  </r>
  <r>
    <x v="13"/>
    <s v="Temple College "/>
    <m/>
    <n v="228608"/>
    <x v="7"/>
    <n v="199"/>
    <n v="192"/>
    <m/>
    <m/>
    <n v="417"/>
    <n v="5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6"/>
    <n v="704"/>
  </r>
  <r>
    <x v="13"/>
    <s v="Texarkana College "/>
    <m/>
    <n v="228699"/>
    <x v="7"/>
    <n v="421"/>
    <n v="336"/>
    <m/>
    <m/>
    <n v="313"/>
    <n v="2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4"/>
    <n v="613"/>
  </r>
  <r>
    <x v="13"/>
    <s v="Texas State Technical College-Harlingen "/>
    <m/>
    <n v="229319"/>
    <x v="7"/>
    <n v="242"/>
    <n v="252"/>
    <m/>
    <m/>
    <n v="376"/>
    <n v="4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8"/>
    <n v="679"/>
  </r>
  <r>
    <x v="13"/>
    <s v="Vernon College "/>
    <m/>
    <n v="229504"/>
    <x v="7"/>
    <n v="308"/>
    <n v="245"/>
    <m/>
    <m/>
    <n v="238"/>
    <n v="2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6"/>
    <n v="471"/>
  </r>
  <r>
    <x v="13"/>
    <s v="Victoria College "/>
    <m/>
    <n v="229540"/>
    <x v="7"/>
    <n v="233"/>
    <n v="206"/>
    <m/>
    <m/>
    <n v="317"/>
    <n v="3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0"/>
    <n v="531"/>
  </r>
  <r>
    <x v="13"/>
    <s v="Weatherford College "/>
    <m/>
    <n v="229799"/>
    <x v="7"/>
    <n v="217"/>
    <n v="157"/>
    <m/>
    <m/>
    <n v="631"/>
    <n v="7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8"/>
    <n v="857"/>
  </r>
  <r>
    <x v="13"/>
    <s v="Wharton County Junior College "/>
    <m/>
    <n v="229841"/>
    <x v="7"/>
    <n v="337"/>
    <n v="306"/>
    <m/>
    <m/>
    <n v="450"/>
    <n v="5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7"/>
    <n v="865"/>
  </r>
  <r>
    <x v="13"/>
    <s v="Clarendon College "/>
    <m/>
    <n v="223922"/>
    <x v="8"/>
    <n v="98"/>
    <n v="128"/>
    <m/>
    <m/>
    <n v="125"/>
    <n v="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3"/>
    <n v="223"/>
  </r>
  <r>
    <x v="13"/>
    <s v="Frank Phillips College "/>
    <m/>
    <n v="224891"/>
    <x v="8"/>
    <n v="66"/>
    <n v="79"/>
    <m/>
    <m/>
    <n v="71"/>
    <n v="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"/>
    <n v="135"/>
  </r>
  <r>
    <x v="13"/>
    <s v="Galveston College "/>
    <m/>
    <n v="224961"/>
    <x v="8"/>
    <n v="246"/>
    <n v="254"/>
    <m/>
    <m/>
    <n v="203"/>
    <n v="2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"/>
    <n v="470"/>
  </r>
  <r>
    <x v="13"/>
    <s v="Lamar State College-Orange"/>
    <m/>
    <n v="226107"/>
    <x v="8"/>
    <n v="281"/>
    <n v="278"/>
    <m/>
    <m/>
    <n v="197"/>
    <n v="1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8"/>
    <n v="465"/>
  </r>
  <r>
    <x v="13"/>
    <s v="Northeast Lakeview College (ACCD)"/>
    <m/>
    <s v="???"/>
    <x v="8"/>
    <m/>
    <m/>
    <m/>
    <m/>
    <n v="8"/>
    <n v="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"/>
    <n v="14"/>
  </r>
  <r>
    <x v="13"/>
    <s v="Panola College"/>
    <m/>
    <n v="227386"/>
    <x v="8"/>
    <n v="167"/>
    <n v="224"/>
    <m/>
    <m/>
    <n v="231"/>
    <n v="2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8"/>
    <n v="447"/>
  </r>
  <r>
    <x v="13"/>
    <s v="Ranger College "/>
    <m/>
    <n v="227687"/>
    <x v="8"/>
    <n v="117"/>
    <n v="115"/>
    <m/>
    <m/>
    <n v="35"/>
    <n v="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"/>
    <n v="151"/>
  </r>
  <r>
    <x v="13"/>
    <s v="Southwest Collegiate Institute for the Deaf (HCJCD)"/>
    <m/>
    <n v="382911"/>
    <x v="8"/>
    <n v="12"/>
    <n v="16"/>
    <m/>
    <m/>
    <n v="11"/>
    <n v="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"/>
    <n v="25"/>
  </r>
  <r>
    <x v="13"/>
    <s v="Texas State Technical College-Marshall"/>
    <m/>
    <n v="408394"/>
    <x v="8"/>
    <n v="33"/>
    <n v="46"/>
    <m/>
    <m/>
    <n v="182"/>
    <n v="1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"/>
    <n v="201"/>
  </r>
  <r>
    <x v="13"/>
    <s v="Texas State Technical College-West Texas"/>
    <m/>
    <n v="229328"/>
    <x v="8"/>
    <n v="93"/>
    <n v="96"/>
    <m/>
    <m/>
    <n v="261"/>
    <n v="2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4"/>
    <n v="333"/>
  </r>
  <r>
    <x v="13"/>
    <s v="Western Texas College "/>
    <m/>
    <n v="229832"/>
    <x v="8"/>
    <n v="206"/>
    <n v="220"/>
    <m/>
    <m/>
    <n v="168"/>
    <n v="1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4"/>
    <n v="403"/>
  </r>
  <r>
    <x v="13"/>
    <s v="Texas A &amp; M Health Science Center"/>
    <m/>
    <n v="223214"/>
    <x v="11"/>
    <m/>
    <m/>
    <m/>
    <m/>
    <m/>
    <m/>
    <n v="0"/>
    <n v="0"/>
    <n v="108"/>
    <m/>
    <m/>
    <m/>
    <n v="0"/>
    <n v="96"/>
    <m/>
    <m/>
    <m/>
    <n v="0"/>
    <m/>
    <m/>
    <m/>
    <m/>
    <m/>
    <m/>
    <m/>
    <m/>
    <m/>
    <m/>
    <m/>
    <m/>
    <m/>
    <m/>
    <m/>
    <m/>
    <m/>
    <m/>
    <m/>
    <m/>
    <n v="0"/>
    <n v="0.20074349442379183"/>
    <n v="0"/>
    <n v="0.16991150442477876"/>
    <m/>
    <m/>
    <n v="51"/>
    <n v="91"/>
    <n v="51"/>
    <n v="86"/>
    <n v="26"/>
    <n v="24"/>
    <n v="26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5"/>
    <n v="142"/>
    <n v="2"/>
    <n v="153"/>
    <n v="2"/>
    <n v="26"/>
    <n v="18"/>
    <n v="26"/>
    <n v="12"/>
    <m/>
    <m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"/>
    <n v="1"/>
    <n v="14"/>
    <n v="2"/>
    <n v="0.8571428571428571"/>
    <n v="160"/>
    <n v="167"/>
    <m/>
    <m/>
    <n v="100"/>
    <n v="117"/>
    <n v="101"/>
    <n v="97"/>
    <n v="69"/>
    <n v="88"/>
    <m/>
    <m/>
    <m/>
    <m/>
    <m/>
    <m/>
    <m/>
    <m/>
    <m/>
    <m/>
    <m/>
    <m/>
    <n v="270"/>
    <n v="302"/>
    <m/>
    <m/>
    <n v="538"/>
    <n v="565"/>
  </r>
  <r>
    <x v="13"/>
    <s v="Texas Tech University Health Sciences Center"/>
    <m/>
    <n v="229337"/>
    <x v="11"/>
    <m/>
    <m/>
    <m/>
    <m/>
    <m/>
    <m/>
    <n v="0"/>
    <n v="0"/>
    <n v="680"/>
    <m/>
    <m/>
    <m/>
    <n v="0"/>
    <n v="845"/>
    <m/>
    <m/>
    <m/>
    <n v="0"/>
    <m/>
    <m/>
    <m/>
    <m/>
    <m/>
    <m/>
    <m/>
    <m/>
    <m/>
    <m/>
    <m/>
    <m/>
    <m/>
    <m/>
    <m/>
    <m/>
    <m/>
    <m/>
    <m/>
    <m/>
    <n v="0"/>
    <n v="0.48885693745506831"/>
    <n v="0"/>
    <n v="0.52582451773490979"/>
    <m/>
    <m/>
    <n v="51"/>
    <n v="295"/>
    <n v="51"/>
    <n v="350"/>
    <n v="26"/>
    <n v="30"/>
    <n v="26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5"/>
    <n v="2"/>
    <n v="372"/>
    <n v="2"/>
    <n v="51"/>
    <n v="38"/>
    <n v="51"/>
    <n v="35"/>
    <n v="26"/>
    <n v="3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"/>
    <n v="0.92682926829268297"/>
    <n v="38"/>
    <n v="2"/>
    <n v="0.92105263157894735"/>
    <n v="366"/>
    <n v="410"/>
    <m/>
    <m/>
    <n v="144"/>
    <n v="130"/>
    <m/>
    <n v="0"/>
    <n v="117"/>
    <n v="130"/>
    <m/>
    <m/>
    <m/>
    <m/>
    <m/>
    <m/>
    <m/>
    <m/>
    <m/>
    <m/>
    <n v="84"/>
    <n v="92"/>
    <n v="345"/>
    <n v="352"/>
    <m/>
    <m/>
    <n v="1391"/>
    <n v="1607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165"/>
    <n v="26"/>
    <n v="168"/>
    <n v="51"/>
    <n v="117"/>
    <n v="51"/>
    <n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2"/>
    <n v="2"/>
    <n v="303"/>
    <n v="2"/>
    <n v="26"/>
    <n v="12"/>
    <n v="51"/>
    <n v="18"/>
    <n v="51"/>
    <n v="5"/>
    <n v="26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70588235294117652"/>
    <n v="35"/>
    <n v="2"/>
    <n v="0.51428571428571423"/>
    <n v="299"/>
    <n v="338"/>
    <m/>
    <m/>
    <m/>
    <n v="0"/>
    <m/>
    <m/>
    <m/>
    <m/>
    <m/>
    <m/>
    <m/>
    <m/>
    <n v="159"/>
    <n v="166"/>
    <m/>
    <m/>
    <m/>
    <m/>
    <m/>
    <m/>
    <n v="159"/>
    <n v="166"/>
    <m/>
    <m/>
    <n v="458"/>
    <n v="504"/>
  </r>
  <r>
    <x v="13"/>
    <s v="University of Texas Health Science Center at Houston"/>
    <m/>
    <n v="229300"/>
    <x v="11"/>
    <m/>
    <m/>
    <m/>
    <m/>
    <n v="2"/>
    <m/>
    <n v="5.8997050147492625E-3"/>
    <n v="0"/>
    <n v="339"/>
    <m/>
    <m/>
    <m/>
    <n v="0"/>
    <n v="384"/>
    <m/>
    <m/>
    <m/>
    <n v="0"/>
    <m/>
    <m/>
    <m/>
    <m/>
    <m/>
    <m/>
    <m/>
    <m/>
    <m/>
    <m/>
    <m/>
    <m/>
    <m/>
    <m/>
    <m/>
    <m/>
    <m/>
    <m/>
    <m/>
    <m/>
    <n v="0"/>
    <n v="0.27294685990338163"/>
    <n v="0"/>
    <n v="0.2711864406779661"/>
    <m/>
    <m/>
    <n v="51"/>
    <n v="351"/>
    <n v="51"/>
    <n v="450"/>
    <n v="26"/>
    <n v="93"/>
    <n v="26"/>
    <n v="118"/>
    <n v="14"/>
    <n v="9"/>
    <n v="14"/>
    <n v="4"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n v="24"/>
    <n v="453"/>
    <n v="3"/>
    <n v="597"/>
    <n v="4"/>
    <n v="26"/>
    <n v="79"/>
    <n v="26"/>
    <n v="89"/>
    <n v="51"/>
    <n v="32"/>
    <n v="51"/>
    <n v="24"/>
    <n v="30"/>
    <n v="6"/>
    <n v="44"/>
    <n v="12"/>
    <n v="44"/>
    <n v="5"/>
    <n v="14"/>
    <n v="8"/>
    <n v="3"/>
    <n v="3"/>
    <n v="30"/>
    <n v="7"/>
    <n v="14"/>
    <n v="1"/>
    <n v="3"/>
    <n v="2"/>
    <m/>
    <m/>
    <m/>
    <m/>
    <m/>
    <m/>
    <m/>
    <m/>
    <m/>
    <m/>
    <m/>
    <m/>
    <m/>
    <m/>
    <m/>
    <m/>
    <m/>
    <m/>
    <n v="126"/>
    <n v="6"/>
    <n v="0.62698412698412698"/>
    <n v="142"/>
    <n v="6"/>
    <n v="0.62676056338028174"/>
    <n v="579"/>
    <n v="739"/>
    <m/>
    <m/>
    <n v="241"/>
    <n v="214"/>
    <n v="81"/>
    <n v="79"/>
    <m/>
    <m/>
    <m/>
    <m/>
    <m/>
    <m/>
    <m/>
    <m/>
    <m/>
    <m/>
    <m/>
    <m/>
    <m/>
    <m/>
    <n v="322"/>
    <n v="293"/>
    <m/>
    <m/>
    <n v="1242"/>
    <n v="1416"/>
  </r>
  <r>
    <x v="13"/>
    <s v="University of Texas Health Science Center at San Antonio"/>
    <m/>
    <n v="228644"/>
    <x v="11"/>
    <m/>
    <m/>
    <m/>
    <m/>
    <n v="197"/>
    <n v="133"/>
    <n v="0.43680709534368073"/>
    <n v="0.28059071729957807"/>
    <n v="451"/>
    <m/>
    <m/>
    <m/>
    <n v="0"/>
    <n v="474"/>
    <m/>
    <m/>
    <m/>
    <n v="0"/>
    <m/>
    <m/>
    <m/>
    <m/>
    <m/>
    <m/>
    <m/>
    <m/>
    <m/>
    <m/>
    <m/>
    <m/>
    <m/>
    <m/>
    <m/>
    <m/>
    <m/>
    <m/>
    <m/>
    <m/>
    <n v="0"/>
    <n v="0.35879077167859985"/>
    <n v="0"/>
    <n v="0.3882063882063882"/>
    <m/>
    <m/>
    <n v="51"/>
    <n v="157"/>
    <n v="51"/>
    <n v="177"/>
    <n v="26"/>
    <n v="9"/>
    <n v="13"/>
    <n v="6"/>
    <n v="13"/>
    <n v="6"/>
    <n v="26"/>
    <n v="4"/>
    <n v="40"/>
    <n v="2"/>
    <n v="14"/>
    <n v="1"/>
    <m/>
    <m/>
    <m/>
    <m/>
    <m/>
    <m/>
    <m/>
    <m/>
    <m/>
    <m/>
    <m/>
    <m/>
    <m/>
    <m/>
    <m/>
    <m/>
    <m/>
    <m/>
    <m/>
    <m/>
    <m/>
    <m/>
    <m/>
    <m/>
    <n v="23"/>
    <n v="37"/>
    <n v="197"/>
    <n v="4"/>
    <n v="225"/>
    <n v="4"/>
    <n v="26"/>
    <n v="35"/>
    <n v="26"/>
    <n v="42"/>
    <n v="40"/>
    <n v="7"/>
    <n v="51"/>
    <n v="8"/>
    <n v="51"/>
    <n v="5"/>
    <n v="14"/>
    <n v="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4"/>
    <n v="0.7142857142857143"/>
    <n v="53"/>
    <n v="3"/>
    <n v="0.79245283018867929"/>
    <n v="246"/>
    <n v="278"/>
    <m/>
    <m/>
    <n v="216"/>
    <n v="207"/>
    <n v="107"/>
    <n v="92"/>
    <m/>
    <m/>
    <m/>
    <m/>
    <m/>
    <m/>
    <m/>
    <m/>
    <m/>
    <m/>
    <m/>
    <m/>
    <n v="40"/>
    <n v="37"/>
    <n v="363"/>
    <n v="336"/>
    <m/>
    <m/>
    <n v="1257"/>
    <n v="1221"/>
  </r>
  <r>
    <x v="13"/>
    <s v="University of Texas M.D. Anderson Cancer Center"/>
    <m/>
    <n v="416801"/>
    <x v="11"/>
    <m/>
    <m/>
    <m/>
    <m/>
    <m/>
    <m/>
    <n v="0"/>
    <n v="0"/>
    <n v="109"/>
    <m/>
    <m/>
    <m/>
    <n v="0"/>
    <n v="141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"/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"/>
    <n v="141"/>
  </r>
  <r>
    <x v="13"/>
    <s v="University of Texas Medical Branch at Galveston"/>
    <m/>
    <n v="228653"/>
    <x v="11"/>
    <m/>
    <m/>
    <m/>
    <m/>
    <m/>
    <m/>
    <n v="0"/>
    <n v="0"/>
    <n v="328"/>
    <m/>
    <m/>
    <m/>
    <n v="0"/>
    <n v="390"/>
    <m/>
    <m/>
    <m/>
    <n v="0"/>
    <m/>
    <m/>
    <m/>
    <m/>
    <m/>
    <m/>
    <m/>
    <m/>
    <m/>
    <m/>
    <m/>
    <m/>
    <m/>
    <m/>
    <m/>
    <m/>
    <m/>
    <m/>
    <m/>
    <m/>
    <n v="0"/>
    <n v="0.39854191980558928"/>
    <n v="0"/>
    <n v="0.3651685393258427"/>
    <m/>
    <m/>
    <n v="51"/>
    <n v="173"/>
    <n v="51"/>
    <n v="258"/>
    <n v="26"/>
    <n v="1"/>
    <n v="26"/>
    <n v="3"/>
    <n v="30"/>
    <n v="1"/>
    <n v="30"/>
    <n v="3"/>
    <m/>
    <m/>
    <n v="0"/>
    <n v="0"/>
    <m/>
    <m/>
    <m/>
    <m/>
    <m/>
    <m/>
    <m/>
    <m/>
    <m/>
    <m/>
    <m/>
    <m/>
    <m/>
    <m/>
    <m/>
    <m/>
    <m/>
    <m/>
    <m/>
    <m/>
    <m/>
    <m/>
    <m/>
    <m/>
    <n v="7"/>
    <n v="74"/>
    <n v="182"/>
    <n v="3"/>
    <n v="338"/>
    <n v="4"/>
    <n v="26"/>
    <n v="34"/>
    <n v="26"/>
    <n v="32"/>
    <n v="51"/>
    <n v="11"/>
    <n v="5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0.75555555555555554"/>
    <n v="40"/>
    <n v="2"/>
    <n v="0.8"/>
    <n v="227"/>
    <n v="378"/>
    <m/>
    <m/>
    <n v="215"/>
    <n v="237"/>
    <m/>
    <m/>
    <m/>
    <m/>
    <m/>
    <m/>
    <m/>
    <m/>
    <m/>
    <m/>
    <m/>
    <m/>
    <m/>
    <m/>
    <n v="53"/>
    <n v="63"/>
    <n v="268"/>
    <n v="300"/>
    <m/>
    <m/>
    <n v="823"/>
    <n v="1068"/>
  </r>
  <r>
    <x v="13"/>
    <s v="University of Texas Southwestern Medical Center at Dallas"/>
    <m/>
    <n v="228635"/>
    <x v="11"/>
    <m/>
    <m/>
    <m/>
    <m/>
    <m/>
    <m/>
    <n v="0"/>
    <n v="0"/>
    <n v="33"/>
    <m/>
    <m/>
    <m/>
    <n v="0"/>
    <n v="14"/>
    <m/>
    <m/>
    <m/>
    <n v="0"/>
    <m/>
    <m/>
    <m/>
    <m/>
    <m/>
    <m/>
    <m/>
    <m/>
    <m/>
    <m/>
    <m/>
    <m/>
    <m/>
    <m/>
    <m/>
    <m/>
    <m/>
    <m/>
    <m/>
    <m/>
    <n v="0"/>
    <n v="5.2380952380952382E-2"/>
    <n v="0"/>
    <n v="2.1052631578947368E-2"/>
    <m/>
    <m/>
    <n v="51"/>
    <n v="63"/>
    <n v="51"/>
    <n v="85"/>
    <n v="26"/>
    <n v="5"/>
    <n v="2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9"/>
    <n v="185"/>
    <n v="277"/>
    <n v="2"/>
    <n v="279"/>
    <n v="2"/>
    <n v="26"/>
    <n v="66"/>
    <n v="26"/>
    <n v="88"/>
    <n v="42"/>
    <n v="8"/>
    <n v="42"/>
    <n v="17"/>
    <n v="14"/>
    <n v="1"/>
    <n v="1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3"/>
    <n v="0.88"/>
    <n v="110"/>
    <n v="3"/>
    <n v="0.8"/>
    <n v="352"/>
    <n v="389"/>
    <m/>
    <m/>
    <n v="207"/>
    <n v="227"/>
    <m/>
    <m/>
    <m/>
    <m/>
    <m/>
    <m/>
    <m/>
    <m/>
    <m/>
    <m/>
    <m/>
    <m/>
    <m/>
    <m/>
    <n v="38"/>
    <n v="35"/>
    <n v="245"/>
    <n v="262"/>
    <m/>
    <m/>
    <n v="630"/>
    <n v="665"/>
  </r>
  <r>
    <x v="13"/>
    <s v="University of North Texas at Dallas"/>
    <s v="New fall 2009. No degrees yet granted."/>
    <s v="???"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14"/>
    <s v="George Mason University "/>
    <m/>
    <n v="232186"/>
    <x v="0"/>
    <n v="0"/>
    <n v="0"/>
    <m/>
    <m/>
    <n v="0"/>
    <n v="0"/>
    <n v="0"/>
    <n v="0"/>
    <n v="4255"/>
    <m/>
    <m/>
    <n v="60"/>
    <n v="60"/>
    <n v="4718"/>
    <m/>
    <m/>
    <n v="60"/>
    <n v="60"/>
    <m/>
    <m/>
    <m/>
    <m/>
    <m/>
    <m/>
    <m/>
    <m/>
    <m/>
    <m/>
    <m/>
    <m/>
    <m/>
    <m/>
    <m/>
    <m/>
    <m/>
    <m/>
    <m/>
    <m/>
    <n v="0"/>
    <n v="0.52511415525114158"/>
    <n v="0"/>
    <n v="0.54949918471931047"/>
    <n v="545"/>
    <n v="541"/>
    <n v="13"/>
    <n v="838"/>
    <n v="13"/>
    <n v="752"/>
    <n v="52"/>
    <n v="312"/>
    <n v="44"/>
    <n v="305"/>
    <n v="44"/>
    <n v="302"/>
    <n v="11"/>
    <n v="262"/>
    <n v="30"/>
    <n v="283"/>
    <n v="30"/>
    <n v="242"/>
    <n v="11"/>
    <n v="241"/>
    <n v="51"/>
    <n v="239"/>
    <n v="45"/>
    <n v="213"/>
    <n v="52"/>
    <n v="233"/>
    <n v="51"/>
    <n v="185"/>
    <n v="45"/>
    <n v="202"/>
    <n v="14"/>
    <n v="143"/>
    <n v="14"/>
    <n v="170"/>
    <n v="23"/>
    <n v="82"/>
    <n v="23"/>
    <n v="100"/>
    <n v="50"/>
    <n v="67"/>
    <n v="42"/>
    <n v="84"/>
    <n v="275"/>
    <n v="310"/>
    <n v="2941"/>
    <n v="10"/>
    <n v="2899"/>
    <n v="10"/>
    <n v="30"/>
    <n v="28"/>
    <n v="30"/>
    <n v="29"/>
    <n v="26"/>
    <n v="27"/>
    <n v="11"/>
    <n v="21"/>
    <n v="42"/>
    <n v="24"/>
    <n v="42"/>
    <n v="20"/>
    <n v="13"/>
    <n v="21"/>
    <n v="13"/>
    <n v="18"/>
    <n v="45"/>
    <n v="21"/>
    <n v="3"/>
    <n v="17"/>
    <n v="11"/>
    <n v="18"/>
    <n v="40"/>
    <n v="17"/>
    <n v="40"/>
    <n v="16"/>
    <n v="51"/>
    <n v="17"/>
    <n v="44"/>
    <n v="12"/>
    <n v="44"/>
    <n v="13"/>
    <n v="14"/>
    <n v="7"/>
    <n v="45"/>
    <n v="12"/>
    <n v="54"/>
    <n v="6"/>
    <n v="26"/>
    <n v="12"/>
    <n v="14"/>
    <n v="36"/>
    <n v="194"/>
    <n v="10"/>
    <n v="0.14432989690721648"/>
    <n v="212"/>
    <n v="10"/>
    <n v="0.13679245283018868"/>
    <n v="3135"/>
    <n v="3111"/>
    <n v="168"/>
    <n v="216"/>
    <m/>
    <n v="0"/>
    <m/>
    <n v="0"/>
    <m/>
    <n v="0"/>
    <m/>
    <m/>
    <m/>
    <m/>
    <m/>
    <m/>
    <m/>
    <m/>
    <m/>
    <m/>
    <m/>
    <m/>
    <n v="168"/>
    <n v="216"/>
    <m/>
    <m/>
    <n v="8103"/>
    <n v="8586"/>
  </r>
  <r>
    <x v="14"/>
    <s v="Old Dominion University "/>
    <m/>
    <n v="232982"/>
    <x v="0"/>
    <n v="0"/>
    <n v="0"/>
    <m/>
    <m/>
    <n v="0"/>
    <n v="0"/>
    <n v="0"/>
    <n v="0"/>
    <n v="3179"/>
    <m/>
    <m/>
    <n v="201"/>
    <n v="201"/>
    <n v="3715"/>
    <m/>
    <m/>
    <n v="277"/>
    <n v="277"/>
    <m/>
    <m/>
    <m/>
    <m/>
    <m/>
    <m/>
    <m/>
    <m/>
    <m/>
    <m/>
    <m/>
    <m/>
    <m/>
    <m/>
    <m/>
    <m/>
    <m/>
    <m/>
    <m/>
    <m/>
    <n v="0"/>
    <n v="0.69033659066232356"/>
    <n v="0"/>
    <n v="0.73158723907050016"/>
    <n v="0"/>
    <n v="0"/>
    <n v="13"/>
    <n v="538"/>
    <n v="13"/>
    <n v="501"/>
    <n v="14"/>
    <n v="179"/>
    <n v="14"/>
    <n v="166"/>
    <n v="51"/>
    <n v="136"/>
    <n v="51"/>
    <n v="148"/>
    <n v="52"/>
    <n v="112"/>
    <n v="52"/>
    <n v="121"/>
    <n v="44"/>
    <n v="54"/>
    <n v="44"/>
    <n v="49"/>
    <n v="23"/>
    <n v="44"/>
    <n v="45"/>
    <n v="38"/>
    <n v="11"/>
    <n v="44"/>
    <n v="23"/>
    <n v="35"/>
    <n v="45"/>
    <n v="36"/>
    <n v="11"/>
    <n v="32"/>
    <n v="54"/>
    <n v="22"/>
    <n v="40"/>
    <n v="17"/>
    <n v="26"/>
    <n v="18"/>
    <n v="26"/>
    <n v="15"/>
    <n v="43"/>
    <n v="33"/>
    <n v="1226"/>
    <n v="10"/>
    <n v="1155"/>
    <n v="10"/>
    <n v="51"/>
    <n v="72"/>
    <n v="51"/>
    <n v="65"/>
    <n v="13"/>
    <n v="39"/>
    <n v="13"/>
    <n v="53"/>
    <n v="14"/>
    <n v="38"/>
    <n v="14"/>
    <n v="42"/>
    <n v="40"/>
    <n v="14"/>
    <n v="40"/>
    <n v="10"/>
    <n v="27"/>
    <n v="10"/>
    <n v="42"/>
    <n v="8"/>
    <n v="42"/>
    <n v="8"/>
    <n v="26"/>
    <n v="8"/>
    <n v="52"/>
    <n v="7"/>
    <n v="52"/>
    <n v="6"/>
    <n v="23"/>
    <n v="3"/>
    <n v="23"/>
    <n v="5"/>
    <n v="11"/>
    <n v="3"/>
    <n v="45"/>
    <n v="4"/>
    <n v="45"/>
    <n v="2"/>
    <n v="27"/>
    <n v="3"/>
    <n v="4"/>
    <n v="4"/>
    <n v="200"/>
    <n v="10"/>
    <n v="0.36"/>
    <n v="208"/>
    <n v="10"/>
    <n v="0.3125"/>
    <n v="1426"/>
    <n v="1363"/>
    <m/>
    <m/>
    <m/>
    <m/>
    <m/>
    <m/>
    <m/>
    <m/>
    <m/>
    <m/>
    <m/>
    <m/>
    <m/>
    <m/>
    <m/>
    <m/>
    <m/>
    <m/>
    <m/>
    <m/>
    <n v="0"/>
    <n v="0"/>
    <m/>
    <m/>
    <n v="4605"/>
    <n v="5078"/>
  </r>
  <r>
    <x v="14"/>
    <s v="University of Virginia"/>
    <m/>
    <n v="234076"/>
    <x v="0"/>
    <n v="0"/>
    <n v="0"/>
    <m/>
    <m/>
    <n v="0"/>
    <n v="0"/>
    <n v="0"/>
    <n v="0"/>
    <n v="3637"/>
    <m/>
    <m/>
    <n v="10"/>
    <n v="10"/>
    <n v="3726"/>
    <m/>
    <m/>
    <n v="6"/>
    <n v="6"/>
    <m/>
    <m/>
    <m/>
    <m/>
    <m/>
    <m/>
    <m/>
    <m/>
    <m/>
    <m/>
    <m/>
    <m/>
    <m/>
    <m/>
    <m/>
    <m/>
    <m/>
    <m/>
    <m/>
    <m/>
    <n v="0"/>
    <n v="0.58491476358957861"/>
    <n v="0"/>
    <n v="0.57794322940902743"/>
    <n v="0"/>
    <n v="42"/>
    <n v="52"/>
    <n v="629"/>
    <n v="52"/>
    <n v="650"/>
    <n v="13"/>
    <n v="290"/>
    <n v="13"/>
    <n v="282"/>
    <n v="14"/>
    <n v="121"/>
    <n v="51"/>
    <n v="203"/>
    <n v="51"/>
    <n v="119"/>
    <n v="14"/>
    <n v="117"/>
    <n v="4"/>
    <n v="78"/>
    <n v="4"/>
    <n v="82"/>
    <n v="42"/>
    <n v="66"/>
    <n v="42"/>
    <n v="54"/>
    <n v="23"/>
    <n v="45"/>
    <n v="45"/>
    <n v="52"/>
    <n v="45"/>
    <n v="42"/>
    <n v="40"/>
    <n v="45"/>
    <n v="31"/>
    <n v="36"/>
    <n v="23"/>
    <n v="37"/>
    <n v="40"/>
    <n v="30"/>
    <n v="22"/>
    <n v="35"/>
    <n v="192"/>
    <n v="218"/>
    <n v="1648"/>
    <n v="10"/>
    <n v="1775"/>
    <n v="10"/>
    <n v="14"/>
    <n v="84"/>
    <n v="14"/>
    <n v="67"/>
    <n v="13"/>
    <n v="83"/>
    <n v="26"/>
    <n v="55"/>
    <n v="26"/>
    <n v="61"/>
    <n v="13"/>
    <n v="46"/>
    <n v="40"/>
    <n v="44"/>
    <n v="45"/>
    <n v="44"/>
    <n v="42"/>
    <n v="25"/>
    <n v="40"/>
    <n v="32"/>
    <n v="45"/>
    <n v="24"/>
    <n v="51"/>
    <n v="23"/>
    <n v="51"/>
    <n v="15"/>
    <n v="42"/>
    <n v="20"/>
    <n v="38"/>
    <n v="13"/>
    <n v="38"/>
    <n v="17"/>
    <n v="54"/>
    <n v="13"/>
    <n v="11"/>
    <n v="17"/>
    <n v="23"/>
    <n v="12"/>
    <n v="23"/>
    <n v="15"/>
    <n v="47"/>
    <n v="57"/>
    <n v="421"/>
    <n v="10"/>
    <n v="0.1995249406175772"/>
    <n v="393"/>
    <n v="10"/>
    <n v="0.17048346055979643"/>
    <n v="2069"/>
    <n v="2168"/>
    <n v="376"/>
    <n v="361"/>
    <n v="136"/>
    <n v="150"/>
    <m/>
    <n v="0"/>
    <m/>
    <n v="0"/>
    <m/>
    <m/>
    <m/>
    <m/>
    <m/>
    <m/>
    <m/>
    <m/>
    <m/>
    <m/>
    <m/>
    <m/>
    <n v="512"/>
    <n v="511"/>
    <m/>
    <m/>
    <n v="6218"/>
    <n v="6447"/>
  </r>
  <r>
    <x v="14"/>
    <s v="Virginia Tech "/>
    <m/>
    <n v="233921"/>
    <x v="0"/>
    <n v="0"/>
    <n v="0"/>
    <m/>
    <m/>
    <n v="43"/>
    <n v="50"/>
    <n v="7.5372480280455744E-3"/>
    <n v="8.5836909871244635E-3"/>
    <n v="5705"/>
    <m/>
    <m/>
    <n v="0"/>
    <n v="0"/>
    <n v="5825"/>
    <m/>
    <m/>
    <n v="0"/>
    <n v="0"/>
    <m/>
    <m/>
    <m/>
    <m/>
    <m/>
    <m/>
    <m/>
    <m/>
    <m/>
    <m/>
    <m/>
    <m/>
    <m/>
    <m/>
    <m/>
    <m/>
    <m/>
    <m/>
    <m/>
    <m/>
    <n v="0"/>
    <n v="0.73009982083439984"/>
    <n v="0"/>
    <n v="0.72198810114030743"/>
    <n v="0"/>
    <n v="0"/>
    <n v="14"/>
    <n v="410"/>
    <n v="14"/>
    <n v="431"/>
    <n v="13"/>
    <n v="322"/>
    <n v="52"/>
    <n v="302"/>
    <n v="52"/>
    <n v="241"/>
    <n v="13"/>
    <n v="267"/>
    <n v="11"/>
    <n v="123"/>
    <n v="4"/>
    <n v="126"/>
    <n v="4"/>
    <n v="115"/>
    <n v="11"/>
    <n v="123"/>
    <n v="45"/>
    <n v="48"/>
    <n v="1"/>
    <n v="64"/>
    <n v="27"/>
    <n v="46"/>
    <n v="3"/>
    <n v="61"/>
    <n v="3"/>
    <n v="37"/>
    <n v="45"/>
    <n v="43"/>
    <n v="40"/>
    <n v="34"/>
    <n v="51"/>
    <n v="29"/>
    <n v="1"/>
    <n v="33"/>
    <n v="19"/>
    <n v="29"/>
    <n v="158"/>
    <n v="158"/>
    <n v="1567"/>
    <n v="10"/>
    <n v="1633"/>
    <n v="10"/>
    <n v="14"/>
    <n v="145"/>
    <n v="14"/>
    <n v="163"/>
    <n v="13"/>
    <n v="57"/>
    <n v="13"/>
    <n v="56"/>
    <n v="26"/>
    <n v="37"/>
    <n v="26"/>
    <n v="41"/>
    <n v="40"/>
    <n v="36"/>
    <n v="40"/>
    <n v="40"/>
    <n v="45"/>
    <n v="18"/>
    <n v="45"/>
    <n v="25"/>
    <n v="3"/>
    <n v="17"/>
    <n v="27"/>
    <n v="21"/>
    <n v="11"/>
    <n v="16"/>
    <n v="19"/>
    <n v="17"/>
    <n v="27"/>
    <n v="16"/>
    <n v="11"/>
    <n v="16"/>
    <n v="19"/>
    <n v="15"/>
    <n v="1"/>
    <n v="16"/>
    <n v="1"/>
    <n v="13"/>
    <n v="52"/>
    <n v="16"/>
    <n v="44"/>
    <n v="58"/>
    <n v="414"/>
    <n v="10"/>
    <n v="0.35024154589371981"/>
    <n v="469"/>
    <n v="10"/>
    <n v="0.34754797441364604"/>
    <n v="1981"/>
    <n v="2102"/>
    <n v="0"/>
    <n v="0"/>
    <m/>
    <n v="0"/>
    <m/>
    <n v="0"/>
    <m/>
    <n v="0"/>
    <m/>
    <m/>
    <m/>
    <m/>
    <m/>
    <m/>
    <n v="85"/>
    <n v="91"/>
    <m/>
    <m/>
    <m/>
    <m/>
    <n v="85"/>
    <n v="91"/>
    <m/>
    <m/>
    <n v="7814"/>
    <n v="8068"/>
  </r>
  <r>
    <x v="14"/>
    <s v="College of William &amp; Mary"/>
    <m/>
    <n v="231624"/>
    <x v="1"/>
    <n v="0"/>
    <n v="0"/>
    <m/>
    <m/>
    <n v="0"/>
    <n v="0"/>
    <n v="0"/>
    <n v="0"/>
    <n v="1497"/>
    <m/>
    <m/>
    <n v="32"/>
    <n v="32"/>
    <n v="1460"/>
    <m/>
    <m/>
    <n v="22"/>
    <n v="22"/>
    <m/>
    <m/>
    <m/>
    <m/>
    <m/>
    <m/>
    <m/>
    <m/>
    <m/>
    <m/>
    <m/>
    <m/>
    <m/>
    <m/>
    <m/>
    <m/>
    <m/>
    <m/>
    <m/>
    <m/>
    <n v="0"/>
    <n v="0.64166309472781824"/>
    <n v="0"/>
    <n v="0.63258232235701906"/>
    <n v="0"/>
    <n v="0"/>
    <n v="52"/>
    <n v="283"/>
    <n v="52"/>
    <n v="292"/>
    <n v="13"/>
    <n v="139"/>
    <n v="13"/>
    <n v="126"/>
    <n v="42"/>
    <n v="26"/>
    <n v="42"/>
    <n v="30"/>
    <n v="54"/>
    <n v="22"/>
    <n v="22"/>
    <n v="28"/>
    <n v="44"/>
    <n v="19"/>
    <n v="11"/>
    <n v="26"/>
    <n v="22"/>
    <n v="19"/>
    <n v="26"/>
    <n v="23"/>
    <n v="11"/>
    <n v="18"/>
    <n v="44"/>
    <n v="19"/>
    <n v="40"/>
    <n v="17"/>
    <n v="40"/>
    <n v="16"/>
    <n v="26"/>
    <n v="17"/>
    <n v="54"/>
    <n v="15"/>
    <n v="5"/>
    <n v="9"/>
    <n v="45"/>
    <n v="6"/>
    <n v="9"/>
    <n v="7"/>
    <n v="578"/>
    <n v="10"/>
    <n v="588"/>
    <n v="10"/>
    <n v="13"/>
    <n v="15"/>
    <n v="13"/>
    <n v="24"/>
    <n v="40"/>
    <n v="12"/>
    <n v="54"/>
    <n v="7"/>
    <n v="26"/>
    <n v="12"/>
    <n v="40"/>
    <n v="6"/>
    <n v="5"/>
    <n v="4"/>
    <n v="26"/>
    <n v="6"/>
    <n v="11"/>
    <n v="3"/>
    <n v="11"/>
    <n v="6"/>
    <n v="54"/>
    <n v="3"/>
    <n v="5"/>
    <n v="4"/>
    <n v="42"/>
    <n v="2"/>
    <n v="30"/>
    <n v="2"/>
    <n v="30"/>
    <n v="2"/>
    <n v="0"/>
    <n v="0"/>
    <n v="0"/>
    <n v="0"/>
    <n v="0"/>
    <n v="0"/>
    <n v="0"/>
    <n v="0"/>
    <n v="0"/>
    <n v="0"/>
    <n v="0"/>
    <n v="0"/>
    <n v="53"/>
    <n v="10"/>
    <n v="0.28301886792452829"/>
    <n v="55"/>
    <n v="10"/>
    <n v="0.43636363636363634"/>
    <n v="631"/>
    <n v="643"/>
    <n v="205"/>
    <n v="205"/>
    <m/>
    <n v="0"/>
    <m/>
    <n v="0"/>
    <m/>
    <n v="0"/>
    <m/>
    <m/>
    <m/>
    <m/>
    <m/>
    <m/>
    <m/>
    <m/>
    <m/>
    <m/>
    <m/>
    <m/>
    <n v="205"/>
    <n v="205"/>
    <m/>
    <m/>
    <n v="2333"/>
    <n v="2308"/>
  </r>
  <r>
    <x v="14"/>
    <s v="Virginia Commonwealth University"/>
    <m/>
    <n v="234030"/>
    <x v="1"/>
    <n v="0"/>
    <n v="0"/>
    <m/>
    <m/>
    <n v="0"/>
    <n v="0"/>
    <n v="0"/>
    <n v="0"/>
    <n v="4374"/>
    <m/>
    <m/>
    <n v="172"/>
    <n v="172"/>
    <n v="4658"/>
    <m/>
    <m/>
    <n v="188"/>
    <n v="188"/>
    <m/>
    <m/>
    <m/>
    <m/>
    <m/>
    <m/>
    <m/>
    <m/>
    <m/>
    <m/>
    <m/>
    <m/>
    <m/>
    <m/>
    <m/>
    <m/>
    <m/>
    <m/>
    <m/>
    <m/>
    <n v="0"/>
    <n v="0.60970170058544748"/>
    <n v="0"/>
    <n v="0.62658057573311809"/>
    <n v="212"/>
    <n v="224"/>
    <n v="13"/>
    <n v="450"/>
    <n v="13"/>
    <n v="363"/>
    <n v="51"/>
    <n v="319"/>
    <n v="51"/>
    <n v="357"/>
    <n v="44"/>
    <n v="247"/>
    <n v="44"/>
    <n v="246"/>
    <n v="52"/>
    <n v="208"/>
    <n v="52"/>
    <n v="237"/>
    <n v="9"/>
    <n v="127"/>
    <n v="9"/>
    <n v="125"/>
    <n v="50"/>
    <n v="76"/>
    <n v="50"/>
    <n v="63"/>
    <n v="26"/>
    <n v="62"/>
    <n v="26"/>
    <n v="59"/>
    <n v="43"/>
    <n v="61"/>
    <n v="11"/>
    <n v="53"/>
    <n v="31"/>
    <n v="45"/>
    <n v="43"/>
    <n v="53"/>
    <n v="14"/>
    <n v="43"/>
    <n v="45"/>
    <n v="41"/>
    <n v="220"/>
    <n v="207"/>
    <n v="1858"/>
    <n v="10"/>
    <n v="1804"/>
    <n v="10"/>
    <n v="51"/>
    <n v="160"/>
    <n v="51"/>
    <n v="174"/>
    <n v="26"/>
    <n v="47"/>
    <n v="26"/>
    <n v="48"/>
    <n v="13"/>
    <n v="45"/>
    <n v="14"/>
    <n v="28"/>
    <n v="42"/>
    <n v="24"/>
    <n v="13"/>
    <n v="23"/>
    <n v="44"/>
    <n v="20"/>
    <n v="42"/>
    <n v="16"/>
    <n v="14"/>
    <n v="14"/>
    <n v="44"/>
    <n v="15"/>
    <n v="40"/>
    <n v="10"/>
    <n v="40"/>
    <n v="10"/>
    <n v="50"/>
    <n v="4"/>
    <n v="52"/>
    <n v="9"/>
    <n v="52"/>
    <n v="3"/>
    <n v="30"/>
    <n v="8"/>
    <n v="30"/>
    <n v="2"/>
    <n v="15"/>
    <n v="1"/>
    <n v="0"/>
    <n v="1"/>
    <n v="329"/>
    <n v="10"/>
    <n v="0.48632218844984804"/>
    <n v="333"/>
    <n v="10"/>
    <n v="0.52252252252252251"/>
    <n v="2187"/>
    <n v="2137"/>
    <m/>
    <n v="0"/>
    <n v="176"/>
    <n v="187"/>
    <n v="89"/>
    <n v="104"/>
    <n v="136"/>
    <n v="124"/>
    <m/>
    <m/>
    <m/>
    <m/>
    <m/>
    <m/>
    <m/>
    <m/>
    <m/>
    <m/>
    <m/>
    <m/>
    <n v="401"/>
    <n v="415"/>
    <m/>
    <m/>
    <n v="7174"/>
    <n v="7434"/>
  </r>
  <r>
    <x v="14"/>
    <s v="James Madison University"/>
    <m/>
    <n v="232423"/>
    <x v="2"/>
    <n v="0"/>
    <n v="0"/>
    <m/>
    <m/>
    <n v="0"/>
    <n v="0"/>
    <n v="0"/>
    <n v="0"/>
    <n v="3877"/>
    <m/>
    <m/>
    <n v="396"/>
    <n v="396"/>
    <n v="4096"/>
    <m/>
    <m/>
    <n v="401"/>
    <n v="401"/>
    <m/>
    <m/>
    <m/>
    <m/>
    <m/>
    <m/>
    <m/>
    <m/>
    <m/>
    <m/>
    <m/>
    <m/>
    <m/>
    <m/>
    <m/>
    <m/>
    <m/>
    <m/>
    <m/>
    <m/>
    <n v="0"/>
    <n v="0.84136284722222221"/>
    <n v="0"/>
    <n v="0.83455582722086386"/>
    <n v="0"/>
    <n v="0"/>
    <n v="13"/>
    <n v="343"/>
    <n v="13"/>
    <n v="366"/>
    <n v="51"/>
    <n v="92"/>
    <n v="52"/>
    <n v="126"/>
    <n v="52"/>
    <n v="79"/>
    <n v="51"/>
    <n v="101"/>
    <n v="31"/>
    <n v="42"/>
    <n v="31"/>
    <n v="56"/>
    <n v="30"/>
    <n v="26"/>
    <n v="42"/>
    <n v="24"/>
    <n v="44"/>
    <n v="25"/>
    <n v="45"/>
    <n v="21"/>
    <n v="11"/>
    <n v="20"/>
    <n v="44"/>
    <n v="20"/>
    <n v="42"/>
    <n v="17"/>
    <n v="11"/>
    <n v="17"/>
    <n v="23"/>
    <n v="17"/>
    <n v="30"/>
    <n v="17"/>
    <n v="45"/>
    <n v="16"/>
    <n v="50"/>
    <n v="16"/>
    <n v="36"/>
    <n v="35"/>
    <n v="713"/>
    <n v="10"/>
    <n v="799"/>
    <n v="10"/>
    <n v="42"/>
    <n v="9"/>
    <n v="51"/>
    <n v="6"/>
    <n v="50"/>
    <n v="6"/>
    <n v="50"/>
    <n v="4"/>
    <n v="51"/>
    <n v="3"/>
    <n v="4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"/>
    <n v="10"/>
    <n v="0.5"/>
    <n v="13"/>
    <n v="10"/>
    <n v="0.46153846153846156"/>
    <n v="731"/>
    <n v="812"/>
    <m/>
    <m/>
    <m/>
    <m/>
    <m/>
    <m/>
    <m/>
    <m/>
    <m/>
    <m/>
    <m/>
    <m/>
    <m/>
    <m/>
    <m/>
    <m/>
    <m/>
    <m/>
    <m/>
    <m/>
    <n v="0"/>
    <n v="0"/>
    <m/>
    <m/>
    <n v="4608"/>
    <n v="4908"/>
  </r>
  <r>
    <x v="14"/>
    <s v="Norfolk State University "/>
    <m/>
    <n v="232937"/>
    <x v="2"/>
    <n v="0"/>
    <n v="0"/>
    <m/>
    <m/>
    <n v="79"/>
    <n v="77"/>
    <n v="0.10851648351648352"/>
    <n v="9.4710947109471089E-2"/>
    <n v="728"/>
    <m/>
    <m/>
    <n v="53"/>
    <n v="53"/>
    <n v="813"/>
    <m/>
    <m/>
    <n v="67"/>
    <n v="67"/>
    <m/>
    <m/>
    <m/>
    <m/>
    <m/>
    <m/>
    <m/>
    <m/>
    <m/>
    <m/>
    <m/>
    <m/>
    <m/>
    <m/>
    <m/>
    <m/>
    <m/>
    <m/>
    <m/>
    <m/>
    <n v="0"/>
    <n v="0.70817120622568097"/>
    <n v="0"/>
    <n v="0.70328719723183386"/>
    <n v="0"/>
    <n v="0"/>
    <n v="13"/>
    <n v="90"/>
    <n v="13"/>
    <n v="95"/>
    <n v="44"/>
    <n v="53"/>
    <n v="44"/>
    <n v="68"/>
    <n v="9"/>
    <n v="19"/>
    <n v="42"/>
    <n v="21"/>
    <n v="43"/>
    <n v="13"/>
    <n v="11"/>
    <n v="20"/>
    <n v="50"/>
    <n v="11"/>
    <n v="43"/>
    <n v="15"/>
    <n v="14"/>
    <n v="11"/>
    <n v="14"/>
    <n v="12"/>
    <n v="11"/>
    <n v="10"/>
    <n v="45"/>
    <n v="11"/>
    <n v="42"/>
    <n v="6"/>
    <n v="50"/>
    <n v="9"/>
    <n v="45"/>
    <n v="5"/>
    <n v="9"/>
    <n v="8"/>
    <n v="40"/>
    <n v="1"/>
    <n v="40"/>
    <n v="2"/>
    <n v="0"/>
    <m/>
    <n v="219"/>
    <n v="10"/>
    <n v="261"/>
    <n v="10"/>
    <n v="44"/>
    <n v="2"/>
    <n v="40"/>
    <n v="4"/>
    <n v="0"/>
    <n v="0"/>
    <n v="4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"/>
    <n v="10"/>
    <n v="1"/>
    <n v="5"/>
    <n v="10"/>
    <n v="0.8"/>
    <n v="221"/>
    <n v="266"/>
    <m/>
    <m/>
    <m/>
    <m/>
    <m/>
    <m/>
    <m/>
    <m/>
    <m/>
    <m/>
    <m/>
    <m/>
    <m/>
    <m/>
    <m/>
    <m/>
    <m/>
    <m/>
    <m/>
    <m/>
    <n v="0"/>
    <n v="0"/>
    <m/>
    <m/>
    <n v="1028"/>
    <n v="1156"/>
  </r>
  <r>
    <x v="14"/>
    <s v="Longwood University "/>
    <s v="Met the criteria for Four-Year 3 in 2011-12 and 2012-13."/>
    <n v="232566"/>
    <x v="3"/>
    <n v="1"/>
    <n v="0"/>
    <m/>
    <m/>
    <n v="0"/>
    <n v="0"/>
    <n v="0"/>
    <n v="0"/>
    <n v="820"/>
    <m/>
    <m/>
    <n v="174"/>
    <n v="174"/>
    <n v="872"/>
    <m/>
    <m/>
    <n v="195"/>
    <n v="195"/>
    <m/>
    <m/>
    <m/>
    <m/>
    <m/>
    <m/>
    <m/>
    <m/>
    <m/>
    <m/>
    <m/>
    <m/>
    <m/>
    <m/>
    <m/>
    <m/>
    <m/>
    <m/>
    <m/>
    <m/>
    <n v="0"/>
    <n v="0.81754735792622135"/>
    <n v="0"/>
    <n v="0.83444976076555022"/>
    <n v="0"/>
    <n v="0"/>
    <n v="13"/>
    <n v="126"/>
    <n v="13"/>
    <n v="120"/>
    <n v="51"/>
    <n v="20"/>
    <n v="91"/>
    <n v="17"/>
    <n v="91"/>
    <n v="14"/>
    <n v="51"/>
    <n v="15"/>
    <n v="23"/>
    <n v="10"/>
    <n v="23"/>
    <n v="12"/>
    <n v="45"/>
    <n v="5"/>
    <n v="52"/>
    <n v="3"/>
    <n v="52"/>
    <n v="1"/>
    <n v="4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m/>
    <n v="176"/>
    <n v="10"/>
    <n v="168"/>
    <n v="10"/>
    <n v="13"/>
    <n v="6"/>
    <n v="5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"/>
    <n v="10"/>
    <n v="1"/>
    <n v="5"/>
    <n v="10"/>
    <n v="1"/>
    <n v="182"/>
    <n v="173"/>
    <m/>
    <m/>
    <m/>
    <m/>
    <m/>
    <m/>
    <m/>
    <m/>
    <m/>
    <m/>
    <m/>
    <m/>
    <m/>
    <m/>
    <m/>
    <m/>
    <m/>
    <m/>
    <m/>
    <m/>
    <n v="0"/>
    <n v="0"/>
    <m/>
    <m/>
    <n v="1003"/>
    <n v="1045"/>
  </r>
  <r>
    <x v="14"/>
    <s v="Radford University"/>
    <s v="Met the criteria for Four-Year 3 in 2011-12 and 2012-13."/>
    <n v="233277"/>
    <x v="3"/>
    <n v="0"/>
    <n v="17"/>
    <m/>
    <m/>
    <n v="11"/>
    <n v="0"/>
    <n v="6.3768115942028983E-3"/>
    <n v="0"/>
    <n v="1725"/>
    <m/>
    <m/>
    <n v="19"/>
    <n v="19"/>
    <n v="1818"/>
    <m/>
    <m/>
    <n v="181"/>
    <n v="181"/>
    <m/>
    <m/>
    <m/>
    <m/>
    <m/>
    <m/>
    <m/>
    <m/>
    <m/>
    <m/>
    <m/>
    <m/>
    <m/>
    <m/>
    <m/>
    <m/>
    <m/>
    <m/>
    <m/>
    <m/>
    <n v="0"/>
    <n v="0.8110014104372355"/>
    <n v="0"/>
    <n v="0.78294573643410847"/>
    <n v="18"/>
    <n v="28"/>
    <n v="13"/>
    <n v="189"/>
    <n v="13"/>
    <n v="223"/>
    <n v="44"/>
    <n v="37"/>
    <n v="44"/>
    <n v="53"/>
    <n v="51"/>
    <n v="37"/>
    <n v="42"/>
    <n v="46"/>
    <n v="42"/>
    <n v="34"/>
    <n v="51"/>
    <n v="40"/>
    <n v="52"/>
    <n v="26"/>
    <n v="52"/>
    <n v="36"/>
    <n v="23"/>
    <n v="15"/>
    <n v="43"/>
    <n v="23"/>
    <n v="9"/>
    <n v="14"/>
    <n v="50"/>
    <n v="15"/>
    <n v="50"/>
    <n v="12"/>
    <n v="23"/>
    <n v="13"/>
    <n v="43"/>
    <n v="9"/>
    <n v="9"/>
    <n v="7"/>
    <n v="0"/>
    <n v="0"/>
    <n v="0"/>
    <n v="0"/>
    <n v="0"/>
    <m/>
    <n v="373"/>
    <n v="10"/>
    <n v="456"/>
    <n v="10"/>
    <m/>
    <m/>
    <n v="13"/>
    <n v="3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m/>
    <n v="0"/>
    <n v="0"/>
    <n v="0"/>
    <n v="3"/>
    <n v="10"/>
    <n v="1"/>
    <n v="373"/>
    <n v="459"/>
    <m/>
    <m/>
    <m/>
    <m/>
    <m/>
    <m/>
    <m/>
    <m/>
    <m/>
    <m/>
    <m/>
    <m/>
    <m/>
    <m/>
    <m/>
    <m/>
    <m/>
    <m/>
    <m/>
    <m/>
    <n v="0"/>
    <n v="0"/>
    <m/>
    <m/>
    <n v="2127"/>
    <n v="2322"/>
  </r>
  <r>
    <x v="14"/>
    <s v="Virginia State University "/>
    <s v="Met the criteria for Four-Year 3 in 2011-12 and 2012-13."/>
    <n v="234155"/>
    <x v="3"/>
    <n v="0"/>
    <n v="0"/>
    <m/>
    <m/>
    <n v="0"/>
    <n v="21"/>
    <n v="0"/>
    <n v="2.5119617224880382E-2"/>
    <n v="712"/>
    <m/>
    <m/>
    <n v="0"/>
    <n v="0"/>
    <n v="836"/>
    <m/>
    <m/>
    <n v="14"/>
    <n v="14"/>
    <m/>
    <m/>
    <m/>
    <m/>
    <m/>
    <m/>
    <m/>
    <m/>
    <m/>
    <m/>
    <m/>
    <m/>
    <m/>
    <m/>
    <m/>
    <m/>
    <m/>
    <m/>
    <m/>
    <m/>
    <n v="0"/>
    <n v="0.82694541231126595"/>
    <n v="0"/>
    <n v="0.83683683683683685"/>
    <n v="1"/>
    <n v="7"/>
    <n v="13"/>
    <n v="82"/>
    <n v="13"/>
    <n v="75"/>
    <n v="31"/>
    <n v="19"/>
    <n v="31"/>
    <n v="19"/>
    <n v="42"/>
    <n v="13"/>
    <n v="43"/>
    <n v="8"/>
    <n v="52"/>
    <n v="7"/>
    <n v="23"/>
    <n v="7"/>
    <n v="11"/>
    <n v="6"/>
    <n v="26"/>
    <n v="7"/>
    <n v="26"/>
    <n v="6"/>
    <n v="52"/>
    <n v="6"/>
    <n v="43"/>
    <n v="5"/>
    <n v="11"/>
    <n v="4"/>
    <n v="54"/>
    <n v="4"/>
    <n v="42"/>
    <n v="3"/>
    <n v="27"/>
    <n v="2"/>
    <n v="9"/>
    <n v="3"/>
    <n v="23"/>
    <n v="2"/>
    <n v="27"/>
    <n v="2"/>
    <n v="2"/>
    <n v="1"/>
    <n v="148"/>
    <n v="10"/>
    <n v="13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  <n v="0"/>
    <n v="148"/>
    <n v="135"/>
    <m/>
    <m/>
    <m/>
    <m/>
    <m/>
    <m/>
    <m/>
    <m/>
    <m/>
    <m/>
    <m/>
    <m/>
    <m/>
    <m/>
    <m/>
    <m/>
    <m/>
    <m/>
    <m/>
    <m/>
    <n v="0"/>
    <n v="0"/>
    <m/>
    <m/>
    <n v="861"/>
    <n v="999"/>
  </r>
  <r>
    <x v="14"/>
    <s v="Christopher Newport University"/>
    <s v="Met the criteria for Four-Year 4 in 2011-12 and 2012-13."/>
    <n v="231712"/>
    <x v="4"/>
    <n v="0"/>
    <n v="0"/>
    <m/>
    <m/>
    <n v="0"/>
    <n v="0"/>
    <n v="0"/>
    <n v="0"/>
    <n v="994"/>
    <m/>
    <m/>
    <n v="229"/>
    <n v="229"/>
    <n v="1048"/>
    <m/>
    <m/>
    <n v="0"/>
    <n v="0"/>
    <m/>
    <m/>
    <m/>
    <m/>
    <m/>
    <m/>
    <m/>
    <m/>
    <m/>
    <m/>
    <m/>
    <m/>
    <m/>
    <m/>
    <m/>
    <m/>
    <m/>
    <m/>
    <m/>
    <m/>
    <n v="0"/>
    <n v="0.91025641025641024"/>
    <n v="0"/>
    <n v="0.91528384279475983"/>
    <n v="0"/>
    <n v="0"/>
    <n v="13"/>
    <n v="83"/>
    <n v="13"/>
    <n v="80"/>
    <n v="40"/>
    <n v="9"/>
    <n v="3"/>
    <n v="13"/>
    <n v="3"/>
    <n v="6"/>
    <n v="4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"/>
    <n v="10"/>
    <n v="9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8"/>
    <n v="97"/>
    <m/>
    <m/>
    <m/>
    <m/>
    <m/>
    <m/>
    <m/>
    <m/>
    <m/>
    <m/>
    <m/>
    <m/>
    <m/>
    <m/>
    <m/>
    <m/>
    <m/>
    <m/>
    <m/>
    <m/>
    <n v="0"/>
    <n v="0"/>
    <m/>
    <m/>
    <n v="1092"/>
    <n v="1145"/>
  </r>
  <r>
    <x v="14"/>
    <s v="University of Mary Washington "/>
    <s v="Met the criteria for Four-Year 3 in 2011-12 and 2012-13."/>
    <n v="232681"/>
    <x v="4"/>
    <n v="12"/>
    <n v="14"/>
    <m/>
    <m/>
    <n v="0"/>
    <n v="0"/>
    <n v="0"/>
    <n v="0"/>
    <n v="1046"/>
    <m/>
    <m/>
    <n v="71"/>
    <n v="71"/>
    <n v="963"/>
    <m/>
    <m/>
    <n v="86"/>
    <n v="86"/>
    <m/>
    <m/>
    <m/>
    <m/>
    <m/>
    <m/>
    <m/>
    <m/>
    <m/>
    <m/>
    <m/>
    <m/>
    <m/>
    <m/>
    <m/>
    <m/>
    <m/>
    <m/>
    <m/>
    <m/>
    <n v="0"/>
    <n v="0.78234854151084521"/>
    <n v="0"/>
    <n v="0.78934426229508192"/>
    <n v="24"/>
    <n v="11"/>
    <n v="13"/>
    <n v="169"/>
    <n v="13"/>
    <n v="130"/>
    <n v="52"/>
    <n v="86"/>
    <n v="52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5"/>
    <n v="10"/>
    <n v="23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55"/>
    <n v="232"/>
    <m/>
    <m/>
    <m/>
    <m/>
    <m/>
    <m/>
    <m/>
    <m/>
    <m/>
    <m/>
    <m/>
    <m/>
    <m/>
    <m/>
    <m/>
    <m/>
    <m/>
    <m/>
    <m/>
    <m/>
    <n v="0"/>
    <n v="0"/>
    <m/>
    <m/>
    <n v="1337"/>
    <n v="1220"/>
  </r>
  <r>
    <x v="14"/>
    <s v="University of Virginia's College at Wise "/>
    <m/>
    <n v="233897"/>
    <x v="5"/>
    <n v="0"/>
    <n v="0"/>
    <m/>
    <m/>
    <n v="0"/>
    <n v="0"/>
    <n v="0"/>
    <n v="0"/>
    <n v="259"/>
    <m/>
    <m/>
    <n v="0"/>
    <n v="0"/>
    <n v="279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9"/>
    <n v="279"/>
  </r>
  <r>
    <x v="14"/>
    <s v="J.S. Reynolds Community College"/>
    <m/>
    <n v="232414"/>
    <x v="6"/>
    <n v="712"/>
    <n v="892"/>
    <m/>
    <m/>
    <n v="788"/>
    <n v="859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0"/>
    <n v="1751"/>
  </r>
  <r>
    <x v="14"/>
    <s v="Northern Virginia Community College "/>
    <m/>
    <n v="232946"/>
    <x v="6"/>
    <n v="1730"/>
    <n v="2524"/>
    <m/>
    <m/>
    <n v="4671"/>
    <n v="5421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01"/>
    <n v="7945"/>
  </r>
  <r>
    <x v="14"/>
    <s v="Thomas Nelson Community College "/>
    <m/>
    <n v="233754"/>
    <x v="6"/>
    <n v="665"/>
    <n v="931"/>
    <m/>
    <m/>
    <n v="741"/>
    <n v="877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6"/>
    <n v="1808"/>
  </r>
  <r>
    <x v="14"/>
    <s v="Tidewater Community College "/>
    <m/>
    <n v="233772"/>
    <x v="6"/>
    <n v="930"/>
    <n v="992"/>
    <m/>
    <m/>
    <n v="2650"/>
    <n v="2914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80"/>
    <n v="3906"/>
  </r>
  <r>
    <x v="14"/>
    <s v="Blue Ridge Community College "/>
    <m/>
    <n v="231536"/>
    <x v="7"/>
    <n v="332"/>
    <n v="430"/>
    <m/>
    <m/>
    <n v="556"/>
    <n v="555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8"/>
    <n v="985"/>
  </r>
  <r>
    <x v="14"/>
    <s v="Central Virginia Community College "/>
    <m/>
    <n v="231697"/>
    <x v="7"/>
    <n v="458"/>
    <n v="572"/>
    <m/>
    <m/>
    <n v="363"/>
    <n v="387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1"/>
    <n v="959"/>
  </r>
  <r>
    <x v="14"/>
    <s v="Danville Community College "/>
    <m/>
    <n v="231882"/>
    <x v="7"/>
    <n v="492"/>
    <n v="613"/>
    <m/>
    <m/>
    <n v="216"/>
    <n v="261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874"/>
  </r>
  <r>
    <x v="14"/>
    <s v="Germanna Community College"/>
    <m/>
    <n v="232195"/>
    <x v="7"/>
    <n v="780"/>
    <n v="823"/>
    <m/>
    <m/>
    <n v="616"/>
    <n v="655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6"/>
    <n v="1478"/>
  </r>
  <r>
    <x v="14"/>
    <s v="John Tyler Community College"/>
    <s v="Met the criteria for Two-Year 1 in 2011-12 and 2012-13."/>
    <n v="232450"/>
    <x v="7"/>
    <n v="556"/>
    <n v="578"/>
    <m/>
    <m/>
    <n v="599"/>
    <n v="668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5"/>
    <n v="1246"/>
  </r>
  <r>
    <x v="14"/>
    <s v="Lord Fairfax Community College"/>
    <m/>
    <n v="232575"/>
    <x v="7"/>
    <n v="546"/>
    <n v="644"/>
    <m/>
    <m/>
    <n v="510"/>
    <n v="613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6"/>
    <n v="1257"/>
  </r>
  <r>
    <x v="14"/>
    <s v="Mountain Empire Community College"/>
    <s v="Reclassified: Met the criteria for Two-Year 2 in 2010-11, 2011-12, and 2012-13."/>
    <n v="232788"/>
    <x v="7"/>
    <n v="82"/>
    <n v="455"/>
    <m/>
    <m/>
    <n v="75"/>
    <n v="230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685"/>
  </r>
  <r>
    <x v="14"/>
    <s v="New River Community College "/>
    <m/>
    <n v="232867"/>
    <x v="7"/>
    <n v="178"/>
    <n v="246"/>
    <m/>
    <m/>
    <n v="438"/>
    <n v="469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6"/>
    <n v="715"/>
  </r>
  <r>
    <x v="14"/>
    <s v="Patrick Henry Community College "/>
    <m/>
    <n v="233019"/>
    <x v="7"/>
    <n v="436"/>
    <n v="385"/>
    <m/>
    <m/>
    <n v="246"/>
    <n v="427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2"/>
    <n v="812"/>
  </r>
  <r>
    <x v="14"/>
    <s v="Piedmont Virginia Community College "/>
    <m/>
    <n v="233116"/>
    <x v="7"/>
    <n v="330"/>
    <n v="220"/>
    <m/>
    <m/>
    <n v="454"/>
    <n v="426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4"/>
    <n v="646"/>
  </r>
  <r>
    <x v="14"/>
    <s v="Southside Virginia Community College"/>
    <m/>
    <n v="233639"/>
    <x v="7"/>
    <n v="152"/>
    <n v="685"/>
    <m/>
    <m/>
    <n v="387"/>
    <n v="580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9"/>
    <n v="1265"/>
  </r>
  <r>
    <x v="14"/>
    <s v="Southwest Virginia Community College "/>
    <s v="Met the criteria for Two-Year 3 in 2012-13."/>
    <n v="233648"/>
    <x v="7"/>
    <n v="516"/>
    <n v="412"/>
    <m/>
    <m/>
    <n v="454"/>
    <n v="343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0"/>
    <n v="755"/>
  </r>
  <r>
    <x v="14"/>
    <s v="Virginia Western Community College "/>
    <m/>
    <n v="233949"/>
    <x v="7"/>
    <n v="379"/>
    <n v="473"/>
    <m/>
    <m/>
    <n v="284"/>
    <n v="670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3"/>
    <n v="1143"/>
  </r>
  <r>
    <x v="14"/>
    <s v="Wytheville Community College "/>
    <m/>
    <n v="234377"/>
    <x v="7"/>
    <n v="596"/>
    <n v="774"/>
    <m/>
    <m/>
    <n v="319"/>
    <n v="340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5"/>
    <n v="1114"/>
  </r>
  <r>
    <x v="14"/>
    <s v="D.S. Lancaster Community College "/>
    <m/>
    <n v="231873"/>
    <x v="8"/>
    <n v="424"/>
    <n v="132"/>
    <m/>
    <m/>
    <n v="561"/>
    <n v="119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5"/>
    <n v="251"/>
  </r>
  <r>
    <x v="14"/>
    <s v="Eastern Shore Community College"/>
    <m/>
    <n v="232052"/>
    <x v="8"/>
    <n v="140"/>
    <n v="132"/>
    <m/>
    <m/>
    <n v="88"/>
    <n v="71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"/>
    <n v="203"/>
  </r>
  <r>
    <x v="14"/>
    <s v="Paul D. Camp Community College"/>
    <m/>
    <n v="233037"/>
    <x v="8"/>
    <n v="89"/>
    <n v="154"/>
    <m/>
    <m/>
    <n v="137"/>
    <n v="152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306"/>
  </r>
  <r>
    <x v="14"/>
    <s v="Rappahannock Community College"/>
    <s v="Met the criteria for Two-Year 2 in 2011-12 and 2012-13."/>
    <n v="233310"/>
    <x v="8"/>
    <n v="341"/>
    <n v="362"/>
    <m/>
    <m/>
    <n v="197"/>
    <n v="211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8"/>
    <n v="573"/>
  </r>
  <r>
    <x v="14"/>
    <s v="Richard Bland College "/>
    <m/>
    <n v="233338"/>
    <x v="8"/>
    <n v="0"/>
    <n v="0"/>
    <m/>
    <m/>
    <n v="211"/>
    <n v="224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1"/>
    <n v="224"/>
  </r>
  <r>
    <x v="14"/>
    <s v="Virginia Highlands Community College "/>
    <m/>
    <n v="233903"/>
    <x v="8"/>
    <n v="281"/>
    <n v="425"/>
    <m/>
    <m/>
    <n v="231"/>
    <n v="279"/>
    <n v="0"/>
    <n v="0"/>
    <n v="0"/>
    <m/>
    <m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2"/>
    <n v="704"/>
  </r>
  <r>
    <x v="14"/>
    <s v="Virginia Military Institute"/>
    <m/>
    <n v="234085"/>
    <x v="11"/>
    <n v="0"/>
    <n v="0"/>
    <m/>
    <m/>
    <n v="0"/>
    <n v="0"/>
    <n v="0"/>
    <n v="0"/>
    <n v="324"/>
    <m/>
    <m/>
    <n v="0"/>
    <n v="0"/>
    <n v="305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4"/>
    <n v="305"/>
  </r>
  <r>
    <x v="15"/>
    <s v="West Virginia University"/>
    <m/>
    <n v="238032"/>
    <x v="0"/>
    <m/>
    <m/>
    <m/>
    <m/>
    <m/>
    <m/>
    <n v="0"/>
    <n v="0"/>
    <n v="4060"/>
    <m/>
    <m/>
    <n v="205"/>
    <n v="205"/>
    <n v="4204"/>
    <m/>
    <m/>
    <n v="196"/>
    <n v="196"/>
    <m/>
    <m/>
    <m/>
    <m/>
    <m/>
    <m/>
    <m/>
    <m/>
    <m/>
    <m/>
    <m/>
    <m/>
    <m/>
    <m/>
    <m/>
    <m/>
    <m/>
    <m/>
    <m/>
    <m/>
    <n v="0"/>
    <n v="0.64557163301001752"/>
    <n v="0"/>
    <n v="0.65208624166278895"/>
    <m/>
    <m/>
    <n v="13"/>
    <n v="439"/>
    <n v="13"/>
    <n v="476"/>
    <n v="52"/>
    <n v="253"/>
    <n v="52"/>
    <n v="226"/>
    <n v="51"/>
    <n v="180"/>
    <n v="51"/>
    <n v="181"/>
    <n v="44"/>
    <n v="168"/>
    <n v="44"/>
    <n v="162"/>
    <n v="14"/>
    <n v="145"/>
    <s v="09"/>
    <n v="140"/>
    <s v="09"/>
    <n v="129"/>
    <n v="14"/>
    <n v="116"/>
    <s v="01"/>
    <n v="45"/>
    <s v="01"/>
    <n v="46"/>
    <n v="16"/>
    <n v="36"/>
    <n v="16"/>
    <n v="35"/>
    <n v="45"/>
    <n v="31"/>
    <n v="27"/>
    <n v="31"/>
    <n v="50"/>
    <n v="30"/>
    <n v="42"/>
    <n v="31"/>
    <n v="173"/>
    <n v="198"/>
    <n v="1629"/>
    <n v="10"/>
    <n v="1642"/>
    <n v="10"/>
    <n v="14"/>
    <n v="36"/>
    <n v="14"/>
    <n v="26"/>
    <n v="42"/>
    <n v="17"/>
    <n v="26"/>
    <n v="22"/>
    <n v="26"/>
    <n v="16"/>
    <n v="42"/>
    <n v="17"/>
    <n v="40"/>
    <n v="14"/>
    <n v="51"/>
    <n v="16"/>
    <n v="45"/>
    <n v="13"/>
    <s v="03"/>
    <n v="15"/>
    <n v="51"/>
    <n v="13"/>
    <n v="40"/>
    <n v="12"/>
    <s v="03"/>
    <n v="11"/>
    <n v="45"/>
    <n v="9"/>
    <n v="52"/>
    <n v="9"/>
    <n v="52"/>
    <n v="8"/>
    <s v="01"/>
    <n v="8"/>
    <n v="50"/>
    <n v="6"/>
    <n v="50"/>
    <n v="8"/>
    <s v="01"/>
    <n v="5"/>
    <n v="21"/>
    <n v="26"/>
    <n v="166"/>
    <n v="10"/>
    <n v="0.21686746987951808"/>
    <n v="162"/>
    <n v="10"/>
    <n v="0.16049382716049382"/>
    <n v="1795"/>
    <n v="1804"/>
    <n v="124"/>
    <n v="142"/>
    <n v="95"/>
    <n v="99"/>
    <n v="48"/>
    <n v="43"/>
    <n v="87"/>
    <n v="81"/>
    <m/>
    <m/>
    <m/>
    <m/>
    <m/>
    <m/>
    <m/>
    <m/>
    <m/>
    <m/>
    <n v="80"/>
    <n v="74"/>
    <n v="434"/>
    <n v="439"/>
    <m/>
    <n v="0"/>
    <n v="6289"/>
    <n v="6447"/>
  </r>
  <r>
    <x v="15"/>
    <s v="Marshall University "/>
    <m/>
    <n v="237525"/>
    <x v="2"/>
    <m/>
    <m/>
    <m/>
    <m/>
    <n v="91"/>
    <n v="111"/>
    <n v="6.5326633165829151E-2"/>
    <n v="7.175177763413057E-2"/>
    <n v="1393"/>
    <n v="137"/>
    <m/>
    <m/>
    <n v="137"/>
    <n v="1547"/>
    <n v="137"/>
    <m/>
    <m/>
    <n v="137"/>
    <m/>
    <m/>
    <m/>
    <m/>
    <m/>
    <m/>
    <m/>
    <m/>
    <m/>
    <m/>
    <m/>
    <m/>
    <m/>
    <m/>
    <m/>
    <m/>
    <m/>
    <m/>
    <m/>
    <m/>
    <n v="0"/>
    <n v="0.56146715034260375"/>
    <n v="0"/>
    <n v="0.58598484848484844"/>
    <m/>
    <m/>
    <n v="13"/>
    <n v="383"/>
    <n v="13"/>
    <n v="354"/>
    <n v="52"/>
    <n v="190"/>
    <n v="51"/>
    <n v="115"/>
    <n v="51"/>
    <n v="83"/>
    <n v="52"/>
    <n v="115"/>
    <n v="42"/>
    <n v="39"/>
    <n v="42"/>
    <n v="37"/>
    <n v="11"/>
    <n v="26"/>
    <n v="11"/>
    <n v="31"/>
    <n v="23"/>
    <n v="25"/>
    <n v="23"/>
    <n v="31"/>
    <n v="26"/>
    <n v="25"/>
    <n v="43"/>
    <n v="25"/>
    <n v="43"/>
    <n v="24"/>
    <n v="26"/>
    <n v="23"/>
    <n v="31"/>
    <n v="14"/>
    <n v="31"/>
    <n v="18"/>
    <n v="45"/>
    <n v="14"/>
    <s v="09"/>
    <n v="16"/>
    <n v="79"/>
    <n v="99"/>
    <n v="902"/>
    <n v="10"/>
    <n v="864"/>
    <n v="10"/>
    <n v="13"/>
    <n v="8"/>
    <n v="13"/>
    <n v="12"/>
    <n v="26"/>
    <n v="4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2"/>
    <n v="2"/>
    <n v="0.66666666666666663"/>
    <n v="16"/>
    <n v="2"/>
    <n v="0.75"/>
    <n v="914"/>
    <n v="880"/>
    <m/>
    <m/>
    <n v="72"/>
    <n v="63"/>
    <m/>
    <m/>
    <m/>
    <m/>
    <m/>
    <m/>
    <m/>
    <m/>
    <m/>
    <m/>
    <m/>
    <m/>
    <m/>
    <m/>
    <n v="11"/>
    <n v="39"/>
    <n v="83"/>
    <n v="102"/>
    <m/>
    <m/>
    <n v="2481"/>
    <n v="2640"/>
  </r>
  <r>
    <x v="15"/>
    <s v="Fairmont State University"/>
    <m/>
    <n v="237367"/>
    <x v="4"/>
    <m/>
    <m/>
    <m/>
    <m/>
    <n v="113"/>
    <n v="71"/>
    <n v="0.20214669051878353"/>
    <n v="0.11024844720496894"/>
    <n v="559"/>
    <n v="57"/>
    <m/>
    <m/>
    <n v="57"/>
    <n v="644"/>
    <n v="58"/>
    <m/>
    <m/>
    <n v="58"/>
    <m/>
    <m/>
    <m/>
    <m/>
    <m/>
    <m/>
    <m/>
    <m/>
    <m/>
    <m/>
    <m/>
    <m/>
    <m/>
    <m/>
    <m/>
    <m/>
    <m/>
    <m/>
    <m/>
    <m/>
    <n v="0"/>
    <n v="0.73844121532364593"/>
    <n v="0"/>
    <n v="0.80099502487562191"/>
    <m/>
    <m/>
    <n v="13"/>
    <n v="61"/>
    <n v="13"/>
    <n v="70"/>
    <n v="52"/>
    <n v="20"/>
    <n v="52"/>
    <n v="16"/>
    <n v="43"/>
    <n v="4"/>
    <n v="43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85"/>
    <n v="3"/>
    <n v="89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"/>
    <n v="89"/>
    <m/>
    <m/>
    <m/>
    <m/>
    <m/>
    <m/>
    <m/>
    <m/>
    <m/>
    <m/>
    <m/>
    <m/>
    <m/>
    <m/>
    <m/>
    <m/>
    <m/>
    <m/>
    <m/>
    <m/>
    <n v="0"/>
    <n v="0"/>
    <m/>
    <m/>
    <n v="757"/>
    <n v="804"/>
  </r>
  <r>
    <x v="15"/>
    <s v="Shepherd University "/>
    <m/>
    <n v="237792"/>
    <x v="4"/>
    <m/>
    <m/>
    <m/>
    <m/>
    <m/>
    <m/>
    <n v="0"/>
    <n v="0"/>
    <n v="648"/>
    <n v="87"/>
    <m/>
    <m/>
    <n v="87"/>
    <n v="675"/>
    <n v="68"/>
    <m/>
    <m/>
    <n v="68"/>
    <m/>
    <m/>
    <m/>
    <m/>
    <m/>
    <m/>
    <m/>
    <m/>
    <m/>
    <m/>
    <m/>
    <m/>
    <m/>
    <m/>
    <m/>
    <m/>
    <m/>
    <m/>
    <m/>
    <m/>
    <n v="0"/>
    <n v="0.95014662756598245"/>
    <n v="0"/>
    <n v="0.91463414634146345"/>
    <m/>
    <m/>
    <n v="52"/>
    <n v="21"/>
    <n v="13"/>
    <n v="44"/>
    <n v="13"/>
    <n v="13"/>
    <n v="52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34"/>
    <n v="2"/>
    <n v="6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"/>
    <n v="63"/>
    <m/>
    <m/>
    <m/>
    <m/>
    <m/>
    <m/>
    <m/>
    <m/>
    <m/>
    <m/>
    <m/>
    <m/>
    <m/>
    <m/>
    <m/>
    <m/>
    <m/>
    <m/>
    <m/>
    <m/>
    <n v="0"/>
    <n v="0"/>
    <m/>
    <m/>
    <n v="682"/>
    <n v="738"/>
  </r>
  <r>
    <x v="15"/>
    <s v="Bluefield State College "/>
    <m/>
    <n v="237215"/>
    <x v="5"/>
    <m/>
    <m/>
    <m/>
    <m/>
    <n v="60"/>
    <n v="92"/>
    <n v="0.25531914893617019"/>
    <n v="0.38333333333333336"/>
    <n v="235"/>
    <n v="29"/>
    <m/>
    <m/>
    <n v="29"/>
    <n v="240"/>
    <n v="26"/>
    <m/>
    <m/>
    <n v="26"/>
    <m/>
    <m/>
    <m/>
    <m/>
    <m/>
    <m/>
    <m/>
    <m/>
    <m/>
    <m/>
    <m/>
    <m/>
    <m/>
    <m/>
    <m/>
    <m/>
    <m/>
    <m/>
    <m/>
    <m/>
    <n v="0"/>
    <n v="0.79661016949152541"/>
    <n v="0"/>
    <n v="0.722891566265060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5"/>
    <n v="332"/>
  </r>
  <r>
    <x v="15"/>
    <s v="Concord University "/>
    <m/>
    <n v="237330"/>
    <x v="5"/>
    <m/>
    <m/>
    <m/>
    <m/>
    <m/>
    <m/>
    <n v="0"/>
    <n v="0"/>
    <n v="401"/>
    <n v="75"/>
    <m/>
    <m/>
    <n v="75"/>
    <n v="432"/>
    <n v="101"/>
    <m/>
    <m/>
    <n v="101"/>
    <m/>
    <m/>
    <m/>
    <m/>
    <m/>
    <m/>
    <m/>
    <m/>
    <m/>
    <m/>
    <m/>
    <m/>
    <m/>
    <m/>
    <m/>
    <m/>
    <m/>
    <m/>
    <m/>
    <m/>
    <n v="0"/>
    <n v="0.93691588785046731"/>
    <n v="0"/>
    <n v="0.94736842105263153"/>
    <m/>
    <m/>
    <n v="13"/>
    <n v="27"/>
    <n v="13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7"/>
    <n v="1"/>
    <n v="2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"/>
    <n v="24"/>
    <m/>
    <m/>
    <m/>
    <m/>
    <m/>
    <m/>
    <m/>
    <m/>
    <m/>
    <m/>
    <m/>
    <m/>
    <m/>
    <m/>
    <m/>
    <m/>
    <m/>
    <m/>
    <m/>
    <m/>
    <n v="0"/>
    <n v="0"/>
    <m/>
    <m/>
    <n v="428"/>
    <n v="456"/>
  </r>
  <r>
    <x v="15"/>
    <s v="Glenville State College "/>
    <m/>
    <n v="237385"/>
    <x v="5"/>
    <m/>
    <m/>
    <m/>
    <m/>
    <n v="36"/>
    <n v="57"/>
    <n v="0.2236024844720497"/>
    <n v="0.38"/>
    <n v="161"/>
    <n v="58"/>
    <m/>
    <m/>
    <n v="58"/>
    <n v="150"/>
    <n v="39"/>
    <m/>
    <m/>
    <n v="39"/>
    <m/>
    <m/>
    <m/>
    <m/>
    <m/>
    <m/>
    <m/>
    <m/>
    <m/>
    <m/>
    <m/>
    <m/>
    <m/>
    <m/>
    <m/>
    <m/>
    <m/>
    <m/>
    <m/>
    <m/>
    <n v="0"/>
    <n v="0.81725888324873097"/>
    <n v="0"/>
    <n v="0.724637681159420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"/>
    <n v="207"/>
  </r>
  <r>
    <x v="15"/>
    <s v="West Liberty University"/>
    <m/>
    <n v="237932"/>
    <x v="5"/>
    <m/>
    <m/>
    <m/>
    <m/>
    <n v="34"/>
    <n v="31"/>
    <n v="8.2926829268292687E-2"/>
    <n v="7.7306733167082295E-2"/>
    <n v="410"/>
    <n v="80"/>
    <m/>
    <m/>
    <n v="80"/>
    <n v="401"/>
    <n v="64"/>
    <m/>
    <m/>
    <n v="64"/>
    <m/>
    <m/>
    <m/>
    <m/>
    <m/>
    <m/>
    <m/>
    <m/>
    <m/>
    <m/>
    <m/>
    <m/>
    <m/>
    <m/>
    <m/>
    <m/>
    <m/>
    <m/>
    <m/>
    <m/>
    <n v="0"/>
    <n v="0.87234042553191493"/>
    <n v="0"/>
    <n v="0.88913525498891355"/>
    <m/>
    <m/>
    <n v="13"/>
    <n v="26"/>
    <n v="1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"/>
    <n v="1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"/>
    <n v="19"/>
    <m/>
    <m/>
    <m/>
    <m/>
    <m/>
    <m/>
    <m/>
    <m/>
    <m/>
    <m/>
    <m/>
    <m/>
    <m/>
    <m/>
    <m/>
    <m/>
    <m/>
    <m/>
    <m/>
    <m/>
    <n v="0"/>
    <n v="0"/>
    <m/>
    <m/>
    <n v="470"/>
    <n v="451"/>
  </r>
  <r>
    <x v="15"/>
    <s v="West Virginia State University "/>
    <m/>
    <n v="237899"/>
    <x v="5"/>
    <m/>
    <m/>
    <m/>
    <m/>
    <m/>
    <m/>
    <n v="0"/>
    <n v="0"/>
    <n v="378"/>
    <n v="39"/>
    <m/>
    <m/>
    <n v="39"/>
    <n v="414"/>
    <n v="68"/>
    <m/>
    <m/>
    <n v="68"/>
    <m/>
    <m/>
    <m/>
    <m/>
    <m/>
    <m/>
    <m/>
    <m/>
    <m/>
    <m/>
    <m/>
    <m/>
    <m/>
    <m/>
    <m/>
    <m/>
    <m/>
    <m/>
    <m/>
    <m/>
    <n v="0"/>
    <n v="0.96923076923076923"/>
    <n v="0"/>
    <n v="0.97411764705882353"/>
    <m/>
    <m/>
    <s v="09"/>
    <n v="6"/>
    <n v="26"/>
    <n v="6"/>
    <n v="26"/>
    <n v="6"/>
    <s v="0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12"/>
    <n v="2"/>
    <n v="1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11"/>
    <m/>
    <m/>
    <m/>
    <m/>
    <m/>
    <m/>
    <m/>
    <m/>
    <m/>
    <m/>
    <m/>
    <m/>
    <m/>
    <m/>
    <m/>
    <m/>
    <m/>
    <m/>
    <m/>
    <m/>
    <n v="0"/>
    <n v="0"/>
    <m/>
    <m/>
    <n v="390"/>
    <n v="425"/>
  </r>
  <r>
    <x v="15"/>
    <s v="West Virginia University Institute of Technology"/>
    <m/>
    <n v="237950"/>
    <x v="5"/>
    <m/>
    <m/>
    <m/>
    <m/>
    <m/>
    <m/>
    <n v="0"/>
    <n v="0"/>
    <n v="143"/>
    <m/>
    <m/>
    <m/>
    <n v="0"/>
    <n v="161"/>
    <n v="3"/>
    <m/>
    <m/>
    <n v="3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3"/>
    <n v="161"/>
  </r>
  <r>
    <x v="15"/>
    <s v="Potomac State College of West Virginia University"/>
    <m/>
    <n v="237701"/>
    <x v="12"/>
    <n v="2"/>
    <n v="0"/>
    <m/>
    <m/>
    <n v="192"/>
    <n v="172"/>
    <n v="10.105263157894736"/>
    <n v="9.5555555555555554"/>
    <n v="19"/>
    <m/>
    <m/>
    <m/>
    <n v="0"/>
    <n v="18"/>
    <m/>
    <m/>
    <m/>
    <n v="0"/>
    <n v="24"/>
    <n v="19"/>
    <n v="24"/>
    <n v="18"/>
    <m/>
    <m/>
    <m/>
    <m/>
    <m/>
    <m/>
    <m/>
    <m/>
    <m/>
    <m/>
    <m/>
    <m/>
    <m/>
    <m/>
    <m/>
    <m/>
    <n v="1"/>
    <n v="8.9201877934272297E-2"/>
    <n v="1"/>
    <n v="9.473684210526316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"/>
    <n v="190"/>
  </r>
  <r>
    <x v="15"/>
    <s v="West Virginia University at Parkersburg"/>
    <m/>
    <n v="237686"/>
    <x v="12"/>
    <n v="98"/>
    <n v="123"/>
    <m/>
    <m/>
    <n v="560"/>
    <n v="387"/>
    <n v="3.1818181818181817"/>
    <n v="1.6681034482758621"/>
    <n v="176"/>
    <n v="29"/>
    <m/>
    <m/>
    <n v="29"/>
    <n v="232"/>
    <n v="29"/>
    <m/>
    <m/>
    <n v="29"/>
    <n v="24"/>
    <n v="98"/>
    <n v="24"/>
    <n v="155"/>
    <n v="13"/>
    <n v="29"/>
    <n v="13"/>
    <n v="29"/>
    <n v="52"/>
    <n v="29"/>
    <n v="52"/>
    <n v="29"/>
    <n v="15"/>
    <n v="19"/>
    <n v="15"/>
    <n v="19"/>
    <n v="30"/>
    <n v="1"/>
    <m/>
    <m/>
    <n v="5"/>
    <n v="0.21103117505995203"/>
    <n v="4"/>
    <n v="0.312668463611859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4"/>
    <n v="742"/>
  </r>
  <r>
    <x v="15"/>
    <s v="New River Community &amp; Technical College"/>
    <s v="Reclassified: met criteria for Two-Year 2 in 2010-11, 2011-12, and 2012-13."/>
    <n v="447582"/>
    <x v="7"/>
    <n v="27"/>
    <n v="71"/>
    <m/>
    <m/>
    <n v="113"/>
    <n v="1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"/>
    <n v="189"/>
  </r>
  <r>
    <x v="15"/>
    <s v="Pierpont Community &amp; Technical College"/>
    <s v="Reclassified: met criteria for Two-Year 2 in 2010-11, 2011-12, and 2012-13."/>
    <n v="443492"/>
    <x v="7"/>
    <n v="63"/>
    <n v="47"/>
    <m/>
    <m/>
    <n v="252"/>
    <n v="3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5"/>
    <n v="380"/>
  </r>
  <r>
    <x v="15"/>
    <s v="West Virginia Northern Community College"/>
    <s v="Met the criteria for Two-Year 3 in 2012-13."/>
    <n v="238014"/>
    <x v="7"/>
    <n v="110"/>
    <n v="131"/>
    <m/>
    <m/>
    <n v="309"/>
    <n v="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423"/>
  </r>
  <r>
    <x v="15"/>
    <s v="Blue Ridge Community &amp; Technical College"/>
    <m/>
    <n v="446774"/>
    <x v="8"/>
    <n v="147"/>
    <n v="211"/>
    <m/>
    <m/>
    <n v="229"/>
    <n v="3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"/>
    <n v="587"/>
  </r>
  <r>
    <x v="15"/>
    <s v="Bridgemont Community &amp; Technical College"/>
    <m/>
    <n v="445674"/>
    <x v="8"/>
    <n v="9"/>
    <n v="8"/>
    <m/>
    <m/>
    <n v="147"/>
    <n v="1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"/>
    <n v="116"/>
  </r>
  <r>
    <x v="15"/>
    <s v="Eastern West Virginia Community &amp; Technical College"/>
    <m/>
    <n v="438708"/>
    <x v="8"/>
    <n v="11"/>
    <n v="16"/>
    <m/>
    <m/>
    <n v="51"/>
    <n v="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"/>
    <n v="91"/>
  </r>
  <r>
    <x v="15"/>
    <s v="Kanawha Valley Community &amp; Technical College"/>
    <m/>
    <n v="445018"/>
    <x v="8"/>
    <n v="25"/>
    <n v="44"/>
    <m/>
    <m/>
    <n v="252"/>
    <n v="2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326"/>
  </r>
  <r>
    <x v="15"/>
    <s v="Mountwest Community &amp; Technical College"/>
    <m/>
    <n v="444954"/>
    <x v="8"/>
    <n v="69"/>
    <n v="76"/>
    <m/>
    <m/>
    <n v="307"/>
    <n v="3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6"/>
    <n v="407"/>
  </r>
  <r>
    <x v="15"/>
    <s v="Southern West Virginia Community &amp; Technical College "/>
    <m/>
    <n v="237817"/>
    <x v="8"/>
    <n v="32"/>
    <n v="37"/>
    <m/>
    <m/>
    <n v="203"/>
    <n v="2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"/>
    <n v="243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98"/>
    <n v="157"/>
    <m/>
    <m/>
    <m/>
    <m/>
    <n v="0"/>
    <m/>
    <n v="198"/>
    <n v="157"/>
    <m/>
    <m/>
    <n v="198"/>
    <n v="157"/>
  </r>
  <r>
    <x v="15"/>
    <s v="Benjamin Franklin Vocational Center "/>
    <m/>
    <n v="237172"/>
    <x v="14"/>
    <m/>
    <n v="10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106"/>
  </r>
  <r>
    <x v="15"/>
    <s v="Boone County Career &amp; Technical Center "/>
    <m/>
    <n v="237224"/>
    <x v="14"/>
    <m/>
    <n v="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15"/>
    <s v="Cabell County Vocational-Technical Center"/>
    <m/>
    <n v="237242"/>
    <x v="14"/>
    <n v="71"/>
    <n v="5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"/>
    <n v="53"/>
  </r>
  <r>
    <x v="15"/>
    <s v="Carver Vocational Center "/>
    <m/>
    <n v="430795"/>
    <x v="14"/>
    <n v="130"/>
    <n v="1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"/>
    <n v="118"/>
  </r>
  <r>
    <x v="15"/>
    <s v="Fayette Institute of Technology"/>
    <m/>
    <n v="413176"/>
    <x v="14"/>
    <n v="32"/>
    <n v="2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"/>
    <n v="29"/>
  </r>
  <r>
    <x v="15"/>
    <s v="Fred W. Eberle Technical Center "/>
    <m/>
    <n v="237844"/>
    <x v="14"/>
    <n v="156"/>
    <n v="14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"/>
    <n v="145"/>
  </r>
  <r>
    <x v="15"/>
    <s v="Garnet Career Center "/>
    <m/>
    <n v="431169"/>
    <x v="14"/>
    <n v="90"/>
    <n v="8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"/>
    <n v="89"/>
  </r>
  <r>
    <x v="15"/>
    <s v="James Rumsey Technical Institute"/>
    <m/>
    <n v="237473"/>
    <x v="14"/>
    <n v="133"/>
    <n v="1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"/>
    <n v="121"/>
  </r>
  <r>
    <x v="15"/>
    <s v="John D. Rockefeller IV Career Center"/>
    <m/>
    <n v="446349"/>
    <x v="14"/>
    <n v="27"/>
    <n v="2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"/>
    <n v="23"/>
  </r>
  <r>
    <x v="15"/>
    <s v="Marion County Vocational-Technical Center"/>
    <m/>
    <n v="237516"/>
    <x v="14"/>
    <n v="7"/>
    <n v="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"/>
    <n v="6"/>
  </r>
  <r>
    <x v="15"/>
    <s v="McDowell County Vocational-Technical Center "/>
    <m/>
    <n v="237534"/>
    <x v="14"/>
    <n v="19"/>
    <n v="2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"/>
    <n v="20"/>
  </r>
  <r>
    <x v="15"/>
    <s v="Mercer County Vocational-Technical Center"/>
    <m/>
    <n v="237543"/>
    <x v="14"/>
    <n v="237"/>
    <n v="253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"/>
    <n v="253"/>
  </r>
  <r>
    <x v="15"/>
    <s v="Mineral County Vocational-Technical Center "/>
    <m/>
    <n v="368647"/>
    <x v="14"/>
    <n v="42"/>
    <n v="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"/>
    <n v="18"/>
  </r>
  <r>
    <x v="15"/>
    <s v="Monongalia County Technical Education Center "/>
    <m/>
    <n v="237561"/>
    <x v="14"/>
    <n v="97"/>
    <n v="7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"/>
    <n v="78"/>
  </r>
  <r>
    <x v="15"/>
    <s v="Putnam County Vocational-Technical Center"/>
    <m/>
    <n v="419420"/>
    <x v="14"/>
    <n v="147"/>
    <n v="7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"/>
    <n v="70"/>
  </r>
  <r>
    <x v="15"/>
    <s v="Raleigh County Academy of Careers and Technology"/>
    <m/>
    <n v="237729"/>
    <x v="14"/>
    <n v="103"/>
    <n v="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"/>
    <n v="81"/>
  </r>
  <r>
    <x v="15"/>
    <s v="Ralph R. Willis Vocational-Technical Center"/>
    <m/>
    <n v="237491"/>
    <x v="14"/>
    <n v="22"/>
    <n v="1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15"/>
  </r>
  <r>
    <x v="15"/>
    <s v="Roane-Jackson Technical Center"/>
    <m/>
    <n v="364575"/>
    <x v="14"/>
    <n v="31"/>
    <n v="2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"/>
    <n v="24"/>
  </r>
  <r>
    <x v="15"/>
    <s v="South Branch Career &amp; Technical Center"/>
    <m/>
    <n v="441894"/>
    <x v="14"/>
    <n v="47"/>
    <n v="4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48"/>
  </r>
  <r>
    <x v="15"/>
    <s v="United Technical Center"/>
    <m/>
    <n v="419031"/>
    <x v="14"/>
    <n v="24"/>
    <n v="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"/>
    <n v="18"/>
  </r>
  <r>
    <x v="15"/>
    <s v="Greenbrier Practical School of Nursing"/>
    <m/>
    <s v="???"/>
    <x v="11"/>
    <n v="12"/>
    <n v="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8"/>
  </r>
  <r>
    <x v="15"/>
    <s v="Summers County School of Nursing"/>
    <m/>
    <s v="???"/>
    <x v="11"/>
    <n v="9"/>
    <n v="1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"/>
    <n v="16"/>
  </r>
  <r>
    <x v="15"/>
    <s v="Wood County School of Practical Nursing"/>
    <m/>
    <n v="238096"/>
    <x v="11"/>
    <n v="22"/>
    <n v="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21"/>
  </r>
  <r>
    <x v="15"/>
    <s v="Wyoming County "/>
    <m/>
    <s v="???"/>
    <x v="15"/>
    <n v="18"/>
    <n v="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"/>
    <n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Y906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4"/>
        <item x="11"/>
        <item x="13"/>
        <item x="1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3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4"/>
      <x v="14"/>
    </i>
    <i t="default">
      <x v="4"/>
    </i>
    <i>
      <x v="5"/>
      <x v="15"/>
    </i>
    <i t="default">
      <x v="5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856">
    <format dxfId="12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1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20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9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19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9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96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195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194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193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192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191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190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189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188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187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186">
      <pivotArea dataOnly="0" labelOnly="1" outline="0" fieldPosition="0">
        <references count="1">
          <reference field="0" count="1">
            <x v="0"/>
          </reference>
        </references>
      </pivotArea>
    </format>
    <format dxfId="1185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18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183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182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181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17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7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7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7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7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7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7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7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7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7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6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6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6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6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6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6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6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6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6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16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15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5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5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5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5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5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5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5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5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5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4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4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4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4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4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4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4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4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14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14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13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13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13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13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13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13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13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13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13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3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2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28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27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26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2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24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23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22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2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20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1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18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17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1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15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14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13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112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111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10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09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08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0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0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05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04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03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02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01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0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099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098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097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96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95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94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3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92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91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90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89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88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87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86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85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84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83">
      <pivotArea type="origin" dataOnly="0" labelOnly="1" outline="0" fieldPosition="0"/>
    </format>
    <format dxfId="1082">
      <pivotArea field="0" type="button" dataOnly="0" labelOnly="1" outline="0" axis="axisRow" fieldPosition="0"/>
    </format>
    <format dxfId="1081">
      <pivotArea dataOnly="0" labelOnly="1" outline="0" fieldPosition="0">
        <references count="1">
          <reference field="0" count="0"/>
        </references>
      </pivotArea>
    </format>
    <format dxfId="108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07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7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07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07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07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07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07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07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07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07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06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06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06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06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06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06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06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06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06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06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05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05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05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05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05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05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05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05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05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05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04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04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04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04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4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4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4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4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4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4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3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3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3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3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3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3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3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0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3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02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02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02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02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02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02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02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02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02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0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01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01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01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01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01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01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013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012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011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010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009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00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007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006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00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00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003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002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001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000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999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998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997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996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995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994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993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992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991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990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989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988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987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986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985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98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983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982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981">
      <pivotArea type="all" dataOnly="0" outline="0" fieldPosition="0"/>
    </format>
    <format dxfId="980">
      <pivotArea type="all" dataOnly="0" outline="0" fieldPosition="0"/>
    </format>
    <format dxfId="97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7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7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7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7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97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97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97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97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97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96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96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96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96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96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96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96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96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96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96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95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95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95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95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95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95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95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95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95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95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94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94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94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94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94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94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94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94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94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94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93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93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93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93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93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93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93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93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931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93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2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2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2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2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92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92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92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92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92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92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91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91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91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91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91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91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91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91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91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91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90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90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90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90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90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90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90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90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90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90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89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89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89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89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89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89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89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89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89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89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88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88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88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88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88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88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88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882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881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88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87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78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877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876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87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874">
      <pivotArea type="origin" dataOnly="0" labelOnly="1" outline="0" fieldPosition="0"/>
    </format>
    <format dxfId="873">
      <pivotArea field="0" type="button" dataOnly="0" labelOnly="1" outline="0" axis="axisRow" fieldPosition="0"/>
    </format>
    <format dxfId="872">
      <pivotArea dataOnly="0" labelOnly="1" outline="0" fieldPosition="0">
        <references count="1">
          <reference field="0" count="0"/>
        </references>
      </pivotArea>
    </format>
    <format dxfId="87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7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6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68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67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66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86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864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863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862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86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860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85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858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857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85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855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854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853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852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851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850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849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848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84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84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845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844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843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842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841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84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839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838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837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836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835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834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833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832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831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830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829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828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827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826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825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824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823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822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821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820">
      <pivotArea field="-2" type="button" dataOnly="0" labelOnly="1" outline="0" axis="axisRow" fieldPosition="1"/>
    </format>
    <format dxfId="81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1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1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1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1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1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81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81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81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81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80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80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80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80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80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80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80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80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80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80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79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79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79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79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79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79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79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79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79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79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78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78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78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78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78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78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78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78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78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78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77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77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77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77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77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77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77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77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771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770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76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768">
      <pivotArea dataOnly="0" labelOnly="1" grandCol="1" outline="0" fieldPosition="0"/>
    </format>
    <format dxfId="7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64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763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7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5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58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757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756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7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54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7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5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6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745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744">
      <pivotArea field="185" type="button" dataOnly="0" labelOnly="1" outline="0" axis="axisCol" fieldPosition="0"/>
    </format>
    <format dxfId="743">
      <pivotArea field="4" type="button" dataOnly="0" labelOnly="1" outline="0" axis="axisCol" fieldPosition="1"/>
    </format>
    <format dxfId="742">
      <pivotArea type="topRight" dataOnly="0" labelOnly="1" outline="0" fieldPosition="0"/>
    </format>
    <format dxfId="741">
      <pivotArea dataOnly="0" labelOnly="1" outline="0" fieldPosition="0">
        <references count="1">
          <reference field="185" count="1">
            <x v="0"/>
          </reference>
        </references>
      </pivotArea>
    </format>
    <format dxfId="740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739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738">
      <pivotArea type="topRight" dataOnly="0" labelOnly="1" outline="0" offset="F1:I1" fieldPosition="0"/>
    </format>
    <format dxfId="737">
      <pivotArea dataOnly="0" labelOnly="1" outline="0" fieldPosition="0">
        <references count="1">
          <reference field="185" count="1">
            <x v="1"/>
          </reference>
        </references>
      </pivotArea>
    </format>
    <format dxfId="736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735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734">
      <pivotArea type="topRight" dataOnly="0" labelOnly="1" outline="0" offset="K1:L1" fieldPosition="0"/>
    </format>
    <format dxfId="733">
      <pivotArea dataOnly="0" labelOnly="1" outline="0" fieldPosition="0">
        <references count="1">
          <reference field="185" count="1">
            <x v="2"/>
          </reference>
        </references>
      </pivotArea>
    </format>
    <format dxfId="732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731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0">
      <pivotArea type="topRight" dataOnly="0" labelOnly="1" outline="0" offset="N1" fieldPosition="0"/>
    </format>
    <format dxfId="729">
      <pivotArea dataOnly="0" labelOnly="1" outline="0" fieldPosition="0">
        <references count="1">
          <reference field="185" count="1">
            <x v="3"/>
          </reference>
        </references>
      </pivotArea>
    </format>
    <format dxfId="728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727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726">
      <pivotArea type="topRight" dataOnly="0" labelOnly="1" outline="0" offset="P1" fieldPosition="0"/>
    </format>
    <format dxfId="725">
      <pivotArea dataOnly="0" labelOnly="1" outline="0" fieldPosition="0">
        <references count="1">
          <reference field="185" count="1">
            <x v="4"/>
          </reference>
        </references>
      </pivotArea>
    </format>
    <format dxfId="724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723">
      <pivotArea grandCol="1" outline="0" collapsedLevelsAreSubtotals="1" fieldPosition="0"/>
    </format>
    <format dxfId="722">
      <pivotArea type="topRight" dataOnly="0" labelOnly="1" outline="0" offset="R1" fieldPosition="0"/>
    </format>
    <format dxfId="721">
      <pivotArea dataOnly="0" labelOnly="1" grandCol="1" outline="0" fieldPosition="0"/>
    </format>
    <format dxfId="72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1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1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1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71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71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71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71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71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71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70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70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70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70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70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70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70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70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70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70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9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9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9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9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9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9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9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9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9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9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8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8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8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8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8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8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8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8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8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8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7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7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7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7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7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7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7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72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71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70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669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668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6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5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5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4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4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4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4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4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4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4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4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4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4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3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3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3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3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3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3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3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3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3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3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2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2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2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2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2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2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2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2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2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2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1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1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1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61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61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61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610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09">
      <pivotArea type="topRight" dataOnly="0" labelOnly="1" outline="0" offset="I1" fieldPosition="0"/>
    </format>
    <format dxfId="608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607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606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605">
      <pivotArea type="topRight" dataOnly="0" labelOnly="1" outline="0" offset="L1" fieldPosition="0"/>
    </format>
    <format dxfId="604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603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602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01">
      <pivotArea type="topRight" dataOnly="0" labelOnly="1" outline="0" offset="D1" fieldPosition="0"/>
    </format>
    <format dxfId="600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599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598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97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96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595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594">
      <pivotArea field="-2" type="button" dataOnly="0" labelOnly="1" outline="0" axis="axisRow" fieldPosition="1"/>
    </format>
    <format dxfId="59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55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54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53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52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51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50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49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48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47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46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45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44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43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4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541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540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5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0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9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9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9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8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8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6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5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5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5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5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5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5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4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4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4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4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3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2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2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2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1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1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1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1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4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0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0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0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9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9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8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8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84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8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7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7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70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6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6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6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5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4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4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Y260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4"/>
        <item x="11"/>
        <item x="13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23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4"/>
      <x v="14"/>
    </i>
    <i t="default">
      <x v="4"/>
    </i>
    <i>
      <x v="5"/>
      <x v="15"/>
    </i>
    <i t="default">
      <x v="5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95">
    <format dxfId="346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345">
      <pivotArea dataOnly="0" labelOnly="1" outline="0" fieldPosition="0">
        <references count="1">
          <reference field="0" count="1">
            <x v="0"/>
          </reference>
        </references>
      </pivotArea>
    </format>
    <format dxfId="34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3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34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4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3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3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37">
      <pivotArea type="origin" dataOnly="0" labelOnly="1" outline="0" fieldPosition="0"/>
    </format>
    <format dxfId="336">
      <pivotArea field="0" type="button" dataOnly="0" labelOnly="1" outline="0" axis="axisRow" fieldPosition="0"/>
    </format>
    <format dxfId="335">
      <pivotArea dataOnly="0" labelOnly="1" outline="0" fieldPosition="0">
        <references count="1">
          <reference field="0" count="0"/>
        </references>
      </pivotArea>
    </format>
    <format dxfId="33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3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3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329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328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327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2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2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2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32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2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32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32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31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31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31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31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1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31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1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1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11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310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30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08">
      <pivotArea type="all" dataOnly="0" outline="0" fieldPosition="0"/>
    </format>
    <format dxfId="307">
      <pivotArea type="all" dataOnly="0" outline="0" fieldPosition="0"/>
    </format>
    <format dxfId="306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30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0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30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02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301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300">
      <pivotArea dataOnly="0" labelOnly="1" grandCol="1" outline="0" fieldPosition="0"/>
    </format>
    <format dxfId="299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298">
      <pivotArea dataOnly="0" labelOnly="1" grandCol="1" outline="0" fieldPosition="0"/>
    </format>
    <format dxfId="297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7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6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2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25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2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5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25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X56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x="14"/>
        <item x="11"/>
        <item x="13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sd="0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2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</i>
    <i>
      <x v="4"/>
      <x v="14"/>
    </i>
    <i t="default">
      <x v="4"/>
    </i>
    <i>
      <x v="5"/>
      <x v="15"/>
    </i>
    <i t="default">
      <x v="5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82">
    <format dxfId="251">
      <pivotArea dataOnly="0" labelOnly="1" outline="0" fieldPosition="0">
        <references count="1">
          <reference field="0" count="1">
            <x v="0"/>
          </reference>
        </references>
      </pivotArea>
    </format>
    <format dxfId="250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249">
      <pivotArea type="origin" dataOnly="0" labelOnly="1" outline="0" fieldPosition="0"/>
    </format>
    <format dxfId="248">
      <pivotArea field="0" type="button" dataOnly="0" labelOnly="1" outline="0" axis="axisRow" fieldPosition="0"/>
    </format>
    <format dxfId="247">
      <pivotArea dataOnly="0" labelOnly="1" outline="0" fieldPosition="0">
        <references count="1">
          <reference field="0" count="0"/>
        </references>
      </pivotArea>
    </format>
    <format dxfId="246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9"/>
          </reference>
        </references>
      </pivotArea>
    </format>
    <format dxfId="245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4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243">
      <pivotArea type="all" dataOnly="0" outline="0" fieldPosition="0"/>
    </format>
    <format dxfId="242">
      <pivotArea type="all" dataOnly="0" outline="0" fieldPosition="0"/>
    </format>
    <format dxfId="24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4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3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3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3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36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3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3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3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232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28">
      <pivotArea type="origin" dataOnly="0" labelOnly="1" outline="0" fieldPosition="0"/>
    </format>
    <format dxfId="227">
      <pivotArea field="0" type="button" dataOnly="0" labelOnly="1" outline="0" axis="axisRow" fieldPosition="0"/>
    </format>
    <format dxfId="226">
      <pivotArea dataOnly="0" labelOnly="1" outline="0" fieldPosition="0">
        <references count="1">
          <reference field="0" count="0"/>
        </references>
      </pivotArea>
    </format>
    <format dxfId="22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2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2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22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221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220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219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21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1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1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15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1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1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1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11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10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09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2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9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19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6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185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indexed="16"/>
  </sheetPr>
  <dimension ref="A1:AQ372"/>
  <sheetViews>
    <sheetView showGridLines="0" showZeros="0" tabSelected="1" view="pageBreakPreview" zoomScaleNormal="100" zoomScaleSheetLayoutView="100" zoomScalePageLayoutView="80" workbookViewId="0"/>
  </sheetViews>
  <sheetFormatPr defaultColWidth="8.875" defaultRowHeight="12.75" x14ac:dyDescent="0.2"/>
  <cols>
    <col min="1" max="1" width="11.375" style="3" customWidth="1"/>
    <col min="2" max="2" width="7.875" style="3" customWidth="1"/>
    <col min="3" max="3" width="7.75" style="3" customWidth="1"/>
    <col min="4" max="4" width="7.25" style="3" customWidth="1"/>
    <col min="5" max="5" width="6.25" style="3" customWidth="1"/>
    <col min="6" max="6" width="7.25" style="3" customWidth="1"/>
    <col min="7" max="7" width="7" style="3" customWidth="1"/>
    <col min="8" max="8" width="6.25" style="3" customWidth="1"/>
    <col min="9" max="9" width="7.375" style="3" customWidth="1"/>
    <col min="10" max="10" width="6.125" style="3" customWidth="1"/>
    <col min="11" max="11" width="6.375" style="3" customWidth="1"/>
    <col min="12" max="12" width="6.75" style="3" customWidth="1"/>
    <col min="13" max="13" width="7.875" style="3" customWidth="1"/>
    <col min="14" max="14" width="8.25" style="51" customWidth="1"/>
    <col min="15" max="16" width="9" style="51" customWidth="1"/>
    <col min="17" max="17" width="9.125" style="50" customWidth="1"/>
    <col min="18" max="19" width="11.625" style="51" customWidth="1"/>
    <col min="20" max="20" width="9.25" style="51" customWidth="1"/>
    <col min="21" max="21" width="7.625" style="51" customWidth="1"/>
    <col min="22" max="22" width="9" style="51" customWidth="1"/>
    <col min="23" max="23" width="9.75" style="51" customWidth="1"/>
    <col min="24" max="24" width="11.5" style="51" customWidth="1"/>
    <col min="25" max="25" width="10.375" style="51" customWidth="1"/>
    <col min="26" max="26" width="7.875" style="51" customWidth="1"/>
    <col min="27" max="27" width="7.625" style="51" customWidth="1"/>
    <col min="28" max="43" width="4.25" style="3" customWidth="1"/>
    <col min="44" max="16384" width="8.875" style="3"/>
  </cols>
  <sheetData>
    <row r="1" spans="1:43" ht="18" x14ac:dyDescent="0.25">
      <c r="A1" s="22" t="s">
        <v>180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8"/>
      <c r="O1" s="58"/>
      <c r="P1" s="58"/>
      <c r="Q1" s="154" t="s">
        <v>216</v>
      </c>
    </row>
    <row r="2" spans="1:43" ht="15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7"/>
      <c r="O2" s="57"/>
      <c r="P2" s="57"/>
      <c r="Q2" s="163" t="s">
        <v>216</v>
      </c>
    </row>
    <row r="3" spans="1:43" ht="15.75" x14ac:dyDescent="0.25">
      <c r="A3" s="1" t="s">
        <v>181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8"/>
      <c r="O3" s="58"/>
      <c r="P3" s="58"/>
      <c r="Q3" s="154" t="s">
        <v>216</v>
      </c>
      <c r="R3" s="51" t="s">
        <v>216</v>
      </c>
    </row>
    <row r="4" spans="1:43" ht="15.75" x14ac:dyDescent="0.25">
      <c r="A4" s="1" t="s">
        <v>1281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8"/>
      <c r="O4" s="58"/>
      <c r="P4" s="58"/>
      <c r="Q4" s="154" t="s">
        <v>216</v>
      </c>
    </row>
    <row r="5" spans="1:43" ht="15.7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1" t="s">
        <v>216</v>
      </c>
      <c r="R5" s="51" t="s">
        <v>216</v>
      </c>
      <c r="T5" s="51" t="s">
        <v>216</v>
      </c>
      <c r="U5" s="51" t="s">
        <v>216</v>
      </c>
      <c r="V5" s="51" t="s">
        <v>216</v>
      </c>
      <c r="W5" s="51" t="s">
        <v>216</v>
      </c>
      <c r="Y5" s="149"/>
    </row>
    <row r="6" spans="1:43" ht="15.75" x14ac:dyDescent="0.25">
      <c r="A6" s="91"/>
      <c r="B6" s="91"/>
      <c r="C6" s="91"/>
      <c r="D6" s="91"/>
      <c r="E6" s="91"/>
      <c r="F6" s="91"/>
      <c r="G6" s="91"/>
      <c r="H6" s="95" t="s">
        <v>410</v>
      </c>
      <c r="I6" s="26"/>
      <c r="J6" s="26"/>
      <c r="K6" s="26"/>
      <c r="L6" s="26"/>
      <c r="M6" s="26"/>
      <c r="N6" s="92"/>
      <c r="O6" s="99"/>
      <c r="P6" s="94" t="s">
        <v>216</v>
      </c>
      <c r="Q6" s="51" t="s">
        <v>216</v>
      </c>
      <c r="R6" s="51" t="s">
        <v>216</v>
      </c>
      <c r="T6" s="51" t="s">
        <v>216</v>
      </c>
      <c r="U6" s="51" t="s">
        <v>216</v>
      </c>
      <c r="V6" s="51" t="s">
        <v>216</v>
      </c>
      <c r="W6" s="51" t="s">
        <v>216</v>
      </c>
      <c r="AA6" s="150"/>
    </row>
    <row r="7" spans="1:43" ht="36" customHeight="1" x14ac:dyDescent="0.2">
      <c r="A7" s="14"/>
      <c r="B7" s="15" t="s">
        <v>244</v>
      </c>
      <c r="C7" s="15" t="s">
        <v>182</v>
      </c>
      <c r="D7" s="15" t="s">
        <v>175</v>
      </c>
      <c r="E7" s="15" t="s">
        <v>176</v>
      </c>
      <c r="F7" s="15" t="s">
        <v>183</v>
      </c>
      <c r="G7" s="15" t="s">
        <v>184</v>
      </c>
      <c r="H7" s="16" t="s">
        <v>185</v>
      </c>
      <c r="I7" s="15" t="s">
        <v>186</v>
      </c>
      <c r="J7" s="15" t="s">
        <v>187</v>
      </c>
      <c r="K7" s="15" t="s">
        <v>179</v>
      </c>
      <c r="L7" s="15" t="s">
        <v>188</v>
      </c>
      <c r="M7" s="15" t="s">
        <v>189</v>
      </c>
      <c r="N7" s="90" t="s">
        <v>263</v>
      </c>
      <c r="O7" s="96" t="s">
        <v>408</v>
      </c>
      <c r="P7" s="90" t="s">
        <v>190</v>
      </c>
      <c r="Q7" s="51" t="s">
        <v>216</v>
      </c>
      <c r="R7" s="51" t="s">
        <v>216</v>
      </c>
      <c r="T7" s="51" t="s">
        <v>216</v>
      </c>
      <c r="U7" s="51" t="s">
        <v>216</v>
      </c>
      <c r="V7" s="51" t="s">
        <v>216</v>
      </c>
      <c r="W7" s="51" t="s">
        <v>216</v>
      </c>
      <c r="AA7" s="151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8"/>
      <c r="AM7" s="107"/>
      <c r="AN7" s="107"/>
      <c r="AO7" s="107"/>
      <c r="AP7" s="108"/>
      <c r="AQ7" s="107"/>
    </row>
    <row r="8" spans="1:43" ht="15" customHeight="1" x14ac:dyDescent="0.2">
      <c r="A8" s="5" t="s">
        <v>191</v>
      </c>
      <c r="B8" s="6">
        <f>+GETPIVOTDATA(" New-Less Than 2-Year",'Pivot Table for 1-11'!$A$3)+GETPIVOTDATA(" New-2 But Less Than 4-Year",'Pivot Table for 1-11'!$A$3)</f>
        <v>200316</v>
      </c>
      <c r="C8" s="6">
        <f>+GETPIVOTDATA(" New-Associate's",'Pivot Table for 1-11'!$A$3)</f>
        <v>285701</v>
      </c>
      <c r="D8" s="6">
        <f>+GETPIVOTDATA(" New-Bachelor's",'Pivot Table for 1-11'!$A$3)</f>
        <v>422563</v>
      </c>
      <c r="E8" s="6">
        <f>+GETPIVOTDATA(" New-Post-Bachelor's",'Pivot Table for 1-11'!$A$3)</f>
        <v>3785</v>
      </c>
      <c r="F8" s="6">
        <f>+GETPIVOTDATA(" New-Total Master's#",'Pivot Table for 1-11'!$A$3)</f>
        <v>145054</v>
      </c>
      <c r="G8" s="6">
        <f>+GETPIVOTDATA(" New-Total Doctorates#",'Pivot Table for 1-11'!$A$3)</f>
        <v>16113</v>
      </c>
      <c r="H8" s="17">
        <f>+GETPIVOTDATA(" New-Law",'Pivot Table for 1-11'!$A$3)</f>
        <v>6551</v>
      </c>
      <c r="I8" s="6">
        <f>+GETPIVOTDATA(" New-Medicine",'Pivot Table for 1-11'!$A$3)</f>
        <v>4170</v>
      </c>
      <c r="J8" s="6">
        <f>+GETPIVOTDATA(" New-Dentistry",'Pivot Table for 1-11'!$A$3)</f>
        <v>1256</v>
      </c>
      <c r="K8" s="6">
        <f>+GETPIVOTDATA(" New-Pharmacy",'Pivot Table for 1-11'!$A$3)</f>
        <v>3001</v>
      </c>
      <c r="L8" s="6">
        <f>+GETPIVOTDATA(" New-Optometry",'Pivot Table for 1-11'!$A$3)</f>
        <v>154</v>
      </c>
      <c r="M8" s="6">
        <f>+GETPIVOTDATA(" New-Osteopathic Medicine",'Pivot Table for 1-11'!$A$3)</f>
        <v>406</v>
      </c>
      <c r="N8" s="80">
        <f>+GETPIVOTDATA(" New-Veterinary Medicine",'Pivot Table for 1-11'!$A$3)</f>
        <v>933</v>
      </c>
      <c r="O8" s="97">
        <f>+GETPIVOTDATA(" New-Oth PP",'Pivot Table for 1-11'!$A$3)</f>
        <v>1832</v>
      </c>
      <c r="P8" s="81">
        <f>SUM(B8:O8)</f>
        <v>1091835</v>
      </c>
      <c r="Q8" s="51" t="s">
        <v>216</v>
      </c>
      <c r="R8" s="51" t="s">
        <v>216</v>
      </c>
      <c r="T8" s="51" t="s">
        <v>216</v>
      </c>
      <c r="U8" s="51" t="s">
        <v>216</v>
      </c>
      <c r="V8" s="51" t="s">
        <v>216</v>
      </c>
      <c r="W8" s="51" t="s">
        <v>216</v>
      </c>
      <c r="AL8" s="109"/>
      <c r="AP8" s="109"/>
    </row>
    <row r="9" spans="1:43" ht="15" customHeight="1" x14ac:dyDescent="0.2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0"/>
      <c r="O9" s="97"/>
      <c r="P9" s="81"/>
      <c r="Q9" s="51" t="s">
        <v>216</v>
      </c>
      <c r="R9" s="51" t="s">
        <v>216</v>
      </c>
      <c r="T9" s="51" t="s">
        <v>216</v>
      </c>
      <c r="U9" s="51" t="s">
        <v>216</v>
      </c>
      <c r="V9" s="51" t="s">
        <v>216</v>
      </c>
      <c r="W9" s="51" t="s">
        <v>216</v>
      </c>
      <c r="AL9" s="109"/>
      <c r="AP9" s="109"/>
    </row>
    <row r="10" spans="1:43" ht="15" customHeight="1" x14ac:dyDescent="0.2">
      <c r="A10" s="5" t="s">
        <v>192</v>
      </c>
      <c r="B10" s="6">
        <f>+GETPIVOTDATA(" New-Less Than 2-Year",'Pivot Table for 1-11'!$A$3,"State","AL")+GETPIVOTDATA(" New-2 But Less Than 4-Year",'Pivot Table for 1-11'!$A$3,"State","AL")</f>
        <v>6041</v>
      </c>
      <c r="C10" s="6">
        <f>+GETPIVOTDATA(" New-Associate's",'Pivot Table for 1-11'!$A$3,"State","AL")</f>
        <v>9997</v>
      </c>
      <c r="D10" s="6">
        <f>+GETPIVOTDATA(" New-Bachelor's",'Pivot Table for 1-11'!$A$3,"State","AL")</f>
        <v>20529</v>
      </c>
      <c r="E10" s="6">
        <f>+GETPIVOTDATA(" New-Post-Bachelor's",'Pivot Table for 1-11'!$A$3,"State","AL")</f>
        <v>115</v>
      </c>
      <c r="F10" s="6">
        <f>+GETPIVOTDATA(" New-Total Master's#",'Pivot Table for 1-11'!$A$3,"State","AL")</f>
        <v>8870</v>
      </c>
      <c r="G10" s="6">
        <f>+GETPIVOTDATA(" New-Total Doctorates#",'Pivot Table for 1-11'!$A$3,"State","AL")</f>
        <v>673</v>
      </c>
      <c r="H10" s="17">
        <f>GETPIVOTDATA(" New-Law",'Pivot Table for 1-11'!$A$3,"State","AL")</f>
        <v>175</v>
      </c>
      <c r="I10" s="6">
        <f>GETPIVOTDATA(" New-Medicine",'Pivot Table for 1-11'!$A$3,"State","AL")</f>
        <v>256</v>
      </c>
      <c r="J10" s="6">
        <f>GETPIVOTDATA(" New-Dentistry",'Pivot Table for 1-11'!$A$3,"State","AL")</f>
        <v>65</v>
      </c>
      <c r="K10" s="6">
        <f>GETPIVOTDATA(" New-Pharmacy",'Pivot Table for 1-11'!$A$3,"State","AL")</f>
        <v>131</v>
      </c>
      <c r="L10" s="6">
        <f>GETPIVOTDATA(" New-Optometry",'Pivot Table for 1-11'!$A$3,"State","AL")</f>
        <v>36</v>
      </c>
      <c r="M10" s="6">
        <f>GETPIVOTDATA(" New-Osteopathic Medicine",'Pivot Table for 1-11'!$A$3,"State","AL")</f>
        <v>0</v>
      </c>
      <c r="N10" s="80">
        <f>GETPIVOTDATA(" New-Veterinary Medicine",'Pivot Table for 1-11'!$A$3,"State","AL")</f>
        <v>90</v>
      </c>
      <c r="O10" s="97">
        <f>+GETPIVOTDATA(" New-Oth PP",'Pivot Table for 1-11'!$A$3,"State","AL")</f>
        <v>307</v>
      </c>
      <c r="P10" s="81">
        <f t="shared" ref="P10:P28" si="0">SUM(B10:O10)</f>
        <v>47285</v>
      </c>
      <c r="Q10" s="51" t="s">
        <v>216</v>
      </c>
      <c r="R10" s="51" t="s">
        <v>216</v>
      </c>
      <c r="T10" s="51" t="s">
        <v>216</v>
      </c>
      <c r="U10" s="51" t="s">
        <v>216</v>
      </c>
      <c r="V10" s="51" t="s">
        <v>216</v>
      </c>
      <c r="W10" s="51" t="s">
        <v>216</v>
      </c>
      <c r="AA10" s="152"/>
      <c r="AL10" s="109"/>
      <c r="AP10" s="109"/>
    </row>
    <row r="11" spans="1:43" ht="15" customHeight="1" x14ac:dyDescent="0.2">
      <c r="A11" s="5" t="s">
        <v>193</v>
      </c>
      <c r="B11" s="6">
        <f>+GETPIVOTDATA(" New-Less Than 2-Year",'Pivot Table for 1-11'!$A$3,"State","AR")+GETPIVOTDATA(" New-2 But Less Than 4-Year",'Pivot Table for 1-11'!$A$3,"State","AR")</f>
        <v>9274</v>
      </c>
      <c r="C11" s="6">
        <f>+GETPIVOTDATA(" New-Associate's",'Pivot Table for 1-11'!$A$3,"State","AR")</f>
        <v>8223</v>
      </c>
      <c r="D11" s="6">
        <f>+GETPIVOTDATA(" New-Bachelor's",'Pivot Table for 1-11'!$A$3,"State","AR")</f>
        <v>11458</v>
      </c>
      <c r="E11" s="6">
        <f>+GETPIVOTDATA(" New-Post-Bachelor's",'Pivot Table for 1-11'!$A$3,"State","AR")</f>
        <v>251</v>
      </c>
      <c r="F11" s="6">
        <f>+GETPIVOTDATA(" New-Total Master's#",'Pivot Table for 1-11'!$A$3,"State","AR")</f>
        <v>4870</v>
      </c>
      <c r="G11" s="6">
        <f>+GETPIVOTDATA(" New-Total Doctorates#",'Pivot Table for 1-11'!$A$3,"State","AR")</f>
        <v>257</v>
      </c>
      <c r="H11" s="17">
        <f>GETPIVOTDATA(" New-Law",'Pivot Table for 1-11'!$A$3,"State","AR")</f>
        <v>275</v>
      </c>
      <c r="I11" s="6">
        <f>GETPIVOTDATA(" New-Medicine",'Pivot Table for 1-11'!$A$3,"State","AR")</f>
        <v>132</v>
      </c>
      <c r="J11" s="6">
        <f>GETPIVOTDATA(" New-Dentistry",'Pivot Table for 1-11'!$A$3,"State","AR")</f>
        <v>0</v>
      </c>
      <c r="K11" s="6">
        <f>GETPIVOTDATA(" New-Pharmacy",'Pivot Table for 1-11'!$A$3,"State","AR")</f>
        <v>113</v>
      </c>
      <c r="L11" s="6">
        <f>GETPIVOTDATA(" New-Optometry",'Pivot Table for 1-11'!$A$3,"State","AR")</f>
        <v>0</v>
      </c>
      <c r="M11" s="6">
        <f>GETPIVOTDATA(" New-Osteopathic Medicine",'Pivot Table for 1-11'!$A$3,"State","AR")</f>
        <v>0</v>
      </c>
      <c r="N11" s="80">
        <f>GETPIVOTDATA(" New-Veterinary Medicine",'Pivot Table for 1-11'!$A$3,"State","AR")</f>
        <v>0</v>
      </c>
      <c r="O11" s="97">
        <f>+GETPIVOTDATA(" New-Oth PP",'Pivot Table for 1-11'!$A$3,"State","AR")</f>
        <v>78</v>
      </c>
      <c r="P11" s="81">
        <f t="shared" si="0"/>
        <v>34931</v>
      </c>
      <c r="Q11" s="51" t="s">
        <v>216</v>
      </c>
      <c r="R11" s="51" t="s">
        <v>216</v>
      </c>
      <c r="T11" s="51" t="s">
        <v>216</v>
      </c>
      <c r="U11" s="51" t="s">
        <v>216</v>
      </c>
      <c r="V11" s="51" t="s">
        <v>216</v>
      </c>
      <c r="W11" s="51" t="s">
        <v>216</v>
      </c>
      <c r="AL11" s="109"/>
      <c r="AP11" s="109"/>
    </row>
    <row r="12" spans="1:43" ht="15" customHeight="1" x14ac:dyDescent="0.2">
      <c r="A12" s="5" t="s">
        <v>194</v>
      </c>
      <c r="B12" s="6">
        <f>+GETPIVOTDATA(" New-Less Than 2-Year",'Pivot Table for 1-11'!$A$3,"State","DE")+GETPIVOTDATA(" New-2 But Less Than 4-Year",'Pivot Table for 1-11'!$A$3,"State","DE")</f>
        <v>415</v>
      </c>
      <c r="C12" s="6">
        <f>+GETPIVOTDATA(" New-Associate's",'Pivot Table for 1-11'!$A$3,"State","DE")</f>
        <v>1735</v>
      </c>
      <c r="D12" s="6">
        <f>+GETPIVOTDATA(" New-Bachelor's",'Pivot Table for 1-11'!$A$3,"State","DE")</f>
        <v>4040</v>
      </c>
      <c r="E12" s="6">
        <f>+GETPIVOTDATA(" New-Post-Bachelor's",'Pivot Table for 1-11'!$A$3,"State","DE")</f>
        <v>0</v>
      </c>
      <c r="F12" s="6">
        <f>+GETPIVOTDATA(" New-Total Master's#",'Pivot Table for 1-11'!$A$3,"State","DE")</f>
        <v>897</v>
      </c>
      <c r="G12" s="6">
        <f>+GETPIVOTDATA(" New-Total Doctorates#",'Pivot Table for 1-11'!$A$3,"State","DE")</f>
        <v>243</v>
      </c>
      <c r="H12" s="17">
        <f>GETPIVOTDATA(" New-Law",'Pivot Table for 1-11'!$A$3,"State","DE")</f>
        <v>0</v>
      </c>
      <c r="I12" s="6">
        <f>GETPIVOTDATA(" New-Medicine",'Pivot Table for 1-11'!$A$3,"State","DE")</f>
        <v>0</v>
      </c>
      <c r="J12" s="6">
        <f>GETPIVOTDATA(" New-Dentistry",'Pivot Table for 1-11'!$A$3,"State","DE")</f>
        <v>0</v>
      </c>
      <c r="K12" s="6">
        <f>GETPIVOTDATA(" New-Pharmacy",'Pivot Table for 1-11'!$A$3,"State","DE")</f>
        <v>0</v>
      </c>
      <c r="L12" s="6">
        <f>GETPIVOTDATA(" New-Optometry",'Pivot Table for 1-11'!$A$3,"State","DE")</f>
        <v>0</v>
      </c>
      <c r="M12" s="6">
        <f>GETPIVOTDATA(" New-Osteopathic Medicine",'Pivot Table for 1-11'!$A$3,"State","DE")</f>
        <v>0</v>
      </c>
      <c r="N12" s="80">
        <f>GETPIVOTDATA(" New-Veterinary Medicine",'Pivot Table for 1-11'!$A$3,"State","DE")</f>
        <v>0</v>
      </c>
      <c r="O12" s="97">
        <f>+GETPIVOTDATA(" New-Oth PP",'Pivot Table for 1-11'!$A$3,"State","DE")</f>
        <v>34</v>
      </c>
      <c r="P12" s="81">
        <f t="shared" si="0"/>
        <v>7364</v>
      </c>
      <c r="Q12" s="51" t="s">
        <v>216</v>
      </c>
      <c r="R12" s="51" t="s">
        <v>216</v>
      </c>
      <c r="T12" s="51" t="s">
        <v>216</v>
      </c>
      <c r="U12" s="51" t="s">
        <v>216</v>
      </c>
      <c r="V12" s="51" t="s">
        <v>216</v>
      </c>
      <c r="W12" s="51" t="s">
        <v>216</v>
      </c>
      <c r="AL12" s="109"/>
      <c r="AP12" s="109"/>
    </row>
    <row r="13" spans="1:43" ht="15" customHeight="1" x14ac:dyDescent="0.2">
      <c r="A13" s="5" t="s">
        <v>195</v>
      </c>
      <c r="B13" s="6">
        <f>+GETPIVOTDATA(" New-Less Than 2-Year",'Pivot Table for 1-11'!$A$3,"State","FL")+GETPIVOTDATA(" New-2 But Less Than 4-Year",'Pivot Table for 1-11'!$A$3,"State","FL")</f>
        <v>24097</v>
      </c>
      <c r="C13" s="6">
        <f>+GETPIVOTDATA(" New-Associate's",'Pivot Table for 1-11'!$A$3,"State","FL")</f>
        <v>79362</v>
      </c>
      <c r="D13" s="6">
        <f>+GETPIVOTDATA(" New-Bachelor's",'Pivot Table for 1-11'!$A$3,"State","FL")</f>
        <v>61444</v>
      </c>
      <c r="E13" s="6">
        <f>+GETPIVOTDATA(" New-Post-Bachelor's",'Pivot Table for 1-11'!$A$3,"State","FL")</f>
        <v>176</v>
      </c>
      <c r="F13" s="6">
        <f>+GETPIVOTDATA(" New-Total Master's#",'Pivot Table for 1-11'!$A$3,"State","FL")</f>
        <v>17118</v>
      </c>
      <c r="G13" s="6">
        <f>+GETPIVOTDATA(" New-Total Doctorates#",'Pivot Table for 1-11'!$A$3,"State","FL")</f>
        <v>2311</v>
      </c>
      <c r="H13" s="17">
        <f>GETPIVOTDATA(" New-Law",'Pivot Table for 1-11'!$A$3,"State","FL")</f>
        <v>959</v>
      </c>
      <c r="I13" s="6">
        <f>GETPIVOTDATA(" New-Medicine",'Pivot Table for 1-11'!$A$3,"State","FL")</f>
        <v>361</v>
      </c>
      <c r="J13" s="6">
        <f>GETPIVOTDATA(" New-Dentistry",'Pivot Table for 1-11'!$A$3,"State","FL")</f>
        <v>83</v>
      </c>
      <c r="K13" s="6">
        <f>GETPIVOTDATA(" New-Pharmacy",'Pivot Table for 1-11'!$A$3,"State","FL")</f>
        <v>596</v>
      </c>
      <c r="L13" s="6">
        <f>GETPIVOTDATA(" New-Optometry",'Pivot Table for 1-11'!$A$3,"State","FL")</f>
        <v>0</v>
      </c>
      <c r="M13" s="6">
        <f>GETPIVOTDATA(" New-Osteopathic Medicine",'Pivot Table for 1-11'!$A$3,"State","FL")</f>
        <v>0</v>
      </c>
      <c r="N13" s="80">
        <f>GETPIVOTDATA(" New-Veterinary Medicine",'Pivot Table for 1-11'!$A$3,"State","FL")</f>
        <v>84</v>
      </c>
      <c r="O13" s="97">
        <f>+GETPIVOTDATA(" New-Oth PP",'Pivot Table for 1-11'!$A$3,"State","FL")</f>
        <v>345</v>
      </c>
      <c r="P13" s="81">
        <f t="shared" si="0"/>
        <v>186936</v>
      </c>
      <c r="Q13" s="164"/>
      <c r="R13" s="153"/>
      <c r="S13" s="153"/>
      <c r="T13" s="153"/>
      <c r="U13" s="153"/>
      <c r="V13" s="153"/>
      <c r="AL13" s="109"/>
      <c r="AP13" s="109"/>
    </row>
    <row r="14" spans="1:43" ht="15" customHeight="1" x14ac:dyDescent="0.2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0"/>
      <c r="O14" s="97"/>
      <c r="P14" s="81"/>
      <c r="Q14" s="164"/>
      <c r="R14" s="153"/>
      <c r="S14" s="153"/>
      <c r="T14" s="153"/>
      <c r="U14" s="153"/>
      <c r="V14" s="153"/>
      <c r="AL14" s="109"/>
      <c r="AP14" s="109"/>
    </row>
    <row r="15" spans="1:43" ht="15" customHeight="1" x14ac:dyDescent="0.2">
      <c r="A15" s="5" t="s">
        <v>196</v>
      </c>
      <c r="B15" s="6">
        <f>+GETPIVOTDATA(" New-Less Than 2-Year",'Pivot Table for 1-11'!$A$3,"State","GA")+GETPIVOTDATA(" New-2 But Less Than 4-Year",'Pivot Table for 1-11'!$A$3,"State","GA")</f>
        <v>35237</v>
      </c>
      <c r="C15" s="6">
        <f>+GETPIVOTDATA(" New-Associate's",'Pivot Table for 1-11'!$A$3,"State","GA")</f>
        <v>13048</v>
      </c>
      <c r="D15" s="6">
        <f>+GETPIVOTDATA(" New-Bachelor's",'Pivot Table for 1-11'!$A$3,"State","GA")</f>
        <v>33717</v>
      </c>
      <c r="E15" s="6">
        <f>+GETPIVOTDATA(" New-Post-Bachelor's",'Pivot Table for 1-11'!$A$3,"State","GA")</f>
        <v>185</v>
      </c>
      <c r="F15" s="6">
        <f>+GETPIVOTDATA(" New-Total Master's#",'Pivot Table for 1-11'!$A$3,"State","GA")</f>
        <v>11820</v>
      </c>
      <c r="G15" s="6">
        <f>+GETPIVOTDATA(" New-Total Doctorates#",'Pivot Table for 1-11'!$A$3,"State","GA")</f>
        <v>1445</v>
      </c>
      <c r="H15" s="17">
        <f>GETPIVOTDATA(" New-Law",'Pivot Table for 1-11'!$A$3,"State","GA")</f>
        <v>421</v>
      </c>
      <c r="I15" s="6">
        <f>GETPIVOTDATA(" New-Medicine",'Pivot Table for 1-11'!$A$3,"State","GA")</f>
        <v>180</v>
      </c>
      <c r="J15" s="6">
        <f>GETPIVOTDATA(" New-Dentistry",'Pivot Table for 1-11'!$A$3,"State","GA")</f>
        <v>61</v>
      </c>
      <c r="K15" s="6">
        <f>GETPIVOTDATA(" New-Pharmacy",'Pivot Table for 1-11'!$A$3,"State","GA")</f>
        <v>122</v>
      </c>
      <c r="L15" s="6">
        <f>GETPIVOTDATA(" New-Optometry",'Pivot Table for 1-11'!$A$3,"State","GA")</f>
        <v>0</v>
      </c>
      <c r="M15" s="6">
        <f>GETPIVOTDATA(" New-Osteopathic Medicine",'Pivot Table for 1-11'!$A$3,"State","GA")</f>
        <v>0</v>
      </c>
      <c r="N15" s="80">
        <f>GETPIVOTDATA(" New-Veterinary Medicine",'Pivot Table for 1-11'!$A$3,"State","GA")</f>
        <v>99</v>
      </c>
      <c r="O15" s="97">
        <f>+GETPIVOTDATA(" New-Oth PP",'Pivot Table for 1-11'!$A$3,"State","GA")</f>
        <v>0</v>
      </c>
      <c r="P15" s="81">
        <f t="shared" si="0"/>
        <v>96335</v>
      </c>
      <c r="Q15" s="164"/>
      <c r="R15" s="153"/>
      <c r="S15" s="153"/>
      <c r="T15" s="153"/>
      <c r="U15" s="153"/>
      <c r="V15" s="153"/>
      <c r="AL15" s="109"/>
      <c r="AP15" s="109"/>
    </row>
    <row r="16" spans="1:43" ht="15" customHeight="1" x14ac:dyDescent="0.2">
      <c r="A16" s="5" t="s">
        <v>197</v>
      </c>
      <c r="B16" s="6">
        <f>+GETPIVOTDATA(" New-Less Than 2-Year",'Pivot Table for 1-11'!$A$3,"State","KY")+GETPIVOTDATA(" New-2 But Less Than 4-Year",'Pivot Table for 1-11'!$A$3,"State","KY")</f>
        <v>19762</v>
      </c>
      <c r="C16" s="6">
        <f>+GETPIVOTDATA(" New-Associate's",'Pivot Table for 1-11'!$A$3,"State","KY")</f>
        <v>9759</v>
      </c>
      <c r="D16" s="6">
        <f>+GETPIVOTDATA(" New-Bachelor's",'Pivot Table for 1-11'!$A$3,"State","KY")</f>
        <v>16207</v>
      </c>
      <c r="E16" s="6">
        <f>+GETPIVOTDATA(" New-Post-Bachelor's",'Pivot Table for 1-11'!$A$3,"State","KY")</f>
        <v>306</v>
      </c>
      <c r="F16" s="6">
        <f>+GETPIVOTDATA(" New-Total Master's#",'Pivot Table for 1-11'!$A$3,"State","KY")</f>
        <v>6251</v>
      </c>
      <c r="G16" s="6">
        <f>+GETPIVOTDATA(" New-Total Doctorates#",'Pivot Table for 1-11'!$A$3,"State","KY")</f>
        <v>524</v>
      </c>
      <c r="H16" s="17">
        <f>GETPIVOTDATA(" New-Law",'Pivot Table for 1-11'!$A$3,"State","KY")</f>
        <v>429</v>
      </c>
      <c r="I16" s="6">
        <f>GETPIVOTDATA(" New-Medicine",'Pivot Table for 1-11'!$A$3,"State","KY")</f>
        <v>252</v>
      </c>
      <c r="J16" s="6">
        <f>GETPIVOTDATA(" New-Dentistry",'Pivot Table for 1-11'!$A$3,"State","KY")</f>
        <v>148</v>
      </c>
      <c r="K16" s="6">
        <f>GETPIVOTDATA(" New-Pharmacy",'Pivot Table for 1-11'!$A$3,"State","KY")</f>
        <v>126</v>
      </c>
      <c r="L16" s="6">
        <f>GETPIVOTDATA(" New-Optometry",'Pivot Table for 1-11'!$A$3,"State","KY")</f>
        <v>0</v>
      </c>
      <c r="M16" s="6">
        <f>GETPIVOTDATA(" New-Osteopathic Medicine",'Pivot Table for 1-11'!$A$3,"State","KY")</f>
        <v>0</v>
      </c>
      <c r="N16" s="80">
        <f>GETPIVOTDATA(" New-Veterinary Medicine",'Pivot Table for 1-11'!$A$3,"State","KY")</f>
        <v>0</v>
      </c>
      <c r="O16" s="97">
        <f>+GETPIVOTDATA(" New-Oth PP",'Pivot Table for 1-11'!$A$3,"State","KY")</f>
        <v>169</v>
      </c>
      <c r="P16" s="81">
        <f t="shared" si="0"/>
        <v>53933</v>
      </c>
      <c r="Q16" s="164"/>
      <c r="R16" s="153"/>
      <c r="S16" s="153"/>
      <c r="T16" s="153"/>
      <c r="U16" s="153"/>
      <c r="V16" s="153"/>
      <c r="AL16" s="109"/>
      <c r="AP16" s="109"/>
    </row>
    <row r="17" spans="1:42" ht="15" customHeight="1" x14ac:dyDescent="0.2">
      <c r="A17" s="5" t="s">
        <v>198</v>
      </c>
      <c r="B17" s="6">
        <f>+GETPIVOTDATA(" New-Less Than 2-Year",'Pivot Table for 1-11'!$A$3,"State","LA")+GETPIVOTDATA(" New-2 But Less Than 4-Year",'Pivot Table for 1-11'!$A$3,"State","LA")</f>
        <v>9123</v>
      </c>
      <c r="C17" s="6">
        <f>+GETPIVOTDATA(" New-Associate's",'Pivot Table for 1-11'!$A$3,"State","LA")</f>
        <v>5944</v>
      </c>
      <c r="D17" s="6">
        <f>+GETPIVOTDATA(" New-Bachelor's",'Pivot Table for 1-11'!$A$3,"State","LA")</f>
        <v>18582</v>
      </c>
      <c r="E17" s="6">
        <f>+GETPIVOTDATA(" New-Post-Bachelor's",'Pivot Table for 1-11'!$A$3,"State","LA")</f>
        <v>151</v>
      </c>
      <c r="F17" s="6">
        <f>+GETPIVOTDATA(" New-Total Master's#",'Pivot Table for 1-11'!$A$3,"State","LA")</f>
        <v>4820</v>
      </c>
      <c r="G17" s="6">
        <f>+GETPIVOTDATA(" New-Total Doctorates#",'Pivot Table for 1-11'!$A$3,"State","LA")</f>
        <v>529</v>
      </c>
      <c r="H17" s="17">
        <f>GETPIVOTDATA(" New-Law",'Pivot Table for 1-11'!$A$3,"State","LA")</f>
        <v>390</v>
      </c>
      <c r="I17" s="6">
        <f>GETPIVOTDATA(" New-Medicine",'Pivot Table for 1-11'!$A$3,"State","LA")</f>
        <v>283</v>
      </c>
      <c r="J17" s="6">
        <f>GETPIVOTDATA(" New-Dentistry",'Pivot Table for 1-11'!$A$3,"State","LA")</f>
        <v>58</v>
      </c>
      <c r="K17" s="6">
        <f>GETPIVOTDATA(" New-Pharmacy",'Pivot Table for 1-11'!$A$3,"State","LA")</f>
        <v>96</v>
      </c>
      <c r="L17" s="6">
        <f>GETPIVOTDATA(" New-Optometry",'Pivot Table for 1-11'!$A$3,"State","LA")</f>
        <v>0</v>
      </c>
      <c r="M17" s="6">
        <f>GETPIVOTDATA(" New-Osteopathic Medicine",'Pivot Table for 1-11'!$A$3,"State","LA")</f>
        <v>0</v>
      </c>
      <c r="N17" s="80">
        <f>GETPIVOTDATA(" New-Veterinary Medicine",'Pivot Table for 1-11'!$A$3,"State","LA")</f>
        <v>82</v>
      </c>
      <c r="O17" s="97">
        <f>+GETPIVOTDATA(" New-Oth PP",'Pivot Table for 1-11'!$A$3,"State","LA")</f>
        <v>0</v>
      </c>
      <c r="P17" s="81">
        <f t="shared" si="0"/>
        <v>40058</v>
      </c>
      <c r="Q17" s="164"/>
      <c r="R17" s="153"/>
      <c r="S17" s="153"/>
      <c r="T17" s="153"/>
      <c r="U17" s="153"/>
      <c r="V17" s="153"/>
      <c r="AL17" s="109"/>
      <c r="AP17" s="109"/>
    </row>
    <row r="18" spans="1:42" ht="15" customHeight="1" x14ac:dyDescent="0.2">
      <c r="A18" s="5" t="s">
        <v>199</v>
      </c>
      <c r="B18" s="6">
        <f>+GETPIVOTDATA(" New-Less Than 2-Year",'Pivot Table for 1-11'!$A$3,"State","MD")+GETPIVOTDATA(" New-2 But Less Than 4-Year",'Pivot Table for 1-11'!$A$3,"State","MD")</f>
        <v>4416</v>
      </c>
      <c r="C18" s="6">
        <f>+GETPIVOTDATA(" New-Associate's",'Pivot Table for 1-11'!$A$3,"State","MD")</f>
        <v>14250</v>
      </c>
      <c r="D18" s="6">
        <f>+GETPIVOTDATA(" New-Bachelor's",'Pivot Table for 1-11'!$A$3,"State","MD")</f>
        <v>23933</v>
      </c>
      <c r="E18" s="6">
        <f>+GETPIVOTDATA(" New-Post-Bachelor's",'Pivot Table for 1-11'!$A$3,"State","MD")</f>
        <v>1154</v>
      </c>
      <c r="F18" s="6">
        <f>+GETPIVOTDATA(" New-Total Master's#",'Pivot Table for 1-11'!$A$3,"State","MD")</f>
        <v>9875</v>
      </c>
      <c r="G18" s="6">
        <f>+GETPIVOTDATA(" New-Total Doctorates#",'Pivot Table for 1-11'!$A$3,"State","MD")</f>
        <v>869</v>
      </c>
      <c r="H18" s="17">
        <f>GETPIVOTDATA(" New-Law",'Pivot Table for 1-11'!$A$3,"State","MD")</f>
        <v>664</v>
      </c>
      <c r="I18" s="6">
        <f>GETPIVOTDATA(" New-Medicine",'Pivot Table for 1-11'!$A$3,"State","MD")</f>
        <v>153</v>
      </c>
      <c r="J18" s="6">
        <f>GETPIVOTDATA(" New-Dentistry",'Pivot Table for 1-11'!$A$3,"State","MD")</f>
        <v>123</v>
      </c>
      <c r="K18" s="6">
        <f>GETPIVOTDATA(" New-Pharmacy",'Pivot Table for 1-11'!$A$3,"State","MD")</f>
        <v>156</v>
      </c>
      <c r="L18" s="6">
        <f>GETPIVOTDATA(" New-Optometry",'Pivot Table for 1-11'!$A$3,"State","MD")</f>
        <v>0</v>
      </c>
      <c r="M18" s="6">
        <f>GETPIVOTDATA(" New-Osteopathic Medicine",'Pivot Table for 1-11'!$A$3,"State","MD")</f>
        <v>0</v>
      </c>
      <c r="N18" s="80">
        <f>GETPIVOTDATA(" New-Veterinary Medicine",'Pivot Table for 1-11'!$A$3,"State","MD")</f>
        <v>21</v>
      </c>
      <c r="O18" s="97">
        <f>+GETPIVOTDATA(" New-Oth PP",'Pivot Table for 1-11'!$A$3,"State","MD")</f>
        <v>156</v>
      </c>
      <c r="P18" s="81">
        <f t="shared" si="0"/>
        <v>55770</v>
      </c>
      <c r="Q18" s="164"/>
      <c r="R18" s="153"/>
      <c r="S18" s="153"/>
      <c r="T18" s="153"/>
      <c r="U18" s="153"/>
      <c r="V18" s="153"/>
      <c r="AL18" s="109"/>
      <c r="AP18" s="109"/>
    </row>
    <row r="19" spans="1:42" ht="15" customHeight="1" x14ac:dyDescent="0.2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0"/>
      <c r="O19" s="97"/>
      <c r="P19" s="81"/>
      <c r="Q19" s="164"/>
      <c r="R19" s="153"/>
      <c r="S19" s="153"/>
      <c r="T19" s="153"/>
      <c r="U19" s="153"/>
      <c r="V19" s="153"/>
      <c r="AL19" s="109"/>
      <c r="AP19" s="109"/>
    </row>
    <row r="20" spans="1:42" ht="15" customHeight="1" x14ac:dyDescent="0.2">
      <c r="A20" s="5" t="s">
        <v>200</v>
      </c>
      <c r="B20" s="6">
        <f>+GETPIVOTDATA(" New-Less Than 2-Year",'Pivot Table for 1-11'!$A$3,"State","MS")+GETPIVOTDATA(" New-2 But Less Than 4-Year",'Pivot Table for 1-11'!$A$3,"State","MS")</f>
        <v>2464</v>
      </c>
      <c r="C20" s="6">
        <f>+GETPIVOTDATA(" New-Associate's",'Pivot Table for 1-11'!$A$3,"State","MS")</f>
        <v>11877</v>
      </c>
      <c r="D20" s="6">
        <f>+GETPIVOTDATA(" New-Bachelor's",'Pivot Table for 1-11'!$A$3,"State","MS")</f>
        <v>11213</v>
      </c>
      <c r="E20" s="6">
        <f>+GETPIVOTDATA(" New-Post-Bachelor's",'Pivot Table for 1-11'!$A$3,"State","MS")</f>
        <v>0</v>
      </c>
      <c r="F20" s="6">
        <f>+GETPIVOTDATA(" New-Total Master's#",'Pivot Table for 1-11'!$A$3,"State","MS")</f>
        <v>3544</v>
      </c>
      <c r="G20" s="6">
        <f>+GETPIVOTDATA(" New-Total Doctorates#",'Pivot Table for 1-11'!$A$3,"State","MS")</f>
        <v>564</v>
      </c>
      <c r="H20" s="17">
        <f>GETPIVOTDATA(" New-Law",'Pivot Table for 1-11'!$A$3,"State","MS")</f>
        <v>164</v>
      </c>
      <c r="I20" s="6">
        <f>GETPIVOTDATA(" New-Medicine",'Pivot Table for 1-11'!$A$3,"State","MS")</f>
        <v>106</v>
      </c>
      <c r="J20" s="6">
        <f>GETPIVOTDATA(" New-Dentistry",'Pivot Table for 1-11'!$A$3,"State","MS")</f>
        <v>36</v>
      </c>
      <c r="K20" s="6">
        <f>GETPIVOTDATA(" New-Pharmacy",'Pivot Table for 1-11'!$A$3,"State","MS")</f>
        <v>105</v>
      </c>
      <c r="L20" s="6">
        <f>GETPIVOTDATA(" New-Optometry",'Pivot Table for 1-11'!$A$3,"State","MS")</f>
        <v>0</v>
      </c>
      <c r="M20" s="6">
        <f>GETPIVOTDATA(" New-Osteopathic Medicine",'Pivot Table for 1-11'!$A$3,"State","MS")</f>
        <v>0</v>
      </c>
      <c r="N20" s="80">
        <f>GETPIVOTDATA(" New-Veterinary Medicine",'Pivot Table for 1-11'!$A$3,"State","MS")</f>
        <v>77</v>
      </c>
      <c r="O20" s="97">
        <f>+GETPIVOTDATA(" New-Oth PP",'Pivot Table for 1-11'!$A$3,"State","MS")</f>
        <v>0</v>
      </c>
      <c r="P20" s="81">
        <f t="shared" si="0"/>
        <v>30150</v>
      </c>
      <c r="Q20" s="164"/>
      <c r="R20" s="153"/>
      <c r="S20" s="153"/>
      <c r="T20" s="153"/>
      <c r="U20" s="153"/>
      <c r="V20" s="153"/>
      <c r="AL20" s="109"/>
      <c r="AP20" s="109"/>
    </row>
    <row r="21" spans="1:42" ht="15" customHeight="1" x14ac:dyDescent="0.2">
      <c r="A21" s="5" t="s">
        <v>201</v>
      </c>
      <c r="B21" s="6">
        <f>+GETPIVOTDATA(" New-Less Than 2-Year",'Pivot Table for 1-11'!$A$3,"State","NC")+GETPIVOTDATA(" New-2 But Less Than 4-Year",'Pivot Table for 1-11'!$A$3,"State","NC")</f>
        <v>15123</v>
      </c>
      <c r="C21" s="6">
        <f>+GETPIVOTDATA(" New-Associate's",'Pivot Table for 1-11'!$A$3,"State","NC")</f>
        <v>23737</v>
      </c>
      <c r="D21" s="6">
        <f>+GETPIVOTDATA(" New-Bachelor's",'Pivot Table for 1-11'!$A$3,"State","NC")</f>
        <v>35589</v>
      </c>
      <c r="E21" s="6">
        <f>+GETPIVOTDATA(" New-Post-Bachelor's",'Pivot Table for 1-11'!$A$3,"State","NC")</f>
        <v>326</v>
      </c>
      <c r="F21" s="6">
        <f>+GETPIVOTDATA(" New-Total Master's#",'Pivot Table for 1-11'!$A$3,"State","NC")</f>
        <v>11576</v>
      </c>
      <c r="G21" s="6">
        <f>+GETPIVOTDATA(" New-Total Doctorates#",'Pivot Table for 1-11'!$A$3,"State","NC")</f>
        <v>1274</v>
      </c>
      <c r="H21" s="17">
        <f>GETPIVOTDATA(" New-Law",'Pivot Table for 1-11'!$A$3,"State","NC")</f>
        <v>424</v>
      </c>
      <c r="I21" s="6">
        <f>GETPIVOTDATA(" New-Medicine",'Pivot Table for 1-11'!$A$3,"State","NC")</f>
        <v>236</v>
      </c>
      <c r="J21" s="6">
        <f>GETPIVOTDATA(" New-Dentistry",'Pivot Table for 1-11'!$A$3,"State","NC")</f>
        <v>76</v>
      </c>
      <c r="K21" s="6">
        <f>GETPIVOTDATA(" New-Pharmacy",'Pivot Table for 1-11'!$A$3,"State","NC")</f>
        <v>146</v>
      </c>
      <c r="L21" s="6">
        <f>GETPIVOTDATA(" New-Optometry",'Pivot Table for 1-11'!$A$3,"State","NC")</f>
        <v>0</v>
      </c>
      <c r="M21" s="6">
        <f>GETPIVOTDATA(" New-Osteopathic Medicine",'Pivot Table for 1-11'!$A$3,"State","NC")</f>
        <v>0</v>
      </c>
      <c r="N21" s="80">
        <f>GETPIVOTDATA(" New-Veterinary Medicine",'Pivot Table for 1-11'!$A$3,"State","NC")</f>
        <v>79</v>
      </c>
      <c r="O21" s="97">
        <f>+GETPIVOTDATA(" New-Oth PP",'Pivot Table for 1-11'!$A$3,"State","NC")</f>
        <v>65</v>
      </c>
      <c r="P21" s="81">
        <f t="shared" si="0"/>
        <v>88651</v>
      </c>
      <c r="Q21" s="164"/>
      <c r="R21" s="153"/>
      <c r="S21" s="153"/>
      <c r="T21" s="153"/>
      <c r="U21" s="153"/>
      <c r="V21" s="153"/>
      <c r="AL21" s="109"/>
      <c r="AP21" s="109"/>
    </row>
    <row r="22" spans="1:42" ht="15" customHeight="1" x14ac:dyDescent="0.2">
      <c r="A22" s="5" t="s">
        <v>202</v>
      </c>
      <c r="B22" s="6">
        <f>+GETPIVOTDATA(" New-Less Than 2-Year",'Pivot Table for 1-11'!$A$3,"State","OK")+GETPIVOTDATA(" New-2 But Less Than 4-Year",'Pivot Table for 1-11'!$A$3,"State","OK")</f>
        <v>12824</v>
      </c>
      <c r="C22" s="6">
        <f>+GETPIVOTDATA(" New-Associate's",'Pivot Table for 1-11'!$A$3,"State","OK")</f>
        <v>9872</v>
      </c>
      <c r="D22" s="6">
        <f>+GETPIVOTDATA(" New-Bachelor's",'Pivot Table for 1-11'!$A$3,"State","OK")</f>
        <v>15736</v>
      </c>
      <c r="E22" s="6">
        <f>+GETPIVOTDATA(" New-Post-Bachelor's",'Pivot Table for 1-11'!$A$3,"State","OK")</f>
        <v>158</v>
      </c>
      <c r="F22" s="6">
        <f>+GETPIVOTDATA(" New-Total Master's#",'Pivot Table for 1-11'!$A$3,"State","OK")</f>
        <v>4833</v>
      </c>
      <c r="G22" s="6">
        <f>+GETPIVOTDATA(" New-Total Doctorates#",'Pivot Table for 1-11'!$A$3,"State","OK")</f>
        <v>430</v>
      </c>
      <c r="H22" s="17">
        <f>GETPIVOTDATA(" New-Law",'Pivot Table for 1-11'!$A$3,"State","OK")</f>
        <v>186</v>
      </c>
      <c r="I22" s="6">
        <f>GETPIVOTDATA(" New-Medicine",'Pivot Table for 1-11'!$A$3,"State","OK")</f>
        <v>156</v>
      </c>
      <c r="J22" s="6">
        <f>GETPIVOTDATA(" New-Dentistry",'Pivot Table for 1-11'!$A$3,"State","OK")</f>
        <v>58</v>
      </c>
      <c r="K22" s="6">
        <f>GETPIVOTDATA(" New-Pharmacy",'Pivot Table for 1-11'!$A$3,"State","OK")</f>
        <v>193</v>
      </c>
      <c r="L22" s="6">
        <f>GETPIVOTDATA(" New-Optometry",'Pivot Table for 1-11'!$A$3,"State","OK")</f>
        <v>27</v>
      </c>
      <c r="M22" s="6">
        <f>GETPIVOTDATA(" New-Osteopathic Medicine",'Pivot Table for 1-11'!$A$3,"State","OK")</f>
        <v>83</v>
      </c>
      <c r="N22" s="80">
        <f>GETPIVOTDATA(" New-Veterinary Medicine",'Pivot Table for 1-11'!$A$3,"State","OK")</f>
        <v>84</v>
      </c>
      <c r="O22" s="97">
        <f>+GETPIVOTDATA(" New-Oth PP",'Pivot Table for 1-11'!$A$3,"State","OK")</f>
        <v>131</v>
      </c>
      <c r="P22" s="81">
        <f t="shared" si="0"/>
        <v>44771</v>
      </c>
      <c r="Q22" s="164"/>
      <c r="R22" s="153"/>
      <c r="S22" s="153"/>
      <c r="T22" s="153"/>
      <c r="U22" s="153"/>
      <c r="V22" s="153"/>
      <c r="AL22" s="109"/>
      <c r="AP22" s="109"/>
    </row>
    <row r="23" spans="1:42" ht="15" customHeight="1" x14ac:dyDescent="0.2">
      <c r="A23" s="5" t="s">
        <v>203</v>
      </c>
      <c r="B23" s="6">
        <f>+GETPIVOTDATA(" New-Less Than 2-Year",'Pivot Table for 1-11'!$A$3,"State","SC")+GETPIVOTDATA(" New-2 But Less Than 4-Year",'Pivot Table for 1-11'!$A$3,"State","SC")</f>
        <v>8936</v>
      </c>
      <c r="C23" s="6">
        <f>+GETPIVOTDATA(" New-Associate's",'Pivot Table for 1-11'!$A$3,"State","SC")</f>
        <v>8953</v>
      </c>
      <c r="D23" s="6">
        <f>+GETPIVOTDATA(" New-Bachelor's",'Pivot Table for 1-11'!$A$3,"State","SC")</f>
        <v>16566</v>
      </c>
      <c r="E23" s="6">
        <f>+GETPIVOTDATA(" New-Post-Bachelor's",'Pivot Table for 1-11'!$A$3,"State","SC")</f>
        <v>110</v>
      </c>
      <c r="F23" s="6">
        <f>+GETPIVOTDATA(" New-Total Master's#",'Pivot Table for 1-11'!$A$3,"State","SC")</f>
        <v>4491</v>
      </c>
      <c r="G23" s="6">
        <f>+GETPIVOTDATA(" New-Total Doctorates#",'Pivot Table for 1-11'!$A$3,"State","SC")</f>
        <v>639</v>
      </c>
      <c r="H23" s="17">
        <f>GETPIVOTDATA(" New-Law",'Pivot Table for 1-11'!$A$3,"State","SC")</f>
        <v>220</v>
      </c>
      <c r="I23" s="6">
        <f>GETPIVOTDATA(" New-Medicine",'Pivot Table for 1-11'!$A$3,"State","SC")</f>
        <v>217</v>
      </c>
      <c r="J23" s="6">
        <f>GETPIVOTDATA(" New-Dentistry",'Pivot Table for 1-11'!$A$3,"State","SC")</f>
        <v>57</v>
      </c>
      <c r="K23" s="6">
        <f>GETPIVOTDATA(" New-Pharmacy",'Pivot Table for 1-11'!$A$3,"State","SC")</f>
        <v>180</v>
      </c>
      <c r="L23" s="6">
        <f>GETPIVOTDATA(" New-Optometry",'Pivot Table for 1-11'!$A$3,"State","SC")</f>
        <v>0</v>
      </c>
      <c r="M23" s="6">
        <f>GETPIVOTDATA(" New-Osteopathic Medicine",'Pivot Table for 1-11'!$A$3,"State","SC")</f>
        <v>0</v>
      </c>
      <c r="N23" s="80">
        <f>GETPIVOTDATA(" New-Veterinary Medicine",'Pivot Table for 1-11'!$A$3,"State","SC")</f>
        <v>0</v>
      </c>
      <c r="O23" s="97">
        <f>+GETPIVOTDATA(" New-Oth PP",'Pivot Table for 1-11'!$A$3,"State","SC")</f>
        <v>0</v>
      </c>
      <c r="P23" s="81">
        <f t="shared" si="0"/>
        <v>40369</v>
      </c>
      <c r="Q23" s="164"/>
      <c r="R23" s="153"/>
      <c r="S23" s="153"/>
      <c r="T23" s="153"/>
      <c r="U23" s="153"/>
      <c r="V23" s="153"/>
      <c r="AL23" s="109"/>
      <c r="AP23" s="109"/>
    </row>
    <row r="24" spans="1:42" ht="15" customHeight="1" x14ac:dyDescent="0.2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0"/>
      <c r="O24" s="97"/>
      <c r="P24" s="81"/>
      <c r="Q24" s="164"/>
      <c r="R24" s="153"/>
      <c r="S24" s="153"/>
      <c r="T24" s="153"/>
      <c r="U24" s="153"/>
      <c r="V24" s="153"/>
      <c r="AL24" s="109"/>
      <c r="AP24" s="109"/>
    </row>
    <row r="25" spans="1:42" ht="15" customHeight="1" x14ac:dyDescent="0.2">
      <c r="A25" s="5" t="s">
        <v>204</v>
      </c>
      <c r="B25" s="6">
        <f>+GETPIVOTDATA(" New-Less Than 2-Year",'Pivot Table for 1-11'!$A$3,"State","TN")+GETPIVOTDATA(" New-2 But Less Than 4-Year",'Pivot Table for 1-11'!$A$3,"State","TN")</f>
        <v>7328</v>
      </c>
      <c r="C25" s="6">
        <f>+GETPIVOTDATA(" New-Associate's",'Pivot Table for 1-11'!$A$3,"State","TN")</f>
        <v>9467</v>
      </c>
      <c r="D25" s="6">
        <f>+GETPIVOTDATA(" New-Bachelor's",'Pivot Table for 1-11'!$A$3,"State","TN")</f>
        <v>19956</v>
      </c>
      <c r="E25" s="6">
        <f>+GETPIVOTDATA(" New-Post-Bachelor's",'Pivot Table for 1-11'!$A$3,"State","TN")</f>
        <v>0</v>
      </c>
      <c r="F25" s="6">
        <f>+GETPIVOTDATA(" New-Total Master's#",'Pivot Table for 1-11'!$A$3,"State","TN")</f>
        <v>6142</v>
      </c>
      <c r="G25" s="6">
        <f>+GETPIVOTDATA(" New-Total Doctorates#",'Pivot Table for 1-11'!$A$3,"State","TN")</f>
        <v>844</v>
      </c>
      <c r="H25" s="17">
        <f>GETPIVOTDATA(" New-Law",'Pivot Table for 1-11'!$A$3,"State","TN")</f>
        <v>290</v>
      </c>
      <c r="I25" s="6">
        <f>GETPIVOTDATA(" New-Medicine",'Pivot Table for 1-11'!$A$3,"State","TN")</f>
        <v>207</v>
      </c>
      <c r="J25" s="6">
        <f>GETPIVOTDATA(" New-Dentistry",'Pivot Table for 1-11'!$A$3,"State","TN")</f>
        <v>76</v>
      </c>
      <c r="K25" s="6">
        <f>GETPIVOTDATA(" New-Pharmacy",'Pivot Table for 1-11'!$A$3,"State","TN")</f>
        <v>249</v>
      </c>
      <c r="L25" s="6">
        <f>GETPIVOTDATA(" New-Optometry",'Pivot Table for 1-11'!$A$3,"State","TN")</f>
        <v>0</v>
      </c>
      <c r="M25" s="6">
        <f>GETPIVOTDATA(" New-Osteopathic Medicine",'Pivot Table for 1-11'!$A$3,"State","TN")</f>
        <v>0</v>
      </c>
      <c r="N25" s="80">
        <f>GETPIVOTDATA(" New-Veterinary Medicine",'Pivot Table for 1-11'!$A$3,"State","TN")</f>
        <v>97</v>
      </c>
      <c r="O25" s="97">
        <f>+GETPIVOTDATA(" New-Oth PP",'Pivot Table for 1-11'!$A$3,"State","TN")</f>
        <v>0</v>
      </c>
      <c r="P25" s="81">
        <f t="shared" si="0"/>
        <v>44656</v>
      </c>
      <c r="Q25" s="164"/>
      <c r="R25" s="153"/>
      <c r="S25" s="153"/>
      <c r="T25" s="153"/>
      <c r="U25" s="153"/>
      <c r="V25" s="153"/>
      <c r="AL25" s="109"/>
      <c r="AP25" s="109"/>
    </row>
    <row r="26" spans="1:42" ht="15" customHeight="1" x14ac:dyDescent="0.2">
      <c r="A26" s="5" t="s">
        <v>205</v>
      </c>
      <c r="B26" s="6">
        <f>+GETPIVOTDATA(" New-Less Than 2-Year",'Pivot Table for 1-11'!$A$3,"State","TX")+GETPIVOTDATA(" New-2 But Less Than 4-Year",'Pivot Table for 1-11'!$A$3,"State","TX")</f>
        <v>29249</v>
      </c>
      <c r="C26" s="6">
        <f>+GETPIVOTDATA(" New-Associate's",'Pivot Table for 1-11'!$A$3,"State","TX")</f>
        <v>58536</v>
      </c>
      <c r="D26" s="6">
        <f>+GETPIVOTDATA(" New-Bachelor's",'Pivot Table for 1-11'!$A$3,"State","TX")</f>
        <v>89343</v>
      </c>
      <c r="E26" s="6">
        <f>+GETPIVOTDATA(" New-Post-Bachelor's",'Pivot Table for 1-11'!$A$3,"State","TX")</f>
        <v>0</v>
      </c>
      <c r="F26" s="6">
        <f>+GETPIVOTDATA(" New-Total Master's#",'Pivot Table for 1-11'!$A$3,"State","TX")</f>
        <v>35233</v>
      </c>
      <c r="G26" s="6">
        <f>+GETPIVOTDATA(" New-Total Doctorates#",'Pivot Table for 1-11'!$A$3,"State","TX")</f>
        <v>3637</v>
      </c>
      <c r="H26" s="17">
        <f>GETPIVOTDATA(" New-Law",'Pivot Table for 1-11'!$A$3,"State","TX")</f>
        <v>1030</v>
      </c>
      <c r="I26" s="6">
        <f>GETPIVOTDATA(" New-Medicine",'Pivot Table for 1-11'!$A$3,"State","TX")</f>
        <v>1132</v>
      </c>
      <c r="J26" s="6">
        <f>GETPIVOTDATA(" New-Dentistry",'Pivot Table for 1-11'!$A$3,"State","TX")</f>
        <v>268</v>
      </c>
      <c r="K26" s="6">
        <f>GETPIVOTDATA(" New-Pharmacy",'Pivot Table for 1-11'!$A$3,"State","TX")</f>
        <v>583</v>
      </c>
      <c r="L26" s="6">
        <f>GETPIVOTDATA(" New-Optometry",'Pivot Table for 1-11'!$A$3,"State","TX")</f>
        <v>91</v>
      </c>
      <c r="M26" s="6">
        <f>GETPIVOTDATA(" New-Osteopathic Medicine",'Pivot Table for 1-11'!$A$3,"State","TX")</f>
        <v>166</v>
      </c>
      <c r="N26" s="80">
        <f>GETPIVOTDATA(" New-Veterinary Medicine",'Pivot Table for 1-11'!$A$3,"State","TX")</f>
        <v>129</v>
      </c>
      <c r="O26" s="97">
        <f>+GETPIVOTDATA(" New-Oth PP",'Pivot Table for 1-11'!$A$3,"State","TX")</f>
        <v>434</v>
      </c>
      <c r="P26" s="81">
        <f t="shared" si="0"/>
        <v>219831</v>
      </c>
      <c r="Q26" s="164"/>
      <c r="R26" s="153"/>
      <c r="S26" s="153"/>
      <c r="T26" s="153"/>
      <c r="U26" s="153"/>
      <c r="V26" s="153"/>
      <c r="AL26" s="109"/>
      <c r="AP26" s="109"/>
    </row>
    <row r="27" spans="1:42" ht="15" customHeight="1" x14ac:dyDescent="0.2">
      <c r="A27" s="5" t="s">
        <v>206</v>
      </c>
      <c r="B27" s="6">
        <f>+GETPIVOTDATA(" New-Less Than 2-Year",'Pivot Table for 1-11'!$A$3,"State","VA")+GETPIVOTDATA(" New-2 But Less Than 4-Year",'Pivot Table for 1-11'!$A$3,"State","VA")</f>
        <v>13885</v>
      </c>
      <c r="C27" s="6">
        <f>+GETPIVOTDATA(" New-Associate's",'Pivot Table for 1-11'!$A$3,"State","VA")</f>
        <v>17899</v>
      </c>
      <c r="D27" s="6">
        <f>+GETPIVOTDATA(" New-Bachelor's",'Pivot Table for 1-11'!$A$3,"State","VA")</f>
        <v>35132</v>
      </c>
      <c r="E27" s="6">
        <f>+GETPIVOTDATA(" New-Post-Bachelor's",'Pivot Table for 1-11'!$A$3,"State","VA")</f>
        <v>853</v>
      </c>
      <c r="F27" s="6">
        <f>+GETPIVOTDATA(" New-Total Master's#",'Pivot Table for 1-11'!$A$3,"State","VA")</f>
        <v>12002</v>
      </c>
      <c r="G27" s="6">
        <f>+GETPIVOTDATA(" New-Total Doctorates#",'Pivot Table for 1-11'!$A$3,"State","VA")</f>
        <v>1696</v>
      </c>
      <c r="H27" s="17">
        <f>GETPIVOTDATA(" New-Law",'Pivot Table for 1-11'!$A$3,"State","VA")</f>
        <v>782</v>
      </c>
      <c r="I27" s="6">
        <f>GETPIVOTDATA(" New-Medicine",'Pivot Table for 1-11'!$A$3,"State","VA")</f>
        <v>337</v>
      </c>
      <c r="J27" s="6">
        <f>GETPIVOTDATA(" New-Dentistry",'Pivot Table for 1-11'!$A$3,"State","VA")</f>
        <v>104</v>
      </c>
      <c r="K27" s="6">
        <f>GETPIVOTDATA(" New-Pharmacy",'Pivot Table for 1-11'!$A$3,"State","VA")</f>
        <v>124</v>
      </c>
      <c r="L27" s="6">
        <f>GETPIVOTDATA(" New-Optometry",'Pivot Table for 1-11'!$A$3,"State","VA")</f>
        <v>0</v>
      </c>
      <c r="M27" s="6">
        <f>GETPIVOTDATA(" New-Osteopathic Medicine",'Pivot Table for 1-11'!$A$3,"State","VA")</f>
        <v>0</v>
      </c>
      <c r="N27" s="80">
        <f>GETPIVOTDATA(" New-Veterinary Medicine",'Pivot Table for 1-11'!$A$3,"State","VA")</f>
        <v>91</v>
      </c>
      <c r="O27" s="97">
        <f>+GETPIVOTDATA(" New-Oth PP",'Pivot Table for 1-11'!$A$3,"State","VA")</f>
        <v>0</v>
      </c>
      <c r="P27" s="81">
        <f t="shared" si="0"/>
        <v>82905</v>
      </c>
      <c r="Q27" s="164"/>
      <c r="R27" s="153"/>
      <c r="S27" s="153"/>
      <c r="T27" s="153"/>
      <c r="U27" s="153"/>
      <c r="V27" s="153"/>
      <c r="AL27" s="109"/>
      <c r="AP27" s="109"/>
    </row>
    <row r="28" spans="1:42" ht="15" customHeight="1" x14ac:dyDescent="0.2">
      <c r="A28" s="7" t="s">
        <v>207</v>
      </c>
      <c r="B28" s="8">
        <f>+GETPIVOTDATA(" New-Less Than 2-Year",'Pivot Table for 1-11'!$A$3,"State","WV")+GETPIVOTDATA(" New-2 But Less Than 4-Year",'Pivot Table for 1-11'!$A$3,"State","WV")</f>
        <v>2142</v>
      </c>
      <c r="C28" s="8">
        <f>+GETPIVOTDATA(" New-Associate's",'Pivot Table for 1-11'!$A$3,"State","WV")</f>
        <v>3042</v>
      </c>
      <c r="D28" s="8">
        <f>+GETPIVOTDATA(" New-Bachelor's",'Pivot Table for 1-11'!$A$3,"State","WV")</f>
        <v>9118</v>
      </c>
      <c r="E28" s="8">
        <f>+GETPIVOTDATA(" New-Post-Bachelor's",'Pivot Table for 1-11'!$A$3,"State","WV")</f>
        <v>0</v>
      </c>
      <c r="F28" s="8">
        <f>+GETPIVOTDATA(" New-Total Master's#",'Pivot Table for 1-11'!$A$3,"State","WV")</f>
        <v>2712</v>
      </c>
      <c r="G28" s="8">
        <f>+GETPIVOTDATA(" New-Total Doctorates#",'Pivot Table for 1-11'!$A$3,"State","WV")</f>
        <v>178</v>
      </c>
      <c r="H28" s="18">
        <f>GETPIVOTDATA(" New-Law",'Pivot Table for 1-11'!$A$3,"State","WV")</f>
        <v>142</v>
      </c>
      <c r="I28" s="8">
        <f>GETPIVOTDATA(" New-Medicine",'Pivot Table for 1-11'!$A$3,"State","WV")</f>
        <v>162</v>
      </c>
      <c r="J28" s="8">
        <f>GETPIVOTDATA(" New-Dentistry",'Pivot Table for 1-11'!$A$3,"State","WV")</f>
        <v>43</v>
      </c>
      <c r="K28" s="8">
        <f>GETPIVOTDATA(" New-Pharmacy",'Pivot Table for 1-11'!$A$3,"State","WV")</f>
        <v>81</v>
      </c>
      <c r="L28" s="8">
        <f>GETPIVOTDATA(" New-Optometry",'Pivot Table for 1-11'!$A$3,"State","WV")</f>
        <v>0</v>
      </c>
      <c r="M28" s="8">
        <f>GETPIVOTDATA(" New-Osteopathic Medicine",'Pivot Table for 1-11'!$A$3,"State","WV")</f>
        <v>157</v>
      </c>
      <c r="N28" s="88">
        <f>GETPIVOTDATA(" New-Veterinary Medicine",'Pivot Table for 1-11'!$A$3,"State","WV")</f>
        <v>0</v>
      </c>
      <c r="O28" s="98">
        <f>+GETPIVOTDATA(" New-Oth PP",'Pivot Table for 1-11'!$A$3,"State","WV")</f>
        <v>113</v>
      </c>
      <c r="P28" s="82">
        <f t="shared" si="0"/>
        <v>17890</v>
      </c>
      <c r="Q28" s="165"/>
      <c r="R28" s="153"/>
      <c r="S28" s="153"/>
      <c r="T28" s="153"/>
      <c r="U28" s="153"/>
      <c r="V28" s="153"/>
      <c r="AL28" s="109"/>
      <c r="AP28" s="109"/>
    </row>
    <row r="29" spans="1:42" ht="12.75" customHeight="1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0"/>
      <c r="O29" s="80"/>
      <c r="P29" s="80"/>
      <c r="Q29" s="85"/>
    </row>
    <row r="30" spans="1:42" ht="24" customHeight="1" x14ac:dyDescent="0.2">
      <c r="A30" s="856" t="s">
        <v>409</v>
      </c>
      <c r="B30" s="857"/>
      <c r="C30" s="857"/>
      <c r="D30" s="857"/>
      <c r="E30" s="857"/>
      <c r="F30" s="857"/>
      <c r="G30" s="857"/>
      <c r="H30" s="857"/>
      <c r="I30" s="857"/>
      <c r="J30" s="857"/>
      <c r="K30" s="857"/>
      <c r="L30" s="857"/>
      <c r="M30" s="857"/>
      <c r="N30" s="857"/>
      <c r="O30" s="857"/>
      <c r="P30" s="857"/>
      <c r="Q30" s="166"/>
    </row>
    <row r="31" spans="1:42" ht="15" customHeight="1" x14ac:dyDescent="0.2">
      <c r="P31" s="83" t="s">
        <v>1293</v>
      </c>
      <c r="Q31" s="167"/>
    </row>
    <row r="32" spans="1:42" ht="18" x14ac:dyDescent="0.25">
      <c r="A32" s="22" t="s">
        <v>208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8"/>
      <c r="O32" s="58"/>
      <c r="P32" s="58"/>
      <c r="Q32" s="154" t="s">
        <v>216</v>
      </c>
    </row>
    <row r="33" spans="1:39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7"/>
      <c r="O33" s="57"/>
      <c r="P33" s="57"/>
      <c r="Q33" s="163"/>
    </row>
    <row r="34" spans="1:39" ht="15.75" x14ac:dyDescent="0.25">
      <c r="A34" s="1" t="s">
        <v>181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8"/>
      <c r="O34" s="58"/>
      <c r="P34" s="58"/>
      <c r="Q34" s="154" t="s">
        <v>216</v>
      </c>
      <c r="R34" s="154" t="s">
        <v>216</v>
      </c>
      <c r="S34" s="154"/>
      <c r="T34" s="154" t="s">
        <v>216</v>
      </c>
      <c r="U34" s="154" t="s">
        <v>216</v>
      </c>
      <c r="V34" s="154" t="s">
        <v>216</v>
      </c>
      <c r="W34" s="154" t="s">
        <v>216</v>
      </c>
      <c r="X34" s="154" t="s">
        <v>216</v>
      </c>
      <c r="Y34" s="154" t="s">
        <v>216</v>
      </c>
      <c r="AE34" s="43"/>
      <c r="AF34" s="43"/>
      <c r="AG34" s="43"/>
      <c r="AH34" s="43"/>
      <c r="AI34" s="43"/>
      <c r="AJ34" s="43"/>
      <c r="AK34" s="43"/>
      <c r="AL34" s="43"/>
      <c r="AM34" s="43"/>
    </row>
    <row r="35" spans="1:39" ht="15.75" x14ac:dyDescent="0.25">
      <c r="A35" s="1" t="s">
        <v>1282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8"/>
      <c r="O35" s="58"/>
      <c r="P35" s="58"/>
      <c r="Q35" s="154" t="s">
        <v>216</v>
      </c>
      <c r="R35" s="154"/>
      <c r="S35" s="154"/>
      <c r="T35" s="154" t="s">
        <v>216</v>
      </c>
      <c r="U35" s="154" t="s">
        <v>216</v>
      </c>
      <c r="V35" s="154" t="s">
        <v>216</v>
      </c>
      <c r="W35" s="154" t="s">
        <v>216</v>
      </c>
      <c r="X35" s="154" t="s">
        <v>216</v>
      </c>
      <c r="Y35" s="154" t="s">
        <v>216</v>
      </c>
      <c r="AE35" s="43"/>
      <c r="AF35" s="43"/>
      <c r="AG35" s="43"/>
      <c r="AH35" s="43"/>
      <c r="AI35" s="43"/>
      <c r="AJ35" s="43"/>
      <c r="AK35" s="43"/>
      <c r="AL35" s="43"/>
      <c r="AM35" s="43"/>
    </row>
    <row r="36" spans="1:39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59"/>
      <c r="O36" s="59"/>
      <c r="P36" s="59"/>
      <c r="Q36" s="51" t="s">
        <v>256</v>
      </c>
      <c r="R36" s="154"/>
      <c r="S36" s="154"/>
      <c r="T36" s="154" t="s">
        <v>216</v>
      </c>
      <c r="U36" s="154" t="s">
        <v>216</v>
      </c>
      <c r="V36" s="154" t="s">
        <v>216</v>
      </c>
      <c r="W36" s="154" t="s">
        <v>216</v>
      </c>
      <c r="X36" s="154" t="s">
        <v>216</v>
      </c>
      <c r="Y36" s="154" t="s">
        <v>216</v>
      </c>
    </row>
    <row r="37" spans="1:39" ht="15" customHeight="1" x14ac:dyDescent="0.25">
      <c r="A37" s="91"/>
      <c r="B37" s="91"/>
      <c r="C37" s="91"/>
      <c r="D37" s="91"/>
      <c r="E37" s="91"/>
      <c r="F37" s="91"/>
      <c r="G37" s="91"/>
      <c r="H37" s="95" t="s">
        <v>410</v>
      </c>
      <c r="I37" s="26"/>
      <c r="J37" s="26"/>
      <c r="K37" s="26"/>
      <c r="L37" s="26"/>
      <c r="M37" s="26"/>
      <c r="N37" s="92"/>
      <c r="O37" s="99"/>
      <c r="P37" s="94" t="s">
        <v>216</v>
      </c>
      <c r="Q37" s="51"/>
      <c r="R37" s="154" t="s">
        <v>216</v>
      </c>
      <c r="S37" s="154"/>
      <c r="T37" s="154" t="s">
        <v>216</v>
      </c>
      <c r="U37" s="154" t="s">
        <v>216</v>
      </c>
      <c r="V37" s="154" t="s">
        <v>216</v>
      </c>
      <c r="W37" s="154" t="s">
        <v>216</v>
      </c>
      <c r="X37" s="154" t="s">
        <v>216</v>
      </c>
      <c r="Y37" s="154" t="s">
        <v>216</v>
      </c>
      <c r="AE37" s="43"/>
      <c r="AF37" s="75"/>
      <c r="AG37" s="75"/>
      <c r="AH37" s="76"/>
      <c r="AI37" s="43"/>
      <c r="AJ37" s="43"/>
      <c r="AK37" s="43"/>
      <c r="AL37" s="43"/>
      <c r="AM37" s="43"/>
    </row>
    <row r="38" spans="1:39" ht="39.75" customHeight="1" x14ac:dyDescent="0.25">
      <c r="A38" s="14"/>
      <c r="B38" s="15" t="s">
        <v>244</v>
      </c>
      <c r="C38" s="15" t="s">
        <v>182</v>
      </c>
      <c r="D38" s="15" t="s">
        <v>175</v>
      </c>
      <c r="E38" s="15" t="s">
        <v>176</v>
      </c>
      <c r="F38" s="15" t="s">
        <v>183</v>
      </c>
      <c r="G38" s="15" t="s">
        <v>184</v>
      </c>
      <c r="H38" s="16" t="s">
        <v>185</v>
      </c>
      <c r="I38" s="15" t="s">
        <v>186</v>
      </c>
      <c r="J38" s="15" t="s">
        <v>187</v>
      </c>
      <c r="K38" s="15" t="s">
        <v>179</v>
      </c>
      <c r="L38" s="15" t="s">
        <v>188</v>
      </c>
      <c r="M38" s="15" t="s">
        <v>189</v>
      </c>
      <c r="N38" s="90" t="s">
        <v>263</v>
      </c>
      <c r="O38" s="96" t="s">
        <v>408</v>
      </c>
      <c r="P38" s="90" t="s">
        <v>190</v>
      </c>
      <c r="Q38" s="51" t="s">
        <v>414</v>
      </c>
      <c r="R38" s="154"/>
      <c r="S38" s="154"/>
      <c r="T38" s="154" t="s">
        <v>216</v>
      </c>
      <c r="U38" s="154" t="s">
        <v>216</v>
      </c>
      <c r="V38" s="154" t="s">
        <v>216</v>
      </c>
      <c r="W38" s="154" t="s">
        <v>216</v>
      </c>
      <c r="X38" s="154" t="s">
        <v>216</v>
      </c>
      <c r="Y38" s="154" t="s">
        <v>216</v>
      </c>
      <c r="AE38" s="43"/>
      <c r="AF38" s="77"/>
      <c r="AG38" s="75"/>
      <c r="AH38" s="77"/>
      <c r="AI38" s="43"/>
      <c r="AJ38" s="43"/>
      <c r="AK38" s="43"/>
      <c r="AL38" s="43"/>
      <c r="AM38" s="43"/>
    </row>
    <row r="39" spans="1:39" ht="15" customHeight="1" x14ac:dyDescent="0.25">
      <c r="A39" s="5" t="s">
        <v>191</v>
      </c>
      <c r="B39" s="6">
        <f>+GETPIVOTDATA(" New-Less Than 2-Year",'Pivot Table for 1-11'!$A$3,"SREB Type2","Four-Year")+GETPIVOTDATA(" New-2 But Less Than 4-Year",'Pivot Table for 1-11'!$A$3,"SREB Type2","Four-Year")</f>
        <v>1964</v>
      </c>
      <c r="C39" s="6">
        <f>+GETPIVOTDATA(" New-Associate's",'Pivot Table for 1-11'!$A$3,"SREB Type2","Four-Year")</f>
        <v>9326</v>
      </c>
      <c r="D39" s="6">
        <f>+GETPIVOTDATA(" New-Bachelor's",'Pivot Table for 1-11'!$A$3,"SREB Type2","Four-Year")</f>
        <v>408489</v>
      </c>
      <c r="E39" s="6">
        <f>+GETPIVOTDATA(" New-Post-Bachelor's",'Pivot Table for 1-11'!$A$3,"SREB Type2","Four-Year")</f>
        <v>3026</v>
      </c>
      <c r="F39" s="6">
        <f>+GETPIVOTDATA(" New-Total Master's#",'Pivot Table for 1-11'!$A$3,"SREB Type2","Four-Year")</f>
        <v>137117</v>
      </c>
      <c r="G39" s="6">
        <f>+GETPIVOTDATA(" New-Total Doctorates#",'Pivot Table for 1-11'!$A$3,"SREB Type2","Four-Year")</f>
        <v>15114</v>
      </c>
      <c r="H39" s="17">
        <f>+GETPIVOTDATA(" New-Law",'Pivot Table for 1-11'!$A$3,"SREB Type2","Four-Year")</f>
        <v>6230</v>
      </c>
      <c r="I39" s="6">
        <f>+GETPIVOTDATA(" New-Medicine",'Pivot Table for 1-11'!$A$3,"SREB Type2","Four-Year")</f>
        <v>1893</v>
      </c>
      <c r="J39" s="6">
        <f>+GETPIVOTDATA(" New-Dentistry",'Pivot Table for 1-11'!$A$3,"SREB Type2","Four-Year")</f>
        <v>577</v>
      </c>
      <c r="K39" s="6">
        <f>+GETPIVOTDATA(" New-Pharmacy",'Pivot Table for 1-11'!$A$3,"SREB Type2","Four-Year")</f>
        <v>2262</v>
      </c>
      <c r="L39" s="6">
        <f>+GETPIVOTDATA(" New-Optometry",'Pivot Table for 1-11'!$A$3,"SREB Type2","Four-Year")</f>
        <v>154</v>
      </c>
      <c r="M39" s="6">
        <f>+GETPIVOTDATA(" New-Osteopathic Medicine",'Pivot Table for 1-11'!$A$3,"SREB Type2","Four-Year")</f>
        <v>83</v>
      </c>
      <c r="N39" s="80">
        <f>+GETPIVOTDATA(" New-Veterinary Medicine",'Pivot Table for 1-11'!$A$3,"SREB Type2","Four-Year")</f>
        <v>933</v>
      </c>
      <c r="O39" s="97">
        <f>+GETPIVOTDATA(" New-Oth PP",'Pivot Table for 1-11'!$A$3,"SREB Type2","Four-Year")</f>
        <v>1486</v>
      </c>
      <c r="P39" s="81">
        <f>SUM(B39:O39)</f>
        <v>588654</v>
      </c>
      <c r="Q39" s="168">
        <f>('New Tables 1-12'!P39-'Old 1-12'!P39)/'Old 1-12'!P39</f>
        <v>3.0388959780707974E-2</v>
      </c>
      <c r="R39" s="154" t="s">
        <v>216</v>
      </c>
      <c r="S39" s="154"/>
      <c r="T39" s="254"/>
      <c r="U39" s="154" t="s">
        <v>216</v>
      </c>
      <c r="V39" s="154" t="s">
        <v>216</v>
      </c>
      <c r="W39" s="154" t="s">
        <v>216</v>
      </c>
      <c r="X39" s="154" t="s">
        <v>216</v>
      </c>
      <c r="Y39" s="154" t="s">
        <v>216</v>
      </c>
      <c r="AE39" s="43"/>
      <c r="AF39" s="78"/>
      <c r="AG39" s="79"/>
      <c r="AH39" s="78"/>
      <c r="AI39" s="39"/>
      <c r="AJ39" s="43"/>
      <c r="AK39" s="43"/>
      <c r="AL39" s="43"/>
      <c r="AM39" s="43"/>
    </row>
    <row r="40" spans="1:39" ht="15" customHeight="1" x14ac:dyDescent="0.25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0"/>
      <c r="O40" s="97"/>
      <c r="P40" s="81"/>
      <c r="Q40" s="168"/>
      <c r="R40" s="154" t="s">
        <v>216</v>
      </c>
      <c r="S40" s="154"/>
      <c r="T40" s="154" t="s">
        <v>216</v>
      </c>
      <c r="U40" s="154" t="s">
        <v>216</v>
      </c>
      <c r="V40" s="154" t="s">
        <v>216</v>
      </c>
      <c r="W40" s="154" t="s">
        <v>216</v>
      </c>
      <c r="X40" s="154" t="s">
        <v>216</v>
      </c>
      <c r="Y40" s="154" t="s">
        <v>216</v>
      </c>
      <c r="AE40" s="43"/>
      <c r="AF40" s="78"/>
      <c r="AG40" s="79"/>
      <c r="AH40" s="78"/>
      <c r="AI40" s="39"/>
      <c r="AJ40" s="43"/>
      <c r="AK40" s="43"/>
      <c r="AL40" s="43"/>
      <c r="AM40" s="43"/>
    </row>
    <row r="41" spans="1:39" ht="15" customHeight="1" x14ac:dyDescent="0.25">
      <c r="A41" s="5" t="s">
        <v>192</v>
      </c>
      <c r="B41" s="6">
        <f>+GETPIVOTDATA(" New-Less Than 2-Year",'Pivot Table for 1-11'!$A$3,"State","AL","SREB Type2","Four-Year")+GETPIVOTDATA(" New-2 But Less Than 4-Year",'Pivot Table for 1-11'!$A$3,"State","AL","SREB Type2","Four-Year")</f>
        <v>212</v>
      </c>
      <c r="C41" s="6">
        <f>+GETPIVOTDATA(" New-Associate's",'Pivot Table for 1-11'!$A$3,"State","AL","SREB Type2","Four-Year")</f>
        <v>271</v>
      </c>
      <c r="D41" s="6">
        <f>+GETPIVOTDATA(" New-Bachelor's",'Pivot Table for 1-11'!$A$3,"State","AL","SREB Type2","Four-Year")</f>
        <v>20529</v>
      </c>
      <c r="E41" s="6">
        <f>+GETPIVOTDATA(" New-Post-Bachelor's",'Pivot Table for 1-11'!$A$3,"State","AL","SREB Type2","Four-Year")</f>
        <v>115</v>
      </c>
      <c r="F41" s="6">
        <f>+GETPIVOTDATA(" New-Total Master's#",'Pivot Table for 1-11'!$A$3,"State","AL","SREB Type2","Four-Year")</f>
        <v>8870</v>
      </c>
      <c r="G41" s="6">
        <f>+GETPIVOTDATA(" New-Total Doctorates#",'Pivot Table for 1-11'!$A$3,"State","AL","SREB Type2","Four-Year")</f>
        <v>673</v>
      </c>
      <c r="H41" s="17">
        <f>+GETPIVOTDATA(" New-Law",'Pivot Table for 1-11'!$A$3,"State","AL","SREB Type2","Four-Year")</f>
        <v>175</v>
      </c>
      <c r="I41" s="6">
        <f>+GETPIVOTDATA(" New-Medicine",'Pivot Table for 1-11'!$A$3,"State","AL","SREB Type2","Four-Year")</f>
        <v>256</v>
      </c>
      <c r="J41" s="6">
        <f>+GETPIVOTDATA(" New-Dentistry",'Pivot Table for 1-11'!$A$3,"State","AL","SREB Type2","Four-Year")</f>
        <v>65</v>
      </c>
      <c r="K41" s="6">
        <f>+GETPIVOTDATA(" New-Pharmacy",'Pivot Table for 1-11'!$A$3,"State","AL","SREB Type2","Four-Year")</f>
        <v>131</v>
      </c>
      <c r="L41" s="6">
        <f>+GETPIVOTDATA(" New-Optometry",'Pivot Table for 1-11'!$A$3,"State","AL","SREB Type2","Four-Year")</f>
        <v>36</v>
      </c>
      <c r="M41" s="6">
        <f>+GETPIVOTDATA(" New-Osteopathic Medicine",'Pivot Table for 1-11'!$A$3,"State","AL","SREB Type2","Four-Year")</f>
        <v>0</v>
      </c>
      <c r="N41" s="80">
        <f>+GETPIVOTDATA(" New-Veterinary Medicine",'Pivot Table for 1-11'!$A$3,"State","AL","SREB Type2","Four-Year")</f>
        <v>90</v>
      </c>
      <c r="O41" s="97">
        <f>+GETPIVOTDATA(" New-Oth PP",'Pivot Table for 1-11'!$A$3,"State","AL","SREB Type2","Four-Year")</f>
        <v>307</v>
      </c>
      <c r="P41" s="81">
        <f t="shared" ref="P41:P59" si="1">SUM(B41:O41)</f>
        <v>31730</v>
      </c>
      <c r="Q41" s="168">
        <f>('New Tables 1-12'!P41-'Old 1-12'!P41)/'Old 1-12'!P41</f>
        <v>-7.1964956195244055E-3</v>
      </c>
      <c r="R41" s="154" t="s">
        <v>216</v>
      </c>
      <c r="S41" s="154"/>
      <c r="T41" s="154" t="s">
        <v>216</v>
      </c>
      <c r="U41" s="154" t="s">
        <v>216</v>
      </c>
      <c r="V41" s="154" t="s">
        <v>216</v>
      </c>
      <c r="W41" s="154" t="s">
        <v>216</v>
      </c>
      <c r="X41" s="154" t="s">
        <v>216</v>
      </c>
      <c r="Y41" s="154" t="s">
        <v>216</v>
      </c>
      <c r="AE41" s="43"/>
      <c r="AF41" s="78"/>
      <c r="AG41" s="79"/>
      <c r="AH41" s="78"/>
      <c r="AI41" s="39"/>
      <c r="AJ41" s="43"/>
      <c r="AK41" s="43"/>
      <c r="AL41" s="43"/>
      <c r="AM41" s="43"/>
    </row>
    <row r="42" spans="1:39" s="51" customFormat="1" ht="15" customHeight="1" x14ac:dyDescent="0.25">
      <c r="A42" s="164" t="s">
        <v>193</v>
      </c>
      <c r="B42" s="80">
        <f>+GETPIVOTDATA(" New-Less Than 2-Year",'Pivot Table for 1-11'!$A$3,"State","AR","SREB Type2","Four-Year")+GETPIVOTDATA(" New-2 But Less Than 4-Year",'Pivot Table for 1-11'!$A$3,"State","AR","SREB Type2","Four-Year")</f>
        <v>1070</v>
      </c>
      <c r="C42" s="80">
        <f>+GETPIVOTDATA(" New-Associate's",'Pivot Table for 1-11'!$A$3,"State","AR","SREB Type2","Four-Year")</f>
        <v>1653</v>
      </c>
      <c r="D42" s="80">
        <f>+GETPIVOTDATA(" New-Bachelor's",'Pivot Table for 1-11'!$A$3,"State","AR","SREB Type2","Four-Year")</f>
        <v>11117</v>
      </c>
      <c r="E42" s="80">
        <f>+GETPIVOTDATA(" New-Post-Bachelor's",'Pivot Table for 1-11'!$A$3,"State","AR","SREB Type2","Four-Year")</f>
        <v>229</v>
      </c>
      <c r="F42" s="80">
        <f>+GETPIVOTDATA(" New-Total Master's#",'Pivot Table for 1-11'!$A$3,"State","AR","SREB Type2","Four-Year")</f>
        <v>4712</v>
      </c>
      <c r="G42" s="80">
        <f>+GETPIVOTDATA(" New-Total Doctorates#",'Pivot Table for 1-11'!$A$3,"State","AR","SREB Type2","Four-Year")</f>
        <v>225</v>
      </c>
      <c r="H42" s="180">
        <f>+GETPIVOTDATA(" New-Law",'Pivot Table for 1-11'!$A$3,"State","AR","SREB Type2","Four-Year")</f>
        <v>275</v>
      </c>
      <c r="I42" s="80">
        <f>+GETPIVOTDATA(" New-Medicine",'Pivot Table for 1-11'!$A$3,"State","AR","SREB Type2","Four-Year")</f>
        <v>0</v>
      </c>
      <c r="J42" s="80">
        <f>+GETPIVOTDATA(" New-Dentistry",'Pivot Table for 1-11'!$A$3,"State","AR","SREB Type2","Four-Year")</f>
        <v>0</v>
      </c>
      <c r="K42" s="80">
        <f>+GETPIVOTDATA(" New-Pharmacy",'Pivot Table for 1-11'!$A$3,"State","AR","SREB Type2","Four-Year")</f>
        <v>0</v>
      </c>
      <c r="L42" s="80">
        <f>+GETPIVOTDATA(" New-Optometry",'Pivot Table for 1-11'!$A$3,"State","AR","SREB Type2","Four-Year")</f>
        <v>0</v>
      </c>
      <c r="M42" s="80">
        <f>+GETPIVOTDATA(" New-Osteopathic Medicine",'Pivot Table for 1-11'!$A$3,"State","AR","SREB Type2","Four-Year")</f>
        <v>0</v>
      </c>
      <c r="N42" s="80">
        <f>+GETPIVOTDATA(" New-Veterinary Medicine",'Pivot Table for 1-11'!$A$3,"State","AR","SREB Type2","Four-Year")</f>
        <v>0</v>
      </c>
      <c r="O42" s="97">
        <f>+GETPIVOTDATA(" New-Oth PP",'Pivot Table for 1-11'!$A$3,"State","AR","SREB Type2","Four-Year")</f>
        <v>78</v>
      </c>
      <c r="P42" s="81">
        <f t="shared" si="1"/>
        <v>19359</v>
      </c>
      <c r="Q42" s="168">
        <f>('New Tables 1-12'!P42-'Old 1-12'!P42)/'Old 1-12'!P42</f>
        <v>-3.6146377893950712E-2</v>
      </c>
      <c r="R42" s="154" t="s">
        <v>216</v>
      </c>
      <c r="S42" s="154"/>
      <c r="T42" s="154" t="s">
        <v>216</v>
      </c>
      <c r="U42" s="154" t="s">
        <v>216</v>
      </c>
      <c r="V42" s="154" t="s">
        <v>216</v>
      </c>
      <c r="W42" s="154" t="s">
        <v>216</v>
      </c>
      <c r="X42" s="154" t="s">
        <v>216</v>
      </c>
      <c r="Y42" s="154" t="s">
        <v>216</v>
      </c>
      <c r="AE42" s="50"/>
      <c r="AF42" s="314"/>
      <c r="AG42" s="315"/>
      <c r="AH42" s="314"/>
      <c r="AI42" s="165"/>
      <c r="AJ42" s="50"/>
      <c r="AK42" s="50"/>
      <c r="AL42" s="50"/>
      <c r="AM42" s="50"/>
    </row>
    <row r="43" spans="1:39" ht="15" customHeight="1" x14ac:dyDescent="0.25">
      <c r="A43" s="5" t="s">
        <v>194</v>
      </c>
      <c r="B43" s="6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6">
        <f>+GETPIVOTDATA(" New-Associate's",'Pivot Table for 1-11'!$A$3,"State","DE","SREB Type2","Four-Year")</f>
        <v>303</v>
      </c>
      <c r="D43" s="6">
        <f>+GETPIVOTDATA(" New-Bachelor's",'Pivot Table for 1-11'!$A$3,"State","DE","SREB Type2","Four-Year")</f>
        <v>4040</v>
      </c>
      <c r="E43" s="6">
        <f>+GETPIVOTDATA(" New-Post-Bachelor's",'Pivot Table for 1-11'!$A$3,"State","DE","SREB Type2","Four-Year")</f>
        <v>0</v>
      </c>
      <c r="F43" s="6">
        <f>+GETPIVOTDATA(" New-Total Master's#",'Pivot Table for 1-11'!$A$3,"State","DE","SREB Type2","Four-Year")</f>
        <v>897</v>
      </c>
      <c r="G43" s="6">
        <f>+GETPIVOTDATA(" New-Total Doctorates#",'Pivot Table for 1-11'!$A$3,"State","DE","SREB Type2","Four-Year")</f>
        <v>243</v>
      </c>
      <c r="H43" s="17">
        <f>+GETPIVOTDATA(" New-Law",'Pivot Table for 1-11'!$A$3,"State","DE","SREB Type2","Four-Year")</f>
        <v>0</v>
      </c>
      <c r="I43" s="6">
        <f>+GETPIVOTDATA(" New-Medicine",'Pivot Table for 1-11'!$A$3,"State","DE","SREB Type2","Four-Year")</f>
        <v>0</v>
      </c>
      <c r="J43" s="6">
        <f>+GETPIVOTDATA(" New-Dentistry",'Pivot Table for 1-11'!$A$3,"State","DE","SREB Type2","Four-Year")</f>
        <v>0</v>
      </c>
      <c r="K43" s="6">
        <f>+GETPIVOTDATA(" New-Pharmacy",'Pivot Table for 1-11'!$A$3,"State","DE","SREB Type2","Four-Year")</f>
        <v>0</v>
      </c>
      <c r="L43" s="6">
        <f>+GETPIVOTDATA(" New-Optometry",'Pivot Table for 1-11'!$A$3,"State","DE","SREB Type2","Four-Year")</f>
        <v>0</v>
      </c>
      <c r="M43" s="6">
        <f>+GETPIVOTDATA(" New-Osteopathic Medicine",'Pivot Table for 1-11'!$A$3,"State","DE","SREB Type2","Four-Year")</f>
        <v>0</v>
      </c>
      <c r="N43" s="80">
        <f>+GETPIVOTDATA(" New-Veterinary Medicine",'Pivot Table for 1-11'!$A$3,"State","DE","SREB Type2","Four-Year")</f>
        <v>0</v>
      </c>
      <c r="O43" s="97">
        <f>+GETPIVOTDATA(" New-Oth PP",'Pivot Table for 1-11'!$A$3,"State","DE","SREB Type2","Four-Year")</f>
        <v>34</v>
      </c>
      <c r="P43" s="81">
        <f t="shared" si="1"/>
        <v>5517</v>
      </c>
      <c r="Q43" s="168">
        <f>('New Tables 1-12'!P43-'Old 1-12'!P43)/'Old 1-12'!P43</f>
        <v>-6.3040345821325653E-3</v>
      </c>
      <c r="R43" s="154" t="s">
        <v>216</v>
      </c>
      <c r="S43" s="154"/>
      <c r="T43" s="154" t="s">
        <v>216</v>
      </c>
      <c r="U43" s="154" t="s">
        <v>216</v>
      </c>
      <c r="V43" s="154" t="s">
        <v>216</v>
      </c>
      <c r="W43" s="154" t="s">
        <v>216</v>
      </c>
      <c r="X43" s="154" t="s">
        <v>216</v>
      </c>
      <c r="Y43" s="154" t="s">
        <v>216</v>
      </c>
      <c r="AE43" s="43"/>
      <c r="AF43" s="78"/>
      <c r="AG43" s="79"/>
      <c r="AH43" s="78"/>
      <c r="AI43" s="39"/>
      <c r="AJ43" s="43"/>
      <c r="AK43" s="43"/>
      <c r="AL43" s="43"/>
      <c r="AM43" s="43"/>
    </row>
    <row r="44" spans="1:39" ht="15" customHeight="1" x14ac:dyDescent="0.25">
      <c r="A44" s="5" t="s">
        <v>195</v>
      </c>
      <c r="B44" s="6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6">
        <f>+GETPIVOTDATA(" New-Associate's",'Pivot Table for 1-11'!$A$3,"State","FL","SREB Type2","Four-Year")</f>
        <v>2135</v>
      </c>
      <c r="D44" s="6">
        <f>+GETPIVOTDATA(" New-Bachelor's",'Pivot Table for 1-11'!$A$3,"State","FL","SREB Type2","Four-Year")</f>
        <v>57487</v>
      </c>
      <c r="E44" s="6">
        <f>+GETPIVOTDATA(" New-Post-Bachelor's",'Pivot Table for 1-11'!$A$3,"State","FL","SREB Type2","Four-Year")</f>
        <v>176</v>
      </c>
      <c r="F44" s="6">
        <f>+GETPIVOTDATA(" New-Total Master's#",'Pivot Table for 1-11'!$A$3,"State","FL","SREB Type2","Four-Year")</f>
        <v>17118</v>
      </c>
      <c r="G44" s="6">
        <f>+GETPIVOTDATA(" New-Total Doctorates#",'Pivot Table for 1-11'!$A$3,"State","FL","SREB Type2","Four-Year")</f>
        <v>2311</v>
      </c>
      <c r="H44" s="17">
        <f>+GETPIVOTDATA(" New-Law",'Pivot Table for 1-11'!$A$3,"State","FL","SREB Type2","Four-Year")</f>
        <v>959</v>
      </c>
      <c r="I44" s="6">
        <f>+GETPIVOTDATA(" New-Medicine",'Pivot Table for 1-11'!$A$3,"State","FL","SREB Type2","Four-Year")</f>
        <v>361</v>
      </c>
      <c r="J44" s="6">
        <f>+GETPIVOTDATA(" New-Dentistry",'Pivot Table for 1-11'!$A$3,"State","FL","SREB Type2","Four-Year")</f>
        <v>83</v>
      </c>
      <c r="K44" s="6">
        <f>+GETPIVOTDATA(" New-Pharmacy",'Pivot Table for 1-11'!$A$3,"State","FL","SREB Type2","Four-Year")</f>
        <v>596</v>
      </c>
      <c r="L44" s="6">
        <f>+GETPIVOTDATA(" New-Optometry",'Pivot Table for 1-11'!$A$3,"State","FL","SREB Type2","Four-Year")</f>
        <v>0</v>
      </c>
      <c r="M44" s="6">
        <f>+GETPIVOTDATA(" New-Osteopathic Medicine",'Pivot Table for 1-11'!$A$3,"State","FL","SREB Type2","Four-Year")</f>
        <v>0</v>
      </c>
      <c r="N44" s="80">
        <f>+GETPIVOTDATA(" New-Veterinary Medicine",'Pivot Table for 1-11'!$A$3,"State","FL","SREB Type2","Four-Year")</f>
        <v>84</v>
      </c>
      <c r="O44" s="97">
        <f>+GETPIVOTDATA(" New-Oth PP",'Pivot Table for 1-11'!$A$3,"State","FL","SREB Type2","Four-Year")</f>
        <v>345</v>
      </c>
      <c r="P44" s="81">
        <f t="shared" si="1"/>
        <v>81655</v>
      </c>
      <c r="Q44" s="168">
        <f>('New Tables 1-12'!P44-'Old 1-12'!P44)/'Old 1-12'!P44</f>
        <v>4.3567722311683661E-2</v>
      </c>
      <c r="R44" s="154" t="s">
        <v>216</v>
      </c>
      <c r="S44" s="154"/>
      <c r="T44" s="154" t="s">
        <v>216</v>
      </c>
      <c r="U44" s="154" t="s">
        <v>216</v>
      </c>
      <c r="V44" s="154" t="s">
        <v>216</v>
      </c>
      <c r="W44" s="154" t="s">
        <v>216</v>
      </c>
      <c r="X44" s="154" t="s">
        <v>216</v>
      </c>
      <c r="Y44" s="154" t="s">
        <v>216</v>
      </c>
      <c r="AE44" s="43"/>
      <c r="AF44" s="78"/>
      <c r="AG44" s="79"/>
      <c r="AH44" s="78"/>
      <c r="AI44" s="39"/>
      <c r="AJ44" s="43"/>
      <c r="AK44" s="43"/>
      <c r="AL44" s="43"/>
      <c r="AM44" s="43"/>
    </row>
    <row r="45" spans="1:39" ht="15" customHeight="1" x14ac:dyDescent="0.25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0"/>
      <c r="O45" s="97"/>
      <c r="P45" s="81"/>
      <c r="Q45" s="168"/>
      <c r="R45" s="154"/>
      <c r="S45" s="154"/>
      <c r="T45" s="154"/>
      <c r="U45" s="154"/>
      <c r="V45" s="154"/>
      <c r="W45" s="154"/>
      <c r="X45" s="154"/>
      <c r="Y45" s="154"/>
      <c r="AE45" s="43"/>
      <c r="AF45" s="78"/>
      <c r="AG45" s="79"/>
      <c r="AH45" s="78"/>
      <c r="AI45" s="39"/>
      <c r="AJ45" s="43"/>
      <c r="AK45" s="43"/>
      <c r="AL45" s="43"/>
      <c r="AM45" s="43"/>
    </row>
    <row r="46" spans="1:39" ht="15" customHeight="1" x14ac:dyDescent="0.25">
      <c r="A46" s="5" t="s">
        <v>196</v>
      </c>
      <c r="B46" s="6">
        <f>+GETPIVOTDATA(" New-Less Than 2-Year",'Pivot Table for 1-11'!$A$3,"State","GA","SREB Type2","Four-Year")+GETPIVOTDATA(" New-2 But Less Than 4-Year",'Pivot Table for 1-11'!$A$3,"State","GA","SREB Type2","Four-Year")</f>
        <v>228</v>
      </c>
      <c r="C46" s="6">
        <f>+GETPIVOTDATA(" New-Associate's",'Pivot Table for 1-11'!$A$3,"State","GA","SREB Type2","Four-Year")</f>
        <v>675</v>
      </c>
      <c r="D46" s="6">
        <f>+GETPIVOTDATA(" New-Bachelor's",'Pivot Table for 1-11'!$A$3,"State","GA","SREB Type2","Four-Year")</f>
        <v>32141</v>
      </c>
      <c r="E46" s="6">
        <f>+GETPIVOTDATA(" New-Post-Bachelor's",'Pivot Table for 1-11'!$A$3,"State","GA","SREB Type2","Four-Year")</f>
        <v>147</v>
      </c>
      <c r="F46" s="6">
        <f>+GETPIVOTDATA(" New-Total Master's#",'Pivot Table for 1-11'!$A$3,"State","GA","SREB Type2","Four-Year")</f>
        <v>11316</v>
      </c>
      <c r="G46" s="6">
        <f>+GETPIVOTDATA(" New-Total Doctorates#",'Pivot Table for 1-11'!$A$3,"State","GA","SREB Type2","Four-Year")</f>
        <v>1370</v>
      </c>
      <c r="H46" s="17">
        <f>+GETPIVOTDATA(" New-Law",'Pivot Table for 1-11'!$A$3,"State","GA","SREB Type2","Four-Year")</f>
        <v>421</v>
      </c>
      <c r="I46" s="6">
        <f>+GETPIVOTDATA(" New-Medicine",'Pivot Table for 1-11'!$A$3,"State","GA","SREB Type2","Four-Year")</f>
        <v>0</v>
      </c>
      <c r="J46" s="6">
        <f>+GETPIVOTDATA(" New-Dentistry",'Pivot Table for 1-11'!$A$3,"State","GA","SREB Type2","Four-Year")</f>
        <v>0</v>
      </c>
      <c r="K46" s="6">
        <f>+GETPIVOTDATA(" New-Pharmacy",'Pivot Table for 1-11'!$A$3,"State","GA","SREB Type2","Four-Year")</f>
        <v>122</v>
      </c>
      <c r="L46" s="6">
        <f>+GETPIVOTDATA(" New-Optometry",'Pivot Table for 1-11'!$A$3,"State","GA","SREB Type2","Four-Year")</f>
        <v>0</v>
      </c>
      <c r="M46" s="6">
        <f>+GETPIVOTDATA(" New-Osteopathic Medicine",'Pivot Table for 1-11'!$A$3,"State","GA","SREB Type2","Four-Year")</f>
        <v>0</v>
      </c>
      <c r="N46" s="80">
        <f>+GETPIVOTDATA(" New-Veterinary Medicine",'Pivot Table for 1-11'!$A$3,"State","GA","SREB Type2","Four-Year")</f>
        <v>99</v>
      </c>
      <c r="O46" s="97">
        <f>+GETPIVOTDATA(" New-Oth PP",'Pivot Table for 1-11'!$A$3,"State","GA","SREB Type2","Four-Year")</f>
        <v>0</v>
      </c>
      <c r="P46" s="81">
        <f t="shared" si="1"/>
        <v>46519</v>
      </c>
      <c r="Q46" s="168">
        <f>('New Tables 1-12'!P46-'Old 1-12'!P46)/'Old 1-12'!P46</f>
        <v>3.0549401860877269E-2</v>
      </c>
      <c r="R46" s="154" t="s">
        <v>216</v>
      </c>
      <c r="S46" s="154"/>
      <c r="T46" s="154" t="s">
        <v>216</v>
      </c>
      <c r="U46" s="154" t="s">
        <v>216</v>
      </c>
      <c r="V46" s="154" t="s">
        <v>216</v>
      </c>
      <c r="W46" s="154" t="s">
        <v>216</v>
      </c>
      <c r="X46" s="154" t="s">
        <v>216</v>
      </c>
      <c r="Y46" s="154" t="s">
        <v>216</v>
      </c>
      <c r="AE46" s="43"/>
      <c r="AF46" s="78"/>
      <c r="AG46" s="79"/>
      <c r="AH46" s="78"/>
      <c r="AI46" s="39"/>
      <c r="AJ46" s="43"/>
      <c r="AK46" s="43"/>
      <c r="AL46" s="43"/>
      <c r="AM46" s="43"/>
    </row>
    <row r="47" spans="1:39" ht="15" customHeight="1" x14ac:dyDescent="0.25">
      <c r="A47" s="5" t="s">
        <v>197</v>
      </c>
      <c r="B47" s="6">
        <f>+GETPIVOTDATA(" New-Less Than 2-Year",'Pivot Table for 1-11'!$A$3,"State","KY","SREB Type2","Four-Year")+GETPIVOTDATA(" New-2 But Less Than 4-Year",'Pivot Table for 1-11'!$A$3,"State","KY","SREB Type2","Four-Year")</f>
        <v>171</v>
      </c>
      <c r="C47" s="6">
        <f>+GETPIVOTDATA(" New-Associate's",'Pivot Table for 1-11'!$A$3,"State","KY","SREB Type2","Four-Year")</f>
        <v>806</v>
      </c>
      <c r="D47" s="6">
        <f>+GETPIVOTDATA(" New-Bachelor's",'Pivot Table for 1-11'!$A$3,"State","KY","SREB Type2","Four-Year")</f>
        <v>16207</v>
      </c>
      <c r="E47" s="6">
        <f>+GETPIVOTDATA(" New-Post-Bachelor's",'Pivot Table for 1-11'!$A$3,"State","KY","SREB Type2","Four-Year")</f>
        <v>306</v>
      </c>
      <c r="F47" s="6">
        <f>+GETPIVOTDATA(" New-Total Master's#",'Pivot Table for 1-11'!$A$3,"State","KY","SREB Type2","Four-Year")</f>
        <v>6251</v>
      </c>
      <c r="G47" s="6">
        <f>+GETPIVOTDATA(" New-Total Doctorates#",'Pivot Table for 1-11'!$A$3,"State","KY","SREB Type2","Four-Year")</f>
        <v>524</v>
      </c>
      <c r="H47" s="17">
        <f>+GETPIVOTDATA(" New-Law",'Pivot Table for 1-11'!$A$3,"State","KY","SREB Type2","Four-Year")</f>
        <v>429</v>
      </c>
      <c r="I47" s="6">
        <f>+GETPIVOTDATA(" New-Medicine",'Pivot Table for 1-11'!$A$3,"State","KY","SREB Type2","Four-Year")</f>
        <v>252</v>
      </c>
      <c r="J47" s="6">
        <f>+GETPIVOTDATA(" New-Dentistry",'Pivot Table for 1-11'!$A$3,"State","KY","SREB Type2","Four-Year")</f>
        <v>148</v>
      </c>
      <c r="K47" s="6">
        <f>+GETPIVOTDATA(" New-Pharmacy",'Pivot Table for 1-11'!$A$3,"State","KY","SREB Type2","Four-Year")</f>
        <v>126</v>
      </c>
      <c r="L47" s="6">
        <f>+GETPIVOTDATA(" New-Optometry",'Pivot Table for 1-11'!$A$3,"State","KY","SREB Type2","Four-Year")</f>
        <v>0</v>
      </c>
      <c r="M47" s="6">
        <f>+GETPIVOTDATA(" New-Osteopathic Medicine",'Pivot Table for 1-11'!$A$3,"State","KY","SREB Type2","Four-Year")</f>
        <v>0</v>
      </c>
      <c r="N47" s="80">
        <f>+GETPIVOTDATA(" New-Veterinary Medicine",'Pivot Table for 1-11'!$A$3,"State","KY","SREB Type2","Four-Year")</f>
        <v>0</v>
      </c>
      <c r="O47" s="97">
        <f>+GETPIVOTDATA(" New-Oth PP",'Pivot Table for 1-11'!$A$3,"State","KY","SREB Type2","Four-Year")</f>
        <v>169</v>
      </c>
      <c r="P47" s="81">
        <f t="shared" si="1"/>
        <v>25389</v>
      </c>
      <c r="Q47" s="168">
        <f>('New Tables 1-12'!P47-'Old 1-12'!P47)/'Old 1-12'!P47</f>
        <v>3.4638738334895475E-2</v>
      </c>
      <c r="R47" s="154" t="s">
        <v>216</v>
      </c>
      <c r="S47" s="154"/>
      <c r="T47" s="154" t="s">
        <v>216</v>
      </c>
      <c r="U47" s="154" t="s">
        <v>216</v>
      </c>
      <c r="V47" s="154" t="s">
        <v>216</v>
      </c>
      <c r="W47" s="154" t="s">
        <v>216</v>
      </c>
      <c r="X47" s="154" t="s">
        <v>216</v>
      </c>
      <c r="Y47" s="154" t="s">
        <v>216</v>
      </c>
      <c r="AE47" s="43"/>
      <c r="AF47" s="78"/>
      <c r="AG47" s="79"/>
      <c r="AH47" s="78"/>
      <c r="AI47" s="39"/>
      <c r="AJ47" s="43"/>
      <c r="AK47" s="43"/>
      <c r="AL47" s="43"/>
      <c r="AM47" s="43"/>
    </row>
    <row r="48" spans="1:39" ht="15" customHeight="1" x14ac:dyDescent="0.25">
      <c r="A48" s="5" t="s">
        <v>198</v>
      </c>
      <c r="B48" s="6">
        <f>+GETPIVOTDATA(" New-Less Than 2-Year",'Pivot Table for 1-11'!$A$3,"State","LA","SREB Type2","Four-Year")+GETPIVOTDATA(" New-2 But Less Than 4-Year",'Pivot Table for 1-11'!$A$3,"State","LA","SREB Type2","Four-Year")</f>
        <v>5</v>
      </c>
      <c r="C48" s="6">
        <f>+GETPIVOTDATA(" New-Associate's",'Pivot Table for 1-11'!$A$3,"State","LA","SREB Type2","Four-Year")</f>
        <v>1493</v>
      </c>
      <c r="D48" s="6">
        <f>+GETPIVOTDATA(" New-Bachelor's",'Pivot Table for 1-11'!$A$3,"State","LA","SREB Type2","Four-Year")</f>
        <v>18198</v>
      </c>
      <c r="E48" s="6">
        <f>+GETPIVOTDATA(" New-Post-Bachelor's",'Pivot Table for 1-11'!$A$3,"State","LA","SREB Type2","Four-Year")</f>
        <v>151</v>
      </c>
      <c r="F48" s="6">
        <f>+GETPIVOTDATA(" New-Total Master's#",'Pivot Table for 1-11'!$A$3,"State","LA","SREB Type2","Four-Year")</f>
        <v>4574</v>
      </c>
      <c r="G48" s="6">
        <f>+GETPIVOTDATA(" New-Total Doctorates#",'Pivot Table for 1-11'!$A$3,"State","LA","SREB Type2","Four-Year")</f>
        <v>496</v>
      </c>
      <c r="H48" s="17">
        <f>+GETPIVOTDATA(" New-Law",'Pivot Table for 1-11'!$A$3,"State","LA","SREB Type2","Four-Year")</f>
        <v>390</v>
      </c>
      <c r="I48" s="6">
        <f>+GETPIVOTDATA(" New-Medicine",'Pivot Table for 1-11'!$A$3,"State","LA","SREB Type2","Four-Year")</f>
        <v>0</v>
      </c>
      <c r="J48" s="6">
        <f>+GETPIVOTDATA(" New-Dentistry",'Pivot Table for 1-11'!$A$3,"State","LA","SREB Type2","Four-Year")</f>
        <v>0</v>
      </c>
      <c r="K48" s="6">
        <f>+GETPIVOTDATA(" New-Pharmacy",'Pivot Table for 1-11'!$A$3,"State","LA","SREB Type2","Four-Year")</f>
        <v>96</v>
      </c>
      <c r="L48" s="6">
        <f>+GETPIVOTDATA(" New-Optometry",'Pivot Table for 1-11'!$A$3,"State","LA","SREB Type2","Four-Year")</f>
        <v>0</v>
      </c>
      <c r="M48" s="6">
        <f>+GETPIVOTDATA(" New-Osteopathic Medicine",'Pivot Table for 1-11'!$A$3,"State","LA","SREB Type2","Four-Year")</f>
        <v>0</v>
      </c>
      <c r="N48" s="80">
        <f>+GETPIVOTDATA(" New-Veterinary Medicine",'Pivot Table for 1-11'!$A$3,"State","LA","SREB Type2","Four-Year")</f>
        <v>82</v>
      </c>
      <c r="O48" s="97">
        <f>+GETPIVOTDATA(" New-Oth PP",'Pivot Table for 1-11'!$A$3,"State","LA","SREB Type2","Four-Year")</f>
        <v>0</v>
      </c>
      <c r="P48" s="81">
        <f t="shared" si="1"/>
        <v>25485</v>
      </c>
      <c r="Q48" s="168">
        <f>('New Tables 1-12'!P48-'Old 1-12'!P48)/'Old 1-12'!P48</f>
        <v>1.9522342681121733E-2</v>
      </c>
      <c r="R48" s="154" t="s">
        <v>216</v>
      </c>
      <c r="S48" s="154"/>
      <c r="T48" s="154" t="s">
        <v>216</v>
      </c>
      <c r="U48" s="154" t="s">
        <v>216</v>
      </c>
      <c r="V48" s="154" t="s">
        <v>216</v>
      </c>
      <c r="W48" s="154" t="s">
        <v>216</v>
      </c>
      <c r="X48" s="154" t="s">
        <v>216</v>
      </c>
      <c r="Y48" s="154" t="s">
        <v>216</v>
      </c>
      <c r="AE48" s="43"/>
      <c r="AF48" s="78"/>
      <c r="AG48" s="79"/>
      <c r="AH48" s="78"/>
      <c r="AI48" s="39"/>
      <c r="AJ48" s="43"/>
      <c r="AK48" s="43"/>
      <c r="AL48" s="43"/>
      <c r="AM48" s="43"/>
    </row>
    <row r="49" spans="1:39" ht="15" customHeight="1" x14ac:dyDescent="0.25">
      <c r="A49" s="5" t="s">
        <v>199</v>
      </c>
      <c r="B49" s="6">
        <f>+GETPIVOTDATA(" New-Less Than 2-Year",'Pivot Table for 1-11'!$A$3,"State","MD","SREB Type2","Four-Year")+GETPIVOTDATA(" New-2 But Less Than 4-Year",'Pivot Table for 1-11'!$A$3,"State","MD","SREB Type2","Four-Year")</f>
        <v>221</v>
      </c>
      <c r="C49" s="6">
        <f>+GETPIVOTDATA(" New-Associate's",'Pivot Table for 1-11'!$A$3,"State","MD","SREB Type2","Four-Year")</f>
        <v>0</v>
      </c>
      <c r="D49" s="6">
        <f>+GETPIVOTDATA(" New-Bachelor's",'Pivot Table for 1-11'!$A$3,"State","MD","SREB Type2","Four-Year")</f>
        <v>19711</v>
      </c>
      <c r="E49" s="6">
        <f>+GETPIVOTDATA(" New-Post-Bachelor's",'Pivot Table for 1-11'!$A$3,"State","MD","SREB Type2","Four-Year")</f>
        <v>459</v>
      </c>
      <c r="F49" s="6">
        <f>+GETPIVOTDATA(" New-Total Master's#",'Pivot Table for 1-11'!$A$3,"State","MD","SREB Type2","Four-Year")</f>
        <v>5734</v>
      </c>
      <c r="G49" s="6">
        <f>+GETPIVOTDATA(" New-Total Doctorates#",'Pivot Table for 1-11'!$A$3,"State","MD","SREB Type2","Four-Year")</f>
        <v>794</v>
      </c>
      <c r="H49" s="17">
        <f>+GETPIVOTDATA(" New-Law",'Pivot Table for 1-11'!$A$3,"State","MD","SREB Type2","Four-Year")</f>
        <v>343</v>
      </c>
      <c r="I49" s="6">
        <f>+GETPIVOTDATA(" New-Medicine",'Pivot Table for 1-11'!$A$3,"State","MD","SREB Type2","Four-Year")</f>
        <v>0</v>
      </c>
      <c r="J49" s="6">
        <f>+GETPIVOTDATA(" New-Dentistry",'Pivot Table for 1-11'!$A$3,"State","MD","SREB Type2","Four-Year")</f>
        <v>0</v>
      </c>
      <c r="K49" s="6">
        <f>+GETPIVOTDATA(" New-Pharmacy",'Pivot Table for 1-11'!$A$3,"State","MD","SREB Type2","Four-Year")</f>
        <v>0</v>
      </c>
      <c r="L49" s="6">
        <f>+GETPIVOTDATA(" New-Optometry",'Pivot Table for 1-11'!$A$3,"State","MD","SREB Type2","Four-Year")</f>
        <v>0</v>
      </c>
      <c r="M49" s="6">
        <f>+GETPIVOTDATA(" New-Osteopathic Medicine",'Pivot Table for 1-11'!$A$3,"State","MD","SREB Type2","Four-Year")</f>
        <v>0</v>
      </c>
      <c r="N49" s="80">
        <f>+GETPIVOTDATA(" New-Veterinary Medicine",'Pivot Table for 1-11'!$A$3,"State","MD","SREB Type2","Four-Year")</f>
        <v>21</v>
      </c>
      <c r="O49" s="97">
        <f>+GETPIVOTDATA(" New-Oth PP",'Pivot Table for 1-11'!$A$3,"State","MD","SREB Type2","Four-Year")</f>
        <v>37</v>
      </c>
      <c r="P49" s="81">
        <f t="shared" si="1"/>
        <v>27320</v>
      </c>
      <c r="Q49" s="168">
        <f>('New Tables 1-12'!P49-'Old 1-12'!P49)/'Old 1-12'!P49</f>
        <v>4.6622993525648394E-2</v>
      </c>
      <c r="R49" s="154" t="s">
        <v>216</v>
      </c>
      <c r="S49" s="154"/>
      <c r="T49" s="154" t="s">
        <v>216</v>
      </c>
      <c r="U49" s="154" t="s">
        <v>216</v>
      </c>
      <c r="V49" s="154" t="s">
        <v>216</v>
      </c>
      <c r="W49" s="154" t="s">
        <v>216</v>
      </c>
      <c r="X49" s="154" t="s">
        <v>216</v>
      </c>
      <c r="Y49" s="154" t="s">
        <v>216</v>
      </c>
      <c r="AE49" s="43"/>
      <c r="AF49" s="78"/>
      <c r="AG49" s="79"/>
      <c r="AH49" s="78"/>
      <c r="AI49" s="39"/>
      <c r="AJ49" s="43"/>
      <c r="AK49" s="43"/>
      <c r="AL49" s="43"/>
      <c r="AM49" s="43"/>
    </row>
    <row r="50" spans="1:39" ht="15" customHeight="1" x14ac:dyDescent="0.25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0"/>
      <c r="O50" s="97"/>
      <c r="P50" s="81"/>
      <c r="Q50" s="168"/>
      <c r="R50" s="154"/>
      <c r="S50" s="154"/>
      <c r="T50" s="154"/>
      <c r="U50" s="154"/>
      <c r="V50" s="154"/>
      <c r="W50" s="154"/>
      <c r="X50" s="154"/>
      <c r="Y50" s="154"/>
      <c r="AE50" s="43"/>
      <c r="AF50" s="78"/>
      <c r="AG50" s="79"/>
      <c r="AH50" s="78"/>
      <c r="AI50" s="39"/>
      <c r="AJ50" s="43"/>
      <c r="AK50" s="43"/>
      <c r="AL50" s="43"/>
      <c r="AM50" s="43"/>
    </row>
    <row r="51" spans="1:39" ht="15" customHeight="1" x14ac:dyDescent="0.25">
      <c r="A51" s="5" t="s">
        <v>200</v>
      </c>
      <c r="B51" s="6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6">
        <f>+GETPIVOTDATA(" New-Associate's",'Pivot Table for 1-11'!$A$3,"State","MS","SREB Type2","Four-Year")</f>
        <v>70</v>
      </c>
      <c r="D51" s="6">
        <f>+GETPIVOTDATA(" New-Bachelor's",'Pivot Table for 1-11'!$A$3,"State","MS","SREB Type2","Four-Year")</f>
        <v>10964</v>
      </c>
      <c r="E51" s="6">
        <f>+GETPIVOTDATA(" New-Post-Bachelor's",'Pivot Table for 1-11'!$A$3,"State","MS","SREB Type2","Four-Year")</f>
        <v>0</v>
      </c>
      <c r="F51" s="6">
        <f>+GETPIVOTDATA(" New-Total Master's#",'Pivot Table for 1-11'!$A$3,"State","MS","SREB Type2","Four-Year")</f>
        <v>3412</v>
      </c>
      <c r="G51" s="6">
        <f>+GETPIVOTDATA(" New-Total Doctorates#",'Pivot Table for 1-11'!$A$3,"State","MS","SREB Type2","Four-Year")</f>
        <v>484</v>
      </c>
      <c r="H51" s="17">
        <f>+GETPIVOTDATA(" New-Law",'Pivot Table for 1-11'!$A$3,"State","MS","SREB Type2","Four-Year")</f>
        <v>164</v>
      </c>
      <c r="I51" s="6">
        <f>+GETPIVOTDATA(" New-Medicine",'Pivot Table for 1-11'!$A$3,"State","MS","SREB Type2","Four-Year")</f>
        <v>0</v>
      </c>
      <c r="J51" s="6">
        <f>+GETPIVOTDATA(" New-Dentistry",'Pivot Table for 1-11'!$A$3,"State","MS","SREB Type2","Four-Year")</f>
        <v>0</v>
      </c>
      <c r="K51" s="6">
        <f>+GETPIVOTDATA(" New-Pharmacy",'Pivot Table for 1-11'!$A$3,"State","MS","SREB Type2","Four-Year")</f>
        <v>105</v>
      </c>
      <c r="L51" s="6">
        <f>+GETPIVOTDATA(" New-Optometry",'Pivot Table for 1-11'!$A$3,"State","MS","SREB Type2","Four-Year")</f>
        <v>0</v>
      </c>
      <c r="M51" s="6">
        <f>+GETPIVOTDATA(" New-Osteopathic Medicine",'Pivot Table for 1-11'!$A$3,"State","MS","SREB Type2","Four-Year")</f>
        <v>0</v>
      </c>
      <c r="N51" s="80">
        <f>+GETPIVOTDATA(" New-Veterinary Medicine",'Pivot Table for 1-11'!$A$3,"State","MS","SREB Type2","Four-Year")</f>
        <v>77</v>
      </c>
      <c r="O51" s="97">
        <f>+GETPIVOTDATA(" New-Oth PP",'Pivot Table for 1-11'!$A$3,"State","MS","SREB Type2","Four-Year")</f>
        <v>0</v>
      </c>
      <c r="P51" s="81">
        <f t="shared" si="1"/>
        <v>15276</v>
      </c>
      <c r="Q51" s="168">
        <f>('New Tables 1-12'!P51-'Old 1-12'!P51)/'Old 1-12'!P51</f>
        <v>1.4275280525861496E-2</v>
      </c>
      <c r="R51" s="154" t="s">
        <v>216</v>
      </c>
      <c r="S51" s="154"/>
      <c r="T51" s="154" t="s">
        <v>216</v>
      </c>
      <c r="U51" s="154" t="s">
        <v>216</v>
      </c>
      <c r="V51" s="154" t="s">
        <v>216</v>
      </c>
      <c r="W51" s="154" t="s">
        <v>216</v>
      </c>
      <c r="X51" s="154" t="s">
        <v>216</v>
      </c>
      <c r="Y51" s="154" t="s">
        <v>216</v>
      </c>
      <c r="AE51" s="43"/>
      <c r="AF51" s="78"/>
      <c r="AG51" s="79"/>
      <c r="AH51" s="78"/>
      <c r="AI51" s="39"/>
      <c r="AJ51" s="43"/>
      <c r="AK51" s="43"/>
      <c r="AL51" s="43"/>
      <c r="AM51" s="43"/>
    </row>
    <row r="52" spans="1:39" ht="15" customHeight="1" x14ac:dyDescent="0.25">
      <c r="A52" s="5" t="s">
        <v>201</v>
      </c>
      <c r="B52" s="6">
        <f>+GETPIVOTDATA(" New-Less Than 2-Year",'Pivot Table for 1-11'!$A$3,"State","NC","SREB Type2","Four-Year")+GETPIVOTDATA(" New-2 But Less Than 4-Year",'Pivot Table for 1-11'!$A$3,"State","NC","SREB Type2","Four-Year")</f>
        <v>4</v>
      </c>
      <c r="C52" s="6">
        <f>+GETPIVOTDATA(" New-Associate's",'Pivot Table for 1-11'!$A$3,"State","NC","SREB Type2","Four-Year")</f>
        <v>154</v>
      </c>
      <c r="D52" s="6">
        <f>+GETPIVOTDATA(" New-Bachelor's",'Pivot Table for 1-11'!$A$3,"State","NC","SREB Type2","Four-Year")</f>
        <v>35444</v>
      </c>
      <c r="E52" s="6">
        <f>+GETPIVOTDATA(" New-Post-Bachelor's",'Pivot Table for 1-11'!$A$3,"State","NC","SREB Type2","Four-Year")</f>
        <v>326</v>
      </c>
      <c r="F52" s="6">
        <f>+GETPIVOTDATA(" New-Total Master's#",'Pivot Table for 1-11'!$A$3,"State","NC","SREB Type2","Four-Year")</f>
        <v>11533</v>
      </c>
      <c r="G52" s="6">
        <f>+GETPIVOTDATA(" New-Total Doctorates#",'Pivot Table for 1-11'!$A$3,"State","NC","SREB Type2","Four-Year")</f>
        <v>1274</v>
      </c>
      <c r="H52" s="17">
        <f>+GETPIVOTDATA(" New-Law",'Pivot Table for 1-11'!$A$3,"State","NC","SREB Type2","Four-Year")</f>
        <v>424</v>
      </c>
      <c r="I52" s="6">
        <f>+GETPIVOTDATA(" New-Medicine",'Pivot Table for 1-11'!$A$3,"State","NC","SREB Type2","Four-Year")</f>
        <v>236</v>
      </c>
      <c r="J52" s="6">
        <f>+GETPIVOTDATA(" New-Dentistry",'Pivot Table for 1-11'!$A$3,"State","NC","SREB Type2","Four-Year")</f>
        <v>76</v>
      </c>
      <c r="K52" s="6">
        <f>+GETPIVOTDATA(" New-Pharmacy",'Pivot Table for 1-11'!$A$3,"State","NC","SREB Type2","Four-Year")</f>
        <v>146</v>
      </c>
      <c r="L52" s="6">
        <f>+GETPIVOTDATA(" New-Optometry",'Pivot Table for 1-11'!$A$3,"State","NC","SREB Type2","Four-Year")</f>
        <v>0</v>
      </c>
      <c r="M52" s="6">
        <f>+GETPIVOTDATA(" New-Osteopathic Medicine",'Pivot Table for 1-11'!$A$3,"State","NC","SREB Type2","Four-Year")</f>
        <v>0</v>
      </c>
      <c r="N52" s="80">
        <f>+GETPIVOTDATA(" New-Veterinary Medicine",'Pivot Table for 1-11'!$A$3,"State","NC","SREB Type2","Four-Year")</f>
        <v>79</v>
      </c>
      <c r="O52" s="97">
        <f>+GETPIVOTDATA(" New-Oth PP",'Pivot Table for 1-11'!$A$3,"State","NC","SREB Type2","Four-Year")</f>
        <v>65</v>
      </c>
      <c r="P52" s="81">
        <f t="shared" si="1"/>
        <v>49761</v>
      </c>
      <c r="Q52" s="168">
        <f>('New Tables 1-12'!P52-'Old 1-12'!P52)/'Old 1-12'!P52</f>
        <v>3.7292587342616527E-2</v>
      </c>
      <c r="R52" s="154" t="s">
        <v>216</v>
      </c>
      <c r="S52" s="154"/>
      <c r="T52" s="154" t="s">
        <v>216</v>
      </c>
      <c r="U52" s="154" t="s">
        <v>216</v>
      </c>
      <c r="V52" s="154" t="s">
        <v>216</v>
      </c>
      <c r="W52" s="154" t="s">
        <v>216</v>
      </c>
      <c r="X52" s="154" t="s">
        <v>216</v>
      </c>
      <c r="Y52" s="154" t="s">
        <v>216</v>
      </c>
      <c r="AE52" s="43"/>
      <c r="AF52" s="78"/>
      <c r="AG52" s="79"/>
      <c r="AH52" s="78"/>
      <c r="AI52" s="39"/>
      <c r="AJ52" s="43"/>
      <c r="AK52" s="43"/>
      <c r="AL52" s="43"/>
      <c r="AM52" s="43"/>
    </row>
    <row r="53" spans="1:39" ht="15" customHeight="1" x14ac:dyDescent="0.25">
      <c r="A53" s="5" t="s">
        <v>202</v>
      </c>
      <c r="B53" s="6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6">
        <f>+GETPIVOTDATA(" New-Associate's",'Pivot Table for 1-11'!$A$3,"State","OK","SREB Type2","Four-Year")</f>
        <v>615</v>
      </c>
      <c r="D53" s="6">
        <f>+GETPIVOTDATA(" New-Bachelor's",'Pivot Table for 1-11'!$A$3,"State","OK","SREB Type2","Four-Year")</f>
        <v>15736</v>
      </c>
      <c r="E53" s="6">
        <f>+GETPIVOTDATA(" New-Post-Bachelor's",'Pivot Table for 1-11'!$A$3,"State","OK","SREB Type2","Four-Year")</f>
        <v>158</v>
      </c>
      <c r="F53" s="6">
        <f>+GETPIVOTDATA(" New-Total Master's#",'Pivot Table for 1-11'!$A$3,"State","OK","SREB Type2","Four-Year")</f>
        <v>4833</v>
      </c>
      <c r="G53" s="6">
        <f>+GETPIVOTDATA(" New-Total Doctorates#",'Pivot Table for 1-11'!$A$3,"State","OK","SREB Type2","Four-Year")</f>
        <v>430</v>
      </c>
      <c r="H53" s="17">
        <f>+GETPIVOTDATA(" New-Law",'Pivot Table for 1-11'!$A$3,"State","OK","SREB Type2","Four-Year")</f>
        <v>186</v>
      </c>
      <c r="I53" s="6">
        <f>+GETPIVOTDATA(" New-Medicine",'Pivot Table for 1-11'!$A$3,"State","OK","SREB Type2","Four-Year")</f>
        <v>156</v>
      </c>
      <c r="J53" s="6">
        <f>+GETPIVOTDATA(" New-Dentistry",'Pivot Table for 1-11'!$A$3,"State","OK","SREB Type2","Four-Year")</f>
        <v>58</v>
      </c>
      <c r="K53" s="6">
        <f>+GETPIVOTDATA(" New-Pharmacy",'Pivot Table for 1-11'!$A$3,"State","OK","SREB Type2","Four-Year")</f>
        <v>193</v>
      </c>
      <c r="L53" s="6">
        <f>+GETPIVOTDATA(" New-Optometry",'Pivot Table for 1-11'!$A$3,"State","OK","SREB Type2","Four-Year")</f>
        <v>27</v>
      </c>
      <c r="M53" s="6">
        <f>+GETPIVOTDATA(" New-Osteopathic Medicine",'Pivot Table for 1-11'!$A$3,"State","OK","SREB Type2","Four-Year")</f>
        <v>83</v>
      </c>
      <c r="N53" s="80">
        <f>+GETPIVOTDATA(" New-Veterinary Medicine",'Pivot Table for 1-11'!$A$3,"State","OK","SREB Type2","Four-Year")</f>
        <v>84</v>
      </c>
      <c r="O53" s="97">
        <f>+GETPIVOTDATA(" New-Oth PP",'Pivot Table for 1-11'!$A$3,"State","OK","SREB Type2","Four-Year")</f>
        <v>131</v>
      </c>
      <c r="P53" s="81">
        <f t="shared" si="1"/>
        <v>22690</v>
      </c>
      <c r="Q53" s="168">
        <f>('New Tables 1-12'!P53-'Old 1-12'!P53)/'Old 1-12'!P53</f>
        <v>1.0195449890922043E-2</v>
      </c>
      <c r="R53" s="154" t="s">
        <v>216</v>
      </c>
      <c r="S53" s="154"/>
      <c r="T53" s="154" t="s">
        <v>216</v>
      </c>
      <c r="U53" s="154" t="s">
        <v>216</v>
      </c>
      <c r="V53" s="154" t="s">
        <v>216</v>
      </c>
      <c r="W53" s="154" t="s">
        <v>216</v>
      </c>
      <c r="X53" s="154" t="s">
        <v>216</v>
      </c>
      <c r="Y53" s="154" t="s">
        <v>216</v>
      </c>
      <c r="AE53" s="43"/>
      <c r="AF53" s="78"/>
      <c r="AG53" s="79"/>
      <c r="AH53" s="78"/>
      <c r="AI53" s="39"/>
      <c r="AJ53" s="43"/>
      <c r="AK53" s="43"/>
      <c r="AL53" s="43"/>
      <c r="AM53" s="43"/>
    </row>
    <row r="54" spans="1:39" ht="15" customHeight="1" x14ac:dyDescent="0.25">
      <c r="A54" s="5" t="s">
        <v>203</v>
      </c>
      <c r="B54" s="6">
        <f>+GETPIVOTDATA(" New-Less Than 2-Year",'Pivot Table for 1-11'!$A$3,"State","SC","SREB Type2","Four-Year")+GETPIVOTDATA(" New-2 But Less Than 4-Year",'Pivot Table for 1-11'!$A$3,"State","SC","SREB Type2","Four-Year")</f>
        <v>22</v>
      </c>
      <c r="C54" s="6">
        <f>+GETPIVOTDATA(" New-Associate's",'Pivot Table for 1-11'!$A$3,"State","SC","SREB Type2","Four-Year")</f>
        <v>10</v>
      </c>
      <c r="D54" s="6">
        <f>+GETPIVOTDATA(" New-Bachelor's",'Pivot Table for 1-11'!$A$3,"State","SC","SREB Type2","Four-Year")</f>
        <v>16442</v>
      </c>
      <c r="E54" s="6">
        <f>+GETPIVOTDATA(" New-Post-Bachelor's",'Pivot Table for 1-11'!$A$3,"State","SC","SREB Type2","Four-Year")</f>
        <v>106</v>
      </c>
      <c r="F54" s="6">
        <f>+GETPIVOTDATA(" New-Total Master's#",'Pivot Table for 1-11'!$A$3,"State","SC","SREB Type2","Four-Year")</f>
        <v>4235</v>
      </c>
      <c r="G54" s="6">
        <f>+GETPIVOTDATA(" New-Total Doctorates#",'Pivot Table for 1-11'!$A$3,"State","SC","SREB Type2","Four-Year")</f>
        <v>509</v>
      </c>
      <c r="H54" s="17">
        <f>+GETPIVOTDATA(" New-Law",'Pivot Table for 1-11'!$A$3,"State","SC","SREB Type2","Four-Year")</f>
        <v>220</v>
      </c>
      <c r="I54" s="6">
        <f>+GETPIVOTDATA(" New-Medicine",'Pivot Table for 1-11'!$A$3,"State","SC","SREB Type2","Four-Year")</f>
        <v>75</v>
      </c>
      <c r="J54" s="6">
        <f>+GETPIVOTDATA(" New-Dentistry",'Pivot Table for 1-11'!$A$3,"State","SC","SREB Type2","Four-Year")</f>
        <v>0</v>
      </c>
      <c r="K54" s="6">
        <f>+GETPIVOTDATA(" New-Pharmacy",'Pivot Table for 1-11'!$A$3,"State","SC","SREB Type2","Four-Year")</f>
        <v>100</v>
      </c>
      <c r="L54" s="6">
        <f>+GETPIVOTDATA(" New-Optometry",'Pivot Table for 1-11'!$A$3,"State","SC","SREB Type2","Four-Year")</f>
        <v>0</v>
      </c>
      <c r="M54" s="6">
        <f>+GETPIVOTDATA(" New-Osteopathic Medicine",'Pivot Table for 1-11'!$A$3,"State","SC","SREB Type2","Four-Year")</f>
        <v>0</v>
      </c>
      <c r="N54" s="80">
        <f>+GETPIVOTDATA(" New-Veterinary Medicine",'Pivot Table for 1-11'!$A$3,"State","SC","SREB Type2","Four-Year")</f>
        <v>0</v>
      </c>
      <c r="O54" s="97">
        <f>+GETPIVOTDATA(" New-Oth PP",'Pivot Table for 1-11'!$A$3,"State","SC","SREB Type2","Four-Year")</f>
        <v>0</v>
      </c>
      <c r="P54" s="81">
        <f t="shared" si="1"/>
        <v>21719</v>
      </c>
      <c r="Q54" s="168">
        <f>('New Tables 1-12'!P54-'Old 1-12'!P54)/'Old 1-12'!P54</f>
        <v>3.448440104786854E-2</v>
      </c>
      <c r="R54" s="154" t="s">
        <v>216</v>
      </c>
      <c r="S54" s="154"/>
      <c r="T54" s="154" t="s">
        <v>216</v>
      </c>
      <c r="U54" s="154" t="s">
        <v>216</v>
      </c>
      <c r="V54" s="154" t="s">
        <v>216</v>
      </c>
      <c r="W54" s="154" t="s">
        <v>216</v>
      </c>
      <c r="X54" s="154" t="s">
        <v>216</v>
      </c>
      <c r="Y54" s="154" t="s">
        <v>216</v>
      </c>
      <c r="AE54" s="43"/>
      <c r="AF54" s="78"/>
      <c r="AG54" s="79"/>
      <c r="AH54" s="78"/>
      <c r="AI54" s="39"/>
      <c r="AJ54" s="43"/>
      <c r="AK54" s="43"/>
      <c r="AL54" s="43"/>
      <c r="AM54" s="43"/>
    </row>
    <row r="55" spans="1:39" ht="11.25" customHeight="1" x14ac:dyDescent="0.25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0"/>
      <c r="O55" s="97"/>
      <c r="P55" s="81"/>
      <c r="Q55" s="168"/>
      <c r="R55" s="154"/>
      <c r="S55" s="154"/>
      <c r="T55" s="154"/>
      <c r="U55" s="154"/>
      <c r="V55" s="154"/>
      <c r="W55" s="154"/>
      <c r="X55" s="154"/>
      <c r="Y55" s="154"/>
      <c r="AE55" s="43"/>
      <c r="AF55" s="78"/>
      <c r="AG55" s="79"/>
      <c r="AH55" s="78"/>
      <c r="AI55" s="39"/>
      <c r="AJ55" s="43"/>
      <c r="AK55" s="43"/>
      <c r="AL55" s="43"/>
      <c r="AM55" s="43"/>
    </row>
    <row r="56" spans="1:39" ht="15" customHeight="1" x14ac:dyDescent="0.25">
      <c r="A56" s="5" t="s">
        <v>204</v>
      </c>
      <c r="B56" s="6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6">
        <f>+GETPIVOTDATA(" New-Associate's",'Pivot Table for 1-11'!$A$3,"State","TN","SREB Type2","Four-Year")</f>
        <v>380</v>
      </c>
      <c r="D56" s="6">
        <f>+GETPIVOTDATA(" New-Bachelor's",'Pivot Table for 1-11'!$A$3,"State","TN","SREB Type2","Four-Year")</f>
        <v>19917</v>
      </c>
      <c r="E56" s="6">
        <f>+GETPIVOTDATA(" New-Post-Bachelor's",'Pivot Table for 1-11'!$A$3,"State","TN","SREB Type2","Four-Year")</f>
        <v>0</v>
      </c>
      <c r="F56" s="6">
        <f>+GETPIVOTDATA(" New-Total Master's#",'Pivot Table for 1-11'!$A$3,"State","TN","SREB Type2","Four-Year")</f>
        <v>5952</v>
      </c>
      <c r="G56" s="6">
        <f>+GETPIVOTDATA(" New-Total Doctorates#",'Pivot Table for 1-11'!$A$3,"State","TN","SREB Type2","Four-Year")</f>
        <v>702</v>
      </c>
      <c r="H56" s="17">
        <f>+GETPIVOTDATA(" New-Law",'Pivot Table for 1-11'!$A$3,"State","TN","SREB Type2","Four-Year")</f>
        <v>290</v>
      </c>
      <c r="I56" s="6">
        <f>+GETPIVOTDATA(" New-Medicine",'Pivot Table for 1-11'!$A$3,"State","TN","SREB Type2","Four-Year")</f>
        <v>58</v>
      </c>
      <c r="J56" s="6">
        <f>+GETPIVOTDATA(" New-Dentistry",'Pivot Table for 1-11'!$A$3,"State","TN","SREB Type2","Four-Year")</f>
        <v>0</v>
      </c>
      <c r="K56" s="6">
        <f>+GETPIVOTDATA(" New-Pharmacy",'Pivot Table for 1-11'!$A$3,"State","TN","SREB Type2","Four-Year")</f>
        <v>77</v>
      </c>
      <c r="L56" s="6">
        <f>+GETPIVOTDATA(" New-Optometry",'Pivot Table for 1-11'!$A$3,"State","TN","SREB Type2","Four-Year")</f>
        <v>0</v>
      </c>
      <c r="M56" s="6">
        <f>+GETPIVOTDATA(" New-Osteopathic Medicine",'Pivot Table for 1-11'!$A$3,"State","TN","SREB Type2","Four-Year")</f>
        <v>0</v>
      </c>
      <c r="N56" s="80">
        <f>+GETPIVOTDATA(" New-Veterinary Medicine",'Pivot Table for 1-11'!$A$3,"State","TN","SREB Type2","Four-Year")</f>
        <v>97</v>
      </c>
      <c r="O56" s="97">
        <f>+GETPIVOTDATA(" New-Oth PP",'Pivot Table for 1-11'!$A$3,"State","TN","SREB Type2","Four-Year")</f>
        <v>0</v>
      </c>
      <c r="P56" s="81">
        <f t="shared" si="1"/>
        <v>27473</v>
      </c>
      <c r="Q56" s="168">
        <f>('New Tables 1-12'!P56-'Old 1-12'!P56)/'Old 1-12'!P56</f>
        <v>2.6260739633918565E-2</v>
      </c>
      <c r="R56" s="154" t="s">
        <v>216</v>
      </c>
      <c r="S56" s="154"/>
      <c r="T56" s="154" t="s">
        <v>216</v>
      </c>
      <c r="U56" s="154" t="s">
        <v>216</v>
      </c>
      <c r="V56" s="154" t="s">
        <v>216</v>
      </c>
      <c r="W56" s="154" t="s">
        <v>216</v>
      </c>
      <c r="X56" s="154" t="s">
        <v>216</v>
      </c>
      <c r="Y56" s="154" t="s">
        <v>216</v>
      </c>
      <c r="AE56" s="43"/>
      <c r="AF56" s="78"/>
      <c r="AG56" s="79"/>
      <c r="AH56" s="78"/>
      <c r="AI56" s="39"/>
      <c r="AJ56" s="43"/>
      <c r="AK56" s="43"/>
      <c r="AL56" s="43"/>
      <c r="AM56" s="43"/>
    </row>
    <row r="57" spans="1:39" ht="15" customHeight="1" x14ac:dyDescent="0.25">
      <c r="A57" s="5" t="s">
        <v>205</v>
      </c>
      <c r="B57" s="6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6">
        <f>+GETPIVOTDATA(" New-Associate's",'Pivot Table for 1-11'!$A$3,"State","TX","SREB Type2","Four-Year")</f>
        <v>251</v>
      </c>
      <c r="D57" s="6">
        <f>+GETPIVOTDATA(" New-Bachelor's",'Pivot Table for 1-11'!$A$3,"State","TX","SREB Type2","Four-Year")</f>
        <v>86861</v>
      </c>
      <c r="E57" s="6">
        <f>+GETPIVOTDATA(" New-Post-Bachelor's",'Pivot Table for 1-11'!$A$3,"State","TX","SREB Type2","Four-Year")</f>
        <v>0</v>
      </c>
      <c r="F57" s="6">
        <f>+GETPIVOTDATA(" New-Total Master's#",'Pivot Table for 1-11'!$A$3,"State","TX","SREB Type2","Four-Year")</f>
        <v>32966</v>
      </c>
      <c r="G57" s="6">
        <f>+GETPIVOTDATA(" New-Total Doctorates#",'Pivot Table for 1-11'!$A$3,"State","TX","SREB Type2","Four-Year")</f>
        <v>3205</v>
      </c>
      <c r="H57" s="17">
        <f>+GETPIVOTDATA(" New-Law",'Pivot Table for 1-11'!$A$3,"State","TX","SREB Type2","Four-Year")</f>
        <v>1030</v>
      </c>
      <c r="I57" s="6">
        <f>+GETPIVOTDATA(" New-Medicine",'Pivot Table for 1-11'!$A$3,"State","TX","SREB Type2","Four-Year")</f>
        <v>0</v>
      </c>
      <c r="J57" s="6">
        <f>+GETPIVOTDATA(" New-Dentistry",'Pivot Table for 1-11'!$A$3,"State","TX","SREB Type2","Four-Year")</f>
        <v>0</v>
      </c>
      <c r="K57" s="6">
        <f>+GETPIVOTDATA(" New-Pharmacy",'Pivot Table for 1-11'!$A$3,"State","TX","SREB Type2","Four-Year")</f>
        <v>365</v>
      </c>
      <c r="L57" s="6">
        <f>+GETPIVOTDATA(" New-Optometry",'Pivot Table for 1-11'!$A$3,"State","TX","SREB Type2","Four-Year")</f>
        <v>91</v>
      </c>
      <c r="M57" s="6">
        <f>+GETPIVOTDATA(" New-Osteopathic Medicine",'Pivot Table for 1-11'!$A$3,"State","TX","SREB Type2","Four-Year")</f>
        <v>0</v>
      </c>
      <c r="N57" s="80">
        <f>+GETPIVOTDATA(" New-Veterinary Medicine",'Pivot Table for 1-11'!$A$3,"State","TX","SREB Type2","Four-Year")</f>
        <v>129</v>
      </c>
      <c r="O57" s="97">
        <f>+GETPIVOTDATA(" New-Oth PP",'Pivot Table for 1-11'!$A$3,"State","TX","SREB Type2","Four-Year")</f>
        <v>207</v>
      </c>
      <c r="P57" s="81">
        <f t="shared" si="1"/>
        <v>125105</v>
      </c>
      <c r="Q57" s="168">
        <f>('New Tables 1-12'!P57-'Old 1-12'!P57)/'Old 1-12'!P57</f>
        <v>3.634089365297636E-2</v>
      </c>
      <c r="R57" s="154" t="s">
        <v>216</v>
      </c>
      <c r="S57" s="154"/>
      <c r="T57" s="154" t="s">
        <v>216</v>
      </c>
      <c r="U57" s="154" t="s">
        <v>216</v>
      </c>
      <c r="V57" s="154" t="s">
        <v>216</v>
      </c>
      <c r="W57" s="154" t="s">
        <v>216</v>
      </c>
      <c r="X57" s="154" t="s">
        <v>216</v>
      </c>
      <c r="Y57" s="154" t="s">
        <v>216</v>
      </c>
      <c r="AE57" s="43"/>
      <c r="AF57" s="43"/>
      <c r="AG57" s="43"/>
      <c r="AH57" s="43"/>
      <c r="AI57" s="43"/>
      <c r="AJ57" s="43"/>
      <c r="AK57" s="43"/>
      <c r="AL57" s="43"/>
      <c r="AM57" s="43"/>
    </row>
    <row r="58" spans="1:39" ht="15" customHeight="1" x14ac:dyDescent="0.25">
      <c r="A58" s="5" t="s">
        <v>206</v>
      </c>
      <c r="B58" s="6">
        <f>+GETPIVOTDATA(" New-Less Than 2-Year",'Pivot Table for 1-11'!$A$3,"State","VA","SREB Type2","Four-Year")+GETPIVOTDATA(" New-2 But Less Than 4-Year",'Pivot Table for 1-11'!$A$3,"State","VA","SREB Type2","Four-Year")</f>
        <v>31</v>
      </c>
      <c r="C58" s="6">
        <f>+GETPIVOTDATA(" New-Associate's",'Pivot Table for 1-11'!$A$3,"State","VA","SREB Type2","Four-Year")</f>
        <v>148</v>
      </c>
      <c r="D58" s="6">
        <f>+GETPIVOTDATA(" New-Bachelor's",'Pivot Table for 1-11'!$A$3,"State","VA","SREB Type2","Four-Year")</f>
        <v>34827</v>
      </c>
      <c r="E58" s="6">
        <f>+GETPIVOTDATA(" New-Post-Bachelor's",'Pivot Table for 1-11'!$A$3,"State","VA","SREB Type2","Four-Year")</f>
        <v>853</v>
      </c>
      <c r="F58" s="6">
        <f>+GETPIVOTDATA(" New-Total Master's#",'Pivot Table for 1-11'!$A$3,"State","VA","SREB Type2","Four-Year")</f>
        <v>12002</v>
      </c>
      <c r="G58" s="6">
        <f>+GETPIVOTDATA(" New-Total Doctorates#",'Pivot Table for 1-11'!$A$3,"State","VA","SREB Type2","Four-Year")</f>
        <v>1696</v>
      </c>
      <c r="H58" s="17">
        <f>+GETPIVOTDATA(" New-Law",'Pivot Table for 1-11'!$A$3,"State","VA","SREB Type2","Four-Year")</f>
        <v>782</v>
      </c>
      <c r="I58" s="6">
        <f>+GETPIVOTDATA(" New-Medicine",'Pivot Table for 1-11'!$A$3,"State","VA","SREB Type2","Four-Year")</f>
        <v>337</v>
      </c>
      <c r="J58" s="6">
        <f>+GETPIVOTDATA(" New-Dentistry",'Pivot Table for 1-11'!$A$3,"State","VA","SREB Type2","Four-Year")</f>
        <v>104</v>
      </c>
      <c r="K58" s="6">
        <f>+GETPIVOTDATA(" New-Pharmacy",'Pivot Table for 1-11'!$A$3,"State","VA","SREB Type2","Four-Year")</f>
        <v>124</v>
      </c>
      <c r="L58" s="6">
        <f>+GETPIVOTDATA(" New-Optometry",'Pivot Table for 1-11'!$A$3,"State","VA","SREB Type2","Four-Year")</f>
        <v>0</v>
      </c>
      <c r="M58" s="6">
        <f>+GETPIVOTDATA(" New-Osteopathic Medicine",'Pivot Table for 1-11'!$A$3,"State","VA","SREB Type2","Four-Year")</f>
        <v>0</v>
      </c>
      <c r="N58" s="80">
        <f>+GETPIVOTDATA(" New-Veterinary Medicine",'Pivot Table for 1-11'!$A$3,"State","VA","SREB Type2","Four-Year")</f>
        <v>91</v>
      </c>
      <c r="O58" s="97">
        <f>+GETPIVOTDATA(" New-Oth PP",'Pivot Table for 1-11'!$A$3,"State","VA","SREB Type2","Four-Year")</f>
        <v>0</v>
      </c>
      <c r="P58" s="81">
        <f t="shared" si="1"/>
        <v>50995</v>
      </c>
      <c r="Q58" s="168">
        <f>('New Tables 1-12'!P58-'Old 1-12'!P58)/'Old 1-12'!P58</f>
        <v>5.0100901939788313E-2</v>
      </c>
      <c r="R58" s="154" t="s">
        <v>216</v>
      </c>
      <c r="S58" s="154"/>
      <c r="T58" s="154" t="s">
        <v>216</v>
      </c>
      <c r="U58" s="154" t="s">
        <v>216</v>
      </c>
      <c r="V58" s="154" t="s">
        <v>216</v>
      </c>
      <c r="W58" s="154" t="s">
        <v>216</v>
      </c>
      <c r="X58" s="154" t="s">
        <v>216</v>
      </c>
      <c r="Y58" s="154" t="s">
        <v>216</v>
      </c>
      <c r="AE58" s="43"/>
      <c r="AF58" s="43"/>
      <c r="AG58" s="43"/>
      <c r="AH58" s="43"/>
      <c r="AI58" s="43"/>
      <c r="AJ58" s="43"/>
      <c r="AK58" s="43"/>
      <c r="AL58" s="43"/>
      <c r="AM58" s="43"/>
    </row>
    <row r="59" spans="1:39" ht="15" customHeight="1" x14ac:dyDescent="0.25">
      <c r="A59" s="7" t="s">
        <v>207</v>
      </c>
      <c r="B59" s="8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8">
        <f>+GETPIVOTDATA(" New-Associate's",'Pivot Table for 1-11'!$A$3,"State","WV","SREB Type2","Four-Year")</f>
        <v>362</v>
      </c>
      <c r="D59" s="8">
        <f>+GETPIVOTDATA(" New-Bachelor's",'Pivot Table for 1-11'!$A$3,"State","WV","SREB Type2","Four-Year")</f>
        <v>8868</v>
      </c>
      <c r="E59" s="8">
        <f>+GETPIVOTDATA(" New-Post-Bachelor's",'Pivot Table for 1-11'!$A$3,"State","WV","SREB Type2","Four-Year")</f>
        <v>0</v>
      </c>
      <c r="F59" s="8">
        <f>+GETPIVOTDATA(" New-Total Master's#",'Pivot Table for 1-11'!$A$3,"State","WV","SREB Type2","Four-Year")</f>
        <v>2712</v>
      </c>
      <c r="G59" s="8">
        <f>+GETPIVOTDATA(" New-Total Doctorates#",'Pivot Table for 1-11'!$A$3,"State","WV","SREB Type2","Four-Year")</f>
        <v>178</v>
      </c>
      <c r="H59" s="18">
        <f>+GETPIVOTDATA(" New-Law",'Pivot Table for 1-11'!$A$3,"State","WV","SREB Type2","Four-Year")</f>
        <v>142</v>
      </c>
      <c r="I59" s="8">
        <f>+GETPIVOTDATA(" New-Medicine",'Pivot Table for 1-11'!$A$3,"State","WV","SREB Type2","Four-Year")</f>
        <v>162</v>
      </c>
      <c r="J59" s="8">
        <f>+GETPIVOTDATA(" New-Dentistry",'Pivot Table for 1-11'!$A$3,"State","WV","SREB Type2","Four-Year")</f>
        <v>43</v>
      </c>
      <c r="K59" s="8">
        <f>+GETPIVOTDATA(" New-Pharmacy",'Pivot Table for 1-11'!$A$3,"State","WV","SREB Type2","Four-Year")</f>
        <v>81</v>
      </c>
      <c r="L59" s="8">
        <f>+GETPIVOTDATA(" New-Optometry",'Pivot Table for 1-11'!$A$3,"State","WV","SREB Type2","Four-Year")</f>
        <v>0</v>
      </c>
      <c r="M59" s="8">
        <f>+GETPIVOTDATA(" New-Osteopathic Medicine",'Pivot Table for 1-11'!$A$3,"State","WV","SREB Type2","Four-Year")</f>
        <v>0</v>
      </c>
      <c r="N59" s="88">
        <f>+GETPIVOTDATA(" New-Veterinary Medicine",'Pivot Table for 1-11'!$A$3,"State","WV","SREB Type2","Four-Year")</f>
        <v>0</v>
      </c>
      <c r="O59" s="98">
        <f>+GETPIVOTDATA(" New-Oth PP",'Pivot Table for 1-11'!$A$3,"State","WV","SREB Type2","Four-Year")</f>
        <v>113</v>
      </c>
      <c r="P59" s="82">
        <f t="shared" si="1"/>
        <v>12661</v>
      </c>
      <c r="Q59" s="168">
        <f>('New Tables 1-12'!P59-'Old 1-12'!P59)/'Old 1-12'!P59</f>
        <v>4.3603692713485E-2</v>
      </c>
      <c r="R59" s="154" t="s">
        <v>216</v>
      </c>
      <c r="S59" s="154"/>
      <c r="T59" s="154" t="s">
        <v>216</v>
      </c>
      <c r="U59" s="154" t="s">
        <v>216</v>
      </c>
      <c r="V59" s="154" t="s">
        <v>216</v>
      </c>
      <c r="W59" s="154" t="s">
        <v>216</v>
      </c>
      <c r="X59" s="154" t="s">
        <v>216</v>
      </c>
      <c r="Y59" s="154" t="s">
        <v>216</v>
      </c>
      <c r="AE59" s="43"/>
      <c r="AF59" s="43"/>
      <c r="AG59" s="43"/>
      <c r="AH59" s="43"/>
      <c r="AI59" s="43"/>
      <c r="AJ59" s="43"/>
      <c r="AK59" s="43"/>
      <c r="AL59" s="43"/>
      <c r="AM59" s="43"/>
    </row>
    <row r="60" spans="1:39" ht="15.75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0"/>
      <c r="O60" s="80"/>
      <c r="P60" s="80"/>
      <c r="Q60" s="154" t="s">
        <v>216</v>
      </c>
      <c r="R60" s="154" t="s">
        <v>216</v>
      </c>
      <c r="S60" s="154"/>
      <c r="T60" s="154" t="s">
        <v>216</v>
      </c>
      <c r="U60" s="154" t="s">
        <v>216</v>
      </c>
      <c r="V60" s="154" t="s">
        <v>216</v>
      </c>
      <c r="W60" s="154" t="s">
        <v>216</v>
      </c>
      <c r="X60" s="154" t="s">
        <v>216</v>
      </c>
      <c r="Y60" s="154" t="s">
        <v>216</v>
      </c>
      <c r="AE60" s="43"/>
      <c r="AF60" s="43"/>
      <c r="AG60" s="43"/>
      <c r="AH60" s="43"/>
      <c r="AI60" s="43"/>
      <c r="AJ60" s="43"/>
      <c r="AK60" s="43"/>
      <c r="AL60" s="43"/>
      <c r="AM60" s="43"/>
    </row>
    <row r="61" spans="1:39" ht="24" customHeight="1" x14ac:dyDescent="0.25">
      <c r="A61" s="856" t="s">
        <v>409</v>
      </c>
      <c r="B61" s="857"/>
      <c r="C61" s="857"/>
      <c r="D61" s="857"/>
      <c r="E61" s="857"/>
      <c r="F61" s="857"/>
      <c r="G61" s="857"/>
      <c r="H61" s="857"/>
      <c r="I61" s="857"/>
      <c r="J61" s="857"/>
      <c r="K61" s="857"/>
      <c r="L61" s="857"/>
      <c r="M61" s="857"/>
      <c r="N61" s="857"/>
      <c r="O61" s="857"/>
      <c r="P61" s="857"/>
      <c r="Q61" s="154" t="s">
        <v>216</v>
      </c>
      <c r="R61" s="154" t="s">
        <v>216</v>
      </c>
      <c r="S61" s="154"/>
      <c r="T61" s="154" t="s">
        <v>216</v>
      </c>
      <c r="U61" s="154" t="s">
        <v>216</v>
      </c>
      <c r="V61" s="154" t="s">
        <v>216</v>
      </c>
      <c r="W61" s="154" t="s">
        <v>216</v>
      </c>
      <c r="X61" s="154" t="s">
        <v>216</v>
      </c>
      <c r="Y61" s="154" t="s">
        <v>216</v>
      </c>
      <c r="AE61" s="43"/>
      <c r="AF61" s="43"/>
      <c r="AG61" s="43"/>
      <c r="AH61" s="43"/>
      <c r="AI61" s="43"/>
      <c r="AJ61" s="43"/>
      <c r="AK61" s="43"/>
      <c r="AL61" s="43"/>
      <c r="AM61" s="43"/>
    </row>
    <row r="62" spans="1:39" ht="15" customHeight="1" x14ac:dyDescent="0.2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3"/>
      <c r="O62" s="63"/>
      <c r="P62" s="63"/>
      <c r="Q62" s="166"/>
    </row>
    <row r="63" spans="1:39" x14ac:dyDescent="0.2">
      <c r="P63" s="83" t="s">
        <v>1293</v>
      </c>
      <c r="Q63" s="167"/>
    </row>
    <row r="64" spans="1:39" ht="18" x14ac:dyDescent="0.25">
      <c r="A64" s="22" t="s">
        <v>209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8"/>
      <c r="O64" s="58"/>
      <c r="P64" s="58"/>
      <c r="Q64" s="154" t="s">
        <v>216</v>
      </c>
    </row>
    <row r="65" spans="1:24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7"/>
      <c r="O65" s="57"/>
      <c r="P65" s="57"/>
      <c r="Q65" s="163"/>
    </row>
    <row r="66" spans="1:24" ht="15.75" x14ac:dyDescent="0.25">
      <c r="A66" s="1" t="s">
        <v>181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8"/>
      <c r="O66" s="58"/>
      <c r="P66" s="58"/>
      <c r="Q66" s="154" t="s">
        <v>216</v>
      </c>
    </row>
    <row r="67" spans="1:24" ht="15.75" x14ac:dyDescent="0.25">
      <c r="A67" s="1" t="s">
        <v>1283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8"/>
      <c r="O67" s="58"/>
      <c r="P67" s="58"/>
      <c r="Q67" s="154" t="s">
        <v>216</v>
      </c>
    </row>
    <row r="68" spans="1:24" ht="1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59"/>
      <c r="O68" s="59"/>
      <c r="P68" s="59"/>
      <c r="Q68" s="169"/>
    </row>
    <row r="69" spans="1:24" ht="15.75" x14ac:dyDescent="0.25">
      <c r="A69" s="91"/>
      <c r="B69" s="91"/>
      <c r="C69" s="91"/>
      <c r="D69" s="91"/>
      <c r="E69" s="91"/>
      <c r="F69" s="91"/>
      <c r="G69" s="91"/>
      <c r="H69" s="95" t="s">
        <v>410</v>
      </c>
      <c r="I69" s="26"/>
      <c r="J69" s="26"/>
      <c r="K69" s="26"/>
      <c r="L69" s="26"/>
      <c r="M69" s="26"/>
      <c r="N69" s="92"/>
      <c r="O69" s="99"/>
      <c r="P69" s="94" t="s">
        <v>216</v>
      </c>
      <c r="Q69" s="169"/>
      <c r="R69" s="149"/>
      <c r="S69" s="149"/>
      <c r="X69" s="149"/>
    </row>
    <row r="70" spans="1:24" ht="36.75" customHeight="1" x14ac:dyDescent="0.2">
      <c r="A70" s="14"/>
      <c r="B70" s="15" t="s">
        <v>244</v>
      </c>
      <c r="C70" s="15" t="s">
        <v>182</v>
      </c>
      <c r="D70" s="15" t="s">
        <v>175</v>
      </c>
      <c r="E70" s="15" t="s">
        <v>176</v>
      </c>
      <c r="F70" s="15" t="s">
        <v>183</v>
      </c>
      <c r="G70" s="15" t="s">
        <v>184</v>
      </c>
      <c r="H70" s="16" t="s">
        <v>185</v>
      </c>
      <c r="I70" s="15" t="s">
        <v>186</v>
      </c>
      <c r="J70" s="15" t="s">
        <v>187</v>
      </c>
      <c r="K70" s="15" t="s">
        <v>179</v>
      </c>
      <c r="L70" s="15" t="s">
        <v>188</v>
      </c>
      <c r="M70" s="15" t="s">
        <v>189</v>
      </c>
      <c r="N70" s="90" t="s">
        <v>263</v>
      </c>
      <c r="O70" s="96" t="s">
        <v>408</v>
      </c>
      <c r="P70" s="90" t="s">
        <v>190</v>
      </c>
      <c r="Q70" s="170"/>
    </row>
    <row r="71" spans="1:24" ht="15" customHeight="1" x14ac:dyDescent="0.2">
      <c r="A71" s="5" t="s">
        <v>191</v>
      </c>
      <c r="B71" s="6">
        <f>+GETPIVOTDATA(" New-Less Than 2-Year",'Pivot Table for 1-11'!$A$3,"SREB Type",1,"SREB Type2","Four-Year")+GETPIVOTDATA(" New-2 But Less Than 4-Year",'Pivot Table for 1-11'!$A$3,"SREB Type",1,"SREB Type2","Four-Year")</f>
        <v>110</v>
      </c>
      <c r="C71" s="6">
        <f>+GETPIVOTDATA(" New-Associate's",'Pivot Table for 1-11'!$A$3,"SREB Type",1,"SREB Type2","Four-Year")</f>
        <v>1478</v>
      </c>
      <c r="D71" s="6">
        <f>+GETPIVOTDATA(" New-Bachelor's",'Pivot Table for 1-11'!$A$3,"SREB Type",1,"SREB Type2","Four-Year")</f>
        <v>195546</v>
      </c>
      <c r="E71" s="6">
        <f>+GETPIVOTDATA(" New-Post-Bachelor's",'Pivot Table for 1-11'!$A$3,"SREB Type",1,"SREB Type2","Four-Year")</f>
        <v>1357</v>
      </c>
      <c r="F71" s="6">
        <f>+GETPIVOTDATA(" New-Total Master's#",'Pivot Table for 1-11'!$A$3,"SREB Type",1,"SREB Type2","Four-Year")</f>
        <v>70202</v>
      </c>
      <c r="G71" s="6">
        <f>+GETPIVOTDATA(" New-Total Doctorates#",'Pivot Table for 1-11'!$A$3,"SREB Type",1,"SREB Type2","Four-Year")</f>
        <v>11861</v>
      </c>
      <c r="H71" s="17">
        <f>+GETPIVOTDATA(" New-Law",'Pivot Table for 1-11'!$A$3,"SREB Type",1,"SREB Type2","Four-Year")</f>
        <v>4554</v>
      </c>
      <c r="I71" s="6">
        <f>+GETPIVOTDATA(" New-Medicine",'Pivot Table for 1-11'!$A$3,"SREB Type",1,"SREB Type2","Four-Year")</f>
        <v>1258</v>
      </c>
      <c r="J71" s="6">
        <f>+GETPIVOTDATA(" New-Dentistry",'Pivot Table for 1-11'!$A$3,"SREB Type",1,"SREB Type2","Four-Year")</f>
        <v>408</v>
      </c>
      <c r="K71" s="6">
        <f>+GETPIVOTDATA(" New-Pharmacy",'Pivot Table for 1-11'!$A$3,"SREB Type",1,"SREB Type2","Four-Year")</f>
        <v>1536</v>
      </c>
      <c r="L71" s="6">
        <f>+GETPIVOTDATA(" New-Optometry",'Pivot Table for 1-11'!$A$3,"SREB Type",1,"SREB Type2","Four-Year")</f>
        <v>91</v>
      </c>
      <c r="M71" s="6">
        <f>+GETPIVOTDATA(" New-Osteopathic Medicine",'Pivot Table for 1-11'!$A$3,"SREB Type",1,"SREB Type2","Four-Year")</f>
        <v>83</v>
      </c>
      <c r="N71" s="80">
        <f>+GETPIVOTDATA(" New-Veterinary Medicine",'Pivot Table for 1-11'!$A$3,"SREB Type",1,"SREB Type2","Four-Year")</f>
        <v>933</v>
      </c>
      <c r="O71" s="97">
        <f>+GETPIVOTDATA(" New-Oth PP",'Pivot Table for 1-11'!$A$3,"SREB Type",1,"SREB Type2","Four-Year")</f>
        <v>771</v>
      </c>
      <c r="P71" s="81">
        <f t="shared" ref="P71" si="2">SUM(B71:O71)</f>
        <v>290188</v>
      </c>
      <c r="Q71" s="85"/>
    </row>
    <row r="72" spans="1:24" ht="15" customHeight="1" x14ac:dyDescent="0.2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0"/>
      <c r="O72" s="97"/>
      <c r="P72" s="81"/>
      <c r="Q72" s="85"/>
    </row>
    <row r="73" spans="1:24" ht="15" customHeight="1" x14ac:dyDescent="0.2">
      <c r="A73" s="5" t="s">
        <v>192</v>
      </c>
      <c r="B73" s="6">
        <f>GETPIVOTDATA(" New-Less Than 2-Year",'Pivot Table for 1-11'!$A$3,"State","AL","SREB Type",1,"SREB Type2","Four-Year")+GETPIVOTDATA(" New-2 But Less Than 4-Year",'Pivot Table for 1-11'!$A$3,"State","AL","SREB Type",1,"SREB Type2","Four-Year")</f>
        <v>0</v>
      </c>
      <c r="C73" s="6">
        <f>+GETPIVOTDATA(" New-Associate's",'Pivot Table for 1-11'!$A$3,"State","AL","SREB Type",1,"SREB Type2","Four-Year")</f>
        <v>0</v>
      </c>
      <c r="D73" s="6">
        <f>+GETPIVOTDATA(" New-Bachelor's",'Pivot Table for 1-11'!$A$3,"State","AL","SREB Type",1,"SREB Type2","Four-Year")</f>
        <v>8767</v>
      </c>
      <c r="E73" s="6">
        <f>+GETPIVOTDATA(" New-Post-Bachelor's",'Pivot Table for 1-11'!$A$3,"State","AL","SREB Type",1,"SREB Type2","Four-Year")</f>
        <v>58</v>
      </c>
      <c r="F73" s="6">
        <f>+GETPIVOTDATA(" New-Total Master's#",'Pivot Table for 1-11'!$A$3,"State","AL","SREB Type",1,"SREB Type2","Four-Year")</f>
        <v>2733</v>
      </c>
      <c r="G73" s="6">
        <f>+GETPIVOTDATA(" New-Total Doctorates#",'Pivot Table for 1-11'!$A$3,"State","AL","SREB Type",1,"SREB Type2","Four-Year")</f>
        <v>430</v>
      </c>
      <c r="H73" s="17">
        <f>+GETPIVOTDATA(" New-Law",'Pivot Table for 1-11'!$A$3,"State","AL","SREB Type",1,"SREB Type2","Four-Year")</f>
        <v>175</v>
      </c>
      <c r="I73" s="6">
        <f>+GETPIVOTDATA(" New-Medicine",'Pivot Table for 1-11'!$A$3,"State","AL","SREB Type",1,"SREB Type2","Four-Year")</f>
        <v>0</v>
      </c>
      <c r="J73" s="6">
        <f>+GETPIVOTDATA(" New-Dentistry",'Pivot Table for 1-11'!$A$3,"State","AL","SREB Type",1,"SREB Type2","Four-Year")</f>
        <v>0</v>
      </c>
      <c r="K73" s="6">
        <f>+GETPIVOTDATA(" New-Pharmacy",'Pivot Table for 1-11'!$A$3,"State","AL","SREB Type",1,"SREB Type2","Four-Year")</f>
        <v>131</v>
      </c>
      <c r="L73" s="6">
        <f>+GETPIVOTDATA(" New-Optometry",'Pivot Table for 1-11'!$A$3,"State","AL","SREB Type",1,"SREB Type2","Four-Year")</f>
        <v>0</v>
      </c>
      <c r="M73" s="6">
        <f>+GETPIVOTDATA(" New-Osteopathic Medicine",'Pivot Table for 1-11'!$A$3,"State","AL","SREB Type",1,"SREB Type2","Four-Year")</f>
        <v>0</v>
      </c>
      <c r="N73" s="80">
        <f>+GETPIVOTDATA(" New-Veterinary Medicine",'Pivot Table for 1-11'!$A$3,"State","AL","SREB Type",1,"SREB Type2","Four-Year")</f>
        <v>90</v>
      </c>
      <c r="O73" s="97">
        <f>+GETPIVOTDATA(" New-Oth PP",'Pivot Table for 1-11'!$A$3,"State","AL","SREB Type",1,"SREB Type2","Four-Year")</f>
        <v>78</v>
      </c>
      <c r="P73" s="81">
        <f t="shared" ref="P73" si="3">SUM(B73:O73)</f>
        <v>12462</v>
      </c>
      <c r="Q73" s="85"/>
    </row>
    <row r="74" spans="1:24" ht="15" customHeight="1" x14ac:dyDescent="0.2">
      <c r="A74" s="5" t="s">
        <v>193</v>
      </c>
      <c r="B74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74" s="6">
        <f>+GETPIVOTDATA(" New-Associate's",'Pivot Table for 1-11'!$A$3,"State","AR","SREB Type",1,"SREB Type2","Four-Year")</f>
        <v>0</v>
      </c>
      <c r="D74" s="6">
        <f>+GETPIVOTDATA(" New-Bachelor's",'Pivot Table for 1-11'!$A$3,"State","AR","SREB Type",1,"SREB Type2","Four-Year")</f>
        <v>3130</v>
      </c>
      <c r="E74" s="6">
        <f>+GETPIVOTDATA(" New-Post-Bachelor's",'Pivot Table for 1-11'!$A$3,"State","AR","SREB Type",1,"SREB Type2","Four-Year")</f>
        <v>13</v>
      </c>
      <c r="F74" s="6">
        <f>+GETPIVOTDATA(" New-Total Master's#",'Pivot Table for 1-11'!$A$3,"State","AR","SREB Type",1,"SREB Type2","Four-Year")</f>
        <v>1152</v>
      </c>
      <c r="G74" s="6">
        <f>+GETPIVOTDATA(" New-Total Doctorates#",'Pivot Table for 1-11'!$A$3,"State","AR","SREB Type",1,"SREB Type2","Four-Year")</f>
        <v>164</v>
      </c>
      <c r="H74" s="17">
        <f>+GETPIVOTDATA(" New-Law",'Pivot Table for 1-11'!$A$3,"State","AR","SREB Type",1,"SREB Type2","Four-Year")</f>
        <v>131</v>
      </c>
      <c r="I74" s="6">
        <f>+GETPIVOTDATA(" New-Medicine",'Pivot Table for 1-11'!$A$3,"State","AR","SREB Type",1,"SREB Type2","Four-Year")</f>
        <v>0</v>
      </c>
      <c r="J74" s="6">
        <f>+GETPIVOTDATA(" New-Dentistry",'Pivot Table for 1-11'!$A$3,"State","AR","SREB Type",1,"SREB Type2","Four-Year")</f>
        <v>0</v>
      </c>
      <c r="K74" s="6">
        <f>+GETPIVOTDATA(" New-Pharmacy",'Pivot Table for 1-11'!$A$3,"State","AR","SREB Type",1,"SREB Type2","Four-Year")</f>
        <v>0</v>
      </c>
      <c r="L74" s="6">
        <f>+GETPIVOTDATA(" New-Optometry",'Pivot Table for 1-11'!$A$3,"State","AR","SREB Type",1,"SREB Type2","Four-Year")</f>
        <v>0</v>
      </c>
      <c r="M74" s="6">
        <f>+GETPIVOTDATA(" New-Osteopathic Medicine",'Pivot Table for 1-11'!$A$3,"State","AR","SREB Type",1,"SREB Type2","Four-Year")</f>
        <v>0</v>
      </c>
      <c r="N74" s="80">
        <f>+GETPIVOTDATA(" New-Veterinary Medicine",'Pivot Table for 1-11'!$A$3,"State","AR","SREB Type",1,"SREB Type2","Four-Year")</f>
        <v>0</v>
      </c>
      <c r="O74" s="97">
        <f>+GETPIVOTDATA(" New-Oth PP",'Pivot Table for 1-11'!$A$3,"State","AR","SREB Type",1,"SREB Type2","Four-Year")</f>
        <v>0</v>
      </c>
      <c r="P74" s="81">
        <f t="shared" ref="P74" si="4">SUM(B74:O74)</f>
        <v>4590</v>
      </c>
      <c r="Q74" s="85"/>
    </row>
    <row r="75" spans="1:24" ht="15" customHeight="1" x14ac:dyDescent="0.2">
      <c r="A75" s="5" t="s">
        <v>194</v>
      </c>
      <c r="B75" s="6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6">
        <f>+GETPIVOTDATA(" New-Associate's",'Pivot Table for 1-11'!$A$3,"State","DE","SREB Type",1,"SREB Type2","Four-Year")</f>
        <v>303</v>
      </c>
      <c r="D75" s="6">
        <f>+GETPIVOTDATA(" New-Bachelor's",'Pivot Table for 1-11'!$A$3,"State","DE","SREB Type",1,"SREB Type2","Four-Year")</f>
        <v>3535</v>
      </c>
      <c r="E75" s="6">
        <f>+GETPIVOTDATA(" New-Post-Bachelor's",'Pivot Table for 1-11'!$A$3,"State","DE","SREB Type",1,"SREB Type2","Four-Year")</f>
        <v>0</v>
      </c>
      <c r="F75" s="6">
        <f>+GETPIVOTDATA(" New-Total Master's#",'Pivot Table for 1-11'!$A$3,"State","DE","SREB Type",1,"SREB Type2","Four-Year")</f>
        <v>785</v>
      </c>
      <c r="G75" s="6">
        <f>+GETPIVOTDATA(" New-Total Doctorates#",'Pivot Table for 1-11'!$A$3,"State","DE","SREB Type",1,"SREB Type2","Four-Year")</f>
        <v>228</v>
      </c>
      <c r="H75" s="17">
        <f>+GETPIVOTDATA(" New-Law",'Pivot Table for 1-11'!$A$3,"State","DE","SREB Type",1,"SREB Type2","Four-Year")</f>
        <v>0</v>
      </c>
      <c r="I75" s="6">
        <f>+GETPIVOTDATA(" New-Medicine",'Pivot Table for 1-11'!$A$3,"State","DE","SREB Type",1,"SREB Type2","Four-Year")</f>
        <v>0</v>
      </c>
      <c r="J75" s="6">
        <f>+GETPIVOTDATA(" New-Dentistry",'Pivot Table for 1-11'!$A$3,"State","DE","SREB Type",1,"SREB Type2","Four-Year")</f>
        <v>0</v>
      </c>
      <c r="K75" s="6">
        <f>+GETPIVOTDATA(" New-Pharmacy",'Pivot Table for 1-11'!$A$3,"State","DE","SREB Type",1,"SREB Type2","Four-Year")</f>
        <v>0</v>
      </c>
      <c r="L75" s="6">
        <f>+GETPIVOTDATA(" New-Optometry",'Pivot Table for 1-11'!$A$3,"State","DE","SREB Type",1,"SREB Type2","Four-Year")</f>
        <v>0</v>
      </c>
      <c r="M75" s="6">
        <f>+GETPIVOTDATA(" New-Osteopathic Medicine",'Pivot Table for 1-11'!$A$3,"State","DE","SREB Type",1,"SREB Type2","Four-Year")</f>
        <v>0</v>
      </c>
      <c r="N75" s="80">
        <f>+GETPIVOTDATA(" New-Veterinary Medicine",'Pivot Table for 1-11'!$A$3,"State","DE","SREB Type",1,"SREB Type2","Four-Year")</f>
        <v>0</v>
      </c>
      <c r="O75" s="97">
        <f>+GETPIVOTDATA(" New-Oth PP",'Pivot Table for 1-11'!$A$3,"State","DE","SREB Type",1,"SREB Type2","Four-Year")</f>
        <v>34</v>
      </c>
      <c r="P75" s="81">
        <f t="shared" ref="P75:P91" si="5">SUM(B75:O75)</f>
        <v>4885</v>
      </c>
      <c r="Q75" s="85"/>
    </row>
    <row r="76" spans="1:24" ht="15" customHeight="1" x14ac:dyDescent="0.2">
      <c r="A76" s="5" t="s">
        <v>195</v>
      </c>
      <c r="B76" s="6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6">
        <f>+GETPIVOTDATA(" New-Associate's",'Pivot Table for 1-11'!$A$3,"State","FL","SREB Type",1,"SREB Type2","Four-Year")</f>
        <v>953</v>
      </c>
      <c r="D76" s="6">
        <f>+GETPIVOTDATA(" New-Bachelor's",'Pivot Table for 1-11'!$A$3,"State","FL","SREB Type",1,"SREB Type2","Four-Year")</f>
        <v>44040</v>
      </c>
      <c r="E76" s="6">
        <f>+GETPIVOTDATA(" New-Post-Bachelor's",'Pivot Table for 1-11'!$A$3,"State","FL","SREB Type",1,"SREB Type2","Four-Year")</f>
        <v>141</v>
      </c>
      <c r="F76" s="6">
        <f>+GETPIVOTDATA(" New-Total Master's#",'Pivot Table for 1-11'!$A$3,"State","FL","SREB Type",1,"SREB Type2","Four-Year")</f>
        <v>14168</v>
      </c>
      <c r="G76" s="6">
        <f>+GETPIVOTDATA(" New-Total Doctorates#",'Pivot Table for 1-11'!$A$3,"State","FL","SREB Type",1,"SREB Type2","Four-Year")</f>
        <v>2070</v>
      </c>
      <c r="H76" s="17">
        <f>+GETPIVOTDATA(" New-Law",'Pivot Table for 1-11'!$A$3,"State","FL","SREB Type",1,"SREB Type2","Four-Year")</f>
        <v>807</v>
      </c>
      <c r="I76" s="6">
        <f>+GETPIVOTDATA(" New-Medicine",'Pivot Table for 1-11'!$A$3,"State","FL","SREB Type",1,"SREB Type2","Four-Year")</f>
        <v>361</v>
      </c>
      <c r="J76" s="6">
        <f>+GETPIVOTDATA(" New-Dentistry",'Pivot Table for 1-11'!$A$3,"State","FL","SREB Type",1,"SREB Type2","Four-Year")</f>
        <v>83</v>
      </c>
      <c r="K76" s="6">
        <f>+GETPIVOTDATA(" New-Pharmacy",'Pivot Table for 1-11'!$A$3,"State","FL","SREB Type",1,"SREB Type2","Four-Year")</f>
        <v>461</v>
      </c>
      <c r="L76" s="6">
        <f>+GETPIVOTDATA(" New-Optometry",'Pivot Table for 1-11'!$A$3,"State","FL","SREB Type",1,"SREB Type2","Four-Year")</f>
        <v>0</v>
      </c>
      <c r="M76" s="6">
        <f>+GETPIVOTDATA(" New-Osteopathic Medicine",'Pivot Table for 1-11'!$A$3,"State","FL","SREB Type",1,"SREB Type2","Four-Year")</f>
        <v>0</v>
      </c>
      <c r="N76" s="80">
        <f>+GETPIVOTDATA(" New-Veterinary Medicine",'Pivot Table for 1-11'!$A$3,"State","FL","SREB Type",1,"SREB Type2","Four-Year")</f>
        <v>84</v>
      </c>
      <c r="O76" s="97">
        <f>+GETPIVOTDATA(" New-Oth PP",'Pivot Table for 1-11'!$A$3,"State","FL","SREB Type",1,"SREB Type2","Four-Year")</f>
        <v>261</v>
      </c>
      <c r="P76" s="81">
        <f t="shared" si="5"/>
        <v>63429</v>
      </c>
      <c r="Q76" s="85"/>
    </row>
    <row r="77" spans="1:24" ht="15" customHeight="1" x14ac:dyDescent="0.2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0"/>
      <c r="O77" s="97"/>
      <c r="P77" s="81"/>
      <c r="Q77" s="85"/>
    </row>
    <row r="78" spans="1:24" ht="15" customHeight="1" x14ac:dyDescent="0.2">
      <c r="A78" s="5" t="s">
        <v>196</v>
      </c>
      <c r="B78" s="6">
        <f>+GETPIVOTDATA(" New-Less Than 2-Year",'Pivot Table for 1-11'!$A$3,"State","GA","SREB Type",1,"SREB Type2","Four-Year")+GETPIVOTDATA(" New-2 But Less Than 4-Year",'Pivot Table for 1-11'!$A$3,"State","GA","SREB Type",1,"SREB Type2","Four-Year")</f>
        <v>0</v>
      </c>
      <c r="C78" s="6">
        <f>+GETPIVOTDATA(" New-Associate's",'Pivot Table for 1-11'!$A$3,"State","GA","SREB Type",1,"SREB Type2","Four-Year")</f>
        <v>0</v>
      </c>
      <c r="D78" s="6">
        <f>+GETPIVOTDATA(" New-Bachelor's",'Pivot Table for 1-11'!$A$3,"State","GA","SREB Type",1,"SREB Type2","Four-Year")</f>
        <v>11214</v>
      </c>
      <c r="E78" s="6">
        <f>+GETPIVOTDATA(" New-Post-Bachelor's",'Pivot Table for 1-11'!$A$3,"State","GA","SREB Type",1,"SREB Type2","Four-Year")</f>
        <v>31</v>
      </c>
      <c r="F78" s="6">
        <f>+GETPIVOTDATA(" New-Total Master's#",'Pivot Table for 1-11'!$A$3,"State","GA","SREB Type",1,"SREB Type2","Four-Year")</f>
        <v>4137</v>
      </c>
      <c r="G78" s="6">
        <f>+GETPIVOTDATA(" New-Total Doctorates#",'Pivot Table for 1-11'!$A$3,"State","GA","SREB Type",1,"SREB Type2","Four-Year")</f>
        <v>700</v>
      </c>
      <c r="H78" s="17">
        <f>+GETPIVOTDATA(" New-Law",'Pivot Table for 1-11'!$A$3,"State","GA","SREB Type",1,"SREB Type2","Four-Year")</f>
        <v>421</v>
      </c>
      <c r="I78" s="6">
        <f>+GETPIVOTDATA(" New-Medicine",'Pivot Table for 1-11'!$A$3,"State","GA","SREB Type",1,"SREB Type2","Four-Year")</f>
        <v>0</v>
      </c>
      <c r="J78" s="6">
        <f>+GETPIVOTDATA(" New-Dentistry",'Pivot Table for 1-11'!$A$3,"State","GA","SREB Type",1,"SREB Type2","Four-Year")</f>
        <v>0</v>
      </c>
      <c r="K78" s="6">
        <f>+GETPIVOTDATA(" New-Pharmacy",'Pivot Table for 1-11'!$A$3,"State","GA","SREB Type",1,"SREB Type2","Four-Year")</f>
        <v>122</v>
      </c>
      <c r="L78" s="6">
        <f>+GETPIVOTDATA(" New-Optometry",'Pivot Table for 1-11'!$A$3,"State","GA","SREB Type",1,"SREB Type2","Four-Year")</f>
        <v>0</v>
      </c>
      <c r="M78" s="6">
        <f>+GETPIVOTDATA(" New-Osteopathic Medicine",'Pivot Table for 1-11'!$A$3,"State","GA","SREB Type",1,"SREB Type2","Four-Year")</f>
        <v>0</v>
      </c>
      <c r="N78" s="80">
        <f>+GETPIVOTDATA(" New-Veterinary Medicine",'Pivot Table for 1-11'!$A$3,"State","GA","SREB Type",1,"SREB Type2","Four-Year")</f>
        <v>99</v>
      </c>
      <c r="O78" s="97">
        <f>+GETPIVOTDATA(" New-Oth PP",'Pivot Table for 1-11'!$A$3,"State","GA","SREB Type",1,"SREB Type2","Four-Year")</f>
        <v>0</v>
      </c>
      <c r="P78" s="81">
        <f t="shared" si="5"/>
        <v>16724</v>
      </c>
      <c r="Q78" s="85"/>
    </row>
    <row r="79" spans="1:24" ht="15" customHeight="1" x14ac:dyDescent="0.2">
      <c r="A79" s="5" t="s">
        <v>197</v>
      </c>
      <c r="B79" s="6">
        <f>+GETPIVOTDATA(" New-Less Than 2-Year",'Pivot Table for 1-11'!$A$3,"State","KY","SREB Type",1,"SREB Type2","Four-Year")+GETPIVOTDATA(" New-2 But Less Than 4-Year",'Pivot Table for 1-11'!$A$3,"State","KY","SREB Type",1,"SREB Type2","Four-Year")</f>
        <v>48</v>
      </c>
      <c r="C79" s="6">
        <f>+GETPIVOTDATA(" New-Associate's",'Pivot Table for 1-11'!$A$3,"State","KY","SREB Type",1,"SREB Type2","Four-Year")</f>
        <v>11</v>
      </c>
      <c r="D79" s="6">
        <f>+GETPIVOTDATA(" New-Bachelor's",'Pivot Table for 1-11'!$A$3,"State","KY","SREB Type",1,"SREB Type2","Four-Year")</f>
        <v>6437</v>
      </c>
      <c r="E79" s="6">
        <f>+GETPIVOTDATA(" New-Post-Bachelor's",'Pivot Table for 1-11'!$A$3,"State","KY","SREB Type",1,"SREB Type2","Four-Year")</f>
        <v>163</v>
      </c>
      <c r="F79" s="6">
        <f>+GETPIVOTDATA(" New-Total Master's#",'Pivot Table for 1-11'!$A$3,"State","KY","SREB Type",1,"SREB Type2","Four-Year")</f>
        <v>2791</v>
      </c>
      <c r="G79" s="6">
        <f>+GETPIVOTDATA(" New-Total Doctorates#",'Pivot Table for 1-11'!$A$3,"State","KY","SREB Type",1,"SREB Type2","Four-Year")</f>
        <v>510</v>
      </c>
      <c r="H79" s="17">
        <f>+GETPIVOTDATA(" New-Law",'Pivot Table for 1-11'!$A$3,"State","KY","SREB Type",1,"SREB Type2","Four-Year")</f>
        <v>275</v>
      </c>
      <c r="I79" s="6">
        <f>+GETPIVOTDATA(" New-Medicine",'Pivot Table for 1-11'!$A$3,"State","KY","SREB Type",1,"SREB Type2","Four-Year")</f>
        <v>252</v>
      </c>
      <c r="J79" s="6">
        <f>+GETPIVOTDATA(" New-Dentistry",'Pivot Table for 1-11'!$A$3,"State","KY","SREB Type",1,"SREB Type2","Four-Year")</f>
        <v>148</v>
      </c>
      <c r="K79" s="6">
        <f>+GETPIVOTDATA(" New-Pharmacy",'Pivot Table for 1-11'!$A$3,"State","KY","SREB Type",1,"SREB Type2","Four-Year")</f>
        <v>126</v>
      </c>
      <c r="L79" s="6">
        <f>+GETPIVOTDATA(" New-Optometry",'Pivot Table for 1-11'!$A$3,"State","KY","SREB Type",1,"SREB Type2","Four-Year")</f>
        <v>0</v>
      </c>
      <c r="M79" s="6">
        <f>+GETPIVOTDATA(" New-Osteopathic Medicine",'Pivot Table for 1-11'!$A$3,"State","KY","SREB Type",1,"SREB Type2","Four-Year")</f>
        <v>0</v>
      </c>
      <c r="N79" s="80">
        <f>+GETPIVOTDATA(" New-Veterinary Medicine",'Pivot Table for 1-11'!$A$3,"State","KY","SREB Type",1,"SREB Type2","Four-Year")</f>
        <v>0</v>
      </c>
      <c r="O79" s="97">
        <f>+GETPIVOTDATA(" New-Oth PP",'Pivot Table for 1-11'!$A$3,"State","KY","SREB Type",1,"SREB Type2","Four-Year")</f>
        <v>126</v>
      </c>
      <c r="P79" s="81">
        <f t="shared" si="5"/>
        <v>10887</v>
      </c>
      <c r="Q79" s="85"/>
    </row>
    <row r="80" spans="1:24" ht="15" customHeight="1" x14ac:dyDescent="0.2">
      <c r="A80" s="5" t="s">
        <v>198</v>
      </c>
      <c r="B80" s="6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6">
        <f>+GETPIVOTDATA(" New-Associate's",'Pivot Table for 1-11'!$A$3,"State","LA","SREB Type",1,"SREB Type2","Four-Year")</f>
        <v>0</v>
      </c>
      <c r="D80" s="6">
        <f>+GETPIVOTDATA(" New-Bachelor's",'Pivot Table for 1-11'!$A$3,"State","LA","SREB Type",1,"SREB Type2","Four-Year")</f>
        <v>4600</v>
      </c>
      <c r="E80" s="6">
        <f>+GETPIVOTDATA(" New-Post-Bachelor's",'Pivot Table for 1-11'!$A$3,"State","LA","SREB Type",1,"SREB Type2","Four-Year")</f>
        <v>0</v>
      </c>
      <c r="F80" s="6">
        <f>+GETPIVOTDATA(" New-Total Master's#",'Pivot Table for 1-11'!$A$3,"State","LA","SREB Type",1,"SREB Type2","Four-Year")</f>
        <v>1011</v>
      </c>
      <c r="G80" s="6">
        <f>+GETPIVOTDATA(" New-Total Doctorates#",'Pivot Table for 1-11'!$A$3,"State","LA","SREB Type",1,"SREB Type2","Four-Year")</f>
        <v>268</v>
      </c>
      <c r="H80" s="17">
        <f>+GETPIVOTDATA(" New-Law",'Pivot Table for 1-11'!$A$3,"State","LA","SREB Type",1,"SREB Type2","Four-Year")</f>
        <v>220</v>
      </c>
      <c r="I80" s="6">
        <f>+GETPIVOTDATA(" New-Medicine",'Pivot Table for 1-11'!$A$3,"State","LA","SREB Type",1,"SREB Type2","Four-Year")</f>
        <v>0</v>
      </c>
      <c r="J80" s="6">
        <f>+GETPIVOTDATA(" New-Dentistry",'Pivot Table for 1-11'!$A$3,"State","LA","SREB Type",1,"SREB Type2","Four-Year")</f>
        <v>0</v>
      </c>
      <c r="K80" s="6">
        <f>+GETPIVOTDATA(" New-Pharmacy",'Pivot Table for 1-11'!$A$3,"State","LA","SREB Type",1,"SREB Type2","Four-Year")</f>
        <v>0</v>
      </c>
      <c r="L80" s="6">
        <f>+GETPIVOTDATA(" New-Optometry",'Pivot Table for 1-11'!$A$3,"State","LA","SREB Type",1,"SREB Type2","Four-Year")</f>
        <v>0</v>
      </c>
      <c r="M80" s="6">
        <f>+GETPIVOTDATA(" New-Osteopathic Medicine",'Pivot Table for 1-11'!$A$3,"State","LA","SREB Type",1,"SREB Type2","Four-Year")</f>
        <v>0</v>
      </c>
      <c r="N80" s="80">
        <f>+GETPIVOTDATA(" New-Veterinary Medicine",'Pivot Table for 1-11'!$A$3,"State","LA","SREB Type",1,"SREB Type2","Four-Year")</f>
        <v>82</v>
      </c>
      <c r="O80" s="97">
        <f>+GETPIVOTDATA(" New-Oth PP",'Pivot Table for 1-11'!$A$3,"State","LA","SREB Type",1,"SREB Type2","Four-Year")</f>
        <v>0</v>
      </c>
      <c r="P80" s="81">
        <f t="shared" si="5"/>
        <v>6181</v>
      </c>
      <c r="Q80" s="85"/>
    </row>
    <row r="81" spans="1:17" ht="15" customHeight="1" x14ac:dyDescent="0.2">
      <c r="A81" s="5" t="s">
        <v>199</v>
      </c>
      <c r="B81" s="6">
        <f>+GETPIVOTDATA(" New-Less Than 2-Year",'Pivot Table for 1-11'!$A$3,"State","MD","SREB Type",1,"SREB Type2","Four-Year")+GETPIVOTDATA(" New-2 But Less Than 4-Year",'Pivot Table for 1-11'!$A$3,"State","MD","SREB Type",1,"SREB Type2","Four-Year")</f>
        <v>42</v>
      </c>
      <c r="C81" s="6">
        <f>+GETPIVOTDATA(" New-Associate's",'Pivot Table for 1-11'!$A$3,"State","MD","SREB Type",1,"SREB Type2","Four-Year")</f>
        <v>0</v>
      </c>
      <c r="D81" s="6">
        <f>+GETPIVOTDATA(" New-Bachelor's",'Pivot Table for 1-11'!$A$3,"State","MD","SREB Type",1,"SREB Type2","Four-Year")</f>
        <v>7043</v>
      </c>
      <c r="E81" s="6">
        <f>+GETPIVOTDATA(" New-Post-Bachelor's",'Pivot Table for 1-11'!$A$3,"State","MD","SREB Type",1,"SREB Type2","Four-Year")</f>
        <v>104</v>
      </c>
      <c r="F81" s="6">
        <f>+GETPIVOTDATA(" New-Total Master's#",'Pivot Table for 1-11'!$A$3,"State","MD","SREB Type",1,"SREB Type2","Four-Year")</f>
        <v>2440</v>
      </c>
      <c r="G81" s="6">
        <f>+GETPIVOTDATA(" New-Total Doctorates#",'Pivot Table for 1-11'!$A$3,"State","MD","SREB Type",1,"SREB Type2","Four-Year")</f>
        <v>632</v>
      </c>
      <c r="H81" s="17">
        <f>+GETPIVOTDATA(" New-Law",'Pivot Table for 1-11'!$A$3,"State","MD","SREB Type",1,"SREB Type2","Four-Year")</f>
        <v>0</v>
      </c>
      <c r="I81" s="6">
        <f>+GETPIVOTDATA(" New-Medicine",'Pivot Table for 1-11'!$A$3,"State","MD","SREB Type",1,"SREB Type2","Four-Year")</f>
        <v>0</v>
      </c>
      <c r="J81" s="6">
        <f>+GETPIVOTDATA(" New-Dentistry",'Pivot Table for 1-11'!$A$3,"State","MD","SREB Type",1,"SREB Type2","Four-Year")</f>
        <v>0</v>
      </c>
      <c r="K81" s="6">
        <f>+GETPIVOTDATA(" New-Pharmacy",'Pivot Table for 1-11'!$A$3,"State","MD","SREB Type",1,"SREB Type2","Four-Year")</f>
        <v>0</v>
      </c>
      <c r="L81" s="6">
        <f>+GETPIVOTDATA(" New-Optometry",'Pivot Table for 1-11'!$A$3,"State","MD","SREB Type",1,"SREB Type2","Four-Year")</f>
        <v>0</v>
      </c>
      <c r="M81" s="6">
        <f>+GETPIVOTDATA(" New-Osteopathic Medicine",'Pivot Table for 1-11'!$A$3,"State","MD","SREB Type",1,"SREB Type2","Four-Year")</f>
        <v>0</v>
      </c>
      <c r="N81" s="80">
        <f>+GETPIVOTDATA(" New-Veterinary Medicine",'Pivot Table for 1-11'!$A$3,"State","MD","SREB Type",1,"SREB Type2","Four-Year")</f>
        <v>21</v>
      </c>
      <c r="O81" s="97">
        <f>+GETPIVOTDATA(" New-Oth PP",'Pivot Table for 1-11'!$A$3,"State","MD","SREB Type",1,"SREB Type2","Four-Year")</f>
        <v>4</v>
      </c>
      <c r="P81" s="81">
        <f t="shared" si="5"/>
        <v>10286</v>
      </c>
      <c r="Q81" s="165"/>
    </row>
    <row r="82" spans="1:17" ht="15" customHeight="1" x14ac:dyDescent="0.2">
      <c r="A82" s="5"/>
      <c r="B82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0"/>
      <c r="O82" s="97"/>
      <c r="P82" s="81"/>
      <c r="Q82" s="85"/>
    </row>
    <row r="83" spans="1:17" ht="15" customHeight="1" x14ac:dyDescent="0.2">
      <c r="A83" s="5" t="s">
        <v>200</v>
      </c>
      <c r="B83" s="6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6">
        <f>+GETPIVOTDATA(" New-Associate's",'Pivot Table for 1-11'!$A$3,"State","MS","SREB Type",1,"SREB Type2","Four-Year")</f>
        <v>0</v>
      </c>
      <c r="D83" s="6">
        <f>+GETPIVOTDATA(" New-Bachelor's",'Pivot Table for 1-11'!$A$3,"State","MS","SREB Type",1,"SREB Type2","Four-Year")</f>
        <v>5442</v>
      </c>
      <c r="E83" s="6">
        <f>+GETPIVOTDATA(" New-Post-Bachelor's",'Pivot Table for 1-11'!$A$3,"State","MS","SREB Type",1,"SREB Type2","Four-Year")</f>
        <v>0</v>
      </c>
      <c r="F83" s="6">
        <f>+GETPIVOTDATA(" New-Total Master's#",'Pivot Table for 1-11'!$A$3,"State","MS","SREB Type",1,"SREB Type2","Four-Year")</f>
        <v>1636</v>
      </c>
      <c r="G83" s="6">
        <f>+GETPIVOTDATA(" New-Total Doctorates#",'Pivot Table for 1-11'!$A$3,"State","MS","SREB Type",1,"SREB Type2","Four-Year")</f>
        <v>338</v>
      </c>
      <c r="H83" s="17">
        <f>+GETPIVOTDATA(" New-Law",'Pivot Table for 1-11'!$A$3,"State","MS","SREB Type",1,"SREB Type2","Four-Year")</f>
        <v>0</v>
      </c>
      <c r="I83" s="6">
        <f>+GETPIVOTDATA(" New-Medicine",'Pivot Table for 1-11'!$A$3,"State","MS","SREB Type",1,"SREB Type2","Four-Year")</f>
        <v>0</v>
      </c>
      <c r="J83" s="6">
        <f>+GETPIVOTDATA(" New-Dentistry",'Pivot Table for 1-11'!$A$3,"State","MS","SREB Type",1,"SREB Type2","Four-Year")</f>
        <v>0</v>
      </c>
      <c r="K83" s="6">
        <f>+GETPIVOTDATA(" New-Pharmacy",'Pivot Table for 1-11'!$A$3,"State","MS","SREB Type",1,"SREB Type2","Four-Year")</f>
        <v>0</v>
      </c>
      <c r="L83" s="6">
        <f>+GETPIVOTDATA(" New-Optometry",'Pivot Table for 1-11'!$A$3,"State","MS","SREB Type",1,"SREB Type2","Four-Year")</f>
        <v>0</v>
      </c>
      <c r="M83" s="6">
        <f>+GETPIVOTDATA(" New-Osteopathic Medicine",'Pivot Table for 1-11'!$A$3,"State","MS","SREB Type",1,"SREB Type2","Four-Year")</f>
        <v>0</v>
      </c>
      <c r="N83" s="80">
        <f>+GETPIVOTDATA(" New-Veterinary Medicine",'Pivot Table for 1-11'!$A$3,"State","MS","SREB Type",1,"SREB Type2","Four-Year")</f>
        <v>77</v>
      </c>
      <c r="O83" s="97">
        <f>+GETPIVOTDATA(" New-Oth PP",'Pivot Table for 1-11'!$A$3,"State","MS","SREB Type",1,"SREB Type2","Four-Year")</f>
        <v>0</v>
      </c>
      <c r="P83" s="81">
        <f t="shared" si="5"/>
        <v>7493</v>
      </c>
      <c r="Q83" s="85"/>
    </row>
    <row r="84" spans="1:17" ht="15" customHeight="1" x14ac:dyDescent="0.2">
      <c r="A84" s="5" t="s">
        <v>201</v>
      </c>
      <c r="B84" s="6">
        <f>+GETPIVOTDATA(" New-Less Than 2-Year",'Pivot Table for 1-11'!$A$3,"State","NC","SREB Type",1,"SREB Type2","Four-Year")+GETPIVOTDATA(" New-2 But Less Than 4-Year",'Pivot Table for 1-11'!$A$3,"State","NC","SREB Type",1,"SREB Type2","Four-Year")</f>
        <v>4</v>
      </c>
      <c r="C84" s="6">
        <f>+GETPIVOTDATA(" New-Associate's",'Pivot Table for 1-11'!$A$3,"State","NC","SREB Type",1,"SREB Type2","Four-Year")</f>
        <v>154</v>
      </c>
      <c r="D84" s="6">
        <f>+GETPIVOTDATA(" New-Bachelor's",'Pivot Table for 1-11'!$A$3,"State","NC","SREB Type",1,"SREB Type2","Four-Year")</f>
        <v>12867</v>
      </c>
      <c r="E84" s="6">
        <f>+GETPIVOTDATA(" New-Post-Bachelor's",'Pivot Table for 1-11'!$A$3,"State","NC","SREB Type",1,"SREB Type2","Four-Year")</f>
        <v>15</v>
      </c>
      <c r="F84" s="6">
        <f>+GETPIVOTDATA(" New-Total Master's#",'Pivot Table for 1-11'!$A$3,"State","NC","SREB Type",1,"SREB Type2","Four-Year")</f>
        <v>5330</v>
      </c>
      <c r="G84" s="6">
        <f>+GETPIVOTDATA(" New-Total Doctorates#",'Pivot Table for 1-11'!$A$3,"State","NC","SREB Type",1,"SREB Type2","Four-Year")</f>
        <v>1054</v>
      </c>
      <c r="H84" s="17">
        <f>+GETPIVOTDATA(" New-Law",'Pivot Table for 1-11'!$A$3,"State","NC","SREB Type",1,"SREB Type2","Four-Year")</f>
        <v>259</v>
      </c>
      <c r="I84" s="6">
        <f>+GETPIVOTDATA(" New-Medicine",'Pivot Table for 1-11'!$A$3,"State","NC","SREB Type",1,"SREB Type2","Four-Year")</f>
        <v>165</v>
      </c>
      <c r="J84" s="6">
        <f>+GETPIVOTDATA(" New-Dentistry",'Pivot Table for 1-11'!$A$3,"State","NC","SREB Type",1,"SREB Type2","Four-Year")</f>
        <v>76</v>
      </c>
      <c r="K84" s="6">
        <f>+GETPIVOTDATA(" New-Pharmacy",'Pivot Table for 1-11'!$A$3,"State","NC","SREB Type",1,"SREB Type2","Four-Year")</f>
        <v>146</v>
      </c>
      <c r="L84" s="6">
        <f>+GETPIVOTDATA(" New-Optometry",'Pivot Table for 1-11'!$A$3,"State","NC","SREB Type",1,"SREB Type2","Four-Year")</f>
        <v>0</v>
      </c>
      <c r="M84" s="6">
        <f>+GETPIVOTDATA(" New-Osteopathic Medicine",'Pivot Table for 1-11'!$A$3,"State","NC","SREB Type",1,"SREB Type2","Four-Year")</f>
        <v>0</v>
      </c>
      <c r="N84" s="80">
        <f>+GETPIVOTDATA(" New-Veterinary Medicine",'Pivot Table for 1-11'!$A$3,"State","NC","SREB Type",1,"SREB Type2","Four-Year")</f>
        <v>79</v>
      </c>
      <c r="O84" s="97">
        <f>+GETPIVOTDATA(" New-Oth PP",'Pivot Table for 1-11'!$A$3,"State","NC","SREB Type",1,"SREB Type2","Four-Year")</f>
        <v>38</v>
      </c>
      <c r="P84" s="81">
        <f t="shared" si="5"/>
        <v>20187</v>
      </c>
      <c r="Q84" s="85"/>
    </row>
    <row r="85" spans="1:17" ht="15" customHeight="1" x14ac:dyDescent="0.2">
      <c r="A85" s="5" t="s">
        <v>202</v>
      </c>
      <c r="B85" s="6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6">
        <f>+GETPIVOTDATA(" New-Associate's",'Pivot Table for 1-11'!$A$3,"State","OK","SREB Type",1,"SREB Type2","Four-Year")</f>
        <v>0</v>
      </c>
      <c r="D85" s="6">
        <f>+GETPIVOTDATA(" New-Bachelor's",'Pivot Table for 1-11'!$A$3,"State","OK","SREB Type",1,"SREB Type2","Four-Year")</f>
        <v>8231</v>
      </c>
      <c r="E85" s="6">
        <f>+GETPIVOTDATA(" New-Post-Bachelor's",'Pivot Table for 1-11'!$A$3,"State","OK","SREB Type",1,"SREB Type2","Four-Year")</f>
        <v>158</v>
      </c>
      <c r="F85" s="6">
        <f>+GETPIVOTDATA(" New-Total Master's#",'Pivot Table for 1-11'!$A$3,"State","OK","SREB Type",1,"SREB Type2","Four-Year")</f>
        <v>3061</v>
      </c>
      <c r="G85" s="6">
        <f>+GETPIVOTDATA(" New-Total Doctorates#",'Pivot Table for 1-11'!$A$3,"State","OK","SREB Type",1,"SREB Type2","Four-Year")</f>
        <v>430</v>
      </c>
      <c r="H85" s="17">
        <f>+GETPIVOTDATA(" New-Law",'Pivot Table for 1-11'!$A$3,"State","OK","SREB Type",1,"SREB Type2","Four-Year")</f>
        <v>186</v>
      </c>
      <c r="I85" s="6">
        <f>+GETPIVOTDATA(" New-Medicine",'Pivot Table for 1-11'!$A$3,"State","OK","SREB Type",1,"SREB Type2","Four-Year")</f>
        <v>156</v>
      </c>
      <c r="J85" s="6">
        <f>+GETPIVOTDATA(" New-Dentistry",'Pivot Table for 1-11'!$A$3,"State","OK","SREB Type",1,"SREB Type2","Four-Year")</f>
        <v>58</v>
      </c>
      <c r="K85" s="6">
        <f>+GETPIVOTDATA(" New-Pharmacy",'Pivot Table for 1-11'!$A$3,"State","OK","SREB Type",1,"SREB Type2","Four-Year")</f>
        <v>116</v>
      </c>
      <c r="L85" s="6">
        <f>+GETPIVOTDATA(" New-Optometry",'Pivot Table for 1-11'!$A$3,"State","OK","SREB Type",1,"SREB Type2","Four-Year")</f>
        <v>0</v>
      </c>
      <c r="M85" s="6">
        <f>+GETPIVOTDATA(" New-Osteopathic Medicine",'Pivot Table for 1-11'!$A$3,"State","OK","SREB Type",1,"SREB Type2","Four-Year")</f>
        <v>83</v>
      </c>
      <c r="N85" s="80">
        <f>+GETPIVOTDATA(" New-Veterinary Medicine",'Pivot Table for 1-11'!$A$3,"State","OK","SREB Type",1,"SREB Type2","Four-Year")</f>
        <v>84</v>
      </c>
      <c r="O85" s="97">
        <f>+GETPIVOTDATA(" New-Oth PP",'Pivot Table for 1-11'!$A$3,"State","OK","SREB Type",1,"SREB Type2","Four-Year")</f>
        <v>131</v>
      </c>
      <c r="P85" s="81">
        <f t="shared" si="5"/>
        <v>12694</v>
      </c>
      <c r="Q85" s="85"/>
    </row>
    <row r="86" spans="1:17" ht="15" customHeight="1" x14ac:dyDescent="0.2">
      <c r="A86" s="5" t="s">
        <v>203</v>
      </c>
      <c r="B86" s="6">
        <f>+GETPIVOTDATA(" New-Less Than 2-Year",'Pivot Table for 1-11'!$A$3,"State","SC","SREB Type",1,"SREB Type2","Four-Year")+GETPIVOTDATA(" New-2 But Less Than 4-Year",'Pivot Table for 1-11'!$A$3,"State","SC","SREB Type",1,"SREB Type2","Four-Year")</f>
        <v>16</v>
      </c>
      <c r="C86" s="6">
        <f>+GETPIVOTDATA(" New-Associate's",'Pivot Table for 1-11'!$A$3,"State","SC","SREB Type",1,"SREB Type2","Four-Year")</f>
        <v>7</v>
      </c>
      <c r="D86" s="6">
        <f>+GETPIVOTDATA(" New-Bachelor's",'Pivot Table for 1-11'!$A$3,"State","SC","SREB Type",1,"SREB Type2","Four-Year")</f>
        <v>7997</v>
      </c>
      <c r="E86" s="6">
        <f>+GETPIVOTDATA(" New-Post-Bachelor's",'Pivot Table for 1-11'!$A$3,"State","SC","SREB Type",1,"SREB Type2","Four-Year")</f>
        <v>91</v>
      </c>
      <c r="F86" s="6">
        <f>+GETPIVOTDATA(" New-Total Master's#",'Pivot Table for 1-11'!$A$3,"State","SC","SREB Type",1,"SREB Type2","Four-Year")</f>
        <v>2888</v>
      </c>
      <c r="G86" s="6">
        <f>+GETPIVOTDATA(" New-Total Doctorates#",'Pivot Table for 1-11'!$A$3,"State","SC","SREB Type",1,"SREB Type2","Four-Year")</f>
        <v>499</v>
      </c>
      <c r="H86" s="17">
        <f>+GETPIVOTDATA(" New-Law",'Pivot Table for 1-11'!$A$3,"State","SC","SREB Type",1,"SREB Type2","Four-Year")</f>
        <v>220</v>
      </c>
      <c r="I86" s="6">
        <f>+GETPIVOTDATA(" New-Medicine",'Pivot Table for 1-11'!$A$3,"State","SC","SREB Type",1,"SREB Type2","Four-Year")</f>
        <v>75</v>
      </c>
      <c r="J86" s="6">
        <f>+GETPIVOTDATA(" New-Dentistry",'Pivot Table for 1-11'!$A$3,"State","SC","SREB Type",1,"SREB Type2","Four-Year")</f>
        <v>0</v>
      </c>
      <c r="K86" s="6">
        <f>+GETPIVOTDATA(" New-Pharmacy",'Pivot Table for 1-11'!$A$3,"State","SC","SREB Type",1,"SREB Type2","Four-Year")</f>
        <v>100</v>
      </c>
      <c r="L86" s="6">
        <f>+GETPIVOTDATA(" New-Optometry",'Pivot Table for 1-11'!$A$3,"State","SC","SREB Type",1,"SREB Type2","Four-Year")</f>
        <v>0</v>
      </c>
      <c r="M86" s="6">
        <f>+GETPIVOTDATA(" New-Osteopathic Medicine",'Pivot Table for 1-11'!$A$3,"State","SC","SREB Type",1,"SREB Type2","Four-Year")</f>
        <v>0</v>
      </c>
      <c r="N86" s="80">
        <f>+GETPIVOTDATA(" New-Veterinary Medicine",'Pivot Table for 1-11'!$A$3,"State","SC","SREB Type",1,"SREB Type2","Four-Year")</f>
        <v>0</v>
      </c>
      <c r="O86" s="97">
        <f>+GETPIVOTDATA(" New-Oth PP",'Pivot Table for 1-11'!$A$3,"State","SC","SREB Type",1,"SREB Type2","Four-Year")</f>
        <v>0</v>
      </c>
      <c r="P86" s="81">
        <f t="shared" si="5"/>
        <v>11893</v>
      </c>
      <c r="Q86" s="85"/>
    </row>
    <row r="87" spans="1:17" ht="15" customHeight="1" x14ac:dyDescent="0.2">
      <c r="A87" s="5"/>
      <c r="B87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7" s="6">
        <f>+GETPIVOTDATA(" New-Associate's",'Pivot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0"/>
      <c r="O87" s="97"/>
      <c r="P87" s="81"/>
      <c r="Q87" s="85"/>
    </row>
    <row r="88" spans="1:17" ht="15" customHeight="1" x14ac:dyDescent="0.2">
      <c r="A88" s="5" t="s">
        <v>204</v>
      </c>
      <c r="B88" s="6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6">
        <f>+GETPIVOTDATA(" New-Associate's",'Pivot Table for 1-11'!$A$3,"State","TN","SREB Type",1,"SREB Type2","Four-Year")</f>
        <v>0</v>
      </c>
      <c r="D88" s="6">
        <f>+GETPIVOTDATA(" New-Bachelor's",'Pivot Table for 1-11'!$A$3,"State","TN","SREB Type",1,"SREB Type2","Four-Year")</f>
        <v>7263</v>
      </c>
      <c r="E88" s="6">
        <f>+GETPIVOTDATA(" New-Post-Bachelor's",'Pivot Table for 1-11'!$A$3,"State","TN","SREB Type",1,"SREB Type2","Four-Year")</f>
        <v>0</v>
      </c>
      <c r="F88" s="6">
        <f>+GETPIVOTDATA(" New-Total Master's#",'Pivot Table for 1-11'!$A$3,"State","TN","SREB Type",1,"SREB Type2","Four-Year")</f>
        <v>2592</v>
      </c>
      <c r="G88" s="6">
        <f>+GETPIVOTDATA(" New-Total Doctorates#",'Pivot Table for 1-11'!$A$3,"State","TN","SREB Type",1,"SREB Type2","Four-Year")</f>
        <v>455</v>
      </c>
      <c r="H88" s="17">
        <f>+GETPIVOTDATA(" New-Law",'Pivot Table for 1-11'!$A$3,"State","TN","SREB Type",1,"SREB Type2","Four-Year")</f>
        <v>290</v>
      </c>
      <c r="I88" s="6">
        <f>+GETPIVOTDATA(" New-Medicine",'Pivot Table for 1-11'!$A$3,"State","TN","SREB Type",1,"SREB Type2","Four-Year")</f>
        <v>0</v>
      </c>
      <c r="J88" s="6">
        <f>+GETPIVOTDATA(" New-Dentistry",'Pivot Table for 1-11'!$A$3,"State","TN","SREB Type",1,"SREB Type2","Four-Year")</f>
        <v>0</v>
      </c>
      <c r="K88" s="6">
        <f>+GETPIVOTDATA(" New-Pharmacy",'Pivot Table for 1-11'!$A$3,"State","TN","SREB Type",1,"SREB Type2","Four-Year")</f>
        <v>0</v>
      </c>
      <c r="L88" s="6">
        <f>+GETPIVOTDATA(" New-Optometry",'Pivot Table for 1-11'!$A$3,"State","TN","SREB Type",1,"SREB Type2","Four-Year")</f>
        <v>0</v>
      </c>
      <c r="M88" s="6">
        <f>+GETPIVOTDATA(" New-Osteopathic Medicine",'Pivot Table for 1-11'!$A$3,"State","TN","SREB Type",1,"SREB Type2","Four-Year")</f>
        <v>0</v>
      </c>
      <c r="N88" s="80">
        <f>+GETPIVOTDATA(" New-Veterinary Medicine",'Pivot Table for 1-11'!$A$3,"State","TN","SREB Type",1,"SREB Type2","Four-Year")</f>
        <v>97</v>
      </c>
      <c r="O88" s="97">
        <f>+GETPIVOTDATA(" New-Oth PP",'Pivot Table for 1-11'!$A$3,"State","TN","SREB Type",1,"SREB Type2","Four-Year")</f>
        <v>0</v>
      </c>
      <c r="P88" s="81">
        <f t="shared" si="5"/>
        <v>10697</v>
      </c>
      <c r="Q88" s="85"/>
    </row>
    <row r="89" spans="1:17" ht="15" customHeight="1" x14ac:dyDescent="0.2">
      <c r="A89" s="5" t="s">
        <v>205</v>
      </c>
      <c r="B89" s="6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6">
        <f>+GETPIVOTDATA(" New-Associate's",'Pivot Table for 1-11'!$A$3,"State","TX","SREB Type",1,"SREB Type2","Four-Year")</f>
        <v>0</v>
      </c>
      <c r="D89" s="6">
        <f>+GETPIVOTDATA(" New-Bachelor's",'Pivot Table for 1-11'!$A$3,"State","TX","SREB Type",1,"SREB Type2","Four-Year")</f>
        <v>42792</v>
      </c>
      <c r="E89" s="6">
        <f>+GETPIVOTDATA(" New-Post-Bachelor's",'Pivot Table for 1-11'!$A$3,"State","TX","SREB Type",1,"SREB Type2","Four-Year")</f>
        <v>0</v>
      </c>
      <c r="F89" s="6">
        <f>+GETPIVOTDATA(" New-Total Master's#",'Pivot Table for 1-11'!$A$3,"State","TX","SREB Type",1,"SREB Type2","Four-Year")</f>
        <v>16374</v>
      </c>
      <c r="G89" s="6">
        <f>+GETPIVOTDATA(" New-Total Doctorates#",'Pivot Table for 1-11'!$A$3,"State","TX","SREB Type",1,"SREB Type2","Four-Year")</f>
        <v>2639</v>
      </c>
      <c r="H89" s="17">
        <f>+GETPIVOTDATA(" New-Law",'Pivot Table for 1-11'!$A$3,"State","TX","SREB Type",1,"SREB Type2","Four-Year")</f>
        <v>851</v>
      </c>
      <c r="I89" s="6">
        <f>+GETPIVOTDATA(" New-Medicine",'Pivot Table for 1-11'!$A$3,"State","TX","SREB Type",1,"SREB Type2","Four-Year")</f>
        <v>0</v>
      </c>
      <c r="J89" s="6">
        <f>+GETPIVOTDATA(" New-Dentistry",'Pivot Table for 1-11'!$A$3,"State","TX","SREB Type",1,"SREB Type2","Four-Year")</f>
        <v>0</v>
      </c>
      <c r="K89" s="6">
        <f>+GETPIVOTDATA(" New-Pharmacy",'Pivot Table for 1-11'!$A$3,"State","TX","SREB Type",1,"SREB Type2","Four-Year")</f>
        <v>253</v>
      </c>
      <c r="L89" s="6">
        <f>+GETPIVOTDATA(" New-Optometry",'Pivot Table for 1-11'!$A$3,"State","TX","SREB Type",1,"SREB Type2","Four-Year")</f>
        <v>91</v>
      </c>
      <c r="M89" s="6">
        <f>+GETPIVOTDATA(" New-Osteopathic Medicine",'Pivot Table for 1-11'!$A$3,"State","TX","SREB Type",1,"SREB Type2","Four-Year")</f>
        <v>0</v>
      </c>
      <c r="N89" s="80">
        <f>+GETPIVOTDATA(" New-Veterinary Medicine",'Pivot Table for 1-11'!$A$3,"State","TX","SREB Type",1,"SREB Type2","Four-Year")</f>
        <v>129</v>
      </c>
      <c r="O89" s="97">
        <f>+GETPIVOTDATA(" New-Oth PP",'Pivot Table for 1-11'!$A$3,"State","TX","SREB Type",1,"SREB Type2","Four-Year")</f>
        <v>25</v>
      </c>
      <c r="P89" s="81">
        <f t="shared" si="5"/>
        <v>63154</v>
      </c>
      <c r="Q89" s="85"/>
    </row>
    <row r="90" spans="1:17" ht="15" customHeight="1" x14ac:dyDescent="0.2">
      <c r="A90" s="5" t="s">
        <v>206</v>
      </c>
      <c r="B90" s="6">
        <f>+GETPIVOTDATA(" New-Less Than 2-Year",'Pivot Table for 1-11'!$A$3,"State","VA","SREB Type",1,"SREB Type2","Four-Year")+GETPIVOTDATA(" New-2 But Less Than 4-Year",'Pivot Table for 1-11'!$A$3,"State","VA","SREB Type",1,"SREB Type2","Four-Year")</f>
        <v>0</v>
      </c>
      <c r="C90" s="6">
        <f>+GETPIVOTDATA(" New-Associate's",'Pivot Table for 1-11'!$A$3,"State","VA","SREB Type",1,"SREB Type2","Four-Year")</f>
        <v>50</v>
      </c>
      <c r="D90" s="6">
        <f>+GETPIVOTDATA(" New-Bachelor's",'Pivot Table for 1-11'!$A$3,"State","VA","SREB Type",1,"SREB Type2","Four-Year")</f>
        <v>17984</v>
      </c>
      <c r="E90" s="6">
        <f>+GETPIVOTDATA(" New-Post-Bachelor's",'Pivot Table for 1-11'!$A$3,"State","VA","SREB Type",1,"SREB Type2","Four-Year")</f>
        <v>583</v>
      </c>
      <c r="F90" s="6">
        <f>+GETPIVOTDATA(" New-Total Master's#",'Pivot Table for 1-11'!$A$3,"State","VA","SREB Type",1,"SREB Type2","Four-Year")</f>
        <v>7462</v>
      </c>
      <c r="G90" s="6">
        <f>+GETPIVOTDATA(" New-Total Doctorates#",'Pivot Table for 1-11'!$A$3,"State","VA","SREB Type",1,"SREB Type2","Four-Year")</f>
        <v>1282</v>
      </c>
      <c r="H90" s="17">
        <f>+GETPIVOTDATA(" New-Law",'Pivot Table for 1-11'!$A$3,"State","VA","SREB Type",1,"SREB Type2","Four-Year")</f>
        <v>577</v>
      </c>
      <c r="I90" s="6">
        <f>+GETPIVOTDATA(" New-Medicine",'Pivot Table for 1-11'!$A$3,"State","VA","SREB Type",1,"SREB Type2","Four-Year")</f>
        <v>150</v>
      </c>
      <c r="J90" s="6">
        <f>+GETPIVOTDATA(" New-Dentistry",'Pivot Table for 1-11'!$A$3,"State","VA","SREB Type",1,"SREB Type2","Four-Year")</f>
        <v>0</v>
      </c>
      <c r="K90" s="6">
        <f>+GETPIVOTDATA(" New-Pharmacy",'Pivot Table for 1-11'!$A$3,"State","VA","SREB Type",1,"SREB Type2","Four-Year")</f>
        <v>0</v>
      </c>
      <c r="L90" s="6">
        <f>+GETPIVOTDATA(" New-Optometry",'Pivot Table for 1-11'!$A$3,"State","VA","SREB Type",1,"SREB Type2","Four-Year")</f>
        <v>0</v>
      </c>
      <c r="M90" s="6">
        <f>+GETPIVOTDATA(" New-Osteopathic Medicine",'Pivot Table for 1-11'!$A$3,"State","VA","SREB Type",1,"SREB Type2","Four-Year")</f>
        <v>0</v>
      </c>
      <c r="N90" s="80">
        <f>+GETPIVOTDATA(" New-Veterinary Medicine",'Pivot Table for 1-11'!$A$3,"State","VA","SREB Type",1,"SREB Type2","Four-Year")</f>
        <v>91</v>
      </c>
      <c r="O90" s="97">
        <f>+GETPIVOTDATA(" New-Oth PP",'Pivot Table for 1-11'!$A$3,"State","VA","SREB Type",1,"SREB Type2","Four-Year")</f>
        <v>0</v>
      </c>
      <c r="P90" s="81">
        <f t="shared" si="5"/>
        <v>28179</v>
      </c>
      <c r="Q90" s="85"/>
    </row>
    <row r="91" spans="1:17" ht="15" customHeight="1" x14ac:dyDescent="0.2">
      <c r="A91" s="7" t="s">
        <v>207</v>
      </c>
      <c r="B91" s="8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8">
        <f>+GETPIVOTDATA(" New-Associate's",'Pivot Table for 1-11'!$A$3,"State","WV","SREB Type",1,"SREB Type2","Four-Year")</f>
        <v>0</v>
      </c>
      <c r="D91" s="8">
        <f>+GETPIVOTDATA(" New-Bachelor's",'Pivot Table for 1-11'!$A$3,"State","WV","SREB Type",1,"SREB Type2","Four-Year")</f>
        <v>4204</v>
      </c>
      <c r="E91" s="8">
        <f>+GETPIVOTDATA(" New-Post-Bachelor's",'Pivot Table for 1-11'!$A$3,"State","WV","SREB Type",1,"SREB Type2","Four-Year")</f>
        <v>0</v>
      </c>
      <c r="F91" s="8">
        <f>+GETPIVOTDATA(" New-Total Master's#",'Pivot Table for 1-11'!$A$3,"State","WV","SREB Type",1,"SREB Type2","Four-Year")</f>
        <v>1642</v>
      </c>
      <c r="G91" s="8">
        <f>+GETPIVOTDATA(" New-Total Doctorates#",'Pivot Table for 1-11'!$A$3,"State","WV","SREB Type",1,"SREB Type2","Four-Year")</f>
        <v>162</v>
      </c>
      <c r="H91" s="18">
        <f>+GETPIVOTDATA(" New-Law",'Pivot Table for 1-11'!$A$3,"State","WV","SREB Type",1,"SREB Type2","Four-Year")</f>
        <v>142</v>
      </c>
      <c r="I91" s="8">
        <f>+GETPIVOTDATA(" New-Medicine",'Pivot Table for 1-11'!$A$3,"State","WV","SREB Type",1,"SREB Type2","Four-Year")</f>
        <v>99</v>
      </c>
      <c r="J91" s="8">
        <f>+GETPIVOTDATA(" New-Dentistry",'Pivot Table for 1-11'!$A$3,"State","WV","SREB Type",1,"SREB Type2","Four-Year")</f>
        <v>43</v>
      </c>
      <c r="K91" s="8">
        <f>+GETPIVOTDATA(" New-Pharmacy",'Pivot Table for 1-11'!$A$3,"State","WV","SREB Type",1,"SREB Type2","Four-Year")</f>
        <v>81</v>
      </c>
      <c r="L91" s="8">
        <f>+GETPIVOTDATA(" New-Optometry",'Pivot Table for 1-11'!$A$3,"State","WV","SREB Type",1,"SREB Type2","Four-Year")</f>
        <v>0</v>
      </c>
      <c r="M91" s="8">
        <f>+GETPIVOTDATA(" New-Osteopathic Medicine",'Pivot Table for 1-11'!$A$3,"State","WV","SREB Type",1,"SREB Type2","Four-Year")</f>
        <v>0</v>
      </c>
      <c r="N91" s="88">
        <f>+GETPIVOTDATA(" New-Veterinary Medicine",'Pivot Table for 1-11'!$A$3,"State","WV","SREB Type",1,"SREB Type2","Four-Year")</f>
        <v>0</v>
      </c>
      <c r="O91" s="98">
        <f>+GETPIVOTDATA(" New-Oth PP",'Pivot Table for 1-11'!$A$3,"State","WV","SREB Type",1,"SREB Type2","Four-Year")</f>
        <v>74</v>
      </c>
      <c r="P91" s="82">
        <f t="shared" si="5"/>
        <v>6447</v>
      </c>
      <c r="Q91" s="85"/>
    </row>
    <row r="92" spans="1:17" x14ac:dyDescent="0.2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0"/>
      <c r="O92" s="80"/>
      <c r="P92" s="80"/>
      <c r="Q92" s="85"/>
    </row>
    <row r="93" spans="1:17" ht="27" customHeight="1" x14ac:dyDescent="0.2">
      <c r="A93" s="856" t="s">
        <v>409</v>
      </c>
      <c r="B93" s="857"/>
      <c r="C93" s="857"/>
      <c r="D93" s="857"/>
      <c r="E93" s="857"/>
      <c r="F93" s="857"/>
      <c r="G93" s="857"/>
      <c r="H93" s="857"/>
      <c r="I93" s="857"/>
      <c r="J93" s="857"/>
      <c r="K93" s="857"/>
      <c r="L93" s="857"/>
      <c r="M93" s="857"/>
      <c r="N93" s="857"/>
      <c r="O93" s="857"/>
      <c r="P93" s="857"/>
      <c r="Q93" s="166"/>
    </row>
    <row r="94" spans="1:17" x14ac:dyDescent="0.2">
      <c r="P94" s="83" t="s">
        <v>1293</v>
      </c>
      <c r="Q94" s="167"/>
    </row>
    <row r="95" spans="1:17" ht="18" x14ac:dyDescent="0.25">
      <c r="A95" s="22" t="s">
        <v>210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8"/>
      <c r="O95" s="58"/>
      <c r="P95" s="58"/>
      <c r="Q95" s="154" t="s">
        <v>216</v>
      </c>
    </row>
    <row r="96" spans="1:17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7"/>
      <c r="O96" s="57"/>
      <c r="P96" s="57"/>
      <c r="Q96" s="163"/>
    </row>
    <row r="97" spans="1:24" ht="15.75" x14ac:dyDescent="0.25">
      <c r="A97" s="1" t="s">
        <v>181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8"/>
      <c r="O97" s="58"/>
      <c r="P97" s="58"/>
      <c r="Q97" s="154" t="s">
        <v>216</v>
      </c>
    </row>
    <row r="98" spans="1:24" ht="15.75" x14ac:dyDescent="0.25">
      <c r="A98" s="1" t="s">
        <v>1284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8"/>
      <c r="O98" s="58"/>
      <c r="P98" s="58"/>
      <c r="Q98" s="154" t="s">
        <v>216</v>
      </c>
    </row>
    <row r="99" spans="1:24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59"/>
      <c r="O99" s="59"/>
      <c r="P99" s="59"/>
      <c r="Q99" s="169"/>
    </row>
    <row r="100" spans="1:24" ht="15.75" x14ac:dyDescent="0.25">
      <c r="A100" s="91"/>
      <c r="B100" s="91"/>
      <c r="C100" s="91"/>
      <c r="D100" s="91"/>
      <c r="E100" s="91"/>
      <c r="F100" s="91"/>
      <c r="G100" s="91"/>
      <c r="H100" s="95" t="s">
        <v>410</v>
      </c>
      <c r="I100" s="26"/>
      <c r="J100" s="26"/>
      <c r="K100" s="26"/>
      <c r="L100" s="26"/>
      <c r="M100" s="26"/>
      <c r="N100" s="92"/>
      <c r="O100" s="99"/>
      <c r="P100" s="94" t="s">
        <v>216</v>
      </c>
      <c r="Q100" s="169"/>
      <c r="R100" s="149"/>
      <c r="S100" s="149"/>
      <c r="X100" s="149"/>
    </row>
    <row r="101" spans="1:24" ht="42" customHeight="1" x14ac:dyDescent="0.2">
      <c r="A101" s="14"/>
      <c r="B101" s="15" t="s">
        <v>244</v>
      </c>
      <c r="C101" s="15" t="s">
        <v>182</v>
      </c>
      <c r="D101" s="15" t="s">
        <v>175</v>
      </c>
      <c r="E101" s="15" t="s">
        <v>176</v>
      </c>
      <c r="F101" s="15" t="s">
        <v>183</v>
      </c>
      <c r="G101" s="15" t="s">
        <v>184</v>
      </c>
      <c r="H101" s="16" t="s">
        <v>185</v>
      </c>
      <c r="I101" s="15" t="s">
        <v>186</v>
      </c>
      <c r="J101" s="15" t="s">
        <v>187</v>
      </c>
      <c r="K101" s="15" t="s">
        <v>178</v>
      </c>
      <c r="L101" s="15" t="s">
        <v>188</v>
      </c>
      <c r="M101" s="15" t="s">
        <v>189</v>
      </c>
      <c r="N101" s="90" t="s">
        <v>263</v>
      </c>
      <c r="O101" s="96" t="s">
        <v>408</v>
      </c>
      <c r="P101" s="90" t="s">
        <v>190</v>
      </c>
      <c r="Q101" s="170"/>
    </row>
    <row r="102" spans="1:24" ht="15" customHeight="1" x14ac:dyDescent="0.2">
      <c r="A102" s="3" t="s">
        <v>191</v>
      </c>
      <c r="B102" s="6">
        <f>+GETPIVOTDATA(" New-Less Than 2-Year",'Pivot Table for 1-11'!$A$3,"SREB Type",2,"SREB Type2","Four-Year")+GETPIVOTDATA(" New-2 But Less Than 4-Year",'Pivot Table for 1-11'!$A$3,"SREB Type",2,"SREB Type2","Four-Year")</f>
        <v>140</v>
      </c>
      <c r="C102" s="6">
        <f>+GETPIVOTDATA(" New-Associate's",'Pivot Table for 1-11'!$A$3,"SREB Type",2,"SREB Type2","Four-Year")</f>
        <v>460</v>
      </c>
      <c r="D102" s="6">
        <f>+GETPIVOTDATA(" New-Bachelor's",'Pivot Table for 1-11'!$A$3,"SREB Type",2,"SREB Type2","Four-Year")</f>
        <v>47036</v>
      </c>
      <c r="E102" s="6">
        <f>+GETPIVOTDATA(" New-Post-Bachelor's",'Pivot Table for 1-11'!$A$3,"SREB Type",2,"SREB Type2","Four-Year")</f>
        <v>772</v>
      </c>
      <c r="F102" s="6">
        <f>+GETPIVOTDATA(" New-Total Master's#",'Pivot Table for 1-11'!$A$3,"SREB Type",2,"SREB Type2","Four-Year")</f>
        <v>18100</v>
      </c>
      <c r="G102" s="6">
        <f>+GETPIVOTDATA(" New-Total Doctorates#",'Pivot Table for 1-11'!$A$3,"SREB Type",2,"SREB Type2","Four-Year")</f>
        <v>2062</v>
      </c>
      <c r="H102" s="17">
        <f>+GETPIVOTDATA(" New-Law",'Pivot Table for 1-11'!$A$3,"SREB Type",2,"SREB Type2","Four-Year")</f>
        <v>369</v>
      </c>
      <c r="I102" s="6">
        <f>+GETPIVOTDATA(" New-Medicine",'Pivot Table for 1-11'!$A$3,"SREB Type",2,"SREB Type2","Four-Year")</f>
        <v>436</v>
      </c>
      <c r="J102" s="6">
        <f>+GETPIVOTDATA(" New-Dentistry",'Pivot Table for 1-11'!$A$3,"SREB Type",2,"SREB Type2","Four-Year")</f>
        <v>169</v>
      </c>
      <c r="K102" s="6">
        <f>+GETPIVOTDATA(" New-Pharmacy",'Pivot Table for 1-11'!$A$3,"SREB Type",2,"SREB Type2","Four-Year")</f>
        <v>229</v>
      </c>
      <c r="L102" s="6">
        <f>+GETPIVOTDATA(" New-Optometry",'Pivot Table for 1-11'!$A$3,"SREB Type",2,"SREB Type2","Four-Year")</f>
        <v>36</v>
      </c>
      <c r="M102" s="6">
        <f>+GETPIVOTDATA(" New-Osteopathic Medicine",'Pivot Table for 1-11'!$A$3,"SREB Type",2,"SREB Type2","Four-Year")</f>
        <v>0</v>
      </c>
      <c r="N102" s="80">
        <f>+GETPIVOTDATA(" New-Veterinary Medicine",'Pivot Table for 1-11'!$A$3,"SREB Type",2,"SREB Type2","Four-Year")</f>
        <v>0</v>
      </c>
      <c r="O102" s="97">
        <f>+GETPIVOTDATA(" New-Oth PP",'Pivot Table for 1-11'!$A$3,"SREB Type",2,"SREB Type2","Four-Year")</f>
        <v>270</v>
      </c>
      <c r="P102" s="81">
        <f>SUM(C102:O102)</f>
        <v>69939</v>
      </c>
      <c r="Q102" s="85"/>
    </row>
    <row r="103" spans="1:24" ht="15" customHeight="1" x14ac:dyDescent="0.2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0"/>
      <c r="O103" s="97"/>
      <c r="P103" s="81"/>
      <c r="Q103" s="85"/>
    </row>
    <row r="104" spans="1:24" ht="15" customHeight="1" x14ac:dyDescent="0.2">
      <c r="A104" s="5" t="s">
        <v>192</v>
      </c>
      <c r="B104" s="6">
        <f>GETPIVOTDATA(" New-Less Than 2-Year",'Pivot Table for 1-11'!$A$3,"State","AL","SREB Type",2,"SREB Type2","Four-Year")+GETPIVOTDATA(" New-2 But Less Than 4-Year",'Pivot Table for 1-11'!$A$3,"State","AL","SREB Type",2,"SREB Type2","Four-Year")</f>
        <v>22</v>
      </c>
      <c r="C104" s="6">
        <f>+GETPIVOTDATA(" New-Associate's",'Pivot Table for 1-11'!$A$3,"State","AL","SREB Type",2,"SREB Type2","Four-Year")</f>
        <v>0</v>
      </c>
      <c r="D104" s="6">
        <f>+GETPIVOTDATA(" New-Bachelor's",'Pivot Table for 1-11'!$A$3,"State","AL","SREB Type",2,"SREB Type2","Four-Year")</f>
        <v>3070</v>
      </c>
      <c r="E104" s="6">
        <f>+GETPIVOTDATA(" New-Post-Bachelor's",'Pivot Table for 1-11'!$A$3,"State","AL","SREB Type",2,"SREB Type2","Four-Year")</f>
        <v>38</v>
      </c>
      <c r="F104" s="6">
        <f>+GETPIVOTDATA(" New-Total Master's#",'Pivot Table for 1-11'!$A$3,"State","AL","SREB Type",2,"SREB Type2","Four-Year")</f>
        <v>1918</v>
      </c>
      <c r="G104" s="6">
        <f>+GETPIVOTDATA(" New-Total Doctorates#",'Pivot Table for 1-11'!$A$3,"State","AL","SREB Type",2,"SREB Type2","Four-Year")</f>
        <v>211</v>
      </c>
      <c r="H104" s="17">
        <f>+GETPIVOTDATA(" New-Law",'Pivot Table for 1-11'!$A$3,"State","AL","SREB Type",2,"SREB Type2","Four-Year")</f>
        <v>0</v>
      </c>
      <c r="I104" s="6">
        <f>+GETPIVOTDATA(" New-Medicine",'Pivot Table for 1-11'!$A$3,"State","AL","SREB Type",2,"SREB Type2","Four-Year")</f>
        <v>178</v>
      </c>
      <c r="J104" s="6">
        <f>+GETPIVOTDATA(" New-Dentistry",'Pivot Table for 1-11'!$A$3,"State","AL","SREB Type",2,"SREB Type2","Four-Year")</f>
        <v>65</v>
      </c>
      <c r="K104" s="6">
        <f>+GETPIVOTDATA(" New-Pharmacy",'Pivot Table for 1-11'!$A$3,"State","AL","SREB Type",2,"SREB Type2","Four-Year")</f>
        <v>0</v>
      </c>
      <c r="L104" s="6">
        <f>+GETPIVOTDATA(" New-Optometry",'Pivot Table for 1-11'!$A$3,"State","AL","SREB Type",2,"SREB Type2","Four-Year")</f>
        <v>36</v>
      </c>
      <c r="M104" s="6">
        <f>+GETPIVOTDATA(" New-Osteopathic Medicine",'Pivot Table for 1-11'!$A$3,"State","AL","SREB Type",2,"SREB Type2","Four-Year")</f>
        <v>0</v>
      </c>
      <c r="N104" s="80">
        <f>+GETPIVOTDATA(" New-Veterinary Medicine",'Pivot Table for 1-11'!$A$3,"State","AL","SREB Type",2,"SREB Type2","Four-Year")</f>
        <v>0</v>
      </c>
      <c r="O104" s="97">
        <f>+GETPIVOTDATA(" New-Oth PP",'Pivot Table for 1-11'!$A$3,"State","AL","SREB Type",2,"SREB Type2","Four-Year")</f>
        <v>120</v>
      </c>
      <c r="P104" s="81">
        <f t="shared" ref="P104:P122" si="6">SUM(C104:O104)</f>
        <v>5636</v>
      </c>
      <c r="Q104" s="85"/>
    </row>
    <row r="105" spans="1:24" ht="15" customHeight="1" x14ac:dyDescent="0.2">
      <c r="A105" s="5" t="s">
        <v>193</v>
      </c>
      <c r="B105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05" s="6">
        <f>+GETPIVOTDATA(" New-Associate's",'Pivot Table for 1-11'!$A$3,"State","AR","SREB Type",2,"SREB Type2","Four-Year")</f>
        <v>0</v>
      </c>
      <c r="D105" s="6">
        <f>+GETPIVOTDATA(" New-Bachelor's",'Pivot Table for 1-11'!$A$3,"State","AR","SREB Type",2,"SREB Type2","Four-Year")</f>
        <v>0</v>
      </c>
      <c r="E105" s="6">
        <f>+GETPIVOTDATA(" New-Post-Bachelor's",'Pivot Table for 1-11'!$A$3,"State","AR","SREB Type",2,"SREB Type2","Four-Year")</f>
        <v>0</v>
      </c>
      <c r="F105" s="6">
        <f>+GETPIVOTDATA(" New-Total Master's#",'Pivot Table for 1-11'!$A$3,"State","AR","SREB Type",2,"SREB Type2","Four-Year")</f>
        <v>0</v>
      </c>
      <c r="G105" s="6">
        <f>+GETPIVOTDATA(" New-Total Doctorates#",'Pivot Table for 1-11'!$A$3,"State","AR","SREB Type",2,"SREB Type2","Four-Year")</f>
        <v>0</v>
      </c>
      <c r="H105" s="17">
        <f>+GETPIVOTDATA(" New-Law",'Pivot Table for 1-11'!$A$3,"State","AR","SREB Type",2,"SREB Type2","Four-Year")</f>
        <v>0</v>
      </c>
      <c r="I105" s="6">
        <f>+GETPIVOTDATA(" New-Medicine",'Pivot Table for 1-11'!$A$3,"State","AR","SREB Type",2,"SREB Type2","Four-Year")</f>
        <v>0</v>
      </c>
      <c r="J105" s="6">
        <f>+GETPIVOTDATA(" New-Dentistry",'Pivot Table for 1-11'!$A$3,"State","AR","SREB Type",2,"SREB Type2","Four-Year")</f>
        <v>0</v>
      </c>
      <c r="K105" s="6">
        <f>+GETPIVOTDATA(" New-Pharmacy",'Pivot Table for 1-11'!$A$3,"State","AR","SREB Type",2,"SREB Type2","Four-Year")</f>
        <v>0</v>
      </c>
      <c r="L105" s="6">
        <f>+GETPIVOTDATA(" New-Optometry",'Pivot Table for 1-11'!$A$3,"State","AR","SREB Type",2,"SREB Type2","Four-Year")</f>
        <v>0</v>
      </c>
      <c r="M105" s="6">
        <f>+GETPIVOTDATA(" New-Osteopathic Medicine",'Pivot Table for 1-11'!$A$3,"State","AR","SREB Type",2,"SREB Type2","Four-Year")</f>
        <v>0</v>
      </c>
      <c r="N105" s="80">
        <f>+GETPIVOTDATA(" New-Veterinary Medicine",'Pivot Table for 1-11'!$A$3,"State","AR","SREB Type",2,"SREB Type2","Four-Year")</f>
        <v>0</v>
      </c>
      <c r="O105" s="97">
        <f>+GETPIVOTDATA(" New-Oth PP",'Pivot Table for 1-11'!$A$3,"State","AR","SREB Type",2,"SREB Type2","Four-Year")</f>
        <v>0</v>
      </c>
      <c r="P105" s="81">
        <f t="shared" si="6"/>
        <v>0</v>
      </c>
      <c r="Q105" s="85"/>
    </row>
    <row r="106" spans="1:24" ht="15" customHeight="1" x14ac:dyDescent="0.2">
      <c r="A106" s="5" t="s">
        <v>194</v>
      </c>
      <c r="B106" s="6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6">
        <f>+GETPIVOTDATA(" New-Associate's",'Pivot Table for 1-11'!$A$3,"State","DE","SREB Type",2,"SREB Type2","Four-Year")</f>
        <v>0</v>
      </c>
      <c r="D106" s="6">
        <f>+GETPIVOTDATA(" New-Bachelor's",'Pivot Table for 1-11'!$A$3,"State","DE","SREB Type",2,"SREB Type2","Four-Year")</f>
        <v>0</v>
      </c>
      <c r="E106" s="6">
        <f>+GETPIVOTDATA(" New-Post-Bachelor's",'Pivot Table for 1-11'!$A$3,"State","DE","SREB Type",2,"SREB Type2","Four-Year")</f>
        <v>0</v>
      </c>
      <c r="F106" s="6">
        <f>+GETPIVOTDATA(" New-Total Master's#",'Pivot Table for 1-11'!$A$3,"State","DE","SREB Type",2,"SREB Type2","Four-Year")</f>
        <v>0</v>
      </c>
      <c r="G106" s="6">
        <f>+GETPIVOTDATA(" New-Total Doctorates#",'Pivot Table for 1-11'!$A$3,"State","DE","SREB Type",2,"SREB Type2","Four-Year")</f>
        <v>0</v>
      </c>
      <c r="H106" s="17">
        <f>+GETPIVOTDATA(" New-Law",'Pivot Table for 1-11'!$A$3,"State","DE","SREB Type",2,"SREB Type2","Four-Year")</f>
        <v>0</v>
      </c>
      <c r="I106" s="6">
        <f>+GETPIVOTDATA(" New-Medicine",'Pivot Table for 1-11'!$A$3,"State","DE","SREB Type",2,"SREB Type2","Four-Year")</f>
        <v>0</v>
      </c>
      <c r="J106" s="6">
        <f>+GETPIVOTDATA(" New-Dentistry",'Pivot Table for 1-11'!$A$3,"State","DE","SREB Type",2,"SREB Type2","Four-Year")</f>
        <v>0</v>
      </c>
      <c r="K106" s="6">
        <f>+GETPIVOTDATA(" New-Pharmacy",'Pivot Table for 1-11'!$A$3,"State","DE","SREB Type",2,"SREB Type2","Four-Year")</f>
        <v>0</v>
      </c>
      <c r="L106" s="6">
        <f>+GETPIVOTDATA(" New-Optometry",'Pivot Table for 1-11'!$A$3,"State","DE","SREB Type",2,"SREB Type2","Four-Year")</f>
        <v>0</v>
      </c>
      <c r="M106" s="6">
        <f>+GETPIVOTDATA(" New-Osteopathic Medicine",'Pivot Table for 1-11'!$A$3,"State","DE","SREB Type",2,"SREB Type2","Four-Year")</f>
        <v>0</v>
      </c>
      <c r="N106" s="80">
        <f>+GETPIVOTDATA(" New-Veterinary Medicine",'Pivot Table for 1-11'!$A$3,"State","DE","SREB Type",2,"SREB Type2","Four-Year")</f>
        <v>0</v>
      </c>
      <c r="O106" s="97">
        <f>+GETPIVOTDATA(" New-Oth PP",'Pivot Table for 1-11'!$A$3,"State","DE","SREB Type",2,"SREB Type2","Four-Year")</f>
        <v>0</v>
      </c>
      <c r="P106" s="81">
        <f t="shared" si="6"/>
        <v>0</v>
      </c>
      <c r="Q106" s="85"/>
    </row>
    <row r="107" spans="1:24" ht="15" customHeight="1" x14ac:dyDescent="0.2">
      <c r="A107" s="5" t="s">
        <v>195</v>
      </c>
      <c r="B107" s="6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6">
        <f>+GETPIVOTDATA(" New-Associate's",'Pivot Table for 1-11'!$A$3,"State","FL","SREB Type",2,"SREB Type2","Four-Year")</f>
        <v>251</v>
      </c>
      <c r="D107" s="6">
        <f>+GETPIVOTDATA(" New-Bachelor's",'Pivot Table for 1-11'!$A$3,"State","FL","SREB Type",2,"SREB Type2","Four-Year")</f>
        <v>4892</v>
      </c>
      <c r="E107" s="6">
        <f>+GETPIVOTDATA(" New-Post-Bachelor's",'Pivot Table for 1-11'!$A$3,"State","FL","SREB Type",2,"SREB Type2","Four-Year")</f>
        <v>0</v>
      </c>
      <c r="F107" s="6">
        <f>+GETPIVOTDATA(" New-Total Master's#",'Pivot Table for 1-11'!$A$3,"State","FL","SREB Type",2,"SREB Type2","Four-Year")</f>
        <v>1259</v>
      </c>
      <c r="G107" s="6">
        <f>+GETPIVOTDATA(" New-Total Doctorates#",'Pivot Table for 1-11'!$A$3,"State","FL","SREB Type",2,"SREB Type2","Four-Year")</f>
        <v>117</v>
      </c>
      <c r="H107" s="17">
        <f>+GETPIVOTDATA(" New-Law",'Pivot Table for 1-11'!$A$3,"State","FL","SREB Type",2,"SREB Type2","Four-Year")</f>
        <v>0</v>
      </c>
      <c r="I107" s="6">
        <f>+GETPIVOTDATA(" New-Medicine",'Pivot Table for 1-11'!$A$3,"State","FL","SREB Type",2,"SREB Type2","Four-Year")</f>
        <v>0</v>
      </c>
      <c r="J107" s="6">
        <f>+GETPIVOTDATA(" New-Dentistry",'Pivot Table for 1-11'!$A$3,"State","FL","SREB Type",2,"SREB Type2","Four-Year")</f>
        <v>0</v>
      </c>
      <c r="K107" s="6">
        <f>+GETPIVOTDATA(" New-Pharmacy",'Pivot Table for 1-11'!$A$3,"State","FL","SREB Type",2,"SREB Type2","Four-Year")</f>
        <v>0</v>
      </c>
      <c r="L107" s="6">
        <f>+GETPIVOTDATA(" New-Optometry",'Pivot Table for 1-11'!$A$3,"State","FL","SREB Type",2,"SREB Type2","Four-Year")</f>
        <v>0</v>
      </c>
      <c r="M107" s="6">
        <f>+GETPIVOTDATA(" New-Osteopathic Medicine",'Pivot Table for 1-11'!$A$3,"State","FL","SREB Type",2,"SREB Type2","Four-Year")</f>
        <v>0</v>
      </c>
      <c r="N107" s="80">
        <f>+GETPIVOTDATA(" New-Veterinary Medicine",'Pivot Table for 1-11'!$A$3,"State","FL","SREB Type",2,"SREB Type2","Four-Year")</f>
        <v>0</v>
      </c>
      <c r="O107" s="97">
        <f>+GETPIVOTDATA(" New-Oth PP",'Pivot Table for 1-11'!$A$3,"State","FL","SREB Type",2,"SREB Type2","Four-Year")</f>
        <v>9</v>
      </c>
      <c r="P107" s="81">
        <f t="shared" si="6"/>
        <v>6528</v>
      </c>
      <c r="Q107" s="85"/>
    </row>
    <row r="108" spans="1:24" ht="15" customHeight="1" x14ac:dyDescent="0.2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0"/>
      <c r="O108" s="97"/>
      <c r="P108" s="81">
        <f t="shared" si="6"/>
        <v>0</v>
      </c>
      <c r="Q108" s="85"/>
    </row>
    <row r="109" spans="1:24" ht="15" customHeight="1" x14ac:dyDescent="0.2">
      <c r="A109" s="5" t="s">
        <v>196</v>
      </c>
      <c r="B109" s="6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6">
        <f>+GETPIVOTDATA(" New-Associate's",'Pivot Table for 1-11'!$A$3,"State","GA","SREB Type",2,"SREB Type2","Four-Year")</f>
        <v>0</v>
      </c>
      <c r="D109" s="6">
        <f>+GETPIVOTDATA(" New-Bachelor's",'Pivot Table for 1-11'!$A$3,"State","GA","SREB Type",2,"SREB Type2","Four-Year")</f>
        <v>2866</v>
      </c>
      <c r="E109" s="6">
        <f>+GETPIVOTDATA(" New-Post-Bachelor's",'Pivot Table for 1-11'!$A$3,"State","GA","SREB Type",2,"SREB Type2","Four-Year")</f>
        <v>0</v>
      </c>
      <c r="F109" s="6">
        <f>+GETPIVOTDATA(" New-Total Master's#",'Pivot Table for 1-11'!$A$3,"State","GA","SREB Type",2,"SREB Type2","Four-Year")</f>
        <v>1930</v>
      </c>
      <c r="G109" s="6">
        <f>+GETPIVOTDATA(" New-Total Doctorates#",'Pivot Table for 1-11'!$A$3,"State","GA","SREB Type",2,"SREB Type2","Four-Year")</f>
        <v>481</v>
      </c>
      <c r="H109" s="17">
        <f>+GETPIVOTDATA(" New-Law",'Pivot Table for 1-11'!$A$3,"State","GA","SREB Type",2,"SREB Type2","Four-Year")</f>
        <v>0</v>
      </c>
      <c r="I109" s="6">
        <f>+GETPIVOTDATA(" New-Medicine",'Pivot Table for 1-11'!$A$3,"State","GA","SREB Type",2,"SREB Type2","Four-Year")</f>
        <v>0</v>
      </c>
      <c r="J109" s="6">
        <f>+GETPIVOTDATA(" New-Dentistry",'Pivot Table for 1-11'!$A$3,"State","GA","SREB Type",2,"SREB Type2","Four-Year")</f>
        <v>0</v>
      </c>
      <c r="K109" s="6">
        <f>+GETPIVOTDATA(" New-Pharmacy",'Pivot Table for 1-11'!$A$3,"State","GA","SREB Type",2,"SREB Type2","Four-Year")</f>
        <v>0</v>
      </c>
      <c r="L109" s="6">
        <f>+GETPIVOTDATA(" New-Optometry",'Pivot Table for 1-11'!$A$3,"State","GA","SREB Type",2,"SREB Type2","Four-Year")</f>
        <v>0</v>
      </c>
      <c r="M109" s="6">
        <f>+GETPIVOTDATA(" New-Osteopathic Medicine",'Pivot Table for 1-11'!$A$3,"State","GA","SREB Type",2,"SREB Type2","Four-Year")</f>
        <v>0</v>
      </c>
      <c r="N109" s="80">
        <f>+GETPIVOTDATA(" New-Veterinary Medicine",'Pivot Table for 1-11'!$A$3,"State","GA","SREB Type",2,"SREB Type2","Four-Year")</f>
        <v>0</v>
      </c>
      <c r="O109" s="97">
        <f>+GETPIVOTDATA(" New-Oth PP",'Pivot Table for 1-11'!$A$3,"State","GA","SREB Type",2,"SREB Type2","Four-Year")</f>
        <v>0</v>
      </c>
      <c r="P109" s="81">
        <f t="shared" si="6"/>
        <v>5277</v>
      </c>
      <c r="Q109" s="85"/>
    </row>
    <row r="110" spans="1:24" ht="15" customHeight="1" x14ac:dyDescent="0.2">
      <c r="A110" s="5" t="s">
        <v>197</v>
      </c>
      <c r="B110" s="6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6">
        <f>+GETPIVOTDATA(" New-Associate's",'Pivot Table for 1-11'!$A$3,"State","KY","SREB Type",2,"SREB Type2","Four-Year")</f>
        <v>0</v>
      </c>
      <c r="D110" s="6">
        <f>+GETPIVOTDATA(" New-Bachelor's",'Pivot Table for 1-11'!$A$3,"State","KY","SREB Type",2,"SREB Type2","Four-Year")</f>
        <v>0</v>
      </c>
      <c r="E110" s="6">
        <f>+GETPIVOTDATA(" New-Post-Bachelor's",'Pivot Table for 1-11'!$A$3,"State","KY","SREB Type",2,"SREB Type2","Four-Year")</f>
        <v>0</v>
      </c>
      <c r="F110" s="6">
        <f>+GETPIVOTDATA(" New-Total Master's#",'Pivot Table for 1-11'!$A$3,"State","KY","SREB Type",2,"SREB Type2","Four-Year")</f>
        <v>0</v>
      </c>
      <c r="G110" s="6">
        <f>+GETPIVOTDATA(" New-Total Doctorates#",'Pivot Table for 1-11'!$A$3,"State","KY","SREB Type",2,"SREB Type2","Four-Year")</f>
        <v>0</v>
      </c>
      <c r="H110" s="17">
        <f>+GETPIVOTDATA(" New-Law",'Pivot Table for 1-11'!$A$3,"State","KY","SREB Type",2,"SREB Type2","Four-Year")</f>
        <v>0</v>
      </c>
      <c r="I110" s="6">
        <f>+GETPIVOTDATA(" New-Medicine",'Pivot Table for 1-11'!$A$3,"State","KY","SREB Type",2,"SREB Type2","Four-Year")</f>
        <v>0</v>
      </c>
      <c r="J110" s="6">
        <f>+GETPIVOTDATA(" New-Dentistry",'Pivot Table for 1-11'!$A$3,"State","KY","SREB Type",2,"SREB Type2","Four-Year")</f>
        <v>0</v>
      </c>
      <c r="K110" s="6">
        <f>+GETPIVOTDATA(" New-Pharmacy",'Pivot Table for 1-11'!$A$3,"State","KY","SREB Type",2,"SREB Type2","Four-Year")</f>
        <v>0</v>
      </c>
      <c r="L110" s="6">
        <f>+GETPIVOTDATA(" New-Optometry",'Pivot Table for 1-11'!$A$3,"State","KY","SREB Type",2,"SREB Type2","Four-Year")</f>
        <v>0</v>
      </c>
      <c r="M110" s="6">
        <f>+GETPIVOTDATA(" New-Osteopathic Medicine",'Pivot Table for 1-11'!$A$3,"State","KY","SREB Type",2,"SREB Type2","Four-Year")</f>
        <v>0</v>
      </c>
      <c r="N110" s="80">
        <f>+GETPIVOTDATA(" New-Veterinary Medicine",'Pivot Table for 1-11'!$A$3,"State","KY","SREB Type",2,"SREB Type2","Four-Year")</f>
        <v>0</v>
      </c>
      <c r="O110" s="97">
        <f>+GETPIVOTDATA(" New-Oth PP",'Pivot Table for 1-11'!$A$3,"State","KY","SREB Type",2,"SREB Type2","Four-Year")</f>
        <v>0</v>
      </c>
      <c r="P110" s="81">
        <f t="shared" si="6"/>
        <v>0</v>
      </c>
      <c r="Q110" s="85"/>
    </row>
    <row r="111" spans="1:24" ht="15" customHeight="1" x14ac:dyDescent="0.2">
      <c r="A111" s="5" t="s">
        <v>198</v>
      </c>
      <c r="B111" s="6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6">
        <f>+GETPIVOTDATA(" New-Associate's",'Pivot Table for 1-11'!$A$3,"State","LA","SREB Type",2,"SREB Type2","Four-Year")</f>
        <v>70</v>
      </c>
      <c r="D111" s="6">
        <f>+GETPIVOTDATA(" New-Bachelor's",'Pivot Table for 1-11'!$A$3,"State","LA","SREB Type",2,"SREB Type2","Four-Year")</f>
        <v>4932</v>
      </c>
      <c r="E111" s="6">
        <f>+GETPIVOTDATA(" New-Post-Bachelor's",'Pivot Table for 1-11'!$A$3,"State","LA","SREB Type",2,"SREB Type2","Four-Year")</f>
        <v>69</v>
      </c>
      <c r="F111" s="6">
        <f>+GETPIVOTDATA(" New-Total Master's#",'Pivot Table for 1-11'!$A$3,"State","LA","SREB Type",2,"SREB Type2","Four-Year")</f>
        <v>1398</v>
      </c>
      <c r="G111" s="6">
        <f>+GETPIVOTDATA(" New-Total Doctorates#",'Pivot Table for 1-11'!$A$3,"State","LA","SREB Type",2,"SREB Type2","Four-Year")</f>
        <v>153</v>
      </c>
      <c r="H111" s="17">
        <f>+GETPIVOTDATA(" New-Law",'Pivot Table for 1-11'!$A$3,"State","LA","SREB Type",2,"SREB Type2","Four-Year")</f>
        <v>0</v>
      </c>
      <c r="I111" s="6">
        <f>+GETPIVOTDATA(" New-Medicine",'Pivot Table for 1-11'!$A$3,"State","LA","SREB Type",2,"SREB Type2","Four-Year")</f>
        <v>0</v>
      </c>
      <c r="J111" s="6">
        <f>+GETPIVOTDATA(" New-Dentistry",'Pivot Table for 1-11'!$A$3,"State","LA","SREB Type",2,"SREB Type2","Four-Year")</f>
        <v>0</v>
      </c>
      <c r="K111" s="6">
        <f>+GETPIVOTDATA(" New-Pharmacy",'Pivot Table for 1-11'!$A$3,"State","LA","SREB Type",2,"SREB Type2","Four-Year")</f>
        <v>0</v>
      </c>
      <c r="L111" s="6">
        <f>+GETPIVOTDATA(" New-Optometry",'Pivot Table for 1-11'!$A$3,"State","LA","SREB Type",2,"SREB Type2","Four-Year")</f>
        <v>0</v>
      </c>
      <c r="M111" s="6">
        <f>+GETPIVOTDATA(" New-Osteopathic Medicine",'Pivot Table for 1-11'!$A$3,"State","LA","SREB Type",2,"SREB Type2","Four-Year")</f>
        <v>0</v>
      </c>
      <c r="N111" s="80">
        <f>+GETPIVOTDATA(" New-Veterinary Medicine",'Pivot Table for 1-11'!$A$3,"State","LA","SREB Type",2,"SREB Type2","Four-Year")</f>
        <v>0</v>
      </c>
      <c r="O111" s="97">
        <f>+GETPIVOTDATA(" New-Oth PP",'Pivot Table for 1-11'!$A$3,"State","LA","SREB Type",2,"SREB Type2","Four-Year")</f>
        <v>0</v>
      </c>
      <c r="P111" s="81">
        <f t="shared" si="6"/>
        <v>6622</v>
      </c>
      <c r="Q111" s="85"/>
    </row>
    <row r="112" spans="1:24" ht="15" customHeight="1" x14ac:dyDescent="0.2">
      <c r="A112" s="5" t="s">
        <v>199</v>
      </c>
      <c r="B112" s="6">
        <f>+GETPIVOTDATA(" New-Less Than 2-Year",'Pivot Table for 1-11'!$A$3,"State","MD","SREB Type",2,"SREB Type2","Four-Year")+GETPIVOTDATA(" New-2 But Less Than 4-Year",'Pivot Table for 1-11'!$A$3,"State","MD","SREB Type",2,"SREB Type2","Four-Year")</f>
        <v>118</v>
      </c>
      <c r="C112" s="6">
        <f>+GETPIVOTDATA(" New-Associate's",'Pivot Table for 1-11'!$A$3,"State","MD","SREB Type",2,"SREB Type2","Four-Year")</f>
        <v>0</v>
      </c>
      <c r="D112" s="6">
        <f>+GETPIVOTDATA(" New-Bachelor's",'Pivot Table for 1-11'!$A$3,"State","MD","SREB Type",2,"SREB Type2","Four-Year")</f>
        <v>3042</v>
      </c>
      <c r="E112" s="6">
        <f>+GETPIVOTDATA(" New-Post-Bachelor's",'Pivot Table for 1-11'!$A$3,"State","MD","SREB Type",2,"SREB Type2","Four-Year")</f>
        <v>156</v>
      </c>
      <c r="F112" s="6">
        <f>+GETPIVOTDATA(" New-Total Master's#",'Pivot Table for 1-11'!$A$3,"State","MD","SREB Type",2,"SREB Type2","Four-Year")</f>
        <v>860</v>
      </c>
      <c r="G112" s="6">
        <f>+GETPIVOTDATA(" New-Total Doctorates#",'Pivot Table for 1-11'!$A$3,"State","MD","SREB Type",2,"SREB Type2","Four-Year")</f>
        <v>109</v>
      </c>
      <c r="H112" s="17">
        <f>+GETPIVOTDATA(" New-Law",'Pivot Table for 1-11'!$A$3,"State","MD","SREB Type",2,"SREB Type2","Four-Year")</f>
        <v>0</v>
      </c>
      <c r="I112" s="6">
        <f>+GETPIVOTDATA(" New-Medicine",'Pivot Table for 1-11'!$A$3,"State","MD","SREB Type",2,"SREB Type2","Four-Year")</f>
        <v>0</v>
      </c>
      <c r="J112" s="6">
        <f>+GETPIVOTDATA(" New-Dentistry",'Pivot Table for 1-11'!$A$3,"State","MD","SREB Type",2,"SREB Type2","Four-Year")</f>
        <v>0</v>
      </c>
      <c r="K112" s="6">
        <f>+GETPIVOTDATA(" New-Pharmacy",'Pivot Table for 1-11'!$A$3,"State","MD","SREB Type",2,"SREB Type2","Four-Year")</f>
        <v>0</v>
      </c>
      <c r="L112" s="6">
        <f>+GETPIVOTDATA(" New-Optometry",'Pivot Table for 1-11'!$A$3,"State","MD","SREB Type",2,"SREB Type2","Four-Year")</f>
        <v>0</v>
      </c>
      <c r="M112" s="6">
        <f>+GETPIVOTDATA(" New-Osteopathic Medicine",'Pivot Table for 1-11'!$A$3,"State","MD","SREB Type",2,"SREB Type2","Four-Year")</f>
        <v>0</v>
      </c>
      <c r="N112" s="80">
        <f>+GETPIVOTDATA(" New-Veterinary Medicine",'Pivot Table for 1-11'!$A$3,"State","MD","SREB Type",2,"SREB Type2","Four-Year")</f>
        <v>0</v>
      </c>
      <c r="O112" s="97">
        <f>+GETPIVOTDATA(" New-Oth PP",'Pivot Table for 1-11'!$A$3,"State","MD","SREB Type",2,"SREB Type2","Four-Year")</f>
        <v>0</v>
      </c>
      <c r="P112" s="81">
        <f t="shared" si="6"/>
        <v>4167</v>
      </c>
      <c r="Q112" s="85"/>
    </row>
    <row r="113" spans="1:17" ht="15" customHeight="1" x14ac:dyDescent="0.2">
      <c r="A113" s="5"/>
      <c r="B113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0"/>
      <c r="O113" s="97"/>
      <c r="P113" s="81">
        <f t="shared" si="6"/>
        <v>0</v>
      </c>
      <c r="Q113" s="85"/>
    </row>
    <row r="114" spans="1:17" ht="15" customHeight="1" x14ac:dyDescent="0.2">
      <c r="A114" s="5" t="s">
        <v>200</v>
      </c>
      <c r="B114" s="6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6">
        <f>+GETPIVOTDATA(" New-Associate's",'Pivot Table for 1-11'!$A$3,"State","MS","SREB Type",2,"SREB Type2","Four-Year")</f>
        <v>0</v>
      </c>
      <c r="D114" s="6">
        <f>+GETPIVOTDATA(" New-Bachelor's",'Pivot Table for 1-11'!$A$3,"State","MS","SREB Type",2,"SREB Type2","Four-Year")</f>
        <v>3725</v>
      </c>
      <c r="E114" s="6">
        <f>+GETPIVOTDATA(" New-Post-Bachelor's",'Pivot Table for 1-11'!$A$3,"State","MS","SREB Type",2,"SREB Type2","Four-Year")</f>
        <v>0</v>
      </c>
      <c r="F114" s="6">
        <f>+GETPIVOTDATA(" New-Total Master's#",'Pivot Table for 1-11'!$A$3,"State","MS","SREB Type",2,"SREB Type2","Four-Year")</f>
        <v>1119</v>
      </c>
      <c r="G114" s="6">
        <f>+GETPIVOTDATA(" New-Total Doctorates#",'Pivot Table for 1-11'!$A$3,"State","MS","SREB Type",2,"SREB Type2","Four-Year")</f>
        <v>144</v>
      </c>
      <c r="H114" s="17">
        <f>+GETPIVOTDATA(" New-Law",'Pivot Table for 1-11'!$A$3,"State","MS","SREB Type",2,"SREB Type2","Four-Year")</f>
        <v>164</v>
      </c>
      <c r="I114" s="6">
        <f>+GETPIVOTDATA(" New-Medicine",'Pivot Table for 1-11'!$A$3,"State","MS","SREB Type",2,"SREB Type2","Four-Year")</f>
        <v>0</v>
      </c>
      <c r="J114" s="6">
        <f>+GETPIVOTDATA(" New-Dentistry",'Pivot Table for 1-11'!$A$3,"State","MS","SREB Type",2,"SREB Type2","Four-Year")</f>
        <v>0</v>
      </c>
      <c r="K114" s="6">
        <f>+GETPIVOTDATA(" New-Pharmacy",'Pivot Table for 1-11'!$A$3,"State","MS","SREB Type",2,"SREB Type2","Four-Year")</f>
        <v>105</v>
      </c>
      <c r="L114" s="6">
        <f>+GETPIVOTDATA(" New-Optometry",'Pivot Table for 1-11'!$A$3,"State","MS","SREB Type",2,"SREB Type2","Four-Year")</f>
        <v>0</v>
      </c>
      <c r="M114" s="6">
        <f>+GETPIVOTDATA(" New-Osteopathic Medicine",'Pivot Table for 1-11'!$A$3,"State","MS","SREB Type",2,"SREB Type2","Four-Year")</f>
        <v>0</v>
      </c>
      <c r="N114" s="80">
        <f>+GETPIVOTDATA(" New-Veterinary Medicine",'Pivot Table for 1-11'!$A$3,"State","MS","SREB Type",2,"SREB Type2","Four-Year")</f>
        <v>0</v>
      </c>
      <c r="O114" s="97">
        <f>+GETPIVOTDATA(" New-Oth PP",'Pivot Table for 1-11'!$A$3,"State","MS","SREB Type",2,"SREB Type2","Four-Year")</f>
        <v>0</v>
      </c>
      <c r="P114" s="81">
        <f t="shared" si="6"/>
        <v>5257</v>
      </c>
      <c r="Q114" s="85"/>
    </row>
    <row r="115" spans="1:17" ht="15" customHeight="1" x14ac:dyDescent="0.2">
      <c r="A115" s="5" t="s">
        <v>201</v>
      </c>
      <c r="B115" s="6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6">
        <f>+GETPIVOTDATA(" New-Associate's",'Pivot Table for 1-11'!$A$3,"State","NC","SREB Type",2,"SREB Type2","Four-Year")</f>
        <v>0</v>
      </c>
      <c r="D115" s="6">
        <f>+GETPIVOTDATA(" New-Bachelor's",'Pivot Table for 1-11'!$A$3,"State","NC","SREB Type",2,"SREB Type2","Four-Year")</f>
        <v>8138</v>
      </c>
      <c r="E115" s="6">
        <f>+GETPIVOTDATA(" New-Post-Bachelor's",'Pivot Table for 1-11'!$A$3,"State","NC","SREB Type",2,"SREB Type2","Four-Year")</f>
        <v>285</v>
      </c>
      <c r="F115" s="6">
        <f>+GETPIVOTDATA(" New-Total Master's#",'Pivot Table for 1-11'!$A$3,"State","NC","SREB Type",2,"SREB Type2","Four-Year")</f>
        <v>2929</v>
      </c>
      <c r="G115" s="6">
        <f>+GETPIVOTDATA(" New-Total Doctorates#",'Pivot Table for 1-11'!$A$3,"State","NC","SREB Type",2,"SREB Type2","Four-Year")</f>
        <v>157</v>
      </c>
      <c r="H115" s="17">
        <f>+GETPIVOTDATA(" New-Law",'Pivot Table for 1-11'!$A$3,"State","NC","SREB Type",2,"SREB Type2","Four-Year")</f>
        <v>0</v>
      </c>
      <c r="I115" s="6">
        <f>+GETPIVOTDATA(" New-Medicine",'Pivot Table for 1-11'!$A$3,"State","NC","SREB Type",2,"SREB Type2","Four-Year")</f>
        <v>71</v>
      </c>
      <c r="J115" s="6">
        <f>+GETPIVOTDATA(" New-Dentistry",'Pivot Table for 1-11'!$A$3,"State","NC","SREB Type",2,"SREB Type2","Four-Year")</f>
        <v>0</v>
      </c>
      <c r="K115" s="6">
        <f>+GETPIVOTDATA(" New-Pharmacy",'Pivot Table for 1-11'!$A$3,"State","NC","SREB Type",2,"SREB Type2","Four-Year")</f>
        <v>0</v>
      </c>
      <c r="L115" s="6">
        <f>+GETPIVOTDATA(" New-Optometry",'Pivot Table for 1-11'!$A$3,"State","NC","SREB Type",2,"SREB Type2","Four-Year")</f>
        <v>0</v>
      </c>
      <c r="M115" s="6">
        <f>+GETPIVOTDATA(" New-Osteopathic Medicine",'Pivot Table for 1-11'!$A$3,"State","NC","SREB Type",2,"SREB Type2","Four-Year")</f>
        <v>0</v>
      </c>
      <c r="N115" s="80">
        <f>+GETPIVOTDATA(" New-Veterinary Medicine",'Pivot Table for 1-11'!$A$3,"State","NC","SREB Type",2,"SREB Type2","Four-Year")</f>
        <v>0</v>
      </c>
      <c r="O115" s="97">
        <f>+GETPIVOTDATA(" New-Oth PP",'Pivot Table for 1-11'!$A$3,"State","NC","SREB Type",2,"SREB Type2","Four-Year")</f>
        <v>27</v>
      </c>
      <c r="P115" s="81">
        <f t="shared" si="6"/>
        <v>11607</v>
      </c>
      <c r="Q115" s="85"/>
    </row>
    <row r="116" spans="1:17" ht="15" customHeight="1" x14ac:dyDescent="0.2">
      <c r="A116" s="5" t="s">
        <v>202</v>
      </c>
      <c r="B116" s="6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6">
        <f>+GETPIVOTDATA(" New-Associate's",'Pivot Table for 1-11'!$A$3,"State","OK","SREB Type",2,"SREB Type2","Four-Year")</f>
        <v>0</v>
      </c>
      <c r="D116" s="6">
        <f>+GETPIVOTDATA(" New-Bachelor's",'Pivot Table for 1-11'!$A$3,"State","OK","SREB Type",2,"SREB Type2","Four-Year")</f>
        <v>0</v>
      </c>
      <c r="E116" s="6">
        <f>+GETPIVOTDATA(" New-Post-Bachelor's",'Pivot Table for 1-11'!$A$3,"State","OK","SREB Type",2,"SREB Type2","Four-Year")</f>
        <v>0</v>
      </c>
      <c r="F116" s="6">
        <f>+GETPIVOTDATA(" New-Total Master's#",'Pivot Table for 1-11'!$A$3,"State","OK","SREB Type",2,"SREB Type2","Four-Year")</f>
        <v>0</v>
      </c>
      <c r="G116" s="6">
        <f>+GETPIVOTDATA(" New-Total Doctorates#",'Pivot Table for 1-11'!$A$3,"State","OK","SREB Type",2,"SREB Type2","Four-Year")</f>
        <v>0</v>
      </c>
      <c r="H116" s="17">
        <f>+GETPIVOTDATA(" New-Law",'Pivot Table for 1-11'!$A$3,"State","OK","SREB Type",2,"SREB Type2","Four-Year")</f>
        <v>0</v>
      </c>
      <c r="I116" s="6">
        <f>+GETPIVOTDATA(" New-Medicine",'Pivot Table for 1-11'!$A$3,"State","OK","SREB Type",2,"SREB Type2","Four-Year")</f>
        <v>0</v>
      </c>
      <c r="J116" s="6">
        <f>+GETPIVOTDATA(" New-Dentistry",'Pivot Table for 1-11'!$A$3,"State","OK","SREB Type",2,"SREB Type2","Four-Year")</f>
        <v>0</v>
      </c>
      <c r="K116" s="6">
        <f>+GETPIVOTDATA(" New-Pharmacy",'Pivot Table for 1-11'!$A$3,"State","OK","SREB Type",2,"SREB Type2","Four-Year")</f>
        <v>0</v>
      </c>
      <c r="L116" s="6">
        <f>+GETPIVOTDATA(" New-Optometry",'Pivot Table for 1-11'!$A$3,"State","OK","SREB Type",2,"SREB Type2","Four-Year")</f>
        <v>0</v>
      </c>
      <c r="M116" s="6">
        <f>+GETPIVOTDATA(" New-Osteopathic Medicine",'Pivot Table for 1-11'!$A$3,"State","OK","SREB Type",2,"SREB Type2","Four-Year")</f>
        <v>0</v>
      </c>
      <c r="N116" s="80">
        <f>+GETPIVOTDATA(" New-Veterinary Medicine",'Pivot Table for 1-11'!$A$3,"State","OK","SREB Type",2,"SREB Type2","Four-Year")</f>
        <v>0</v>
      </c>
      <c r="O116" s="97">
        <f>+GETPIVOTDATA(" New-Oth PP",'Pivot Table for 1-11'!$A$3,"State","OK","SREB Type",2,"SREB Type2","Four-Year")</f>
        <v>0</v>
      </c>
      <c r="P116" s="81">
        <f t="shared" si="6"/>
        <v>0</v>
      </c>
      <c r="Q116" s="85"/>
    </row>
    <row r="117" spans="1:17" ht="15" customHeight="1" x14ac:dyDescent="0.2">
      <c r="A117" s="5" t="s">
        <v>203</v>
      </c>
      <c r="B117" s="6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6">
        <f>+GETPIVOTDATA(" New-Associate's",'Pivot Table for 1-11'!$A$3,"State","SC","SREB Type",2,"SREB Type2","Four-Year")</f>
        <v>0</v>
      </c>
      <c r="D117" s="6">
        <f>+GETPIVOTDATA(" New-Bachelor's",'Pivot Table for 1-11'!$A$3,"State","SC","SREB Type",2,"SREB Type2","Four-Year")</f>
        <v>0</v>
      </c>
      <c r="E117" s="6">
        <f>+GETPIVOTDATA(" New-Post-Bachelor's",'Pivot Table for 1-11'!$A$3,"State","SC","SREB Type",2,"SREB Type2","Four-Year")</f>
        <v>0</v>
      </c>
      <c r="F117" s="6">
        <f>+GETPIVOTDATA(" New-Total Master's#",'Pivot Table for 1-11'!$A$3,"State","SC","SREB Type",2,"SREB Type2","Four-Year")</f>
        <v>0</v>
      </c>
      <c r="G117" s="6">
        <f>+GETPIVOTDATA(" New-Total Doctorates#",'Pivot Table for 1-11'!$A$3,"State","SC","SREB Type",2,"SREB Type2","Four-Year")</f>
        <v>0</v>
      </c>
      <c r="H117" s="17">
        <f>+GETPIVOTDATA(" New-Law",'Pivot Table for 1-11'!$A$3,"State","SC","SREB Type",2,"SREB Type2","Four-Year")</f>
        <v>0</v>
      </c>
      <c r="I117" s="6">
        <f>+GETPIVOTDATA(" New-Medicine",'Pivot Table for 1-11'!$A$3,"State","SC","SREB Type",2,"SREB Type2","Four-Year")</f>
        <v>0</v>
      </c>
      <c r="J117" s="6">
        <f>+GETPIVOTDATA(" New-Dentistry",'Pivot Table for 1-11'!$A$3,"State","SC","SREB Type",2,"SREB Type2","Four-Year")</f>
        <v>0</v>
      </c>
      <c r="K117" s="6">
        <f>+GETPIVOTDATA(" New-Pharmacy",'Pivot Table for 1-11'!$A$3,"State","SC","SREB Type",2,"SREB Type2","Four-Year")</f>
        <v>0</v>
      </c>
      <c r="L117" s="6">
        <f>+GETPIVOTDATA(" New-Optometry",'Pivot Table for 1-11'!$A$3,"State","SC","SREB Type",2,"SREB Type2","Four-Year")</f>
        <v>0</v>
      </c>
      <c r="M117" s="6">
        <f>+GETPIVOTDATA(" New-Osteopathic Medicine",'Pivot Table for 1-11'!$A$3,"State","SC","SREB Type",2,"SREB Type2","Four-Year")</f>
        <v>0</v>
      </c>
      <c r="N117" s="80">
        <f>+GETPIVOTDATA(" New-Veterinary Medicine",'Pivot Table for 1-11'!$A$3,"State","SC","SREB Type",2,"SREB Type2","Four-Year")</f>
        <v>0</v>
      </c>
      <c r="O117" s="97">
        <f>+GETPIVOTDATA(" New-Oth PP",'Pivot Table for 1-11'!$A$3,"State","SC","SREB Type",2,"SREB Type2","Four-Year")</f>
        <v>0</v>
      </c>
      <c r="P117" s="81">
        <f t="shared" si="6"/>
        <v>0</v>
      </c>
      <c r="Q117" s="85"/>
    </row>
    <row r="118" spans="1:17" ht="15" customHeight="1" x14ac:dyDescent="0.2">
      <c r="A118" s="5"/>
      <c r="B118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8" s="6">
        <f>+GETPIVOTDATA(" New-Associate's",'Pivot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0"/>
      <c r="O118" s="97"/>
      <c r="P118" s="81">
        <f t="shared" si="6"/>
        <v>0</v>
      </c>
      <c r="Q118" s="85"/>
    </row>
    <row r="119" spans="1:17" ht="15" customHeight="1" x14ac:dyDescent="0.2">
      <c r="A119" s="5" t="s">
        <v>204</v>
      </c>
      <c r="B119" s="6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6">
        <f>+GETPIVOTDATA(" New-Associate's",'Pivot Table for 1-11'!$A$3,"State","TN","SREB Type",2,"SREB Type2","Four-Year")</f>
        <v>139</v>
      </c>
      <c r="D119" s="6">
        <f>+GETPIVOTDATA(" New-Bachelor's",'Pivot Table for 1-11'!$A$3,"State","TN","SREB Type",2,"SREB Type2","Four-Year")</f>
        <v>959</v>
      </c>
      <c r="E119" s="6">
        <f>+GETPIVOTDATA(" New-Post-Bachelor's",'Pivot Table for 1-11'!$A$3,"State","TN","SREB Type",2,"SREB Type2","Four-Year")</f>
        <v>0</v>
      </c>
      <c r="F119" s="6">
        <f>+GETPIVOTDATA(" New-Total Master's#",'Pivot Table for 1-11'!$A$3,"State","TN","SREB Type",2,"SREB Type2","Four-Year")</f>
        <v>434</v>
      </c>
      <c r="G119" s="6">
        <f>+GETPIVOTDATA(" New-Total Doctorates#",'Pivot Table for 1-11'!$A$3,"State","TN","SREB Type",2,"SREB Type2","Four-Year")</f>
        <v>72</v>
      </c>
      <c r="H119" s="17">
        <f>+GETPIVOTDATA(" New-Law",'Pivot Table for 1-11'!$A$3,"State","TN","SREB Type",2,"SREB Type2","Four-Year")</f>
        <v>0</v>
      </c>
      <c r="I119" s="6">
        <f>+GETPIVOTDATA(" New-Medicine",'Pivot Table for 1-11'!$A$3,"State","TN","SREB Type",2,"SREB Type2","Four-Year")</f>
        <v>0</v>
      </c>
      <c r="J119" s="6">
        <f>+GETPIVOTDATA(" New-Dentistry",'Pivot Table for 1-11'!$A$3,"State","TN","SREB Type",2,"SREB Type2","Four-Year")</f>
        <v>0</v>
      </c>
      <c r="K119" s="6">
        <f>+GETPIVOTDATA(" New-Pharmacy",'Pivot Table for 1-11'!$A$3,"State","TN","SREB Type",2,"SREB Type2","Four-Year")</f>
        <v>0</v>
      </c>
      <c r="L119" s="6">
        <f>+GETPIVOTDATA(" New-Optometry",'Pivot Table for 1-11'!$A$3,"State","TN","SREB Type",2,"SREB Type2","Four-Year")</f>
        <v>0</v>
      </c>
      <c r="M119" s="6">
        <f>+GETPIVOTDATA(" New-Osteopathic Medicine",'Pivot Table for 1-11'!$A$3,"State","TN","SREB Type",2,"SREB Type2","Four-Year")</f>
        <v>0</v>
      </c>
      <c r="N119" s="80">
        <f>+GETPIVOTDATA(" New-Veterinary Medicine",'Pivot Table for 1-11'!$A$3,"State","TN","SREB Type",2,"SREB Type2","Four-Year")</f>
        <v>0</v>
      </c>
      <c r="O119" s="97">
        <f>+GETPIVOTDATA(" New-Oth PP",'Pivot Table for 1-11'!$A$3,"State","TN","SREB Type",2,"SREB Type2","Four-Year")</f>
        <v>0</v>
      </c>
      <c r="P119" s="81">
        <f t="shared" si="6"/>
        <v>1604</v>
      </c>
      <c r="Q119" s="85"/>
    </row>
    <row r="120" spans="1:17" ht="15" customHeight="1" x14ac:dyDescent="0.2">
      <c r="A120" s="5" t="s">
        <v>205</v>
      </c>
      <c r="B120" s="6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6">
        <f>+GETPIVOTDATA(" New-Associate's",'Pivot Table for 1-11'!$A$3,"State","TX","SREB Type",2,"SREB Type2","Four-Year")</f>
        <v>0</v>
      </c>
      <c r="D120" s="6">
        <f>+GETPIVOTDATA(" New-Bachelor's",'Pivot Table for 1-11'!$A$3,"State","TX","SREB Type",2,"SREB Type2","Four-Year")</f>
        <v>9294</v>
      </c>
      <c r="E120" s="6">
        <f>+GETPIVOTDATA(" New-Post-Bachelor's",'Pivot Table for 1-11'!$A$3,"State","TX","SREB Type",2,"SREB Type2","Four-Year")</f>
        <v>0</v>
      </c>
      <c r="F120" s="6">
        <f>+GETPIVOTDATA(" New-Total Master's#",'Pivot Table for 1-11'!$A$3,"State","TX","SREB Type",2,"SREB Type2","Four-Year")</f>
        <v>3861</v>
      </c>
      <c r="G120" s="6">
        <f>+GETPIVOTDATA(" New-Total Doctorates#",'Pivot Table for 1-11'!$A$3,"State","TX","SREB Type",2,"SREB Type2","Four-Year")</f>
        <v>230</v>
      </c>
      <c r="H120" s="17">
        <f>+GETPIVOTDATA(" New-Law",'Pivot Table for 1-11'!$A$3,"State","TX","SREB Type",2,"SREB Type2","Four-Year")</f>
        <v>0</v>
      </c>
      <c r="I120" s="6">
        <f>+GETPIVOTDATA(" New-Medicine",'Pivot Table for 1-11'!$A$3,"State","TX","SREB Type",2,"SREB Type2","Four-Year")</f>
        <v>0</v>
      </c>
      <c r="J120" s="6">
        <f>+GETPIVOTDATA(" New-Dentistry",'Pivot Table for 1-11'!$A$3,"State","TX","SREB Type",2,"SREB Type2","Four-Year")</f>
        <v>0</v>
      </c>
      <c r="K120" s="6">
        <f>+GETPIVOTDATA(" New-Pharmacy",'Pivot Table for 1-11'!$A$3,"State","TX","SREB Type",2,"SREB Type2","Four-Year")</f>
        <v>0</v>
      </c>
      <c r="L120" s="6">
        <f>+GETPIVOTDATA(" New-Optometry",'Pivot Table for 1-11'!$A$3,"State","TX","SREB Type",2,"SREB Type2","Four-Year")</f>
        <v>0</v>
      </c>
      <c r="M120" s="6">
        <f>+GETPIVOTDATA(" New-Osteopathic Medicine",'Pivot Table for 1-11'!$A$3,"State","TX","SREB Type",2,"SREB Type2","Four-Year")</f>
        <v>0</v>
      </c>
      <c r="N120" s="80">
        <f>+GETPIVOTDATA(" New-Veterinary Medicine",'Pivot Table for 1-11'!$A$3,"State","TX","SREB Type",2,"SREB Type2","Four-Year")</f>
        <v>0</v>
      </c>
      <c r="O120" s="97">
        <f>+GETPIVOTDATA(" New-Oth PP",'Pivot Table for 1-11'!$A$3,"State","TX","SREB Type",2,"SREB Type2","Four-Year")</f>
        <v>114</v>
      </c>
      <c r="P120" s="81">
        <f t="shared" si="6"/>
        <v>13499</v>
      </c>
      <c r="Q120" s="85"/>
    </row>
    <row r="121" spans="1:17" ht="15" customHeight="1" x14ac:dyDescent="0.2">
      <c r="A121" s="5" t="s">
        <v>206</v>
      </c>
      <c r="B121" s="6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6">
        <f>+GETPIVOTDATA(" New-Associate's",'Pivot Table for 1-11'!$A$3,"State","VA","SREB Type",2,"SREB Type2","Four-Year")</f>
        <v>0</v>
      </c>
      <c r="D121" s="6">
        <f>+GETPIVOTDATA(" New-Bachelor's",'Pivot Table for 1-11'!$A$3,"State","VA","SREB Type",2,"SREB Type2","Four-Year")</f>
        <v>6118</v>
      </c>
      <c r="E121" s="6">
        <f>+GETPIVOTDATA(" New-Post-Bachelor's",'Pivot Table for 1-11'!$A$3,"State","VA","SREB Type",2,"SREB Type2","Four-Year")</f>
        <v>224</v>
      </c>
      <c r="F121" s="6">
        <f>+GETPIVOTDATA(" New-Total Master's#",'Pivot Table for 1-11'!$A$3,"State","VA","SREB Type",2,"SREB Type2","Four-Year")</f>
        <v>2392</v>
      </c>
      <c r="G121" s="6">
        <f>+GETPIVOTDATA(" New-Total Doctorates#",'Pivot Table for 1-11'!$A$3,"State","VA","SREB Type",2,"SREB Type2","Four-Year")</f>
        <v>388</v>
      </c>
      <c r="H121" s="17">
        <f>+GETPIVOTDATA(" New-Law",'Pivot Table for 1-11'!$A$3,"State","VA","SREB Type",2,"SREB Type2","Four-Year")</f>
        <v>205</v>
      </c>
      <c r="I121" s="6">
        <f>+GETPIVOTDATA(" New-Medicine",'Pivot Table for 1-11'!$A$3,"State","VA","SREB Type",2,"SREB Type2","Four-Year")</f>
        <v>187</v>
      </c>
      <c r="J121" s="6">
        <f>+GETPIVOTDATA(" New-Dentistry",'Pivot Table for 1-11'!$A$3,"State","VA","SREB Type",2,"SREB Type2","Four-Year")</f>
        <v>104</v>
      </c>
      <c r="K121" s="6">
        <f>+GETPIVOTDATA(" New-Pharmacy",'Pivot Table for 1-11'!$A$3,"State","VA","SREB Type",2,"SREB Type2","Four-Year")</f>
        <v>124</v>
      </c>
      <c r="L121" s="6">
        <f>+GETPIVOTDATA(" New-Optometry",'Pivot Table for 1-11'!$A$3,"State","VA","SREB Type",2,"SREB Type2","Four-Year")</f>
        <v>0</v>
      </c>
      <c r="M121" s="6">
        <f>+GETPIVOTDATA(" New-Osteopathic Medicine",'Pivot Table for 1-11'!$A$3,"State","VA","SREB Type",2,"SREB Type2","Four-Year")</f>
        <v>0</v>
      </c>
      <c r="N121" s="80">
        <f>+GETPIVOTDATA(" New-Veterinary Medicine",'Pivot Table for 1-11'!$A$3,"State","VA","SREB Type",2,"SREB Type2","Four-Year")</f>
        <v>0</v>
      </c>
      <c r="O121" s="97">
        <f>+GETPIVOTDATA(" New-Oth PP",'Pivot Table for 1-11'!$A$3,"State","VA","SREB Type",2,"SREB Type2","Four-Year")</f>
        <v>0</v>
      </c>
      <c r="P121" s="81">
        <f t="shared" si="6"/>
        <v>9742</v>
      </c>
      <c r="Q121" s="85"/>
    </row>
    <row r="122" spans="1:17" ht="15" customHeight="1" x14ac:dyDescent="0.2">
      <c r="A122" s="7" t="s">
        <v>207</v>
      </c>
      <c r="B122" s="8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8">
        <f>+GETPIVOTDATA(" New-Associate's",'Pivot Table for 1-11'!$A$3,"State","WV","SREB Type",2,"SREB Type2","Four-Year")</f>
        <v>0</v>
      </c>
      <c r="D122" s="8">
        <f>+GETPIVOTDATA(" New-Bachelor's",'Pivot Table for 1-11'!$A$3,"State","WV","SREB Type",2,"SREB Type2","Four-Year")</f>
        <v>0</v>
      </c>
      <c r="E122" s="8">
        <f>+GETPIVOTDATA(" New-Post-Bachelor's",'Pivot Table for 1-11'!$A$3,"State","WV","SREB Type",2,"SREB Type2","Four-Year")</f>
        <v>0</v>
      </c>
      <c r="F122" s="8">
        <f>+GETPIVOTDATA(" New-Total Master's#",'Pivot Table for 1-11'!$A$3,"State","WV","SREB Type",2,"SREB Type2","Four-Year")</f>
        <v>0</v>
      </c>
      <c r="G122" s="8">
        <f>+GETPIVOTDATA(" New-Total Doctorates#",'Pivot Table for 1-11'!$A$3,"State","WV","SREB Type",2,"SREB Type2","Four-Year")</f>
        <v>0</v>
      </c>
      <c r="H122" s="18">
        <f>+GETPIVOTDATA(" New-Law",'Pivot Table for 1-11'!$A$3,"State","WV","SREB Type",2,"SREB Type2","Four-Year")</f>
        <v>0</v>
      </c>
      <c r="I122" s="8">
        <f>+GETPIVOTDATA(" New-Medicine",'Pivot Table for 1-11'!$A$3,"State","WV","SREB Type",2,"SREB Type2","Four-Year")</f>
        <v>0</v>
      </c>
      <c r="J122" s="8">
        <f>+GETPIVOTDATA(" New-Dentistry",'Pivot Table for 1-11'!$A$3,"State","WV","SREB Type",2,"SREB Type2","Four-Year")</f>
        <v>0</v>
      </c>
      <c r="K122" s="8">
        <f>+GETPIVOTDATA(" New-Pharmacy",'Pivot Table for 1-11'!$A$3,"State","WV","SREB Type",2,"SREB Type2","Four-Year")</f>
        <v>0</v>
      </c>
      <c r="L122" s="8">
        <f>+GETPIVOTDATA(" New-Optometry",'Pivot Table for 1-11'!$A$3,"State","WV","SREB Type",2,"SREB Type2","Four-Year")</f>
        <v>0</v>
      </c>
      <c r="M122" s="8">
        <f>+GETPIVOTDATA(" New-Osteopathic Medicine",'Pivot Table for 1-11'!$A$3,"State","WV","SREB Type",2,"SREB Type2","Four-Year")</f>
        <v>0</v>
      </c>
      <c r="N122" s="88">
        <f>+GETPIVOTDATA(" New-Veterinary Medicine",'Pivot Table for 1-11'!$A$3,"State","WV","SREB Type",2,"SREB Type2","Four-Year")</f>
        <v>0</v>
      </c>
      <c r="O122" s="98">
        <f>+GETPIVOTDATA(" New-Oth PP",'Pivot Table for 1-11'!$A$3,"State","WV","SREB Type",2,"SREB Type2","Four-Year")</f>
        <v>0</v>
      </c>
      <c r="P122" s="82">
        <f t="shared" si="6"/>
        <v>0</v>
      </c>
      <c r="Q122" s="85"/>
    </row>
    <row r="123" spans="1:17" ht="15" customHeight="1" x14ac:dyDescent="0.2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0"/>
      <c r="O123" s="80"/>
      <c r="P123" s="80"/>
      <c r="Q123" s="85"/>
    </row>
    <row r="124" spans="1:17" ht="24" customHeight="1" x14ac:dyDescent="0.2">
      <c r="A124" s="856" t="s">
        <v>409</v>
      </c>
      <c r="B124" s="857"/>
      <c r="C124" s="857"/>
      <c r="D124" s="857"/>
      <c r="E124" s="857"/>
      <c r="F124" s="857"/>
      <c r="G124" s="857"/>
      <c r="H124" s="857"/>
      <c r="I124" s="857"/>
      <c r="J124" s="857"/>
      <c r="K124" s="857"/>
      <c r="L124" s="857"/>
      <c r="M124" s="857"/>
      <c r="N124" s="857"/>
      <c r="O124" s="857"/>
      <c r="P124" s="857"/>
      <c r="Q124" s="166"/>
    </row>
    <row r="125" spans="1:17" x14ac:dyDescent="0.2">
      <c r="P125" s="83" t="s">
        <v>1293</v>
      </c>
      <c r="Q125" s="167"/>
    </row>
    <row r="126" spans="1:17" ht="18" x14ac:dyDescent="0.25">
      <c r="A126" s="22" t="s">
        <v>211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8"/>
      <c r="O126" s="58"/>
      <c r="P126" s="58"/>
      <c r="Q126" s="154" t="s">
        <v>216</v>
      </c>
    </row>
    <row r="127" spans="1:17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7"/>
      <c r="O127" s="57"/>
      <c r="P127" s="57"/>
      <c r="Q127" s="163"/>
    </row>
    <row r="128" spans="1:17" ht="15.75" x14ac:dyDescent="0.25">
      <c r="A128" s="1" t="s">
        <v>181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8"/>
      <c r="O128" s="58"/>
      <c r="P128" s="58"/>
      <c r="Q128" s="154" t="s">
        <v>216</v>
      </c>
    </row>
    <row r="129" spans="1:24" ht="15.75" x14ac:dyDescent="0.25">
      <c r="A129" s="1" t="s">
        <v>1285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8"/>
      <c r="O129" s="58"/>
      <c r="P129" s="58"/>
      <c r="Q129" s="154" t="s">
        <v>216</v>
      </c>
    </row>
    <row r="130" spans="1:24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59"/>
      <c r="O130" s="59"/>
      <c r="P130" s="59"/>
      <c r="Q130" s="169"/>
    </row>
    <row r="131" spans="1:24" ht="15.75" x14ac:dyDescent="0.25">
      <c r="A131" s="91"/>
      <c r="B131" s="91"/>
      <c r="C131" s="91"/>
      <c r="D131" s="91"/>
      <c r="E131" s="91"/>
      <c r="F131" s="91"/>
      <c r="G131" s="91"/>
      <c r="H131" s="95" t="s">
        <v>410</v>
      </c>
      <c r="I131" s="26"/>
      <c r="J131" s="26"/>
      <c r="K131" s="26"/>
      <c r="L131" s="26"/>
      <c r="M131" s="26"/>
      <c r="N131" s="92"/>
      <c r="O131" s="99"/>
      <c r="P131" s="94" t="s">
        <v>216</v>
      </c>
      <c r="Q131" s="169"/>
      <c r="R131" s="149"/>
      <c r="S131" s="149"/>
      <c r="X131" s="149"/>
    </row>
    <row r="132" spans="1:24" ht="41.25" customHeight="1" x14ac:dyDescent="0.2">
      <c r="A132" s="14"/>
      <c r="B132" s="15" t="s">
        <v>244</v>
      </c>
      <c r="C132" s="15" t="s">
        <v>182</v>
      </c>
      <c r="D132" s="15" t="s">
        <v>175</v>
      </c>
      <c r="E132" s="15" t="s">
        <v>176</v>
      </c>
      <c r="F132" s="15" t="s">
        <v>183</v>
      </c>
      <c r="G132" s="15" t="s">
        <v>184</v>
      </c>
      <c r="H132" s="16" t="s">
        <v>185</v>
      </c>
      <c r="I132" s="15" t="s">
        <v>186</v>
      </c>
      <c r="J132" s="15" t="s">
        <v>187</v>
      </c>
      <c r="K132" s="15" t="s">
        <v>179</v>
      </c>
      <c r="L132" s="15" t="s">
        <v>188</v>
      </c>
      <c r="M132" s="15" t="s">
        <v>189</v>
      </c>
      <c r="N132" s="90" t="s">
        <v>263</v>
      </c>
      <c r="O132" s="96" t="s">
        <v>408</v>
      </c>
      <c r="P132" s="90" t="s">
        <v>190</v>
      </c>
      <c r="Q132" s="170"/>
    </row>
    <row r="133" spans="1:24" ht="15" customHeight="1" x14ac:dyDescent="0.2">
      <c r="A133" s="5" t="s">
        <v>191</v>
      </c>
      <c r="B133" s="6">
        <f>+GETPIVOTDATA(" New-Less Than 2-Year",'Pivot Table for 1-11'!$A$3,"SREB Type",3,"SREB Type2","Four-Year")+GETPIVOTDATA(" New-2 But Less Than 4-Year",'Pivot Table for 1-11'!$A$3,"SREB Type",3,"SREB Type2","Four-Year")</f>
        <v>675</v>
      </c>
      <c r="C133" s="6">
        <f>+GETPIVOTDATA(" New-Associate's",'Pivot Table for 1-11'!$A$3,"SREB Type",3,"SREB Type2","Four-Year")</f>
        <v>3358</v>
      </c>
      <c r="D133" s="6">
        <f>+GETPIVOTDATA(" New-Bachelor's",'Pivot Table for 1-11'!$A$3,"SREB Type",3,"SREB Type2","Four-Year")</f>
        <v>103551</v>
      </c>
      <c r="E133" s="6">
        <f>+GETPIVOTDATA(" New-Post-Bachelor's",'Pivot Table for 1-11'!$A$3,"SREB Type",3,"SREB Type2","Four-Year")</f>
        <v>350</v>
      </c>
      <c r="F133" s="6">
        <f>+GETPIVOTDATA(" New-Total Master's#",'Pivot Table for 1-11'!$A$3,"SREB Type",3,"SREB Type2","Four-Year")</f>
        <v>34473</v>
      </c>
      <c r="G133" s="6">
        <f>+GETPIVOTDATA(" New-Total Doctorates#",'Pivot Table for 1-11'!$A$3,"SREB Type",3,"SREB Type2","Four-Year")</f>
        <v>1021</v>
      </c>
      <c r="H133" s="17">
        <f>+GETPIVOTDATA(" New-Law",'Pivot Table for 1-11'!$A$3,"SREB Type",3,"SREB Type2","Four-Year")</f>
        <v>810</v>
      </c>
      <c r="I133" s="6">
        <f>+GETPIVOTDATA(" New-Medicine",'Pivot Table for 1-11'!$A$3,"SREB Type",3,"SREB Type2","Four-Year")</f>
        <v>199</v>
      </c>
      <c r="J133" s="6">
        <f>+GETPIVOTDATA(" New-Dentistry",'Pivot Table for 1-11'!$A$3,"SREB Type",3,"SREB Type2","Four-Year")</f>
        <v>0</v>
      </c>
      <c r="K133" s="6">
        <f>+GETPIVOTDATA(" New-Pharmacy",'Pivot Table for 1-11'!$A$3,"SREB Type",3,"SREB Type2","Four-Year")</f>
        <v>420</v>
      </c>
      <c r="L133" s="6">
        <f>+GETPIVOTDATA(" New-Optometry",'Pivot Table for 1-11'!$A$3,"SREB Type",3,"SREB Type2","Four-Year")</f>
        <v>27</v>
      </c>
      <c r="M133" s="6">
        <f>+GETPIVOTDATA(" New-Osteopathic Medicine",'Pivot Table for 1-11'!$A$3,"SREB Type",3,"SREB Type2","Four-Year")</f>
        <v>0</v>
      </c>
      <c r="N133" s="80">
        <f>+GETPIVOTDATA(" New-Veterinary Medicine",'Pivot Table for 1-11'!$A$3,"SREB Type",3,"SREB Type2","Four-Year")</f>
        <v>0</v>
      </c>
      <c r="O133" s="97">
        <f>+GETPIVOTDATA(" New-Oth PP",'Pivot Table for 1-11'!$A$3,"SREB Type",3,"SREB Type2","Four-Year")</f>
        <v>343</v>
      </c>
      <c r="P133" s="81">
        <f>SUM(B133:O133)</f>
        <v>145227</v>
      </c>
      <c r="Q133" s="85"/>
    </row>
    <row r="134" spans="1:24" ht="15" customHeight="1" x14ac:dyDescent="0.2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0"/>
      <c r="O134" s="97"/>
      <c r="P134" s="81"/>
      <c r="Q134" s="85"/>
    </row>
    <row r="135" spans="1:24" ht="15" customHeight="1" x14ac:dyDescent="0.2">
      <c r="A135" s="5" t="s">
        <v>192</v>
      </c>
      <c r="B135" s="6">
        <f>GETPIVOTDATA(" New-Less Than 2-Year",'Pivot Table for 1-11'!$A$3,"State","AL","SREB Type",3,"SREB Type2","Four-Year")+GETPIVOTDATA(" New-2 But Less Than 4-Year",'Pivot Table for 1-11'!$A$3,"State","AL","SREB Type",3,"SREB Type2","Four-Year")</f>
        <v>190</v>
      </c>
      <c r="C135" s="6">
        <f>+GETPIVOTDATA(" New-Associate's",'Pivot Table for 1-11'!$A$3,"State","AL","SREB Type",3,"SREB Type2","Four-Year")</f>
        <v>218</v>
      </c>
      <c r="D135" s="6">
        <f>+GETPIVOTDATA(" New-Bachelor's",'Pivot Table for 1-11'!$A$3,"State","AL","SREB Type",3,"SREB Type2","Four-Year")</f>
        <v>5131</v>
      </c>
      <c r="E135" s="6">
        <f>+GETPIVOTDATA(" New-Post-Bachelor's",'Pivot Table for 1-11'!$A$3,"State","AL","SREB Type",3,"SREB Type2","Four-Year")</f>
        <v>19</v>
      </c>
      <c r="F135" s="6">
        <f>+GETPIVOTDATA(" New-Total Master's#",'Pivot Table for 1-11'!$A$3,"State","AL","SREB Type",3,"SREB Type2","Four-Year")</f>
        <v>2196</v>
      </c>
      <c r="G135" s="6">
        <f>+GETPIVOTDATA(" New-Total Doctorates#",'Pivot Table for 1-11'!$A$3,"State","AL","SREB Type",3,"SREB Type2","Four-Year")</f>
        <v>32</v>
      </c>
      <c r="H135" s="17">
        <f>+GETPIVOTDATA(" New-Law",'Pivot Table for 1-11'!$A$3,"State","AL","SREB Type",3,"SREB Type2","Four-Year")</f>
        <v>0</v>
      </c>
      <c r="I135" s="6">
        <f>+GETPIVOTDATA(" New-Medicine",'Pivot Table for 1-11'!$A$3,"State","AL","SREB Type",3,"SREB Type2","Four-Year")</f>
        <v>78</v>
      </c>
      <c r="J135" s="6">
        <f>+GETPIVOTDATA(" New-Dentistry",'Pivot Table for 1-11'!$A$3,"State","AL","SREB Type",3,"SREB Type2","Four-Year")</f>
        <v>0</v>
      </c>
      <c r="K135" s="6">
        <f>+GETPIVOTDATA(" New-Pharmacy",'Pivot Table for 1-11'!$A$3,"State","AL","SREB Type",3,"SREB Type2","Four-Year")</f>
        <v>0</v>
      </c>
      <c r="L135" s="6">
        <f>+GETPIVOTDATA(" New-Optometry",'Pivot Table for 1-11'!$A$3,"State","AL","SREB Type",3,"SREB Type2","Four-Year")</f>
        <v>0</v>
      </c>
      <c r="M135" s="6">
        <f>+GETPIVOTDATA(" New-Osteopathic Medicine",'Pivot Table for 1-11'!$A$3,"State","AL","SREB Type",3,"SREB Type2","Four-Year")</f>
        <v>0</v>
      </c>
      <c r="N135" s="80">
        <f>+GETPIVOTDATA(" New-Veterinary Medicine",'Pivot Table for 1-11'!$A$3,"State","AL","SREB Type",3,"SREB Type2","Four-Year")</f>
        <v>0</v>
      </c>
      <c r="O135" s="97">
        <f>+GETPIVOTDATA(" New-Oth PP",'Pivot Table for 1-11'!$A$3,"State","AL","SREB Type",3,"SREB Type2","Four-Year")</f>
        <v>66</v>
      </c>
      <c r="P135" s="81">
        <f t="shared" ref="P135:P153" si="7">SUM(B135:O135)</f>
        <v>7930</v>
      </c>
      <c r="Q135" s="85"/>
    </row>
    <row r="136" spans="1:24" ht="15" customHeight="1" x14ac:dyDescent="0.2">
      <c r="A136" s="5" t="s">
        <v>193</v>
      </c>
      <c r="B136" s="6">
        <f>+GETPIVOTDATA(" New-Less Than 2-Year",'Pivot Table for 1-11'!$A$3,"State","AR","SREB Type",3,"SREB Type2","Four-Year")+GETPIVOTDATA(" New-2 But Less Than 4-Year",'Pivot Table for 1-11'!$A$3,"State","AR","SREB Type",3,"SREB Type2","Four-Year")</f>
        <v>391</v>
      </c>
      <c r="C136" s="6">
        <f>+GETPIVOTDATA(" New-Associate's",'Pivot Table for 1-11'!$A$3,"State","AR","SREB Type",3,"SREB Type2","Four-Year")</f>
        <v>990</v>
      </c>
      <c r="D136" s="6">
        <f>+GETPIVOTDATA(" New-Bachelor's",'Pivot Table for 1-11'!$A$3,"State","AR","SREB Type",3,"SREB Type2","Four-Year")</f>
        <v>5616</v>
      </c>
      <c r="E136" s="6">
        <f>+GETPIVOTDATA(" New-Post-Bachelor's",'Pivot Table for 1-11'!$A$3,"State","AR","SREB Type",3,"SREB Type2","Four-Year")</f>
        <v>85</v>
      </c>
      <c r="F136" s="6">
        <f>+GETPIVOTDATA(" New-Total Master's#",'Pivot Table for 1-11'!$A$3,"State","AR","SREB Type",3,"SREB Type2","Four-Year")</f>
        <v>3205</v>
      </c>
      <c r="G136" s="6">
        <f>+GETPIVOTDATA(" New-Total Doctorates#",'Pivot Table for 1-11'!$A$3,"State","AR","SREB Type",3,"SREB Type2","Four-Year")</f>
        <v>61</v>
      </c>
      <c r="H136" s="17">
        <f>+GETPIVOTDATA(" New-Law",'Pivot Table for 1-11'!$A$3,"State","AR","SREB Type",3,"SREB Type2","Four-Year")</f>
        <v>144</v>
      </c>
      <c r="I136" s="6">
        <f>+GETPIVOTDATA(" New-Medicine",'Pivot Table for 1-11'!$A$3,"State","AR","SREB Type",3,"SREB Type2","Four-Year")</f>
        <v>0</v>
      </c>
      <c r="J136" s="6">
        <f>+GETPIVOTDATA(" New-Dentistry",'Pivot Table for 1-11'!$A$3,"State","AR","SREB Type",3,"SREB Type2","Four-Year")</f>
        <v>0</v>
      </c>
      <c r="K136" s="6">
        <f>+GETPIVOTDATA(" New-Pharmacy",'Pivot Table for 1-11'!$A$3,"State","AR","SREB Type",3,"SREB Type2","Four-Year")</f>
        <v>0</v>
      </c>
      <c r="L136" s="6">
        <f>+GETPIVOTDATA(" New-Optometry",'Pivot Table for 1-11'!$A$3,"State","AR","SREB Type",3,"SREB Type2","Four-Year")</f>
        <v>0</v>
      </c>
      <c r="M136" s="6">
        <f>+GETPIVOTDATA(" New-Osteopathic Medicine",'Pivot Table for 1-11'!$A$3,"State","AR","SREB Type",3,"SREB Type2","Four-Year")</f>
        <v>0</v>
      </c>
      <c r="N136" s="80">
        <f>+GETPIVOTDATA(" New-Veterinary Medicine",'Pivot Table for 1-11'!$A$3,"State","AR","SREB Type",3,"SREB Type2","Four-Year")</f>
        <v>0</v>
      </c>
      <c r="O136" s="97">
        <f>+GETPIVOTDATA(" New-Oth PP",'Pivot Table for 1-11'!$A$3,"State","AR","SREB Type",3,"SREB Type2","Four-Year")</f>
        <v>78</v>
      </c>
      <c r="P136" s="81">
        <f t="shared" si="7"/>
        <v>10570</v>
      </c>
      <c r="Q136" s="85"/>
    </row>
    <row r="137" spans="1:24" ht="15" customHeight="1" x14ac:dyDescent="0.2">
      <c r="A137" s="5" t="s">
        <v>194</v>
      </c>
      <c r="B137" s="6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6">
        <f>+GETPIVOTDATA(" New-Associate's",'Pivot Table for 1-11'!$A$3,"State","DE","SREB Type",3,"SREB Type2","Four-Year")</f>
        <v>0</v>
      </c>
      <c r="D137" s="6">
        <f>+GETPIVOTDATA(" New-Bachelor's",'Pivot Table for 1-11'!$A$3,"State","DE","SREB Type",3,"SREB Type2","Four-Year")</f>
        <v>505</v>
      </c>
      <c r="E137" s="6">
        <f>+GETPIVOTDATA(" New-Post-Bachelor's",'Pivot Table for 1-11'!$A$3,"State","DE","SREB Type",3,"SREB Type2","Four-Year")</f>
        <v>0</v>
      </c>
      <c r="F137" s="6">
        <f>+GETPIVOTDATA(" New-Total Master's#",'Pivot Table for 1-11'!$A$3,"State","DE","SREB Type",3,"SREB Type2","Four-Year")</f>
        <v>112</v>
      </c>
      <c r="G137" s="6">
        <f>+GETPIVOTDATA(" New-Total Doctorates#",'Pivot Table for 1-11'!$A$3,"State","DE","SREB Type",3,"SREB Type2","Four-Year")</f>
        <v>15</v>
      </c>
      <c r="H137" s="17">
        <f>+GETPIVOTDATA(" New-Law",'Pivot Table for 1-11'!$A$3,"State","DE","SREB Type",3,"SREB Type2","Four-Year")</f>
        <v>0</v>
      </c>
      <c r="I137" s="6">
        <f>+GETPIVOTDATA(" New-Medicine",'Pivot Table for 1-11'!$A$3,"State","DE","SREB Type",3,"SREB Type2","Four-Year")</f>
        <v>0</v>
      </c>
      <c r="J137" s="6">
        <f>+GETPIVOTDATA(" New-Dentistry",'Pivot Table for 1-11'!$A$3,"State","DE","SREB Type",3,"SREB Type2","Four-Year")</f>
        <v>0</v>
      </c>
      <c r="K137" s="6">
        <f>+GETPIVOTDATA(" New-Pharmacy",'Pivot Table for 1-11'!$A$3,"State","DE","SREB Type",3,"SREB Type2","Four-Year")</f>
        <v>0</v>
      </c>
      <c r="L137" s="6">
        <f>+GETPIVOTDATA(" New-Optometry",'Pivot Table for 1-11'!$A$3,"State","DE","SREB Type",3,"SREB Type2","Four-Year")</f>
        <v>0</v>
      </c>
      <c r="M137" s="6">
        <f>+GETPIVOTDATA(" New-Osteopathic Medicine",'Pivot Table for 1-11'!$A$3,"State","DE","SREB Type",3,"SREB Type2","Four-Year")</f>
        <v>0</v>
      </c>
      <c r="N137" s="80">
        <f>+GETPIVOTDATA(" New-Veterinary Medicine",'Pivot Table for 1-11'!$A$3,"State","DE","SREB Type",3,"SREB Type2","Four-Year")</f>
        <v>0</v>
      </c>
      <c r="O137" s="97">
        <f>+GETPIVOTDATA(" New-Oth PP",'Pivot Table for 1-11'!$A$3,"State","DE","SREB Type",3,"SREB Type2","Four-Year")</f>
        <v>0</v>
      </c>
      <c r="P137" s="81">
        <f t="shared" si="7"/>
        <v>632</v>
      </c>
      <c r="Q137" s="85"/>
    </row>
    <row r="138" spans="1:24" ht="15" customHeight="1" x14ac:dyDescent="0.2">
      <c r="A138" s="5" t="s">
        <v>195</v>
      </c>
      <c r="B138" s="6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6">
        <f>+GETPIVOTDATA(" New-Associate's",'Pivot Table for 1-11'!$A$3,"State","FL","SREB Type",3,"SREB Type2","Four-Year")</f>
        <v>625</v>
      </c>
      <c r="D138" s="6">
        <f>+GETPIVOTDATA(" New-Bachelor's",'Pivot Table for 1-11'!$A$3,"State","FL","SREB Type",3,"SREB Type2","Four-Year")</f>
        <v>6632</v>
      </c>
      <c r="E138" s="6">
        <f>+GETPIVOTDATA(" New-Post-Bachelor's",'Pivot Table for 1-11'!$A$3,"State","FL","SREB Type",3,"SREB Type2","Four-Year")</f>
        <v>0</v>
      </c>
      <c r="F138" s="6">
        <f>+GETPIVOTDATA(" New-Total Master's#",'Pivot Table for 1-11'!$A$3,"State","FL","SREB Type",3,"SREB Type2","Four-Year")</f>
        <v>1320</v>
      </c>
      <c r="G138" s="6">
        <f>+GETPIVOTDATA(" New-Total Doctorates#",'Pivot Table for 1-11'!$A$3,"State","FL","SREB Type",3,"SREB Type2","Four-Year")</f>
        <v>105</v>
      </c>
      <c r="H138" s="17">
        <f>+GETPIVOTDATA(" New-Law",'Pivot Table for 1-11'!$A$3,"State","FL","SREB Type",3,"SREB Type2","Four-Year")</f>
        <v>152</v>
      </c>
      <c r="I138" s="6">
        <f>+GETPIVOTDATA(" New-Medicine",'Pivot Table for 1-11'!$A$3,"State","FL","SREB Type",3,"SREB Type2","Four-Year")</f>
        <v>0</v>
      </c>
      <c r="J138" s="6">
        <f>+GETPIVOTDATA(" New-Dentistry",'Pivot Table for 1-11'!$A$3,"State","FL","SREB Type",3,"SREB Type2","Four-Year")</f>
        <v>0</v>
      </c>
      <c r="K138" s="6">
        <f>+GETPIVOTDATA(" New-Pharmacy",'Pivot Table for 1-11'!$A$3,"State","FL","SREB Type",3,"SREB Type2","Four-Year")</f>
        <v>135</v>
      </c>
      <c r="L138" s="6">
        <f>+GETPIVOTDATA(" New-Optometry",'Pivot Table for 1-11'!$A$3,"State","FL","SREB Type",3,"SREB Type2","Four-Year")</f>
        <v>0</v>
      </c>
      <c r="M138" s="6">
        <f>+GETPIVOTDATA(" New-Osteopathic Medicine",'Pivot Table for 1-11'!$A$3,"State","FL","SREB Type",3,"SREB Type2","Four-Year")</f>
        <v>0</v>
      </c>
      <c r="N138" s="80">
        <f>+GETPIVOTDATA(" New-Veterinary Medicine",'Pivot Table for 1-11'!$A$3,"State","FL","SREB Type",3,"SREB Type2","Four-Year")</f>
        <v>0</v>
      </c>
      <c r="O138" s="97">
        <f>+GETPIVOTDATA(" New-Oth PP",'Pivot Table for 1-11'!$A$3,"State","FL","SREB Type",3,"SREB Type2","Four-Year")</f>
        <v>56</v>
      </c>
      <c r="P138" s="81">
        <f t="shared" si="7"/>
        <v>9025</v>
      </c>
      <c r="Q138" s="85"/>
    </row>
    <row r="139" spans="1:24" ht="15" customHeight="1" x14ac:dyDescent="0.2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0"/>
      <c r="O139" s="97"/>
      <c r="P139" s="81">
        <f t="shared" si="7"/>
        <v>0</v>
      </c>
      <c r="Q139" s="85"/>
    </row>
    <row r="140" spans="1:24" ht="15" customHeight="1" x14ac:dyDescent="0.2">
      <c r="A140" s="5" t="s">
        <v>196</v>
      </c>
      <c r="B140" s="6">
        <f>+GETPIVOTDATA(" New-Less Than 2-Year",'Pivot Table for 1-11'!$A$3,"State","GA","SREB Type",3,"SREB Type2","Four-Year")+GETPIVOTDATA(" New-2 But Less Than 4-Year",'Pivot Table for 1-11'!$A$3,"State","GA","SREB Type",3,"SREB Type2","Four-Year")</f>
        <v>0</v>
      </c>
      <c r="C140" s="6">
        <f>+GETPIVOTDATA(" New-Associate's",'Pivot Table for 1-11'!$A$3,"State","GA","SREB Type",3,"SREB Type2","Four-Year")</f>
        <v>46</v>
      </c>
      <c r="D140" s="6">
        <f>+GETPIVOTDATA(" New-Bachelor's",'Pivot Table for 1-11'!$A$3,"State","GA","SREB Type",3,"SREB Type2","Four-Year")</f>
        <v>6091</v>
      </c>
      <c r="E140" s="6">
        <f>+GETPIVOTDATA(" New-Post-Bachelor's",'Pivot Table for 1-11'!$A$3,"State","GA","SREB Type",3,"SREB Type2","Four-Year")</f>
        <v>1</v>
      </c>
      <c r="F140" s="6">
        <f>+GETPIVOTDATA(" New-Total Master's#",'Pivot Table for 1-11'!$A$3,"State","GA","SREB Type",3,"SREB Type2","Four-Year")</f>
        <v>2181</v>
      </c>
      <c r="G140" s="6">
        <f>+GETPIVOTDATA(" New-Total Doctorates#",'Pivot Table for 1-11'!$A$3,"State","GA","SREB Type",3,"SREB Type2","Four-Year")</f>
        <v>122</v>
      </c>
      <c r="H140" s="17">
        <f>+GETPIVOTDATA(" New-Law",'Pivot Table for 1-11'!$A$3,"State","GA","SREB Type",3,"SREB Type2","Four-Year")</f>
        <v>0</v>
      </c>
      <c r="I140" s="6">
        <f>+GETPIVOTDATA(" New-Medicine",'Pivot Table for 1-11'!$A$3,"State","GA","SREB Type",3,"SREB Type2","Four-Year")</f>
        <v>0</v>
      </c>
      <c r="J140" s="6">
        <f>+GETPIVOTDATA(" New-Dentistry",'Pivot Table for 1-11'!$A$3,"State","GA","SREB Type",3,"SREB Type2","Four-Year")</f>
        <v>0</v>
      </c>
      <c r="K140" s="6">
        <f>+GETPIVOTDATA(" New-Pharmacy",'Pivot Table for 1-11'!$A$3,"State","GA","SREB Type",3,"SREB Type2","Four-Year")</f>
        <v>0</v>
      </c>
      <c r="L140" s="6">
        <f>+GETPIVOTDATA(" New-Optometry",'Pivot Table for 1-11'!$A$3,"State","GA","SREB Type",3,"SREB Type2","Four-Year")</f>
        <v>0</v>
      </c>
      <c r="M140" s="6">
        <f>+GETPIVOTDATA(" New-Osteopathic Medicine",'Pivot Table for 1-11'!$A$3,"State","GA","SREB Type",3,"SREB Type2","Four-Year")</f>
        <v>0</v>
      </c>
      <c r="N140" s="80">
        <f>+GETPIVOTDATA(" New-Veterinary Medicine",'Pivot Table for 1-11'!$A$3,"State","GA","SREB Type",3,"SREB Type2","Four-Year")</f>
        <v>0</v>
      </c>
      <c r="O140" s="97">
        <f>+GETPIVOTDATA(" New-Oth PP",'Pivot Table for 1-11'!$A$3,"State","GA","SREB Type",3,"SREB Type2","Four-Year")</f>
        <v>0</v>
      </c>
      <c r="P140" s="81">
        <f t="shared" si="7"/>
        <v>8441</v>
      </c>
      <c r="Q140" s="85"/>
    </row>
    <row r="141" spans="1:24" ht="15" customHeight="1" x14ac:dyDescent="0.2">
      <c r="A141" s="5" t="s">
        <v>197</v>
      </c>
      <c r="B141" s="6">
        <f>+GETPIVOTDATA(" New-Less Than 2-Year",'Pivot Table for 1-11'!$A$3,"State","KY","SREB Type",3,"SREB Type2","Four-Year")+GETPIVOTDATA(" New-2 But Less Than 4-Year",'Pivot Table for 1-11'!$A$3,"State","KY","SREB Type",3,"SREB Type2","Four-Year")</f>
        <v>94</v>
      </c>
      <c r="C141" s="6">
        <f>+GETPIVOTDATA(" New-Associate's",'Pivot Table for 1-11'!$A$3,"State","KY","SREB Type",3,"SREB Type2","Four-Year")</f>
        <v>624</v>
      </c>
      <c r="D141" s="6">
        <f>+GETPIVOTDATA(" New-Bachelor's",'Pivot Table for 1-11'!$A$3,"State","KY","SREB Type",3,"SREB Type2","Four-Year")</f>
        <v>7561</v>
      </c>
      <c r="E141" s="6">
        <f>+GETPIVOTDATA(" New-Post-Bachelor's",'Pivot Table for 1-11'!$A$3,"State","KY","SREB Type",3,"SREB Type2","Four-Year")</f>
        <v>51</v>
      </c>
      <c r="F141" s="6">
        <f>+GETPIVOTDATA(" New-Total Master's#",'Pivot Table for 1-11'!$A$3,"State","KY","SREB Type",3,"SREB Type2","Four-Year")</f>
        <v>2903</v>
      </c>
      <c r="G141" s="6">
        <f>+GETPIVOTDATA(" New-Total Doctorates#",'Pivot Table for 1-11'!$A$3,"State","KY","SREB Type",3,"SREB Type2","Four-Year")</f>
        <v>0</v>
      </c>
      <c r="H141" s="17">
        <f>+GETPIVOTDATA(" New-Law",'Pivot Table for 1-11'!$A$3,"State","KY","SREB Type",3,"SREB Type2","Four-Year")</f>
        <v>0</v>
      </c>
      <c r="I141" s="6">
        <f>+GETPIVOTDATA(" New-Medicine",'Pivot Table for 1-11'!$A$3,"State","KY","SREB Type",3,"SREB Type2","Four-Year")</f>
        <v>0</v>
      </c>
      <c r="J141" s="6">
        <f>+GETPIVOTDATA(" New-Dentistry",'Pivot Table for 1-11'!$A$3,"State","KY","SREB Type",3,"SREB Type2","Four-Year")</f>
        <v>0</v>
      </c>
      <c r="K141" s="6">
        <f>+GETPIVOTDATA(" New-Pharmacy",'Pivot Table for 1-11'!$A$3,"State","KY","SREB Type",3,"SREB Type2","Four-Year")</f>
        <v>0</v>
      </c>
      <c r="L141" s="6">
        <f>+GETPIVOTDATA(" New-Optometry",'Pivot Table for 1-11'!$A$3,"State","KY","SREB Type",3,"SREB Type2","Four-Year")</f>
        <v>0</v>
      </c>
      <c r="M141" s="6">
        <f>+GETPIVOTDATA(" New-Osteopathic Medicine",'Pivot Table for 1-11'!$A$3,"State","KY","SREB Type",3,"SREB Type2","Four-Year")</f>
        <v>0</v>
      </c>
      <c r="N141" s="80">
        <f>+GETPIVOTDATA(" New-Veterinary Medicine",'Pivot Table for 1-11'!$A$3,"State","KY","SREB Type",3,"SREB Type2","Four-Year")</f>
        <v>0</v>
      </c>
      <c r="O141" s="97">
        <f>+GETPIVOTDATA(" New-Oth PP",'Pivot Table for 1-11'!$A$3,"State","KY","SREB Type",3,"SREB Type2","Four-Year")</f>
        <v>29</v>
      </c>
      <c r="P141" s="81">
        <f t="shared" si="7"/>
        <v>11262</v>
      </c>
      <c r="Q141" s="85"/>
    </row>
    <row r="142" spans="1:24" ht="15" customHeight="1" x14ac:dyDescent="0.2">
      <c r="A142" s="5" t="s">
        <v>198</v>
      </c>
      <c r="B142" s="6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6">
        <f>+GETPIVOTDATA(" New-Associate's",'Pivot Table for 1-11'!$A$3,"State","LA","SREB Type",3,"SREB Type2","Four-Year")</f>
        <v>117</v>
      </c>
      <c r="D142" s="6">
        <f>+GETPIVOTDATA(" New-Bachelor's",'Pivot Table for 1-11'!$A$3,"State","LA","SREB Type",3,"SREB Type2","Four-Year")</f>
        <v>3880</v>
      </c>
      <c r="E142" s="6">
        <f>+GETPIVOTDATA(" New-Post-Bachelor's",'Pivot Table for 1-11'!$A$3,"State","LA","SREB Type",3,"SREB Type2","Four-Year")</f>
        <v>0</v>
      </c>
      <c r="F142" s="6">
        <f>+GETPIVOTDATA(" New-Total Master's#",'Pivot Table for 1-11'!$A$3,"State","LA","SREB Type",3,"SREB Type2","Four-Year")</f>
        <v>951</v>
      </c>
      <c r="G142" s="6">
        <f>+GETPIVOTDATA(" New-Total Doctorates#",'Pivot Table for 1-11'!$A$3,"State","LA","SREB Type",3,"SREB Type2","Four-Year")</f>
        <v>69</v>
      </c>
      <c r="H142" s="17">
        <f>+GETPIVOTDATA(" New-Law",'Pivot Table for 1-11'!$A$3,"State","LA","SREB Type",3,"SREB Type2","Four-Year")</f>
        <v>170</v>
      </c>
      <c r="I142" s="6">
        <f>+GETPIVOTDATA(" New-Medicine",'Pivot Table for 1-11'!$A$3,"State","LA","SREB Type",3,"SREB Type2","Four-Year")</f>
        <v>0</v>
      </c>
      <c r="J142" s="6">
        <f>+GETPIVOTDATA(" New-Dentistry",'Pivot Table for 1-11'!$A$3,"State","LA","SREB Type",3,"SREB Type2","Four-Year")</f>
        <v>0</v>
      </c>
      <c r="K142" s="6">
        <f>+GETPIVOTDATA(" New-Pharmacy",'Pivot Table for 1-11'!$A$3,"State","LA","SREB Type",3,"SREB Type2","Four-Year")</f>
        <v>96</v>
      </c>
      <c r="L142" s="6">
        <f>+GETPIVOTDATA(" New-Optometry",'Pivot Table for 1-11'!$A$3,"State","LA","SREB Type",3,"SREB Type2","Four-Year")</f>
        <v>0</v>
      </c>
      <c r="M142" s="6">
        <f>+GETPIVOTDATA(" New-Osteopathic Medicine",'Pivot Table for 1-11'!$A$3,"State","LA","SREB Type",3,"SREB Type2","Four-Year")</f>
        <v>0</v>
      </c>
      <c r="N142" s="80">
        <f>+GETPIVOTDATA(" New-Veterinary Medicine",'Pivot Table for 1-11'!$A$3,"State","LA","SREB Type",3,"SREB Type2","Four-Year")</f>
        <v>0</v>
      </c>
      <c r="O142" s="97">
        <f>+GETPIVOTDATA(" New-Oth PP",'Pivot Table for 1-11'!$A$3,"State","LA","SREB Type",3,"SREB Type2","Four-Year")</f>
        <v>0</v>
      </c>
      <c r="P142" s="81">
        <f t="shared" si="7"/>
        <v>5283</v>
      </c>
      <c r="Q142" s="85"/>
    </row>
    <row r="143" spans="1:24" ht="15" customHeight="1" x14ac:dyDescent="0.2">
      <c r="A143" s="5" t="s">
        <v>199</v>
      </c>
      <c r="B143" s="6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6">
        <f>+GETPIVOTDATA(" New-Associate's",'Pivot Table for 1-11'!$A$3,"State","MD","SREB Type",3,"SREB Type2","Four-Year")</f>
        <v>0</v>
      </c>
      <c r="D143" s="6">
        <f>+GETPIVOTDATA(" New-Bachelor's",'Pivot Table for 1-11'!$A$3,"State","MD","SREB Type",3,"SREB Type2","Four-Year")</f>
        <v>4103</v>
      </c>
      <c r="E143" s="6">
        <f>+GETPIVOTDATA(" New-Post-Bachelor's",'Pivot Table for 1-11'!$A$3,"State","MD","SREB Type",3,"SREB Type2","Four-Year")</f>
        <v>156</v>
      </c>
      <c r="F143" s="6">
        <f>+GETPIVOTDATA(" New-Total Master's#",'Pivot Table for 1-11'!$A$3,"State","MD","SREB Type",3,"SREB Type2","Four-Year")</f>
        <v>1096</v>
      </c>
      <c r="G143" s="6">
        <f>+GETPIVOTDATA(" New-Total Doctorates#",'Pivot Table for 1-11'!$A$3,"State","MD","SREB Type",3,"SREB Type2","Four-Year")</f>
        <v>12</v>
      </c>
      <c r="H143" s="17">
        <f>+GETPIVOTDATA(" New-Law",'Pivot Table for 1-11'!$A$3,"State","MD","SREB Type",3,"SREB Type2","Four-Year")</f>
        <v>0</v>
      </c>
      <c r="I143" s="6">
        <f>+GETPIVOTDATA(" New-Medicine",'Pivot Table for 1-11'!$A$3,"State","MD","SREB Type",3,"SREB Type2","Four-Year")</f>
        <v>0</v>
      </c>
      <c r="J143" s="6">
        <f>+GETPIVOTDATA(" New-Dentistry",'Pivot Table for 1-11'!$A$3,"State","MD","SREB Type",3,"SREB Type2","Four-Year")</f>
        <v>0</v>
      </c>
      <c r="K143" s="6">
        <f>+GETPIVOTDATA(" New-Pharmacy",'Pivot Table for 1-11'!$A$3,"State","MD","SREB Type",3,"SREB Type2","Four-Year")</f>
        <v>0</v>
      </c>
      <c r="L143" s="6">
        <f>+GETPIVOTDATA(" New-Optometry",'Pivot Table for 1-11'!$A$3,"State","MD","SREB Type",3,"SREB Type2","Four-Year")</f>
        <v>0</v>
      </c>
      <c r="M143" s="6">
        <f>+GETPIVOTDATA(" New-Osteopathic Medicine",'Pivot Table for 1-11'!$A$3,"State","MD","SREB Type",3,"SREB Type2","Four-Year")</f>
        <v>0</v>
      </c>
      <c r="N143" s="80">
        <f>+GETPIVOTDATA(" New-Veterinary Medicine",'Pivot Table for 1-11'!$A$3,"State","MD","SREB Type",3,"SREB Type2","Four-Year")</f>
        <v>0</v>
      </c>
      <c r="O143" s="97">
        <f>+GETPIVOTDATA(" New-Oth PP",'Pivot Table for 1-11'!$A$3,"State","MD","SREB Type",3,"SREB Type2","Four-Year")</f>
        <v>7</v>
      </c>
      <c r="P143" s="81">
        <f t="shared" si="7"/>
        <v>5374</v>
      </c>
      <c r="Q143" s="85"/>
    </row>
    <row r="144" spans="1:24" ht="15" customHeight="1" x14ac:dyDescent="0.2">
      <c r="A144" s="5"/>
      <c r="B144" s="6">
        <f>+GETPIVOTDATA(" New-Less Than 2-Year",'Pivot Table for 1-11'!$A$3,"State","AR","SREB Type",3,"SREB Type2","Four-Year")+GETPIVOTDATA(" New-2 But Less Than 4-Year",'Pivot Table for 1-11'!$A$3,"State","AR","SREB Type",3,"SREB Type2","Four-Year")</f>
        <v>391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0"/>
      <c r="O144" s="97"/>
      <c r="P144" s="81">
        <f t="shared" si="7"/>
        <v>391</v>
      </c>
      <c r="Q144" s="85"/>
    </row>
    <row r="145" spans="1:17" ht="15" customHeight="1" x14ac:dyDescent="0.2">
      <c r="A145" s="5" t="s">
        <v>200</v>
      </c>
      <c r="B145" s="6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6">
        <f>+GETPIVOTDATA(" New-Associate's",'Pivot Table for 1-11'!$A$3,"State","MS","SREB Type",3,"SREB Type2","Four-Year")</f>
        <v>0</v>
      </c>
      <c r="D145" s="6">
        <f>+GETPIVOTDATA(" New-Bachelor's",'Pivot Table for 1-11'!$A$3,"State","MS","SREB Type",3,"SREB Type2","Four-Year")</f>
        <v>0</v>
      </c>
      <c r="E145" s="6">
        <f>+GETPIVOTDATA(" New-Post-Bachelor's",'Pivot Table for 1-11'!$A$3,"State","MS","SREB Type",3,"SREB Type2","Four-Year")</f>
        <v>0</v>
      </c>
      <c r="F145" s="6">
        <f>+GETPIVOTDATA(" New-Total Master's#",'Pivot Table for 1-11'!$A$3,"State","MS","SREB Type",3,"SREB Type2","Four-Year")</f>
        <v>0</v>
      </c>
      <c r="G145" s="6">
        <f>+GETPIVOTDATA(" New-Total Doctorates#",'Pivot Table for 1-11'!$A$3,"State","MS","SREB Type",3,"SREB Type2","Four-Year")</f>
        <v>0</v>
      </c>
      <c r="H145" s="17">
        <f>+GETPIVOTDATA(" New-Law",'Pivot Table for 1-11'!$A$3,"State","MS","SREB Type",3,"SREB Type2","Four-Year")</f>
        <v>0</v>
      </c>
      <c r="I145" s="6">
        <f>+GETPIVOTDATA(" New-Medicine",'Pivot Table for 1-11'!$A$3,"State","MS","SREB Type",3,"SREB Type2","Four-Year")</f>
        <v>0</v>
      </c>
      <c r="J145" s="6">
        <f>+GETPIVOTDATA(" New-Dentistry",'Pivot Table for 1-11'!$A$3,"State","MS","SREB Type",3,"SREB Type2","Four-Year")</f>
        <v>0</v>
      </c>
      <c r="K145" s="6">
        <f>+GETPIVOTDATA(" New-Pharmacy",'Pivot Table for 1-11'!$A$3,"State","MS","SREB Type",3,"SREB Type2","Four-Year")</f>
        <v>0</v>
      </c>
      <c r="L145" s="6">
        <f>+GETPIVOTDATA(" New-Optometry",'Pivot Table for 1-11'!$A$3,"State","MS","SREB Type",3,"SREB Type2","Four-Year")</f>
        <v>0</v>
      </c>
      <c r="M145" s="6">
        <f>+GETPIVOTDATA(" New-Osteopathic Medicine",'Pivot Table for 1-11'!$A$3,"State","MS","SREB Type",3,"SREB Type2","Four-Year")</f>
        <v>0</v>
      </c>
      <c r="N145" s="80">
        <f>+GETPIVOTDATA(" New-Veterinary Medicine",'Pivot Table for 1-11'!$A$3,"State","MS","SREB Type",3,"SREB Type2","Four-Year")</f>
        <v>0</v>
      </c>
      <c r="O145" s="97">
        <f>+GETPIVOTDATA(" New-Oth PP",'Pivot Table for 1-11'!$A$3,"State","MS","SREB Type",3,"SREB Type2","Four-Year")</f>
        <v>0</v>
      </c>
      <c r="P145" s="81">
        <f t="shared" si="7"/>
        <v>0</v>
      </c>
      <c r="Q145" s="85"/>
    </row>
    <row r="146" spans="1:17" ht="15" customHeight="1" x14ac:dyDescent="0.2">
      <c r="A146" s="5" t="s">
        <v>201</v>
      </c>
      <c r="B146" s="6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6">
        <f>+GETPIVOTDATA(" New-Associate's",'Pivot Table for 1-11'!$A$3,"State","NC","SREB Type",3,"SREB Type2","Four-Year")</f>
        <v>0</v>
      </c>
      <c r="D146" s="6">
        <f>+GETPIVOTDATA(" New-Bachelor's",'Pivot Table for 1-11'!$A$3,"State","NC","SREB Type",3,"SREB Type2","Four-Year")</f>
        <v>10129</v>
      </c>
      <c r="E146" s="6">
        <f>+GETPIVOTDATA(" New-Post-Bachelor's",'Pivot Table for 1-11'!$A$3,"State","NC","SREB Type",3,"SREB Type2","Four-Year")</f>
        <v>26</v>
      </c>
      <c r="F146" s="6">
        <f>+GETPIVOTDATA(" New-Total Master's#",'Pivot Table for 1-11'!$A$3,"State","NC","SREB Type",3,"SREB Type2","Four-Year")</f>
        <v>2691</v>
      </c>
      <c r="G146" s="6">
        <f>+GETPIVOTDATA(" New-Total Doctorates#",'Pivot Table for 1-11'!$A$3,"State","NC","SREB Type",3,"SREB Type2","Four-Year")</f>
        <v>62</v>
      </c>
      <c r="H146" s="17">
        <f>+GETPIVOTDATA(" New-Law",'Pivot Table for 1-11'!$A$3,"State","NC","SREB Type",3,"SREB Type2","Four-Year")</f>
        <v>165</v>
      </c>
      <c r="I146" s="6">
        <f>+GETPIVOTDATA(" New-Medicine",'Pivot Table for 1-11'!$A$3,"State","NC","SREB Type",3,"SREB Type2","Four-Year")</f>
        <v>0</v>
      </c>
      <c r="J146" s="6">
        <f>+GETPIVOTDATA(" New-Dentistry",'Pivot Table for 1-11'!$A$3,"State","NC","SREB Type",3,"SREB Type2","Four-Year")</f>
        <v>0</v>
      </c>
      <c r="K146" s="6">
        <f>+GETPIVOTDATA(" New-Pharmacy",'Pivot Table for 1-11'!$A$3,"State","NC","SREB Type",3,"SREB Type2","Four-Year")</f>
        <v>0</v>
      </c>
      <c r="L146" s="6">
        <f>+GETPIVOTDATA(" New-Optometry",'Pivot Table for 1-11'!$A$3,"State","NC","SREB Type",3,"SREB Type2","Four-Year")</f>
        <v>0</v>
      </c>
      <c r="M146" s="6">
        <f>+GETPIVOTDATA(" New-Osteopathic Medicine",'Pivot Table for 1-11'!$A$3,"State","NC","SREB Type",3,"SREB Type2","Four-Year")</f>
        <v>0</v>
      </c>
      <c r="N146" s="80">
        <f>+GETPIVOTDATA(" New-Veterinary Medicine",'Pivot Table for 1-11'!$A$3,"State","NC","SREB Type",3,"SREB Type2","Four-Year")</f>
        <v>0</v>
      </c>
      <c r="O146" s="97">
        <f>+GETPIVOTDATA(" New-Oth PP",'Pivot Table for 1-11'!$A$3,"State","NC","SREB Type",3,"SREB Type2","Four-Year")</f>
        <v>0</v>
      </c>
      <c r="P146" s="81">
        <f t="shared" si="7"/>
        <v>13073</v>
      </c>
      <c r="Q146" s="85"/>
    </row>
    <row r="147" spans="1:17" ht="15" customHeight="1" x14ac:dyDescent="0.2">
      <c r="A147" s="5" t="s">
        <v>202</v>
      </c>
      <c r="B147" s="6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6">
        <f>+GETPIVOTDATA(" New-Associate's",'Pivot Table for 1-11'!$A$3,"State","OK","SREB Type",3,"SREB Type2","Four-Year")</f>
        <v>58</v>
      </c>
      <c r="D147" s="6">
        <f>+GETPIVOTDATA(" New-Bachelor's",'Pivot Table for 1-11'!$A$3,"State","OK","SREB Type",3,"SREB Type2","Four-Year")</f>
        <v>3940</v>
      </c>
      <c r="E147" s="6">
        <f>+GETPIVOTDATA(" New-Post-Bachelor's",'Pivot Table for 1-11'!$A$3,"State","OK","SREB Type",3,"SREB Type2","Four-Year")</f>
        <v>0</v>
      </c>
      <c r="F147" s="6">
        <f>+GETPIVOTDATA(" New-Total Master's#",'Pivot Table for 1-11'!$A$3,"State","OK","SREB Type",3,"SREB Type2","Four-Year")</f>
        <v>887</v>
      </c>
      <c r="G147" s="6">
        <f>+GETPIVOTDATA(" New-Total Doctorates#",'Pivot Table for 1-11'!$A$3,"State","OK","SREB Type",3,"SREB Type2","Four-Year")</f>
        <v>0</v>
      </c>
      <c r="H147" s="17">
        <f>+GETPIVOTDATA(" New-Law",'Pivot Table for 1-11'!$A$3,"State","OK","SREB Type",3,"SREB Type2","Four-Year")</f>
        <v>0</v>
      </c>
      <c r="I147" s="6">
        <f>+GETPIVOTDATA(" New-Medicine",'Pivot Table for 1-11'!$A$3,"State","OK","SREB Type",3,"SREB Type2","Four-Year")</f>
        <v>0</v>
      </c>
      <c r="J147" s="6">
        <f>+GETPIVOTDATA(" New-Dentistry",'Pivot Table for 1-11'!$A$3,"State","OK","SREB Type",3,"SREB Type2","Four-Year")</f>
        <v>0</v>
      </c>
      <c r="K147" s="6">
        <f>+GETPIVOTDATA(" New-Pharmacy",'Pivot Table for 1-11'!$A$3,"State","OK","SREB Type",3,"SREB Type2","Four-Year")</f>
        <v>0</v>
      </c>
      <c r="L147" s="6">
        <f>+GETPIVOTDATA(" New-Optometry",'Pivot Table for 1-11'!$A$3,"State","OK","SREB Type",3,"SREB Type2","Four-Year")</f>
        <v>27</v>
      </c>
      <c r="M147" s="6">
        <f>+GETPIVOTDATA(" New-Osteopathic Medicine",'Pivot Table for 1-11'!$A$3,"State","OK","SREB Type",3,"SREB Type2","Four-Year")</f>
        <v>0</v>
      </c>
      <c r="N147" s="80">
        <f>+GETPIVOTDATA(" New-Veterinary Medicine",'Pivot Table for 1-11'!$A$3,"State","OK","SREB Type",3,"SREB Type2","Four-Year")</f>
        <v>0</v>
      </c>
      <c r="O147" s="97">
        <f>+GETPIVOTDATA(" New-Oth PP",'Pivot Table for 1-11'!$A$3,"State","OK","SREB Type",3,"SREB Type2","Four-Year")</f>
        <v>0</v>
      </c>
      <c r="P147" s="81">
        <f t="shared" si="7"/>
        <v>4912</v>
      </c>
      <c r="Q147" s="85"/>
    </row>
    <row r="148" spans="1:17" ht="15" customHeight="1" x14ac:dyDescent="0.2">
      <c r="A148" s="5" t="s">
        <v>203</v>
      </c>
      <c r="B148" s="6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6">
        <f>+GETPIVOTDATA(" New-Associate's",'Pivot Table for 1-11'!$A$3,"State","SC","SREB Type",3,"SREB Type2","Four-Year")</f>
        <v>0</v>
      </c>
      <c r="D148" s="6">
        <f>+GETPIVOTDATA(" New-Bachelor's",'Pivot Table for 1-11'!$A$3,"State","SC","SREB Type",3,"SREB Type2","Four-Year")</f>
        <v>3083</v>
      </c>
      <c r="E148" s="6">
        <f>+GETPIVOTDATA(" New-Post-Bachelor's",'Pivot Table for 1-11'!$A$3,"State","SC","SREB Type",3,"SREB Type2","Four-Year")</f>
        <v>12</v>
      </c>
      <c r="F148" s="6">
        <f>+GETPIVOTDATA(" New-Total Master's#",'Pivot Table for 1-11'!$A$3,"State","SC","SREB Type",3,"SREB Type2","Four-Year")</f>
        <v>607</v>
      </c>
      <c r="G148" s="6">
        <f>+GETPIVOTDATA(" New-Total Doctorates#",'Pivot Table for 1-11'!$A$3,"State","SC","SREB Type",3,"SREB Type2","Four-Year")</f>
        <v>0</v>
      </c>
      <c r="H148" s="17">
        <f>+GETPIVOTDATA(" New-Law",'Pivot Table for 1-11'!$A$3,"State","SC","SREB Type",3,"SREB Type2","Four-Year")</f>
        <v>0</v>
      </c>
      <c r="I148" s="6">
        <f>+GETPIVOTDATA(" New-Medicine",'Pivot Table for 1-11'!$A$3,"State","SC","SREB Type",3,"SREB Type2","Four-Year")</f>
        <v>0</v>
      </c>
      <c r="J148" s="6">
        <f>+GETPIVOTDATA(" New-Dentistry",'Pivot Table for 1-11'!$A$3,"State","SC","SREB Type",3,"SREB Type2","Four-Year")</f>
        <v>0</v>
      </c>
      <c r="K148" s="6">
        <f>+GETPIVOTDATA(" New-Pharmacy",'Pivot Table for 1-11'!$A$3,"State","SC","SREB Type",3,"SREB Type2","Four-Year")</f>
        <v>0</v>
      </c>
      <c r="L148" s="6">
        <f>+GETPIVOTDATA(" New-Optometry",'Pivot Table for 1-11'!$A$3,"State","SC","SREB Type",3,"SREB Type2","Four-Year")</f>
        <v>0</v>
      </c>
      <c r="M148" s="6">
        <f>+GETPIVOTDATA(" New-Osteopathic Medicine",'Pivot Table for 1-11'!$A$3,"State","SC","SREB Type",3,"SREB Type2","Four-Year")</f>
        <v>0</v>
      </c>
      <c r="N148" s="80">
        <f>+GETPIVOTDATA(" New-Veterinary Medicine",'Pivot Table for 1-11'!$A$3,"State","SC","SREB Type",3,"SREB Type2","Four-Year")</f>
        <v>0</v>
      </c>
      <c r="O148" s="97">
        <f>+GETPIVOTDATA(" New-Oth PP",'Pivot Table for 1-11'!$A$3,"State","SC","SREB Type",3,"SREB Type2","Four-Year")</f>
        <v>0</v>
      </c>
      <c r="P148" s="81">
        <f t="shared" si="7"/>
        <v>3702</v>
      </c>
      <c r="Q148" s="85"/>
    </row>
    <row r="149" spans="1:17" ht="15" customHeight="1" x14ac:dyDescent="0.2">
      <c r="A149" s="5"/>
      <c r="B149" s="6">
        <f>+GETPIVOTDATA(" New-Less Than 2-Year",'Pivot Table for 1-11'!$A$3,"State","AR","SREB Type",3,"SREB Type2","Four-Year")+GETPIVOTDATA(" New-2 But Less Than 4-Year",'Pivot Table for 1-11'!$A$3,"State","AR","SREB Type",3,"SREB Type2","Four-Year")</f>
        <v>391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0"/>
      <c r="O149" s="97"/>
      <c r="P149" s="81"/>
      <c r="Q149" s="85"/>
    </row>
    <row r="150" spans="1:17" ht="15" customHeight="1" x14ac:dyDescent="0.2">
      <c r="A150" s="5" t="s">
        <v>204</v>
      </c>
      <c r="B150" s="6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6">
        <f>+GETPIVOTDATA(" New-Associate's",'Pivot Table for 1-11'!$A$3,"State","TN","SREB Type",3,"SREB Type2","Four-Year")</f>
        <v>241</v>
      </c>
      <c r="D150" s="6">
        <f>+GETPIVOTDATA(" New-Bachelor's",'Pivot Table for 1-11'!$A$3,"State","TN","SREB Type",3,"SREB Type2","Four-Year")</f>
        <v>10579</v>
      </c>
      <c r="E150" s="6">
        <f>+GETPIVOTDATA(" New-Post-Bachelor's",'Pivot Table for 1-11'!$A$3,"State","TN","SREB Type",3,"SREB Type2","Four-Year")</f>
        <v>0</v>
      </c>
      <c r="F150" s="6">
        <f>+GETPIVOTDATA(" New-Total Master's#",'Pivot Table for 1-11'!$A$3,"State","TN","SREB Type",3,"SREB Type2","Four-Year")</f>
        <v>2794</v>
      </c>
      <c r="G150" s="6">
        <f>+GETPIVOTDATA(" New-Total Doctorates#",'Pivot Table for 1-11'!$A$3,"State","TN","SREB Type",3,"SREB Type2","Four-Year")</f>
        <v>175</v>
      </c>
      <c r="H150" s="17">
        <f>+GETPIVOTDATA(" New-Law",'Pivot Table for 1-11'!$A$3,"State","TN","SREB Type",3,"SREB Type2","Four-Year")</f>
        <v>0</v>
      </c>
      <c r="I150" s="6">
        <f>+GETPIVOTDATA(" New-Medicine",'Pivot Table for 1-11'!$A$3,"State","TN","SREB Type",3,"SREB Type2","Four-Year")</f>
        <v>58</v>
      </c>
      <c r="J150" s="6">
        <f>+GETPIVOTDATA(" New-Dentistry",'Pivot Table for 1-11'!$A$3,"State","TN","SREB Type",3,"SREB Type2","Four-Year")</f>
        <v>0</v>
      </c>
      <c r="K150" s="6">
        <f>+GETPIVOTDATA(" New-Pharmacy",'Pivot Table for 1-11'!$A$3,"State","TN","SREB Type",3,"SREB Type2","Four-Year")</f>
        <v>77</v>
      </c>
      <c r="L150" s="6">
        <f>+GETPIVOTDATA(" New-Optometry",'Pivot Table for 1-11'!$A$3,"State","TN","SREB Type",3,"SREB Type2","Four-Year")</f>
        <v>0</v>
      </c>
      <c r="M150" s="6">
        <f>+GETPIVOTDATA(" New-Osteopathic Medicine",'Pivot Table for 1-11'!$A$3,"State","TN","SREB Type",3,"SREB Type2","Four-Year")</f>
        <v>0</v>
      </c>
      <c r="N150" s="80">
        <f>+GETPIVOTDATA(" New-Veterinary Medicine",'Pivot Table for 1-11'!$A$3,"State","TN","SREB Type",3,"SREB Type2","Four-Year")</f>
        <v>0</v>
      </c>
      <c r="O150" s="97">
        <f>+GETPIVOTDATA(" New-Oth PP",'Pivot Table for 1-11'!$A$3,"State","TN","SREB Type",3,"SREB Type2","Four-Year")</f>
        <v>0</v>
      </c>
      <c r="P150" s="81">
        <f t="shared" si="7"/>
        <v>13924</v>
      </c>
      <c r="Q150" s="85"/>
    </row>
    <row r="151" spans="1:17" ht="15" customHeight="1" x14ac:dyDescent="0.2">
      <c r="A151" s="5" t="s">
        <v>205</v>
      </c>
      <c r="B151" s="6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6">
        <f>+GETPIVOTDATA(" New-Associate's",'Pivot Table for 1-11'!$A$3,"State","TX","SREB Type",3,"SREB Type2","Four-Year")</f>
        <v>251</v>
      </c>
      <c r="D151" s="6">
        <f>+GETPIVOTDATA(" New-Bachelor's",'Pivot Table for 1-11'!$A$3,"State","TX","SREB Type",3,"SREB Type2","Four-Year")</f>
        <v>29845</v>
      </c>
      <c r="E151" s="6">
        <f>+GETPIVOTDATA(" New-Post-Bachelor's",'Pivot Table for 1-11'!$A$3,"State","TX","SREB Type",3,"SREB Type2","Four-Year")</f>
        <v>0</v>
      </c>
      <c r="F151" s="6">
        <f>+GETPIVOTDATA(" New-Total Master's#",'Pivot Table for 1-11'!$A$3,"State","TX","SREB Type",3,"SREB Type2","Four-Year")</f>
        <v>11606</v>
      </c>
      <c r="G151" s="6">
        <f>+GETPIVOTDATA(" New-Total Doctorates#",'Pivot Table for 1-11'!$A$3,"State","TX","SREB Type",3,"SREB Type2","Four-Year")</f>
        <v>334</v>
      </c>
      <c r="H151" s="17">
        <f>+GETPIVOTDATA(" New-Law",'Pivot Table for 1-11'!$A$3,"State","TX","SREB Type",3,"SREB Type2","Four-Year")</f>
        <v>179</v>
      </c>
      <c r="I151" s="6">
        <f>+GETPIVOTDATA(" New-Medicine",'Pivot Table for 1-11'!$A$3,"State","TX","SREB Type",3,"SREB Type2","Four-Year")</f>
        <v>0</v>
      </c>
      <c r="J151" s="6">
        <f>+GETPIVOTDATA(" New-Dentistry",'Pivot Table for 1-11'!$A$3,"State","TX","SREB Type",3,"SREB Type2","Four-Year")</f>
        <v>0</v>
      </c>
      <c r="K151" s="6">
        <f>+GETPIVOTDATA(" New-Pharmacy",'Pivot Table for 1-11'!$A$3,"State","TX","SREB Type",3,"SREB Type2","Four-Year")</f>
        <v>112</v>
      </c>
      <c r="L151" s="6">
        <f>+GETPIVOTDATA(" New-Optometry",'Pivot Table for 1-11'!$A$3,"State","TX","SREB Type",3,"SREB Type2","Four-Year")</f>
        <v>0</v>
      </c>
      <c r="M151" s="6">
        <f>+GETPIVOTDATA(" New-Osteopathic Medicine",'Pivot Table for 1-11'!$A$3,"State","TX","SREB Type",3,"SREB Type2","Four-Year")</f>
        <v>0</v>
      </c>
      <c r="N151" s="80">
        <f>+GETPIVOTDATA(" New-Veterinary Medicine",'Pivot Table for 1-11'!$A$3,"State","TX","SREB Type",3,"SREB Type2","Four-Year")</f>
        <v>0</v>
      </c>
      <c r="O151" s="97">
        <f>+GETPIVOTDATA(" New-Oth PP",'Pivot Table for 1-11'!$A$3,"State","TX","SREB Type",3,"SREB Type2","Four-Year")</f>
        <v>68</v>
      </c>
      <c r="P151" s="81">
        <f t="shared" si="7"/>
        <v>42395</v>
      </c>
      <c r="Q151" s="85"/>
    </row>
    <row r="152" spans="1:17" ht="15" customHeight="1" x14ac:dyDescent="0.2">
      <c r="A152" s="5" t="s">
        <v>206</v>
      </c>
      <c r="B152" s="6">
        <f>+GETPIVOTDATA(" New-Less Than 2-Year",'Pivot Table for 1-11'!$A$3,"State","VA","SREB Type",3,"SREB Type2","Four-Year")+GETPIVOTDATA(" New-2 But Less Than 4-Year",'Pivot Table for 1-11'!$A$3,"State","VA","SREB Type",3,"SREB Type2","Four-Year")</f>
        <v>0</v>
      </c>
      <c r="C152" s="6">
        <f>+GETPIVOTDATA(" New-Associate's",'Pivot Table for 1-11'!$A$3,"State","VA","SREB Type",3,"SREB Type2","Four-Year")</f>
        <v>77</v>
      </c>
      <c r="D152" s="6">
        <f>+GETPIVOTDATA(" New-Bachelor's",'Pivot Table for 1-11'!$A$3,"State","VA","SREB Type",3,"SREB Type2","Four-Year")</f>
        <v>4909</v>
      </c>
      <c r="E152" s="6">
        <f>+GETPIVOTDATA(" New-Post-Bachelor's",'Pivot Table for 1-11'!$A$3,"State","VA","SREB Type",3,"SREB Type2","Four-Year")</f>
        <v>0</v>
      </c>
      <c r="F152" s="6">
        <f>+GETPIVOTDATA(" New-Total Master's#",'Pivot Table for 1-11'!$A$3,"State","VA","SREB Type",3,"SREB Type2","Four-Year")</f>
        <v>1060</v>
      </c>
      <c r="G152" s="6">
        <f>+GETPIVOTDATA(" New-Total Doctorates#",'Pivot Table for 1-11'!$A$3,"State","VA","SREB Type",3,"SREB Type2","Four-Year")</f>
        <v>18</v>
      </c>
      <c r="H152" s="17">
        <f>+GETPIVOTDATA(" New-Law",'Pivot Table for 1-11'!$A$3,"State","VA","SREB Type",3,"SREB Type2","Four-Year")</f>
        <v>0</v>
      </c>
      <c r="I152" s="6">
        <f>+GETPIVOTDATA(" New-Medicine",'Pivot Table for 1-11'!$A$3,"State","VA","SREB Type",3,"SREB Type2","Four-Year")</f>
        <v>0</v>
      </c>
      <c r="J152" s="6">
        <f>+GETPIVOTDATA(" New-Dentistry",'Pivot Table for 1-11'!$A$3,"State","VA","SREB Type",3,"SREB Type2","Four-Year")</f>
        <v>0</v>
      </c>
      <c r="K152" s="6">
        <f>+GETPIVOTDATA(" New-Pharmacy",'Pivot Table for 1-11'!$A$3,"State","VA","SREB Type",3,"SREB Type2","Four-Year")</f>
        <v>0</v>
      </c>
      <c r="L152" s="6">
        <f>+GETPIVOTDATA(" New-Optometry",'Pivot Table for 1-11'!$A$3,"State","VA","SREB Type",3,"SREB Type2","Four-Year")</f>
        <v>0</v>
      </c>
      <c r="M152" s="6">
        <f>+GETPIVOTDATA(" New-Osteopathic Medicine",'Pivot Table for 1-11'!$A$3,"State","VA","SREB Type",3,"SREB Type2","Four-Year")</f>
        <v>0</v>
      </c>
      <c r="N152" s="80">
        <f>+GETPIVOTDATA(" New-Veterinary Medicine",'Pivot Table for 1-11'!$A$3,"State","VA","SREB Type",3,"SREB Type2","Four-Year")</f>
        <v>0</v>
      </c>
      <c r="O152" s="97">
        <f>+GETPIVOTDATA(" New-Oth PP",'Pivot Table for 1-11'!$A$3,"State","VA","SREB Type",3,"SREB Type2","Four-Year")</f>
        <v>0</v>
      </c>
      <c r="P152" s="81">
        <f t="shared" si="7"/>
        <v>6064</v>
      </c>
      <c r="Q152" s="85"/>
    </row>
    <row r="153" spans="1:17" ht="15" customHeight="1" x14ac:dyDescent="0.2">
      <c r="A153" s="7" t="s">
        <v>207</v>
      </c>
      <c r="B153" s="8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8">
        <f>+GETPIVOTDATA(" New-Associate's",'Pivot Table for 1-11'!$A$3,"State","WV","SREB Type",3,"SREB Type2","Four-Year")</f>
        <v>111</v>
      </c>
      <c r="D153" s="8">
        <f>+GETPIVOTDATA(" New-Bachelor's",'Pivot Table for 1-11'!$A$3,"State","WV","SREB Type",3,"SREB Type2","Four-Year")</f>
        <v>1547</v>
      </c>
      <c r="E153" s="8">
        <f>+GETPIVOTDATA(" New-Post-Bachelor's",'Pivot Table for 1-11'!$A$3,"State","WV","SREB Type",3,"SREB Type2","Four-Year")</f>
        <v>0</v>
      </c>
      <c r="F153" s="8">
        <f>+GETPIVOTDATA(" New-Total Master's#",'Pivot Table for 1-11'!$A$3,"State","WV","SREB Type",3,"SREB Type2","Four-Year")</f>
        <v>864</v>
      </c>
      <c r="G153" s="8">
        <f>+GETPIVOTDATA(" New-Total Doctorates#",'Pivot Table for 1-11'!$A$3,"State","WV","SREB Type",3,"SREB Type2","Four-Year")</f>
        <v>16</v>
      </c>
      <c r="H153" s="18">
        <f>+GETPIVOTDATA(" New-Law",'Pivot Table for 1-11'!$A$3,"State","WV","SREB Type",3,"SREB Type2","Four-Year")</f>
        <v>0</v>
      </c>
      <c r="I153" s="8">
        <f>+GETPIVOTDATA(" New-Medicine",'Pivot Table for 1-11'!$A$3,"State","WV","SREB Type",3,"SREB Type2","Four-Year")</f>
        <v>63</v>
      </c>
      <c r="J153" s="8">
        <f>+GETPIVOTDATA(" New-Dentistry",'Pivot Table for 1-11'!$A$3,"State","WV","SREB Type",3,"SREB Type2","Four-Year")</f>
        <v>0</v>
      </c>
      <c r="K153" s="8">
        <f>+GETPIVOTDATA(" New-Pharmacy",'Pivot Table for 1-11'!$A$3,"State","WV","SREB Type",3,"SREB Type2","Four-Year")</f>
        <v>0</v>
      </c>
      <c r="L153" s="8">
        <f>+GETPIVOTDATA(" New-Optometry",'Pivot Table for 1-11'!$A$3,"State","WV","SREB Type",3,"SREB Type2","Four-Year")</f>
        <v>0</v>
      </c>
      <c r="M153" s="8">
        <f>+GETPIVOTDATA(" New-Osteopathic Medicine",'Pivot Table for 1-11'!$A$3,"State","WV","SREB Type",3,"SREB Type2","Four-Year")</f>
        <v>0</v>
      </c>
      <c r="N153" s="88">
        <f>+GETPIVOTDATA(" New-Veterinary Medicine",'Pivot Table for 1-11'!$A$3,"State","WV","SREB Type",3,"SREB Type2","Four-Year")</f>
        <v>0</v>
      </c>
      <c r="O153" s="98">
        <f>+GETPIVOTDATA(" New-Oth PP",'Pivot Table for 1-11'!$A$3,"State","WV","SREB Type",3,"SREB Type2","Four-Year")</f>
        <v>39</v>
      </c>
      <c r="P153" s="82">
        <f t="shared" si="7"/>
        <v>2640</v>
      </c>
      <c r="Q153" s="85"/>
    </row>
    <row r="154" spans="1:17" x14ac:dyDescent="0.2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0"/>
      <c r="O154" s="80"/>
      <c r="P154" s="80"/>
      <c r="Q154" s="85"/>
    </row>
    <row r="155" spans="1:17" ht="27.75" customHeight="1" x14ac:dyDescent="0.2">
      <c r="A155" s="856" t="s">
        <v>409</v>
      </c>
      <c r="B155" s="857"/>
      <c r="C155" s="857"/>
      <c r="D155" s="857"/>
      <c r="E155" s="857"/>
      <c r="F155" s="857"/>
      <c r="G155" s="857"/>
      <c r="H155" s="857"/>
      <c r="I155" s="857"/>
      <c r="J155" s="857"/>
      <c r="K155" s="857"/>
      <c r="L155" s="857"/>
      <c r="M155" s="857"/>
      <c r="N155" s="857"/>
      <c r="O155" s="857"/>
      <c r="P155" s="857"/>
      <c r="Q155" s="166"/>
    </row>
    <row r="156" spans="1:17" ht="13.5" customHeight="1" x14ac:dyDescent="0.2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0"/>
      <c r="O156" s="80"/>
      <c r="P156" s="83" t="s">
        <v>1293</v>
      </c>
      <c r="Q156" s="167"/>
    </row>
    <row r="157" spans="1:17" ht="18" x14ac:dyDescent="0.25">
      <c r="A157" s="22" t="s">
        <v>212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8"/>
      <c r="O157" s="58"/>
      <c r="P157" s="58"/>
      <c r="Q157" s="154" t="s">
        <v>216</v>
      </c>
    </row>
    <row r="158" spans="1:17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7"/>
      <c r="O158" s="57"/>
      <c r="P158" s="57"/>
      <c r="Q158" s="163"/>
    </row>
    <row r="159" spans="1:17" ht="15.75" x14ac:dyDescent="0.25">
      <c r="A159" s="1" t="s">
        <v>181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8"/>
      <c r="O159" s="58"/>
      <c r="P159" s="58"/>
      <c r="Q159" s="154" t="s">
        <v>216</v>
      </c>
    </row>
    <row r="160" spans="1:17" ht="15.75" x14ac:dyDescent="0.25">
      <c r="A160" s="1" t="s">
        <v>1286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8"/>
      <c r="O160" s="58"/>
      <c r="P160" s="58"/>
      <c r="Q160" s="154" t="s">
        <v>216</v>
      </c>
    </row>
    <row r="161" spans="1:24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59"/>
      <c r="O161" s="59"/>
      <c r="P161" s="59"/>
      <c r="Q161" s="169"/>
    </row>
    <row r="162" spans="1:24" ht="15.75" x14ac:dyDescent="0.25">
      <c r="A162" s="91"/>
      <c r="B162" s="91"/>
      <c r="C162" s="91"/>
      <c r="D162" s="91"/>
      <c r="E162" s="91"/>
      <c r="F162" s="91"/>
      <c r="G162" s="91"/>
      <c r="H162" s="95" t="s">
        <v>410</v>
      </c>
      <c r="I162" s="26"/>
      <c r="J162" s="26"/>
      <c r="K162" s="26"/>
      <c r="L162" s="26"/>
      <c r="M162" s="26"/>
      <c r="N162" s="92"/>
      <c r="O162" s="99"/>
      <c r="P162" s="94" t="s">
        <v>216</v>
      </c>
      <c r="Q162" s="169"/>
      <c r="R162" s="149"/>
      <c r="S162" s="149"/>
      <c r="X162" s="149"/>
    </row>
    <row r="163" spans="1:24" ht="42" customHeight="1" x14ac:dyDescent="0.2">
      <c r="A163" s="14"/>
      <c r="B163" s="15" t="s">
        <v>244</v>
      </c>
      <c r="C163" s="15" t="s">
        <v>182</v>
      </c>
      <c r="D163" s="15" t="s">
        <v>175</v>
      </c>
      <c r="E163" s="15" t="s">
        <v>176</v>
      </c>
      <c r="F163" s="15" t="s">
        <v>183</v>
      </c>
      <c r="G163" s="15" t="s">
        <v>184</v>
      </c>
      <c r="H163" s="16" t="s">
        <v>185</v>
      </c>
      <c r="I163" s="15" t="s">
        <v>186</v>
      </c>
      <c r="J163" s="15" t="s">
        <v>187</v>
      </c>
      <c r="K163" s="15" t="s">
        <v>179</v>
      </c>
      <c r="L163" s="15" t="s">
        <v>188</v>
      </c>
      <c r="M163" s="15" t="s">
        <v>189</v>
      </c>
      <c r="N163" s="90" t="s">
        <v>263</v>
      </c>
      <c r="O163" s="96" t="s">
        <v>238</v>
      </c>
      <c r="P163" s="90" t="s">
        <v>190</v>
      </c>
      <c r="Q163" s="170"/>
    </row>
    <row r="164" spans="1:24" ht="15" customHeight="1" x14ac:dyDescent="0.2">
      <c r="A164" s="5" t="s">
        <v>191</v>
      </c>
      <c r="B164" s="6">
        <f>+GETPIVOTDATA(" New-Less Than 2-Year",'Pivot Table for 1-11'!$A$3,"SREB Type",4,"SREB Type2","Four-Year")+GETPIVOTDATA(" New-2 But Less Than 4-Year",'Pivot Table for 1-11'!$A$3,"SREB Type",4,"SREB Type2","Four-Year")</f>
        <v>251</v>
      </c>
      <c r="C164" s="6">
        <f>+GETPIVOTDATA(" New-Associate's",'Pivot Table for 1-11'!$A$3,"SREB Type",4,"SREB Type2","Four-Year")</f>
        <v>2111</v>
      </c>
      <c r="D164" s="6">
        <f>+GETPIVOTDATA(" New-Bachelor's",'Pivot Table for 1-11'!$A$3,"SREB Type",4,"SREB Type2","Four-Year")</f>
        <v>33167</v>
      </c>
      <c r="E164" s="6">
        <f>+GETPIVOTDATA(" New-Post-Bachelor's",'Pivot Table for 1-11'!$A$3,"SREB Type",4,"SREB Type2","Four-Year")</f>
        <v>533</v>
      </c>
      <c r="F164" s="6">
        <f>+GETPIVOTDATA(" New-Total Master's#",'Pivot Table for 1-11'!$A$3,"SREB Type",4,"SREB Type2","Four-Year")</f>
        <v>9962</v>
      </c>
      <c r="G164" s="6">
        <f>+GETPIVOTDATA(" New-Total Doctorates#",'Pivot Table for 1-11'!$A$3,"SREB Type",4,"SREB Type2","Four-Year")</f>
        <v>158</v>
      </c>
      <c r="H164" s="17">
        <f>+GETPIVOTDATA(" New-Law",'Pivot Table for 1-11'!$A$3,"SREB Type",4,"SREB Type2","Four-Year")</f>
        <v>497</v>
      </c>
      <c r="I164" s="6">
        <f>+GETPIVOTDATA(" New-Medicine",'Pivot Table for 1-11'!$A$3,"SREB Type",4,"SREB Type2","Four-Year")</f>
        <v>0</v>
      </c>
      <c r="J164" s="6">
        <f>+GETPIVOTDATA(" New-Dentistry",'Pivot Table for 1-11'!$A$3,"SREB Type",4,"SREB Type2","Four-Year")</f>
        <v>0</v>
      </c>
      <c r="K164" s="6">
        <f>+GETPIVOTDATA(" New-Pharmacy",'Pivot Table for 1-11'!$A$3,"SREB Type",4,"SREB Type2","Four-Year")</f>
        <v>0</v>
      </c>
      <c r="L164" s="6">
        <f>+GETPIVOTDATA(" New-Optometry",'Pivot Table for 1-11'!$A$3,"SREB Type",4,"SREB Type2","Four-Year")</f>
        <v>0</v>
      </c>
      <c r="M164" s="6">
        <f>+GETPIVOTDATA(" New-Osteopathic Medicine",'Pivot Table for 1-11'!$A$3,"SREB Type",4,"SREB Type2","Four-Year")</f>
        <v>0</v>
      </c>
      <c r="N164" s="80">
        <f>+GETPIVOTDATA(" New-Veterinary Medicine",'Pivot Table for 1-11'!$A$3,"SREB Type",4,"SREB Type2","Four-Year")</f>
        <v>0</v>
      </c>
      <c r="O164" s="97">
        <f>+GETPIVOTDATA(" New-Oth PP",'Pivot Table for 1-11'!$A$3,"SREB Type",4,"SREB Type2","Four-Year")</f>
        <v>102</v>
      </c>
      <c r="P164" s="81">
        <f>SUM(B164:O164)</f>
        <v>46781</v>
      </c>
      <c r="Q164" s="85"/>
    </row>
    <row r="165" spans="1:24" ht="15" customHeight="1" x14ac:dyDescent="0.2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0"/>
      <c r="O165" s="97"/>
      <c r="P165" s="81"/>
      <c r="Q165" s="85"/>
    </row>
    <row r="166" spans="1:24" ht="15" customHeight="1" x14ac:dyDescent="0.2">
      <c r="A166" s="5" t="s">
        <v>192</v>
      </c>
      <c r="B166" s="6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6">
        <f>+GETPIVOTDATA(" New-Associate's",'Pivot Table for 1-11'!$A$3,"State","AL","SREB Type",4,"SREB Type2","Four-Year")</f>
        <v>0</v>
      </c>
      <c r="D166" s="6">
        <f>+GETPIVOTDATA(" New-Bachelor's",'Pivot Table for 1-11'!$A$3,"State","AL","SREB Type",4,"SREB Type2","Four-Year")</f>
        <v>2030</v>
      </c>
      <c r="E166" s="6">
        <f>+GETPIVOTDATA(" New-Post-Bachelor's",'Pivot Table for 1-11'!$A$3,"State","AL","SREB Type",4,"SREB Type2","Four-Year")</f>
        <v>0</v>
      </c>
      <c r="F166" s="6">
        <f>+GETPIVOTDATA(" New-Total Master's#",'Pivot Table for 1-11'!$A$3,"State","AL","SREB Type",4,"SREB Type2","Four-Year")</f>
        <v>904</v>
      </c>
      <c r="G166" s="6">
        <f>+GETPIVOTDATA(" New-Total Doctorates#",'Pivot Table for 1-11'!$A$3,"State","AL","SREB Type",4,"SREB Type2","Four-Year")</f>
        <v>0</v>
      </c>
      <c r="H166" s="17">
        <f>+GETPIVOTDATA(" New-Law",'Pivot Table for 1-11'!$A$3,"State","AL","SREB Type",4,"SREB Type2","Four-Year")</f>
        <v>0</v>
      </c>
      <c r="I166" s="6">
        <f>+GETPIVOTDATA(" New-Medicine",'Pivot Table for 1-11'!$A$3,"State","AL","SREB Type",4,"SREB Type2","Four-Year")</f>
        <v>0</v>
      </c>
      <c r="J166" s="6">
        <f>+GETPIVOTDATA(" New-Dentistry",'Pivot Table for 1-11'!$A$3,"State","AL","SREB Type",4,"SREB Type2","Four-Year")</f>
        <v>0</v>
      </c>
      <c r="K166" s="6">
        <f>+GETPIVOTDATA(" New-Pharmacy",'Pivot Table for 1-11'!$A$3,"State","AL","SREB Type",4,"SREB Type2","Four-Year")</f>
        <v>0</v>
      </c>
      <c r="L166" s="6">
        <f>+GETPIVOTDATA(" New-Optometry",'Pivot Table for 1-11'!$A$3,"State","AL","SREB Type",4,"SREB Type2","Four-Year")</f>
        <v>0</v>
      </c>
      <c r="M166" s="6">
        <f>+GETPIVOTDATA(" New-Osteopathic Medicine",'Pivot Table for 1-11'!$A$3,"State","AL","SREB Type",4,"SREB Type2","Four-Year")</f>
        <v>0</v>
      </c>
      <c r="N166" s="80">
        <f>+GETPIVOTDATA(" New-Veterinary Medicine",'Pivot Table for 1-11'!$A$3,"State","AL","SREB Type",4,"SREB Type2","Four-Year")</f>
        <v>0</v>
      </c>
      <c r="O166" s="97">
        <f>+GETPIVOTDATA(" New-Oth PP",'Pivot Table for 1-11'!$A$3,"State","AL","SREB Type",4,"SREB Type2","Four-Year")</f>
        <v>43</v>
      </c>
      <c r="P166" s="81">
        <f t="shared" ref="P166:P184" si="8">SUM(B166:O166)</f>
        <v>2977</v>
      </c>
      <c r="Q166" s="85"/>
    </row>
    <row r="167" spans="1:24" ht="15" customHeight="1" x14ac:dyDescent="0.2">
      <c r="A167" s="5" t="s">
        <v>193</v>
      </c>
      <c r="B167" s="6">
        <f>+GETPIVOTDATA(" New-Less Than 2-Year",'Pivot Table for 1-11'!$A$3,"State","AR","SREB Type",4,"SREB Type2","Four-Year")+GETPIVOTDATA(" New-2 But Less Than 4-Year",'Pivot Table for 1-11'!$A$3,"State","AR","SREB Type",4,"SREB Type2","Four-Year")</f>
        <v>8</v>
      </c>
      <c r="C167" s="6">
        <f>+GETPIVOTDATA(" New-Associate's",'Pivot Table for 1-11'!$A$3,"State","AR","SREB Type",4,"SREB Type2","Four-Year")</f>
        <v>144</v>
      </c>
      <c r="D167" s="6">
        <f>+GETPIVOTDATA(" New-Bachelor's",'Pivot Table for 1-11'!$A$3,"State","AR","SREB Type",4,"SREB Type2","Four-Year")</f>
        <v>913</v>
      </c>
      <c r="E167" s="6">
        <f>+GETPIVOTDATA(" New-Post-Bachelor's",'Pivot Table for 1-11'!$A$3,"State","AR","SREB Type",4,"SREB Type2","Four-Year")</f>
        <v>131</v>
      </c>
      <c r="F167" s="6">
        <f>+GETPIVOTDATA(" New-Total Master's#",'Pivot Table for 1-11'!$A$3,"State","AR","SREB Type",4,"SREB Type2","Four-Year")</f>
        <v>270</v>
      </c>
      <c r="G167" s="6">
        <f>+GETPIVOTDATA(" New-Total Doctorates#",'Pivot Table for 1-11'!$A$3,"State","AR","SREB Type",4,"SREB Type2","Four-Year")</f>
        <v>0</v>
      </c>
      <c r="H167" s="17">
        <f>+GETPIVOTDATA(" New-Law",'Pivot Table for 1-11'!$A$3,"State","AR","SREB Type",4,"SREB Type2","Four-Year")</f>
        <v>0</v>
      </c>
      <c r="I167" s="6">
        <f>+GETPIVOTDATA(" New-Medicine",'Pivot Table for 1-11'!$A$3,"State","AR","SREB Type",4,"SREB Type2","Four-Year")</f>
        <v>0</v>
      </c>
      <c r="J167" s="6">
        <f>+GETPIVOTDATA(" New-Dentistry",'Pivot Table for 1-11'!$A$3,"State","AR","SREB Type",4,"SREB Type2","Four-Year")</f>
        <v>0</v>
      </c>
      <c r="K167" s="6">
        <f>+GETPIVOTDATA(" New-Pharmacy",'Pivot Table for 1-11'!$A$3,"State","AR","SREB Type",4,"SREB Type2","Four-Year")</f>
        <v>0</v>
      </c>
      <c r="L167" s="6">
        <f>+GETPIVOTDATA(" New-Optometry",'Pivot Table for 1-11'!$A$3,"State","AR","SREB Type",4,"SREB Type2","Four-Year")</f>
        <v>0</v>
      </c>
      <c r="M167" s="6">
        <f>+GETPIVOTDATA(" New-Osteopathic Medicine",'Pivot Table for 1-11'!$A$3,"State","AR","SREB Type",4,"SREB Type2","Four-Year")</f>
        <v>0</v>
      </c>
      <c r="N167" s="80">
        <f>+GETPIVOTDATA(" New-Veterinary Medicine",'Pivot Table for 1-11'!$A$3,"State","AR","SREB Type",4,"SREB Type2","Four-Year")</f>
        <v>0</v>
      </c>
      <c r="O167" s="97">
        <f>+GETPIVOTDATA(" New-Oth PP",'Pivot Table for 1-11'!$A$3,"State","AR","SREB Type",4,"SREB Type2","Four-Year")</f>
        <v>0</v>
      </c>
      <c r="P167" s="81">
        <f t="shared" si="8"/>
        <v>1466</v>
      </c>
      <c r="Q167" s="85"/>
    </row>
    <row r="168" spans="1:24" ht="15" customHeight="1" x14ac:dyDescent="0.2">
      <c r="A168" s="5" t="s">
        <v>194</v>
      </c>
      <c r="B168" s="6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6">
        <f>+GETPIVOTDATA(" New-Associate's",'Pivot Table for 1-11'!$A$3,"State","DE","SREB Type",4,"SREB Type2","Four-Year")</f>
        <v>0</v>
      </c>
      <c r="D168" s="6">
        <f>+GETPIVOTDATA(" New-Bachelor's",'Pivot Table for 1-11'!$A$3,"State","DE","SREB Type",4,"SREB Type2","Four-Year")</f>
        <v>0</v>
      </c>
      <c r="E168" s="6">
        <f>+GETPIVOTDATA(" New-Post-Bachelor's",'Pivot Table for 1-11'!$A$3,"State","DE","SREB Type",4,"SREB Type2","Four-Year")</f>
        <v>0</v>
      </c>
      <c r="F168" s="6">
        <f>+GETPIVOTDATA(" New-Total Master's#",'Pivot Table for 1-11'!$A$3,"State","DE","SREB Type",4,"SREB Type2","Four-Year")</f>
        <v>0</v>
      </c>
      <c r="G168" s="6">
        <f>+GETPIVOTDATA(" New-Total Doctorates#",'Pivot Table for 1-11'!$A$3,"State","DE","SREB Type",4,"SREB Type2","Four-Year")</f>
        <v>0</v>
      </c>
      <c r="H168" s="17">
        <f>+GETPIVOTDATA(" New-Law",'Pivot Table for 1-11'!$A$3,"State","DE","SREB Type",4,"SREB Type2","Four-Year")</f>
        <v>0</v>
      </c>
      <c r="I168" s="6">
        <f>+GETPIVOTDATA(" New-Medicine",'Pivot Table for 1-11'!$A$3,"State","DE","SREB Type",4,"SREB Type2","Four-Year")</f>
        <v>0</v>
      </c>
      <c r="J168" s="6">
        <f>+GETPIVOTDATA(" New-Dentistry",'Pivot Table for 1-11'!$A$3,"State","DE","SREB Type",4,"SREB Type2","Four-Year")</f>
        <v>0</v>
      </c>
      <c r="K168" s="6">
        <f>+GETPIVOTDATA(" New-Pharmacy",'Pivot Table for 1-11'!$A$3,"State","DE","SREB Type",4,"SREB Type2","Four-Year")</f>
        <v>0</v>
      </c>
      <c r="L168" s="6">
        <f>+GETPIVOTDATA(" New-Optometry",'Pivot Table for 1-11'!$A$3,"State","DE","SREB Type",4,"SREB Type2","Four-Year")</f>
        <v>0</v>
      </c>
      <c r="M168" s="6">
        <f>+GETPIVOTDATA(" New-Osteopathic Medicine",'Pivot Table for 1-11'!$A$3,"State","DE","SREB Type",4,"SREB Type2","Four-Year")</f>
        <v>0</v>
      </c>
      <c r="N168" s="80">
        <f>+GETPIVOTDATA(" New-Veterinary Medicine",'Pivot Table for 1-11'!$A$3,"State","DE","SREB Type",4,"SREB Type2","Four-Year")</f>
        <v>0</v>
      </c>
      <c r="O168" s="97">
        <f>+GETPIVOTDATA(" New-Oth PP",'Pivot Table for 1-11'!$A$3,"State","DE","SREB Type",4,"SREB Type2","Four-Year")</f>
        <v>0</v>
      </c>
      <c r="P168" s="81">
        <f t="shared" si="8"/>
        <v>0</v>
      </c>
      <c r="Q168" s="85"/>
    </row>
    <row r="169" spans="1:24" ht="15" customHeight="1" x14ac:dyDescent="0.2">
      <c r="A169" s="5" t="s">
        <v>195</v>
      </c>
      <c r="B169" s="6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6">
        <f>+GETPIVOTDATA(" New-Associate's",'Pivot Table for 1-11'!$A$3,"State","FL","SREB Type",4,"SREB Type2","Four-Year")</f>
        <v>306</v>
      </c>
      <c r="D169" s="6">
        <f>+GETPIVOTDATA(" New-Bachelor's",'Pivot Table for 1-11'!$A$3,"State","FL","SREB Type",4,"SREB Type2","Four-Year")</f>
        <v>1744</v>
      </c>
      <c r="E169" s="6">
        <f>+GETPIVOTDATA(" New-Post-Bachelor's",'Pivot Table for 1-11'!$A$3,"State","FL","SREB Type",4,"SREB Type2","Four-Year")</f>
        <v>35</v>
      </c>
      <c r="F169" s="6">
        <f>+GETPIVOTDATA(" New-Total Master's#",'Pivot Table for 1-11'!$A$3,"State","FL","SREB Type",4,"SREB Type2","Four-Year")</f>
        <v>371</v>
      </c>
      <c r="G169" s="6">
        <f>+GETPIVOTDATA(" New-Total Doctorates#",'Pivot Table for 1-11'!$A$3,"State","FL","SREB Type",4,"SREB Type2","Four-Year")</f>
        <v>19</v>
      </c>
      <c r="H169" s="17">
        <f>+GETPIVOTDATA(" New-Law",'Pivot Table for 1-11'!$A$3,"State","FL","SREB Type",4,"SREB Type2","Four-Year")</f>
        <v>0</v>
      </c>
      <c r="I169" s="6">
        <f>+GETPIVOTDATA(" New-Medicine",'Pivot Table for 1-11'!$A$3,"State","FL","SREB Type",4,"SREB Type2","Four-Year")</f>
        <v>0</v>
      </c>
      <c r="J169" s="6">
        <f>+GETPIVOTDATA(" New-Dentistry",'Pivot Table for 1-11'!$A$3,"State","FL","SREB Type",4,"SREB Type2","Four-Year")</f>
        <v>0</v>
      </c>
      <c r="K169" s="6">
        <f>+GETPIVOTDATA(" New-Pharmacy",'Pivot Table for 1-11'!$A$3,"State","FL","SREB Type",4,"SREB Type2","Four-Year")</f>
        <v>0</v>
      </c>
      <c r="L169" s="6">
        <f>+GETPIVOTDATA(" New-Optometry",'Pivot Table for 1-11'!$A$3,"State","FL","SREB Type",4,"SREB Type2","Four-Year")</f>
        <v>0</v>
      </c>
      <c r="M169" s="6">
        <f>+GETPIVOTDATA(" New-Osteopathic Medicine",'Pivot Table for 1-11'!$A$3,"State","FL","SREB Type",4,"SREB Type2","Four-Year")</f>
        <v>0</v>
      </c>
      <c r="N169" s="80">
        <f>+GETPIVOTDATA(" New-Veterinary Medicine",'Pivot Table for 1-11'!$A$3,"State","FL","SREB Type",4,"SREB Type2","Four-Year")</f>
        <v>0</v>
      </c>
      <c r="O169" s="97">
        <f>+GETPIVOTDATA(" New-Oth PP",'Pivot Table for 1-11'!$A$3,"State","FL","SREB Type",4,"SREB Type2","Four-Year")</f>
        <v>19</v>
      </c>
      <c r="P169" s="81">
        <f t="shared" si="8"/>
        <v>2494</v>
      </c>
      <c r="Q169" s="85"/>
    </row>
    <row r="170" spans="1:24" ht="15" customHeight="1" x14ac:dyDescent="0.2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0"/>
      <c r="O170" s="97"/>
      <c r="P170" s="81">
        <f t="shared" si="8"/>
        <v>0</v>
      </c>
      <c r="Q170" s="85"/>
    </row>
    <row r="171" spans="1:24" ht="15" customHeight="1" x14ac:dyDescent="0.2">
      <c r="A171" s="5" t="s">
        <v>196</v>
      </c>
      <c r="B171" s="6">
        <f>+GETPIVOTDATA(" New-Less Than 2-Year",'Pivot Table for 1-11'!$A$3,"State","GA","SREB Type",4,"SREB Type2","Four-Year")+GETPIVOTDATA(" New-2 But Less Than 4-Year",'Pivot Table for 1-11'!$A$3,"State","GA","SREB Type",4,"SREB Type2","Four-Year")</f>
        <v>136</v>
      </c>
      <c r="C171" s="6">
        <f>+GETPIVOTDATA(" New-Associate's",'Pivot Table for 1-11'!$A$3,"State","GA","SREB Type",4,"SREB Type2","Four-Year")</f>
        <v>259</v>
      </c>
      <c r="D171" s="6">
        <f>+GETPIVOTDATA(" New-Bachelor's",'Pivot Table for 1-11'!$A$3,"State","GA","SREB Type",4,"SREB Type2","Four-Year")</f>
        <v>8732</v>
      </c>
      <c r="E171" s="6">
        <f>+GETPIVOTDATA(" New-Post-Bachelor's",'Pivot Table for 1-11'!$A$3,"State","GA","SREB Type",4,"SREB Type2","Four-Year")</f>
        <v>115</v>
      </c>
      <c r="F171" s="6">
        <f>+GETPIVOTDATA(" New-Total Master's#",'Pivot Table for 1-11'!$A$3,"State","GA","SREB Type",4,"SREB Type2","Four-Year")</f>
        <v>2714</v>
      </c>
      <c r="G171" s="6">
        <f>+GETPIVOTDATA(" New-Total Doctorates#",'Pivot Table for 1-11'!$A$3,"State","GA","SREB Type",4,"SREB Type2","Four-Year")</f>
        <v>67</v>
      </c>
      <c r="H171" s="17">
        <f>+GETPIVOTDATA(" New-Law",'Pivot Table for 1-11'!$A$3,"State","GA","SREB Type",4,"SREB Type2","Four-Year")</f>
        <v>0</v>
      </c>
      <c r="I171" s="6">
        <f>+GETPIVOTDATA(" New-Medicine",'Pivot Table for 1-11'!$A$3,"State","GA","SREB Type",4,"SREB Type2","Four-Year")</f>
        <v>0</v>
      </c>
      <c r="J171" s="6">
        <f>+GETPIVOTDATA(" New-Dentistry",'Pivot Table for 1-11'!$A$3,"State","GA","SREB Type",4,"SREB Type2","Four-Year")</f>
        <v>0</v>
      </c>
      <c r="K171" s="6">
        <f>+GETPIVOTDATA(" New-Pharmacy",'Pivot Table for 1-11'!$A$3,"State","GA","SREB Type",4,"SREB Type2","Four-Year")</f>
        <v>0</v>
      </c>
      <c r="L171" s="6">
        <f>+GETPIVOTDATA(" New-Optometry",'Pivot Table for 1-11'!$A$3,"State","GA","SREB Type",4,"SREB Type2","Four-Year")</f>
        <v>0</v>
      </c>
      <c r="M171" s="6">
        <f>+GETPIVOTDATA(" New-Osteopathic Medicine",'Pivot Table for 1-11'!$A$3,"State","GA","SREB Type",4,"SREB Type2","Four-Year")</f>
        <v>0</v>
      </c>
      <c r="N171" s="80">
        <f>+GETPIVOTDATA(" New-Veterinary Medicine",'Pivot Table for 1-11'!$A$3,"State","GA","SREB Type",4,"SREB Type2","Four-Year")</f>
        <v>0</v>
      </c>
      <c r="O171" s="97">
        <f>+GETPIVOTDATA(" New-Oth PP",'Pivot Table for 1-11'!$A$3,"State","GA","SREB Type",4,"SREB Type2","Four-Year")</f>
        <v>0</v>
      </c>
      <c r="P171" s="81">
        <f t="shared" si="8"/>
        <v>12023</v>
      </c>
      <c r="Q171" s="85"/>
    </row>
    <row r="172" spans="1:24" ht="15" customHeight="1" x14ac:dyDescent="0.2">
      <c r="A172" s="5" t="s">
        <v>197</v>
      </c>
      <c r="B172" s="6">
        <f>+GETPIVOTDATA(" New-Less Than 2-Year",'Pivot Table for 1-11'!$A$3,"State","KY","SREB Type",4,"SREB Type2","Four-Year")+GETPIVOTDATA(" New-2 But Less Than 4-Year",'Pivot Table for 1-11'!$A$3,"State","KY","SREB Type",4,"SREB Type2","Four-Year")</f>
        <v>29</v>
      </c>
      <c r="C172" s="6">
        <f>+GETPIVOTDATA(" New-Associate's",'Pivot Table for 1-11'!$A$3,"State","KY","SREB Type",4,"SREB Type2","Four-Year")</f>
        <v>171</v>
      </c>
      <c r="D172" s="6">
        <f>+GETPIVOTDATA(" New-Bachelor's",'Pivot Table for 1-11'!$A$3,"State","KY","SREB Type",4,"SREB Type2","Four-Year")</f>
        <v>2209</v>
      </c>
      <c r="E172" s="6">
        <f>+GETPIVOTDATA(" New-Post-Bachelor's",'Pivot Table for 1-11'!$A$3,"State","KY","SREB Type",4,"SREB Type2","Four-Year")</f>
        <v>92</v>
      </c>
      <c r="F172" s="6">
        <f>+GETPIVOTDATA(" New-Total Master's#",'Pivot Table for 1-11'!$A$3,"State","KY","SREB Type",4,"SREB Type2","Four-Year")</f>
        <v>557</v>
      </c>
      <c r="G172" s="6">
        <f>+GETPIVOTDATA(" New-Total Doctorates#",'Pivot Table for 1-11'!$A$3,"State","KY","SREB Type",4,"SREB Type2","Four-Year")</f>
        <v>14</v>
      </c>
      <c r="H172" s="17">
        <f>+GETPIVOTDATA(" New-Law",'Pivot Table for 1-11'!$A$3,"State","KY","SREB Type",4,"SREB Type2","Four-Year")</f>
        <v>154</v>
      </c>
      <c r="I172" s="6">
        <f>+GETPIVOTDATA(" New-Medicine",'Pivot Table for 1-11'!$A$3,"State","KY","SREB Type",4,"SREB Type2","Four-Year")</f>
        <v>0</v>
      </c>
      <c r="J172" s="6">
        <f>+GETPIVOTDATA(" New-Dentistry",'Pivot Table for 1-11'!$A$3,"State","KY","SREB Type",4,"SREB Type2","Four-Year")</f>
        <v>0</v>
      </c>
      <c r="K172" s="6">
        <f>+GETPIVOTDATA(" New-Pharmacy",'Pivot Table for 1-11'!$A$3,"State","KY","SREB Type",4,"SREB Type2","Four-Year")</f>
        <v>0</v>
      </c>
      <c r="L172" s="6">
        <f>+GETPIVOTDATA(" New-Optometry",'Pivot Table for 1-11'!$A$3,"State","KY","SREB Type",4,"SREB Type2","Four-Year")</f>
        <v>0</v>
      </c>
      <c r="M172" s="6">
        <f>+GETPIVOTDATA(" New-Osteopathic Medicine",'Pivot Table for 1-11'!$A$3,"State","KY","SREB Type",4,"SREB Type2","Four-Year")</f>
        <v>0</v>
      </c>
      <c r="N172" s="80">
        <f>+GETPIVOTDATA(" New-Veterinary Medicine",'Pivot Table for 1-11'!$A$3,"State","KY","SREB Type",4,"SREB Type2","Four-Year")</f>
        <v>0</v>
      </c>
      <c r="O172" s="97">
        <f>+GETPIVOTDATA(" New-Oth PP",'Pivot Table for 1-11'!$A$3,"State","KY","SREB Type",4,"SREB Type2","Four-Year")</f>
        <v>14</v>
      </c>
      <c r="P172" s="81">
        <f t="shared" si="8"/>
        <v>3240</v>
      </c>
      <c r="Q172" s="85"/>
    </row>
    <row r="173" spans="1:24" ht="15" customHeight="1" x14ac:dyDescent="0.2">
      <c r="A173" s="5" t="s">
        <v>198</v>
      </c>
      <c r="B173" s="6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6">
        <f>+GETPIVOTDATA(" New-Associate's",'Pivot Table for 1-11'!$A$3,"State","LA","SREB Type",4,"SREB Type2","Four-Year")</f>
        <v>1188</v>
      </c>
      <c r="D173" s="6">
        <f>+GETPIVOTDATA(" New-Bachelor's",'Pivot Table for 1-11'!$A$3,"State","LA","SREB Type",4,"SREB Type2","Four-Year")</f>
        <v>4606</v>
      </c>
      <c r="E173" s="6">
        <f>+GETPIVOTDATA(" New-Post-Bachelor's",'Pivot Table for 1-11'!$A$3,"State","LA","SREB Type",4,"SREB Type2","Four-Year")</f>
        <v>82</v>
      </c>
      <c r="F173" s="6">
        <f>+GETPIVOTDATA(" New-Total Master's#",'Pivot Table for 1-11'!$A$3,"State","LA","SREB Type",4,"SREB Type2","Four-Year")</f>
        <v>1214</v>
      </c>
      <c r="G173" s="6">
        <f>+GETPIVOTDATA(" New-Total Doctorates#",'Pivot Table for 1-11'!$A$3,"State","LA","SREB Type",4,"SREB Type2","Four-Year")</f>
        <v>6</v>
      </c>
      <c r="H173" s="17">
        <f>+GETPIVOTDATA(" New-Law",'Pivot Table for 1-11'!$A$3,"State","LA","SREB Type",4,"SREB Type2","Four-Year")</f>
        <v>0</v>
      </c>
      <c r="I173" s="6">
        <f>+GETPIVOTDATA(" New-Medicine",'Pivot Table for 1-11'!$A$3,"State","LA","SREB Type",4,"SREB Type2","Four-Year")</f>
        <v>0</v>
      </c>
      <c r="J173" s="6">
        <f>+GETPIVOTDATA(" New-Dentistry",'Pivot Table for 1-11'!$A$3,"State","LA","SREB Type",4,"SREB Type2","Four-Year")</f>
        <v>0</v>
      </c>
      <c r="K173" s="6">
        <f>+GETPIVOTDATA(" New-Pharmacy",'Pivot Table for 1-11'!$A$3,"State","LA","SREB Type",4,"SREB Type2","Four-Year")</f>
        <v>0</v>
      </c>
      <c r="L173" s="6">
        <f>+GETPIVOTDATA(" New-Optometry",'Pivot Table for 1-11'!$A$3,"State","LA","SREB Type",4,"SREB Type2","Four-Year")</f>
        <v>0</v>
      </c>
      <c r="M173" s="6">
        <f>+GETPIVOTDATA(" New-Osteopathic Medicine",'Pivot Table for 1-11'!$A$3,"State","LA","SREB Type",4,"SREB Type2","Four-Year")</f>
        <v>0</v>
      </c>
      <c r="N173" s="80">
        <f>+GETPIVOTDATA(" New-Veterinary Medicine",'Pivot Table for 1-11'!$A$3,"State","LA","SREB Type",4,"SREB Type2","Four-Year")</f>
        <v>0</v>
      </c>
      <c r="O173" s="97">
        <f>+GETPIVOTDATA(" New-Oth PP",'Pivot Table for 1-11'!$A$3,"State","LA","SREB Type",4,"SREB Type2","Four-Year")</f>
        <v>0</v>
      </c>
      <c r="P173" s="81">
        <f t="shared" si="8"/>
        <v>7096</v>
      </c>
      <c r="Q173" s="85"/>
    </row>
    <row r="174" spans="1:24" ht="15" customHeight="1" x14ac:dyDescent="0.2">
      <c r="A174" s="5" t="s">
        <v>199</v>
      </c>
      <c r="B174" s="6">
        <f>+GETPIVOTDATA(" New-Less Than 2-Year",'Pivot Table for 1-11'!$A$3,"State","MD","SREB Type",4,"SREB Type2","Four-Year")+GETPIVOTDATA(" New-2 But Less Than 4-Year",'Pivot Table for 1-11'!$A$3,"State","MD","SREB Type",4,"SREB Type2","Four-Year")</f>
        <v>61</v>
      </c>
      <c r="C174" s="6">
        <f>+GETPIVOTDATA(" New-Associate's",'Pivot Table for 1-11'!$A$3,"State","MD","SREB Type",4,"SREB Type2","Four-Year")</f>
        <v>0</v>
      </c>
      <c r="D174" s="6">
        <f>+GETPIVOTDATA(" New-Bachelor's",'Pivot Table for 1-11'!$A$3,"State","MD","SREB Type",4,"SREB Type2","Four-Year")</f>
        <v>4619</v>
      </c>
      <c r="E174" s="6">
        <f>+GETPIVOTDATA(" New-Post-Bachelor's",'Pivot Table for 1-11'!$A$3,"State","MD","SREB Type",4,"SREB Type2","Four-Year")</f>
        <v>43</v>
      </c>
      <c r="F174" s="6">
        <f>+GETPIVOTDATA(" New-Total Master's#",'Pivot Table for 1-11'!$A$3,"State","MD","SREB Type",4,"SREB Type2","Four-Year")</f>
        <v>1254</v>
      </c>
      <c r="G174" s="6">
        <f>+GETPIVOTDATA(" New-Total Doctorates#",'Pivot Table for 1-11'!$A$3,"State","MD","SREB Type",4,"SREB Type2","Four-Year")</f>
        <v>41</v>
      </c>
      <c r="H174" s="17">
        <f>+GETPIVOTDATA(" New-Law",'Pivot Table for 1-11'!$A$3,"State","MD","SREB Type",4,"SREB Type2","Four-Year")</f>
        <v>343</v>
      </c>
      <c r="I174" s="6">
        <f>+GETPIVOTDATA(" New-Medicine",'Pivot Table for 1-11'!$A$3,"State","MD","SREB Type",4,"SREB Type2","Four-Year")</f>
        <v>0</v>
      </c>
      <c r="J174" s="6">
        <f>+GETPIVOTDATA(" New-Dentistry",'Pivot Table for 1-11'!$A$3,"State","MD","SREB Type",4,"SREB Type2","Four-Year")</f>
        <v>0</v>
      </c>
      <c r="K174" s="6">
        <f>+GETPIVOTDATA(" New-Pharmacy",'Pivot Table for 1-11'!$A$3,"State","MD","SREB Type",4,"SREB Type2","Four-Year")</f>
        <v>0</v>
      </c>
      <c r="L174" s="6">
        <f>+GETPIVOTDATA(" New-Optometry",'Pivot Table for 1-11'!$A$3,"State","MD","SREB Type",4,"SREB Type2","Four-Year")</f>
        <v>0</v>
      </c>
      <c r="M174" s="6">
        <f>+GETPIVOTDATA(" New-Osteopathic Medicine",'Pivot Table for 1-11'!$A$3,"State","MD","SREB Type",4,"SREB Type2","Four-Year")</f>
        <v>0</v>
      </c>
      <c r="N174" s="80">
        <f>+GETPIVOTDATA(" New-Veterinary Medicine",'Pivot Table for 1-11'!$A$3,"State","MD","SREB Type",4,"SREB Type2","Four-Year")</f>
        <v>0</v>
      </c>
      <c r="O174" s="97">
        <f>+GETPIVOTDATA(" New-Oth PP",'Pivot Table for 1-11'!$A$3,"State","MD","SREB Type",4,"SREB Type2","Four-Year")</f>
        <v>26</v>
      </c>
      <c r="P174" s="81">
        <f t="shared" si="8"/>
        <v>6387</v>
      </c>
      <c r="Q174" s="85"/>
    </row>
    <row r="175" spans="1:24" ht="15" customHeight="1" x14ac:dyDescent="0.2">
      <c r="A175" s="5"/>
      <c r="B175" s="6">
        <f>+GETPIVOTDATA(" New-Less Than 2-Year",'Pivot Table for 1-11'!$A$3,"State","AR","SREB Type",4,"SREB Type2","Four-Year")+GETPIVOTDATA(" New-2 But Less Than 4-Year",'Pivot Table for 1-11'!$A$3,"State","AR","SREB Type",4,"SREB Type2","Four-Year")</f>
        <v>8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0"/>
      <c r="O175" s="97"/>
      <c r="P175" s="81">
        <f t="shared" si="8"/>
        <v>8</v>
      </c>
      <c r="Q175" s="85"/>
    </row>
    <row r="176" spans="1:24" ht="15" customHeight="1" x14ac:dyDescent="0.2">
      <c r="A176" s="5" t="s">
        <v>200</v>
      </c>
      <c r="B176" s="6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6">
        <f>+GETPIVOTDATA(" New-Associate's",'Pivot Table for 1-11'!$A$3,"State","MS","SREB Type",4,"SREB Type2","Four-Year")</f>
        <v>22</v>
      </c>
      <c r="D176" s="6">
        <f>+GETPIVOTDATA(" New-Bachelor's",'Pivot Table for 1-11'!$A$3,"State","MS","SREB Type",4,"SREB Type2","Four-Year")</f>
        <v>1228</v>
      </c>
      <c r="E176" s="6">
        <f>+GETPIVOTDATA(" New-Post-Bachelor's",'Pivot Table for 1-11'!$A$3,"State","MS","SREB Type",4,"SREB Type2","Four-Year")</f>
        <v>0</v>
      </c>
      <c r="F176" s="6">
        <f>+GETPIVOTDATA(" New-Total Master's#",'Pivot Table for 1-11'!$A$3,"State","MS","SREB Type",4,"SREB Type2","Four-Year")</f>
        <v>564</v>
      </c>
      <c r="G176" s="6">
        <f>+GETPIVOTDATA(" New-Total Doctorates#",'Pivot Table for 1-11'!$A$3,"State","MS","SREB Type",4,"SREB Type2","Four-Year")</f>
        <v>2</v>
      </c>
      <c r="H176" s="17">
        <f>+GETPIVOTDATA(" New-Law",'Pivot Table for 1-11'!$A$3,"State","MS","SREB Type",4,"SREB Type2","Four-Year")</f>
        <v>0</v>
      </c>
      <c r="I176" s="6">
        <f>+GETPIVOTDATA(" New-Medicine",'Pivot Table for 1-11'!$A$3,"State","MS","SREB Type",4,"SREB Type2","Four-Year")</f>
        <v>0</v>
      </c>
      <c r="J176" s="6">
        <f>+GETPIVOTDATA(" New-Dentistry",'Pivot Table for 1-11'!$A$3,"State","MS","SREB Type",4,"SREB Type2","Four-Year")</f>
        <v>0</v>
      </c>
      <c r="K176" s="6">
        <f>+GETPIVOTDATA(" New-Pharmacy",'Pivot Table for 1-11'!$A$3,"State","MS","SREB Type",4,"SREB Type2","Four-Year")</f>
        <v>0</v>
      </c>
      <c r="L176" s="6">
        <f>+GETPIVOTDATA(" New-Optometry",'Pivot Table for 1-11'!$A$3,"State","MS","SREB Type",4,"SREB Type2","Four-Year")</f>
        <v>0</v>
      </c>
      <c r="M176" s="6">
        <f>+GETPIVOTDATA(" New-Osteopathic Medicine",'Pivot Table for 1-11'!$A$3,"State","MS","SREB Type",4,"SREB Type2","Four-Year")</f>
        <v>0</v>
      </c>
      <c r="N176" s="80">
        <f>+GETPIVOTDATA(" New-Veterinary Medicine",'Pivot Table for 1-11'!$A$3,"State","MS","SREB Type",4,"SREB Type2","Four-Year")</f>
        <v>0</v>
      </c>
      <c r="O176" s="97">
        <f>+GETPIVOTDATA(" New-Oth PP",'Pivot Table for 1-11'!$A$3,"State","MS","SREB Type",4,"SREB Type2","Four-Year")</f>
        <v>0</v>
      </c>
      <c r="P176" s="81">
        <f t="shared" si="8"/>
        <v>1816</v>
      </c>
      <c r="Q176" s="85"/>
    </row>
    <row r="177" spans="1:17" ht="15" customHeight="1" x14ac:dyDescent="0.2">
      <c r="A177" s="5" t="s">
        <v>201</v>
      </c>
      <c r="B177" s="6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6">
        <f>+GETPIVOTDATA(" New-Associate's",'Pivot Table for 1-11'!$A$3,"State","NC","SREB Type",4,"SREB Type2","Four-Year")</f>
        <v>0</v>
      </c>
      <c r="D177" s="6">
        <f>+GETPIVOTDATA(" New-Bachelor's",'Pivot Table for 1-11'!$A$3,"State","NC","SREB Type",4,"SREB Type2","Four-Year")</f>
        <v>991</v>
      </c>
      <c r="E177" s="6">
        <f>+GETPIVOTDATA(" New-Post-Bachelor's",'Pivot Table for 1-11'!$A$3,"State","NC","SREB Type",4,"SREB Type2","Four-Year")</f>
        <v>0</v>
      </c>
      <c r="F177" s="6">
        <f>+GETPIVOTDATA(" New-Total Master's#",'Pivot Table for 1-11'!$A$3,"State","NC","SREB Type",4,"SREB Type2","Four-Year")</f>
        <v>159</v>
      </c>
      <c r="G177" s="6">
        <f>+GETPIVOTDATA(" New-Total Doctorates#",'Pivot Table for 1-11'!$A$3,"State","NC","SREB Type",4,"SREB Type2","Four-Year")</f>
        <v>1</v>
      </c>
      <c r="H177" s="17">
        <f>+GETPIVOTDATA(" New-Law",'Pivot Table for 1-11'!$A$3,"State","NC","SREB Type",4,"SREB Type2","Four-Year")</f>
        <v>0</v>
      </c>
      <c r="I177" s="6">
        <f>+GETPIVOTDATA(" New-Medicine",'Pivot Table for 1-11'!$A$3,"State","NC","SREB Type",4,"SREB Type2","Four-Year")</f>
        <v>0</v>
      </c>
      <c r="J177" s="6">
        <f>+GETPIVOTDATA(" New-Dentistry",'Pivot Table for 1-11'!$A$3,"State","NC","SREB Type",4,"SREB Type2","Four-Year")</f>
        <v>0</v>
      </c>
      <c r="K177" s="6">
        <f>+GETPIVOTDATA(" New-Pharmacy",'Pivot Table for 1-11'!$A$3,"State","NC","SREB Type",4,"SREB Type2","Four-Year")</f>
        <v>0</v>
      </c>
      <c r="L177" s="6">
        <f>+GETPIVOTDATA(" New-Optometry",'Pivot Table for 1-11'!$A$3,"State","NC","SREB Type",4,"SREB Type2","Four-Year")</f>
        <v>0</v>
      </c>
      <c r="M177" s="6">
        <f>+GETPIVOTDATA(" New-Osteopathic Medicine",'Pivot Table for 1-11'!$A$3,"State","NC","SREB Type",4,"SREB Type2","Four-Year")</f>
        <v>0</v>
      </c>
      <c r="N177" s="80">
        <f>+GETPIVOTDATA(" New-Veterinary Medicine",'Pivot Table for 1-11'!$A$3,"State","NC","SREB Type",4,"SREB Type2","Four-Year")</f>
        <v>0</v>
      </c>
      <c r="O177" s="97">
        <f>+GETPIVOTDATA(" New-Oth PP",'Pivot Table for 1-11'!$A$3,"State","NC","SREB Type",4,"SREB Type2","Four-Year")</f>
        <v>0</v>
      </c>
      <c r="P177" s="81">
        <f t="shared" si="8"/>
        <v>1151</v>
      </c>
      <c r="Q177" s="85"/>
    </row>
    <row r="178" spans="1:17" ht="15" customHeight="1" x14ac:dyDescent="0.2">
      <c r="A178" s="5" t="s">
        <v>202</v>
      </c>
      <c r="B178" s="6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6">
        <f>+GETPIVOTDATA(" New-Associate's",'Pivot Table for 1-11'!$A$3,"State","OK","SREB Type",4,"SREB Type2","Four-Year")</f>
        <v>0</v>
      </c>
      <c r="D178" s="6">
        <f>+GETPIVOTDATA(" New-Bachelor's",'Pivot Table for 1-11'!$A$3,"State","OK","SREB Type",4,"SREB Type2","Four-Year")</f>
        <v>610</v>
      </c>
      <c r="E178" s="6">
        <f>+GETPIVOTDATA(" New-Post-Bachelor's",'Pivot Table for 1-11'!$A$3,"State","OK","SREB Type",4,"SREB Type2","Four-Year")</f>
        <v>0</v>
      </c>
      <c r="F178" s="6">
        <f>+GETPIVOTDATA(" New-Total Master's#",'Pivot Table for 1-11'!$A$3,"State","OK","SREB Type",4,"SREB Type2","Four-Year")</f>
        <v>162</v>
      </c>
      <c r="G178" s="6">
        <f>+GETPIVOTDATA(" New-Total Doctorates#",'Pivot Table for 1-11'!$A$3,"State","OK","SREB Type",4,"SREB Type2","Four-Year")</f>
        <v>0</v>
      </c>
      <c r="H178" s="17">
        <f>+GETPIVOTDATA(" New-Law",'Pivot Table for 1-11'!$A$3,"State","OK","SREB Type",4,"SREB Type2","Four-Year")</f>
        <v>0</v>
      </c>
      <c r="I178" s="6">
        <f>+GETPIVOTDATA(" New-Medicine",'Pivot Table for 1-11'!$A$3,"State","OK","SREB Type",4,"SREB Type2","Four-Year")</f>
        <v>0</v>
      </c>
      <c r="J178" s="6">
        <f>+GETPIVOTDATA(" New-Dentistry",'Pivot Table for 1-11'!$A$3,"State","OK","SREB Type",4,"SREB Type2","Four-Year")</f>
        <v>0</v>
      </c>
      <c r="K178" s="6">
        <f>+GETPIVOTDATA(" New-Pharmacy",'Pivot Table for 1-11'!$A$3,"State","OK","SREB Type",4,"SREB Type2","Four-Year")</f>
        <v>0</v>
      </c>
      <c r="L178" s="6">
        <f>+GETPIVOTDATA(" New-Optometry",'Pivot Table for 1-11'!$A$3,"State","OK","SREB Type",4,"SREB Type2","Four-Year")</f>
        <v>0</v>
      </c>
      <c r="M178" s="6">
        <f>+GETPIVOTDATA(" New-Osteopathic Medicine",'Pivot Table for 1-11'!$A$3,"State","OK","SREB Type",4,"SREB Type2","Four-Year")</f>
        <v>0</v>
      </c>
      <c r="N178" s="80">
        <f>+GETPIVOTDATA(" New-Veterinary Medicine",'Pivot Table for 1-11'!$A$3,"State","OK","SREB Type",4,"SREB Type2","Four-Year")</f>
        <v>0</v>
      </c>
      <c r="O178" s="97">
        <f>+GETPIVOTDATA(" New-Oth PP",'Pivot Table for 1-11'!$A$3,"State","OK","SREB Type",4,"SREB Type2","Four-Year")</f>
        <v>0</v>
      </c>
      <c r="P178" s="81">
        <f t="shared" si="8"/>
        <v>772</v>
      </c>
      <c r="Q178" s="85"/>
    </row>
    <row r="179" spans="1:17" ht="15" customHeight="1" x14ac:dyDescent="0.2">
      <c r="A179" s="5" t="s">
        <v>203</v>
      </c>
      <c r="B179" s="6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6">
        <f>+GETPIVOTDATA(" New-Associate's",'Pivot Table for 1-11'!$A$3,"State","SC","SREB Type",4,"SREB Type2","Four-Year")</f>
        <v>0</v>
      </c>
      <c r="D179" s="6">
        <f>+GETPIVOTDATA(" New-Bachelor's",'Pivot Table for 1-11'!$A$3,"State","SC","SREB Type",4,"SREB Type2","Four-Year")</f>
        <v>495</v>
      </c>
      <c r="E179" s="6">
        <f>+GETPIVOTDATA(" New-Post-Bachelor's",'Pivot Table for 1-11'!$A$3,"State","SC","SREB Type",4,"SREB Type2","Four-Year")</f>
        <v>0</v>
      </c>
      <c r="F179" s="6">
        <f>+GETPIVOTDATA(" New-Total Master's#",'Pivot Table for 1-11'!$A$3,"State","SC","SREB Type",4,"SREB Type2","Four-Year")</f>
        <v>295</v>
      </c>
      <c r="G179" s="6">
        <f>+GETPIVOTDATA(" New-Total Doctorates#",'Pivot Table for 1-11'!$A$3,"State","SC","SREB Type",4,"SREB Type2","Four-Year")</f>
        <v>0</v>
      </c>
      <c r="H179" s="17">
        <f>+GETPIVOTDATA(" New-Law",'Pivot Table for 1-11'!$A$3,"State","SC","SREB Type",4,"SREB Type2","Four-Year")</f>
        <v>0</v>
      </c>
      <c r="I179" s="6">
        <f>+GETPIVOTDATA(" New-Medicine",'Pivot Table for 1-11'!$A$3,"State","SC","SREB Type",4,"SREB Type2","Four-Year")</f>
        <v>0</v>
      </c>
      <c r="J179" s="6">
        <f>+GETPIVOTDATA(" New-Dentistry",'Pivot Table for 1-11'!$A$3,"State","SC","SREB Type",4,"SREB Type2","Four-Year")</f>
        <v>0</v>
      </c>
      <c r="K179" s="6">
        <f>+GETPIVOTDATA(" New-Pharmacy",'Pivot Table for 1-11'!$A$3,"State","SC","SREB Type",4,"SREB Type2","Four-Year")</f>
        <v>0</v>
      </c>
      <c r="L179" s="6">
        <f>+GETPIVOTDATA(" New-Optometry",'Pivot Table for 1-11'!$A$3,"State","SC","SREB Type",4,"SREB Type2","Four-Year")</f>
        <v>0</v>
      </c>
      <c r="M179" s="6">
        <f>+GETPIVOTDATA(" New-Osteopathic Medicine",'Pivot Table for 1-11'!$A$3,"State","SC","SREB Type",4,"SREB Type2","Four-Year")</f>
        <v>0</v>
      </c>
      <c r="N179" s="80">
        <f>+GETPIVOTDATA(" New-Veterinary Medicine",'Pivot Table for 1-11'!$A$3,"State","SC","SREB Type",4,"SREB Type2","Four-Year")</f>
        <v>0</v>
      </c>
      <c r="O179" s="97">
        <f>+GETPIVOTDATA(" New-Oth PP",'Pivot Table for 1-11'!$A$3,"State","SC","SREB Type",4,"SREB Type2","Four-Year")</f>
        <v>0</v>
      </c>
      <c r="P179" s="81">
        <f t="shared" si="8"/>
        <v>790</v>
      </c>
      <c r="Q179" s="85"/>
    </row>
    <row r="180" spans="1:17" ht="15" customHeight="1" x14ac:dyDescent="0.2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0"/>
      <c r="O180" s="97"/>
      <c r="P180" s="81"/>
      <c r="Q180" s="85"/>
    </row>
    <row r="181" spans="1:17" ht="15" customHeight="1" x14ac:dyDescent="0.2">
      <c r="A181" s="5" t="s">
        <v>204</v>
      </c>
      <c r="B181" s="6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6">
        <f>+GETPIVOTDATA(" New-Associate's",'Pivot Table for 1-11'!$A$3,"State","TN","SREB Type",4,"SREB Type2","Four-Year")</f>
        <v>0</v>
      </c>
      <c r="D181" s="6">
        <f>+GETPIVOTDATA(" New-Bachelor's",'Pivot Table for 1-11'!$A$3,"State","TN","SREB Type",4,"SREB Type2","Four-Year")</f>
        <v>0</v>
      </c>
      <c r="E181" s="6">
        <f>+GETPIVOTDATA(" New-Post-Bachelor's",'Pivot Table for 1-11'!$A$3,"State","TN","SREB Type",4,"SREB Type2","Four-Year")</f>
        <v>0</v>
      </c>
      <c r="F181" s="6">
        <f>+GETPIVOTDATA(" New-Total Master's#",'Pivot Table for 1-11'!$A$3,"State","TN","SREB Type",4,"SREB Type2","Four-Year")</f>
        <v>0</v>
      </c>
      <c r="G181" s="6">
        <f>+GETPIVOTDATA(" New-Total Doctorates#",'Pivot Table for 1-11'!$A$3,"State","TN","SREB Type",4,"SREB Type2","Four-Year")</f>
        <v>0</v>
      </c>
      <c r="H181" s="17">
        <f>+GETPIVOTDATA(" New-Law",'Pivot Table for 1-11'!$A$3,"State","TN","SREB Type",4,"SREB Type2","Four-Year")</f>
        <v>0</v>
      </c>
      <c r="I181" s="6">
        <f>+GETPIVOTDATA(" New-Medicine",'Pivot Table for 1-11'!$A$3,"State","TN","SREB Type",4,"SREB Type2","Four-Year")</f>
        <v>0</v>
      </c>
      <c r="J181" s="6">
        <f>+GETPIVOTDATA(" New-Dentistry",'Pivot Table for 1-11'!$A$3,"State","TN","SREB Type",4,"SREB Type2","Four-Year")</f>
        <v>0</v>
      </c>
      <c r="K181" s="6">
        <f>+GETPIVOTDATA(" New-Pharmacy",'Pivot Table for 1-11'!$A$3,"State","TN","SREB Type",4,"SREB Type2","Four-Year")</f>
        <v>0</v>
      </c>
      <c r="L181" s="6">
        <f>+GETPIVOTDATA(" New-Optometry",'Pivot Table for 1-11'!$A$3,"State","TN","SREB Type",4,"SREB Type2","Four-Year")</f>
        <v>0</v>
      </c>
      <c r="M181" s="6">
        <f>+GETPIVOTDATA(" New-Osteopathic Medicine",'Pivot Table for 1-11'!$A$3,"State","TN","SREB Type",4,"SREB Type2","Four-Year")</f>
        <v>0</v>
      </c>
      <c r="N181" s="80">
        <f>+GETPIVOTDATA(" New-Veterinary Medicine",'Pivot Table for 1-11'!$A$3,"State","TN","SREB Type",4,"SREB Type2","Four-Year")</f>
        <v>0</v>
      </c>
      <c r="O181" s="97"/>
      <c r="P181" s="81">
        <f t="shared" si="8"/>
        <v>0</v>
      </c>
      <c r="Q181" s="85"/>
    </row>
    <row r="182" spans="1:17" ht="15" customHeight="1" x14ac:dyDescent="0.2">
      <c r="A182" s="5" t="s">
        <v>205</v>
      </c>
      <c r="B182" s="6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6">
        <f>+GETPIVOTDATA(" New-Associate's",'Pivot Table for 1-11'!$A$3,"State","TX","SREB Type",4,"SREB Type2","Four-Year")</f>
        <v>0</v>
      </c>
      <c r="D182" s="6">
        <f>+GETPIVOTDATA(" New-Bachelor's",'Pivot Table for 1-11'!$A$3,"State","TX","SREB Type",4,"SREB Type2","Four-Year")</f>
        <v>1464</v>
      </c>
      <c r="E182" s="6">
        <f>+GETPIVOTDATA(" New-Post-Bachelor's",'Pivot Table for 1-11'!$A$3,"State","TX","SREB Type",4,"SREB Type2","Four-Year")</f>
        <v>0</v>
      </c>
      <c r="F182" s="6">
        <f>+GETPIVOTDATA(" New-Total Master's#",'Pivot Table for 1-11'!$A$3,"State","TX","SREB Type",4,"SREB Type2","Four-Year")</f>
        <v>739</v>
      </c>
      <c r="G182" s="6">
        <f>+GETPIVOTDATA(" New-Total Doctorates#",'Pivot Table for 1-11'!$A$3,"State","TX","SREB Type",4,"SREB Type2","Four-Year")</f>
        <v>0</v>
      </c>
      <c r="H182" s="17">
        <f>+GETPIVOTDATA(" New-Law",'Pivot Table for 1-11'!$A$3,"State","TX","SREB Type",4,"SREB Type2","Four-Year")</f>
        <v>0</v>
      </c>
      <c r="I182" s="6">
        <f>+GETPIVOTDATA(" New-Medicine",'Pivot Table for 1-11'!$A$3,"State","TX","SREB Type",4,"SREB Type2","Four-Year")</f>
        <v>0</v>
      </c>
      <c r="J182" s="6">
        <f>+GETPIVOTDATA(" New-Dentistry",'Pivot Table for 1-11'!$A$3,"State","TX","SREB Type",4,"SREB Type2","Four-Year")</f>
        <v>0</v>
      </c>
      <c r="K182" s="6">
        <f>+GETPIVOTDATA(" New-Pharmacy",'Pivot Table for 1-11'!$A$3,"State","TX","SREB Type",4,"SREB Type2","Four-Year")</f>
        <v>0</v>
      </c>
      <c r="L182" s="6">
        <f>+GETPIVOTDATA(" New-Optometry",'Pivot Table for 1-11'!$A$3,"State","TX","SREB Type",4,"SREB Type2","Four-Year")</f>
        <v>0</v>
      </c>
      <c r="M182" s="6">
        <f>+GETPIVOTDATA(" New-Osteopathic Medicine",'Pivot Table for 1-11'!$A$3,"State","TX","SREB Type",4,"SREB Type2","Four-Year")</f>
        <v>0</v>
      </c>
      <c r="N182" s="80">
        <f>+GETPIVOTDATA(" New-Veterinary Medicine",'Pivot Table for 1-11'!$A$3,"State","TX","SREB Type",4,"SREB Type2","Four-Year")</f>
        <v>0</v>
      </c>
      <c r="O182" s="97"/>
      <c r="P182" s="81">
        <f t="shared" si="8"/>
        <v>2203</v>
      </c>
      <c r="Q182" s="85"/>
    </row>
    <row r="183" spans="1:17" ht="15" customHeight="1" x14ac:dyDescent="0.2">
      <c r="A183" s="5" t="s">
        <v>206</v>
      </c>
      <c r="B183" s="6">
        <f>+GETPIVOTDATA(" New-Less Than 2-Year",'Pivot Table for 1-11'!$A$3,"State","VA","SREB Type",4,"SREB Type2","Four-Year")+GETPIVOTDATA(" New-2 But Less Than 4-Year",'Pivot Table for 1-11'!$A$3,"State","VA","SREB Type",4,"SREB Type2","Four-Year")</f>
        <v>17</v>
      </c>
      <c r="C183" s="6">
        <f>+GETPIVOTDATA(" New-Associate's",'Pivot Table for 1-11'!$A$3,"State","VA","SREB Type",4,"SREB Type2","Four-Year")</f>
        <v>21</v>
      </c>
      <c r="D183" s="6">
        <f>+GETPIVOTDATA(" New-Bachelor's",'Pivot Table for 1-11'!$A$3,"State","VA","SREB Type",4,"SREB Type2","Four-Year")</f>
        <v>3526</v>
      </c>
      <c r="E183" s="6">
        <f>+GETPIVOTDATA(" New-Post-Bachelor's",'Pivot Table for 1-11'!$A$3,"State","VA","SREB Type",4,"SREB Type2","Four-Year")</f>
        <v>35</v>
      </c>
      <c r="F183" s="6">
        <f>+GETPIVOTDATA(" New-Total Master's#",'Pivot Table for 1-11'!$A$3,"State","VA","SREB Type",4,"SREB Type2","Four-Year")</f>
        <v>759</v>
      </c>
      <c r="G183" s="6">
        <f>+GETPIVOTDATA(" New-Total Doctorates#",'Pivot Table for 1-11'!$A$3,"State","VA","SREB Type",4,"SREB Type2","Four-Year")</f>
        <v>8</v>
      </c>
      <c r="H183" s="17">
        <f>+GETPIVOTDATA(" New-Law",'Pivot Table for 1-11'!$A$3,"State","VA","SREB Type",4,"SREB Type2","Four-Year")</f>
        <v>0</v>
      </c>
      <c r="I183" s="6">
        <f>+GETPIVOTDATA(" New-Medicine",'Pivot Table for 1-11'!$A$3,"State","VA","SREB Type",4,"SREB Type2","Four-Year")</f>
        <v>0</v>
      </c>
      <c r="J183" s="6">
        <f>+GETPIVOTDATA(" New-Dentistry",'Pivot Table for 1-11'!$A$3,"State","VA","SREB Type",4,"SREB Type2","Four-Year")</f>
        <v>0</v>
      </c>
      <c r="K183" s="6">
        <f>+GETPIVOTDATA(" New-Pharmacy",'Pivot Table for 1-11'!$A$3,"State","VA","SREB Type",4,"SREB Type2","Four-Year")</f>
        <v>0</v>
      </c>
      <c r="L183" s="6">
        <f>+GETPIVOTDATA(" New-Optometry",'Pivot Table for 1-11'!$A$3,"State","VA","SREB Type",4,"SREB Type2","Four-Year")</f>
        <v>0</v>
      </c>
      <c r="M183" s="6">
        <f>+GETPIVOTDATA(" New-Osteopathic Medicine",'Pivot Table for 1-11'!$A$3,"State","VA","SREB Type",4,"SREB Type2","Four-Year")</f>
        <v>0</v>
      </c>
      <c r="N183" s="80">
        <f>+GETPIVOTDATA(" New-Veterinary Medicine",'Pivot Table for 1-11'!$A$3,"State","VA","SREB Type",4,"SREB Type2","Four-Year")</f>
        <v>0</v>
      </c>
      <c r="O183" s="97"/>
      <c r="P183" s="81">
        <f t="shared" si="8"/>
        <v>4366</v>
      </c>
      <c r="Q183" s="85"/>
    </row>
    <row r="184" spans="1:17" ht="15" customHeight="1" x14ac:dyDescent="0.2">
      <c r="A184" s="9" t="s">
        <v>207</v>
      </c>
      <c r="B184" s="8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8">
        <f>+GETPIVOTDATA(" New-Associate's",'Pivot Table for 1-11'!$A$3,"State","WV","SREB Type",4,"SREB Type2","Four-Year")</f>
        <v>0</v>
      </c>
      <c r="D184" s="8">
        <f>+GETPIVOTDATA(" New-Bachelor's",'Pivot Table for 1-11'!$A$3,"State","WV","SREB Type",4,"SREB Type2","Four-Year")</f>
        <v>0</v>
      </c>
      <c r="E184" s="8">
        <f>+GETPIVOTDATA(" New-Post-Bachelor's",'Pivot Table for 1-11'!$A$3,"State","WV","SREB Type",4,"SREB Type2","Four-Year")</f>
        <v>0</v>
      </c>
      <c r="F184" s="8">
        <f>+GETPIVOTDATA(" New-Total Master's#",'Pivot Table for 1-11'!$A$3,"State","WV","SREB Type",4,"SREB Type2","Four-Year")</f>
        <v>0</v>
      </c>
      <c r="G184" s="8">
        <f>+GETPIVOTDATA(" New-Total Doctorates#",'Pivot Table for 1-11'!$A$3,"State","WV","SREB Type",4,"SREB Type2","Four-Year")</f>
        <v>0</v>
      </c>
      <c r="H184" s="18">
        <f>+GETPIVOTDATA(" New-Law",'Pivot Table for 1-11'!$A$3,"State","WV","SREB Type",4,"SREB Type2","Four-Year")</f>
        <v>0</v>
      </c>
      <c r="I184" s="8">
        <f>+GETPIVOTDATA(" New-Medicine",'Pivot Table for 1-11'!$A$3,"State","WV","SREB Type",4,"SREB Type2","Four-Year")</f>
        <v>0</v>
      </c>
      <c r="J184" s="8">
        <f>+GETPIVOTDATA(" New-Dentistry",'Pivot Table for 1-11'!$A$3,"State","WV","SREB Type",4,"SREB Type2","Four-Year")</f>
        <v>0</v>
      </c>
      <c r="K184" s="8">
        <f>+GETPIVOTDATA(" New-Pharmacy",'Pivot Table for 1-11'!$A$3,"State","WV","SREB Type",4,"SREB Type2","Four-Year")</f>
        <v>0</v>
      </c>
      <c r="L184" s="8">
        <f>+GETPIVOTDATA(" New-Optometry",'Pivot Table for 1-11'!$A$3,"State","WV","SREB Type",4,"SREB Type2","Four-Year")</f>
        <v>0</v>
      </c>
      <c r="M184" s="8">
        <f>+GETPIVOTDATA(" New-Osteopathic Medicine",'Pivot Table for 1-11'!$A$3,"State","WV","SREB Type",4,"SREB Type2","Four-Year")</f>
        <v>0</v>
      </c>
      <c r="N184" s="88">
        <f>+GETPIVOTDATA(" New-Veterinary Medicine",'Pivot Table for 1-11'!$A$3,"State","WV","SREB Type",4,"SREB Type2","Four-Year")</f>
        <v>0</v>
      </c>
      <c r="O184" s="98"/>
      <c r="P184" s="82">
        <f t="shared" si="8"/>
        <v>0</v>
      </c>
      <c r="Q184" s="85"/>
    </row>
    <row r="185" spans="1:17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0"/>
      <c r="O185" s="80"/>
      <c r="P185" s="80"/>
      <c r="Q185" s="85"/>
    </row>
    <row r="186" spans="1:17" ht="27" customHeight="1" x14ac:dyDescent="0.2">
      <c r="A186" s="856" t="s">
        <v>409</v>
      </c>
      <c r="B186" s="857"/>
      <c r="C186" s="857"/>
      <c r="D186" s="857"/>
      <c r="E186" s="857"/>
      <c r="F186" s="857"/>
      <c r="G186" s="857"/>
      <c r="H186" s="857"/>
      <c r="I186" s="857"/>
      <c r="J186" s="857"/>
      <c r="K186" s="857"/>
      <c r="L186" s="857"/>
      <c r="M186" s="857"/>
      <c r="N186" s="857"/>
      <c r="O186" s="857"/>
      <c r="P186" s="857"/>
      <c r="Q186" s="166"/>
    </row>
    <row r="187" spans="1:17" x14ac:dyDescent="0.2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0"/>
      <c r="O187" s="80"/>
      <c r="P187" s="83" t="s">
        <v>1293</v>
      </c>
      <c r="Q187" s="167"/>
    </row>
    <row r="188" spans="1:17" ht="18" x14ac:dyDescent="0.25">
      <c r="A188" s="22" t="s">
        <v>213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8"/>
      <c r="O188" s="58"/>
      <c r="P188" s="58"/>
      <c r="Q188" s="154" t="s">
        <v>216</v>
      </c>
    </row>
    <row r="189" spans="1:17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7"/>
      <c r="O189" s="57"/>
      <c r="P189" s="57"/>
      <c r="Q189" s="163"/>
    </row>
    <row r="190" spans="1:17" ht="15.75" x14ac:dyDescent="0.25">
      <c r="A190" s="1" t="s">
        <v>181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8"/>
      <c r="O190" s="58"/>
      <c r="P190" s="58"/>
      <c r="Q190" s="154" t="s">
        <v>216</v>
      </c>
    </row>
    <row r="191" spans="1:17" ht="15.75" x14ac:dyDescent="0.25">
      <c r="A191" s="1" t="s">
        <v>1287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8"/>
      <c r="O191" s="58"/>
      <c r="P191" s="58"/>
      <c r="Q191" s="154" t="s">
        <v>216</v>
      </c>
    </row>
    <row r="192" spans="1:1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59"/>
      <c r="O192" s="59"/>
      <c r="P192" s="59"/>
      <c r="Q192" s="169"/>
    </row>
    <row r="193" spans="1:24" ht="15.75" x14ac:dyDescent="0.25">
      <c r="A193" s="91"/>
      <c r="B193" s="91"/>
      <c r="C193" s="91"/>
      <c r="D193" s="91"/>
      <c r="E193" s="91"/>
      <c r="F193" s="91"/>
      <c r="G193" s="91"/>
      <c r="H193" s="95" t="s">
        <v>410</v>
      </c>
      <c r="I193" s="26"/>
      <c r="J193" s="26"/>
      <c r="K193" s="26"/>
      <c r="L193" s="26"/>
      <c r="M193" s="26"/>
      <c r="N193" s="92"/>
      <c r="O193" s="99"/>
      <c r="P193" s="94" t="s">
        <v>216</v>
      </c>
      <c r="Q193" s="169"/>
      <c r="R193" s="149"/>
      <c r="S193" s="149"/>
      <c r="X193" s="149"/>
    </row>
    <row r="194" spans="1:24" ht="50.25" customHeight="1" x14ac:dyDescent="0.2">
      <c r="A194" s="14"/>
      <c r="B194" s="15" t="s">
        <v>244</v>
      </c>
      <c r="C194" s="15" t="s">
        <v>182</v>
      </c>
      <c r="D194" s="15" t="s">
        <v>175</v>
      </c>
      <c r="E194" s="15" t="s">
        <v>176</v>
      </c>
      <c r="F194" s="15" t="s">
        <v>183</v>
      </c>
      <c r="G194" s="15" t="s">
        <v>184</v>
      </c>
      <c r="H194" s="16" t="s">
        <v>185</v>
      </c>
      <c r="I194" s="15" t="s">
        <v>186</v>
      </c>
      <c r="J194" s="15" t="s">
        <v>187</v>
      </c>
      <c r="K194" s="15" t="s">
        <v>179</v>
      </c>
      <c r="L194" s="15" t="s">
        <v>188</v>
      </c>
      <c r="M194" s="15" t="s">
        <v>189</v>
      </c>
      <c r="N194" s="90" t="s">
        <v>263</v>
      </c>
      <c r="O194" s="96" t="s">
        <v>238</v>
      </c>
      <c r="P194" s="90" t="s">
        <v>190</v>
      </c>
      <c r="Q194" s="170"/>
    </row>
    <row r="195" spans="1:24" ht="15" customHeight="1" x14ac:dyDescent="0.2">
      <c r="A195" s="10" t="s">
        <v>191</v>
      </c>
      <c r="B195" s="6">
        <f>+GETPIVOTDATA(" New-Less Than 2-Year",'Pivot Table for 1-11'!$A$3,"SREB Type",5,"SREB Type2","Four-Year")+GETPIVOTDATA(" New-2 But Less Than 4-Year",'Pivot Table for 1-11'!$A$3,"SREB Type",5,"SREB Type2","Four-Year")</f>
        <v>549</v>
      </c>
      <c r="C195" s="6">
        <f>+GETPIVOTDATA(" New-Associate's",'Pivot Table for 1-11'!$A$3,"SREB Type",5,"SREB Type2","Four-Year")</f>
        <v>693</v>
      </c>
      <c r="D195" s="6">
        <f>+GETPIVOTDATA(" New-Bachelor's",'Pivot Table for 1-11'!$A$3,"SREB Type",5,"SREB Type2","Four-Year")</f>
        <v>18929</v>
      </c>
      <c r="E195" s="6">
        <f>+GETPIVOTDATA(" New-Post-Bachelor's",'Pivot Table for 1-11'!$A$3,"SREB Type",5,"SREB Type2","Four-Year")</f>
        <v>11</v>
      </c>
      <c r="F195" s="6">
        <f>+GETPIVOTDATA(" New-Total Master's#",'Pivot Table for 1-11'!$A$3,"SREB Type",5,"SREB Type2","Four-Year")</f>
        <v>4173</v>
      </c>
      <c r="G195" s="6">
        <f>+GETPIVOTDATA(" New-Total Doctorates#",'Pivot Table for 1-11'!$A$3,"SREB Type",5,"SREB Type2","Four-Year")</f>
        <v>10</v>
      </c>
      <c r="H195" s="17">
        <f>+GETPIVOTDATA(" New-Law",'Pivot Table for 1-11'!$A$3,"SREB Type",5,"SREB Type2","Four-Year")</f>
        <v>0</v>
      </c>
      <c r="I195" s="6">
        <f>+GETPIVOTDATA(" New-Medicine",'Pivot Table for 1-11'!$A$3,"SREB Type",5,"SREB Type2","Four-Year")</f>
        <v>0</v>
      </c>
      <c r="J195" s="6">
        <f>+GETPIVOTDATA(" New-Dentistry",'Pivot Table for 1-11'!$A$3,"SREB Type",5,"SREB Type2","Four-Year")</f>
        <v>0</v>
      </c>
      <c r="K195" s="6">
        <f>+GETPIVOTDATA(" New-Pharmacy",'Pivot Table for 1-11'!$A$3,"SREB Type",5,"SREB Type2","Four-Year")</f>
        <v>77</v>
      </c>
      <c r="L195" s="6">
        <f>+GETPIVOTDATA(" New-Optometry",'Pivot Table for 1-11'!$A$3,"SREB Type",5,"SREB Type2","Four-Year")</f>
        <v>0</v>
      </c>
      <c r="M195" s="6">
        <f>+GETPIVOTDATA(" New-Osteopathic Medicine",'Pivot Table for 1-11'!$A$3,"SREB Type",5,"SREB Type2","Four-Year")</f>
        <v>0</v>
      </c>
      <c r="N195" s="80">
        <f>+GETPIVOTDATA(" New-Veterinary Medicine",'Pivot Table for 1-11'!$A$3,"SREB Type",5,"SREB Type2","Four-Year")</f>
        <v>0</v>
      </c>
      <c r="O195" s="97">
        <f>+GETPIVOTDATA(" New-Oth PP",'Pivot Table for 1-11'!$A$3,"SREB Type",5,"SREB Type2","Four-Year")</f>
        <v>0</v>
      </c>
      <c r="P195" s="81">
        <f>SUM(B195:O195)</f>
        <v>24442</v>
      </c>
      <c r="Q195" s="85"/>
    </row>
    <row r="196" spans="1:24" ht="15" customHeight="1" x14ac:dyDescent="0.2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0"/>
      <c r="O196" s="97"/>
      <c r="P196" s="81"/>
      <c r="Q196" s="85"/>
    </row>
    <row r="197" spans="1:24" ht="15" customHeight="1" x14ac:dyDescent="0.2">
      <c r="A197" s="5" t="s">
        <v>192</v>
      </c>
      <c r="B197" s="6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6">
        <f>+GETPIVOTDATA(" New-Associate's",'Pivot Table for 1-11'!$A$3,"State","AL","SREB Type",5,"SREB Type2","Four-Year")</f>
        <v>53</v>
      </c>
      <c r="D197" s="6">
        <f>+GETPIVOTDATA(" New-Bachelor's",'Pivot Table for 1-11'!$A$3,"State","AL","SREB Type",5,"SREB Type2","Four-Year")</f>
        <v>591</v>
      </c>
      <c r="E197" s="6">
        <f>+GETPIVOTDATA(" New-Post-Bachelor's",'Pivot Table for 1-11'!$A$3,"State","AL","SREB Type",5,"SREB Type2","Four-Year")</f>
        <v>0</v>
      </c>
      <c r="F197" s="6">
        <f>+GETPIVOTDATA(" New-Total Master's#",'Pivot Table for 1-11'!$A$3,"State","AL","SREB Type",5,"SREB Type2","Four-Year")</f>
        <v>1119</v>
      </c>
      <c r="G197" s="6">
        <f>+GETPIVOTDATA(" New-Total Doctorates#",'Pivot Table for 1-11'!$A$3,"State","AL","SREB Type",5,"SREB Type2","Four-Year")</f>
        <v>0</v>
      </c>
      <c r="H197" s="17">
        <f>+GETPIVOTDATA(" New-Law",'Pivot Table for 1-11'!$A$3,"State","AL","SREB Type",5,"SREB Type2","Four-Year")</f>
        <v>0</v>
      </c>
      <c r="I197" s="6">
        <f>+GETPIVOTDATA(" New-Medicine",'Pivot Table for 1-11'!$A$3,"State","AL","SREB Type",5,"SREB Type2","Four-Year")</f>
        <v>0</v>
      </c>
      <c r="J197" s="6">
        <f>+GETPIVOTDATA(" New-Dentistry",'Pivot Table for 1-11'!$A$3,"State","AL","SREB Type",5,"SREB Type2","Four-Year")</f>
        <v>0</v>
      </c>
      <c r="K197" s="6">
        <f>+GETPIVOTDATA(" New-Pharmacy",'Pivot Table for 1-11'!$A$3,"State","AL","SREB Type",5,"SREB Type2","Four-Year")</f>
        <v>0</v>
      </c>
      <c r="L197" s="6">
        <f>+GETPIVOTDATA(" New-Optometry",'Pivot Table for 1-11'!$A$3,"State","AL","SREB Type",5,"SREB Type2","Four-Year")</f>
        <v>0</v>
      </c>
      <c r="M197" s="6">
        <f>+GETPIVOTDATA(" New-Osteopathic Medicine",'Pivot Table for 1-11'!$A$3,"State","AL","SREB Type",5,"SREB Type2","Four-Year")</f>
        <v>0</v>
      </c>
      <c r="N197" s="80">
        <f>+GETPIVOTDATA(" New-Veterinary Medicine",'Pivot Table for 1-11'!$A$3,"State","AL","SREB Type",5,"SREB Type2","Four-Year")</f>
        <v>0</v>
      </c>
      <c r="O197" s="97">
        <f>+GETPIVOTDATA(" New-Oth PP",'Pivot Table for 1-11'!$A$3,"State","AL","SREB Type",5,"SREB Type2","Four-Year")</f>
        <v>0</v>
      </c>
      <c r="P197" s="81">
        <f t="shared" ref="P197:P215" si="9">SUM(B197:O197)</f>
        <v>1763</v>
      </c>
      <c r="Q197" s="85"/>
    </row>
    <row r="198" spans="1:24" ht="15" customHeight="1" x14ac:dyDescent="0.2">
      <c r="A198" s="5" t="s">
        <v>193</v>
      </c>
      <c r="B198" s="6">
        <f>+GETPIVOTDATA(" New-Less Than 2-Year",'Pivot Table for 1-11'!$A$3,"State","AR","SREB Type",5,"SREB Type2","Four-Year")+GETPIVOTDATA(" New-2 But Less Than 4-Year",'Pivot Table for 1-11'!$A$3,"State","AR","SREB Type",5,"SREB Type2","Four-Year")</f>
        <v>447</v>
      </c>
      <c r="C198" s="6">
        <f>+GETPIVOTDATA(" New-Associate's",'Pivot Table for 1-11'!$A$3,"State","AR","SREB Type",5,"SREB Type2","Four-Year")</f>
        <v>193</v>
      </c>
      <c r="D198" s="6">
        <f>+GETPIVOTDATA(" New-Bachelor's",'Pivot Table for 1-11'!$A$3,"State","AR","SREB Type",5,"SREB Type2","Four-Year")</f>
        <v>370</v>
      </c>
      <c r="E198" s="6">
        <f>+GETPIVOTDATA(" New-Post-Bachelor's",'Pivot Table for 1-11'!$A$3,"State","AR","SREB Type",5,"SREB Type2","Four-Year")</f>
        <v>0</v>
      </c>
      <c r="F198" s="6">
        <f>+GETPIVOTDATA(" New-Total Master's#",'Pivot Table for 1-11'!$A$3,"State","AR","SREB Type",5,"SREB Type2","Four-Year")</f>
        <v>48</v>
      </c>
      <c r="G198" s="6">
        <f>+GETPIVOTDATA(" New-Total Doctorates#",'Pivot Table for 1-11'!$A$3,"State","AR","SREB Type",5,"SREB Type2","Four-Year")</f>
        <v>0</v>
      </c>
      <c r="H198" s="17">
        <f>+GETPIVOTDATA(" New-Law",'Pivot Table for 1-11'!$A$3,"State","AR","SREB Type",5,"SREB Type2","Four-Year")</f>
        <v>0</v>
      </c>
      <c r="I198" s="6">
        <f>+GETPIVOTDATA(" New-Medicine",'Pivot Table for 1-11'!$A$3,"State","AR","SREB Type",5,"SREB Type2","Four-Year")</f>
        <v>0</v>
      </c>
      <c r="J198" s="6">
        <f>+GETPIVOTDATA(" New-Dentistry",'Pivot Table for 1-11'!$A$3,"State","AR","SREB Type",5,"SREB Type2","Four-Year")</f>
        <v>0</v>
      </c>
      <c r="K198" s="6">
        <f>+GETPIVOTDATA(" New-Pharmacy",'Pivot Table for 1-11'!$A$3,"State","AR","SREB Type",5,"SREB Type2","Four-Year")</f>
        <v>0</v>
      </c>
      <c r="L198" s="6">
        <f>+GETPIVOTDATA(" New-Optometry",'Pivot Table for 1-11'!$A$3,"State","AR","SREB Type",5,"SREB Type2","Four-Year")</f>
        <v>0</v>
      </c>
      <c r="M198" s="6">
        <f>+GETPIVOTDATA(" New-Osteopathic Medicine",'Pivot Table for 1-11'!$A$3,"State","AR","SREB Type",5,"SREB Type2","Four-Year")</f>
        <v>0</v>
      </c>
      <c r="N198" s="80">
        <f>+GETPIVOTDATA(" New-Veterinary Medicine",'Pivot Table for 1-11'!$A$3,"State","AR","SREB Type",5,"SREB Type2","Four-Year")</f>
        <v>0</v>
      </c>
      <c r="O198" s="97">
        <f>+GETPIVOTDATA(" New-Oth PP",'Pivot Table for 1-11'!$A$3,"State","AR","SREB Type",5,"SREB Type2","Four-Year")</f>
        <v>0</v>
      </c>
      <c r="P198" s="81">
        <f t="shared" si="9"/>
        <v>1058</v>
      </c>
      <c r="Q198" s="85"/>
    </row>
    <row r="199" spans="1:24" ht="15" customHeight="1" x14ac:dyDescent="0.2">
      <c r="A199" s="5" t="s">
        <v>194</v>
      </c>
      <c r="B199" s="6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6">
        <f>+GETPIVOTDATA(" New-Associate's",'Pivot Table for 1-11'!$A$3,"State","DE","SREB Type",5,"SREB Type2","Four-Year")</f>
        <v>0</v>
      </c>
      <c r="D199" s="6">
        <f>+GETPIVOTDATA(" New-Bachelor's",'Pivot Table for 1-11'!$A$3,"State","DE","SREB Type",5,"SREB Type2","Four-Year")</f>
        <v>0</v>
      </c>
      <c r="E199" s="6">
        <f>+GETPIVOTDATA(" New-Post-Bachelor's",'Pivot Table for 1-11'!$A$3,"State","DE","SREB Type",5,"SREB Type2","Four-Year")</f>
        <v>0</v>
      </c>
      <c r="F199" s="6">
        <f>+GETPIVOTDATA(" New-Total Master's#",'Pivot Table for 1-11'!$A$3,"State","DE","SREB Type",5,"SREB Type2","Four-Year")</f>
        <v>0</v>
      </c>
      <c r="G199" s="6">
        <f>+GETPIVOTDATA(" New-Total Doctorates#",'Pivot Table for 1-11'!$A$3,"State","DE","SREB Type",5,"SREB Type2","Four-Year")</f>
        <v>0</v>
      </c>
      <c r="H199" s="17">
        <f>+GETPIVOTDATA(" New-Law",'Pivot Table for 1-11'!$A$3,"State","DE","SREB Type",5,"SREB Type2","Four-Year")</f>
        <v>0</v>
      </c>
      <c r="I199" s="6">
        <f>+GETPIVOTDATA(" New-Medicine",'Pivot Table for 1-11'!$A$3,"State","DE","SREB Type",5,"SREB Type2","Four-Year")</f>
        <v>0</v>
      </c>
      <c r="J199" s="6">
        <f>+GETPIVOTDATA(" New-Dentistry",'Pivot Table for 1-11'!$A$3,"State","DE","SREB Type",5,"SREB Type2","Four-Year")</f>
        <v>0</v>
      </c>
      <c r="K199" s="6">
        <f>+GETPIVOTDATA(" New-Pharmacy",'Pivot Table for 1-11'!$A$3,"State","DE","SREB Type",5,"SREB Type2","Four-Year")</f>
        <v>0</v>
      </c>
      <c r="L199" s="6">
        <f>+GETPIVOTDATA(" New-Optometry",'Pivot Table for 1-11'!$A$3,"State","DE","SREB Type",5,"SREB Type2","Four-Year")</f>
        <v>0</v>
      </c>
      <c r="M199" s="6">
        <f>+GETPIVOTDATA(" New-Osteopathic Medicine",'Pivot Table for 1-11'!$A$3,"State","DE","SREB Type",5,"SREB Type2","Four-Year")</f>
        <v>0</v>
      </c>
      <c r="N199" s="80">
        <f>+GETPIVOTDATA(" New-Veterinary Medicine",'Pivot Table for 1-11'!$A$3,"State","DE","SREB Type",5,"SREB Type2","Four-Year")</f>
        <v>0</v>
      </c>
      <c r="O199" s="97">
        <f>+GETPIVOTDATA(" New-Oth PP",'Pivot Table for 1-11'!$A$3,"State","DE","SREB Type",5,"SREB Type2","Four-Year")</f>
        <v>0</v>
      </c>
      <c r="P199" s="81">
        <f t="shared" si="9"/>
        <v>0</v>
      </c>
      <c r="Q199" s="85"/>
    </row>
    <row r="200" spans="1:24" ht="15" customHeight="1" x14ac:dyDescent="0.2">
      <c r="A200" s="5" t="s">
        <v>195</v>
      </c>
      <c r="B200" s="6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6">
        <f>+GETPIVOTDATA(" New-Associate's",'Pivot Table for 1-11'!$A$3,"State","FL","SREB Type",5,"SREB Type2","Four-Year")</f>
        <v>0</v>
      </c>
      <c r="D200" s="6">
        <f>+GETPIVOTDATA(" New-Bachelor's",'Pivot Table for 1-11'!$A$3,"State","FL","SREB Type",5,"SREB Type2","Four-Year")</f>
        <v>0</v>
      </c>
      <c r="E200" s="6">
        <f>+GETPIVOTDATA(" New-Post-Bachelor's",'Pivot Table for 1-11'!$A$3,"State","FL","SREB Type",5,"SREB Type2","Four-Year")</f>
        <v>0</v>
      </c>
      <c r="F200" s="6">
        <f>+GETPIVOTDATA(" New-Total Master's#",'Pivot Table for 1-11'!$A$3,"State","FL","SREB Type",5,"SREB Type2","Four-Year")</f>
        <v>0</v>
      </c>
      <c r="G200" s="6">
        <f>+GETPIVOTDATA(" New-Total Doctorates#",'Pivot Table for 1-11'!$A$3,"State","FL","SREB Type",5,"SREB Type2","Four-Year")</f>
        <v>0</v>
      </c>
      <c r="H200" s="17">
        <f>+GETPIVOTDATA(" New-Law",'Pivot Table for 1-11'!$A$3,"State","FL","SREB Type",5,"SREB Type2","Four-Year")</f>
        <v>0</v>
      </c>
      <c r="I200" s="6">
        <f>+GETPIVOTDATA(" New-Medicine",'Pivot Table for 1-11'!$A$3,"State","FL","SREB Type",5,"SREB Type2","Four-Year")</f>
        <v>0</v>
      </c>
      <c r="J200" s="6">
        <f>+GETPIVOTDATA(" New-Dentistry",'Pivot Table for 1-11'!$A$3,"State","FL","SREB Type",5,"SREB Type2","Four-Year")</f>
        <v>0</v>
      </c>
      <c r="K200" s="6">
        <f>+GETPIVOTDATA(" New-Pharmacy",'Pivot Table for 1-11'!$A$3,"State","FL","SREB Type",5,"SREB Type2","Four-Year")</f>
        <v>0</v>
      </c>
      <c r="L200" s="6">
        <f>+GETPIVOTDATA(" New-Optometry",'Pivot Table for 1-11'!$A$3,"State","FL","SREB Type",5,"SREB Type2","Four-Year")</f>
        <v>0</v>
      </c>
      <c r="M200" s="6">
        <f>+GETPIVOTDATA(" New-Osteopathic Medicine",'Pivot Table for 1-11'!$A$3,"State","FL","SREB Type",5,"SREB Type2","Four-Year")</f>
        <v>0</v>
      </c>
      <c r="N200" s="80">
        <f>+GETPIVOTDATA(" New-Veterinary Medicine",'Pivot Table for 1-11'!$A$3,"State","FL","SREB Type",5,"SREB Type2","Four-Year")</f>
        <v>0</v>
      </c>
      <c r="O200" s="97">
        <f>+GETPIVOTDATA(" New-Oth PP",'Pivot Table for 1-11'!$A$3,"State","FL","SREB Type",5,"SREB Type2","Four-Year")</f>
        <v>0</v>
      </c>
      <c r="P200" s="81">
        <f t="shared" si="9"/>
        <v>0</v>
      </c>
      <c r="Q200" s="85"/>
    </row>
    <row r="201" spans="1:24" ht="15" customHeight="1" x14ac:dyDescent="0.2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0"/>
      <c r="O201" s="97"/>
      <c r="P201" s="81">
        <f t="shared" si="9"/>
        <v>0</v>
      </c>
      <c r="Q201" s="85"/>
    </row>
    <row r="202" spans="1:24" ht="15" customHeight="1" x14ac:dyDescent="0.2">
      <c r="A202" s="5" t="s">
        <v>196</v>
      </c>
      <c r="B202" s="6">
        <f>+GETPIVOTDATA(" New-Less Than 2-Year",'Pivot Table for 1-11'!$A$3,"State","GA","SREB Type",5,"SREB Type2","Four-Year")+GETPIVOTDATA(" New-2 But Less Than 4-Year",'Pivot Table for 1-11'!$A$3,"State","GA","SREB Type",5,"SREB Type2","Four-Year")</f>
        <v>88</v>
      </c>
      <c r="C202" s="6">
        <f>+GETPIVOTDATA(" New-Associate's",'Pivot Table for 1-11'!$A$3,"State","GA","SREB Type",5,"SREB Type2","Four-Year")</f>
        <v>60</v>
      </c>
      <c r="D202" s="6">
        <f>+GETPIVOTDATA(" New-Bachelor's",'Pivot Table for 1-11'!$A$3,"State","GA","SREB Type",5,"SREB Type2","Four-Year")</f>
        <v>2338</v>
      </c>
      <c r="E202" s="6">
        <f>+GETPIVOTDATA(" New-Post-Bachelor's",'Pivot Table for 1-11'!$A$3,"State","GA","SREB Type",5,"SREB Type2","Four-Year")</f>
        <v>0</v>
      </c>
      <c r="F202" s="6">
        <f>+GETPIVOTDATA(" New-Total Master's#",'Pivot Table for 1-11'!$A$3,"State","GA","SREB Type",5,"SREB Type2","Four-Year")</f>
        <v>354</v>
      </c>
      <c r="G202" s="6">
        <f>+GETPIVOTDATA(" New-Total Doctorates#",'Pivot Table for 1-11'!$A$3,"State","GA","SREB Type",5,"SREB Type2","Four-Year")</f>
        <v>0</v>
      </c>
      <c r="H202" s="17">
        <f>+GETPIVOTDATA(" New-Law",'Pivot Table for 1-11'!$A$3,"State","GA","SREB Type",5,"SREB Type2","Four-Year")</f>
        <v>0</v>
      </c>
      <c r="I202" s="6">
        <f>+GETPIVOTDATA(" New-Medicine",'Pivot Table for 1-11'!$A$3,"State","GA","SREB Type",5,"SREB Type2","Four-Year")</f>
        <v>0</v>
      </c>
      <c r="J202" s="6">
        <f>+GETPIVOTDATA(" New-Dentistry",'Pivot Table for 1-11'!$A$3,"State","GA","SREB Type",5,"SREB Type2","Four-Year")</f>
        <v>0</v>
      </c>
      <c r="K202" s="6">
        <f>+GETPIVOTDATA(" New-Pharmacy",'Pivot Table for 1-11'!$A$3,"State","GA","SREB Type",5,"SREB Type2","Four-Year")</f>
        <v>0</v>
      </c>
      <c r="L202" s="6">
        <f>+GETPIVOTDATA(" New-Optometry",'Pivot Table for 1-11'!$A$3,"State","GA","SREB Type",5,"SREB Type2","Four-Year")</f>
        <v>0</v>
      </c>
      <c r="M202" s="6">
        <f>+GETPIVOTDATA(" New-Osteopathic Medicine",'Pivot Table for 1-11'!$A$3,"State","GA","SREB Type",5,"SREB Type2","Four-Year")</f>
        <v>0</v>
      </c>
      <c r="N202" s="80">
        <f>+GETPIVOTDATA(" New-Veterinary Medicine",'Pivot Table for 1-11'!$A$3,"State","GA","SREB Type",5,"SREB Type2","Four-Year")</f>
        <v>0</v>
      </c>
      <c r="O202" s="97">
        <f>+GETPIVOTDATA(" New-Oth PP",'Pivot Table for 1-11'!$A$3,"State","GA","SREB Type",5,"SREB Type2","Four-Year")</f>
        <v>0</v>
      </c>
      <c r="P202" s="81">
        <f t="shared" si="9"/>
        <v>2840</v>
      </c>
      <c r="Q202" s="85"/>
    </row>
    <row r="203" spans="1:24" ht="15" customHeight="1" x14ac:dyDescent="0.2">
      <c r="A203" s="5" t="s">
        <v>197</v>
      </c>
      <c r="B203" s="6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6">
        <f>+GETPIVOTDATA(" New-Associate's",'Pivot Table for 1-11'!$A$3,"State","KY","SREB Type",5,"SREB Type2","Four-Year")</f>
        <v>0</v>
      </c>
      <c r="D203" s="6">
        <f>+GETPIVOTDATA(" New-Bachelor's",'Pivot Table for 1-11'!$A$3,"State","KY","SREB Type",5,"SREB Type2","Four-Year")</f>
        <v>0</v>
      </c>
      <c r="E203" s="6">
        <f>+GETPIVOTDATA(" New-Post-Bachelor's",'Pivot Table for 1-11'!$A$3,"State","KY","SREB Type",5,"SREB Type2","Four-Year")</f>
        <v>0</v>
      </c>
      <c r="F203" s="6">
        <f>+GETPIVOTDATA(" New-Total Master's#",'Pivot Table for 1-11'!$A$3,"State","KY","SREB Type",5,"SREB Type2","Four-Year")</f>
        <v>0</v>
      </c>
      <c r="G203" s="6">
        <f>+GETPIVOTDATA(" New-Total Doctorates#",'Pivot Table for 1-11'!$A$3,"State","KY","SREB Type",5,"SREB Type2","Four-Year")</f>
        <v>0</v>
      </c>
      <c r="H203" s="17">
        <f>+GETPIVOTDATA(" New-Law",'Pivot Table for 1-11'!$A$3,"State","KY","SREB Type",5,"SREB Type2","Four-Year")</f>
        <v>0</v>
      </c>
      <c r="I203" s="6">
        <f>+GETPIVOTDATA(" New-Medicine",'Pivot Table for 1-11'!$A$3,"State","KY","SREB Type",5,"SREB Type2","Four-Year")</f>
        <v>0</v>
      </c>
      <c r="J203" s="6">
        <f>+GETPIVOTDATA(" New-Dentistry",'Pivot Table for 1-11'!$A$3,"State","KY","SREB Type",5,"SREB Type2","Four-Year")</f>
        <v>0</v>
      </c>
      <c r="K203" s="6">
        <f>+GETPIVOTDATA(" New-Pharmacy",'Pivot Table for 1-11'!$A$3,"State","KY","SREB Type",5,"SREB Type2","Four-Year")</f>
        <v>0</v>
      </c>
      <c r="L203" s="6">
        <f>+GETPIVOTDATA(" New-Optometry",'Pivot Table for 1-11'!$A$3,"State","KY","SREB Type",5,"SREB Type2","Four-Year")</f>
        <v>0</v>
      </c>
      <c r="M203" s="6">
        <f>+GETPIVOTDATA(" New-Osteopathic Medicine",'Pivot Table for 1-11'!$A$3,"State","KY","SREB Type",5,"SREB Type2","Four-Year")</f>
        <v>0</v>
      </c>
      <c r="N203" s="80">
        <f>+GETPIVOTDATA(" New-Veterinary Medicine",'Pivot Table for 1-11'!$A$3,"State","KY","SREB Type",5,"SREB Type2","Four-Year")</f>
        <v>0</v>
      </c>
      <c r="O203" s="97">
        <f>+GETPIVOTDATA(" New-Oth PP",'Pivot Table for 1-11'!$A$3,"State","KY","SREB Type",5,"SREB Type2","Four-Year")</f>
        <v>0</v>
      </c>
      <c r="P203" s="81">
        <f t="shared" si="9"/>
        <v>0</v>
      </c>
      <c r="Q203" s="85"/>
    </row>
    <row r="204" spans="1:24" ht="15" customHeight="1" x14ac:dyDescent="0.2">
      <c r="A204" s="5" t="s">
        <v>198</v>
      </c>
      <c r="B204" s="6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6">
        <f>+GETPIVOTDATA(" New-Associate's",'Pivot Table for 1-11'!$A$3,"State","LA","SREB Type",5,"SREB Type2","Four-Year")</f>
        <v>0</v>
      </c>
      <c r="D204" s="6">
        <f>+GETPIVOTDATA(" New-Bachelor's",'Pivot Table for 1-11'!$A$3,"State","LA","SREB Type",5,"SREB Type2","Four-Year")</f>
        <v>0</v>
      </c>
      <c r="E204" s="6">
        <f>+GETPIVOTDATA(" New-Post-Bachelor's",'Pivot Table for 1-11'!$A$3,"State","LA","SREB Type",5,"SREB Type2","Four-Year")</f>
        <v>0</v>
      </c>
      <c r="F204" s="6">
        <f>+GETPIVOTDATA(" New-Total Master's#",'Pivot Table for 1-11'!$A$3,"State","LA","SREB Type",5,"SREB Type2","Four-Year")</f>
        <v>0</v>
      </c>
      <c r="G204" s="6">
        <f>+GETPIVOTDATA(" New-Total Doctorates#",'Pivot Table for 1-11'!$A$3,"State","LA","SREB Type",5,"SREB Type2","Four-Year")</f>
        <v>0</v>
      </c>
      <c r="H204" s="17">
        <f>+GETPIVOTDATA(" New-Law",'Pivot Table for 1-11'!$A$3,"State","LA","SREB Type",5,"SREB Type2","Four-Year")</f>
        <v>0</v>
      </c>
      <c r="I204" s="6">
        <f>+GETPIVOTDATA(" New-Medicine",'Pivot Table for 1-11'!$A$3,"State","LA","SREB Type",5,"SREB Type2","Four-Year")</f>
        <v>0</v>
      </c>
      <c r="J204" s="6">
        <f>+GETPIVOTDATA(" New-Dentistry",'Pivot Table for 1-11'!$A$3,"State","LA","SREB Type",5,"SREB Type2","Four-Year")</f>
        <v>0</v>
      </c>
      <c r="K204" s="6">
        <f>+GETPIVOTDATA(" New-Pharmacy",'Pivot Table for 1-11'!$A$3,"State","LA","SREB Type",5,"SREB Type2","Four-Year")</f>
        <v>0</v>
      </c>
      <c r="L204" s="6">
        <f>+GETPIVOTDATA(" New-Optometry",'Pivot Table for 1-11'!$A$3,"State","LA","SREB Type",5,"SREB Type2","Four-Year")</f>
        <v>0</v>
      </c>
      <c r="M204" s="6">
        <f>+GETPIVOTDATA(" New-Osteopathic Medicine",'Pivot Table for 1-11'!$A$3,"State","LA","SREB Type",5,"SREB Type2","Four-Year")</f>
        <v>0</v>
      </c>
      <c r="N204" s="80">
        <f>+GETPIVOTDATA(" New-Veterinary Medicine",'Pivot Table for 1-11'!$A$3,"State","LA","SREB Type",5,"SREB Type2","Four-Year")</f>
        <v>0</v>
      </c>
      <c r="O204" s="97">
        <f>+GETPIVOTDATA(" New-Oth PP",'Pivot Table for 1-11'!$A$3,"State","LA","SREB Type",5,"SREB Type2","Four-Year")</f>
        <v>0</v>
      </c>
      <c r="P204" s="81">
        <f t="shared" si="9"/>
        <v>0</v>
      </c>
      <c r="Q204" s="85"/>
    </row>
    <row r="205" spans="1:24" ht="15" customHeight="1" x14ac:dyDescent="0.2">
      <c r="A205" s="5" t="s">
        <v>199</v>
      </c>
      <c r="B205" s="6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6">
        <f>+GETPIVOTDATA(" New-Associate's",'Pivot Table for 1-11'!$A$3,"State","MD","SREB Type",5,"SREB Type2","Four-Year")</f>
        <v>0</v>
      </c>
      <c r="D205" s="6">
        <f>+GETPIVOTDATA(" New-Bachelor's",'Pivot Table for 1-11'!$A$3,"State","MD","SREB Type",5,"SREB Type2","Four-Year")</f>
        <v>460</v>
      </c>
      <c r="E205" s="6">
        <f>+GETPIVOTDATA(" New-Post-Bachelor's",'Pivot Table for 1-11'!$A$3,"State","MD","SREB Type",5,"SREB Type2","Four-Year")</f>
        <v>0</v>
      </c>
      <c r="F205" s="6">
        <f>+GETPIVOTDATA(" New-Total Master's#",'Pivot Table for 1-11'!$A$3,"State","MD","SREB Type",5,"SREB Type2","Four-Year")</f>
        <v>58</v>
      </c>
      <c r="G205" s="6">
        <f>+GETPIVOTDATA(" New-Total Doctorates#",'Pivot Table for 1-11'!$A$3,"State","MD","SREB Type",5,"SREB Type2","Four-Year")</f>
        <v>0</v>
      </c>
      <c r="H205" s="17">
        <f>+GETPIVOTDATA(" New-Law",'Pivot Table for 1-11'!$A$3,"State","MD","SREB Type",5,"SREB Type2","Four-Year")</f>
        <v>0</v>
      </c>
      <c r="I205" s="6">
        <f>+GETPIVOTDATA(" New-Medicine",'Pivot Table for 1-11'!$A$3,"State","MD","SREB Type",5,"SREB Type2","Four-Year")</f>
        <v>0</v>
      </c>
      <c r="J205" s="6">
        <f>+GETPIVOTDATA(" New-Dentistry",'Pivot Table for 1-11'!$A$3,"State","MD","SREB Type",5,"SREB Type2","Four-Year")</f>
        <v>0</v>
      </c>
      <c r="K205" s="6">
        <f>+GETPIVOTDATA(" New-Pharmacy",'Pivot Table for 1-11'!$A$3,"State","MD","SREB Type",5,"SREB Type2","Four-Year")</f>
        <v>0</v>
      </c>
      <c r="L205" s="6">
        <f>+GETPIVOTDATA(" New-Optometry",'Pivot Table for 1-11'!$A$3,"State","MD","SREB Type",5,"SREB Type2","Four-Year")</f>
        <v>0</v>
      </c>
      <c r="M205" s="6">
        <f>+GETPIVOTDATA(" New-Osteopathic Medicine",'Pivot Table for 1-11'!$A$3,"State","MD","SREB Type",5,"SREB Type2","Four-Year")</f>
        <v>0</v>
      </c>
      <c r="N205" s="80">
        <f>+GETPIVOTDATA(" New-Veterinary Medicine",'Pivot Table for 1-11'!$A$3,"State","MD","SREB Type",5,"SREB Type2","Four-Year")</f>
        <v>0</v>
      </c>
      <c r="O205" s="97">
        <f>+GETPIVOTDATA(" New-Oth PP",'Pivot Table for 1-11'!$A$3,"State","MD","SREB Type",5,"SREB Type2","Four-Year")</f>
        <v>0</v>
      </c>
      <c r="P205" s="81">
        <f t="shared" si="9"/>
        <v>518</v>
      </c>
      <c r="Q205" s="85"/>
    </row>
    <row r="206" spans="1:24" ht="15" customHeight="1" x14ac:dyDescent="0.2">
      <c r="A206" s="5"/>
      <c r="B206" s="6">
        <f>+GETPIVOTDATA(" New-Less Than 2-Year",'Pivot Table for 1-11'!$A$3,"State","AR","SREB Type",5,"SREB Type2","Four-Year")+GETPIVOTDATA(" New-2 But Less Than 4-Year",'Pivot Table for 1-11'!$A$3,"State","AR","SREB Type",5,"SREB Type2","Four-Year")</f>
        <v>447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0"/>
      <c r="O206" s="97"/>
      <c r="P206" s="81">
        <f t="shared" si="9"/>
        <v>447</v>
      </c>
      <c r="Q206" s="85"/>
    </row>
    <row r="207" spans="1:24" ht="15" customHeight="1" x14ac:dyDescent="0.2">
      <c r="A207" s="5" t="s">
        <v>200</v>
      </c>
      <c r="B207" s="6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6">
        <f>+GETPIVOTDATA(" New-Associate's",'Pivot Table for 1-11'!$A$3,"State","MS","SREB Type",5,"SREB Type2","Four-Year")</f>
        <v>48</v>
      </c>
      <c r="D207" s="6">
        <f>+GETPIVOTDATA(" New-Bachelor's",'Pivot Table for 1-11'!$A$3,"State","MS","SREB Type",5,"SREB Type2","Four-Year")</f>
        <v>569</v>
      </c>
      <c r="E207" s="6">
        <f>+GETPIVOTDATA(" New-Post-Bachelor's",'Pivot Table for 1-11'!$A$3,"State","MS","SREB Type",5,"SREB Type2","Four-Year")</f>
        <v>0</v>
      </c>
      <c r="F207" s="6">
        <f>+GETPIVOTDATA(" New-Total Master's#",'Pivot Table for 1-11'!$A$3,"State","MS","SREB Type",5,"SREB Type2","Four-Year")</f>
        <v>93</v>
      </c>
      <c r="G207" s="6">
        <f>+GETPIVOTDATA(" New-Total Doctorates#",'Pivot Table for 1-11'!$A$3,"State","MS","SREB Type",5,"SREB Type2","Four-Year")</f>
        <v>0</v>
      </c>
      <c r="H207" s="17">
        <f>+GETPIVOTDATA(" New-Law",'Pivot Table for 1-11'!$A$3,"State","MS","SREB Type",5,"SREB Type2","Four-Year")</f>
        <v>0</v>
      </c>
      <c r="I207" s="6">
        <f>+GETPIVOTDATA(" New-Medicine",'Pivot Table for 1-11'!$A$3,"State","MS","SREB Type",5,"SREB Type2","Four-Year")</f>
        <v>0</v>
      </c>
      <c r="J207" s="6">
        <f>+GETPIVOTDATA(" New-Dentistry",'Pivot Table for 1-11'!$A$3,"State","MS","SREB Type",5,"SREB Type2","Four-Year")</f>
        <v>0</v>
      </c>
      <c r="K207" s="6">
        <f>+GETPIVOTDATA(" New-Pharmacy",'Pivot Table for 1-11'!$A$3,"State","MS","SREB Type",5,"SREB Type2","Four-Year")</f>
        <v>0</v>
      </c>
      <c r="L207" s="6">
        <f>+GETPIVOTDATA(" New-Optometry",'Pivot Table for 1-11'!$A$3,"State","MS","SREB Type",5,"SREB Type2","Four-Year")</f>
        <v>0</v>
      </c>
      <c r="M207" s="6">
        <f>+GETPIVOTDATA(" New-Osteopathic Medicine",'Pivot Table for 1-11'!$A$3,"State","MS","SREB Type",5,"SREB Type2","Four-Year")</f>
        <v>0</v>
      </c>
      <c r="N207" s="80">
        <f>+GETPIVOTDATA(" New-Veterinary Medicine",'Pivot Table for 1-11'!$A$3,"State","MS","SREB Type",5,"SREB Type2","Four-Year")</f>
        <v>0</v>
      </c>
      <c r="O207" s="97">
        <f>+GETPIVOTDATA(" New-Oth PP",'Pivot Table for 1-11'!$A$3,"State","MS","SREB Type",5,"SREB Type2","Four-Year")</f>
        <v>0</v>
      </c>
      <c r="P207" s="81">
        <f t="shared" si="9"/>
        <v>710</v>
      </c>
      <c r="Q207" s="85"/>
    </row>
    <row r="208" spans="1:24" ht="15" customHeight="1" x14ac:dyDescent="0.2">
      <c r="A208" s="5" t="s">
        <v>201</v>
      </c>
      <c r="B208" s="6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6">
        <f>+GETPIVOTDATA(" New-Associate's",'Pivot Table for 1-11'!$A$3,"State","NC","SREB Type",5,"SREB Type2","Four-Year")</f>
        <v>0</v>
      </c>
      <c r="D208" s="6">
        <f>+GETPIVOTDATA(" New-Bachelor's",'Pivot Table for 1-11'!$A$3,"State","NC","SREB Type",5,"SREB Type2","Four-Year")</f>
        <v>2200</v>
      </c>
      <c r="E208" s="6">
        <f>+GETPIVOTDATA(" New-Post-Bachelor's",'Pivot Table for 1-11'!$A$3,"State","NC","SREB Type",5,"SREB Type2","Four-Year")</f>
        <v>0</v>
      </c>
      <c r="F208" s="6">
        <f>+GETPIVOTDATA(" New-Total Master's#",'Pivot Table for 1-11'!$A$3,"State","NC","SREB Type",5,"SREB Type2","Four-Year")</f>
        <v>391</v>
      </c>
      <c r="G208" s="6">
        <f>+GETPIVOTDATA(" New-Total Doctorates#",'Pivot Table for 1-11'!$A$3,"State","NC","SREB Type",5,"SREB Type2","Four-Year")</f>
        <v>0</v>
      </c>
      <c r="H208" s="17">
        <f>+GETPIVOTDATA(" New-Law",'Pivot Table for 1-11'!$A$3,"State","NC","SREB Type",5,"SREB Type2","Four-Year")</f>
        <v>0</v>
      </c>
      <c r="I208" s="6">
        <f>+GETPIVOTDATA(" New-Medicine",'Pivot Table for 1-11'!$A$3,"State","NC","SREB Type",5,"SREB Type2","Four-Year")</f>
        <v>0</v>
      </c>
      <c r="J208" s="6">
        <f>+GETPIVOTDATA(" New-Dentistry",'Pivot Table for 1-11'!$A$3,"State","NC","SREB Type",5,"SREB Type2","Four-Year")</f>
        <v>0</v>
      </c>
      <c r="K208" s="6">
        <f>+GETPIVOTDATA(" New-Pharmacy",'Pivot Table for 1-11'!$A$3,"State","NC","SREB Type",5,"SREB Type2","Four-Year")</f>
        <v>0</v>
      </c>
      <c r="L208" s="6">
        <f>+GETPIVOTDATA(" New-Optometry",'Pivot Table for 1-11'!$A$3,"State","NC","SREB Type",5,"SREB Type2","Four-Year")</f>
        <v>0</v>
      </c>
      <c r="M208" s="6">
        <f>+GETPIVOTDATA(" New-Osteopathic Medicine",'Pivot Table for 1-11'!$A$3,"State","NC","SREB Type",5,"SREB Type2","Four-Year")</f>
        <v>0</v>
      </c>
      <c r="N208" s="80">
        <f>+GETPIVOTDATA(" New-Veterinary Medicine",'Pivot Table for 1-11'!$A$3,"State","NC","SREB Type",5,"SREB Type2","Four-Year")</f>
        <v>0</v>
      </c>
      <c r="O208" s="97">
        <f>+GETPIVOTDATA(" New-Oth PP",'Pivot Table for 1-11'!$A$3,"State","NC","SREB Type",5,"SREB Type2","Four-Year")</f>
        <v>0</v>
      </c>
      <c r="P208" s="81">
        <f t="shared" si="9"/>
        <v>2591</v>
      </c>
      <c r="Q208" s="85"/>
    </row>
    <row r="209" spans="1:24" ht="15" customHeight="1" x14ac:dyDescent="0.2">
      <c r="A209" s="5" t="s">
        <v>202</v>
      </c>
      <c r="B209" s="6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6">
        <f>+GETPIVOTDATA(" New-Associate's",'Pivot Table for 1-11'!$A$3,"State","OK","SREB Type",5,"SREB Type2","Four-Year")</f>
        <v>268</v>
      </c>
      <c r="D209" s="6">
        <f>+GETPIVOTDATA(" New-Bachelor's",'Pivot Table for 1-11'!$A$3,"State","OK","SREB Type",5,"SREB Type2","Four-Year")</f>
        <v>2255</v>
      </c>
      <c r="E209" s="6">
        <f>+GETPIVOTDATA(" New-Post-Bachelor's",'Pivot Table for 1-11'!$A$3,"State","OK","SREB Type",5,"SREB Type2","Four-Year")</f>
        <v>0</v>
      </c>
      <c r="F209" s="6">
        <f>+GETPIVOTDATA(" New-Total Master's#",'Pivot Table for 1-11'!$A$3,"State","OK","SREB Type",5,"SREB Type2","Four-Year")</f>
        <v>723</v>
      </c>
      <c r="G209" s="6">
        <f>+GETPIVOTDATA(" New-Total Doctorates#",'Pivot Table for 1-11'!$A$3,"State","OK","SREB Type",5,"SREB Type2","Four-Year")</f>
        <v>0</v>
      </c>
      <c r="H209" s="17">
        <f>+GETPIVOTDATA(" New-Law",'Pivot Table for 1-11'!$A$3,"State","OK","SREB Type",5,"SREB Type2","Four-Year")</f>
        <v>0</v>
      </c>
      <c r="I209" s="6">
        <f>+GETPIVOTDATA(" New-Medicine",'Pivot Table for 1-11'!$A$3,"State","OK","SREB Type",5,"SREB Type2","Four-Year")</f>
        <v>0</v>
      </c>
      <c r="J209" s="6">
        <f>+GETPIVOTDATA(" New-Dentistry",'Pivot Table for 1-11'!$A$3,"State","OK","SREB Type",5,"SREB Type2","Four-Year")</f>
        <v>0</v>
      </c>
      <c r="K209" s="6">
        <f>+GETPIVOTDATA(" New-Pharmacy",'Pivot Table for 1-11'!$A$3,"State","OK","SREB Type",5,"SREB Type2","Four-Year")</f>
        <v>77</v>
      </c>
      <c r="L209" s="6">
        <f>+GETPIVOTDATA(" New-Optometry",'Pivot Table for 1-11'!$A$3,"State","OK","SREB Type",5,"SREB Type2","Four-Year")</f>
        <v>0</v>
      </c>
      <c r="M209" s="6">
        <f>+GETPIVOTDATA(" New-Osteopathic Medicine",'Pivot Table for 1-11'!$A$3,"State","OK","SREB Type",5,"SREB Type2","Four-Year")</f>
        <v>0</v>
      </c>
      <c r="N209" s="80">
        <f>+GETPIVOTDATA(" New-Veterinary Medicine",'Pivot Table for 1-11'!$A$3,"State","OK","SREB Type",5,"SREB Type2","Four-Year")</f>
        <v>0</v>
      </c>
      <c r="O209" s="97">
        <f>+GETPIVOTDATA(" New-Oth PP",'Pivot Table for 1-11'!$A$3,"State","OK","SREB Type",5,"SREB Type2","Four-Year")</f>
        <v>0</v>
      </c>
      <c r="P209" s="81">
        <f t="shared" si="9"/>
        <v>3323</v>
      </c>
      <c r="Q209" s="85"/>
    </row>
    <row r="210" spans="1:24" ht="15" customHeight="1" x14ac:dyDescent="0.2">
      <c r="A210" s="5" t="s">
        <v>203</v>
      </c>
      <c r="B210" s="6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6">
        <f>+GETPIVOTDATA(" New-Associate's",'Pivot Table for 1-11'!$A$3,"State","SC","SREB Type",5,"SREB Type2","Four-Year")</f>
        <v>0</v>
      </c>
      <c r="D210" s="6">
        <f>+GETPIVOTDATA(" New-Bachelor's",'Pivot Table for 1-11'!$A$3,"State","SC","SREB Type",5,"SREB Type2","Four-Year")</f>
        <v>2548</v>
      </c>
      <c r="E210" s="6">
        <f>+GETPIVOTDATA(" New-Post-Bachelor's",'Pivot Table for 1-11'!$A$3,"State","SC","SREB Type",5,"SREB Type2","Four-Year")</f>
        <v>0</v>
      </c>
      <c r="F210" s="6">
        <f>+GETPIVOTDATA(" New-Total Master's#",'Pivot Table for 1-11'!$A$3,"State","SC","SREB Type",5,"SREB Type2","Four-Year")</f>
        <v>400</v>
      </c>
      <c r="G210" s="6">
        <f>+GETPIVOTDATA(" New-Total Doctorates#",'Pivot Table for 1-11'!$A$3,"State","SC","SREB Type",5,"SREB Type2","Four-Year")</f>
        <v>10</v>
      </c>
      <c r="H210" s="17">
        <f>+GETPIVOTDATA(" New-Law",'Pivot Table for 1-11'!$A$3,"State","SC","SREB Type",5,"SREB Type2","Four-Year")</f>
        <v>0</v>
      </c>
      <c r="I210" s="6">
        <f>+GETPIVOTDATA(" New-Medicine",'Pivot Table for 1-11'!$A$3,"State","SC","SREB Type",5,"SREB Type2","Four-Year")</f>
        <v>0</v>
      </c>
      <c r="J210" s="6">
        <f>+GETPIVOTDATA(" New-Dentistry",'Pivot Table for 1-11'!$A$3,"State","SC","SREB Type",5,"SREB Type2","Four-Year")</f>
        <v>0</v>
      </c>
      <c r="K210" s="6">
        <f>+GETPIVOTDATA(" New-Pharmacy",'Pivot Table for 1-11'!$A$3,"State","SC","SREB Type",5,"SREB Type2","Four-Year")</f>
        <v>0</v>
      </c>
      <c r="L210" s="6">
        <f>+GETPIVOTDATA(" New-Optometry",'Pivot Table for 1-11'!$A$3,"State","SC","SREB Type",5,"SREB Type2","Four-Year")</f>
        <v>0</v>
      </c>
      <c r="M210" s="6">
        <f>+GETPIVOTDATA(" New-Osteopathic Medicine",'Pivot Table for 1-11'!$A$3,"State","SC","SREB Type",5,"SREB Type2","Four-Year")</f>
        <v>0</v>
      </c>
      <c r="N210" s="80">
        <f>+GETPIVOTDATA(" New-Veterinary Medicine",'Pivot Table for 1-11'!$A$3,"State","SC","SREB Type",5,"SREB Type2","Four-Year")</f>
        <v>0</v>
      </c>
      <c r="O210" s="97">
        <f>+GETPIVOTDATA(" New-Oth PP",'Pivot Table for 1-11'!$A$3,"State","SC","SREB Type",5,"SREB Type2","Four-Year")</f>
        <v>0</v>
      </c>
      <c r="P210" s="81">
        <f t="shared" si="9"/>
        <v>2958</v>
      </c>
      <c r="Q210" s="85"/>
    </row>
    <row r="211" spans="1:24" ht="15" customHeight="1" x14ac:dyDescent="0.2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0"/>
      <c r="O211" s="97"/>
      <c r="P211" s="81"/>
      <c r="Q211" s="85"/>
    </row>
    <row r="212" spans="1:24" ht="15" customHeight="1" x14ac:dyDescent="0.2">
      <c r="A212" s="5" t="s">
        <v>204</v>
      </c>
      <c r="B212" s="6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6">
        <f>+GETPIVOTDATA(" New-Associate's",'Pivot Table for 1-11'!$A$3,"State","TN","SREB Type",5,"SREB Type2","Four-Year")</f>
        <v>0</v>
      </c>
      <c r="D212" s="6">
        <f>+GETPIVOTDATA(" New-Bachelor's",'Pivot Table for 1-11'!$A$3,"State","TN","SREB Type",5,"SREB Type2","Four-Year")</f>
        <v>1116</v>
      </c>
      <c r="E212" s="6">
        <f>+GETPIVOTDATA(" New-Post-Bachelor's",'Pivot Table for 1-11'!$A$3,"State","TN","SREB Type",5,"SREB Type2","Four-Year")</f>
        <v>0</v>
      </c>
      <c r="F212" s="6">
        <f>+GETPIVOTDATA(" New-Total Master's#",'Pivot Table for 1-11'!$A$3,"State","TN","SREB Type",5,"SREB Type2","Four-Year")</f>
        <v>132</v>
      </c>
      <c r="G212" s="6">
        <f>+GETPIVOTDATA(" New-Total Doctorates#",'Pivot Table for 1-11'!$A$3,"State","TN","SREB Type",5,"SREB Type2","Four-Year")</f>
        <v>0</v>
      </c>
      <c r="H212" s="17">
        <f>+GETPIVOTDATA(" New-Law",'Pivot Table for 1-11'!$A$3,"State","TN","SREB Type",5,"SREB Type2","Four-Year")</f>
        <v>0</v>
      </c>
      <c r="I212" s="6">
        <f>+GETPIVOTDATA(" New-Medicine",'Pivot Table for 1-11'!$A$3,"State","TN","SREB Type",5,"SREB Type2","Four-Year")</f>
        <v>0</v>
      </c>
      <c r="J212" s="6">
        <f>+GETPIVOTDATA(" New-Dentistry",'Pivot Table for 1-11'!$A$3,"State","TN","SREB Type",5,"SREB Type2","Four-Year")</f>
        <v>0</v>
      </c>
      <c r="K212" s="6">
        <f>+GETPIVOTDATA(" New-Pharmacy",'Pivot Table for 1-11'!$A$3,"State","TN","SREB Type",5,"SREB Type2","Four-Year")</f>
        <v>0</v>
      </c>
      <c r="L212" s="6">
        <f>+GETPIVOTDATA(" New-Optometry",'Pivot Table for 1-11'!$A$3,"State","TN","SREB Type",5,"SREB Type2","Four-Year")</f>
        <v>0</v>
      </c>
      <c r="M212" s="6">
        <f>+GETPIVOTDATA(" New-Osteopathic Medicine",'Pivot Table for 1-11'!$A$3,"State","TN","SREB Type",5,"SREB Type2","Four-Year")</f>
        <v>0</v>
      </c>
      <c r="N212" s="80">
        <f>+GETPIVOTDATA(" New-Veterinary Medicine",'Pivot Table for 1-11'!$A$3,"State","TN","SREB Type",5,"SREB Type2","Four-Year")</f>
        <v>0</v>
      </c>
      <c r="O212" s="97">
        <f>+GETPIVOTDATA(" New-Oth PP",'Pivot Table for 1-11'!$A$3,"State","TN","SREB Type",5,"SREB Type2","Four-Year")</f>
        <v>0</v>
      </c>
      <c r="P212" s="81">
        <f t="shared" si="9"/>
        <v>1248</v>
      </c>
      <c r="Q212" s="85"/>
    </row>
    <row r="213" spans="1:24" ht="15" customHeight="1" x14ac:dyDescent="0.2">
      <c r="A213" s="5" t="s">
        <v>205</v>
      </c>
      <c r="B213" s="6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6">
        <f>+GETPIVOTDATA(" New-Associate's",'Pivot Table for 1-11'!$A$3,"State","TX","SREB Type",5,"SREB Type2","Four-Year")</f>
        <v>0</v>
      </c>
      <c r="D213" s="6">
        <f>+GETPIVOTDATA(" New-Bachelor's",'Pivot Table for 1-11'!$A$3,"State","TX","SREB Type",5,"SREB Type2","Four-Year")</f>
        <v>3152</v>
      </c>
      <c r="E213" s="6">
        <f>+GETPIVOTDATA(" New-Post-Bachelor's",'Pivot Table for 1-11'!$A$3,"State","TX","SREB Type",5,"SREB Type2","Four-Year")</f>
        <v>0</v>
      </c>
      <c r="F213" s="6">
        <f>+GETPIVOTDATA(" New-Total Master's#",'Pivot Table for 1-11'!$A$3,"State","TX","SREB Type",5,"SREB Type2","Four-Year")</f>
        <v>374</v>
      </c>
      <c r="G213" s="6">
        <f>+GETPIVOTDATA(" New-Total Doctorates#",'Pivot Table for 1-11'!$A$3,"State","TX","SREB Type",5,"SREB Type2","Four-Year")</f>
        <v>0</v>
      </c>
      <c r="H213" s="17">
        <f>+GETPIVOTDATA(" New-Law",'Pivot Table for 1-11'!$A$3,"State","TX","SREB Type",5,"SREB Type2","Four-Year")</f>
        <v>0</v>
      </c>
      <c r="I213" s="6">
        <f>+GETPIVOTDATA(" New-Medicine",'Pivot Table for 1-11'!$A$3,"State","TX","SREB Type",5,"SREB Type2","Four-Year")</f>
        <v>0</v>
      </c>
      <c r="J213" s="6">
        <f>+GETPIVOTDATA(" New-Dentistry",'Pivot Table for 1-11'!$A$3,"State","TX","SREB Type",5,"SREB Type2","Four-Year")</f>
        <v>0</v>
      </c>
      <c r="K213" s="6">
        <f>+GETPIVOTDATA(" New-Pharmacy",'Pivot Table for 1-11'!$A$3,"State","TX","SREB Type",5,"SREB Type2","Four-Year")</f>
        <v>0</v>
      </c>
      <c r="L213" s="6">
        <f>+GETPIVOTDATA(" New-Optometry",'Pivot Table for 1-11'!$A$3,"State","TX","SREB Type",5,"SREB Type2","Four-Year")</f>
        <v>0</v>
      </c>
      <c r="M213" s="6">
        <f>+GETPIVOTDATA(" New-Osteopathic Medicine",'Pivot Table for 1-11'!$A$3,"State","TX","SREB Type",5,"SREB Type2","Four-Year")</f>
        <v>0</v>
      </c>
      <c r="N213" s="80">
        <f>+GETPIVOTDATA(" New-Veterinary Medicine",'Pivot Table for 1-11'!$A$3,"State","TX","SREB Type",5,"SREB Type2","Four-Year")</f>
        <v>0</v>
      </c>
      <c r="O213" s="97">
        <f>+GETPIVOTDATA(" New-Oth PP",'Pivot Table for 1-11'!$A$3,"State","TX","SREB Type",5,"SREB Type2","Four-Year")</f>
        <v>0</v>
      </c>
      <c r="P213" s="81">
        <f t="shared" si="9"/>
        <v>3526</v>
      </c>
      <c r="Q213" s="85"/>
    </row>
    <row r="214" spans="1:24" ht="15" customHeight="1" x14ac:dyDescent="0.2">
      <c r="A214" s="5" t="s">
        <v>206</v>
      </c>
      <c r="B214" s="6">
        <f>+GETPIVOTDATA(" New-Less Than 2-Year",'Pivot Table for 1-11'!$A$3,"State","VA","SREB Type",5,"SREB Type2","Four-Year")+GETPIVOTDATA(" New-2 But Less Than 4-Year",'Pivot Table for 1-11'!$A$3,"State","VA","SREB Type",5,"SREB Type2","Four-Year")</f>
        <v>14</v>
      </c>
      <c r="C214" s="6">
        <f>+GETPIVOTDATA(" New-Associate's",'Pivot Table for 1-11'!$A$3,"State","VA","SREB Type",5,"SREB Type2","Four-Year")</f>
        <v>0</v>
      </c>
      <c r="D214" s="6">
        <f>+GETPIVOTDATA(" New-Bachelor's",'Pivot Table for 1-11'!$A$3,"State","VA","SREB Type",5,"SREB Type2","Four-Year")</f>
        <v>2011</v>
      </c>
      <c r="E214" s="6">
        <f>+GETPIVOTDATA(" New-Post-Bachelor's",'Pivot Table for 1-11'!$A$3,"State","VA","SREB Type",5,"SREB Type2","Four-Year")</f>
        <v>11</v>
      </c>
      <c r="F214" s="6">
        <f>+GETPIVOTDATA(" New-Total Master's#",'Pivot Table for 1-11'!$A$3,"State","VA","SREB Type",5,"SREB Type2","Four-Year")</f>
        <v>329</v>
      </c>
      <c r="G214" s="6">
        <f>+GETPIVOTDATA(" New-Total Doctorates#",'Pivot Table for 1-11'!$A$3,"State","VA","SREB Type",5,"SREB Type2","Four-Year")</f>
        <v>0</v>
      </c>
      <c r="H214" s="17">
        <f>+GETPIVOTDATA(" New-Law",'Pivot Table for 1-11'!$A$3,"State","VA","SREB Type",5,"SREB Type2","Four-Year")</f>
        <v>0</v>
      </c>
      <c r="I214" s="6">
        <f>+GETPIVOTDATA(" New-Medicine",'Pivot Table for 1-11'!$A$3,"State","VA","SREB Type",5,"SREB Type2","Four-Year")</f>
        <v>0</v>
      </c>
      <c r="J214" s="6">
        <f>+GETPIVOTDATA(" New-Dentistry",'Pivot Table for 1-11'!$A$3,"State","VA","SREB Type",5,"SREB Type2","Four-Year")</f>
        <v>0</v>
      </c>
      <c r="K214" s="6">
        <f>+GETPIVOTDATA(" New-Pharmacy",'Pivot Table for 1-11'!$A$3,"State","VA","SREB Type",5,"SREB Type2","Four-Year")</f>
        <v>0</v>
      </c>
      <c r="L214" s="6">
        <f>+GETPIVOTDATA(" New-Optometry",'Pivot Table for 1-11'!$A$3,"State","VA","SREB Type",5,"SREB Type2","Four-Year")</f>
        <v>0</v>
      </c>
      <c r="M214" s="6">
        <f>+GETPIVOTDATA(" New-Osteopathic Medicine",'Pivot Table for 1-11'!$A$3,"State","VA","SREB Type",5,"SREB Type2","Four-Year")</f>
        <v>0</v>
      </c>
      <c r="N214" s="80">
        <f>+GETPIVOTDATA(" New-Veterinary Medicine",'Pivot Table for 1-11'!$A$3,"State","VA","SREB Type",5,"SREB Type2","Four-Year")</f>
        <v>0</v>
      </c>
      <c r="O214" s="97">
        <f>+GETPIVOTDATA(" New-Oth PP",'Pivot Table for 1-11'!$A$3,"State","VA","SREB Type",5,"SREB Type2","Four-Year")</f>
        <v>0</v>
      </c>
      <c r="P214" s="81">
        <f t="shared" si="9"/>
        <v>2365</v>
      </c>
      <c r="Q214" s="85"/>
    </row>
    <row r="215" spans="1:24" ht="15" customHeight="1" x14ac:dyDescent="0.2">
      <c r="A215" s="9" t="s">
        <v>207</v>
      </c>
      <c r="B215" s="8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8">
        <f>+GETPIVOTDATA(" New-Associate's",'Pivot Table for 1-11'!$A$3,"State","WV","SREB Type",5,"SREB Type2","Four-Year")</f>
        <v>71</v>
      </c>
      <c r="D215" s="8">
        <f>+GETPIVOTDATA(" New-Bachelor's",'Pivot Table for 1-11'!$A$3,"State","WV","SREB Type",5,"SREB Type2","Four-Year")</f>
        <v>1319</v>
      </c>
      <c r="E215" s="8">
        <f>+GETPIVOTDATA(" New-Post-Bachelor's",'Pivot Table for 1-11'!$A$3,"State","WV","SREB Type",5,"SREB Type2","Four-Year")</f>
        <v>0</v>
      </c>
      <c r="F215" s="8">
        <f>+GETPIVOTDATA(" New-Total Master's#",'Pivot Table for 1-11'!$A$3,"State","WV","SREB Type",5,"SREB Type2","Four-Year")</f>
        <v>152</v>
      </c>
      <c r="G215" s="8">
        <f>+GETPIVOTDATA(" New-Total Doctorates#",'Pivot Table for 1-11'!$A$3,"State","WV","SREB Type",5,"SREB Type2","Four-Year")</f>
        <v>0</v>
      </c>
      <c r="H215" s="18">
        <f>+GETPIVOTDATA(" New-Law",'Pivot Table for 1-11'!$A$3,"State","WV","SREB Type",5,"SREB Type2","Four-Year")</f>
        <v>0</v>
      </c>
      <c r="I215" s="8">
        <f>+GETPIVOTDATA(" New-Medicine",'Pivot Table for 1-11'!$A$3,"State","WV","SREB Type",5,"SREB Type2","Four-Year")</f>
        <v>0</v>
      </c>
      <c r="J215" s="8">
        <f>+GETPIVOTDATA(" New-Dentistry",'Pivot Table for 1-11'!$A$3,"State","WV","SREB Type",5,"SREB Type2","Four-Year")</f>
        <v>0</v>
      </c>
      <c r="K215" s="8">
        <f>+GETPIVOTDATA(" New-Pharmacy",'Pivot Table for 1-11'!$A$3,"State","WV","SREB Type",5,"SREB Type2","Four-Year")</f>
        <v>0</v>
      </c>
      <c r="L215" s="8">
        <f>+GETPIVOTDATA(" New-Optometry",'Pivot Table for 1-11'!$A$3,"State","WV","SREB Type",5,"SREB Type2","Four-Year")</f>
        <v>0</v>
      </c>
      <c r="M215" s="8">
        <f>+GETPIVOTDATA(" New-Osteopathic Medicine",'Pivot Table for 1-11'!$A$3,"State","WV","SREB Type",5,"SREB Type2","Four-Year")</f>
        <v>0</v>
      </c>
      <c r="N215" s="88">
        <f>+GETPIVOTDATA(" New-Veterinary Medicine",'Pivot Table for 1-11'!$A$3,"State","WV","SREB Type",5,"SREB Type2","Four-Year")</f>
        <v>0</v>
      </c>
      <c r="O215" s="98">
        <f>+GETPIVOTDATA(" New-Oth PP",'Pivot Table for 1-11'!$A$3,"State","WV","SREB Type",5,"SREB Type2","Four-Year")</f>
        <v>0</v>
      </c>
      <c r="P215" s="82">
        <f t="shared" si="9"/>
        <v>1542</v>
      </c>
      <c r="Q215" s="85"/>
    </row>
    <row r="216" spans="1:24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0"/>
      <c r="O216" s="80"/>
      <c r="P216" s="80"/>
      <c r="Q216" s="85"/>
    </row>
    <row r="217" spans="1:24" ht="24.75" customHeight="1" x14ac:dyDescent="0.2">
      <c r="A217" s="856" t="s">
        <v>409</v>
      </c>
      <c r="B217" s="857"/>
      <c r="C217" s="857"/>
      <c r="D217" s="857"/>
      <c r="E217" s="857"/>
      <c r="F217" s="857"/>
      <c r="G217" s="857"/>
      <c r="H217" s="857"/>
      <c r="I217" s="857"/>
      <c r="J217" s="857"/>
      <c r="K217" s="857"/>
      <c r="L217" s="857"/>
      <c r="M217" s="857"/>
      <c r="N217" s="857"/>
      <c r="O217" s="857"/>
      <c r="P217" s="857"/>
      <c r="Q217" s="166"/>
    </row>
    <row r="218" spans="1:24" ht="15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89"/>
      <c r="O218" s="89"/>
      <c r="P218" s="83" t="s">
        <v>1293</v>
      </c>
      <c r="Q218" s="167"/>
    </row>
    <row r="219" spans="1:24" ht="18" x14ac:dyDescent="0.25">
      <c r="A219" s="22" t="s">
        <v>214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8"/>
      <c r="O219" s="58"/>
      <c r="P219" s="58"/>
      <c r="Q219" s="154" t="s">
        <v>216</v>
      </c>
    </row>
    <row r="220" spans="1:24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7"/>
      <c r="O220" s="57"/>
      <c r="P220" s="57"/>
      <c r="Q220" s="163"/>
    </row>
    <row r="221" spans="1:24" ht="15.75" x14ac:dyDescent="0.25">
      <c r="A221" s="1" t="s">
        <v>181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8"/>
      <c r="O221" s="58"/>
      <c r="P221" s="58"/>
      <c r="Q221" s="154" t="s">
        <v>216</v>
      </c>
    </row>
    <row r="222" spans="1:24" ht="15.75" x14ac:dyDescent="0.25">
      <c r="A222" s="1" t="s">
        <v>1288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8"/>
      <c r="O222" s="58"/>
      <c r="P222" s="58"/>
      <c r="Q222" s="154" t="s">
        <v>216</v>
      </c>
    </row>
    <row r="223" spans="1:24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59"/>
      <c r="O223" s="59"/>
      <c r="P223" s="59"/>
      <c r="Q223" s="169"/>
    </row>
    <row r="224" spans="1:24" ht="15.75" x14ac:dyDescent="0.25">
      <c r="A224" s="91"/>
      <c r="B224" s="91"/>
      <c r="C224" s="91"/>
      <c r="D224" s="91"/>
      <c r="E224" s="91"/>
      <c r="F224" s="91"/>
      <c r="G224" s="91"/>
      <c r="H224" s="95" t="s">
        <v>410</v>
      </c>
      <c r="I224" s="26"/>
      <c r="J224" s="26"/>
      <c r="K224" s="26"/>
      <c r="L224" s="26"/>
      <c r="M224" s="26"/>
      <c r="N224" s="92"/>
      <c r="O224" s="99"/>
      <c r="P224" s="94" t="s">
        <v>216</v>
      </c>
      <c r="Q224" s="169"/>
      <c r="R224" s="149"/>
      <c r="S224" s="149"/>
      <c r="X224" s="149"/>
    </row>
    <row r="225" spans="1:17" ht="39.75" customHeight="1" x14ac:dyDescent="0.2">
      <c r="A225" s="14"/>
      <c r="B225" s="15" t="s">
        <v>244</v>
      </c>
      <c r="C225" s="15" t="s">
        <v>182</v>
      </c>
      <c r="D225" s="15" t="s">
        <v>175</v>
      </c>
      <c r="E225" s="15" t="s">
        <v>176</v>
      </c>
      <c r="F225" s="15" t="s">
        <v>183</v>
      </c>
      <c r="G225" s="15" t="s">
        <v>184</v>
      </c>
      <c r="H225" s="16" t="s">
        <v>185</v>
      </c>
      <c r="I225" s="15" t="s">
        <v>186</v>
      </c>
      <c r="J225" s="15" t="s">
        <v>187</v>
      </c>
      <c r="K225" s="15" t="s">
        <v>179</v>
      </c>
      <c r="L225" s="15" t="s">
        <v>188</v>
      </c>
      <c r="M225" s="15" t="s">
        <v>189</v>
      </c>
      <c r="N225" s="90" t="s">
        <v>263</v>
      </c>
      <c r="O225" s="96" t="s">
        <v>238</v>
      </c>
      <c r="P225" s="90" t="s">
        <v>190</v>
      </c>
      <c r="Q225" s="170"/>
    </row>
    <row r="226" spans="1:17" ht="15" customHeight="1" x14ac:dyDescent="0.2">
      <c r="A226" s="5" t="s">
        <v>191</v>
      </c>
      <c r="B226" s="6">
        <f>+GETPIVOTDATA(" New-Less Than 2-Year",'Pivot Table for 1-11'!$A$3,"SREB Type",6,"SREB Type2","Four-Year")+GETPIVOTDATA(" New-2 But Less Than 4-Year",'Pivot Table for 1-11'!$A$3,"SREB Type",6,"SREB Type2","Four-Year")</f>
        <v>239</v>
      </c>
      <c r="C226" s="6">
        <f>+GETPIVOTDATA(" New-Associate's",'Pivot Table for 1-11'!$A$3,"SREB Type",6,"SREB Type2","Four-Year")</f>
        <v>1226</v>
      </c>
      <c r="D226" s="6">
        <f>+GETPIVOTDATA(" New-Bachelor's",'Pivot Table for 1-11'!$A$3,"SREB Type",6,"SREB Type2","Four-Year")</f>
        <v>10260</v>
      </c>
      <c r="E226" s="6">
        <f>+GETPIVOTDATA(" New-Post-Bachelor's",'Pivot Table for 1-11'!$A$3,"SREB Type",6,"SREB Type2","Four-Year")</f>
        <v>3</v>
      </c>
      <c r="F226" s="6">
        <f>+GETPIVOTDATA(" New-Total Master's#",'Pivot Table for 1-11'!$A$3,"SREB Type",6,"SREB Type2","Four-Year")</f>
        <v>207</v>
      </c>
      <c r="G226" s="6">
        <f>+GETPIVOTDATA(" New-Total Doctorates#",'Pivot Table for 1-11'!$A$3,"SREB Type",6,"SREB Type2","Four-Year")</f>
        <v>2</v>
      </c>
      <c r="H226" s="17">
        <f>+GETPIVOTDATA(" New-Law",'Pivot Table for 1-11'!$A$3,"SREB Type",6,"SREB Type2","Four-Year")</f>
        <v>0</v>
      </c>
      <c r="I226" s="6">
        <f>+GETPIVOTDATA(" New-Medicine",'Pivot Table for 1-11'!$A$3,"SREB Type",6,"SREB Type2","Four-Year")</f>
        <v>0</v>
      </c>
      <c r="J226" s="6">
        <f>+GETPIVOTDATA(" New-Dentistry",'Pivot Table for 1-11'!$A$3,"SREB Type",6,"SREB Type2","Four-Year")</f>
        <v>0</v>
      </c>
      <c r="K226" s="6">
        <f>+GETPIVOTDATA(" New-Pharmacy",'Pivot Table for 1-11'!$A$3,"SREB Type",6,"SREB Type2","Four-Year")</f>
        <v>0</v>
      </c>
      <c r="L226" s="6">
        <f>+GETPIVOTDATA(" New-Optometry",'Pivot Table for 1-11'!$A$3,"SREB Type",6,"SREB Type2","Four-Year")</f>
        <v>0</v>
      </c>
      <c r="M226" s="6">
        <f>+GETPIVOTDATA(" New-Osteopathic Medicine",'Pivot Table for 1-11'!$A$3,"SREB Type",6,"SREB Type2","Four-Year")</f>
        <v>0</v>
      </c>
      <c r="N226" s="80">
        <f>+GETPIVOTDATA(" New-Veterinary Medicine",'Pivot Table for 1-11'!$A$3,"SREB Type",6,"SREB Type2","Four-Year")</f>
        <v>0</v>
      </c>
      <c r="O226" s="97">
        <f>+GETPIVOTDATA(" New-Oth PP",'Pivot Table for 1-11'!$A$3,"SREB Type",6,"SREB Type2","Four-Year")</f>
        <v>0</v>
      </c>
      <c r="P226" s="81">
        <f>SUM(B226:O226)</f>
        <v>11937</v>
      </c>
      <c r="Q226" s="85"/>
    </row>
    <row r="227" spans="1:17" ht="15" customHeight="1" x14ac:dyDescent="0.2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0"/>
      <c r="O227" s="97"/>
      <c r="P227" s="81"/>
      <c r="Q227" s="85"/>
    </row>
    <row r="228" spans="1:17" ht="15" customHeight="1" x14ac:dyDescent="0.2">
      <c r="A228" s="5" t="s">
        <v>192</v>
      </c>
      <c r="B228" s="6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6">
        <f>+GETPIVOTDATA(" New-Associate's",'Pivot Table for 1-11'!$A$3,"State","AL","SREB Type",6,"SREB Type2","Four-Year")</f>
        <v>0</v>
      </c>
      <c r="D228" s="6">
        <f>+GETPIVOTDATA(" New-Bachelor's",'Pivot Table for 1-11'!$A$3,"State","AL","SREB Type",6,"SREB Type2","Four-Year")</f>
        <v>940</v>
      </c>
      <c r="E228" s="6">
        <f>+GETPIVOTDATA(" New-Post-Bachelor's",'Pivot Table for 1-11'!$A$3,"State","AL","SREB Type",6,"SREB Type2","Four-Year")</f>
        <v>0</v>
      </c>
      <c r="F228" s="6">
        <f>+GETPIVOTDATA(" New-Total Master's#",'Pivot Table for 1-11'!$A$3,"State","AL","SREB Type",6,"SREB Type2","Four-Year")</f>
        <v>0</v>
      </c>
      <c r="G228" s="6">
        <f>+GETPIVOTDATA(" New-Total Doctorates#",'Pivot Table for 1-11'!$A$3,"State","AL","SREB Type",6,"SREB Type2","Four-Year")</f>
        <v>0</v>
      </c>
      <c r="H228" s="17">
        <f>+GETPIVOTDATA(" New-Law",'Pivot Table for 1-11'!$A$3,"State","AL","SREB Type",6,"SREB Type2","Four-Year")</f>
        <v>0</v>
      </c>
      <c r="I228" s="6">
        <f>+GETPIVOTDATA(" New-Medicine",'Pivot Table for 1-11'!$A$3,"State","AL","SREB Type",6,"SREB Type2","Four-Year")</f>
        <v>0</v>
      </c>
      <c r="J228" s="6">
        <f>+GETPIVOTDATA(" New-Dentistry",'Pivot Table for 1-11'!$A$3,"State","AL","SREB Type",6,"SREB Type2","Four-Year")</f>
        <v>0</v>
      </c>
      <c r="K228" s="6">
        <f>+GETPIVOTDATA(" New-Pharmacy",'Pivot Table for 1-11'!$A$3,"State","AL","SREB Type",6,"SREB Type2","Four-Year")</f>
        <v>0</v>
      </c>
      <c r="L228" s="6">
        <f>+GETPIVOTDATA(" New-Optometry",'Pivot Table for 1-11'!$A$3,"State","AL","SREB Type",6,"SREB Type2","Four-Year")</f>
        <v>0</v>
      </c>
      <c r="M228" s="6">
        <f>+GETPIVOTDATA(" New-Osteopathic Medicine",'Pivot Table for 1-11'!$A$3,"State","AL","SREB Type",6,"SREB Type2","Four-Year")</f>
        <v>0</v>
      </c>
      <c r="N228" s="80">
        <f>+GETPIVOTDATA(" New-Veterinary Medicine",'Pivot Table for 1-11'!$A$3,"State","AL","SREB Type",6,"SREB Type2","Four-Year")</f>
        <v>0</v>
      </c>
      <c r="O228" s="97">
        <f>+GETPIVOTDATA(" New-Oth PP",'Pivot Table for 1-11'!$A$3,"State","AL","SREB Type",6,"SREB Type2","Four-Year")</f>
        <v>0</v>
      </c>
      <c r="P228" s="81">
        <f t="shared" ref="P228:P246" si="10">SUM(B228:O228)</f>
        <v>940</v>
      </c>
      <c r="Q228" s="85"/>
    </row>
    <row r="229" spans="1:17" ht="15" customHeight="1" x14ac:dyDescent="0.2">
      <c r="A229" s="5" t="s">
        <v>193</v>
      </c>
      <c r="B229" s="6">
        <f>+GETPIVOTDATA(" New-Less Than 2-Year",'Pivot Table for 1-11'!$A$3,"State","AR","SREB Type",6,"SREB Type2","Four-Year")+GETPIVOTDATA(" New-2 But Less Than 4-Year",'Pivot Table for 1-11'!$A$3,"State","AR","SREB Type",6,"SREB Type2","Four-Year")</f>
        <v>224</v>
      </c>
      <c r="C229" s="6">
        <f>+GETPIVOTDATA(" New-Associate's",'Pivot Table for 1-11'!$A$3,"State","AR","SREB Type",6,"SREB Type2","Four-Year")</f>
        <v>326</v>
      </c>
      <c r="D229" s="6">
        <f>+GETPIVOTDATA(" New-Bachelor's",'Pivot Table for 1-11'!$A$3,"State","AR","SREB Type",6,"SREB Type2","Four-Year")</f>
        <v>1088</v>
      </c>
      <c r="E229" s="6">
        <f>+GETPIVOTDATA(" New-Post-Bachelor's",'Pivot Table for 1-11'!$A$3,"State","AR","SREB Type",6,"SREB Type2","Four-Year")</f>
        <v>0</v>
      </c>
      <c r="F229" s="6">
        <f>+GETPIVOTDATA(" New-Total Master's#",'Pivot Table for 1-11'!$A$3,"State","AR","SREB Type",6,"SREB Type2","Four-Year")</f>
        <v>37</v>
      </c>
      <c r="G229" s="6">
        <f>+GETPIVOTDATA(" New-Total Doctorates#",'Pivot Table for 1-11'!$A$3,"State","AR","SREB Type",6,"SREB Type2","Four-Year")</f>
        <v>0</v>
      </c>
      <c r="H229" s="17">
        <f>+GETPIVOTDATA(" New-Law",'Pivot Table for 1-11'!$A$3,"State","AR","SREB Type",6,"SREB Type2","Four-Year")</f>
        <v>0</v>
      </c>
      <c r="I229" s="6">
        <f>+GETPIVOTDATA(" New-Medicine",'Pivot Table for 1-11'!$A$3,"State","AR","SREB Type",6,"SREB Type2","Four-Year")</f>
        <v>0</v>
      </c>
      <c r="J229" s="6">
        <f>+GETPIVOTDATA(" New-Dentistry",'Pivot Table for 1-11'!$A$3,"State","AR","SREB Type",6,"SREB Type2","Four-Year")</f>
        <v>0</v>
      </c>
      <c r="K229" s="6">
        <f>+GETPIVOTDATA(" New-Pharmacy",'Pivot Table for 1-11'!$A$3,"State","AR","SREB Type",6,"SREB Type2","Four-Year")</f>
        <v>0</v>
      </c>
      <c r="L229" s="6">
        <f>+GETPIVOTDATA(" New-Optometry",'Pivot Table for 1-11'!$A$3,"State","AR","SREB Type",6,"SREB Type2","Four-Year")</f>
        <v>0</v>
      </c>
      <c r="M229" s="6">
        <f>+GETPIVOTDATA(" New-Osteopathic Medicine",'Pivot Table for 1-11'!$A$3,"State","AR","SREB Type",6,"SREB Type2","Four-Year")</f>
        <v>0</v>
      </c>
      <c r="N229" s="80">
        <f>+GETPIVOTDATA(" New-Veterinary Medicine",'Pivot Table for 1-11'!$A$3,"State","AR","SREB Type",6,"SREB Type2","Four-Year")</f>
        <v>0</v>
      </c>
      <c r="O229" s="97">
        <f>+GETPIVOTDATA(" New-Oth PP",'Pivot Table for 1-11'!$A$3,"State","AR","SREB Type",6,"SREB Type2","Four-Year")</f>
        <v>0</v>
      </c>
      <c r="P229" s="81">
        <f t="shared" si="10"/>
        <v>1675</v>
      </c>
      <c r="Q229" s="85"/>
    </row>
    <row r="230" spans="1:17" ht="15" customHeight="1" x14ac:dyDescent="0.2">
      <c r="A230" s="5" t="s">
        <v>194</v>
      </c>
      <c r="B230" s="6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6">
        <f>+GETPIVOTDATA(" New-Associate's",'Pivot Table for 1-11'!$A$3,"State","DE","SREB Type",6,"SREB Type2","Four-Year")</f>
        <v>0</v>
      </c>
      <c r="D230" s="6">
        <f>+GETPIVOTDATA(" New-Bachelor's",'Pivot Table for 1-11'!$A$3,"State","DE","SREB Type",6,"SREB Type2","Four-Year")</f>
        <v>0</v>
      </c>
      <c r="E230" s="6">
        <f>+GETPIVOTDATA(" New-Post-Bachelor's",'Pivot Table for 1-11'!$A$3,"State","DE","SREB Type",6,"SREB Type2","Four-Year")</f>
        <v>0</v>
      </c>
      <c r="F230" s="6">
        <f>+GETPIVOTDATA(" New-Total Master's#",'Pivot Table for 1-11'!$A$3,"State","DE","SREB Type",6,"SREB Type2","Four-Year")</f>
        <v>0</v>
      </c>
      <c r="G230" s="6">
        <f>+GETPIVOTDATA(" New-Total Doctorates#",'Pivot Table for 1-11'!$A$3,"State","DE","SREB Type",6,"SREB Type2","Four-Year")</f>
        <v>0</v>
      </c>
      <c r="H230" s="17">
        <f>+GETPIVOTDATA(" New-Law",'Pivot Table for 1-11'!$A$3,"State","DE","SREB Type",6,"SREB Type2","Four-Year")</f>
        <v>0</v>
      </c>
      <c r="I230" s="6">
        <f>+GETPIVOTDATA(" New-Medicine",'Pivot Table for 1-11'!$A$3,"State","DE","SREB Type",6,"SREB Type2","Four-Year")</f>
        <v>0</v>
      </c>
      <c r="J230" s="6">
        <f>+GETPIVOTDATA(" New-Dentistry",'Pivot Table for 1-11'!$A$3,"State","DE","SREB Type",6,"SREB Type2","Four-Year")</f>
        <v>0</v>
      </c>
      <c r="K230" s="6">
        <f>+GETPIVOTDATA(" New-Pharmacy",'Pivot Table for 1-11'!$A$3,"State","DE","SREB Type",6,"SREB Type2","Four-Year")</f>
        <v>0</v>
      </c>
      <c r="L230" s="6">
        <f>+GETPIVOTDATA(" New-Optometry",'Pivot Table for 1-11'!$A$3,"State","DE","SREB Type",6,"SREB Type2","Four-Year")</f>
        <v>0</v>
      </c>
      <c r="M230" s="6">
        <f>+GETPIVOTDATA(" New-Osteopathic Medicine",'Pivot Table for 1-11'!$A$3,"State","DE","SREB Type",6,"SREB Type2","Four-Year")</f>
        <v>0</v>
      </c>
      <c r="N230" s="80">
        <f>+GETPIVOTDATA(" New-Veterinary Medicine",'Pivot Table for 1-11'!$A$3,"State","DE","SREB Type",6,"SREB Type2","Four-Year")</f>
        <v>0</v>
      </c>
      <c r="O230" s="97">
        <f>+GETPIVOTDATA(" New-Oth PP",'Pivot Table for 1-11'!$A$3,"State","DE","SREB Type",6,"SREB Type2","Four-Year")</f>
        <v>0</v>
      </c>
      <c r="P230" s="81">
        <f t="shared" si="10"/>
        <v>0</v>
      </c>
      <c r="Q230" s="85"/>
    </row>
    <row r="231" spans="1:17" ht="15" customHeight="1" x14ac:dyDescent="0.2">
      <c r="A231" s="5" t="s">
        <v>195</v>
      </c>
      <c r="B231" s="6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6">
        <f>+GETPIVOTDATA(" New-Associate's",'Pivot Table for 1-11'!$A$3,"State","FL","SREB Type",6,"SREB Type2","Four-Year")</f>
        <v>0</v>
      </c>
      <c r="D231" s="6">
        <f>+GETPIVOTDATA(" New-Bachelor's",'Pivot Table for 1-11'!$A$3,"State","FL","SREB Type",6,"SREB Type2","Four-Year")</f>
        <v>179</v>
      </c>
      <c r="E231" s="6">
        <f>+GETPIVOTDATA(" New-Post-Bachelor's",'Pivot Table for 1-11'!$A$3,"State","FL","SREB Type",6,"SREB Type2","Four-Year")</f>
        <v>0</v>
      </c>
      <c r="F231" s="6">
        <f>+GETPIVOTDATA(" New-Total Master's#",'Pivot Table for 1-11'!$A$3,"State","FL","SREB Type",6,"SREB Type2","Four-Year")</f>
        <v>0</v>
      </c>
      <c r="G231" s="6">
        <f>+GETPIVOTDATA(" New-Total Doctorates#",'Pivot Table for 1-11'!$A$3,"State","FL","SREB Type",6,"SREB Type2","Four-Year")</f>
        <v>0</v>
      </c>
      <c r="H231" s="17">
        <f>+GETPIVOTDATA(" New-Law",'Pivot Table for 1-11'!$A$3,"State","FL","SREB Type",6,"SREB Type2","Four-Year")</f>
        <v>0</v>
      </c>
      <c r="I231" s="6">
        <f>+GETPIVOTDATA(" New-Medicine",'Pivot Table for 1-11'!$A$3,"State","FL","SREB Type",6,"SREB Type2","Four-Year")</f>
        <v>0</v>
      </c>
      <c r="J231" s="6">
        <f>+GETPIVOTDATA(" New-Dentistry",'Pivot Table for 1-11'!$A$3,"State","FL","SREB Type",6,"SREB Type2","Four-Year")</f>
        <v>0</v>
      </c>
      <c r="K231" s="6">
        <f>+GETPIVOTDATA(" New-Pharmacy",'Pivot Table for 1-11'!$A$3,"State","FL","SREB Type",6,"SREB Type2","Four-Year")</f>
        <v>0</v>
      </c>
      <c r="L231" s="6">
        <f>+GETPIVOTDATA(" New-Optometry",'Pivot Table for 1-11'!$A$3,"State","FL","SREB Type",6,"SREB Type2","Four-Year")</f>
        <v>0</v>
      </c>
      <c r="M231" s="6">
        <f>+GETPIVOTDATA(" New-Osteopathic Medicine",'Pivot Table for 1-11'!$A$3,"State","FL","SREB Type",6,"SREB Type2","Four-Year")</f>
        <v>0</v>
      </c>
      <c r="N231" s="80">
        <f>+GETPIVOTDATA(" New-Veterinary Medicine",'Pivot Table for 1-11'!$A$3,"State","FL","SREB Type",6,"SREB Type2","Four-Year")</f>
        <v>0</v>
      </c>
      <c r="O231" s="97">
        <f>+GETPIVOTDATA(" New-Oth PP",'Pivot Table for 1-11'!$A$3,"State","FL","SREB Type",6,"SREB Type2","Four-Year")</f>
        <v>0</v>
      </c>
      <c r="P231" s="81">
        <f t="shared" si="10"/>
        <v>179</v>
      </c>
      <c r="Q231" s="85"/>
    </row>
    <row r="232" spans="1:17" ht="15" customHeight="1" x14ac:dyDescent="0.2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0"/>
      <c r="O232" s="97"/>
      <c r="P232" s="81">
        <f t="shared" si="10"/>
        <v>0</v>
      </c>
      <c r="Q232" s="85"/>
    </row>
    <row r="233" spans="1:17" ht="15" customHeight="1" x14ac:dyDescent="0.2">
      <c r="A233" s="5" t="s">
        <v>196</v>
      </c>
      <c r="B233" s="6">
        <f>+GETPIVOTDATA(" New-Less Than 2-Year",'Pivot Table for 1-11'!$A$3,"State","GA","SREB Type",6,"SREB Type2","Four-Year")+GETPIVOTDATA(" New-2 But Less Than 4-Year",'Pivot Table for 1-11'!$A$3,"State","GA","SREB Type",6,"SREB Type2","Four-Year")</f>
        <v>4</v>
      </c>
      <c r="C233" s="6">
        <f>+GETPIVOTDATA(" New-Associate's",'Pivot Table for 1-11'!$A$3,"State","GA","SREB Type",6,"SREB Type2","Four-Year")</f>
        <v>310</v>
      </c>
      <c r="D233" s="6">
        <f>+GETPIVOTDATA(" New-Bachelor's",'Pivot Table for 1-11'!$A$3,"State","GA","SREB Type",6,"SREB Type2","Four-Year")</f>
        <v>900</v>
      </c>
      <c r="E233" s="6">
        <f>+GETPIVOTDATA(" New-Post-Bachelor's",'Pivot Table for 1-11'!$A$3,"State","GA","SREB Type",6,"SREB Type2","Four-Year")</f>
        <v>0</v>
      </c>
      <c r="F233" s="6">
        <f>+GETPIVOTDATA(" New-Total Master's#",'Pivot Table for 1-11'!$A$3,"State","GA","SREB Type",6,"SREB Type2","Four-Year")</f>
        <v>0</v>
      </c>
      <c r="G233" s="6">
        <f>+GETPIVOTDATA(" New-Total Doctorates#",'Pivot Table for 1-11'!$A$3,"State","GA","SREB Type",6,"SREB Type2","Four-Year")</f>
        <v>0</v>
      </c>
      <c r="H233" s="17">
        <f>+GETPIVOTDATA(" New-Law",'Pivot Table for 1-11'!$A$3,"State","GA","SREB Type",6,"SREB Type2","Four-Year")</f>
        <v>0</v>
      </c>
      <c r="I233" s="6">
        <f>+GETPIVOTDATA(" New-Medicine",'Pivot Table for 1-11'!$A$3,"State","GA","SREB Type",6,"SREB Type2","Four-Year")</f>
        <v>0</v>
      </c>
      <c r="J233" s="6">
        <f>+GETPIVOTDATA(" New-Dentistry",'Pivot Table for 1-11'!$A$3,"State","GA","SREB Type",6,"SREB Type2","Four-Year")</f>
        <v>0</v>
      </c>
      <c r="K233" s="6">
        <f>+GETPIVOTDATA(" New-Pharmacy",'Pivot Table for 1-11'!$A$3,"State","GA","SREB Type",6,"SREB Type2","Four-Year")</f>
        <v>0</v>
      </c>
      <c r="L233" s="6">
        <f>+GETPIVOTDATA(" New-Optometry",'Pivot Table for 1-11'!$A$3,"State","GA","SREB Type",6,"SREB Type2","Four-Year")</f>
        <v>0</v>
      </c>
      <c r="M233" s="6">
        <f>+GETPIVOTDATA(" New-Osteopathic Medicine",'Pivot Table for 1-11'!$A$3,"State","GA","SREB Type",6,"SREB Type2","Four-Year")</f>
        <v>0</v>
      </c>
      <c r="N233" s="80">
        <f>+GETPIVOTDATA(" New-Veterinary Medicine",'Pivot Table for 1-11'!$A$3,"State","GA","SREB Type",6,"SREB Type2","Four-Year")</f>
        <v>0</v>
      </c>
      <c r="O233" s="97">
        <f>+GETPIVOTDATA(" New-Oth PP",'Pivot Table for 1-11'!$A$3,"State","GA","SREB Type",6,"SREB Type2","Four-Year")</f>
        <v>0</v>
      </c>
      <c r="P233" s="81">
        <f t="shared" si="10"/>
        <v>1214</v>
      </c>
      <c r="Q233" s="85"/>
    </row>
    <row r="234" spans="1:17" ht="15" customHeight="1" x14ac:dyDescent="0.2">
      <c r="A234" s="5" t="s">
        <v>197</v>
      </c>
      <c r="B234" s="6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6">
        <f>+GETPIVOTDATA(" New-Associate's",'Pivot Table for 1-11'!$A$3,"State","KY","SREB Type",6,"SREB Type2","Four-Year")</f>
        <v>0</v>
      </c>
      <c r="D234" s="6">
        <f>+GETPIVOTDATA(" New-Bachelor's",'Pivot Table for 1-11'!$A$3,"State","KY","SREB Type",6,"SREB Type2","Four-Year")</f>
        <v>0</v>
      </c>
      <c r="E234" s="6">
        <f>+GETPIVOTDATA(" New-Post-Bachelor's",'Pivot Table for 1-11'!$A$3,"State","KY","SREB Type",6,"SREB Type2","Four-Year")</f>
        <v>0</v>
      </c>
      <c r="F234" s="6">
        <f>+GETPIVOTDATA(" New-Total Master's#",'Pivot Table for 1-11'!$A$3,"State","KY","SREB Type",6,"SREB Type2","Four-Year")</f>
        <v>0</v>
      </c>
      <c r="G234" s="6">
        <f>+GETPIVOTDATA(" New-Total Doctorates#",'Pivot Table for 1-11'!$A$3,"State","KY","SREB Type",6,"SREB Type2","Four-Year")</f>
        <v>0</v>
      </c>
      <c r="H234" s="17">
        <f>+GETPIVOTDATA(" New-Law",'Pivot Table for 1-11'!$A$3,"State","KY","SREB Type",6,"SREB Type2","Four-Year")</f>
        <v>0</v>
      </c>
      <c r="I234" s="6">
        <f>+GETPIVOTDATA(" New-Medicine",'Pivot Table for 1-11'!$A$3,"State","KY","SREB Type",6,"SREB Type2","Four-Year")</f>
        <v>0</v>
      </c>
      <c r="J234" s="6">
        <f>+GETPIVOTDATA(" New-Dentistry",'Pivot Table for 1-11'!$A$3,"State","KY","SREB Type",6,"SREB Type2","Four-Year")</f>
        <v>0</v>
      </c>
      <c r="K234" s="6">
        <f>+GETPIVOTDATA(" New-Pharmacy",'Pivot Table for 1-11'!$A$3,"State","KY","SREB Type",6,"SREB Type2","Four-Year")</f>
        <v>0</v>
      </c>
      <c r="L234" s="6">
        <f>+GETPIVOTDATA(" New-Optometry",'Pivot Table for 1-11'!$A$3,"State","KY","SREB Type",6,"SREB Type2","Four-Year")</f>
        <v>0</v>
      </c>
      <c r="M234" s="6">
        <f>+GETPIVOTDATA(" New-Osteopathic Medicine",'Pivot Table for 1-11'!$A$3,"State","KY","SREB Type",6,"SREB Type2","Four-Year")</f>
        <v>0</v>
      </c>
      <c r="N234" s="80">
        <f>+GETPIVOTDATA(" New-Veterinary Medicine",'Pivot Table for 1-11'!$A$3,"State","KY","SREB Type",6,"SREB Type2","Four-Year")</f>
        <v>0</v>
      </c>
      <c r="O234" s="97">
        <f>+GETPIVOTDATA(" New-Oth PP",'Pivot Table for 1-11'!$A$3,"State","KY","SREB Type",6,"SREB Type2","Four-Year")</f>
        <v>0</v>
      </c>
      <c r="P234" s="81">
        <f t="shared" si="10"/>
        <v>0</v>
      </c>
      <c r="Q234" s="85"/>
    </row>
    <row r="235" spans="1:17" ht="15" customHeight="1" x14ac:dyDescent="0.2">
      <c r="A235" s="5" t="s">
        <v>198</v>
      </c>
      <c r="B235" s="6">
        <f>+GETPIVOTDATA(" New-Less Than 2-Year",'Pivot Table for 1-11'!$A$3,"State","LA","SREB Type",6,"SREB Type2","Four-Year")+GETPIVOTDATA(" New-2 But Less Than 4-Year",'Pivot Table for 1-11'!$A$3,"State","LA","SREB Type",6,"SREB Type2","Four-Year")</f>
        <v>5</v>
      </c>
      <c r="C235" s="6">
        <f>+GETPIVOTDATA(" New-Associate's",'Pivot Table for 1-11'!$A$3,"State","LA","SREB Type",6,"SREB Type2","Four-Year")</f>
        <v>118</v>
      </c>
      <c r="D235" s="6">
        <f>+GETPIVOTDATA(" New-Bachelor's",'Pivot Table for 1-11'!$A$3,"State","LA","SREB Type",6,"SREB Type2","Four-Year")</f>
        <v>180</v>
      </c>
      <c r="E235" s="6">
        <f>+GETPIVOTDATA(" New-Post-Bachelor's",'Pivot Table for 1-11'!$A$3,"State","LA","SREB Type",6,"SREB Type2","Four-Year")</f>
        <v>0</v>
      </c>
      <c r="F235" s="6">
        <f>+GETPIVOTDATA(" New-Total Master's#",'Pivot Table for 1-11'!$A$3,"State","LA","SREB Type",6,"SREB Type2","Four-Year")</f>
        <v>0</v>
      </c>
      <c r="G235" s="6">
        <f>+GETPIVOTDATA(" New-Total Doctorates#",'Pivot Table for 1-11'!$A$3,"State","LA","SREB Type",6,"SREB Type2","Four-Year")</f>
        <v>0</v>
      </c>
      <c r="H235" s="17">
        <f>+GETPIVOTDATA(" New-Law",'Pivot Table for 1-11'!$A$3,"State","LA","SREB Type",6,"SREB Type2","Four-Year")</f>
        <v>0</v>
      </c>
      <c r="I235" s="6">
        <f>+GETPIVOTDATA(" New-Medicine",'Pivot Table for 1-11'!$A$3,"State","LA","SREB Type",6,"SREB Type2","Four-Year")</f>
        <v>0</v>
      </c>
      <c r="J235" s="6">
        <f>+GETPIVOTDATA(" New-Dentistry",'Pivot Table for 1-11'!$A$3,"State","LA","SREB Type",6,"SREB Type2","Four-Year")</f>
        <v>0</v>
      </c>
      <c r="K235" s="6">
        <f>+GETPIVOTDATA(" New-Pharmacy",'Pivot Table for 1-11'!$A$3,"State","LA","SREB Type",6,"SREB Type2","Four-Year")</f>
        <v>0</v>
      </c>
      <c r="L235" s="6">
        <f>+GETPIVOTDATA(" New-Optometry",'Pivot Table for 1-11'!$A$3,"State","LA","SREB Type",6,"SREB Type2","Four-Year")</f>
        <v>0</v>
      </c>
      <c r="M235" s="6">
        <f>+GETPIVOTDATA(" New-Osteopathic Medicine",'Pivot Table for 1-11'!$A$3,"State","LA","SREB Type",6,"SREB Type2","Four-Year")</f>
        <v>0</v>
      </c>
      <c r="N235" s="80">
        <f>+GETPIVOTDATA(" New-Veterinary Medicine",'Pivot Table for 1-11'!$A$3,"State","LA","SREB Type",6,"SREB Type2","Four-Year")</f>
        <v>0</v>
      </c>
      <c r="O235" s="97">
        <f>+GETPIVOTDATA(" New-Oth PP",'Pivot Table for 1-11'!$A$3,"State","LA","SREB Type",6,"SREB Type2","Four-Year")</f>
        <v>0</v>
      </c>
      <c r="P235" s="81">
        <f t="shared" si="10"/>
        <v>303</v>
      </c>
      <c r="Q235" s="85"/>
    </row>
    <row r="236" spans="1:17" ht="15" customHeight="1" x14ac:dyDescent="0.2">
      <c r="A236" s="5" t="s">
        <v>199</v>
      </c>
      <c r="B236" s="6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6">
        <f>+GETPIVOTDATA(" New-Associate's",'Pivot Table for 1-11'!$A$3,"State","MD","SREB Type",6,"SREB Type2","Four-Year")</f>
        <v>0</v>
      </c>
      <c r="D236" s="6">
        <f>+GETPIVOTDATA(" New-Bachelor's",'Pivot Table for 1-11'!$A$3,"State","MD","SREB Type",6,"SREB Type2","Four-Year")</f>
        <v>444</v>
      </c>
      <c r="E236" s="6">
        <f>+GETPIVOTDATA(" New-Post-Bachelor's",'Pivot Table for 1-11'!$A$3,"State","MD","SREB Type",6,"SREB Type2","Four-Year")</f>
        <v>0</v>
      </c>
      <c r="F236" s="6">
        <f>+GETPIVOTDATA(" New-Total Master's#",'Pivot Table for 1-11'!$A$3,"State","MD","SREB Type",6,"SREB Type2","Four-Year")</f>
        <v>26</v>
      </c>
      <c r="G236" s="6">
        <f>+GETPIVOTDATA(" New-Total Doctorates#",'Pivot Table for 1-11'!$A$3,"State","MD","SREB Type",6,"SREB Type2","Four-Year")</f>
        <v>0</v>
      </c>
      <c r="H236" s="17">
        <f>+GETPIVOTDATA(" New-Law",'Pivot Table for 1-11'!$A$3,"State","MD","SREB Type",6,"SREB Type2","Four-Year")</f>
        <v>0</v>
      </c>
      <c r="I236" s="6">
        <f>+GETPIVOTDATA(" New-Medicine",'Pivot Table for 1-11'!$A$3,"State","MD","SREB Type",6,"SREB Type2","Four-Year")</f>
        <v>0</v>
      </c>
      <c r="J236" s="6">
        <f>+GETPIVOTDATA(" New-Dentistry",'Pivot Table for 1-11'!$A$3,"State","MD","SREB Type",6,"SREB Type2","Four-Year")</f>
        <v>0</v>
      </c>
      <c r="K236" s="6">
        <f>+GETPIVOTDATA(" New-Pharmacy",'Pivot Table for 1-11'!$A$3,"State","MD","SREB Type",6,"SREB Type2","Four-Year")</f>
        <v>0</v>
      </c>
      <c r="L236" s="6">
        <f>+GETPIVOTDATA(" New-Optometry",'Pivot Table for 1-11'!$A$3,"State","MD","SREB Type",6,"SREB Type2","Four-Year")</f>
        <v>0</v>
      </c>
      <c r="M236" s="6">
        <f>+GETPIVOTDATA(" New-Osteopathic Medicine",'Pivot Table for 1-11'!$A$3,"State","MD","SREB Type",6,"SREB Type2","Four-Year")</f>
        <v>0</v>
      </c>
      <c r="N236" s="80">
        <f>+GETPIVOTDATA(" New-Veterinary Medicine",'Pivot Table for 1-11'!$A$3,"State","MD","SREB Type",6,"SREB Type2","Four-Year")</f>
        <v>0</v>
      </c>
      <c r="O236" s="97">
        <f>+GETPIVOTDATA(" New-Oth PP",'Pivot Table for 1-11'!$A$3,"State","MD","SREB Type",6,"SREB Type2","Four-Year")</f>
        <v>0</v>
      </c>
      <c r="P236" s="81">
        <f t="shared" si="10"/>
        <v>470</v>
      </c>
      <c r="Q236" s="85"/>
    </row>
    <row r="237" spans="1:17" ht="15" customHeight="1" x14ac:dyDescent="0.2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0"/>
      <c r="O237" s="97"/>
      <c r="P237" s="81"/>
      <c r="Q237" s="85"/>
    </row>
    <row r="238" spans="1:17" ht="15" customHeight="1" x14ac:dyDescent="0.2">
      <c r="A238" s="5" t="s">
        <v>200</v>
      </c>
      <c r="B238" s="6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6">
        <f>+GETPIVOTDATA(" New-Associate's",'Pivot Table for 1-11'!$A$3,"State","MS","SREB Type",6,"SREB Type2","Four-Year")</f>
        <v>0</v>
      </c>
      <c r="D238" s="6">
        <f>+GETPIVOTDATA(" New-Bachelor's",'Pivot Table for 1-11'!$A$3,"State","MS","SREB Type",6,"SREB Type2","Four-Year")</f>
        <v>0</v>
      </c>
      <c r="E238" s="6">
        <f>+GETPIVOTDATA(" New-Post-Bachelor's",'Pivot Table for 1-11'!$A$3,"State","MS","SREB Type",6,"SREB Type2","Four-Year")</f>
        <v>0</v>
      </c>
      <c r="F238" s="6">
        <f>+GETPIVOTDATA(" New-Total Master's#",'Pivot Table for 1-11'!$A$3,"State","MS","SREB Type",6,"SREB Type2","Four-Year")</f>
        <v>0</v>
      </c>
      <c r="G238" s="6">
        <f>+GETPIVOTDATA(" New-Total Doctorates#",'Pivot Table for 1-11'!$A$3,"State","MS","SREB Type",6,"SREB Type2","Four-Year")</f>
        <v>0</v>
      </c>
      <c r="H238" s="17">
        <f>+GETPIVOTDATA(" New-Law",'Pivot Table for 1-11'!$A$3,"State","MS","SREB Type",6,"SREB Type2","Four-Year")</f>
        <v>0</v>
      </c>
      <c r="I238" s="6">
        <f>+GETPIVOTDATA(" New-Medicine",'Pivot Table for 1-11'!$A$3,"State","MS","SREB Type",6,"SREB Type2","Four-Year")</f>
        <v>0</v>
      </c>
      <c r="J238" s="6">
        <f>+GETPIVOTDATA(" New-Dentistry",'Pivot Table for 1-11'!$A$3,"State","MS","SREB Type",6,"SREB Type2","Four-Year")</f>
        <v>0</v>
      </c>
      <c r="K238" s="6">
        <f>+GETPIVOTDATA(" New-Pharmacy",'Pivot Table for 1-11'!$A$3,"State","MS","SREB Type",6,"SREB Type2","Four-Year")</f>
        <v>0</v>
      </c>
      <c r="L238" s="6">
        <f>+GETPIVOTDATA(" New-Optometry",'Pivot Table for 1-11'!$A$3,"State","MS","SREB Type",6,"SREB Type2","Four-Year")</f>
        <v>0</v>
      </c>
      <c r="M238" s="6">
        <f>+GETPIVOTDATA(" New-Osteopathic Medicine",'Pivot Table for 1-11'!$A$3,"State","MS","SREB Type",6,"SREB Type2","Four-Year")</f>
        <v>0</v>
      </c>
      <c r="N238" s="80">
        <f>+GETPIVOTDATA(" New-Veterinary Medicine",'Pivot Table for 1-11'!$A$3,"State","MS","SREB Type",6,"SREB Type2","Four-Year")</f>
        <v>0</v>
      </c>
      <c r="O238" s="97">
        <f>+GETPIVOTDATA(" New-Oth PP",'Pivot Table for 1-11'!$A$3,"State","MS","SREB Type",6,"SREB Type2","Four-Year")</f>
        <v>0</v>
      </c>
      <c r="P238" s="81">
        <f t="shared" si="10"/>
        <v>0</v>
      </c>
      <c r="Q238" s="85"/>
    </row>
    <row r="239" spans="1:17" ht="15" customHeight="1" x14ac:dyDescent="0.2">
      <c r="A239" s="5" t="s">
        <v>201</v>
      </c>
      <c r="B239" s="6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6">
        <f>+GETPIVOTDATA(" New-Associate's",'Pivot Table for 1-11'!$A$3,"State","NC","SREB Type",6,"SREB Type2","Four-Year")</f>
        <v>0</v>
      </c>
      <c r="D239" s="6">
        <f>+GETPIVOTDATA(" New-Bachelor's",'Pivot Table for 1-11'!$A$3,"State","NC","SREB Type",6,"SREB Type2","Four-Year")</f>
        <v>1119</v>
      </c>
      <c r="E239" s="6">
        <f>+GETPIVOTDATA(" New-Post-Bachelor's",'Pivot Table for 1-11'!$A$3,"State","NC","SREB Type",6,"SREB Type2","Four-Year")</f>
        <v>0</v>
      </c>
      <c r="F239" s="6">
        <f>+GETPIVOTDATA(" New-Total Master's#",'Pivot Table for 1-11'!$A$3,"State","NC","SREB Type",6,"SREB Type2","Four-Year")</f>
        <v>33</v>
      </c>
      <c r="G239" s="6">
        <f>+GETPIVOTDATA(" New-Total Doctorates#",'Pivot Table for 1-11'!$A$3,"State","NC","SREB Type",6,"SREB Type2","Four-Year")</f>
        <v>0</v>
      </c>
      <c r="H239" s="17">
        <f>+GETPIVOTDATA(" New-Law",'Pivot Table for 1-11'!$A$3,"State","NC","SREB Type",6,"SREB Type2","Four-Year")</f>
        <v>0</v>
      </c>
      <c r="I239" s="6">
        <f>+GETPIVOTDATA(" New-Medicine",'Pivot Table for 1-11'!$A$3,"State","NC","SREB Type",6,"SREB Type2","Four-Year")</f>
        <v>0</v>
      </c>
      <c r="J239" s="6">
        <f>+GETPIVOTDATA(" New-Dentistry",'Pivot Table for 1-11'!$A$3,"State","NC","SREB Type",6,"SREB Type2","Four-Year")</f>
        <v>0</v>
      </c>
      <c r="K239" s="6">
        <f>+GETPIVOTDATA(" New-Pharmacy",'Pivot Table for 1-11'!$A$3,"State","NC","SREB Type",6,"SREB Type2","Four-Year")</f>
        <v>0</v>
      </c>
      <c r="L239" s="6">
        <f>+GETPIVOTDATA(" New-Optometry",'Pivot Table for 1-11'!$A$3,"State","NC","SREB Type",6,"SREB Type2","Four-Year")</f>
        <v>0</v>
      </c>
      <c r="M239" s="6">
        <f>+GETPIVOTDATA(" New-Osteopathic Medicine",'Pivot Table for 1-11'!$A$3,"State","NC","SREB Type",6,"SREB Type2","Four-Year")</f>
        <v>0</v>
      </c>
      <c r="N239" s="80">
        <f>+GETPIVOTDATA(" New-Veterinary Medicine",'Pivot Table for 1-11'!$A$3,"State","NC","SREB Type",6,"SREB Type2","Four-Year")</f>
        <v>0</v>
      </c>
      <c r="O239" s="97">
        <f>+GETPIVOTDATA(" New-Oth PP",'Pivot Table for 1-11'!$A$3,"State","NC","SREB Type",6,"SREB Type2","Four-Year")</f>
        <v>0</v>
      </c>
      <c r="P239" s="81">
        <f t="shared" si="10"/>
        <v>1152</v>
      </c>
      <c r="Q239" s="85"/>
    </row>
    <row r="240" spans="1:17" ht="15" customHeight="1" x14ac:dyDescent="0.2">
      <c r="A240" s="5" t="s">
        <v>202</v>
      </c>
      <c r="B240" s="6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6">
        <f>+GETPIVOTDATA(" New-Associate's",'Pivot Table for 1-11'!$A$3,"State","OK","SREB Type",6,"SREB Type2","Four-Year")</f>
        <v>289</v>
      </c>
      <c r="D240" s="6">
        <f>+GETPIVOTDATA(" New-Bachelor's",'Pivot Table for 1-11'!$A$3,"State","OK","SREB Type",6,"SREB Type2","Four-Year")</f>
        <v>700</v>
      </c>
      <c r="E240" s="6">
        <f>+GETPIVOTDATA(" New-Post-Bachelor's",'Pivot Table for 1-11'!$A$3,"State","OK","SREB Type",6,"SREB Type2","Four-Year")</f>
        <v>0</v>
      </c>
      <c r="F240" s="6">
        <f>+GETPIVOTDATA(" New-Total Master's#",'Pivot Table for 1-11'!$A$3,"State","OK","SREB Type",6,"SREB Type2","Four-Year")</f>
        <v>0</v>
      </c>
      <c r="G240" s="6">
        <f>+GETPIVOTDATA(" New-Total Doctorates#",'Pivot Table for 1-11'!$A$3,"State","OK","SREB Type",6,"SREB Type2","Four-Year")</f>
        <v>0</v>
      </c>
      <c r="H240" s="17">
        <f>+GETPIVOTDATA(" New-Law",'Pivot Table for 1-11'!$A$3,"State","OK","SREB Type",6,"SREB Type2","Four-Year")</f>
        <v>0</v>
      </c>
      <c r="I240" s="6">
        <f>+GETPIVOTDATA(" New-Medicine",'Pivot Table for 1-11'!$A$3,"State","OK","SREB Type",6,"SREB Type2","Four-Year")</f>
        <v>0</v>
      </c>
      <c r="J240" s="6">
        <f>+GETPIVOTDATA(" New-Dentistry",'Pivot Table for 1-11'!$A$3,"State","OK","SREB Type",6,"SREB Type2","Four-Year")</f>
        <v>0</v>
      </c>
      <c r="K240" s="6">
        <f>+GETPIVOTDATA(" New-Pharmacy",'Pivot Table for 1-11'!$A$3,"State","OK","SREB Type",6,"SREB Type2","Four-Year")</f>
        <v>0</v>
      </c>
      <c r="L240" s="6">
        <f>+GETPIVOTDATA(" New-Optometry",'Pivot Table for 1-11'!$A$3,"State","OK","SREB Type",6,"SREB Type2","Four-Year")</f>
        <v>0</v>
      </c>
      <c r="M240" s="6">
        <f>+GETPIVOTDATA(" New-Osteopathic Medicine",'Pivot Table for 1-11'!$A$3,"State","OK","SREB Type",6,"SREB Type2","Four-Year")</f>
        <v>0</v>
      </c>
      <c r="N240" s="80">
        <f>+GETPIVOTDATA(" New-Veterinary Medicine",'Pivot Table for 1-11'!$A$3,"State","OK","SREB Type",6,"SREB Type2","Four-Year")</f>
        <v>0</v>
      </c>
      <c r="O240" s="97">
        <f>+GETPIVOTDATA(" New-Oth PP",'Pivot Table for 1-11'!$A$3,"State","OK","SREB Type",6,"SREB Type2","Four-Year")</f>
        <v>0</v>
      </c>
      <c r="P240" s="81">
        <f t="shared" si="10"/>
        <v>989</v>
      </c>
      <c r="Q240" s="85"/>
    </row>
    <row r="241" spans="1:43" ht="15" customHeight="1" x14ac:dyDescent="0.2">
      <c r="A241" s="5" t="s">
        <v>203</v>
      </c>
      <c r="B241" s="6">
        <f>+GETPIVOTDATA(" New-Less Than 2-Year",'Pivot Table for 1-11'!$A$3,"State","SC","SREB Type",6,"SREB Type2","Four-Year")+GETPIVOTDATA(" New-2 But Less Than 4-Year",'Pivot Table for 1-11'!$A$3,"State","SC","SREB Type",6,"SREB Type2","Four-Year")</f>
        <v>6</v>
      </c>
      <c r="C241" s="6">
        <f>+GETPIVOTDATA(" New-Associate's",'Pivot Table for 1-11'!$A$3,"State","SC","SREB Type",6,"SREB Type2","Four-Year")</f>
        <v>3</v>
      </c>
      <c r="D241" s="6">
        <f>+GETPIVOTDATA(" New-Bachelor's",'Pivot Table for 1-11'!$A$3,"State","SC","SREB Type",6,"SREB Type2","Four-Year")</f>
        <v>2319</v>
      </c>
      <c r="E241" s="6">
        <f>+GETPIVOTDATA(" New-Post-Bachelor's",'Pivot Table for 1-11'!$A$3,"State","SC","SREB Type",6,"SREB Type2","Four-Year")</f>
        <v>3</v>
      </c>
      <c r="F241" s="6">
        <f>+GETPIVOTDATA(" New-Total Master's#",'Pivot Table for 1-11'!$A$3,"State","SC","SREB Type",6,"SREB Type2","Four-Year")</f>
        <v>45</v>
      </c>
      <c r="G241" s="6">
        <f>+GETPIVOTDATA(" New-Total Doctorates#",'Pivot Table for 1-11'!$A$3,"State","SC","SREB Type",6,"SREB Type2","Four-Year")</f>
        <v>0</v>
      </c>
      <c r="H241" s="17">
        <f>+GETPIVOTDATA(" New-Law",'Pivot Table for 1-11'!$A$3,"State","SC","SREB Type",6,"SREB Type2","Four-Year")</f>
        <v>0</v>
      </c>
      <c r="I241" s="6">
        <f>+GETPIVOTDATA(" New-Medicine",'Pivot Table for 1-11'!$A$3,"State","SC","SREB Type",6,"SREB Type2","Four-Year")</f>
        <v>0</v>
      </c>
      <c r="J241" s="6">
        <f>+GETPIVOTDATA(" New-Dentistry",'Pivot Table for 1-11'!$A$3,"State","SC","SREB Type",6,"SREB Type2","Four-Year")</f>
        <v>0</v>
      </c>
      <c r="K241" s="6">
        <f>+GETPIVOTDATA(" New-Pharmacy",'Pivot Table for 1-11'!$A$3,"State","SC","SREB Type",6,"SREB Type2","Four-Year")</f>
        <v>0</v>
      </c>
      <c r="L241" s="6">
        <f>+GETPIVOTDATA(" New-Optometry",'Pivot Table for 1-11'!$A$3,"State","SC","SREB Type",6,"SREB Type2","Four-Year")</f>
        <v>0</v>
      </c>
      <c r="M241" s="6">
        <f>+GETPIVOTDATA(" New-Osteopathic Medicine",'Pivot Table for 1-11'!$A$3,"State","SC","SREB Type",6,"SREB Type2","Four-Year")</f>
        <v>0</v>
      </c>
      <c r="N241" s="80">
        <f>+GETPIVOTDATA(" New-Veterinary Medicine",'Pivot Table for 1-11'!$A$3,"State","SC","SREB Type",6,"SREB Type2","Four-Year")</f>
        <v>0</v>
      </c>
      <c r="O241" s="97">
        <f>+GETPIVOTDATA(" New-Oth PP",'Pivot Table for 1-11'!$A$3,"State","SC","SREB Type",6,"SREB Type2","Four-Year")</f>
        <v>0</v>
      </c>
      <c r="P241" s="81">
        <f t="shared" si="10"/>
        <v>2376</v>
      </c>
      <c r="Q241" s="85"/>
    </row>
    <row r="242" spans="1:43" ht="15" customHeight="1" x14ac:dyDescent="0.2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0"/>
      <c r="O242" s="97"/>
      <c r="P242" s="81"/>
      <c r="Q242" s="85"/>
    </row>
    <row r="243" spans="1:43" ht="15" customHeight="1" x14ac:dyDescent="0.2">
      <c r="A243" s="5" t="s">
        <v>204</v>
      </c>
      <c r="B243" s="6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6">
        <f>+GETPIVOTDATA(" New-Associate's",'Pivot Table for 1-11'!$A$3,"State","TN","SREB Type",6,"SREB Type2","Four-Year")</f>
        <v>0</v>
      </c>
      <c r="D243" s="6">
        <f>+GETPIVOTDATA(" New-Bachelor's",'Pivot Table for 1-11'!$A$3,"State","TN","SREB Type",6,"SREB Type2","Four-Year")</f>
        <v>0</v>
      </c>
      <c r="E243" s="6">
        <f>+GETPIVOTDATA(" New-Post-Bachelor's",'Pivot Table for 1-11'!$A$3,"State","TN","SREB Type",6,"SREB Type2","Four-Year")</f>
        <v>0</v>
      </c>
      <c r="F243" s="6">
        <f>+GETPIVOTDATA(" New-Total Master's#",'Pivot Table for 1-11'!$A$3,"State","TN","SREB Type",6,"SREB Type2","Four-Year")</f>
        <v>0</v>
      </c>
      <c r="G243" s="6">
        <f>+GETPIVOTDATA(" New-Total Doctorates#",'Pivot Table for 1-11'!$A$3,"State","TN","SREB Type",6,"SREB Type2","Four-Year")</f>
        <v>0</v>
      </c>
      <c r="H243" s="17">
        <f>+GETPIVOTDATA(" New-Law",'Pivot Table for 1-11'!$A$3,"State","TN","SREB Type",6,"SREB Type2","Four-Year")</f>
        <v>0</v>
      </c>
      <c r="I243" s="6">
        <f>+GETPIVOTDATA(" New-Medicine",'Pivot Table for 1-11'!$A$3,"State","TN","SREB Type",6,"SREB Type2","Four-Year")</f>
        <v>0</v>
      </c>
      <c r="J243" s="6">
        <f>+GETPIVOTDATA(" New-Dentistry",'Pivot Table for 1-11'!$A$3,"State","TN","SREB Type",6,"SREB Type2","Four-Year")</f>
        <v>0</v>
      </c>
      <c r="K243" s="6">
        <f>+GETPIVOTDATA(" New-Pharmacy",'Pivot Table for 1-11'!$A$3,"State","TN","SREB Type",6,"SREB Type2","Four-Year")</f>
        <v>0</v>
      </c>
      <c r="L243" s="6">
        <f>+GETPIVOTDATA(" New-Optometry",'Pivot Table for 1-11'!$A$3,"State","TN","SREB Type",6,"SREB Type2","Four-Year")</f>
        <v>0</v>
      </c>
      <c r="M243" s="6">
        <f>+GETPIVOTDATA(" New-Osteopathic Medicine",'Pivot Table for 1-11'!$A$3,"State","TN","SREB Type",6,"SREB Type2","Four-Year")</f>
        <v>0</v>
      </c>
      <c r="N243" s="80">
        <f>+GETPIVOTDATA(" New-Veterinary Medicine",'Pivot Table for 1-11'!$A$3,"State","TN","SREB Type",6,"SREB Type2","Four-Year")</f>
        <v>0</v>
      </c>
      <c r="O243" s="97">
        <f>+GETPIVOTDATA(" New-Oth PP",'Pivot Table for 1-11'!$A$3,"State","TN","SREB Type",6,"SREB Type2","Four-Year")</f>
        <v>0</v>
      </c>
      <c r="P243" s="81">
        <f t="shared" si="10"/>
        <v>0</v>
      </c>
      <c r="Q243" s="85"/>
    </row>
    <row r="244" spans="1:43" ht="15" customHeight="1" x14ac:dyDescent="0.2">
      <c r="A244" s="5" t="s">
        <v>205</v>
      </c>
      <c r="B244" s="6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6">
        <f>+GETPIVOTDATA(" New-Associate's",'Pivot Table for 1-11'!$A$3,"State","TX","SREB Type",6,"SREB Type2","Four-Year")</f>
        <v>0</v>
      </c>
      <c r="D244" s="6">
        <f>+GETPIVOTDATA(" New-Bachelor's",'Pivot Table for 1-11'!$A$3,"State","TX","SREB Type",6,"SREB Type2","Four-Year")</f>
        <v>314</v>
      </c>
      <c r="E244" s="6">
        <f>+GETPIVOTDATA(" New-Post-Bachelor's",'Pivot Table for 1-11'!$A$3,"State","TX","SREB Type",6,"SREB Type2","Four-Year")</f>
        <v>0</v>
      </c>
      <c r="F244" s="6">
        <f>+GETPIVOTDATA(" New-Total Master's#",'Pivot Table for 1-11'!$A$3,"State","TX","SREB Type",6,"SREB Type2","Four-Year")</f>
        <v>12</v>
      </c>
      <c r="G244" s="6">
        <f>+GETPIVOTDATA(" New-Total Doctorates#",'Pivot Table for 1-11'!$A$3,"State","TX","SREB Type",6,"SREB Type2","Four-Year")</f>
        <v>2</v>
      </c>
      <c r="H244" s="17">
        <f>+GETPIVOTDATA(" New-Law",'Pivot Table for 1-11'!$A$3,"State","TX","SREB Type",6,"SREB Type2","Four-Year")</f>
        <v>0</v>
      </c>
      <c r="I244" s="6">
        <f>+GETPIVOTDATA(" New-Medicine",'Pivot Table for 1-11'!$A$3,"State","TX","SREB Type",6,"SREB Type2","Four-Year")</f>
        <v>0</v>
      </c>
      <c r="J244" s="6">
        <f>+GETPIVOTDATA(" New-Dentistry",'Pivot Table for 1-11'!$A$3,"State","TX","SREB Type",6,"SREB Type2","Four-Year")</f>
        <v>0</v>
      </c>
      <c r="K244" s="6">
        <f>+GETPIVOTDATA(" New-Pharmacy",'Pivot Table for 1-11'!$A$3,"State","TX","SREB Type",6,"SREB Type2","Four-Year")</f>
        <v>0</v>
      </c>
      <c r="L244" s="6">
        <f>+GETPIVOTDATA(" New-Optometry",'Pivot Table for 1-11'!$A$3,"State","TX","SREB Type",6,"SREB Type2","Four-Year")</f>
        <v>0</v>
      </c>
      <c r="M244" s="6">
        <f>+GETPIVOTDATA(" New-Osteopathic Medicine",'Pivot Table for 1-11'!$A$3,"State","TX","SREB Type",6,"SREB Type2","Four-Year")</f>
        <v>0</v>
      </c>
      <c r="N244" s="80">
        <f>+GETPIVOTDATA(" New-Veterinary Medicine",'Pivot Table for 1-11'!$A$3,"State","TX","SREB Type",6,"SREB Type2","Four-Year")</f>
        <v>0</v>
      </c>
      <c r="O244" s="97">
        <f>+GETPIVOTDATA(" New-Oth PP",'Pivot Table for 1-11'!$A$3,"State","TX","SREB Type",6,"SREB Type2","Four-Year")</f>
        <v>0</v>
      </c>
      <c r="P244" s="81">
        <f t="shared" si="10"/>
        <v>328</v>
      </c>
      <c r="Q244" s="85"/>
    </row>
    <row r="245" spans="1:43" ht="15" customHeight="1" x14ac:dyDescent="0.2">
      <c r="A245" s="5" t="s">
        <v>206</v>
      </c>
      <c r="B245" s="6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6">
        <f>+GETPIVOTDATA(" New-Associate's",'Pivot Table for 1-11'!$A$3,"State","VA","SREB Type",6,"SREB Type2","Four-Year")</f>
        <v>0</v>
      </c>
      <c r="D245" s="6">
        <f>+GETPIVOTDATA(" New-Bachelor's",'Pivot Table for 1-11'!$A$3,"State","VA","SREB Type",6,"SREB Type2","Four-Year")</f>
        <v>279</v>
      </c>
      <c r="E245" s="6">
        <f>+GETPIVOTDATA(" New-Post-Bachelor's",'Pivot Table for 1-11'!$A$3,"State","VA","SREB Type",6,"SREB Type2","Four-Year")</f>
        <v>0</v>
      </c>
      <c r="F245" s="6">
        <f>+GETPIVOTDATA(" New-Total Master's#",'Pivot Table for 1-11'!$A$3,"State","VA","SREB Type",6,"SREB Type2","Four-Year")</f>
        <v>0</v>
      </c>
      <c r="G245" s="6">
        <f>+GETPIVOTDATA(" New-Total Doctorates#",'Pivot Table for 1-11'!$A$3,"State","VA","SREB Type",6,"SREB Type2","Four-Year")</f>
        <v>0</v>
      </c>
      <c r="H245" s="17">
        <f>+GETPIVOTDATA(" New-Law",'Pivot Table for 1-11'!$A$3,"State","VA","SREB Type",6,"SREB Type2","Four-Year")</f>
        <v>0</v>
      </c>
      <c r="I245" s="6">
        <f>+GETPIVOTDATA(" New-Medicine",'Pivot Table for 1-11'!$A$3,"State","VA","SREB Type",6,"SREB Type2","Four-Year")</f>
        <v>0</v>
      </c>
      <c r="J245" s="6">
        <f>+GETPIVOTDATA(" New-Dentistry",'Pivot Table for 1-11'!$A$3,"State","VA","SREB Type",6,"SREB Type2","Four-Year")</f>
        <v>0</v>
      </c>
      <c r="K245" s="6">
        <f>+GETPIVOTDATA(" New-Pharmacy",'Pivot Table for 1-11'!$A$3,"State","VA","SREB Type",6,"SREB Type2","Four-Year")</f>
        <v>0</v>
      </c>
      <c r="L245" s="6">
        <f>+GETPIVOTDATA(" New-Optometry",'Pivot Table for 1-11'!$A$3,"State","VA","SREB Type",6,"SREB Type2","Four-Year")</f>
        <v>0</v>
      </c>
      <c r="M245" s="6">
        <f>+GETPIVOTDATA(" New-Osteopathic Medicine",'Pivot Table for 1-11'!$A$3,"State","VA","SREB Type",6,"SREB Type2","Four-Year")</f>
        <v>0</v>
      </c>
      <c r="N245" s="80">
        <f>+GETPIVOTDATA(" New-Veterinary Medicine",'Pivot Table for 1-11'!$A$3,"State","VA","SREB Type",6,"SREB Type2","Four-Year")</f>
        <v>0</v>
      </c>
      <c r="O245" s="97">
        <f>+GETPIVOTDATA(" New-Oth PP",'Pivot Table for 1-11'!$A$3,"State","VA","SREB Type",6,"SREB Type2","Four-Year")</f>
        <v>0</v>
      </c>
      <c r="P245" s="81">
        <f t="shared" si="10"/>
        <v>279</v>
      </c>
      <c r="Q245" s="85"/>
    </row>
    <row r="246" spans="1:43" ht="15" customHeight="1" x14ac:dyDescent="0.2">
      <c r="A246" s="7" t="s">
        <v>207</v>
      </c>
      <c r="B246" s="8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8">
        <f>+GETPIVOTDATA(" New-Associate's",'Pivot Table for 1-11'!$A$3,"State","WV","SREB Type",6,"SREB Type2","Four-Year")</f>
        <v>180</v>
      </c>
      <c r="D246" s="8">
        <f>+GETPIVOTDATA(" New-Bachelor's",'Pivot Table for 1-11'!$A$3,"State","WV","SREB Type",6,"SREB Type2","Four-Year")</f>
        <v>1798</v>
      </c>
      <c r="E246" s="8">
        <f>+GETPIVOTDATA(" New-Post-Bachelor's",'Pivot Table for 1-11'!$A$3,"State","WV","SREB Type",6,"SREB Type2","Four-Year")</f>
        <v>0</v>
      </c>
      <c r="F246" s="8">
        <f>+GETPIVOTDATA(" New-Total Master's#",'Pivot Table for 1-11'!$A$3,"State","WV","SREB Type",6,"SREB Type2","Four-Year")</f>
        <v>54</v>
      </c>
      <c r="G246" s="8">
        <f>+GETPIVOTDATA(" New-Total Doctorates#",'Pivot Table for 1-11'!$A$3,"State","WV","SREB Type",6,"SREB Type2","Four-Year")</f>
        <v>0</v>
      </c>
      <c r="H246" s="18">
        <f>+GETPIVOTDATA(" New-Law",'Pivot Table for 1-11'!$A$3,"State","WV","SREB Type",6,"SREB Type2","Four-Year")</f>
        <v>0</v>
      </c>
      <c r="I246" s="8">
        <f>+GETPIVOTDATA(" New-Medicine",'Pivot Table for 1-11'!$A$3,"State","WV","SREB Type",6,"SREB Type2","Four-Year")</f>
        <v>0</v>
      </c>
      <c r="J246" s="8">
        <f>+GETPIVOTDATA(" New-Dentistry",'Pivot Table for 1-11'!$A$3,"State","WV","SREB Type",6,"SREB Type2","Four-Year")</f>
        <v>0</v>
      </c>
      <c r="K246" s="8">
        <f>+GETPIVOTDATA(" New-Pharmacy",'Pivot Table for 1-11'!$A$3,"State","WV","SREB Type",6,"SREB Type2","Four-Year")</f>
        <v>0</v>
      </c>
      <c r="L246" s="8">
        <f>+GETPIVOTDATA(" New-Optometry",'Pivot Table for 1-11'!$A$3,"State","WV","SREB Type",6,"SREB Type2","Four-Year")</f>
        <v>0</v>
      </c>
      <c r="M246" s="8">
        <f>+GETPIVOTDATA(" New-Osteopathic Medicine",'Pivot Table for 1-11'!$A$3,"State","WV","SREB Type",6,"SREB Type2","Four-Year")</f>
        <v>0</v>
      </c>
      <c r="N246" s="88">
        <f>+GETPIVOTDATA(" New-Veterinary Medicine",'Pivot Table for 1-11'!$A$3,"State","WV","SREB Type",6,"SREB Type2","Four-Year")</f>
        <v>0</v>
      </c>
      <c r="O246" s="98">
        <f>+GETPIVOTDATA(" New-Oth PP",'Pivot Table for 1-11'!$A$3,"State","WV","SREB Type",6,"SREB Type2","Four-Year")</f>
        <v>0</v>
      </c>
      <c r="P246" s="82">
        <f t="shared" si="10"/>
        <v>2032</v>
      </c>
      <c r="Q246" s="85"/>
    </row>
    <row r="247" spans="1:43" x14ac:dyDescent="0.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0"/>
      <c r="O247" s="80"/>
      <c r="P247" s="80"/>
      <c r="Q247" s="85"/>
    </row>
    <row r="248" spans="1:43" ht="29.25" customHeight="1" x14ac:dyDescent="0.2">
      <c r="A248" s="856" t="s">
        <v>409</v>
      </c>
      <c r="B248" s="857"/>
      <c r="C248" s="857"/>
      <c r="D248" s="857"/>
      <c r="E248" s="857"/>
      <c r="F248" s="857"/>
      <c r="G248" s="857"/>
      <c r="H248" s="857"/>
      <c r="I248" s="857"/>
      <c r="J248" s="857"/>
      <c r="K248" s="857"/>
      <c r="L248" s="857"/>
      <c r="M248" s="857"/>
      <c r="N248" s="857"/>
      <c r="O248" s="857"/>
      <c r="P248" s="857"/>
      <c r="Q248" s="166"/>
    </row>
    <row r="249" spans="1:43" ht="15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89"/>
      <c r="O249" s="89"/>
      <c r="P249" s="83" t="s">
        <v>1293</v>
      </c>
      <c r="Q249" s="167"/>
    </row>
    <row r="250" spans="1:43" ht="18" x14ac:dyDescent="0.25">
      <c r="A250" s="22" t="s">
        <v>215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8" t="s">
        <v>216</v>
      </c>
      <c r="O250" s="58"/>
      <c r="P250" s="58"/>
      <c r="Q250" s="154" t="s">
        <v>216</v>
      </c>
    </row>
    <row r="251" spans="1:4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7" t="s">
        <v>216</v>
      </c>
      <c r="O251" s="57"/>
      <c r="P251" s="57"/>
      <c r="Q251" s="163"/>
    </row>
    <row r="252" spans="1:43" ht="15.75" x14ac:dyDescent="0.25">
      <c r="A252" s="1" t="s">
        <v>181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8" t="s">
        <v>216</v>
      </c>
      <c r="O252" s="58"/>
      <c r="P252" s="58"/>
      <c r="Q252" s="154" t="s">
        <v>216</v>
      </c>
    </row>
    <row r="253" spans="1:43" ht="15.75" x14ac:dyDescent="0.25">
      <c r="A253" s="1" t="s">
        <v>1289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8" t="s">
        <v>216</v>
      </c>
      <c r="O253" s="58"/>
      <c r="P253" s="58"/>
      <c r="Q253" s="51" t="s">
        <v>256</v>
      </c>
      <c r="R253" s="51" t="s">
        <v>256</v>
      </c>
    </row>
    <row r="254" spans="1:43" x14ac:dyDescent="0.2">
      <c r="A254" s="4"/>
      <c r="B254" s="4"/>
      <c r="C254" s="4"/>
      <c r="D254" s="4"/>
      <c r="E254" s="4"/>
      <c r="F254" s="4"/>
      <c r="G254" s="4"/>
      <c r="H254" s="4"/>
      <c r="I254" s="4"/>
      <c r="N254" s="57" t="s">
        <v>216</v>
      </c>
      <c r="O254" s="57"/>
      <c r="Q254" s="51"/>
    </row>
    <row r="255" spans="1:43" x14ac:dyDescent="0.2">
      <c r="A255" s="11"/>
      <c r="B255" s="12" t="s">
        <v>217</v>
      </c>
      <c r="C255" s="12"/>
      <c r="D255" s="53"/>
      <c r="E255" s="13" t="s">
        <v>218</v>
      </c>
      <c r="F255" s="12"/>
      <c r="G255" s="53"/>
      <c r="H255" s="13" t="s">
        <v>219</v>
      </c>
      <c r="I255" s="53"/>
      <c r="J255" s="13" t="s">
        <v>220</v>
      </c>
      <c r="K255" s="53"/>
      <c r="L255" s="13" t="s">
        <v>221</v>
      </c>
      <c r="M255" s="12"/>
      <c r="N255" s="57" t="s">
        <v>216</v>
      </c>
      <c r="O255" s="57"/>
      <c r="Q255" s="174"/>
      <c r="R255" s="174"/>
      <c r="S255" s="174"/>
      <c r="T255" s="50"/>
      <c r="U255" s="50"/>
      <c r="V255" s="50"/>
      <c r="W255" s="50"/>
      <c r="X255" s="50"/>
      <c r="Y255" s="50"/>
      <c r="AA255" s="155"/>
    </row>
    <row r="256" spans="1:43" ht="24" x14ac:dyDescent="0.2">
      <c r="A256" s="14"/>
      <c r="B256" s="15" t="s">
        <v>244</v>
      </c>
      <c r="C256" s="15" t="s">
        <v>222</v>
      </c>
      <c r="D256" s="54" t="s">
        <v>417</v>
      </c>
      <c r="E256" s="16" t="s">
        <v>244</v>
      </c>
      <c r="F256" s="15" t="s">
        <v>222</v>
      </c>
      <c r="G256" s="54" t="s">
        <v>177</v>
      </c>
      <c r="H256" s="16" t="s">
        <v>244</v>
      </c>
      <c r="I256" s="54" t="s">
        <v>222</v>
      </c>
      <c r="J256" s="16" t="s">
        <v>244</v>
      </c>
      <c r="K256" s="54" t="s">
        <v>222</v>
      </c>
      <c r="L256" s="16" t="s">
        <v>244</v>
      </c>
      <c r="M256" s="15" t="s">
        <v>222</v>
      </c>
      <c r="N256" s="57"/>
      <c r="O256" s="57"/>
      <c r="Q256" s="175" t="s">
        <v>415</v>
      </c>
      <c r="R256" s="176" t="s">
        <v>414</v>
      </c>
      <c r="S256" s="175" t="s">
        <v>416</v>
      </c>
      <c r="U256" s="50"/>
      <c r="V256" s="179"/>
      <c r="W256" s="179"/>
      <c r="X256" s="179"/>
      <c r="Y256" s="179"/>
      <c r="AA256" s="151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8"/>
      <c r="AM256" s="107"/>
      <c r="AN256" s="107"/>
      <c r="AO256" s="107"/>
      <c r="AP256" s="108"/>
      <c r="AQ256" s="107"/>
    </row>
    <row r="257" spans="1:42" ht="15" customHeight="1" x14ac:dyDescent="0.2">
      <c r="A257" s="5" t="s">
        <v>191</v>
      </c>
      <c r="B257" s="6">
        <f>+GETPIVOTDATA(" New-Less Than 2-Year",'Pivot Table for 1-11'!$A$3,"SREB Type2","Two-Year")+GETPIVOTDATA(" New-2 But Less Than 4-Year",'Pivot Table for 1-11'!$A$3,"SREB Type2","Two-Year")</f>
        <v>132175</v>
      </c>
      <c r="C257" s="6">
        <f>+GETPIVOTDATA(" New-Associate's",'Pivot Table for 1-11'!$A$3,"SREB Type2","Two-Year")</f>
        <v>268404</v>
      </c>
      <c r="D257" s="6">
        <f>+GETPIVOTDATA(" New-Bachelor's",'Pivot Table for 1-11'!$A$3,"SREB Type2","Two-Year")</f>
        <v>4995</v>
      </c>
      <c r="E257" s="114">
        <f>+GETPIVOTDATA(" New-Less Than 2-Year",'Pivot Table for 1-11'!$A$3,"SREB Type",7,"SREB Type2","Two-Year")+GETPIVOTDATA(" New-2 But Less Than 4-Year",'Pivot Table for 1-11'!$A$3,"SREB Type",7,"SREB Type2","Two-Year")</f>
        <v>10222</v>
      </c>
      <c r="F257" s="115">
        <f>+GETPIVOTDATA(" New-Associate's",'Pivot Table for 1-11'!$A$3,"SREB Type",7,"SREB Type2","Two-Year")</f>
        <v>37960</v>
      </c>
      <c r="G257" s="116">
        <f>+GETPIVOTDATA(" New-Bachelor's",'Pivot Table for 1-11'!$A$3,"SREB Type",7,"SREB Type2","Two-Year")</f>
        <v>4132</v>
      </c>
      <c r="H257" s="114">
        <f>+GETPIVOTDATA(" New-Less Than 2-Year",'Pivot Table for 1-11'!$A$3,"SREB Type",8,"SREB Type2","Two-Year")+GETPIVOTDATA(" New-2 But Less Than 4-Year",'Pivot Table for 1-11'!$A$3,"SREB Type",8,"SREB Type2","Two-Year")</f>
        <v>60819</v>
      </c>
      <c r="I257" s="116">
        <f>+GETPIVOTDATA(" New-Associate's",'Pivot Table for 1-11'!$A$3,"SREB Type",8,"SREB Type2","Two-Year")</f>
        <v>147456</v>
      </c>
      <c r="J257" s="114">
        <f>+GETPIVOTDATA(" New-Less Than 2-Year",'Pivot Table for 1-11'!$A$3,"SREB Type",9,"SREB Type2","Two-Year")+GETPIVOTDATA(" New-2 But Less Than 4-Year",'Pivot Table for 1-11'!$A$3,"SREB Type",9,"SREB Type2","Two-Year")</f>
        <v>43801</v>
      </c>
      <c r="K257" s="116">
        <f>+GETPIVOTDATA(" New-Associate's",'Pivot Table for 1-11'!$A$3,"SREB Type",9,"SREB Type2","Two-Year")</f>
        <v>64255</v>
      </c>
      <c r="L257" s="6">
        <f>+GETPIVOTDATA(" New-Less Than 2-Year",'Pivot Table for 1-11'!$A$3,"SREB Type",10,"SREB Type2","Two-Year")+GETPIVOTDATA(" New-2 But Less Than 4-Year",'Pivot Table for 1-11'!$A$3,"SREB Type",10,"SREB Type2","Two-Year")</f>
        <v>17333</v>
      </c>
      <c r="M257" s="6">
        <f>+GETPIVOTDATA(" New-Associate's",'Pivot Table for 1-11'!$A$3,"SREB Type",10,"SREB Type2","Two-Year")</f>
        <v>18733</v>
      </c>
      <c r="N257" s="80"/>
      <c r="O257" s="80"/>
      <c r="Q257" s="177">
        <f>SUM(B257:D257)</f>
        <v>405574</v>
      </c>
      <c r="R257" s="178">
        <f>('New Tables 1-12'!Q257-'New Tables 1-12'!S257)/S257</f>
        <v>7.9871983300317376E-2</v>
      </c>
      <c r="S257" s="177">
        <f>SUM('Old 1-12'!B257:D257)</f>
        <v>375576</v>
      </c>
      <c r="U257" s="39" t="s">
        <v>191</v>
      </c>
      <c r="V257" s="318"/>
      <c r="W257" s="318"/>
      <c r="X257" s="318"/>
      <c r="Y257" s="318"/>
      <c r="AL257" s="109"/>
      <c r="AP257" s="109"/>
    </row>
    <row r="258" spans="1:42" ht="15" customHeight="1" x14ac:dyDescent="0.2">
      <c r="A258" s="5"/>
      <c r="B258" s="6"/>
      <c r="C258" s="6"/>
      <c r="D258" s="6"/>
      <c r="E258" s="17"/>
      <c r="F258" s="40"/>
      <c r="G258" s="55"/>
      <c r="H258" s="17"/>
      <c r="I258" s="55"/>
      <c r="J258" s="17"/>
      <c r="K258" s="55"/>
      <c r="L258" s="6"/>
      <c r="M258" s="6"/>
      <c r="N258" s="80"/>
      <c r="O258" s="80"/>
      <c r="P258" s="62"/>
      <c r="Q258" s="177"/>
      <c r="R258" s="178"/>
      <c r="S258" s="177"/>
      <c r="U258" s="39"/>
      <c r="V258" s="318"/>
      <c r="W258" s="318"/>
      <c r="X258" s="318"/>
      <c r="Y258" s="318"/>
      <c r="AL258" s="109"/>
      <c r="AP258" s="109"/>
    </row>
    <row r="259" spans="1:42" ht="15" customHeight="1" x14ac:dyDescent="0.2">
      <c r="A259" s="5" t="s">
        <v>192</v>
      </c>
      <c r="B259" s="6">
        <f>+GETPIVOTDATA(" New-Less Than 2-Year",'Pivot Table for 1-11'!$A$3,"State","AL","SREB Type2","Two-Year")+GETPIVOTDATA(" New-2 But Less Than 4-Year",'Pivot Table for 1-11'!$A$3,"State","AL","SREB Type2","Two-Year")</f>
        <v>4871</v>
      </c>
      <c r="C259" s="6">
        <f>+GETPIVOTDATA(" New-Associate's",'Pivot Table for 1-11'!$A$3,"State","AL","SREB Type2","Two-Year")</f>
        <v>9303</v>
      </c>
      <c r="D259" s="6">
        <f>+GETPIVOTDATA(" New-Bachelor's",'Pivot Table for 1-11'!$A$3,"State","AL","SREB Type2","Two-Year")</f>
        <v>0</v>
      </c>
      <c r="E259" s="180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85">
        <f>+GETPIVOTDATA(" New-Associate's",'Pivot Table for 1-11'!$A$3,"State","AL","SREB Type",7,"SREB Type2","Two-Year")</f>
        <v>0</v>
      </c>
      <c r="G259" s="97">
        <f>+GETPIVOTDATA(" New-Bachelor's",'Pivot Table for 1-11'!$A$3,"State","AL","SREB Type",7,"SREB Type2","Two-Year")</f>
        <v>0</v>
      </c>
      <c r="H259" s="180">
        <f>+GETPIVOTDATA(" New-Less Than 2-Year",'Pivot Table for 1-11'!$A$3,"State","AL","SREB Type",8,"SREB Type2","Two-Year")+GETPIVOTDATA(" New-2 But Less Than 4-Year",'Pivot Table for 1-11'!$A$3,"State","AL","SREB Type",8,"SREB Type2","Two-Year")</f>
        <v>1341</v>
      </c>
      <c r="I259" s="97">
        <f>+GETPIVOTDATA(" New-Associate's",'Pivot Table for 1-11'!$A$3,"State","AL","SREB Type",8,"SREB Type2","Two-Year")</f>
        <v>3400</v>
      </c>
      <c r="J259" s="180">
        <f>+GETPIVOTDATA(" New-Less Than 2-Year",'Pivot Table for 1-11'!$A$3,"State","AL","SREB Type",9,"SREB Type2","Two-Year")+GETPIVOTDATA(" New-2 But Less Than 4-Year",'Pivot Table for 1-11'!$A$3,"State","AL","SREB Type",9,"SREB Type2","Two-Year")</f>
        <v>2764</v>
      </c>
      <c r="K259" s="97">
        <f>+GETPIVOTDATA(" New-Associate's",'Pivot Table for 1-11'!$A$3,"State","AL","SREB Type",9,"SREB Type2","Two-Year")</f>
        <v>4427</v>
      </c>
      <c r="L259" s="80">
        <f>+GETPIVOTDATA(" New-Less Than 2-Year",'Pivot Table for 1-11'!$A$3,"State","AL","SREB Type",10,"SREB Type2","Two-Year")+GETPIVOTDATA(" New-2 But Less Than 4-Year",'Pivot Table for 1-11'!$A$3,"State","AL","SREB Type",10,"SREB Type2","Two-Year")</f>
        <v>766</v>
      </c>
      <c r="M259" s="80">
        <f>+GETPIVOTDATA(" New-Associate's",'Pivot Table for 1-11'!$A$3,"State","AL","SREB Type",10,"SREB Type2","Two-Year")</f>
        <v>1476</v>
      </c>
      <c r="N259" s="80"/>
      <c r="O259" s="80"/>
      <c r="Q259" s="177">
        <f>SUM(B259:D259)</f>
        <v>14174</v>
      </c>
      <c r="R259" s="178">
        <f>('New Tables 1-12'!Q259-'New Tables 1-12'!S259)/S259</f>
        <v>0.11430817610062893</v>
      </c>
      <c r="S259" s="177">
        <f>SUM('Old 1-12'!B259:D259)</f>
        <v>12720</v>
      </c>
      <c r="U259" s="39" t="s">
        <v>192</v>
      </c>
      <c r="V259" s="318"/>
      <c r="W259" s="318"/>
      <c r="X259" s="318"/>
      <c r="Y259" s="318"/>
      <c r="AA259" s="159"/>
      <c r="AL259" s="109"/>
      <c r="AP259" s="109"/>
    </row>
    <row r="260" spans="1:42" ht="15" customHeight="1" x14ac:dyDescent="0.2">
      <c r="A260" s="5" t="s">
        <v>193</v>
      </c>
      <c r="B260" s="6">
        <f>+GETPIVOTDATA(" New-Less Than 2-Year",'Pivot Table for 1-11'!$A$3,"State","AR","SREB Type2","Two-Year")+GETPIVOTDATA(" New-2 But Less Than 4-Year",'Pivot Table for 1-11'!$A$3,"State","AR","SREB Type2","Two-Year")</f>
        <v>8192</v>
      </c>
      <c r="C260" s="6">
        <f>+GETPIVOTDATA(" New-Associate's",'Pivot Table for 1-11'!$A$3,"State","AR","SREB Type2","Two-Year")</f>
        <v>6506</v>
      </c>
      <c r="D260" s="6">
        <f>+GETPIVOTDATA(" New-Bachelor's",'Pivot Table for 1-11'!$A$3,"State","AR","SREB Type2","Two-Year")</f>
        <v>0</v>
      </c>
      <c r="E260" s="17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40">
        <f>+GETPIVOTDATA(" New-Associate's",'Pivot Table for 1-11'!$A$3,"State","AR","SREB Type",7,"SREB Type2","Two-Year")</f>
        <v>0</v>
      </c>
      <c r="G260" s="55">
        <f>+GETPIVOTDATA(" New-Bachelor's",'Pivot Table for 1-11'!$A$3,"State","AR","SREB Type",7,"SREB Type2","Two-Year")</f>
        <v>0</v>
      </c>
      <c r="H260" s="17">
        <f>+GETPIVOTDATA(" New-Less Than 2-Year",'Pivot Table for 1-11'!$A$3,"State","AR","SREB Type",8,"SREB Type2","Two-Year")+GETPIVOTDATA(" New-2 But Less Than 4-Year",'Pivot Table for 1-11'!$A$3,"State","AR","SREB Type",8,"SREB Type2","Two-Year")</f>
        <v>1566</v>
      </c>
      <c r="I260" s="55">
        <f>+GETPIVOTDATA(" New-Associate's",'Pivot Table for 1-11'!$A$3,"State","AR","SREB Type",8,"SREB Type2","Two-Year")</f>
        <v>1833</v>
      </c>
      <c r="J260" s="17">
        <f>+GETPIVOTDATA(" New-Less Than 2-Year",'Pivot Table for 1-11'!$A$3,"State","AR","SREB Type",9,"SREB Type2","Two-Year")+GETPIVOTDATA(" New-2 But Less Than 4-Year",'Pivot Table for 1-11'!$A$3,"State","AR","SREB Type",9,"SREB Type2","Two-Year")</f>
        <v>714</v>
      </c>
      <c r="K260" s="55">
        <f>+GETPIVOTDATA(" New-Associate's",'Pivot Table for 1-11'!$A$3,"State","AR","SREB Type",9,"SREB Type2","Two-Year")</f>
        <v>1188</v>
      </c>
      <c r="L260" s="6">
        <f>+GETPIVOTDATA(" New-Less Than 2-Year",'Pivot Table for 1-11'!$A$3,"State","AR","SREB Type",10,"SREB Type2","Two-Year")+GETPIVOTDATA(" New-2 But Less Than 4-Year",'Pivot Table for 1-11'!$A$3,"State","AR","SREB Type",10,"SREB Type2","Two-Year")</f>
        <v>5912</v>
      </c>
      <c r="M260" s="6">
        <f>+GETPIVOTDATA(" New-Associate's",'Pivot Table for 1-11'!$A$3,"State","AR","SREB Type",10,"SREB Type2","Two-Year")</f>
        <v>3485</v>
      </c>
      <c r="N260" s="80"/>
      <c r="O260" s="80"/>
      <c r="P260" s="62"/>
      <c r="Q260" s="177">
        <f>SUM(B260:D260)</f>
        <v>14698</v>
      </c>
      <c r="R260" s="178">
        <f>('New Tables 1-12'!Q260-'New Tables 1-12'!S260)/S260</f>
        <v>-2.2479382814578345E-2</v>
      </c>
      <c r="S260" s="177">
        <f>SUM('Old 1-12'!B260:D260)</f>
        <v>15036</v>
      </c>
      <c r="U260" s="39" t="s">
        <v>193</v>
      </c>
      <c r="V260" s="318"/>
      <c r="W260" s="318"/>
      <c r="X260" s="318"/>
      <c r="Y260" s="318"/>
      <c r="AL260" s="109"/>
      <c r="AP260" s="109"/>
    </row>
    <row r="261" spans="1:42" ht="15" customHeight="1" x14ac:dyDescent="0.2">
      <c r="A261" s="5" t="s">
        <v>194</v>
      </c>
      <c r="B261" s="6">
        <f>+GETPIVOTDATA(" New-Less Than 2-Year",'Pivot Table for 1-11'!$A$3,"State","DE","SREB Type2","Two-Year")+GETPIVOTDATA(" New-2 But Less Than 4-Year",'Pivot Table for 1-11'!$A$3,"State","DE","SREB Type2","Two-Year")</f>
        <v>415</v>
      </c>
      <c r="C261" s="6">
        <f>+GETPIVOTDATA(" New-Associate's",'Pivot Table for 1-11'!$A$3,"State","DE","SREB Type2","Two-Year")</f>
        <v>1432</v>
      </c>
      <c r="D261" s="6">
        <f>+GETPIVOTDATA(" New-Bachelor's",'Pivot Table for 1-11'!$A$3,"State","DE","SREB Type2","Two-Year")</f>
        <v>0</v>
      </c>
      <c r="E261" s="17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40">
        <f>+GETPIVOTDATA(" New-Associate's",'Pivot Table for 1-11'!$A$3,"State","DE","SREB Type",7,"SREB Type2","Two-Year")</f>
        <v>0</v>
      </c>
      <c r="G261" s="55">
        <f>+GETPIVOTDATA(" New-Bachelor's",'Pivot Table for 1-11'!$A$3,"State","DE","SREB Type",7,"SREB Type2","Two-Year")</f>
        <v>0</v>
      </c>
      <c r="H261" s="17">
        <f>+GETPIVOTDATA(" New-Less Than 2-Year",'Pivot Table for 1-11'!$A$3,"State","DE","SREB Type",8,"SREB Type2","Two-Year")+GETPIVOTDATA(" New-2 But Less Than 4-Year",'Pivot Table for 1-11'!$A$3,"State","DE","SREB Type",8,"SREB Type2","Two-Year")</f>
        <v>72</v>
      </c>
      <c r="I261" s="55">
        <f>+GETPIVOTDATA(" New-Associate's",'Pivot Table for 1-11'!$A$3,"State","DE","SREB Type",8,"SREB Type2","Two-Year")</f>
        <v>566</v>
      </c>
      <c r="J261" s="17">
        <f>+GETPIVOTDATA(" New-Less Than 2-Year",'Pivot Table for 1-11'!$A$3,"State","DE","SREB Type",9,"SREB Type2","Two-Year")+GETPIVOTDATA(" New-2 But Less Than 4-Year",'Pivot Table for 1-11'!$A$3,"State","DE","SREB Type",9,"SREB Type2","Two-Year")</f>
        <v>343</v>
      </c>
      <c r="K261" s="55">
        <f>+GETPIVOTDATA(" New-Associate's",'Pivot Table for 1-11'!$A$3,"State","DE","SREB Type",9,"SREB Type2","Two-Year")</f>
        <v>866</v>
      </c>
      <c r="L261" s="6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6">
        <f>+GETPIVOTDATA(" New-Associate's",'Pivot Table for 1-11'!$A$3,"State","DE","SREB Type",10,"SREB Type2","Two-Year")</f>
        <v>0</v>
      </c>
      <c r="N261" s="80"/>
      <c r="O261" s="80"/>
      <c r="P261" s="62"/>
      <c r="Q261" s="177">
        <f>SUM(B261:D261)</f>
        <v>1847</v>
      </c>
      <c r="R261" s="178">
        <f>('New Tables 1-12'!Q261-'New Tables 1-12'!S261)/S261</f>
        <v>-0.11073663938372653</v>
      </c>
      <c r="S261" s="177">
        <f>SUM('Old 1-12'!B261:D261)</f>
        <v>2077</v>
      </c>
      <c r="U261" s="39" t="s">
        <v>194</v>
      </c>
      <c r="V261" s="318"/>
      <c r="W261" s="318"/>
      <c r="X261" s="318"/>
      <c r="Y261" s="318"/>
      <c r="AL261" s="109"/>
      <c r="AP261" s="109"/>
    </row>
    <row r="262" spans="1:42" ht="15" customHeight="1" x14ac:dyDescent="0.2">
      <c r="A262" s="5" t="s">
        <v>195</v>
      </c>
      <c r="B262" s="6">
        <f>+GETPIVOTDATA(" New-Less Than 2-Year",'Pivot Table for 1-11'!$A$3,"State","FL","SREB Type2","Two-Year")+GETPIVOTDATA(" New-2 But Less Than 4-Year",'Pivot Table for 1-11'!$A$3,"State","FL","SREB Type2","Two-Year")</f>
        <v>24097</v>
      </c>
      <c r="C262" s="6">
        <f>+GETPIVOTDATA(" New-Associate's",'Pivot Table for 1-11'!$A$3,"State","FL","SREB Type2","Two-Year")</f>
        <v>77227</v>
      </c>
      <c r="D262" s="6">
        <f>+GETPIVOTDATA(" New-Bachelor's",'Pivot Table for 1-11'!$A$3,"State","FL","SREB Type2","Two-Year")</f>
        <v>3957</v>
      </c>
      <c r="E262" s="17">
        <f>+GETPIVOTDATA(" New-Less Than 2-Year",'Pivot Table for 1-11'!$A$3,"State","FL","SREB Type",7,"SREB Type2","Two-Year")+GETPIVOTDATA(" New-2 But Less Than 4-Year",'Pivot Table for 1-11'!$A$3,"State","FL","SREB Type",7,"SREB Type2","Two-Year")</f>
        <v>7943</v>
      </c>
      <c r="F262" s="40">
        <f>+GETPIVOTDATA(" New-Associate's",'Pivot Table for 1-11'!$A$3,"State","FL","SREB Type",7,"SREB Type2","Two-Year")</f>
        <v>31268</v>
      </c>
      <c r="G262" s="55">
        <f>+GETPIVOTDATA(" New-Bachelor's",'Pivot Table for 1-11'!$A$3,"State","FL","SREB Type",7,"SREB Type2","Two-Year")</f>
        <v>3313</v>
      </c>
      <c r="H262" s="17">
        <f>+GETPIVOTDATA(" New-Less Than 2-Year",'Pivot Table for 1-11'!$A$3,"State","FL","SREB Type",8,"SREB Type2","Two-Year")+GETPIVOTDATA(" New-2 But Less Than 4-Year",'Pivot Table for 1-11'!$A$3,"State","FL","SREB Type",8,"SREB Type2","Two-Year")</f>
        <v>14486</v>
      </c>
      <c r="I262" s="55">
        <f>+GETPIVOTDATA(" New-Associate's",'Pivot Table for 1-11'!$A$3,"State","FL","SREB Type",8,"SREB Type2","Two-Year")</f>
        <v>42135</v>
      </c>
      <c r="J262" s="17">
        <f>+GETPIVOTDATA(" New-Less Than 2-Year",'Pivot Table for 1-11'!$A$3,"State","FL","SREB Type",9,"SREB Type2","Two-Year")+GETPIVOTDATA(" New-2 But Less Than 4-Year",'Pivot Table for 1-11'!$A$3,"State","FL","SREB Type",9,"SREB Type2","Two-Year")</f>
        <v>1423</v>
      </c>
      <c r="K262" s="55">
        <f>+GETPIVOTDATA(" New-Associate's",'Pivot Table for 1-11'!$A$3,"State","FL","SREB Type",9,"SREB Type2","Two-Year")</f>
        <v>3431</v>
      </c>
      <c r="L262" s="6">
        <f>+GETPIVOTDATA(" New-Less Than 2-Year",'Pivot Table for 1-11'!$A$3,"State","FL","SREB Type",10,"SREB Type2","Two-Year")+GETPIVOTDATA(" New-2 But Less Than 4-Year",'Pivot Table for 1-11'!$A$3,"State","FL","SREB Type",10,"SREB Type2","Two-Year")</f>
        <v>245</v>
      </c>
      <c r="M262" s="6">
        <f>+GETPIVOTDATA(" New-Associate's",'Pivot Table for 1-11'!$A$3,"State","FL","SREB Type",10,"SREB Type2","Two-Year")</f>
        <v>393</v>
      </c>
      <c r="N262" s="80"/>
      <c r="O262" s="80"/>
      <c r="P262" s="62"/>
      <c r="Q262" s="177">
        <f>SUM(B262:D262)</f>
        <v>105281</v>
      </c>
      <c r="R262" s="178">
        <f>('New Tables 1-12'!Q262-'New Tables 1-12'!S262)/S262</f>
        <v>0.13475032065445844</v>
      </c>
      <c r="S262" s="177">
        <f>SUM('Old 1-12'!B262:D262)</f>
        <v>92779</v>
      </c>
      <c r="U262" s="39" t="s">
        <v>195</v>
      </c>
      <c r="V262" s="318"/>
      <c r="W262" s="318"/>
      <c r="X262" s="318"/>
      <c r="Y262" s="318"/>
      <c r="AL262" s="109"/>
      <c r="AP262" s="109"/>
    </row>
    <row r="263" spans="1:42" ht="15" customHeight="1" x14ac:dyDescent="0.2">
      <c r="A263" s="5"/>
      <c r="B263" s="6"/>
      <c r="C263" s="6"/>
      <c r="D263" s="6"/>
      <c r="E263" s="17"/>
      <c r="F263" s="40"/>
      <c r="G263" s="55"/>
      <c r="H263" s="17"/>
      <c r="I263" s="55"/>
      <c r="J263" s="17"/>
      <c r="K263" s="55"/>
      <c r="L263" s="6"/>
      <c r="M263" s="6"/>
      <c r="N263" s="80"/>
      <c r="O263" s="80"/>
      <c r="P263" s="62"/>
      <c r="Q263" s="177"/>
      <c r="R263" s="178"/>
      <c r="S263" s="177"/>
      <c r="U263" s="39"/>
      <c r="V263" s="318"/>
      <c r="W263" s="318"/>
      <c r="X263" s="318"/>
      <c r="Y263" s="318"/>
      <c r="AL263" s="109"/>
      <c r="AP263" s="109"/>
    </row>
    <row r="264" spans="1:42" ht="15" customHeight="1" x14ac:dyDescent="0.2">
      <c r="A264" s="5" t="s">
        <v>196</v>
      </c>
      <c r="B264" s="6">
        <f>+GETPIVOTDATA(" New-Less Than 2-Year",'Pivot Table for 1-11'!$A$3,"State","GA","SREB Type2","Two-Year")+GETPIVOTDATA(" New-2 But Less Than 4-Year",'Pivot Table for 1-11'!$A$3,"State","GA","SREB Type2","Two-Year")</f>
        <v>536</v>
      </c>
      <c r="C264" s="6">
        <f>+GETPIVOTDATA(" New-Associate's",'Pivot Table for 1-11'!$A$3,"State","GA","SREB Type2","Two-Year")</f>
        <v>7004</v>
      </c>
      <c r="D264" s="6">
        <f>+GETPIVOTDATA(" New-Bachelor's",'Pivot Table for 1-11'!$A$3,"State","GA","SREB Type2","Two-Year")</f>
        <v>650</v>
      </c>
      <c r="E264" s="17">
        <f>+GETPIVOTDATA(" New-Less Than 2-Year",'Pivot Table for 1-11'!$A$3,"State","GA","SREB Type",7,"SREB Type2","Two-Year")+GETPIVOTDATA(" New-2 But Less Than 4-Year",'Pivot Table for 1-11'!$A$3,"State","GA","SREB Type",7,"SREB Type2","Two-Year")</f>
        <v>136</v>
      </c>
      <c r="F264" s="40">
        <f>+GETPIVOTDATA(" New-Associate's",'Pivot Table for 1-11'!$A$3,"State","GA","SREB Type",7,"SREB Type2","Two-Year")</f>
        <v>1678</v>
      </c>
      <c r="G264" s="55">
        <f>+GETPIVOTDATA(" New-Bachelor's",'Pivot Table for 1-11'!$A$3,"State","GA","SREB Type",7,"SREB Type2","Two-Year")</f>
        <v>431</v>
      </c>
      <c r="H264" s="17">
        <f>+GETPIVOTDATA(" New-Less Than 2-Year",'Pivot Table for 1-11'!$A$3,"State","GA","SREB Type",8,"SREB Type2","Two-Year")+GETPIVOTDATA(" New-2 But Less Than 4-Year",'Pivot Table for 1-11'!$A$3,"State","GA","SREB Type",8,"SREB Type2","Two-Year")</f>
        <v>14</v>
      </c>
      <c r="I264" s="55">
        <f>+GETPIVOTDATA(" New-Associate's",'Pivot Table for 1-11'!$A$3,"State","GA","SREB Type",8,"SREB Type2","Two-Year")</f>
        <v>2129</v>
      </c>
      <c r="J264" s="17">
        <f>+GETPIVOTDATA(" New-Less Than 2-Year",'Pivot Table for 1-11'!$A$3,"State","GA","SREB Type",9,"SREB Type2","Two-Year")+GETPIVOTDATA(" New-2 But Less Than 4-Year",'Pivot Table for 1-11'!$A$3,"State","GA","SREB Type",9,"SREB Type2","Two-Year")</f>
        <v>386</v>
      </c>
      <c r="K264" s="55">
        <f>+GETPIVOTDATA(" New-Associate's",'Pivot Table for 1-11'!$A$3,"State","GA","SREB Type",9,"SREB Type2","Two-Year")</f>
        <v>2854</v>
      </c>
      <c r="L264" s="6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6">
        <f>+GETPIVOTDATA(" New-Associate's",'Pivot Table for 1-11'!$A$3,"State","GA","SREB Type",10,"SREB Type2","Two-Year")</f>
        <v>343</v>
      </c>
      <c r="N264" s="80"/>
      <c r="O264" s="80"/>
      <c r="P264" s="62"/>
      <c r="Q264" s="177">
        <f>SUM(B264:D264)</f>
        <v>8190</v>
      </c>
      <c r="R264" s="178">
        <f>('New Tables 1-12'!Q264-'New Tables 1-12'!S264)/S264</f>
        <v>7.7348066298342538E-2</v>
      </c>
      <c r="S264" s="177">
        <f>SUM('Old 1-12'!B264:D264)</f>
        <v>7602</v>
      </c>
      <c r="U264" s="39" t="s">
        <v>196</v>
      </c>
      <c r="V264" s="318"/>
      <c r="W264" s="318"/>
      <c r="X264" s="318"/>
      <c r="Y264" s="318"/>
      <c r="AL264" s="109"/>
      <c r="AP264" s="109"/>
    </row>
    <row r="265" spans="1:42" ht="15" customHeight="1" x14ac:dyDescent="0.2">
      <c r="A265" s="5" t="s">
        <v>197</v>
      </c>
      <c r="B265" s="6">
        <f>+GETPIVOTDATA(" New-Less Than 2-Year",'Pivot Table for 1-11'!$A$3,"State","KY","SREB Type2","Two-Year")+GETPIVOTDATA(" New-2 But Less Than 4-Year",'Pivot Table for 1-11'!$A$3,"State","KY","SREB Type2","Two-Year")</f>
        <v>17009</v>
      </c>
      <c r="C265" s="6">
        <f>+GETPIVOTDATA(" New-Associate's",'Pivot Table for 1-11'!$A$3,"State","KY","SREB Type2","Two-Year")</f>
        <v>8246</v>
      </c>
      <c r="D265" s="6">
        <f>+GETPIVOTDATA(" New-Bachelor's",'Pivot Table for 1-11'!$A$3,"State","KY","SREB Type2","Two-Year")</f>
        <v>0</v>
      </c>
      <c r="E265" s="17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40">
        <f>+GETPIVOTDATA(" New-Associate's",'Pivot Table for 1-11'!$A$3,"State","KY","SREB Type",7,"SREB Type2","Two-Year")</f>
        <v>0</v>
      </c>
      <c r="G265" s="55">
        <f>+GETPIVOTDATA(" New-Bachelor's",'Pivot Table for 1-11'!$A$3,"State","KY","SREB Type",7,"SREB Type2","Two-Year")</f>
        <v>0</v>
      </c>
      <c r="H265" s="17">
        <f>+GETPIVOTDATA(" New-Less Than 2-Year",'Pivot Table for 1-11'!$A$3,"State","KY","SREB Type",8,"SREB Type2","Two-Year")+GETPIVOTDATA(" New-2 But Less Than 4-Year",'Pivot Table for 1-11'!$A$3,"State","KY","SREB Type",8,"SREB Type2","Two-Year")</f>
        <v>4302</v>
      </c>
      <c r="I265" s="55">
        <f>+GETPIVOTDATA(" New-Associate's",'Pivot Table for 1-11'!$A$3,"State","KY","SREB Type",8,"SREB Type2","Two-Year")</f>
        <v>2367</v>
      </c>
      <c r="J265" s="17">
        <f>+GETPIVOTDATA(" New-Less Than 2-Year",'Pivot Table for 1-11'!$A$3,"State","KY","SREB Type",9,"SREB Type2","Two-Year")+GETPIVOTDATA(" New-2 But Less Than 4-Year",'Pivot Table for 1-11'!$A$3,"State","KY","SREB Type",9,"SREB Type2","Two-Year")</f>
        <v>12363</v>
      </c>
      <c r="K265" s="55">
        <f>+GETPIVOTDATA(" New-Associate's",'Pivot Table for 1-11'!$A$3,"State","KY","SREB Type",9,"SREB Type2","Two-Year")</f>
        <v>5701</v>
      </c>
      <c r="L265" s="6">
        <f>+GETPIVOTDATA(" New-Less Than 2-Year",'Pivot Table for 1-11'!$A$3,"State","KY","SREB Type",10,"SREB Type2","Two-Year")+GETPIVOTDATA(" New-2 But Less Than 4-Year",'Pivot Table for 1-11'!$A$3,"State","KY","SREB Type",10,"SREB Type2","Two-Year")</f>
        <v>344</v>
      </c>
      <c r="M265" s="6">
        <f>+GETPIVOTDATA(" New-Associate's",'Pivot Table for 1-11'!$A$3,"State","KY","SREB Type",10,"SREB Type2","Two-Year")</f>
        <v>178</v>
      </c>
      <c r="N265" s="80"/>
      <c r="O265" s="80"/>
      <c r="P265" s="62"/>
      <c r="Q265" s="177">
        <f>SUM(B265:D265)</f>
        <v>25255</v>
      </c>
      <c r="R265" s="178">
        <f>('New Tables 1-12'!Q265-'New Tables 1-12'!S265)/S265</f>
        <v>2.1807735879592168E-2</v>
      </c>
      <c r="S265" s="177">
        <f>SUM('Old 1-12'!B265:D265)</f>
        <v>24716</v>
      </c>
      <c r="U265" s="39" t="s">
        <v>197</v>
      </c>
      <c r="V265" s="318"/>
      <c r="W265" s="318"/>
      <c r="X265" s="318"/>
      <c r="Y265" s="318"/>
      <c r="AL265" s="109"/>
      <c r="AP265" s="109"/>
    </row>
    <row r="266" spans="1:42" ht="15" customHeight="1" x14ac:dyDescent="0.2">
      <c r="A266" s="5" t="s">
        <v>198</v>
      </c>
      <c r="B266" s="6">
        <f>+GETPIVOTDATA(" New-Less Than 2-Year",'Pivot Table for 1-11'!$A$3,"State","LA","SREB Type2","Two-Year")+GETPIVOTDATA(" New-2 But Less Than 4-Year",'Pivot Table for 1-11'!$A$3,"State","LA","SREB Type2","Two-Year")</f>
        <v>2404</v>
      </c>
      <c r="C266" s="6">
        <f>+GETPIVOTDATA(" New-Associate's",'Pivot Table for 1-11'!$A$3,"State","LA","SREB Type2","Two-Year")</f>
        <v>3574</v>
      </c>
      <c r="D266" s="6">
        <f>+GETPIVOTDATA(" New-Bachelor's",'Pivot Table for 1-11'!$A$3,"State","LA","SREB Type2","Two-Year")</f>
        <v>0</v>
      </c>
      <c r="E266" s="17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40">
        <f>+GETPIVOTDATA(" New-Associate's",'Pivot Table for 1-11'!$A$3,"State","LA","SREB Type",7,"SREB Type2","Two-Year")</f>
        <v>0</v>
      </c>
      <c r="G266" s="55">
        <f>+GETPIVOTDATA(" New-Bachelor's",'Pivot Table for 1-11'!$A$3,"State","LA","SREB Type",7,"SREB Type2","Two-Year")</f>
        <v>0</v>
      </c>
      <c r="H266" s="17">
        <f>+GETPIVOTDATA(" New-Less Than 2-Year",'Pivot Table for 1-11'!$A$3,"State","LA","SREB Type",8,"SREB Type2","Two-Year")+GETPIVOTDATA(" New-2 But Less Than 4-Year",'Pivot Table for 1-11'!$A$3,"State","LA","SREB Type",8,"SREB Type2","Two-Year")</f>
        <v>1415</v>
      </c>
      <c r="I266" s="55">
        <f>+GETPIVOTDATA(" New-Associate's",'Pivot Table for 1-11'!$A$3,"State","LA","SREB Type",8,"SREB Type2","Two-Year")</f>
        <v>2280</v>
      </c>
      <c r="J266" s="17">
        <f>+GETPIVOTDATA(" New-Less Than 2-Year",'Pivot Table for 1-11'!$A$3,"State","LA","SREB Type",9,"SREB Type2","Two-Year")+GETPIVOTDATA(" New-2 But Less Than 4-Year",'Pivot Table for 1-11'!$A$3,"State","LA","SREB Type",9,"SREB Type2","Two-Year")</f>
        <v>309</v>
      </c>
      <c r="K266" s="55">
        <f>+GETPIVOTDATA(" New-Associate's",'Pivot Table for 1-11'!$A$3,"State","LA","SREB Type",9,"SREB Type2","Two-Year")</f>
        <v>559</v>
      </c>
      <c r="L266" s="6">
        <f>+GETPIVOTDATA(" New-Less Than 2-Year",'Pivot Table for 1-11'!$A$3,"State","LA","SREB Type",10,"SREB Type2","Two-Year")+GETPIVOTDATA(" New-2 But Less Than 4-Year",'Pivot Table for 1-11'!$A$3,"State","LA","SREB Type",10,"SREB Type2","Two-Year")</f>
        <v>680</v>
      </c>
      <c r="M266" s="6">
        <f>+GETPIVOTDATA(" New-Associate's",'Pivot Table for 1-11'!$A$3,"State","LA","SREB Type",10,"SREB Type2","Two-Year")</f>
        <v>735</v>
      </c>
      <c r="N266" s="80"/>
      <c r="O266" s="80"/>
      <c r="P266" s="62"/>
      <c r="Q266" s="177">
        <f>SUM(B266:D266)</f>
        <v>5978</v>
      </c>
      <c r="R266" s="178">
        <f>('New Tables 1-12'!Q266-'New Tables 1-12'!S266)/S266</f>
        <v>0.24205277373779346</v>
      </c>
      <c r="S266" s="177">
        <f>SUM('Old 1-12'!B266:D266)</f>
        <v>4813</v>
      </c>
      <c r="U266" s="39" t="s">
        <v>198</v>
      </c>
      <c r="V266" s="318"/>
      <c r="W266" s="318"/>
      <c r="X266" s="318"/>
      <c r="Y266" s="318"/>
      <c r="AL266" s="109"/>
      <c r="AP266" s="109"/>
    </row>
    <row r="267" spans="1:42" ht="15" customHeight="1" x14ac:dyDescent="0.2">
      <c r="A267" s="5" t="s">
        <v>199</v>
      </c>
      <c r="B267" s="6">
        <f>+GETPIVOTDATA(" New-Less Than 2-Year",'Pivot Table for 1-11'!$A$3,"State","MD","SREB Type2","Two-Year")+GETPIVOTDATA(" New-2 But Less Than 4-Year",'Pivot Table for 1-11'!$A$3,"State","MD","SREB Type2","Two-Year")</f>
        <v>3536</v>
      </c>
      <c r="C267" s="6">
        <f>+GETPIVOTDATA(" New-Associate's",'Pivot Table for 1-11'!$A$3,"State","MD","SREB Type2","Two-Year")</f>
        <v>13852</v>
      </c>
      <c r="D267" s="6">
        <f>+GETPIVOTDATA(" New-Bachelor's",'Pivot Table for 1-11'!$A$3,"State","MD","SREB Type2","Two-Year")</f>
        <v>0</v>
      </c>
      <c r="E267" s="17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40">
        <f>+GETPIVOTDATA(" New-Associate's",'Pivot Table for 1-11'!$A$3,"State","MD","SREB Type",7,"SREB Type2","Two-Year")</f>
        <v>0</v>
      </c>
      <c r="G267" s="55">
        <f>+GETPIVOTDATA(" New-Bachelor's",'Pivot Table for 1-11'!$A$3,"State","MD","SREB Type",7,"SREB Type2","Two-Year")</f>
        <v>0</v>
      </c>
      <c r="H267" s="17">
        <f>+GETPIVOTDATA(" New-Less Than 2-Year",'Pivot Table for 1-11'!$A$3,"State","MD","SREB Type",8,"SREB Type2","Two-Year")+GETPIVOTDATA(" New-2 But Less Than 4-Year",'Pivot Table for 1-11'!$A$3,"State","MD","SREB Type",8,"SREB Type2","Two-Year")</f>
        <v>2397</v>
      </c>
      <c r="I267" s="55">
        <f>+GETPIVOTDATA(" New-Associate's",'Pivot Table for 1-11'!$A$3,"State","MD","SREB Type",8,"SREB Type2","Two-Year")</f>
        <v>8931</v>
      </c>
      <c r="J267" s="17">
        <f>+GETPIVOTDATA(" New-Less Than 2-Year",'Pivot Table for 1-11'!$A$3,"State","MD","SREB Type",9,"SREB Type2","Two-Year")+GETPIVOTDATA(" New-2 But Less Than 4-Year",'Pivot Table for 1-11'!$A$3,"State","MD","SREB Type",9,"SREB Type2","Two-Year")</f>
        <v>1033</v>
      </c>
      <c r="K267" s="55">
        <f>+GETPIVOTDATA(" New-Associate's",'Pivot Table for 1-11'!$A$3,"State","MD","SREB Type",9,"SREB Type2","Two-Year")</f>
        <v>4272</v>
      </c>
      <c r="L267" s="6">
        <f>+GETPIVOTDATA(" New-Less Than 2-Year",'Pivot Table for 1-11'!$A$3,"State","MD","SREB Type",10,"SREB Type2","Two-Year")+GETPIVOTDATA(" New-2 But Less Than 4-Year",'Pivot Table for 1-11'!$A$3,"State","MD","SREB Type",10,"SREB Type2","Two-Year")</f>
        <v>106</v>
      </c>
      <c r="M267" s="6">
        <f>+GETPIVOTDATA(" New-Associate's",'Pivot Table for 1-11'!$A$3,"State","MD","SREB Type",10,"SREB Type2","Two-Year")</f>
        <v>649</v>
      </c>
      <c r="N267" s="80"/>
      <c r="O267" s="80"/>
      <c r="P267" s="62"/>
      <c r="Q267" s="177">
        <f>SUM(B267:D267)</f>
        <v>17388</v>
      </c>
      <c r="R267" s="178">
        <f>('New Tables 1-12'!Q267-'New Tables 1-12'!S267)/S267</f>
        <v>8.851884312007012E-2</v>
      </c>
      <c r="S267" s="177">
        <f>SUM('Old 1-12'!B267:D267)</f>
        <v>15974</v>
      </c>
      <c r="U267" s="39" t="s">
        <v>199</v>
      </c>
      <c r="V267" s="318"/>
      <c r="W267" s="318"/>
      <c r="X267" s="318"/>
      <c r="Y267" s="318"/>
      <c r="AL267" s="109"/>
      <c r="AP267" s="109"/>
    </row>
    <row r="268" spans="1:42" ht="15" customHeight="1" x14ac:dyDescent="0.2">
      <c r="A268" s="5"/>
      <c r="B268" s="6"/>
      <c r="C268" s="6"/>
      <c r="D268" s="6"/>
      <c r="E268" s="17"/>
      <c r="F268" s="40"/>
      <c r="G268" s="55"/>
      <c r="H268" s="17"/>
      <c r="I268" s="55"/>
      <c r="J268" s="17"/>
      <c r="K268" s="55"/>
      <c r="L268" s="6"/>
      <c r="M268" s="6"/>
      <c r="N268" s="80"/>
      <c r="O268" s="80"/>
      <c r="P268" s="62"/>
      <c r="Q268" s="177"/>
      <c r="R268" s="178"/>
      <c r="S268" s="177"/>
      <c r="U268" s="39"/>
      <c r="V268" s="318"/>
      <c r="W268" s="318"/>
      <c r="X268" s="318"/>
      <c r="Y268" s="318"/>
      <c r="AL268" s="109"/>
      <c r="AP268" s="109"/>
    </row>
    <row r="269" spans="1:42" ht="15" customHeight="1" x14ac:dyDescent="0.2">
      <c r="A269" s="5" t="s">
        <v>200</v>
      </c>
      <c r="B269" s="6">
        <f>+GETPIVOTDATA(" New-Less Than 2-Year",'Pivot Table for 1-11'!$A$3,"State","MS","SREB Type2","Two-Year")+GETPIVOTDATA(" New-2 But Less Than 4-Year",'Pivot Table for 1-11'!$A$3,"State","MS","SREB Type2","Two-Year")</f>
        <v>2464</v>
      </c>
      <c r="C269" s="6">
        <f>+GETPIVOTDATA(" New-Associate's",'Pivot Table for 1-11'!$A$3,"State","MS","SREB Type2","Two-Year")</f>
        <v>11807</v>
      </c>
      <c r="D269" s="6">
        <f>+GETPIVOTDATA(" New-Bachelor's",'Pivot Table for 1-11'!$A$3,"State","MS","SREB Type2","Two-Year")</f>
        <v>0</v>
      </c>
      <c r="E269" s="17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40">
        <f>+GETPIVOTDATA(" New-Associate's",'Pivot Table for 1-11'!$A$3,"State","MS","SREB Type",7,"SREB Type2","Two-Year")</f>
        <v>0</v>
      </c>
      <c r="G269" s="55">
        <f>+GETPIVOTDATA(" New-Bachelor's",'Pivot Table for 1-11'!$A$3,"State","MS","SREB Type",7,"SREB Type2","Two-Year")</f>
        <v>0</v>
      </c>
      <c r="H269" s="17">
        <f>+GETPIVOTDATA(" New-Less Than 2-Year",'Pivot Table for 1-11'!$A$3,"State","MS","SREB Type",8,"SREB Type2","Two-Year")+GETPIVOTDATA(" New-2 But Less Than 4-Year",'Pivot Table for 1-11'!$A$3,"State","MS","SREB Type",8,"SREB Type2","Two-Year")</f>
        <v>868</v>
      </c>
      <c r="I269" s="55">
        <f>+GETPIVOTDATA(" New-Associate's",'Pivot Table for 1-11'!$A$3,"State","MS","SREB Type",8,"SREB Type2","Two-Year")</f>
        <v>5382</v>
      </c>
      <c r="J269" s="17">
        <f>+GETPIVOTDATA(" New-Less Than 2-Year",'Pivot Table for 1-11'!$A$3,"State","MS","SREB Type",9,"SREB Type2","Two-Year")+GETPIVOTDATA(" New-2 But Less Than 4-Year",'Pivot Table for 1-11'!$A$3,"State","MS","SREB Type",9,"SREB Type2","Two-Year")</f>
        <v>1301</v>
      </c>
      <c r="K269" s="55">
        <f>+GETPIVOTDATA(" New-Associate's",'Pivot Table for 1-11'!$A$3,"State","MS","SREB Type",9,"SREB Type2","Two-Year")</f>
        <v>5803</v>
      </c>
      <c r="L269" s="6">
        <f>+GETPIVOTDATA(" New-Less Than 2-Year",'Pivot Table for 1-11'!$A$3,"State","MS","SREB Type",10,"SREB Type2","Two-Year")+GETPIVOTDATA(" New-2 But Less Than 4-Year",'Pivot Table for 1-11'!$A$3,"State","MS","SREB Type",10,"SREB Type2","Two-Year")</f>
        <v>295</v>
      </c>
      <c r="M269" s="6">
        <f>+GETPIVOTDATA(" New-Associate's",'Pivot Table for 1-11'!$A$3,"State","MS","SREB Type",10,"SREB Type2","Two-Year")</f>
        <v>622</v>
      </c>
      <c r="N269" s="80"/>
      <c r="O269" s="80"/>
      <c r="P269" s="62"/>
      <c r="Q269" s="177">
        <f>SUM(B269:D269)</f>
        <v>14271</v>
      </c>
      <c r="R269" s="178">
        <f>('New Tables 1-12'!Q269-'New Tables 1-12'!S269)/S269</f>
        <v>-9.7835137385512069E-3</v>
      </c>
      <c r="S269" s="177">
        <f>SUM('Old 1-12'!B269:D269)</f>
        <v>14412</v>
      </c>
      <c r="U269" s="39" t="s">
        <v>200</v>
      </c>
      <c r="V269" s="318"/>
      <c r="W269" s="318"/>
      <c r="X269" s="318"/>
      <c r="Y269" s="318"/>
      <c r="AL269" s="109"/>
      <c r="AP269" s="109"/>
    </row>
    <row r="270" spans="1:42" ht="15" customHeight="1" x14ac:dyDescent="0.2">
      <c r="A270" s="5" t="s">
        <v>201</v>
      </c>
      <c r="B270" s="6">
        <f>+GETPIVOTDATA(" New-Less Than 2-Year",'Pivot Table for 1-11'!$A$3,"State","NC","SREB Type2","Two-Year")+GETPIVOTDATA(" New-2 But Less Than 4-Year",'Pivot Table for 1-11'!$A$3,"State","NC","SREB Type2","Two-Year")</f>
        <v>15112</v>
      </c>
      <c r="C270" s="6">
        <f>+GETPIVOTDATA(" New-Associate's",'Pivot Table for 1-11'!$A$3,"State","NC","SREB Type2","Two-Year")</f>
        <v>23583</v>
      </c>
      <c r="D270" s="6">
        <f>+GETPIVOTDATA(" New-Bachelor's",'Pivot Table for 1-11'!$A$3,"State","NC","SREB Type2","Two-Year")</f>
        <v>0</v>
      </c>
      <c r="E270" s="17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40">
        <f>+GETPIVOTDATA(" New-Associate's",'Pivot Table for 1-11'!$A$3,"State","NC","SREB Type",7,"SREB Type2","Two-Year")</f>
        <v>0</v>
      </c>
      <c r="G270" s="55">
        <f>+GETPIVOTDATA(" New-Bachelor's",'Pivot Table for 1-11'!$A$3,"State","NC","SREB Type",7,"SREB Type2","Two-Year")</f>
        <v>0</v>
      </c>
      <c r="H270" s="17">
        <f>+GETPIVOTDATA(" New-Less Than 2-Year",'Pivot Table for 1-11'!$A$3,"State","NC","SREB Type",8,"SREB Type2","Two-Year")+GETPIVOTDATA(" New-2 But Less Than 4-Year",'Pivot Table for 1-11'!$A$3,"State","NC","SREB Type",8,"SREB Type2","Two-Year")</f>
        <v>4113</v>
      </c>
      <c r="I270" s="55">
        <f>+GETPIVOTDATA(" New-Associate's",'Pivot Table for 1-11'!$A$3,"State","NC","SREB Type",8,"SREB Type2","Two-Year")</f>
        <v>9818</v>
      </c>
      <c r="J270" s="17">
        <f>+GETPIVOTDATA(" New-Less Than 2-Year",'Pivot Table for 1-11'!$A$3,"State","NC","SREB Type",9,"SREB Type2","Two-Year")+GETPIVOTDATA(" New-2 But Less Than 4-Year",'Pivot Table for 1-11'!$A$3,"State","NC","SREB Type",9,"SREB Type2","Two-Year")</f>
        <v>5915</v>
      </c>
      <c r="K270" s="55">
        <f>+GETPIVOTDATA(" New-Associate's",'Pivot Table for 1-11'!$A$3,"State","NC","SREB Type",9,"SREB Type2","Two-Year")</f>
        <v>9919</v>
      </c>
      <c r="L270" s="6">
        <f>+GETPIVOTDATA(" New-Less Than 2-Year",'Pivot Table for 1-11'!$A$3,"State","NC","SREB Type",10,"SREB Type2","Two-Year")+GETPIVOTDATA(" New-2 But Less Than 4-Year",'Pivot Table for 1-11'!$A$3,"State","NC","SREB Type",10,"SREB Type2","Two-Year")</f>
        <v>5084</v>
      </c>
      <c r="M270" s="6">
        <f>+GETPIVOTDATA(" New-Associate's",'Pivot Table for 1-11'!$A$3,"State","NC","SREB Type",10,"SREB Type2","Two-Year")</f>
        <v>3846</v>
      </c>
      <c r="N270" s="80"/>
      <c r="O270" s="80"/>
      <c r="P270" s="62"/>
      <c r="Q270" s="177">
        <f>SUM(B270:D270)</f>
        <v>38695</v>
      </c>
      <c r="R270" s="178">
        <f>('New Tables 1-12'!Q270-'New Tables 1-12'!S270)/S270</f>
        <v>-3.0346313837518169E-2</v>
      </c>
      <c r="S270" s="177">
        <f>SUM('Old 1-12'!B270:D270)</f>
        <v>39906</v>
      </c>
      <c r="U270" s="39" t="s">
        <v>201</v>
      </c>
      <c r="V270" s="318"/>
      <c r="W270" s="318"/>
      <c r="X270" s="318"/>
      <c r="Y270" s="318"/>
      <c r="AL270" s="109"/>
      <c r="AP270" s="109"/>
    </row>
    <row r="271" spans="1:42" ht="15" customHeight="1" x14ac:dyDescent="0.2">
      <c r="A271" s="5" t="s">
        <v>202</v>
      </c>
      <c r="B271" s="6">
        <f>+GETPIVOTDATA(" New-Less Than 2-Year",'Pivot Table for 1-11'!$A$3,"State","OK","SREB Type2","Two-Year")+GETPIVOTDATA(" New-2 But Less Than 4-Year",'Pivot Table for 1-11'!$A$3,"State","OK","SREB Type2","Two-Year")</f>
        <v>758</v>
      </c>
      <c r="C271" s="6">
        <f>+GETPIVOTDATA(" New-Associate's",'Pivot Table for 1-11'!$A$3,"State","OK","SREB Type2","Two-Year")</f>
        <v>9257</v>
      </c>
      <c r="D271" s="6">
        <f>+GETPIVOTDATA(" New-Bachelor's",'Pivot Table for 1-11'!$A$3,"State","OK","SREB Type2","Two-Year")</f>
        <v>0</v>
      </c>
      <c r="E271" s="17">
        <f>+GETPIVOTDATA(" New-Less Than 2-Year",'Pivot Table for 1-11'!$A$3,"State","OK","SREB Type",7,"SREB Type2","Two-Year")+GETPIVOTDATA(" New-2 But Less Than 4-Year",'Pivot Table for 1-11'!$A$3,"State","OK","SREB Type",7,"SREB Type2","Two-Year")</f>
        <v>46</v>
      </c>
      <c r="F271" s="40">
        <f>+GETPIVOTDATA(" New-Associate's",'Pivot Table for 1-11'!$A$3,"State","OK","SREB Type",7,"SREB Type2","Two-Year")</f>
        <v>1346</v>
      </c>
      <c r="G271" s="55">
        <f>+GETPIVOTDATA(" New-Bachelor's",'Pivot Table for 1-11'!$A$3,"State","OK","SREB Type",7,"SREB Type2","Two-Year")</f>
        <v>0</v>
      </c>
      <c r="H271" s="17">
        <f>+GETPIVOTDATA(" New-Less Than 2-Year",'Pivot Table for 1-11'!$A$3,"State","OK","SREB Type",8,"SREB Type2","Two-Year")+GETPIVOTDATA(" New-2 But Less Than 4-Year",'Pivot Table for 1-11'!$A$3,"State","OK","SREB Type",8,"SREB Type2","Two-Year")</f>
        <v>582</v>
      </c>
      <c r="I271" s="55">
        <f>+GETPIVOTDATA(" New-Associate's",'Pivot Table for 1-11'!$A$3,"State","OK","SREB Type",8,"SREB Type2","Two-Year")</f>
        <v>4468</v>
      </c>
      <c r="J271" s="17">
        <f>+GETPIVOTDATA(" New-Less Than 2-Year",'Pivot Table for 1-11'!$A$3,"State","OK","SREB Type",9,"SREB Type2","Two-Year")+GETPIVOTDATA(" New-2 But Less Than 4-Year",'Pivot Table for 1-11'!$A$3,"State","OK","SREB Type",9,"SREB Type2","Two-Year")</f>
        <v>13</v>
      </c>
      <c r="K271" s="55">
        <f>+GETPIVOTDATA(" New-Associate's",'Pivot Table for 1-11'!$A$3,"State","OK","SREB Type",9,"SREB Type2","Two-Year")</f>
        <v>1246</v>
      </c>
      <c r="L271" s="6">
        <f>+GETPIVOTDATA(" New-Less Than 2-Year",'Pivot Table for 1-11'!$A$3,"State","OK","SREB Type",10,"SREB Type2","Two-Year")+GETPIVOTDATA(" New-2 But Less Than 4-Year",'Pivot Table for 1-11'!$A$3,"State","OK","SREB Type",10,"SREB Type2","Two-Year")</f>
        <v>117</v>
      </c>
      <c r="M271" s="6">
        <f>+GETPIVOTDATA(" New-Associate's",'Pivot Table for 1-11'!$A$3,"State","OK","SREB Type",10,"SREB Type2","Two-Year")</f>
        <v>2197</v>
      </c>
      <c r="N271" s="80"/>
      <c r="O271" s="80"/>
      <c r="P271" s="62"/>
      <c r="Q271" s="177">
        <f>SUM(B271:D271)</f>
        <v>10015</v>
      </c>
      <c r="R271" s="178">
        <f>('New Tables 1-12'!Q271-'New Tables 1-12'!S271)/S271</f>
        <v>0.13523010655180231</v>
      </c>
      <c r="S271" s="177">
        <f>SUM('Old 1-12'!B271:D271)</f>
        <v>8822</v>
      </c>
      <c r="U271" s="39" t="s">
        <v>202</v>
      </c>
      <c r="V271" s="318"/>
      <c r="W271" s="318"/>
      <c r="X271" s="318"/>
      <c r="Y271" s="318"/>
      <c r="AL271" s="109"/>
      <c r="AP271" s="109"/>
    </row>
    <row r="272" spans="1:42" ht="15" customHeight="1" x14ac:dyDescent="0.2">
      <c r="A272" s="5" t="s">
        <v>203</v>
      </c>
      <c r="B272" s="6">
        <f>+GETPIVOTDATA(" New-Less Than 2-Year",'Pivot Table for 1-11'!$A$3,"State","SC","SREB Type2","Two-Year")+GETPIVOTDATA(" New-2 But Less Than 4-Year",'Pivot Table for 1-11'!$A$3,"State","SC","SREB Type2","Two-Year")</f>
        <v>8914</v>
      </c>
      <c r="C272" s="6">
        <f>+GETPIVOTDATA(" New-Associate's",'Pivot Table for 1-11'!$A$3,"State","SC","SREB Type2","Two-Year")</f>
        <v>8943</v>
      </c>
      <c r="D272" s="6">
        <f>+GETPIVOTDATA(" New-Bachelor's",'Pivot Table for 1-11'!$A$3,"State","SC","SREB Type2","Two-Year")</f>
        <v>0</v>
      </c>
      <c r="E272" s="17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40">
        <f>+GETPIVOTDATA(" New-Associate's",'Pivot Table for 1-11'!$A$3,"State","SC","SREB Type",7,"SREB Type2","Two-Year")</f>
        <v>0</v>
      </c>
      <c r="G272" s="55">
        <f>+GETPIVOTDATA(" New-Bachelor's",'Pivot Table for 1-11'!$A$3,"State","SC","SREB Type",7,"SREB Type2","Two-Year")</f>
        <v>0</v>
      </c>
      <c r="H272" s="17">
        <f>+GETPIVOTDATA(" New-Less Than 2-Year",'Pivot Table for 1-11'!$A$3,"State","SC","SREB Type",8,"SREB Type2","Two-Year")+GETPIVOTDATA(" New-2 But Less Than 4-Year",'Pivot Table for 1-11'!$A$3,"State","SC","SREB Type",8,"SREB Type2","Two-Year")</f>
        <v>6226</v>
      </c>
      <c r="I272" s="55">
        <f>+GETPIVOTDATA(" New-Associate's",'Pivot Table for 1-11'!$A$3,"State","SC","SREB Type",8,"SREB Type2","Two-Year")</f>
        <v>6195</v>
      </c>
      <c r="J272" s="17">
        <f>+GETPIVOTDATA(" New-Less Than 2-Year",'Pivot Table for 1-11'!$A$3,"State","SC","SREB Type",9,"SREB Type2","Two-Year")+GETPIVOTDATA(" New-2 But Less Than 4-Year",'Pivot Table for 1-11'!$A$3,"State","SC","SREB Type",9,"SREB Type2","Two-Year")</f>
        <v>1957</v>
      </c>
      <c r="K272" s="55">
        <f>+GETPIVOTDATA(" New-Associate's",'Pivot Table for 1-11'!$A$3,"State","SC","SREB Type",9,"SREB Type2","Two-Year")</f>
        <v>1784</v>
      </c>
      <c r="L272" s="6">
        <f>+GETPIVOTDATA(" New-Less Than 2-Year",'Pivot Table for 1-11'!$A$3,"State","SC","SREB Type",10,"SREB Type2","Two-Year")+GETPIVOTDATA(" New-2 But Less Than 4-Year",'Pivot Table for 1-11'!$A$3,"State","SC","SREB Type",10,"SREB Type2","Two-Year")</f>
        <v>731</v>
      </c>
      <c r="M272" s="6">
        <f>+GETPIVOTDATA(" New-Associate's",'Pivot Table for 1-11'!$A$3,"State","SC","SREB Type",10,"SREB Type2","Two-Year")</f>
        <v>964</v>
      </c>
      <c r="N272" s="80"/>
      <c r="O272" s="80"/>
      <c r="P272" s="62"/>
      <c r="Q272" s="177">
        <f>SUM(B272:D272)</f>
        <v>17857</v>
      </c>
      <c r="R272" s="178">
        <f>('New Tables 1-12'!Q272-'New Tables 1-12'!S272)/S272</f>
        <v>6.5898645018802604E-2</v>
      </c>
      <c r="S272" s="177">
        <f>SUM('Old 1-12'!B272:D272)</f>
        <v>16753</v>
      </c>
      <c r="U272" s="39" t="s">
        <v>203</v>
      </c>
      <c r="V272" s="318"/>
      <c r="W272" s="318"/>
      <c r="X272" s="318"/>
      <c r="Y272" s="318"/>
      <c r="AL272" s="109"/>
      <c r="AP272" s="109"/>
    </row>
    <row r="273" spans="1:42" ht="15" customHeight="1" x14ac:dyDescent="0.2">
      <c r="A273" s="5"/>
      <c r="B273" s="6"/>
      <c r="C273" s="6"/>
      <c r="D273" s="6"/>
      <c r="E273" s="17"/>
      <c r="F273" s="40"/>
      <c r="G273" s="55"/>
      <c r="H273" s="17"/>
      <c r="I273" s="55"/>
      <c r="J273" s="17"/>
      <c r="K273" s="55"/>
      <c r="L273" s="6"/>
      <c r="M273" s="6"/>
      <c r="N273" s="80"/>
      <c r="O273" s="80"/>
      <c r="P273" s="62"/>
      <c r="Q273" s="177"/>
      <c r="R273" s="178"/>
      <c r="S273" s="177"/>
      <c r="U273" s="39"/>
      <c r="V273" s="318"/>
      <c r="W273" s="318"/>
      <c r="X273" s="318"/>
      <c r="Y273" s="318"/>
      <c r="AL273" s="109"/>
      <c r="AP273" s="109"/>
    </row>
    <row r="274" spans="1:42" ht="15" customHeight="1" x14ac:dyDescent="0.2">
      <c r="A274" s="5" t="s">
        <v>204</v>
      </c>
      <c r="B274" s="6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6">
        <f>+GETPIVOTDATA(" New-Associate's",'Pivot Table for 1-11'!$A$3,"State","TN","SREB Type2","Two-Year")</f>
        <v>9087</v>
      </c>
      <c r="D274" s="6">
        <f>+GETPIVOTDATA(" New-Bachelor's",'Pivot Table for 1-11'!$A$3,"State","TN","SREB Type2","Two-Year")</f>
        <v>0</v>
      </c>
      <c r="E274" s="17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40">
        <f>+GETPIVOTDATA(" New-Associate's",'Pivot Table for 1-11'!$A$3,"State","TN","SREB Type",7,"SREB Type2","Two-Year")</f>
        <v>0</v>
      </c>
      <c r="G274" s="55">
        <f>+GETPIVOTDATA(" New-Bachelor's",'Pivot Table for 1-11'!$A$3,"State","TN","SREB Type",7,"SREB Type2","Two-Year")</f>
        <v>0</v>
      </c>
      <c r="H274" s="17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55">
        <f>+GETPIVOTDATA(" New-Associate's",'Pivot Table for 1-11'!$A$3,"State","TN","SREB Type",8,"SREB Type2","Two-Year")</f>
        <v>4286</v>
      </c>
      <c r="J274" s="17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55">
        <f>+GETPIVOTDATA(" New-Associate's",'Pivot Table for 1-11'!$A$3,"State","TN","SREB Type",9,"SREB Type2","Two-Year")</f>
        <v>4801</v>
      </c>
      <c r="L274" s="6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6">
        <f>+GETPIVOTDATA(" New-Associate's",'Pivot Table for 1-11'!$A$3,"State","TN","SREB Type",10,"SREB Type2","Two-Year")</f>
        <v>0</v>
      </c>
      <c r="N274" s="80"/>
      <c r="O274" s="80"/>
      <c r="P274" s="62"/>
      <c r="Q274" s="177">
        <f>SUM(B274:D274)</f>
        <v>9087</v>
      </c>
      <c r="R274" s="178">
        <f>('New Tables 1-12'!Q274-'New Tables 1-12'!S274)/S274</f>
        <v>9.3238691049085665E-2</v>
      </c>
      <c r="S274" s="177">
        <f>SUM('Old 1-12'!B274:D274)</f>
        <v>8312</v>
      </c>
      <c r="U274" s="39" t="s">
        <v>204</v>
      </c>
      <c r="V274" s="318"/>
      <c r="W274" s="318"/>
      <c r="X274" s="318"/>
      <c r="Y274" s="318"/>
      <c r="AL274" s="109"/>
      <c r="AP274" s="109"/>
    </row>
    <row r="275" spans="1:42" ht="15" customHeight="1" x14ac:dyDescent="0.2">
      <c r="A275" s="5" t="s">
        <v>205</v>
      </c>
      <c r="B275" s="6">
        <f>+GETPIVOTDATA(" New-Less Than 2-Year",'Pivot Table for 1-11'!$A$3,"State","TX","SREB Type2","Two-Year")+GETPIVOTDATA(" New-2 But Less Than 4-Year",'Pivot Table for 1-11'!$A$3,"State","TX","SREB Type2","Two-Year")</f>
        <v>29249</v>
      </c>
      <c r="C275" s="6">
        <f>+GETPIVOTDATA(" New-Associate's",'Pivot Table for 1-11'!$A$3,"State","TX","SREB Type2","Two-Year")</f>
        <v>58152</v>
      </c>
      <c r="D275" s="6">
        <f>+GETPIVOTDATA(" New-Bachelor's",'Pivot Table for 1-11'!$A$3,"State","TX","SREB Type2","Two-Year")</f>
        <v>138</v>
      </c>
      <c r="E275" s="17">
        <f>+GETPIVOTDATA(" New-Less Than 2-Year",'Pivot Table for 1-11'!$A$3,"State","TX","SREB Type",7,"SREB Type2","Two-Year")+GETPIVOTDATA(" New-2 But Less Than 4-Year",'Pivot Table for 1-11'!$A$3,"State","TX","SREB Type",7,"SREB Type2","Two-Year")</f>
        <v>1974</v>
      </c>
      <c r="F275" s="40">
        <f>+GETPIVOTDATA(" New-Associate's",'Pivot Table for 1-11'!$A$3,"State","TX","SREB Type",7,"SREB Type2","Two-Year")</f>
        <v>3109</v>
      </c>
      <c r="G275" s="55">
        <f>+GETPIVOTDATA(" New-Bachelor's",'Pivot Table for 1-11'!$A$3,"State","TX","SREB Type",7,"SREB Type2","Two-Year")</f>
        <v>138</v>
      </c>
      <c r="H275" s="17">
        <f>+GETPIVOTDATA(" New-Less Than 2-Year",'Pivot Table for 1-11'!$A$3,"State","TX","SREB Type",8,"SREB Type2","Two-Year")+GETPIVOTDATA(" New-2 But Less Than 4-Year",'Pivot Table for 1-11'!$A$3,"State","TX","SREB Type",8,"SREB Type2","Two-Year")</f>
        <v>18098</v>
      </c>
      <c r="I275" s="55">
        <f>+GETPIVOTDATA(" New-Associate's",'Pivot Table for 1-11'!$A$3,"State","TX","SREB Type",8,"SREB Type2","Two-Year")</f>
        <v>43595</v>
      </c>
      <c r="J275" s="17">
        <f>+GETPIVOTDATA(" New-Less Than 2-Year",'Pivot Table for 1-11'!$A$3,"State","TX","SREB Type",9,"SREB Type2","Two-Year")+GETPIVOTDATA(" New-2 But Less Than 4-Year",'Pivot Table for 1-11'!$A$3,"State","TX","SREB Type",9,"SREB Type2","Two-Year")</f>
        <v>7721</v>
      </c>
      <c r="K275" s="55">
        <f>+GETPIVOTDATA(" New-Associate's",'Pivot Table for 1-11'!$A$3,"State","TX","SREB Type",9,"SREB Type2","Two-Year")</f>
        <v>10037</v>
      </c>
      <c r="L275" s="6">
        <f>+GETPIVOTDATA(" New-Less Than 2-Year",'Pivot Table for 1-11'!$A$3,"State","TX","SREB Type",10,"SREB Type2","Two-Year")+GETPIVOTDATA(" New-2 But Less Than 4-Year",'Pivot Table for 1-11'!$A$3,"State","TX","SREB Type",10,"SREB Type2","Two-Year")</f>
        <v>1456</v>
      </c>
      <c r="M275" s="6">
        <f>+GETPIVOTDATA(" New-Associate's",'Pivot Table for 1-11'!$A$3,"State","TX","SREB Type",10,"SREB Type2","Two-Year")</f>
        <v>1411</v>
      </c>
      <c r="N275" s="80"/>
      <c r="O275" s="80"/>
      <c r="P275" s="62"/>
      <c r="Q275" s="177">
        <f>SUM(B275:D275)</f>
        <v>87539</v>
      </c>
      <c r="R275" s="178">
        <f>('New Tables 1-12'!Q275-'New Tables 1-12'!S275)/S275</f>
        <v>7.6555082765575419E-2</v>
      </c>
      <c r="S275" s="177">
        <f>SUM('Old 1-12'!B275:D275)</f>
        <v>81314</v>
      </c>
      <c r="U275" s="39" t="s">
        <v>205</v>
      </c>
      <c r="V275" s="318"/>
      <c r="W275" s="318"/>
      <c r="X275" s="318"/>
      <c r="Y275" s="318"/>
      <c r="AL275" s="109"/>
      <c r="AP275" s="109"/>
    </row>
    <row r="276" spans="1:42" ht="15" customHeight="1" x14ac:dyDescent="0.2">
      <c r="A276" s="5" t="s">
        <v>206</v>
      </c>
      <c r="B276" s="6">
        <f>+GETPIVOTDATA(" New-Less Than 2-Year",'Pivot Table for 1-11'!$A$3,"State","VA","SREB Type2","Two-Year")+GETPIVOTDATA(" New-2 But Less Than 4-Year",'Pivot Table for 1-11'!$A$3,"State","VA","SREB Type2","Two-Year")</f>
        <v>13854</v>
      </c>
      <c r="C276" s="6">
        <f>+GETPIVOTDATA(" New-Associate's",'Pivot Table for 1-11'!$A$3,"State","VA","SREB Type2","Two-Year")</f>
        <v>17751</v>
      </c>
      <c r="D276" s="6">
        <f>+GETPIVOTDATA(" New-Bachelor's",'Pivot Table for 1-11'!$A$3,"State","VA","SREB Type2","Two-Year")</f>
        <v>0</v>
      </c>
      <c r="E276" s="17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40">
        <f>+GETPIVOTDATA(" New-Associate's",'Pivot Table for 1-11'!$A$3,"State","VA","SREB Type",7,"SREB Type2","Two-Year")</f>
        <v>0</v>
      </c>
      <c r="G276" s="55">
        <f>+GETPIVOTDATA(" New-Bachelor's",'Pivot Table for 1-11'!$A$3,"State","VA","SREB Type",7,"SREB Type2","Two-Year")</f>
        <v>0</v>
      </c>
      <c r="H276" s="17">
        <f>+GETPIVOTDATA(" New-Less Than 2-Year",'Pivot Table for 1-11'!$A$3,"State","VA","SREB Type",8,"SREB Type2","Two-Year")+GETPIVOTDATA(" New-2 But Less Than 4-Year",'Pivot Table for 1-11'!$A$3,"State","VA","SREB Type",8,"SREB Type2","Two-Year")</f>
        <v>5339</v>
      </c>
      <c r="I276" s="55">
        <f>+GETPIVOTDATA(" New-Associate's",'Pivot Table for 1-11'!$A$3,"State","VA","SREB Type",8,"SREB Type2","Two-Year")</f>
        <v>10071</v>
      </c>
      <c r="J276" s="17">
        <f>+GETPIVOTDATA(" New-Less Than 2-Year",'Pivot Table for 1-11'!$A$3,"State","VA","SREB Type",9,"SREB Type2","Two-Year")+GETPIVOTDATA(" New-2 But Less Than 4-Year",'Pivot Table for 1-11'!$A$3,"State","VA","SREB Type",9,"SREB Type2","Two-Year")</f>
        <v>7310</v>
      </c>
      <c r="K276" s="55">
        <f>+GETPIVOTDATA(" New-Associate's",'Pivot Table for 1-11'!$A$3,"State","VA","SREB Type",9,"SREB Type2","Two-Year")</f>
        <v>6624</v>
      </c>
      <c r="L276" s="6">
        <f>+GETPIVOTDATA(" New-Less Than 2-Year",'Pivot Table for 1-11'!$A$3,"State","VA","SREB Type",10,"SREB Type2","Two-Year")+GETPIVOTDATA(" New-2 But Less Than 4-Year",'Pivot Table for 1-11'!$A$3,"State","VA","SREB Type",10,"SREB Type2","Two-Year")</f>
        <v>1205</v>
      </c>
      <c r="M276" s="6">
        <f>+GETPIVOTDATA(" New-Associate's",'Pivot Table for 1-11'!$A$3,"State","VA","SREB Type",10,"SREB Type2","Two-Year")</f>
        <v>1056</v>
      </c>
      <c r="N276" s="80"/>
      <c r="O276" s="80"/>
      <c r="P276" s="62"/>
      <c r="Q276" s="177">
        <f>SUM(B276:D276)</f>
        <v>31605</v>
      </c>
      <c r="R276" s="178">
        <f>('New Tables 1-12'!Q276-'New Tables 1-12'!S276)/S276</f>
        <v>0.17329323978171288</v>
      </c>
      <c r="S276" s="177">
        <f>SUM('Old 1-12'!B276:D276)</f>
        <v>26937</v>
      </c>
      <c r="U276" s="39" t="s">
        <v>206</v>
      </c>
      <c r="V276" s="318"/>
      <c r="W276" s="318"/>
      <c r="X276" s="318"/>
      <c r="Y276" s="318"/>
      <c r="AL276" s="109"/>
      <c r="AP276" s="109"/>
    </row>
    <row r="277" spans="1:42" ht="15" customHeight="1" x14ac:dyDescent="0.2">
      <c r="A277" s="7" t="s">
        <v>207</v>
      </c>
      <c r="B277" s="8">
        <f>+GETPIVOTDATA(" New-Less Than 2-Year",'Pivot Table for 1-11'!$A$3,"State","WV","SREB Type2","Two-Year")+GETPIVOTDATA(" New-2 But Less Than 4-Year",'Pivot Table for 1-11'!$A$3,"State","WV","SREB Type2","Two-Year")</f>
        <v>764</v>
      </c>
      <c r="C277" s="8">
        <f>+GETPIVOTDATA(" New-Associate's",'Pivot Table for 1-11'!$A$3,"State","WV","SREB Type2","Two-Year")</f>
        <v>2680</v>
      </c>
      <c r="D277" s="8">
        <f>+GETPIVOTDATA(" New-Bachelor's",'Pivot Table for 1-11'!$A$3,"State","WV","SREB Type2","Two-Year")</f>
        <v>250</v>
      </c>
      <c r="E277" s="18">
        <f>+GETPIVOTDATA(" New-Less Than 2-Year",'Pivot Table for 1-11'!$A$3,"State","WV","SREB Type",7,"SREB Type2","Two-Year")+GETPIVOTDATA(" New-2 But Less Than 4-Year",'Pivot Table for 1-11'!$A$3,"State","WV","SREB Type",7,"SREB Type2","Two-Year")</f>
        <v>123</v>
      </c>
      <c r="F277" s="8">
        <f>+GETPIVOTDATA(" New-Associate's",'Pivot Table for 1-11'!$A$3,"State","WV","SREB Type",7,"SREB Type2","Two-Year")</f>
        <v>559</v>
      </c>
      <c r="G277" s="56">
        <f>+GETPIVOTDATA(" New-Bachelor's",'Pivot Table for 1-11'!$A$3,"State","WV","SREB Type",7,"SREB Type2","Two-Year")</f>
        <v>250</v>
      </c>
      <c r="H277" s="18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56">
        <f>+GETPIVOTDATA(" New-Associate's",'Pivot Table for 1-11'!$A$3,"State","WV","SREB Type",8,"SREB Type2","Two-Year")</f>
        <v>0</v>
      </c>
      <c r="J277" s="18">
        <f>+GETPIVOTDATA(" New-Less Than 2-Year",'Pivot Table for 1-11'!$A$3,"State","WV","SREB Type",9,"SREB Type2","Two-Year")+GETPIVOTDATA(" New-2 But Less Than 4-Year",'Pivot Table for 1-11'!$A$3,"State","WV","SREB Type",9,"SREB Type2","Two-Year")</f>
        <v>249</v>
      </c>
      <c r="K277" s="56">
        <f>+GETPIVOTDATA(" New-Associate's",'Pivot Table for 1-11'!$A$3,"State","WV","SREB Type",9,"SREB Type2","Two-Year")</f>
        <v>743</v>
      </c>
      <c r="L277" s="8">
        <f>+GETPIVOTDATA(" New-Less Than 2-Year",'Pivot Table for 1-11'!$A$3,"State","WV","SREB Type",10,"SREB Type2","Two-Year")+GETPIVOTDATA(" New-2 But Less Than 4-Year",'Pivot Table for 1-11'!$A$3,"State","WV","SREB Type",10,"SREB Type2","Two-Year")</f>
        <v>392</v>
      </c>
      <c r="M277" s="8">
        <f>+GETPIVOTDATA(" New-Associate's",'Pivot Table for 1-11'!$A$3,"State","WV","SREB Type",10,"SREB Type2","Two-Year")</f>
        <v>1378</v>
      </c>
      <c r="N277" s="85"/>
      <c r="O277" s="85"/>
      <c r="Q277" s="177">
        <f>SUM(B277:D277)</f>
        <v>3694</v>
      </c>
      <c r="R277" s="178">
        <f>('New Tables 1-12'!Q277-'New Tables 1-12'!S277)/S277</f>
        <v>8.5512782838671766E-2</v>
      </c>
      <c r="S277" s="177">
        <f>SUM('Old 1-12'!B277:D277)</f>
        <v>3403</v>
      </c>
      <c r="U277" s="39" t="s">
        <v>207</v>
      </c>
      <c r="V277" s="318"/>
      <c r="W277" s="318"/>
      <c r="X277" s="318"/>
      <c r="Y277" s="318"/>
      <c r="AL277" s="109"/>
      <c r="AP277" s="109"/>
    </row>
    <row r="278" spans="1:42" s="43" customFormat="1" ht="15" customHeight="1" x14ac:dyDescent="0.2">
      <c r="A278" s="61" t="s">
        <v>418</v>
      </c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2"/>
      <c r="O278" s="52"/>
      <c r="P278" s="50"/>
      <c r="Q278" s="50"/>
      <c r="R278" s="50"/>
      <c r="S278" s="50"/>
      <c r="T278" s="50"/>
      <c r="U278" s="50"/>
      <c r="V278" s="50"/>
      <c r="W278" s="160"/>
      <c r="X278" s="50"/>
      <c r="Y278" s="50"/>
      <c r="Z278" s="50"/>
      <c r="AA278" s="50"/>
    </row>
    <row r="279" spans="1:42" s="43" customFormat="1" ht="15.75" customHeight="1" x14ac:dyDescent="0.2">
      <c r="A279" s="856" t="s">
        <v>1</v>
      </c>
      <c r="B279" s="857"/>
      <c r="C279" s="857"/>
      <c r="D279" s="857"/>
      <c r="E279" s="857"/>
      <c r="F279" s="857"/>
      <c r="G279" s="857"/>
      <c r="H279" s="857"/>
      <c r="I279" s="857"/>
      <c r="J279" s="857"/>
      <c r="K279" s="857"/>
      <c r="L279" s="857"/>
      <c r="M279" s="857"/>
      <c r="N279" s="857"/>
      <c r="O279" s="857"/>
      <c r="P279" s="857"/>
      <c r="Q279" s="84"/>
      <c r="R279" s="50"/>
      <c r="S279" s="50"/>
      <c r="T279" s="50"/>
      <c r="U279" s="50"/>
      <c r="V279" s="50"/>
      <c r="W279" s="50"/>
      <c r="X279" s="50"/>
      <c r="Y279" s="50"/>
      <c r="Z279" s="50"/>
      <c r="AA279" s="50"/>
    </row>
    <row r="280" spans="1:42" s="43" customFormat="1" ht="15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3" t="s">
        <v>1293</v>
      </c>
      <c r="N280" s="83"/>
      <c r="O280" s="83"/>
      <c r="P280" s="84"/>
      <c r="Q280" s="84"/>
      <c r="R280" s="50"/>
      <c r="S280" s="50"/>
      <c r="T280" s="50"/>
      <c r="U280" s="50"/>
      <c r="V280" s="50"/>
      <c r="W280" s="50"/>
      <c r="X280" s="50"/>
      <c r="Y280" s="50"/>
      <c r="Z280" s="50"/>
      <c r="AA280" s="50"/>
    </row>
    <row r="281" spans="1:42" ht="18" x14ac:dyDescent="0.25">
      <c r="A281" s="22" t="s">
        <v>223</v>
      </c>
      <c r="B281" s="1"/>
      <c r="C281" s="1"/>
      <c r="D281" s="1"/>
      <c r="E281" s="1"/>
      <c r="F281" s="1"/>
      <c r="G281" s="1"/>
      <c r="H281" s="1" t="s">
        <v>216</v>
      </c>
      <c r="I281" s="1"/>
      <c r="J281" s="1" t="s">
        <v>216</v>
      </c>
      <c r="K281" s="1"/>
      <c r="L281" s="1"/>
      <c r="N281" s="58"/>
      <c r="O281" s="58"/>
      <c r="P281" s="58"/>
      <c r="Q281" s="154" t="s">
        <v>216</v>
      </c>
    </row>
    <row r="282" spans="1:42" ht="9" customHeight="1" x14ac:dyDescent="0.2">
      <c r="A282" s="4"/>
      <c r="B282" s="4"/>
      <c r="C282" s="4"/>
      <c r="D282" s="4"/>
      <c r="E282" s="4"/>
      <c r="F282" s="4"/>
      <c r="G282" s="4"/>
      <c r="H282" s="4" t="s">
        <v>216</v>
      </c>
      <c r="I282" s="4"/>
      <c r="J282" s="4" t="s">
        <v>216</v>
      </c>
      <c r="K282" s="4"/>
      <c r="L282" s="4"/>
      <c r="M282" s="4"/>
      <c r="N282" s="57"/>
      <c r="O282" s="57"/>
      <c r="P282" s="57"/>
      <c r="Q282" s="163"/>
    </row>
    <row r="283" spans="1:42" ht="15.75" x14ac:dyDescent="0.25">
      <c r="A283" s="1" t="s">
        <v>181</v>
      </c>
      <c r="B283" s="1"/>
      <c r="C283" s="1"/>
      <c r="D283" s="1"/>
      <c r="E283" s="1"/>
      <c r="F283" s="1"/>
      <c r="G283" s="1"/>
      <c r="H283" s="1" t="s">
        <v>216</v>
      </c>
      <c r="I283" s="1"/>
      <c r="J283" s="1" t="s">
        <v>216</v>
      </c>
      <c r="K283" s="1"/>
      <c r="L283" s="1"/>
      <c r="M283" s="1"/>
      <c r="N283" s="58"/>
      <c r="O283" s="58"/>
      <c r="P283" s="58"/>
      <c r="Q283" s="154" t="s">
        <v>216</v>
      </c>
    </row>
    <row r="284" spans="1:42" ht="15.75" x14ac:dyDescent="0.25">
      <c r="A284" s="1" t="s">
        <v>1290</v>
      </c>
      <c r="B284" s="1"/>
      <c r="C284" s="1"/>
      <c r="D284" s="1"/>
      <c r="E284" s="1"/>
      <c r="F284" s="1"/>
      <c r="G284" s="1"/>
      <c r="H284" s="1" t="s">
        <v>216</v>
      </c>
      <c r="I284" s="1"/>
      <c r="J284" s="1" t="s">
        <v>216</v>
      </c>
      <c r="K284" s="1"/>
      <c r="L284" s="1"/>
      <c r="M284" s="1"/>
      <c r="N284" s="58"/>
      <c r="O284" s="58"/>
      <c r="P284" s="58"/>
      <c r="Q284" s="154" t="s">
        <v>216</v>
      </c>
    </row>
    <row r="285" spans="1:42" ht="9.75" customHeight="1" x14ac:dyDescent="0.25">
      <c r="A285" s="4"/>
      <c r="B285" s="4"/>
      <c r="C285" s="4"/>
      <c r="D285" s="4"/>
      <c r="E285" s="4"/>
      <c r="F285" s="4"/>
      <c r="G285" s="4"/>
      <c r="H285" s="1" t="s">
        <v>216</v>
      </c>
      <c r="I285" s="1"/>
      <c r="Q285" s="51" t="s">
        <v>256</v>
      </c>
    </row>
    <row r="286" spans="1:42" ht="52.5" customHeight="1" x14ac:dyDescent="0.25">
      <c r="A286" s="11"/>
      <c r="B286" s="129" t="s">
        <v>224</v>
      </c>
      <c r="C286" s="130"/>
      <c r="D286" s="129" t="s">
        <v>225</v>
      </c>
      <c r="E286" s="130"/>
      <c r="F286" s="129" t="s">
        <v>226</v>
      </c>
      <c r="G286" s="129"/>
      <c r="H286" s="1" t="s">
        <v>216</v>
      </c>
      <c r="I286" s="1"/>
      <c r="Q286" s="51"/>
      <c r="R286" s="149"/>
      <c r="S286" s="149"/>
      <c r="AA286" s="155"/>
    </row>
    <row r="287" spans="1:42" ht="36" customHeight="1" x14ac:dyDescent="0.25">
      <c r="A287" s="14"/>
      <c r="B287" s="15" t="s">
        <v>244</v>
      </c>
      <c r="C287" s="15" t="s">
        <v>222</v>
      </c>
      <c r="D287" s="16" t="s">
        <v>244</v>
      </c>
      <c r="E287" s="15" t="s">
        <v>222</v>
      </c>
      <c r="F287" s="16" t="s">
        <v>244</v>
      </c>
      <c r="G287" s="15" t="s">
        <v>222</v>
      </c>
      <c r="H287" s="1" t="s">
        <v>216</v>
      </c>
      <c r="I287" s="1"/>
      <c r="Q287" s="156" t="s">
        <v>415</v>
      </c>
      <c r="R287" s="157" t="s">
        <v>414</v>
      </c>
      <c r="S287" s="156" t="s">
        <v>416</v>
      </c>
      <c r="AA287" s="151"/>
      <c r="AB287" s="107"/>
      <c r="AC287" s="107"/>
    </row>
    <row r="288" spans="1:42" ht="15" customHeight="1" x14ac:dyDescent="0.25">
      <c r="A288" s="5" t="s">
        <v>191</v>
      </c>
      <c r="B288" s="6">
        <f>+GETPIVOTDATA(" New-Less Than 2-Year",'Pivot Table for 1-11'!$A$3,"SREB Type2","Technical")+GETPIVOTDATA(" New-2 But Less Than 4-Year",'Pivot Table for 1-11'!$A$3,"SREB Type2","Technical")</f>
        <v>65424</v>
      </c>
      <c r="C288" s="6">
        <f>+GETPIVOTDATA(" New-Associate's",'Pivot Table for 1-11'!$A$3,"SREB Type2","Technical")</f>
        <v>7281</v>
      </c>
      <c r="D288" s="114">
        <f>+GETPIVOTDATA(" New-Less Than 2-Year",'Pivot Table for 1-11'!$A$3,"SREB Type",12,"SREB Type2","Technical")+GETPIVOTDATA(" New-2 But Less Than 4-Year",'Pivot Table for 1-11'!$A$3,"SREB Type",12,"SREB Type2","Technical")</f>
        <v>46382</v>
      </c>
      <c r="E288" s="116">
        <f>+GETPIVOTDATA(" New-Associate's",'Pivot Table for 1-11'!$A$3,"SREB Type",12,"SREB Type2","Technical")</f>
        <v>7121</v>
      </c>
      <c r="F288" s="114">
        <f>+GETPIVOTDATA(" New-Less Than 2-Year",'Pivot Table for 1-11'!$A$3,"SREB Type",13,"SREB Type2","Technical")+GETPIVOTDATA(" New-2 But Less Than 4-Year",'Pivot Table for 1-11'!$A$3,"SREB Type",13,"SREB Type2","Technical")</f>
        <v>17727</v>
      </c>
      <c r="G288" s="317">
        <f>+GETPIVOTDATA(" New-Associate's",'Pivot Table for 1-11'!$A$3,"SREB Type",13,"SREB Type2","Technical")</f>
        <v>160</v>
      </c>
      <c r="H288" s="1" t="s">
        <v>216</v>
      </c>
      <c r="I288" s="1"/>
      <c r="Q288" s="153">
        <f t="shared" ref="Q288:Q308" si="11">SUM(B288:C288)</f>
        <v>72705</v>
      </c>
      <c r="R288" s="158">
        <f>('New Tables 1-12'!Q288-'New Tables 1-12'!S288)/S288</f>
        <v>-0.11263944150169648</v>
      </c>
      <c r="S288" s="153">
        <f>SUM('Old 1-12'!B288:C288)</f>
        <v>81934</v>
      </c>
      <c r="T288" s="5" t="s">
        <v>191</v>
      </c>
    </row>
    <row r="289" spans="1:27" ht="15" customHeight="1" x14ac:dyDescent="0.25">
      <c r="A289" s="5"/>
      <c r="B289" s="6"/>
      <c r="C289" s="6"/>
      <c r="D289" s="17"/>
      <c r="E289" s="55"/>
      <c r="F289" s="17"/>
      <c r="G289" s="40"/>
      <c r="H289" s="1" t="s">
        <v>216</v>
      </c>
      <c r="I289" s="1"/>
      <c r="Q289" s="153"/>
      <c r="R289" s="158"/>
      <c r="S289" s="153"/>
      <c r="T289" s="5"/>
    </row>
    <row r="290" spans="1:27" ht="15" customHeight="1" x14ac:dyDescent="0.25">
      <c r="A290" s="5" t="s">
        <v>192</v>
      </c>
      <c r="B290" s="6">
        <f>+GETPIVOTDATA(" New-Less Than 2-Year",'Pivot Table for 1-11'!$A$3,"State","AL","SREB Type2","Technical")+GETPIVOTDATA(" New-2 But Less Than 4-Year",'Pivot Table for 1-11'!$A$3,"State","AL","SREB Type2","Technical")</f>
        <v>958</v>
      </c>
      <c r="C290" s="6">
        <f>+GETPIVOTDATA(" New-Associate's",'Pivot Table for 1-11'!$A$3,"State","AL","SREB Type2","Technical")</f>
        <v>339</v>
      </c>
      <c r="D290" s="17">
        <f>GETPIVOTDATA(" New-Less Than 2-Year",'Pivot Table for 1-11'!$A$3,"State","AL")+GETPIVOTDATA(" New-2 But Less Than 4-Year",'Pivot Table for 1-11'!$A$3,"State","AL","SREB Type",12,"SREB Type2","Technical")</f>
        <v>6010</v>
      </c>
      <c r="E290" s="55">
        <f>+GETPIVOTDATA(" New-Associate's",'Pivot Table for 1-11'!$A$3,"State","AL","SREB Type",12,"SREB Type2","Technical")</f>
        <v>179</v>
      </c>
      <c r="F290" s="17">
        <f>GETPIVOTDATA(" New-Less Than 2-Year",'Pivot Table for 1-11'!$A$3,"State","AL")+GETPIVOTDATA(" New-2 But Less Than 4-Year",'Pivot Table for 1-11'!$A$3,"State","AL","SREB Type",13,"SREB Type2","Technical")</f>
        <v>6010</v>
      </c>
      <c r="G290" s="40">
        <f>+GETPIVOTDATA(" New-Associate's",'Pivot Table for 1-11'!$A$3,"State","AL","SREB Type",13,"SREB Type2","Technical")</f>
        <v>160</v>
      </c>
      <c r="H290" s="1" t="s">
        <v>216</v>
      </c>
      <c r="I290" s="1"/>
      <c r="Q290" s="153">
        <f t="shared" si="11"/>
        <v>1297</v>
      </c>
      <c r="R290" s="158">
        <f>('New Tables 1-12'!Q290-'New Tables 1-12'!S290)/S290</f>
        <v>-5.7412790697674417E-2</v>
      </c>
      <c r="S290" s="153">
        <f>SUM('Old 1-12'!B290:C290)</f>
        <v>1376</v>
      </c>
      <c r="T290" s="5" t="s">
        <v>192</v>
      </c>
      <c r="AA290" s="159"/>
    </row>
    <row r="291" spans="1:27" ht="15" customHeight="1" x14ac:dyDescent="0.25">
      <c r="A291" s="5" t="s">
        <v>193</v>
      </c>
      <c r="B291" s="6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6">
        <f>+GETPIVOTDATA(" New-Associate's",'Pivot Table for 1-11'!$A$3,"State","AR","SREB Type2","Technical")</f>
        <v>0</v>
      </c>
      <c r="D291" s="17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55">
        <f>+GETPIVOTDATA(" New-Associate's",'Pivot Table for 1-11'!$A$3,"State","AR","SREB Type",12,"SREB Type2","Technical")</f>
        <v>0</v>
      </c>
      <c r="F291" s="17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40">
        <f>+GETPIVOTDATA(" New-Associate's",'Pivot Table for 1-11'!$A$3,"State","AR","SREB Type",13,"SREB Type2","Technical")</f>
        <v>0</v>
      </c>
      <c r="H291" s="1" t="s">
        <v>216</v>
      </c>
      <c r="I291" s="1"/>
      <c r="Q291" s="153">
        <f t="shared" si="11"/>
        <v>0</v>
      </c>
      <c r="R291" s="158" t="e">
        <f>('New Tables 1-12'!Q291-'New Tables 1-12'!S291)/S291</f>
        <v>#DIV/0!</v>
      </c>
      <c r="S291" s="153">
        <f>SUM('Old 1-12'!B291:C291)</f>
        <v>0</v>
      </c>
      <c r="T291" s="5" t="s">
        <v>193</v>
      </c>
    </row>
    <row r="292" spans="1:27" ht="15" customHeight="1" x14ac:dyDescent="0.25">
      <c r="A292" s="5" t="s">
        <v>194</v>
      </c>
      <c r="B292" s="6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6">
        <f>+GETPIVOTDATA(" New-Associate's",'Pivot Table for 1-11'!$A$3,"State","DE","SREB Type2","Technical")</f>
        <v>0</v>
      </c>
      <c r="D292" s="17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55">
        <f>+GETPIVOTDATA(" New-Associate's",'Pivot Table for 1-11'!$A$3,"State","DE","SREB Type",12,"SREB Type2","Technical")</f>
        <v>0</v>
      </c>
      <c r="F292" s="17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40">
        <f>+GETPIVOTDATA(" New-Associate's",'Pivot Table for 1-11'!$A$3,"State","DE","SREB Type",13,"SREB Type2","Technical")</f>
        <v>0</v>
      </c>
      <c r="H292" s="1" t="s">
        <v>216</v>
      </c>
      <c r="I292" s="1"/>
      <c r="Q292" s="153">
        <f t="shared" si="11"/>
        <v>0</v>
      </c>
      <c r="R292" s="158" t="e">
        <f>('New Tables 1-12'!Q292-'New Tables 1-12'!S292)/S292</f>
        <v>#DIV/0!</v>
      </c>
      <c r="S292" s="153">
        <f>SUM('Old 1-12'!B292:C292)</f>
        <v>0</v>
      </c>
      <c r="T292" s="5" t="s">
        <v>194</v>
      </c>
    </row>
    <row r="293" spans="1:27" ht="15" customHeight="1" x14ac:dyDescent="0.25">
      <c r="A293" s="5" t="s">
        <v>195</v>
      </c>
      <c r="B293" s="6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6">
        <f>+GETPIVOTDATA(" New-Associate's",'Pivot Table for 1-11'!$A$3,"State","FL","SREB Type2","Technical")</f>
        <v>0</v>
      </c>
      <c r="D293" s="17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55">
        <f>+GETPIVOTDATA(" New-Associate's",'Pivot Table for 1-11'!$A$3,"State","FL","SREB Type",12,"SREB Type2","Technical")</f>
        <v>0</v>
      </c>
      <c r="F293" s="17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40">
        <f>+GETPIVOTDATA(" New-Associate's",'Pivot Table for 1-11'!$A$3,"State","FL","SREB Type",13,"SREB Type2","Technical")</f>
        <v>0</v>
      </c>
      <c r="H293" s="1" t="s">
        <v>216</v>
      </c>
      <c r="I293" s="1"/>
      <c r="Q293" s="153">
        <f t="shared" si="11"/>
        <v>0</v>
      </c>
      <c r="R293" s="158" t="e">
        <f>('New Tables 1-12'!Q293-'New Tables 1-12'!S293)/S293</f>
        <v>#DIV/0!</v>
      </c>
      <c r="S293" s="153">
        <f>SUM('Old 1-12'!B293:C293)</f>
        <v>0</v>
      </c>
      <c r="T293" s="5" t="s">
        <v>195</v>
      </c>
    </row>
    <row r="294" spans="1:27" ht="15" customHeight="1" x14ac:dyDescent="0.25">
      <c r="A294" s="5"/>
      <c r="B294" s="6"/>
      <c r="C294" s="6"/>
      <c r="D294" s="17"/>
      <c r="E294" s="55"/>
      <c r="F294" s="17"/>
      <c r="G294" s="40"/>
      <c r="H294" s="1" t="s">
        <v>216</v>
      </c>
      <c r="I294" s="1"/>
      <c r="Q294" s="153"/>
      <c r="R294" s="158"/>
      <c r="S294" s="153"/>
      <c r="T294" s="5"/>
    </row>
    <row r="295" spans="1:27" ht="15" customHeight="1" x14ac:dyDescent="0.25">
      <c r="A295" s="5" t="s">
        <v>196</v>
      </c>
      <c r="B295" s="6">
        <f>+GETPIVOTDATA(" New-Less Than 2-Year",'Pivot Table for 1-11'!$A$3,"State","GA","SREB Type2","Technical")+GETPIVOTDATA(" New-2 But Less Than 4-Year",'Pivot Table for 1-11'!$A$3,"State","GA","SREB Type2","Technical")</f>
        <v>34461</v>
      </c>
      <c r="C295" s="6">
        <f>+GETPIVOTDATA(" New-Associate's",'Pivot Table for 1-11'!$A$3,"State","GA","SREB Type2","Technical")</f>
        <v>5363</v>
      </c>
      <c r="D295" s="17">
        <f>+GETPIVOTDATA(" New-Less Than 2-Year",'Pivot Table for 1-11'!$A$3,"State","GA","SREB Type",12,"SREB Type2","Technical")+GETPIVOTDATA(" New-2 But Less Than 4-Year",'Pivot Table for 1-11'!$A$3,"State","GA","SREB Type",12,"SREB Type2","Technical")</f>
        <v>34461</v>
      </c>
      <c r="E295" s="55">
        <f>+GETPIVOTDATA(" New-Associate's",'Pivot Table for 1-11'!$A$3,"State","GA","SREB Type",12,"SREB Type2","Technical")</f>
        <v>5363</v>
      </c>
      <c r="F295" s="17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40">
        <f>+GETPIVOTDATA(" New-Associate's",'Pivot Table for 1-11'!$A$3,"State","GA","SREB Type",13,"SREB Type2","Technical")</f>
        <v>0</v>
      </c>
      <c r="H295" s="1" t="s">
        <v>216</v>
      </c>
      <c r="I295" s="1"/>
      <c r="Q295" s="153">
        <f t="shared" si="11"/>
        <v>39824</v>
      </c>
      <c r="R295" s="158">
        <f>('New Tables 1-12'!Q295-'New Tables 1-12'!S295)/S295</f>
        <v>-0.18690024092449672</v>
      </c>
      <c r="S295" s="153">
        <f>SUM('Old 1-12'!B295:C295)</f>
        <v>48978</v>
      </c>
      <c r="T295" s="5" t="s">
        <v>196</v>
      </c>
    </row>
    <row r="296" spans="1:27" ht="15" customHeight="1" x14ac:dyDescent="0.25">
      <c r="A296" s="5" t="s">
        <v>197</v>
      </c>
      <c r="B296" s="6">
        <f>+GETPIVOTDATA(" New-Less Than 2-Year",'Pivot Table for 1-11'!$A$3,"State","KY","SREB Type2","Technical")+GETPIVOTDATA(" New-2 But Less Than 4-Year",'Pivot Table for 1-11'!$A$3,"State","KY","SREB Type2","Technical")</f>
        <v>2582</v>
      </c>
      <c r="C296" s="6">
        <f>+GETPIVOTDATA(" New-Associate's",'Pivot Table for 1-11'!$A$3,"State","KY","SREB Type2","Technical")</f>
        <v>707</v>
      </c>
      <c r="D296" s="17">
        <f>+GETPIVOTDATA(" New-Less Than 2-Year",'Pivot Table for 1-11'!$A$3,"State","KY","SREB Type",12,"SREB Type2","Technical")+GETPIVOTDATA(" New-2 But Less Than 4-Year",'Pivot Table for 1-11'!$A$3,"State","KY","SREB Type",12,"SREB Type2","Technical")</f>
        <v>2582</v>
      </c>
      <c r="E296" s="55">
        <f>+GETPIVOTDATA(" New-Associate's",'Pivot Table for 1-11'!$A$3,"State","KY","SREB Type",12,"SREB Type2","Technical")</f>
        <v>707</v>
      </c>
      <c r="F296" s="17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40">
        <f>+GETPIVOTDATA(" New-Associate's",'Pivot Table for 1-11'!$A$3,"State","KY","SREB Type",13,"SREB Type2","Technical")</f>
        <v>0</v>
      </c>
      <c r="H296" s="1" t="s">
        <v>216</v>
      </c>
      <c r="I296" s="1"/>
      <c r="Q296" s="153">
        <f t="shared" si="11"/>
        <v>3289</v>
      </c>
      <c r="R296" s="158">
        <f>('New Tables 1-12'!Q296-'New Tables 1-12'!S296)/S296</f>
        <v>6.1995479496286726E-2</v>
      </c>
      <c r="S296" s="153">
        <f>SUM('Old 1-12'!B296:C296)</f>
        <v>3097</v>
      </c>
      <c r="T296" s="5" t="s">
        <v>197</v>
      </c>
    </row>
    <row r="297" spans="1:27" ht="15" customHeight="1" x14ac:dyDescent="0.25">
      <c r="A297" s="5" t="s">
        <v>198</v>
      </c>
      <c r="B297" s="6">
        <f>+GETPIVOTDATA(" New-Less Than 2-Year",'Pivot Table for 1-11'!$A$3,"State","LA","SREB Type2","Technical")+GETPIVOTDATA(" New-2 But Less Than 4-Year",'Pivot Table for 1-11'!$A$3,"State","LA","SREB Type2","Technical")</f>
        <v>6714</v>
      </c>
      <c r="C297" s="6">
        <f>+GETPIVOTDATA(" New-Associate's",'Pivot Table for 1-11'!$A$3,"State","LA","SREB Type2","Technical")</f>
        <v>872</v>
      </c>
      <c r="D297" s="17">
        <f>+GETPIVOTDATA(" New-Less Than 2-Year",'Pivot Table for 1-11'!$A$3,"State","LA","SREB Type",12,"SREB Type2","Technical")+GETPIVOTDATA(" New-2 But Less Than 4-Year",'Pivot Table for 1-11'!$A$3,"State","LA","SREB Type",12,"SREB Type2","Technical")</f>
        <v>6714</v>
      </c>
      <c r="E297" s="55">
        <f>+GETPIVOTDATA(" New-Associate's",'Pivot Table for 1-11'!$A$3,"State","LA","SREB Type",12,"SREB Type2","Technical")</f>
        <v>872</v>
      </c>
      <c r="F297" s="17">
        <f>+GETPIVOTDATA(" New-Less Than 2-Year",'Pivot Table for 1-11'!$A$3,"State","LA","SREB Type",13,"SREB Type2","Technical")+GETPIVOTDATA(" New-2 But Less Than 4-Year",'Pivot Table for 1-11'!$A$3,"State","LA","SREB Type",13,"SREB Type2","Technical")</f>
        <v>0</v>
      </c>
      <c r="G297" s="40">
        <f>+GETPIVOTDATA(" New-Associate's",'Pivot Table for 1-11'!$A$3,"State","LA","SREB Type",13,"SREB Type2","Technical")</f>
        <v>0</v>
      </c>
      <c r="H297" s="1" t="s">
        <v>216</v>
      </c>
      <c r="I297" s="1"/>
      <c r="Q297" s="153">
        <f t="shared" si="11"/>
        <v>7586</v>
      </c>
      <c r="R297" s="158">
        <f>('New Tables 1-12'!Q297-'New Tables 1-12'!S297)/S297</f>
        <v>4.4615808317267969E-2</v>
      </c>
      <c r="S297" s="153">
        <f>SUM('Old 1-12'!B297:C297)</f>
        <v>7262</v>
      </c>
      <c r="T297" s="5" t="s">
        <v>198</v>
      </c>
    </row>
    <row r="298" spans="1:27" ht="15" customHeight="1" x14ac:dyDescent="0.25">
      <c r="A298" s="5" t="s">
        <v>199</v>
      </c>
      <c r="B298" s="6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6">
        <f>+GETPIVOTDATA(" New-Associate's",'Pivot Table for 1-11'!$A$3,"State","MD","SREB Type2","Technical")</f>
        <v>0</v>
      </c>
      <c r="D298" s="17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55">
        <f>+GETPIVOTDATA(" New-Associate's",'Pivot Table for 1-11'!$A$3,"State","MD","SREB Type",12,"SREB Type2","Technical")</f>
        <v>0</v>
      </c>
      <c r="F298" s="17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40">
        <f>+GETPIVOTDATA(" New-Associate's",'Pivot Table for 1-11'!$A$3,"State","MD","SREB Type",13,"SREB Type2","Technical")</f>
        <v>0</v>
      </c>
      <c r="H298" s="1" t="s">
        <v>216</v>
      </c>
      <c r="I298" s="1"/>
      <c r="Q298" s="153">
        <f t="shared" si="11"/>
        <v>0</v>
      </c>
      <c r="R298" s="158" t="e">
        <f>('New Tables 1-12'!Q298-'New Tables 1-12'!S298)/S298</f>
        <v>#DIV/0!</v>
      </c>
      <c r="S298" s="153">
        <f>SUM('Old 1-12'!B298:C298)</f>
        <v>0</v>
      </c>
      <c r="T298" s="5" t="s">
        <v>199</v>
      </c>
    </row>
    <row r="299" spans="1:27" ht="15" customHeight="1" x14ac:dyDescent="0.25">
      <c r="A299" s="5"/>
      <c r="B299" s="6"/>
      <c r="C299" s="6"/>
      <c r="D299" s="17"/>
      <c r="E299" s="55"/>
      <c r="F299" s="17"/>
      <c r="G299" s="40"/>
      <c r="H299" s="1" t="s">
        <v>216</v>
      </c>
      <c r="I299" s="1"/>
      <c r="Q299" s="153"/>
      <c r="R299" s="158"/>
      <c r="S299" s="153"/>
      <c r="T299" s="5"/>
    </row>
    <row r="300" spans="1:27" ht="15" customHeight="1" x14ac:dyDescent="0.25">
      <c r="A300" s="5" t="s">
        <v>200</v>
      </c>
      <c r="B300" s="6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6">
        <f>+GETPIVOTDATA(" New-Associate's",'Pivot Table for 1-11'!$A$3,"State","MS","SREB Type2","Technical")</f>
        <v>0</v>
      </c>
      <c r="D300" s="17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55">
        <f>+GETPIVOTDATA(" New-Associate's",'Pivot Table for 1-11'!$A$3,"State","MS","SREB Type",12,"SREB Type2","Technical")</f>
        <v>0</v>
      </c>
      <c r="F300" s="17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40">
        <f>+GETPIVOTDATA(" New-Associate's",'Pivot Table for 1-11'!$A$3,"State","MS","SREB Type",13,"SREB Type2","Technical")</f>
        <v>0</v>
      </c>
      <c r="H300" s="1" t="s">
        <v>216</v>
      </c>
      <c r="I300" s="1"/>
      <c r="Q300" s="153">
        <f t="shared" si="11"/>
        <v>0</v>
      </c>
      <c r="R300" s="158" t="e">
        <f>('New Tables 1-12'!Q300-'New Tables 1-12'!S300)/S300</f>
        <v>#DIV/0!</v>
      </c>
      <c r="S300" s="153">
        <f>SUM('Old 1-12'!B300:C300)</f>
        <v>0</v>
      </c>
      <c r="T300" s="5" t="s">
        <v>200</v>
      </c>
    </row>
    <row r="301" spans="1:27" ht="15" customHeight="1" x14ac:dyDescent="0.25">
      <c r="A301" s="5" t="s">
        <v>201</v>
      </c>
      <c r="B301" s="6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6">
        <f>+GETPIVOTDATA(" New-Associate's",'Pivot Table for 1-11'!$A$3,"State","NC","SREB Type2","Technical")</f>
        <v>0</v>
      </c>
      <c r="D301" s="17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55">
        <f>+GETPIVOTDATA(" New-Associate's",'Pivot Table for 1-11'!$A$3,"State","NC","SREB Type",12,"SREB Type2","Technical")</f>
        <v>0</v>
      </c>
      <c r="F301" s="17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40">
        <f>+GETPIVOTDATA(" New-Associate's",'Pivot Table for 1-11'!$A$3,"State","NC","SREB Type",13,"SREB Type2","Technical")</f>
        <v>0</v>
      </c>
      <c r="H301" s="1" t="s">
        <v>216</v>
      </c>
      <c r="I301" s="1"/>
      <c r="Q301" s="153">
        <f t="shared" si="11"/>
        <v>0</v>
      </c>
      <c r="R301" s="158" t="e">
        <f>('New Tables 1-12'!Q301-'New Tables 1-12'!S301)/S301</f>
        <v>#DIV/0!</v>
      </c>
      <c r="S301" s="153">
        <f>SUM('Old 1-12'!B301:C301)</f>
        <v>0</v>
      </c>
      <c r="T301" s="5" t="s">
        <v>201</v>
      </c>
    </row>
    <row r="302" spans="1:27" ht="15" customHeight="1" x14ac:dyDescent="0.25">
      <c r="A302" s="5" t="s">
        <v>202</v>
      </c>
      <c r="B302" s="6">
        <f>+GETPIVOTDATA(" New-Less Than 2-Year",'Pivot Table for 1-11'!$A$3,"State","OK","SREB Type2","Technical")+GETPIVOTDATA(" New-2 But Less Than 4-Year",'Pivot Table for 1-11'!$A$3,"State","OK","SREB Type2","Technical")</f>
        <v>12066</v>
      </c>
      <c r="C302" s="6">
        <f>+GETPIVOTDATA(" New-Associate's",'Pivot Table for 1-11'!$A$3,"State","OK","SREB Type2","Technical")</f>
        <v>0</v>
      </c>
      <c r="D302" s="17">
        <f>+GETPIVOTDATA(" New-Less Than 2-Year",'Pivot Table for 1-11'!$A$3,"State","OK","SREB Type",12,"SREB Type2","Technical")+GETPIVOTDATA(" New-2 But Less Than 4-Year",'Pivot Table for 1-11'!$A$3,"State","OK","SREB Type",12,"SREB Type2","Technical")</f>
        <v>1691</v>
      </c>
      <c r="E302" s="55">
        <f>+GETPIVOTDATA(" New-Associate's",'Pivot Table for 1-11'!$A$3,"State","OK","SREB Type",12,"SREB Type2","Technical")</f>
        <v>0</v>
      </c>
      <c r="F302" s="17">
        <f>+GETPIVOTDATA(" New-Less Than 2-Year",'Pivot Table for 1-11'!$A$3,"State","OK","SREB Type",13,"SREB Type2","Technical")+GETPIVOTDATA(" New-2 But Less Than 4-Year",'Pivot Table for 1-11'!$A$3,"State","OK","SREB Type",13,"SREB Type2","Technical")</f>
        <v>10375</v>
      </c>
      <c r="G302" s="40">
        <f>+GETPIVOTDATA(" New-Associate's",'Pivot Table for 1-11'!$A$3,"State","OK","SREB Type",13,"SREB Type2","Technical")</f>
        <v>0</v>
      </c>
      <c r="H302" s="1" t="s">
        <v>216</v>
      </c>
      <c r="I302" s="1"/>
      <c r="Q302" s="153">
        <f t="shared" si="11"/>
        <v>12066</v>
      </c>
      <c r="R302" s="158">
        <f>('New Tables 1-12'!Q302-'New Tables 1-12'!S302)/S302</f>
        <v>4.5943134535367545E-2</v>
      </c>
      <c r="S302" s="153">
        <f>SUM('Old 1-12'!B302:C302)</f>
        <v>11536</v>
      </c>
      <c r="T302" s="5" t="s">
        <v>202</v>
      </c>
    </row>
    <row r="303" spans="1:27" ht="15" customHeight="1" x14ac:dyDescent="0.25">
      <c r="A303" s="5" t="s">
        <v>203</v>
      </c>
      <c r="B303" s="6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6">
        <f>+GETPIVOTDATA(" New-Associate's",'Pivot Table for 1-11'!$A$3,"State","SC","SREB Type2","Technical")</f>
        <v>0</v>
      </c>
      <c r="D303" s="17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55">
        <f>+GETPIVOTDATA(" New-Associate's",'Pivot Table for 1-11'!$A$3,"State","SC","SREB Type",12,"SREB Type2","Technical")</f>
        <v>0</v>
      </c>
      <c r="F303" s="17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40">
        <f>+GETPIVOTDATA(" New-Associate's",'Pivot Table for 1-11'!$A$3,"State","SC","SREB Type",13,"SREB Type2","Technical")</f>
        <v>0</v>
      </c>
      <c r="H303" s="1" t="s">
        <v>216</v>
      </c>
      <c r="I303" s="1"/>
      <c r="Q303" s="153">
        <f t="shared" si="11"/>
        <v>0</v>
      </c>
      <c r="R303" s="158" t="e">
        <f>('New Tables 1-12'!Q303-'New Tables 1-12'!S303)/S303</f>
        <v>#DIV/0!</v>
      </c>
      <c r="S303" s="153">
        <f>SUM('Old 1-12'!B303:C303)</f>
        <v>0</v>
      </c>
      <c r="T303" s="5" t="s">
        <v>203</v>
      </c>
    </row>
    <row r="304" spans="1:27" ht="15" customHeight="1" x14ac:dyDescent="0.25">
      <c r="A304" s="5"/>
      <c r="B304" s="6"/>
      <c r="C304" s="6"/>
      <c r="D304" s="17"/>
      <c r="E304" s="55"/>
      <c r="F304" s="17"/>
      <c r="G304" s="40"/>
      <c r="H304" s="1" t="s">
        <v>216</v>
      </c>
      <c r="I304" s="1"/>
      <c r="Q304" s="153"/>
      <c r="R304" s="158"/>
      <c r="S304" s="153"/>
      <c r="T304" s="5"/>
    </row>
    <row r="305" spans="1:43" ht="15" customHeight="1" x14ac:dyDescent="0.25">
      <c r="A305" s="5" t="s">
        <v>204</v>
      </c>
      <c r="B305" s="6">
        <f>+GETPIVOTDATA(" New-Less Than 2-Year",'Pivot Table for 1-11'!$A$3,"State","TN","SREB Type2","Technical")+GETPIVOTDATA(" New-2 But Less Than 4-Year",'Pivot Table for 1-11'!$A$3,"State","TN","SREB Type2","Technical")</f>
        <v>7328</v>
      </c>
      <c r="C305" s="6">
        <f>+GETPIVOTDATA(" New-Associate's",'Pivot Table for 1-11'!$A$3,"State","TN","SREB Type2","Technical")</f>
        <v>0</v>
      </c>
      <c r="D305" s="17">
        <f>+GETPIVOTDATA(" New-Less Than 2-Year",'Pivot Table for 1-11'!$A$3,"State","TN","SREB Type",12,"SREB Type2","Technical")+GETPIVOTDATA(" New-2 But Less Than 4-Year",'Pivot Table for 1-11'!$A$3,"State","TN","SREB Type",12,"SREB Type2","Technical")</f>
        <v>650</v>
      </c>
      <c r="E305" s="55">
        <f>+GETPIVOTDATA(" New-Associate's",'Pivot Table for 1-11'!$A$3,"State","TN","SREB Type",12,"SREB Type2","Technical")</f>
        <v>0</v>
      </c>
      <c r="F305" s="17">
        <f>+GETPIVOTDATA(" New-Less Than 2-Year",'Pivot Table for 1-11'!$A$3,"State","TN","SREB Type",13,"SREB Type2","Technical")+GETPIVOTDATA(" New-2 But Less Than 4-Year",'Pivot Table for 1-11'!$A$3,"State","TN","SREB Type",13,"SREB Type2","Technical")</f>
        <v>6678</v>
      </c>
      <c r="G305" s="40">
        <f>+GETPIVOTDATA(" New-Associate's",'Pivot Table for 1-11'!$A$3,"State","TN","SREB Type",13,"SREB Type2","Technical")</f>
        <v>0</v>
      </c>
      <c r="H305" s="1" t="s">
        <v>216</v>
      </c>
      <c r="I305" s="1"/>
      <c r="Q305" s="153">
        <f t="shared" si="11"/>
        <v>7328</v>
      </c>
      <c r="R305" s="158">
        <f>('New Tables 1-12'!Q305-'New Tables 1-12'!S305)/S305</f>
        <v>-0.11390568319226119</v>
      </c>
      <c r="S305" s="153">
        <f>SUM('Old 1-12'!B305:C305)</f>
        <v>8270</v>
      </c>
      <c r="T305" s="5" t="s">
        <v>204</v>
      </c>
    </row>
    <row r="306" spans="1:43" ht="15" customHeight="1" x14ac:dyDescent="0.25">
      <c r="A306" s="5" t="s">
        <v>205</v>
      </c>
      <c r="B306" s="6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6">
        <f>+GETPIVOTDATA(" New-Associate's",'Pivot Table for 1-11'!$A$3,"State","TX","SREB Type2","Technical")</f>
        <v>0</v>
      </c>
      <c r="D306" s="17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55">
        <f>+GETPIVOTDATA(" New-Associate's",'Pivot Table for 1-11'!$A$3,"State","TX","SREB Type",12,"SREB Type2","Technical")</f>
        <v>0</v>
      </c>
      <c r="F306" s="17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40">
        <f>+GETPIVOTDATA(" New-Associate's",'Pivot Table for 1-11'!$A$3,"State","TX","SREB Type",13,"SREB Type2","Technical")</f>
        <v>0</v>
      </c>
      <c r="H306" s="1" t="s">
        <v>216</v>
      </c>
      <c r="I306" s="1"/>
      <c r="Q306" s="153">
        <f t="shared" si="11"/>
        <v>0</v>
      </c>
      <c r="R306" s="158" t="e">
        <f>('New Tables 1-12'!Q306-'New Tables 1-12'!S306)/S306</f>
        <v>#DIV/0!</v>
      </c>
      <c r="S306" s="153">
        <f>SUM('Old 1-12'!B306:C306)</f>
        <v>0</v>
      </c>
      <c r="T306" s="5" t="s">
        <v>205</v>
      </c>
    </row>
    <row r="307" spans="1:43" ht="15" customHeight="1" x14ac:dyDescent="0.25">
      <c r="A307" s="5" t="s">
        <v>206</v>
      </c>
      <c r="B307" s="6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6">
        <f>+GETPIVOTDATA(" New-Associate's",'Pivot Table for 1-11'!$A$3,"State","VA","SREB Type2","Technical")</f>
        <v>0</v>
      </c>
      <c r="D307" s="17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55">
        <f>+GETPIVOTDATA(" New-Associate's",'Pivot Table for 1-11'!$A$3,"State","VA","SREB Type",12,"SREB Type2","Technical")</f>
        <v>0</v>
      </c>
      <c r="F307" s="17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40">
        <f>+GETPIVOTDATA(" New-Associate's",'Pivot Table for 1-11'!$A$3,"State","VA","SREB Type",13,"SREB Type2","Technical")</f>
        <v>0</v>
      </c>
      <c r="H307" s="1" t="s">
        <v>216</v>
      </c>
      <c r="I307" s="1"/>
      <c r="Q307" s="153">
        <f t="shared" si="11"/>
        <v>0</v>
      </c>
      <c r="R307" s="158" t="e">
        <f>('New Tables 1-12'!Q307-'New Tables 1-12'!S307)/S307</f>
        <v>#DIV/0!</v>
      </c>
      <c r="S307" s="153">
        <f>SUM('Old 1-12'!B307:C307)</f>
        <v>0</v>
      </c>
      <c r="T307" s="5" t="s">
        <v>206</v>
      </c>
    </row>
    <row r="308" spans="1:43" ht="15" customHeight="1" x14ac:dyDescent="0.25">
      <c r="A308" s="7" t="s">
        <v>207</v>
      </c>
      <c r="B308" s="8">
        <f>+GETPIVOTDATA(" New-Less Than 2-Year",'Pivot Table for 1-11'!$A$3,"State","WV","SREB Type2","Technical")+GETPIVOTDATA(" New-2 But Less Than 4-Year",'Pivot Table for 1-11'!$A$3,"State","WV","SREB Type2","Technical")</f>
        <v>1315</v>
      </c>
      <c r="C308" s="8">
        <f>+GETPIVOTDATA(" New-Associate's",'Pivot Table for 1-11'!$A$3,"State","WV","SREB Type2","Technical")</f>
        <v>0</v>
      </c>
      <c r="D308" s="18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56">
        <f>+GETPIVOTDATA(" New-Associate's",'Pivot Table for 1-11'!$A$3,"State","WV","SREB Type",12,"SREB Type2","Technical")</f>
        <v>0</v>
      </c>
      <c r="F308" s="18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8">
        <f>+GETPIVOTDATA(" New-Associate's",'Pivot Table for 1-11'!$A$3,"State","WV","SREB Type",13,"SREB Type2","Technical")</f>
        <v>0</v>
      </c>
      <c r="H308" s="1" t="s">
        <v>216</v>
      </c>
      <c r="I308" s="1"/>
      <c r="L308" s="65"/>
      <c r="Q308" s="153">
        <f t="shared" si="11"/>
        <v>1315</v>
      </c>
      <c r="R308" s="158">
        <f>('New Tables 1-12'!Q308-'New Tables 1-12'!S308)/S308</f>
        <v>-7.0671378091872794E-2</v>
      </c>
      <c r="S308" s="153">
        <f>SUM('Old 1-12'!B308:C308)</f>
        <v>1415</v>
      </c>
      <c r="T308" s="7" t="s">
        <v>207</v>
      </c>
    </row>
    <row r="309" spans="1:43" ht="7.5" customHeight="1" x14ac:dyDescent="0.25">
      <c r="A309" s="45"/>
      <c r="B309" s="46"/>
      <c r="C309" s="46"/>
      <c r="D309" s="46"/>
      <c r="E309" s="46"/>
      <c r="F309" s="47"/>
      <c r="G309" s="47"/>
      <c r="H309" s="1" t="s">
        <v>216</v>
      </c>
      <c r="I309" s="1"/>
      <c r="L309" s="65"/>
      <c r="R309" s="161"/>
      <c r="S309" s="161"/>
      <c r="V309" s="161"/>
      <c r="W309" s="162"/>
    </row>
    <row r="310" spans="1:43" ht="26.25" customHeight="1" x14ac:dyDescent="0.2">
      <c r="A310" s="856" t="s">
        <v>1</v>
      </c>
      <c r="B310" s="857"/>
      <c r="C310" s="857"/>
      <c r="D310" s="857"/>
      <c r="E310" s="857"/>
      <c r="F310" s="857"/>
      <c r="G310" s="857"/>
      <c r="H310" s="316"/>
      <c r="I310" s="316"/>
      <c r="J310" s="93"/>
      <c r="K310" s="93"/>
      <c r="L310" s="93"/>
      <c r="M310" s="93"/>
      <c r="N310" s="93"/>
      <c r="O310" s="93"/>
      <c r="P310" s="93"/>
    </row>
    <row r="311" spans="1:43" x14ac:dyDescent="0.2">
      <c r="G311" s="83" t="s">
        <v>1293</v>
      </c>
      <c r="N311" s="105"/>
      <c r="O311" s="83"/>
    </row>
    <row r="312" spans="1:43" ht="18" x14ac:dyDescent="0.25">
      <c r="A312" s="22" t="s">
        <v>227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154" t="s">
        <v>216</v>
      </c>
    </row>
    <row r="313" spans="1:43" x14ac:dyDescent="0.2">
      <c r="A313" s="100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7"/>
      <c r="O313" s="57"/>
      <c r="P313" s="57"/>
      <c r="Q313" s="163"/>
    </row>
    <row r="314" spans="1:43" ht="15.75" x14ac:dyDescent="0.25">
      <c r="A314" s="1" t="s">
        <v>181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54" t="s">
        <v>216</v>
      </c>
    </row>
    <row r="315" spans="1:43" ht="15.75" x14ac:dyDescent="0.25">
      <c r="A315" s="1" t="s">
        <v>1291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54" t="s">
        <v>216</v>
      </c>
    </row>
    <row r="316" spans="1:43" ht="15.7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59"/>
      <c r="O316" s="59"/>
      <c r="P316" s="59"/>
      <c r="Q316" s="169"/>
    </row>
    <row r="317" spans="1:43" ht="15.75" x14ac:dyDescent="0.25">
      <c r="A317" s="91"/>
      <c r="B317" s="91"/>
      <c r="C317" s="91"/>
      <c r="D317" s="91"/>
      <c r="E317" s="91"/>
      <c r="F317" s="91"/>
      <c r="G317" s="91"/>
      <c r="H317" s="95" t="s">
        <v>410</v>
      </c>
      <c r="I317" s="26"/>
      <c r="J317" s="26"/>
      <c r="K317" s="26"/>
      <c r="L317" s="26"/>
      <c r="M317" s="26"/>
      <c r="N317" s="92"/>
      <c r="O317" s="99"/>
      <c r="P317" s="94" t="s">
        <v>216</v>
      </c>
      <c r="Q317" s="169"/>
      <c r="R317" s="149"/>
      <c r="S317" s="149"/>
      <c r="X317" s="149"/>
      <c r="AA317" s="155"/>
    </row>
    <row r="318" spans="1:43" ht="40.5" customHeight="1" x14ac:dyDescent="0.2">
      <c r="A318" s="14"/>
      <c r="B318" s="15" t="s">
        <v>244</v>
      </c>
      <c r="C318" s="15" t="s">
        <v>182</v>
      </c>
      <c r="D318" s="15" t="s">
        <v>175</v>
      </c>
      <c r="E318" s="15" t="s">
        <v>176</v>
      </c>
      <c r="F318" s="15" t="s">
        <v>183</v>
      </c>
      <c r="G318" s="15" t="s">
        <v>184</v>
      </c>
      <c r="H318" s="16" t="s">
        <v>185</v>
      </c>
      <c r="I318" s="15" t="s">
        <v>186</v>
      </c>
      <c r="J318" s="15" t="s">
        <v>187</v>
      </c>
      <c r="K318" s="15" t="s">
        <v>179</v>
      </c>
      <c r="L318" s="15" t="s">
        <v>188</v>
      </c>
      <c r="M318" s="15" t="s">
        <v>189</v>
      </c>
      <c r="N318" s="90" t="s">
        <v>263</v>
      </c>
      <c r="O318" s="96" t="s">
        <v>238</v>
      </c>
      <c r="P318" s="90" t="s">
        <v>190</v>
      </c>
      <c r="Q318" s="170"/>
      <c r="AA318" s="151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8"/>
      <c r="AM318" s="107"/>
      <c r="AN318" s="107"/>
      <c r="AO318" s="107"/>
      <c r="AP318" s="108"/>
      <c r="AQ318" s="107"/>
    </row>
    <row r="319" spans="1:43" ht="15" customHeight="1" x14ac:dyDescent="0.2">
      <c r="A319" s="5" t="s">
        <v>191</v>
      </c>
      <c r="B319" s="6">
        <f>GETPIVOTDATA(" New-Less Than 2-Year",'Pivot Table for 1-11'!$A$3,"SREB Type2","Specialized")+GETPIVOTDATA(" New-2 But Less Than 4-Year",'Pivot Table for 1-11'!$A$3,"SREB Type2","Specialized")</f>
        <v>735</v>
      </c>
      <c r="C319" s="6">
        <f>GETPIVOTDATA(" New-Associate's",'Pivot Table for 1-11'!$A$3,"SREB Type2","Specialized")</f>
        <v>690</v>
      </c>
      <c r="D319" s="6">
        <f>GETPIVOTDATA(" New-Bachelor's",'Pivot Table for 1-11'!$A$3,"SREB Type2","Specialized")</f>
        <v>9079</v>
      </c>
      <c r="E319" s="6">
        <f>GETPIVOTDATA(" New-Post-Bachelor's",'Pivot Table for 1-11'!$A$3,"SREB Type2","Specialized")</f>
        <v>759</v>
      </c>
      <c r="F319" s="6">
        <f>GETPIVOTDATA(" New-Total Master's#",'Pivot Table for 1-11'!$A$3,"SREB Type2","Specialized")</f>
        <v>7937</v>
      </c>
      <c r="G319" s="6">
        <f>GETPIVOTDATA(" New-Total Doctorates#",'Pivot Table for 1-11'!$A$3,"SREB Type2","Specialized")</f>
        <v>999</v>
      </c>
      <c r="H319" s="17">
        <f>GETPIVOTDATA(" New-Law",'Pivot Table for 1-11'!$A$3,"SREB Type2","Specialized")</f>
        <v>321</v>
      </c>
      <c r="I319" s="6">
        <f>GETPIVOTDATA(" New-Medicine",'Pivot Table for 1-11'!$A$3,"SREB Type2","Specialized")</f>
        <v>2277</v>
      </c>
      <c r="J319" s="6">
        <f>GETPIVOTDATA(" New-Dentistry",'Pivot Table for 1-11'!$A$3,"SREB Type2","Specialized")</f>
        <v>679</v>
      </c>
      <c r="K319" s="6">
        <f>GETPIVOTDATA(" New-Pharmacy",'Pivot Table for 1-11'!$A$3,"SREB Type2","Specialized")</f>
        <v>739</v>
      </c>
      <c r="L319" s="6">
        <f>GETPIVOTDATA(" New-Optometry",'Pivot Table for 1-11'!$A$3,"SREB Type2","Specialized")</f>
        <v>0</v>
      </c>
      <c r="M319" s="6">
        <f>GETPIVOTDATA(" New-Osteopathic Medicine",'Pivot Table for 1-11'!$A$3,"SREB Type2","Specialized")</f>
        <v>323</v>
      </c>
      <c r="N319" s="80">
        <f>GETPIVOTDATA(" New-Veterinary Medicine",'Pivot Table for 1-11'!$A$3,"SREB Type2","Specialized")</f>
        <v>0</v>
      </c>
      <c r="O319" s="97">
        <f>+GETPIVOTDATA(" New-Oth PP",'Pivot Table for 1-11'!$A$3,"SREB Type2","Specialized")</f>
        <v>346</v>
      </c>
      <c r="P319" s="81">
        <f>SUM(B319:O319)</f>
        <v>24884</v>
      </c>
      <c r="Q319" s="171"/>
      <c r="AL319" s="109"/>
      <c r="AP319" s="109"/>
    </row>
    <row r="320" spans="1:43" ht="15" customHeight="1" x14ac:dyDescent="0.2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0"/>
      <c r="O320" s="97"/>
      <c r="P320" s="81"/>
      <c r="Q320" s="85"/>
      <c r="AL320" s="109"/>
      <c r="AP320" s="109"/>
    </row>
    <row r="321" spans="1:42" ht="15" customHeight="1" x14ac:dyDescent="0.2">
      <c r="A321" s="5" t="s">
        <v>192</v>
      </c>
      <c r="B321" s="6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6">
        <f>GETPIVOTDATA(" New-Associate's",'Pivot Table for 1-11'!$A$3,"State","AL","SREB Type2","Specialized")</f>
        <v>84</v>
      </c>
      <c r="D321" s="6">
        <f>GETPIVOTDATA(" New-Bachelor's",'Pivot Table for 1-11'!$A$3,"State","AL","SREB Type2","Specialized")</f>
        <v>0</v>
      </c>
      <c r="E321" s="6">
        <f>GETPIVOTDATA(" New-Post-Bachelor's",'Pivot Table for 1-11'!$A$3,"State","AL","SREB Type2","Specialized")</f>
        <v>0</v>
      </c>
      <c r="F321" s="6">
        <f>GETPIVOTDATA(" New-Total Master's#",'Pivot Table for 1-11'!$A$3,"State","AL","SREB Type2","Specialized")</f>
        <v>0</v>
      </c>
      <c r="G321" s="6">
        <f>GETPIVOTDATA(" New-Total Doctorates#",'Pivot Table for 1-11'!$A$3,"State","AL","SREB Type2","Specialized")</f>
        <v>0</v>
      </c>
      <c r="H321" s="17">
        <f>GETPIVOTDATA(" New-Law",'Pivot Table for 1-11'!$A$3,"State","AL","SREB Type2","Specialized")</f>
        <v>0</v>
      </c>
      <c r="I321" s="6">
        <f>GETPIVOTDATA(" New-Medicine",'Pivot Table for 1-11'!$A$3,"State","AL","SREB Type2","Specialized")</f>
        <v>0</v>
      </c>
      <c r="J321" s="6">
        <f>GETPIVOTDATA(" New-Dentistry",'Pivot Table for 1-11'!$A$3,"State","AL","SREB Type2","Specialized")</f>
        <v>0</v>
      </c>
      <c r="K321" s="6">
        <f>GETPIVOTDATA(" New-Pharmacy",'Pivot Table for 1-11'!$A$3,"State","AL","SREB Type2","Specialized")</f>
        <v>0</v>
      </c>
      <c r="L321" s="6">
        <f>GETPIVOTDATA(" New-Optometry",'Pivot Table for 1-11'!$A$3,"State","AL","SREB Type2","Specialized")</f>
        <v>0</v>
      </c>
      <c r="M321" s="6">
        <f>GETPIVOTDATA(" New-Osteopathic Medicine",'Pivot Table for 1-11'!$A$3,"State","AL","SREB Type2","Specialized")</f>
        <v>0</v>
      </c>
      <c r="N321" s="80">
        <f>GETPIVOTDATA(" New-Veterinary Medicine",'Pivot Table for 1-11'!$A$3,"State","AL","SREB Type2","Specialized")</f>
        <v>0</v>
      </c>
      <c r="O321" s="97">
        <f>+GETPIVOTDATA(" New-Oth PP",'Pivot Table for 1-11'!$A$3,"State","AL","SREB Type2","Specialized")</f>
        <v>0</v>
      </c>
      <c r="P321" s="81">
        <f t="shared" ref="P321:P339" si="12">SUM(B321:O321)</f>
        <v>84</v>
      </c>
      <c r="Q321" s="171"/>
      <c r="AA321" s="159"/>
      <c r="AL321" s="109"/>
      <c r="AP321" s="109"/>
    </row>
    <row r="322" spans="1:42" ht="15" customHeight="1" x14ac:dyDescent="0.2">
      <c r="A322" s="5" t="s">
        <v>193</v>
      </c>
      <c r="B322" s="6">
        <f>GETPIVOTDATA(" New-Less Than 2-Year",'Pivot Table for 1-11'!$A$3,"State","AR","SREB Type2","Specialized")+GETPIVOTDATA(" New-2 But Less Than 4-Year",'Pivot Table for 1-11'!$A$3,"State","AR","SREB Type2","Specialized")</f>
        <v>12</v>
      </c>
      <c r="C322" s="6">
        <f>GETPIVOTDATA(" New-Associate's",'Pivot Table for 1-11'!$A$3,"State","AR","SREB Type2","Specialized")</f>
        <v>64</v>
      </c>
      <c r="D322" s="6">
        <f>GETPIVOTDATA(" New-Bachelor's",'Pivot Table for 1-11'!$A$3,"State","AR","SREB Type2","Specialized")</f>
        <v>341</v>
      </c>
      <c r="E322" s="6">
        <f>GETPIVOTDATA(" New-Post-Bachelor's",'Pivot Table for 1-11'!$A$3,"State","AR","SREB Type2","Specialized")</f>
        <v>22</v>
      </c>
      <c r="F322" s="6">
        <f>GETPIVOTDATA(" New-Total Master's#",'Pivot Table for 1-11'!$A$3,"State","AR","SREB Type2","Specialized")</f>
        <v>158</v>
      </c>
      <c r="G322" s="6">
        <f>GETPIVOTDATA(" New-Total Doctorates#",'Pivot Table for 1-11'!$A$3,"State","AR","SREB Type2","Specialized")</f>
        <v>32</v>
      </c>
      <c r="H322" s="17">
        <f>GETPIVOTDATA(" New-Law",'Pivot Table for 1-11'!$A$3,"State","AR","SREB Type2","Specialized")</f>
        <v>0</v>
      </c>
      <c r="I322" s="6">
        <f>GETPIVOTDATA(" New-Medicine",'Pivot Table for 1-11'!$A$3,"State","AR","SREB Type2","Specialized")</f>
        <v>132</v>
      </c>
      <c r="J322" s="6">
        <f>GETPIVOTDATA(" New-Dentistry",'Pivot Table for 1-11'!$A$3,"State","AR","SREB Type2","Specialized")</f>
        <v>0</v>
      </c>
      <c r="K322" s="6">
        <f>GETPIVOTDATA(" New-Pharmacy",'Pivot Table for 1-11'!$A$3,"State","AR","SREB Type2","Specialized")</f>
        <v>113</v>
      </c>
      <c r="L322" s="6">
        <f>GETPIVOTDATA(" New-Optometry",'Pivot Table for 1-11'!$A$3,"State","AR","SREB Type2","Specialized")</f>
        <v>0</v>
      </c>
      <c r="M322" s="6">
        <f>GETPIVOTDATA(" New-Osteopathic Medicine",'Pivot Table for 1-11'!$A$3,"State","AR","SREB Type2","Specialized")</f>
        <v>0</v>
      </c>
      <c r="N322" s="80">
        <f>GETPIVOTDATA(" New-Veterinary Medicine",'Pivot Table for 1-11'!$A$3,"State","AR","SREB Type2","Specialized")</f>
        <v>0</v>
      </c>
      <c r="O322" s="97">
        <f>+GETPIVOTDATA(" New-Oth PP",'Pivot Table for 1-11'!$A$3,"State","AR","SREB Type2","Specialized")</f>
        <v>0</v>
      </c>
      <c r="P322" s="81">
        <f t="shared" si="12"/>
        <v>874</v>
      </c>
      <c r="Q322" s="171"/>
      <c r="AL322" s="109"/>
      <c r="AP322" s="109"/>
    </row>
    <row r="323" spans="1:42" ht="15" customHeight="1" x14ac:dyDescent="0.2">
      <c r="A323" s="5" t="s">
        <v>194</v>
      </c>
      <c r="B323" s="6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6">
        <f>GETPIVOTDATA(" New-Associate's",'Pivot Table for 1-11'!$A$3,"State","DE","SREB Type2","Specialized")</f>
        <v>0</v>
      </c>
      <c r="D323" s="6">
        <f>GETPIVOTDATA(" New-Bachelor's",'Pivot Table for 1-11'!$A$3,"State","DE","SREB Type2","Specialized")</f>
        <v>0</v>
      </c>
      <c r="E323" s="6">
        <f>GETPIVOTDATA(" New-Post-Bachelor's",'Pivot Table for 1-11'!$A$3,"State","DE","SREB Type2","Specialized")</f>
        <v>0</v>
      </c>
      <c r="F323" s="6">
        <f>GETPIVOTDATA(" New-Total Master's#",'Pivot Table for 1-11'!$A$3,"State","DE","SREB Type2","Specialized")</f>
        <v>0</v>
      </c>
      <c r="G323" s="6">
        <f>GETPIVOTDATA(" New-Total Doctorates#",'Pivot Table for 1-11'!$A$3,"State","DE","SREB Type2","Specialized")</f>
        <v>0</v>
      </c>
      <c r="H323" s="17">
        <f>GETPIVOTDATA(" New-Law",'Pivot Table for 1-11'!$A$3,"State","DE","SREB Type2","Specialized")</f>
        <v>0</v>
      </c>
      <c r="I323" s="6">
        <f>GETPIVOTDATA(" New-Medicine",'Pivot Table for 1-11'!$A$3,"State","DE","SREB Type2","Specialized")</f>
        <v>0</v>
      </c>
      <c r="J323" s="6">
        <f>GETPIVOTDATA(" New-Dentistry",'Pivot Table for 1-11'!$A$3,"State","DE","SREB Type2","Specialized")</f>
        <v>0</v>
      </c>
      <c r="K323" s="6">
        <f>GETPIVOTDATA(" New-Pharmacy",'Pivot Table for 1-11'!$A$3,"State","DE","SREB Type2","Specialized")</f>
        <v>0</v>
      </c>
      <c r="L323" s="6">
        <f>GETPIVOTDATA(" New-Optometry",'Pivot Table for 1-11'!$A$3,"State","DE","SREB Type2","Specialized")</f>
        <v>0</v>
      </c>
      <c r="M323" s="6">
        <f>GETPIVOTDATA(" New-Osteopathic Medicine",'Pivot Table for 1-11'!$A$3,"State","DE","SREB Type2","Specialized")</f>
        <v>0</v>
      </c>
      <c r="N323" s="80">
        <f>GETPIVOTDATA(" New-Veterinary Medicine",'Pivot Table for 1-11'!$A$3,"State","DE","SREB Type2","Specialized")</f>
        <v>0</v>
      </c>
      <c r="O323" s="97">
        <f>+GETPIVOTDATA(" New-Oth PP",'Pivot Table for 1-11'!$A$3,"State","DE","SREB Type2","Specialized")</f>
        <v>0</v>
      </c>
      <c r="P323" s="81">
        <f t="shared" si="12"/>
        <v>0</v>
      </c>
      <c r="Q323" s="171"/>
      <c r="AL323" s="109"/>
      <c r="AP323" s="109"/>
    </row>
    <row r="324" spans="1:42" ht="15" customHeight="1" x14ac:dyDescent="0.2">
      <c r="A324" s="5" t="s">
        <v>195</v>
      </c>
      <c r="B324" s="6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6">
        <f>GETPIVOTDATA(" New-Associate's",'Pivot Table for 1-11'!$A$3,"State","FL","SREB Type2","Specialized")</f>
        <v>0</v>
      </c>
      <c r="D324" s="6">
        <f>GETPIVOTDATA(" New-Bachelor's",'Pivot Table for 1-11'!$A$3,"State","FL","SREB Type2","Specialized")</f>
        <v>0</v>
      </c>
      <c r="E324" s="6">
        <f>GETPIVOTDATA(" New-Post-Bachelor's",'Pivot Table for 1-11'!$A$3,"State","FL","SREB Type2","Specialized")</f>
        <v>0</v>
      </c>
      <c r="F324" s="6">
        <f>GETPIVOTDATA(" New-Total Master's#",'Pivot Table for 1-11'!$A$3,"State","FL","SREB Type2","Specialized")</f>
        <v>0</v>
      </c>
      <c r="G324" s="6">
        <f>GETPIVOTDATA(" New-Total Doctorates#",'Pivot Table for 1-11'!$A$3,"State","FL","SREB Type2","Specialized")</f>
        <v>0</v>
      </c>
      <c r="H324" s="17">
        <f>GETPIVOTDATA(" New-Law",'Pivot Table for 1-11'!$A$3,"State","FL","SREB Type2","Specialized")</f>
        <v>0</v>
      </c>
      <c r="I324" s="6">
        <f>GETPIVOTDATA(" New-Medicine",'Pivot Table for 1-11'!$A$3,"State","FL","SREB Type2","Specialized")</f>
        <v>0</v>
      </c>
      <c r="J324" s="6">
        <f>GETPIVOTDATA(" New-Dentistry",'Pivot Table for 1-11'!$A$3,"State","FL","SREB Type2","Specialized")</f>
        <v>0</v>
      </c>
      <c r="K324" s="6">
        <f>GETPIVOTDATA(" New-Pharmacy",'Pivot Table for 1-11'!$A$3,"State","FL","SREB Type2","Specialized")</f>
        <v>0</v>
      </c>
      <c r="L324" s="6">
        <f>GETPIVOTDATA(" New-Optometry",'Pivot Table for 1-11'!$A$3,"State","FL","SREB Type2","Specialized")</f>
        <v>0</v>
      </c>
      <c r="M324" s="6">
        <f>GETPIVOTDATA(" New-Osteopathic Medicine",'Pivot Table for 1-11'!$A$3,"State","FL","SREB Type2","Specialized")</f>
        <v>0</v>
      </c>
      <c r="N324" s="80">
        <f>GETPIVOTDATA(" New-Veterinary Medicine",'Pivot Table for 1-11'!$A$3,"State","FL","SREB Type2","Specialized")</f>
        <v>0</v>
      </c>
      <c r="O324" s="97">
        <f>+GETPIVOTDATA(" New-Oth PP",'Pivot Table for 1-11'!$A$3,"State","FL","SREB Type2","Specialized")</f>
        <v>0</v>
      </c>
      <c r="P324" s="81">
        <f t="shared" si="12"/>
        <v>0</v>
      </c>
      <c r="Q324" s="171"/>
      <c r="AL324" s="109"/>
      <c r="AP324" s="109"/>
    </row>
    <row r="325" spans="1:42" ht="15" customHeight="1" x14ac:dyDescent="0.2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0"/>
      <c r="O325" s="97"/>
      <c r="P325" s="81"/>
      <c r="Q325" s="171"/>
      <c r="AL325" s="109"/>
      <c r="AP325" s="109"/>
    </row>
    <row r="326" spans="1:42" ht="15" customHeight="1" x14ac:dyDescent="0.2">
      <c r="A326" s="5" t="s">
        <v>196</v>
      </c>
      <c r="B326" s="6">
        <f>GETPIVOTDATA(" New-Less Than 2-Year",'Pivot Table for 1-11'!$A$3,"State","GA","SREB Type2","Specialized")+GETPIVOTDATA(" New-2 But Less Than 4-Year",'Pivot Table for 1-11'!$A$3,"State","GA","SREB Type2","Specialized")</f>
        <v>12</v>
      </c>
      <c r="C326" s="6">
        <f>GETPIVOTDATA(" New-Associate's",'Pivot Table for 1-11'!$A$3,"State","GA","SREB Type2","Specialized")</f>
        <v>6</v>
      </c>
      <c r="D326" s="6">
        <f>GETPIVOTDATA(" New-Bachelor's",'Pivot Table for 1-11'!$A$3,"State","GA","SREB Type2","Specialized")</f>
        <v>926</v>
      </c>
      <c r="E326" s="6">
        <f>GETPIVOTDATA(" New-Post-Bachelor's",'Pivot Table for 1-11'!$A$3,"State","GA","SREB Type2","Specialized")</f>
        <v>38</v>
      </c>
      <c r="F326" s="6">
        <f>GETPIVOTDATA(" New-Total Master's#",'Pivot Table for 1-11'!$A$3,"State","GA","SREB Type2","Specialized")</f>
        <v>504</v>
      </c>
      <c r="G326" s="6">
        <f>GETPIVOTDATA(" New-Total Doctorates#",'Pivot Table for 1-11'!$A$3,"State","GA","SREB Type2","Specialized")</f>
        <v>75</v>
      </c>
      <c r="H326" s="17">
        <f>GETPIVOTDATA(" New-Law",'Pivot Table for 1-11'!$A$3,"State","GA","SREB Type2","Specialized")</f>
        <v>0</v>
      </c>
      <c r="I326" s="6">
        <f>GETPIVOTDATA(" New-Medicine",'Pivot Table for 1-11'!$A$3,"State","GA","SREB Type2","Specialized")</f>
        <v>180</v>
      </c>
      <c r="J326" s="6">
        <f>GETPIVOTDATA(" New-Dentistry",'Pivot Table for 1-11'!$A$3,"State","GA","SREB Type2","Specialized")</f>
        <v>61</v>
      </c>
      <c r="K326" s="6">
        <f>GETPIVOTDATA(" New-Pharmacy",'Pivot Table for 1-11'!$A$3,"State","GA","SREB Type2","Specialized")</f>
        <v>0</v>
      </c>
      <c r="L326" s="6">
        <f>GETPIVOTDATA(" New-Optometry",'Pivot Table for 1-11'!$A$3,"State","GA","SREB Type2","Specialized")</f>
        <v>0</v>
      </c>
      <c r="M326" s="6">
        <f>GETPIVOTDATA(" New-Osteopathic Medicine",'Pivot Table for 1-11'!$A$3,"State","GA","SREB Type2","Specialized")</f>
        <v>0</v>
      </c>
      <c r="N326" s="80">
        <f>GETPIVOTDATA(" New-Veterinary Medicine",'Pivot Table for 1-11'!$A$3,"State","GA","SREB Type2","Specialized")</f>
        <v>0</v>
      </c>
      <c r="O326" s="97">
        <f>+GETPIVOTDATA(" New-Oth PP",'Pivot Table for 1-11'!$A$3,"State","GA","SREB Type2","Specialized")</f>
        <v>0</v>
      </c>
      <c r="P326" s="81">
        <f t="shared" si="12"/>
        <v>1802</v>
      </c>
      <c r="Q326" s="171"/>
      <c r="AL326" s="109"/>
      <c r="AP326" s="109"/>
    </row>
    <row r="327" spans="1:42" ht="15" customHeight="1" x14ac:dyDescent="0.2">
      <c r="A327" s="5" t="s">
        <v>197</v>
      </c>
      <c r="B327" s="6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6">
        <f>GETPIVOTDATA(" New-Associate's",'Pivot Table for 1-11'!$A$3,"State","KY","SREB Type2","Specialized")</f>
        <v>0</v>
      </c>
      <c r="D327" s="6">
        <f>GETPIVOTDATA(" New-Bachelor's",'Pivot Table for 1-11'!$A$3,"State","KY","SREB Type2","Specialized")</f>
        <v>0</v>
      </c>
      <c r="E327" s="6">
        <f>GETPIVOTDATA(" New-Post-Bachelor's",'Pivot Table for 1-11'!$A$3,"State","KY","SREB Type2","Specialized")</f>
        <v>0</v>
      </c>
      <c r="F327" s="6">
        <f>GETPIVOTDATA(" New-Total Master's#",'Pivot Table for 1-11'!$A$3,"State","KY","SREB Type2","Specialized")</f>
        <v>0</v>
      </c>
      <c r="G327" s="6">
        <f>GETPIVOTDATA(" New-Total Doctorates#",'Pivot Table for 1-11'!$A$3,"State","KY","SREB Type2","Specialized")</f>
        <v>0</v>
      </c>
      <c r="H327" s="17">
        <f>GETPIVOTDATA(" New-Law",'Pivot Table for 1-11'!$A$3,"State","KY","SREB Type2","Specialized")</f>
        <v>0</v>
      </c>
      <c r="I327" s="6">
        <f>GETPIVOTDATA(" New-Medicine",'Pivot Table for 1-11'!$A$3,"State","KY","SREB Type2","Specialized")</f>
        <v>0</v>
      </c>
      <c r="J327" s="6">
        <f>GETPIVOTDATA(" New-Dentistry",'Pivot Table for 1-11'!$A$3,"State","KY","SREB Type2","Specialized")</f>
        <v>0</v>
      </c>
      <c r="K327" s="6">
        <f>GETPIVOTDATA(" New-Pharmacy",'Pivot Table for 1-11'!$A$3,"State","KY","SREB Type2","Specialized")</f>
        <v>0</v>
      </c>
      <c r="L327" s="6">
        <f>GETPIVOTDATA(" New-Optometry",'Pivot Table for 1-11'!$A$3,"State","KY","SREB Type2","Specialized")</f>
        <v>0</v>
      </c>
      <c r="M327" s="6">
        <f>GETPIVOTDATA(" New-Osteopathic Medicine",'Pivot Table for 1-11'!$A$3,"State","KY","SREB Type2","Specialized")</f>
        <v>0</v>
      </c>
      <c r="N327" s="80">
        <f>GETPIVOTDATA(" New-Veterinary Medicine",'Pivot Table for 1-11'!$A$3,"State","KY","SREB Type2","Specialized")</f>
        <v>0</v>
      </c>
      <c r="O327" s="97">
        <f>+GETPIVOTDATA(" New-Oth PP",'Pivot Table for 1-11'!$A$3,"State","KY","SREB Type2","Specialized")</f>
        <v>0</v>
      </c>
      <c r="P327" s="81">
        <f t="shared" si="12"/>
        <v>0</v>
      </c>
      <c r="Q327" s="171"/>
      <c r="AL327" s="109"/>
      <c r="AP327" s="109"/>
    </row>
    <row r="328" spans="1:42" ht="15" customHeight="1" x14ac:dyDescent="0.2">
      <c r="A328" s="5" t="s">
        <v>198</v>
      </c>
      <c r="B328" s="6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6">
        <f>GETPIVOTDATA(" New-Associate's",'Pivot Table for 1-11'!$A$3,"State","LA","SREB Type2","Specialized")</f>
        <v>5</v>
      </c>
      <c r="D328" s="6">
        <f>GETPIVOTDATA(" New-Bachelor's",'Pivot Table for 1-11'!$A$3,"State","LA","SREB Type2","Specialized")</f>
        <v>384</v>
      </c>
      <c r="E328" s="6">
        <f>GETPIVOTDATA(" New-Post-Bachelor's",'Pivot Table for 1-11'!$A$3,"State","LA","SREB Type2","Specialized")</f>
        <v>0</v>
      </c>
      <c r="F328" s="6">
        <f>GETPIVOTDATA(" New-Total Master's#",'Pivot Table for 1-11'!$A$3,"State","LA","SREB Type2","Specialized")</f>
        <v>246</v>
      </c>
      <c r="G328" s="6">
        <f>GETPIVOTDATA(" New-Total Doctorates#",'Pivot Table for 1-11'!$A$3,"State","LA","SREB Type2","Specialized")</f>
        <v>33</v>
      </c>
      <c r="H328" s="17">
        <f>GETPIVOTDATA(" New-Law",'Pivot Table for 1-11'!$A$3,"State","LA","SREB Type2","Specialized")</f>
        <v>0</v>
      </c>
      <c r="I328" s="6">
        <f>GETPIVOTDATA(" New-Medicine",'Pivot Table for 1-11'!$A$3,"State","LA","SREB Type2","Specialized")</f>
        <v>283</v>
      </c>
      <c r="J328" s="6">
        <f>GETPIVOTDATA(" New-Dentistry",'Pivot Table for 1-11'!$A$3,"State","LA","SREB Type2","Specialized")</f>
        <v>58</v>
      </c>
      <c r="K328" s="6">
        <f>GETPIVOTDATA(" New-Pharmacy",'Pivot Table for 1-11'!$A$3,"State","LA","SREB Type2","Specialized")</f>
        <v>0</v>
      </c>
      <c r="L328" s="6">
        <f>GETPIVOTDATA(" New-Optometry",'Pivot Table for 1-11'!$A$3,"State","LA","SREB Type2","Specialized")</f>
        <v>0</v>
      </c>
      <c r="M328" s="6">
        <f>GETPIVOTDATA(" New-Osteopathic Medicine",'Pivot Table for 1-11'!$A$3,"State","LA","SREB Type2","Specialized")</f>
        <v>0</v>
      </c>
      <c r="N328" s="80">
        <f>GETPIVOTDATA(" New-Veterinary Medicine",'Pivot Table for 1-11'!$A$3,"State","LA","SREB Type2","Specialized")</f>
        <v>0</v>
      </c>
      <c r="O328" s="97">
        <f>+GETPIVOTDATA(" New-Oth PP",'Pivot Table for 1-11'!$A$3,"State","LA","SREB Type2","Specialized")</f>
        <v>0</v>
      </c>
      <c r="P328" s="81">
        <f t="shared" si="12"/>
        <v>1009</v>
      </c>
      <c r="Q328" s="171"/>
      <c r="AL328" s="109"/>
      <c r="AP328" s="109"/>
    </row>
    <row r="329" spans="1:42" ht="15" customHeight="1" x14ac:dyDescent="0.2">
      <c r="A329" s="5" t="s">
        <v>199</v>
      </c>
      <c r="B329" s="6">
        <f>GETPIVOTDATA(" New-Less Than 2-Year",'Pivot Table for 1-11'!$A$3,"State","MD","SREB Type2","Specialized")+GETPIVOTDATA(" New-2 But Less Than 4-Year",'Pivot Table for 1-11'!$A$3,"State","MD","SREB Type2","Specialized")</f>
        <v>659</v>
      </c>
      <c r="C329" s="6">
        <f>GETPIVOTDATA(" New-Associate's",'Pivot Table for 1-11'!$A$3,"State","MD","SREB Type2","Specialized")</f>
        <v>398</v>
      </c>
      <c r="D329" s="6">
        <f>GETPIVOTDATA(" New-Bachelor's",'Pivot Table for 1-11'!$A$3,"State","MD","SREB Type2","Specialized")</f>
        <v>4222</v>
      </c>
      <c r="E329" s="6">
        <f>GETPIVOTDATA(" New-Post-Bachelor's",'Pivot Table for 1-11'!$A$3,"State","MD","SREB Type2","Specialized")</f>
        <v>695</v>
      </c>
      <c r="F329" s="6">
        <f>GETPIVOTDATA(" New-Total Master's#",'Pivot Table for 1-11'!$A$3,"State","MD","SREB Type2","Specialized")</f>
        <v>4141</v>
      </c>
      <c r="G329" s="6">
        <f>GETPIVOTDATA(" New-Total Doctorates#",'Pivot Table for 1-11'!$A$3,"State","MD","SREB Type2","Specialized")</f>
        <v>75</v>
      </c>
      <c r="H329" s="17">
        <f>GETPIVOTDATA(" New-Law",'Pivot Table for 1-11'!$A$3,"State","MD","SREB Type2","Specialized")</f>
        <v>321</v>
      </c>
      <c r="I329" s="6">
        <f>GETPIVOTDATA(" New-Medicine",'Pivot Table for 1-11'!$A$3,"State","MD","SREB Type2","Specialized")</f>
        <v>153</v>
      </c>
      <c r="J329" s="6">
        <f>GETPIVOTDATA(" New-Dentistry",'Pivot Table for 1-11'!$A$3,"State","MD","SREB Type2","Specialized")</f>
        <v>123</v>
      </c>
      <c r="K329" s="6">
        <f>GETPIVOTDATA(" New-Pharmacy",'Pivot Table for 1-11'!$A$3,"State","MD","SREB Type2","Specialized")</f>
        <v>156</v>
      </c>
      <c r="L329" s="6">
        <f>GETPIVOTDATA(" New-Optometry",'Pivot Table for 1-11'!$A$3,"State","MD","SREB Type2","Specialized")</f>
        <v>0</v>
      </c>
      <c r="M329" s="6">
        <f>GETPIVOTDATA(" New-Osteopathic Medicine",'Pivot Table for 1-11'!$A$3,"State","MD","SREB Type2","Specialized")</f>
        <v>0</v>
      </c>
      <c r="N329" s="80">
        <f>GETPIVOTDATA(" New-Veterinary Medicine",'Pivot Table for 1-11'!$A$3,"State","MD","SREB Type2","Specialized")</f>
        <v>0</v>
      </c>
      <c r="O329" s="97">
        <f>+GETPIVOTDATA(" New-Oth PP",'Pivot Table for 1-11'!$A$3,"State","MD","SREB Type2","Specialized")</f>
        <v>119</v>
      </c>
      <c r="P329" s="81">
        <f t="shared" si="12"/>
        <v>11062</v>
      </c>
      <c r="Q329" s="171"/>
      <c r="AL329" s="109"/>
      <c r="AP329" s="109"/>
    </row>
    <row r="330" spans="1:42" ht="10.5" customHeight="1" x14ac:dyDescent="0.2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0"/>
      <c r="O330" s="97"/>
      <c r="P330" s="81">
        <f t="shared" si="12"/>
        <v>0</v>
      </c>
      <c r="Q330" s="171"/>
      <c r="AL330" s="109"/>
      <c r="AP330" s="109"/>
    </row>
    <row r="331" spans="1:42" ht="15" customHeight="1" x14ac:dyDescent="0.2">
      <c r="A331" s="5" t="s">
        <v>200</v>
      </c>
      <c r="B331" s="6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6">
        <f>GETPIVOTDATA(" New-Associate's",'Pivot Table for 1-11'!$A$3,"State","MS","SREB Type2","Specialized")</f>
        <v>0</v>
      </c>
      <c r="D331" s="6">
        <f>GETPIVOTDATA(" New-Bachelor's",'Pivot Table for 1-11'!$A$3,"State","MS","SREB Type2","Specialized")</f>
        <v>249</v>
      </c>
      <c r="E331" s="6">
        <f>GETPIVOTDATA(" New-Post-Bachelor's",'Pivot Table for 1-11'!$A$3,"State","MS","SREB Type2","Specialized")</f>
        <v>0</v>
      </c>
      <c r="F331" s="6">
        <f>GETPIVOTDATA(" New-Total Master's#",'Pivot Table for 1-11'!$A$3,"State","MS","SREB Type2","Specialized")</f>
        <v>132</v>
      </c>
      <c r="G331" s="6">
        <f>GETPIVOTDATA(" New-Total Doctorates#",'Pivot Table for 1-11'!$A$3,"State","MS","SREB Type2","Specialized")</f>
        <v>80</v>
      </c>
      <c r="H331" s="17">
        <f>GETPIVOTDATA(" New-Law",'Pivot Table for 1-11'!$A$3,"State","MS","SREB Type2","Specialized")</f>
        <v>0</v>
      </c>
      <c r="I331" s="6">
        <f>GETPIVOTDATA(" New-Medicine",'Pivot Table for 1-11'!$A$3,"State","MS","SREB Type2","Specialized")</f>
        <v>106</v>
      </c>
      <c r="J331" s="6">
        <f>GETPIVOTDATA(" New-Dentistry",'Pivot Table for 1-11'!$A$3,"State","MS","SREB Type2","Specialized")</f>
        <v>36</v>
      </c>
      <c r="K331" s="6">
        <f>GETPIVOTDATA(" New-Pharmacy",'Pivot Table for 1-11'!$A$3,"State","MS","SREB Type2","Specialized")</f>
        <v>0</v>
      </c>
      <c r="L331" s="6">
        <f>GETPIVOTDATA(" New-Optometry",'Pivot Table for 1-11'!$A$3,"State","MS","SREB Type2","Specialized")</f>
        <v>0</v>
      </c>
      <c r="M331" s="6">
        <f>GETPIVOTDATA(" New-Osteopathic Medicine",'Pivot Table for 1-11'!$A$3,"State","MS","SREB Type2","Specialized")</f>
        <v>0</v>
      </c>
      <c r="N331" s="80">
        <f>GETPIVOTDATA(" New-Veterinary Medicine",'Pivot Table for 1-11'!$A$3,"State","MS","SREB Type2","Specialized")</f>
        <v>0</v>
      </c>
      <c r="O331" s="97">
        <f>+GETPIVOTDATA(" New-Oth PP",'Pivot Table for 1-11'!$A$3,"State","MS","SREB Type2","Specialized")</f>
        <v>0</v>
      </c>
      <c r="P331" s="81">
        <f t="shared" si="12"/>
        <v>603</v>
      </c>
      <c r="Q331" s="171"/>
      <c r="AL331" s="109"/>
      <c r="AP331" s="109"/>
    </row>
    <row r="332" spans="1:42" ht="15" customHeight="1" x14ac:dyDescent="0.2">
      <c r="A332" s="5" t="s">
        <v>201</v>
      </c>
      <c r="B332" s="6">
        <f>GETPIVOTDATA(" New-Less Than 2-Year",'Pivot Table for 1-11'!$A$3,"State","NC","SREB Type2","Specialized")+GETPIVOTDATA(" New-2 But Less Than 4-Year",'Pivot Table for 1-11'!$A$3,"State","NC","SREB Type2","Specialized")</f>
        <v>7</v>
      </c>
      <c r="C332" s="6">
        <f>GETPIVOTDATA(" New-Associate's",'Pivot Table for 1-11'!$A$3,"State","NC","SREB Type2","Specialized")</f>
        <v>0</v>
      </c>
      <c r="D332" s="6">
        <f>GETPIVOTDATA(" New-Bachelor's",'Pivot Table for 1-11'!$A$3,"State","NC","SREB Type2","Specialized")</f>
        <v>145</v>
      </c>
      <c r="E332" s="6">
        <f>GETPIVOTDATA(" New-Post-Bachelor's",'Pivot Table for 1-11'!$A$3,"State","NC","SREB Type2","Specialized")</f>
        <v>0</v>
      </c>
      <c r="F332" s="6">
        <f>GETPIVOTDATA(" New-Total Master's#",'Pivot Table for 1-11'!$A$3,"State","NC","SREB Type2","Specialized")</f>
        <v>43</v>
      </c>
      <c r="G332" s="6">
        <f>GETPIVOTDATA(" New-Total Doctorates#",'Pivot Table for 1-11'!$A$3,"State","NC","SREB Type2","Specialized")</f>
        <v>0</v>
      </c>
      <c r="H332" s="17">
        <f>GETPIVOTDATA(" New-Law",'Pivot Table for 1-11'!$A$3,"State","NC","SREB Type2","Specialized")</f>
        <v>0</v>
      </c>
      <c r="I332" s="6">
        <f>GETPIVOTDATA(" New-Medicine",'Pivot Table for 1-11'!$A$3,"State","NC","SREB Type2","Specialized")</f>
        <v>0</v>
      </c>
      <c r="J332" s="6">
        <f>GETPIVOTDATA(" New-Dentistry",'Pivot Table for 1-11'!$A$3,"State","NC","SREB Type2","Specialized")</f>
        <v>0</v>
      </c>
      <c r="K332" s="6">
        <f>GETPIVOTDATA(" New-Pharmacy",'Pivot Table for 1-11'!$A$3,"State","NC","SREB Type2","Specialized")</f>
        <v>0</v>
      </c>
      <c r="L332" s="6">
        <f>GETPIVOTDATA(" New-Optometry",'Pivot Table for 1-11'!$A$3,"State","NC","SREB Type2","Specialized")</f>
        <v>0</v>
      </c>
      <c r="M332" s="6">
        <f>GETPIVOTDATA(" New-Osteopathic Medicine",'Pivot Table for 1-11'!$A$3,"State","NC","SREB Type2","Specialized")</f>
        <v>0</v>
      </c>
      <c r="N332" s="80">
        <f>GETPIVOTDATA(" New-Veterinary Medicine",'Pivot Table for 1-11'!$A$3,"State","NC","SREB Type2","Specialized")</f>
        <v>0</v>
      </c>
      <c r="O332" s="97">
        <f>+GETPIVOTDATA(" New-Oth PP",'Pivot Table for 1-11'!$A$3,"State","NC","SREB Type2","Specialized")</f>
        <v>0</v>
      </c>
      <c r="P332" s="81">
        <f t="shared" si="12"/>
        <v>195</v>
      </c>
      <c r="Q332" s="171"/>
      <c r="AL332" s="109"/>
      <c r="AP332" s="109"/>
    </row>
    <row r="333" spans="1:42" ht="15" customHeight="1" x14ac:dyDescent="0.2">
      <c r="A333" s="5" t="s">
        <v>202</v>
      </c>
      <c r="B333" s="6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6">
        <f>GETPIVOTDATA(" New-Associate's",'Pivot Table for 1-11'!$A$3,"State","OK","SREB Type2","Specialized")</f>
        <v>0</v>
      </c>
      <c r="D333" s="6">
        <f>GETPIVOTDATA(" New-Bachelor's",'Pivot Table for 1-11'!$A$3,"State","OK","SREB Type2","Specialized")</f>
        <v>0</v>
      </c>
      <c r="E333" s="6">
        <f>GETPIVOTDATA(" New-Post-Bachelor's",'Pivot Table for 1-11'!$A$3,"State","OK","SREB Type2","Specialized")</f>
        <v>0</v>
      </c>
      <c r="F333" s="6">
        <f>GETPIVOTDATA(" New-Total Master's#",'Pivot Table for 1-11'!$A$3,"State","OK","SREB Type2","Specialized")</f>
        <v>0</v>
      </c>
      <c r="G333" s="6">
        <f>GETPIVOTDATA(" New-Total Doctorates#",'Pivot Table for 1-11'!$A$3,"State","OK","SREB Type2","Specialized")</f>
        <v>0</v>
      </c>
      <c r="H333" s="17">
        <f>GETPIVOTDATA(" New-Law",'Pivot Table for 1-11'!$A$3,"State","OK","SREB Type2","Specialized")</f>
        <v>0</v>
      </c>
      <c r="I333" s="6">
        <f>GETPIVOTDATA(" New-Medicine",'Pivot Table for 1-11'!$A$3,"State","OK","SREB Type2","Specialized")</f>
        <v>0</v>
      </c>
      <c r="J333" s="6">
        <f>GETPIVOTDATA(" New-Dentistry",'Pivot Table for 1-11'!$A$3,"State","OK","SREB Type2","Specialized")</f>
        <v>0</v>
      </c>
      <c r="K333" s="6">
        <f>GETPIVOTDATA(" New-Pharmacy",'Pivot Table for 1-11'!$A$3,"State","OK","SREB Type2","Specialized")</f>
        <v>0</v>
      </c>
      <c r="L333" s="6">
        <f>GETPIVOTDATA(" New-Optometry",'Pivot Table for 1-11'!$A$3,"State","OK","SREB Type2","Specialized")</f>
        <v>0</v>
      </c>
      <c r="M333" s="6">
        <f>GETPIVOTDATA(" New-Osteopathic Medicine",'Pivot Table for 1-11'!$A$3,"State","OK","SREB Type2","Specialized")</f>
        <v>0</v>
      </c>
      <c r="N333" s="80">
        <f>GETPIVOTDATA(" New-Veterinary Medicine",'Pivot Table for 1-11'!$A$3,"State","OK","SREB Type2","Specialized")</f>
        <v>0</v>
      </c>
      <c r="O333" s="97">
        <f>+GETPIVOTDATA(" New-Oth PP",'Pivot Table for 1-11'!$A$3,"State","OK","SREB Type2","Specialized")</f>
        <v>0</v>
      </c>
      <c r="P333" s="81">
        <f t="shared" si="12"/>
        <v>0</v>
      </c>
      <c r="Q333" s="171"/>
      <c r="AL333" s="109"/>
      <c r="AP333" s="109"/>
    </row>
    <row r="334" spans="1:42" ht="15" customHeight="1" x14ac:dyDescent="0.2">
      <c r="A334" s="5" t="s">
        <v>203</v>
      </c>
      <c r="B334" s="6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6">
        <f>GETPIVOTDATA(" New-Associate's",'Pivot Table for 1-11'!$A$3,"State","SC","SREB Type2","Specialized")</f>
        <v>0</v>
      </c>
      <c r="D334" s="6">
        <f>GETPIVOTDATA(" New-Bachelor's",'Pivot Table for 1-11'!$A$3,"State","SC","SREB Type2","Specialized")</f>
        <v>124</v>
      </c>
      <c r="E334" s="6">
        <f>GETPIVOTDATA(" New-Post-Bachelor's",'Pivot Table for 1-11'!$A$3,"State","SC","SREB Type2","Specialized")</f>
        <v>4</v>
      </c>
      <c r="F334" s="6">
        <f>GETPIVOTDATA(" New-Total Master's#",'Pivot Table for 1-11'!$A$3,"State","SC","SREB Type2","Specialized")</f>
        <v>256</v>
      </c>
      <c r="G334" s="6">
        <f>GETPIVOTDATA(" New-Total Doctorates#",'Pivot Table for 1-11'!$A$3,"State","SC","SREB Type2","Specialized")</f>
        <v>130</v>
      </c>
      <c r="H334" s="17">
        <f>GETPIVOTDATA(" New-Law",'Pivot Table for 1-11'!$A$3,"State","SC","SREB Type2","Specialized")</f>
        <v>0</v>
      </c>
      <c r="I334" s="6">
        <f>GETPIVOTDATA(" New-Medicine",'Pivot Table for 1-11'!$A$3,"State","SC","SREB Type2","Specialized")</f>
        <v>142</v>
      </c>
      <c r="J334" s="6">
        <f>GETPIVOTDATA(" New-Dentistry",'Pivot Table for 1-11'!$A$3,"State","SC","SREB Type2","Specialized")</f>
        <v>57</v>
      </c>
      <c r="K334" s="6">
        <f>GETPIVOTDATA(" New-Pharmacy",'Pivot Table for 1-11'!$A$3,"State","SC","SREB Type2","Specialized")</f>
        <v>80</v>
      </c>
      <c r="L334" s="6">
        <f>GETPIVOTDATA(" New-Optometry",'Pivot Table for 1-11'!$A$3,"State","SC","SREB Type2","Specialized")</f>
        <v>0</v>
      </c>
      <c r="M334" s="6">
        <f>GETPIVOTDATA(" New-Osteopathic Medicine",'Pivot Table for 1-11'!$A$3,"State","SC","SREB Type2","Specialized")</f>
        <v>0</v>
      </c>
      <c r="N334" s="80">
        <f>GETPIVOTDATA(" New-Veterinary Medicine",'Pivot Table for 1-11'!$A$3,"State","SC","SREB Type2","Specialized")</f>
        <v>0</v>
      </c>
      <c r="O334" s="97">
        <f>+GETPIVOTDATA(" New-Oth PP",'Pivot Table for 1-11'!$A$3,"State","SC","SREB Type2","Specialized")</f>
        <v>0</v>
      </c>
      <c r="P334" s="81">
        <f t="shared" si="12"/>
        <v>793</v>
      </c>
      <c r="Q334" s="171"/>
      <c r="AL334" s="109"/>
      <c r="AP334" s="109"/>
    </row>
    <row r="335" spans="1:42" ht="10.5" customHeight="1" x14ac:dyDescent="0.2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0"/>
      <c r="O335" s="97"/>
      <c r="P335" s="81"/>
      <c r="Q335" s="171"/>
      <c r="AL335" s="109"/>
      <c r="AP335" s="109"/>
    </row>
    <row r="336" spans="1:42" ht="15" customHeight="1" x14ac:dyDescent="0.2">
      <c r="A336" s="5" t="s">
        <v>204</v>
      </c>
      <c r="B336" s="6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6">
        <f>GETPIVOTDATA(" New-Associate's",'Pivot Table for 1-11'!$A$3,"State","TN","SREB Type2","Specialized")</f>
        <v>0</v>
      </c>
      <c r="D336" s="6">
        <f>GETPIVOTDATA(" New-Bachelor's",'Pivot Table for 1-11'!$A$3,"State","TN","SREB Type2","Specialized")</f>
        <v>39</v>
      </c>
      <c r="E336" s="6">
        <f>GETPIVOTDATA(" New-Post-Bachelor's",'Pivot Table for 1-11'!$A$3,"State","TN","SREB Type2","Specialized")</f>
        <v>0</v>
      </c>
      <c r="F336" s="6">
        <f>GETPIVOTDATA(" New-Total Master's#",'Pivot Table for 1-11'!$A$3,"State","TN","SREB Type2","Specialized")</f>
        <v>190</v>
      </c>
      <c r="G336" s="6">
        <f>GETPIVOTDATA(" New-Total Doctorates#",'Pivot Table for 1-11'!$A$3,"State","TN","SREB Type2","Specialized")</f>
        <v>142</v>
      </c>
      <c r="H336" s="17">
        <f>GETPIVOTDATA(" New-Law",'Pivot Table for 1-11'!$A$3,"State","TN","SREB Type2","Specialized")</f>
        <v>0</v>
      </c>
      <c r="I336" s="6">
        <f>GETPIVOTDATA(" New-Medicine",'Pivot Table for 1-11'!$A$3,"State","TN","SREB Type2","Specialized")</f>
        <v>149</v>
      </c>
      <c r="J336" s="6">
        <f>GETPIVOTDATA(" New-Dentistry",'Pivot Table for 1-11'!$A$3,"State","TN","SREB Type2","Specialized")</f>
        <v>76</v>
      </c>
      <c r="K336" s="6">
        <f>GETPIVOTDATA(" New-Pharmacy",'Pivot Table for 1-11'!$A$3,"State","TN","SREB Type2","Specialized")</f>
        <v>172</v>
      </c>
      <c r="L336" s="6">
        <f>GETPIVOTDATA(" New-Optometry",'Pivot Table for 1-11'!$A$3,"State","TN","SREB Type2","Specialized")</f>
        <v>0</v>
      </c>
      <c r="M336" s="6">
        <f>GETPIVOTDATA(" New-Osteopathic Medicine",'Pivot Table for 1-11'!$A$3,"State","TN","SREB Type2","Specialized")</f>
        <v>0</v>
      </c>
      <c r="N336" s="80">
        <f>GETPIVOTDATA(" New-Veterinary Medicine",'Pivot Table for 1-11'!$A$3,"State","TN","SREB Type2","Specialized")</f>
        <v>0</v>
      </c>
      <c r="O336" s="97">
        <f>+GETPIVOTDATA(" New-Oth PP",'Pivot Table for 1-11'!$A$3,"State","TN","SREB Type2","Specialized")</f>
        <v>0</v>
      </c>
      <c r="P336" s="81">
        <f t="shared" si="12"/>
        <v>768</v>
      </c>
      <c r="Q336" s="171"/>
      <c r="AL336" s="109"/>
      <c r="AP336" s="109"/>
    </row>
    <row r="337" spans="1:42" ht="15" customHeight="1" x14ac:dyDescent="0.2">
      <c r="A337" s="5" t="s">
        <v>205</v>
      </c>
      <c r="B337" s="6">
        <f>GETPIVOTDATA(" New-Less Than 2-Year",'Pivot Table for 1-11'!$A$3,"State","TX","SREB Type2","Specialized")+GETPIVOTDATA(" New-2 But Less Than 4-Year",'Pivot Table for 1-11'!$A$3,"State","TX","SREB Type2","Specialized")</f>
        <v>0</v>
      </c>
      <c r="C337" s="6">
        <f>GETPIVOTDATA(" New-Associate's",'Pivot Table for 1-11'!$A$3,"State","TX","SREB Type2","Specialized")</f>
        <v>133</v>
      </c>
      <c r="D337" s="6">
        <f>GETPIVOTDATA(" New-Bachelor's",'Pivot Table for 1-11'!$A$3,"State","TX","SREB Type2","Specialized")</f>
        <v>2344</v>
      </c>
      <c r="E337" s="6">
        <f>GETPIVOTDATA(" New-Post-Bachelor's",'Pivot Table for 1-11'!$A$3,"State","TX","SREB Type2","Specialized")</f>
        <v>0</v>
      </c>
      <c r="F337" s="6">
        <f>GETPIVOTDATA(" New-Total Master's#",'Pivot Table for 1-11'!$A$3,"State","TX","SREB Type2","Specialized")</f>
        <v>2267</v>
      </c>
      <c r="G337" s="6">
        <f>GETPIVOTDATA(" New-Total Doctorates#",'Pivot Table for 1-11'!$A$3,"State","TX","SREB Type2","Specialized")</f>
        <v>432</v>
      </c>
      <c r="H337" s="17">
        <f>GETPIVOTDATA(" New-Law",'Pivot Table for 1-11'!$A$3,"State","TX","SREB Type2","Specialized")</f>
        <v>0</v>
      </c>
      <c r="I337" s="6">
        <f>GETPIVOTDATA(" New-Medicine",'Pivot Table for 1-11'!$A$3,"State","TX","SREB Type2","Specialized")</f>
        <v>1132</v>
      </c>
      <c r="J337" s="6">
        <f>GETPIVOTDATA(" New-Dentistry",'Pivot Table for 1-11'!$A$3,"State","TX","SREB Type2","Specialized")</f>
        <v>268</v>
      </c>
      <c r="K337" s="6">
        <f>GETPIVOTDATA(" New-Pharmacy",'Pivot Table for 1-11'!$A$3,"State","TX","SREB Type2","Specialized")</f>
        <v>218</v>
      </c>
      <c r="L337" s="6">
        <f>GETPIVOTDATA(" New-Optometry",'Pivot Table for 1-11'!$A$3,"State","TX","SREB Type2","Specialized")</f>
        <v>0</v>
      </c>
      <c r="M337" s="6">
        <f>GETPIVOTDATA(" New-Osteopathic Medicine",'Pivot Table for 1-11'!$A$3,"State","TX","SREB Type2","Specialized")</f>
        <v>166</v>
      </c>
      <c r="N337" s="80">
        <f>GETPIVOTDATA(" New-Veterinary Medicine",'Pivot Table for 1-11'!$A$3,"State","TX","SREB Type2","Specialized")</f>
        <v>0</v>
      </c>
      <c r="O337" s="97">
        <f>+GETPIVOTDATA(" New-Oth PP",'Pivot Table for 1-11'!$A$3,"State","TX","SREB Type2","Specialized")</f>
        <v>227</v>
      </c>
      <c r="P337" s="81">
        <f t="shared" si="12"/>
        <v>7187</v>
      </c>
      <c r="Q337" s="171"/>
      <c r="AL337" s="109"/>
      <c r="AP337" s="109"/>
    </row>
    <row r="338" spans="1:42" ht="15" customHeight="1" x14ac:dyDescent="0.2">
      <c r="A338" s="5" t="s">
        <v>206</v>
      </c>
      <c r="B338" s="6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6">
        <f>GETPIVOTDATA(" New-Associate's",'Pivot Table for 1-11'!$A$3,"State","VA","SREB Type2","Specialized")</f>
        <v>0</v>
      </c>
      <c r="D338" s="6">
        <f>GETPIVOTDATA(" New-Bachelor's",'Pivot Table for 1-11'!$A$3,"State","VA","SREB Type2","Specialized")</f>
        <v>305</v>
      </c>
      <c r="E338" s="6">
        <f>GETPIVOTDATA(" New-Post-Bachelor's",'Pivot Table for 1-11'!$A$3,"State","VA","SREB Type2","Specialized")</f>
        <v>0</v>
      </c>
      <c r="F338" s="6">
        <f>GETPIVOTDATA(" New-Total Master's#",'Pivot Table for 1-11'!$A$3,"State","VA","SREB Type2","Specialized")</f>
        <v>0</v>
      </c>
      <c r="G338" s="6">
        <f>GETPIVOTDATA(" New-Total Doctorates#",'Pivot Table for 1-11'!$A$3,"State","VA","SREB Type2","Specialized")</f>
        <v>0</v>
      </c>
      <c r="H338" s="17">
        <f>GETPIVOTDATA(" New-Law",'Pivot Table for 1-11'!$A$3,"State","VA","SREB Type2","Specialized")</f>
        <v>0</v>
      </c>
      <c r="I338" s="6">
        <f>GETPIVOTDATA(" New-Medicine",'Pivot Table for 1-11'!$A$3,"State","VA","SREB Type2","Specialized")</f>
        <v>0</v>
      </c>
      <c r="J338" s="6">
        <f>GETPIVOTDATA(" New-Dentistry",'Pivot Table for 1-11'!$A$3,"State","VA","SREB Type2","Specialized")</f>
        <v>0</v>
      </c>
      <c r="K338" s="6">
        <f>GETPIVOTDATA(" New-Pharmacy",'Pivot Table for 1-11'!$A$3,"State","VA","SREB Type2","Specialized")</f>
        <v>0</v>
      </c>
      <c r="L338" s="6">
        <f>GETPIVOTDATA(" New-Optometry",'Pivot Table for 1-11'!$A$3,"State","VA","SREB Type2","Specialized")</f>
        <v>0</v>
      </c>
      <c r="M338" s="6">
        <f>GETPIVOTDATA(" New-Osteopathic Medicine",'Pivot Table for 1-11'!$A$3,"State","VA","SREB Type2","Specialized")</f>
        <v>0</v>
      </c>
      <c r="N338" s="80">
        <f>GETPIVOTDATA(" New-Veterinary Medicine",'Pivot Table for 1-11'!$A$3,"State","VA","SREB Type2","Specialized")</f>
        <v>0</v>
      </c>
      <c r="O338" s="97">
        <f>+GETPIVOTDATA(" New-Oth PP",'Pivot Table for 1-11'!$A$3,"State","VA","SREB Type2","Specialized")</f>
        <v>0</v>
      </c>
      <c r="P338" s="81">
        <f t="shared" si="12"/>
        <v>305</v>
      </c>
      <c r="Q338" s="171"/>
      <c r="AL338" s="109"/>
      <c r="AP338" s="109"/>
    </row>
    <row r="339" spans="1:42" ht="15" customHeight="1" x14ac:dyDescent="0.2">
      <c r="A339" s="7" t="s">
        <v>207</v>
      </c>
      <c r="B339" s="8">
        <f>GETPIVOTDATA(" New-Less Than 2-Year",'Pivot Table for 1-11'!$A$3,"State","WV","SREB Type2","Specialized")+GETPIVOTDATA(" New-2 But Less Than 4-Year",'Pivot Table for 1-11'!$A$3,"State","WV","SREB Type2","Specialized")</f>
        <v>45</v>
      </c>
      <c r="C339" s="8">
        <f>GETPIVOTDATA(" New-Associate's",'Pivot Table for 1-11'!$A$3,"State","WV","SREB Type2","Specialized")</f>
        <v>0</v>
      </c>
      <c r="D339" s="8">
        <f>GETPIVOTDATA(" New-Bachelor's",'Pivot Table for 1-11'!$A$3,"State","WV","SREB Type2","Specialized")</f>
        <v>0</v>
      </c>
      <c r="E339" s="8">
        <f>GETPIVOTDATA(" New-Post-Bachelor's",'Pivot Table for 1-11'!$A$3,"State","WV","SREB Type2","Specialized")</f>
        <v>0</v>
      </c>
      <c r="F339" s="8">
        <f>GETPIVOTDATA(" New-Total Master's#",'Pivot Table for 1-11'!$A$3,"State","WV","SREB Type2","Specialized")</f>
        <v>0</v>
      </c>
      <c r="G339" s="8">
        <f>GETPIVOTDATA(" New-Total Doctorates#",'Pivot Table for 1-11'!$A$3,"State","WV","SREB Type2","Specialized")</f>
        <v>0</v>
      </c>
      <c r="H339" s="18">
        <f>GETPIVOTDATA(" New-Law",'Pivot Table for 1-11'!$A$3,"State","WV","SREB Type2","Specialized")</f>
        <v>0</v>
      </c>
      <c r="I339" s="8">
        <f>GETPIVOTDATA(" New-Medicine",'Pivot Table for 1-11'!$A$3,"State","WV","SREB Type2","Specialized")</f>
        <v>0</v>
      </c>
      <c r="J339" s="8">
        <f>GETPIVOTDATA(" New-Dentistry",'Pivot Table for 1-11'!$A$3,"State","WV","SREB Type2","Specialized")</f>
        <v>0</v>
      </c>
      <c r="K339" s="8">
        <f>GETPIVOTDATA(" New-Pharmacy",'Pivot Table for 1-11'!$A$3,"State","WV","SREB Type2","Specialized")</f>
        <v>0</v>
      </c>
      <c r="L339" s="8">
        <f>GETPIVOTDATA(" New-Optometry",'Pivot Table for 1-11'!$A$3,"State","WV","SREB Type2","Specialized")</f>
        <v>0</v>
      </c>
      <c r="M339" s="8">
        <f>GETPIVOTDATA(" New-Osteopathic Medicine",'Pivot Table for 1-11'!$A$3,"State","WV","SREB Type2","Specialized")</f>
        <v>157</v>
      </c>
      <c r="N339" s="88">
        <f>GETPIVOTDATA(" New-Veterinary Medicine",'Pivot Table for 1-11'!$A$3,"State","WV","SREB Type2","Specialized")</f>
        <v>0</v>
      </c>
      <c r="O339" s="98">
        <f>+GETPIVOTDATA(" New-Oth PP",'Pivot Table for 1-11'!$A$3,"State","WV","SREB Type2","Specialized")</f>
        <v>0</v>
      </c>
      <c r="P339" s="82">
        <f t="shared" si="12"/>
        <v>202</v>
      </c>
      <c r="Q339" s="171"/>
      <c r="AL339" s="109"/>
      <c r="AP339" s="109"/>
    </row>
    <row r="340" spans="1:42" s="43" customFormat="1" ht="24" customHeight="1" x14ac:dyDescent="0.2">
      <c r="A340" s="856" t="s">
        <v>409</v>
      </c>
      <c r="B340" s="857"/>
      <c r="C340" s="857"/>
      <c r="D340" s="857"/>
      <c r="E340" s="857"/>
      <c r="F340" s="857"/>
      <c r="G340" s="857"/>
      <c r="H340" s="857"/>
      <c r="I340" s="857"/>
      <c r="J340" s="857"/>
      <c r="K340" s="857"/>
      <c r="L340" s="857"/>
      <c r="M340" s="857"/>
      <c r="N340" s="857"/>
      <c r="O340" s="857"/>
      <c r="P340" s="857"/>
      <c r="Q340" s="166"/>
      <c r="R340" s="50"/>
      <c r="S340" s="50"/>
      <c r="T340" s="50"/>
      <c r="U340" s="50"/>
      <c r="V340" s="50"/>
      <c r="W340" s="50"/>
      <c r="X340" s="50"/>
      <c r="Y340" s="50"/>
      <c r="Z340" s="50"/>
      <c r="AA340" s="50"/>
    </row>
    <row r="341" spans="1:42" x14ac:dyDescent="0.2">
      <c r="N341" s="3"/>
      <c r="O341" s="83"/>
      <c r="P341" s="83" t="s">
        <v>1293</v>
      </c>
      <c r="Q341" s="167"/>
    </row>
    <row r="342" spans="1:42" ht="18" x14ac:dyDescent="0.25">
      <c r="A342" s="22" t="s">
        <v>228</v>
      </c>
      <c r="B342" s="22"/>
      <c r="C342" s="22"/>
      <c r="D342" s="22"/>
      <c r="E342" s="22"/>
      <c r="F342" s="22"/>
      <c r="G342" s="22"/>
      <c r="H342" s="21" t="s">
        <v>216</v>
      </c>
      <c r="I342" s="21"/>
      <c r="J342" s="21"/>
      <c r="K342" s="21"/>
      <c r="L342" s="21"/>
      <c r="M342" s="21"/>
      <c r="N342" s="86"/>
      <c r="O342" s="86"/>
      <c r="P342" s="86"/>
      <c r="Q342" s="172"/>
    </row>
    <row r="343" spans="1:42" ht="6.75" customHeight="1" x14ac:dyDescent="0.2">
      <c r="A343" s="4"/>
      <c r="B343" s="4"/>
      <c r="C343" s="4"/>
      <c r="D343" s="4"/>
      <c r="E343" s="4"/>
      <c r="F343" s="4"/>
      <c r="G343" s="4"/>
      <c r="H343" s="4"/>
      <c r="I343" s="57"/>
      <c r="J343" s="57"/>
      <c r="K343" s="57"/>
      <c r="L343" s="51"/>
      <c r="M343" s="51"/>
    </row>
    <row r="344" spans="1:42" ht="15.75" x14ac:dyDescent="0.25">
      <c r="A344" s="1" t="s">
        <v>229</v>
      </c>
      <c r="B344" s="1"/>
      <c r="C344" s="1"/>
      <c r="D344" s="1"/>
      <c r="E344" s="1"/>
      <c r="F344" s="1"/>
      <c r="G344" s="1"/>
      <c r="H344" s="1" t="s">
        <v>216</v>
      </c>
      <c r="I344" s="58"/>
      <c r="J344" s="58"/>
      <c r="K344" s="58"/>
      <c r="L344" s="59"/>
      <c r="M344" s="59"/>
      <c r="N344" s="59"/>
      <c r="O344" s="59"/>
      <c r="P344" s="59"/>
      <c r="Q344" s="169"/>
    </row>
    <row r="345" spans="1:42" ht="15.75" x14ac:dyDescent="0.25">
      <c r="A345" s="1" t="s">
        <v>230</v>
      </c>
      <c r="B345" s="1"/>
      <c r="C345" s="1"/>
      <c r="D345" s="1"/>
      <c r="E345" s="1"/>
      <c r="F345" s="1"/>
      <c r="G345" s="1"/>
      <c r="H345" s="1" t="s">
        <v>216</v>
      </c>
      <c r="I345" s="58"/>
      <c r="J345" s="58"/>
      <c r="K345" s="58"/>
      <c r="L345" s="59"/>
      <c r="M345" s="59"/>
      <c r="N345" s="59"/>
      <c r="O345" s="59"/>
      <c r="P345" s="59"/>
      <c r="Q345" s="169"/>
    </row>
    <row r="346" spans="1:42" ht="15.75" x14ac:dyDescent="0.25">
      <c r="A346" s="1" t="s">
        <v>1292</v>
      </c>
      <c r="B346" s="1"/>
      <c r="C346" s="1"/>
      <c r="D346" s="1"/>
      <c r="E346" s="1"/>
      <c r="F346" s="1"/>
      <c r="G346" s="1"/>
      <c r="H346" s="1" t="s">
        <v>216</v>
      </c>
      <c r="I346" s="58"/>
      <c r="J346" s="58"/>
      <c r="K346" s="58"/>
      <c r="L346" s="59"/>
      <c r="M346" s="59"/>
      <c r="N346" s="59"/>
      <c r="O346" s="59"/>
      <c r="P346" s="59"/>
      <c r="Q346" s="169"/>
    </row>
    <row r="347" spans="1:42" ht="9" customHeight="1" x14ac:dyDescent="0.25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59"/>
      <c r="O347" s="59"/>
      <c r="P347" s="59"/>
      <c r="Q347" s="169"/>
    </row>
    <row r="348" spans="1:42" ht="15.75" x14ac:dyDescent="0.25">
      <c r="A348" s="23"/>
      <c r="B348" s="67"/>
      <c r="C348" s="24" t="s">
        <v>231</v>
      </c>
      <c r="D348" s="25"/>
      <c r="E348" s="25"/>
      <c r="F348" s="25"/>
      <c r="G348" s="26"/>
      <c r="H348" s="1" t="s">
        <v>216</v>
      </c>
      <c r="I348" s="1"/>
      <c r="J348" s="1"/>
      <c r="K348" s="1"/>
      <c r="L348" s="1"/>
      <c r="M348" s="2"/>
      <c r="N348" s="59"/>
      <c r="O348" s="59"/>
      <c r="P348" s="59"/>
      <c r="Q348" s="169"/>
    </row>
    <row r="349" spans="1:42" ht="75.75" customHeight="1" x14ac:dyDescent="0.25">
      <c r="A349" s="27"/>
      <c r="B349" s="28" t="s">
        <v>232</v>
      </c>
      <c r="C349" s="29" t="s">
        <v>233</v>
      </c>
      <c r="D349" s="29" t="s">
        <v>234</v>
      </c>
      <c r="E349" s="29" t="s">
        <v>235</v>
      </c>
      <c r="F349" s="30" t="s">
        <v>190</v>
      </c>
      <c r="G349" s="29" t="s">
        <v>258</v>
      </c>
      <c r="H349" s="1"/>
      <c r="I349" s="1"/>
      <c r="J349" s="1"/>
      <c r="K349" s="1"/>
      <c r="L349" s="1"/>
      <c r="AA349" s="159"/>
    </row>
    <row r="350" spans="1:42" ht="15" customHeight="1" x14ac:dyDescent="0.25">
      <c r="A350" s="5" t="s">
        <v>191</v>
      </c>
      <c r="B350" s="20">
        <f>GETPIVOTDATA(" New-Bachelor's",'Pivot Table for 12'!$A$3)</f>
        <v>422563</v>
      </c>
      <c r="C350" s="31">
        <f>GETPIVOTDATA(" New-Bach-TeachEd by CIP",'Pivot Table for 12'!$A$3)</f>
        <v>15894</v>
      </c>
      <c r="D350" s="20">
        <f>GETPIVOTDATA(" New-Bach-TeachEd by Courses",'Pivot Table for 12'!$A$3)</f>
        <v>4927</v>
      </c>
      <c r="E350" s="20">
        <f>GETPIVOTDATA(" New-Bach-TeachEd-Other",'Pivot Table for 12'!$A$3)</f>
        <v>4983</v>
      </c>
      <c r="F350" s="19">
        <f>GETPIVOTDATA(" New-Bach-TeachEd-Subtot",'Pivot Table for 12'!$A$3)</f>
        <v>25804</v>
      </c>
      <c r="G350" s="110">
        <f>(F350/(B350-B367-B368))*100</f>
        <v>8.2371418356402266</v>
      </c>
      <c r="I350" s="1"/>
      <c r="J350" s="1"/>
      <c r="K350" s="1"/>
      <c r="L350" s="1"/>
    </row>
    <row r="351" spans="1:42" ht="7.5" customHeight="1" x14ac:dyDescent="0.2">
      <c r="A351" s="5"/>
      <c r="B351" s="20"/>
      <c r="C351" s="31"/>
      <c r="D351" s="20"/>
      <c r="E351" s="20"/>
      <c r="F351" s="19"/>
      <c r="G351" s="37"/>
      <c r="J351" s="33"/>
      <c r="K351" s="68"/>
    </row>
    <row r="352" spans="1:42" ht="15" customHeight="1" x14ac:dyDescent="0.25">
      <c r="A352" s="5" t="s">
        <v>192</v>
      </c>
      <c r="B352" s="20">
        <f>GETPIVOTDATA(" New-Bachelor's",'Pivot Table for 12'!$A$3,"State","AL")</f>
        <v>20529</v>
      </c>
      <c r="C352" s="31">
        <f>GETPIVOTDATA(" New-Bach-TeachEd by CIP",'Pivot Table for 12'!$A$3,"State","AL")</f>
        <v>2336</v>
      </c>
      <c r="D352" s="20">
        <f>GETPIVOTDATA(" New-Bach-TeachEd by Courses",'Pivot Table for 12'!$A$3,"State","AL")</f>
        <v>0</v>
      </c>
      <c r="E352" s="20">
        <f>GETPIVOTDATA(" New-Bach-TeachEd-Other",'Pivot Table for 12'!$A$3,"State","AL")</f>
        <v>90</v>
      </c>
      <c r="F352" s="19">
        <f>GETPIVOTDATA(" New-Bach-TeachEd-Subtot",'Pivot Table for 12'!$A$3,"State","AL")</f>
        <v>2426</v>
      </c>
      <c r="G352" s="37">
        <f>(F352/B352)*100</f>
        <v>11.817429002873983</v>
      </c>
      <c r="J352" s="69"/>
      <c r="K352" s="10"/>
      <c r="AA352" s="159"/>
    </row>
    <row r="353" spans="1:11" ht="15" customHeight="1" x14ac:dyDescent="0.2">
      <c r="A353" s="5" t="s">
        <v>193</v>
      </c>
      <c r="B353" s="20">
        <f>GETPIVOTDATA(" New-Bachelor's",'Pivot Table for 12'!$A$3,"State","AR")</f>
        <v>11458</v>
      </c>
      <c r="C353" s="31">
        <f>GETPIVOTDATA(" New-Bach-TeachEd by CIP",'Pivot Table for 12'!$A$3,"State","AR")</f>
        <v>1168</v>
      </c>
      <c r="D353" s="20">
        <f>GETPIVOTDATA(" New-Bach-TeachEd by Courses",'Pivot Table for 12'!$A$3,"State","AR")</f>
        <v>0</v>
      </c>
      <c r="E353" s="20">
        <f>GETPIVOTDATA(" New-Bach-TeachEd-Other",'Pivot Table for 12'!$A$3,"State","AR")</f>
        <v>0</v>
      </c>
      <c r="F353" s="19">
        <f>GETPIVOTDATA(" New-Bach-TeachEd-Subtot",'Pivot Table for 12'!$A$3,"State","AR")</f>
        <v>1168</v>
      </c>
      <c r="G353" s="37">
        <f t="shared" ref="G353:G370" si="13">(F353/B353)*100</f>
        <v>10.193751090940829</v>
      </c>
      <c r="I353" s="48"/>
      <c r="J353" s="33"/>
      <c r="K353" s="68"/>
    </row>
    <row r="354" spans="1:11" ht="15" customHeight="1" x14ac:dyDescent="0.2">
      <c r="A354" s="5" t="s">
        <v>194</v>
      </c>
      <c r="B354" s="20">
        <f>GETPIVOTDATA(" New-Bachelor's",'Pivot Table for 12'!$A$3,"State","DE")</f>
        <v>4040</v>
      </c>
      <c r="C354" s="31">
        <f>GETPIVOTDATA(" New-Bach-TeachEd by CIP",'Pivot Table for 12'!$A$3,"State","DE")</f>
        <v>334</v>
      </c>
      <c r="D354" s="20">
        <f>GETPIVOTDATA(" New-Bach-TeachEd by Courses",'Pivot Table for 12'!$A$3,"State","DE")</f>
        <v>0</v>
      </c>
      <c r="E354" s="20">
        <f>GETPIVOTDATA(" New-Bach-TeachEd-Other",'Pivot Table for 12'!$A$3,"State","DE")</f>
        <v>0</v>
      </c>
      <c r="F354" s="19">
        <f>GETPIVOTDATA(" New-Bach-TeachEd-Subtot",'Pivot Table for 12'!$A$3,"State","DE")</f>
        <v>334</v>
      </c>
      <c r="G354" s="37">
        <f t="shared" si="13"/>
        <v>8.2673267326732685</v>
      </c>
      <c r="J354" s="33"/>
      <c r="K354" s="68"/>
    </row>
    <row r="355" spans="1:11" ht="15" customHeight="1" x14ac:dyDescent="0.2">
      <c r="A355" s="5" t="s">
        <v>195</v>
      </c>
      <c r="B355" s="20">
        <f>GETPIVOTDATA(" New-Bachelor's",'Pivot Table for 12'!$A$3,"State","FL")</f>
        <v>61444</v>
      </c>
      <c r="C355" s="31">
        <f>GETPIVOTDATA(" New-Bach-TeachEd by CIP",'Pivot Table for 12'!$A$3,"State","FL")</f>
        <v>0</v>
      </c>
      <c r="D355" s="20">
        <f>GETPIVOTDATA(" New-Bach-TeachEd by Courses",'Pivot Table for 12'!$A$3,"State","FL")</f>
        <v>0</v>
      </c>
      <c r="E355" s="20">
        <f>GETPIVOTDATA(" New-Bach-TeachEd-Other",'Pivot Table for 12'!$A$3,"State","FL")</f>
        <v>3104</v>
      </c>
      <c r="F355" s="19">
        <f>GETPIVOTDATA(" New-Bach-TeachEd-Subtot",'Pivot Table for 12'!$A$3,"State","FL")</f>
        <v>3104</v>
      </c>
      <c r="G355" s="37">
        <f t="shared" si="13"/>
        <v>5.0517544430701129</v>
      </c>
      <c r="J355" s="33"/>
      <c r="K355" s="68"/>
    </row>
    <row r="356" spans="1:11" ht="7.5" customHeight="1" x14ac:dyDescent="0.2">
      <c r="A356" s="5"/>
      <c r="B356" s="20"/>
      <c r="C356" s="31"/>
      <c r="D356" s="20"/>
      <c r="E356" s="20"/>
      <c r="F356" s="19"/>
      <c r="G356" s="37"/>
      <c r="J356" s="33"/>
      <c r="K356" s="68"/>
    </row>
    <row r="357" spans="1:11" ht="15" customHeight="1" x14ac:dyDescent="0.2">
      <c r="A357" s="5" t="s">
        <v>196</v>
      </c>
      <c r="B357" s="20">
        <f>GETPIVOTDATA(" New-Bachelor's",'Pivot Table for 12'!$A$3,"State","GA")</f>
        <v>33717</v>
      </c>
      <c r="C357" s="31">
        <f>GETPIVOTDATA(" New-Bach-TeachEd by CIP",'Pivot Table for 12'!$A$3,"State","GA")</f>
        <v>3471</v>
      </c>
      <c r="D357" s="20">
        <f>GETPIVOTDATA(" New-Bach-TeachEd by Courses",'Pivot Table for 12'!$A$3,"State","GA")</f>
        <v>0</v>
      </c>
      <c r="E357" s="20">
        <f>GETPIVOTDATA(" New-Bach-TeachEd-Other",'Pivot Table for 12'!$A$3,"State","GA")</f>
        <v>0</v>
      </c>
      <c r="F357" s="19">
        <f>GETPIVOTDATA(" New-Bach-TeachEd-Subtot",'Pivot Table for 12'!$A$3,"State","GA")</f>
        <v>3471</v>
      </c>
      <c r="G357" s="37">
        <f t="shared" si="13"/>
        <v>10.294510187739123</v>
      </c>
      <c r="J357" s="33"/>
      <c r="K357" s="68"/>
    </row>
    <row r="358" spans="1:11" ht="15" customHeight="1" x14ac:dyDescent="0.2">
      <c r="A358" s="5" t="s">
        <v>197</v>
      </c>
      <c r="B358" s="20">
        <f>GETPIVOTDATA(" New-Bachelor's",'Pivot Table for 12'!$A$3,"State","KY")</f>
        <v>16207</v>
      </c>
      <c r="C358" s="31">
        <f>GETPIVOTDATA(" New-Bach-TeachEd by CIP",'Pivot Table for 12'!$A$3,"State","KY")</f>
        <v>0</v>
      </c>
      <c r="D358" s="20">
        <f>GETPIVOTDATA(" New-Bach-TeachEd by Courses",'Pivot Table for 12'!$A$3,"State","KY")</f>
        <v>1704</v>
      </c>
      <c r="E358" s="20">
        <f>GETPIVOTDATA(" New-Bach-TeachEd-Other",'Pivot Table for 12'!$A$3,"State","KY")</f>
        <v>0</v>
      </c>
      <c r="F358" s="19">
        <f>GETPIVOTDATA(" New-Bach-TeachEd-Subtot",'Pivot Table for 12'!$A$3,"State","KY")</f>
        <v>1704</v>
      </c>
      <c r="G358" s="37">
        <f t="shared" si="13"/>
        <v>10.51397544270994</v>
      </c>
      <c r="J358" s="33"/>
      <c r="K358" s="68"/>
    </row>
    <row r="359" spans="1:11" ht="15" customHeight="1" x14ac:dyDescent="0.2">
      <c r="A359" s="5" t="s">
        <v>198</v>
      </c>
      <c r="B359" s="20">
        <f>GETPIVOTDATA(" New-Bachelor's",'Pivot Table for 12'!$A$3,"State","LA")</f>
        <v>18582</v>
      </c>
      <c r="C359" s="31">
        <f>GETPIVOTDATA(" New-Bach-TeachEd by CIP",'Pivot Table for 12'!$A$3,"State","LA")</f>
        <v>1604</v>
      </c>
      <c r="D359" s="20">
        <f>GETPIVOTDATA(" New-Bach-TeachEd by Courses",'Pivot Table for 12'!$A$3,"State","LA")</f>
        <v>0</v>
      </c>
      <c r="E359" s="20">
        <f>GETPIVOTDATA(" New-Bach-TeachEd-Other",'Pivot Table for 12'!$A$3,"State","LA")</f>
        <v>0</v>
      </c>
      <c r="F359" s="19">
        <f>GETPIVOTDATA(" New-Bach-TeachEd-Subtot",'Pivot Table for 12'!$A$3,"State","LA")</f>
        <v>1604</v>
      </c>
      <c r="G359" s="37">
        <f t="shared" si="13"/>
        <v>8.6320094715315907</v>
      </c>
      <c r="J359" s="33"/>
      <c r="K359" s="68"/>
    </row>
    <row r="360" spans="1:11" ht="15" customHeight="1" x14ac:dyDescent="0.2">
      <c r="A360" s="5" t="s">
        <v>199</v>
      </c>
      <c r="B360" s="20">
        <f>GETPIVOTDATA(" New-Bachelor's",'Pivot Table for 12'!$A$3,"State","MD")</f>
        <v>23933</v>
      </c>
      <c r="C360" s="31">
        <f>GETPIVOTDATA(" New-Bach-TeachEd by CIP",'Pivot Table for 12'!$A$3,"State","MD")</f>
        <v>1912</v>
      </c>
      <c r="D360" s="20">
        <f>GETPIVOTDATA(" New-Bach-TeachEd by Courses",'Pivot Table for 12'!$A$3,"State","MD")</f>
        <v>0</v>
      </c>
      <c r="E360" s="20">
        <f>GETPIVOTDATA(" New-Bach-TeachEd-Other",'Pivot Table for 12'!$A$3,"State","MD")</f>
        <v>0</v>
      </c>
      <c r="F360" s="19">
        <f>GETPIVOTDATA(" New-Bach-TeachEd-Subtot",'Pivot Table for 12'!$A$3,"State","MD")</f>
        <v>1912</v>
      </c>
      <c r="G360" s="37">
        <f t="shared" si="13"/>
        <v>7.9889692056992434</v>
      </c>
      <c r="J360" s="33"/>
      <c r="K360" s="68"/>
    </row>
    <row r="361" spans="1:11" ht="7.5" customHeight="1" x14ac:dyDescent="0.2">
      <c r="A361" s="5"/>
      <c r="B361" s="20"/>
      <c r="C361" s="31"/>
      <c r="D361" s="20"/>
      <c r="E361" s="20"/>
      <c r="F361" s="19"/>
      <c r="G361" s="37"/>
      <c r="J361" s="33"/>
      <c r="K361" s="68"/>
    </row>
    <row r="362" spans="1:11" ht="15" customHeight="1" x14ac:dyDescent="0.2">
      <c r="A362" s="5" t="s">
        <v>200</v>
      </c>
      <c r="B362" s="20">
        <f>GETPIVOTDATA(" New-Bachelor's",'Pivot Table for 12'!$A$3,"State","MS")</f>
        <v>11213</v>
      </c>
      <c r="C362" s="31">
        <f>GETPIVOTDATA(" New-Bach-TeachEd by CIP",'Pivot Table for 12'!$A$3,"State","MS")</f>
        <v>1578</v>
      </c>
      <c r="D362" s="20">
        <f>GETPIVOTDATA(" New-Bach-TeachEd by Courses",'Pivot Table for 12'!$A$3,"State","MS")</f>
        <v>0</v>
      </c>
      <c r="E362" s="20">
        <f>GETPIVOTDATA(" New-Bach-TeachEd-Other",'Pivot Table for 12'!$A$3,"State","MS")</f>
        <v>0</v>
      </c>
      <c r="F362" s="19">
        <f>GETPIVOTDATA(" New-Bach-TeachEd-Subtot",'Pivot Table for 12'!$A$3,"State","MS")</f>
        <v>1578</v>
      </c>
      <c r="G362" s="37">
        <f t="shared" si="13"/>
        <v>14.07295103897262</v>
      </c>
      <c r="J362" s="33"/>
      <c r="K362" s="68"/>
    </row>
    <row r="363" spans="1:11" ht="15" customHeight="1" x14ac:dyDescent="0.2">
      <c r="A363" s="5" t="s">
        <v>201</v>
      </c>
      <c r="B363" s="20">
        <f>GETPIVOTDATA(" New-Bachelor's",'Pivot Table for 12'!$A$3,"State","NC")</f>
        <v>35589</v>
      </c>
      <c r="C363" s="31">
        <f>GETPIVOTDATA(" New-Bach-TeachEd by CIP",'Pivot Table for 12'!$A$3,"State","NC")</f>
        <v>0</v>
      </c>
      <c r="D363" s="20">
        <f>GETPIVOTDATA(" New-Bach-TeachEd by Courses",'Pivot Table for 12'!$A$3,"State","NC")</f>
        <v>3223</v>
      </c>
      <c r="E363" s="20">
        <f>GETPIVOTDATA(" New-Bach-TeachEd-Other",'Pivot Table for 12'!$A$3,"State","NC")</f>
        <v>0</v>
      </c>
      <c r="F363" s="19">
        <f>GETPIVOTDATA(" New-Bach-TeachEd-Subtot",'Pivot Table for 12'!$A$3,"State","NC")</f>
        <v>3223</v>
      </c>
      <c r="G363" s="37">
        <f t="shared" si="13"/>
        <v>9.0561690409958135</v>
      </c>
      <c r="J363" s="33"/>
      <c r="K363" s="68"/>
    </row>
    <row r="364" spans="1:11" ht="15" customHeight="1" x14ac:dyDescent="0.2">
      <c r="A364" s="5" t="s">
        <v>202</v>
      </c>
      <c r="B364" s="20">
        <f>GETPIVOTDATA(" New-Bachelor's",'Pivot Table for 12'!$A$3,"State","OK")</f>
        <v>15736</v>
      </c>
      <c r="C364" s="31">
        <f>GETPIVOTDATA(" New-Bach-TeachEd by CIP",'Pivot Table for 12'!$A$3,"State","OK")</f>
        <v>1491</v>
      </c>
      <c r="D364" s="20">
        <f>GETPIVOTDATA(" New-Bach-TeachEd by Courses",'Pivot Table for 12'!$A$3,"State","OK")</f>
        <v>0</v>
      </c>
      <c r="E364" s="20">
        <f>GETPIVOTDATA(" New-Bach-TeachEd-Other",'Pivot Table for 12'!$A$3,"State","OK")</f>
        <v>0</v>
      </c>
      <c r="F364" s="19">
        <f>GETPIVOTDATA(" New-Bach-TeachEd-Subtot",'Pivot Table for 12'!$A$3,"State","OK")</f>
        <v>1491</v>
      </c>
      <c r="G364" s="37">
        <f t="shared" si="13"/>
        <v>9.47508896797153</v>
      </c>
      <c r="J364" s="33"/>
      <c r="K364" s="68"/>
    </row>
    <row r="365" spans="1:11" ht="15" customHeight="1" x14ac:dyDescent="0.2">
      <c r="A365" s="5" t="s">
        <v>203</v>
      </c>
      <c r="B365" s="20">
        <f>GETPIVOTDATA(" New-Bachelor's",'Pivot Table for 12'!$A$3,"State","SC")</f>
        <v>16566</v>
      </c>
      <c r="C365" s="31">
        <f>GETPIVOTDATA(" New-Bach-TeachEd by CIP",'Pivot Table for 12'!$A$3,"State","SC")</f>
        <v>1407</v>
      </c>
      <c r="D365" s="20">
        <f>GETPIVOTDATA(" New-Bach-TeachEd by Courses",'Pivot Table for 12'!$A$3,"State","SC")</f>
        <v>0</v>
      </c>
      <c r="E365" s="20">
        <f>GETPIVOTDATA(" New-Bach-TeachEd-Other",'Pivot Table for 12'!$A$3,"State","SC")</f>
        <v>96</v>
      </c>
      <c r="F365" s="19">
        <f>GETPIVOTDATA(" New-Bach-TeachEd-Subtot",'Pivot Table for 12'!$A$3,"State","SC")</f>
        <v>1503</v>
      </c>
      <c r="G365" s="37">
        <f t="shared" si="13"/>
        <v>9.0727997102499103</v>
      </c>
      <c r="J365" s="33"/>
      <c r="K365" s="68"/>
    </row>
    <row r="366" spans="1:11" ht="9" customHeight="1" x14ac:dyDescent="0.2">
      <c r="A366" s="5"/>
      <c r="B366" s="20"/>
      <c r="C366" s="31"/>
      <c r="D366" s="20"/>
      <c r="E366" s="20"/>
      <c r="F366" s="19"/>
      <c r="G366" s="37"/>
      <c r="J366" s="33"/>
      <c r="K366" s="68"/>
    </row>
    <row r="367" spans="1:11" ht="15" customHeight="1" x14ac:dyDescent="0.2">
      <c r="A367" s="5" t="s">
        <v>204</v>
      </c>
      <c r="B367" s="20">
        <f>GETPIVOTDATA(" New-Bachelor's",'Pivot Table for 12'!$A$3,"State","TN")</f>
        <v>19956</v>
      </c>
      <c r="C367" s="31">
        <f>GETPIVOTDATA(" New-Bach-TeachEd by CIP",'Pivot Table for 12'!$A$3,"State","TN")</f>
        <v>0</v>
      </c>
      <c r="D367" s="20">
        <f>GETPIVOTDATA(" New-Bach-TeachEd by Courses",'Pivot Table for 12'!$A$3,"State","TN")</f>
        <v>0</v>
      </c>
      <c r="E367" s="20">
        <f>GETPIVOTDATA(" New-Bach-TeachEd-Other",'Pivot Table for 12'!$A$3,"State","TN")</f>
        <v>0</v>
      </c>
      <c r="F367" s="19">
        <f>GETPIVOTDATA(" New-Bach-TeachEd-Subtot",'Pivot Table for 12'!$A$3,"State","TN")</f>
        <v>0</v>
      </c>
      <c r="G367" s="37" t="str">
        <f>IF(F367&gt;0,(F367/B367)*100," ")</f>
        <v xml:space="preserve"> </v>
      </c>
      <c r="J367" s="33"/>
      <c r="K367" s="68"/>
    </row>
    <row r="368" spans="1:11" ht="15" customHeight="1" x14ac:dyDescent="0.2">
      <c r="A368" s="5" t="s">
        <v>205</v>
      </c>
      <c r="B368" s="20">
        <f>GETPIVOTDATA(" New-Bachelor's",'Pivot Table for 12'!$A$3,"State","TX")</f>
        <v>89343</v>
      </c>
      <c r="C368" s="31">
        <f>GETPIVOTDATA(" New-Bach-TeachEd by CIP",'Pivot Table for 12'!$A$3,"State","TX")</f>
        <v>0</v>
      </c>
      <c r="D368" s="20">
        <f>GETPIVOTDATA(" New-Bach-TeachEd by Courses",'Pivot Table for 12'!$A$3,"State","TX")</f>
        <v>0</v>
      </c>
      <c r="E368" s="20">
        <f>GETPIVOTDATA(" New-Bach-TeachEd-Other",'Pivot Table for 12'!$A$3,"State","TX")</f>
        <v>0</v>
      </c>
      <c r="F368" s="19">
        <f>GETPIVOTDATA(" New-Bach-TeachEd-Subtot",'Pivot Table for 12'!$A$3,"State","TX")</f>
        <v>0</v>
      </c>
      <c r="G368" s="37" t="str">
        <f>IF(F368&gt;0,(F368/B368)*100," ")</f>
        <v xml:space="preserve"> </v>
      </c>
      <c r="J368" s="33"/>
      <c r="K368" s="68"/>
    </row>
    <row r="369" spans="1:27" ht="15" customHeight="1" x14ac:dyDescent="0.2">
      <c r="A369" s="5" t="s">
        <v>206</v>
      </c>
      <c r="B369" s="20">
        <f>GETPIVOTDATA(" New-Bachelor's",'Pivot Table for 12'!$A$3,"State","VA")</f>
        <v>35132</v>
      </c>
      <c r="C369" s="31">
        <f>GETPIVOTDATA(" New-Bach-TeachEd by CIP",'Pivot Table for 12'!$A$3,"State","VA")</f>
        <v>0</v>
      </c>
      <c r="D369" s="20">
        <f>GETPIVOTDATA(" New-Bach-TeachEd by Courses",'Pivot Table for 12'!$A$3,"State","VA")</f>
        <v>0</v>
      </c>
      <c r="E369" s="20">
        <f>GETPIVOTDATA(" New-Bach-TeachEd-Other",'Pivot Table for 12'!$A$3,"State","VA")</f>
        <v>1497</v>
      </c>
      <c r="F369" s="19">
        <f>GETPIVOTDATA(" New-Bach-TeachEd-Subtot",'Pivot Table for 12'!$A$3,"State","VA")</f>
        <v>1497</v>
      </c>
      <c r="G369" s="37">
        <f>IF(F369&gt;0,(F369/B369)*100," ")</f>
        <v>4.261072526471593</v>
      </c>
    </row>
    <row r="370" spans="1:27" ht="15" customHeight="1" x14ac:dyDescent="0.2">
      <c r="A370" s="7" t="s">
        <v>207</v>
      </c>
      <c r="B370" s="34">
        <f>GETPIVOTDATA(" New-Bachelor's",'Pivot Table for 12'!$A$3,"State","WV")</f>
        <v>9118</v>
      </c>
      <c r="C370" s="35">
        <f>GETPIVOTDATA(" New-Bach-TeachEd by CIP",'Pivot Table for 12'!$A$3,"State","WV")</f>
        <v>593</v>
      </c>
      <c r="D370" s="34">
        <f>GETPIVOTDATA(" New-Bach-TeachEd by Courses",'Pivot Table for 12'!$A$3,"State","WV")</f>
        <v>0</v>
      </c>
      <c r="E370" s="34">
        <f>GETPIVOTDATA(" New-Bach-TeachEd-Other",'Pivot Table for 12'!$A$3,"State","WV")</f>
        <v>196</v>
      </c>
      <c r="F370" s="36">
        <f>GETPIVOTDATA(" New-Bach-TeachEd-Subtot",'Pivot Table for 12'!$A$3,"State","WV")</f>
        <v>789</v>
      </c>
      <c r="G370" s="38">
        <f t="shared" si="13"/>
        <v>8.6532134239964904</v>
      </c>
    </row>
    <row r="371" spans="1:27" s="43" customFormat="1" ht="15" customHeight="1" x14ac:dyDescent="0.2">
      <c r="A371" s="61" t="s">
        <v>257</v>
      </c>
      <c r="B371" s="32"/>
      <c r="C371" s="32"/>
      <c r="D371" s="32"/>
      <c r="E371" s="32"/>
      <c r="F371" s="32"/>
      <c r="G371" s="42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</row>
    <row r="372" spans="1:27" x14ac:dyDescent="0.2">
      <c r="A372" s="44"/>
      <c r="B372" s="44"/>
      <c r="C372" s="44"/>
      <c r="D372" s="44"/>
      <c r="E372" s="44"/>
      <c r="F372" s="44"/>
      <c r="G372" s="83" t="s">
        <v>1293</v>
      </c>
      <c r="H372" s="44"/>
      <c r="I372" s="44"/>
      <c r="J372" s="44"/>
      <c r="K372" s="44"/>
      <c r="L372" s="44"/>
      <c r="M372" s="44"/>
      <c r="N372" s="105"/>
      <c r="O372" s="83"/>
      <c r="P372" s="87"/>
      <c r="Q372" s="87"/>
    </row>
  </sheetData>
  <mergeCells count="11">
    <mergeCell ref="A93:P93"/>
    <mergeCell ref="A61:P61"/>
    <mergeCell ref="A30:P30"/>
    <mergeCell ref="A279:P279"/>
    <mergeCell ref="A340:P340"/>
    <mergeCell ref="A124:P124"/>
    <mergeCell ref="A155:P155"/>
    <mergeCell ref="A186:P186"/>
    <mergeCell ref="A217:P217"/>
    <mergeCell ref="A248:P248"/>
    <mergeCell ref="A310:G310"/>
  </mergeCells>
  <phoneticPr fontId="21" type="noConversion"/>
  <printOptions horizontalCentered="1"/>
  <pageMargins left="0.5" right="0.33750000000000002" top="0.75" bottom="0.75" header="0.75" footer="0.5"/>
  <pageSetup scale="89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V373"/>
  <sheetViews>
    <sheetView showGridLines="0" showZeros="0" view="pageBreakPreview" zoomScaleNormal="100" zoomScaleSheetLayoutView="100" workbookViewId="0"/>
  </sheetViews>
  <sheetFormatPr defaultColWidth="8.875" defaultRowHeight="12.75" x14ac:dyDescent="0.2"/>
  <cols>
    <col min="1" max="1" width="11.75" style="3" customWidth="1"/>
    <col min="2" max="2" width="8.25" style="3" customWidth="1"/>
    <col min="3" max="3" width="6.75" style="3" customWidth="1"/>
    <col min="4" max="4" width="7.375" style="3" customWidth="1"/>
    <col min="5" max="5" width="5.5" style="3" customWidth="1"/>
    <col min="6" max="6" width="7.875" style="3" customWidth="1"/>
    <col min="7" max="7" width="7.75" style="3" customWidth="1"/>
    <col min="8" max="8" width="6.875" style="3" customWidth="1"/>
    <col min="9" max="9" width="6.625" style="3" customWidth="1"/>
    <col min="10" max="10" width="6.375" style="3" customWidth="1"/>
    <col min="11" max="12" width="5.875" style="3" customWidth="1"/>
    <col min="13" max="13" width="8.5" style="3" customWidth="1"/>
    <col min="14" max="14" width="8.25" style="51" customWidth="1"/>
    <col min="15" max="15" width="9.5" style="51" customWidth="1"/>
    <col min="16" max="16" width="7.75" style="51" customWidth="1"/>
    <col min="17" max="18" width="8.875" style="3"/>
    <col min="19" max="19" width="9.25" style="3" bestFit="1" customWidth="1"/>
    <col min="20" max="16384" width="8.875" style="3"/>
  </cols>
  <sheetData>
    <row r="1" spans="1:16" ht="18" x14ac:dyDescent="0.25">
      <c r="A1" s="22" t="s">
        <v>180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8"/>
      <c r="O1" s="58"/>
      <c r="P1" s="58"/>
    </row>
    <row r="2" spans="1:16" ht="15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7"/>
      <c r="O2" s="57"/>
      <c r="P2" s="57"/>
    </row>
    <row r="3" spans="1:16" ht="15.75" x14ac:dyDescent="0.25">
      <c r="A3" s="1" t="s">
        <v>181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8"/>
      <c r="O3" s="58"/>
      <c r="P3" s="58"/>
    </row>
    <row r="4" spans="1:16" ht="15.75" x14ac:dyDescent="0.25">
      <c r="A4" s="1" t="s">
        <v>478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8"/>
      <c r="O4" s="58"/>
      <c r="P4" s="58"/>
    </row>
    <row r="5" spans="1:16" ht="15.7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</row>
    <row r="6" spans="1:16" ht="15.75" x14ac:dyDescent="0.25">
      <c r="A6" s="91"/>
      <c r="B6" s="91"/>
      <c r="C6" s="91"/>
      <c r="D6" s="91"/>
      <c r="E6" s="91"/>
      <c r="F6" s="91"/>
      <c r="G6" s="91"/>
      <c r="H6" s="95" t="s">
        <v>410</v>
      </c>
      <c r="I6" s="26"/>
      <c r="J6" s="26"/>
      <c r="K6" s="26"/>
      <c r="L6" s="26"/>
      <c r="M6" s="26"/>
      <c r="N6" s="92"/>
      <c r="O6" s="99"/>
      <c r="P6" s="94" t="s">
        <v>216</v>
      </c>
    </row>
    <row r="7" spans="1:16" ht="36" customHeight="1" x14ac:dyDescent="0.2">
      <c r="A7" s="14"/>
      <c r="B7" s="15" t="s">
        <v>244</v>
      </c>
      <c r="C7" s="15" t="s">
        <v>182</v>
      </c>
      <c r="D7" s="15" t="s">
        <v>175</v>
      </c>
      <c r="E7" s="15" t="s">
        <v>176</v>
      </c>
      <c r="F7" s="15" t="s">
        <v>183</v>
      </c>
      <c r="G7" s="15" t="s">
        <v>184</v>
      </c>
      <c r="H7" s="16" t="s">
        <v>185</v>
      </c>
      <c r="I7" s="15" t="s">
        <v>186</v>
      </c>
      <c r="J7" s="15" t="s">
        <v>187</v>
      </c>
      <c r="K7" s="15" t="s">
        <v>179</v>
      </c>
      <c r="L7" s="15" t="s">
        <v>188</v>
      </c>
      <c r="M7" s="15" t="s">
        <v>189</v>
      </c>
      <c r="N7" s="90" t="s">
        <v>411</v>
      </c>
      <c r="O7" s="96" t="s">
        <v>412</v>
      </c>
      <c r="P7" s="90" t="s">
        <v>190</v>
      </c>
    </row>
    <row r="8" spans="1:16" ht="15" customHeight="1" x14ac:dyDescent="0.2">
      <c r="A8" s="5" t="s">
        <v>191</v>
      </c>
      <c r="B8" s="6">
        <f>+GETPIVOTDATA(" Old-Less Than 2-Year",'Pivot Table for 1-11'!$A$3)+GETPIVOTDATA(" Old-2 But Less Than 4-Year",'Pivot Table for 1-11'!$A$3)</f>
        <v>208546</v>
      </c>
      <c r="C8" s="6">
        <f>+GETPIVOTDATA(" Old-Associate's",'Pivot Table for 1-11'!$A$3)</f>
        <v>260042</v>
      </c>
      <c r="D8" s="6">
        <f>+GETPIVOTDATA(" Old-Bachelor's",'Pivot Table for 1-11'!$A$3)</f>
        <v>405895</v>
      </c>
      <c r="E8" s="6">
        <f>+GETPIVOTDATA(" Old-Post-Bachelor's",'Pivot Table for 1-11'!$A$3)</f>
        <v>3630</v>
      </c>
      <c r="F8" s="6">
        <f>+GETPIVOTDATA(" Old-Total Master's#",'Pivot Table for 1-11'!$A$3)</f>
        <v>140482</v>
      </c>
      <c r="G8" s="6">
        <f>+GETPIVOTDATA(" Old-Total Doctorates#",'Pivot Table for 1-11'!$A$3)</f>
        <v>15144</v>
      </c>
      <c r="H8" s="17">
        <f>+GETPIVOTDATA(" Old-Law",'Pivot Table for 1-11'!$A$3)</f>
        <v>6366</v>
      </c>
      <c r="I8" s="6">
        <f>+GETPIVOTDATA(" Old-Medicine",'Pivot Table for 1-11'!$A$3)</f>
        <v>4127</v>
      </c>
      <c r="J8" s="6">
        <f>+GETPIVOTDATA(" Old-Dentistry",'Pivot Table for 1-11'!$A$3)</f>
        <v>1256</v>
      </c>
      <c r="K8" s="6">
        <f>+GETPIVOTDATA(" Old-Pharmacy",'Pivot Table for 1-11'!$A$3)</f>
        <v>3013</v>
      </c>
      <c r="L8" s="6">
        <f>+GETPIVOTDATA(" Old-Optometry",'Pivot Table for 1-11'!$A$3)</f>
        <v>171</v>
      </c>
      <c r="M8" s="6">
        <f>+GETPIVOTDATA(" Old-Osteopathic Medicine",'Pivot Table for 1-11'!$A$3)</f>
        <v>439</v>
      </c>
      <c r="N8" s="80">
        <f>+GETPIVOTDATA(" Old-Veterinary Medicine",'Pivot Table for 1-11'!$A$3)</f>
        <v>875</v>
      </c>
      <c r="O8" s="97">
        <f>+GETPIVOTDATA(" Old-Oth PP",'Pivot Table for 1-11'!$A$3)</f>
        <v>1852</v>
      </c>
      <c r="P8" s="81">
        <f>SUM(B8:O8)</f>
        <v>1051838</v>
      </c>
    </row>
    <row r="9" spans="1:16" ht="15" customHeight="1" x14ac:dyDescent="0.2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0"/>
      <c r="O9" s="97"/>
      <c r="P9" s="81"/>
    </row>
    <row r="10" spans="1:16" ht="15" customHeight="1" x14ac:dyDescent="0.2">
      <c r="A10" s="5" t="s">
        <v>192</v>
      </c>
      <c r="B10" s="6">
        <f>+GETPIVOTDATA(" Old-Less Than 2-Year",'Pivot Table for 1-11'!$A$3,"State","AL")+GETPIVOTDATA(" Old-2 But Less Than 4-Year",'Pivot Table for 1-11'!$A$3,"State","AL")</f>
        <v>5768</v>
      </c>
      <c r="C10" s="6">
        <f>+GETPIVOTDATA(" Old-Associate's",'Pivot Table for 1-11'!$A$3,"State","AL")</f>
        <v>8934</v>
      </c>
      <c r="D10" s="6">
        <f>+GETPIVOTDATA(" Old-Bachelor's",'Pivot Table for 1-11'!$A$3,"State","AL")</f>
        <v>20902</v>
      </c>
      <c r="E10" s="6">
        <f>+GETPIVOTDATA(" Old-Post-Bachelor's",'Pivot Table for 1-11'!$A$3,"State","AL")</f>
        <v>113</v>
      </c>
      <c r="F10" s="6">
        <f>+GETPIVOTDATA(" Old-Total Master's#",'Pivot Table for 1-11'!$A$3,"State","AL")</f>
        <v>8877</v>
      </c>
      <c r="G10" s="6">
        <f>+GETPIVOTDATA(" Old-Total Doctorates#",'Pivot Table for 1-11'!$A$3,"State","AL")</f>
        <v>601</v>
      </c>
      <c r="H10" s="17">
        <f>GETPIVOTDATA(" Old-Law",'Pivot Table for 1-11'!$A$3,"State","AL")</f>
        <v>159</v>
      </c>
      <c r="I10" s="6">
        <f>GETPIVOTDATA(" Old-Medicine",'Pivot Table for 1-11'!$A$3,"State","AL")</f>
        <v>229</v>
      </c>
      <c r="J10" s="6">
        <f>GETPIVOTDATA(" Old-Dentistry",'Pivot Table for 1-11'!$A$3,"State","AL")</f>
        <v>58</v>
      </c>
      <c r="K10" s="6">
        <f>GETPIVOTDATA(" Old-Pharmacy",'Pivot Table for 1-11'!$A$3,"State","AL")</f>
        <v>133</v>
      </c>
      <c r="L10" s="6">
        <f>GETPIVOTDATA(" Old-Optometry",'Pivot Table for 1-11'!$A$3,"State","AL")</f>
        <v>43</v>
      </c>
      <c r="M10" s="6">
        <f>GETPIVOTDATA(" Old-Osteopathic Medicine",'Pivot Table for 1-11'!$A$3,"State","AL")</f>
        <v>0</v>
      </c>
      <c r="N10" s="80">
        <f>GETPIVOTDATA(" Old-Veterinary Medicine",'Pivot Table for 1-11'!$A$3,"State","AL")</f>
        <v>90</v>
      </c>
      <c r="O10" s="97">
        <f>+GETPIVOTDATA(" Old-Oth PP",'Pivot Table for 1-11'!$A$3,"State","AL")</f>
        <v>330</v>
      </c>
      <c r="P10" s="81">
        <f t="shared" ref="P10:P28" si="0">SUM(B10:O10)</f>
        <v>46237</v>
      </c>
    </row>
    <row r="11" spans="1:16" s="51" customFormat="1" ht="15" customHeight="1" x14ac:dyDescent="0.2">
      <c r="A11" s="164" t="s">
        <v>193</v>
      </c>
      <c r="B11" s="80">
        <f>+GETPIVOTDATA(" Old-Less Than 2-Year",'Pivot Table for 1-11'!$A$3,"State","AR")+GETPIVOTDATA(" Old-2 But Less Than 4-Year",'Pivot Table for 1-11'!$A$3,"State","AR")</f>
        <v>9739</v>
      </c>
      <c r="C11" s="80">
        <f>+GETPIVOTDATA(" Old-Associate's",'Pivot Table for 1-11'!$A$3,"State","AR")</f>
        <v>10142</v>
      </c>
      <c r="D11" s="80">
        <f>+GETPIVOTDATA(" Old-Bachelor's",'Pivot Table for 1-11'!$A$3,"State","AR")</f>
        <v>10735</v>
      </c>
      <c r="E11" s="80">
        <f>+GETPIVOTDATA(" Old-Post-Bachelor's",'Pivot Table for 1-11'!$A$3,"State","AR")</f>
        <v>277</v>
      </c>
      <c r="F11" s="80">
        <f>+GETPIVOTDATA(" Old-Total Master's#",'Pivot Table for 1-11'!$A$3,"State","AR")</f>
        <v>4330</v>
      </c>
      <c r="G11" s="80">
        <f>+GETPIVOTDATA(" Old-Total Doctorates#",'Pivot Table for 1-11'!$A$3,"State","AR")</f>
        <v>232</v>
      </c>
      <c r="H11" s="180">
        <f>GETPIVOTDATA(" Old-Law",'Pivot Table for 1-11'!$A$3,"State","AR")</f>
        <v>266</v>
      </c>
      <c r="I11" s="80">
        <f>GETPIVOTDATA(" Old-Medicine",'Pivot Table for 1-11'!$A$3,"State","AR")</f>
        <v>140</v>
      </c>
      <c r="J11" s="80">
        <f>GETPIVOTDATA(" Old-Dentistry",'Pivot Table for 1-11'!$A$3,"State","AR")</f>
        <v>0</v>
      </c>
      <c r="K11" s="80">
        <f>GETPIVOTDATA(" Old-Pharmacy",'Pivot Table for 1-11'!$A$3,"State","AR")</f>
        <v>112</v>
      </c>
      <c r="L11" s="80">
        <f>GETPIVOTDATA(" Old-Optometry",'Pivot Table for 1-11'!$A$3,"State","AR")</f>
        <v>0</v>
      </c>
      <c r="M11" s="80">
        <f>GETPIVOTDATA(" Old-Osteopathic Medicine",'Pivot Table for 1-11'!$A$3,"State","AR")</f>
        <v>0</v>
      </c>
      <c r="N11" s="80">
        <f>GETPIVOTDATA(" Old-Veterinary Medicine",'Pivot Table for 1-11'!$A$3,"State","AR")</f>
        <v>0</v>
      </c>
      <c r="O11" s="97">
        <f>+GETPIVOTDATA(" Old-Oth PP",'Pivot Table for 1-11'!$A$3,"State","AR")</f>
        <v>55</v>
      </c>
      <c r="P11" s="81">
        <f t="shared" si="0"/>
        <v>36028</v>
      </c>
    </row>
    <row r="12" spans="1:16" ht="15" customHeight="1" x14ac:dyDescent="0.2">
      <c r="A12" s="5" t="s">
        <v>194</v>
      </c>
      <c r="B12" s="6">
        <f>+GETPIVOTDATA(" Old-Less Than 2-Year",'Pivot Table for 1-11'!$A$3,"State","DE")+GETPIVOTDATA(" Old-2 But Less Than 4-Year",'Pivot Table for 1-11'!$A$3,"State","DE")</f>
        <v>736</v>
      </c>
      <c r="C12" s="6">
        <f>+GETPIVOTDATA(" Old-Associate's",'Pivot Table for 1-11'!$A$3,"State","DE")</f>
        <v>1593</v>
      </c>
      <c r="D12" s="6">
        <f>+GETPIVOTDATA(" Old-Bachelor's",'Pivot Table for 1-11'!$A$3,"State","DE")</f>
        <v>4118</v>
      </c>
      <c r="E12" s="6">
        <f>+GETPIVOTDATA(" Old-Post-Bachelor's",'Pivot Table for 1-11'!$A$3,"State","DE")</f>
        <v>0</v>
      </c>
      <c r="F12" s="6">
        <f>+GETPIVOTDATA(" Old-Total Master's#",'Pivot Table for 1-11'!$A$3,"State","DE")</f>
        <v>925</v>
      </c>
      <c r="G12" s="6">
        <f>+GETPIVOTDATA(" Old-Total Doctorates#",'Pivot Table for 1-11'!$A$3,"State","DE")</f>
        <v>216</v>
      </c>
      <c r="H12" s="17">
        <f>GETPIVOTDATA(" Old-Law",'Pivot Table for 1-11'!$A$3,"State","DE")</f>
        <v>0</v>
      </c>
      <c r="I12" s="6">
        <f>GETPIVOTDATA(" Old-Medicine",'Pivot Table for 1-11'!$A$3,"State","DE")</f>
        <v>0</v>
      </c>
      <c r="J12" s="6">
        <f>GETPIVOTDATA(" Old-Dentistry",'Pivot Table for 1-11'!$A$3,"State","DE")</f>
        <v>0</v>
      </c>
      <c r="K12" s="6">
        <f>GETPIVOTDATA(" Old-Pharmacy",'Pivot Table for 1-11'!$A$3,"State","DE")</f>
        <v>0</v>
      </c>
      <c r="L12" s="6">
        <f>GETPIVOTDATA(" Old-Optometry",'Pivot Table for 1-11'!$A$3,"State","DE")</f>
        <v>0</v>
      </c>
      <c r="M12" s="6">
        <f>GETPIVOTDATA(" Old-Osteopathic Medicine",'Pivot Table for 1-11'!$A$3,"State","DE")</f>
        <v>0</v>
      </c>
      <c r="N12" s="80">
        <f>GETPIVOTDATA(" Old-Veterinary Medicine",'Pivot Table for 1-11'!$A$3,"State","DE")</f>
        <v>0</v>
      </c>
      <c r="O12" s="97">
        <f>+GETPIVOTDATA(" Old-Oth PP",'Pivot Table for 1-11'!$A$3,"State","DE")</f>
        <v>41</v>
      </c>
      <c r="P12" s="81">
        <f t="shared" si="0"/>
        <v>7629</v>
      </c>
    </row>
    <row r="13" spans="1:16" ht="15" customHeight="1" x14ac:dyDescent="0.2">
      <c r="A13" s="5" t="s">
        <v>195</v>
      </c>
      <c r="B13" s="6">
        <f>+GETPIVOTDATA(" Old-Less Than 2-Year",'Pivot Table for 1-11'!$A$3,"State","FL")+GETPIVOTDATA(" Old-2 But Less Than 4-Year",'Pivot Table for 1-11'!$A$3,"State","FL")</f>
        <v>24241</v>
      </c>
      <c r="C13" s="6">
        <f>+GETPIVOTDATA(" Old-Associate's",'Pivot Table for 1-11'!$A$3,"State","FL")</f>
        <v>67762</v>
      </c>
      <c r="D13" s="6">
        <f>+GETPIVOTDATA(" Old-Bachelor's",'Pivot Table for 1-11'!$A$3,"State","FL")</f>
        <v>57313</v>
      </c>
      <c r="E13" s="6">
        <f>+GETPIVOTDATA(" Old-Post-Bachelor's",'Pivot Table for 1-11'!$A$3,"State","FL")</f>
        <v>166</v>
      </c>
      <c r="F13" s="6">
        <f>+GETPIVOTDATA(" Old-Total Master's#",'Pivot Table for 1-11'!$A$3,"State","FL")</f>
        <v>16641</v>
      </c>
      <c r="G13" s="6">
        <f>+GETPIVOTDATA(" Old-Total Doctorates#",'Pivot Table for 1-11'!$A$3,"State","FL")</f>
        <v>2369</v>
      </c>
      <c r="H13" s="17">
        <f>GETPIVOTDATA(" Old-Law",'Pivot Table for 1-11'!$A$3,"State","FL")</f>
        <v>1023</v>
      </c>
      <c r="I13" s="6">
        <f>GETPIVOTDATA(" Old-Medicine",'Pivot Table for 1-11'!$A$3,"State","FL")</f>
        <v>349</v>
      </c>
      <c r="J13" s="6">
        <f>GETPIVOTDATA(" Old-Dentistry",'Pivot Table for 1-11'!$A$3,"State","FL")</f>
        <v>83</v>
      </c>
      <c r="K13" s="6">
        <f>GETPIVOTDATA(" Old-Pharmacy",'Pivot Table for 1-11'!$A$3,"State","FL")</f>
        <v>623</v>
      </c>
      <c r="L13" s="6">
        <f>GETPIVOTDATA(" Old-Optometry",'Pivot Table for 1-11'!$A$3,"State","FL")</f>
        <v>0</v>
      </c>
      <c r="M13" s="6">
        <f>GETPIVOTDATA(" Old-Osteopathic Medicine",'Pivot Table for 1-11'!$A$3,"State","FL")</f>
        <v>0</v>
      </c>
      <c r="N13" s="80">
        <f>GETPIVOTDATA(" Old-Veterinary Medicine",'Pivot Table for 1-11'!$A$3,"State","FL")</f>
        <v>87</v>
      </c>
      <c r="O13" s="97">
        <f>+GETPIVOTDATA(" Old-Oth PP",'Pivot Table for 1-11'!$A$3,"State","FL")</f>
        <v>368</v>
      </c>
      <c r="P13" s="81">
        <f t="shared" si="0"/>
        <v>171025</v>
      </c>
    </row>
    <row r="14" spans="1:16" ht="15" customHeight="1" x14ac:dyDescent="0.2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0"/>
      <c r="O14" s="97"/>
      <c r="P14" s="81"/>
    </row>
    <row r="15" spans="1:16" ht="15" customHeight="1" x14ac:dyDescent="0.2">
      <c r="A15" s="5" t="s">
        <v>196</v>
      </c>
      <c r="B15" s="6">
        <f>+GETPIVOTDATA(" Old-Less Than 2-Year",'Pivot Table for 1-11'!$A$3,"State","GA")+GETPIVOTDATA(" Old-2 But Less Than 4-Year",'Pivot Table for 1-11'!$A$3,"State","GA")</f>
        <v>44312</v>
      </c>
      <c r="C15" s="6">
        <f>+GETPIVOTDATA(" Old-Associate's",'Pivot Table for 1-11'!$A$3,"State","GA")</f>
        <v>12851</v>
      </c>
      <c r="D15" s="6">
        <f>+GETPIVOTDATA(" Old-Bachelor's",'Pivot Table for 1-11'!$A$3,"State","GA")</f>
        <v>32397</v>
      </c>
      <c r="E15" s="6">
        <f>+GETPIVOTDATA(" Old-Post-Bachelor's",'Pivot Table for 1-11'!$A$3,"State","GA")</f>
        <v>210</v>
      </c>
      <c r="F15" s="6">
        <f>+GETPIVOTDATA(" Old-Total Master's#",'Pivot Table for 1-11'!$A$3,"State","GA")</f>
        <v>11522</v>
      </c>
      <c r="G15" s="6">
        <f>+GETPIVOTDATA(" Old-Total Doctorates#",'Pivot Table for 1-11'!$A$3,"State","GA")</f>
        <v>1340</v>
      </c>
      <c r="H15" s="17">
        <f>GETPIVOTDATA(" Old-Law",'Pivot Table for 1-11'!$A$3,"State","GA")</f>
        <v>415</v>
      </c>
      <c r="I15" s="6">
        <f>GETPIVOTDATA(" Old-Medicine",'Pivot Table for 1-11'!$A$3,"State","GA")</f>
        <v>178</v>
      </c>
      <c r="J15" s="6">
        <f>GETPIVOTDATA(" Old-Dentistry",'Pivot Table for 1-11'!$A$3,"State","GA")</f>
        <v>61</v>
      </c>
      <c r="K15" s="6">
        <f>GETPIVOTDATA(" Old-Pharmacy",'Pivot Table for 1-11'!$A$3,"State","GA")</f>
        <v>122</v>
      </c>
      <c r="L15" s="6">
        <f>GETPIVOTDATA(" Old-Optometry",'Pivot Table for 1-11'!$A$3,"State","GA")</f>
        <v>0</v>
      </c>
      <c r="M15" s="6">
        <f>GETPIVOTDATA(" Old-Osteopathic Medicine",'Pivot Table for 1-11'!$A$3,"State","GA")</f>
        <v>0</v>
      </c>
      <c r="N15" s="80">
        <f>GETPIVOTDATA(" Old-Veterinary Medicine",'Pivot Table for 1-11'!$A$3,"State","GA")</f>
        <v>97</v>
      </c>
      <c r="O15" s="97">
        <f>+GETPIVOTDATA(" Old-Oth PP",'Pivot Table for 1-11'!$A$3,"State","GA")</f>
        <v>0</v>
      </c>
      <c r="P15" s="81">
        <f t="shared" si="0"/>
        <v>103505</v>
      </c>
    </row>
    <row r="16" spans="1:16" ht="15" customHeight="1" x14ac:dyDescent="0.2">
      <c r="A16" s="5" t="s">
        <v>197</v>
      </c>
      <c r="B16" s="6">
        <f>+GETPIVOTDATA(" Old-Less Than 2-Year",'Pivot Table for 1-11'!$A$3,"State","KY")+GETPIVOTDATA(" Old-2 But Less Than 4-Year",'Pivot Table for 1-11'!$A$3,"State","KY")</f>
        <v>20099</v>
      </c>
      <c r="C16" s="6">
        <f>+GETPIVOTDATA(" Old-Associate's",'Pivot Table for 1-11'!$A$3,"State","KY")</f>
        <v>8694</v>
      </c>
      <c r="D16" s="6">
        <f>+GETPIVOTDATA(" Old-Bachelor's",'Pivot Table for 1-11'!$A$3,"State","KY")</f>
        <v>15887</v>
      </c>
      <c r="E16" s="6">
        <f>+GETPIVOTDATA(" Old-Post-Bachelor's",'Pivot Table for 1-11'!$A$3,"State","KY")</f>
        <v>294</v>
      </c>
      <c r="F16" s="6">
        <f>+GETPIVOTDATA(" Old-Total Master's#",'Pivot Table for 1-11'!$A$3,"State","KY")</f>
        <v>5873</v>
      </c>
      <c r="G16" s="6">
        <f>+GETPIVOTDATA(" Old-Total Doctorates#",'Pivot Table for 1-11'!$A$3,"State","KY")</f>
        <v>424</v>
      </c>
      <c r="H16" s="17">
        <f>GETPIVOTDATA(" Old-Law",'Pivot Table for 1-11'!$A$3,"State","KY")</f>
        <v>457</v>
      </c>
      <c r="I16" s="6">
        <f>GETPIVOTDATA(" Old-Medicine",'Pivot Table for 1-11'!$A$3,"State","KY")</f>
        <v>237</v>
      </c>
      <c r="J16" s="6">
        <f>GETPIVOTDATA(" Old-Dentistry",'Pivot Table for 1-11'!$A$3,"State","KY")</f>
        <v>129</v>
      </c>
      <c r="K16" s="6">
        <f>GETPIVOTDATA(" Old-Pharmacy",'Pivot Table for 1-11'!$A$3,"State","KY")</f>
        <v>124</v>
      </c>
      <c r="L16" s="6">
        <f>GETPIVOTDATA(" Old-Optometry",'Pivot Table for 1-11'!$A$3,"State","KY")</f>
        <v>0</v>
      </c>
      <c r="M16" s="6">
        <f>GETPIVOTDATA(" Old-Osteopathic Medicine",'Pivot Table for 1-11'!$A$3,"State","KY")</f>
        <v>0</v>
      </c>
      <c r="N16" s="80">
        <f>GETPIVOTDATA(" Old-Veterinary Medicine",'Pivot Table for 1-11'!$A$3,"State","KY")</f>
        <v>0</v>
      </c>
      <c r="O16" s="97">
        <f>+GETPIVOTDATA(" Old-Oth PP",'Pivot Table for 1-11'!$A$3,"State","KY")</f>
        <v>134</v>
      </c>
      <c r="P16" s="81">
        <f t="shared" si="0"/>
        <v>52352</v>
      </c>
    </row>
    <row r="17" spans="1:16" ht="15" customHeight="1" x14ac:dyDescent="0.2">
      <c r="A17" s="5" t="s">
        <v>198</v>
      </c>
      <c r="B17" s="6">
        <f>+GETPIVOTDATA(" Old-Less Than 2-Year",'Pivot Table for 1-11'!$A$3,"State","LA")+GETPIVOTDATA(" Old-2 But Less Than 4-Year",'Pivot Table for 1-11'!$A$3,"State","LA")</f>
        <v>8273</v>
      </c>
      <c r="C17" s="6">
        <f>+GETPIVOTDATA(" Old-Associate's",'Pivot Table for 1-11'!$A$3,"State","LA")</f>
        <v>5410</v>
      </c>
      <c r="D17" s="6">
        <f>+GETPIVOTDATA(" Old-Bachelor's",'Pivot Table for 1-11'!$A$3,"State","LA")</f>
        <v>18323</v>
      </c>
      <c r="E17" s="6">
        <f>+GETPIVOTDATA(" Old-Post-Bachelor's",'Pivot Table for 1-11'!$A$3,"State","LA")</f>
        <v>125</v>
      </c>
      <c r="F17" s="6">
        <f>+GETPIVOTDATA(" Old-Total Master's#",'Pivot Table for 1-11'!$A$3,"State","LA")</f>
        <v>4615</v>
      </c>
      <c r="G17" s="6">
        <f>+GETPIVOTDATA(" Old-Total Doctorates#",'Pivot Table for 1-11'!$A$3,"State","LA")</f>
        <v>395</v>
      </c>
      <c r="H17" s="17">
        <f>GETPIVOTDATA(" Old-Law",'Pivot Table for 1-11'!$A$3,"State","LA")</f>
        <v>325</v>
      </c>
      <c r="I17" s="6">
        <f>GETPIVOTDATA(" Old-Medicine",'Pivot Table for 1-11'!$A$3,"State","LA")</f>
        <v>291</v>
      </c>
      <c r="J17" s="6">
        <f>GETPIVOTDATA(" Old-Dentistry",'Pivot Table for 1-11'!$A$3,"State","LA")</f>
        <v>53</v>
      </c>
      <c r="K17" s="6">
        <f>GETPIVOTDATA(" Old-Pharmacy",'Pivot Table for 1-11'!$A$3,"State","LA")</f>
        <v>101</v>
      </c>
      <c r="L17" s="6">
        <f>GETPIVOTDATA(" Old-Optometry",'Pivot Table for 1-11'!$A$3,"State","LA")</f>
        <v>0</v>
      </c>
      <c r="M17" s="6">
        <f>GETPIVOTDATA(" Old-Osteopathic Medicine",'Pivot Table for 1-11'!$A$3,"State","LA")</f>
        <v>0</v>
      </c>
      <c r="N17" s="80">
        <f>GETPIVOTDATA(" Old-Veterinary Medicine",'Pivot Table for 1-11'!$A$3,"State","LA")</f>
        <v>75</v>
      </c>
      <c r="O17" s="97">
        <f>+GETPIVOTDATA(" Old-Oth PP",'Pivot Table for 1-11'!$A$3,"State","LA")</f>
        <v>0</v>
      </c>
      <c r="P17" s="81">
        <f t="shared" si="0"/>
        <v>37986</v>
      </c>
    </row>
    <row r="18" spans="1:16" ht="15" customHeight="1" x14ac:dyDescent="0.2">
      <c r="A18" s="5" t="s">
        <v>199</v>
      </c>
      <c r="B18" s="6">
        <f>+GETPIVOTDATA(" Old-Less Than 2-Year",'Pivot Table for 1-11'!$A$3,"State","MD")+GETPIVOTDATA(" Old-2 But Less Than 4-Year",'Pivot Table for 1-11'!$A$3,"State","MD")</f>
        <v>4122</v>
      </c>
      <c r="C18" s="6">
        <f>+GETPIVOTDATA(" Old-Associate's",'Pivot Table for 1-11'!$A$3,"State","MD")</f>
        <v>12922</v>
      </c>
      <c r="D18" s="6">
        <f>+GETPIVOTDATA(" Old-Bachelor's",'Pivot Table for 1-11'!$A$3,"State","MD")</f>
        <v>22450</v>
      </c>
      <c r="E18" s="6">
        <f>+GETPIVOTDATA(" Old-Post-Bachelor's",'Pivot Table for 1-11'!$A$3,"State","MD")</f>
        <v>1030</v>
      </c>
      <c r="F18" s="6">
        <f>+GETPIVOTDATA(" Old-Total Master's#",'Pivot Table for 1-11'!$A$3,"State","MD")</f>
        <v>9346</v>
      </c>
      <c r="G18" s="6">
        <f>+GETPIVOTDATA(" Old-Total Doctorates#",'Pivot Table for 1-11'!$A$3,"State","MD")</f>
        <v>818</v>
      </c>
      <c r="H18" s="17">
        <f>GETPIVOTDATA(" Old-Law",'Pivot Table for 1-11'!$A$3,"State","MD")</f>
        <v>587</v>
      </c>
      <c r="I18" s="6">
        <f>GETPIVOTDATA(" Old-Medicine",'Pivot Table for 1-11'!$A$3,"State","MD")</f>
        <v>150</v>
      </c>
      <c r="J18" s="6">
        <f>GETPIVOTDATA(" Old-Dentistry",'Pivot Table for 1-11'!$A$3,"State","MD")</f>
        <v>128</v>
      </c>
      <c r="K18" s="6">
        <f>GETPIVOTDATA(" Old-Pharmacy",'Pivot Table for 1-11'!$A$3,"State","MD")</f>
        <v>145</v>
      </c>
      <c r="L18" s="6">
        <f>GETPIVOTDATA(" Old-Optometry",'Pivot Table for 1-11'!$A$3,"State","MD")</f>
        <v>0</v>
      </c>
      <c r="M18" s="6">
        <f>GETPIVOTDATA(" Old-Osteopathic Medicine",'Pivot Table for 1-11'!$A$3,"State","MD")</f>
        <v>0</v>
      </c>
      <c r="N18" s="80">
        <f>GETPIVOTDATA(" Old-Veterinary Medicine",'Pivot Table for 1-11'!$A$3,"State","MD")</f>
        <v>25</v>
      </c>
      <c r="O18" s="97">
        <f>+GETPIVOTDATA(" Old-Oth PP",'Pivot Table for 1-11'!$A$3,"State","MD")</f>
        <v>184</v>
      </c>
      <c r="P18" s="81">
        <f t="shared" si="0"/>
        <v>51907</v>
      </c>
    </row>
    <row r="19" spans="1:16" ht="15" customHeight="1" x14ac:dyDescent="0.2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0"/>
      <c r="O19" s="97"/>
      <c r="P19" s="81"/>
    </row>
    <row r="20" spans="1:16" ht="15" customHeight="1" x14ac:dyDescent="0.2">
      <c r="A20" s="5" t="s">
        <v>200</v>
      </c>
      <c r="B20" s="6">
        <f>+GETPIVOTDATA(" Old-Less Than 2-Year",'Pivot Table for 1-11'!$A$3,"State","MS")+GETPIVOTDATA(" Old-2 But Less Than 4-Year",'Pivot Table for 1-11'!$A$3,"State","MS")</f>
        <v>2864</v>
      </c>
      <c r="C20" s="6">
        <f>+GETPIVOTDATA(" Old-Associate's",'Pivot Table for 1-11'!$A$3,"State","MS")</f>
        <v>11633</v>
      </c>
      <c r="D20" s="6">
        <f>+GETPIVOTDATA(" Old-Bachelor's",'Pivot Table for 1-11'!$A$3,"State","MS")</f>
        <v>10975</v>
      </c>
      <c r="E20" s="6">
        <f>+GETPIVOTDATA(" Old-Post-Bachelor's",'Pivot Table for 1-11'!$A$3,"State","MS")</f>
        <v>0</v>
      </c>
      <c r="F20" s="6">
        <f>+GETPIVOTDATA(" Old-Total Master's#",'Pivot Table for 1-11'!$A$3,"State","MS")</f>
        <v>3632</v>
      </c>
      <c r="G20" s="6">
        <f>+GETPIVOTDATA(" Old-Total Doctorates#",'Pivot Table for 1-11'!$A$3,"State","MS")</f>
        <v>525</v>
      </c>
      <c r="H20" s="17">
        <f>GETPIVOTDATA(" Old-Law",'Pivot Table for 1-11'!$A$3,"State","MS")</f>
        <v>150</v>
      </c>
      <c r="I20" s="6">
        <f>GETPIVOTDATA(" Old-Medicine",'Pivot Table for 1-11'!$A$3,"State","MS")</f>
        <v>120</v>
      </c>
      <c r="J20" s="6">
        <f>GETPIVOTDATA(" Old-Dentistry",'Pivot Table for 1-11'!$A$3,"State","MS")</f>
        <v>41</v>
      </c>
      <c r="K20" s="6">
        <f>GETPIVOTDATA(" Old-Pharmacy",'Pivot Table for 1-11'!$A$3,"State","MS")</f>
        <v>98</v>
      </c>
      <c r="L20" s="6">
        <f>GETPIVOTDATA(" Old-Optometry",'Pivot Table for 1-11'!$A$3,"State","MS")</f>
        <v>0</v>
      </c>
      <c r="M20" s="6">
        <f>GETPIVOTDATA(" Old-Osteopathic Medicine",'Pivot Table for 1-11'!$A$3,"State","MS")</f>
        <v>0</v>
      </c>
      <c r="N20" s="80">
        <f>GETPIVOTDATA(" Old-Veterinary Medicine",'Pivot Table for 1-11'!$A$3,"State","MS")</f>
        <v>73</v>
      </c>
      <c r="O20" s="97">
        <f>+GETPIVOTDATA(" Old-Oth PP",'Pivot Table for 1-11'!$A$3,"State","MS")</f>
        <v>0</v>
      </c>
      <c r="P20" s="81">
        <f t="shared" si="0"/>
        <v>30111</v>
      </c>
    </row>
    <row r="21" spans="1:16" ht="15" customHeight="1" x14ac:dyDescent="0.2">
      <c r="A21" s="5" t="s">
        <v>201</v>
      </c>
      <c r="B21" s="6">
        <f>+GETPIVOTDATA(" Old-Less Than 2-Year",'Pivot Table for 1-11'!$A$3,"State","NC")+GETPIVOTDATA(" Old-2 But Less Than 4-Year",'Pivot Table for 1-11'!$A$3,"State","NC")</f>
        <v>17265</v>
      </c>
      <c r="C21" s="6">
        <f>+GETPIVOTDATA(" Old-Associate's",'Pivot Table for 1-11'!$A$3,"State","NC")</f>
        <v>22780</v>
      </c>
      <c r="D21" s="6">
        <f>+GETPIVOTDATA(" Old-Bachelor's",'Pivot Table for 1-11'!$A$3,"State","NC")</f>
        <v>34055</v>
      </c>
      <c r="E21" s="6">
        <f>+GETPIVOTDATA(" Old-Post-Bachelor's",'Pivot Table for 1-11'!$A$3,"State","NC")</f>
        <v>407</v>
      </c>
      <c r="F21" s="6">
        <f>+GETPIVOTDATA(" Old-Total Master's#",'Pivot Table for 1-11'!$A$3,"State","NC")</f>
        <v>11326</v>
      </c>
      <c r="G21" s="6">
        <f>+GETPIVOTDATA(" Old-Total Doctorates#",'Pivot Table for 1-11'!$A$3,"State","NC")</f>
        <v>1237</v>
      </c>
      <c r="H21" s="17">
        <f>GETPIVOTDATA(" Old-Law",'Pivot Table for 1-11'!$A$3,"State","NC")</f>
        <v>423</v>
      </c>
      <c r="I21" s="6">
        <f>GETPIVOTDATA(" Old-Medicine",'Pivot Table for 1-11'!$A$3,"State","NC")</f>
        <v>224</v>
      </c>
      <c r="J21" s="6">
        <f>GETPIVOTDATA(" Old-Dentistry",'Pivot Table for 1-11'!$A$3,"State","NC")</f>
        <v>81</v>
      </c>
      <c r="K21" s="6">
        <f>GETPIVOTDATA(" Old-Pharmacy",'Pivot Table for 1-11'!$A$3,"State","NC")</f>
        <v>142</v>
      </c>
      <c r="L21" s="6">
        <f>GETPIVOTDATA(" Old-Optometry",'Pivot Table for 1-11'!$A$3,"State","NC")</f>
        <v>0</v>
      </c>
      <c r="M21" s="6">
        <f>GETPIVOTDATA(" Old-Osteopathic Medicine",'Pivot Table for 1-11'!$A$3,"State","NC")</f>
        <v>0</v>
      </c>
      <c r="N21" s="80">
        <f>GETPIVOTDATA(" Old-Veterinary Medicine",'Pivot Table for 1-11'!$A$3,"State","NC")</f>
        <v>75</v>
      </c>
      <c r="O21" s="97">
        <f>+GETPIVOTDATA(" Old-Oth PP",'Pivot Table for 1-11'!$A$3,"State","NC")</f>
        <v>75</v>
      </c>
      <c r="P21" s="81">
        <f t="shared" si="0"/>
        <v>88090</v>
      </c>
    </row>
    <row r="22" spans="1:16" ht="15" customHeight="1" x14ac:dyDescent="0.2">
      <c r="A22" s="5" t="s">
        <v>202</v>
      </c>
      <c r="B22" s="6">
        <f>+GETPIVOTDATA(" Old-Less Than 2-Year",'Pivot Table for 1-11'!$A$3,"State","OK")+GETPIVOTDATA(" Old-2 But Less Than 4-Year",'Pivot Table for 1-11'!$A$3,"State","OK")</f>
        <v>12122</v>
      </c>
      <c r="C22" s="6">
        <f>+GETPIVOTDATA(" Old-Associate's",'Pivot Table for 1-11'!$A$3,"State","OK")</f>
        <v>8874</v>
      </c>
      <c r="D22" s="6">
        <f>+GETPIVOTDATA(" Old-Bachelor's",'Pivot Table for 1-11'!$A$3,"State","OK")</f>
        <v>15545</v>
      </c>
      <c r="E22" s="6">
        <f>+GETPIVOTDATA(" Old-Post-Bachelor's",'Pivot Table for 1-11'!$A$3,"State","OK")</f>
        <v>110</v>
      </c>
      <c r="F22" s="6">
        <f>+GETPIVOTDATA(" Old-Total Master's#",'Pivot Table for 1-11'!$A$3,"State","OK")</f>
        <v>4824</v>
      </c>
      <c r="G22" s="6">
        <f>+GETPIVOTDATA(" Old-Total Doctorates#",'Pivot Table for 1-11'!$A$3,"State","OK")</f>
        <v>400</v>
      </c>
      <c r="H22" s="17">
        <f>GETPIVOTDATA(" Old-Law",'Pivot Table for 1-11'!$A$3,"State","OK")</f>
        <v>160</v>
      </c>
      <c r="I22" s="6">
        <f>GETPIVOTDATA(" Old-Medicine",'Pivot Table for 1-11'!$A$3,"State","OK")</f>
        <v>164</v>
      </c>
      <c r="J22" s="6">
        <f>GETPIVOTDATA(" Old-Dentistry",'Pivot Table for 1-11'!$A$3,"State","OK")</f>
        <v>62</v>
      </c>
      <c r="K22" s="6">
        <f>GETPIVOTDATA(" Old-Pharmacy",'Pivot Table for 1-11'!$A$3,"State","OK")</f>
        <v>200</v>
      </c>
      <c r="L22" s="6">
        <f>GETPIVOTDATA(" Old-Optometry",'Pivot Table for 1-11'!$A$3,"State","OK")</f>
        <v>26</v>
      </c>
      <c r="M22" s="6">
        <f>GETPIVOTDATA(" Old-Osteopathic Medicine",'Pivot Table for 1-11'!$A$3,"State","OK")</f>
        <v>82</v>
      </c>
      <c r="N22" s="80">
        <f>GETPIVOTDATA(" Old-Veterinary Medicine",'Pivot Table for 1-11'!$A$3,"State","OK")</f>
        <v>83</v>
      </c>
      <c r="O22" s="97">
        <f>+GETPIVOTDATA(" Old-Oth PP",'Pivot Table for 1-11'!$A$3,"State","OK")</f>
        <v>167</v>
      </c>
      <c r="P22" s="81">
        <f t="shared" si="0"/>
        <v>42819</v>
      </c>
    </row>
    <row r="23" spans="1:16" ht="15" customHeight="1" x14ac:dyDescent="0.2">
      <c r="A23" s="5" t="s">
        <v>203</v>
      </c>
      <c r="B23" s="6">
        <f>+GETPIVOTDATA(" Old-Less Than 2-Year",'Pivot Table for 1-11'!$A$3,"State","SC")+GETPIVOTDATA(" Old-2 But Less Than 4-Year",'Pivot Table for 1-11'!$A$3,"State","SC")</f>
        <v>8441</v>
      </c>
      <c r="C23" s="6">
        <f>+GETPIVOTDATA(" Old-Associate's",'Pivot Table for 1-11'!$A$3,"State","SC")</f>
        <v>8341</v>
      </c>
      <c r="D23" s="6">
        <f>+GETPIVOTDATA(" Old-Bachelor's",'Pivot Table for 1-11'!$A$3,"State","SC")</f>
        <v>16155</v>
      </c>
      <c r="E23" s="6">
        <f>+GETPIVOTDATA(" Old-Post-Bachelor's",'Pivot Table for 1-11'!$A$3,"State","SC")</f>
        <v>98</v>
      </c>
      <c r="F23" s="6">
        <f>+GETPIVOTDATA(" Old-Total Master's#",'Pivot Table for 1-11'!$A$3,"State","SC")</f>
        <v>4213</v>
      </c>
      <c r="G23" s="6">
        <f>+GETPIVOTDATA(" Old-Total Doctorates#",'Pivot Table for 1-11'!$A$3,"State","SC")</f>
        <v>594</v>
      </c>
      <c r="H23" s="17">
        <f>GETPIVOTDATA(" Old-Law",'Pivot Table for 1-11'!$A$3,"State","SC")</f>
        <v>229</v>
      </c>
      <c r="I23" s="6">
        <f>GETPIVOTDATA(" Old-Medicine",'Pivot Table for 1-11'!$A$3,"State","SC")</f>
        <v>243</v>
      </c>
      <c r="J23" s="6">
        <f>GETPIVOTDATA(" Old-Dentistry",'Pivot Table for 1-11'!$A$3,"State","SC")</f>
        <v>51</v>
      </c>
      <c r="K23" s="6">
        <f>GETPIVOTDATA(" Old-Pharmacy",'Pivot Table for 1-11'!$A$3,"State","SC")</f>
        <v>180</v>
      </c>
      <c r="L23" s="6">
        <f>GETPIVOTDATA(" Old-Optometry",'Pivot Table for 1-11'!$A$3,"State","SC")</f>
        <v>0</v>
      </c>
      <c r="M23" s="6">
        <f>GETPIVOTDATA(" Old-Osteopathic Medicine",'Pivot Table for 1-11'!$A$3,"State","SC")</f>
        <v>0</v>
      </c>
      <c r="N23" s="80">
        <f>GETPIVOTDATA(" Old-Veterinary Medicine",'Pivot Table for 1-11'!$A$3,"State","SC")</f>
        <v>0</v>
      </c>
      <c r="O23" s="97">
        <f>+GETPIVOTDATA(" Old-Oth PP",'Pivot Table for 1-11'!$A$3,"State","SC")</f>
        <v>0</v>
      </c>
      <c r="P23" s="81">
        <f t="shared" si="0"/>
        <v>38545</v>
      </c>
    </row>
    <row r="24" spans="1:16" ht="15" customHeight="1" x14ac:dyDescent="0.2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0"/>
      <c r="O24" s="97"/>
      <c r="P24" s="81"/>
    </row>
    <row r="25" spans="1:16" ht="15" customHeight="1" x14ac:dyDescent="0.2">
      <c r="A25" s="5" t="s">
        <v>204</v>
      </c>
      <c r="B25" s="6">
        <f>+GETPIVOTDATA(" Old-Less Than 2-Year",'Pivot Table for 1-11'!$A$3,"State","TN")+GETPIVOTDATA(" Old-2 But Less Than 4-Year",'Pivot Table for 1-11'!$A$3,"State","TN")</f>
        <v>8270</v>
      </c>
      <c r="C25" s="6">
        <f>+GETPIVOTDATA(" Old-Associate's",'Pivot Table for 1-11'!$A$3,"State","TN")</f>
        <v>8652</v>
      </c>
      <c r="D25" s="6">
        <f>+GETPIVOTDATA(" Old-Bachelor's",'Pivot Table for 1-11'!$A$3,"State","TN")</f>
        <v>19121</v>
      </c>
      <c r="E25" s="6">
        <f>+GETPIVOTDATA(" Old-Post-Bachelor's",'Pivot Table for 1-11'!$A$3,"State","TN")</f>
        <v>0</v>
      </c>
      <c r="F25" s="6">
        <f>+GETPIVOTDATA(" Old-Total Master's#",'Pivot Table for 1-11'!$A$3,"State","TN")</f>
        <v>6412</v>
      </c>
      <c r="G25" s="6">
        <f>+GETPIVOTDATA(" Old-Total Doctorates#",'Pivot Table for 1-11'!$A$3,"State","TN")</f>
        <v>746</v>
      </c>
      <c r="H25" s="17">
        <f>GETPIVOTDATA(" Old-Law",'Pivot Table for 1-11'!$A$3,"State","TN")</f>
        <v>275</v>
      </c>
      <c r="I25" s="6">
        <f>GETPIVOTDATA(" Old-Medicine",'Pivot Table for 1-11'!$A$3,"State","TN")</f>
        <v>200</v>
      </c>
      <c r="J25" s="6">
        <f>GETPIVOTDATA(" Old-Dentistry",'Pivot Table for 1-11'!$A$3,"State","TN")</f>
        <v>83</v>
      </c>
      <c r="K25" s="6">
        <f>GETPIVOTDATA(" Old-Pharmacy",'Pivot Table for 1-11'!$A$3,"State","TN")</f>
        <v>269</v>
      </c>
      <c r="L25" s="6">
        <f>GETPIVOTDATA(" Old-Optometry",'Pivot Table for 1-11'!$A$3,"State","TN")</f>
        <v>0</v>
      </c>
      <c r="M25" s="6">
        <f>GETPIVOTDATA(" Old-Osteopathic Medicine",'Pivot Table for 1-11'!$A$3,"State","TN")</f>
        <v>0</v>
      </c>
      <c r="N25" s="80">
        <f>GETPIVOTDATA(" Old-Veterinary Medicine",'Pivot Table for 1-11'!$A$3,"State","TN")</f>
        <v>64</v>
      </c>
      <c r="O25" s="97">
        <f>+GETPIVOTDATA(" Old-Oth PP",'Pivot Table for 1-11'!$A$3,"State","TN")</f>
        <v>0</v>
      </c>
      <c r="P25" s="81">
        <f t="shared" si="0"/>
        <v>44092</v>
      </c>
    </row>
    <row r="26" spans="1:16" ht="15" customHeight="1" x14ac:dyDescent="0.2">
      <c r="A26" s="5" t="s">
        <v>205</v>
      </c>
      <c r="B26" s="6">
        <f>+GETPIVOTDATA(" Old-Less Than 2-Year",'Pivot Table for 1-11'!$A$3,"State","TX")+GETPIVOTDATA(" Old-2 But Less Than 4-Year",'Pivot Table for 1-11'!$A$3,"State","TX")</f>
        <v>29067</v>
      </c>
      <c r="C26" s="6">
        <f>+GETPIVOTDATA(" Old-Associate's",'Pivot Table for 1-11'!$A$3,"State","TX")</f>
        <v>52580</v>
      </c>
      <c r="D26" s="6">
        <f>+GETPIVOTDATA(" Old-Bachelor's",'Pivot Table for 1-11'!$A$3,"State","TX")</f>
        <v>86204</v>
      </c>
      <c r="E26" s="6">
        <f>+GETPIVOTDATA(" Old-Post-Bachelor's",'Pivot Table for 1-11'!$A$3,"State","TX")</f>
        <v>0</v>
      </c>
      <c r="F26" s="6">
        <f>+GETPIVOTDATA(" Old-Total Master's#",'Pivot Table for 1-11'!$A$3,"State","TX")</f>
        <v>33431</v>
      </c>
      <c r="G26" s="6">
        <f>+GETPIVOTDATA(" Old-Total Doctorates#",'Pivot Table for 1-11'!$A$3,"State","TX")</f>
        <v>3432</v>
      </c>
      <c r="H26" s="17">
        <f>GETPIVOTDATA(" Old-Law",'Pivot Table for 1-11'!$A$3,"State","TX")</f>
        <v>1024</v>
      </c>
      <c r="I26" s="6">
        <f>GETPIVOTDATA(" Old-Medicine",'Pivot Table for 1-11'!$A$3,"State","TX")</f>
        <v>1123</v>
      </c>
      <c r="J26" s="6">
        <f>GETPIVOTDATA(" Old-Dentistry",'Pivot Table for 1-11'!$A$3,"State","TX")</f>
        <v>289</v>
      </c>
      <c r="K26" s="6">
        <f>GETPIVOTDATA(" Old-Pharmacy",'Pivot Table for 1-11'!$A$3,"State","TX")</f>
        <v>541</v>
      </c>
      <c r="L26" s="6">
        <f>GETPIVOTDATA(" Old-Optometry",'Pivot Table for 1-11'!$A$3,"State","TX")</f>
        <v>102</v>
      </c>
      <c r="M26" s="6">
        <f>GETPIVOTDATA(" Old-Osteopathic Medicine",'Pivot Table for 1-11'!$A$3,"State","TX")</f>
        <v>159</v>
      </c>
      <c r="N26" s="80">
        <f>GETPIVOTDATA(" Old-Veterinary Medicine",'Pivot Table for 1-11'!$A$3,"State","TX")</f>
        <v>121</v>
      </c>
      <c r="O26" s="97">
        <f>+GETPIVOTDATA(" Old-Oth PP",'Pivot Table for 1-11'!$A$3,"State","TX")</f>
        <v>407</v>
      </c>
      <c r="P26" s="81">
        <f t="shared" si="0"/>
        <v>208480</v>
      </c>
    </row>
    <row r="27" spans="1:16" ht="15" customHeight="1" x14ac:dyDescent="0.2">
      <c r="A27" s="5" t="s">
        <v>206</v>
      </c>
      <c r="B27" s="6">
        <f>+GETPIVOTDATA(" Old-Less Than 2-Year",'Pivot Table for 1-11'!$A$3,"State","VA")+GETPIVOTDATA(" Old-2 But Less Than 4-Year",'Pivot Table for 1-11'!$A$3,"State","VA")</f>
        <v>11158</v>
      </c>
      <c r="C27" s="6">
        <f>+GETPIVOTDATA(" Old-Associate's",'Pivot Table for 1-11'!$A$3,"State","VA")</f>
        <v>15925</v>
      </c>
      <c r="D27" s="6">
        <f>+GETPIVOTDATA(" Old-Bachelor's",'Pivot Table for 1-11'!$A$3,"State","VA")</f>
        <v>33132</v>
      </c>
      <c r="E27" s="6">
        <f>+GETPIVOTDATA(" Old-Post-Bachelor's",'Pivot Table for 1-11'!$A$3,"State","VA")</f>
        <v>800</v>
      </c>
      <c r="F27" s="6">
        <f>+GETPIVOTDATA(" Old-Total Master's#",'Pivot Table for 1-11'!$A$3,"State","VA")</f>
        <v>11800</v>
      </c>
      <c r="G27" s="6">
        <f>+GETPIVOTDATA(" Old-Total Doctorates#",'Pivot Table for 1-11'!$A$3,"State","VA")</f>
        <v>1637</v>
      </c>
      <c r="H27" s="17">
        <f>GETPIVOTDATA(" Old-Law",'Pivot Table for 1-11'!$A$3,"State","VA")</f>
        <v>749</v>
      </c>
      <c r="I27" s="6">
        <f>GETPIVOTDATA(" Old-Medicine",'Pivot Table for 1-11'!$A$3,"State","VA")</f>
        <v>312</v>
      </c>
      <c r="J27" s="6">
        <f>GETPIVOTDATA(" Old-Dentistry",'Pivot Table for 1-11'!$A$3,"State","VA")</f>
        <v>89</v>
      </c>
      <c r="K27" s="6">
        <f>GETPIVOTDATA(" Old-Pharmacy",'Pivot Table for 1-11'!$A$3,"State","VA")</f>
        <v>136</v>
      </c>
      <c r="L27" s="6">
        <f>GETPIVOTDATA(" Old-Optometry",'Pivot Table for 1-11'!$A$3,"State","VA")</f>
        <v>0</v>
      </c>
      <c r="M27" s="6">
        <f>GETPIVOTDATA(" Old-Osteopathic Medicine",'Pivot Table for 1-11'!$A$3,"State","VA")</f>
        <v>0</v>
      </c>
      <c r="N27" s="80">
        <f>GETPIVOTDATA(" Old-Veterinary Medicine",'Pivot Table for 1-11'!$A$3,"State","VA")</f>
        <v>85</v>
      </c>
      <c r="O27" s="97">
        <f>+GETPIVOTDATA(" Old-Oth PP",'Pivot Table for 1-11'!$A$3,"State","VA")</f>
        <v>0</v>
      </c>
      <c r="P27" s="81">
        <f t="shared" si="0"/>
        <v>75823</v>
      </c>
    </row>
    <row r="28" spans="1:16" ht="15" customHeight="1" x14ac:dyDescent="0.2">
      <c r="A28" s="7" t="s">
        <v>207</v>
      </c>
      <c r="B28" s="8">
        <f>+GETPIVOTDATA(" Old-Less Than 2-Year",'Pivot Table for 1-11'!$A$3,"State","WV")+GETPIVOTDATA(" Old-2 But Less Than 4-Year",'Pivot Table for 1-11'!$A$3,"State","WV")</f>
        <v>2069</v>
      </c>
      <c r="C28" s="8">
        <f>+GETPIVOTDATA(" Old-Associate's",'Pivot Table for 1-11'!$A$3,"State","WV")</f>
        <v>2949</v>
      </c>
      <c r="D28" s="8">
        <f>+GETPIVOTDATA(" Old-Bachelor's",'Pivot Table for 1-11'!$A$3,"State","WV")</f>
        <v>8583</v>
      </c>
      <c r="E28" s="8">
        <f>+GETPIVOTDATA(" Old-Post-Bachelor's",'Pivot Table for 1-11'!$A$3,"State","WV")</f>
        <v>0</v>
      </c>
      <c r="F28" s="8">
        <f>+GETPIVOTDATA(" Old-Total Master's#",'Pivot Table for 1-11'!$A$3,"State","WV")</f>
        <v>2715</v>
      </c>
      <c r="G28" s="8">
        <f>+GETPIVOTDATA(" Old-Total Doctorates#",'Pivot Table for 1-11'!$A$3,"State","WV")</f>
        <v>178</v>
      </c>
      <c r="H28" s="18">
        <f>GETPIVOTDATA(" Old-Law",'Pivot Table for 1-11'!$A$3,"State","WV")</f>
        <v>124</v>
      </c>
      <c r="I28" s="8">
        <f>GETPIVOTDATA(" Old-Medicine",'Pivot Table for 1-11'!$A$3,"State","WV")</f>
        <v>167</v>
      </c>
      <c r="J28" s="8">
        <f>GETPIVOTDATA(" Old-Dentistry",'Pivot Table for 1-11'!$A$3,"State","WV")</f>
        <v>48</v>
      </c>
      <c r="K28" s="8">
        <f>GETPIVOTDATA(" Old-Pharmacy",'Pivot Table for 1-11'!$A$3,"State","WV")</f>
        <v>87</v>
      </c>
      <c r="L28" s="8">
        <f>GETPIVOTDATA(" Old-Optometry",'Pivot Table for 1-11'!$A$3,"State","WV")</f>
        <v>0</v>
      </c>
      <c r="M28" s="8">
        <f>GETPIVOTDATA(" Old-Osteopathic Medicine",'Pivot Table for 1-11'!$A$3,"State","WV")</f>
        <v>198</v>
      </c>
      <c r="N28" s="88">
        <f>GETPIVOTDATA(" Old-Veterinary Medicine",'Pivot Table for 1-11'!$A$3,"State","WV")</f>
        <v>0</v>
      </c>
      <c r="O28" s="98">
        <f>+GETPIVOTDATA(" Old-Oth PP",'Pivot Table for 1-11'!$A$3,"State","WV")</f>
        <v>91</v>
      </c>
      <c r="P28" s="82">
        <f t="shared" si="0"/>
        <v>17209</v>
      </c>
    </row>
    <row r="29" spans="1:16" ht="12.75" customHeight="1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0"/>
      <c r="O29" s="80"/>
      <c r="P29" s="80"/>
    </row>
    <row r="30" spans="1:16" ht="24" customHeight="1" x14ac:dyDescent="0.2">
      <c r="A30" s="856" t="s">
        <v>409</v>
      </c>
      <c r="B30" s="857"/>
      <c r="C30" s="857"/>
      <c r="D30" s="857"/>
      <c r="E30" s="857"/>
      <c r="F30" s="857"/>
      <c r="G30" s="857"/>
      <c r="H30" s="857"/>
      <c r="I30" s="857"/>
      <c r="J30" s="857"/>
      <c r="K30" s="857"/>
      <c r="L30" s="857"/>
      <c r="M30" s="857"/>
      <c r="N30" s="857"/>
      <c r="O30" s="857"/>
      <c r="P30" s="857"/>
    </row>
    <row r="31" spans="1:16" ht="15" customHeight="1" x14ac:dyDescent="0.2">
      <c r="P31" s="83" t="s">
        <v>1293</v>
      </c>
    </row>
    <row r="32" spans="1:16" ht="18" x14ac:dyDescent="0.25">
      <c r="A32" s="22" t="s">
        <v>208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8"/>
      <c r="O32" s="58"/>
      <c r="P32" s="58"/>
    </row>
    <row r="33" spans="1:1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7"/>
      <c r="O33" s="57"/>
      <c r="P33" s="57"/>
    </row>
    <row r="34" spans="1:16" ht="15.75" x14ac:dyDescent="0.25">
      <c r="A34" s="1" t="s">
        <v>181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8"/>
      <c r="O34" s="58"/>
      <c r="P34" s="58"/>
    </row>
    <row r="35" spans="1:16" ht="15.75" x14ac:dyDescent="0.25">
      <c r="A35" s="1" t="s">
        <v>479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8"/>
      <c r="O35" s="58"/>
      <c r="P35" s="58"/>
    </row>
    <row r="36" spans="1:16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59"/>
      <c r="O36" s="59"/>
      <c r="P36" s="59"/>
    </row>
    <row r="37" spans="1:16" ht="15" customHeight="1" x14ac:dyDescent="0.25">
      <c r="A37" s="91"/>
      <c r="B37" s="91"/>
      <c r="C37" s="91"/>
      <c r="D37" s="91"/>
      <c r="E37" s="91"/>
      <c r="F37" s="91"/>
      <c r="G37" s="91"/>
      <c r="H37" s="95" t="s">
        <v>410</v>
      </c>
      <c r="I37" s="26"/>
      <c r="J37" s="26"/>
      <c r="K37" s="26"/>
      <c r="L37" s="26"/>
      <c r="M37" s="26"/>
      <c r="N37" s="92"/>
      <c r="O37" s="99"/>
      <c r="P37" s="94" t="s">
        <v>216</v>
      </c>
    </row>
    <row r="38" spans="1:16" ht="39.75" customHeight="1" x14ac:dyDescent="0.2">
      <c r="A38" s="14"/>
      <c r="B38" s="15" t="s">
        <v>244</v>
      </c>
      <c r="C38" s="15" t="s">
        <v>182</v>
      </c>
      <c r="D38" s="15" t="s">
        <v>175</v>
      </c>
      <c r="E38" s="15" t="s">
        <v>176</v>
      </c>
      <c r="F38" s="15" t="s">
        <v>183</v>
      </c>
      <c r="G38" s="15" t="s">
        <v>184</v>
      </c>
      <c r="H38" s="16" t="s">
        <v>185</v>
      </c>
      <c r="I38" s="15" t="s">
        <v>186</v>
      </c>
      <c r="J38" s="15" t="s">
        <v>187</v>
      </c>
      <c r="K38" s="15" t="s">
        <v>179</v>
      </c>
      <c r="L38" s="15" t="s">
        <v>188</v>
      </c>
      <c r="M38" s="15" t="s">
        <v>189</v>
      </c>
      <c r="N38" s="90" t="s">
        <v>411</v>
      </c>
      <c r="O38" s="96" t="s">
        <v>412</v>
      </c>
      <c r="P38" s="90" t="s">
        <v>190</v>
      </c>
    </row>
    <row r="39" spans="1:16" ht="15" customHeight="1" x14ac:dyDescent="0.2">
      <c r="A39" s="5" t="s">
        <v>191</v>
      </c>
      <c r="B39" s="6">
        <f>+GETPIVOTDATA(" Old-Less Than 2-Year",'Pivot Table for 1-11'!$A$3,"SREB Type2","Four-Year")+GETPIVOTDATA(" Old-2 But Less Than 4-Year",'Pivot Table for 1-11'!$A$3,"SREB Type2","Four-Year")</f>
        <v>2090</v>
      </c>
      <c r="C39" s="6">
        <f>+GETPIVOTDATA(" Old-Associate's",'Pivot Table for 1-11'!$A$3,"SREB Type2","Four-Year")</f>
        <v>11120</v>
      </c>
      <c r="D39" s="6">
        <f>+GETPIVOTDATA(" Old-Bachelor's",'Pivot Table for 1-11'!$A$3,"SREB Type2","Four-Year")</f>
        <v>394015</v>
      </c>
      <c r="E39" s="6">
        <f>+GETPIVOTDATA(" Old-Post-Bachelor's",'Pivot Table for 1-11'!$A$3,"SREB Type2","Four-Year")</f>
        <v>2992</v>
      </c>
      <c r="F39" s="6">
        <f>+GETPIVOTDATA(" Old-Total Master's#",'Pivot Table for 1-11'!$A$3,"SREB Type2","Four-Year")</f>
        <v>133428</v>
      </c>
      <c r="G39" s="6">
        <f>+GETPIVOTDATA(" Old-Total Doctorates#",'Pivot Table for 1-11'!$A$3,"SREB Type2","Four-Year")</f>
        <v>14287</v>
      </c>
      <c r="H39" s="17">
        <f>+GETPIVOTDATA(" Old-Law",'Pivot Table for 1-11'!$A$3,"SREB Type2","Four-Year")</f>
        <v>6073</v>
      </c>
      <c r="I39" s="6">
        <f>+GETPIVOTDATA(" Old-Medicine",'Pivot Table for 1-11'!$A$3,"SREB Type2","Four-Year")</f>
        <v>1822</v>
      </c>
      <c r="J39" s="6">
        <f>+GETPIVOTDATA(" Old-Dentistry",'Pivot Table for 1-11'!$A$3,"SREB Type2","Four-Year")</f>
        <v>550</v>
      </c>
      <c r="K39" s="6">
        <f>+GETPIVOTDATA(" Old-Pharmacy",'Pivot Table for 1-11'!$A$3,"SREB Type2","Four-Year")</f>
        <v>2298</v>
      </c>
      <c r="L39" s="6">
        <f>+GETPIVOTDATA(" Old-Optometry",'Pivot Table for 1-11'!$A$3,"SREB Type2","Four-Year")</f>
        <v>171</v>
      </c>
      <c r="M39" s="6">
        <f>+GETPIVOTDATA(" Old-Osteopathic Medicine",'Pivot Table for 1-11'!$A$3,"SREB Type2","Four-Year")</f>
        <v>82</v>
      </c>
      <c r="N39" s="80">
        <f>+GETPIVOTDATA(" Old-Veterinary Medicine",'Pivot Table for 1-11'!$A$3,"SREB Type2","Four-Year")</f>
        <v>875</v>
      </c>
      <c r="O39" s="97">
        <f>+GETPIVOTDATA(" Old-Oth PP",'Pivot Table for 1-11'!$A$3,"SREB Type2","Four-Year")</f>
        <v>1490</v>
      </c>
      <c r="P39" s="81">
        <f>SUM(B39:O39)</f>
        <v>571293</v>
      </c>
    </row>
    <row r="40" spans="1:16" ht="15" customHeight="1" x14ac:dyDescent="0.2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0"/>
      <c r="O40" s="97"/>
      <c r="P40" s="81"/>
    </row>
    <row r="41" spans="1:16" ht="15" customHeight="1" x14ac:dyDescent="0.2">
      <c r="A41" s="5" t="s">
        <v>192</v>
      </c>
      <c r="B41" s="6">
        <f>+GETPIVOTDATA(" Old-Less Than 2-Year",'Pivot Table for 1-11'!$A$3,"State","AL","SREB Type2","Four-Year")+GETPIVOTDATA(" Old-2 But Less Than 4-Year",'Pivot Table for 1-11'!$A$3,"State","AL","SREB Type2","Four-Year")</f>
        <v>150</v>
      </c>
      <c r="C41" s="6">
        <f>+GETPIVOTDATA(" Old-Associate's",'Pivot Table for 1-11'!$A$3,"State","AL","SREB Type2","Four-Year")</f>
        <v>275</v>
      </c>
      <c r="D41" s="6">
        <f>+GETPIVOTDATA(" Old-Bachelor's",'Pivot Table for 1-11'!$A$3,"State","AL","SREB Type2","Four-Year")</f>
        <v>20902</v>
      </c>
      <c r="E41" s="6">
        <f>+GETPIVOTDATA(" Old-Post-Bachelor's",'Pivot Table for 1-11'!$A$3,"State","AL","SREB Type2","Four-Year")</f>
        <v>113</v>
      </c>
      <c r="F41" s="6">
        <f>+GETPIVOTDATA(" Old-Total Master's#",'Pivot Table for 1-11'!$A$3,"State","AL","SREB Type2","Four-Year")</f>
        <v>8877</v>
      </c>
      <c r="G41" s="6">
        <f>+GETPIVOTDATA(" Old-Total Doctorates#",'Pivot Table for 1-11'!$A$3,"State","AL","SREB Type2","Four-Year")</f>
        <v>601</v>
      </c>
      <c r="H41" s="17">
        <f>+GETPIVOTDATA(" Old-Law",'Pivot Table for 1-11'!$A$3,"State","AL","SREB Type2","Four-Year")</f>
        <v>159</v>
      </c>
      <c r="I41" s="6">
        <f>+GETPIVOTDATA(" Old-Medicine",'Pivot Table for 1-11'!$A$3,"State","AL","SREB Type2","Four-Year")</f>
        <v>229</v>
      </c>
      <c r="J41" s="6">
        <f>+GETPIVOTDATA(" Old-Dentistry",'Pivot Table for 1-11'!$A$3,"State","AL","SREB Type2","Four-Year")</f>
        <v>58</v>
      </c>
      <c r="K41" s="6">
        <f>+GETPIVOTDATA(" Old-Pharmacy",'Pivot Table for 1-11'!$A$3,"State","AL","SREB Type2","Four-Year")</f>
        <v>133</v>
      </c>
      <c r="L41" s="6">
        <f>+GETPIVOTDATA(" Old-Optometry",'Pivot Table for 1-11'!$A$3,"State","AL","SREB Type2","Four-Year")</f>
        <v>43</v>
      </c>
      <c r="M41" s="6">
        <f>+GETPIVOTDATA(" Old-Osteopathic Medicine",'Pivot Table for 1-11'!$A$3,"State","AL","SREB Type2","Four-Year")</f>
        <v>0</v>
      </c>
      <c r="N41" s="80">
        <f>+GETPIVOTDATA(" Old-Veterinary Medicine",'Pivot Table for 1-11'!$A$3,"State","AL","SREB Type2","Four-Year")</f>
        <v>90</v>
      </c>
      <c r="O41" s="97">
        <f>+GETPIVOTDATA(" Old-Oth PP",'Pivot Table for 1-11'!$A$3,"State","AL","SREB Type2","Four-Year")</f>
        <v>330</v>
      </c>
      <c r="P41" s="81">
        <f>SUM(B41:O41)</f>
        <v>31960</v>
      </c>
    </row>
    <row r="42" spans="1:16" ht="15" customHeight="1" x14ac:dyDescent="0.2">
      <c r="A42" s="5" t="s">
        <v>193</v>
      </c>
      <c r="B42" s="6">
        <f>+GETPIVOTDATA(" Old-Less Than 2-Year",'Pivot Table for 1-11'!$A$3,"State","AR","SREB Type2","Four-Year")+GETPIVOTDATA(" Old-2 But Less Than 4-Year",'Pivot Table for 1-11'!$A$3,"State","AR","SREB Type2","Four-Year")</f>
        <v>1134</v>
      </c>
      <c r="C42" s="6">
        <f>+GETPIVOTDATA(" Old-Associate's",'Pivot Table for 1-11'!$A$3,"State","AR","SREB Type2","Four-Year")</f>
        <v>3577</v>
      </c>
      <c r="D42" s="6">
        <f>+GETPIVOTDATA(" Old-Bachelor's",'Pivot Table for 1-11'!$A$3,"State","AR","SREB Type2","Four-Year")</f>
        <v>10409</v>
      </c>
      <c r="E42" s="6">
        <f>+GETPIVOTDATA(" Old-Post-Bachelor's",'Pivot Table for 1-11'!$A$3,"State","AR","SREB Type2","Four-Year")</f>
        <v>251</v>
      </c>
      <c r="F42" s="6">
        <f>+GETPIVOTDATA(" Old-Total Master's#",'Pivot Table for 1-11'!$A$3,"State","AR","SREB Type2","Four-Year")</f>
        <v>4189</v>
      </c>
      <c r="G42" s="6">
        <f>+GETPIVOTDATA(" Old-Total Doctorates#",'Pivot Table for 1-11'!$A$3,"State","AR","SREB Type2","Four-Year")</f>
        <v>204</v>
      </c>
      <c r="H42" s="17">
        <f>+GETPIVOTDATA(" Old-Law",'Pivot Table for 1-11'!$A$3,"State","AR","SREB Type2","Four-Year")</f>
        <v>266</v>
      </c>
      <c r="I42" s="6">
        <f>+GETPIVOTDATA(" Old-Medicine",'Pivot Table for 1-11'!$A$3,"State","AR","SREB Type2","Four-Year")</f>
        <v>0</v>
      </c>
      <c r="J42" s="6">
        <f>+GETPIVOTDATA(" Old-Dentistry",'Pivot Table for 1-11'!$A$3,"State","AR","SREB Type2","Four-Year")</f>
        <v>0</v>
      </c>
      <c r="K42" s="6">
        <f>+GETPIVOTDATA(" Old-Pharmacy",'Pivot Table for 1-11'!$A$3,"State","AR","SREB Type2","Four-Year")</f>
        <v>0</v>
      </c>
      <c r="L42" s="6">
        <f>+GETPIVOTDATA(" Old-Optometry",'Pivot Table for 1-11'!$A$3,"State","AR","SREB Type2","Four-Year")</f>
        <v>0</v>
      </c>
      <c r="M42" s="6">
        <f>+GETPIVOTDATA(" Old-Osteopathic Medicine",'Pivot Table for 1-11'!$A$3,"State","AR","SREB Type2","Four-Year")</f>
        <v>0</v>
      </c>
      <c r="N42" s="80">
        <f>+GETPIVOTDATA(" Old-Veterinary Medicine",'Pivot Table for 1-11'!$A$3,"State","AR","SREB Type2","Four-Year")</f>
        <v>0</v>
      </c>
      <c r="O42" s="97">
        <f>+GETPIVOTDATA(" Old-Oth PP",'Pivot Table for 1-11'!$A$3,"State","AR","SREB Type2","Four-Year")</f>
        <v>55</v>
      </c>
      <c r="P42" s="81">
        <f>SUM(B42:O42)</f>
        <v>20085</v>
      </c>
    </row>
    <row r="43" spans="1:16" ht="15" customHeight="1" x14ac:dyDescent="0.2">
      <c r="A43" s="5" t="s">
        <v>194</v>
      </c>
      <c r="B43" s="6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6">
        <f>+GETPIVOTDATA(" Old-Associate's",'Pivot Table for 1-11'!$A$3,"State","DE","SREB Type2","Four-Year")</f>
        <v>252</v>
      </c>
      <c r="D43" s="6">
        <f>+GETPIVOTDATA(" Old-Bachelor's",'Pivot Table for 1-11'!$A$3,"State","DE","SREB Type2","Four-Year")</f>
        <v>4118</v>
      </c>
      <c r="E43" s="6">
        <f>+GETPIVOTDATA(" Old-Post-Bachelor's",'Pivot Table for 1-11'!$A$3,"State","DE","SREB Type2","Four-Year")</f>
        <v>0</v>
      </c>
      <c r="F43" s="6">
        <f>+GETPIVOTDATA(" Old-Total Master's#",'Pivot Table for 1-11'!$A$3,"State","DE","SREB Type2","Four-Year")</f>
        <v>925</v>
      </c>
      <c r="G43" s="6">
        <f>+GETPIVOTDATA(" Old-Total Doctorates#",'Pivot Table for 1-11'!$A$3,"State","DE","SREB Type2","Four-Year")</f>
        <v>216</v>
      </c>
      <c r="H43" s="17">
        <f>+GETPIVOTDATA(" Old-Law",'Pivot Table for 1-11'!$A$3,"State","DE","SREB Type2","Four-Year")</f>
        <v>0</v>
      </c>
      <c r="I43" s="6">
        <f>+GETPIVOTDATA(" Old-Medicine",'Pivot Table for 1-11'!$A$3,"State","DE","SREB Type2","Four-Year")</f>
        <v>0</v>
      </c>
      <c r="J43" s="6">
        <f>+GETPIVOTDATA(" Old-Dentistry",'Pivot Table for 1-11'!$A$3,"State","DE","SREB Type2","Four-Year")</f>
        <v>0</v>
      </c>
      <c r="K43" s="6">
        <f>+GETPIVOTDATA(" Old-Pharmacy",'Pivot Table for 1-11'!$A$3,"State","DE","SREB Type2","Four-Year")</f>
        <v>0</v>
      </c>
      <c r="L43" s="6">
        <f>+GETPIVOTDATA(" Old-Optometry",'Pivot Table for 1-11'!$A$3,"State","DE","SREB Type2","Four-Year")</f>
        <v>0</v>
      </c>
      <c r="M43" s="6">
        <f>+GETPIVOTDATA(" Old-Osteopathic Medicine",'Pivot Table for 1-11'!$A$3,"State","DE","SREB Type2","Four-Year")</f>
        <v>0</v>
      </c>
      <c r="N43" s="80">
        <f>+GETPIVOTDATA(" Old-Veterinary Medicine",'Pivot Table for 1-11'!$A$3,"State","DE","SREB Type2","Four-Year")</f>
        <v>0</v>
      </c>
      <c r="O43" s="97">
        <f>+GETPIVOTDATA(" Old-Oth PP",'Pivot Table for 1-11'!$A$3,"State","DE","SREB Type2","Four-Year")</f>
        <v>41</v>
      </c>
      <c r="P43" s="81">
        <f>SUM(B43:O43)</f>
        <v>5552</v>
      </c>
    </row>
    <row r="44" spans="1:16" ht="15" customHeight="1" x14ac:dyDescent="0.2">
      <c r="A44" s="5" t="s">
        <v>195</v>
      </c>
      <c r="B44" s="6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6">
        <f>+GETPIVOTDATA(" Old-Associate's",'Pivot Table for 1-11'!$A$3,"State","FL","SREB Type2","Four-Year")</f>
        <v>1923</v>
      </c>
      <c r="D44" s="6">
        <f>+GETPIVOTDATA(" Old-Bachelor's",'Pivot Table for 1-11'!$A$3,"State","FL","SREB Type2","Four-Year")</f>
        <v>54614</v>
      </c>
      <c r="E44" s="6">
        <f>+GETPIVOTDATA(" Old-Post-Bachelor's",'Pivot Table for 1-11'!$A$3,"State","FL","SREB Type2","Four-Year")</f>
        <v>166</v>
      </c>
      <c r="F44" s="6">
        <f>+GETPIVOTDATA(" Old-Total Master's#",'Pivot Table for 1-11'!$A$3,"State","FL","SREB Type2","Four-Year")</f>
        <v>16641</v>
      </c>
      <c r="G44" s="6">
        <f>+GETPIVOTDATA(" Old-Total Doctorates#",'Pivot Table for 1-11'!$A$3,"State","FL","SREB Type2","Four-Year")</f>
        <v>2369</v>
      </c>
      <c r="H44" s="17">
        <f>+GETPIVOTDATA(" Old-Law",'Pivot Table for 1-11'!$A$3,"State","FL","SREB Type2","Four-Year")</f>
        <v>1023</v>
      </c>
      <c r="I44" s="6">
        <f>+GETPIVOTDATA(" Old-Medicine",'Pivot Table for 1-11'!$A$3,"State","FL","SREB Type2","Four-Year")</f>
        <v>349</v>
      </c>
      <c r="J44" s="6">
        <f>+GETPIVOTDATA(" Old-Dentistry",'Pivot Table for 1-11'!$A$3,"State","FL","SREB Type2","Four-Year")</f>
        <v>83</v>
      </c>
      <c r="K44" s="6">
        <f>+GETPIVOTDATA(" Old-Pharmacy",'Pivot Table for 1-11'!$A$3,"State","FL","SREB Type2","Four-Year")</f>
        <v>623</v>
      </c>
      <c r="L44" s="6">
        <f>+GETPIVOTDATA(" Old-Optometry",'Pivot Table for 1-11'!$A$3,"State","FL","SREB Type2","Four-Year")</f>
        <v>0</v>
      </c>
      <c r="M44" s="6">
        <f>+GETPIVOTDATA(" Old-Osteopathic Medicine",'Pivot Table for 1-11'!$A$3,"State","FL","SREB Type2","Four-Year")</f>
        <v>0</v>
      </c>
      <c r="N44" s="80">
        <f>+GETPIVOTDATA(" Old-Veterinary Medicine",'Pivot Table for 1-11'!$A$3,"State","FL","SREB Type2","Four-Year")</f>
        <v>87</v>
      </c>
      <c r="O44" s="97">
        <f>+GETPIVOTDATA(" Old-Oth PP",'Pivot Table for 1-11'!$A$3,"State","FL","SREB Type2","Four-Year")</f>
        <v>368</v>
      </c>
      <c r="P44" s="81">
        <f>SUM(B44:O44)</f>
        <v>78246</v>
      </c>
    </row>
    <row r="45" spans="1:16" ht="15" customHeight="1" x14ac:dyDescent="0.2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0"/>
      <c r="O45" s="97"/>
      <c r="P45" s="81"/>
    </row>
    <row r="46" spans="1:16" ht="15" customHeight="1" x14ac:dyDescent="0.2">
      <c r="A46" s="5" t="s">
        <v>196</v>
      </c>
      <c r="B46" s="6">
        <f>+GETPIVOTDATA(" Old-Less Than 2-Year",'Pivot Table for 1-11'!$A$3,"State","GA","SREB Type2","Four-Year")+GETPIVOTDATA(" Old-2 But Less Than 4-Year",'Pivot Table for 1-11'!$A$3,"State","GA","SREB Type2","Four-Year")</f>
        <v>368</v>
      </c>
      <c r="C46" s="6">
        <f>+GETPIVOTDATA(" Old-Associate's",'Pivot Table for 1-11'!$A$3,"State","GA","SREB Type2","Four-Year")</f>
        <v>702</v>
      </c>
      <c r="D46" s="6">
        <f>+GETPIVOTDATA(" Old-Bachelor's",'Pivot Table for 1-11'!$A$3,"State","GA","SREB Type2","Four-Year")</f>
        <v>30932</v>
      </c>
      <c r="E46" s="6">
        <f>+GETPIVOTDATA(" Old-Post-Bachelor's",'Pivot Table for 1-11'!$A$3,"State","GA","SREB Type2","Four-Year")</f>
        <v>169</v>
      </c>
      <c r="F46" s="6">
        <f>+GETPIVOTDATA(" Old-Total Master's#",'Pivot Table for 1-11'!$A$3,"State","GA","SREB Type2","Four-Year")</f>
        <v>11069</v>
      </c>
      <c r="G46" s="6">
        <f>+GETPIVOTDATA(" Old-Total Doctorates#",'Pivot Table for 1-11'!$A$3,"State","GA","SREB Type2","Four-Year")</f>
        <v>1266</v>
      </c>
      <c r="H46" s="17">
        <f>+GETPIVOTDATA(" Old-Law",'Pivot Table for 1-11'!$A$3,"State","GA","SREB Type2","Four-Year")</f>
        <v>415</v>
      </c>
      <c r="I46" s="6">
        <f>+GETPIVOTDATA(" Old-Medicine",'Pivot Table for 1-11'!$A$3,"State","GA","SREB Type2","Four-Year")</f>
        <v>0</v>
      </c>
      <c r="J46" s="6">
        <f>+GETPIVOTDATA(" Old-Dentistry",'Pivot Table for 1-11'!$A$3,"State","GA","SREB Type2","Four-Year")</f>
        <v>0</v>
      </c>
      <c r="K46" s="6">
        <f>+GETPIVOTDATA(" Old-Pharmacy",'Pivot Table for 1-11'!$A$3,"State","GA","SREB Type2","Four-Year")</f>
        <v>122</v>
      </c>
      <c r="L46" s="6">
        <f>+GETPIVOTDATA(" Old-Optometry",'Pivot Table for 1-11'!$A$3,"State","GA","SREB Type2","Four-Year")</f>
        <v>0</v>
      </c>
      <c r="M46" s="6">
        <f>+GETPIVOTDATA(" Old-Osteopathic Medicine",'Pivot Table for 1-11'!$A$3,"State","GA","SREB Type2","Four-Year")</f>
        <v>0</v>
      </c>
      <c r="N46" s="80">
        <f>+GETPIVOTDATA(" Old-Veterinary Medicine",'Pivot Table for 1-11'!$A$3,"State","GA","SREB Type2","Four-Year")</f>
        <v>97</v>
      </c>
      <c r="O46" s="97">
        <f>+GETPIVOTDATA(" Old-Oth PP",'Pivot Table for 1-11'!$A$3,"State","GA","SREB Type2","Four-Year")</f>
        <v>0</v>
      </c>
      <c r="P46" s="81">
        <f>SUM(B46:O46)</f>
        <v>45140</v>
      </c>
    </row>
    <row r="47" spans="1:16" ht="15" customHeight="1" x14ac:dyDescent="0.2">
      <c r="A47" s="5" t="s">
        <v>197</v>
      </c>
      <c r="B47" s="6">
        <f>+GETPIVOTDATA(" Old-Less Than 2-Year",'Pivot Table for 1-11'!$A$3,"State","KY","SREB Type2","Four-Year")+GETPIVOTDATA(" Old-2 But Less Than 4-Year",'Pivot Table for 1-11'!$A$3,"State","KY","SREB Type2","Four-Year")</f>
        <v>185</v>
      </c>
      <c r="C47" s="6">
        <f>+GETPIVOTDATA(" Old-Associate's",'Pivot Table for 1-11'!$A$3,"State","KY","SREB Type2","Four-Year")</f>
        <v>795</v>
      </c>
      <c r="D47" s="6">
        <f>+GETPIVOTDATA(" Old-Bachelor's",'Pivot Table for 1-11'!$A$3,"State","KY","SREB Type2","Four-Year")</f>
        <v>15887</v>
      </c>
      <c r="E47" s="6">
        <f>+GETPIVOTDATA(" Old-Post-Bachelor's",'Pivot Table for 1-11'!$A$3,"State","KY","SREB Type2","Four-Year")</f>
        <v>294</v>
      </c>
      <c r="F47" s="6">
        <f>+GETPIVOTDATA(" Old-Total Master's#",'Pivot Table for 1-11'!$A$3,"State","KY","SREB Type2","Four-Year")</f>
        <v>5873</v>
      </c>
      <c r="G47" s="6">
        <f>+GETPIVOTDATA(" Old-Total Doctorates#",'Pivot Table for 1-11'!$A$3,"State","KY","SREB Type2","Four-Year")</f>
        <v>424</v>
      </c>
      <c r="H47" s="17">
        <f>+GETPIVOTDATA(" Old-Law",'Pivot Table for 1-11'!$A$3,"State","KY","SREB Type2","Four-Year")</f>
        <v>457</v>
      </c>
      <c r="I47" s="6">
        <f>+GETPIVOTDATA(" Old-Medicine",'Pivot Table for 1-11'!$A$3,"State","KY","SREB Type2","Four-Year")</f>
        <v>237</v>
      </c>
      <c r="J47" s="6">
        <f>+GETPIVOTDATA(" Old-Dentistry",'Pivot Table for 1-11'!$A$3,"State","KY","SREB Type2","Four-Year")</f>
        <v>129</v>
      </c>
      <c r="K47" s="6">
        <f>+GETPIVOTDATA(" Old-Pharmacy",'Pivot Table for 1-11'!$A$3,"State","KY","SREB Type2","Four-Year")</f>
        <v>124</v>
      </c>
      <c r="L47" s="6">
        <f>+GETPIVOTDATA(" Old-Optometry",'Pivot Table for 1-11'!$A$3,"State","KY","SREB Type2","Four-Year")</f>
        <v>0</v>
      </c>
      <c r="M47" s="6">
        <f>+GETPIVOTDATA(" Old-Osteopathic Medicine",'Pivot Table for 1-11'!$A$3,"State","KY","SREB Type2","Four-Year")</f>
        <v>0</v>
      </c>
      <c r="N47" s="80">
        <f>+GETPIVOTDATA(" Old-Veterinary Medicine",'Pivot Table for 1-11'!$A$3,"State","KY","SREB Type2","Four-Year")</f>
        <v>0</v>
      </c>
      <c r="O47" s="97">
        <f>+GETPIVOTDATA(" Old-Oth PP",'Pivot Table for 1-11'!$A$3,"State","KY","SREB Type2","Four-Year")</f>
        <v>134</v>
      </c>
      <c r="P47" s="81">
        <f>SUM(B47:O47)</f>
        <v>24539</v>
      </c>
    </row>
    <row r="48" spans="1:16" ht="15" customHeight="1" x14ac:dyDescent="0.2">
      <c r="A48" s="5" t="s">
        <v>198</v>
      </c>
      <c r="B48" s="6">
        <f>+GETPIVOTDATA(" Old-Less Than 2-Year",'Pivot Table for 1-11'!$A$3,"State","LA","SREB Type2","Four-Year")+GETPIVOTDATA(" Old-2 But Less Than 4-Year",'Pivot Table for 1-11'!$A$3,"State","LA","SREB Type2","Four-Year")</f>
        <v>15</v>
      </c>
      <c r="C48" s="6">
        <f>+GETPIVOTDATA(" Old-Associate's",'Pivot Table for 1-11'!$A$3,"State","LA","SREB Type2","Four-Year")</f>
        <v>1582</v>
      </c>
      <c r="D48" s="6">
        <f>+GETPIVOTDATA(" Old-Bachelor's",'Pivot Table for 1-11'!$A$3,"State","LA","SREB Type2","Four-Year")</f>
        <v>17994</v>
      </c>
      <c r="E48" s="6">
        <f>+GETPIVOTDATA(" Old-Post-Bachelor's",'Pivot Table for 1-11'!$A$3,"State","LA","SREB Type2","Four-Year")</f>
        <v>125</v>
      </c>
      <c r="F48" s="6">
        <f>+GETPIVOTDATA(" Old-Total Master's#",'Pivot Table for 1-11'!$A$3,"State","LA","SREB Type2","Four-Year")</f>
        <v>4417</v>
      </c>
      <c r="G48" s="6">
        <f>+GETPIVOTDATA(" Old-Total Doctorates#",'Pivot Table for 1-11'!$A$3,"State","LA","SREB Type2","Four-Year")</f>
        <v>363</v>
      </c>
      <c r="H48" s="17">
        <f>+GETPIVOTDATA(" Old-Law",'Pivot Table for 1-11'!$A$3,"State","LA","SREB Type2","Four-Year")</f>
        <v>325</v>
      </c>
      <c r="I48" s="6">
        <f>+GETPIVOTDATA(" Old-Medicine",'Pivot Table for 1-11'!$A$3,"State","LA","SREB Type2","Four-Year")</f>
        <v>0</v>
      </c>
      <c r="J48" s="6">
        <f>+GETPIVOTDATA(" Old-Dentistry",'Pivot Table for 1-11'!$A$3,"State","LA","SREB Type2","Four-Year")</f>
        <v>0</v>
      </c>
      <c r="K48" s="6">
        <f>+GETPIVOTDATA(" Old-Pharmacy",'Pivot Table for 1-11'!$A$3,"State","LA","SREB Type2","Four-Year")</f>
        <v>101</v>
      </c>
      <c r="L48" s="6">
        <f>+GETPIVOTDATA(" Old-Optometry",'Pivot Table for 1-11'!$A$3,"State","LA","SREB Type2","Four-Year")</f>
        <v>0</v>
      </c>
      <c r="M48" s="6">
        <f>+GETPIVOTDATA(" Old-Osteopathic Medicine",'Pivot Table for 1-11'!$A$3,"State","LA","SREB Type2","Four-Year")</f>
        <v>0</v>
      </c>
      <c r="N48" s="80">
        <f>+GETPIVOTDATA(" Old-Veterinary Medicine",'Pivot Table for 1-11'!$A$3,"State","LA","SREB Type2","Four-Year")</f>
        <v>75</v>
      </c>
      <c r="O48" s="97">
        <f>+GETPIVOTDATA(" Old-Oth PP",'Pivot Table for 1-11'!$A$3,"State","LA","SREB Type2","Four-Year")</f>
        <v>0</v>
      </c>
      <c r="P48" s="81">
        <f>SUM(B48:O48)</f>
        <v>24997</v>
      </c>
    </row>
    <row r="49" spans="1:16" ht="15" customHeight="1" x14ac:dyDescent="0.2">
      <c r="A49" s="5" t="s">
        <v>199</v>
      </c>
      <c r="B49" s="6">
        <f>+GETPIVOTDATA(" Old-Less Than 2-Year",'Pivot Table for 1-11'!$A$3,"State","MD","SREB Type2","Four-Year")+GETPIVOTDATA(" Old-2 But Less Than 4-Year",'Pivot Table for 1-11'!$A$3,"State","MD","SREB Type2","Four-Year")</f>
        <v>201</v>
      </c>
      <c r="C49" s="6">
        <f>+GETPIVOTDATA(" Old-Associate's",'Pivot Table for 1-11'!$A$3,"State","MD","SREB Type2","Four-Year")</f>
        <v>0</v>
      </c>
      <c r="D49" s="6">
        <f>+GETPIVOTDATA(" Old-Bachelor's",'Pivot Table for 1-11'!$A$3,"State","MD","SREB Type2","Four-Year")</f>
        <v>18821</v>
      </c>
      <c r="E49" s="6">
        <f>+GETPIVOTDATA(" Old-Post-Bachelor's",'Pivot Table for 1-11'!$A$3,"State","MD","SREB Type2","Four-Year")</f>
        <v>465</v>
      </c>
      <c r="F49" s="6">
        <f>+GETPIVOTDATA(" Old-Total Master's#",'Pivot Table for 1-11'!$A$3,"State","MD","SREB Type2","Four-Year")</f>
        <v>5505</v>
      </c>
      <c r="G49" s="6">
        <f>+GETPIVOTDATA(" Old-Total Doctorates#",'Pivot Table for 1-11'!$A$3,"State","MD","SREB Type2","Four-Year")</f>
        <v>755</v>
      </c>
      <c r="H49" s="17">
        <f>+GETPIVOTDATA(" Old-Law",'Pivot Table for 1-11'!$A$3,"State","MD","SREB Type2","Four-Year")</f>
        <v>294</v>
      </c>
      <c r="I49" s="6">
        <f>+GETPIVOTDATA(" Old-Medicine",'Pivot Table for 1-11'!$A$3,"State","MD","SREB Type2","Four-Year")</f>
        <v>0</v>
      </c>
      <c r="J49" s="6">
        <f>+GETPIVOTDATA(" Old-Dentistry",'Pivot Table for 1-11'!$A$3,"State","MD","SREB Type2","Four-Year")</f>
        <v>0</v>
      </c>
      <c r="K49" s="6">
        <f>+GETPIVOTDATA(" Old-Pharmacy",'Pivot Table for 1-11'!$A$3,"State","MD","SREB Type2","Four-Year")</f>
        <v>0</v>
      </c>
      <c r="L49" s="6">
        <f>+GETPIVOTDATA(" Old-Optometry",'Pivot Table for 1-11'!$A$3,"State","MD","SREB Type2","Four-Year")</f>
        <v>0</v>
      </c>
      <c r="M49" s="6">
        <f>+GETPIVOTDATA(" Old-Osteopathic Medicine",'Pivot Table for 1-11'!$A$3,"State","MD","SREB Type2","Four-Year")</f>
        <v>0</v>
      </c>
      <c r="N49" s="80">
        <f>+GETPIVOTDATA(" Old-Veterinary Medicine",'Pivot Table for 1-11'!$A$3,"State","MD","SREB Type2","Four-Year")</f>
        <v>25</v>
      </c>
      <c r="O49" s="97">
        <f>+GETPIVOTDATA(" Old-Oth PP",'Pivot Table for 1-11'!$A$3,"State","MD","SREB Type2","Four-Year")</f>
        <v>37</v>
      </c>
      <c r="P49" s="81">
        <f>SUM(B49:O49)</f>
        <v>26103</v>
      </c>
    </row>
    <row r="50" spans="1:16" ht="15" customHeight="1" x14ac:dyDescent="0.2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0"/>
      <c r="O50" s="97"/>
      <c r="P50" s="81"/>
    </row>
    <row r="51" spans="1:16" ht="15" customHeight="1" x14ac:dyDescent="0.2">
      <c r="A51" s="5" t="s">
        <v>200</v>
      </c>
      <c r="B51" s="6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6">
        <f>+GETPIVOTDATA(" Old-Associate's",'Pivot Table for 1-11'!$A$3,"State","MS","SREB Type2","Four-Year")</f>
        <v>85</v>
      </c>
      <c r="D51" s="6">
        <f>+GETPIVOTDATA(" Old-Bachelor's",'Pivot Table for 1-11'!$A$3,"State","MS","SREB Type2","Four-Year")</f>
        <v>10712</v>
      </c>
      <c r="E51" s="6">
        <f>+GETPIVOTDATA(" Old-Post-Bachelor's",'Pivot Table for 1-11'!$A$3,"State","MS","SREB Type2","Four-Year")</f>
        <v>0</v>
      </c>
      <c r="F51" s="6">
        <f>+GETPIVOTDATA(" Old-Total Master's#",'Pivot Table for 1-11'!$A$3,"State","MS","SREB Type2","Four-Year")</f>
        <v>3510</v>
      </c>
      <c r="G51" s="6">
        <f>+GETPIVOTDATA(" Old-Total Doctorates#",'Pivot Table for 1-11'!$A$3,"State","MS","SREB Type2","Four-Year")</f>
        <v>433</v>
      </c>
      <c r="H51" s="17">
        <f>+GETPIVOTDATA(" Old-Law",'Pivot Table for 1-11'!$A$3,"State","MS","SREB Type2","Four-Year")</f>
        <v>150</v>
      </c>
      <c r="I51" s="6">
        <f>+GETPIVOTDATA(" Old-Medicine",'Pivot Table for 1-11'!$A$3,"State","MS","SREB Type2","Four-Year")</f>
        <v>0</v>
      </c>
      <c r="J51" s="6">
        <f>+GETPIVOTDATA(" Old-Dentistry",'Pivot Table for 1-11'!$A$3,"State","MS","SREB Type2","Four-Year")</f>
        <v>0</v>
      </c>
      <c r="K51" s="6">
        <f>+GETPIVOTDATA(" Old-Pharmacy",'Pivot Table for 1-11'!$A$3,"State","MS","SREB Type2","Four-Year")</f>
        <v>98</v>
      </c>
      <c r="L51" s="6">
        <f>+GETPIVOTDATA(" Old-Optometry",'Pivot Table for 1-11'!$A$3,"State","MS","SREB Type2","Four-Year")</f>
        <v>0</v>
      </c>
      <c r="M51" s="6">
        <f>+GETPIVOTDATA(" Old-Osteopathic Medicine",'Pivot Table for 1-11'!$A$3,"State","MS","SREB Type2","Four-Year")</f>
        <v>0</v>
      </c>
      <c r="N51" s="80">
        <f>+GETPIVOTDATA(" Old-Veterinary Medicine",'Pivot Table for 1-11'!$A$3,"State","MS","SREB Type2","Four-Year")</f>
        <v>73</v>
      </c>
      <c r="O51" s="97">
        <f>+GETPIVOTDATA(" Old-Oth PP",'Pivot Table for 1-11'!$A$3,"State","MS","SREB Type2","Four-Year")</f>
        <v>0</v>
      </c>
      <c r="P51" s="81">
        <f>SUM(B51:O51)</f>
        <v>15061</v>
      </c>
    </row>
    <row r="52" spans="1:16" ht="15" customHeight="1" x14ac:dyDescent="0.2">
      <c r="A52" s="5" t="s">
        <v>201</v>
      </c>
      <c r="B52" s="6">
        <f>+GETPIVOTDATA(" Old-Less Than 2-Year",'Pivot Table for 1-11'!$A$3,"State","NC","SREB Type2","Four-Year")+GETPIVOTDATA(" Old-2 But Less Than 4-Year",'Pivot Table for 1-11'!$A$3,"State","NC","SREB Type2","Four-Year")</f>
        <v>4</v>
      </c>
      <c r="C52" s="6">
        <f>+GETPIVOTDATA(" Old-Associate's",'Pivot Table for 1-11'!$A$3,"State","NC","SREB Type2","Four-Year")</f>
        <v>127</v>
      </c>
      <c r="D52" s="6">
        <f>+GETPIVOTDATA(" Old-Bachelor's",'Pivot Table for 1-11'!$A$3,"State","NC","SREB Type2","Four-Year")</f>
        <v>33901</v>
      </c>
      <c r="E52" s="6">
        <f>+GETPIVOTDATA(" Old-Post-Bachelor's",'Pivot Table for 1-11'!$A$3,"State","NC","SREB Type2","Four-Year")</f>
        <v>407</v>
      </c>
      <c r="F52" s="6">
        <f>+GETPIVOTDATA(" Old-Total Master's#",'Pivot Table for 1-11'!$A$3,"State","NC","SREB Type2","Four-Year")</f>
        <v>11276</v>
      </c>
      <c r="G52" s="6">
        <f>+GETPIVOTDATA(" Old-Total Doctorates#",'Pivot Table for 1-11'!$A$3,"State","NC","SREB Type2","Four-Year")</f>
        <v>1237</v>
      </c>
      <c r="H52" s="17">
        <f>+GETPIVOTDATA(" Old-Law",'Pivot Table for 1-11'!$A$3,"State","NC","SREB Type2","Four-Year")</f>
        <v>423</v>
      </c>
      <c r="I52" s="6">
        <f>+GETPIVOTDATA(" Old-Medicine",'Pivot Table for 1-11'!$A$3,"State","NC","SREB Type2","Four-Year")</f>
        <v>224</v>
      </c>
      <c r="J52" s="6">
        <f>+GETPIVOTDATA(" Old-Dentistry",'Pivot Table for 1-11'!$A$3,"State","NC","SREB Type2","Four-Year")</f>
        <v>81</v>
      </c>
      <c r="K52" s="6">
        <f>+GETPIVOTDATA(" Old-Pharmacy",'Pivot Table for 1-11'!$A$3,"State","NC","SREB Type2","Four-Year")</f>
        <v>142</v>
      </c>
      <c r="L52" s="6">
        <f>+GETPIVOTDATA(" Old-Optometry",'Pivot Table for 1-11'!$A$3,"State","NC","SREB Type2","Four-Year")</f>
        <v>0</v>
      </c>
      <c r="M52" s="6">
        <f>+GETPIVOTDATA(" Old-Osteopathic Medicine",'Pivot Table for 1-11'!$A$3,"State","NC","SREB Type2","Four-Year")</f>
        <v>0</v>
      </c>
      <c r="N52" s="80">
        <f>+GETPIVOTDATA(" Old-Veterinary Medicine",'Pivot Table for 1-11'!$A$3,"State","NC","SREB Type2","Four-Year")</f>
        <v>75</v>
      </c>
      <c r="O52" s="97">
        <f>+GETPIVOTDATA(" Old-Oth PP",'Pivot Table for 1-11'!$A$3,"State","NC","SREB Type2","Four-Year")</f>
        <v>75</v>
      </c>
      <c r="P52" s="81">
        <f>SUM(B52:O52)</f>
        <v>47972</v>
      </c>
    </row>
    <row r="53" spans="1:16" ht="15" customHeight="1" x14ac:dyDescent="0.2">
      <c r="A53" s="5" t="s">
        <v>202</v>
      </c>
      <c r="B53" s="6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6">
        <f>+GETPIVOTDATA(" Old-Associate's",'Pivot Table for 1-11'!$A$3,"State","OK","SREB Type2","Four-Year")</f>
        <v>694</v>
      </c>
      <c r="D53" s="6">
        <f>+GETPIVOTDATA(" Old-Bachelor's",'Pivot Table for 1-11'!$A$3,"State","OK","SREB Type2","Four-Year")</f>
        <v>15489</v>
      </c>
      <c r="E53" s="6">
        <f>+GETPIVOTDATA(" Old-Post-Bachelor's",'Pivot Table for 1-11'!$A$3,"State","OK","SREB Type2","Four-Year")</f>
        <v>110</v>
      </c>
      <c r="F53" s="6">
        <f>+GETPIVOTDATA(" Old-Total Master's#",'Pivot Table for 1-11'!$A$3,"State","OK","SREB Type2","Four-Year")</f>
        <v>4824</v>
      </c>
      <c r="G53" s="6">
        <f>+GETPIVOTDATA(" Old-Total Doctorates#",'Pivot Table for 1-11'!$A$3,"State","OK","SREB Type2","Four-Year")</f>
        <v>400</v>
      </c>
      <c r="H53" s="17">
        <f>+GETPIVOTDATA(" Old-Law",'Pivot Table for 1-11'!$A$3,"State","OK","SREB Type2","Four-Year")</f>
        <v>160</v>
      </c>
      <c r="I53" s="6">
        <f>+GETPIVOTDATA(" Old-Medicine",'Pivot Table for 1-11'!$A$3,"State","OK","SREB Type2","Four-Year")</f>
        <v>164</v>
      </c>
      <c r="J53" s="6">
        <f>+GETPIVOTDATA(" Old-Dentistry",'Pivot Table for 1-11'!$A$3,"State","OK","SREB Type2","Four-Year")</f>
        <v>62</v>
      </c>
      <c r="K53" s="6">
        <f>+GETPIVOTDATA(" Old-Pharmacy",'Pivot Table for 1-11'!$A$3,"State","OK","SREB Type2","Four-Year")</f>
        <v>200</v>
      </c>
      <c r="L53" s="6">
        <f>+GETPIVOTDATA(" Old-Optometry",'Pivot Table for 1-11'!$A$3,"State","OK","SREB Type2","Four-Year")</f>
        <v>26</v>
      </c>
      <c r="M53" s="6">
        <f>+GETPIVOTDATA(" Old-Osteopathic Medicine",'Pivot Table for 1-11'!$A$3,"State","OK","SREB Type2","Four-Year")</f>
        <v>82</v>
      </c>
      <c r="N53" s="80">
        <f>+GETPIVOTDATA(" Old-Veterinary Medicine",'Pivot Table for 1-11'!$A$3,"State","OK","SREB Type2","Four-Year")</f>
        <v>83</v>
      </c>
      <c r="O53" s="97">
        <f>+GETPIVOTDATA(" Old-Oth PP",'Pivot Table for 1-11'!$A$3,"State","OK","SREB Type2","Four-Year")</f>
        <v>167</v>
      </c>
      <c r="P53" s="81">
        <f>SUM(B53:O53)</f>
        <v>22461</v>
      </c>
    </row>
    <row r="54" spans="1:16" ht="15" customHeight="1" x14ac:dyDescent="0.2">
      <c r="A54" s="5" t="s">
        <v>203</v>
      </c>
      <c r="B54" s="6">
        <f>+GETPIVOTDATA(" Old-Less Than 2-Year",'Pivot Table for 1-11'!$A$3,"State","SC","SREB Type2","Four-Year")+GETPIVOTDATA(" Old-2 But Less Than 4-Year",'Pivot Table for 1-11'!$A$3,"State","SC","SREB Type2","Four-Year")</f>
        <v>20</v>
      </c>
      <c r="C54" s="6">
        <f>+GETPIVOTDATA(" Old-Associate's",'Pivot Table for 1-11'!$A$3,"State","SC","SREB Type2","Four-Year")</f>
        <v>9</v>
      </c>
      <c r="D54" s="6">
        <f>+GETPIVOTDATA(" Old-Bachelor's",'Pivot Table for 1-11'!$A$3,"State","SC","SREB Type2","Four-Year")</f>
        <v>15966</v>
      </c>
      <c r="E54" s="6">
        <f>+GETPIVOTDATA(" Old-Post-Bachelor's",'Pivot Table for 1-11'!$A$3,"State","SC","SREB Type2","Four-Year")</f>
        <v>92</v>
      </c>
      <c r="F54" s="6">
        <f>+GETPIVOTDATA(" Old-Total Master's#",'Pivot Table for 1-11'!$A$3,"State","SC","SREB Type2","Four-Year")</f>
        <v>3996</v>
      </c>
      <c r="G54" s="6">
        <f>+GETPIVOTDATA(" Old-Total Doctorates#",'Pivot Table for 1-11'!$A$3,"State","SC","SREB Type2","Four-Year")</f>
        <v>498</v>
      </c>
      <c r="H54" s="17">
        <f>+GETPIVOTDATA(" Old-Law",'Pivot Table for 1-11'!$A$3,"State","SC","SREB Type2","Four-Year")</f>
        <v>229</v>
      </c>
      <c r="I54" s="6">
        <f>+GETPIVOTDATA(" Old-Medicine",'Pivot Table for 1-11'!$A$3,"State","SC","SREB Type2","Four-Year")</f>
        <v>80</v>
      </c>
      <c r="J54" s="6">
        <f>+GETPIVOTDATA(" Old-Dentistry",'Pivot Table for 1-11'!$A$3,"State","SC","SREB Type2","Four-Year")</f>
        <v>0</v>
      </c>
      <c r="K54" s="6">
        <f>+GETPIVOTDATA(" Old-Pharmacy",'Pivot Table for 1-11'!$A$3,"State","SC","SREB Type2","Four-Year")</f>
        <v>105</v>
      </c>
      <c r="L54" s="6">
        <f>+GETPIVOTDATA(" Old-Optometry",'Pivot Table for 1-11'!$A$3,"State","SC","SREB Type2","Four-Year")</f>
        <v>0</v>
      </c>
      <c r="M54" s="6">
        <f>+GETPIVOTDATA(" Old-Osteopathic Medicine",'Pivot Table for 1-11'!$A$3,"State","SC","SREB Type2","Four-Year")</f>
        <v>0</v>
      </c>
      <c r="N54" s="80">
        <f>+GETPIVOTDATA(" Old-Veterinary Medicine",'Pivot Table for 1-11'!$A$3,"State","SC","SREB Type2","Four-Year")</f>
        <v>0</v>
      </c>
      <c r="O54" s="97">
        <f>+GETPIVOTDATA(" Old-Oth PP",'Pivot Table for 1-11'!$A$3,"State","SC","SREB Type2","Four-Year")</f>
        <v>0</v>
      </c>
      <c r="P54" s="81">
        <f>SUM(B54:O54)</f>
        <v>20995</v>
      </c>
    </row>
    <row r="55" spans="1:16" ht="15" customHeight="1" x14ac:dyDescent="0.2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0"/>
      <c r="O55" s="97"/>
      <c r="P55" s="81"/>
    </row>
    <row r="56" spans="1:16" ht="15" customHeight="1" x14ac:dyDescent="0.2">
      <c r="A56" s="5" t="s">
        <v>204</v>
      </c>
      <c r="B56" s="6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6">
        <f>+GETPIVOTDATA(" Old-Associate's",'Pivot Table for 1-11'!$A$3,"State","TN","SREB Type2","Four-Year")</f>
        <v>340</v>
      </c>
      <c r="D56" s="6">
        <f>+GETPIVOTDATA(" Old-Bachelor's",'Pivot Table for 1-11'!$A$3,"State","TN","SREB Type2","Four-Year")</f>
        <v>19076</v>
      </c>
      <c r="E56" s="6">
        <f>+GETPIVOTDATA(" Old-Post-Bachelor's",'Pivot Table for 1-11'!$A$3,"State","TN","SREB Type2","Four-Year")</f>
        <v>0</v>
      </c>
      <c r="F56" s="6">
        <f>+GETPIVOTDATA(" Old-Total Master's#",'Pivot Table for 1-11'!$A$3,"State","TN","SREB Type2","Four-Year")</f>
        <v>6238</v>
      </c>
      <c r="G56" s="6">
        <f>+GETPIVOTDATA(" Old-Total Doctorates#",'Pivot Table for 1-11'!$A$3,"State","TN","SREB Type2","Four-Year")</f>
        <v>645</v>
      </c>
      <c r="H56" s="17">
        <f>+GETPIVOTDATA(" Old-Law",'Pivot Table for 1-11'!$A$3,"State","TN","SREB Type2","Four-Year")</f>
        <v>275</v>
      </c>
      <c r="I56" s="6">
        <f>+GETPIVOTDATA(" Old-Medicine",'Pivot Table for 1-11'!$A$3,"State","TN","SREB Type2","Four-Year")</f>
        <v>60</v>
      </c>
      <c r="J56" s="6">
        <f>+GETPIVOTDATA(" Old-Dentistry",'Pivot Table for 1-11'!$A$3,"State","TN","SREB Type2","Four-Year")</f>
        <v>0</v>
      </c>
      <c r="K56" s="6">
        <f>+GETPIVOTDATA(" Old-Pharmacy",'Pivot Table for 1-11'!$A$3,"State","TN","SREB Type2","Four-Year")</f>
        <v>72</v>
      </c>
      <c r="L56" s="6">
        <f>+GETPIVOTDATA(" Old-Optometry",'Pivot Table for 1-11'!$A$3,"State","TN","SREB Type2","Four-Year")</f>
        <v>0</v>
      </c>
      <c r="M56" s="6">
        <f>+GETPIVOTDATA(" Old-Osteopathic Medicine",'Pivot Table for 1-11'!$A$3,"State","TN","SREB Type2","Four-Year")</f>
        <v>0</v>
      </c>
      <c r="N56" s="80">
        <f>+GETPIVOTDATA(" Old-Veterinary Medicine",'Pivot Table for 1-11'!$A$3,"State","TN","SREB Type2","Four-Year")</f>
        <v>64</v>
      </c>
      <c r="O56" s="97">
        <f>+GETPIVOTDATA(" Old-Oth PP",'Pivot Table for 1-11'!$A$3,"State","TN","SREB Type2","Four-Year")</f>
        <v>0</v>
      </c>
      <c r="P56" s="81">
        <f>SUM(B56:O56)</f>
        <v>26770</v>
      </c>
    </row>
    <row r="57" spans="1:16" ht="15" customHeight="1" x14ac:dyDescent="0.2">
      <c r="A57" s="5" t="s">
        <v>205</v>
      </c>
      <c r="B57" s="6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6">
        <f>+GETPIVOTDATA(" Old-Associate's",'Pivot Table for 1-11'!$A$3,"State","TX","SREB Type2","Four-Year")</f>
        <v>292</v>
      </c>
      <c r="D57" s="6">
        <f>+GETPIVOTDATA(" Old-Bachelor's",'Pivot Table for 1-11'!$A$3,"State","TX","SREB Type2","Four-Year")</f>
        <v>83998</v>
      </c>
      <c r="E57" s="6">
        <f>+GETPIVOTDATA(" Old-Post-Bachelor's",'Pivot Table for 1-11'!$A$3,"State","TX","SREB Type2","Four-Year")</f>
        <v>0</v>
      </c>
      <c r="F57" s="6">
        <f>+GETPIVOTDATA(" Old-Total Master's#",'Pivot Table for 1-11'!$A$3,"State","TX","SREB Type2","Four-Year")</f>
        <v>31573</v>
      </c>
      <c r="G57" s="6">
        <f>+GETPIVOTDATA(" Old-Total Doctorates#",'Pivot Table for 1-11'!$A$3,"State","TX","SREB Type2","Four-Year")</f>
        <v>3061</v>
      </c>
      <c r="H57" s="17">
        <f>+GETPIVOTDATA(" Old-Law",'Pivot Table for 1-11'!$A$3,"State","TX","SREB Type2","Four-Year")</f>
        <v>1024</v>
      </c>
      <c r="I57" s="6">
        <f>+GETPIVOTDATA(" Old-Medicine",'Pivot Table for 1-11'!$A$3,"State","TX","SREB Type2","Four-Year")</f>
        <v>0</v>
      </c>
      <c r="J57" s="6">
        <f>+GETPIVOTDATA(" Old-Dentistry",'Pivot Table for 1-11'!$A$3,"State","TX","SREB Type2","Four-Year")</f>
        <v>0</v>
      </c>
      <c r="K57" s="6">
        <f>+GETPIVOTDATA(" Old-Pharmacy",'Pivot Table for 1-11'!$A$3,"State","TX","SREB Type2","Four-Year")</f>
        <v>355</v>
      </c>
      <c r="L57" s="6">
        <f>+GETPIVOTDATA(" Old-Optometry",'Pivot Table for 1-11'!$A$3,"State","TX","SREB Type2","Four-Year")</f>
        <v>102</v>
      </c>
      <c r="M57" s="6">
        <f>+GETPIVOTDATA(" Old-Osteopathic Medicine",'Pivot Table for 1-11'!$A$3,"State","TX","SREB Type2","Four-Year")</f>
        <v>0</v>
      </c>
      <c r="N57" s="80">
        <f>+GETPIVOTDATA(" Old-Veterinary Medicine",'Pivot Table for 1-11'!$A$3,"State","TX","SREB Type2","Four-Year")</f>
        <v>121</v>
      </c>
      <c r="O57" s="97">
        <f>+GETPIVOTDATA(" Old-Oth PP",'Pivot Table for 1-11'!$A$3,"State","TX","SREB Type2","Four-Year")</f>
        <v>192</v>
      </c>
      <c r="P57" s="81">
        <f>SUM(B57:O57)</f>
        <v>120718</v>
      </c>
    </row>
    <row r="58" spans="1:16" ht="15" customHeight="1" x14ac:dyDescent="0.2">
      <c r="A58" s="5" t="s">
        <v>206</v>
      </c>
      <c r="B58" s="6">
        <f>+GETPIVOTDATA(" Old-Less Than 2-Year",'Pivot Table for 1-11'!$A$3,"State","VA","SREB Type2","Four-Year")+GETPIVOTDATA(" Old-2 But Less Than 4-Year",'Pivot Table for 1-11'!$A$3,"State","VA","SREB Type2","Four-Year")</f>
        <v>13</v>
      </c>
      <c r="C58" s="6">
        <f>+GETPIVOTDATA(" Old-Associate's",'Pivot Table for 1-11'!$A$3,"State","VA","SREB Type2","Four-Year")</f>
        <v>133</v>
      </c>
      <c r="D58" s="6">
        <f>+GETPIVOTDATA(" Old-Bachelor's",'Pivot Table for 1-11'!$A$3,"State","VA","SREB Type2","Four-Year")</f>
        <v>32808</v>
      </c>
      <c r="E58" s="6">
        <f>+GETPIVOTDATA(" Old-Post-Bachelor's",'Pivot Table for 1-11'!$A$3,"State","VA","SREB Type2","Four-Year")</f>
        <v>800</v>
      </c>
      <c r="F58" s="6">
        <f>+GETPIVOTDATA(" Old-Total Master's#",'Pivot Table for 1-11'!$A$3,"State","VA","SREB Type2","Four-Year")</f>
        <v>11800</v>
      </c>
      <c r="G58" s="6">
        <f>+GETPIVOTDATA(" Old-Total Doctorates#",'Pivot Table for 1-11'!$A$3,"State","VA","SREB Type2","Four-Year")</f>
        <v>1637</v>
      </c>
      <c r="H58" s="17">
        <f>+GETPIVOTDATA(" Old-Law",'Pivot Table for 1-11'!$A$3,"State","VA","SREB Type2","Four-Year")</f>
        <v>749</v>
      </c>
      <c r="I58" s="6">
        <f>+GETPIVOTDATA(" Old-Medicine",'Pivot Table for 1-11'!$A$3,"State","VA","SREB Type2","Four-Year")</f>
        <v>312</v>
      </c>
      <c r="J58" s="6">
        <f>+GETPIVOTDATA(" Old-Dentistry",'Pivot Table for 1-11'!$A$3,"State","VA","SREB Type2","Four-Year")</f>
        <v>89</v>
      </c>
      <c r="K58" s="6">
        <f>+GETPIVOTDATA(" Old-Pharmacy",'Pivot Table for 1-11'!$A$3,"State","VA","SREB Type2","Four-Year")</f>
        <v>136</v>
      </c>
      <c r="L58" s="6">
        <f>+GETPIVOTDATA(" Old-Optometry",'Pivot Table for 1-11'!$A$3,"State","VA","SREB Type2","Four-Year")</f>
        <v>0</v>
      </c>
      <c r="M58" s="6">
        <f>+GETPIVOTDATA(" Old-Osteopathic Medicine",'Pivot Table for 1-11'!$A$3,"State","VA","SREB Type2","Four-Year")</f>
        <v>0</v>
      </c>
      <c r="N58" s="80">
        <f>+GETPIVOTDATA(" Old-Veterinary Medicine",'Pivot Table for 1-11'!$A$3,"State","VA","SREB Type2","Four-Year")</f>
        <v>85</v>
      </c>
      <c r="O58" s="97">
        <f>+GETPIVOTDATA(" Old-Oth PP",'Pivot Table for 1-11'!$A$3,"State","VA","SREB Type2","Four-Year")</f>
        <v>0</v>
      </c>
      <c r="P58" s="81">
        <f>SUM(B58:O58)</f>
        <v>48562</v>
      </c>
    </row>
    <row r="59" spans="1:16" ht="15" customHeight="1" x14ac:dyDescent="0.2">
      <c r="A59" s="7" t="s">
        <v>207</v>
      </c>
      <c r="B59" s="8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8">
        <f>+GETPIVOTDATA(" Old-Associate's",'Pivot Table for 1-11'!$A$3,"State","WV","SREB Type2","Four-Year")</f>
        <v>334</v>
      </c>
      <c r="D59" s="8">
        <f>+GETPIVOTDATA(" Old-Bachelor's",'Pivot Table for 1-11'!$A$3,"State","WV","SREB Type2","Four-Year")</f>
        <v>8388</v>
      </c>
      <c r="E59" s="8">
        <f>+GETPIVOTDATA(" Old-Post-Bachelor's",'Pivot Table for 1-11'!$A$3,"State","WV","SREB Type2","Four-Year")</f>
        <v>0</v>
      </c>
      <c r="F59" s="8">
        <f>+GETPIVOTDATA(" Old-Total Master's#",'Pivot Table for 1-11'!$A$3,"State","WV","SREB Type2","Four-Year")</f>
        <v>2715</v>
      </c>
      <c r="G59" s="8">
        <f>+GETPIVOTDATA(" Old-Total Doctorates#",'Pivot Table for 1-11'!$A$3,"State","WV","SREB Type2","Four-Year")</f>
        <v>178</v>
      </c>
      <c r="H59" s="18">
        <f>+GETPIVOTDATA(" Old-Law",'Pivot Table for 1-11'!$A$3,"State","WV","SREB Type2","Four-Year")</f>
        <v>124</v>
      </c>
      <c r="I59" s="8">
        <f>+GETPIVOTDATA(" Old-Medicine",'Pivot Table for 1-11'!$A$3,"State","WV","SREB Type2","Four-Year")</f>
        <v>167</v>
      </c>
      <c r="J59" s="8">
        <f>+GETPIVOTDATA(" Old-Dentistry",'Pivot Table for 1-11'!$A$3,"State","WV","SREB Type2","Four-Year")</f>
        <v>48</v>
      </c>
      <c r="K59" s="8">
        <f>+GETPIVOTDATA(" Old-Pharmacy",'Pivot Table for 1-11'!$A$3,"State","WV","SREB Type2","Four-Year")</f>
        <v>87</v>
      </c>
      <c r="L59" s="8">
        <f>+GETPIVOTDATA(" Old-Optometry",'Pivot Table for 1-11'!$A$3,"State","WV","SREB Type2","Four-Year")</f>
        <v>0</v>
      </c>
      <c r="M59" s="8">
        <f>+GETPIVOTDATA(" Old-Osteopathic Medicine",'Pivot Table for 1-11'!$A$3,"State","WV","SREB Type2","Four-Year")</f>
        <v>0</v>
      </c>
      <c r="N59" s="88">
        <f>+GETPIVOTDATA(" Old-Veterinary Medicine",'Pivot Table for 1-11'!$A$3,"State","WV","SREB Type2","Four-Year")</f>
        <v>0</v>
      </c>
      <c r="O59" s="98">
        <f>+GETPIVOTDATA(" Old-Oth PP",'Pivot Table for 1-11'!$A$3,"State","WV","SREB Type2","Four-Year")</f>
        <v>91</v>
      </c>
      <c r="P59" s="82">
        <f>SUM(B59:O59)</f>
        <v>12132</v>
      </c>
    </row>
    <row r="60" spans="1:16" x14ac:dyDescent="0.2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0"/>
      <c r="O60" s="80"/>
      <c r="P60" s="80"/>
    </row>
    <row r="61" spans="1:16" ht="24" customHeight="1" x14ac:dyDescent="0.2">
      <c r="A61" s="856" t="s">
        <v>409</v>
      </c>
      <c r="B61" s="857"/>
      <c r="C61" s="857"/>
      <c r="D61" s="857"/>
      <c r="E61" s="857"/>
      <c r="F61" s="857"/>
      <c r="G61" s="857"/>
      <c r="H61" s="857"/>
      <c r="I61" s="857"/>
      <c r="J61" s="857"/>
      <c r="K61" s="857"/>
      <c r="L61" s="857"/>
      <c r="M61" s="857"/>
      <c r="N61" s="857"/>
      <c r="O61" s="857"/>
      <c r="P61" s="857"/>
    </row>
    <row r="62" spans="1:16" ht="15" customHeight="1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63"/>
      <c r="O62" s="63"/>
      <c r="P62" s="63"/>
    </row>
    <row r="63" spans="1:16" x14ac:dyDescent="0.2">
      <c r="P63" s="83" t="s">
        <v>1293</v>
      </c>
    </row>
    <row r="64" spans="1:16" ht="18" x14ac:dyDescent="0.25">
      <c r="A64" s="22" t="s">
        <v>209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8"/>
      <c r="O64" s="58"/>
      <c r="P64" s="58"/>
    </row>
    <row r="65" spans="1:1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7"/>
      <c r="O65" s="57"/>
      <c r="P65" s="57"/>
    </row>
    <row r="66" spans="1:16" ht="15.75" x14ac:dyDescent="0.25">
      <c r="A66" s="1" t="s">
        <v>181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8"/>
      <c r="O66" s="58"/>
      <c r="P66" s="58"/>
    </row>
    <row r="67" spans="1:16" ht="15.75" x14ac:dyDescent="0.25">
      <c r="A67" s="1" t="s">
        <v>480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8"/>
      <c r="O67" s="58"/>
      <c r="P67" s="58"/>
    </row>
    <row r="68" spans="1:16" ht="1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59"/>
      <c r="O68" s="59"/>
      <c r="P68" s="59"/>
    </row>
    <row r="69" spans="1:16" ht="15.75" x14ac:dyDescent="0.25">
      <c r="A69" s="91"/>
      <c r="B69" s="91"/>
      <c r="C69" s="91"/>
      <c r="D69" s="91"/>
      <c r="E69" s="91"/>
      <c r="F69" s="91"/>
      <c r="G69" s="91"/>
      <c r="H69" s="95" t="s">
        <v>410</v>
      </c>
      <c r="I69" s="26"/>
      <c r="J69" s="26"/>
      <c r="K69" s="26"/>
      <c r="L69" s="26"/>
      <c r="M69" s="26"/>
      <c r="N69" s="92"/>
      <c r="O69" s="99"/>
      <c r="P69" s="94" t="s">
        <v>216</v>
      </c>
    </row>
    <row r="70" spans="1:16" ht="36.75" customHeight="1" x14ac:dyDescent="0.2">
      <c r="A70" s="14"/>
      <c r="B70" s="15" t="s">
        <v>244</v>
      </c>
      <c r="C70" s="15" t="s">
        <v>182</v>
      </c>
      <c r="D70" s="15" t="s">
        <v>175</v>
      </c>
      <c r="E70" s="15" t="s">
        <v>176</v>
      </c>
      <c r="F70" s="15" t="s">
        <v>183</v>
      </c>
      <c r="G70" s="15" t="s">
        <v>184</v>
      </c>
      <c r="H70" s="16" t="s">
        <v>185</v>
      </c>
      <c r="I70" s="15" t="s">
        <v>186</v>
      </c>
      <c r="J70" s="15" t="s">
        <v>187</v>
      </c>
      <c r="K70" s="15" t="s">
        <v>179</v>
      </c>
      <c r="L70" s="15" t="s">
        <v>188</v>
      </c>
      <c r="M70" s="15" t="s">
        <v>189</v>
      </c>
      <c r="N70" s="90" t="s">
        <v>411</v>
      </c>
      <c r="O70" s="96" t="s">
        <v>412</v>
      </c>
      <c r="P70" s="90" t="s">
        <v>190</v>
      </c>
    </row>
    <row r="71" spans="1:16" ht="15" customHeight="1" x14ac:dyDescent="0.2">
      <c r="A71" s="5" t="s">
        <v>191</v>
      </c>
      <c r="B71" s="6">
        <f>+GETPIVOTDATA(" Old-Less Than 2-Year",'Pivot Table for 1-11'!$A$3,"SREB Type",1,"SREB Type2","Four-Year")+GETPIVOTDATA(" Old-2 But Less Than 4-Year",'Pivot Table for 1-11'!$A$3,"SREB Type",1,"SREB Type2","Four-Year")</f>
        <v>123</v>
      </c>
      <c r="C71" s="6">
        <f>+GETPIVOTDATA(" Old-Associate's",'Pivot Table for 1-11'!$A$3,"SREB Type",1,"SREB Type2","Four-Year")</f>
        <v>1317</v>
      </c>
      <c r="D71" s="6">
        <f>+GETPIVOTDATA(" Old-Bachelor's",'Pivot Table for 1-11'!$A$3,"SREB Type",1,"SREB Type2","Four-Year")</f>
        <v>188848</v>
      </c>
      <c r="E71" s="6">
        <f>+GETPIVOTDATA(" Old-Post-Bachelor's",'Pivot Table for 1-11'!$A$3,"SREB Type",1,"SREB Type2","Four-Year")</f>
        <v>1298</v>
      </c>
      <c r="F71" s="6">
        <f>+GETPIVOTDATA(" Old-Total Master's#",'Pivot Table for 1-11'!$A$3,"SREB Type",1,"SREB Type2","Four-Year")</f>
        <v>66611</v>
      </c>
      <c r="G71" s="6">
        <f>+GETPIVOTDATA(" Old-Total Doctorates#",'Pivot Table for 1-11'!$A$3,"SREB Type",1,"SREB Type2","Four-Year")</f>
        <v>11322</v>
      </c>
      <c r="H71" s="17">
        <f>+GETPIVOTDATA(" Old-Law",'Pivot Table for 1-11'!$A$3,"SREB Type",1,"SREB Type2","Four-Year")</f>
        <v>4453</v>
      </c>
      <c r="I71" s="6">
        <f>+GETPIVOTDATA(" Old-Medicine",'Pivot Table for 1-11'!$A$3,"SREB Type",1,"SREB Type2","Four-Year")</f>
        <v>1215</v>
      </c>
      <c r="J71" s="6">
        <f>+GETPIVOTDATA(" Old-Dentistry",'Pivot Table for 1-11'!$A$3,"SREB Type",1,"SREB Type2","Four-Year")</f>
        <v>403</v>
      </c>
      <c r="K71" s="6">
        <f>+GETPIVOTDATA(" Old-Pharmacy",'Pivot Table for 1-11'!$A$3,"SREB Type",1,"SREB Type2","Four-Year")</f>
        <v>1560</v>
      </c>
      <c r="L71" s="6">
        <f>+GETPIVOTDATA(" Old-Optometry",'Pivot Table for 1-11'!$A$3,"SREB Type",1,"SREB Type2","Four-Year")</f>
        <v>102</v>
      </c>
      <c r="M71" s="6">
        <f>+GETPIVOTDATA(" Old-Osteopathic Medicine",'Pivot Table for 1-11'!$A$3,"SREB Type",1,"SREB Type2","Four-Year")</f>
        <v>82</v>
      </c>
      <c r="N71" s="80">
        <f>+GETPIVOTDATA(" Old-Veterinary Medicine",'Pivot Table for 1-11'!$A$3,"SREB Type",1,"SREB Type2","Four-Year")</f>
        <v>875</v>
      </c>
      <c r="O71" s="97">
        <f>+GETPIVOTDATA(" Old-Oth PP",'Pivot Table for 1-11'!$A$3,"SREB Type",1,"SREB Type2","Four-Year")</f>
        <v>826</v>
      </c>
      <c r="P71" s="81">
        <f t="shared" ref="P71" si="1">SUM(B71:O71)</f>
        <v>279035</v>
      </c>
    </row>
    <row r="72" spans="1:16" ht="15" customHeight="1" x14ac:dyDescent="0.2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0"/>
      <c r="O72" s="97"/>
      <c r="P72" s="81"/>
    </row>
    <row r="73" spans="1:16" ht="15" customHeight="1" x14ac:dyDescent="0.2">
      <c r="A73" s="5" t="s">
        <v>192</v>
      </c>
      <c r="B73" s="6">
        <f>GETPIVOTDATA(" Old-Less Than 2-Year",'Pivot Table for 1-11'!$A$3,"State","AL","SREB Type",1,"SREB Type2","Four-Year")+GETPIVOTDATA(" Old-2 But Less Than 4-Year",'Pivot Table for 1-11'!$A$3,"State","AL","SREB Type",1,"SREB Type2","Four-Year")</f>
        <v>0</v>
      </c>
      <c r="C73" s="6">
        <f>+GETPIVOTDATA(" Old-Associate's",'Pivot Table for 1-11'!$A$3,"State","AL","SREB Type",1,"SREB Type2","Four-Year")</f>
        <v>0</v>
      </c>
      <c r="D73" s="6">
        <f>+GETPIVOTDATA(" Old-Bachelor's",'Pivot Table for 1-11'!$A$3,"State","AL","SREB Type",1,"SREB Type2","Four-Year")</f>
        <v>8620</v>
      </c>
      <c r="E73" s="6">
        <f>+GETPIVOTDATA(" Old-Post-Bachelor's",'Pivot Table for 1-11'!$A$3,"State","AL","SREB Type",1,"SREB Type2","Four-Year")</f>
        <v>40</v>
      </c>
      <c r="F73" s="6">
        <f>+GETPIVOTDATA(" Old-Total Master's#",'Pivot Table for 1-11'!$A$3,"State","AL","SREB Type",1,"SREB Type2","Four-Year")</f>
        <v>2634</v>
      </c>
      <c r="G73" s="6">
        <f>+GETPIVOTDATA(" Old-Total Doctorates#",'Pivot Table for 1-11'!$A$3,"State","AL","SREB Type",1,"SREB Type2","Four-Year")</f>
        <v>394</v>
      </c>
      <c r="H73" s="17">
        <f>+GETPIVOTDATA(" Old-Law",'Pivot Table for 1-11'!$A$3,"State","AL","SREB Type",1,"SREB Type2","Four-Year")</f>
        <v>159</v>
      </c>
      <c r="I73" s="6">
        <f>+GETPIVOTDATA(" Old-Medicine",'Pivot Table for 1-11'!$A$3,"State","AL","SREB Type",1,"SREB Type2","Four-Year")</f>
        <v>0</v>
      </c>
      <c r="J73" s="6">
        <f>+GETPIVOTDATA(" Old-Dentistry",'Pivot Table for 1-11'!$A$3,"State","AL","SREB Type",1,"SREB Type2","Four-Year")</f>
        <v>0</v>
      </c>
      <c r="K73" s="6">
        <f>+GETPIVOTDATA(" Old-Pharmacy",'Pivot Table for 1-11'!$A$3,"State","AL","SREB Type",1,"SREB Type2","Four-Year")</f>
        <v>133</v>
      </c>
      <c r="L73" s="6">
        <f>+GETPIVOTDATA(" Old-Optometry",'Pivot Table for 1-11'!$A$3,"State","AL","SREB Type",1,"SREB Type2","Four-Year")</f>
        <v>0</v>
      </c>
      <c r="M73" s="6">
        <f>+GETPIVOTDATA(" Old-Osteopathic Medicine",'Pivot Table for 1-11'!$A$3,"State","AL","SREB Type",1,"SREB Type2","Four-Year")</f>
        <v>0</v>
      </c>
      <c r="N73" s="80">
        <f>+GETPIVOTDATA(" Old-Veterinary Medicine",'Pivot Table for 1-11'!$A$3,"State","AL","SREB Type",1,"SREB Type2","Four-Year")</f>
        <v>90</v>
      </c>
      <c r="O73" s="97">
        <f>+GETPIVOTDATA(" Old-Oth PP",'Pivot Table for 1-11'!$A$3,"State","AL","SREB Type",1,"SREB Type2","Four-Year")</f>
        <v>58</v>
      </c>
      <c r="P73" s="81">
        <f t="shared" ref="P73:P91" si="2">SUM(B73:O73)</f>
        <v>12128</v>
      </c>
    </row>
    <row r="74" spans="1:16" ht="15" customHeight="1" x14ac:dyDescent="0.2">
      <c r="A74" s="5" t="s">
        <v>193</v>
      </c>
      <c r="B74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74" s="6">
        <f>+GETPIVOTDATA(" Old-Associate's",'Pivot Table for 1-11'!$A$3,"State","AR","SREB Type",1,"SREB Type2","Four-Year")</f>
        <v>0</v>
      </c>
      <c r="D74" s="6">
        <f>+GETPIVOTDATA(" Old-Bachelor's",'Pivot Table for 1-11'!$A$3,"State","AR","SREB Type",1,"SREB Type2","Four-Year")</f>
        <v>2958</v>
      </c>
      <c r="E74" s="6">
        <f>+GETPIVOTDATA(" Old-Post-Bachelor's",'Pivot Table for 1-11'!$A$3,"State","AR","SREB Type",1,"SREB Type2","Four-Year")</f>
        <v>3</v>
      </c>
      <c r="F74" s="6">
        <f>+GETPIVOTDATA(" Old-Total Master's#",'Pivot Table for 1-11'!$A$3,"State","AR","SREB Type",1,"SREB Type2","Four-Year")</f>
        <v>1112</v>
      </c>
      <c r="G74" s="6">
        <f>+GETPIVOTDATA(" Old-Total Doctorates#",'Pivot Table for 1-11'!$A$3,"State","AR","SREB Type",1,"SREB Type2","Four-Year")</f>
        <v>166</v>
      </c>
      <c r="H74" s="17">
        <f>+GETPIVOTDATA(" Old-Law",'Pivot Table for 1-11'!$A$3,"State","AR","SREB Type",1,"SREB Type2","Four-Year")</f>
        <v>122</v>
      </c>
      <c r="I74" s="6">
        <f>+GETPIVOTDATA(" Old-Medicine",'Pivot Table for 1-11'!$A$3,"State","AR","SREB Type",1,"SREB Type2","Four-Year")</f>
        <v>0</v>
      </c>
      <c r="J74" s="6">
        <f>+GETPIVOTDATA(" Old-Dentistry",'Pivot Table for 1-11'!$A$3,"State","AR","SREB Type",1,"SREB Type2","Four-Year")</f>
        <v>0</v>
      </c>
      <c r="K74" s="6">
        <f>+GETPIVOTDATA(" Old-Pharmacy",'Pivot Table for 1-11'!$A$3,"State","AR","SREB Type",1,"SREB Type2","Four-Year")</f>
        <v>0</v>
      </c>
      <c r="L74" s="6">
        <f>+GETPIVOTDATA(" Old-Optometry",'Pivot Table for 1-11'!$A$3,"State","AR","SREB Type",1,"SREB Type2","Four-Year")</f>
        <v>0</v>
      </c>
      <c r="M74" s="6">
        <f>+GETPIVOTDATA(" Old-Osteopathic Medicine",'Pivot Table for 1-11'!$A$3,"State","AR","SREB Type",1,"SREB Type2","Four-Year")</f>
        <v>0</v>
      </c>
      <c r="N74" s="80">
        <f>+GETPIVOTDATA(" Old-Veterinary Medicine",'Pivot Table for 1-11'!$A$3,"State","AR","SREB Type",1,"SREB Type2","Four-Year")</f>
        <v>0</v>
      </c>
      <c r="O74" s="97">
        <f>+GETPIVOTDATA(" Old-Oth PP",'Pivot Table for 1-11'!$A$3,"State","AR","SREB Type",1,"SREB Type2","Four-Year")</f>
        <v>0</v>
      </c>
      <c r="P74" s="81">
        <f t="shared" si="2"/>
        <v>4361</v>
      </c>
    </row>
    <row r="75" spans="1:16" ht="15" customHeight="1" x14ac:dyDescent="0.2">
      <c r="A75" s="5" t="s">
        <v>194</v>
      </c>
      <c r="B75" s="6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6">
        <f>+GETPIVOTDATA(" Old-Associate's",'Pivot Table for 1-11'!$A$3,"State","DE","SREB Type",1,"SREB Type2","Four-Year")</f>
        <v>252</v>
      </c>
      <c r="D75" s="6">
        <f>+GETPIVOTDATA(" Old-Bachelor's",'Pivot Table for 1-11'!$A$3,"State","DE","SREB Type",1,"SREB Type2","Four-Year")</f>
        <v>3621</v>
      </c>
      <c r="E75" s="6">
        <f>+GETPIVOTDATA(" Old-Post-Bachelor's",'Pivot Table for 1-11'!$A$3,"State","DE","SREB Type",1,"SREB Type2","Four-Year")</f>
        <v>0</v>
      </c>
      <c r="F75" s="6">
        <f>+GETPIVOTDATA(" Old-Total Master's#",'Pivot Table for 1-11'!$A$3,"State","DE","SREB Type",1,"SREB Type2","Four-Year")</f>
        <v>813</v>
      </c>
      <c r="G75" s="6">
        <f>+GETPIVOTDATA(" Old-Total Doctorates#",'Pivot Table for 1-11'!$A$3,"State","DE","SREB Type",1,"SREB Type2","Four-Year")</f>
        <v>211</v>
      </c>
      <c r="H75" s="17">
        <f>+GETPIVOTDATA(" Old-Law",'Pivot Table for 1-11'!$A$3,"State","DE","SREB Type",1,"SREB Type2","Four-Year")</f>
        <v>0</v>
      </c>
      <c r="I75" s="6">
        <f>+GETPIVOTDATA(" Old-Medicine",'Pivot Table for 1-11'!$A$3,"State","DE","SREB Type",1,"SREB Type2","Four-Year")</f>
        <v>0</v>
      </c>
      <c r="J75" s="6">
        <f>+GETPIVOTDATA(" Old-Dentistry",'Pivot Table for 1-11'!$A$3,"State","DE","SREB Type",1,"SREB Type2","Four-Year")</f>
        <v>0</v>
      </c>
      <c r="K75" s="6">
        <f>+GETPIVOTDATA(" Old-Pharmacy",'Pivot Table for 1-11'!$A$3,"State","DE","SREB Type",1,"SREB Type2","Four-Year")</f>
        <v>0</v>
      </c>
      <c r="L75" s="6">
        <f>+GETPIVOTDATA(" Old-Optometry",'Pivot Table for 1-11'!$A$3,"State","DE","SREB Type",1,"SREB Type2","Four-Year")</f>
        <v>0</v>
      </c>
      <c r="M75" s="6">
        <f>+GETPIVOTDATA(" Old-Osteopathic Medicine",'Pivot Table for 1-11'!$A$3,"State","DE","SREB Type",1,"SREB Type2","Four-Year")</f>
        <v>0</v>
      </c>
      <c r="N75" s="80">
        <f>+GETPIVOTDATA(" Old-Veterinary Medicine",'Pivot Table for 1-11'!$A$3,"State","DE","SREB Type",1,"SREB Type2","Four-Year")</f>
        <v>0</v>
      </c>
      <c r="O75" s="97">
        <f>+GETPIVOTDATA(" Old-Oth PP",'Pivot Table for 1-11'!$A$3,"State","DE","SREB Type",1,"SREB Type2","Four-Year")</f>
        <v>41</v>
      </c>
      <c r="P75" s="81">
        <f t="shared" si="2"/>
        <v>4938</v>
      </c>
    </row>
    <row r="76" spans="1:16" ht="15" customHeight="1" x14ac:dyDescent="0.2">
      <c r="A76" s="5" t="s">
        <v>195</v>
      </c>
      <c r="B76" s="6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6">
        <f>+GETPIVOTDATA(" Old-Associate's",'Pivot Table for 1-11'!$A$3,"State","FL","SREB Type",1,"SREB Type2","Four-Year")</f>
        <v>870</v>
      </c>
      <c r="D76" s="6">
        <f>+GETPIVOTDATA(" Old-Bachelor's",'Pivot Table for 1-11'!$A$3,"State","FL","SREB Type",1,"SREB Type2","Four-Year")</f>
        <v>42044</v>
      </c>
      <c r="E76" s="6">
        <f>+GETPIVOTDATA(" Old-Post-Bachelor's",'Pivot Table for 1-11'!$A$3,"State","FL","SREB Type",1,"SREB Type2","Four-Year")</f>
        <v>143</v>
      </c>
      <c r="F76" s="6">
        <f>+GETPIVOTDATA(" Old-Total Master's#",'Pivot Table for 1-11'!$A$3,"State","FL","SREB Type",1,"SREB Type2","Four-Year")</f>
        <v>13509</v>
      </c>
      <c r="G76" s="6">
        <f>+GETPIVOTDATA(" Old-Total Doctorates#",'Pivot Table for 1-11'!$A$3,"State","FL","SREB Type",1,"SREB Type2","Four-Year")</f>
        <v>2164</v>
      </c>
      <c r="H76" s="17">
        <f>+GETPIVOTDATA(" Old-Law",'Pivot Table for 1-11'!$A$3,"State","FL","SREB Type",1,"SREB Type2","Four-Year")</f>
        <v>863</v>
      </c>
      <c r="I76" s="6">
        <f>+GETPIVOTDATA(" Old-Medicine",'Pivot Table for 1-11'!$A$3,"State","FL","SREB Type",1,"SREB Type2","Four-Year")</f>
        <v>349</v>
      </c>
      <c r="J76" s="6">
        <f>+GETPIVOTDATA(" Old-Dentistry",'Pivot Table for 1-11'!$A$3,"State","FL","SREB Type",1,"SREB Type2","Four-Year")</f>
        <v>83</v>
      </c>
      <c r="K76" s="6">
        <f>+GETPIVOTDATA(" Old-Pharmacy",'Pivot Table for 1-11'!$A$3,"State","FL","SREB Type",1,"SREB Type2","Four-Year")</f>
        <v>484</v>
      </c>
      <c r="L76" s="6">
        <f>+GETPIVOTDATA(" Old-Optometry",'Pivot Table for 1-11'!$A$3,"State","FL","SREB Type",1,"SREB Type2","Four-Year")</f>
        <v>0</v>
      </c>
      <c r="M76" s="6">
        <f>+GETPIVOTDATA(" Old-Osteopathic Medicine",'Pivot Table for 1-11'!$A$3,"State","FL","SREB Type",1,"SREB Type2","Four-Year")</f>
        <v>0</v>
      </c>
      <c r="N76" s="80">
        <f>+GETPIVOTDATA(" Old-Veterinary Medicine",'Pivot Table for 1-11'!$A$3,"State","FL","SREB Type",1,"SREB Type2","Four-Year")</f>
        <v>87</v>
      </c>
      <c r="O76" s="97">
        <f>+GETPIVOTDATA(" Old-Oth PP",'Pivot Table for 1-11'!$A$3,"State","FL","SREB Type",1,"SREB Type2","Four-Year")</f>
        <v>298</v>
      </c>
      <c r="P76" s="81">
        <f t="shared" si="2"/>
        <v>60894</v>
      </c>
    </row>
    <row r="77" spans="1:16" ht="15" customHeight="1" x14ac:dyDescent="0.2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0"/>
      <c r="O77" s="97"/>
      <c r="P77" s="81"/>
    </row>
    <row r="78" spans="1:16" ht="15" customHeight="1" x14ac:dyDescent="0.2">
      <c r="A78" s="5" t="s">
        <v>196</v>
      </c>
      <c r="B78" s="6">
        <f>+GETPIVOTDATA(" Old-Less Than 2-Year",'Pivot Table for 1-11'!$A$3,"State","GA","SREB Type",1,"SREB Type2","Four-Year")+GETPIVOTDATA(" Old-2 But Less Than 4-Year",'Pivot Table for 1-11'!$A$3,"State","GA","SREB Type",1,"SREB Type2","Four-Year")</f>
        <v>0</v>
      </c>
      <c r="C78" s="6">
        <f>+GETPIVOTDATA(" Old-Associate's",'Pivot Table for 1-11'!$A$3,"State","GA","SREB Type",1,"SREB Type2","Four-Year")</f>
        <v>0</v>
      </c>
      <c r="D78" s="6">
        <f>+GETPIVOTDATA(" Old-Bachelor's",'Pivot Table for 1-11'!$A$3,"State","GA","SREB Type",1,"SREB Type2","Four-Year")</f>
        <v>10947</v>
      </c>
      <c r="E78" s="6">
        <f>+GETPIVOTDATA(" Old-Post-Bachelor's",'Pivot Table for 1-11'!$A$3,"State","GA","SREB Type",1,"SREB Type2","Four-Year")</f>
        <v>46</v>
      </c>
      <c r="F78" s="6">
        <f>+GETPIVOTDATA(" Old-Total Master's#",'Pivot Table for 1-11'!$A$3,"State","GA","SREB Type",1,"SREB Type2","Four-Year")</f>
        <v>3966</v>
      </c>
      <c r="G78" s="6">
        <f>+GETPIVOTDATA(" Old-Total Doctorates#",'Pivot Table for 1-11'!$A$3,"State","GA","SREB Type",1,"SREB Type2","Four-Year")</f>
        <v>666</v>
      </c>
      <c r="H78" s="17">
        <f>+GETPIVOTDATA(" Old-Law",'Pivot Table for 1-11'!$A$3,"State","GA","SREB Type",1,"SREB Type2","Four-Year")</f>
        <v>415</v>
      </c>
      <c r="I78" s="6">
        <f>+GETPIVOTDATA(" Old-Medicine",'Pivot Table for 1-11'!$A$3,"State","GA","SREB Type",1,"SREB Type2","Four-Year")</f>
        <v>0</v>
      </c>
      <c r="J78" s="6">
        <f>+GETPIVOTDATA(" Old-Dentistry",'Pivot Table for 1-11'!$A$3,"State","GA","SREB Type",1,"SREB Type2","Four-Year")</f>
        <v>0</v>
      </c>
      <c r="K78" s="6">
        <f>+GETPIVOTDATA(" Old-Pharmacy",'Pivot Table for 1-11'!$A$3,"State","GA","SREB Type",1,"SREB Type2","Four-Year")</f>
        <v>122</v>
      </c>
      <c r="L78" s="6">
        <f>+GETPIVOTDATA(" Old-Optometry",'Pivot Table for 1-11'!$A$3,"State","GA","SREB Type",1,"SREB Type2","Four-Year")</f>
        <v>0</v>
      </c>
      <c r="M78" s="6">
        <f>+GETPIVOTDATA(" Old-Osteopathic Medicine",'Pivot Table for 1-11'!$A$3,"State","GA","SREB Type",1,"SREB Type2","Four-Year")</f>
        <v>0</v>
      </c>
      <c r="N78" s="80">
        <f>+GETPIVOTDATA(" Old-Veterinary Medicine",'Pivot Table for 1-11'!$A$3,"State","GA","SREB Type",1,"SREB Type2","Four-Year")</f>
        <v>97</v>
      </c>
      <c r="O78" s="97">
        <f>+GETPIVOTDATA(" Old-Oth PP",'Pivot Table for 1-11'!$A$3,"State","GA","SREB Type",1,"SREB Type2","Four-Year")</f>
        <v>0</v>
      </c>
      <c r="P78" s="81">
        <f t="shared" si="2"/>
        <v>16259</v>
      </c>
    </row>
    <row r="79" spans="1:16" ht="15" customHeight="1" x14ac:dyDescent="0.2">
      <c r="A79" s="5" t="s">
        <v>197</v>
      </c>
      <c r="B79" s="6">
        <f>+GETPIVOTDATA(" Old-Less Than 2-Year",'Pivot Table for 1-11'!$A$3,"State","KY","SREB Type",1,"SREB Type2","Four-Year")+GETPIVOTDATA(" Old-2 But Less Than 4-Year",'Pivot Table for 1-11'!$A$3,"State","KY","SREB Type",1,"SREB Type2","Four-Year")</f>
        <v>57</v>
      </c>
      <c r="C79" s="6">
        <f>+GETPIVOTDATA(" Old-Associate's",'Pivot Table for 1-11'!$A$3,"State","KY","SREB Type",1,"SREB Type2","Four-Year")</f>
        <v>19</v>
      </c>
      <c r="D79" s="6">
        <f>+GETPIVOTDATA(" Old-Bachelor's",'Pivot Table for 1-11'!$A$3,"State","KY","SREB Type",1,"SREB Type2","Four-Year")</f>
        <v>6330</v>
      </c>
      <c r="E79" s="6">
        <f>+GETPIVOTDATA(" Old-Post-Bachelor's",'Pivot Table for 1-11'!$A$3,"State","KY","SREB Type",1,"SREB Type2","Four-Year")</f>
        <v>158</v>
      </c>
      <c r="F79" s="6">
        <f>+GETPIVOTDATA(" Old-Total Master's#",'Pivot Table for 1-11'!$A$3,"State","KY","SREB Type",1,"SREB Type2","Four-Year")</f>
        <v>2640</v>
      </c>
      <c r="G79" s="6">
        <f>+GETPIVOTDATA(" Old-Total Doctorates#",'Pivot Table for 1-11'!$A$3,"State","KY","SREB Type",1,"SREB Type2","Four-Year")</f>
        <v>424</v>
      </c>
      <c r="H79" s="17">
        <f>+GETPIVOTDATA(" Old-Law",'Pivot Table for 1-11'!$A$3,"State","KY","SREB Type",1,"SREB Type2","Four-Year")</f>
        <v>280</v>
      </c>
      <c r="I79" s="6">
        <f>+GETPIVOTDATA(" Old-Medicine",'Pivot Table for 1-11'!$A$3,"State","KY","SREB Type",1,"SREB Type2","Four-Year")</f>
        <v>237</v>
      </c>
      <c r="J79" s="6">
        <f>+GETPIVOTDATA(" Old-Dentistry",'Pivot Table for 1-11'!$A$3,"State","KY","SREB Type",1,"SREB Type2","Four-Year")</f>
        <v>129</v>
      </c>
      <c r="K79" s="6">
        <f>+GETPIVOTDATA(" Old-Pharmacy",'Pivot Table for 1-11'!$A$3,"State","KY","SREB Type",1,"SREB Type2","Four-Year")</f>
        <v>124</v>
      </c>
      <c r="L79" s="6">
        <f>+GETPIVOTDATA(" Old-Optometry",'Pivot Table for 1-11'!$A$3,"State","KY","SREB Type",1,"SREB Type2","Four-Year")</f>
        <v>0</v>
      </c>
      <c r="M79" s="6">
        <f>+GETPIVOTDATA(" Old-Osteopathic Medicine",'Pivot Table for 1-11'!$A$3,"State","KY","SREB Type",1,"SREB Type2","Four-Year")</f>
        <v>0</v>
      </c>
      <c r="N79" s="80">
        <f>+GETPIVOTDATA(" Old-Veterinary Medicine",'Pivot Table for 1-11'!$A$3,"State","KY","SREB Type",1,"SREB Type2","Four-Year")</f>
        <v>0</v>
      </c>
      <c r="O79" s="97">
        <f>+GETPIVOTDATA(" Old-Oth PP",'Pivot Table for 1-11'!$A$3,"State","KY","SREB Type",1,"SREB Type2","Four-Year")</f>
        <v>123</v>
      </c>
      <c r="P79" s="81">
        <f t="shared" si="2"/>
        <v>10521</v>
      </c>
    </row>
    <row r="80" spans="1:16" ht="15" customHeight="1" x14ac:dyDescent="0.2">
      <c r="A80" s="5" t="s">
        <v>198</v>
      </c>
      <c r="B80" s="6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6">
        <f>+GETPIVOTDATA(" Old-Associate's",'Pivot Table for 1-11'!$A$3,"State","LA","SREB Type",1,"SREB Type2","Four-Year")</f>
        <v>0</v>
      </c>
      <c r="D80" s="6">
        <f>+GETPIVOTDATA(" Old-Bachelor's",'Pivot Table for 1-11'!$A$3,"State","LA","SREB Type",1,"SREB Type2","Four-Year")</f>
        <v>4440</v>
      </c>
      <c r="E80" s="6">
        <f>+GETPIVOTDATA(" Old-Post-Bachelor's",'Pivot Table for 1-11'!$A$3,"State","LA","SREB Type",1,"SREB Type2","Four-Year")</f>
        <v>0</v>
      </c>
      <c r="F80" s="6">
        <f>+GETPIVOTDATA(" Old-Total Master's#",'Pivot Table for 1-11'!$A$3,"State","LA","SREB Type",1,"SREB Type2","Four-Year")</f>
        <v>914</v>
      </c>
      <c r="G80" s="6">
        <f>+GETPIVOTDATA(" Old-Total Doctorates#",'Pivot Table for 1-11'!$A$3,"State","LA","SREB Type",1,"SREB Type2","Four-Year")</f>
        <v>203</v>
      </c>
      <c r="H80" s="17">
        <f>+GETPIVOTDATA(" Old-Law",'Pivot Table for 1-11'!$A$3,"State","LA","SREB Type",1,"SREB Type2","Four-Year")</f>
        <v>174</v>
      </c>
      <c r="I80" s="6">
        <f>+GETPIVOTDATA(" Old-Medicine",'Pivot Table for 1-11'!$A$3,"State","LA","SREB Type",1,"SREB Type2","Four-Year")</f>
        <v>0</v>
      </c>
      <c r="J80" s="6">
        <f>+GETPIVOTDATA(" Old-Dentistry",'Pivot Table for 1-11'!$A$3,"State","LA","SREB Type",1,"SREB Type2","Four-Year")</f>
        <v>0</v>
      </c>
      <c r="K80" s="6">
        <f>+GETPIVOTDATA(" Old-Pharmacy",'Pivot Table for 1-11'!$A$3,"State","LA","SREB Type",1,"SREB Type2","Four-Year")</f>
        <v>0</v>
      </c>
      <c r="L80" s="6">
        <f>+GETPIVOTDATA(" Old-Optometry",'Pivot Table for 1-11'!$A$3,"State","LA","SREB Type",1,"SREB Type2","Four-Year")</f>
        <v>0</v>
      </c>
      <c r="M80" s="6">
        <f>+GETPIVOTDATA(" Old-Osteopathic Medicine",'Pivot Table for 1-11'!$A$3,"State","LA","SREB Type",1,"SREB Type2","Four-Year")</f>
        <v>0</v>
      </c>
      <c r="N80" s="80">
        <f>+GETPIVOTDATA(" Old-Veterinary Medicine",'Pivot Table for 1-11'!$A$3,"State","LA","SREB Type",1,"SREB Type2","Four-Year")</f>
        <v>75</v>
      </c>
      <c r="O80" s="97">
        <f>+GETPIVOTDATA(" Old-Oth PP",'Pivot Table for 1-11'!$A$3,"State","LA","SREB Type",1,"SREB Type2","Four-Year")</f>
        <v>0</v>
      </c>
      <c r="P80" s="81">
        <f t="shared" si="2"/>
        <v>5806</v>
      </c>
    </row>
    <row r="81" spans="1:16" ht="15" customHeight="1" x14ac:dyDescent="0.2">
      <c r="A81" s="5" t="s">
        <v>199</v>
      </c>
      <c r="B81" s="6">
        <f>+GETPIVOTDATA(" Old-Less Than 2-Year",'Pivot Table for 1-11'!$A$3,"State","MD","SREB Type",1,"SREB Type2","Four-Year")+GETPIVOTDATA(" Old-2 But Less Than 4-Year",'Pivot Table for 1-11'!$A$3,"State","MD","SREB Type",1,"SREB Type2","Four-Year")</f>
        <v>47</v>
      </c>
      <c r="C81" s="6">
        <f>+GETPIVOTDATA(" Old-Associate's",'Pivot Table for 1-11'!$A$3,"State","MD","SREB Type",1,"SREB Type2","Four-Year")</f>
        <v>0</v>
      </c>
      <c r="D81" s="6">
        <f>+GETPIVOTDATA(" Old-Bachelor's",'Pivot Table for 1-11'!$A$3,"State","MD","SREB Type",1,"SREB Type2","Four-Year")</f>
        <v>6987</v>
      </c>
      <c r="E81" s="6">
        <f>+GETPIVOTDATA(" Old-Post-Bachelor's",'Pivot Table for 1-11'!$A$3,"State","MD","SREB Type",1,"SREB Type2","Four-Year")</f>
        <v>137</v>
      </c>
      <c r="F81" s="6">
        <f>+GETPIVOTDATA(" Old-Total Master's#",'Pivot Table for 1-11'!$A$3,"State","MD","SREB Type",1,"SREB Type2","Four-Year")</f>
        <v>2308</v>
      </c>
      <c r="G81" s="6">
        <f>+GETPIVOTDATA(" Old-Total Doctorates#",'Pivot Table for 1-11'!$A$3,"State","MD","SREB Type",1,"SREB Type2","Four-Year")</f>
        <v>580</v>
      </c>
      <c r="H81" s="17">
        <f>+GETPIVOTDATA(" Old-Law",'Pivot Table for 1-11'!$A$3,"State","MD","SREB Type",1,"SREB Type2","Four-Year")</f>
        <v>0</v>
      </c>
      <c r="I81" s="6">
        <f>+GETPIVOTDATA(" Old-Medicine",'Pivot Table for 1-11'!$A$3,"State","MD","SREB Type",1,"SREB Type2","Four-Year")</f>
        <v>0</v>
      </c>
      <c r="J81" s="6">
        <f>+GETPIVOTDATA(" Old-Dentistry",'Pivot Table for 1-11'!$A$3,"State","MD","SREB Type",1,"SREB Type2","Four-Year")</f>
        <v>0</v>
      </c>
      <c r="K81" s="6">
        <f>+GETPIVOTDATA(" Old-Pharmacy",'Pivot Table for 1-11'!$A$3,"State","MD","SREB Type",1,"SREB Type2","Four-Year")</f>
        <v>0</v>
      </c>
      <c r="L81" s="6">
        <f>+GETPIVOTDATA(" Old-Optometry",'Pivot Table for 1-11'!$A$3,"State","MD","SREB Type",1,"SREB Type2","Four-Year")</f>
        <v>0</v>
      </c>
      <c r="M81" s="6">
        <f>+GETPIVOTDATA(" Old-Osteopathic Medicine",'Pivot Table for 1-11'!$A$3,"State","MD","SREB Type",1,"SREB Type2","Four-Year")</f>
        <v>0</v>
      </c>
      <c r="N81" s="80">
        <f>+GETPIVOTDATA(" Old-Veterinary Medicine",'Pivot Table for 1-11'!$A$3,"State","MD","SREB Type",1,"SREB Type2","Four-Year")</f>
        <v>25</v>
      </c>
      <c r="O81" s="97">
        <f>+GETPIVOTDATA(" Old-Oth PP",'Pivot Table for 1-11'!$A$3,"State","MD","SREB Type",1,"SREB Type2","Four-Year")</f>
        <v>7</v>
      </c>
      <c r="P81" s="81">
        <f t="shared" si="2"/>
        <v>10091</v>
      </c>
    </row>
    <row r="82" spans="1:16" ht="15" customHeight="1" x14ac:dyDescent="0.2">
      <c r="A82" s="5"/>
      <c r="B82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0"/>
      <c r="O82" s="97"/>
      <c r="P82" s="81"/>
    </row>
    <row r="83" spans="1:16" ht="15" customHeight="1" x14ac:dyDescent="0.2">
      <c r="A83" s="5" t="s">
        <v>200</v>
      </c>
      <c r="B83" s="6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6">
        <f>+GETPIVOTDATA(" Old-Associate's",'Pivot Table for 1-11'!$A$3,"State","MS","SREB Type",1,"SREB Type2","Four-Year")</f>
        <v>0</v>
      </c>
      <c r="D83" s="6">
        <f>+GETPIVOTDATA(" Old-Bachelor's",'Pivot Table for 1-11'!$A$3,"State","MS","SREB Type",1,"SREB Type2","Four-Year")</f>
        <v>5120</v>
      </c>
      <c r="E83" s="6">
        <f>+GETPIVOTDATA(" Old-Post-Bachelor's",'Pivot Table for 1-11'!$A$3,"State","MS","SREB Type",1,"SREB Type2","Four-Year")</f>
        <v>0</v>
      </c>
      <c r="F83" s="6">
        <f>+GETPIVOTDATA(" Old-Total Master's#",'Pivot Table for 1-11'!$A$3,"State","MS","SREB Type",1,"SREB Type2","Four-Year")</f>
        <v>1654</v>
      </c>
      <c r="G83" s="6">
        <f>+GETPIVOTDATA(" Old-Total Doctorates#",'Pivot Table for 1-11'!$A$3,"State","MS","SREB Type",1,"SREB Type2","Four-Year")</f>
        <v>279</v>
      </c>
      <c r="H83" s="17">
        <f>+GETPIVOTDATA(" Old-Law",'Pivot Table for 1-11'!$A$3,"State","MS","SREB Type",1,"SREB Type2","Four-Year")</f>
        <v>0</v>
      </c>
      <c r="I83" s="6">
        <f>+GETPIVOTDATA(" Old-Medicine",'Pivot Table for 1-11'!$A$3,"State","MS","SREB Type",1,"SREB Type2","Four-Year")</f>
        <v>0</v>
      </c>
      <c r="J83" s="6">
        <f>+GETPIVOTDATA(" Old-Dentistry",'Pivot Table for 1-11'!$A$3,"State","MS","SREB Type",1,"SREB Type2","Four-Year")</f>
        <v>0</v>
      </c>
      <c r="K83" s="6">
        <f>+GETPIVOTDATA(" Old-Pharmacy",'Pivot Table for 1-11'!$A$3,"State","MS","SREB Type",1,"SREB Type2","Four-Year")</f>
        <v>0</v>
      </c>
      <c r="L83" s="6">
        <f>+GETPIVOTDATA(" Old-Optometry",'Pivot Table for 1-11'!$A$3,"State","MS","SREB Type",1,"SREB Type2","Four-Year")</f>
        <v>0</v>
      </c>
      <c r="M83" s="6">
        <f>+GETPIVOTDATA(" Old-Osteopathic Medicine",'Pivot Table for 1-11'!$A$3,"State","MS","SREB Type",1,"SREB Type2","Four-Year")</f>
        <v>0</v>
      </c>
      <c r="N83" s="80">
        <f>+GETPIVOTDATA(" Old-Veterinary Medicine",'Pivot Table for 1-11'!$A$3,"State","MS","SREB Type",1,"SREB Type2","Four-Year")</f>
        <v>73</v>
      </c>
      <c r="O83" s="97">
        <f>+GETPIVOTDATA(" Old-Oth PP",'Pivot Table for 1-11'!$A$3,"State","MS","SREB Type",1,"SREB Type2","Four-Year")</f>
        <v>0</v>
      </c>
      <c r="P83" s="81">
        <f t="shared" si="2"/>
        <v>7126</v>
      </c>
    </row>
    <row r="84" spans="1:16" ht="15" customHeight="1" x14ac:dyDescent="0.2">
      <c r="A84" s="5" t="s">
        <v>201</v>
      </c>
      <c r="B84" s="6">
        <f>+GETPIVOTDATA(" Old-Less Than 2-Year",'Pivot Table for 1-11'!$A$3,"State","NC","SREB Type",1,"SREB Type2","Four-Year")+GETPIVOTDATA(" Old-2 But Less Than 4-Year",'Pivot Table for 1-11'!$A$3,"State","NC","SREB Type",1,"SREB Type2","Four-Year")</f>
        <v>4</v>
      </c>
      <c r="C84" s="6">
        <f>+GETPIVOTDATA(" Old-Associate's",'Pivot Table for 1-11'!$A$3,"State","NC","SREB Type",1,"SREB Type2","Four-Year")</f>
        <v>127</v>
      </c>
      <c r="D84" s="6">
        <f>+GETPIVOTDATA(" Old-Bachelor's",'Pivot Table for 1-11'!$A$3,"State","NC","SREB Type",1,"SREB Type2","Four-Year")</f>
        <v>12598</v>
      </c>
      <c r="E84" s="6">
        <f>+GETPIVOTDATA(" Old-Post-Bachelor's",'Pivot Table for 1-11'!$A$3,"State","NC","SREB Type",1,"SREB Type2","Four-Year")</f>
        <v>33</v>
      </c>
      <c r="F84" s="6">
        <f>+GETPIVOTDATA(" Old-Total Master's#",'Pivot Table for 1-11'!$A$3,"State","NC","SREB Type",1,"SREB Type2","Four-Year")</f>
        <v>4983</v>
      </c>
      <c r="G84" s="6">
        <f>+GETPIVOTDATA(" Old-Total Doctorates#",'Pivot Table for 1-11'!$A$3,"State","NC","SREB Type",1,"SREB Type2","Four-Year")</f>
        <v>1031</v>
      </c>
      <c r="H84" s="17">
        <f>+GETPIVOTDATA(" Old-Law",'Pivot Table for 1-11'!$A$3,"State","NC","SREB Type",1,"SREB Type2","Four-Year")</f>
        <v>245</v>
      </c>
      <c r="I84" s="6">
        <f>+GETPIVOTDATA(" Old-Medicine",'Pivot Table for 1-11'!$A$3,"State","NC","SREB Type",1,"SREB Type2","Four-Year")</f>
        <v>154</v>
      </c>
      <c r="J84" s="6">
        <f>+GETPIVOTDATA(" Old-Dentistry",'Pivot Table for 1-11'!$A$3,"State","NC","SREB Type",1,"SREB Type2","Four-Year")</f>
        <v>81</v>
      </c>
      <c r="K84" s="6">
        <f>+GETPIVOTDATA(" Old-Pharmacy",'Pivot Table for 1-11'!$A$3,"State","NC","SREB Type",1,"SREB Type2","Four-Year")</f>
        <v>142</v>
      </c>
      <c r="L84" s="6">
        <f>+GETPIVOTDATA(" Old-Optometry",'Pivot Table for 1-11'!$A$3,"State","NC","SREB Type",1,"SREB Type2","Four-Year")</f>
        <v>0</v>
      </c>
      <c r="M84" s="6">
        <f>+GETPIVOTDATA(" Old-Osteopathic Medicine",'Pivot Table for 1-11'!$A$3,"State","NC","SREB Type",1,"SREB Type2","Four-Year")</f>
        <v>0</v>
      </c>
      <c r="N84" s="80">
        <f>+GETPIVOTDATA(" Old-Veterinary Medicine",'Pivot Table for 1-11'!$A$3,"State","NC","SREB Type",1,"SREB Type2","Four-Year")</f>
        <v>75</v>
      </c>
      <c r="O84" s="97">
        <f>+GETPIVOTDATA(" Old-Oth PP",'Pivot Table for 1-11'!$A$3,"State","NC","SREB Type",1,"SREB Type2","Four-Year")</f>
        <v>44</v>
      </c>
      <c r="P84" s="81">
        <f t="shared" si="2"/>
        <v>19517</v>
      </c>
    </row>
    <row r="85" spans="1:16" ht="15" customHeight="1" x14ac:dyDescent="0.2">
      <c r="A85" s="5" t="s">
        <v>202</v>
      </c>
      <c r="B85" s="6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6">
        <f>+GETPIVOTDATA(" Old-Associate's",'Pivot Table for 1-11'!$A$3,"State","OK","SREB Type",1,"SREB Type2","Four-Year")</f>
        <v>0</v>
      </c>
      <c r="D85" s="6">
        <f>+GETPIVOTDATA(" Old-Bachelor's",'Pivot Table for 1-11'!$A$3,"State","OK","SREB Type",1,"SREB Type2","Four-Year")</f>
        <v>8097</v>
      </c>
      <c r="E85" s="6">
        <f>+GETPIVOTDATA(" Old-Post-Bachelor's",'Pivot Table for 1-11'!$A$3,"State","OK","SREB Type",1,"SREB Type2","Four-Year")</f>
        <v>110</v>
      </c>
      <c r="F85" s="6">
        <f>+GETPIVOTDATA(" Old-Total Master's#",'Pivot Table for 1-11'!$A$3,"State","OK","SREB Type",1,"SREB Type2","Four-Year")</f>
        <v>3055</v>
      </c>
      <c r="G85" s="6">
        <f>+GETPIVOTDATA(" Old-Total Doctorates#",'Pivot Table for 1-11'!$A$3,"State","OK","SREB Type",1,"SREB Type2","Four-Year")</f>
        <v>400</v>
      </c>
      <c r="H85" s="17">
        <f>+GETPIVOTDATA(" Old-Law",'Pivot Table for 1-11'!$A$3,"State","OK","SREB Type",1,"SREB Type2","Four-Year")</f>
        <v>160</v>
      </c>
      <c r="I85" s="6">
        <f>+GETPIVOTDATA(" Old-Medicine",'Pivot Table for 1-11'!$A$3,"State","OK","SREB Type",1,"SREB Type2","Four-Year")</f>
        <v>164</v>
      </c>
      <c r="J85" s="6">
        <f>+GETPIVOTDATA(" Old-Dentistry",'Pivot Table for 1-11'!$A$3,"State","OK","SREB Type",1,"SREB Type2","Four-Year")</f>
        <v>62</v>
      </c>
      <c r="K85" s="6">
        <f>+GETPIVOTDATA(" Old-Pharmacy",'Pivot Table for 1-11'!$A$3,"State","OK","SREB Type",1,"SREB Type2","Four-Year")</f>
        <v>120</v>
      </c>
      <c r="L85" s="6">
        <f>+GETPIVOTDATA(" Old-Optometry",'Pivot Table for 1-11'!$A$3,"State","OK","SREB Type",1,"SREB Type2","Four-Year")</f>
        <v>0</v>
      </c>
      <c r="M85" s="6">
        <f>+GETPIVOTDATA(" Old-Osteopathic Medicine",'Pivot Table for 1-11'!$A$3,"State","OK","SREB Type",1,"SREB Type2","Four-Year")</f>
        <v>82</v>
      </c>
      <c r="N85" s="80">
        <f>+GETPIVOTDATA(" Old-Veterinary Medicine",'Pivot Table for 1-11'!$A$3,"State","OK","SREB Type",1,"SREB Type2","Four-Year")</f>
        <v>83</v>
      </c>
      <c r="O85" s="97">
        <f>+GETPIVOTDATA(" Old-Oth PP",'Pivot Table for 1-11'!$A$3,"State","OK","SREB Type",1,"SREB Type2","Four-Year")</f>
        <v>153</v>
      </c>
      <c r="P85" s="81">
        <f t="shared" si="2"/>
        <v>12486</v>
      </c>
    </row>
    <row r="86" spans="1:16" ht="15" customHeight="1" x14ac:dyDescent="0.2">
      <c r="A86" s="5" t="s">
        <v>203</v>
      </c>
      <c r="B86" s="6">
        <f>+GETPIVOTDATA(" Old-Less Than 2-Year",'Pivot Table for 1-11'!$A$3,"State","SC","SREB Type",1,"SREB Type2","Four-Year")+GETPIVOTDATA(" Old-2 But Less Than 4-Year",'Pivot Table for 1-11'!$A$3,"State","SC","SREB Type",1,"SREB Type2","Four-Year")</f>
        <v>15</v>
      </c>
      <c r="C86" s="6">
        <f>+GETPIVOTDATA(" Old-Associate's",'Pivot Table for 1-11'!$A$3,"State","SC","SREB Type",1,"SREB Type2","Four-Year")</f>
        <v>6</v>
      </c>
      <c r="D86" s="6">
        <f>+GETPIVOTDATA(" Old-Bachelor's",'Pivot Table for 1-11'!$A$3,"State","SC","SREB Type",1,"SREB Type2","Four-Year")</f>
        <v>7780</v>
      </c>
      <c r="E86" s="6">
        <f>+GETPIVOTDATA(" Old-Post-Bachelor's",'Pivot Table for 1-11'!$A$3,"State","SC","SREB Type",1,"SREB Type2","Four-Year")</f>
        <v>83</v>
      </c>
      <c r="F86" s="6">
        <f>+GETPIVOTDATA(" Old-Total Master's#",'Pivot Table for 1-11'!$A$3,"State","SC","SREB Type",1,"SREB Type2","Four-Year")</f>
        <v>2780</v>
      </c>
      <c r="G86" s="6">
        <f>+GETPIVOTDATA(" Old-Total Doctorates#",'Pivot Table for 1-11'!$A$3,"State","SC","SREB Type",1,"SREB Type2","Four-Year")</f>
        <v>481</v>
      </c>
      <c r="H86" s="17">
        <f>+GETPIVOTDATA(" Old-Law",'Pivot Table for 1-11'!$A$3,"State","SC","SREB Type",1,"SREB Type2","Four-Year")</f>
        <v>229</v>
      </c>
      <c r="I86" s="6">
        <f>+GETPIVOTDATA(" Old-Medicine",'Pivot Table for 1-11'!$A$3,"State","SC","SREB Type",1,"SREB Type2","Four-Year")</f>
        <v>80</v>
      </c>
      <c r="J86" s="6">
        <f>+GETPIVOTDATA(" Old-Dentistry",'Pivot Table for 1-11'!$A$3,"State","SC","SREB Type",1,"SREB Type2","Four-Year")</f>
        <v>0</v>
      </c>
      <c r="K86" s="6">
        <f>+GETPIVOTDATA(" Old-Pharmacy",'Pivot Table for 1-11'!$A$3,"State","SC","SREB Type",1,"SREB Type2","Four-Year")</f>
        <v>105</v>
      </c>
      <c r="L86" s="6">
        <f>+GETPIVOTDATA(" Old-Optometry",'Pivot Table for 1-11'!$A$3,"State","SC","SREB Type",1,"SREB Type2","Four-Year")</f>
        <v>0</v>
      </c>
      <c r="M86" s="6">
        <f>+GETPIVOTDATA(" Old-Osteopathic Medicine",'Pivot Table for 1-11'!$A$3,"State","SC","SREB Type",1,"SREB Type2","Four-Year")</f>
        <v>0</v>
      </c>
      <c r="N86" s="80">
        <f>+GETPIVOTDATA(" Old-Veterinary Medicine",'Pivot Table for 1-11'!$A$3,"State","SC","SREB Type",1,"SREB Type2","Four-Year")</f>
        <v>0</v>
      </c>
      <c r="O86" s="97">
        <f>+GETPIVOTDATA(" Old-Oth PP",'Pivot Table for 1-11'!$A$3,"State","SC","SREB Type",1,"SREB Type2","Four-Year")</f>
        <v>0</v>
      </c>
      <c r="P86" s="81">
        <f t="shared" si="2"/>
        <v>11559</v>
      </c>
    </row>
    <row r="87" spans="1:16" ht="15" customHeight="1" x14ac:dyDescent="0.2">
      <c r="A87" s="5"/>
      <c r="B87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7" s="6">
        <f>+GETPIVOTDATA(" Old-Associate's",'Pivot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0"/>
      <c r="O87" s="97"/>
      <c r="P87" s="81"/>
    </row>
    <row r="88" spans="1:16" ht="15" customHeight="1" x14ac:dyDescent="0.2">
      <c r="A88" s="5" t="s">
        <v>204</v>
      </c>
      <c r="B88" s="6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6">
        <f>+GETPIVOTDATA(" Old-Associate's",'Pivot Table for 1-11'!$A$3,"State","TN","SREB Type",1,"SREB Type2","Four-Year")</f>
        <v>0</v>
      </c>
      <c r="D88" s="6">
        <f>+GETPIVOTDATA(" Old-Bachelor's",'Pivot Table for 1-11'!$A$3,"State","TN","SREB Type",1,"SREB Type2","Four-Year")</f>
        <v>7010</v>
      </c>
      <c r="E88" s="6">
        <f>+GETPIVOTDATA(" Old-Post-Bachelor's",'Pivot Table for 1-11'!$A$3,"State","TN","SREB Type",1,"SREB Type2","Four-Year")</f>
        <v>0</v>
      </c>
      <c r="F88" s="6">
        <f>+GETPIVOTDATA(" Old-Total Master's#",'Pivot Table for 1-11'!$A$3,"State","TN","SREB Type",1,"SREB Type2","Four-Year")</f>
        <v>2557</v>
      </c>
      <c r="G88" s="6">
        <f>+GETPIVOTDATA(" Old-Total Doctorates#",'Pivot Table for 1-11'!$A$3,"State","TN","SREB Type",1,"SREB Type2","Four-Year")</f>
        <v>398</v>
      </c>
      <c r="H88" s="17">
        <f>+GETPIVOTDATA(" Old-Law",'Pivot Table for 1-11'!$A$3,"State","TN","SREB Type",1,"SREB Type2","Four-Year")</f>
        <v>275</v>
      </c>
      <c r="I88" s="6">
        <f>+GETPIVOTDATA(" Old-Medicine",'Pivot Table for 1-11'!$A$3,"State","TN","SREB Type",1,"SREB Type2","Four-Year")</f>
        <v>0</v>
      </c>
      <c r="J88" s="6">
        <f>+GETPIVOTDATA(" Old-Dentistry",'Pivot Table for 1-11'!$A$3,"State","TN","SREB Type",1,"SREB Type2","Four-Year")</f>
        <v>0</v>
      </c>
      <c r="K88" s="6">
        <f>+GETPIVOTDATA(" Old-Pharmacy",'Pivot Table for 1-11'!$A$3,"State","TN","SREB Type",1,"SREB Type2","Four-Year")</f>
        <v>0</v>
      </c>
      <c r="L88" s="6">
        <f>+GETPIVOTDATA(" Old-Optometry",'Pivot Table for 1-11'!$A$3,"State","TN","SREB Type",1,"SREB Type2","Four-Year")</f>
        <v>0</v>
      </c>
      <c r="M88" s="6">
        <f>+GETPIVOTDATA(" Old-Osteopathic Medicine",'Pivot Table for 1-11'!$A$3,"State","TN","SREB Type",1,"SREB Type2","Four-Year")</f>
        <v>0</v>
      </c>
      <c r="N88" s="80">
        <f>+GETPIVOTDATA(" Old-Veterinary Medicine",'Pivot Table for 1-11'!$A$3,"State","TN","SREB Type",1,"SREB Type2","Four-Year")</f>
        <v>64</v>
      </c>
      <c r="O88" s="97">
        <f>+GETPIVOTDATA(" Old-Oth PP",'Pivot Table for 1-11'!$A$3,"State","TN","SREB Type",1,"SREB Type2","Four-Year")</f>
        <v>0</v>
      </c>
      <c r="P88" s="81">
        <f t="shared" si="2"/>
        <v>10304</v>
      </c>
    </row>
    <row r="89" spans="1:16" ht="15" customHeight="1" x14ac:dyDescent="0.2">
      <c r="A89" s="5" t="s">
        <v>205</v>
      </c>
      <c r="B89" s="6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6">
        <f>+GETPIVOTDATA(" Old-Associate's",'Pivot Table for 1-11'!$A$3,"State","TX","SREB Type",1,"SREB Type2","Four-Year")</f>
        <v>0</v>
      </c>
      <c r="D89" s="6">
        <f>+GETPIVOTDATA(" Old-Bachelor's",'Pivot Table for 1-11'!$A$3,"State","TX","SREB Type",1,"SREB Type2","Four-Year")</f>
        <v>41460</v>
      </c>
      <c r="E89" s="6">
        <f>+GETPIVOTDATA(" Old-Post-Bachelor's",'Pivot Table for 1-11'!$A$3,"State","TX","SREB Type",1,"SREB Type2","Four-Year")</f>
        <v>0</v>
      </c>
      <c r="F89" s="6">
        <f>+GETPIVOTDATA(" Old-Total Master's#",'Pivot Table for 1-11'!$A$3,"State","TX","SREB Type",1,"SREB Type2","Four-Year")</f>
        <v>14675</v>
      </c>
      <c r="G89" s="6">
        <f>+GETPIVOTDATA(" Old-Total Doctorates#",'Pivot Table for 1-11'!$A$3,"State","TX","SREB Type",1,"SREB Type2","Four-Year")</f>
        <v>2530</v>
      </c>
      <c r="H89" s="17">
        <f>+GETPIVOTDATA(" Old-Law",'Pivot Table for 1-11'!$A$3,"State","TX","SREB Type",1,"SREB Type2","Four-Year")</f>
        <v>863</v>
      </c>
      <c r="I89" s="6">
        <f>+GETPIVOTDATA(" Old-Medicine",'Pivot Table for 1-11'!$A$3,"State","TX","SREB Type",1,"SREB Type2","Four-Year")</f>
        <v>0</v>
      </c>
      <c r="J89" s="6">
        <f>+GETPIVOTDATA(" Old-Dentistry",'Pivot Table for 1-11'!$A$3,"State","TX","SREB Type",1,"SREB Type2","Four-Year")</f>
        <v>0</v>
      </c>
      <c r="K89" s="6">
        <f>+GETPIVOTDATA(" Old-Pharmacy",'Pivot Table for 1-11'!$A$3,"State","TX","SREB Type",1,"SREB Type2","Four-Year")</f>
        <v>243</v>
      </c>
      <c r="L89" s="6">
        <f>+GETPIVOTDATA(" Old-Optometry",'Pivot Table for 1-11'!$A$3,"State","TX","SREB Type",1,"SREB Type2","Four-Year")</f>
        <v>102</v>
      </c>
      <c r="M89" s="6">
        <f>+GETPIVOTDATA(" Old-Osteopathic Medicine",'Pivot Table for 1-11'!$A$3,"State","TX","SREB Type",1,"SREB Type2","Four-Year")</f>
        <v>0</v>
      </c>
      <c r="N89" s="80">
        <f>+GETPIVOTDATA(" Old-Veterinary Medicine",'Pivot Table for 1-11'!$A$3,"State","TX","SREB Type",1,"SREB Type2","Four-Year")</f>
        <v>121</v>
      </c>
      <c r="O89" s="97">
        <f>+GETPIVOTDATA(" Old-Oth PP",'Pivot Table for 1-11'!$A$3,"State","TX","SREB Type",1,"SREB Type2","Four-Year")</f>
        <v>22</v>
      </c>
      <c r="P89" s="81">
        <f t="shared" si="2"/>
        <v>60016</v>
      </c>
    </row>
    <row r="90" spans="1:16" ht="15" customHeight="1" x14ac:dyDescent="0.2">
      <c r="A90" s="5" t="s">
        <v>206</v>
      </c>
      <c r="B90" s="6">
        <f>+GETPIVOTDATA(" Old-Less Than 2-Year",'Pivot Table for 1-11'!$A$3,"State","VA","SREB Type",1,"SREB Type2","Four-Year")+GETPIVOTDATA(" Old-2 But Less Than 4-Year",'Pivot Table for 1-11'!$A$3,"State","VA","SREB Type",1,"SREB Type2","Four-Year")</f>
        <v>0</v>
      </c>
      <c r="C90" s="6">
        <f>+GETPIVOTDATA(" Old-Associate's",'Pivot Table for 1-11'!$A$3,"State","VA","SREB Type",1,"SREB Type2","Four-Year")</f>
        <v>43</v>
      </c>
      <c r="D90" s="6">
        <f>+GETPIVOTDATA(" Old-Bachelor's",'Pivot Table for 1-11'!$A$3,"State","VA","SREB Type",1,"SREB Type2","Four-Year")</f>
        <v>16776</v>
      </c>
      <c r="E90" s="6">
        <f>+GETPIVOTDATA(" Old-Post-Bachelor's",'Pivot Table for 1-11'!$A$3,"State","VA","SREB Type",1,"SREB Type2","Four-Year")</f>
        <v>545</v>
      </c>
      <c r="F90" s="6">
        <f>+GETPIVOTDATA(" Old-Total Master's#",'Pivot Table for 1-11'!$A$3,"State","VA","SREB Type",1,"SREB Type2","Four-Year")</f>
        <v>7382</v>
      </c>
      <c r="G90" s="6">
        <f>+GETPIVOTDATA(" Old-Total Doctorates#",'Pivot Table for 1-11'!$A$3,"State","VA","SREB Type",1,"SREB Type2","Four-Year")</f>
        <v>1229</v>
      </c>
      <c r="H90" s="17">
        <f>+GETPIVOTDATA(" Old-Law",'Pivot Table for 1-11'!$A$3,"State","VA","SREB Type",1,"SREB Type2","Four-Year")</f>
        <v>544</v>
      </c>
      <c r="I90" s="6">
        <f>+GETPIVOTDATA(" Old-Medicine",'Pivot Table for 1-11'!$A$3,"State","VA","SREB Type",1,"SREB Type2","Four-Year")</f>
        <v>136</v>
      </c>
      <c r="J90" s="6">
        <f>+GETPIVOTDATA(" Old-Dentistry",'Pivot Table for 1-11'!$A$3,"State","VA","SREB Type",1,"SREB Type2","Four-Year")</f>
        <v>0</v>
      </c>
      <c r="K90" s="6">
        <f>+GETPIVOTDATA(" Old-Pharmacy",'Pivot Table for 1-11'!$A$3,"State","VA","SREB Type",1,"SREB Type2","Four-Year")</f>
        <v>0</v>
      </c>
      <c r="L90" s="6">
        <f>+GETPIVOTDATA(" Old-Optometry",'Pivot Table for 1-11'!$A$3,"State","VA","SREB Type",1,"SREB Type2","Four-Year")</f>
        <v>0</v>
      </c>
      <c r="M90" s="6">
        <f>+GETPIVOTDATA(" Old-Osteopathic Medicine",'Pivot Table for 1-11'!$A$3,"State","VA","SREB Type",1,"SREB Type2","Four-Year")</f>
        <v>0</v>
      </c>
      <c r="N90" s="80">
        <f>+GETPIVOTDATA(" Old-Veterinary Medicine",'Pivot Table for 1-11'!$A$3,"State","VA","SREB Type",1,"SREB Type2","Four-Year")</f>
        <v>85</v>
      </c>
      <c r="O90" s="97">
        <f>+GETPIVOTDATA(" Old-Oth PP",'Pivot Table for 1-11'!$A$3,"State","VA","SREB Type",1,"SREB Type2","Four-Year")</f>
        <v>0</v>
      </c>
      <c r="P90" s="81">
        <f t="shared" si="2"/>
        <v>26740</v>
      </c>
    </row>
    <row r="91" spans="1:16" ht="15" customHeight="1" x14ac:dyDescent="0.2">
      <c r="A91" s="7" t="s">
        <v>207</v>
      </c>
      <c r="B91" s="8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8">
        <f>+GETPIVOTDATA(" Old-Associate's",'Pivot Table for 1-11'!$A$3,"State","WV","SREB Type",1,"SREB Type2","Four-Year")</f>
        <v>0</v>
      </c>
      <c r="D91" s="8">
        <f>+GETPIVOTDATA(" Old-Bachelor's",'Pivot Table for 1-11'!$A$3,"State","WV","SREB Type",1,"SREB Type2","Four-Year")</f>
        <v>4060</v>
      </c>
      <c r="E91" s="8">
        <f>+GETPIVOTDATA(" Old-Post-Bachelor's",'Pivot Table for 1-11'!$A$3,"State","WV","SREB Type",1,"SREB Type2","Four-Year")</f>
        <v>0</v>
      </c>
      <c r="F91" s="8">
        <f>+GETPIVOTDATA(" Old-Total Master's#",'Pivot Table for 1-11'!$A$3,"State","WV","SREB Type",1,"SREB Type2","Four-Year")</f>
        <v>1629</v>
      </c>
      <c r="G91" s="8">
        <f>+GETPIVOTDATA(" Old-Total Doctorates#",'Pivot Table for 1-11'!$A$3,"State","WV","SREB Type",1,"SREB Type2","Four-Year")</f>
        <v>166</v>
      </c>
      <c r="H91" s="18">
        <f>+GETPIVOTDATA(" Old-Law",'Pivot Table for 1-11'!$A$3,"State","WV","SREB Type",1,"SREB Type2","Four-Year")</f>
        <v>124</v>
      </c>
      <c r="I91" s="8">
        <f>+GETPIVOTDATA(" Old-Medicine",'Pivot Table for 1-11'!$A$3,"State","WV","SREB Type",1,"SREB Type2","Four-Year")</f>
        <v>95</v>
      </c>
      <c r="J91" s="8">
        <f>+GETPIVOTDATA(" Old-Dentistry",'Pivot Table for 1-11'!$A$3,"State","WV","SREB Type",1,"SREB Type2","Four-Year")</f>
        <v>48</v>
      </c>
      <c r="K91" s="8">
        <f>+GETPIVOTDATA(" Old-Pharmacy",'Pivot Table for 1-11'!$A$3,"State","WV","SREB Type",1,"SREB Type2","Four-Year")</f>
        <v>87</v>
      </c>
      <c r="L91" s="8">
        <f>+GETPIVOTDATA(" Old-Optometry",'Pivot Table for 1-11'!$A$3,"State","WV","SREB Type",1,"SREB Type2","Four-Year")</f>
        <v>0</v>
      </c>
      <c r="M91" s="8">
        <f>+GETPIVOTDATA(" Old-Osteopathic Medicine",'Pivot Table for 1-11'!$A$3,"State","WV","SREB Type",1,"SREB Type2","Four-Year")</f>
        <v>0</v>
      </c>
      <c r="N91" s="88">
        <f>+GETPIVOTDATA(" Old-Veterinary Medicine",'Pivot Table for 1-11'!$A$3,"State","WV","SREB Type",1,"SREB Type2","Four-Year")</f>
        <v>0</v>
      </c>
      <c r="O91" s="98">
        <f>+GETPIVOTDATA(" Old-Oth PP",'Pivot Table for 1-11'!$A$3,"State","WV","SREB Type",1,"SREB Type2","Four-Year")</f>
        <v>80</v>
      </c>
      <c r="P91" s="82">
        <f t="shared" si="2"/>
        <v>6289</v>
      </c>
    </row>
    <row r="92" spans="1:16" x14ac:dyDescent="0.2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0"/>
      <c r="O92" s="80"/>
      <c r="P92" s="80"/>
    </row>
    <row r="93" spans="1:16" ht="27" customHeight="1" x14ac:dyDescent="0.2">
      <c r="A93" s="856" t="s">
        <v>409</v>
      </c>
      <c r="B93" s="857"/>
      <c r="C93" s="857"/>
      <c r="D93" s="857"/>
      <c r="E93" s="857"/>
      <c r="F93" s="857"/>
      <c r="G93" s="857"/>
      <c r="H93" s="857"/>
      <c r="I93" s="857"/>
      <c r="J93" s="857"/>
      <c r="K93" s="857"/>
      <c r="L93" s="857"/>
      <c r="M93" s="857"/>
      <c r="N93" s="857"/>
      <c r="O93" s="857"/>
      <c r="P93" s="857"/>
    </row>
    <row r="94" spans="1:16" x14ac:dyDescent="0.2">
      <c r="P94" s="83" t="s">
        <v>1293</v>
      </c>
    </row>
    <row r="95" spans="1:16" ht="18" x14ac:dyDescent="0.25">
      <c r="A95" s="22" t="s">
        <v>210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8"/>
      <c r="O95" s="58"/>
      <c r="P95" s="58"/>
    </row>
    <row r="96" spans="1:1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7"/>
      <c r="O96" s="57"/>
      <c r="P96" s="57"/>
    </row>
    <row r="97" spans="1:16" ht="15.75" x14ac:dyDescent="0.25">
      <c r="A97" s="1" t="s">
        <v>181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8"/>
      <c r="O97" s="58"/>
      <c r="P97" s="58"/>
    </row>
    <row r="98" spans="1:16" ht="15.75" x14ac:dyDescent="0.25">
      <c r="A98" s="1" t="s">
        <v>481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8"/>
      <c r="O98" s="58"/>
      <c r="P98" s="58"/>
    </row>
    <row r="99" spans="1:16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59"/>
      <c r="O99" s="59"/>
      <c r="P99" s="59"/>
    </row>
    <row r="100" spans="1:16" ht="15.75" x14ac:dyDescent="0.25">
      <c r="A100" s="91"/>
      <c r="B100" s="91"/>
      <c r="C100" s="91"/>
      <c r="D100" s="91"/>
      <c r="E100" s="91"/>
      <c r="F100" s="91"/>
      <c r="G100" s="91"/>
      <c r="H100" s="95" t="s">
        <v>410</v>
      </c>
      <c r="I100" s="26"/>
      <c r="J100" s="26"/>
      <c r="K100" s="26"/>
      <c r="L100" s="26"/>
      <c r="M100" s="26"/>
      <c r="N100" s="92"/>
      <c r="O100" s="99"/>
      <c r="P100" s="94" t="s">
        <v>216</v>
      </c>
    </row>
    <row r="101" spans="1:16" ht="42" customHeight="1" x14ac:dyDescent="0.2">
      <c r="A101" s="14"/>
      <c r="B101" s="15" t="s">
        <v>244</v>
      </c>
      <c r="C101" s="15" t="s">
        <v>182</v>
      </c>
      <c r="D101" s="15" t="s">
        <v>175</v>
      </c>
      <c r="E101" s="15" t="s">
        <v>176</v>
      </c>
      <c r="F101" s="15" t="s">
        <v>183</v>
      </c>
      <c r="G101" s="15" t="s">
        <v>184</v>
      </c>
      <c r="H101" s="16" t="s">
        <v>185</v>
      </c>
      <c r="I101" s="15" t="s">
        <v>186</v>
      </c>
      <c r="J101" s="15" t="s">
        <v>187</v>
      </c>
      <c r="K101" s="15" t="s">
        <v>178</v>
      </c>
      <c r="L101" s="15" t="s">
        <v>188</v>
      </c>
      <c r="M101" s="15" t="s">
        <v>189</v>
      </c>
      <c r="N101" s="90" t="s">
        <v>411</v>
      </c>
      <c r="O101" s="96" t="s">
        <v>412</v>
      </c>
      <c r="P101" s="90" t="s">
        <v>190</v>
      </c>
    </row>
    <row r="102" spans="1:16" ht="15" customHeight="1" x14ac:dyDescent="0.2">
      <c r="A102" s="3" t="s">
        <v>191</v>
      </c>
      <c r="B102" s="6">
        <f>+GETPIVOTDATA(" Old-Less Than 2-Year",'Pivot Table for 1-11'!$A$3,"SREB Type",2,"SREB Type2","Four-Year")+GETPIVOTDATA(" Old-2 But Less Than 4-Year",'Pivot Table for 1-11'!$A$3,"SREB Type",2,"SREB Type2","Four-Year")</f>
        <v>124</v>
      </c>
      <c r="C102" s="6">
        <f>+GETPIVOTDATA(" Old-Associate's",'Pivot Table for 1-11'!$A$3,"SREB Type",2,"SREB Type2","Four-Year")</f>
        <v>426</v>
      </c>
      <c r="D102" s="6">
        <f>+GETPIVOTDATA(" Old-Bachelor's",'Pivot Table for 1-11'!$A$3,"SREB Type",2,"SREB Type2","Four-Year")</f>
        <v>45575</v>
      </c>
      <c r="E102" s="6">
        <f>+GETPIVOTDATA(" Old-Post-Bachelor's",'Pivot Table for 1-11'!$A$3,"SREB Type",2,"SREB Type2","Four-Year")</f>
        <v>776</v>
      </c>
      <c r="F102" s="6">
        <f>+GETPIVOTDATA(" Old-Total Master's#",'Pivot Table for 1-11'!$A$3,"SREB Type",2,"SREB Type2","Four-Year")</f>
        <v>17711</v>
      </c>
      <c r="G102" s="6">
        <f>+GETPIVOTDATA(" Old-Total Doctorates#",'Pivot Table for 1-11'!$A$3,"SREB Type",2,"SREB Type2","Four-Year")</f>
        <v>1926</v>
      </c>
      <c r="H102" s="17">
        <f>+GETPIVOTDATA(" Old-Law",'Pivot Table for 1-11'!$A$3,"SREB Type",2,"SREB Type2","Four-Year")</f>
        <v>355</v>
      </c>
      <c r="I102" s="6">
        <f>+GETPIVOTDATA(" Old-Medicine",'Pivot Table for 1-11'!$A$3,"SREB Type",2,"SREB Type2","Four-Year")</f>
        <v>406</v>
      </c>
      <c r="J102" s="6">
        <f>+GETPIVOTDATA(" Old-Dentistry",'Pivot Table for 1-11'!$A$3,"SREB Type",2,"SREB Type2","Four-Year")</f>
        <v>147</v>
      </c>
      <c r="K102" s="6">
        <f>+GETPIVOTDATA(" Old-Pharmacy",'Pivot Table for 1-11'!$A$3,"SREB Type",2,"SREB Type2","Four-Year")</f>
        <v>234</v>
      </c>
      <c r="L102" s="6">
        <f>+GETPIVOTDATA(" Old-Optometry",'Pivot Table for 1-11'!$A$3,"SREB Type",2,"SREB Type2","Four-Year")</f>
        <v>43</v>
      </c>
      <c r="M102" s="6">
        <f>+GETPIVOTDATA(" Old-Osteopathic Medicine",'Pivot Table for 1-11'!$A$3,"SREB Type",2,"SREB Type2","Four-Year")</f>
        <v>0</v>
      </c>
      <c r="N102" s="80">
        <f>+GETPIVOTDATA(" Old-Veterinary Medicine",'Pivot Table for 1-11'!$A$3,"SREB Type",2,"SREB Type2","Four-Year")</f>
        <v>0</v>
      </c>
      <c r="O102" s="97">
        <f>+GETPIVOTDATA(" Old-Oth PP",'Pivot Table for 1-11'!$A$3,"SREB Type",2,"SREB Type2","Four-Year")</f>
        <v>300</v>
      </c>
      <c r="P102" s="81">
        <f>SUM(C102:O102)</f>
        <v>67899</v>
      </c>
    </row>
    <row r="103" spans="1:16" ht="15" customHeight="1" x14ac:dyDescent="0.2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0"/>
      <c r="O103" s="97"/>
      <c r="P103" s="81"/>
    </row>
    <row r="104" spans="1:16" ht="15" customHeight="1" x14ac:dyDescent="0.2">
      <c r="A104" s="5" t="s">
        <v>192</v>
      </c>
      <c r="B104" s="6">
        <f>GETPIVOTDATA(" Old-Less Than 2-Year",'Pivot Table for 1-11'!$A$3,"State","AL","SREB Type",2,"SREB Type2","Four-Year")+GETPIVOTDATA(" Old-2 But Less Than 4-Year",'Pivot Table for 1-11'!$A$3,"State","AL","SREB Type",2,"SREB Type2","Four-Year")</f>
        <v>17</v>
      </c>
      <c r="C104" s="6">
        <f>+GETPIVOTDATA(" Old-Associate's",'Pivot Table for 1-11'!$A$3,"State","AL","SREB Type",2,"SREB Type2","Four-Year")</f>
        <v>0</v>
      </c>
      <c r="D104" s="6">
        <f>+GETPIVOTDATA(" Old-Bachelor's",'Pivot Table for 1-11'!$A$3,"State","AL","SREB Type",2,"SREB Type2","Four-Year")</f>
        <v>3025</v>
      </c>
      <c r="E104" s="6">
        <f>+GETPIVOTDATA(" Old-Post-Bachelor's",'Pivot Table for 1-11'!$A$3,"State","AL","SREB Type",2,"SREB Type2","Four-Year")</f>
        <v>54</v>
      </c>
      <c r="F104" s="6">
        <f>+GETPIVOTDATA(" Old-Total Master's#",'Pivot Table for 1-11'!$A$3,"State","AL","SREB Type",2,"SREB Type2","Four-Year")</f>
        <v>1766</v>
      </c>
      <c r="G104" s="6">
        <f>+GETPIVOTDATA(" Old-Total Doctorates#",'Pivot Table for 1-11'!$A$3,"State","AL","SREB Type",2,"SREB Type2","Four-Year")</f>
        <v>183</v>
      </c>
      <c r="H104" s="17">
        <f>+GETPIVOTDATA(" Old-Law",'Pivot Table for 1-11'!$A$3,"State","AL","SREB Type",2,"SREB Type2","Four-Year")</f>
        <v>0</v>
      </c>
      <c r="I104" s="6">
        <f>+GETPIVOTDATA(" Old-Medicine",'Pivot Table for 1-11'!$A$3,"State","AL","SREB Type",2,"SREB Type2","Four-Year")</f>
        <v>160</v>
      </c>
      <c r="J104" s="6">
        <f>+GETPIVOTDATA(" Old-Dentistry",'Pivot Table for 1-11'!$A$3,"State","AL","SREB Type",2,"SREB Type2","Four-Year")</f>
        <v>58</v>
      </c>
      <c r="K104" s="6">
        <f>+GETPIVOTDATA(" Old-Pharmacy",'Pivot Table for 1-11'!$A$3,"State","AL","SREB Type",2,"SREB Type2","Four-Year")</f>
        <v>0</v>
      </c>
      <c r="L104" s="6">
        <f>+GETPIVOTDATA(" Old-Optometry",'Pivot Table for 1-11'!$A$3,"State","AL","SREB Type",2,"SREB Type2","Four-Year")</f>
        <v>43</v>
      </c>
      <c r="M104" s="6">
        <f>+GETPIVOTDATA(" Old-Osteopathic Medicine",'Pivot Table for 1-11'!$A$3,"State","AL","SREB Type",2,"SREB Type2","Four-Year")</f>
        <v>0</v>
      </c>
      <c r="N104" s="80">
        <f>+GETPIVOTDATA(" Old-Veterinary Medicine",'Pivot Table for 1-11'!$A$3,"State","AL","SREB Type",2,"SREB Type2","Four-Year")</f>
        <v>0</v>
      </c>
      <c r="O104" s="97">
        <f>+GETPIVOTDATA(" Old-Oth PP",'Pivot Table for 1-11'!$A$3,"State","AL","SREB Type",2,"SREB Type2","Four-Year")</f>
        <v>125</v>
      </c>
      <c r="P104" s="81">
        <f t="shared" ref="P104:P122" si="3">SUM(C104:O104)</f>
        <v>5414</v>
      </c>
    </row>
    <row r="105" spans="1:16" ht="15" customHeight="1" x14ac:dyDescent="0.2">
      <c r="A105" s="5" t="s">
        <v>193</v>
      </c>
      <c r="B105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05" s="6">
        <f>+GETPIVOTDATA(" Old-Associate's",'Pivot Table for 1-11'!$A$3,"State","AR","SREB Type",2,"SREB Type2","Four-Year")</f>
        <v>0</v>
      </c>
      <c r="D105" s="6">
        <f>+GETPIVOTDATA(" Old-Bachelor's",'Pivot Table for 1-11'!$A$3,"State","AR","SREB Type",2,"SREB Type2","Four-Year")</f>
        <v>0</v>
      </c>
      <c r="E105" s="6">
        <f>+GETPIVOTDATA(" Old-Post-Bachelor's",'Pivot Table for 1-11'!$A$3,"State","AR","SREB Type",2,"SREB Type2","Four-Year")</f>
        <v>0</v>
      </c>
      <c r="F105" s="6">
        <f>+GETPIVOTDATA(" Old-Total Master's#",'Pivot Table for 1-11'!$A$3,"State","AR","SREB Type",2,"SREB Type2","Four-Year")</f>
        <v>0</v>
      </c>
      <c r="G105" s="6">
        <f>+GETPIVOTDATA(" Old-Total Doctorates#",'Pivot Table for 1-11'!$A$3,"State","AR","SREB Type",2,"SREB Type2","Four-Year")</f>
        <v>0</v>
      </c>
      <c r="H105" s="17">
        <f>+GETPIVOTDATA(" Old-Law",'Pivot Table for 1-11'!$A$3,"State","AR","SREB Type",2,"SREB Type2","Four-Year")</f>
        <v>0</v>
      </c>
      <c r="I105" s="6">
        <f>+GETPIVOTDATA(" Old-Medicine",'Pivot Table for 1-11'!$A$3,"State","AR","SREB Type",2,"SREB Type2","Four-Year")</f>
        <v>0</v>
      </c>
      <c r="J105" s="6">
        <f>+GETPIVOTDATA(" Old-Dentistry",'Pivot Table for 1-11'!$A$3,"State","AR","SREB Type",2,"SREB Type2","Four-Year")</f>
        <v>0</v>
      </c>
      <c r="K105" s="6">
        <f>+GETPIVOTDATA(" Old-Pharmacy",'Pivot Table for 1-11'!$A$3,"State","AR","SREB Type",2,"SREB Type2","Four-Year")</f>
        <v>0</v>
      </c>
      <c r="L105" s="6">
        <f>+GETPIVOTDATA(" Old-Optometry",'Pivot Table for 1-11'!$A$3,"State","AR","SREB Type",2,"SREB Type2","Four-Year")</f>
        <v>0</v>
      </c>
      <c r="M105" s="6">
        <f>+GETPIVOTDATA(" Old-Osteopathic Medicine",'Pivot Table for 1-11'!$A$3,"State","AR","SREB Type",2,"SREB Type2","Four-Year")</f>
        <v>0</v>
      </c>
      <c r="N105" s="80">
        <f>+GETPIVOTDATA(" Old-Veterinary Medicine",'Pivot Table for 1-11'!$A$3,"State","AR","SREB Type",2,"SREB Type2","Four-Year")</f>
        <v>0</v>
      </c>
      <c r="O105" s="97">
        <f>+GETPIVOTDATA(" Old-Oth PP",'Pivot Table for 1-11'!$A$3,"State","AR","SREB Type",2,"SREB Type2","Four-Year")</f>
        <v>0</v>
      </c>
      <c r="P105" s="81">
        <f t="shared" si="3"/>
        <v>0</v>
      </c>
    </row>
    <row r="106" spans="1:16" ht="15" customHeight="1" x14ac:dyDescent="0.2">
      <c r="A106" s="5" t="s">
        <v>194</v>
      </c>
      <c r="B106" s="6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6">
        <f>+GETPIVOTDATA(" Old-Associate's",'Pivot Table for 1-11'!$A$3,"State","DE","SREB Type",2,"SREB Type2","Four-Year")</f>
        <v>0</v>
      </c>
      <c r="D106" s="6">
        <f>+GETPIVOTDATA(" Old-Bachelor's",'Pivot Table for 1-11'!$A$3,"State","DE","SREB Type",2,"SREB Type2","Four-Year")</f>
        <v>0</v>
      </c>
      <c r="E106" s="6">
        <f>+GETPIVOTDATA(" Old-Post-Bachelor's",'Pivot Table for 1-11'!$A$3,"State","DE","SREB Type",2,"SREB Type2","Four-Year")</f>
        <v>0</v>
      </c>
      <c r="F106" s="6">
        <f>+GETPIVOTDATA(" Old-Total Master's#",'Pivot Table for 1-11'!$A$3,"State","DE","SREB Type",2,"SREB Type2","Four-Year")</f>
        <v>0</v>
      </c>
      <c r="G106" s="6">
        <f>+GETPIVOTDATA(" Old-Total Doctorates#",'Pivot Table for 1-11'!$A$3,"State","DE","SREB Type",2,"SREB Type2","Four-Year")</f>
        <v>0</v>
      </c>
      <c r="H106" s="17">
        <f>+GETPIVOTDATA(" Old-Law",'Pivot Table for 1-11'!$A$3,"State","DE","SREB Type",2,"SREB Type2","Four-Year")</f>
        <v>0</v>
      </c>
      <c r="I106" s="6">
        <f>+GETPIVOTDATA(" Old-Medicine",'Pivot Table for 1-11'!$A$3,"State","DE","SREB Type",2,"SREB Type2","Four-Year")</f>
        <v>0</v>
      </c>
      <c r="J106" s="6">
        <f>+GETPIVOTDATA(" Old-Dentistry",'Pivot Table for 1-11'!$A$3,"State","DE","SREB Type",2,"SREB Type2","Four-Year")</f>
        <v>0</v>
      </c>
      <c r="K106" s="6">
        <f>+GETPIVOTDATA(" Old-Pharmacy",'Pivot Table for 1-11'!$A$3,"State","DE","SREB Type",2,"SREB Type2","Four-Year")</f>
        <v>0</v>
      </c>
      <c r="L106" s="6">
        <f>+GETPIVOTDATA(" Old-Optometry",'Pivot Table for 1-11'!$A$3,"State","DE","SREB Type",2,"SREB Type2","Four-Year")</f>
        <v>0</v>
      </c>
      <c r="M106" s="6">
        <f>+GETPIVOTDATA(" Old-Osteopathic Medicine",'Pivot Table for 1-11'!$A$3,"State","DE","SREB Type",2,"SREB Type2","Four-Year")</f>
        <v>0</v>
      </c>
      <c r="N106" s="80">
        <f>+GETPIVOTDATA(" Old-Veterinary Medicine",'Pivot Table for 1-11'!$A$3,"State","DE","SREB Type",2,"SREB Type2","Four-Year")</f>
        <v>0</v>
      </c>
      <c r="O106" s="97">
        <f>+GETPIVOTDATA(" Old-Oth PP",'Pivot Table for 1-11'!$A$3,"State","DE","SREB Type",2,"SREB Type2","Four-Year")</f>
        <v>0</v>
      </c>
      <c r="P106" s="81">
        <f t="shared" si="3"/>
        <v>0</v>
      </c>
    </row>
    <row r="107" spans="1:16" ht="15" customHeight="1" x14ac:dyDescent="0.2">
      <c r="A107" s="5" t="s">
        <v>195</v>
      </c>
      <c r="B107" s="6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6">
        <f>+GETPIVOTDATA(" Old-Associate's",'Pivot Table for 1-11'!$A$3,"State","FL","SREB Type",2,"SREB Type2","Four-Year")</f>
        <v>220</v>
      </c>
      <c r="D107" s="6">
        <f>+GETPIVOTDATA(" Old-Bachelor's",'Pivot Table for 1-11'!$A$3,"State","FL","SREB Type",2,"SREB Type2","Four-Year")</f>
        <v>4593</v>
      </c>
      <c r="E107" s="6">
        <f>+GETPIVOTDATA(" Old-Post-Bachelor's",'Pivot Table for 1-11'!$A$3,"State","FL","SREB Type",2,"SREB Type2","Four-Year")</f>
        <v>0</v>
      </c>
      <c r="F107" s="6">
        <f>+GETPIVOTDATA(" Old-Total Master's#",'Pivot Table for 1-11'!$A$3,"State","FL","SREB Type",2,"SREB Type2","Four-Year")</f>
        <v>1349</v>
      </c>
      <c r="G107" s="6">
        <f>+GETPIVOTDATA(" Old-Total Doctorates#",'Pivot Table for 1-11'!$A$3,"State","FL","SREB Type",2,"SREB Type2","Four-Year")</f>
        <v>88</v>
      </c>
      <c r="H107" s="17">
        <f>+GETPIVOTDATA(" Old-Law",'Pivot Table for 1-11'!$A$3,"State","FL","SREB Type",2,"SREB Type2","Four-Year")</f>
        <v>0</v>
      </c>
      <c r="I107" s="6">
        <f>+GETPIVOTDATA(" Old-Medicine",'Pivot Table for 1-11'!$A$3,"State","FL","SREB Type",2,"SREB Type2","Four-Year")</f>
        <v>0</v>
      </c>
      <c r="J107" s="6">
        <f>+GETPIVOTDATA(" Old-Dentistry",'Pivot Table for 1-11'!$A$3,"State","FL","SREB Type",2,"SREB Type2","Four-Year")</f>
        <v>0</v>
      </c>
      <c r="K107" s="6">
        <f>+GETPIVOTDATA(" Old-Pharmacy",'Pivot Table for 1-11'!$A$3,"State","FL","SREB Type",2,"SREB Type2","Four-Year")</f>
        <v>0</v>
      </c>
      <c r="L107" s="6">
        <f>+GETPIVOTDATA(" Old-Optometry",'Pivot Table for 1-11'!$A$3,"State","FL","SREB Type",2,"SREB Type2","Four-Year")</f>
        <v>0</v>
      </c>
      <c r="M107" s="6">
        <f>+GETPIVOTDATA(" Old-Osteopathic Medicine",'Pivot Table for 1-11'!$A$3,"State","FL","SREB Type",2,"SREB Type2","Four-Year")</f>
        <v>0</v>
      </c>
      <c r="N107" s="80">
        <f>+GETPIVOTDATA(" Old-Veterinary Medicine",'Pivot Table for 1-11'!$A$3,"State","FL","SREB Type",2,"SREB Type2","Four-Year")</f>
        <v>0</v>
      </c>
      <c r="O107" s="97">
        <f>+GETPIVOTDATA(" Old-Oth PP",'Pivot Table for 1-11'!$A$3,"State","FL","SREB Type",2,"SREB Type2","Four-Year")</f>
        <v>14</v>
      </c>
      <c r="P107" s="81">
        <f t="shared" si="3"/>
        <v>6264</v>
      </c>
    </row>
    <row r="108" spans="1:16" ht="15" customHeight="1" x14ac:dyDescent="0.2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0"/>
      <c r="O108" s="97"/>
      <c r="P108" s="81">
        <f t="shared" si="3"/>
        <v>0</v>
      </c>
    </row>
    <row r="109" spans="1:16" ht="15" customHeight="1" x14ac:dyDescent="0.2">
      <c r="A109" s="5" t="s">
        <v>196</v>
      </c>
      <c r="B109" s="6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6">
        <f>+GETPIVOTDATA(" Old-Associate's",'Pivot Table for 1-11'!$A$3,"State","GA","SREB Type",2,"SREB Type2","Four-Year")</f>
        <v>0</v>
      </c>
      <c r="D109" s="6">
        <f>+GETPIVOTDATA(" Old-Bachelor's",'Pivot Table for 1-11'!$A$3,"State","GA","SREB Type",2,"SREB Type2","Four-Year")</f>
        <v>3024</v>
      </c>
      <c r="E109" s="6">
        <f>+GETPIVOTDATA(" Old-Post-Bachelor's",'Pivot Table for 1-11'!$A$3,"State","GA","SREB Type",2,"SREB Type2","Four-Year")</f>
        <v>0</v>
      </c>
      <c r="F109" s="6">
        <f>+GETPIVOTDATA(" Old-Total Master's#",'Pivot Table for 1-11'!$A$3,"State","GA","SREB Type",2,"SREB Type2","Four-Year")</f>
        <v>1878</v>
      </c>
      <c r="G109" s="6">
        <f>+GETPIVOTDATA(" Old-Total Doctorates#",'Pivot Table for 1-11'!$A$3,"State","GA","SREB Type",2,"SREB Type2","Four-Year")</f>
        <v>447</v>
      </c>
      <c r="H109" s="17">
        <f>+GETPIVOTDATA(" Old-Law",'Pivot Table for 1-11'!$A$3,"State","GA","SREB Type",2,"SREB Type2","Four-Year")</f>
        <v>0</v>
      </c>
      <c r="I109" s="6">
        <f>+GETPIVOTDATA(" Old-Medicine",'Pivot Table for 1-11'!$A$3,"State","GA","SREB Type",2,"SREB Type2","Four-Year")</f>
        <v>0</v>
      </c>
      <c r="J109" s="6">
        <f>+GETPIVOTDATA(" Old-Dentistry",'Pivot Table for 1-11'!$A$3,"State","GA","SREB Type",2,"SREB Type2","Four-Year")</f>
        <v>0</v>
      </c>
      <c r="K109" s="6">
        <f>+GETPIVOTDATA(" Old-Pharmacy",'Pivot Table for 1-11'!$A$3,"State","GA","SREB Type",2,"SREB Type2","Four-Year")</f>
        <v>0</v>
      </c>
      <c r="L109" s="6">
        <f>+GETPIVOTDATA(" Old-Optometry",'Pivot Table for 1-11'!$A$3,"State","GA","SREB Type",2,"SREB Type2","Four-Year")</f>
        <v>0</v>
      </c>
      <c r="M109" s="6">
        <f>+GETPIVOTDATA(" Old-Osteopathic Medicine",'Pivot Table for 1-11'!$A$3,"State","GA","SREB Type",2,"SREB Type2","Four-Year")</f>
        <v>0</v>
      </c>
      <c r="N109" s="80">
        <f>+GETPIVOTDATA(" Old-Veterinary Medicine",'Pivot Table for 1-11'!$A$3,"State","GA","SREB Type",2,"SREB Type2","Four-Year")</f>
        <v>0</v>
      </c>
      <c r="O109" s="97">
        <f>+GETPIVOTDATA(" Old-Oth PP",'Pivot Table for 1-11'!$A$3,"State","GA","SREB Type",2,"SREB Type2","Four-Year")</f>
        <v>0</v>
      </c>
      <c r="P109" s="81">
        <f t="shared" si="3"/>
        <v>5349</v>
      </c>
    </row>
    <row r="110" spans="1:16" ht="15" customHeight="1" x14ac:dyDescent="0.2">
      <c r="A110" s="5" t="s">
        <v>197</v>
      </c>
      <c r="B110" s="6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6">
        <f>+GETPIVOTDATA(" Old-Associate's",'Pivot Table for 1-11'!$A$3,"State","KY","SREB Type",2,"SREB Type2","Four-Year")</f>
        <v>0</v>
      </c>
      <c r="D110" s="6">
        <f>+GETPIVOTDATA(" Old-Bachelor's",'Pivot Table for 1-11'!$A$3,"State","KY","SREB Type",2,"SREB Type2","Four-Year")</f>
        <v>0</v>
      </c>
      <c r="E110" s="6">
        <f>+GETPIVOTDATA(" Old-Post-Bachelor's",'Pivot Table for 1-11'!$A$3,"State","KY","SREB Type",2,"SREB Type2","Four-Year")</f>
        <v>0</v>
      </c>
      <c r="F110" s="6">
        <f>+GETPIVOTDATA(" Old-Total Master's#",'Pivot Table for 1-11'!$A$3,"State","KY","SREB Type",2,"SREB Type2","Four-Year")</f>
        <v>0</v>
      </c>
      <c r="G110" s="6">
        <f>+GETPIVOTDATA(" Old-Total Doctorates#",'Pivot Table for 1-11'!$A$3,"State","KY","SREB Type",2,"SREB Type2","Four-Year")</f>
        <v>0</v>
      </c>
      <c r="H110" s="17">
        <f>+GETPIVOTDATA(" Old-Law",'Pivot Table for 1-11'!$A$3,"State","KY","SREB Type",2,"SREB Type2","Four-Year")</f>
        <v>0</v>
      </c>
      <c r="I110" s="6">
        <f>+GETPIVOTDATA(" Old-Medicine",'Pivot Table for 1-11'!$A$3,"State","KY","SREB Type",2,"SREB Type2","Four-Year")</f>
        <v>0</v>
      </c>
      <c r="J110" s="6">
        <f>+GETPIVOTDATA(" Old-Dentistry",'Pivot Table for 1-11'!$A$3,"State","KY","SREB Type",2,"SREB Type2","Four-Year")</f>
        <v>0</v>
      </c>
      <c r="K110" s="6">
        <f>+GETPIVOTDATA(" Old-Pharmacy",'Pivot Table for 1-11'!$A$3,"State","KY","SREB Type",2,"SREB Type2","Four-Year")</f>
        <v>0</v>
      </c>
      <c r="L110" s="6">
        <f>+GETPIVOTDATA(" Old-Optometry",'Pivot Table for 1-11'!$A$3,"State","KY","SREB Type",2,"SREB Type2","Four-Year")</f>
        <v>0</v>
      </c>
      <c r="M110" s="6">
        <f>+GETPIVOTDATA(" Old-Osteopathic Medicine",'Pivot Table for 1-11'!$A$3,"State","KY","SREB Type",2,"SREB Type2","Four-Year")</f>
        <v>0</v>
      </c>
      <c r="N110" s="80">
        <f>+GETPIVOTDATA(" Old-Veterinary Medicine",'Pivot Table for 1-11'!$A$3,"State","KY","SREB Type",2,"SREB Type2","Four-Year")</f>
        <v>0</v>
      </c>
      <c r="O110" s="97">
        <f>+GETPIVOTDATA(" Old-Oth PP",'Pivot Table for 1-11'!$A$3,"State","KY","SREB Type",2,"SREB Type2","Four-Year")</f>
        <v>0</v>
      </c>
      <c r="P110" s="81">
        <f t="shared" si="3"/>
        <v>0</v>
      </c>
    </row>
    <row r="111" spans="1:16" ht="15" customHeight="1" x14ac:dyDescent="0.2">
      <c r="A111" s="5" t="s">
        <v>198</v>
      </c>
      <c r="B111" s="6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6">
        <f>+GETPIVOTDATA(" Old-Associate's",'Pivot Table for 1-11'!$A$3,"State","LA","SREB Type",2,"SREB Type2","Four-Year")</f>
        <v>91</v>
      </c>
      <c r="D111" s="6">
        <f>+GETPIVOTDATA(" Old-Bachelor's",'Pivot Table for 1-11'!$A$3,"State","LA","SREB Type",2,"SREB Type2","Four-Year")</f>
        <v>4948</v>
      </c>
      <c r="E111" s="6">
        <f>+GETPIVOTDATA(" Old-Post-Bachelor's",'Pivot Table for 1-11'!$A$3,"State","LA","SREB Type",2,"SREB Type2","Four-Year")</f>
        <v>41</v>
      </c>
      <c r="F111" s="6">
        <f>+GETPIVOTDATA(" Old-Total Master's#",'Pivot Table for 1-11'!$A$3,"State","LA","SREB Type",2,"SREB Type2","Four-Year")</f>
        <v>1395</v>
      </c>
      <c r="G111" s="6">
        <f>+GETPIVOTDATA(" Old-Total Doctorates#",'Pivot Table for 1-11'!$A$3,"State","LA","SREB Type",2,"SREB Type2","Four-Year")</f>
        <v>107</v>
      </c>
      <c r="H111" s="17">
        <f>+GETPIVOTDATA(" Old-Law",'Pivot Table for 1-11'!$A$3,"State","LA","SREB Type",2,"SREB Type2","Four-Year")</f>
        <v>0</v>
      </c>
      <c r="I111" s="6">
        <f>+GETPIVOTDATA(" Old-Medicine",'Pivot Table for 1-11'!$A$3,"State","LA","SREB Type",2,"SREB Type2","Four-Year")</f>
        <v>0</v>
      </c>
      <c r="J111" s="6">
        <f>+GETPIVOTDATA(" Old-Dentistry",'Pivot Table for 1-11'!$A$3,"State","LA","SREB Type",2,"SREB Type2","Four-Year")</f>
        <v>0</v>
      </c>
      <c r="K111" s="6">
        <f>+GETPIVOTDATA(" Old-Pharmacy",'Pivot Table for 1-11'!$A$3,"State","LA","SREB Type",2,"SREB Type2","Four-Year")</f>
        <v>0</v>
      </c>
      <c r="L111" s="6">
        <f>+GETPIVOTDATA(" Old-Optometry",'Pivot Table for 1-11'!$A$3,"State","LA","SREB Type",2,"SREB Type2","Four-Year")</f>
        <v>0</v>
      </c>
      <c r="M111" s="6">
        <f>+GETPIVOTDATA(" Old-Osteopathic Medicine",'Pivot Table for 1-11'!$A$3,"State","LA","SREB Type",2,"SREB Type2","Four-Year")</f>
        <v>0</v>
      </c>
      <c r="N111" s="80">
        <f>+GETPIVOTDATA(" Old-Veterinary Medicine",'Pivot Table for 1-11'!$A$3,"State","LA","SREB Type",2,"SREB Type2","Four-Year")</f>
        <v>0</v>
      </c>
      <c r="O111" s="97">
        <f>+GETPIVOTDATA(" Old-Oth PP",'Pivot Table for 1-11'!$A$3,"State","LA","SREB Type",2,"SREB Type2","Four-Year")</f>
        <v>0</v>
      </c>
      <c r="P111" s="81">
        <f t="shared" si="3"/>
        <v>6582</v>
      </c>
    </row>
    <row r="112" spans="1:16" ht="15" customHeight="1" x14ac:dyDescent="0.2">
      <c r="A112" s="5" t="s">
        <v>199</v>
      </c>
      <c r="B112" s="6">
        <f>+GETPIVOTDATA(" Old-Less Than 2-Year",'Pivot Table for 1-11'!$A$3,"State","MD","SREB Type",2,"SREB Type2","Four-Year")+GETPIVOTDATA(" Old-2 But Less Than 4-Year",'Pivot Table for 1-11'!$A$3,"State","MD","SREB Type",2,"SREB Type2","Four-Year")</f>
        <v>107</v>
      </c>
      <c r="C112" s="6">
        <f>+GETPIVOTDATA(" Old-Associate's",'Pivot Table for 1-11'!$A$3,"State","MD","SREB Type",2,"SREB Type2","Four-Year")</f>
        <v>0</v>
      </c>
      <c r="D112" s="6">
        <f>+GETPIVOTDATA(" Old-Bachelor's",'Pivot Table for 1-11'!$A$3,"State","MD","SREB Type",2,"SREB Type2","Four-Year")</f>
        <v>2718</v>
      </c>
      <c r="E112" s="6">
        <f>+GETPIVOTDATA(" Old-Post-Bachelor's",'Pivot Table for 1-11'!$A$3,"State","MD","SREB Type",2,"SREB Type2","Four-Year")</f>
        <v>128</v>
      </c>
      <c r="F112" s="6">
        <f>+GETPIVOTDATA(" Old-Total Master's#",'Pivot Table for 1-11'!$A$3,"State","MD","SREB Type",2,"SREB Type2","Four-Year")</f>
        <v>788</v>
      </c>
      <c r="G112" s="6">
        <f>+GETPIVOTDATA(" Old-Total Doctorates#",'Pivot Table for 1-11'!$A$3,"State","MD","SREB Type",2,"SREB Type2","Four-Year")</f>
        <v>129</v>
      </c>
      <c r="H112" s="17">
        <f>+GETPIVOTDATA(" Old-Law",'Pivot Table for 1-11'!$A$3,"State","MD","SREB Type",2,"SREB Type2","Four-Year")</f>
        <v>0</v>
      </c>
      <c r="I112" s="6">
        <f>+GETPIVOTDATA(" Old-Medicine",'Pivot Table for 1-11'!$A$3,"State","MD","SREB Type",2,"SREB Type2","Four-Year")</f>
        <v>0</v>
      </c>
      <c r="J112" s="6">
        <f>+GETPIVOTDATA(" Old-Dentistry",'Pivot Table for 1-11'!$A$3,"State","MD","SREB Type",2,"SREB Type2","Four-Year")</f>
        <v>0</v>
      </c>
      <c r="K112" s="6">
        <f>+GETPIVOTDATA(" Old-Pharmacy",'Pivot Table for 1-11'!$A$3,"State","MD","SREB Type",2,"SREB Type2","Four-Year")</f>
        <v>0</v>
      </c>
      <c r="L112" s="6">
        <f>+GETPIVOTDATA(" Old-Optometry",'Pivot Table for 1-11'!$A$3,"State","MD","SREB Type",2,"SREB Type2","Four-Year")</f>
        <v>0</v>
      </c>
      <c r="M112" s="6">
        <f>+GETPIVOTDATA(" Old-Osteopathic Medicine",'Pivot Table for 1-11'!$A$3,"State","MD","SREB Type",2,"SREB Type2","Four-Year")</f>
        <v>0</v>
      </c>
      <c r="N112" s="80">
        <f>+GETPIVOTDATA(" Old-Veterinary Medicine",'Pivot Table for 1-11'!$A$3,"State","MD","SREB Type",2,"SREB Type2","Four-Year")</f>
        <v>0</v>
      </c>
      <c r="O112" s="97">
        <f>+GETPIVOTDATA(" Old-Oth PP",'Pivot Table for 1-11'!$A$3,"State","MD","SREB Type",2,"SREB Type2","Four-Year")</f>
        <v>0</v>
      </c>
      <c r="P112" s="81">
        <f t="shared" si="3"/>
        <v>3763</v>
      </c>
    </row>
    <row r="113" spans="1:16" ht="15" customHeight="1" x14ac:dyDescent="0.2">
      <c r="A113" s="5"/>
      <c r="B113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0"/>
      <c r="O113" s="97"/>
      <c r="P113" s="81">
        <f t="shared" si="3"/>
        <v>0</v>
      </c>
    </row>
    <row r="114" spans="1:16" ht="15" customHeight="1" x14ac:dyDescent="0.2">
      <c r="A114" s="5" t="s">
        <v>200</v>
      </c>
      <c r="B114" s="6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6">
        <f>+GETPIVOTDATA(" Old-Associate's",'Pivot Table for 1-11'!$A$3,"State","MS","SREB Type",2,"SREB Type2","Four-Year")</f>
        <v>0</v>
      </c>
      <c r="D114" s="6">
        <f>+GETPIVOTDATA(" Old-Bachelor's",'Pivot Table for 1-11'!$A$3,"State","MS","SREB Type",2,"SREB Type2","Four-Year")</f>
        <v>3899</v>
      </c>
      <c r="E114" s="6">
        <f>+GETPIVOTDATA(" Old-Post-Bachelor's",'Pivot Table for 1-11'!$A$3,"State","MS","SREB Type",2,"SREB Type2","Four-Year")</f>
        <v>0</v>
      </c>
      <c r="F114" s="6">
        <f>+GETPIVOTDATA(" Old-Total Master's#",'Pivot Table for 1-11'!$A$3,"State","MS","SREB Type",2,"SREB Type2","Four-Year")</f>
        <v>1107</v>
      </c>
      <c r="G114" s="6">
        <f>+GETPIVOTDATA(" Old-Total Doctorates#",'Pivot Table for 1-11'!$A$3,"State","MS","SREB Type",2,"SREB Type2","Four-Year")</f>
        <v>153</v>
      </c>
      <c r="H114" s="17">
        <f>+GETPIVOTDATA(" Old-Law",'Pivot Table for 1-11'!$A$3,"State","MS","SREB Type",2,"SREB Type2","Four-Year")</f>
        <v>150</v>
      </c>
      <c r="I114" s="6">
        <f>+GETPIVOTDATA(" Old-Medicine",'Pivot Table for 1-11'!$A$3,"State","MS","SREB Type",2,"SREB Type2","Four-Year")</f>
        <v>0</v>
      </c>
      <c r="J114" s="6">
        <f>+GETPIVOTDATA(" Old-Dentistry",'Pivot Table for 1-11'!$A$3,"State","MS","SREB Type",2,"SREB Type2","Four-Year")</f>
        <v>0</v>
      </c>
      <c r="K114" s="6">
        <f>+GETPIVOTDATA(" Old-Pharmacy",'Pivot Table for 1-11'!$A$3,"State","MS","SREB Type",2,"SREB Type2","Four-Year")</f>
        <v>98</v>
      </c>
      <c r="L114" s="6">
        <f>+GETPIVOTDATA(" Old-Optometry",'Pivot Table for 1-11'!$A$3,"State","MS","SREB Type",2,"SREB Type2","Four-Year")</f>
        <v>0</v>
      </c>
      <c r="M114" s="6">
        <f>+GETPIVOTDATA(" Old-Osteopathic Medicine",'Pivot Table for 1-11'!$A$3,"State","MS","SREB Type",2,"SREB Type2","Four-Year")</f>
        <v>0</v>
      </c>
      <c r="N114" s="80">
        <f>+GETPIVOTDATA(" Old-Veterinary Medicine",'Pivot Table for 1-11'!$A$3,"State","MS","SREB Type",2,"SREB Type2","Four-Year")</f>
        <v>0</v>
      </c>
      <c r="O114" s="97">
        <f>+GETPIVOTDATA(" Old-Oth PP",'Pivot Table for 1-11'!$A$3,"State","MS","SREB Type",2,"SREB Type2","Four-Year")</f>
        <v>0</v>
      </c>
      <c r="P114" s="81">
        <f t="shared" si="3"/>
        <v>5407</v>
      </c>
    </row>
    <row r="115" spans="1:16" ht="15" customHeight="1" x14ac:dyDescent="0.2">
      <c r="A115" s="5" t="s">
        <v>201</v>
      </c>
      <c r="B115" s="6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6">
        <f>+GETPIVOTDATA(" Old-Associate's",'Pivot Table for 1-11'!$A$3,"State","NC","SREB Type",2,"SREB Type2","Four-Year")</f>
        <v>0</v>
      </c>
      <c r="D115" s="6">
        <f>+GETPIVOTDATA(" Old-Bachelor's",'Pivot Table for 1-11'!$A$3,"State","NC","SREB Type",2,"SREB Type2","Four-Year")</f>
        <v>7650</v>
      </c>
      <c r="E115" s="6">
        <f>+GETPIVOTDATA(" Old-Post-Bachelor's",'Pivot Table for 1-11'!$A$3,"State","NC","SREB Type",2,"SREB Type2","Four-Year")</f>
        <v>341</v>
      </c>
      <c r="F115" s="6">
        <f>+GETPIVOTDATA(" Old-Total Master's#",'Pivot Table for 1-11'!$A$3,"State","NC","SREB Type",2,"SREB Type2","Four-Year")</f>
        <v>2931</v>
      </c>
      <c r="G115" s="6">
        <f>+GETPIVOTDATA(" Old-Total Doctorates#",'Pivot Table for 1-11'!$A$3,"State","NC","SREB Type",2,"SREB Type2","Four-Year")</f>
        <v>135</v>
      </c>
      <c r="H115" s="17">
        <f>+GETPIVOTDATA(" Old-Law",'Pivot Table for 1-11'!$A$3,"State","NC","SREB Type",2,"SREB Type2","Four-Year")</f>
        <v>0</v>
      </c>
      <c r="I115" s="6">
        <f>+GETPIVOTDATA(" Old-Medicine",'Pivot Table for 1-11'!$A$3,"State","NC","SREB Type",2,"SREB Type2","Four-Year")</f>
        <v>70</v>
      </c>
      <c r="J115" s="6">
        <f>+GETPIVOTDATA(" Old-Dentistry",'Pivot Table for 1-11'!$A$3,"State","NC","SREB Type",2,"SREB Type2","Four-Year")</f>
        <v>0</v>
      </c>
      <c r="K115" s="6">
        <f>+GETPIVOTDATA(" Old-Pharmacy",'Pivot Table for 1-11'!$A$3,"State","NC","SREB Type",2,"SREB Type2","Four-Year")</f>
        <v>0</v>
      </c>
      <c r="L115" s="6">
        <f>+GETPIVOTDATA(" Old-Optometry",'Pivot Table for 1-11'!$A$3,"State","NC","SREB Type",2,"SREB Type2","Four-Year")</f>
        <v>0</v>
      </c>
      <c r="M115" s="6">
        <f>+GETPIVOTDATA(" Old-Osteopathic Medicine",'Pivot Table for 1-11'!$A$3,"State","NC","SREB Type",2,"SREB Type2","Four-Year")</f>
        <v>0</v>
      </c>
      <c r="N115" s="80">
        <f>+GETPIVOTDATA(" Old-Veterinary Medicine",'Pivot Table for 1-11'!$A$3,"State","NC","SREB Type",2,"SREB Type2","Four-Year")</f>
        <v>0</v>
      </c>
      <c r="O115" s="97">
        <f>+GETPIVOTDATA(" Old-Oth PP",'Pivot Table for 1-11'!$A$3,"State","NC","SREB Type",2,"SREB Type2","Four-Year")</f>
        <v>31</v>
      </c>
      <c r="P115" s="81">
        <f t="shared" si="3"/>
        <v>11158</v>
      </c>
    </row>
    <row r="116" spans="1:16" ht="15" customHeight="1" x14ac:dyDescent="0.2">
      <c r="A116" s="5" t="s">
        <v>202</v>
      </c>
      <c r="B116" s="6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6">
        <f>+GETPIVOTDATA(" Old-Associate's",'Pivot Table for 1-11'!$A$3,"State","OK","SREB Type",2,"SREB Type2","Four-Year")</f>
        <v>0</v>
      </c>
      <c r="D116" s="6">
        <f>+GETPIVOTDATA(" Old-Bachelor's",'Pivot Table for 1-11'!$A$3,"State","OK","SREB Type",2,"SREB Type2","Four-Year")</f>
        <v>0</v>
      </c>
      <c r="E116" s="6">
        <f>+GETPIVOTDATA(" Old-Post-Bachelor's",'Pivot Table for 1-11'!$A$3,"State","OK","SREB Type",2,"SREB Type2","Four-Year")</f>
        <v>0</v>
      </c>
      <c r="F116" s="6">
        <f>+GETPIVOTDATA(" Old-Total Master's#",'Pivot Table for 1-11'!$A$3,"State","OK","SREB Type",2,"SREB Type2","Four-Year")</f>
        <v>0</v>
      </c>
      <c r="G116" s="6">
        <f>+GETPIVOTDATA(" Old-Total Doctorates#",'Pivot Table for 1-11'!$A$3,"State","OK","SREB Type",2,"SREB Type2","Four-Year")</f>
        <v>0</v>
      </c>
      <c r="H116" s="17">
        <f>+GETPIVOTDATA(" Old-Law",'Pivot Table for 1-11'!$A$3,"State","OK","SREB Type",2,"SREB Type2","Four-Year")</f>
        <v>0</v>
      </c>
      <c r="I116" s="6">
        <f>+GETPIVOTDATA(" Old-Medicine",'Pivot Table for 1-11'!$A$3,"State","OK","SREB Type",2,"SREB Type2","Four-Year")</f>
        <v>0</v>
      </c>
      <c r="J116" s="6">
        <f>+GETPIVOTDATA(" Old-Dentistry",'Pivot Table for 1-11'!$A$3,"State","OK","SREB Type",2,"SREB Type2","Four-Year")</f>
        <v>0</v>
      </c>
      <c r="K116" s="6">
        <f>+GETPIVOTDATA(" Old-Pharmacy",'Pivot Table for 1-11'!$A$3,"State","OK","SREB Type",2,"SREB Type2","Four-Year")</f>
        <v>0</v>
      </c>
      <c r="L116" s="6">
        <f>+GETPIVOTDATA(" Old-Optometry",'Pivot Table for 1-11'!$A$3,"State","OK","SREB Type",2,"SREB Type2","Four-Year")</f>
        <v>0</v>
      </c>
      <c r="M116" s="6">
        <f>+GETPIVOTDATA(" Old-Osteopathic Medicine",'Pivot Table for 1-11'!$A$3,"State","OK","SREB Type",2,"SREB Type2","Four-Year")</f>
        <v>0</v>
      </c>
      <c r="N116" s="80">
        <f>+GETPIVOTDATA(" Old-Veterinary Medicine",'Pivot Table for 1-11'!$A$3,"State","OK","SREB Type",2,"SREB Type2","Four-Year")</f>
        <v>0</v>
      </c>
      <c r="O116" s="97">
        <f>+GETPIVOTDATA(" Old-Oth PP",'Pivot Table for 1-11'!$A$3,"State","OK","SREB Type",2,"SREB Type2","Four-Year")</f>
        <v>0</v>
      </c>
      <c r="P116" s="81">
        <f t="shared" si="3"/>
        <v>0</v>
      </c>
    </row>
    <row r="117" spans="1:16" ht="15" customHeight="1" x14ac:dyDescent="0.2">
      <c r="A117" s="5" t="s">
        <v>203</v>
      </c>
      <c r="B117" s="6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6">
        <f>+GETPIVOTDATA(" Old-Associate's",'Pivot Table for 1-11'!$A$3,"State","SC","SREB Type",2,"SREB Type2","Four-Year")</f>
        <v>0</v>
      </c>
      <c r="D117" s="6">
        <f>+GETPIVOTDATA(" Old-Bachelor's",'Pivot Table for 1-11'!$A$3,"State","SC","SREB Type",2,"SREB Type2","Four-Year")</f>
        <v>0</v>
      </c>
      <c r="E117" s="6">
        <f>+GETPIVOTDATA(" Old-Post-Bachelor's",'Pivot Table for 1-11'!$A$3,"State","SC","SREB Type",2,"SREB Type2","Four-Year")</f>
        <v>0</v>
      </c>
      <c r="F117" s="6">
        <f>+GETPIVOTDATA(" Old-Total Master's#",'Pivot Table for 1-11'!$A$3,"State","SC","SREB Type",2,"SREB Type2","Four-Year")</f>
        <v>0</v>
      </c>
      <c r="G117" s="6">
        <f>+GETPIVOTDATA(" Old-Total Doctorates#",'Pivot Table for 1-11'!$A$3,"State","SC","SREB Type",2,"SREB Type2","Four-Year")</f>
        <v>0</v>
      </c>
      <c r="H117" s="17">
        <f>+GETPIVOTDATA(" Old-Law",'Pivot Table for 1-11'!$A$3,"State","SC","SREB Type",2,"SREB Type2","Four-Year")</f>
        <v>0</v>
      </c>
      <c r="I117" s="6">
        <f>+GETPIVOTDATA(" Old-Medicine",'Pivot Table for 1-11'!$A$3,"State","SC","SREB Type",2,"SREB Type2","Four-Year")</f>
        <v>0</v>
      </c>
      <c r="J117" s="6">
        <f>+GETPIVOTDATA(" Old-Dentistry",'Pivot Table for 1-11'!$A$3,"State","SC","SREB Type",2,"SREB Type2","Four-Year")</f>
        <v>0</v>
      </c>
      <c r="K117" s="6">
        <f>+GETPIVOTDATA(" Old-Pharmacy",'Pivot Table for 1-11'!$A$3,"State","SC","SREB Type",2,"SREB Type2","Four-Year")</f>
        <v>0</v>
      </c>
      <c r="L117" s="6">
        <f>+GETPIVOTDATA(" Old-Optometry",'Pivot Table for 1-11'!$A$3,"State","SC","SREB Type",2,"SREB Type2","Four-Year")</f>
        <v>0</v>
      </c>
      <c r="M117" s="6">
        <f>+GETPIVOTDATA(" Old-Osteopathic Medicine",'Pivot Table for 1-11'!$A$3,"State","SC","SREB Type",2,"SREB Type2","Four-Year")</f>
        <v>0</v>
      </c>
      <c r="N117" s="80">
        <f>+GETPIVOTDATA(" Old-Veterinary Medicine",'Pivot Table for 1-11'!$A$3,"State","SC","SREB Type",2,"SREB Type2","Four-Year")</f>
        <v>0</v>
      </c>
      <c r="O117" s="97">
        <f>+GETPIVOTDATA(" Old-Oth PP",'Pivot Table for 1-11'!$A$3,"State","SC","SREB Type",2,"SREB Type2","Four-Year")</f>
        <v>0</v>
      </c>
      <c r="P117" s="81">
        <f t="shared" si="3"/>
        <v>0</v>
      </c>
    </row>
    <row r="118" spans="1:16" ht="15" customHeight="1" x14ac:dyDescent="0.2">
      <c r="A118" s="5"/>
      <c r="B118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8" s="6">
        <f>+GETPIVOTDATA(" Old-Associate's",'Pivot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0"/>
      <c r="O118" s="97"/>
      <c r="P118" s="81">
        <f t="shared" si="3"/>
        <v>0</v>
      </c>
    </row>
    <row r="119" spans="1:16" ht="15" customHeight="1" x14ac:dyDescent="0.2">
      <c r="A119" s="5" t="s">
        <v>204</v>
      </c>
      <c r="B119" s="6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6">
        <f>+GETPIVOTDATA(" Old-Associate's",'Pivot Table for 1-11'!$A$3,"State","TN","SREB Type",2,"SREB Type2","Four-Year")</f>
        <v>115</v>
      </c>
      <c r="D119" s="6">
        <f>+GETPIVOTDATA(" Old-Bachelor's",'Pivot Table for 1-11'!$A$3,"State","TN","SREB Type",2,"SREB Type2","Four-Year")</f>
        <v>966</v>
      </c>
      <c r="E119" s="6">
        <f>+GETPIVOTDATA(" Old-Post-Bachelor's",'Pivot Table for 1-11'!$A$3,"State","TN","SREB Type",2,"SREB Type2","Four-Year")</f>
        <v>0</v>
      </c>
      <c r="F119" s="6">
        <f>+GETPIVOTDATA(" Old-Total Master's#",'Pivot Table for 1-11'!$A$3,"State","TN","SREB Type",2,"SREB Type2","Four-Year")</f>
        <v>377</v>
      </c>
      <c r="G119" s="6">
        <f>+GETPIVOTDATA(" Old-Total Doctorates#",'Pivot Table for 1-11'!$A$3,"State","TN","SREB Type",2,"SREB Type2","Four-Year")</f>
        <v>67</v>
      </c>
      <c r="H119" s="17">
        <f>+GETPIVOTDATA(" Old-Law",'Pivot Table for 1-11'!$A$3,"State","TN","SREB Type",2,"SREB Type2","Four-Year")</f>
        <v>0</v>
      </c>
      <c r="I119" s="6">
        <f>+GETPIVOTDATA(" Old-Medicine",'Pivot Table for 1-11'!$A$3,"State","TN","SREB Type",2,"SREB Type2","Four-Year")</f>
        <v>0</v>
      </c>
      <c r="J119" s="6">
        <f>+GETPIVOTDATA(" Old-Dentistry",'Pivot Table for 1-11'!$A$3,"State","TN","SREB Type",2,"SREB Type2","Four-Year")</f>
        <v>0</v>
      </c>
      <c r="K119" s="6">
        <f>+GETPIVOTDATA(" Old-Pharmacy",'Pivot Table for 1-11'!$A$3,"State","TN","SREB Type",2,"SREB Type2","Four-Year")</f>
        <v>0</v>
      </c>
      <c r="L119" s="6">
        <f>+GETPIVOTDATA(" Old-Optometry",'Pivot Table for 1-11'!$A$3,"State","TN","SREB Type",2,"SREB Type2","Four-Year")</f>
        <v>0</v>
      </c>
      <c r="M119" s="6">
        <f>+GETPIVOTDATA(" Old-Osteopathic Medicine",'Pivot Table for 1-11'!$A$3,"State","TN","SREB Type",2,"SREB Type2","Four-Year")</f>
        <v>0</v>
      </c>
      <c r="N119" s="80">
        <f>+GETPIVOTDATA(" Old-Veterinary Medicine",'Pivot Table for 1-11'!$A$3,"State","TN","SREB Type",2,"SREB Type2","Four-Year")</f>
        <v>0</v>
      </c>
      <c r="O119" s="97">
        <f>+GETPIVOTDATA(" Old-Oth PP",'Pivot Table for 1-11'!$A$3,"State","TN","SREB Type",2,"SREB Type2","Four-Year")</f>
        <v>0</v>
      </c>
      <c r="P119" s="81">
        <f t="shared" si="3"/>
        <v>1525</v>
      </c>
    </row>
    <row r="120" spans="1:16" ht="15" customHeight="1" x14ac:dyDescent="0.2">
      <c r="A120" s="5" t="s">
        <v>205</v>
      </c>
      <c r="B120" s="6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6">
        <f>+GETPIVOTDATA(" Old-Associate's",'Pivot Table for 1-11'!$A$3,"State","TX","SREB Type",2,"SREB Type2","Four-Year")</f>
        <v>0</v>
      </c>
      <c r="D120" s="6">
        <f>+GETPIVOTDATA(" Old-Bachelor's",'Pivot Table for 1-11'!$A$3,"State","TX","SREB Type",2,"SREB Type2","Four-Year")</f>
        <v>8881</v>
      </c>
      <c r="E120" s="6">
        <f>+GETPIVOTDATA(" Old-Post-Bachelor's",'Pivot Table for 1-11'!$A$3,"State","TX","SREB Type",2,"SREB Type2","Four-Year")</f>
        <v>0</v>
      </c>
      <c r="F120" s="6">
        <f>+GETPIVOTDATA(" Old-Total Master's#",'Pivot Table for 1-11'!$A$3,"State","TX","SREB Type",2,"SREB Type2","Four-Year")</f>
        <v>3684</v>
      </c>
      <c r="G120" s="6">
        <f>+GETPIVOTDATA(" Old-Total Doctorates#",'Pivot Table for 1-11'!$A$3,"State","TX","SREB Type",2,"SREB Type2","Four-Year")</f>
        <v>235</v>
      </c>
      <c r="H120" s="17">
        <f>+GETPIVOTDATA(" Old-Law",'Pivot Table for 1-11'!$A$3,"State","TX","SREB Type",2,"SREB Type2","Four-Year")</f>
        <v>0</v>
      </c>
      <c r="I120" s="6">
        <f>+GETPIVOTDATA(" Old-Medicine",'Pivot Table for 1-11'!$A$3,"State","TX","SREB Type",2,"SREB Type2","Four-Year")</f>
        <v>0</v>
      </c>
      <c r="J120" s="6">
        <f>+GETPIVOTDATA(" Old-Dentistry",'Pivot Table for 1-11'!$A$3,"State","TX","SREB Type",2,"SREB Type2","Four-Year")</f>
        <v>0</v>
      </c>
      <c r="K120" s="6">
        <f>+GETPIVOTDATA(" Old-Pharmacy",'Pivot Table for 1-11'!$A$3,"State","TX","SREB Type",2,"SREB Type2","Four-Year")</f>
        <v>0</v>
      </c>
      <c r="L120" s="6">
        <f>+GETPIVOTDATA(" Old-Optometry",'Pivot Table for 1-11'!$A$3,"State","TX","SREB Type",2,"SREB Type2","Four-Year")</f>
        <v>0</v>
      </c>
      <c r="M120" s="6">
        <f>+GETPIVOTDATA(" Old-Osteopathic Medicine",'Pivot Table for 1-11'!$A$3,"State","TX","SREB Type",2,"SREB Type2","Four-Year")</f>
        <v>0</v>
      </c>
      <c r="N120" s="80">
        <f>+GETPIVOTDATA(" Old-Veterinary Medicine",'Pivot Table for 1-11'!$A$3,"State","TX","SREB Type",2,"SREB Type2","Four-Year")</f>
        <v>0</v>
      </c>
      <c r="O120" s="97">
        <f>+GETPIVOTDATA(" Old-Oth PP",'Pivot Table for 1-11'!$A$3,"State","TX","SREB Type",2,"SREB Type2","Four-Year")</f>
        <v>130</v>
      </c>
      <c r="P120" s="81">
        <f t="shared" si="3"/>
        <v>12930</v>
      </c>
    </row>
    <row r="121" spans="1:16" ht="15" customHeight="1" x14ac:dyDescent="0.2">
      <c r="A121" s="5" t="s">
        <v>206</v>
      </c>
      <c r="B121" s="6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6">
        <f>+GETPIVOTDATA(" Old-Associate's",'Pivot Table for 1-11'!$A$3,"State","VA","SREB Type",2,"SREB Type2","Four-Year")</f>
        <v>0</v>
      </c>
      <c r="D121" s="6">
        <f>+GETPIVOTDATA(" Old-Bachelor's",'Pivot Table for 1-11'!$A$3,"State","VA","SREB Type",2,"SREB Type2","Four-Year")</f>
        <v>5871</v>
      </c>
      <c r="E121" s="6">
        <f>+GETPIVOTDATA(" Old-Post-Bachelor's",'Pivot Table for 1-11'!$A$3,"State","VA","SREB Type",2,"SREB Type2","Four-Year")</f>
        <v>212</v>
      </c>
      <c r="F121" s="6">
        <f>+GETPIVOTDATA(" Old-Total Master's#",'Pivot Table for 1-11'!$A$3,"State","VA","SREB Type",2,"SREB Type2","Four-Year")</f>
        <v>2436</v>
      </c>
      <c r="G121" s="6">
        <f>+GETPIVOTDATA(" Old-Total Doctorates#",'Pivot Table for 1-11'!$A$3,"State","VA","SREB Type",2,"SREB Type2","Four-Year")</f>
        <v>382</v>
      </c>
      <c r="H121" s="17">
        <f>+GETPIVOTDATA(" Old-Law",'Pivot Table for 1-11'!$A$3,"State","VA","SREB Type",2,"SREB Type2","Four-Year")</f>
        <v>205</v>
      </c>
      <c r="I121" s="6">
        <f>+GETPIVOTDATA(" Old-Medicine",'Pivot Table for 1-11'!$A$3,"State","VA","SREB Type",2,"SREB Type2","Four-Year")</f>
        <v>176</v>
      </c>
      <c r="J121" s="6">
        <f>+GETPIVOTDATA(" Old-Dentistry",'Pivot Table for 1-11'!$A$3,"State","VA","SREB Type",2,"SREB Type2","Four-Year")</f>
        <v>89</v>
      </c>
      <c r="K121" s="6">
        <f>+GETPIVOTDATA(" Old-Pharmacy",'Pivot Table for 1-11'!$A$3,"State","VA","SREB Type",2,"SREB Type2","Four-Year")</f>
        <v>136</v>
      </c>
      <c r="L121" s="6">
        <f>+GETPIVOTDATA(" Old-Optometry",'Pivot Table for 1-11'!$A$3,"State","VA","SREB Type",2,"SREB Type2","Four-Year")</f>
        <v>0</v>
      </c>
      <c r="M121" s="6">
        <f>+GETPIVOTDATA(" Old-Osteopathic Medicine",'Pivot Table for 1-11'!$A$3,"State","VA","SREB Type",2,"SREB Type2","Four-Year")</f>
        <v>0</v>
      </c>
      <c r="N121" s="80">
        <f>+GETPIVOTDATA(" Old-Veterinary Medicine",'Pivot Table for 1-11'!$A$3,"State","VA","SREB Type",2,"SREB Type2","Four-Year")</f>
        <v>0</v>
      </c>
      <c r="O121" s="97">
        <f>+GETPIVOTDATA(" Old-Oth PP",'Pivot Table for 1-11'!$A$3,"State","VA","SREB Type",2,"SREB Type2","Four-Year")</f>
        <v>0</v>
      </c>
      <c r="P121" s="81">
        <f t="shared" si="3"/>
        <v>9507</v>
      </c>
    </row>
    <row r="122" spans="1:16" ht="15" customHeight="1" x14ac:dyDescent="0.2">
      <c r="A122" s="7" t="s">
        <v>207</v>
      </c>
      <c r="B122" s="8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8">
        <f>+GETPIVOTDATA(" Old-Associate's",'Pivot Table for 1-11'!$A$3,"State","WV","SREB Type",2,"SREB Type2","Four-Year")</f>
        <v>0</v>
      </c>
      <c r="D122" s="8">
        <f>+GETPIVOTDATA(" Old-Bachelor's",'Pivot Table for 1-11'!$A$3,"State","WV","SREB Type",2,"SREB Type2","Four-Year")</f>
        <v>0</v>
      </c>
      <c r="E122" s="8">
        <f>+GETPIVOTDATA(" Old-Post-Bachelor's",'Pivot Table for 1-11'!$A$3,"State","WV","SREB Type",2,"SREB Type2","Four-Year")</f>
        <v>0</v>
      </c>
      <c r="F122" s="8">
        <f>+GETPIVOTDATA(" Old-Total Master's#",'Pivot Table for 1-11'!$A$3,"State","WV","SREB Type",2,"SREB Type2","Four-Year")</f>
        <v>0</v>
      </c>
      <c r="G122" s="8">
        <f>+GETPIVOTDATA(" Old-Total Doctorates#",'Pivot Table for 1-11'!$A$3,"State","WV","SREB Type",2,"SREB Type2","Four-Year")</f>
        <v>0</v>
      </c>
      <c r="H122" s="18">
        <f>+GETPIVOTDATA(" Old-Law",'Pivot Table for 1-11'!$A$3,"State","WV","SREB Type",2,"SREB Type2","Four-Year")</f>
        <v>0</v>
      </c>
      <c r="I122" s="8">
        <f>+GETPIVOTDATA(" Old-Medicine",'Pivot Table for 1-11'!$A$3,"State","WV","SREB Type",2,"SREB Type2","Four-Year")</f>
        <v>0</v>
      </c>
      <c r="J122" s="8">
        <f>+GETPIVOTDATA(" Old-Dentistry",'Pivot Table for 1-11'!$A$3,"State","WV","SREB Type",2,"SREB Type2","Four-Year")</f>
        <v>0</v>
      </c>
      <c r="K122" s="8">
        <f>+GETPIVOTDATA(" Old-Pharmacy",'Pivot Table for 1-11'!$A$3,"State","WV","SREB Type",2,"SREB Type2","Four-Year")</f>
        <v>0</v>
      </c>
      <c r="L122" s="8">
        <f>+GETPIVOTDATA(" Old-Optometry",'Pivot Table for 1-11'!$A$3,"State","WV","SREB Type",2,"SREB Type2","Four-Year")</f>
        <v>0</v>
      </c>
      <c r="M122" s="8">
        <f>+GETPIVOTDATA(" Old-Osteopathic Medicine",'Pivot Table for 1-11'!$A$3,"State","WV","SREB Type",2,"SREB Type2","Four-Year")</f>
        <v>0</v>
      </c>
      <c r="N122" s="88">
        <f>+GETPIVOTDATA(" Old-Veterinary Medicine",'Pivot Table for 1-11'!$A$3,"State","WV","SREB Type",2,"SREB Type2","Four-Year")</f>
        <v>0</v>
      </c>
      <c r="O122" s="98">
        <f>+GETPIVOTDATA(" Old-Oth PP",'Pivot Table for 1-11'!$A$3,"State","WV","SREB Type",2,"SREB Type2","Four-Year")</f>
        <v>0</v>
      </c>
      <c r="P122" s="82">
        <f t="shared" si="3"/>
        <v>0</v>
      </c>
    </row>
    <row r="123" spans="1:16" ht="15" customHeight="1" x14ac:dyDescent="0.2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0"/>
      <c r="O123" s="80"/>
      <c r="P123" s="80"/>
    </row>
    <row r="124" spans="1:16" ht="24" customHeight="1" x14ac:dyDescent="0.2">
      <c r="A124" s="856" t="s">
        <v>409</v>
      </c>
      <c r="B124" s="857"/>
      <c r="C124" s="857"/>
      <c r="D124" s="857"/>
      <c r="E124" s="857"/>
      <c r="F124" s="857"/>
      <c r="G124" s="857"/>
      <c r="H124" s="857"/>
      <c r="I124" s="857"/>
      <c r="J124" s="857"/>
      <c r="K124" s="857"/>
      <c r="L124" s="857"/>
      <c r="M124" s="857"/>
      <c r="N124" s="857"/>
      <c r="O124" s="857"/>
      <c r="P124" s="857"/>
    </row>
    <row r="125" spans="1:16" x14ac:dyDescent="0.2">
      <c r="P125" s="83" t="s">
        <v>1293</v>
      </c>
    </row>
    <row r="126" spans="1:16" ht="18" x14ac:dyDescent="0.25">
      <c r="A126" s="22" t="s">
        <v>211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8"/>
      <c r="O126" s="58"/>
      <c r="P126" s="58"/>
    </row>
    <row r="127" spans="1:1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7"/>
      <c r="O127" s="57"/>
      <c r="P127" s="57"/>
    </row>
    <row r="128" spans="1:16" ht="15.75" x14ac:dyDescent="0.25">
      <c r="A128" s="1" t="s">
        <v>181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8"/>
      <c r="O128" s="58"/>
      <c r="P128" s="58"/>
    </row>
    <row r="129" spans="1:16" ht="15.75" x14ac:dyDescent="0.25">
      <c r="A129" s="1" t="s">
        <v>482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8"/>
      <c r="O129" s="58"/>
      <c r="P129" s="58"/>
    </row>
    <row r="130" spans="1:16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59"/>
      <c r="O130" s="59"/>
      <c r="P130" s="59"/>
    </row>
    <row r="131" spans="1:16" ht="15.75" x14ac:dyDescent="0.25">
      <c r="A131" s="91"/>
      <c r="B131" s="91"/>
      <c r="C131" s="91"/>
      <c r="D131" s="91"/>
      <c r="E131" s="91"/>
      <c r="F131" s="91"/>
      <c r="G131" s="91"/>
      <c r="H131" s="95" t="s">
        <v>410</v>
      </c>
      <c r="I131" s="26"/>
      <c r="J131" s="26"/>
      <c r="K131" s="26"/>
      <c r="L131" s="26"/>
      <c r="M131" s="26"/>
      <c r="N131" s="92"/>
      <c r="O131" s="99"/>
      <c r="P131" s="94" t="s">
        <v>216</v>
      </c>
    </row>
    <row r="132" spans="1:16" ht="41.25" customHeight="1" x14ac:dyDescent="0.2">
      <c r="A132" s="14"/>
      <c r="B132" s="15" t="s">
        <v>244</v>
      </c>
      <c r="C132" s="15" t="s">
        <v>182</v>
      </c>
      <c r="D132" s="15" t="s">
        <v>175</v>
      </c>
      <c r="E132" s="15" t="s">
        <v>176</v>
      </c>
      <c r="F132" s="15" t="s">
        <v>183</v>
      </c>
      <c r="G132" s="15" t="s">
        <v>184</v>
      </c>
      <c r="H132" s="16" t="s">
        <v>185</v>
      </c>
      <c r="I132" s="15" t="s">
        <v>186</v>
      </c>
      <c r="J132" s="15" t="s">
        <v>187</v>
      </c>
      <c r="K132" s="15" t="s">
        <v>179</v>
      </c>
      <c r="L132" s="15" t="s">
        <v>188</v>
      </c>
      <c r="M132" s="15" t="s">
        <v>189</v>
      </c>
      <c r="N132" s="90" t="s">
        <v>411</v>
      </c>
      <c r="O132" s="96" t="s">
        <v>412</v>
      </c>
      <c r="P132" s="90" t="s">
        <v>190</v>
      </c>
    </row>
    <row r="133" spans="1:16" ht="15" customHeight="1" x14ac:dyDescent="0.2">
      <c r="A133" s="5" t="s">
        <v>191</v>
      </c>
      <c r="B133" s="6">
        <f>+GETPIVOTDATA(" Old-Less Than 2-Year",'Pivot Table for 1-11'!$A$3,"SREB Type",3,"SREB Type2","Four-Year")+GETPIVOTDATA(" Old-2 But Less Than 4-Year",'Pivot Table for 1-11'!$A$3,"SREB Type",3,"SREB Type2","Four-Year")</f>
        <v>610</v>
      </c>
      <c r="C133" s="6">
        <f>+GETPIVOTDATA(" Old-Associate's",'Pivot Table for 1-11'!$A$3,"SREB Type",3,"SREB Type2","Four-Year")</f>
        <v>5389</v>
      </c>
      <c r="D133" s="6">
        <f>+GETPIVOTDATA(" Old-Bachelor's",'Pivot Table for 1-11'!$A$3,"SREB Type",3,"SREB Type2","Four-Year")</f>
        <v>99661</v>
      </c>
      <c r="E133" s="6">
        <f>+GETPIVOTDATA(" Old-Post-Bachelor's",'Pivot Table for 1-11'!$A$3,"SREB Type",3,"SREB Type2","Four-Year")</f>
        <v>431</v>
      </c>
      <c r="F133" s="6">
        <f>+GETPIVOTDATA(" Old-Total Master's#",'Pivot Table for 1-11'!$A$3,"SREB Type",3,"SREB Type2","Four-Year")</f>
        <v>34659</v>
      </c>
      <c r="G133" s="6">
        <f>+GETPIVOTDATA(" Old-Total Doctorates#",'Pivot Table for 1-11'!$A$3,"SREB Type",3,"SREB Type2","Four-Year")</f>
        <v>897</v>
      </c>
      <c r="H133" s="17">
        <f>+GETPIVOTDATA(" Old-Law",'Pivot Table for 1-11'!$A$3,"SREB Type",3,"SREB Type2","Four-Year")</f>
        <v>794</v>
      </c>
      <c r="I133" s="6">
        <f>+GETPIVOTDATA(" Old-Medicine",'Pivot Table for 1-11'!$A$3,"SREB Type",3,"SREB Type2","Four-Year")</f>
        <v>201</v>
      </c>
      <c r="J133" s="6">
        <f>+GETPIVOTDATA(" Old-Dentistry",'Pivot Table for 1-11'!$A$3,"SREB Type",3,"SREB Type2","Four-Year")</f>
        <v>0</v>
      </c>
      <c r="K133" s="6">
        <f>+GETPIVOTDATA(" Old-Pharmacy",'Pivot Table for 1-11'!$A$3,"SREB Type",3,"SREB Type2","Four-Year")</f>
        <v>424</v>
      </c>
      <c r="L133" s="6">
        <f>+GETPIVOTDATA(" Old-Optometry",'Pivot Table for 1-11'!$A$3,"SREB Type",3,"SREB Type2","Four-Year")</f>
        <v>26</v>
      </c>
      <c r="M133" s="6">
        <f>+GETPIVOTDATA(" Old-Osteopathic Medicine",'Pivot Table for 1-11'!$A$3,"SREB Type",3,"SREB Type2","Four-Year")</f>
        <v>0</v>
      </c>
      <c r="N133" s="80">
        <f>+GETPIVOTDATA(" Old-Veterinary Medicine",'Pivot Table for 1-11'!$A$3,"SREB Type",3,"SREB Type2","Four-Year")</f>
        <v>0</v>
      </c>
      <c r="O133" s="97">
        <f>+GETPIVOTDATA(" Old-Oth PP",'Pivot Table for 1-11'!$A$3,"SREB Type",3,"SREB Type2","Four-Year")</f>
        <v>255</v>
      </c>
      <c r="P133" s="81">
        <f>SUM(B133:O133)</f>
        <v>143347</v>
      </c>
    </row>
    <row r="134" spans="1:16" ht="15" customHeight="1" x14ac:dyDescent="0.2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0"/>
      <c r="O134" s="97"/>
      <c r="P134" s="81"/>
    </row>
    <row r="135" spans="1:16" ht="15" customHeight="1" x14ac:dyDescent="0.2">
      <c r="A135" s="5" t="s">
        <v>192</v>
      </c>
      <c r="B135" s="6">
        <f>GETPIVOTDATA(" Old-Less Than 2-Year",'Pivot Table for 1-11'!$A$3,"State","AL","SREB Type",3,"SREB Type2","Four-Year")+GETPIVOTDATA(" Old-2 But Less Than 4-Year",'Pivot Table for 1-11'!$A$3,"State","AL","SREB Type",3,"SREB Type2","Four-Year")</f>
        <v>133</v>
      </c>
      <c r="C135" s="6">
        <f>+GETPIVOTDATA(" Old-Associate's",'Pivot Table for 1-11'!$A$3,"State","AL","SREB Type",3,"SREB Type2","Four-Year")</f>
        <v>212</v>
      </c>
      <c r="D135" s="6">
        <f>+GETPIVOTDATA(" Old-Bachelor's",'Pivot Table for 1-11'!$A$3,"State","AL","SREB Type",3,"SREB Type2","Four-Year")</f>
        <v>5552</v>
      </c>
      <c r="E135" s="6">
        <f>+GETPIVOTDATA(" Old-Post-Bachelor's",'Pivot Table for 1-11'!$A$3,"State","AL","SREB Type",3,"SREB Type2","Four-Year")</f>
        <v>19</v>
      </c>
      <c r="F135" s="6">
        <f>+GETPIVOTDATA(" Old-Total Master's#",'Pivot Table for 1-11'!$A$3,"State","AL","SREB Type",3,"SREB Type2","Four-Year")</f>
        <v>2325</v>
      </c>
      <c r="G135" s="6">
        <f>+GETPIVOTDATA(" Old-Total Doctorates#",'Pivot Table for 1-11'!$A$3,"State","AL","SREB Type",3,"SREB Type2","Four-Year")</f>
        <v>24</v>
      </c>
      <c r="H135" s="17">
        <f>+GETPIVOTDATA(" Old-Law",'Pivot Table for 1-11'!$A$3,"State","AL","SREB Type",3,"SREB Type2","Four-Year")</f>
        <v>0</v>
      </c>
      <c r="I135" s="6">
        <f>+GETPIVOTDATA(" Old-Medicine",'Pivot Table for 1-11'!$A$3,"State","AL","SREB Type",3,"SREB Type2","Four-Year")</f>
        <v>69</v>
      </c>
      <c r="J135" s="6">
        <f>+GETPIVOTDATA(" Old-Dentistry",'Pivot Table for 1-11'!$A$3,"State","AL","SREB Type",3,"SREB Type2","Four-Year")</f>
        <v>0</v>
      </c>
      <c r="K135" s="6">
        <f>+GETPIVOTDATA(" Old-Pharmacy",'Pivot Table for 1-11'!$A$3,"State","AL","SREB Type",3,"SREB Type2","Four-Year")</f>
        <v>0</v>
      </c>
      <c r="L135" s="6">
        <f>+GETPIVOTDATA(" Old-Optometry",'Pivot Table for 1-11'!$A$3,"State","AL","SREB Type",3,"SREB Type2","Four-Year")</f>
        <v>0</v>
      </c>
      <c r="M135" s="6">
        <f>+GETPIVOTDATA(" Old-Osteopathic Medicine",'Pivot Table for 1-11'!$A$3,"State","AL","SREB Type",3,"SREB Type2","Four-Year")</f>
        <v>0</v>
      </c>
      <c r="N135" s="80">
        <f>+GETPIVOTDATA(" Old-Veterinary Medicine",'Pivot Table for 1-11'!$A$3,"State","AL","SREB Type",3,"SREB Type2","Four-Year")</f>
        <v>0</v>
      </c>
      <c r="O135" s="97">
        <f>+GETPIVOTDATA(" Old-Oth PP",'Pivot Table for 1-11'!$A$3,"State","AL","SREB Type",3,"SREB Type2","Four-Year")</f>
        <v>96</v>
      </c>
      <c r="P135" s="81">
        <f t="shared" ref="P135:P153" si="4">SUM(B135:O135)</f>
        <v>8430</v>
      </c>
    </row>
    <row r="136" spans="1:16" ht="15" customHeight="1" x14ac:dyDescent="0.2">
      <c r="A136" s="5" t="s">
        <v>193</v>
      </c>
      <c r="B136" s="6">
        <f>+GETPIVOTDATA(" Old-Less Than 2-Year",'Pivot Table for 1-11'!$A$3,"State","AR","SREB Type",3,"SREB Type2","Four-Year")+GETPIVOTDATA(" Old-2 But Less Than 4-Year",'Pivot Table for 1-11'!$A$3,"State","AR","SREB Type",3,"SREB Type2","Four-Year")</f>
        <v>357</v>
      </c>
      <c r="C136" s="6">
        <f>+GETPIVOTDATA(" Old-Associate's",'Pivot Table for 1-11'!$A$3,"State","AR","SREB Type",3,"SREB Type2","Four-Year")</f>
        <v>2959</v>
      </c>
      <c r="D136" s="6">
        <f>+GETPIVOTDATA(" Old-Bachelor's",'Pivot Table for 1-11'!$A$3,"State","AR","SREB Type",3,"SREB Type2","Four-Year")</f>
        <v>5406</v>
      </c>
      <c r="E136" s="6">
        <f>+GETPIVOTDATA(" Old-Post-Bachelor's",'Pivot Table for 1-11'!$A$3,"State","AR","SREB Type",3,"SREB Type2","Four-Year")</f>
        <v>128</v>
      </c>
      <c r="F136" s="6">
        <f>+GETPIVOTDATA(" Old-Total Master's#",'Pivot Table for 1-11'!$A$3,"State","AR","SREB Type",3,"SREB Type2","Four-Year")</f>
        <v>2715</v>
      </c>
      <c r="G136" s="6">
        <f>+GETPIVOTDATA(" Old-Total Doctorates#",'Pivot Table for 1-11'!$A$3,"State","AR","SREB Type",3,"SREB Type2","Four-Year")</f>
        <v>38</v>
      </c>
      <c r="H136" s="17">
        <f>+GETPIVOTDATA(" Old-Law",'Pivot Table for 1-11'!$A$3,"State","AR","SREB Type",3,"SREB Type2","Four-Year")</f>
        <v>144</v>
      </c>
      <c r="I136" s="6">
        <f>+GETPIVOTDATA(" Old-Medicine",'Pivot Table for 1-11'!$A$3,"State","AR","SREB Type",3,"SREB Type2","Four-Year")</f>
        <v>0</v>
      </c>
      <c r="J136" s="6">
        <f>+GETPIVOTDATA(" Old-Dentistry",'Pivot Table for 1-11'!$A$3,"State","AR","SREB Type",3,"SREB Type2","Four-Year")</f>
        <v>0</v>
      </c>
      <c r="K136" s="6">
        <f>+GETPIVOTDATA(" Old-Pharmacy",'Pivot Table for 1-11'!$A$3,"State","AR","SREB Type",3,"SREB Type2","Four-Year")</f>
        <v>0</v>
      </c>
      <c r="L136" s="6">
        <f>+GETPIVOTDATA(" Old-Optometry",'Pivot Table for 1-11'!$A$3,"State","AR","SREB Type",3,"SREB Type2","Four-Year")</f>
        <v>0</v>
      </c>
      <c r="M136" s="6">
        <f>+GETPIVOTDATA(" Old-Osteopathic Medicine",'Pivot Table for 1-11'!$A$3,"State","AR","SREB Type",3,"SREB Type2","Four-Year")</f>
        <v>0</v>
      </c>
      <c r="N136" s="80">
        <f>+GETPIVOTDATA(" Old-Veterinary Medicine",'Pivot Table for 1-11'!$A$3,"State","AR","SREB Type",3,"SREB Type2","Four-Year")</f>
        <v>0</v>
      </c>
      <c r="O136" s="97">
        <f>+GETPIVOTDATA(" Old-Oth PP",'Pivot Table for 1-11'!$A$3,"State","AR","SREB Type",3,"SREB Type2","Four-Year")</f>
        <v>55</v>
      </c>
      <c r="P136" s="81">
        <f t="shared" si="4"/>
        <v>11802</v>
      </c>
    </row>
    <row r="137" spans="1:16" ht="15" customHeight="1" x14ac:dyDescent="0.2">
      <c r="A137" s="5" t="s">
        <v>194</v>
      </c>
      <c r="B137" s="6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6">
        <f>+GETPIVOTDATA(" Old-Associate's",'Pivot Table for 1-11'!$A$3,"State","DE","SREB Type",3,"SREB Type2","Four-Year")</f>
        <v>0</v>
      </c>
      <c r="D137" s="6">
        <f>+GETPIVOTDATA(" Old-Bachelor's",'Pivot Table for 1-11'!$A$3,"State","DE","SREB Type",3,"SREB Type2","Four-Year")</f>
        <v>497</v>
      </c>
      <c r="E137" s="6">
        <f>+GETPIVOTDATA(" Old-Post-Bachelor's",'Pivot Table for 1-11'!$A$3,"State","DE","SREB Type",3,"SREB Type2","Four-Year")</f>
        <v>0</v>
      </c>
      <c r="F137" s="6">
        <f>+GETPIVOTDATA(" Old-Total Master's#",'Pivot Table for 1-11'!$A$3,"State","DE","SREB Type",3,"SREB Type2","Four-Year")</f>
        <v>112</v>
      </c>
      <c r="G137" s="6">
        <f>+GETPIVOTDATA(" Old-Total Doctorates#",'Pivot Table for 1-11'!$A$3,"State","DE","SREB Type",3,"SREB Type2","Four-Year")</f>
        <v>5</v>
      </c>
      <c r="H137" s="17">
        <f>+GETPIVOTDATA(" Old-Law",'Pivot Table for 1-11'!$A$3,"State","DE","SREB Type",3,"SREB Type2","Four-Year")</f>
        <v>0</v>
      </c>
      <c r="I137" s="6">
        <f>+GETPIVOTDATA(" Old-Medicine",'Pivot Table for 1-11'!$A$3,"State","DE","SREB Type",3,"SREB Type2","Four-Year")</f>
        <v>0</v>
      </c>
      <c r="J137" s="6">
        <f>+GETPIVOTDATA(" Old-Dentistry",'Pivot Table for 1-11'!$A$3,"State","DE","SREB Type",3,"SREB Type2","Four-Year")</f>
        <v>0</v>
      </c>
      <c r="K137" s="6">
        <f>+GETPIVOTDATA(" Old-Pharmacy",'Pivot Table for 1-11'!$A$3,"State","DE","SREB Type",3,"SREB Type2","Four-Year")</f>
        <v>0</v>
      </c>
      <c r="L137" s="6">
        <f>+GETPIVOTDATA(" Old-Optometry",'Pivot Table for 1-11'!$A$3,"State","DE","SREB Type",3,"SREB Type2","Four-Year")</f>
        <v>0</v>
      </c>
      <c r="M137" s="6">
        <f>+GETPIVOTDATA(" Old-Osteopathic Medicine",'Pivot Table for 1-11'!$A$3,"State","DE","SREB Type",3,"SREB Type2","Four-Year")</f>
        <v>0</v>
      </c>
      <c r="N137" s="80">
        <f>+GETPIVOTDATA(" Old-Veterinary Medicine",'Pivot Table for 1-11'!$A$3,"State","DE","SREB Type",3,"SREB Type2","Four-Year")</f>
        <v>0</v>
      </c>
      <c r="O137" s="97">
        <f>+GETPIVOTDATA(" Old-Oth PP",'Pivot Table for 1-11'!$A$3,"State","DE","SREB Type",3,"SREB Type2","Four-Year")</f>
        <v>0</v>
      </c>
      <c r="P137" s="81">
        <f t="shared" si="4"/>
        <v>614</v>
      </c>
    </row>
    <row r="138" spans="1:16" ht="15" customHeight="1" x14ac:dyDescent="0.2">
      <c r="A138" s="5" t="s">
        <v>195</v>
      </c>
      <c r="B138" s="6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6">
        <f>+GETPIVOTDATA(" Old-Associate's",'Pivot Table for 1-11'!$A$3,"State","FL","SREB Type",3,"SREB Type2","Four-Year")</f>
        <v>575</v>
      </c>
      <c r="D138" s="6">
        <f>+GETPIVOTDATA(" Old-Bachelor's",'Pivot Table for 1-11'!$A$3,"State","FL","SREB Type",3,"SREB Type2","Four-Year")</f>
        <v>6194</v>
      </c>
      <c r="E138" s="6">
        <f>+GETPIVOTDATA(" Old-Post-Bachelor's",'Pivot Table for 1-11'!$A$3,"State","FL","SREB Type",3,"SREB Type2","Four-Year")</f>
        <v>0</v>
      </c>
      <c r="F138" s="6">
        <f>+GETPIVOTDATA(" Old-Total Master's#",'Pivot Table for 1-11'!$A$3,"State","FL","SREB Type",3,"SREB Type2","Four-Year")</f>
        <v>1398</v>
      </c>
      <c r="G138" s="6">
        <f>+GETPIVOTDATA(" Old-Total Doctorates#",'Pivot Table for 1-11'!$A$3,"State","FL","SREB Type",3,"SREB Type2","Four-Year")</f>
        <v>98</v>
      </c>
      <c r="H138" s="17">
        <f>+GETPIVOTDATA(" Old-Law",'Pivot Table for 1-11'!$A$3,"State","FL","SREB Type",3,"SREB Type2","Four-Year")</f>
        <v>160</v>
      </c>
      <c r="I138" s="6">
        <f>+GETPIVOTDATA(" Old-Medicine",'Pivot Table for 1-11'!$A$3,"State","FL","SREB Type",3,"SREB Type2","Four-Year")</f>
        <v>0</v>
      </c>
      <c r="J138" s="6">
        <f>+GETPIVOTDATA(" Old-Dentistry",'Pivot Table for 1-11'!$A$3,"State","FL","SREB Type",3,"SREB Type2","Four-Year")</f>
        <v>0</v>
      </c>
      <c r="K138" s="6">
        <f>+GETPIVOTDATA(" Old-Pharmacy",'Pivot Table for 1-11'!$A$3,"State","FL","SREB Type",3,"SREB Type2","Four-Year")</f>
        <v>139</v>
      </c>
      <c r="L138" s="6">
        <f>+GETPIVOTDATA(" Old-Optometry",'Pivot Table for 1-11'!$A$3,"State","FL","SREB Type",3,"SREB Type2","Four-Year")</f>
        <v>0</v>
      </c>
      <c r="M138" s="6">
        <f>+GETPIVOTDATA(" Old-Osteopathic Medicine",'Pivot Table for 1-11'!$A$3,"State","FL","SREB Type",3,"SREB Type2","Four-Year")</f>
        <v>0</v>
      </c>
      <c r="N138" s="80">
        <f>+GETPIVOTDATA(" Old-Veterinary Medicine",'Pivot Table for 1-11'!$A$3,"State","FL","SREB Type",3,"SREB Type2","Four-Year")</f>
        <v>0</v>
      </c>
      <c r="O138" s="97">
        <f>+GETPIVOTDATA(" Old-Oth PP",'Pivot Table for 1-11'!$A$3,"State","FL","SREB Type",3,"SREB Type2","Four-Year")</f>
        <v>37</v>
      </c>
      <c r="P138" s="81">
        <f t="shared" si="4"/>
        <v>8601</v>
      </c>
    </row>
    <row r="139" spans="1:16" ht="15" customHeight="1" x14ac:dyDescent="0.2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0"/>
      <c r="O139" s="97"/>
      <c r="P139" s="81">
        <f t="shared" si="4"/>
        <v>0</v>
      </c>
    </row>
    <row r="140" spans="1:16" ht="15" customHeight="1" x14ac:dyDescent="0.2">
      <c r="A140" s="5" t="s">
        <v>196</v>
      </c>
      <c r="B140" s="6">
        <f>+GETPIVOTDATA(" Old-Less Than 2-Year",'Pivot Table for 1-11'!$A$3,"State","GA","SREB Type",3,"SREB Type2","Four-Year")+GETPIVOTDATA(" Old-2 But Less Than 4-Year",'Pivot Table for 1-11'!$A$3,"State","GA","SREB Type",3,"SREB Type2","Four-Year")</f>
        <v>0</v>
      </c>
      <c r="C140" s="6">
        <f>+GETPIVOTDATA(" Old-Associate's",'Pivot Table for 1-11'!$A$3,"State","GA","SREB Type",3,"SREB Type2","Four-Year")</f>
        <v>43</v>
      </c>
      <c r="D140" s="6">
        <f>+GETPIVOTDATA(" Old-Bachelor's",'Pivot Table for 1-11'!$A$3,"State","GA","SREB Type",3,"SREB Type2","Four-Year")</f>
        <v>5801</v>
      </c>
      <c r="E140" s="6">
        <f>+GETPIVOTDATA(" Old-Post-Bachelor's",'Pivot Table for 1-11'!$A$3,"State","GA","SREB Type",3,"SREB Type2","Four-Year")</f>
        <v>10</v>
      </c>
      <c r="F140" s="6">
        <f>+GETPIVOTDATA(" Old-Total Master's#",'Pivot Table for 1-11'!$A$3,"State","GA","SREB Type",3,"SREB Type2","Four-Year")</f>
        <v>2068</v>
      </c>
      <c r="G140" s="6">
        <f>+GETPIVOTDATA(" Old-Total Doctorates#",'Pivot Table for 1-11'!$A$3,"State","GA","SREB Type",3,"SREB Type2","Four-Year")</f>
        <v>102</v>
      </c>
      <c r="H140" s="17">
        <f>+GETPIVOTDATA(" Old-Law",'Pivot Table for 1-11'!$A$3,"State","GA","SREB Type",3,"SREB Type2","Four-Year")</f>
        <v>0</v>
      </c>
      <c r="I140" s="6">
        <f>+GETPIVOTDATA(" Old-Medicine",'Pivot Table for 1-11'!$A$3,"State","GA","SREB Type",3,"SREB Type2","Four-Year")</f>
        <v>0</v>
      </c>
      <c r="J140" s="6">
        <f>+GETPIVOTDATA(" Old-Dentistry",'Pivot Table for 1-11'!$A$3,"State","GA","SREB Type",3,"SREB Type2","Four-Year")</f>
        <v>0</v>
      </c>
      <c r="K140" s="6">
        <f>+GETPIVOTDATA(" Old-Pharmacy",'Pivot Table for 1-11'!$A$3,"State","GA","SREB Type",3,"SREB Type2","Four-Year")</f>
        <v>0</v>
      </c>
      <c r="L140" s="6">
        <f>+GETPIVOTDATA(" Old-Optometry",'Pivot Table for 1-11'!$A$3,"State","GA","SREB Type",3,"SREB Type2","Four-Year")</f>
        <v>0</v>
      </c>
      <c r="M140" s="6">
        <f>+GETPIVOTDATA(" Old-Osteopathic Medicine",'Pivot Table for 1-11'!$A$3,"State","GA","SREB Type",3,"SREB Type2","Four-Year")</f>
        <v>0</v>
      </c>
      <c r="N140" s="80">
        <f>+GETPIVOTDATA(" Old-Veterinary Medicine",'Pivot Table for 1-11'!$A$3,"State","GA","SREB Type",3,"SREB Type2","Four-Year")</f>
        <v>0</v>
      </c>
      <c r="O140" s="97">
        <f>+GETPIVOTDATA(" Old-Oth PP",'Pivot Table for 1-11'!$A$3,"State","GA","SREB Type",3,"SREB Type2","Four-Year")</f>
        <v>0</v>
      </c>
      <c r="P140" s="81">
        <f t="shared" si="4"/>
        <v>8024</v>
      </c>
    </row>
    <row r="141" spans="1:16" ht="15" customHeight="1" x14ac:dyDescent="0.2">
      <c r="A141" s="5" t="s">
        <v>197</v>
      </c>
      <c r="B141" s="6">
        <f>+GETPIVOTDATA(" Old-Less Than 2-Year",'Pivot Table for 1-11'!$A$3,"State","KY","SREB Type",3,"SREB Type2","Four-Year")+GETPIVOTDATA(" Old-2 But Less Than 4-Year",'Pivot Table for 1-11'!$A$3,"State","KY","SREB Type",3,"SREB Type2","Four-Year")</f>
        <v>120</v>
      </c>
      <c r="C141" s="6">
        <f>+GETPIVOTDATA(" Old-Associate's",'Pivot Table for 1-11'!$A$3,"State","KY","SREB Type",3,"SREB Type2","Four-Year")</f>
        <v>613</v>
      </c>
      <c r="D141" s="6">
        <f>+GETPIVOTDATA(" Old-Bachelor's",'Pivot Table for 1-11'!$A$3,"State","KY","SREB Type",3,"SREB Type2","Four-Year")</f>
        <v>7357</v>
      </c>
      <c r="E141" s="6">
        <f>+GETPIVOTDATA(" Old-Post-Bachelor's",'Pivot Table for 1-11'!$A$3,"State","KY","SREB Type",3,"SREB Type2","Four-Year")</f>
        <v>81</v>
      </c>
      <c r="F141" s="6">
        <f>+GETPIVOTDATA(" Old-Total Master's#",'Pivot Table for 1-11'!$A$3,"State","KY","SREB Type",3,"SREB Type2","Four-Year")</f>
        <v>2704</v>
      </c>
      <c r="G141" s="6">
        <f>+GETPIVOTDATA(" Old-Total Doctorates#",'Pivot Table for 1-11'!$A$3,"State","KY","SREB Type",3,"SREB Type2","Four-Year")</f>
        <v>0</v>
      </c>
      <c r="H141" s="17">
        <f>+GETPIVOTDATA(" Old-Law",'Pivot Table for 1-11'!$A$3,"State","KY","SREB Type",3,"SREB Type2","Four-Year")</f>
        <v>0</v>
      </c>
      <c r="I141" s="6">
        <f>+GETPIVOTDATA(" Old-Medicine",'Pivot Table for 1-11'!$A$3,"State","KY","SREB Type",3,"SREB Type2","Four-Year")</f>
        <v>0</v>
      </c>
      <c r="J141" s="6">
        <f>+GETPIVOTDATA(" Old-Dentistry",'Pivot Table for 1-11'!$A$3,"State","KY","SREB Type",3,"SREB Type2","Four-Year")</f>
        <v>0</v>
      </c>
      <c r="K141" s="6">
        <f>+GETPIVOTDATA(" Old-Pharmacy",'Pivot Table for 1-11'!$A$3,"State","KY","SREB Type",3,"SREB Type2","Four-Year")</f>
        <v>0</v>
      </c>
      <c r="L141" s="6">
        <f>+GETPIVOTDATA(" Old-Optometry",'Pivot Table for 1-11'!$A$3,"State","KY","SREB Type",3,"SREB Type2","Four-Year")</f>
        <v>0</v>
      </c>
      <c r="M141" s="6">
        <f>+GETPIVOTDATA(" Old-Osteopathic Medicine",'Pivot Table for 1-11'!$A$3,"State","KY","SREB Type",3,"SREB Type2","Four-Year")</f>
        <v>0</v>
      </c>
      <c r="N141" s="80">
        <f>+GETPIVOTDATA(" Old-Veterinary Medicine",'Pivot Table for 1-11'!$A$3,"State","KY","SREB Type",3,"SREB Type2","Four-Year")</f>
        <v>0</v>
      </c>
      <c r="O141" s="97">
        <f>+GETPIVOTDATA(" Old-Oth PP",'Pivot Table for 1-11'!$A$3,"State","KY","SREB Type",3,"SREB Type2","Four-Year")</f>
        <v>9</v>
      </c>
      <c r="P141" s="81">
        <f t="shared" si="4"/>
        <v>10884</v>
      </c>
    </row>
    <row r="142" spans="1:16" ht="15" customHeight="1" x14ac:dyDescent="0.2">
      <c r="A142" s="5" t="s">
        <v>198</v>
      </c>
      <c r="B142" s="6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6">
        <f>+GETPIVOTDATA(" Old-Associate's",'Pivot Table for 1-11'!$A$3,"State","LA","SREB Type",3,"SREB Type2","Four-Year")</f>
        <v>242</v>
      </c>
      <c r="D142" s="6">
        <f>+GETPIVOTDATA(" Old-Bachelor's",'Pivot Table for 1-11'!$A$3,"State","LA","SREB Type",3,"SREB Type2","Four-Year")</f>
        <v>3880</v>
      </c>
      <c r="E142" s="6">
        <f>+GETPIVOTDATA(" Old-Post-Bachelor's",'Pivot Table for 1-11'!$A$3,"State","LA","SREB Type",3,"SREB Type2","Four-Year")</f>
        <v>0</v>
      </c>
      <c r="F142" s="6">
        <f>+GETPIVOTDATA(" Old-Total Master's#",'Pivot Table for 1-11'!$A$3,"State","LA","SREB Type",3,"SREB Type2","Four-Year")</f>
        <v>939</v>
      </c>
      <c r="G142" s="6">
        <f>+GETPIVOTDATA(" Old-Total Doctorates#",'Pivot Table for 1-11'!$A$3,"State","LA","SREB Type",3,"SREB Type2","Four-Year")</f>
        <v>51</v>
      </c>
      <c r="H142" s="17">
        <f>+GETPIVOTDATA(" Old-Law",'Pivot Table for 1-11'!$A$3,"State","LA","SREB Type",3,"SREB Type2","Four-Year")</f>
        <v>151</v>
      </c>
      <c r="I142" s="6">
        <f>+GETPIVOTDATA(" Old-Medicine",'Pivot Table for 1-11'!$A$3,"State","LA","SREB Type",3,"SREB Type2","Four-Year")</f>
        <v>0</v>
      </c>
      <c r="J142" s="6">
        <f>+GETPIVOTDATA(" Old-Dentistry",'Pivot Table for 1-11'!$A$3,"State","LA","SREB Type",3,"SREB Type2","Four-Year")</f>
        <v>0</v>
      </c>
      <c r="K142" s="6">
        <f>+GETPIVOTDATA(" Old-Pharmacy",'Pivot Table for 1-11'!$A$3,"State","LA","SREB Type",3,"SREB Type2","Four-Year")</f>
        <v>101</v>
      </c>
      <c r="L142" s="6">
        <f>+GETPIVOTDATA(" Old-Optometry",'Pivot Table for 1-11'!$A$3,"State","LA","SREB Type",3,"SREB Type2","Four-Year")</f>
        <v>0</v>
      </c>
      <c r="M142" s="6">
        <f>+GETPIVOTDATA(" Old-Osteopathic Medicine",'Pivot Table for 1-11'!$A$3,"State","LA","SREB Type",3,"SREB Type2","Four-Year")</f>
        <v>0</v>
      </c>
      <c r="N142" s="80">
        <f>+GETPIVOTDATA(" Old-Veterinary Medicine",'Pivot Table for 1-11'!$A$3,"State","LA","SREB Type",3,"SREB Type2","Four-Year")</f>
        <v>0</v>
      </c>
      <c r="O142" s="97">
        <f>+GETPIVOTDATA(" Old-Oth PP",'Pivot Table for 1-11'!$A$3,"State","LA","SREB Type",3,"SREB Type2","Four-Year")</f>
        <v>0</v>
      </c>
      <c r="P142" s="81">
        <f t="shared" si="4"/>
        <v>5364</v>
      </c>
    </row>
    <row r="143" spans="1:16" ht="15" customHeight="1" x14ac:dyDescent="0.2">
      <c r="A143" s="5" t="s">
        <v>199</v>
      </c>
      <c r="B143" s="6">
        <f>+GETPIVOTDATA(" Old-Less Than 2-Year",'Pivot Table for 1-11'!$A$3,"State","MD","SREB Type",3,"SREB Type2","Four-Year")+GETPIVOTDATA(" Old-2 But Less Than 4-Year",'Pivot Table for 1-11'!$A$3,"State","MD","SREB Type",3,"SREB Type2","Four-Year")</f>
        <v>0</v>
      </c>
      <c r="C143" s="6">
        <f>+GETPIVOTDATA(" Old-Associate's",'Pivot Table for 1-11'!$A$3,"State","MD","SREB Type",3,"SREB Type2","Four-Year")</f>
        <v>0</v>
      </c>
      <c r="D143" s="6">
        <f>+GETPIVOTDATA(" Old-Bachelor's",'Pivot Table for 1-11'!$A$3,"State","MD","SREB Type",3,"SREB Type2","Four-Year")</f>
        <v>3948</v>
      </c>
      <c r="E143" s="6">
        <f>+GETPIVOTDATA(" Old-Post-Bachelor's",'Pivot Table for 1-11'!$A$3,"State","MD","SREB Type",3,"SREB Type2","Four-Year")</f>
        <v>153</v>
      </c>
      <c r="F143" s="6">
        <f>+GETPIVOTDATA(" Old-Total Master's#",'Pivot Table for 1-11'!$A$3,"State","MD","SREB Type",3,"SREB Type2","Four-Year")</f>
        <v>1053</v>
      </c>
      <c r="G143" s="6">
        <f>+GETPIVOTDATA(" Old-Total Doctorates#",'Pivot Table for 1-11'!$A$3,"State","MD","SREB Type",3,"SREB Type2","Four-Year")</f>
        <v>6</v>
      </c>
      <c r="H143" s="17">
        <f>+GETPIVOTDATA(" Old-Law",'Pivot Table for 1-11'!$A$3,"State","MD","SREB Type",3,"SREB Type2","Four-Year")</f>
        <v>0</v>
      </c>
      <c r="I143" s="6">
        <f>+GETPIVOTDATA(" Old-Medicine",'Pivot Table for 1-11'!$A$3,"State","MD","SREB Type",3,"SREB Type2","Four-Year")</f>
        <v>0</v>
      </c>
      <c r="J143" s="6">
        <f>+GETPIVOTDATA(" Old-Dentistry",'Pivot Table for 1-11'!$A$3,"State","MD","SREB Type",3,"SREB Type2","Four-Year")</f>
        <v>0</v>
      </c>
      <c r="K143" s="6">
        <f>+GETPIVOTDATA(" Old-Pharmacy",'Pivot Table for 1-11'!$A$3,"State","MD","SREB Type",3,"SREB Type2","Four-Year")</f>
        <v>0</v>
      </c>
      <c r="L143" s="6">
        <f>+GETPIVOTDATA(" Old-Optometry",'Pivot Table for 1-11'!$A$3,"State","MD","SREB Type",3,"SREB Type2","Four-Year")</f>
        <v>0</v>
      </c>
      <c r="M143" s="6">
        <f>+GETPIVOTDATA(" Old-Osteopathic Medicine",'Pivot Table for 1-11'!$A$3,"State","MD","SREB Type",3,"SREB Type2","Four-Year")</f>
        <v>0</v>
      </c>
      <c r="N143" s="80">
        <f>+GETPIVOTDATA(" Old-Veterinary Medicine",'Pivot Table for 1-11'!$A$3,"State","MD","SREB Type",3,"SREB Type2","Four-Year")</f>
        <v>0</v>
      </c>
      <c r="O143" s="97">
        <f>+GETPIVOTDATA(" Old-Oth PP",'Pivot Table for 1-11'!$A$3,"State","MD","SREB Type",3,"SREB Type2","Four-Year")</f>
        <v>7</v>
      </c>
      <c r="P143" s="81">
        <f t="shared" si="4"/>
        <v>5167</v>
      </c>
    </row>
    <row r="144" spans="1:16" ht="15" customHeight="1" x14ac:dyDescent="0.2">
      <c r="A144" s="5"/>
      <c r="B144" s="6">
        <f>+GETPIVOTDATA(" Old-Less Than 2-Year",'Pivot Table for 1-11'!$A$3,"State","AR","SREB Type",3,"SREB Type2","Four-Year")+GETPIVOTDATA(" Old-2 But Less Than 4-Year",'Pivot Table for 1-11'!$A$3,"State","AR","SREB Type",3,"SREB Type2","Four-Year")</f>
        <v>357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0"/>
      <c r="O144" s="97"/>
      <c r="P144" s="81">
        <f t="shared" si="4"/>
        <v>357</v>
      </c>
    </row>
    <row r="145" spans="1:16" ht="15" customHeight="1" x14ac:dyDescent="0.2">
      <c r="A145" s="5" t="s">
        <v>200</v>
      </c>
      <c r="B145" s="6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6">
        <f>+GETPIVOTDATA(" Old-Associate's",'Pivot Table for 1-11'!$A$3,"State","MS","SREB Type",3,"SREB Type2","Four-Year")</f>
        <v>0</v>
      </c>
      <c r="D145" s="6">
        <f>+GETPIVOTDATA(" Old-Bachelor's",'Pivot Table for 1-11'!$A$3,"State","MS","SREB Type",3,"SREB Type2","Four-Year")</f>
        <v>0</v>
      </c>
      <c r="E145" s="6">
        <f>+GETPIVOTDATA(" Old-Post-Bachelor's",'Pivot Table for 1-11'!$A$3,"State","MS","SREB Type",3,"SREB Type2","Four-Year")</f>
        <v>0</v>
      </c>
      <c r="F145" s="6">
        <f>+GETPIVOTDATA(" Old-Total Master's#",'Pivot Table for 1-11'!$A$3,"State","MS","SREB Type",3,"SREB Type2","Four-Year")</f>
        <v>0</v>
      </c>
      <c r="G145" s="6">
        <f>+GETPIVOTDATA(" Old-Total Doctorates#",'Pivot Table for 1-11'!$A$3,"State","MS","SREB Type",3,"SREB Type2","Four-Year")</f>
        <v>0</v>
      </c>
      <c r="H145" s="17">
        <f>+GETPIVOTDATA(" Old-Law",'Pivot Table for 1-11'!$A$3,"State","MS","SREB Type",3,"SREB Type2","Four-Year")</f>
        <v>0</v>
      </c>
      <c r="I145" s="6">
        <f>+GETPIVOTDATA(" Old-Medicine",'Pivot Table for 1-11'!$A$3,"State","MS","SREB Type",3,"SREB Type2","Four-Year")</f>
        <v>0</v>
      </c>
      <c r="J145" s="6">
        <f>+GETPIVOTDATA(" Old-Dentistry",'Pivot Table for 1-11'!$A$3,"State","MS","SREB Type",3,"SREB Type2","Four-Year")</f>
        <v>0</v>
      </c>
      <c r="K145" s="6">
        <f>+GETPIVOTDATA(" Old-Pharmacy",'Pivot Table for 1-11'!$A$3,"State","MS","SREB Type",3,"SREB Type2","Four-Year")</f>
        <v>0</v>
      </c>
      <c r="L145" s="6">
        <f>+GETPIVOTDATA(" Old-Optometry",'Pivot Table for 1-11'!$A$3,"State","MS","SREB Type",3,"SREB Type2","Four-Year")</f>
        <v>0</v>
      </c>
      <c r="M145" s="6">
        <f>+GETPIVOTDATA(" Old-Osteopathic Medicine",'Pivot Table for 1-11'!$A$3,"State","MS","SREB Type",3,"SREB Type2","Four-Year")</f>
        <v>0</v>
      </c>
      <c r="N145" s="80">
        <f>+GETPIVOTDATA(" Old-Veterinary Medicine",'Pivot Table for 1-11'!$A$3,"State","MS","SREB Type",3,"SREB Type2","Four-Year")</f>
        <v>0</v>
      </c>
      <c r="O145" s="97">
        <f>+GETPIVOTDATA(" Old-Oth PP",'Pivot Table for 1-11'!$A$3,"State","MS","SREB Type",3,"SREB Type2","Four-Year")</f>
        <v>0</v>
      </c>
      <c r="P145" s="81">
        <f t="shared" si="4"/>
        <v>0</v>
      </c>
    </row>
    <row r="146" spans="1:16" ht="15" customHeight="1" x14ac:dyDescent="0.2">
      <c r="A146" s="5" t="s">
        <v>201</v>
      </c>
      <c r="B146" s="6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6">
        <f>+GETPIVOTDATA(" Old-Associate's",'Pivot Table for 1-11'!$A$3,"State","NC","SREB Type",3,"SREB Type2","Four-Year")</f>
        <v>0</v>
      </c>
      <c r="D146" s="6">
        <f>+GETPIVOTDATA(" Old-Bachelor's",'Pivot Table for 1-11'!$A$3,"State","NC","SREB Type",3,"SREB Type2","Four-Year")</f>
        <v>9510</v>
      </c>
      <c r="E146" s="6">
        <f>+GETPIVOTDATA(" Old-Post-Bachelor's",'Pivot Table for 1-11'!$A$3,"State","NC","SREB Type",3,"SREB Type2","Four-Year")</f>
        <v>33</v>
      </c>
      <c r="F146" s="6">
        <f>+GETPIVOTDATA(" Old-Total Master's#",'Pivot Table for 1-11'!$A$3,"State","NC","SREB Type",3,"SREB Type2","Four-Year")</f>
        <v>2814</v>
      </c>
      <c r="G146" s="6">
        <f>+GETPIVOTDATA(" Old-Total Doctorates#",'Pivot Table for 1-11'!$A$3,"State","NC","SREB Type",3,"SREB Type2","Four-Year")</f>
        <v>65</v>
      </c>
      <c r="H146" s="17">
        <f>+GETPIVOTDATA(" Old-Law",'Pivot Table for 1-11'!$A$3,"State","NC","SREB Type",3,"SREB Type2","Four-Year")</f>
        <v>178</v>
      </c>
      <c r="I146" s="6">
        <f>+GETPIVOTDATA(" Old-Medicine",'Pivot Table for 1-11'!$A$3,"State","NC","SREB Type",3,"SREB Type2","Four-Year")</f>
        <v>0</v>
      </c>
      <c r="J146" s="6">
        <f>+GETPIVOTDATA(" Old-Dentistry",'Pivot Table for 1-11'!$A$3,"State","NC","SREB Type",3,"SREB Type2","Four-Year")</f>
        <v>0</v>
      </c>
      <c r="K146" s="6">
        <f>+GETPIVOTDATA(" Old-Pharmacy",'Pivot Table for 1-11'!$A$3,"State","NC","SREB Type",3,"SREB Type2","Four-Year")</f>
        <v>0</v>
      </c>
      <c r="L146" s="6">
        <f>+GETPIVOTDATA(" Old-Optometry",'Pivot Table for 1-11'!$A$3,"State","NC","SREB Type",3,"SREB Type2","Four-Year")</f>
        <v>0</v>
      </c>
      <c r="M146" s="6">
        <f>+GETPIVOTDATA(" Old-Osteopathic Medicine",'Pivot Table for 1-11'!$A$3,"State","NC","SREB Type",3,"SREB Type2","Four-Year")</f>
        <v>0</v>
      </c>
      <c r="N146" s="80">
        <f>+GETPIVOTDATA(" Old-Veterinary Medicine",'Pivot Table for 1-11'!$A$3,"State","NC","SREB Type",3,"SREB Type2","Four-Year")</f>
        <v>0</v>
      </c>
      <c r="O146" s="97">
        <f>+GETPIVOTDATA(" Old-Oth PP",'Pivot Table for 1-11'!$A$3,"State","NC","SREB Type",3,"SREB Type2","Four-Year")</f>
        <v>0</v>
      </c>
      <c r="P146" s="81">
        <f t="shared" si="4"/>
        <v>12600</v>
      </c>
    </row>
    <row r="147" spans="1:16" ht="15" customHeight="1" x14ac:dyDescent="0.2">
      <c r="A147" s="5" t="s">
        <v>202</v>
      </c>
      <c r="B147" s="6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6">
        <f>+GETPIVOTDATA(" Old-Associate's",'Pivot Table for 1-11'!$A$3,"State","OK","SREB Type",3,"SREB Type2","Four-Year")</f>
        <v>58</v>
      </c>
      <c r="D147" s="6">
        <f>+GETPIVOTDATA(" Old-Bachelor's",'Pivot Table for 1-11'!$A$3,"State","OK","SREB Type",3,"SREB Type2","Four-Year")</f>
        <v>3700</v>
      </c>
      <c r="E147" s="6">
        <f>+GETPIVOTDATA(" Old-Post-Bachelor's",'Pivot Table for 1-11'!$A$3,"State","OK","SREB Type",3,"SREB Type2","Four-Year")</f>
        <v>0</v>
      </c>
      <c r="F147" s="6">
        <f>+GETPIVOTDATA(" Old-Total Master's#",'Pivot Table for 1-11'!$A$3,"State","OK","SREB Type",3,"SREB Type2","Four-Year")</f>
        <v>866</v>
      </c>
      <c r="G147" s="6">
        <f>+GETPIVOTDATA(" Old-Total Doctorates#",'Pivot Table for 1-11'!$A$3,"State","OK","SREB Type",3,"SREB Type2","Four-Year")</f>
        <v>0</v>
      </c>
      <c r="H147" s="17">
        <f>+GETPIVOTDATA(" Old-Law",'Pivot Table for 1-11'!$A$3,"State","OK","SREB Type",3,"SREB Type2","Four-Year")</f>
        <v>0</v>
      </c>
      <c r="I147" s="6">
        <f>+GETPIVOTDATA(" Old-Medicine",'Pivot Table for 1-11'!$A$3,"State","OK","SREB Type",3,"SREB Type2","Four-Year")</f>
        <v>0</v>
      </c>
      <c r="J147" s="6">
        <f>+GETPIVOTDATA(" Old-Dentistry",'Pivot Table for 1-11'!$A$3,"State","OK","SREB Type",3,"SREB Type2","Four-Year")</f>
        <v>0</v>
      </c>
      <c r="K147" s="6">
        <f>+GETPIVOTDATA(" Old-Pharmacy",'Pivot Table for 1-11'!$A$3,"State","OK","SREB Type",3,"SREB Type2","Four-Year")</f>
        <v>0</v>
      </c>
      <c r="L147" s="6">
        <f>+GETPIVOTDATA(" Old-Optometry",'Pivot Table for 1-11'!$A$3,"State","OK","SREB Type",3,"SREB Type2","Four-Year")</f>
        <v>26</v>
      </c>
      <c r="M147" s="6">
        <f>+GETPIVOTDATA(" Old-Osteopathic Medicine",'Pivot Table for 1-11'!$A$3,"State","OK","SREB Type",3,"SREB Type2","Four-Year")</f>
        <v>0</v>
      </c>
      <c r="N147" s="80">
        <f>+GETPIVOTDATA(" Old-Veterinary Medicine",'Pivot Table for 1-11'!$A$3,"State","OK","SREB Type",3,"SREB Type2","Four-Year")</f>
        <v>0</v>
      </c>
      <c r="O147" s="97">
        <f>+GETPIVOTDATA(" Old-Oth PP",'Pivot Table for 1-11'!$A$3,"State","OK","SREB Type",3,"SREB Type2","Four-Year")</f>
        <v>0</v>
      </c>
      <c r="P147" s="81">
        <f t="shared" si="4"/>
        <v>4650</v>
      </c>
    </row>
    <row r="148" spans="1:16" ht="15" customHeight="1" x14ac:dyDescent="0.2">
      <c r="A148" s="5" t="s">
        <v>203</v>
      </c>
      <c r="B148" s="6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6">
        <f>+GETPIVOTDATA(" Old-Associate's",'Pivot Table for 1-11'!$A$3,"State","SC","SREB Type",3,"SREB Type2","Four-Year")</f>
        <v>0</v>
      </c>
      <c r="D148" s="6">
        <f>+GETPIVOTDATA(" Old-Bachelor's",'Pivot Table for 1-11'!$A$3,"State","SC","SREB Type",3,"SREB Type2","Four-Year")</f>
        <v>2962</v>
      </c>
      <c r="E148" s="6">
        <f>+GETPIVOTDATA(" Old-Post-Bachelor's",'Pivot Table for 1-11'!$A$3,"State","SC","SREB Type",3,"SREB Type2","Four-Year")</f>
        <v>7</v>
      </c>
      <c r="F148" s="6">
        <f>+GETPIVOTDATA(" Old-Total Master's#",'Pivot Table for 1-11'!$A$3,"State","SC","SREB Type",3,"SREB Type2","Four-Year")</f>
        <v>533</v>
      </c>
      <c r="G148" s="6">
        <f>+GETPIVOTDATA(" Old-Total Doctorates#",'Pivot Table for 1-11'!$A$3,"State","SC","SREB Type",3,"SREB Type2","Four-Year")</f>
        <v>0</v>
      </c>
      <c r="H148" s="17">
        <f>+GETPIVOTDATA(" Old-Law",'Pivot Table for 1-11'!$A$3,"State","SC","SREB Type",3,"SREB Type2","Four-Year")</f>
        <v>0</v>
      </c>
      <c r="I148" s="6">
        <f>+GETPIVOTDATA(" Old-Medicine",'Pivot Table for 1-11'!$A$3,"State","SC","SREB Type",3,"SREB Type2","Four-Year")</f>
        <v>0</v>
      </c>
      <c r="J148" s="6">
        <f>+GETPIVOTDATA(" Old-Dentistry",'Pivot Table for 1-11'!$A$3,"State","SC","SREB Type",3,"SREB Type2","Four-Year")</f>
        <v>0</v>
      </c>
      <c r="K148" s="6">
        <f>+GETPIVOTDATA(" Old-Pharmacy",'Pivot Table for 1-11'!$A$3,"State","SC","SREB Type",3,"SREB Type2","Four-Year")</f>
        <v>0</v>
      </c>
      <c r="L148" s="6">
        <f>+GETPIVOTDATA(" Old-Optometry",'Pivot Table for 1-11'!$A$3,"State","SC","SREB Type",3,"SREB Type2","Four-Year")</f>
        <v>0</v>
      </c>
      <c r="M148" s="6">
        <f>+GETPIVOTDATA(" Old-Osteopathic Medicine",'Pivot Table for 1-11'!$A$3,"State","SC","SREB Type",3,"SREB Type2","Four-Year")</f>
        <v>0</v>
      </c>
      <c r="N148" s="80">
        <f>+GETPIVOTDATA(" Old-Veterinary Medicine",'Pivot Table for 1-11'!$A$3,"State","SC","SREB Type",3,"SREB Type2","Four-Year")</f>
        <v>0</v>
      </c>
      <c r="O148" s="97">
        <f>+GETPIVOTDATA(" Old-Oth PP",'Pivot Table for 1-11'!$A$3,"State","SC","SREB Type",3,"SREB Type2","Four-Year")</f>
        <v>0</v>
      </c>
      <c r="P148" s="81">
        <f t="shared" si="4"/>
        <v>3502</v>
      </c>
    </row>
    <row r="149" spans="1:16" ht="15" customHeight="1" x14ac:dyDescent="0.2">
      <c r="A149" s="5"/>
      <c r="B149" s="6">
        <f>+GETPIVOTDATA(" Old-Less Than 2-Year",'Pivot Table for 1-11'!$A$3,"State","AR","SREB Type",3,"SREB Type2","Four-Year")+GETPIVOTDATA(" Old-2 But Less Than 4-Year",'Pivot Table for 1-11'!$A$3,"State","AR","SREB Type",3,"SREB Type2","Four-Year")</f>
        <v>357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0"/>
      <c r="O149" s="97"/>
      <c r="P149" s="81"/>
    </row>
    <row r="150" spans="1:16" ht="15" customHeight="1" x14ac:dyDescent="0.2">
      <c r="A150" s="5" t="s">
        <v>204</v>
      </c>
      <c r="B150" s="6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6">
        <f>+GETPIVOTDATA(" Old-Associate's",'Pivot Table for 1-11'!$A$3,"State","TN","SREB Type",3,"SREB Type2","Four-Year")</f>
        <v>225</v>
      </c>
      <c r="D150" s="6">
        <f>+GETPIVOTDATA(" Old-Bachelor's",'Pivot Table for 1-11'!$A$3,"State","TN","SREB Type",3,"SREB Type2","Four-Year")</f>
        <v>10062</v>
      </c>
      <c r="E150" s="6">
        <f>+GETPIVOTDATA(" Old-Post-Bachelor's",'Pivot Table for 1-11'!$A$3,"State","TN","SREB Type",3,"SREB Type2","Four-Year")</f>
        <v>0</v>
      </c>
      <c r="F150" s="6">
        <f>+GETPIVOTDATA(" Old-Total Master's#",'Pivot Table for 1-11'!$A$3,"State","TN","SREB Type",3,"SREB Type2","Four-Year")</f>
        <v>3173</v>
      </c>
      <c r="G150" s="6">
        <f>+GETPIVOTDATA(" Old-Total Doctorates#",'Pivot Table for 1-11'!$A$3,"State","TN","SREB Type",3,"SREB Type2","Four-Year")</f>
        <v>180</v>
      </c>
      <c r="H150" s="17">
        <f>+GETPIVOTDATA(" Old-Law",'Pivot Table for 1-11'!$A$3,"State","TN","SREB Type",3,"SREB Type2","Four-Year")</f>
        <v>0</v>
      </c>
      <c r="I150" s="6">
        <f>+GETPIVOTDATA(" Old-Medicine",'Pivot Table for 1-11'!$A$3,"State","TN","SREB Type",3,"SREB Type2","Four-Year")</f>
        <v>60</v>
      </c>
      <c r="J150" s="6">
        <f>+GETPIVOTDATA(" Old-Dentistry",'Pivot Table for 1-11'!$A$3,"State","TN","SREB Type",3,"SREB Type2","Four-Year")</f>
        <v>0</v>
      </c>
      <c r="K150" s="6">
        <f>+GETPIVOTDATA(" Old-Pharmacy",'Pivot Table for 1-11'!$A$3,"State","TN","SREB Type",3,"SREB Type2","Four-Year")</f>
        <v>72</v>
      </c>
      <c r="L150" s="6">
        <f>+GETPIVOTDATA(" Old-Optometry",'Pivot Table for 1-11'!$A$3,"State","TN","SREB Type",3,"SREB Type2","Four-Year")</f>
        <v>0</v>
      </c>
      <c r="M150" s="6">
        <f>+GETPIVOTDATA(" Old-Osteopathic Medicine",'Pivot Table for 1-11'!$A$3,"State","TN","SREB Type",3,"SREB Type2","Four-Year")</f>
        <v>0</v>
      </c>
      <c r="N150" s="80">
        <f>+GETPIVOTDATA(" Old-Veterinary Medicine",'Pivot Table for 1-11'!$A$3,"State","TN","SREB Type",3,"SREB Type2","Four-Year")</f>
        <v>0</v>
      </c>
      <c r="O150" s="97">
        <f>+GETPIVOTDATA(" Old-Oth PP",'Pivot Table for 1-11'!$A$3,"State","TN","SREB Type",3,"SREB Type2","Four-Year")</f>
        <v>0</v>
      </c>
      <c r="P150" s="81">
        <f t="shared" si="4"/>
        <v>13772</v>
      </c>
    </row>
    <row r="151" spans="1:16" ht="15" customHeight="1" x14ac:dyDescent="0.2">
      <c r="A151" s="5" t="s">
        <v>205</v>
      </c>
      <c r="B151" s="6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6">
        <f>+GETPIVOTDATA(" Old-Associate's",'Pivot Table for 1-11'!$A$3,"State","TX","SREB Type",3,"SREB Type2","Four-Year")</f>
        <v>292</v>
      </c>
      <c r="D151" s="6">
        <f>+GETPIVOTDATA(" Old-Bachelor's",'Pivot Table for 1-11'!$A$3,"State","TX","SREB Type",3,"SREB Type2","Four-Year")</f>
        <v>28794</v>
      </c>
      <c r="E151" s="6">
        <f>+GETPIVOTDATA(" Old-Post-Bachelor's",'Pivot Table for 1-11'!$A$3,"State","TX","SREB Type",3,"SREB Type2","Four-Year")</f>
        <v>0</v>
      </c>
      <c r="F151" s="6">
        <f>+GETPIVOTDATA(" Old-Total Master's#",'Pivot Table for 1-11'!$A$3,"State","TX","SREB Type",3,"SREB Type2","Four-Year")</f>
        <v>12125</v>
      </c>
      <c r="G151" s="6">
        <f>+GETPIVOTDATA(" Old-Total Doctorates#",'Pivot Table for 1-11'!$A$3,"State","TX","SREB Type",3,"SREB Type2","Four-Year")</f>
        <v>296</v>
      </c>
      <c r="H151" s="17">
        <f>+GETPIVOTDATA(" Old-Law",'Pivot Table for 1-11'!$A$3,"State","TX","SREB Type",3,"SREB Type2","Four-Year")</f>
        <v>161</v>
      </c>
      <c r="I151" s="6">
        <f>+GETPIVOTDATA(" Old-Medicine",'Pivot Table for 1-11'!$A$3,"State","TX","SREB Type",3,"SREB Type2","Four-Year")</f>
        <v>0</v>
      </c>
      <c r="J151" s="6">
        <f>+GETPIVOTDATA(" Old-Dentistry",'Pivot Table for 1-11'!$A$3,"State","TX","SREB Type",3,"SREB Type2","Four-Year")</f>
        <v>0</v>
      </c>
      <c r="K151" s="6">
        <f>+GETPIVOTDATA(" Old-Pharmacy",'Pivot Table for 1-11'!$A$3,"State","TX","SREB Type",3,"SREB Type2","Four-Year")</f>
        <v>112</v>
      </c>
      <c r="L151" s="6">
        <f>+GETPIVOTDATA(" Old-Optometry",'Pivot Table for 1-11'!$A$3,"State","TX","SREB Type",3,"SREB Type2","Four-Year")</f>
        <v>0</v>
      </c>
      <c r="M151" s="6">
        <f>+GETPIVOTDATA(" Old-Osteopathic Medicine",'Pivot Table for 1-11'!$A$3,"State","TX","SREB Type",3,"SREB Type2","Four-Year")</f>
        <v>0</v>
      </c>
      <c r="N151" s="80">
        <f>+GETPIVOTDATA(" Old-Veterinary Medicine",'Pivot Table for 1-11'!$A$3,"State","TX","SREB Type",3,"SREB Type2","Four-Year")</f>
        <v>0</v>
      </c>
      <c r="O151" s="97">
        <f>+GETPIVOTDATA(" Old-Oth PP",'Pivot Table for 1-11'!$A$3,"State","TX","SREB Type",3,"SREB Type2","Four-Year")</f>
        <v>40</v>
      </c>
      <c r="P151" s="81">
        <f t="shared" si="4"/>
        <v>41820</v>
      </c>
    </row>
    <row r="152" spans="1:16" ht="15" customHeight="1" x14ac:dyDescent="0.2">
      <c r="A152" s="5" t="s">
        <v>206</v>
      </c>
      <c r="B152" s="6">
        <f>+GETPIVOTDATA(" Old-Less Than 2-Year",'Pivot Table for 1-11'!$A$3,"State","VA","SREB Type",3,"SREB Type2","Four-Year")+GETPIVOTDATA(" Old-2 But Less Than 4-Year",'Pivot Table for 1-11'!$A$3,"State","VA","SREB Type",3,"SREB Type2","Four-Year")</f>
        <v>0</v>
      </c>
      <c r="C152" s="6">
        <f>+GETPIVOTDATA(" Old-Associate's",'Pivot Table for 1-11'!$A$3,"State","VA","SREB Type",3,"SREB Type2","Four-Year")</f>
        <v>79</v>
      </c>
      <c r="D152" s="6">
        <f>+GETPIVOTDATA(" Old-Bachelor's",'Pivot Table for 1-11'!$A$3,"State","VA","SREB Type",3,"SREB Type2","Four-Year")</f>
        <v>4605</v>
      </c>
      <c r="E152" s="6">
        <f>+GETPIVOTDATA(" Old-Post-Bachelor's",'Pivot Table for 1-11'!$A$3,"State","VA","SREB Type",3,"SREB Type2","Four-Year")</f>
        <v>0</v>
      </c>
      <c r="F152" s="6">
        <f>+GETPIVOTDATA(" Old-Total Master's#",'Pivot Table for 1-11'!$A$3,"State","VA","SREB Type",3,"SREB Type2","Four-Year")</f>
        <v>932</v>
      </c>
      <c r="G152" s="6">
        <f>+GETPIVOTDATA(" Old-Total Doctorates#",'Pivot Table for 1-11'!$A$3,"State","VA","SREB Type",3,"SREB Type2","Four-Year")</f>
        <v>20</v>
      </c>
      <c r="H152" s="17">
        <f>+GETPIVOTDATA(" Old-Law",'Pivot Table for 1-11'!$A$3,"State","VA","SREB Type",3,"SREB Type2","Four-Year")</f>
        <v>0</v>
      </c>
      <c r="I152" s="6">
        <f>+GETPIVOTDATA(" Old-Medicine",'Pivot Table for 1-11'!$A$3,"State","VA","SREB Type",3,"SREB Type2","Four-Year")</f>
        <v>0</v>
      </c>
      <c r="J152" s="6">
        <f>+GETPIVOTDATA(" Old-Dentistry",'Pivot Table for 1-11'!$A$3,"State","VA","SREB Type",3,"SREB Type2","Four-Year")</f>
        <v>0</v>
      </c>
      <c r="K152" s="6">
        <f>+GETPIVOTDATA(" Old-Pharmacy",'Pivot Table for 1-11'!$A$3,"State","VA","SREB Type",3,"SREB Type2","Four-Year")</f>
        <v>0</v>
      </c>
      <c r="L152" s="6">
        <f>+GETPIVOTDATA(" Old-Optometry",'Pivot Table for 1-11'!$A$3,"State","VA","SREB Type",3,"SREB Type2","Four-Year")</f>
        <v>0</v>
      </c>
      <c r="M152" s="6">
        <f>+GETPIVOTDATA(" Old-Osteopathic Medicine",'Pivot Table for 1-11'!$A$3,"State","VA","SREB Type",3,"SREB Type2","Four-Year")</f>
        <v>0</v>
      </c>
      <c r="N152" s="80">
        <f>+GETPIVOTDATA(" Old-Veterinary Medicine",'Pivot Table for 1-11'!$A$3,"State","VA","SREB Type",3,"SREB Type2","Four-Year")</f>
        <v>0</v>
      </c>
      <c r="O152" s="97">
        <f>+GETPIVOTDATA(" Old-Oth PP",'Pivot Table for 1-11'!$A$3,"State","VA","SREB Type",3,"SREB Type2","Four-Year")</f>
        <v>0</v>
      </c>
      <c r="P152" s="81">
        <f t="shared" si="4"/>
        <v>5636</v>
      </c>
    </row>
    <row r="153" spans="1:16" ht="15" customHeight="1" x14ac:dyDescent="0.2">
      <c r="A153" s="7" t="s">
        <v>207</v>
      </c>
      <c r="B153" s="8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8">
        <f>+GETPIVOTDATA(" Old-Associate's",'Pivot Table for 1-11'!$A$3,"State","WV","SREB Type",3,"SREB Type2","Four-Year")</f>
        <v>91</v>
      </c>
      <c r="D153" s="8">
        <f>+GETPIVOTDATA(" Old-Bachelor's",'Pivot Table for 1-11'!$A$3,"State","WV","SREB Type",3,"SREB Type2","Four-Year")</f>
        <v>1393</v>
      </c>
      <c r="E153" s="8">
        <f>+GETPIVOTDATA(" Old-Post-Bachelor's",'Pivot Table for 1-11'!$A$3,"State","WV","SREB Type",3,"SREB Type2","Four-Year")</f>
        <v>0</v>
      </c>
      <c r="F153" s="8">
        <f>+GETPIVOTDATA(" Old-Total Master's#",'Pivot Table for 1-11'!$A$3,"State","WV","SREB Type",3,"SREB Type2","Four-Year")</f>
        <v>902</v>
      </c>
      <c r="G153" s="8">
        <f>+GETPIVOTDATA(" Old-Total Doctorates#",'Pivot Table for 1-11'!$A$3,"State","WV","SREB Type",3,"SREB Type2","Four-Year")</f>
        <v>12</v>
      </c>
      <c r="H153" s="18">
        <f>+GETPIVOTDATA(" Old-Law",'Pivot Table for 1-11'!$A$3,"State","WV","SREB Type",3,"SREB Type2","Four-Year")</f>
        <v>0</v>
      </c>
      <c r="I153" s="8">
        <f>+GETPIVOTDATA(" Old-Medicine",'Pivot Table for 1-11'!$A$3,"State","WV","SREB Type",3,"SREB Type2","Four-Year")</f>
        <v>72</v>
      </c>
      <c r="J153" s="8">
        <f>+GETPIVOTDATA(" Old-Dentistry",'Pivot Table for 1-11'!$A$3,"State","WV","SREB Type",3,"SREB Type2","Four-Year")</f>
        <v>0</v>
      </c>
      <c r="K153" s="8">
        <f>+GETPIVOTDATA(" Old-Pharmacy",'Pivot Table for 1-11'!$A$3,"State","WV","SREB Type",3,"SREB Type2","Four-Year")</f>
        <v>0</v>
      </c>
      <c r="L153" s="8">
        <f>+GETPIVOTDATA(" Old-Optometry",'Pivot Table for 1-11'!$A$3,"State","WV","SREB Type",3,"SREB Type2","Four-Year")</f>
        <v>0</v>
      </c>
      <c r="M153" s="8">
        <f>+GETPIVOTDATA(" Old-Osteopathic Medicine",'Pivot Table for 1-11'!$A$3,"State","WV","SREB Type",3,"SREB Type2","Four-Year")</f>
        <v>0</v>
      </c>
      <c r="N153" s="88">
        <f>+GETPIVOTDATA(" Old-Veterinary Medicine",'Pivot Table for 1-11'!$A$3,"State","WV","SREB Type",3,"SREB Type2","Four-Year")</f>
        <v>0</v>
      </c>
      <c r="O153" s="98">
        <f>+GETPIVOTDATA(" Old-Oth PP",'Pivot Table for 1-11'!$A$3,"State","WV","SREB Type",3,"SREB Type2","Four-Year")</f>
        <v>11</v>
      </c>
      <c r="P153" s="82">
        <f t="shared" si="4"/>
        <v>2481</v>
      </c>
    </row>
    <row r="154" spans="1:16" x14ac:dyDescent="0.2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0"/>
      <c r="O154" s="80"/>
      <c r="P154" s="80"/>
    </row>
    <row r="155" spans="1:16" ht="27.75" customHeight="1" x14ac:dyDescent="0.2">
      <c r="A155" s="856" t="s">
        <v>409</v>
      </c>
      <c r="B155" s="857"/>
      <c r="C155" s="857"/>
      <c r="D155" s="857"/>
      <c r="E155" s="857"/>
      <c r="F155" s="857"/>
      <c r="G155" s="857"/>
      <c r="H155" s="857"/>
      <c r="I155" s="857"/>
      <c r="J155" s="857"/>
      <c r="K155" s="857"/>
      <c r="L155" s="857"/>
      <c r="M155" s="857"/>
      <c r="N155" s="857"/>
      <c r="O155" s="857"/>
      <c r="P155" s="857"/>
    </row>
    <row r="156" spans="1:16" ht="13.5" customHeight="1" x14ac:dyDescent="0.2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0"/>
      <c r="O156" s="80"/>
      <c r="P156" s="83" t="s">
        <v>1293</v>
      </c>
    </row>
    <row r="157" spans="1:16" ht="18" x14ac:dyDescent="0.25">
      <c r="A157" s="22" t="s">
        <v>212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8"/>
      <c r="O157" s="58"/>
      <c r="P157" s="58"/>
    </row>
    <row r="158" spans="1:1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7"/>
      <c r="O158" s="57"/>
      <c r="P158" s="57"/>
    </row>
    <row r="159" spans="1:16" ht="15.75" x14ac:dyDescent="0.25">
      <c r="A159" s="1" t="s">
        <v>181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8"/>
      <c r="O159" s="58"/>
      <c r="P159" s="58"/>
    </row>
    <row r="160" spans="1:16" ht="15.75" x14ac:dyDescent="0.25">
      <c r="A160" s="1" t="s">
        <v>483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8"/>
      <c r="O160" s="58"/>
      <c r="P160" s="58"/>
    </row>
    <row r="161" spans="1:16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59"/>
      <c r="O161" s="59"/>
      <c r="P161" s="59"/>
    </row>
    <row r="162" spans="1:16" ht="15.75" x14ac:dyDescent="0.25">
      <c r="A162" s="91"/>
      <c r="B162" s="91"/>
      <c r="C162" s="91"/>
      <c r="D162" s="91"/>
      <c r="E162" s="91"/>
      <c r="F162" s="91"/>
      <c r="G162" s="91"/>
      <c r="H162" s="95" t="s">
        <v>410</v>
      </c>
      <c r="I162" s="26"/>
      <c r="J162" s="26"/>
      <c r="K162" s="26"/>
      <c r="L162" s="26"/>
      <c r="M162" s="26"/>
      <c r="N162" s="92"/>
      <c r="O162" s="99"/>
      <c r="P162" s="94" t="s">
        <v>216</v>
      </c>
    </row>
    <row r="163" spans="1:16" ht="42" customHeight="1" x14ac:dyDescent="0.2">
      <c r="A163" s="14"/>
      <c r="B163" s="15" t="s">
        <v>244</v>
      </c>
      <c r="C163" s="15" t="s">
        <v>182</v>
      </c>
      <c r="D163" s="15" t="s">
        <v>175</v>
      </c>
      <c r="E163" s="15" t="s">
        <v>176</v>
      </c>
      <c r="F163" s="15" t="s">
        <v>183</v>
      </c>
      <c r="G163" s="15" t="s">
        <v>184</v>
      </c>
      <c r="H163" s="16" t="s">
        <v>185</v>
      </c>
      <c r="I163" s="15" t="s">
        <v>186</v>
      </c>
      <c r="J163" s="15" t="s">
        <v>187</v>
      </c>
      <c r="K163" s="15" t="s">
        <v>179</v>
      </c>
      <c r="L163" s="15" t="s">
        <v>188</v>
      </c>
      <c r="M163" s="15" t="s">
        <v>189</v>
      </c>
      <c r="N163" s="90" t="s">
        <v>411</v>
      </c>
      <c r="O163" s="96" t="s">
        <v>412</v>
      </c>
      <c r="P163" s="90" t="s">
        <v>190</v>
      </c>
    </row>
    <row r="164" spans="1:16" ht="15" customHeight="1" x14ac:dyDescent="0.2">
      <c r="A164" s="5" t="s">
        <v>191</v>
      </c>
      <c r="B164" s="6">
        <f>+GETPIVOTDATA(" Old-Less Than 2-Year",'Pivot Table for 1-11'!$A$3,"SREB Type",4,"SREB Type2","Four-Year")+GETPIVOTDATA(" Old-2 But Less Than 4-Year",'Pivot Table for 1-11'!$A$3,"SREB Type",4,"SREB Type2","Four-Year")</f>
        <v>354</v>
      </c>
      <c r="C164" s="6">
        <f>+GETPIVOTDATA(" Old-Associate's",'Pivot Table for 1-11'!$A$3,"SREB Type",4,"SREB Type2","Four-Year")</f>
        <v>1892</v>
      </c>
      <c r="D164" s="6">
        <f>+GETPIVOTDATA(" Old-Bachelor's",'Pivot Table for 1-11'!$A$3,"SREB Type",4,"SREB Type2","Four-Year")</f>
        <v>31943</v>
      </c>
      <c r="E164" s="6">
        <f>+GETPIVOTDATA(" Old-Post-Bachelor's",'Pivot Table for 1-11'!$A$3,"SREB Type",4,"SREB Type2","Four-Year")</f>
        <v>460</v>
      </c>
      <c r="F164" s="6">
        <f>+GETPIVOTDATA(" Old-Total Master's#",'Pivot Table for 1-11'!$A$3,"SREB Type",4,"SREB Type2","Four-Year")</f>
        <v>10041</v>
      </c>
      <c r="G164" s="6">
        <f>+GETPIVOTDATA(" Old-Total Doctorates#",'Pivot Table for 1-11'!$A$3,"SREB Type",4,"SREB Type2","Four-Year")</f>
        <v>125</v>
      </c>
      <c r="H164" s="17">
        <f>+GETPIVOTDATA(" Old-Law",'Pivot Table for 1-11'!$A$3,"SREB Type",4,"SREB Type2","Four-Year")</f>
        <v>471</v>
      </c>
      <c r="I164" s="6">
        <f>+GETPIVOTDATA(" Old-Medicine",'Pivot Table for 1-11'!$A$3,"SREB Type",4,"SREB Type2","Four-Year")</f>
        <v>0</v>
      </c>
      <c r="J164" s="6">
        <f>+GETPIVOTDATA(" Old-Dentistry",'Pivot Table for 1-11'!$A$3,"SREB Type",4,"SREB Type2","Four-Year")</f>
        <v>0</v>
      </c>
      <c r="K164" s="6">
        <f>+GETPIVOTDATA(" Old-Pharmacy",'Pivot Table for 1-11'!$A$3,"SREB Type",4,"SREB Type2","Four-Year")</f>
        <v>0</v>
      </c>
      <c r="L164" s="6">
        <f>+GETPIVOTDATA(" Old-Optometry",'Pivot Table for 1-11'!$A$3,"SREB Type",4,"SREB Type2","Four-Year")</f>
        <v>0</v>
      </c>
      <c r="M164" s="6">
        <f>+GETPIVOTDATA(" Old-Osteopathic Medicine",'Pivot Table for 1-11'!$A$3,"SREB Type",4,"SREB Type2","Four-Year")</f>
        <v>0</v>
      </c>
      <c r="N164" s="80">
        <f>+GETPIVOTDATA(" Old-Veterinary Medicine",'Pivot Table for 1-11'!$A$3,"SREB Type",4,"SREB Type2","Four-Year")</f>
        <v>0</v>
      </c>
      <c r="O164" s="97">
        <f>+GETPIVOTDATA(" Old-Oth PP",'Pivot Table for 1-11'!$A$3,"SREB Type",4,"SREB Type2","Four-Year")</f>
        <v>95</v>
      </c>
      <c r="P164" s="81">
        <f>SUM(B164:O164)</f>
        <v>45381</v>
      </c>
    </row>
    <row r="165" spans="1:16" ht="15" customHeight="1" x14ac:dyDescent="0.2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0"/>
      <c r="O165" s="97"/>
      <c r="P165" s="81"/>
    </row>
    <row r="166" spans="1:16" ht="15" customHeight="1" x14ac:dyDescent="0.2">
      <c r="A166" s="5" t="s">
        <v>192</v>
      </c>
      <c r="B166" s="6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6">
        <f>+GETPIVOTDATA(" Old-Associate's",'Pivot Table for 1-11'!$A$3,"State","AL","SREB Type",4,"SREB Type2","Four-Year")</f>
        <v>0</v>
      </c>
      <c r="D166" s="6">
        <f>+GETPIVOTDATA(" Old-Bachelor's",'Pivot Table for 1-11'!$A$3,"State","AL","SREB Type",4,"SREB Type2","Four-Year")</f>
        <v>2120</v>
      </c>
      <c r="E166" s="6">
        <f>+GETPIVOTDATA(" Old-Post-Bachelor's",'Pivot Table for 1-11'!$A$3,"State","AL","SREB Type",4,"SREB Type2","Four-Year")</f>
        <v>0</v>
      </c>
      <c r="F166" s="6">
        <f>+GETPIVOTDATA(" Old-Total Master's#",'Pivot Table for 1-11'!$A$3,"State","AL","SREB Type",4,"SREB Type2","Four-Year")</f>
        <v>912</v>
      </c>
      <c r="G166" s="6">
        <f>+GETPIVOTDATA(" Old-Total Doctorates#",'Pivot Table for 1-11'!$A$3,"State","AL","SREB Type",4,"SREB Type2","Four-Year")</f>
        <v>0</v>
      </c>
      <c r="H166" s="17">
        <f>+GETPIVOTDATA(" Old-Law",'Pivot Table for 1-11'!$A$3,"State","AL","SREB Type",4,"SREB Type2","Four-Year")</f>
        <v>0</v>
      </c>
      <c r="I166" s="6">
        <f>+GETPIVOTDATA(" Old-Medicine",'Pivot Table for 1-11'!$A$3,"State","AL","SREB Type",4,"SREB Type2","Four-Year")</f>
        <v>0</v>
      </c>
      <c r="J166" s="6">
        <f>+GETPIVOTDATA(" Old-Dentistry",'Pivot Table for 1-11'!$A$3,"State","AL","SREB Type",4,"SREB Type2","Four-Year")</f>
        <v>0</v>
      </c>
      <c r="K166" s="6">
        <f>+GETPIVOTDATA(" Old-Pharmacy",'Pivot Table for 1-11'!$A$3,"State","AL","SREB Type",4,"SREB Type2","Four-Year")</f>
        <v>0</v>
      </c>
      <c r="L166" s="6">
        <f>+GETPIVOTDATA(" Old-Optometry",'Pivot Table for 1-11'!$A$3,"State","AL","SREB Type",4,"SREB Type2","Four-Year")</f>
        <v>0</v>
      </c>
      <c r="M166" s="6">
        <f>+GETPIVOTDATA(" Old-Osteopathic Medicine",'Pivot Table for 1-11'!$A$3,"State","AL","SREB Type",4,"SREB Type2","Four-Year")</f>
        <v>0</v>
      </c>
      <c r="N166" s="80">
        <f>+GETPIVOTDATA(" Old-Veterinary Medicine",'Pivot Table for 1-11'!$A$3,"State","AL","SREB Type",4,"SREB Type2","Four-Year")</f>
        <v>0</v>
      </c>
      <c r="O166" s="97">
        <f>+GETPIVOTDATA(" Old-Oth PP",'Pivot Table for 1-11'!$A$3,"State","AL","SREB Type",4,"SREB Type2","Four-Year")</f>
        <v>51</v>
      </c>
      <c r="P166" s="81">
        <f t="shared" ref="P166:P184" si="5">SUM(B166:O166)</f>
        <v>3083</v>
      </c>
    </row>
    <row r="167" spans="1:16" ht="15" customHeight="1" x14ac:dyDescent="0.2">
      <c r="A167" s="5" t="s">
        <v>193</v>
      </c>
      <c r="B167" s="6">
        <f>+GETPIVOTDATA(" Old-Less Than 2-Year",'Pivot Table for 1-11'!$A$3,"State","AR","SREB Type",4,"SREB Type2","Four-Year")+GETPIVOTDATA(" Old-2 But Less Than 4-Year",'Pivot Table for 1-11'!$A$3,"State","AR","SREB Type",4,"SREB Type2","Four-Year")</f>
        <v>0</v>
      </c>
      <c r="C167" s="6">
        <f>+GETPIVOTDATA(" Old-Associate's",'Pivot Table for 1-11'!$A$3,"State","AR","SREB Type",4,"SREB Type2","Four-Year")</f>
        <v>63</v>
      </c>
      <c r="D167" s="6">
        <f>+GETPIVOTDATA(" Old-Bachelor's",'Pivot Table for 1-11'!$A$3,"State","AR","SREB Type",4,"SREB Type2","Four-Year")</f>
        <v>823</v>
      </c>
      <c r="E167" s="6">
        <f>+GETPIVOTDATA(" Old-Post-Bachelor's",'Pivot Table for 1-11'!$A$3,"State","AR","SREB Type",4,"SREB Type2","Four-Year")</f>
        <v>120</v>
      </c>
      <c r="F167" s="6">
        <f>+GETPIVOTDATA(" Old-Total Master's#",'Pivot Table for 1-11'!$A$3,"State","AR","SREB Type",4,"SREB Type2","Four-Year")</f>
        <v>274</v>
      </c>
      <c r="G167" s="6">
        <f>+GETPIVOTDATA(" Old-Total Doctorates#",'Pivot Table for 1-11'!$A$3,"State","AR","SREB Type",4,"SREB Type2","Four-Year")</f>
        <v>0</v>
      </c>
      <c r="H167" s="17">
        <f>+GETPIVOTDATA(" Old-Law",'Pivot Table for 1-11'!$A$3,"State","AR","SREB Type",4,"SREB Type2","Four-Year")</f>
        <v>0</v>
      </c>
      <c r="I167" s="6">
        <f>+GETPIVOTDATA(" Old-Medicine",'Pivot Table for 1-11'!$A$3,"State","AR","SREB Type",4,"SREB Type2","Four-Year")</f>
        <v>0</v>
      </c>
      <c r="J167" s="6">
        <f>+GETPIVOTDATA(" Old-Dentistry",'Pivot Table for 1-11'!$A$3,"State","AR","SREB Type",4,"SREB Type2","Four-Year")</f>
        <v>0</v>
      </c>
      <c r="K167" s="6">
        <f>+GETPIVOTDATA(" Old-Pharmacy",'Pivot Table for 1-11'!$A$3,"State","AR","SREB Type",4,"SREB Type2","Four-Year")</f>
        <v>0</v>
      </c>
      <c r="L167" s="6">
        <f>+GETPIVOTDATA(" Old-Optometry",'Pivot Table for 1-11'!$A$3,"State","AR","SREB Type",4,"SREB Type2","Four-Year")</f>
        <v>0</v>
      </c>
      <c r="M167" s="6">
        <f>+GETPIVOTDATA(" Old-Osteopathic Medicine",'Pivot Table for 1-11'!$A$3,"State","AR","SREB Type",4,"SREB Type2","Four-Year")</f>
        <v>0</v>
      </c>
      <c r="N167" s="80">
        <f>+GETPIVOTDATA(" Old-Veterinary Medicine",'Pivot Table for 1-11'!$A$3,"State","AR","SREB Type",4,"SREB Type2","Four-Year")</f>
        <v>0</v>
      </c>
      <c r="O167" s="97">
        <f>+GETPIVOTDATA(" Old-Oth PP",'Pivot Table for 1-11'!$A$3,"State","AR","SREB Type",4,"SREB Type2","Four-Year")</f>
        <v>0</v>
      </c>
      <c r="P167" s="81">
        <f t="shared" si="5"/>
        <v>1280</v>
      </c>
    </row>
    <row r="168" spans="1:16" ht="15" customHeight="1" x14ac:dyDescent="0.2">
      <c r="A168" s="5" t="s">
        <v>194</v>
      </c>
      <c r="B168" s="6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6">
        <f>+GETPIVOTDATA(" Old-Associate's",'Pivot Table for 1-11'!$A$3,"State","DE","SREB Type",4,"SREB Type2","Four-Year")</f>
        <v>0</v>
      </c>
      <c r="D168" s="6">
        <f>+GETPIVOTDATA(" Old-Bachelor's",'Pivot Table for 1-11'!$A$3,"State","DE","SREB Type",4,"SREB Type2","Four-Year")</f>
        <v>0</v>
      </c>
      <c r="E168" s="6">
        <f>+GETPIVOTDATA(" Old-Post-Bachelor's",'Pivot Table for 1-11'!$A$3,"State","DE","SREB Type",4,"SREB Type2","Four-Year")</f>
        <v>0</v>
      </c>
      <c r="F168" s="6">
        <f>+GETPIVOTDATA(" Old-Total Master's#",'Pivot Table for 1-11'!$A$3,"State","DE","SREB Type",4,"SREB Type2","Four-Year")</f>
        <v>0</v>
      </c>
      <c r="G168" s="6">
        <f>+GETPIVOTDATA(" Old-Total Doctorates#",'Pivot Table for 1-11'!$A$3,"State","DE","SREB Type",4,"SREB Type2","Four-Year")</f>
        <v>0</v>
      </c>
      <c r="H168" s="17">
        <f>+GETPIVOTDATA(" Old-Law",'Pivot Table for 1-11'!$A$3,"State","DE","SREB Type",4,"SREB Type2","Four-Year")</f>
        <v>0</v>
      </c>
      <c r="I168" s="6">
        <f>+GETPIVOTDATA(" Old-Medicine",'Pivot Table for 1-11'!$A$3,"State","DE","SREB Type",4,"SREB Type2","Four-Year")</f>
        <v>0</v>
      </c>
      <c r="J168" s="6">
        <f>+GETPIVOTDATA(" Old-Dentistry",'Pivot Table for 1-11'!$A$3,"State","DE","SREB Type",4,"SREB Type2","Four-Year")</f>
        <v>0</v>
      </c>
      <c r="K168" s="6">
        <f>+GETPIVOTDATA(" Old-Pharmacy",'Pivot Table for 1-11'!$A$3,"State","DE","SREB Type",4,"SREB Type2","Four-Year")</f>
        <v>0</v>
      </c>
      <c r="L168" s="6">
        <f>+GETPIVOTDATA(" Old-Optometry",'Pivot Table for 1-11'!$A$3,"State","DE","SREB Type",4,"SREB Type2","Four-Year")</f>
        <v>0</v>
      </c>
      <c r="M168" s="6">
        <f>+GETPIVOTDATA(" Old-Osteopathic Medicine",'Pivot Table for 1-11'!$A$3,"State","DE","SREB Type",4,"SREB Type2","Four-Year")</f>
        <v>0</v>
      </c>
      <c r="N168" s="80">
        <f>+GETPIVOTDATA(" Old-Veterinary Medicine",'Pivot Table for 1-11'!$A$3,"State","DE","SREB Type",4,"SREB Type2","Four-Year")</f>
        <v>0</v>
      </c>
      <c r="O168" s="97">
        <f>+GETPIVOTDATA(" Old-Oth PP",'Pivot Table for 1-11'!$A$3,"State","DE","SREB Type",4,"SREB Type2","Four-Year")</f>
        <v>0</v>
      </c>
      <c r="P168" s="81">
        <f t="shared" si="5"/>
        <v>0</v>
      </c>
    </row>
    <row r="169" spans="1:16" ht="15" customHeight="1" x14ac:dyDescent="0.2">
      <c r="A169" s="5" t="s">
        <v>195</v>
      </c>
      <c r="B169" s="6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6">
        <f>+GETPIVOTDATA(" Old-Associate's",'Pivot Table for 1-11'!$A$3,"State","FL","SREB Type",4,"SREB Type2","Four-Year")</f>
        <v>258</v>
      </c>
      <c r="D169" s="6">
        <f>+GETPIVOTDATA(" Old-Bachelor's",'Pivot Table for 1-11'!$A$3,"State","FL","SREB Type",4,"SREB Type2","Four-Year")</f>
        <v>1616</v>
      </c>
      <c r="E169" s="6">
        <f>+GETPIVOTDATA(" Old-Post-Bachelor's",'Pivot Table for 1-11'!$A$3,"State","FL","SREB Type",4,"SREB Type2","Four-Year")</f>
        <v>23</v>
      </c>
      <c r="F169" s="6">
        <f>+GETPIVOTDATA(" Old-Total Master's#",'Pivot Table for 1-11'!$A$3,"State","FL","SREB Type",4,"SREB Type2","Four-Year")</f>
        <v>385</v>
      </c>
      <c r="G169" s="6">
        <f>+GETPIVOTDATA(" Old-Total Doctorates#",'Pivot Table for 1-11'!$A$3,"State","FL","SREB Type",4,"SREB Type2","Four-Year")</f>
        <v>19</v>
      </c>
      <c r="H169" s="17">
        <f>+GETPIVOTDATA(" Old-Law",'Pivot Table for 1-11'!$A$3,"State","FL","SREB Type",4,"SREB Type2","Four-Year")</f>
        <v>0</v>
      </c>
      <c r="I169" s="6">
        <f>+GETPIVOTDATA(" Old-Medicine",'Pivot Table for 1-11'!$A$3,"State","FL","SREB Type",4,"SREB Type2","Four-Year")</f>
        <v>0</v>
      </c>
      <c r="J169" s="6">
        <f>+GETPIVOTDATA(" Old-Dentistry",'Pivot Table for 1-11'!$A$3,"State","FL","SREB Type",4,"SREB Type2","Four-Year")</f>
        <v>0</v>
      </c>
      <c r="K169" s="6">
        <f>+GETPIVOTDATA(" Old-Pharmacy",'Pivot Table for 1-11'!$A$3,"State","FL","SREB Type",4,"SREB Type2","Four-Year")</f>
        <v>0</v>
      </c>
      <c r="L169" s="6">
        <f>+GETPIVOTDATA(" Old-Optometry",'Pivot Table for 1-11'!$A$3,"State","FL","SREB Type",4,"SREB Type2","Four-Year")</f>
        <v>0</v>
      </c>
      <c r="M169" s="6">
        <f>+GETPIVOTDATA(" Old-Osteopathic Medicine",'Pivot Table for 1-11'!$A$3,"State","FL","SREB Type",4,"SREB Type2","Four-Year")</f>
        <v>0</v>
      </c>
      <c r="N169" s="80">
        <f>+GETPIVOTDATA(" Old-Veterinary Medicine",'Pivot Table for 1-11'!$A$3,"State","FL","SREB Type",4,"SREB Type2","Four-Year")</f>
        <v>0</v>
      </c>
      <c r="O169" s="97">
        <f>+GETPIVOTDATA(" Old-Oth PP",'Pivot Table for 1-11'!$A$3,"State","FL","SREB Type",4,"SREB Type2","Four-Year")</f>
        <v>19</v>
      </c>
      <c r="P169" s="81">
        <f t="shared" si="5"/>
        <v>2320</v>
      </c>
    </row>
    <row r="170" spans="1:16" ht="15" customHeight="1" x14ac:dyDescent="0.2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0"/>
      <c r="O170" s="97"/>
      <c r="P170" s="81">
        <f t="shared" si="5"/>
        <v>0</v>
      </c>
    </row>
    <row r="171" spans="1:16" ht="15" customHeight="1" x14ac:dyDescent="0.2">
      <c r="A171" s="5" t="s">
        <v>196</v>
      </c>
      <c r="B171" s="6">
        <f>+GETPIVOTDATA(" Old-Less Than 2-Year",'Pivot Table for 1-11'!$A$3,"State","GA","SREB Type",4,"SREB Type2","Four-Year")+GETPIVOTDATA(" Old-2 But Less Than 4-Year",'Pivot Table for 1-11'!$A$3,"State","GA","SREB Type",4,"SREB Type2","Four-Year")</f>
        <v>298</v>
      </c>
      <c r="C171" s="6">
        <f>+GETPIVOTDATA(" Old-Associate's",'Pivot Table for 1-11'!$A$3,"State","GA","SREB Type",4,"SREB Type2","Four-Year")</f>
        <v>259</v>
      </c>
      <c r="D171" s="6">
        <f>+GETPIVOTDATA(" Old-Bachelor's",'Pivot Table for 1-11'!$A$3,"State","GA","SREB Type",4,"SREB Type2","Four-Year")</f>
        <v>8310</v>
      </c>
      <c r="E171" s="6">
        <f>+GETPIVOTDATA(" Old-Post-Bachelor's",'Pivot Table for 1-11'!$A$3,"State","GA","SREB Type",4,"SREB Type2","Four-Year")</f>
        <v>113</v>
      </c>
      <c r="F171" s="6">
        <f>+GETPIVOTDATA(" Old-Total Master's#",'Pivot Table for 1-11'!$A$3,"State","GA","SREB Type",4,"SREB Type2","Four-Year")</f>
        <v>2799</v>
      </c>
      <c r="G171" s="6">
        <f>+GETPIVOTDATA(" Old-Total Doctorates#",'Pivot Table for 1-11'!$A$3,"State","GA","SREB Type",4,"SREB Type2","Four-Year")</f>
        <v>51</v>
      </c>
      <c r="H171" s="17">
        <f>+GETPIVOTDATA(" Old-Law",'Pivot Table for 1-11'!$A$3,"State","GA","SREB Type",4,"SREB Type2","Four-Year")</f>
        <v>0</v>
      </c>
      <c r="I171" s="6">
        <f>+GETPIVOTDATA(" Old-Medicine",'Pivot Table for 1-11'!$A$3,"State","GA","SREB Type",4,"SREB Type2","Four-Year")</f>
        <v>0</v>
      </c>
      <c r="J171" s="6">
        <f>+GETPIVOTDATA(" Old-Dentistry",'Pivot Table for 1-11'!$A$3,"State","GA","SREB Type",4,"SREB Type2","Four-Year")</f>
        <v>0</v>
      </c>
      <c r="K171" s="6">
        <f>+GETPIVOTDATA(" Old-Pharmacy",'Pivot Table for 1-11'!$A$3,"State","GA","SREB Type",4,"SREB Type2","Four-Year")</f>
        <v>0</v>
      </c>
      <c r="L171" s="6">
        <f>+GETPIVOTDATA(" Old-Optometry",'Pivot Table for 1-11'!$A$3,"State","GA","SREB Type",4,"SREB Type2","Four-Year")</f>
        <v>0</v>
      </c>
      <c r="M171" s="6">
        <f>+GETPIVOTDATA(" Old-Osteopathic Medicine",'Pivot Table for 1-11'!$A$3,"State","GA","SREB Type",4,"SREB Type2","Four-Year")</f>
        <v>0</v>
      </c>
      <c r="N171" s="80">
        <f>+GETPIVOTDATA(" Old-Veterinary Medicine",'Pivot Table for 1-11'!$A$3,"State","GA","SREB Type",4,"SREB Type2","Four-Year")</f>
        <v>0</v>
      </c>
      <c r="O171" s="97">
        <f>+GETPIVOTDATA(" Old-Oth PP",'Pivot Table for 1-11'!$A$3,"State","GA","SREB Type",4,"SREB Type2","Four-Year")</f>
        <v>0</v>
      </c>
      <c r="P171" s="81">
        <f t="shared" si="5"/>
        <v>11830</v>
      </c>
    </row>
    <row r="172" spans="1:16" ht="15" customHeight="1" x14ac:dyDescent="0.2">
      <c r="A172" s="5" t="s">
        <v>197</v>
      </c>
      <c r="B172" s="6">
        <f>+GETPIVOTDATA(" Old-Less Than 2-Year",'Pivot Table for 1-11'!$A$3,"State","KY","SREB Type",4,"SREB Type2","Four-Year")+GETPIVOTDATA(" Old-2 But Less Than 4-Year",'Pivot Table for 1-11'!$A$3,"State","KY","SREB Type",4,"SREB Type2","Four-Year")</f>
        <v>8</v>
      </c>
      <c r="C172" s="6">
        <f>+GETPIVOTDATA(" Old-Associate's",'Pivot Table for 1-11'!$A$3,"State","KY","SREB Type",4,"SREB Type2","Four-Year")</f>
        <v>163</v>
      </c>
      <c r="D172" s="6">
        <f>+GETPIVOTDATA(" Old-Bachelor's",'Pivot Table for 1-11'!$A$3,"State","KY","SREB Type",4,"SREB Type2","Four-Year")</f>
        <v>2200</v>
      </c>
      <c r="E172" s="6">
        <f>+GETPIVOTDATA(" Old-Post-Bachelor's",'Pivot Table for 1-11'!$A$3,"State","KY","SREB Type",4,"SREB Type2","Four-Year")</f>
        <v>55</v>
      </c>
      <c r="F172" s="6">
        <f>+GETPIVOTDATA(" Old-Total Master's#",'Pivot Table for 1-11'!$A$3,"State","KY","SREB Type",4,"SREB Type2","Four-Year")</f>
        <v>529</v>
      </c>
      <c r="G172" s="6">
        <f>+GETPIVOTDATA(" Old-Total Doctorates#",'Pivot Table for 1-11'!$A$3,"State","KY","SREB Type",4,"SREB Type2","Four-Year")</f>
        <v>0</v>
      </c>
      <c r="H172" s="17">
        <f>+GETPIVOTDATA(" Old-Law",'Pivot Table for 1-11'!$A$3,"State","KY","SREB Type",4,"SREB Type2","Four-Year")</f>
        <v>177</v>
      </c>
      <c r="I172" s="6">
        <f>+GETPIVOTDATA(" Old-Medicine",'Pivot Table for 1-11'!$A$3,"State","KY","SREB Type",4,"SREB Type2","Four-Year")</f>
        <v>0</v>
      </c>
      <c r="J172" s="6">
        <f>+GETPIVOTDATA(" Old-Dentistry",'Pivot Table for 1-11'!$A$3,"State","KY","SREB Type",4,"SREB Type2","Four-Year")</f>
        <v>0</v>
      </c>
      <c r="K172" s="6">
        <f>+GETPIVOTDATA(" Old-Pharmacy",'Pivot Table for 1-11'!$A$3,"State","KY","SREB Type",4,"SREB Type2","Four-Year")</f>
        <v>0</v>
      </c>
      <c r="L172" s="6">
        <f>+GETPIVOTDATA(" Old-Optometry",'Pivot Table for 1-11'!$A$3,"State","KY","SREB Type",4,"SREB Type2","Four-Year")</f>
        <v>0</v>
      </c>
      <c r="M172" s="6">
        <f>+GETPIVOTDATA(" Old-Osteopathic Medicine",'Pivot Table for 1-11'!$A$3,"State","KY","SREB Type",4,"SREB Type2","Four-Year")</f>
        <v>0</v>
      </c>
      <c r="N172" s="80">
        <f>+GETPIVOTDATA(" Old-Veterinary Medicine",'Pivot Table for 1-11'!$A$3,"State","KY","SREB Type",4,"SREB Type2","Four-Year")</f>
        <v>0</v>
      </c>
      <c r="O172" s="97">
        <f>+GETPIVOTDATA(" Old-Oth PP",'Pivot Table for 1-11'!$A$3,"State","KY","SREB Type",4,"SREB Type2","Four-Year")</f>
        <v>2</v>
      </c>
      <c r="P172" s="81">
        <f t="shared" si="5"/>
        <v>3134</v>
      </c>
    </row>
    <row r="173" spans="1:16" ht="15" customHeight="1" x14ac:dyDescent="0.2">
      <c r="A173" s="5" t="s">
        <v>198</v>
      </c>
      <c r="B173" s="6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6">
        <f>+GETPIVOTDATA(" Old-Associate's",'Pivot Table for 1-11'!$A$3,"State","LA","SREB Type",4,"SREB Type2","Four-Year")</f>
        <v>1107</v>
      </c>
      <c r="D173" s="6">
        <f>+GETPIVOTDATA(" Old-Bachelor's",'Pivot Table for 1-11'!$A$3,"State","LA","SREB Type",4,"SREB Type2","Four-Year")</f>
        <v>4565</v>
      </c>
      <c r="E173" s="6">
        <f>+GETPIVOTDATA(" Old-Post-Bachelor's",'Pivot Table for 1-11'!$A$3,"State","LA","SREB Type",4,"SREB Type2","Four-Year")</f>
        <v>84</v>
      </c>
      <c r="F173" s="6">
        <f>+GETPIVOTDATA(" Old-Total Master's#",'Pivot Table for 1-11'!$A$3,"State","LA","SREB Type",4,"SREB Type2","Four-Year")</f>
        <v>1169</v>
      </c>
      <c r="G173" s="6">
        <f>+GETPIVOTDATA(" Old-Total Doctorates#",'Pivot Table for 1-11'!$A$3,"State","LA","SREB Type",4,"SREB Type2","Four-Year")</f>
        <v>2</v>
      </c>
      <c r="H173" s="17">
        <f>+GETPIVOTDATA(" Old-Law",'Pivot Table for 1-11'!$A$3,"State","LA","SREB Type",4,"SREB Type2","Four-Year")</f>
        <v>0</v>
      </c>
      <c r="I173" s="6">
        <f>+GETPIVOTDATA(" Old-Medicine",'Pivot Table for 1-11'!$A$3,"State","LA","SREB Type",4,"SREB Type2","Four-Year")</f>
        <v>0</v>
      </c>
      <c r="J173" s="6">
        <f>+GETPIVOTDATA(" Old-Dentistry",'Pivot Table for 1-11'!$A$3,"State","LA","SREB Type",4,"SREB Type2","Four-Year")</f>
        <v>0</v>
      </c>
      <c r="K173" s="6">
        <f>+GETPIVOTDATA(" Old-Pharmacy",'Pivot Table for 1-11'!$A$3,"State","LA","SREB Type",4,"SREB Type2","Four-Year")</f>
        <v>0</v>
      </c>
      <c r="L173" s="6">
        <f>+GETPIVOTDATA(" Old-Optometry",'Pivot Table for 1-11'!$A$3,"State","LA","SREB Type",4,"SREB Type2","Four-Year")</f>
        <v>0</v>
      </c>
      <c r="M173" s="6">
        <f>+GETPIVOTDATA(" Old-Osteopathic Medicine",'Pivot Table for 1-11'!$A$3,"State","LA","SREB Type",4,"SREB Type2","Four-Year")</f>
        <v>0</v>
      </c>
      <c r="N173" s="80">
        <f>+GETPIVOTDATA(" Old-Veterinary Medicine",'Pivot Table for 1-11'!$A$3,"State","LA","SREB Type",4,"SREB Type2","Four-Year")</f>
        <v>0</v>
      </c>
      <c r="O173" s="97">
        <f>+GETPIVOTDATA(" Old-Oth PP",'Pivot Table for 1-11'!$A$3,"State","LA","SREB Type",4,"SREB Type2","Four-Year")</f>
        <v>0</v>
      </c>
      <c r="P173" s="81">
        <f t="shared" si="5"/>
        <v>6927</v>
      </c>
    </row>
    <row r="174" spans="1:16" ht="15" customHeight="1" x14ac:dyDescent="0.2">
      <c r="A174" s="5" t="s">
        <v>199</v>
      </c>
      <c r="B174" s="6">
        <f>+GETPIVOTDATA(" Old-Less Than 2-Year",'Pivot Table for 1-11'!$A$3,"State","MD","SREB Type",4,"SREB Type2","Four-Year")+GETPIVOTDATA(" Old-2 But Less Than 4-Year",'Pivot Table for 1-11'!$A$3,"State","MD","SREB Type",4,"SREB Type2","Four-Year")</f>
        <v>47</v>
      </c>
      <c r="C174" s="6">
        <f>+GETPIVOTDATA(" Old-Associate's",'Pivot Table for 1-11'!$A$3,"State","MD","SREB Type",4,"SREB Type2","Four-Year")</f>
        <v>0</v>
      </c>
      <c r="D174" s="6">
        <f>+GETPIVOTDATA(" Old-Bachelor's",'Pivot Table for 1-11'!$A$3,"State","MD","SREB Type",4,"SREB Type2","Four-Year")</f>
        <v>4379</v>
      </c>
      <c r="E174" s="6">
        <f>+GETPIVOTDATA(" Old-Post-Bachelor's",'Pivot Table for 1-11'!$A$3,"State","MD","SREB Type",4,"SREB Type2","Four-Year")</f>
        <v>46</v>
      </c>
      <c r="F174" s="6">
        <f>+GETPIVOTDATA(" Old-Total Master's#",'Pivot Table for 1-11'!$A$3,"State","MD","SREB Type",4,"SREB Type2","Four-Year")</f>
        <v>1246</v>
      </c>
      <c r="G174" s="6">
        <f>+GETPIVOTDATA(" Old-Total Doctorates#",'Pivot Table for 1-11'!$A$3,"State","MD","SREB Type",4,"SREB Type2","Four-Year")</f>
        <v>40</v>
      </c>
      <c r="H174" s="17">
        <f>+GETPIVOTDATA(" Old-Law",'Pivot Table for 1-11'!$A$3,"State","MD","SREB Type",4,"SREB Type2","Four-Year")</f>
        <v>294</v>
      </c>
      <c r="I174" s="6">
        <f>+GETPIVOTDATA(" Old-Medicine",'Pivot Table for 1-11'!$A$3,"State","MD","SREB Type",4,"SREB Type2","Four-Year")</f>
        <v>0</v>
      </c>
      <c r="J174" s="6">
        <f>+GETPIVOTDATA(" Old-Dentistry",'Pivot Table for 1-11'!$A$3,"State","MD","SREB Type",4,"SREB Type2","Four-Year")</f>
        <v>0</v>
      </c>
      <c r="K174" s="6">
        <f>+GETPIVOTDATA(" Old-Pharmacy",'Pivot Table for 1-11'!$A$3,"State","MD","SREB Type",4,"SREB Type2","Four-Year")</f>
        <v>0</v>
      </c>
      <c r="L174" s="6">
        <f>+GETPIVOTDATA(" Old-Optometry",'Pivot Table for 1-11'!$A$3,"State","MD","SREB Type",4,"SREB Type2","Four-Year")</f>
        <v>0</v>
      </c>
      <c r="M174" s="6">
        <f>+GETPIVOTDATA(" Old-Osteopathic Medicine",'Pivot Table for 1-11'!$A$3,"State","MD","SREB Type",4,"SREB Type2","Four-Year")</f>
        <v>0</v>
      </c>
      <c r="N174" s="80">
        <f>+GETPIVOTDATA(" Old-Veterinary Medicine",'Pivot Table for 1-11'!$A$3,"State","MD","SREB Type",4,"SREB Type2","Four-Year")</f>
        <v>0</v>
      </c>
      <c r="O174" s="97">
        <f>+GETPIVOTDATA(" Old-Oth PP",'Pivot Table for 1-11'!$A$3,"State","MD","SREB Type",4,"SREB Type2","Four-Year")</f>
        <v>23</v>
      </c>
      <c r="P174" s="81">
        <f t="shared" si="5"/>
        <v>6075</v>
      </c>
    </row>
    <row r="175" spans="1:16" ht="15" customHeight="1" x14ac:dyDescent="0.2">
      <c r="A175" s="5"/>
      <c r="B175" s="6">
        <f>+GETPIVOTDATA(" Old-Less Than 2-Year",'Pivot Table for 1-11'!$A$3,"State","AR","SREB Type",4,"SREB Type2","Four-Year")+GETPIVOTDATA(" Old-2 But Less Than 4-Year",'Pivot Table for 1-11'!$A$3,"State","AR","SREB Type",4,"SREB Type2","Four-Year")</f>
        <v>0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0"/>
      <c r="O175" s="97"/>
      <c r="P175" s="81">
        <f t="shared" si="5"/>
        <v>0</v>
      </c>
    </row>
    <row r="176" spans="1:16" ht="15" customHeight="1" x14ac:dyDescent="0.2">
      <c r="A176" s="5" t="s">
        <v>200</v>
      </c>
      <c r="B176" s="6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6">
        <f>+GETPIVOTDATA(" Old-Associate's",'Pivot Table for 1-11'!$A$3,"State","MS","SREB Type",4,"SREB Type2","Four-Year")</f>
        <v>31</v>
      </c>
      <c r="D176" s="6">
        <f>+GETPIVOTDATA(" Old-Bachelor's",'Pivot Table for 1-11'!$A$3,"State","MS","SREB Type",4,"SREB Type2","Four-Year")</f>
        <v>1233</v>
      </c>
      <c r="E176" s="6">
        <f>+GETPIVOTDATA(" Old-Post-Bachelor's",'Pivot Table for 1-11'!$A$3,"State","MS","SREB Type",4,"SREB Type2","Four-Year")</f>
        <v>0</v>
      </c>
      <c r="F176" s="6">
        <f>+GETPIVOTDATA(" Old-Total Master's#",'Pivot Table for 1-11'!$A$3,"State","MS","SREB Type",4,"SREB Type2","Four-Year")</f>
        <v>656</v>
      </c>
      <c r="G176" s="6">
        <f>+GETPIVOTDATA(" Old-Total Doctorates#",'Pivot Table for 1-11'!$A$3,"State","MS","SREB Type",4,"SREB Type2","Four-Year")</f>
        <v>1</v>
      </c>
      <c r="H176" s="17">
        <f>+GETPIVOTDATA(" Old-Law",'Pivot Table for 1-11'!$A$3,"State","MS","SREB Type",4,"SREB Type2","Four-Year")</f>
        <v>0</v>
      </c>
      <c r="I176" s="6">
        <f>+GETPIVOTDATA(" Old-Medicine",'Pivot Table for 1-11'!$A$3,"State","MS","SREB Type",4,"SREB Type2","Four-Year")</f>
        <v>0</v>
      </c>
      <c r="J176" s="6">
        <f>+GETPIVOTDATA(" Old-Dentistry",'Pivot Table for 1-11'!$A$3,"State","MS","SREB Type",4,"SREB Type2","Four-Year")</f>
        <v>0</v>
      </c>
      <c r="K176" s="6">
        <f>+GETPIVOTDATA(" Old-Pharmacy",'Pivot Table for 1-11'!$A$3,"State","MS","SREB Type",4,"SREB Type2","Four-Year")</f>
        <v>0</v>
      </c>
      <c r="L176" s="6">
        <f>+GETPIVOTDATA(" Old-Optometry",'Pivot Table for 1-11'!$A$3,"State","MS","SREB Type",4,"SREB Type2","Four-Year")</f>
        <v>0</v>
      </c>
      <c r="M176" s="6">
        <f>+GETPIVOTDATA(" Old-Osteopathic Medicine",'Pivot Table for 1-11'!$A$3,"State","MS","SREB Type",4,"SREB Type2","Four-Year")</f>
        <v>0</v>
      </c>
      <c r="N176" s="80">
        <f>+GETPIVOTDATA(" Old-Veterinary Medicine",'Pivot Table for 1-11'!$A$3,"State","MS","SREB Type",4,"SREB Type2","Four-Year")</f>
        <v>0</v>
      </c>
      <c r="O176" s="97">
        <f>+GETPIVOTDATA(" Old-Oth PP",'Pivot Table for 1-11'!$A$3,"State","MS","SREB Type",4,"SREB Type2","Four-Year")</f>
        <v>0</v>
      </c>
      <c r="P176" s="81">
        <f t="shared" si="5"/>
        <v>1921</v>
      </c>
    </row>
    <row r="177" spans="1:16" ht="15" customHeight="1" x14ac:dyDescent="0.2">
      <c r="A177" s="5" t="s">
        <v>201</v>
      </c>
      <c r="B177" s="6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6">
        <f>+GETPIVOTDATA(" Old-Associate's",'Pivot Table for 1-11'!$A$3,"State","NC","SREB Type",4,"SREB Type2","Four-Year")</f>
        <v>0</v>
      </c>
      <c r="D177" s="6">
        <f>+GETPIVOTDATA(" Old-Bachelor's",'Pivot Table for 1-11'!$A$3,"State","NC","SREB Type",4,"SREB Type2","Four-Year")</f>
        <v>902</v>
      </c>
      <c r="E177" s="6">
        <f>+GETPIVOTDATA(" Old-Post-Bachelor's",'Pivot Table for 1-11'!$A$3,"State","NC","SREB Type",4,"SREB Type2","Four-Year")</f>
        <v>0</v>
      </c>
      <c r="F177" s="6">
        <f>+GETPIVOTDATA(" Old-Total Master's#",'Pivot Table for 1-11'!$A$3,"State","NC","SREB Type",4,"SREB Type2","Four-Year")</f>
        <v>117</v>
      </c>
      <c r="G177" s="6">
        <f>+GETPIVOTDATA(" Old-Total Doctorates#",'Pivot Table for 1-11'!$A$3,"State","NC","SREB Type",4,"SREB Type2","Four-Year")</f>
        <v>6</v>
      </c>
      <c r="H177" s="17">
        <f>+GETPIVOTDATA(" Old-Law",'Pivot Table for 1-11'!$A$3,"State","NC","SREB Type",4,"SREB Type2","Four-Year")</f>
        <v>0</v>
      </c>
      <c r="I177" s="6">
        <f>+GETPIVOTDATA(" Old-Medicine",'Pivot Table for 1-11'!$A$3,"State","NC","SREB Type",4,"SREB Type2","Four-Year")</f>
        <v>0</v>
      </c>
      <c r="J177" s="6">
        <f>+GETPIVOTDATA(" Old-Dentistry",'Pivot Table for 1-11'!$A$3,"State","NC","SREB Type",4,"SREB Type2","Four-Year")</f>
        <v>0</v>
      </c>
      <c r="K177" s="6">
        <f>+GETPIVOTDATA(" Old-Pharmacy",'Pivot Table for 1-11'!$A$3,"State","NC","SREB Type",4,"SREB Type2","Four-Year")</f>
        <v>0</v>
      </c>
      <c r="L177" s="6">
        <f>+GETPIVOTDATA(" Old-Optometry",'Pivot Table for 1-11'!$A$3,"State","NC","SREB Type",4,"SREB Type2","Four-Year")</f>
        <v>0</v>
      </c>
      <c r="M177" s="6">
        <f>+GETPIVOTDATA(" Old-Osteopathic Medicine",'Pivot Table for 1-11'!$A$3,"State","NC","SREB Type",4,"SREB Type2","Four-Year")</f>
        <v>0</v>
      </c>
      <c r="N177" s="80">
        <f>+GETPIVOTDATA(" Old-Veterinary Medicine",'Pivot Table for 1-11'!$A$3,"State","NC","SREB Type",4,"SREB Type2","Four-Year")</f>
        <v>0</v>
      </c>
      <c r="O177" s="97">
        <f>+GETPIVOTDATA(" Old-Oth PP",'Pivot Table for 1-11'!$A$3,"State","NC","SREB Type",4,"SREB Type2","Four-Year")</f>
        <v>0</v>
      </c>
      <c r="P177" s="81">
        <f t="shared" si="5"/>
        <v>1025</v>
      </c>
    </row>
    <row r="178" spans="1:16" ht="15" customHeight="1" x14ac:dyDescent="0.2">
      <c r="A178" s="5" t="s">
        <v>202</v>
      </c>
      <c r="B178" s="6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6">
        <f>+GETPIVOTDATA(" Old-Associate's",'Pivot Table for 1-11'!$A$3,"State","OK","SREB Type",4,"SREB Type2","Four-Year")</f>
        <v>0</v>
      </c>
      <c r="D178" s="6">
        <f>+GETPIVOTDATA(" Old-Bachelor's",'Pivot Table for 1-11'!$A$3,"State","OK","SREB Type",4,"SREB Type2","Four-Year")</f>
        <v>623</v>
      </c>
      <c r="E178" s="6">
        <f>+GETPIVOTDATA(" Old-Post-Bachelor's",'Pivot Table for 1-11'!$A$3,"State","OK","SREB Type",4,"SREB Type2","Four-Year")</f>
        <v>0</v>
      </c>
      <c r="F178" s="6">
        <f>+GETPIVOTDATA(" Old-Total Master's#",'Pivot Table for 1-11'!$A$3,"State","OK","SREB Type",4,"SREB Type2","Four-Year")</f>
        <v>134</v>
      </c>
      <c r="G178" s="6">
        <f>+GETPIVOTDATA(" Old-Total Doctorates#",'Pivot Table for 1-11'!$A$3,"State","OK","SREB Type",4,"SREB Type2","Four-Year")</f>
        <v>0</v>
      </c>
      <c r="H178" s="17">
        <f>+GETPIVOTDATA(" Old-Law",'Pivot Table for 1-11'!$A$3,"State","OK","SREB Type",4,"SREB Type2","Four-Year")</f>
        <v>0</v>
      </c>
      <c r="I178" s="6">
        <f>+GETPIVOTDATA(" Old-Medicine",'Pivot Table for 1-11'!$A$3,"State","OK","SREB Type",4,"SREB Type2","Four-Year")</f>
        <v>0</v>
      </c>
      <c r="J178" s="6">
        <f>+GETPIVOTDATA(" Old-Dentistry",'Pivot Table for 1-11'!$A$3,"State","OK","SREB Type",4,"SREB Type2","Four-Year")</f>
        <v>0</v>
      </c>
      <c r="K178" s="6">
        <f>+GETPIVOTDATA(" Old-Pharmacy",'Pivot Table for 1-11'!$A$3,"State","OK","SREB Type",4,"SREB Type2","Four-Year")</f>
        <v>0</v>
      </c>
      <c r="L178" s="6">
        <f>+GETPIVOTDATA(" Old-Optometry",'Pivot Table for 1-11'!$A$3,"State","OK","SREB Type",4,"SREB Type2","Four-Year")</f>
        <v>0</v>
      </c>
      <c r="M178" s="6">
        <f>+GETPIVOTDATA(" Old-Osteopathic Medicine",'Pivot Table for 1-11'!$A$3,"State","OK","SREB Type",4,"SREB Type2","Four-Year")</f>
        <v>0</v>
      </c>
      <c r="N178" s="80">
        <f>+GETPIVOTDATA(" Old-Veterinary Medicine",'Pivot Table for 1-11'!$A$3,"State","OK","SREB Type",4,"SREB Type2","Four-Year")</f>
        <v>0</v>
      </c>
      <c r="O178" s="97">
        <f>+GETPIVOTDATA(" Old-Oth PP",'Pivot Table for 1-11'!$A$3,"State","OK","SREB Type",4,"SREB Type2","Four-Year")</f>
        <v>0</v>
      </c>
      <c r="P178" s="81">
        <f t="shared" si="5"/>
        <v>757</v>
      </c>
    </row>
    <row r="179" spans="1:16" ht="15" customHeight="1" x14ac:dyDescent="0.2">
      <c r="A179" s="5" t="s">
        <v>203</v>
      </c>
      <c r="B179" s="6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6">
        <f>+GETPIVOTDATA(" Old-Associate's",'Pivot Table for 1-11'!$A$3,"State","SC","SREB Type",4,"SREB Type2","Four-Year")</f>
        <v>0</v>
      </c>
      <c r="D179" s="6">
        <f>+GETPIVOTDATA(" Old-Bachelor's",'Pivot Table for 1-11'!$A$3,"State","SC","SREB Type",4,"SREB Type2","Four-Year")</f>
        <v>522</v>
      </c>
      <c r="E179" s="6">
        <f>+GETPIVOTDATA(" Old-Post-Bachelor's",'Pivot Table for 1-11'!$A$3,"State","SC","SREB Type",4,"SREB Type2","Four-Year")</f>
        <v>0</v>
      </c>
      <c r="F179" s="6">
        <f>+GETPIVOTDATA(" Old-Total Master's#",'Pivot Table for 1-11'!$A$3,"State","SC","SREB Type",4,"SREB Type2","Four-Year")</f>
        <v>309</v>
      </c>
      <c r="G179" s="6">
        <f>+GETPIVOTDATA(" Old-Total Doctorates#",'Pivot Table for 1-11'!$A$3,"State","SC","SREB Type",4,"SREB Type2","Four-Year")</f>
        <v>0</v>
      </c>
      <c r="H179" s="17">
        <f>+GETPIVOTDATA(" Old-Law",'Pivot Table for 1-11'!$A$3,"State","SC","SREB Type",4,"SREB Type2","Four-Year")</f>
        <v>0</v>
      </c>
      <c r="I179" s="6">
        <f>+GETPIVOTDATA(" Old-Medicine",'Pivot Table for 1-11'!$A$3,"State","SC","SREB Type",4,"SREB Type2","Four-Year")</f>
        <v>0</v>
      </c>
      <c r="J179" s="6">
        <f>+GETPIVOTDATA(" Old-Dentistry",'Pivot Table for 1-11'!$A$3,"State","SC","SREB Type",4,"SREB Type2","Four-Year")</f>
        <v>0</v>
      </c>
      <c r="K179" s="6">
        <f>+GETPIVOTDATA(" Old-Pharmacy",'Pivot Table for 1-11'!$A$3,"State","SC","SREB Type",4,"SREB Type2","Four-Year")</f>
        <v>0</v>
      </c>
      <c r="L179" s="6">
        <f>+GETPIVOTDATA(" Old-Optometry",'Pivot Table for 1-11'!$A$3,"State","SC","SREB Type",4,"SREB Type2","Four-Year")</f>
        <v>0</v>
      </c>
      <c r="M179" s="6">
        <f>+GETPIVOTDATA(" Old-Osteopathic Medicine",'Pivot Table for 1-11'!$A$3,"State","SC","SREB Type",4,"SREB Type2","Four-Year")</f>
        <v>0</v>
      </c>
      <c r="N179" s="80">
        <f>+GETPIVOTDATA(" Old-Veterinary Medicine",'Pivot Table for 1-11'!$A$3,"State","SC","SREB Type",4,"SREB Type2","Four-Year")</f>
        <v>0</v>
      </c>
      <c r="O179" s="97">
        <f>+GETPIVOTDATA(" Old-Oth PP",'Pivot Table for 1-11'!$A$3,"State","SC","SREB Type",4,"SREB Type2","Four-Year")</f>
        <v>0</v>
      </c>
      <c r="P179" s="81">
        <f t="shared" si="5"/>
        <v>831</v>
      </c>
    </row>
    <row r="180" spans="1:16" ht="15" customHeight="1" x14ac:dyDescent="0.2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0"/>
      <c r="O180" s="97"/>
      <c r="P180" s="81"/>
    </row>
    <row r="181" spans="1:16" ht="15" customHeight="1" x14ac:dyDescent="0.2">
      <c r="A181" s="5" t="s">
        <v>204</v>
      </c>
      <c r="B181" s="6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6">
        <f>+GETPIVOTDATA(" Old-Associate's",'Pivot Table for 1-11'!$A$3,"State","TN","SREB Type",4,"SREB Type2","Four-Year")</f>
        <v>0</v>
      </c>
      <c r="D181" s="6">
        <f>+GETPIVOTDATA(" Old-Bachelor's",'Pivot Table for 1-11'!$A$3,"State","TN","SREB Type",4,"SREB Type2","Four-Year")</f>
        <v>0</v>
      </c>
      <c r="E181" s="6">
        <f>+GETPIVOTDATA(" Old-Post-Bachelor's",'Pivot Table for 1-11'!$A$3,"State","TN","SREB Type",4,"SREB Type2","Four-Year")</f>
        <v>0</v>
      </c>
      <c r="F181" s="6">
        <f>+GETPIVOTDATA(" Old-Total Master's#",'Pivot Table for 1-11'!$A$3,"State","TN","SREB Type",4,"SREB Type2","Four-Year")</f>
        <v>0</v>
      </c>
      <c r="G181" s="6">
        <f>+GETPIVOTDATA(" Old-Total Doctorates#",'Pivot Table for 1-11'!$A$3,"State","TN","SREB Type",4,"SREB Type2","Four-Year")</f>
        <v>0</v>
      </c>
      <c r="H181" s="17">
        <f>+GETPIVOTDATA(" Old-Law",'Pivot Table for 1-11'!$A$3,"State","TN","SREB Type",4,"SREB Type2","Four-Year")</f>
        <v>0</v>
      </c>
      <c r="I181" s="6">
        <f>+GETPIVOTDATA(" Old-Medicine",'Pivot Table for 1-11'!$A$3,"State","TN","SREB Type",4,"SREB Type2","Four-Year")</f>
        <v>0</v>
      </c>
      <c r="J181" s="6">
        <f>+GETPIVOTDATA(" Old-Dentistry",'Pivot Table for 1-11'!$A$3,"State","TN","SREB Type",4,"SREB Type2","Four-Year")</f>
        <v>0</v>
      </c>
      <c r="K181" s="6">
        <f>+GETPIVOTDATA(" Old-Pharmacy",'Pivot Table for 1-11'!$A$3,"State","TN","SREB Type",4,"SREB Type2","Four-Year")</f>
        <v>0</v>
      </c>
      <c r="L181" s="6">
        <f>+GETPIVOTDATA(" Old-Optometry",'Pivot Table for 1-11'!$A$3,"State","TN","SREB Type",4,"SREB Type2","Four-Year")</f>
        <v>0</v>
      </c>
      <c r="M181" s="6">
        <f>+GETPIVOTDATA(" Old-Osteopathic Medicine",'Pivot Table for 1-11'!$A$3,"State","TN","SREB Type",4,"SREB Type2","Four-Year")</f>
        <v>0</v>
      </c>
      <c r="N181" s="80">
        <f>+GETPIVOTDATA(" Old-Veterinary Medicine",'Pivot Table for 1-11'!$A$3,"State","TN","SREB Type",4,"SREB Type2","Four-Year")</f>
        <v>0</v>
      </c>
      <c r="O181" s="97"/>
      <c r="P181" s="81">
        <f t="shared" si="5"/>
        <v>0</v>
      </c>
    </row>
    <row r="182" spans="1:16" ht="15" customHeight="1" x14ac:dyDescent="0.2">
      <c r="A182" s="5" t="s">
        <v>205</v>
      </c>
      <c r="B182" s="6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6">
        <f>+GETPIVOTDATA(" Old-Associate's",'Pivot Table for 1-11'!$A$3,"State","TX","SREB Type",4,"SREB Type2","Four-Year")</f>
        <v>0</v>
      </c>
      <c r="D182" s="6">
        <f>+GETPIVOTDATA(" Old-Bachelor's",'Pivot Table for 1-11'!$A$3,"State","TX","SREB Type",4,"SREB Type2","Four-Year")</f>
        <v>1393</v>
      </c>
      <c r="E182" s="6">
        <f>+GETPIVOTDATA(" Old-Post-Bachelor's",'Pivot Table for 1-11'!$A$3,"State","TX","SREB Type",4,"SREB Type2","Four-Year")</f>
        <v>0</v>
      </c>
      <c r="F182" s="6">
        <f>+GETPIVOTDATA(" Old-Total Master's#",'Pivot Table for 1-11'!$A$3,"State","TX","SREB Type",4,"SREB Type2","Four-Year")</f>
        <v>814</v>
      </c>
      <c r="G182" s="6">
        <f>+GETPIVOTDATA(" Old-Total Doctorates#",'Pivot Table for 1-11'!$A$3,"State","TX","SREB Type",4,"SREB Type2","Four-Year")</f>
        <v>0</v>
      </c>
      <c r="H182" s="17">
        <f>+GETPIVOTDATA(" Old-Law",'Pivot Table for 1-11'!$A$3,"State","TX","SREB Type",4,"SREB Type2","Four-Year")</f>
        <v>0</v>
      </c>
      <c r="I182" s="6">
        <f>+GETPIVOTDATA(" Old-Medicine",'Pivot Table for 1-11'!$A$3,"State","TX","SREB Type",4,"SREB Type2","Four-Year")</f>
        <v>0</v>
      </c>
      <c r="J182" s="6">
        <f>+GETPIVOTDATA(" Old-Dentistry",'Pivot Table for 1-11'!$A$3,"State","TX","SREB Type",4,"SREB Type2","Four-Year")</f>
        <v>0</v>
      </c>
      <c r="K182" s="6">
        <f>+GETPIVOTDATA(" Old-Pharmacy",'Pivot Table for 1-11'!$A$3,"State","TX","SREB Type",4,"SREB Type2","Four-Year")</f>
        <v>0</v>
      </c>
      <c r="L182" s="6">
        <f>+GETPIVOTDATA(" Old-Optometry",'Pivot Table for 1-11'!$A$3,"State","TX","SREB Type",4,"SREB Type2","Four-Year")</f>
        <v>0</v>
      </c>
      <c r="M182" s="6">
        <f>+GETPIVOTDATA(" Old-Osteopathic Medicine",'Pivot Table for 1-11'!$A$3,"State","TX","SREB Type",4,"SREB Type2","Four-Year")</f>
        <v>0</v>
      </c>
      <c r="N182" s="80">
        <f>+GETPIVOTDATA(" Old-Veterinary Medicine",'Pivot Table for 1-11'!$A$3,"State","TX","SREB Type",4,"SREB Type2","Four-Year")</f>
        <v>0</v>
      </c>
      <c r="O182" s="97"/>
      <c r="P182" s="81">
        <f t="shared" si="5"/>
        <v>2207</v>
      </c>
    </row>
    <row r="183" spans="1:16" ht="15" customHeight="1" x14ac:dyDescent="0.2">
      <c r="A183" s="5" t="s">
        <v>206</v>
      </c>
      <c r="B183" s="6">
        <f>+GETPIVOTDATA(" Old-Less Than 2-Year",'Pivot Table for 1-11'!$A$3,"State","VA","SREB Type",4,"SREB Type2","Four-Year")+GETPIVOTDATA(" Old-2 But Less Than 4-Year",'Pivot Table for 1-11'!$A$3,"State","VA","SREB Type",4,"SREB Type2","Four-Year")</f>
        <v>1</v>
      </c>
      <c r="C183" s="6">
        <f>+GETPIVOTDATA(" Old-Associate's",'Pivot Table for 1-11'!$A$3,"State","VA","SREB Type",4,"SREB Type2","Four-Year")</f>
        <v>11</v>
      </c>
      <c r="D183" s="6">
        <f>+GETPIVOTDATA(" Old-Bachelor's",'Pivot Table for 1-11'!$A$3,"State","VA","SREB Type",4,"SREB Type2","Four-Year")</f>
        <v>3257</v>
      </c>
      <c r="E183" s="6">
        <f>+GETPIVOTDATA(" Old-Post-Bachelor's",'Pivot Table for 1-11'!$A$3,"State","VA","SREB Type",4,"SREB Type2","Four-Year")</f>
        <v>19</v>
      </c>
      <c r="F183" s="6">
        <f>+GETPIVOTDATA(" Old-Total Master's#",'Pivot Table for 1-11'!$A$3,"State","VA","SREB Type",4,"SREB Type2","Four-Year")</f>
        <v>697</v>
      </c>
      <c r="G183" s="6">
        <f>+GETPIVOTDATA(" Old-Total Doctorates#",'Pivot Table for 1-11'!$A$3,"State","VA","SREB Type",4,"SREB Type2","Four-Year")</f>
        <v>6</v>
      </c>
      <c r="H183" s="17">
        <f>+GETPIVOTDATA(" Old-Law",'Pivot Table for 1-11'!$A$3,"State","VA","SREB Type",4,"SREB Type2","Four-Year")</f>
        <v>0</v>
      </c>
      <c r="I183" s="6">
        <f>+GETPIVOTDATA(" Old-Medicine",'Pivot Table for 1-11'!$A$3,"State","VA","SREB Type",4,"SREB Type2","Four-Year")</f>
        <v>0</v>
      </c>
      <c r="J183" s="6">
        <f>+GETPIVOTDATA(" Old-Dentistry",'Pivot Table for 1-11'!$A$3,"State","VA","SREB Type",4,"SREB Type2","Four-Year")</f>
        <v>0</v>
      </c>
      <c r="K183" s="6">
        <f>+GETPIVOTDATA(" Old-Pharmacy",'Pivot Table for 1-11'!$A$3,"State","VA","SREB Type",4,"SREB Type2","Four-Year")</f>
        <v>0</v>
      </c>
      <c r="L183" s="6">
        <f>+GETPIVOTDATA(" Old-Optometry",'Pivot Table for 1-11'!$A$3,"State","VA","SREB Type",4,"SREB Type2","Four-Year")</f>
        <v>0</v>
      </c>
      <c r="M183" s="6">
        <f>+GETPIVOTDATA(" Old-Osteopathic Medicine",'Pivot Table for 1-11'!$A$3,"State","VA","SREB Type",4,"SREB Type2","Four-Year")</f>
        <v>0</v>
      </c>
      <c r="N183" s="80">
        <f>+GETPIVOTDATA(" Old-Veterinary Medicine",'Pivot Table for 1-11'!$A$3,"State","VA","SREB Type",4,"SREB Type2","Four-Year")</f>
        <v>0</v>
      </c>
      <c r="O183" s="97"/>
      <c r="P183" s="81">
        <f t="shared" si="5"/>
        <v>3991</v>
      </c>
    </row>
    <row r="184" spans="1:16" ht="15" customHeight="1" x14ac:dyDescent="0.2">
      <c r="A184" s="9" t="s">
        <v>207</v>
      </c>
      <c r="B184" s="8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8">
        <f>+GETPIVOTDATA(" Old-Associate's",'Pivot Table for 1-11'!$A$3,"State","WV","SREB Type",4,"SREB Type2","Four-Year")</f>
        <v>0</v>
      </c>
      <c r="D184" s="8">
        <f>+GETPIVOTDATA(" Old-Bachelor's",'Pivot Table for 1-11'!$A$3,"State","WV","SREB Type",4,"SREB Type2","Four-Year")</f>
        <v>0</v>
      </c>
      <c r="E184" s="8">
        <f>+GETPIVOTDATA(" Old-Post-Bachelor's",'Pivot Table for 1-11'!$A$3,"State","WV","SREB Type",4,"SREB Type2","Four-Year")</f>
        <v>0</v>
      </c>
      <c r="F184" s="8">
        <f>+GETPIVOTDATA(" Old-Total Master's#",'Pivot Table for 1-11'!$A$3,"State","WV","SREB Type",4,"SREB Type2","Four-Year")</f>
        <v>0</v>
      </c>
      <c r="G184" s="8">
        <f>+GETPIVOTDATA(" Old-Total Doctorates#",'Pivot Table for 1-11'!$A$3,"State","WV","SREB Type",4,"SREB Type2","Four-Year")</f>
        <v>0</v>
      </c>
      <c r="H184" s="18">
        <f>+GETPIVOTDATA(" Old-Law",'Pivot Table for 1-11'!$A$3,"State","WV","SREB Type",4,"SREB Type2","Four-Year")</f>
        <v>0</v>
      </c>
      <c r="I184" s="8">
        <f>+GETPIVOTDATA(" Old-Medicine",'Pivot Table for 1-11'!$A$3,"State","WV","SREB Type",4,"SREB Type2","Four-Year")</f>
        <v>0</v>
      </c>
      <c r="J184" s="8">
        <f>+GETPIVOTDATA(" Old-Dentistry",'Pivot Table for 1-11'!$A$3,"State","WV","SREB Type",4,"SREB Type2","Four-Year")</f>
        <v>0</v>
      </c>
      <c r="K184" s="8">
        <f>+GETPIVOTDATA(" Old-Pharmacy",'Pivot Table for 1-11'!$A$3,"State","WV","SREB Type",4,"SREB Type2","Four-Year")</f>
        <v>0</v>
      </c>
      <c r="L184" s="8">
        <f>+GETPIVOTDATA(" Old-Optometry",'Pivot Table for 1-11'!$A$3,"State","WV","SREB Type",4,"SREB Type2","Four-Year")</f>
        <v>0</v>
      </c>
      <c r="M184" s="8">
        <f>+GETPIVOTDATA(" Old-Osteopathic Medicine",'Pivot Table for 1-11'!$A$3,"State","WV","SREB Type",4,"SREB Type2","Four-Year")</f>
        <v>0</v>
      </c>
      <c r="N184" s="88">
        <f>+GETPIVOTDATA(" Old-Veterinary Medicine",'Pivot Table for 1-11'!$A$3,"State","WV","SREB Type",4,"SREB Type2","Four-Year")</f>
        <v>0</v>
      </c>
      <c r="O184" s="98"/>
      <c r="P184" s="82">
        <f t="shared" si="5"/>
        <v>0</v>
      </c>
    </row>
    <row r="185" spans="1:16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0"/>
      <c r="O185" s="80"/>
      <c r="P185" s="80"/>
    </row>
    <row r="186" spans="1:16" ht="27" customHeight="1" x14ac:dyDescent="0.2">
      <c r="A186" s="856" t="s">
        <v>409</v>
      </c>
      <c r="B186" s="857"/>
      <c r="C186" s="857"/>
      <c r="D186" s="857"/>
      <c r="E186" s="857"/>
      <c r="F186" s="857"/>
      <c r="G186" s="857"/>
      <c r="H186" s="857"/>
      <c r="I186" s="857"/>
      <c r="J186" s="857"/>
      <c r="K186" s="857"/>
      <c r="L186" s="857"/>
      <c r="M186" s="857"/>
      <c r="N186" s="857"/>
      <c r="O186" s="857"/>
      <c r="P186" s="857"/>
    </row>
    <row r="187" spans="1:16" x14ac:dyDescent="0.2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0"/>
      <c r="O187" s="80"/>
      <c r="P187" s="83" t="s">
        <v>1293</v>
      </c>
    </row>
    <row r="188" spans="1:16" ht="18" x14ac:dyDescent="0.25">
      <c r="A188" s="22" t="s">
        <v>213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8"/>
      <c r="O188" s="58"/>
      <c r="P188" s="58"/>
    </row>
    <row r="189" spans="1:1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7"/>
      <c r="O189" s="57"/>
      <c r="P189" s="57"/>
    </row>
    <row r="190" spans="1:16" ht="15.75" x14ac:dyDescent="0.25">
      <c r="A190" s="1" t="s">
        <v>181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8"/>
      <c r="O190" s="58"/>
      <c r="P190" s="58"/>
    </row>
    <row r="191" spans="1:16" ht="15.75" x14ac:dyDescent="0.25">
      <c r="A191" s="1" t="s">
        <v>484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8"/>
      <c r="O191" s="58"/>
      <c r="P191" s="58"/>
    </row>
    <row r="192" spans="1:16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59"/>
      <c r="O192" s="59"/>
      <c r="P192" s="59"/>
    </row>
    <row r="193" spans="1:16" ht="15.75" x14ac:dyDescent="0.25">
      <c r="A193" s="91"/>
      <c r="B193" s="91"/>
      <c r="C193" s="91"/>
      <c r="D193" s="91"/>
      <c r="E193" s="91"/>
      <c r="F193" s="91"/>
      <c r="G193" s="91"/>
      <c r="H193" s="95" t="s">
        <v>410</v>
      </c>
      <c r="I193" s="26"/>
      <c r="J193" s="26"/>
      <c r="K193" s="26"/>
      <c r="L193" s="26"/>
      <c r="M193" s="26"/>
      <c r="N193" s="92"/>
      <c r="O193" s="99"/>
      <c r="P193" s="94" t="s">
        <v>216</v>
      </c>
    </row>
    <row r="194" spans="1:16" ht="50.25" customHeight="1" x14ac:dyDescent="0.2">
      <c r="A194" s="14"/>
      <c r="B194" s="15" t="s">
        <v>244</v>
      </c>
      <c r="C194" s="15" t="s">
        <v>182</v>
      </c>
      <c r="D194" s="15" t="s">
        <v>175</v>
      </c>
      <c r="E194" s="15" t="s">
        <v>176</v>
      </c>
      <c r="F194" s="15" t="s">
        <v>183</v>
      </c>
      <c r="G194" s="15" t="s">
        <v>184</v>
      </c>
      <c r="H194" s="16" t="s">
        <v>185</v>
      </c>
      <c r="I194" s="15" t="s">
        <v>186</v>
      </c>
      <c r="J194" s="15" t="s">
        <v>187</v>
      </c>
      <c r="K194" s="15" t="s">
        <v>179</v>
      </c>
      <c r="L194" s="15" t="s">
        <v>188</v>
      </c>
      <c r="M194" s="15" t="s">
        <v>189</v>
      </c>
      <c r="N194" s="90" t="s">
        <v>411</v>
      </c>
      <c r="O194" s="96" t="s">
        <v>412</v>
      </c>
      <c r="P194" s="90" t="s">
        <v>190</v>
      </c>
    </row>
    <row r="195" spans="1:16" ht="15" customHeight="1" x14ac:dyDescent="0.2">
      <c r="A195" s="10" t="s">
        <v>191</v>
      </c>
      <c r="B195" s="6">
        <f>+GETPIVOTDATA(" Old-Less Than 2-Year",'Pivot Table for 1-11'!$A$3,"SREB Type",5,"SREB Type2","Four-Year")+GETPIVOTDATA(" Old-2 But Less Than 4-Year",'Pivot Table for 1-11'!$A$3,"SREB Type",5,"SREB Type2","Four-Year")</f>
        <v>474</v>
      </c>
      <c r="C195" s="6">
        <f>+GETPIVOTDATA(" Old-Associate's",'Pivot Table for 1-11'!$A$3,"SREB Type",5,"SREB Type2","Four-Year")</f>
        <v>766</v>
      </c>
      <c r="D195" s="6">
        <f>+GETPIVOTDATA(" Old-Bachelor's",'Pivot Table for 1-11'!$A$3,"SREB Type",5,"SREB Type2","Four-Year")</f>
        <v>18356</v>
      </c>
      <c r="E195" s="6">
        <f>+GETPIVOTDATA(" Old-Post-Bachelor's",'Pivot Table for 1-11'!$A$3,"SREB Type",5,"SREB Type2","Four-Year")</f>
        <v>25</v>
      </c>
      <c r="F195" s="6">
        <f>+GETPIVOTDATA(" Old-Total Master's#",'Pivot Table for 1-11'!$A$3,"SREB Type",5,"SREB Type2","Four-Year")</f>
        <v>4222</v>
      </c>
      <c r="G195" s="6">
        <f>+GETPIVOTDATA(" Old-Total Doctorates#",'Pivot Table for 1-11'!$A$3,"SREB Type",5,"SREB Type2","Four-Year")</f>
        <v>17</v>
      </c>
      <c r="H195" s="17">
        <f>+GETPIVOTDATA(" Old-Law",'Pivot Table for 1-11'!$A$3,"SREB Type",5,"SREB Type2","Four-Year")</f>
        <v>0</v>
      </c>
      <c r="I195" s="6">
        <f>+GETPIVOTDATA(" Old-Medicine",'Pivot Table for 1-11'!$A$3,"SREB Type",5,"SREB Type2","Four-Year")</f>
        <v>0</v>
      </c>
      <c r="J195" s="6">
        <f>+GETPIVOTDATA(" Old-Dentistry",'Pivot Table for 1-11'!$A$3,"SREB Type",5,"SREB Type2","Four-Year")</f>
        <v>0</v>
      </c>
      <c r="K195" s="6">
        <f>+GETPIVOTDATA(" Old-Pharmacy",'Pivot Table for 1-11'!$A$3,"SREB Type",5,"SREB Type2","Four-Year")</f>
        <v>80</v>
      </c>
      <c r="L195" s="6">
        <f>+GETPIVOTDATA(" Old-Optometry",'Pivot Table for 1-11'!$A$3,"SREB Type",5,"SREB Type2","Four-Year")</f>
        <v>0</v>
      </c>
      <c r="M195" s="6">
        <f>+GETPIVOTDATA(" Old-Osteopathic Medicine",'Pivot Table for 1-11'!$A$3,"SREB Type",5,"SREB Type2","Four-Year")</f>
        <v>0</v>
      </c>
      <c r="N195" s="80">
        <f>+GETPIVOTDATA(" Old-Veterinary Medicine",'Pivot Table for 1-11'!$A$3,"SREB Type",5,"SREB Type2","Four-Year")</f>
        <v>0</v>
      </c>
      <c r="O195" s="97">
        <f>+GETPIVOTDATA(" Old-Oth PP",'Pivot Table for 1-11'!$A$3,"SREB Type",5,"SREB Type2","Four-Year")</f>
        <v>14</v>
      </c>
      <c r="P195" s="81">
        <f>SUM(B195:O195)</f>
        <v>23954</v>
      </c>
    </row>
    <row r="196" spans="1:16" ht="15" customHeight="1" x14ac:dyDescent="0.2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0"/>
      <c r="O196" s="97"/>
      <c r="P196" s="81"/>
    </row>
    <row r="197" spans="1:16" ht="15" customHeight="1" x14ac:dyDescent="0.2">
      <c r="A197" s="5" t="s">
        <v>192</v>
      </c>
      <c r="B197" s="6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6">
        <f>+GETPIVOTDATA(" Old-Associate's",'Pivot Table for 1-11'!$A$3,"State","AL","SREB Type",5,"SREB Type2","Four-Year")</f>
        <v>63</v>
      </c>
      <c r="D197" s="6">
        <f>+GETPIVOTDATA(" Old-Bachelor's",'Pivot Table for 1-11'!$A$3,"State","AL","SREB Type",5,"SREB Type2","Four-Year")</f>
        <v>624</v>
      </c>
      <c r="E197" s="6">
        <f>+GETPIVOTDATA(" Old-Post-Bachelor's",'Pivot Table for 1-11'!$A$3,"State","AL","SREB Type",5,"SREB Type2","Four-Year")</f>
        <v>0</v>
      </c>
      <c r="F197" s="6">
        <f>+GETPIVOTDATA(" Old-Total Master's#",'Pivot Table for 1-11'!$A$3,"State","AL","SREB Type",5,"SREB Type2","Four-Year")</f>
        <v>1240</v>
      </c>
      <c r="G197" s="6">
        <f>+GETPIVOTDATA(" Old-Total Doctorates#",'Pivot Table for 1-11'!$A$3,"State","AL","SREB Type",5,"SREB Type2","Four-Year")</f>
        <v>0</v>
      </c>
      <c r="H197" s="17">
        <f>+GETPIVOTDATA(" Old-Law",'Pivot Table for 1-11'!$A$3,"State","AL","SREB Type",5,"SREB Type2","Four-Year")</f>
        <v>0</v>
      </c>
      <c r="I197" s="6">
        <f>+GETPIVOTDATA(" Old-Medicine",'Pivot Table for 1-11'!$A$3,"State","AL","SREB Type",5,"SREB Type2","Four-Year")</f>
        <v>0</v>
      </c>
      <c r="J197" s="6">
        <f>+GETPIVOTDATA(" Old-Dentistry",'Pivot Table for 1-11'!$A$3,"State","AL","SREB Type",5,"SREB Type2","Four-Year")</f>
        <v>0</v>
      </c>
      <c r="K197" s="6">
        <f>+GETPIVOTDATA(" Old-Pharmacy",'Pivot Table for 1-11'!$A$3,"State","AL","SREB Type",5,"SREB Type2","Four-Year")</f>
        <v>0</v>
      </c>
      <c r="L197" s="6">
        <f>+GETPIVOTDATA(" Old-Optometry",'Pivot Table for 1-11'!$A$3,"State","AL","SREB Type",5,"SREB Type2","Four-Year")</f>
        <v>0</v>
      </c>
      <c r="M197" s="6">
        <f>+GETPIVOTDATA(" Old-Osteopathic Medicine",'Pivot Table for 1-11'!$A$3,"State","AL","SREB Type",5,"SREB Type2","Four-Year")</f>
        <v>0</v>
      </c>
      <c r="N197" s="80">
        <f>+GETPIVOTDATA(" Old-Veterinary Medicine",'Pivot Table for 1-11'!$A$3,"State","AL","SREB Type",5,"SREB Type2","Four-Year")</f>
        <v>0</v>
      </c>
      <c r="O197" s="97">
        <f>+GETPIVOTDATA(" Old-Oth PP",'Pivot Table for 1-11'!$A$3,"State","AL","SREB Type",5,"SREB Type2","Four-Year")</f>
        <v>0</v>
      </c>
      <c r="P197" s="81">
        <f t="shared" ref="P197:P215" si="6">SUM(B197:O197)</f>
        <v>1927</v>
      </c>
    </row>
    <row r="198" spans="1:16" ht="15" customHeight="1" x14ac:dyDescent="0.2">
      <c r="A198" s="5" t="s">
        <v>193</v>
      </c>
      <c r="B198" s="6">
        <f>+GETPIVOTDATA(" Old-Less Than 2-Year",'Pivot Table for 1-11'!$A$3,"State","AR","SREB Type",5,"SREB Type2","Four-Year")+GETPIVOTDATA(" Old-2 But Less Than 4-Year",'Pivot Table for 1-11'!$A$3,"State","AR","SREB Type",5,"SREB Type2","Four-Year")</f>
        <v>405</v>
      </c>
      <c r="C198" s="6">
        <f>+GETPIVOTDATA(" Old-Associate's",'Pivot Table for 1-11'!$A$3,"State","AR","SREB Type",5,"SREB Type2","Four-Year")</f>
        <v>153</v>
      </c>
      <c r="D198" s="6">
        <f>+GETPIVOTDATA(" Old-Bachelor's",'Pivot Table for 1-11'!$A$3,"State","AR","SREB Type",5,"SREB Type2","Four-Year")</f>
        <v>309</v>
      </c>
      <c r="E198" s="6">
        <f>+GETPIVOTDATA(" Old-Post-Bachelor's",'Pivot Table for 1-11'!$A$3,"State","AR","SREB Type",5,"SREB Type2","Four-Year")</f>
        <v>0</v>
      </c>
      <c r="F198" s="6">
        <f>+GETPIVOTDATA(" Old-Total Master's#",'Pivot Table for 1-11'!$A$3,"State","AR","SREB Type",5,"SREB Type2","Four-Year")</f>
        <v>67</v>
      </c>
      <c r="G198" s="6">
        <f>+GETPIVOTDATA(" Old-Total Doctorates#",'Pivot Table for 1-11'!$A$3,"State","AR","SREB Type",5,"SREB Type2","Four-Year")</f>
        <v>0</v>
      </c>
      <c r="H198" s="17">
        <f>+GETPIVOTDATA(" Old-Law",'Pivot Table for 1-11'!$A$3,"State","AR","SREB Type",5,"SREB Type2","Four-Year")</f>
        <v>0</v>
      </c>
      <c r="I198" s="6">
        <f>+GETPIVOTDATA(" Old-Medicine",'Pivot Table for 1-11'!$A$3,"State","AR","SREB Type",5,"SREB Type2","Four-Year")</f>
        <v>0</v>
      </c>
      <c r="J198" s="6">
        <f>+GETPIVOTDATA(" Old-Dentistry",'Pivot Table for 1-11'!$A$3,"State","AR","SREB Type",5,"SREB Type2","Four-Year")</f>
        <v>0</v>
      </c>
      <c r="K198" s="6">
        <f>+GETPIVOTDATA(" Old-Pharmacy",'Pivot Table for 1-11'!$A$3,"State","AR","SREB Type",5,"SREB Type2","Four-Year")</f>
        <v>0</v>
      </c>
      <c r="L198" s="6">
        <f>+GETPIVOTDATA(" Old-Optometry",'Pivot Table for 1-11'!$A$3,"State","AR","SREB Type",5,"SREB Type2","Four-Year")</f>
        <v>0</v>
      </c>
      <c r="M198" s="6">
        <f>+GETPIVOTDATA(" Old-Osteopathic Medicine",'Pivot Table for 1-11'!$A$3,"State","AR","SREB Type",5,"SREB Type2","Four-Year")</f>
        <v>0</v>
      </c>
      <c r="N198" s="80">
        <f>+GETPIVOTDATA(" Old-Veterinary Medicine",'Pivot Table for 1-11'!$A$3,"State","AR","SREB Type",5,"SREB Type2","Four-Year")</f>
        <v>0</v>
      </c>
      <c r="O198" s="97">
        <f>+GETPIVOTDATA(" Old-Oth PP",'Pivot Table for 1-11'!$A$3,"State","AR","SREB Type",5,"SREB Type2","Four-Year")</f>
        <v>0</v>
      </c>
      <c r="P198" s="81">
        <f t="shared" si="6"/>
        <v>934</v>
      </c>
    </row>
    <row r="199" spans="1:16" ht="15" customHeight="1" x14ac:dyDescent="0.2">
      <c r="A199" s="5" t="s">
        <v>194</v>
      </c>
      <c r="B199" s="6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6">
        <f>+GETPIVOTDATA(" Old-Associate's",'Pivot Table for 1-11'!$A$3,"State","DE","SREB Type",5,"SREB Type2","Four-Year")</f>
        <v>0</v>
      </c>
      <c r="D199" s="6">
        <f>+GETPIVOTDATA(" Old-Bachelor's",'Pivot Table for 1-11'!$A$3,"State","DE","SREB Type",5,"SREB Type2","Four-Year")</f>
        <v>0</v>
      </c>
      <c r="E199" s="6">
        <f>+GETPIVOTDATA(" Old-Post-Bachelor's",'Pivot Table for 1-11'!$A$3,"State","DE","SREB Type",5,"SREB Type2","Four-Year")</f>
        <v>0</v>
      </c>
      <c r="F199" s="6">
        <f>+GETPIVOTDATA(" Old-Total Master's#",'Pivot Table for 1-11'!$A$3,"State","DE","SREB Type",5,"SREB Type2","Four-Year")</f>
        <v>0</v>
      </c>
      <c r="G199" s="6">
        <f>+GETPIVOTDATA(" Old-Total Doctorates#",'Pivot Table for 1-11'!$A$3,"State","DE","SREB Type",5,"SREB Type2","Four-Year")</f>
        <v>0</v>
      </c>
      <c r="H199" s="17">
        <f>+GETPIVOTDATA(" Old-Law",'Pivot Table for 1-11'!$A$3,"State","DE","SREB Type",5,"SREB Type2","Four-Year")</f>
        <v>0</v>
      </c>
      <c r="I199" s="6">
        <f>+GETPIVOTDATA(" Old-Medicine",'Pivot Table for 1-11'!$A$3,"State","DE","SREB Type",5,"SREB Type2","Four-Year")</f>
        <v>0</v>
      </c>
      <c r="J199" s="6">
        <f>+GETPIVOTDATA(" Old-Dentistry",'Pivot Table for 1-11'!$A$3,"State","DE","SREB Type",5,"SREB Type2","Four-Year")</f>
        <v>0</v>
      </c>
      <c r="K199" s="6">
        <f>+GETPIVOTDATA(" Old-Pharmacy",'Pivot Table for 1-11'!$A$3,"State","DE","SREB Type",5,"SREB Type2","Four-Year")</f>
        <v>0</v>
      </c>
      <c r="L199" s="6">
        <f>+GETPIVOTDATA(" Old-Optometry",'Pivot Table for 1-11'!$A$3,"State","DE","SREB Type",5,"SREB Type2","Four-Year")</f>
        <v>0</v>
      </c>
      <c r="M199" s="6">
        <f>+GETPIVOTDATA(" Old-Osteopathic Medicine",'Pivot Table for 1-11'!$A$3,"State","DE","SREB Type",5,"SREB Type2","Four-Year")</f>
        <v>0</v>
      </c>
      <c r="N199" s="80">
        <f>+GETPIVOTDATA(" Old-Veterinary Medicine",'Pivot Table for 1-11'!$A$3,"State","DE","SREB Type",5,"SREB Type2","Four-Year")</f>
        <v>0</v>
      </c>
      <c r="O199" s="97">
        <f>+GETPIVOTDATA(" Old-Oth PP",'Pivot Table for 1-11'!$A$3,"State","DE","SREB Type",5,"SREB Type2","Four-Year")</f>
        <v>0</v>
      </c>
      <c r="P199" s="81">
        <f t="shared" si="6"/>
        <v>0</v>
      </c>
    </row>
    <row r="200" spans="1:16" ht="15" customHeight="1" x14ac:dyDescent="0.2">
      <c r="A200" s="5" t="s">
        <v>195</v>
      </c>
      <c r="B200" s="6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6">
        <f>+GETPIVOTDATA(" Old-Associate's",'Pivot Table for 1-11'!$A$3,"State","FL","SREB Type",5,"SREB Type2","Four-Year")</f>
        <v>0</v>
      </c>
      <c r="D200" s="6">
        <f>+GETPIVOTDATA(" Old-Bachelor's",'Pivot Table for 1-11'!$A$3,"State","FL","SREB Type",5,"SREB Type2","Four-Year")</f>
        <v>0</v>
      </c>
      <c r="E200" s="6">
        <f>+GETPIVOTDATA(" Old-Post-Bachelor's",'Pivot Table for 1-11'!$A$3,"State","FL","SREB Type",5,"SREB Type2","Four-Year")</f>
        <v>0</v>
      </c>
      <c r="F200" s="6">
        <f>+GETPIVOTDATA(" Old-Total Master's#",'Pivot Table for 1-11'!$A$3,"State","FL","SREB Type",5,"SREB Type2","Four-Year")</f>
        <v>0</v>
      </c>
      <c r="G200" s="6">
        <f>+GETPIVOTDATA(" Old-Total Doctorates#",'Pivot Table for 1-11'!$A$3,"State","FL","SREB Type",5,"SREB Type2","Four-Year")</f>
        <v>0</v>
      </c>
      <c r="H200" s="17">
        <f>+GETPIVOTDATA(" Old-Law",'Pivot Table for 1-11'!$A$3,"State","FL","SREB Type",5,"SREB Type2","Four-Year")</f>
        <v>0</v>
      </c>
      <c r="I200" s="6">
        <f>+GETPIVOTDATA(" Old-Medicine",'Pivot Table for 1-11'!$A$3,"State","FL","SREB Type",5,"SREB Type2","Four-Year")</f>
        <v>0</v>
      </c>
      <c r="J200" s="6">
        <f>+GETPIVOTDATA(" Old-Dentistry",'Pivot Table for 1-11'!$A$3,"State","FL","SREB Type",5,"SREB Type2","Four-Year")</f>
        <v>0</v>
      </c>
      <c r="K200" s="6">
        <f>+GETPIVOTDATA(" Old-Pharmacy",'Pivot Table for 1-11'!$A$3,"State","FL","SREB Type",5,"SREB Type2","Four-Year")</f>
        <v>0</v>
      </c>
      <c r="L200" s="6">
        <f>+GETPIVOTDATA(" Old-Optometry",'Pivot Table for 1-11'!$A$3,"State","FL","SREB Type",5,"SREB Type2","Four-Year")</f>
        <v>0</v>
      </c>
      <c r="M200" s="6">
        <f>+GETPIVOTDATA(" Old-Osteopathic Medicine",'Pivot Table for 1-11'!$A$3,"State","FL","SREB Type",5,"SREB Type2","Four-Year")</f>
        <v>0</v>
      </c>
      <c r="N200" s="80">
        <f>+GETPIVOTDATA(" Old-Veterinary Medicine",'Pivot Table for 1-11'!$A$3,"State","FL","SREB Type",5,"SREB Type2","Four-Year")</f>
        <v>0</v>
      </c>
      <c r="O200" s="97">
        <f>+GETPIVOTDATA(" Old-Oth PP",'Pivot Table for 1-11'!$A$3,"State","FL","SREB Type",5,"SREB Type2","Four-Year")</f>
        <v>0</v>
      </c>
      <c r="P200" s="81">
        <f t="shared" si="6"/>
        <v>0</v>
      </c>
    </row>
    <row r="201" spans="1:16" ht="15" customHeight="1" x14ac:dyDescent="0.2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0"/>
      <c r="O201" s="97"/>
      <c r="P201" s="81">
        <f t="shared" si="6"/>
        <v>0</v>
      </c>
    </row>
    <row r="202" spans="1:16" ht="15" customHeight="1" x14ac:dyDescent="0.2">
      <c r="A202" s="5" t="s">
        <v>196</v>
      </c>
      <c r="B202" s="6">
        <f>+GETPIVOTDATA(" Old-Less Than 2-Year",'Pivot Table for 1-11'!$A$3,"State","GA","SREB Type",5,"SREB Type2","Four-Year")+GETPIVOTDATA(" Old-2 But Less Than 4-Year",'Pivot Table for 1-11'!$A$3,"State","GA","SREB Type",5,"SREB Type2","Four-Year")</f>
        <v>57</v>
      </c>
      <c r="C202" s="6">
        <f>+GETPIVOTDATA(" Old-Associate's",'Pivot Table for 1-11'!$A$3,"State","GA","SREB Type",5,"SREB Type2","Four-Year")</f>
        <v>84</v>
      </c>
      <c r="D202" s="6">
        <f>+GETPIVOTDATA(" Old-Bachelor's",'Pivot Table for 1-11'!$A$3,"State","GA","SREB Type",5,"SREB Type2","Four-Year")</f>
        <v>2148</v>
      </c>
      <c r="E202" s="6">
        <f>+GETPIVOTDATA(" Old-Post-Bachelor's",'Pivot Table for 1-11'!$A$3,"State","GA","SREB Type",5,"SREB Type2","Four-Year")</f>
        <v>0</v>
      </c>
      <c r="F202" s="6">
        <f>+GETPIVOTDATA(" Old-Total Master's#",'Pivot Table for 1-11'!$A$3,"State","GA","SREB Type",5,"SREB Type2","Four-Year")</f>
        <v>358</v>
      </c>
      <c r="G202" s="6">
        <f>+GETPIVOTDATA(" Old-Total Doctorates#",'Pivot Table for 1-11'!$A$3,"State","GA","SREB Type",5,"SREB Type2","Four-Year")</f>
        <v>0</v>
      </c>
      <c r="H202" s="17">
        <f>+GETPIVOTDATA(" Old-Law",'Pivot Table for 1-11'!$A$3,"State","GA","SREB Type",5,"SREB Type2","Four-Year")</f>
        <v>0</v>
      </c>
      <c r="I202" s="6">
        <f>+GETPIVOTDATA(" Old-Medicine",'Pivot Table for 1-11'!$A$3,"State","GA","SREB Type",5,"SREB Type2","Four-Year")</f>
        <v>0</v>
      </c>
      <c r="J202" s="6">
        <f>+GETPIVOTDATA(" Old-Dentistry",'Pivot Table for 1-11'!$A$3,"State","GA","SREB Type",5,"SREB Type2","Four-Year")</f>
        <v>0</v>
      </c>
      <c r="K202" s="6">
        <f>+GETPIVOTDATA(" Old-Pharmacy",'Pivot Table for 1-11'!$A$3,"State","GA","SREB Type",5,"SREB Type2","Four-Year")</f>
        <v>0</v>
      </c>
      <c r="L202" s="6">
        <f>+GETPIVOTDATA(" Old-Optometry",'Pivot Table for 1-11'!$A$3,"State","GA","SREB Type",5,"SREB Type2","Four-Year")</f>
        <v>0</v>
      </c>
      <c r="M202" s="6">
        <f>+GETPIVOTDATA(" Old-Osteopathic Medicine",'Pivot Table for 1-11'!$A$3,"State","GA","SREB Type",5,"SREB Type2","Four-Year")</f>
        <v>0</v>
      </c>
      <c r="N202" s="80">
        <f>+GETPIVOTDATA(" Old-Veterinary Medicine",'Pivot Table for 1-11'!$A$3,"State","GA","SREB Type",5,"SREB Type2","Four-Year")</f>
        <v>0</v>
      </c>
      <c r="O202" s="97">
        <f>+GETPIVOTDATA(" Old-Oth PP",'Pivot Table for 1-11'!$A$3,"State","GA","SREB Type",5,"SREB Type2","Four-Year")</f>
        <v>0</v>
      </c>
      <c r="P202" s="81">
        <f t="shared" si="6"/>
        <v>2647</v>
      </c>
    </row>
    <row r="203" spans="1:16" ht="15" customHeight="1" x14ac:dyDescent="0.2">
      <c r="A203" s="5" t="s">
        <v>197</v>
      </c>
      <c r="B203" s="6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6">
        <f>+GETPIVOTDATA(" Old-Associate's",'Pivot Table for 1-11'!$A$3,"State","KY","SREB Type",5,"SREB Type2","Four-Year")</f>
        <v>0</v>
      </c>
      <c r="D203" s="6">
        <f>+GETPIVOTDATA(" Old-Bachelor's",'Pivot Table for 1-11'!$A$3,"State","KY","SREB Type",5,"SREB Type2","Four-Year")</f>
        <v>0</v>
      </c>
      <c r="E203" s="6">
        <f>+GETPIVOTDATA(" Old-Post-Bachelor's",'Pivot Table for 1-11'!$A$3,"State","KY","SREB Type",5,"SREB Type2","Four-Year")</f>
        <v>0</v>
      </c>
      <c r="F203" s="6">
        <f>+GETPIVOTDATA(" Old-Total Master's#",'Pivot Table for 1-11'!$A$3,"State","KY","SREB Type",5,"SREB Type2","Four-Year")</f>
        <v>0</v>
      </c>
      <c r="G203" s="6">
        <f>+GETPIVOTDATA(" Old-Total Doctorates#",'Pivot Table for 1-11'!$A$3,"State","KY","SREB Type",5,"SREB Type2","Four-Year")</f>
        <v>0</v>
      </c>
      <c r="H203" s="17">
        <f>+GETPIVOTDATA(" Old-Law",'Pivot Table for 1-11'!$A$3,"State","KY","SREB Type",5,"SREB Type2","Four-Year")</f>
        <v>0</v>
      </c>
      <c r="I203" s="6">
        <f>+GETPIVOTDATA(" Old-Medicine",'Pivot Table for 1-11'!$A$3,"State","KY","SREB Type",5,"SREB Type2","Four-Year")</f>
        <v>0</v>
      </c>
      <c r="J203" s="6">
        <f>+GETPIVOTDATA(" Old-Dentistry",'Pivot Table for 1-11'!$A$3,"State","KY","SREB Type",5,"SREB Type2","Four-Year")</f>
        <v>0</v>
      </c>
      <c r="K203" s="6">
        <f>+GETPIVOTDATA(" Old-Pharmacy",'Pivot Table for 1-11'!$A$3,"State","KY","SREB Type",5,"SREB Type2","Four-Year")</f>
        <v>0</v>
      </c>
      <c r="L203" s="6">
        <f>+GETPIVOTDATA(" Old-Optometry",'Pivot Table for 1-11'!$A$3,"State","KY","SREB Type",5,"SREB Type2","Four-Year")</f>
        <v>0</v>
      </c>
      <c r="M203" s="6">
        <f>+GETPIVOTDATA(" Old-Osteopathic Medicine",'Pivot Table for 1-11'!$A$3,"State","KY","SREB Type",5,"SREB Type2","Four-Year")</f>
        <v>0</v>
      </c>
      <c r="N203" s="80">
        <f>+GETPIVOTDATA(" Old-Veterinary Medicine",'Pivot Table for 1-11'!$A$3,"State","KY","SREB Type",5,"SREB Type2","Four-Year")</f>
        <v>0</v>
      </c>
      <c r="O203" s="97">
        <f>+GETPIVOTDATA(" Old-Oth PP",'Pivot Table for 1-11'!$A$3,"State","KY","SREB Type",5,"SREB Type2","Four-Year")</f>
        <v>0</v>
      </c>
      <c r="P203" s="81">
        <f t="shared" si="6"/>
        <v>0</v>
      </c>
    </row>
    <row r="204" spans="1:16" ht="15" customHeight="1" x14ac:dyDescent="0.2">
      <c r="A204" s="5" t="s">
        <v>198</v>
      </c>
      <c r="B204" s="6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6">
        <f>+GETPIVOTDATA(" Old-Associate's",'Pivot Table for 1-11'!$A$3,"State","LA","SREB Type",5,"SREB Type2","Four-Year")</f>
        <v>0</v>
      </c>
      <c r="D204" s="6">
        <f>+GETPIVOTDATA(" Old-Bachelor's",'Pivot Table for 1-11'!$A$3,"State","LA","SREB Type",5,"SREB Type2","Four-Year")</f>
        <v>0</v>
      </c>
      <c r="E204" s="6">
        <f>+GETPIVOTDATA(" Old-Post-Bachelor's",'Pivot Table for 1-11'!$A$3,"State","LA","SREB Type",5,"SREB Type2","Four-Year")</f>
        <v>0</v>
      </c>
      <c r="F204" s="6">
        <f>+GETPIVOTDATA(" Old-Total Master's#",'Pivot Table for 1-11'!$A$3,"State","LA","SREB Type",5,"SREB Type2","Four-Year")</f>
        <v>0</v>
      </c>
      <c r="G204" s="6">
        <f>+GETPIVOTDATA(" Old-Total Doctorates#",'Pivot Table for 1-11'!$A$3,"State","LA","SREB Type",5,"SREB Type2","Four-Year")</f>
        <v>0</v>
      </c>
      <c r="H204" s="17">
        <f>+GETPIVOTDATA(" Old-Law",'Pivot Table for 1-11'!$A$3,"State","LA","SREB Type",5,"SREB Type2","Four-Year")</f>
        <v>0</v>
      </c>
      <c r="I204" s="6">
        <f>+GETPIVOTDATA(" Old-Medicine",'Pivot Table for 1-11'!$A$3,"State","LA","SREB Type",5,"SREB Type2","Four-Year")</f>
        <v>0</v>
      </c>
      <c r="J204" s="6">
        <f>+GETPIVOTDATA(" Old-Dentistry",'Pivot Table for 1-11'!$A$3,"State","LA","SREB Type",5,"SREB Type2","Four-Year")</f>
        <v>0</v>
      </c>
      <c r="K204" s="6">
        <f>+GETPIVOTDATA(" Old-Pharmacy",'Pivot Table for 1-11'!$A$3,"State","LA","SREB Type",5,"SREB Type2","Four-Year")</f>
        <v>0</v>
      </c>
      <c r="L204" s="6">
        <f>+GETPIVOTDATA(" Old-Optometry",'Pivot Table for 1-11'!$A$3,"State","LA","SREB Type",5,"SREB Type2","Four-Year")</f>
        <v>0</v>
      </c>
      <c r="M204" s="6">
        <f>+GETPIVOTDATA(" Old-Osteopathic Medicine",'Pivot Table for 1-11'!$A$3,"State","LA","SREB Type",5,"SREB Type2","Four-Year")</f>
        <v>0</v>
      </c>
      <c r="N204" s="80">
        <f>+GETPIVOTDATA(" Old-Veterinary Medicine",'Pivot Table for 1-11'!$A$3,"State","LA","SREB Type",5,"SREB Type2","Four-Year")</f>
        <v>0</v>
      </c>
      <c r="O204" s="97">
        <f>+GETPIVOTDATA(" Old-Oth PP",'Pivot Table for 1-11'!$A$3,"State","LA","SREB Type",5,"SREB Type2","Four-Year")</f>
        <v>0</v>
      </c>
      <c r="P204" s="81">
        <f t="shared" si="6"/>
        <v>0</v>
      </c>
    </row>
    <row r="205" spans="1:16" ht="15" customHeight="1" x14ac:dyDescent="0.2">
      <c r="A205" s="5" t="s">
        <v>199</v>
      </c>
      <c r="B205" s="6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6">
        <f>+GETPIVOTDATA(" Old-Associate's",'Pivot Table for 1-11'!$A$3,"State","MD","SREB Type",5,"SREB Type2","Four-Year")</f>
        <v>0</v>
      </c>
      <c r="D205" s="6">
        <f>+GETPIVOTDATA(" Old-Bachelor's",'Pivot Table for 1-11'!$A$3,"State","MD","SREB Type",5,"SREB Type2","Four-Year")</f>
        <v>379</v>
      </c>
      <c r="E205" s="6">
        <f>+GETPIVOTDATA(" Old-Post-Bachelor's",'Pivot Table for 1-11'!$A$3,"State","MD","SREB Type",5,"SREB Type2","Four-Year")</f>
        <v>1</v>
      </c>
      <c r="F205" s="6">
        <f>+GETPIVOTDATA(" Old-Total Master's#",'Pivot Table for 1-11'!$A$3,"State","MD","SREB Type",5,"SREB Type2","Four-Year")</f>
        <v>77</v>
      </c>
      <c r="G205" s="6">
        <f>+GETPIVOTDATA(" Old-Total Doctorates#",'Pivot Table for 1-11'!$A$3,"State","MD","SREB Type",5,"SREB Type2","Four-Year")</f>
        <v>0</v>
      </c>
      <c r="H205" s="17">
        <f>+GETPIVOTDATA(" Old-Law",'Pivot Table for 1-11'!$A$3,"State","MD","SREB Type",5,"SREB Type2","Four-Year")</f>
        <v>0</v>
      </c>
      <c r="I205" s="6">
        <f>+GETPIVOTDATA(" Old-Medicine",'Pivot Table for 1-11'!$A$3,"State","MD","SREB Type",5,"SREB Type2","Four-Year")</f>
        <v>0</v>
      </c>
      <c r="J205" s="6">
        <f>+GETPIVOTDATA(" Old-Dentistry",'Pivot Table for 1-11'!$A$3,"State","MD","SREB Type",5,"SREB Type2","Four-Year")</f>
        <v>0</v>
      </c>
      <c r="K205" s="6">
        <f>+GETPIVOTDATA(" Old-Pharmacy",'Pivot Table for 1-11'!$A$3,"State","MD","SREB Type",5,"SREB Type2","Four-Year")</f>
        <v>0</v>
      </c>
      <c r="L205" s="6">
        <f>+GETPIVOTDATA(" Old-Optometry",'Pivot Table for 1-11'!$A$3,"State","MD","SREB Type",5,"SREB Type2","Four-Year")</f>
        <v>0</v>
      </c>
      <c r="M205" s="6">
        <f>+GETPIVOTDATA(" Old-Osteopathic Medicine",'Pivot Table for 1-11'!$A$3,"State","MD","SREB Type",5,"SREB Type2","Four-Year")</f>
        <v>0</v>
      </c>
      <c r="N205" s="80">
        <f>+GETPIVOTDATA(" Old-Veterinary Medicine",'Pivot Table for 1-11'!$A$3,"State","MD","SREB Type",5,"SREB Type2","Four-Year")</f>
        <v>0</v>
      </c>
      <c r="O205" s="97">
        <f>+GETPIVOTDATA(" Old-Oth PP",'Pivot Table for 1-11'!$A$3,"State","MD","SREB Type",5,"SREB Type2","Four-Year")</f>
        <v>0</v>
      </c>
      <c r="P205" s="81">
        <f t="shared" si="6"/>
        <v>457</v>
      </c>
    </row>
    <row r="206" spans="1:16" ht="15" customHeight="1" x14ac:dyDescent="0.2">
      <c r="A206" s="5"/>
      <c r="B206" s="6">
        <f>+GETPIVOTDATA(" Old-Less Than 2-Year",'Pivot Table for 1-11'!$A$3,"State","AR","SREB Type",5,"SREB Type2","Four-Year")+GETPIVOTDATA(" Old-2 But Less Than 4-Year",'Pivot Table for 1-11'!$A$3,"State","AR","SREB Type",5,"SREB Type2","Four-Year")</f>
        <v>405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0"/>
      <c r="O206" s="97"/>
      <c r="P206" s="81">
        <f t="shared" si="6"/>
        <v>405</v>
      </c>
    </row>
    <row r="207" spans="1:16" ht="15" customHeight="1" x14ac:dyDescent="0.2">
      <c r="A207" s="5" t="s">
        <v>200</v>
      </c>
      <c r="B207" s="6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6">
        <f>+GETPIVOTDATA(" Old-Associate's",'Pivot Table for 1-11'!$A$3,"State","MS","SREB Type",5,"SREB Type2","Four-Year")</f>
        <v>54</v>
      </c>
      <c r="D207" s="6">
        <f>+GETPIVOTDATA(" Old-Bachelor's",'Pivot Table for 1-11'!$A$3,"State","MS","SREB Type",5,"SREB Type2","Four-Year")</f>
        <v>460</v>
      </c>
      <c r="E207" s="6">
        <f>+GETPIVOTDATA(" Old-Post-Bachelor's",'Pivot Table for 1-11'!$A$3,"State","MS","SREB Type",5,"SREB Type2","Four-Year")</f>
        <v>0</v>
      </c>
      <c r="F207" s="6">
        <f>+GETPIVOTDATA(" Old-Total Master's#",'Pivot Table for 1-11'!$A$3,"State","MS","SREB Type",5,"SREB Type2","Four-Year")</f>
        <v>93</v>
      </c>
      <c r="G207" s="6">
        <f>+GETPIVOTDATA(" Old-Total Doctorates#",'Pivot Table for 1-11'!$A$3,"State","MS","SREB Type",5,"SREB Type2","Four-Year")</f>
        <v>0</v>
      </c>
      <c r="H207" s="17">
        <f>+GETPIVOTDATA(" Old-Law",'Pivot Table for 1-11'!$A$3,"State","MS","SREB Type",5,"SREB Type2","Four-Year")</f>
        <v>0</v>
      </c>
      <c r="I207" s="6">
        <f>+GETPIVOTDATA(" Old-Medicine",'Pivot Table for 1-11'!$A$3,"State","MS","SREB Type",5,"SREB Type2","Four-Year")</f>
        <v>0</v>
      </c>
      <c r="J207" s="6">
        <f>+GETPIVOTDATA(" Old-Dentistry",'Pivot Table for 1-11'!$A$3,"State","MS","SREB Type",5,"SREB Type2","Four-Year")</f>
        <v>0</v>
      </c>
      <c r="K207" s="6">
        <f>+GETPIVOTDATA(" Old-Pharmacy",'Pivot Table for 1-11'!$A$3,"State","MS","SREB Type",5,"SREB Type2","Four-Year")</f>
        <v>0</v>
      </c>
      <c r="L207" s="6">
        <f>+GETPIVOTDATA(" Old-Optometry",'Pivot Table for 1-11'!$A$3,"State","MS","SREB Type",5,"SREB Type2","Four-Year")</f>
        <v>0</v>
      </c>
      <c r="M207" s="6">
        <f>+GETPIVOTDATA(" Old-Osteopathic Medicine",'Pivot Table for 1-11'!$A$3,"State","MS","SREB Type",5,"SREB Type2","Four-Year")</f>
        <v>0</v>
      </c>
      <c r="N207" s="80">
        <f>+GETPIVOTDATA(" Old-Veterinary Medicine",'Pivot Table for 1-11'!$A$3,"State","MS","SREB Type",5,"SREB Type2","Four-Year")</f>
        <v>0</v>
      </c>
      <c r="O207" s="97">
        <f>+GETPIVOTDATA(" Old-Oth PP",'Pivot Table for 1-11'!$A$3,"State","MS","SREB Type",5,"SREB Type2","Four-Year")</f>
        <v>0</v>
      </c>
      <c r="P207" s="81">
        <f t="shared" si="6"/>
        <v>607</v>
      </c>
    </row>
    <row r="208" spans="1:16" ht="15" customHeight="1" x14ac:dyDescent="0.2">
      <c r="A208" s="5" t="s">
        <v>201</v>
      </c>
      <c r="B208" s="6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6">
        <f>+GETPIVOTDATA(" Old-Associate's",'Pivot Table for 1-11'!$A$3,"State","NC","SREB Type",5,"SREB Type2","Four-Year")</f>
        <v>0</v>
      </c>
      <c r="D208" s="6">
        <f>+GETPIVOTDATA(" Old-Bachelor's",'Pivot Table for 1-11'!$A$3,"State","NC","SREB Type",5,"SREB Type2","Four-Year")</f>
        <v>2070</v>
      </c>
      <c r="E208" s="6">
        <f>+GETPIVOTDATA(" Old-Post-Bachelor's",'Pivot Table for 1-11'!$A$3,"State","NC","SREB Type",5,"SREB Type2","Four-Year")</f>
        <v>0</v>
      </c>
      <c r="F208" s="6">
        <f>+GETPIVOTDATA(" Old-Total Master's#",'Pivot Table for 1-11'!$A$3,"State","NC","SREB Type",5,"SREB Type2","Four-Year")</f>
        <v>401</v>
      </c>
      <c r="G208" s="6">
        <f>+GETPIVOTDATA(" Old-Total Doctorates#",'Pivot Table for 1-11'!$A$3,"State","NC","SREB Type",5,"SREB Type2","Four-Year")</f>
        <v>0</v>
      </c>
      <c r="H208" s="17">
        <f>+GETPIVOTDATA(" Old-Law",'Pivot Table for 1-11'!$A$3,"State","NC","SREB Type",5,"SREB Type2","Four-Year")</f>
        <v>0</v>
      </c>
      <c r="I208" s="6">
        <f>+GETPIVOTDATA(" Old-Medicine",'Pivot Table for 1-11'!$A$3,"State","NC","SREB Type",5,"SREB Type2","Four-Year")</f>
        <v>0</v>
      </c>
      <c r="J208" s="6">
        <f>+GETPIVOTDATA(" Old-Dentistry",'Pivot Table for 1-11'!$A$3,"State","NC","SREB Type",5,"SREB Type2","Four-Year")</f>
        <v>0</v>
      </c>
      <c r="K208" s="6">
        <f>+GETPIVOTDATA(" Old-Pharmacy",'Pivot Table for 1-11'!$A$3,"State","NC","SREB Type",5,"SREB Type2","Four-Year")</f>
        <v>0</v>
      </c>
      <c r="L208" s="6">
        <f>+GETPIVOTDATA(" Old-Optometry",'Pivot Table for 1-11'!$A$3,"State","NC","SREB Type",5,"SREB Type2","Four-Year")</f>
        <v>0</v>
      </c>
      <c r="M208" s="6">
        <f>+GETPIVOTDATA(" Old-Osteopathic Medicine",'Pivot Table for 1-11'!$A$3,"State","NC","SREB Type",5,"SREB Type2","Four-Year")</f>
        <v>0</v>
      </c>
      <c r="N208" s="80">
        <f>+GETPIVOTDATA(" Old-Veterinary Medicine",'Pivot Table for 1-11'!$A$3,"State","NC","SREB Type",5,"SREB Type2","Four-Year")</f>
        <v>0</v>
      </c>
      <c r="O208" s="97">
        <f>+GETPIVOTDATA(" Old-Oth PP",'Pivot Table for 1-11'!$A$3,"State","NC","SREB Type",5,"SREB Type2","Four-Year")</f>
        <v>0</v>
      </c>
      <c r="P208" s="81">
        <f t="shared" si="6"/>
        <v>2471</v>
      </c>
    </row>
    <row r="209" spans="1:16" ht="15" customHeight="1" x14ac:dyDescent="0.2">
      <c r="A209" s="5" t="s">
        <v>202</v>
      </c>
      <c r="B209" s="6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6">
        <f>+GETPIVOTDATA(" Old-Associate's",'Pivot Table for 1-11'!$A$3,"State","OK","SREB Type",5,"SREB Type2","Four-Year")</f>
        <v>299</v>
      </c>
      <c r="D209" s="6">
        <f>+GETPIVOTDATA(" Old-Bachelor's",'Pivot Table for 1-11'!$A$3,"State","OK","SREB Type",5,"SREB Type2","Four-Year")</f>
        <v>2381</v>
      </c>
      <c r="E209" s="6">
        <f>+GETPIVOTDATA(" Old-Post-Bachelor's",'Pivot Table for 1-11'!$A$3,"State","OK","SREB Type",5,"SREB Type2","Four-Year")</f>
        <v>0</v>
      </c>
      <c r="F209" s="6">
        <f>+GETPIVOTDATA(" Old-Total Master's#",'Pivot Table for 1-11'!$A$3,"State","OK","SREB Type",5,"SREB Type2","Four-Year")</f>
        <v>769</v>
      </c>
      <c r="G209" s="6">
        <f>+GETPIVOTDATA(" Old-Total Doctorates#",'Pivot Table for 1-11'!$A$3,"State","OK","SREB Type",5,"SREB Type2","Four-Year")</f>
        <v>0</v>
      </c>
      <c r="H209" s="17">
        <f>+GETPIVOTDATA(" Old-Law",'Pivot Table for 1-11'!$A$3,"State","OK","SREB Type",5,"SREB Type2","Four-Year")</f>
        <v>0</v>
      </c>
      <c r="I209" s="6">
        <f>+GETPIVOTDATA(" Old-Medicine",'Pivot Table for 1-11'!$A$3,"State","OK","SREB Type",5,"SREB Type2","Four-Year")</f>
        <v>0</v>
      </c>
      <c r="J209" s="6">
        <f>+GETPIVOTDATA(" Old-Dentistry",'Pivot Table for 1-11'!$A$3,"State","OK","SREB Type",5,"SREB Type2","Four-Year")</f>
        <v>0</v>
      </c>
      <c r="K209" s="6">
        <f>+GETPIVOTDATA(" Old-Pharmacy",'Pivot Table for 1-11'!$A$3,"State","OK","SREB Type",5,"SREB Type2","Four-Year")</f>
        <v>80</v>
      </c>
      <c r="L209" s="6">
        <f>+GETPIVOTDATA(" Old-Optometry",'Pivot Table for 1-11'!$A$3,"State","OK","SREB Type",5,"SREB Type2","Four-Year")</f>
        <v>0</v>
      </c>
      <c r="M209" s="6">
        <f>+GETPIVOTDATA(" Old-Osteopathic Medicine",'Pivot Table for 1-11'!$A$3,"State","OK","SREB Type",5,"SREB Type2","Four-Year")</f>
        <v>0</v>
      </c>
      <c r="N209" s="80">
        <f>+GETPIVOTDATA(" Old-Veterinary Medicine",'Pivot Table for 1-11'!$A$3,"State","OK","SREB Type",5,"SREB Type2","Four-Year")</f>
        <v>0</v>
      </c>
      <c r="O209" s="97">
        <f>+GETPIVOTDATA(" Old-Oth PP",'Pivot Table for 1-11'!$A$3,"State","OK","SREB Type",5,"SREB Type2","Four-Year")</f>
        <v>14</v>
      </c>
      <c r="P209" s="81">
        <f t="shared" si="6"/>
        <v>3543</v>
      </c>
    </row>
    <row r="210" spans="1:16" ht="15" customHeight="1" x14ac:dyDescent="0.2">
      <c r="A210" s="5" t="s">
        <v>203</v>
      </c>
      <c r="B210" s="6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6">
        <f>+GETPIVOTDATA(" Old-Associate's",'Pivot Table for 1-11'!$A$3,"State","SC","SREB Type",5,"SREB Type2","Four-Year")</f>
        <v>0</v>
      </c>
      <c r="D210" s="6">
        <f>+GETPIVOTDATA(" Old-Bachelor's",'Pivot Table for 1-11'!$A$3,"State","SC","SREB Type",5,"SREB Type2","Four-Year")</f>
        <v>2480</v>
      </c>
      <c r="E210" s="6">
        <f>+GETPIVOTDATA(" Old-Post-Bachelor's",'Pivot Table for 1-11'!$A$3,"State","SC","SREB Type",5,"SREB Type2","Four-Year")</f>
        <v>0</v>
      </c>
      <c r="F210" s="6">
        <f>+GETPIVOTDATA(" Old-Total Master's#",'Pivot Table for 1-11'!$A$3,"State","SC","SREB Type",5,"SREB Type2","Four-Year")</f>
        <v>348</v>
      </c>
      <c r="G210" s="6">
        <f>+GETPIVOTDATA(" Old-Total Doctorates#",'Pivot Table for 1-11'!$A$3,"State","SC","SREB Type",5,"SREB Type2","Four-Year")</f>
        <v>17</v>
      </c>
      <c r="H210" s="17">
        <f>+GETPIVOTDATA(" Old-Law",'Pivot Table for 1-11'!$A$3,"State","SC","SREB Type",5,"SREB Type2","Four-Year")</f>
        <v>0</v>
      </c>
      <c r="I210" s="6">
        <f>+GETPIVOTDATA(" Old-Medicine",'Pivot Table for 1-11'!$A$3,"State","SC","SREB Type",5,"SREB Type2","Four-Year")</f>
        <v>0</v>
      </c>
      <c r="J210" s="6">
        <f>+GETPIVOTDATA(" Old-Dentistry",'Pivot Table for 1-11'!$A$3,"State","SC","SREB Type",5,"SREB Type2","Four-Year")</f>
        <v>0</v>
      </c>
      <c r="K210" s="6">
        <f>+GETPIVOTDATA(" Old-Pharmacy",'Pivot Table for 1-11'!$A$3,"State","SC","SREB Type",5,"SREB Type2","Four-Year")</f>
        <v>0</v>
      </c>
      <c r="L210" s="6">
        <f>+GETPIVOTDATA(" Old-Optometry",'Pivot Table for 1-11'!$A$3,"State","SC","SREB Type",5,"SREB Type2","Four-Year")</f>
        <v>0</v>
      </c>
      <c r="M210" s="6">
        <f>+GETPIVOTDATA(" Old-Osteopathic Medicine",'Pivot Table for 1-11'!$A$3,"State","SC","SREB Type",5,"SREB Type2","Four-Year")</f>
        <v>0</v>
      </c>
      <c r="N210" s="80">
        <f>+GETPIVOTDATA(" Old-Veterinary Medicine",'Pivot Table for 1-11'!$A$3,"State","SC","SREB Type",5,"SREB Type2","Four-Year")</f>
        <v>0</v>
      </c>
      <c r="O210" s="97">
        <f>+GETPIVOTDATA(" Old-Oth PP",'Pivot Table for 1-11'!$A$3,"State","SC","SREB Type",5,"SREB Type2","Four-Year")</f>
        <v>0</v>
      </c>
      <c r="P210" s="81">
        <f t="shared" si="6"/>
        <v>2845</v>
   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0"/>
      <c r="O211" s="97"/>
      <c r="P211" s="81"/>
    </row>
    <row r="212" spans="1:16" ht="15" customHeight="1" x14ac:dyDescent="0.2">
      <c r="A212" s="5" t="s">
        <v>204</v>
      </c>
      <c r="B212" s="6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6">
        <f>+GETPIVOTDATA(" Old-Associate's",'Pivot Table for 1-11'!$A$3,"State","TN","SREB Type",5,"SREB Type2","Four-Year")</f>
        <v>0</v>
      </c>
      <c r="D212" s="6">
        <f>+GETPIVOTDATA(" Old-Bachelor's",'Pivot Table for 1-11'!$A$3,"State","TN","SREB Type",5,"SREB Type2","Four-Year")</f>
        <v>1038</v>
      </c>
      <c r="E212" s="6">
        <f>+GETPIVOTDATA(" Old-Post-Bachelor's",'Pivot Table for 1-11'!$A$3,"State","TN","SREB Type",5,"SREB Type2","Four-Year")</f>
        <v>0</v>
      </c>
      <c r="F212" s="6">
        <f>+GETPIVOTDATA(" Old-Total Master's#",'Pivot Table for 1-11'!$A$3,"State","TN","SREB Type",5,"SREB Type2","Four-Year")</f>
        <v>131</v>
      </c>
      <c r="G212" s="6">
        <f>+GETPIVOTDATA(" Old-Total Doctorates#",'Pivot Table for 1-11'!$A$3,"State","TN","SREB Type",5,"SREB Type2","Four-Year")</f>
        <v>0</v>
      </c>
      <c r="H212" s="17">
        <f>+GETPIVOTDATA(" Old-Law",'Pivot Table for 1-11'!$A$3,"State","TN","SREB Type",5,"SREB Type2","Four-Year")</f>
        <v>0</v>
      </c>
      <c r="I212" s="6">
        <f>+GETPIVOTDATA(" Old-Medicine",'Pivot Table for 1-11'!$A$3,"State","TN","SREB Type",5,"SREB Type2","Four-Year")</f>
        <v>0</v>
      </c>
      <c r="J212" s="6">
        <f>+GETPIVOTDATA(" Old-Dentistry",'Pivot Table for 1-11'!$A$3,"State","TN","SREB Type",5,"SREB Type2","Four-Year")</f>
        <v>0</v>
      </c>
      <c r="K212" s="6">
        <f>+GETPIVOTDATA(" Old-Pharmacy",'Pivot Table for 1-11'!$A$3,"State","TN","SREB Type",5,"SREB Type2","Four-Year")</f>
        <v>0</v>
      </c>
      <c r="L212" s="6">
        <f>+GETPIVOTDATA(" Old-Optometry",'Pivot Table for 1-11'!$A$3,"State","TN","SREB Type",5,"SREB Type2","Four-Year")</f>
        <v>0</v>
      </c>
      <c r="M212" s="6">
        <f>+GETPIVOTDATA(" Old-Osteopathic Medicine",'Pivot Table for 1-11'!$A$3,"State","TN","SREB Type",5,"SREB Type2","Four-Year")</f>
        <v>0</v>
      </c>
      <c r="N212" s="80">
        <f>+GETPIVOTDATA(" Old-Veterinary Medicine",'Pivot Table for 1-11'!$A$3,"State","TN","SREB Type",5,"SREB Type2","Four-Year")</f>
        <v>0</v>
      </c>
      <c r="O212" s="97">
        <f>+GETPIVOTDATA(" Old-Oth PP",'Pivot Table for 1-11'!$A$3,"State","TN","SREB Type",5,"SREB Type2","Four-Year")</f>
        <v>0</v>
      </c>
      <c r="P212" s="81">
        <f t="shared" si="6"/>
        <v>1169</v>
      </c>
    </row>
    <row r="213" spans="1:16" ht="15" customHeight="1" x14ac:dyDescent="0.2">
      <c r="A213" s="5" t="s">
        <v>205</v>
      </c>
      <c r="B213" s="6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6">
        <f>+GETPIVOTDATA(" Old-Associate's",'Pivot Table for 1-11'!$A$3,"State","TX","SREB Type",5,"SREB Type2","Four-Year")</f>
        <v>0</v>
      </c>
      <c r="D213" s="6">
        <f>+GETPIVOTDATA(" Old-Bachelor's",'Pivot Table for 1-11'!$A$3,"State","TX","SREB Type",5,"SREB Type2","Four-Year")</f>
        <v>3220</v>
      </c>
      <c r="E213" s="6">
        <f>+GETPIVOTDATA(" Old-Post-Bachelor's",'Pivot Table for 1-11'!$A$3,"State","TX","SREB Type",5,"SREB Type2","Four-Year")</f>
        <v>0</v>
      </c>
      <c r="F213" s="6">
        <f>+GETPIVOTDATA(" Old-Total Master's#",'Pivot Table for 1-11'!$A$3,"State","TX","SREB Type",5,"SREB Type2","Four-Year")</f>
        <v>266</v>
      </c>
      <c r="G213" s="6">
        <f>+GETPIVOTDATA(" Old-Total Doctorates#",'Pivot Table for 1-11'!$A$3,"State","TX","SREB Type",5,"SREB Type2","Four-Year")</f>
        <v>0</v>
      </c>
      <c r="H213" s="17">
        <f>+GETPIVOTDATA(" Old-Law",'Pivot Table for 1-11'!$A$3,"State","TX","SREB Type",5,"SREB Type2","Four-Year")</f>
        <v>0</v>
      </c>
      <c r="I213" s="6">
        <f>+GETPIVOTDATA(" Old-Medicine",'Pivot Table for 1-11'!$A$3,"State","TX","SREB Type",5,"SREB Type2","Four-Year")</f>
        <v>0</v>
      </c>
      <c r="J213" s="6">
        <f>+GETPIVOTDATA(" Old-Dentistry",'Pivot Table for 1-11'!$A$3,"State","TX","SREB Type",5,"SREB Type2","Four-Year")</f>
        <v>0</v>
      </c>
      <c r="K213" s="6">
        <f>+GETPIVOTDATA(" Old-Pharmacy",'Pivot Table for 1-11'!$A$3,"State","TX","SREB Type",5,"SREB Type2","Four-Year")</f>
        <v>0</v>
      </c>
      <c r="L213" s="6">
        <f>+GETPIVOTDATA(" Old-Optometry",'Pivot Table for 1-11'!$A$3,"State","TX","SREB Type",5,"SREB Type2","Four-Year")</f>
        <v>0</v>
      </c>
      <c r="M213" s="6">
        <f>+GETPIVOTDATA(" Old-Osteopathic Medicine",'Pivot Table for 1-11'!$A$3,"State","TX","SREB Type",5,"SREB Type2","Four-Year")</f>
        <v>0</v>
      </c>
      <c r="N213" s="80">
        <f>+GETPIVOTDATA(" Old-Veterinary Medicine",'Pivot Table for 1-11'!$A$3,"State","TX","SREB Type",5,"SREB Type2","Four-Year")</f>
        <v>0</v>
      </c>
      <c r="O213" s="97">
        <f>+GETPIVOTDATA(" Old-Oth PP",'Pivot Table for 1-11'!$A$3,"State","TX","SREB Type",5,"SREB Type2","Four-Year")</f>
        <v>0</v>
      </c>
      <c r="P213" s="81">
        <f t="shared" si="6"/>
        <v>3486</v>
      </c>
    </row>
    <row r="214" spans="1:16" ht="15" customHeight="1" x14ac:dyDescent="0.2">
      <c r="A214" s="5" t="s">
        <v>206</v>
      </c>
      <c r="B214" s="6">
        <f>+GETPIVOTDATA(" Old-Less Than 2-Year",'Pivot Table for 1-11'!$A$3,"State","VA","SREB Type",5,"SREB Type2","Four-Year")+GETPIVOTDATA(" Old-2 But Less Than 4-Year",'Pivot Table for 1-11'!$A$3,"State","VA","SREB Type",5,"SREB Type2","Four-Year")</f>
        <v>12</v>
      </c>
      <c r="C214" s="6">
        <f>+GETPIVOTDATA(" Old-Associate's",'Pivot Table for 1-11'!$A$3,"State","VA","SREB Type",5,"SREB Type2","Four-Year")</f>
        <v>0</v>
      </c>
      <c r="D214" s="6">
        <f>+GETPIVOTDATA(" Old-Bachelor's",'Pivot Table for 1-11'!$A$3,"State","VA","SREB Type",5,"SREB Type2","Four-Year")</f>
        <v>2040</v>
      </c>
      <c r="E214" s="6">
        <f>+GETPIVOTDATA(" Old-Post-Bachelor's",'Pivot Table for 1-11'!$A$3,"State","VA","SREB Type",5,"SREB Type2","Four-Year")</f>
        <v>24</v>
      </c>
      <c r="F214" s="6">
        <f>+GETPIVOTDATA(" Old-Total Master's#",'Pivot Table for 1-11'!$A$3,"State","VA","SREB Type",5,"SREB Type2","Four-Year")</f>
        <v>353</v>
      </c>
      <c r="G214" s="6">
        <f>+GETPIVOTDATA(" Old-Total Doctorates#",'Pivot Table for 1-11'!$A$3,"State","VA","SREB Type",5,"SREB Type2","Four-Year")</f>
        <v>0</v>
      </c>
      <c r="H214" s="17">
        <f>+GETPIVOTDATA(" Old-Law",'Pivot Table for 1-11'!$A$3,"State","VA","SREB Type",5,"SREB Type2","Four-Year")</f>
        <v>0</v>
      </c>
      <c r="I214" s="6">
        <f>+GETPIVOTDATA(" Old-Medicine",'Pivot Table for 1-11'!$A$3,"State","VA","SREB Type",5,"SREB Type2","Four-Year")</f>
        <v>0</v>
      </c>
      <c r="J214" s="6">
        <f>+GETPIVOTDATA(" Old-Dentistry",'Pivot Table for 1-11'!$A$3,"State","VA","SREB Type",5,"SREB Type2","Four-Year")</f>
        <v>0</v>
      </c>
      <c r="K214" s="6">
        <f>+GETPIVOTDATA(" Old-Pharmacy",'Pivot Table for 1-11'!$A$3,"State","VA","SREB Type",5,"SREB Type2","Four-Year")</f>
        <v>0</v>
      </c>
      <c r="L214" s="6">
        <f>+GETPIVOTDATA(" Old-Optometry",'Pivot Table for 1-11'!$A$3,"State","VA","SREB Type",5,"SREB Type2","Four-Year")</f>
        <v>0</v>
      </c>
      <c r="M214" s="6">
        <f>+GETPIVOTDATA(" Old-Osteopathic Medicine",'Pivot Table for 1-11'!$A$3,"State","VA","SREB Type",5,"SREB Type2","Four-Year")</f>
        <v>0</v>
      </c>
      <c r="N214" s="80">
        <f>+GETPIVOTDATA(" Old-Veterinary Medicine",'Pivot Table for 1-11'!$A$3,"State","VA","SREB Type",5,"SREB Type2","Four-Year")</f>
        <v>0</v>
      </c>
      <c r="O214" s="97">
        <f>+GETPIVOTDATA(" Old-Oth PP",'Pivot Table for 1-11'!$A$3,"State","VA","SREB Type",5,"SREB Type2","Four-Year")</f>
        <v>0</v>
      </c>
      <c r="P214" s="81">
        <f t="shared" si="6"/>
        <v>2429</v>
      </c>
    </row>
    <row r="215" spans="1:16" ht="15" customHeight="1" x14ac:dyDescent="0.2">
      <c r="A215" s="9" t="s">
        <v>207</v>
      </c>
      <c r="B215" s="8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8">
        <f>+GETPIVOTDATA(" Old-Associate's",'Pivot Table for 1-11'!$A$3,"State","WV","SREB Type",5,"SREB Type2","Four-Year")</f>
        <v>113</v>
      </c>
      <c r="D215" s="8">
        <f>+GETPIVOTDATA(" Old-Bachelor's",'Pivot Table for 1-11'!$A$3,"State","WV","SREB Type",5,"SREB Type2","Four-Year")</f>
        <v>1207</v>
      </c>
      <c r="E215" s="8">
        <f>+GETPIVOTDATA(" Old-Post-Bachelor's",'Pivot Table for 1-11'!$A$3,"State","WV","SREB Type",5,"SREB Type2","Four-Year")</f>
        <v>0</v>
      </c>
      <c r="F215" s="8">
        <f>+GETPIVOTDATA(" Old-Total Master's#",'Pivot Table for 1-11'!$A$3,"State","WV","SREB Type",5,"SREB Type2","Four-Year")</f>
        <v>119</v>
      </c>
      <c r="G215" s="8">
        <f>+GETPIVOTDATA(" Old-Total Doctorates#",'Pivot Table for 1-11'!$A$3,"State","WV","SREB Type",5,"SREB Type2","Four-Year")</f>
        <v>0</v>
      </c>
      <c r="H215" s="18">
        <f>+GETPIVOTDATA(" Old-Law",'Pivot Table for 1-11'!$A$3,"State","WV","SREB Type",5,"SREB Type2","Four-Year")</f>
        <v>0</v>
      </c>
      <c r="I215" s="8">
        <f>+GETPIVOTDATA(" Old-Medicine",'Pivot Table for 1-11'!$A$3,"State","WV","SREB Type",5,"SREB Type2","Four-Year")</f>
        <v>0</v>
      </c>
      <c r="J215" s="8">
        <f>+GETPIVOTDATA(" Old-Dentistry",'Pivot Table for 1-11'!$A$3,"State","WV","SREB Type",5,"SREB Type2","Four-Year")</f>
        <v>0</v>
      </c>
      <c r="K215" s="8">
        <f>+GETPIVOTDATA(" Old-Pharmacy",'Pivot Table for 1-11'!$A$3,"State","WV","SREB Type",5,"SREB Type2","Four-Year")</f>
        <v>0</v>
      </c>
      <c r="L215" s="8">
        <f>+GETPIVOTDATA(" Old-Optometry",'Pivot Table for 1-11'!$A$3,"State","WV","SREB Type",5,"SREB Type2","Four-Year")</f>
        <v>0</v>
      </c>
      <c r="M215" s="8">
        <f>+GETPIVOTDATA(" Old-Osteopathic Medicine",'Pivot Table for 1-11'!$A$3,"State","WV","SREB Type",5,"SREB Type2","Four-Year")</f>
        <v>0</v>
      </c>
      <c r="N215" s="88">
        <f>+GETPIVOTDATA(" Old-Veterinary Medicine",'Pivot Table for 1-11'!$A$3,"State","WV","SREB Type",5,"SREB Type2","Four-Year")</f>
        <v>0</v>
      </c>
      <c r="O215" s="98">
        <f>+GETPIVOTDATA(" Old-Oth PP",'Pivot Table for 1-11'!$A$3,"State","WV","SREB Type",5,"SREB Type2","Four-Year")</f>
        <v>0</v>
      </c>
      <c r="P215" s="82">
        <f t="shared" si="6"/>
        <v>1439</v>
      </c>
    </row>
    <row r="216" spans="1:16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0"/>
      <c r="O216" s="80"/>
      <c r="P216" s="80"/>
    </row>
    <row r="217" spans="1:16" ht="24.75" customHeight="1" x14ac:dyDescent="0.2">
      <c r="A217" s="856" t="s">
        <v>409</v>
      </c>
      <c r="B217" s="857"/>
      <c r="C217" s="857"/>
      <c r="D217" s="857"/>
      <c r="E217" s="857"/>
      <c r="F217" s="857"/>
      <c r="G217" s="857"/>
      <c r="H217" s="857"/>
      <c r="I217" s="857"/>
      <c r="J217" s="857"/>
      <c r="K217" s="857"/>
      <c r="L217" s="857"/>
      <c r="M217" s="857"/>
      <c r="N217" s="857"/>
      <c r="O217" s="857"/>
      <c r="P217" s="857"/>
    </row>
    <row r="218" spans="1:16" ht="15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89"/>
      <c r="O218" s="89"/>
      <c r="P218" s="83" t="s">
        <v>1293</v>
      </c>
    </row>
    <row r="219" spans="1:16" ht="18" x14ac:dyDescent="0.25">
      <c r="A219" s="22" t="s">
        <v>214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8"/>
      <c r="O219" s="58"/>
      <c r="P219" s="58"/>
    </row>
    <row r="220" spans="1:1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7"/>
      <c r="O220" s="57"/>
      <c r="P220" s="57"/>
    </row>
    <row r="221" spans="1:16" ht="15.75" x14ac:dyDescent="0.25">
      <c r="A221" s="1" t="s">
        <v>181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8"/>
      <c r="O221" s="58"/>
      <c r="P221" s="58"/>
    </row>
    <row r="222" spans="1:16" ht="15.75" x14ac:dyDescent="0.25">
      <c r="A222" s="1" t="s">
        <v>485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8"/>
      <c r="O222" s="58"/>
      <c r="P222" s="58"/>
    </row>
    <row r="223" spans="1:16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59"/>
      <c r="O223" s="59"/>
      <c r="P223" s="59"/>
    </row>
    <row r="224" spans="1:16" ht="15.75" x14ac:dyDescent="0.25">
      <c r="A224" s="91"/>
      <c r="B224" s="91"/>
      <c r="C224" s="91"/>
      <c r="D224" s="91"/>
      <c r="E224" s="91"/>
      <c r="F224" s="91"/>
      <c r="G224" s="91"/>
      <c r="H224" s="95" t="s">
        <v>410</v>
      </c>
      <c r="I224" s="26"/>
      <c r="J224" s="26"/>
      <c r="K224" s="26"/>
      <c r="L224" s="26"/>
      <c r="M224" s="26"/>
      <c r="N224" s="92"/>
      <c r="O224" s="99"/>
      <c r="P224" s="94" t="s">
        <v>216</v>
      </c>
    </row>
    <row r="225" spans="1:16" ht="39.75" customHeight="1" x14ac:dyDescent="0.2">
      <c r="A225" s="14"/>
      <c r="B225" s="15" t="s">
        <v>244</v>
      </c>
      <c r="C225" s="15" t="s">
        <v>182</v>
      </c>
      <c r="D225" s="15" t="s">
        <v>175</v>
      </c>
      <c r="E225" s="15" t="s">
        <v>176</v>
      </c>
      <c r="F225" s="15" t="s">
        <v>183</v>
      </c>
      <c r="G225" s="15" t="s">
        <v>184</v>
      </c>
      <c r="H225" s="16" t="s">
        <v>185</v>
      </c>
      <c r="I225" s="15" t="s">
        <v>186</v>
      </c>
      <c r="J225" s="15" t="s">
        <v>187</v>
      </c>
      <c r="K225" s="15" t="s">
        <v>179</v>
      </c>
      <c r="L225" s="15" t="s">
        <v>188</v>
      </c>
      <c r="M225" s="15" t="s">
        <v>189</v>
      </c>
      <c r="N225" s="90" t="s">
        <v>411</v>
      </c>
      <c r="O225" s="96" t="s">
        <v>412</v>
      </c>
      <c r="P225" s="90" t="s">
        <v>190</v>
      </c>
    </row>
    <row r="226" spans="1:16" ht="15" customHeight="1" x14ac:dyDescent="0.2">
      <c r="A226" s="5" t="s">
        <v>191</v>
      </c>
      <c r="B226" s="6">
        <f>+GETPIVOTDATA(" Old-Less Than 2-Year",'Pivot Table for 1-11'!$A$3,"SREB Type",6,"SREB Type2","Four-Year")+GETPIVOTDATA(" Old-2 But Less Than 4-Year",'Pivot Table for 1-11'!$A$3,"SREB Type",6,"SREB Type2","Four-Year")</f>
        <v>405</v>
      </c>
      <c r="C226" s="6">
        <f>+GETPIVOTDATA(" Old-Associate's",'Pivot Table for 1-11'!$A$3,"SREB Type",6,"SREB Type2","Four-Year")</f>
        <v>1330</v>
      </c>
      <c r="D226" s="6">
        <f>+GETPIVOTDATA(" Old-Bachelor's",'Pivot Table for 1-11'!$A$3,"SREB Type",6,"SREB Type2","Four-Year")</f>
        <v>9632</v>
      </c>
      <c r="E226" s="6">
        <f>+GETPIVOTDATA(" Old-Post-Bachelor's",'Pivot Table for 1-11'!$A$3,"SREB Type",6,"SREB Type2","Four-Year")</f>
        <v>2</v>
      </c>
      <c r="F226" s="6">
        <f>+GETPIVOTDATA(" Old-Total Master's#",'Pivot Table for 1-11'!$A$3,"SREB Type",6,"SREB Type2","Four-Year")</f>
        <v>184</v>
      </c>
      <c r="G226" s="6">
        <f>+GETPIVOTDATA(" Old-Total Doctorates#",'Pivot Table for 1-11'!$A$3,"SREB Type",6,"SREB Type2","Four-Year")</f>
        <v>0</v>
      </c>
      <c r="H226" s="17">
        <f>+GETPIVOTDATA(" Old-Law",'Pivot Table for 1-11'!$A$3,"SREB Type",6,"SREB Type2","Four-Year")</f>
        <v>0</v>
      </c>
      <c r="I226" s="6">
        <f>+GETPIVOTDATA(" Old-Medicine",'Pivot Table for 1-11'!$A$3,"SREB Type",6,"SREB Type2","Four-Year")</f>
        <v>0</v>
      </c>
      <c r="J226" s="6">
        <f>+GETPIVOTDATA(" Old-Dentistry",'Pivot Table for 1-11'!$A$3,"SREB Type",6,"SREB Type2","Four-Year")</f>
        <v>0</v>
      </c>
      <c r="K226" s="6">
        <f>+GETPIVOTDATA(" Old-Pharmacy",'Pivot Table for 1-11'!$A$3,"SREB Type",6,"SREB Type2","Four-Year")</f>
        <v>0</v>
      </c>
      <c r="L226" s="6">
        <f>+GETPIVOTDATA(" Old-Optometry",'Pivot Table for 1-11'!$A$3,"SREB Type",6,"SREB Type2","Four-Year")</f>
        <v>0</v>
      </c>
      <c r="M226" s="6">
        <f>+GETPIVOTDATA(" Old-Osteopathic Medicine",'Pivot Table for 1-11'!$A$3,"SREB Type",6,"SREB Type2","Four-Year")</f>
        <v>0</v>
      </c>
      <c r="N226" s="80">
        <f>+GETPIVOTDATA(" Old-Veterinary Medicine",'Pivot Table for 1-11'!$A$3,"SREB Type",6,"SREB Type2","Four-Year")</f>
        <v>0</v>
      </c>
      <c r="O226" s="97">
        <f>+GETPIVOTDATA(" Old-Oth PP",'Pivot Table for 1-11'!$A$3,"SREB Type",6,"SREB Type2","Four-Year")</f>
        <v>0</v>
      </c>
      <c r="P226" s="81">
        <f>SUM(B226:O226)</f>
        <v>11553</v>
      </c>
    </row>
    <row r="227" spans="1:16" ht="15" customHeight="1" x14ac:dyDescent="0.2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0"/>
      <c r="O227" s="97"/>
      <c r="P227" s="81"/>
    </row>
    <row r="228" spans="1:16" ht="15" customHeight="1" x14ac:dyDescent="0.2">
      <c r="A228" s="5" t="s">
        <v>192</v>
      </c>
      <c r="B228" s="6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6">
        <f>+GETPIVOTDATA(" Old-Associate's",'Pivot Table for 1-11'!$A$3,"State","AL","SREB Type",6,"SREB Type2","Four-Year")</f>
        <v>0</v>
      </c>
      <c r="D228" s="6">
        <f>+GETPIVOTDATA(" Old-Bachelor's",'Pivot Table for 1-11'!$A$3,"State","AL","SREB Type",6,"SREB Type2","Four-Year")</f>
        <v>961</v>
      </c>
      <c r="E228" s="6">
        <f>+GETPIVOTDATA(" Old-Post-Bachelor's",'Pivot Table for 1-11'!$A$3,"State","AL","SREB Type",6,"SREB Type2","Four-Year")</f>
        <v>0</v>
      </c>
      <c r="F228" s="6">
        <f>+GETPIVOTDATA(" Old-Total Master's#",'Pivot Table for 1-11'!$A$3,"State","AL","SREB Type",6,"SREB Type2","Four-Year")</f>
        <v>0</v>
      </c>
      <c r="G228" s="6">
        <f>+GETPIVOTDATA(" Old-Total Doctorates#",'Pivot Table for 1-11'!$A$3,"State","AL","SREB Type",6,"SREB Type2","Four-Year")</f>
        <v>0</v>
      </c>
      <c r="H228" s="17">
        <f>+GETPIVOTDATA(" Old-Law",'Pivot Table for 1-11'!$A$3,"State","AL","SREB Type",6,"SREB Type2","Four-Year")</f>
        <v>0</v>
      </c>
      <c r="I228" s="6">
        <f>+GETPIVOTDATA(" Old-Medicine",'Pivot Table for 1-11'!$A$3,"State","AL","SREB Type",6,"SREB Type2","Four-Year")</f>
        <v>0</v>
      </c>
      <c r="J228" s="6">
        <f>+GETPIVOTDATA(" Old-Dentistry",'Pivot Table for 1-11'!$A$3,"State","AL","SREB Type",6,"SREB Type2","Four-Year")</f>
        <v>0</v>
      </c>
      <c r="K228" s="6">
        <f>+GETPIVOTDATA(" Old-Pharmacy",'Pivot Table for 1-11'!$A$3,"State","AL","SREB Type",6,"SREB Type2","Four-Year")</f>
        <v>0</v>
      </c>
      <c r="L228" s="6">
        <f>+GETPIVOTDATA(" Old-Optometry",'Pivot Table for 1-11'!$A$3,"State","AL","SREB Type",6,"SREB Type2","Four-Year")</f>
        <v>0</v>
      </c>
      <c r="M228" s="6">
        <f>+GETPIVOTDATA(" Old-Osteopathic Medicine",'Pivot Table for 1-11'!$A$3,"State","AL","SREB Type",6,"SREB Type2","Four-Year")</f>
        <v>0</v>
      </c>
      <c r="N228" s="80">
        <f>+GETPIVOTDATA(" Old-Veterinary Medicine",'Pivot Table for 1-11'!$A$3,"State","AL","SREB Type",6,"SREB Type2","Four-Year")</f>
        <v>0</v>
      </c>
      <c r="O228" s="97">
        <f>+GETPIVOTDATA(" Old-Oth PP",'Pivot Table for 1-11'!$A$3,"State","AL","SREB Type",6,"SREB Type2","Four-Year")</f>
        <v>0</v>
      </c>
      <c r="P228" s="81">
        <f t="shared" ref="P228:P246" si="7">SUM(B228:O228)</f>
        <v>961</v>
      </c>
    </row>
    <row r="229" spans="1:16" ht="15" customHeight="1" x14ac:dyDescent="0.2">
      <c r="A229" s="5" t="s">
        <v>193</v>
      </c>
      <c r="B229" s="6">
        <f>+GETPIVOTDATA(" Old-Less Than 2-Year",'Pivot Table for 1-11'!$A$3,"State","AR","SREB Type",6,"SREB Type2","Four-Year")+GETPIVOTDATA(" Old-2 But Less Than 4-Year",'Pivot Table for 1-11'!$A$3,"State","AR","SREB Type",6,"SREB Type2","Four-Year")</f>
        <v>372</v>
      </c>
      <c r="C229" s="6">
        <f>+GETPIVOTDATA(" Old-Associate's",'Pivot Table for 1-11'!$A$3,"State","AR","SREB Type",6,"SREB Type2","Four-Year")</f>
        <v>402</v>
      </c>
      <c r="D229" s="6">
        <f>+GETPIVOTDATA(" Old-Bachelor's",'Pivot Table for 1-11'!$A$3,"State","AR","SREB Type",6,"SREB Type2","Four-Year")</f>
        <v>913</v>
      </c>
      <c r="E229" s="6">
        <f>+GETPIVOTDATA(" Old-Post-Bachelor's",'Pivot Table for 1-11'!$A$3,"State","AR","SREB Type",6,"SREB Type2","Four-Year")</f>
        <v>0</v>
      </c>
      <c r="F229" s="6">
        <f>+GETPIVOTDATA(" Old-Total Master's#",'Pivot Table for 1-11'!$A$3,"State","AR","SREB Type",6,"SREB Type2","Four-Year")</f>
        <v>21</v>
      </c>
      <c r="G229" s="6">
        <f>+GETPIVOTDATA(" Old-Total Doctorates#",'Pivot Table for 1-11'!$A$3,"State","AR","SREB Type",6,"SREB Type2","Four-Year")</f>
        <v>0</v>
      </c>
      <c r="H229" s="17">
        <f>+GETPIVOTDATA(" Old-Law",'Pivot Table for 1-11'!$A$3,"State","AR","SREB Type",6,"SREB Type2","Four-Year")</f>
        <v>0</v>
      </c>
      <c r="I229" s="6">
        <f>+GETPIVOTDATA(" Old-Medicine",'Pivot Table for 1-11'!$A$3,"State","AR","SREB Type",6,"SREB Type2","Four-Year")</f>
        <v>0</v>
      </c>
      <c r="J229" s="6">
        <f>+GETPIVOTDATA(" Old-Dentistry",'Pivot Table for 1-11'!$A$3,"State","AR","SREB Type",6,"SREB Type2","Four-Year")</f>
        <v>0</v>
      </c>
      <c r="K229" s="6">
        <f>+GETPIVOTDATA(" Old-Pharmacy",'Pivot Table for 1-11'!$A$3,"State","AR","SREB Type",6,"SREB Type2","Four-Year")</f>
        <v>0</v>
      </c>
      <c r="L229" s="6">
        <f>+GETPIVOTDATA(" Old-Optometry",'Pivot Table for 1-11'!$A$3,"State","AR","SREB Type",6,"SREB Type2","Four-Year")</f>
        <v>0</v>
      </c>
      <c r="M229" s="6">
        <f>+GETPIVOTDATA(" Old-Osteopathic Medicine",'Pivot Table for 1-11'!$A$3,"State","AR","SREB Type",6,"SREB Type2","Four-Year")</f>
        <v>0</v>
      </c>
      <c r="N229" s="80">
        <f>+GETPIVOTDATA(" Old-Veterinary Medicine",'Pivot Table for 1-11'!$A$3,"State","AR","SREB Type",6,"SREB Type2","Four-Year")</f>
        <v>0</v>
      </c>
      <c r="O229" s="97">
        <f>+GETPIVOTDATA(" Old-Oth PP",'Pivot Table for 1-11'!$A$3,"State","AR","SREB Type",6,"SREB Type2","Four-Year")</f>
        <v>0</v>
      </c>
      <c r="P229" s="81">
        <f t="shared" si="7"/>
        <v>1708</v>
      </c>
    </row>
    <row r="230" spans="1:16" ht="15" customHeight="1" x14ac:dyDescent="0.2">
      <c r="A230" s="5" t="s">
        <v>194</v>
      </c>
      <c r="B230" s="6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6">
        <f>+GETPIVOTDATA(" Old-Associate's",'Pivot Table for 1-11'!$A$3,"State","DE","SREB Type",6,"SREB Type2","Four-Year")</f>
        <v>0</v>
      </c>
      <c r="D230" s="6">
        <f>+GETPIVOTDATA(" Old-Bachelor's",'Pivot Table for 1-11'!$A$3,"State","DE","SREB Type",6,"SREB Type2","Four-Year")</f>
        <v>0</v>
      </c>
      <c r="E230" s="6">
        <f>+GETPIVOTDATA(" Old-Post-Bachelor's",'Pivot Table for 1-11'!$A$3,"State","DE","SREB Type",6,"SREB Type2","Four-Year")</f>
        <v>0</v>
      </c>
      <c r="F230" s="6">
        <f>+GETPIVOTDATA(" Old-Total Master's#",'Pivot Table for 1-11'!$A$3,"State","DE","SREB Type",6,"SREB Type2","Four-Year")</f>
        <v>0</v>
      </c>
      <c r="G230" s="6">
        <f>+GETPIVOTDATA(" Old-Total Doctorates#",'Pivot Table for 1-11'!$A$3,"State","DE","SREB Type",6,"SREB Type2","Four-Year")</f>
        <v>0</v>
      </c>
      <c r="H230" s="17">
        <f>+GETPIVOTDATA(" Old-Law",'Pivot Table for 1-11'!$A$3,"State","DE","SREB Type",6,"SREB Type2","Four-Year")</f>
        <v>0</v>
      </c>
      <c r="I230" s="6">
        <f>+GETPIVOTDATA(" Old-Medicine",'Pivot Table for 1-11'!$A$3,"State","DE","SREB Type",6,"SREB Type2","Four-Year")</f>
        <v>0</v>
      </c>
      <c r="J230" s="6">
        <f>+GETPIVOTDATA(" Old-Dentistry",'Pivot Table for 1-11'!$A$3,"State","DE","SREB Type",6,"SREB Type2","Four-Year")</f>
        <v>0</v>
      </c>
      <c r="K230" s="6">
        <f>+GETPIVOTDATA(" Old-Pharmacy",'Pivot Table for 1-11'!$A$3,"State","DE","SREB Type",6,"SREB Type2","Four-Year")</f>
        <v>0</v>
      </c>
      <c r="L230" s="6">
        <f>+GETPIVOTDATA(" Old-Optometry",'Pivot Table for 1-11'!$A$3,"State","DE","SREB Type",6,"SREB Type2","Four-Year")</f>
        <v>0</v>
      </c>
      <c r="M230" s="6">
        <f>+GETPIVOTDATA(" Old-Osteopathic Medicine",'Pivot Table for 1-11'!$A$3,"State","DE","SREB Type",6,"SREB Type2","Four-Year")</f>
        <v>0</v>
      </c>
      <c r="N230" s="80">
        <f>+GETPIVOTDATA(" Old-Veterinary Medicine",'Pivot Table for 1-11'!$A$3,"State","DE","SREB Type",6,"SREB Type2","Four-Year")</f>
        <v>0</v>
      </c>
      <c r="O230" s="97">
        <f>+GETPIVOTDATA(" Old-Oth PP",'Pivot Table for 1-11'!$A$3,"State","DE","SREB Type",6,"SREB Type2","Four-Year")</f>
        <v>0</v>
      </c>
      <c r="P230" s="81">
        <f t="shared" si="7"/>
        <v>0</v>
      </c>
    </row>
    <row r="231" spans="1:16" ht="15" customHeight="1" x14ac:dyDescent="0.2">
      <c r="A231" s="5" t="s">
        <v>195</v>
      </c>
      <c r="B231" s="6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6">
        <f>+GETPIVOTDATA(" Old-Associate's",'Pivot Table for 1-11'!$A$3,"State","FL","SREB Type",6,"SREB Type2","Four-Year")</f>
        <v>0</v>
      </c>
      <c r="D231" s="6">
        <f>+GETPIVOTDATA(" Old-Bachelor's",'Pivot Table for 1-11'!$A$3,"State","FL","SREB Type",6,"SREB Type2","Four-Year")</f>
        <v>167</v>
      </c>
      <c r="E231" s="6">
        <f>+GETPIVOTDATA(" Old-Post-Bachelor's",'Pivot Table for 1-11'!$A$3,"State","FL","SREB Type",6,"SREB Type2","Four-Year")</f>
        <v>0</v>
      </c>
      <c r="F231" s="6">
        <f>+GETPIVOTDATA(" Old-Total Master's#",'Pivot Table for 1-11'!$A$3,"State","FL","SREB Type",6,"SREB Type2","Four-Year")</f>
        <v>0</v>
      </c>
      <c r="G231" s="6">
        <f>+GETPIVOTDATA(" Old-Total Doctorates#",'Pivot Table for 1-11'!$A$3,"State","FL","SREB Type",6,"SREB Type2","Four-Year")</f>
        <v>0</v>
      </c>
      <c r="H231" s="17">
        <f>+GETPIVOTDATA(" Old-Law",'Pivot Table for 1-11'!$A$3,"State","FL","SREB Type",6,"SREB Type2","Four-Year")</f>
        <v>0</v>
      </c>
      <c r="I231" s="6">
        <f>+GETPIVOTDATA(" Old-Medicine",'Pivot Table for 1-11'!$A$3,"State","FL","SREB Type",6,"SREB Type2","Four-Year")</f>
        <v>0</v>
      </c>
      <c r="J231" s="6">
        <f>+GETPIVOTDATA(" Old-Dentistry",'Pivot Table for 1-11'!$A$3,"State","FL","SREB Type",6,"SREB Type2","Four-Year")</f>
        <v>0</v>
      </c>
      <c r="K231" s="6">
        <f>+GETPIVOTDATA(" Old-Pharmacy",'Pivot Table for 1-11'!$A$3,"State","FL","SREB Type",6,"SREB Type2","Four-Year")</f>
        <v>0</v>
      </c>
      <c r="L231" s="6">
        <f>+GETPIVOTDATA(" Old-Optometry",'Pivot Table for 1-11'!$A$3,"State","FL","SREB Type",6,"SREB Type2","Four-Year")</f>
        <v>0</v>
      </c>
      <c r="M231" s="6">
        <f>+GETPIVOTDATA(" Old-Osteopathic Medicine",'Pivot Table for 1-11'!$A$3,"State","FL","SREB Type",6,"SREB Type2","Four-Year")</f>
        <v>0</v>
      </c>
      <c r="N231" s="80">
        <f>+GETPIVOTDATA(" Old-Veterinary Medicine",'Pivot Table for 1-11'!$A$3,"State","FL","SREB Type",6,"SREB Type2","Four-Year")</f>
        <v>0</v>
      </c>
      <c r="O231" s="97">
        <f>+GETPIVOTDATA(" Old-Oth PP",'Pivot Table for 1-11'!$A$3,"State","FL","SREB Type",6,"SREB Type2","Four-Year")</f>
        <v>0</v>
      </c>
      <c r="P231" s="81">
        <f t="shared" si="7"/>
        <v>167</v>
      </c>
    </row>
    <row r="232" spans="1:16" ht="15" customHeight="1" x14ac:dyDescent="0.2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0"/>
      <c r="O232" s="97"/>
      <c r="P232" s="81">
        <f t="shared" si="7"/>
        <v>0</v>
      </c>
    </row>
    <row r="233" spans="1:16" ht="15" customHeight="1" x14ac:dyDescent="0.2">
      <c r="A233" s="5" t="s">
        <v>196</v>
      </c>
      <c r="B233" s="6">
        <f>+GETPIVOTDATA(" Old-Less Than 2-Year",'Pivot Table for 1-11'!$A$3,"State","GA","SREB Type",6,"SREB Type2","Four-Year")+GETPIVOTDATA(" Old-2 But Less Than 4-Year",'Pivot Table for 1-11'!$A$3,"State","GA","SREB Type",6,"SREB Type2","Four-Year")</f>
        <v>13</v>
      </c>
      <c r="C233" s="6">
        <f>+GETPIVOTDATA(" Old-Associate's",'Pivot Table for 1-11'!$A$3,"State","GA","SREB Type",6,"SREB Type2","Four-Year")</f>
        <v>316</v>
      </c>
      <c r="D233" s="6">
        <f>+GETPIVOTDATA(" Old-Bachelor's",'Pivot Table for 1-11'!$A$3,"State","GA","SREB Type",6,"SREB Type2","Four-Year")</f>
        <v>702</v>
      </c>
      <c r="E233" s="6">
        <f>+GETPIVOTDATA(" Old-Post-Bachelor's",'Pivot Table for 1-11'!$A$3,"State","GA","SREB Type",6,"SREB Type2","Four-Year")</f>
        <v>0</v>
      </c>
      <c r="F233" s="6">
        <f>+GETPIVOTDATA(" Old-Total Master's#",'Pivot Table for 1-11'!$A$3,"State","GA","SREB Type",6,"SREB Type2","Four-Year")</f>
        <v>0</v>
      </c>
      <c r="G233" s="6">
        <f>+GETPIVOTDATA(" Old-Total Doctorates#",'Pivot Table for 1-11'!$A$3,"State","GA","SREB Type",6,"SREB Type2","Four-Year")</f>
        <v>0</v>
      </c>
      <c r="H233" s="17">
        <f>+GETPIVOTDATA(" Old-Law",'Pivot Table for 1-11'!$A$3,"State","GA","SREB Type",6,"SREB Type2","Four-Year")</f>
        <v>0</v>
      </c>
      <c r="I233" s="6">
        <f>+GETPIVOTDATA(" Old-Medicine",'Pivot Table for 1-11'!$A$3,"State","GA","SREB Type",6,"SREB Type2","Four-Year")</f>
        <v>0</v>
      </c>
      <c r="J233" s="6">
        <f>+GETPIVOTDATA(" Old-Dentistry",'Pivot Table for 1-11'!$A$3,"State","GA","SREB Type",6,"SREB Type2","Four-Year")</f>
        <v>0</v>
      </c>
      <c r="K233" s="6">
        <f>+GETPIVOTDATA(" Old-Pharmacy",'Pivot Table for 1-11'!$A$3,"State","GA","SREB Type",6,"SREB Type2","Four-Year")</f>
        <v>0</v>
      </c>
      <c r="L233" s="6">
        <f>+GETPIVOTDATA(" Old-Optometry",'Pivot Table for 1-11'!$A$3,"State","GA","SREB Type",6,"SREB Type2","Four-Year")</f>
        <v>0</v>
      </c>
      <c r="M233" s="6">
        <f>+GETPIVOTDATA(" Old-Osteopathic Medicine",'Pivot Table for 1-11'!$A$3,"State","GA","SREB Type",6,"SREB Type2","Four-Year")</f>
        <v>0</v>
      </c>
      <c r="N233" s="80">
        <f>+GETPIVOTDATA(" Old-Veterinary Medicine",'Pivot Table for 1-11'!$A$3,"State","GA","SREB Type",6,"SREB Type2","Four-Year")</f>
        <v>0</v>
      </c>
      <c r="O233" s="97">
        <f>+GETPIVOTDATA(" Old-Oth PP",'Pivot Table for 1-11'!$A$3,"State","GA","SREB Type",6,"SREB Type2","Four-Year")</f>
        <v>0</v>
      </c>
      <c r="P233" s="81">
        <f t="shared" si="7"/>
        <v>1031</v>
      </c>
    </row>
    <row r="234" spans="1:16" ht="15" customHeight="1" x14ac:dyDescent="0.2">
      <c r="A234" s="5" t="s">
        <v>197</v>
      </c>
      <c r="B234" s="6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6">
        <f>+GETPIVOTDATA(" Old-Associate's",'Pivot Table for 1-11'!$A$3,"State","KY","SREB Type",6,"SREB Type2","Four-Year")</f>
        <v>0</v>
      </c>
      <c r="D234" s="6">
        <f>+GETPIVOTDATA(" Old-Bachelor's",'Pivot Table for 1-11'!$A$3,"State","KY","SREB Type",6,"SREB Type2","Four-Year")</f>
        <v>0</v>
      </c>
      <c r="E234" s="6">
        <f>+GETPIVOTDATA(" Old-Post-Bachelor's",'Pivot Table for 1-11'!$A$3,"State","KY","SREB Type",6,"SREB Type2","Four-Year")</f>
        <v>0</v>
      </c>
      <c r="F234" s="6">
        <f>+GETPIVOTDATA(" Old-Total Master's#",'Pivot Table for 1-11'!$A$3,"State","KY","SREB Type",6,"SREB Type2","Four-Year")</f>
        <v>0</v>
      </c>
      <c r="G234" s="6">
        <f>+GETPIVOTDATA(" Old-Total Doctorates#",'Pivot Table for 1-11'!$A$3,"State","KY","SREB Type",6,"SREB Type2","Four-Year")</f>
        <v>0</v>
      </c>
      <c r="H234" s="17">
        <f>+GETPIVOTDATA(" Old-Law",'Pivot Table for 1-11'!$A$3,"State","KY","SREB Type",6,"SREB Type2","Four-Year")</f>
        <v>0</v>
      </c>
      <c r="I234" s="6">
        <f>+GETPIVOTDATA(" Old-Medicine",'Pivot Table for 1-11'!$A$3,"State","KY","SREB Type",6,"SREB Type2","Four-Year")</f>
        <v>0</v>
      </c>
      <c r="J234" s="6">
        <f>+GETPIVOTDATA(" Old-Dentistry",'Pivot Table for 1-11'!$A$3,"State","KY","SREB Type",6,"SREB Type2","Four-Year")</f>
        <v>0</v>
      </c>
      <c r="K234" s="6">
        <f>+GETPIVOTDATA(" Old-Pharmacy",'Pivot Table for 1-11'!$A$3,"State","KY","SREB Type",6,"SREB Type2","Four-Year")</f>
        <v>0</v>
      </c>
      <c r="L234" s="6">
        <f>+GETPIVOTDATA(" Old-Optometry",'Pivot Table for 1-11'!$A$3,"State","KY","SREB Type",6,"SREB Type2","Four-Year")</f>
        <v>0</v>
      </c>
      <c r="M234" s="6">
        <f>+GETPIVOTDATA(" Old-Osteopathic Medicine",'Pivot Table for 1-11'!$A$3,"State","KY","SREB Type",6,"SREB Type2","Four-Year")</f>
        <v>0</v>
      </c>
      <c r="N234" s="80">
        <f>+GETPIVOTDATA(" Old-Veterinary Medicine",'Pivot Table for 1-11'!$A$3,"State","KY","SREB Type",6,"SREB Type2","Four-Year")</f>
        <v>0</v>
      </c>
      <c r="O234" s="97">
        <f>+GETPIVOTDATA(" Old-Oth PP",'Pivot Table for 1-11'!$A$3,"State","KY","SREB Type",6,"SREB Type2","Four-Year")</f>
        <v>0</v>
      </c>
      <c r="P234" s="81">
        <f t="shared" si="7"/>
        <v>0</v>
      </c>
    </row>
    <row r="235" spans="1:16" ht="15" customHeight="1" x14ac:dyDescent="0.2">
      <c r="A235" s="5" t="s">
        <v>198</v>
      </c>
      <c r="B235" s="6">
        <f>+GETPIVOTDATA(" Old-Less Than 2-Year",'Pivot Table for 1-11'!$A$3,"State","LA","SREB Type",6,"SREB Type2","Four-Year")+GETPIVOTDATA(" Old-2 But Less Than 4-Year",'Pivot Table for 1-11'!$A$3,"State","LA","SREB Type",6,"SREB Type2","Four-Year")</f>
        <v>15</v>
      </c>
      <c r="C235" s="6">
        <f>+GETPIVOTDATA(" Old-Associate's",'Pivot Table for 1-11'!$A$3,"State","LA","SREB Type",6,"SREB Type2","Four-Year")</f>
        <v>142</v>
      </c>
      <c r="D235" s="6">
        <f>+GETPIVOTDATA(" Old-Bachelor's",'Pivot Table for 1-11'!$A$3,"State","LA","SREB Type",6,"SREB Type2","Four-Year")</f>
        <v>161</v>
      </c>
      <c r="E235" s="6">
        <f>+GETPIVOTDATA(" Old-Post-Bachelor's",'Pivot Table for 1-11'!$A$3,"State","LA","SREB Type",6,"SREB Type2","Four-Year")</f>
        <v>0</v>
      </c>
      <c r="F235" s="6">
        <f>+GETPIVOTDATA(" Old-Total Master's#",'Pivot Table for 1-11'!$A$3,"State","LA","SREB Type",6,"SREB Type2","Four-Year")</f>
        <v>0</v>
      </c>
      <c r="G235" s="6">
        <f>+GETPIVOTDATA(" Old-Total Doctorates#",'Pivot Table for 1-11'!$A$3,"State","LA","SREB Type",6,"SREB Type2","Four-Year")</f>
        <v>0</v>
      </c>
      <c r="H235" s="17">
        <f>+GETPIVOTDATA(" Old-Law",'Pivot Table for 1-11'!$A$3,"State","LA","SREB Type",6,"SREB Type2","Four-Year")</f>
        <v>0</v>
      </c>
      <c r="I235" s="6">
        <f>+GETPIVOTDATA(" Old-Medicine",'Pivot Table for 1-11'!$A$3,"State","LA","SREB Type",6,"SREB Type2","Four-Year")</f>
        <v>0</v>
      </c>
      <c r="J235" s="6">
        <f>+GETPIVOTDATA(" Old-Dentistry",'Pivot Table for 1-11'!$A$3,"State","LA","SREB Type",6,"SREB Type2","Four-Year")</f>
        <v>0</v>
      </c>
      <c r="K235" s="6">
        <f>+GETPIVOTDATA(" Old-Pharmacy",'Pivot Table for 1-11'!$A$3,"State","LA","SREB Type",6,"SREB Type2","Four-Year")</f>
        <v>0</v>
      </c>
      <c r="L235" s="6">
        <f>+GETPIVOTDATA(" Old-Optometry",'Pivot Table for 1-11'!$A$3,"State","LA","SREB Type",6,"SREB Type2","Four-Year")</f>
        <v>0</v>
      </c>
      <c r="M235" s="6">
        <f>+GETPIVOTDATA(" Old-Osteopathic Medicine",'Pivot Table for 1-11'!$A$3,"State","LA","SREB Type",6,"SREB Type2","Four-Year")</f>
        <v>0</v>
      </c>
      <c r="N235" s="80">
        <f>+GETPIVOTDATA(" Old-Veterinary Medicine",'Pivot Table for 1-11'!$A$3,"State","LA","SREB Type",6,"SREB Type2","Four-Year")</f>
        <v>0</v>
      </c>
      <c r="O235" s="97">
        <f>+GETPIVOTDATA(" Old-Oth PP",'Pivot Table for 1-11'!$A$3,"State","LA","SREB Type",6,"SREB Type2","Four-Year")</f>
        <v>0</v>
      </c>
      <c r="P235" s="81">
        <f t="shared" si="7"/>
        <v>318</v>
      </c>
    </row>
    <row r="236" spans="1:16" ht="15" customHeight="1" x14ac:dyDescent="0.2">
      <c r="A236" s="5" t="s">
        <v>199</v>
      </c>
      <c r="B236" s="6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6">
        <f>+GETPIVOTDATA(" Old-Associate's",'Pivot Table for 1-11'!$A$3,"State","MD","SREB Type",6,"SREB Type2","Four-Year")</f>
        <v>0</v>
      </c>
      <c r="D236" s="6">
        <f>+GETPIVOTDATA(" Old-Bachelor's",'Pivot Table for 1-11'!$A$3,"State","MD","SREB Type",6,"SREB Type2","Four-Year")</f>
        <v>410</v>
      </c>
      <c r="E236" s="6">
        <f>+GETPIVOTDATA(" Old-Post-Bachelor's",'Pivot Table for 1-11'!$A$3,"State","MD","SREB Type",6,"SREB Type2","Four-Year")</f>
        <v>0</v>
      </c>
      <c r="F236" s="6">
        <f>+GETPIVOTDATA(" Old-Total Master's#",'Pivot Table for 1-11'!$A$3,"State","MD","SREB Type",6,"SREB Type2","Four-Year")</f>
        <v>33</v>
      </c>
      <c r="G236" s="6">
        <f>+GETPIVOTDATA(" Old-Total Doctorates#",'Pivot Table for 1-11'!$A$3,"State","MD","SREB Type",6,"SREB Type2","Four-Year")</f>
        <v>0</v>
      </c>
      <c r="H236" s="17">
        <f>+GETPIVOTDATA(" Old-Law",'Pivot Table for 1-11'!$A$3,"State","MD","SREB Type",6,"SREB Type2","Four-Year")</f>
        <v>0</v>
      </c>
      <c r="I236" s="6">
        <f>+GETPIVOTDATA(" Old-Medicine",'Pivot Table for 1-11'!$A$3,"State","MD","SREB Type",6,"SREB Type2","Four-Year")</f>
        <v>0</v>
      </c>
      <c r="J236" s="6">
        <f>+GETPIVOTDATA(" Old-Dentistry",'Pivot Table for 1-11'!$A$3,"State","MD","SREB Type",6,"SREB Type2","Four-Year")</f>
        <v>0</v>
      </c>
      <c r="K236" s="6">
        <f>+GETPIVOTDATA(" Old-Pharmacy",'Pivot Table for 1-11'!$A$3,"State","MD","SREB Type",6,"SREB Type2","Four-Year")</f>
        <v>0</v>
      </c>
      <c r="L236" s="6">
        <f>+GETPIVOTDATA(" Old-Optometry",'Pivot Table for 1-11'!$A$3,"State","MD","SREB Type",6,"SREB Type2","Four-Year")</f>
        <v>0</v>
      </c>
      <c r="M236" s="6">
        <f>+GETPIVOTDATA(" Old-Osteopathic Medicine",'Pivot Table for 1-11'!$A$3,"State","MD","SREB Type",6,"SREB Type2","Four-Year")</f>
        <v>0</v>
      </c>
      <c r="N236" s="80">
        <f>+GETPIVOTDATA(" Old-Veterinary Medicine",'Pivot Table for 1-11'!$A$3,"State","MD","SREB Type",6,"SREB Type2","Four-Year")</f>
        <v>0</v>
      </c>
      <c r="O236" s="97">
        <f>+GETPIVOTDATA(" Old-Oth PP",'Pivot Table for 1-11'!$A$3,"State","MD","SREB Type",6,"SREB Type2","Four-Year")</f>
        <v>0</v>
      </c>
      <c r="P236" s="81">
        <f t="shared" si="7"/>
        <v>443</v>
      </c>
    </row>
    <row r="237" spans="1:16" ht="15" customHeight="1" x14ac:dyDescent="0.2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0"/>
      <c r="O237" s="97"/>
      <c r="P237" s="81"/>
    </row>
    <row r="238" spans="1:16" ht="15" customHeight="1" x14ac:dyDescent="0.2">
      <c r="A238" s="5" t="s">
        <v>200</v>
      </c>
      <c r="B238" s="6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6">
        <f>+GETPIVOTDATA(" Old-Associate's",'Pivot Table for 1-11'!$A$3,"State","MS","SREB Type",6,"SREB Type2","Four-Year")</f>
        <v>0</v>
      </c>
      <c r="D238" s="6">
        <f>+GETPIVOTDATA(" Old-Bachelor's",'Pivot Table for 1-11'!$A$3,"State","MS","SREB Type",6,"SREB Type2","Four-Year")</f>
        <v>0</v>
      </c>
      <c r="E238" s="6">
        <f>+GETPIVOTDATA(" Old-Post-Bachelor's",'Pivot Table for 1-11'!$A$3,"State","MS","SREB Type",6,"SREB Type2","Four-Year")</f>
        <v>0</v>
      </c>
      <c r="F238" s="6">
        <f>+GETPIVOTDATA(" Old-Total Master's#",'Pivot Table for 1-11'!$A$3,"State","MS","SREB Type",6,"SREB Type2","Four-Year")</f>
        <v>0</v>
      </c>
      <c r="G238" s="6">
        <f>+GETPIVOTDATA(" Old-Total Doctorates#",'Pivot Table for 1-11'!$A$3,"State","MS","SREB Type",6,"SREB Type2","Four-Year")</f>
        <v>0</v>
      </c>
      <c r="H238" s="17">
        <f>+GETPIVOTDATA(" Old-Law",'Pivot Table for 1-11'!$A$3,"State","MS","SREB Type",6,"SREB Type2","Four-Year")</f>
        <v>0</v>
      </c>
      <c r="I238" s="6">
        <f>+GETPIVOTDATA(" Old-Medicine",'Pivot Table for 1-11'!$A$3,"State","MS","SREB Type",6,"SREB Type2","Four-Year")</f>
        <v>0</v>
      </c>
      <c r="J238" s="6">
        <f>+GETPIVOTDATA(" Old-Dentistry",'Pivot Table for 1-11'!$A$3,"State","MS","SREB Type",6,"SREB Type2","Four-Year")</f>
        <v>0</v>
      </c>
      <c r="K238" s="6">
        <f>+GETPIVOTDATA(" Old-Pharmacy",'Pivot Table for 1-11'!$A$3,"State","MS","SREB Type",6,"SREB Type2","Four-Year")</f>
        <v>0</v>
      </c>
      <c r="L238" s="6">
        <f>+GETPIVOTDATA(" Old-Optometry",'Pivot Table for 1-11'!$A$3,"State","MS","SREB Type",6,"SREB Type2","Four-Year")</f>
        <v>0</v>
      </c>
      <c r="M238" s="6">
        <f>+GETPIVOTDATA(" Old-Osteopathic Medicine",'Pivot Table for 1-11'!$A$3,"State","MS","SREB Type",6,"SREB Type2","Four-Year")</f>
        <v>0</v>
      </c>
      <c r="N238" s="80">
        <f>+GETPIVOTDATA(" Old-Veterinary Medicine",'Pivot Table for 1-11'!$A$3,"State","MS","SREB Type",6,"SREB Type2","Four-Year")</f>
        <v>0</v>
      </c>
      <c r="O238" s="97">
        <f>+GETPIVOTDATA(" Old-Oth PP",'Pivot Table for 1-11'!$A$3,"State","MS","SREB Type",6,"SREB Type2","Four-Year")</f>
        <v>0</v>
      </c>
      <c r="P238" s="81">
        <f t="shared" si="7"/>
        <v>0</v>
      </c>
    </row>
    <row r="239" spans="1:16" ht="15" customHeight="1" x14ac:dyDescent="0.2">
      <c r="A239" s="5" t="s">
        <v>201</v>
      </c>
      <c r="B239" s="6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6">
        <f>+GETPIVOTDATA(" Old-Associate's",'Pivot Table for 1-11'!$A$3,"State","NC","SREB Type",6,"SREB Type2","Four-Year")</f>
        <v>0</v>
      </c>
      <c r="D239" s="6">
        <f>+GETPIVOTDATA(" Old-Bachelor's",'Pivot Table for 1-11'!$A$3,"State","NC","SREB Type",6,"SREB Type2","Four-Year")</f>
        <v>1171</v>
      </c>
      <c r="E239" s="6">
        <f>+GETPIVOTDATA(" Old-Post-Bachelor's",'Pivot Table for 1-11'!$A$3,"State","NC","SREB Type",6,"SREB Type2","Four-Year")</f>
        <v>0</v>
      </c>
      <c r="F239" s="6">
        <f>+GETPIVOTDATA(" Old-Total Master's#",'Pivot Table for 1-11'!$A$3,"State","NC","SREB Type",6,"SREB Type2","Four-Year")</f>
        <v>30</v>
      </c>
      <c r="G239" s="6">
        <f>+GETPIVOTDATA(" Old-Total Doctorates#",'Pivot Table for 1-11'!$A$3,"State","NC","SREB Type",6,"SREB Type2","Four-Year")</f>
        <v>0</v>
      </c>
      <c r="H239" s="17">
        <f>+GETPIVOTDATA(" Old-Law",'Pivot Table for 1-11'!$A$3,"State","NC","SREB Type",6,"SREB Type2","Four-Year")</f>
        <v>0</v>
      </c>
      <c r="I239" s="6">
        <f>+GETPIVOTDATA(" Old-Medicine",'Pivot Table for 1-11'!$A$3,"State","NC","SREB Type",6,"SREB Type2","Four-Year")</f>
        <v>0</v>
      </c>
      <c r="J239" s="6">
        <f>+GETPIVOTDATA(" Old-Dentistry",'Pivot Table for 1-11'!$A$3,"State","NC","SREB Type",6,"SREB Type2","Four-Year")</f>
        <v>0</v>
      </c>
      <c r="K239" s="6">
        <f>+GETPIVOTDATA(" Old-Pharmacy",'Pivot Table for 1-11'!$A$3,"State","NC","SREB Type",6,"SREB Type2","Four-Year")</f>
        <v>0</v>
      </c>
      <c r="L239" s="6">
        <f>+GETPIVOTDATA(" Old-Optometry",'Pivot Table for 1-11'!$A$3,"State","NC","SREB Type",6,"SREB Type2","Four-Year")</f>
        <v>0</v>
      </c>
      <c r="M239" s="6">
        <f>+GETPIVOTDATA(" Old-Osteopathic Medicine",'Pivot Table for 1-11'!$A$3,"State","NC","SREB Type",6,"SREB Type2","Four-Year")</f>
        <v>0</v>
      </c>
      <c r="N239" s="80">
        <f>+GETPIVOTDATA(" Old-Veterinary Medicine",'Pivot Table for 1-11'!$A$3,"State","NC","SREB Type",6,"SREB Type2","Four-Year")</f>
        <v>0</v>
      </c>
      <c r="O239" s="97">
        <f>+GETPIVOTDATA(" Old-Oth PP",'Pivot Table for 1-11'!$A$3,"State","NC","SREB Type",6,"SREB Type2","Four-Year")</f>
        <v>0</v>
      </c>
      <c r="P239" s="81">
        <f t="shared" si="7"/>
        <v>1201</v>
      </c>
    </row>
    <row r="240" spans="1:16" ht="15" customHeight="1" x14ac:dyDescent="0.2">
      <c r="A240" s="5" t="s">
        <v>202</v>
      </c>
      <c r="B240" s="6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6">
        <f>+GETPIVOTDATA(" Old-Associate's",'Pivot Table for 1-11'!$A$3,"State","OK","SREB Type",6,"SREB Type2","Four-Year")</f>
        <v>337</v>
      </c>
      <c r="D240" s="6">
        <f>+GETPIVOTDATA(" Old-Bachelor's",'Pivot Table for 1-11'!$A$3,"State","OK","SREB Type",6,"SREB Type2","Four-Year")</f>
        <v>688</v>
      </c>
      <c r="E240" s="6">
        <f>+GETPIVOTDATA(" Old-Post-Bachelor's",'Pivot Table for 1-11'!$A$3,"State","OK","SREB Type",6,"SREB Type2","Four-Year")</f>
        <v>0</v>
      </c>
      <c r="F240" s="6">
        <f>+GETPIVOTDATA(" Old-Total Master's#",'Pivot Table for 1-11'!$A$3,"State","OK","SREB Type",6,"SREB Type2","Four-Year")</f>
        <v>0</v>
      </c>
      <c r="G240" s="6">
        <f>+GETPIVOTDATA(" Old-Total Doctorates#",'Pivot Table for 1-11'!$A$3,"State","OK","SREB Type",6,"SREB Type2","Four-Year")</f>
        <v>0</v>
      </c>
      <c r="H240" s="17">
        <f>+GETPIVOTDATA(" Old-Law",'Pivot Table for 1-11'!$A$3,"State","OK","SREB Type",6,"SREB Type2","Four-Year")</f>
        <v>0</v>
      </c>
      <c r="I240" s="6">
        <f>+GETPIVOTDATA(" Old-Medicine",'Pivot Table for 1-11'!$A$3,"State","OK","SREB Type",6,"SREB Type2","Four-Year")</f>
        <v>0</v>
      </c>
      <c r="J240" s="6">
        <f>+GETPIVOTDATA(" Old-Dentistry",'Pivot Table for 1-11'!$A$3,"State","OK","SREB Type",6,"SREB Type2","Four-Year")</f>
        <v>0</v>
      </c>
      <c r="K240" s="6">
        <f>+GETPIVOTDATA(" Old-Pharmacy",'Pivot Table for 1-11'!$A$3,"State","OK","SREB Type",6,"SREB Type2","Four-Year")</f>
        <v>0</v>
      </c>
      <c r="L240" s="6">
        <f>+GETPIVOTDATA(" Old-Optometry",'Pivot Table for 1-11'!$A$3,"State","OK","SREB Type",6,"SREB Type2","Four-Year")</f>
        <v>0</v>
      </c>
      <c r="M240" s="6">
        <f>+GETPIVOTDATA(" Old-Osteopathic Medicine",'Pivot Table for 1-11'!$A$3,"State","OK","SREB Type",6,"SREB Type2","Four-Year")</f>
        <v>0</v>
      </c>
      <c r="N240" s="80">
        <f>+GETPIVOTDATA(" Old-Veterinary Medicine",'Pivot Table for 1-11'!$A$3,"State","OK","SREB Type",6,"SREB Type2","Four-Year")</f>
        <v>0</v>
      </c>
      <c r="O240" s="97">
        <f>+GETPIVOTDATA(" Old-Oth PP",'Pivot Table for 1-11'!$A$3,"State","OK","SREB Type",6,"SREB Type2","Four-Year")</f>
        <v>0</v>
      </c>
      <c r="P240" s="81">
        <f t="shared" si="7"/>
        <v>1025</v>
      </c>
    </row>
    <row r="241" spans="1:16" ht="15" customHeight="1" x14ac:dyDescent="0.2">
      <c r="A241" s="5" t="s">
        <v>203</v>
      </c>
      <c r="B241" s="6">
        <f>+GETPIVOTDATA(" Old-Less Than 2-Year",'Pivot Table for 1-11'!$A$3,"State","SC","SREB Type",6,"SREB Type2","Four-Year")+GETPIVOTDATA(" Old-2 But Less Than 4-Year",'Pivot Table for 1-11'!$A$3,"State","SC","SREB Type",6,"SREB Type2","Four-Year")</f>
        <v>5</v>
      </c>
      <c r="C241" s="6">
        <f>+GETPIVOTDATA(" Old-Associate's",'Pivot Table for 1-11'!$A$3,"State","SC","SREB Type",6,"SREB Type2","Four-Year")</f>
        <v>3</v>
      </c>
      <c r="D241" s="6">
        <f>+GETPIVOTDATA(" Old-Bachelor's",'Pivot Table for 1-11'!$A$3,"State","SC","SREB Type",6,"SREB Type2","Four-Year")</f>
        <v>2222</v>
      </c>
      <c r="E241" s="6">
        <f>+GETPIVOTDATA(" Old-Post-Bachelor's",'Pivot Table for 1-11'!$A$3,"State","SC","SREB Type",6,"SREB Type2","Four-Year")</f>
        <v>2</v>
      </c>
      <c r="F241" s="6">
        <f>+GETPIVOTDATA(" Old-Total Master's#",'Pivot Table for 1-11'!$A$3,"State","SC","SREB Type",6,"SREB Type2","Four-Year")</f>
        <v>26</v>
      </c>
      <c r="G241" s="6">
        <f>+GETPIVOTDATA(" Old-Total Doctorates#",'Pivot Table for 1-11'!$A$3,"State","SC","SREB Type",6,"SREB Type2","Four-Year")</f>
        <v>0</v>
      </c>
      <c r="H241" s="17">
        <f>+GETPIVOTDATA(" Old-Law",'Pivot Table for 1-11'!$A$3,"State","SC","SREB Type",6,"SREB Type2","Four-Year")</f>
        <v>0</v>
      </c>
      <c r="I241" s="6">
        <f>+GETPIVOTDATA(" Old-Medicine",'Pivot Table for 1-11'!$A$3,"State","SC","SREB Type",6,"SREB Type2","Four-Year")</f>
        <v>0</v>
      </c>
      <c r="J241" s="6">
        <f>+GETPIVOTDATA(" Old-Dentistry",'Pivot Table for 1-11'!$A$3,"State","SC","SREB Type",6,"SREB Type2","Four-Year")</f>
        <v>0</v>
      </c>
      <c r="K241" s="6">
        <f>+GETPIVOTDATA(" Old-Pharmacy",'Pivot Table for 1-11'!$A$3,"State","SC","SREB Type",6,"SREB Type2","Four-Year")</f>
        <v>0</v>
      </c>
      <c r="L241" s="6">
        <f>+GETPIVOTDATA(" Old-Optometry",'Pivot Table for 1-11'!$A$3,"State","SC","SREB Type",6,"SREB Type2","Four-Year")</f>
        <v>0</v>
      </c>
      <c r="M241" s="6">
        <f>+GETPIVOTDATA(" Old-Osteopathic Medicine",'Pivot Table for 1-11'!$A$3,"State","SC","SREB Type",6,"SREB Type2","Four-Year")</f>
        <v>0</v>
      </c>
      <c r="N241" s="80">
        <f>+GETPIVOTDATA(" Old-Veterinary Medicine",'Pivot Table for 1-11'!$A$3,"State","SC","SREB Type",6,"SREB Type2","Four-Year")</f>
        <v>0</v>
      </c>
      <c r="O241" s="97">
        <f>+GETPIVOTDATA(" Old-Oth PP",'Pivot Table for 1-11'!$A$3,"State","SC","SREB Type",6,"SREB Type2","Four-Year")</f>
        <v>0</v>
      </c>
      <c r="P241" s="81">
        <f t="shared" si="7"/>
        <v>2258</v>
      </c>
    </row>
    <row r="242" spans="1:16" ht="15" customHeight="1" x14ac:dyDescent="0.2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0"/>
      <c r="O242" s="97"/>
      <c r="P242" s="81"/>
    </row>
    <row r="243" spans="1:16" ht="15" customHeight="1" x14ac:dyDescent="0.2">
      <c r="A243" s="5" t="s">
        <v>204</v>
      </c>
      <c r="B243" s="6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6">
        <f>+GETPIVOTDATA(" Old-Associate's",'Pivot Table for 1-11'!$A$3,"State","TN","SREB Type",6,"SREB Type2","Four-Year")</f>
        <v>0</v>
      </c>
      <c r="D243" s="6">
        <f>+GETPIVOTDATA(" Old-Bachelor's",'Pivot Table for 1-11'!$A$3,"State","TN","SREB Type",6,"SREB Type2","Four-Year")</f>
        <v>0</v>
      </c>
      <c r="E243" s="6">
        <f>+GETPIVOTDATA(" Old-Post-Bachelor's",'Pivot Table for 1-11'!$A$3,"State","TN","SREB Type",6,"SREB Type2","Four-Year")</f>
        <v>0</v>
      </c>
      <c r="F243" s="6">
        <f>+GETPIVOTDATA(" Old-Total Master's#",'Pivot Table for 1-11'!$A$3,"State","TN","SREB Type",6,"SREB Type2","Four-Year")</f>
        <v>0</v>
      </c>
      <c r="G243" s="6">
        <f>+GETPIVOTDATA(" Old-Total Doctorates#",'Pivot Table for 1-11'!$A$3,"State","TN","SREB Type",6,"SREB Type2","Four-Year")</f>
        <v>0</v>
      </c>
      <c r="H243" s="17">
        <f>+GETPIVOTDATA(" Old-Law",'Pivot Table for 1-11'!$A$3,"State","TN","SREB Type",6,"SREB Type2","Four-Year")</f>
        <v>0</v>
      </c>
      <c r="I243" s="6">
        <f>+GETPIVOTDATA(" Old-Medicine",'Pivot Table for 1-11'!$A$3,"State","TN","SREB Type",6,"SREB Type2","Four-Year")</f>
        <v>0</v>
      </c>
      <c r="J243" s="6">
        <f>+GETPIVOTDATA(" Old-Dentistry",'Pivot Table for 1-11'!$A$3,"State","TN","SREB Type",6,"SREB Type2","Four-Year")</f>
        <v>0</v>
      </c>
      <c r="K243" s="6">
        <f>+GETPIVOTDATA(" Old-Pharmacy",'Pivot Table for 1-11'!$A$3,"State","TN","SREB Type",6,"SREB Type2","Four-Year")</f>
        <v>0</v>
      </c>
      <c r="L243" s="6">
        <f>+GETPIVOTDATA(" Old-Optometry",'Pivot Table for 1-11'!$A$3,"State","TN","SREB Type",6,"SREB Type2","Four-Year")</f>
        <v>0</v>
      </c>
      <c r="M243" s="6">
        <f>+GETPIVOTDATA(" Old-Osteopathic Medicine",'Pivot Table for 1-11'!$A$3,"State","TN","SREB Type",6,"SREB Type2","Four-Year")</f>
        <v>0</v>
      </c>
      <c r="N243" s="80">
        <f>+GETPIVOTDATA(" Old-Veterinary Medicine",'Pivot Table for 1-11'!$A$3,"State","TN","SREB Type",6,"SREB Type2","Four-Year")</f>
        <v>0</v>
      </c>
      <c r="O243" s="97">
        <f>+GETPIVOTDATA(" Old-Oth PP",'Pivot Table for 1-11'!$A$3,"State","TN","SREB Type",6,"SREB Type2","Four-Year")</f>
        <v>0</v>
      </c>
      <c r="P243" s="81">
        <f t="shared" si="7"/>
        <v>0</v>
      </c>
    </row>
    <row r="244" spans="1:16" ht="15" customHeight="1" x14ac:dyDescent="0.2">
      <c r="A244" s="5" t="s">
        <v>205</v>
      </c>
      <c r="B244" s="6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6">
        <f>+GETPIVOTDATA(" Old-Associate's",'Pivot Table for 1-11'!$A$3,"State","TX","SREB Type",6,"SREB Type2","Four-Year")</f>
        <v>0</v>
      </c>
      <c r="D244" s="6">
        <f>+GETPIVOTDATA(" Old-Bachelor's",'Pivot Table for 1-11'!$A$3,"State","TX","SREB Type",6,"SREB Type2","Four-Year")</f>
        <v>250</v>
      </c>
      <c r="E244" s="6">
        <f>+GETPIVOTDATA(" Old-Post-Bachelor's",'Pivot Table for 1-11'!$A$3,"State","TX","SREB Type",6,"SREB Type2","Four-Year")</f>
        <v>0</v>
      </c>
      <c r="F244" s="6">
        <f>+GETPIVOTDATA(" Old-Total Master's#",'Pivot Table for 1-11'!$A$3,"State","TX","SREB Type",6,"SREB Type2","Four-Year")</f>
        <v>9</v>
      </c>
      <c r="G244" s="6">
        <f>+GETPIVOTDATA(" Old-Total Doctorates#",'Pivot Table for 1-11'!$A$3,"State","TX","SREB Type",6,"SREB Type2","Four-Year")</f>
        <v>0</v>
      </c>
      <c r="H244" s="17">
        <f>+GETPIVOTDATA(" Old-Law",'Pivot Table for 1-11'!$A$3,"State","TX","SREB Type",6,"SREB Type2","Four-Year")</f>
        <v>0</v>
      </c>
      <c r="I244" s="6">
        <f>+GETPIVOTDATA(" Old-Medicine",'Pivot Table for 1-11'!$A$3,"State","TX","SREB Type",6,"SREB Type2","Four-Year")</f>
        <v>0</v>
      </c>
      <c r="J244" s="6">
        <f>+GETPIVOTDATA(" Old-Dentistry",'Pivot Table for 1-11'!$A$3,"State","TX","SREB Type",6,"SREB Type2","Four-Year")</f>
        <v>0</v>
      </c>
      <c r="K244" s="6">
        <f>+GETPIVOTDATA(" Old-Pharmacy",'Pivot Table for 1-11'!$A$3,"State","TX","SREB Type",6,"SREB Type2","Four-Year")</f>
        <v>0</v>
      </c>
      <c r="L244" s="6">
        <f>+GETPIVOTDATA(" Old-Optometry",'Pivot Table for 1-11'!$A$3,"State","TX","SREB Type",6,"SREB Type2","Four-Year")</f>
        <v>0</v>
      </c>
      <c r="M244" s="6">
        <f>+GETPIVOTDATA(" Old-Osteopathic Medicine",'Pivot Table for 1-11'!$A$3,"State","TX","SREB Type",6,"SREB Type2","Four-Year")</f>
        <v>0</v>
      </c>
      <c r="N244" s="80">
        <f>+GETPIVOTDATA(" Old-Veterinary Medicine",'Pivot Table for 1-11'!$A$3,"State","TX","SREB Type",6,"SREB Type2","Four-Year")</f>
        <v>0</v>
      </c>
      <c r="O244" s="97">
        <f>+GETPIVOTDATA(" Old-Oth PP",'Pivot Table for 1-11'!$A$3,"State","TX","SREB Type",6,"SREB Type2","Four-Year")</f>
        <v>0</v>
      </c>
      <c r="P244" s="81">
        <f t="shared" si="7"/>
        <v>259</v>
      </c>
    </row>
    <row r="245" spans="1:16" ht="15" customHeight="1" x14ac:dyDescent="0.2">
      <c r="A245" s="5" t="s">
        <v>206</v>
      </c>
      <c r="B245" s="6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6">
        <f>+GETPIVOTDATA(" Old-Associate's",'Pivot Table for 1-11'!$A$3,"State","VA","SREB Type",6,"SREB Type2","Four-Year")</f>
        <v>0</v>
      </c>
      <c r="D245" s="6">
        <f>+GETPIVOTDATA(" Old-Bachelor's",'Pivot Table for 1-11'!$A$3,"State","VA","SREB Type",6,"SREB Type2","Four-Year")</f>
        <v>259</v>
      </c>
      <c r="E245" s="6">
        <f>+GETPIVOTDATA(" Old-Post-Bachelor's",'Pivot Table for 1-11'!$A$3,"State","VA","SREB Type",6,"SREB Type2","Four-Year")</f>
        <v>0</v>
      </c>
      <c r="F245" s="6">
        <f>+GETPIVOTDATA(" Old-Total Master's#",'Pivot Table for 1-11'!$A$3,"State","VA","SREB Type",6,"SREB Type2","Four-Year")</f>
        <v>0</v>
      </c>
      <c r="G245" s="6">
        <f>+GETPIVOTDATA(" Old-Total Doctorates#",'Pivot Table for 1-11'!$A$3,"State","VA","SREB Type",6,"SREB Type2","Four-Year")</f>
        <v>0</v>
      </c>
      <c r="H245" s="17">
        <f>+GETPIVOTDATA(" Old-Law",'Pivot Table for 1-11'!$A$3,"State","VA","SREB Type",6,"SREB Type2","Four-Year")</f>
        <v>0</v>
      </c>
      <c r="I245" s="6">
        <f>+GETPIVOTDATA(" Old-Medicine",'Pivot Table for 1-11'!$A$3,"State","VA","SREB Type",6,"SREB Type2","Four-Year")</f>
        <v>0</v>
      </c>
      <c r="J245" s="6">
        <f>+GETPIVOTDATA(" Old-Dentistry",'Pivot Table for 1-11'!$A$3,"State","VA","SREB Type",6,"SREB Type2","Four-Year")</f>
        <v>0</v>
      </c>
      <c r="K245" s="6">
        <f>+GETPIVOTDATA(" Old-Pharmacy",'Pivot Table for 1-11'!$A$3,"State","VA","SREB Type",6,"SREB Type2","Four-Year")</f>
        <v>0</v>
      </c>
      <c r="L245" s="6">
        <f>+GETPIVOTDATA(" Old-Optometry",'Pivot Table for 1-11'!$A$3,"State","VA","SREB Type",6,"SREB Type2","Four-Year")</f>
        <v>0</v>
      </c>
      <c r="M245" s="6">
        <f>+GETPIVOTDATA(" Old-Osteopathic Medicine",'Pivot Table for 1-11'!$A$3,"State","VA","SREB Type",6,"SREB Type2","Four-Year")</f>
        <v>0</v>
      </c>
      <c r="N245" s="80">
        <f>+GETPIVOTDATA(" Old-Veterinary Medicine",'Pivot Table for 1-11'!$A$3,"State","VA","SREB Type",6,"SREB Type2","Four-Year")</f>
        <v>0</v>
      </c>
      <c r="O245" s="97">
        <f>+GETPIVOTDATA(" Old-Oth PP",'Pivot Table for 1-11'!$A$3,"State","VA","SREB Type",6,"SREB Type2","Four-Year")</f>
        <v>0</v>
      </c>
      <c r="P245" s="81">
        <f t="shared" si="7"/>
        <v>259</v>
      </c>
    </row>
    <row r="246" spans="1:16" ht="15" customHeight="1" x14ac:dyDescent="0.2">
      <c r="A246" s="7" t="s">
        <v>207</v>
      </c>
      <c r="B246" s="8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8">
        <f>+GETPIVOTDATA(" Old-Associate's",'Pivot Table for 1-11'!$A$3,"State","WV","SREB Type",6,"SREB Type2","Four-Year")</f>
        <v>130</v>
      </c>
      <c r="D246" s="8">
        <f>+GETPIVOTDATA(" Old-Bachelor's",'Pivot Table for 1-11'!$A$3,"State","WV","SREB Type",6,"SREB Type2","Four-Year")</f>
        <v>1728</v>
      </c>
      <c r="E246" s="8">
        <f>+GETPIVOTDATA(" Old-Post-Bachelor's",'Pivot Table for 1-11'!$A$3,"State","WV","SREB Type",6,"SREB Type2","Four-Year")</f>
        <v>0</v>
      </c>
      <c r="F246" s="8">
        <f>+GETPIVOTDATA(" Old-Total Master's#",'Pivot Table for 1-11'!$A$3,"State","WV","SREB Type",6,"SREB Type2","Four-Year")</f>
        <v>65</v>
      </c>
      <c r="G246" s="8">
        <f>+GETPIVOTDATA(" Old-Total Doctorates#",'Pivot Table for 1-11'!$A$3,"State","WV","SREB Type",6,"SREB Type2","Four-Year")</f>
        <v>0</v>
      </c>
      <c r="H246" s="18">
        <f>+GETPIVOTDATA(" Old-Law",'Pivot Table for 1-11'!$A$3,"State","WV","SREB Type",6,"SREB Type2","Four-Year")</f>
        <v>0</v>
      </c>
      <c r="I246" s="8">
        <f>+GETPIVOTDATA(" Old-Medicine",'Pivot Table for 1-11'!$A$3,"State","WV","SREB Type",6,"SREB Type2","Four-Year")</f>
        <v>0</v>
      </c>
      <c r="J246" s="8">
        <f>+GETPIVOTDATA(" Old-Dentistry",'Pivot Table for 1-11'!$A$3,"State","WV","SREB Type",6,"SREB Type2","Four-Year")</f>
        <v>0</v>
      </c>
      <c r="K246" s="8">
        <f>+GETPIVOTDATA(" Old-Pharmacy",'Pivot Table for 1-11'!$A$3,"State","WV","SREB Type",6,"SREB Type2","Four-Year")</f>
        <v>0</v>
      </c>
      <c r="L246" s="8">
        <f>+GETPIVOTDATA(" Old-Optometry",'Pivot Table for 1-11'!$A$3,"State","WV","SREB Type",6,"SREB Type2","Four-Year")</f>
        <v>0</v>
      </c>
      <c r="M246" s="8">
        <f>+GETPIVOTDATA(" Old-Osteopathic Medicine",'Pivot Table for 1-11'!$A$3,"State","WV","SREB Type",6,"SREB Type2","Four-Year")</f>
        <v>0</v>
      </c>
      <c r="N246" s="88">
        <f>+GETPIVOTDATA(" Old-Veterinary Medicine",'Pivot Table for 1-11'!$A$3,"State","WV","SREB Type",6,"SREB Type2","Four-Year")</f>
        <v>0</v>
      </c>
      <c r="O246" s="98">
        <f>+GETPIVOTDATA(" Old-Oth PP",'Pivot Table for 1-11'!$A$3,"State","WV","SREB Type",6,"SREB Type2","Four-Year")</f>
        <v>0</v>
      </c>
      <c r="P246" s="82">
        <f t="shared" si="7"/>
        <v>1923</v>
      </c>
    </row>
    <row r="247" spans="1:16" x14ac:dyDescent="0.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0"/>
      <c r="O247" s="80"/>
      <c r="P247" s="80"/>
    </row>
    <row r="248" spans="1:16" ht="29.25" customHeight="1" x14ac:dyDescent="0.2">
      <c r="A248" s="856" t="s">
        <v>409</v>
      </c>
      <c r="B248" s="857"/>
      <c r="C248" s="857"/>
      <c r="D248" s="857"/>
      <c r="E248" s="857"/>
      <c r="F248" s="857"/>
      <c r="G248" s="857"/>
      <c r="H248" s="857"/>
      <c r="I248" s="857"/>
      <c r="J248" s="857"/>
      <c r="K248" s="857"/>
      <c r="L248" s="857"/>
      <c r="M248" s="857"/>
      <c r="N248" s="857"/>
      <c r="O248" s="857"/>
      <c r="P248" s="857"/>
    </row>
    <row r="249" spans="1:16" ht="15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89"/>
      <c r="O249" s="89"/>
      <c r="P249" s="83" t="s">
        <v>1293</v>
      </c>
    </row>
    <row r="250" spans="1:16" ht="18" x14ac:dyDescent="0.25">
      <c r="A250" s="22" t="s">
        <v>215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8" t="s">
        <v>216</v>
      </c>
      <c r="O250" s="58"/>
      <c r="P250" s="58"/>
    </row>
    <row r="251" spans="1:1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7" t="s">
        <v>216</v>
      </c>
      <c r="O251" s="57"/>
      <c r="P251" s="57"/>
    </row>
    <row r="252" spans="1:16" ht="15.75" x14ac:dyDescent="0.25">
      <c r="A252" s="1" t="s">
        <v>181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8" t="s">
        <v>216</v>
      </c>
      <c r="O252" s="58"/>
      <c r="P252" s="58"/>
    </row>
    <row r="253" spans="1:16" ht="15.75" x14ac:dyDescent="0.25">
      <c r="A253" s="1" t="s">
        <v>486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8" t="s">
        <v>216</v>
      </c>
      <c r="O253" s="58"/>
      <c r="P253" s="58"/>
    </row>
    <row r="254" spans="1:16" x14ac:dyDescent="0.2">
      <c r="A254" s="4"/>
      <c r="B254" s="4"/>
      <c r="C254" s="4"/>
      <c r="D254" s="4"/>
      <c r="E254" s="4"/>
      <c r="F254" s="4"/>
      <c r="G254" s="4"/>
      <c r="H254" s="4"/>
      <c r="I254" s="4"/>
      <c r="N254" s="57" t="s">
        <v>216</v>
      </c>
      <c r="O254" s="57"/>
    </row>
    <row r="255" spans="1:16" x14ac:dyDescent="0.2">
      <c r="A255" s="11"/>
      <c r="B255" s="12" t="s">
        <v>217</v>
      </c>
      <c r="C255" s="12"/>
      <c r="D255" s="53"/>
      <c r="E255" s="13" t="s">
        <v>218</v>
      </c>
      <c r="F255" s="12"/>
      <c r="G255" s="53"/>
      <c r="H255" s="13" t="s">
        <v>219</v>
      </c>
      <c r="I255" s="53"/>
      <c r="J255" s="13" t="s">
        <v>220</v>
      </c>
      <c r="K255" s="53"/>
      <c r="L255" s="13" t="s">
        <v>221</v>
      </c>
      <c r="M255" s="12"/>
      <c r="N255" s="57" t="s">
        <v>216</v>
      </c>
      <c r="O255" s="57"/>
    </row>
    <row r="256" spans="1:16" ht="24" x14ac:dyDescent="0.2">
      <c r="A256" s="14"/>
      <c r="B256" s="15" t="s">
        <v>244</v>
      </c>
      <c r="C256" s="15" t="s">
        <v>222</v>
      </c>
      <c r="D256" s="54" t="s">
        <v>177</v>
      </c>
      <c r="E256" s="16" t="s">
        <v>244</v>
      </c>
      <c r="F256" s="15" t="s">
        <v>222</v>
      </c>
      <c r="G256" s="54" t="s">
        <v>177</v>
      </c>
      <c r="H256" s="16" t="s">
        <v>244</v>
      </c>
      <c r="I256" s="54" t="s">
        <v>222</v>
      </c>
      <c r="J256" s="16" t="s">
        <v>244</v>
      </c>
      <c r="K256" s="54" t="s">
        <v>222</v>
      </c>
      <c r="L256" s="16" t="s">
        <v>244</v>
      </c>
      <c r="M256" s="15" t="s">
        <v>222</v>
      </c>
      <c r="N256" s="57"/>
      <c r="O256" s="57"/>
    </row>
    <row r="257" spans="1:16" ht="15" customHeight="1" x14ac:dyDescent="0.2">
      <c r="A257" s="5" t="s">
        <v>191</v>
      </c>
      <c r="B257" s="6">
        <f>+GETPIVOTDATA(" Old-Less Than 2-Year",'Pivot Table for 1-11'!$A$3,"SREB Type2","Two-Year")+GETPIVOTDATA(" Old-2 But Less Than 4-Year",'Pivot Table for 1-11'!$A$3,"SREB Type2","Two-Year")</f>
        <v>131070</v>
      </c>
      <c r="C257" s="6">
        <f>+GETPIVOTDATA(" Old-Associate's",'Pivot Table for 1-11'!$A$3,"SREB Type2","Two-Year")</f>
        <v>240877</v>
      </c>
      <c r="D257" s="6">
        <f>+GETPIVOTDATA(" Old-Bachelor's",'Pivot Table for 1-11'!$A$3,"SREB Type2","Two-Year")</f>
        <v>3629</v>
      </c>
      <c r="E257" s="114">
        <f>+GETPIVOTDATA(" Old-Less Than 2-Year",'Pivot Table for 1-11'!$A$3,"SREB Type",7,"SREB Type2","Two-Year")+GETPIVOTDATA(" Old-2 But Less Than 4-Year",'Pivot Table for 1-11'!$A$3,"SREB Type",7,"SREB Type2","Two-Year")</f>
        <v>10594</v>
      </c>
      <c r="F257" s="115">
        <f>+GETPIVOTDATA(" Old-Associate's",'Pivot Table for 1-11'!$A$3,"SREB Type",7,"SREB Type2","Two-Year")</f>
        <v>32072</v>
      </c>
      <c r="G257" s="116">
        <f>+GETPIVOTDATA(" Old-Bachelor's",'Pivot Table for 1-11'!$A$3,"SREB Type",7,"SREB Type2","Two-Year")</f>
        <v>2377</v>
      </c>
      <c r="H257" s="114">
        <f>+GETPIVOTDATA(" Old-Less Than 2-Year",'Pivot Table for 1-11'!$A$3,"SREB Type",8,"SREB Type2","Two-Year")+GETPIVOTDATA(" Old-2 But Less Than 4-Year",'Pivot Table for 1-11'!$A$3,"SREB Type",8,"SREB Type2","Two-Year")</f>
        <v>58818</v>
      </c>
      <c r="I257" s="116">
        <f>+GETPIVOTDATA(" Old-Associate's",'Pivot Table for 1-11'!$A$3,"SREB Type",8,"SREB Type2","Two-Year")</f>
        <v>130235</v>
      </c>
      <c r="J257" s="114">
        <f>+GETPIVOTDATA(" Old-Less Than 2-Year",'Pivot Table for 1-11'!$A$3,"SREB Type",9,"SREB Type2","Two-Year")+GETPIVOTDATA(" Old-2 But Less Than 4-Year",'Pivot Table for 1-11'!$A$3,"SREB Type",9,"SREB Type2","Two-Year")</f>
        <v>43436</v>
      </c>
      <c r="K257" s="116">
        <f>+GETPIVOTDATA(" Old-Associate's",'Pivot Table for 1-11'!$A$3,"SREB Type",9,"SREB Type2","Two-Year")</f>
        <v>60901</v>
      </c>
      <c r="L257" s="6">
        <f>+GETPIVOTDATA(" Old-Less Than 2-Year",'Pivot Table for 1-11'!$A$3,"SREB Type",10,"SREB Type2","Two-Year")+GETPIVOTDATA(" Old-2 But Less Than 4-Year",'Pivot Table for 1-11'!$A$3,"SREB Type",10,"SREB Type2","Two-Year")</f>
        <v>18222</v>
      </c>
      <c r="M257" s="6">
        <f>+GETPIVOTDATA(" Old-Associate's",'Pivot Table for 1-11'!$A$3,"SREB Type",10,"SREB Type2","Two-Year")</f>
        <v>17669</v>
      </c>
      <c r="N257" s="80"/>
      <c r="O257" s="80"/>
    </row>
    <row r="258" spans="1:16" ht="15" customHeight="1" x14ac:dyDescent="0.2">
      <c r="A258" s="5"/>
      <c r="B258" s="6"/>
      <c r="C258" s="6"/>
      <c r="D258" s="6"/>
      <c r="E258" s="17"/>
      <c r="F258" s="40"/>
      <c r="G258" s="55"/>
      <c r="H258" s="17"/>
      <c r="I258" s="55"/>
      <c r="J258" s="17"/>
      <c r="K258" s="55"/>
      <c r="L258" s="6"/>
      <c r="M258" s="6"/>
      <c r="N258" s="80"/>
      <c r="O258" s="80"/>
      <c r="P258" s="62"/>
    </row>
    <row r="259" spans="1:16" ht="15" customHeight="1" x14ac:dyDescent="0.2">
      <c r="A259" s="5" t="s">
        <v>192</v>
      </c>
      <c r="B259" s="6">
        <f>+GETPIVOTDATA(" Old-Less Than 2-Year",'Pivot Table for 1-11'!$A$3,"State","AL","SREB Type2","Two-Year")+GETPIVOTDATA(" Old-2 But Less Than 4-Year",'Pivot Table for 1-11'!$A$3,"State","AL","SREB Type2","Two-Year")</f>
        <v>4530</v>
      </c>
      <c r="C259" s="6">
        <f>+GETPIVOTDATA(" Old-Associate's",'Pivot Table for 1-11'!$A$3,"State","AL","SREB Type2","Two-Year")</f>
        <v>8190</v>
      </c>
      <c r="D259" s="6">
        <f>+GETPIVOTDATA(" Old-Bachelor's",'Pivot Table for 1-11'!$A$3,"State","AL","SREB Type2","Two-Year")</f>
        <v>0</v>
      </c>
      <c r="E259" s="17">
        <f>GETPIVOTDATA(" Old-Less Than 2-Year",'Pivot Table for 1-11'!$A$3,"State","AL")+GETPIVOTDATA(" Old-2 But Less Than 4-Year",'Pivot Table for 1-11'!$A$3,"State","AL","SREB Type",7,"SREB Type2","Two-Year")</f>
        <v>5734</v>
      </c>
      <c r="F259" s="40">
        <f>+GETPIVOTDATA(" Old-Associate's",'Pivot Table for 1-11'!$A$3,"State","AL","SREB Type",7,"SREB Type2","Two-Year")</f>
        <v>0</v>
      </c>
      <c r="G259" s="55">
        <f>+GETPIVOTDATA(" Old-Bachelor's",'Pivot Table for 1-11'!$A$3,"State","AL","SREB Type",7,"SREB Type2","Two-Year")</f>
        <v>0</v>
      </c>
      <c r="H259" s="17">
        <f>GETPIVOTDATA(" Old-Less Than 2-Year",'Pivot Table for 1-11'!$A$3,"State","AL")+GETPIVOTDATA(" Old-2 But Less Than 4-Year",'Pivot Table for 1-11'!$A$3,"State","AL","SREB Type",8,"SREB Type2","Two-Year")</f>
        <v>5734</v>
      </c>
      <c r="I259" s="55">
        <f>+GETPIVOTDATA(" Old-Associate's",'Pivot Table for 1-11'!$A$3,"State","AL","SREB Type",8,"SREB Type2","Two-Year")</f>
        <v>3070</v>
      </c>
      <c r="J259" s="17">
        <f>GETPIVOTDATA(" Old-Less Than 2-Year",'Pivot Table for 1-11'!$A$3,"State","AL")+GETPIVOTDATA(" Old-2 But Less Than 4-Year",'Pivot Table for 1-11'!$A$3,"State","AL","SREB Type",9,"SREB Type2","Two-Year")</f>
        <v>5734</v>
      </c>
      <c r="K259" s="55">
        <f>+GETPIVOTDATA(" Old-Associate's",'Pivot Table for 1-11'!$A$3,"State","AL","SREB Type",9,"SREB Type2","Two-Year")</f>
        <v>3810</v>
      </c>
      <c r="L259" s="6">
        <f>GETPIVOTDATA(" Old-Less Than 2-Year",'Pivot Table for 1-11'!$A$3,"State","AL")+GETPIVOTDATA(" Old-2 But Less Than 4-Year",'Pivot Table for 1-11'!$A$3,"State","AL","SREB Type",10,"SREB Type2","Two-Year")</f>
        <v>5734</v>
      </c>
      <c r="M259" s="6">
        <f>+GETPIVOTDATA(" Old-Associate's",'Pivot Table for 1-11'!$A$3,"State","AL","SREB Type",10,"SREB Type2","Two-Year")</f>
        <v>1310</v>
      </c>
      <c r="N259" s="80"/>
      <c r="O259" s="80"/>
    </row>
    <row r="260" spans="1:16" ht="15" customHeight="1" x14ac:dyDescent="0.2">
      <c r="A260" s="5" t="s">
        <v>193</v>
      </c>
      <c r="B260" s="6">
        <f>+GETPIVOTDATA(" Old-Less Than 2-Year",'Pivot Table for 1-11'!$A$3,"State","AR","SREB Type2","Two-Year")+GETPIVOTDATA(" Old-2 But Less Than 4-Year",'Pivot Table for 1-11'!$A$3,"State","AR","SREB Type2","Two-Year")</f>
        <v>8587</v>
      </c>
      <c r="C260" s="6">
        <f>+GETPIVOTDATA(" Old-Associate's",'Pivot Table for 1-11'!$A$3,"State","AR","SREB Type2","Two-Year")</f>
        <v>6449</v>
      </c>
      <c r="D260" s="6">
        <f>+GETPIVOTDATA(" Old-Bachelor's",'Pivot Table for 1-11'!$A$3,"State","AR","SREB Type2","Two-Year")</f>
        <v>0</v>
      </c>
      <c r="E260" s="17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40">
        <f>+GETPIVOTDATA(" Old-Associate's",'Pivot Table for 1-11'!$A$3,"State","AR","SREB Type",7,"SREB Type2","Two-Year")</f>
        <v>0</v>
      </c>
      <c r="G260" s="55">
        <f>+GETPIVOTDATA(" Old-Bachelor's",'Pivot Table for 1-11'!$A$3,"State","AR","SREB Type",7,"SREB Type2","Two-Year")</f>
        <v>0</v>
      </c>
      <c r="H260" s="17">
        <f>+GETPIVOTDATA(" Old-Less Than 2-Year",'Pivot Table for 1-11'!$A$3,"State","AR","SREB Type",8,"SREB Type2","Two-Year")+GETPIVOTDATA(" Old-2 But Less Than 4-Year",'Pivot Table for 1-11'!$A$3,"State","AR","SREB Type",8,"SREB Type2","Two-Year")</f>
        <v>2371</v>
      </c>
      <c r="I260" s="55">
        <f>+GETPIVOTDATA(" Old-Associate's",'Pivot Table for 1-11'!$A$3,"State","AR","SREB Type",8,"SREB Type2","Two-Year")</f>
        <v>2278</v>
      </c>
      <c r="J260" s="17">
        <f>+GETPIVOTDATA(" Old-Less Than 2-Year",'Pivot Table for 1-11'!$A$3,"State","AR","SREB Type",9,"SREB Type2","Two-Year")+GETPIVOTDATA(" Old-2 But Less Than 4-Year",'Pivot Table for 1-11'!$A$3,"State","AR","SREB Type",9,"SREB Type2","Two-Year")</f>
        <v>808</v>
      </c>
      <c r="K260" s="55">
        <f>+GETPIVOTDATA(" Old-Associate's",'Pivot Table for 1-11'!$A$3,"State","AR","SREB Type",9,"SREB Type2","Two-Year")</f>
        <v>962</v>
      </c>
      <c r="L260" s="6">
        <f>+GETPIVOTDATA(" Old-Less Than 2-Year",'Pivot Table for 1-11'!$A$3,"State","AR","SREB Type",10,"SREB Type2","Two-Year")+GETPIVOTDATA(" Old-2 But Less Than 4-Year",'Pivot Table for 1-11'!$A$3,"State","AR","SREB Type",10,"SREB Type2","Two-Year")</f>
        <v>5408</v>
      </c>
      <c r="M260" s="6">
        <f>+GETPIVOTDATA(" Old-Associate's",'Pivot Table for 1-11'!$A$3,"State","AR","SREB Type",10,"SREB Type2","Two-Year")</f>
        <v>3209</v>
      </c>
      <c r="N260" s="80"/>
      <c r="O260" s="80"/>
      <c r="P260" s="62"/>
    </row>
    <row r="261" spans="1:16" ht="15" customHeight="1" x14ac:dyDescent="0.2">
      <c r="A261" s="5" t="s">
        <v>194</v>
      </c>
      <c r="B261" s="6">
        <f>+GETPIVOTDATA(" Old-Less Than 2-Year",'Pivot Table for 1-11'!$A$3,"State","DE","SREB Type2","Two-Year")+GETPIVOTDATA(" Old-2 But Less Than 4-Year",'Pivot Table for 1-11'!$A$3,"State","DE","SREB Type2","Two-Year")</f>
        <v>736</v>
      </c>
      <c r="C261" s="6">
        <f>+GETPIVOTDATA(" Old-Associate's",'Pivot Table for 1-11'!$A$3,"State","DE","SREB Type2","Two-Year")</f>
        <v>1341</v>
      </c>
      <c r="D261" s="6">
        <f>+GETPIVOTDATA(" Old-Bachelor's",'Pivot Table for 1-11'!$A$3,"State","DE","SREB Type2","Two-Year")</f>
        <v>0</v>
      </c>
      <c r="E261" s="17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40">
        <f>+GETPIVOTDATA(" Old-Associate's",'Pivot Table for 1-11'!$A$3,"State","DE","SREB Type",7,"SREB Type2","Two-Year")</f>
        <v>0</v>
      </c>
      <c r="G261" s="55">
        <f>+GETPIVOTDATA(" Old-Bachelor's",'Pivot Table for 1-11'!$A$3,"State","DE","SREB Type",7,"SREB Type2","Two-Year")</f>
        <v>0</v>
      </c>
      <c r="H261" s="17">
        <f>+GETPIVOTDATA(" Old-Less Than 2-Year",'Pivot Table for 1-11'!$A$3,"State","DE","SREB Type",8,"SREB Type2","Two-Year")+GETPIVOTDATA(" Old-2 But Less Than 4-Year",'Pivot Table for 1-11'!$A$3,"State","DE","SREB Type",8,"SREB Type2","Two-Year")</f>
        <v>117</v>
      </c>
      <c r="I261" s="55">
        <f>+GETPIVOTDATA(" Old-Associate's",'Pivot Table for 1-11'!$A$3,"State","DE","SREB Type",8,"SREB Type2","Two-Year")</f>
        <v>573</v>
      </c>
      <c r="J261" s="17">
        <f>+GETPIVOTDATA(" Old-Less Than 2-Year",'Pivot Table for 1-11'!$A$3,"State","DE","SREB Type",9,"SREB Type2","Two-Year")+GETPIVOTDATA(" Old-2 But Less Than 4-Year",'Pivot Table for 1-11'!$A$3,"State","DE","SREB Type",9,"SREB Type2","Two-Year")</f>
        <v>619</v>
      </c>
      <c r="K261" s="55">
        <f>+GETPIVOTDATA(" Old-Associate's",'Pivot Table for 1-11'!$A$3,"State","DE","SREB Type",9,"SREB Type2","Two-Year")</f>
        <v>768</v>
      </c>
      <c r="L261" s="6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6">
        <f>+GETPIVOTDATA(" Old-Associate's",'Pivot Table for 1-11'!$A$3,"State","DE","SREB Type",10,"SREB Type2","Two-Year")</f>
        <v>0</v>
      </c>
      <c r="N261" s="80"/>
      <c r="O261" s="80"/>
      <c r="P261" s="62"/>
    </row>
    <row r="262" spans="1:16" ht="15" customHeight="1" x14ac:dyDescent="0.2">
      <c r="A262" s="5" t="s">
        <v>195</v>
      </c>
      <c r="B262" s="6">
        <f>+GETPIVOTDATA(" Old-Less Than 2-Year",'Pivot Table for 1-11'!$A$3,"State","FL","SREB Type2","Two-Year")+GETPIVOTDATA(" Old-2 But Less Than 4-Year",'Pivot Table for 1-11'!$A$3,"State","FL","SREB Type2","Two-Year")</f>
        <v>24241</v>
      </c>
      <c r="C262" s="6">
        <f>+GETPIVOTDATA(" Old-Associate's",'Pivot Table for 1-11'!$A$3,"State","FL","SREB Type2","Two-Year")</f>
        <v>65839</v>
      </c>
      <c r="D262" s="6">
        <f>+GETPIVOTDATA(" Old-Bachelor's",'Pivot Table for 1-11'!$A$3,"State","FL","SREB Type2","Two-Year")</f>
        <v>2699</v>
      </c>
      <c r="E262" s="17">
        <f>+GETPIVOTDATA(" Old-Less Than 2-Year",'Pivot Table for 1-11'!$A$3,"State","FL","SREB Type",7,"SREB Type2","Two-Year")+GETPIVOTDATA(" Old-2 But Less Than 4-Year",'Pivot Table for 1-11'!$A$3,"State","FL","SREB Type",7,"SREB Type2","Two-Year")</f>
        <v>8541</v>
      </c>
      <c r="F262" s="40">
        <f>+GETPIVOTDATA(" Old-Associate's",'Pivot Table for 1-11'!$A$3,"State","FL","SREB Type",7,"SREB Type2","Two-Year")</f>
        <v>26011</v>
      </c>
      <c r="G262" s="55">
        <f>+GETPIVOTDATA(" Old-Bachelor's",'Pivot Table for 1-11'!$A$3,"State","FL","SREB Type",7,"SREB Type2","Two-Year")</f>
        <v>1583</v>
      </c>
      <c r="H262" s="17">
        <f>+GETPIVOTDATA(" Old-Less Than 2-Year",'Pivot Table for 1-11'!$A$3,"State","FL","SREB Type",8,"SREB Type2","Two-Year")+GETPIVOTDATA(" Old-2 But Less Than 4-Year",'Pivot Table for 1-11'!$A$3,"State","FL","SREB Type",8,"SREB Type2","Two-Year")</f>
        <v>13663</v>
      </c>
      <c r="I262" s="55">
        <f>+GETPIVOTDATA(" Old-Associate's",'Pivot Table for 1-11'!$A$3,"State","FL","SREB Type",8,"SREB Type2","Two-Year")</f>
        <v>33758</v>
      </c>
      <c r="J262" s="17">
        <f>+GETPIVOTDATA(" Old-Less Than 2-Year",'Pivot Table for 1-11'!$A$3,"State","FL","SREB Type",9,"SREB Type2","Two-Year")+GETPIVOTDATA(" Old-2 But Less Than 4-Year",'Pivot Table for 1-11'!$A$3,"State","FL","SREB Type",9,"SREB Type2","Two-Year")</f>
        <v>1788</v>
      </c>
      <c r="K262" s="55">
        <f>+GETPIVOTDATA(" Old-Associate's",'Pivot Table for 1-11'!$A$3,"State","FL","SREB Type",9,"SREB Type2","Two-Year")</f>
        <v>5733</v>
      </c>
      <c r="L262" s="6">
        <f>+GETPIVOTDATA(" Old-Less Than 2-Year",'Pivot Table for 1-11'!$A$3,"State","FL","SREB Type",10,"SREB Type2","Two-Year")+GETPIVOTDATA(" Old-2 But Less Than 4-Year",'Pivot Table for 1-11'!$A$3,"State","FL","SREB Type",10,"SREB Type2","Two-Year")</f>
        <v>249</v>
      </c>
      <c r="M262" s="6">
        <f>+GETPIVOTDATA(" Old-Associate's",'Pivot Table for 1-11'!$A$3,"State","FL","SREB Type",10,"SREB Type2","Two-Year")</f>
        <v>337</v>
      </c>
      <c r="N262" s="80"/>
      <c r="O262" s="80"/>
      <c r="P262" s="62"/>
    </row>
    <row r="263" spans="1:16" ht="15" customHeight="1" x14ac:dyDescent="0.2">
      <c r="A263" s="5"/>
      <c r="B263" s="6"/>
      <c r="C263" s="6"/>
      <c r="D263" s="6"/>
      <c r="E263" s="17"/>
      <c r="F263" s="40"/>
      <c r="G263" s="55"/>
      <c r="H263" s="17"/>
      <c r="I263" s="55"/>
      <c r="J263" s="17"/>
      <c r="K263" s="55"/>
      <c r="L263" s="6"/>
      <c r="M263" s="6"/>
      <c r="N263" s="80"/>
      <c r="O263" s="80"/>
      <c r="P263" s="62"/>
    </row>
    <row r="264" spans="1:16" ht="15" customHeight="1" x14ac:dyDescent="0.2">
      <c r="A264" s="5" t="s">
        <v>196</v>
      </c>
      <c r="B264" s="6">
        <f>+GETPIVOTDATA(" Old-Less Than 2-Year",'Pivot Table for 1-11'!$A$3,"State","GA","SREB Type2","Two-Year")+GETPIVOTDATA(" Old-2 But Less Than 4-Year",'Pivot Table for 1-11'!$A$3,"State","GA","SREB Type2","Two-Year")</f>
        <v>689</v>
      </c>
      <c r="C264" s="6">
        <f>+GETPIVOTDATA(" Old-Associate's",'Pivot Table for 1-11'!$A$3,"State","GA","SREB Type2","Two-Year")</f>
        <v>6392</v>
      </c>
      <c r="D264" s="6">
        <f>+GETPIVOTDATA(" Old-Bachelor's",'Pivot Table for 1-11'!$A$3,"State","GA","SREB Type2","Two-Year")</f>
        <v>521</v>
      </c>
      <c r="E264" s="17">
        <f>+GETPIVOTDATA(" Old-Less Than 2-Year",'Pivot Table for 1-11'!$A$3,"State","GA","SREB Type",7,"SREB Type2","Two-Year")+GETPIVOTDATA(" Old-2 But Less Than 4-Year",'Pivot Table for 1-11'!$A$3,"State","GA","SREB Type",7,"SREB Type2","Two-Year")</f>
        <v>144</v>
      </c>
      <c r="F264" s="40">
        <f>+GETPIVOTDATA(" Old-Associate's",'Pivot Table for 1-11'!$A$3,"State","GA","SREB Type",7,"SREB Type2","Two-Year")</f>
        <v>1530</v>
      </c>
      <c r="G264" s="55">
        <f>+GETPIVOTDATA(" Old-Bachelor's",'Pivot Table for 1-11'!$A$3,"State","GA","SREB Type",7,"SREB Type2","Two-Year")</f>
        <v>385</v>
      </c>
      <c r="H264" s="17">
        <f>+GETPIVOTDATA(" Old-Less Than 2-Year",'Pivot Table for 1-11'!$A$3,"State","GA","SREB Type",8,"SREB Type2","Two-Year")+GETPIVOTDATA(" Old-2 But Less Than 4-Year",'Pivot Table for 1-11'!$A$3,"State","GA","SREB Type",8,"SREB Type2","Two-Year")</f>
        <v>18</v>
      </c>
      <c r="I264" s="55">
        <f>+GETPIVOTDATA(" Old-Associate's",'Pivot Table for 1-11'!$A$3,"State","GA","SREB Type",8,"SREB Type2","Two-Year")</f>
        <v>1800</v>
      </c>
      <c r="J264" s="17">
        <f>+GETPIVOTDATA(" Old-Less Than 2-Year",'Pivot Table for 1-11'!$A$3,"State","GA","SREB Type",9,"SREB Type2","Two-Year")+GETPIVOTDATA(" Old-2 But Less Than 4-Year",'Pivot Table for 1-11'!$A$3,"State","GA","SREB Type",9,"SREB Type2","Two-Year")</f>
        <v>527</v>
      </c>
      <c r="K264" s="55">
        <f>+GETPIVOTDATA(" Old-Associate's",'Pivot Table for 1-11'!$A$3,"State","GA","SREB Type",9,"SREB Type2","Two-Year")</f>
        <v>2707</v>
      </c>
      <c r="L264" s="6">
        <f>+GETPIVOTDATA(" Old-Less Than 2-Year",'Pivot Table for 1-11'!$A$3,"State","GA","SREB Type",10,"SREB Type2","Two-Year")+GETPIVOTDATA(" Old-2 But Less Than 4-Year",'Pivot Table for 1-11'!$A$3,"State","GA","SREB Type",10,"SREB Type2","Two-Year")</f>
        <v>0</v>
      </c>
      <c r="M264" s="6">
        <f>+GETPIVOTDATA(" Old-Associate's",'Pivot Table for 1-11'!$A$3,"State","GA","SREB Type",10,"SREB Type2","Two-Year")</f>
        <v>355</v>
      </c>
      <c r="N264" s="80"/>
      <c r="O264" s="80"/>
      <c r="P264" s="62"/>
    </row>
    <row r="265" spans="1:16" ht="15" customHeight="1" x14ac:dyDescent="0.2">
      <c r="A265" s="5" t="s">
        <v>197</v>
      </c>
      <c r="B265" s="6">
        <f>+GETPIVOTDATA(" Old-Less Than 2-Year",'Pivot Table for 1-11'!$A$3,"State","KY","SREB Type2","Two-Year")+GETPIVOTDATA(" Old-2 But Less Than 4-Year",'Pivot Table for 1-11'!$A$3,"State","KY","SREB Type2","Two-Year")</f>
        <v>17368</v>
      </c>
      <c r="C265" s="6">
        <f>+GETPIVOTDATA(" Old-Associate's",'Pivot Table for 1-11'!$A$3,"State","KY","SREB Type2","Two-Year")</f>
        <v>7348</v>
      </c>
      <c r="D265" s="6">
        <f>+GETPIVOTDATA(" Old-Bachelor's",'Pivot Table for 1-11'!$A$3,"State","KY","SREB Type2","Two-Year")</f>
        <v>0</v>
      </c>
      <c r="E265" s="17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40">
        <f>+GETPIVOTDATA(" Old-Associate's",'Pivot Table for 1-11'!$A$3,"State","KY","SREB Type",7,"SREB Type2","Two-Year")</f>
        <v>0</v>
      </c>
      <c r="G265" s="55">
        <f>+GETPIVOTDATA(" Old-Bachelor's",'Pivot Table for 1-11'!$A$3,"State","KY","SREB Type",7,"SREB Type2","Two-Year")</f>
        <v>0</v>
      </c>
      <c r="H265" s="17">
        <f>+GETPIVOTDATA(" Old-Less Than 2-Year",'Pivot Table for 1-11'!$A$3,"State","KY","SREB Type",8,"SREB Type2","Two-Year")+GETPIVOTDATA(" Old-2 But Less Than 4-Year",'Pivot Table for 1-11'!$A$3,"State","KY","SREB Type",8,"SREB Type2","Two-Year")</f>
        <v>5074</v>
      </c>
      <c r="I265" s="55">
        <f>+GETPIVOTDATA(" Old-Associate's",'Pivot Table for 1-11'!$A$3,"State","KY","SREB Type",8,"SREB Type2","Two-Year")</f>
        <v>2093</v>
      </c>
      <c r="J265" s="17">
        <f>+GETPIVOTDATA(" Old-Less Than 2-Year",'Pivot Table for 1-11'!$A$3,"State","KY","SREB Type",9,"SREB Type2","Two-Year")+GETPIVOTDATA(" Old-2 But Less Than 4-Year",'Pivot Table for 1-11'!$A$3,"State","KY","SREB Type",9,"SREB Type2","Two-Year")</f>
        <v>11872</v>
      </c>
      <c r="K265" s="55">
        <f>+GETPIVOTDATA(" Old-Associate's",'Pivot Table for 1-11'!$A$3,"State","KY","SREB Type",9,"SREB Type2","Two-Year")</f>
        <v>5064</v>
      </c>
      <c r="L265" s="6">
        <f>+GETPIVOTDATA(" Old-Less Than 2-Year",'Pivot Table for 1-11'!$A$3,"State","KY","SREB Type",10,"SREB Type2","Two-Year")+GETPIVOTDATA(" Old-2 But Less Than 4-Year",'Pivot Table for 1-11'!$A$3,"State","KY","SREB Type",10,"SREB Type2","Two-Year")</f>
        <v>422</v>
      </c>
      <c r="M265" s="6">
        <f>+GETPIVOTDATA(" Old-Associate's",'Pivot Table for 1-11'!$A$3,"State","KY","SREB Type",10,"SREB Type2","Two-Year")</f>
        <v>191</v>
      </c>
      <c r="N265" s="80"/>
      <c r="O265" s="80"/>
      <c r="P265" s="62"/>
    </row>
    <row r="266" spans="1:16" ht="15" customHeight="1" x14ac:dyDescent="0.2">
      <c r="A266" s="5" t="s">
        <v>198</v>
      </c>
      <c r="B266" s="6">
        <f>+GETPIVOTDATA(" Old-Less Than 2-Year",'Pivot Table for 1-11'!$A$3,"State","LA","SREB Type2","Two-Year")+GETPIVOTDATA(" Old-2 But Less Than 4-Year",'Pivot Table for 1-11'!$A$3,"State","LA","SREB Type2","Two-Year")</f>
        <v>1653</v>
      </c>
      <c r="C266" s="6">
        <f>+GETPIVOTDATA(" Old-Associate's",'Pivot Table for 1-11'!$A$3,"State","LA","SREB Type2","Two-Year")</f>
        <v>3160</v>
      </c>
      <c r="D266" s="6">
        <f>+GETPIVOTDATA(" Old-Bachelor's",'Pivot Table for 1-11'!$A$3,"State","LA","SREB Type2","Two-Year")</f>
        <v>0</v>
      </c>
      <c r="E266" s="17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40">
        <f>+GETPIVOTDATA(" Old-Associate's",'Pivot Table for 1-11'!$A$3,"State","LA","SREB Type",7,"SREB Type2","Two-Year")</f>
        <v>0</v>
      </c>
      <c r="G266" s="55">
        <f>+GETPIVOTDATA(" Old-Bachelor's",'Pivot Table for 1-11'!$A$3,"State","LA","SREB Type",7,"SREB Type2","Two-Year")</f>
        <v>0</v>
      </c>
      <c r="H266" s="17">
        <f>+GETPIVOTDATA(" Old-Less Than 2-Year",'Pivot Table for 1-11'!$A$3,"State","LA","SREB Type",8,"SREB Type2","Two-Year")+GETPIVOTDATA(" Old-2 But Less Than 4-Year",'Pivot Table for 1-11'!$A$3,"State","LA","SREB Type",8,"SREB Type2","Two-Year")</f>
        <v>864</v>
      </c>
      <c r="I266" s="55">
        <f>+GETPIVOTDATA(" Old-Associate's",'Pivot Table for 1-11'!$A$3,"State","LA","SREB Type",8,"SREB Type2","Two-Year")</f>
        <v>2055</v>
      </c>
      <c r="J266" s="17">
        <f>+GETPIVOTDATA(" Old-Less Than 2-Year",'Pivot Table for 1-11'!$A$3,"State","LA","SREB Type",9,"SREB Type2","Two-Year")+GETPIVOTDATA(" Old-2 But Less Than 4-Year",'Pivot Table for 1-11'!$A$3,"State","LA","SREB Type",9,"SREB Type2","Two-Year")</f>
        <v>298</v>
      </c>
      <c r="K266" s="55">
        <f>+GETPIVOTDATA(" Old-Associate's",'Pivot Table for 1-11'!$A$3,"State","LA","SREB Type",9,"SREB Type2","Two-Year")</f>
        <v>481</v>
      </c>
      <c r="L266" s="6">
        <f>+GETPIVOTDATA(" Old-Less Than 2-Year",'Pivot Table for 1-11'!$A$3,"State","LA","SREB Type",10,"SREB Type2","Two-Year")+GETPIVOTDATA(" Old-2 But Less Than 4-Year",'Pivot Table for 1-11'!$A$3,"State","LA","SREB Type",10,"SREB Type2","Two-Year")</f>
        <v>491</v>
      </c>
      <c r="M266" s="6">
        <f>+GETPIVOTDATA(" Old-Associate's",'Pivot Table for 1-11'!$A$3,"State","LA","SREB Type",10,"SREB Type2","Two-Year")</f>
        <v>624</v>
      </c>
      <c r="N266" s="80"/>
      <c r="O266" s="80"/>
      <c r="P266" s="62"/>
    </row>
    <row r="267" spans="1:16" ht="15" customHeight="1" x14ac:dyDescent="0.2">
      <c r="A267" s="5" t="s">
        <v>199</v>
      </c>
      <c r="B267" s="6">
        <f>+GETPIVOTDATA(" Old-Less Than 2-Year",'Pivot Table for 1-11'!$A$3,"State","MD","SREB Type2","Two-Year")+GETPIVOTDATA(" Old-2 But Less Than 4-Year",'Pivot Table for 1-11'!$A$3,"State","MD","SREB Type2","Two-Year")</f>
        <v>3337</v>
      </c>
      <c r="C267" s="6">
        <f>+GETPIVOTDATA(" Old-Associate's",'Pivot Table for 1-11'!$A$3,"State","MD","SREB Type2","Two-Year")</f>
        <v>12637</v>
      </c>
      <c r="D267" s="6">
        <f>+GETPIVOTDATA(" Old-Bachelor's",'Pivot Table for 1-11'!$A$3,"State","MD","SREB Type2","Two-Year")</f>
        <v>0</v>
      </c>
      <c r="E267" s="17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40">
        <f>+GETPIVOTDATA(" Old-Associate's",'Pivot Table for 1-11'!$A$3,"State","MD","SREB Type",7,"SREB Type2","Two-Year")</f>
        <v>0</v>
      </c>
      <c r="G267" s="55">
        <f>+GETPIVOTDATA(" Old-Bachelor's",'Pivot Table for 1-11'!$A$3,"State","MD","SREB Type",7,"SREB Type2","Two-Year")</f>
        <v>0</v>
      </c>
      <c r="H267" s="17">
        <f>+GETPIVOTDATA(" Old-Less Than 2-Year",'Pivot Table for 1-11'!$A$3,"State","MD","SREB Type",8,"SREB Type2","Two-Year")+GETPIVOTDATA(" Old-2 But Less Than 4-Year",'Pivot Table for 1-11'!$A$3,"State","MD","SREB Type",8,"SREB Type2","Two-Year")</f>
        <v>2199</v>
      </c>
      <c r="I267" s="55">
        <f>+GETPIVOTDATA(" Old-Associate's",'Pivot Table for 1-11'!$A$3,"State","MD","SREB Type",8,"SREB Type2","Two-Year")</f>
        <v>8035</v>
      </c>
      <c r="J267" s="17">
        <f>+GETPIVOTDATA(" Old-Less Than 2-Year",'Pivot Table for 1-11'!$A$3,"State","MD","SREB Type",9,"SREB Type2","Two-Year")+GETPIVOTDATA(" Old-2 But Less Than 4-Year",'Pivot Table for 1-11'!$A$3,"State","MD","SREB Type",9,"SREB Type2","Two-Year")</f>
        <v>1014</v>
      </c>
      <c r="K267" s="55">
        <f>+GETPIVOTDATA(" Old-Associate's",'Pivot Table for 1-11'!$A$3,"State","MD","SREB Type",9,"SREB Type2","Two-Year")</f>
        <v>4018</v>
      </c>
      <c r="L267" s="6">
        <f>+GETPIVOTDATA(" Old-Less Than 2-Year",'Pivot Table for 1-11'!$A$3,"State","MD","SREB Type",10,"SREB Type2","Two-Year")+GETPIVOTDATA(" Old-2 But Less Than 4-Year",'Pivot Table for 1-11'!$A$3,"State","MD","SREB Type",10,"SREB Type2","Two-Year")</f>
        <v>124</v>
      </c>
      <c r="M267" s="6">
        <f>+GETPIVOTDATA(" Old-Associate's",'Pivot Table for 1-11'!$A$3,"State","MD","SREB Type",10,"SREB Type2","Two-Year")</f>
        <v>584</v>
      </c>
      <c r="N267" s="80"/>
      <c r="O267" s="80"/>
      <c r="P267" s="62"/>
    </row>
    <row r="268" spans="1:16" ht="15" customHeight="1" x14ac:dyDescent="0.2">
      <c r="A268" s="5"/>
      <c r="B268" s="6"/>
      <c r="C268" s="6"/>
      <c r="D268" s="6"/>
      <c r="E268" s="17"/>
      <c r="F268" s="40"/>
      <c r="G268" s="55"/>
      <c r="H268" s="17"/>
      <c r="I268" s="55"/>
      <c r="J268" s="17"/>
      <c r="K268" s="55"/>
      <c r="L268" s="6"/>
      <c r="M268" s="6"/>
      <c r="N268" s="80"/>
      <c r="O268" s="80"/>
      <c r="P268" s="62"/>
    </row>
    <row r="269" spans="1:16" ht="15" customHeight="1" x14ac:dyDescent="0.2">
      <c r="A269" s="5" t="s">
        <v>200</v>
      </c>
      <c r="B269" s="6">
        <f>+GETPIVOTDATA(" Old-Less Than 2-Year",'Pivot Table for 1-11'!$A$3,"State","MS","SREB Type2","Two-Year")+GETPIVOTDATA(" Old-2 But Less Than 4-Year",'Pivot Table for 1-11'!$A$3,"State","MS","SREB Type2","Two-Year")</f>
        <v>2864</v>
      </c>
      <c r="C269" s="6">
        <f>+GETPIVOTDATA(" Old-Associate's",'Pivot Table for 1-11'!$A$3,"State","MS","SREB Type2","Two-Year")</f>
        <v>11548</v>
      </c>
      <c r="D269" s="6">
        <f>+GETPIVOTDATA(" Old-Bachelor's",'Pivot Table for 1-11'!$A$3,"State","MS","SREB Type2","Two-Year")</f>
        <v>0</v>
      </c>
      <c r="E269" s="17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40">
        <f>+GETPIVOTDATA(" Old-Associate's",'Pivot Table for 1-11'!$A$3,"State","MS","SREB Type",7,"SREB Type2","Two-Year")</f>
        <v>0</v>
      </c>
      <c r="G269" s="55">
        <f>+GETPIVOTDATA(" Old-Bachelor's",'Pivot Table for 1-11'!$A$3,"State","MS","SREB Type",7,"SREB Type2","Two-Year")</f>
        <v>0</v>
      </c>
      <c r="H269" s="17">
        <f>+GETPIVOTDATA(" Old-Less Than 2-Year",'Pivot Table for 1-11'!$A$3,"State","MS","SREB Type",8,"SREB Type2","Two-Year")+GETPIVOTDATA(" Old-2 But Less Than 4-Year",'Pivot Table for 1-11'!$A$3,"State","MS","SREB Type",8,"SREB Type2","Two-Year")</f>
        <v>1252</v>
      </c>
      <c r="I269" s="55">
        <f>+GETPIVOTDATA(" Old-Associate's",'Pivot Table for 1-11'!$A$3,"State","MS","SREB Type",8,"SREB Type2","Two-Year")</f>
        <v>5833</v>
      </c>
      <c r="J269" s="17">
        <f>+GETPIVOTDATA(" Old-Less Than 2-Year",'Pivot Table for 1-11'!$A$3,"State","MS","SREB Type",9,"SREB Type2","Two-Year")+GETPIVOTDATA(" Old-2 But Less Than 4-Year",'Pivot Table for 1-11'!$A$3,"State","MS","SREB Type",9,"SREB Type2","Two-Year")</f>
        <v>1381</v>
      </c>
      <c r="K269" s="55">
        <f>+GETPIVOTDATA(" Old-Associate's",'Pivot Table for 1-11'!$A$3,"State","MS","SREB Type",9,"SREB Type2","Two-Year")</f>
        <v>5192</v>
      </c>
      <c r="L269" s="6">
        <f>+GETPIVOTDATA(" Old-Less Than 2-Year",'Pivot Table for 1-11'!$A$3,"State","MS","SREB Type",10,"SREB Type2","Two-Year")+GETPIVOTDATA(" Old-2 But Less Than 4-Year",'Pivot Table for 1-11'!$A$3,"State","MS","SREB Type",10,"SREB Type2","Two-Year")</f>
        <v>231</v>
      </c>
      <c r="M269" s="6">
        <f>+GETPIVOTDATA(" Old-Associate's",'Pivot Table for 1-11'!$A$3,"State","MS","SREB Type",10,"SREB Type2","Two-Year")</f>
        <v>523</v>
      </c>
      <c r="N269" s="80"/>
      <c r="O269" s="80"/>
      <c r="P269" s="62"/>
    </row>
    <row r="270" spans="1:16" ht="15" customHeight="1" x14ac:dyDescent="0.2">
      <c r="A270" s="5" t="s">
        <v>201</v>
      </c>
      <c r="B270" s="6">
        <f>+GETPIVOTDATA(" Old-Less Than 2-Year",'Pivot Table for 1-11'!$A$3,"State","NC","SREB Type2","Two-Year")+GETPIVOTDATA(" Old-2 But Less Than 4-Year",'Pivot Table for 1-11'!$A$3,"State","NC","SREB Type2","Two-Year")</f>
        <v>17253</v>
      </c>
      <c r="C270" s="6">
        <f>+GETPIVOTDATA(" Old-Associate's",'Pivot Table for 1-11'!$A$3,"State","NC","SREB Type2","Two-Year")</f>
        <v>22653</v>
      </c>
      <c r="D270" s="6">
        <f>+GETPIVOTDATA(" Old-Bachelor's",'Pivot Table for 1-11'!$A$3,"State","NC","SREB Type2","Two-Year")</f>
        <v>0</v>
      </c>
      <c r="E270" s="17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40">
        <f>+GETPIVOTDATA(" Old-Associate's",'Pivot Table for 1-11'!$A$3,"State","NC","SREB Type",7,"SREB Type2","Two-Year")</f>
        <v>0</v>
      </c>
      <c r="G270" s="55">
        <f>+GETPIVOTDATA(" Old-Bachelor's",'Pivot Table for 1-11'!$A$3,"State","NC","SREB Type",7,"SREB Type2","Two-Year")</f>
        <v>0</v>
      </c>
      <c r="H270" s="17">
        <f>+GETPIVOTDATA(" Old-Less Than 2-Year",'Pivot Table for 1-11'!$A$3,"State","NC","SREB Type",8,"SREB Type2","Two-Year")+GETPIVOTDATA(" Old-2 But Less Than 4-Year",'Pivot Table for 1-11'!$A$3,"State","NC","SREB Type",8,"SREB Type2","Two-Year")</f>
        <v>3993</v>
      </c>
      <c r="I270" s="55">
        <f>+GETPIVOTDATA(" Old-Associate's",'Pivot Table for 1-11'!$A$3,"State","NC","SREB Type",8,"SREB Type2","Two-Year")</f>
        <v>10032</v>
      </c>
      <c r="J270" s="17">
        <f>+GETPIVOTDATA(" Old-Less Than 2-Year",'Pivot Table for 1-11'!$A$3,"State","NC","SREB Type",9,"SREB Type2","Two-Year")+GETPIVOTDATA(" Old-2 But Less Than 4-Year",'Pivot Table for 1-11'!$A$3,"State","NC","SREB Type",9,"SREB Type2","Two-Year")</f>
        <v>6420</v>
      </c>
      <c r="K270" s="55">
        <f>+GETPIVOTDATA(" Old-Associate's",'Pivot Table for 1-11'!$A$3,"State","NC","SREB Type",9,"SREB Type2","Two-Year")</f>
        <v>9154</v>
      </c>
      <c r="L270" s="6">
        <f>+GETPIVOTDATA(" Old-Less Than 2-Year",'Pivot Table for 1-11'!$A$3,"State","NC","SREB Type",10,"SREB Type2","Two-Year")+GETPIVOTDATA(" Old-2 But Less Than 4-Year",'Pivot Table for 1-11'!$A$3,"State","NC","SREB Type",10,"SREB Type2","Two-Year")</f>
        <v>6840</v>
      </c>
      <c r="M270" s="6">
        <f>+GETPIVOTDATA(" Old-Associate's",'Pivot Table for 1-11'!$A$3,"State","NC","SREB Type",10,"SREB Type2","Two-Year")</f>
        <v>3467</v>
      </c>
      <c r="N270" s="80"/>
      <c r="O270" s="80"/>
      <c r="P270" s="62"/>
    </row>
    <row r="271" spans="1:16" ht="15" customHeight="1" x14ac:dyDescent="0.2">
      <c r="A271" s="5" t="s">
        <v>202</v>
      </c>
      <c r="B271" s="6">
        <f>+GETPIVOTDATA(" Old-Less Than 2-Year",'Pivot Table for 1-11'!$A$3,"State","OK","SREB Type2","Two-Year")+GETPIVOTDATA(" Old-2 But Less Than 4-Year",'Pivot Table for 1-11'!$A$3,"State","OK","SREB Type2","Two-Year")</f>
        <v>586</v>
      </c>
      <c r="C271" s="6">
        <f>+GETPIVOTDATA(" Old-Associate's",'Pivot Table for 1-11'!$A$3,"State","OK","SREB Type2","Two-Year")</f>
        <v>8180</v>
      </c>
      <c r="D271" s="6">
        <f>+GETPIVOTDATA(" Old-Bachelor's",'Pivot Table for 1-11'!$A$3,"State","OK","SREB Type2","Two-Year")</f>
        <v>56</v>
      </c>
      <c r="E271" s="17">
        <f>+GETPIVOTDATA(" Old-Less Than 2-Year",'Pivot Table for 1-11'!$A$3,"State","OK","SREB Type",7,"SREB Type2","Two-Year")+GETPIVOTDATA(" Old-2 But Less Than 4-Year",'Pivot Table for 1-11'!$A$3,"State","OK","SREB Type",7,"SREB Type2","Two-Year")</f>
        <v>27</v>
      </c>
      <c r="F271" s="40">
        <f>+GETPIVOTDATA(" Old-Associate's",'Pivot Table for 1-11'!$A$3,"State","OK","SREB Type",7,"SREB Type2","Two-Year")</f>
        <v>1012</v>
      </c>
      <c r="G271" s="55">
        <f>+GETPIVOTDATA(" Old-Bachelor's",'Pivot Table for 1-11'!$A$3,"State","OK","SREB Type",7,"SREB Type2","Two-Year")</f>
        <v>56</v>
      </c>
      <c r="H271" s="17">
        <f>+GETPIVOTDATA(" Old-Less Than 2-Year",'Pivot Table for 1-11'!$A$3,"State","OK","SREB Type",8,"SREB Type2","Two-Year")+GETPIVOTDATA(" Old-2 But Less Than 4-Year",'Pivot Table for 1-11'!$A$3,"State","OK","SREB Type",8,"SREB Type2","Two-Year")</f>
        <v>420</v>
      </c>
      <c r="I271" s="55">
        <f>+GETPIVOTDATA(" Old-Associate's",'Pivot Table for 1-11'!$A$3,"State","OK","SREB Type",8,"SREB Type2","Two-Year")</f>
        <v>3812</v>
      </c>
      <c r="J271" s="17">
        <f>+GETPIVOTDATA(" Old-Less Than 2-Year",'Pivot Table for 1-11'!$A$3,"State","OK","SREB Type",9,"SREB Type2","Two-Year")+GETPIVOTDATA(" Old-2 But Less Than 4-Year",'Pivot Table for 1-11'!$A$3,"State","OK","SREB Type",9,"SREB Type2","Two-Year")</f>
        <v>27</v>
      </c>
      <c r="K271" s="55">
        <f>+GETPIVOTDATA(" Old-Associate's",'Pivot Table for 1-11'!$A$3,"State","OK","SREB Type",9,"SREB Type2","Two-Year")</f>
        <v>1240</v>
      </c>
      <c r="L271" s="6">
        <f>+GETPIVOTDATA(" Old-Less Than 2-Year",'Pivot Table for 1-11'!$A$3,"State","OK","SREB Type",10,"SREB Type2","Two-Year")+GETPIVOTDATA(" Old-2 But Less Than 4-Year",'Pivot Table for 1-11'!$A$3,"State","OK","SREB Type",10,"SREB Type2","Two-Year")</f>
        <v>112</v>
      </c>
      <c r="M271" s="6">
        <f>+GETPIVOTDATA(" Old-Associate's",'Pivot Table for 1-11'!$A$3,"State","OK","SREB Type",10,"SREB Type2","Two-Year")</f>
        <v>2116</v>
      </c>
      <c r="N271" s="80"/>
      <c r="O271" s="80"/>
      <c r="P271" s="62"/>
    </row>
    <row r="272" spans="1:16" ht="15" customHeight="1" x14ac:dyDescent="0.2">
      <c r="A272" s="5" t="s">
        <v>203</v>
      </c>
      <c r="B272" s="6">
        <f>+GETPIVOTDATA(" Old-Less Than 2-Year",'Pivot Table for 1-11'!$A$3,"State","SC","SREB Type2","Two-Year")+GETPIVOTDATA(" Old-2 But Less Than 4-Year",'Pivot Table for 1-11'!$A$3,"State","SC","SREB Type2","Two-Year")</f>
        <v>8421</v>
      </c>
      <c r="C272" s="6">
        <f>+GETPIVOTDATA(" Old-Associate's",'Pivot Table for 1-11'!$A$3,"State","SC","SREB Type2","Two-Year")</f>
        <v>8332</v>
      </c>
      <c r="D272" s="6">
        <f>+GETPIVOTDATA(" Old-Bachelor's",'Pivot Table for 1-11'!$A$3,"State","SC","SREB Type2","Two-Year")</f>
        <v>0</v>
      </c>
      <c r="E272" s="17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40">
        <f>+GETPIVOTDATA(" Old-Associate's",'Pivot Table for 1-11'!$A$3,"State","SC","SREB Type",7,"SREB Type2","Two-Year")</f>
        <v>0</v>
      </c>
      <c r="G272" s="55">
        <f>+GETPIVOTDATA(" Old-Bachelor's",'Pivot Table for 1-11'!$A$3,"State","SC","SREB Type",7,"SREB Type2","Two-Year")</f>
        <v>0</v>
      </c>
      <c r="H272" s="17">
        <f>+GETPIVOTDATA(" Old-Less Than 2-Year",'Pivot Table for 1-11'!$A$3,"State","SC","SREB Type",8,"SREB Type2","Two-Year")+GETPIVOTDATA(" Old-2 But Less Than 4-Year",'Pivot Table for 1-11'!$A$3,"State","SC","SREB Type",8,"SREB Type2","Two-Year")</f>
        <v>5721</v>
      </c>
      <c r="I272" s="55">
        <f>+GETPIVOTDATA(" Old-Associate's",'Pivot Table for 1-11'!$A$3,"State","SC","SREB Type",8,"SREB Type2","Two-Year")</f>
        <v>5843</v>
      </c>
      <c r="J272" s="17">
        <f>+GETPIVOTDATA(" Old-Less Than 2-Year",'Pivot Table for 1-11'!$A$3,"State","SC","SREB Type",9,"SREB Type2","Two-Year")+GETPIVOTDATA(" Old-2 But Less Than 4-Year",'Pivot Table for 1-11'!$A$3,"State","SC","SREB Type",9,"SREB Type2","Two-Year")</f>
        <v>2066</v>
      </c>
      <c r="K272" s="55">
        <f>+GETPIVOTDATA(" Old-Associate's",'Pivot Table for 1-11'!$A$3,"State","SC","SREB Type",9,"SREB Type2","Two-Year")</f>
        <v>1642</v>
      </c>
      <c r="L272" s="6">
        <f>+GETPIVOTDATA(" Old-Less Than 2-Year",'Pivot Table for 1-11'!$A$3,"State","SC","SREB Type",10,"SREB Type2","Two-Year")+GETPIVOTDATA(" Old-2 But Less Than 4-Year",'Pivot Table for 1-11'!$A$3,"State","SC","SREB Type",10,"SREB Type2","Two-Year")</f>
        <v>634</v>
      </c>
      <c r="M272" s="6">
        <f>+GETPIVOTDATA(" Old-Associate's",'Pivot Table for 1-11'!$A$3,"State","SC","SREB Type",10,"SREB Type2","Two-Year")</f>
        <v>847</v>
      </c>
      <c r="N272" s="80"/>
      <c r="O272" s="80"/>
      <c r="P272" s="62"/>
    </row>
    <row r="273" spans="1:22" ht="15" customHeight="1" x14ac:dyDescent="0.2">
      <c r="A273" s="5"/>
      <c r="B273" s="6"/>
      <c r="C273" s="6"/>
      <c r="D273" s="6"/>
      <c r="E273" s="17"/>
      <c r="F273" s="40"/>
      <c r="G273" s="55"/>
      <c r="H273" s="17"/>
      <c r="I273" s="55"/>
      <c r="J273" s="17"/>
      <c r="K273" s="55"/>
      <c r="L273" s="6"/>
      <c r="M273" s="6"/>
      <c r="N273" s="80"/>
      <c r="O273" s="80"/>
      <c r="P273" s="62"/>
    </row>
    <row r="274" spans="1:22" ht="15" customHeight="1" x14ac:dyDescent="0.2">
      <c r="A274" s="5" t="s">
        <v>204</v>
      </c>
      <c r="B274" s="6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6">
        <f>+GETPIVOTDATA(" Old-Associate's",'Pivot Table for 1-11'!$A$3,"State","TN","SREB Type2","Two-Year")</f>
        <v>8312</v>
      </c>
      <c r="D274" s="6">
        <f>+GETPIVOTDATA(" Old-Bachelor's",'Pivot Table for 1-11'!$A$3,"State","TN","SREB Type2","Two-Year")</f>
        <v>0</v>
      </c>
      <c r="E274" s="17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40">
        <f>+GETPIVOTDATA(" Old-Associate's",'Pivot Table for 1-11'!$A$3,"State","TN","SREB Type",7,"SREB Type2","Two-Year")</f>
        <v>0</v>
      </c>
      <c r="G274" s="55">
        <f>+GETPIVOTDATA(" Old-Bachelor's",'Pivot Table for 1-11'!$A$3,"State","TN","SREB Type",7,"SREB Type2","Two-Year")</f>
        <v>0</v>
      </c>
      <c r="H274" s="17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55">
        <f>+GETPIVOTDATA(" Old-Associate's",'Pivot Table for 1-11'!$A$3,"State","TN","SREB Type",8,"SREB Type2","Two-Year")</f>
        <v>3869</v>
      </c>
      <c r="J274" s="17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55">
        <f>+GETPIVOTDATA(" Old-Associate's",'Pivot Table for 1-11'!$A$3,"State","TN","SREB Type",9,"SREB Type2","Two-Year")</f>
        <v>4443</v>
      </c>
      <c r="L274" s="6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6">
        <f>+GETPIVOTDATA(" Old-Associate's",'Pivot Table for 1-11'!$A$3,"State","TN","SREB Type",10,"SREB Type2","Two-Year")</f>
        <v>0</v>
      </c>
      <c r="N274" s="80"/>
      <c r="O274" s="80"/>
      <c r="P274" s="62"/>
    </row>
    <row r="275" spans="1:22" ht="15" customHeight="1" x14ac:dyDescent="0.2">
      <c r="A275" s="5" t="s">
        <v>205</v>
      </c>
      <c r="B275" s="6">
        <f>+GETPIVOTDATA(" Old-Less Than 2-Year",'Pivot Table for 1-11'!$A$3,"State","TX","SREB Type2","Two-Year")+GETPIVOTDATA(" Old-2 But Less Than 4-Year",'Pivot Table for 1-11'!$A$3,"State","TX","SREB Type2","Two-Year")</f>
        <v>29067</v>
      </c>
      <c r="C275" s="6">
        <f>+GETPIVOTDATA(" Old-Associate's",'Pivot Table for 1-11'!$A$3,"State","TX","SREB Type2","Two-Year")</f>
        <v>52089</v>
      </c>
      <c r="D275" s="6">
        <f>+GETPIVOTDATA(" Old-Bachelor's",'Pivot Table for 1-11'!$A$3,"State","TX","SREB Type2","Two-Year")</f>
        <v>158</v>
      </c>
      <c r="E275" s="17">
        <f>+GETPIVOTDATA(" Old-Less Than 2-Year",'Pivot Table for 1-11'!$A$3,"State","TX","SREB Type",7,"SREB Type2","Two-Year")+GETPIVOTDATA(" Old-2 But Less Than 4-Year",'Pivot Table for 1-11'!$A$3,"State","TX","SREB Type",7,"SREB Type2","Two-Year")</f>
        <v>1782</v>
      </c>
      <c r="F275" s="40">
        <f>+GETPIVOTDATA(" Old-Associate's",'Pivot Table for 1-11'!$A$3,"State","TX","SREB Type",7,"SREB Type2","Two-Year")</f>
        <v>2767</v>
      </c>
      <c r="G275" s="55">
        <f>+GETPIVOTDATA(" Old-Bachelor's",'Pivot Table for 1-11'!$A$3,"State","TX","SREB Type",7,"SREB Type2","Two-Year")</f>
        <v>158</v>
      </c>
      <c r="H275" s="17">
        <f>+GETPIVOTDATA(" Old-Less Than 2-Year",'Pivot Table for 1-11'!$A$3,"State","TX","SREB Type",8,"SREB Type2","Two-Year")+GETPIVOTDATA(" Old-2 But Less Than 4-Year",'Pivot Table for 1-11'!$A$3,"State","TX","SREB Type",8,"SREB Type2","Two-Year")</f>
        <v>17812</v>
      </c>
      <c r="I275" s="55">
        <f>+GETPIVOTDATA(" Old-Associate's",'Pivot Table for 1-11'!$A$3,"State","TX","SREB Type",8,"SREB Type2","Two-Year")</f>
        <v>38334</v>
      </c>
      <c r="J275" s="17">
        <f>+GETPIVOTDATA(" Old-Less Than 2-Year",'Pivot Table for 1-11'!$A$3,"State","TX","SREB Type",9,"SREB Type2","Two-Year")+GETPIVOTDATA(" Old-2 But Less Than 4-Year",'Pivot Table for 1-11'!$A$3,"State","TX","SREB Type",9,"SREB Type2","Two-Year")</f>
        <v>8154</v>
      </c>
      <c r="K275" s="55">
        <f>+GETPIVOTDATA(" Old-Associate's",'Pivot Table for 1-11'!$A$3,"State","TX","SREB Type",9,"SREB Type2","Two-Year")</f>
        <v>9496</v>
      </c>
      <c r="L275" s="6">
        <f>+GETPIVOTDATA(" Old-Less Than 2-Year",'Pivot Table for 1-11'!$A$3,"State","TX","SREB Type",10,"SREB Type2","Two-Year")+GETPIVOTDATA(" Old-2 But Less Than 4-Year",'Pivot Table for 1-11'!$A$3,"State","TX","SREB Type",10,"SREB Type2","Two-Year")</f>
        <v>1319</v>
      </c>
      <c r="M275" s="6">
        <f>+GETPIVOTDATA(" Old-Associate's",'Pivot Table for 1-11'!$A$3,"State","TX","SREB Type",10,"SREB Type2","Two-Year")</f>
        <v>1492</v>
      </c>
      <c r="N275" s="80"/>
      <c r="O275" s="80"/>
      <c r="P275" s="62"/>
    </row>
    <row r="276" spans="1:22" ht="15" customHeight="1" x14ac:dyDescent="0.2">
      <c r="A276" s="5" t="s">
        <v>206</v>
      </c>
      <c r="B276" s="6">
        <f>+GETPIVOTDATA(" Old-Less Than 2-Year",'Pivot Table for 1-11'!$A$3,"State","VA","SREB Type2","Two-Year")+GETPIVOTDATA(" Old-2 But Less Than 4-Year",'Pivot Table for 1-11'!$A$3,"State","VA","SREB Type2","Two-Year")</f>
        <v>11145</v>
      </c>
      <c r="C276" s="6">
        <f>+GETPIVOTDATA(" Old-Associate's",'Pivot Table for 1-11'!$A$3,"State","VA","SREB Type2","Two-Year")</f>
        <v>15792</v>
      </c>
      <c r="D276" s="6">
        <f>+GETPIVOTDATA(" Old-Bachelor's",'Pivot Table for 1-11'!$A$3,"State","VA","SREB Type2","Two-Year")</f>
        <v>0</v>
      </c>
      <c r="E276" s="17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40">
        <f>+GETPIVOTDATA(" Old-Associate's",'Pivot Table for 1-11'!$A$3,"State","VA","SREB Type",7,"SREB Type2","Two-Year")</f>
        <v>0</v>
      </c>
      <c r="G276" s="55">
        <f>+GETPIVOTDATA(" Old-Bachelor's",'Pivot Table for 1-11'!$A$3,"State","VA","SREB Type",7,"SREB Type2","Two-Year")</f>
        <v>0</v>
      </c>
      <c r="H276" s="17">
        <f>+GETPIVOTDATA(" Old-Less Than 2-Year",'Pivot Table for 1-11'!$A$3,"State","VA","SREB Type",8,"SREB Type2","Two-Year")+GETPIVOTDATA(" Old-2 But Less Than 4-Year",'Pivot Table for 1-11'!$A$3,"State","VA","SREB Type",8,"SREB Type2","Two-Year")</f>
        <v>4037</v>
      </c>
      <c r="I276" s="55">
        <f>+GETPIVOTDATA(" Old-Associate's",'Pivot Table for 1-11'!$A$3,"State","VA","SREB Type",8,"SREB Type2","Two-Year")</f>
        <v>8850</v>
      </c>
      <c r="J276" s="17">
        <f>+GETPIVOTDATA(" Old-Less Than 2-Year",'Pivot Table for 1-11'!$A$3,"State","VA","SREB Type",9,"SREB Type2","Two-Year")+GETPIVOTDATA(" Old-2 But Less Than 4-Year",'Pivot Table for 1-11'!$A$3,"State","VA","SREB Type",9,"SREB Type2","Two-Year")</f>
        <v>5833</v>
      </c>
      <c r="K276" s="55">
        <f>+GETPIVOTDATA(" Old-Associate's",'Pivot Table for 1-11'!$A$3,"State","VA","SREB Type",9,"SREB Type2","Two-Year")</f>
        <v>5517</v>
      </c>
      <c r="L276" s="6">
        <f>+GETPIVOTDATA(" Old-Less Than 2-Year",'Pivot Table for 1-11'!$A$3,"State","VA","SREB Type",10,"SREB Type2","Two-Year")+GETPIVOTDATA(" Old-2 But Less Than 4-Year",'Pivot Table for 1-11'!$A$3,"State","VA","SREB Type",10,"SREB Type2","Two-Year")</f>
        <v>1275</v>
      </c>
      <c r="M276" s="6">
        <f>+GETPIVOTDATA(" Old-Associate's",'Pivot Table for 1-11'!$A$3,"State","VA","SREB Type",10,"SREB Type2","Two-Year")</f>
        <v>1425</v>
      </c>
      <c r="N276" s="80"/>
      <c r="O276" s="80"/>
      <c r="P276" s="62"/>
    </row>
    <row r="277" spans="1:22" ht="15" customHeight="1" x14ac:dyDescent="0.2">
      <c r="A277" s="7" t="s">
        <v>207</v>
      </c>
      <c r="B277" s="8">
        <f>+GETPIVOTDATA(" Old-Less Than 2-Year",'Pivot Table for 1-11'!$A$3,"State","WV","SREB Type2","Two-Year")+GETPIVOTDATA(" Old-2 But Less Than 4-Year",'Pivot Table for 1-11'!$A$3,"State","WV","SREB Type2","Two-Year")</f>
        <v>593</v>
      </c>
      <c r="C277" s="8">
        <f>+GETPIVOTDATA(" Old-Associate's",'Pivot Table for 1-11'!$A$3,"State","WV","SREB Type2","Two-Year")</f>
        <v>2615</v>
      </c>
      <c r="D277" s="8">
        <f>+GETPIVOTDATA(" Old-Bachelor's",'Pivot Table for 1-11'!$A$3,"State","WV","SREB Type2","Two-Year")</f>
        <v>195</v>
      </c>
      <c r="E277" s="18">
        <f>+GETPIVOTDATA(" Old-Less Than 2-Year",'Pivot Table for 1-11'!$A$3,"State","WV","SREB Type",7,"SREB Type2","Two-Year")+GETPIVOTDATA(" Old-2 But Less Than 4-Year",'Pivot Table for 1-11'!$A$3,"State","WV","SREB Type",7,"SREB Type2","Two-Year")</f>
        <v>100</v>
      </c>
      <c r="F277" s="8">
        <f>+GETPIVOTDATA(" Old-Associate's",'Pivot Table for 1-11'!$A$3,"State","WV","SREB Type",7,"SREB Type2","Two-Year")</f>
        <v>752</v>
      </c>
      <c r="G277" s="56">
        <f>+GETPIVOTDATA(" Old-Bachelor's",'Pivot Table for 1-11'!$A$3,"State","WV","SREB Type",7,"SREB Type2","Two-Year")</f>
        <v>195</v>
      </c>
      <c r="H277" s="18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56">
        <f>+GETPIVOTDATA(" Old-Associate's",'Pivot Table for 1-11'!$A$3,"State","WV","SREB Type",8,"SREB Type2","Two-Year")</f>
        <v>0</v>
      </c>
      <c r="J277" s="18">
        <f>+GETPIVOTDATA(" Old-Less Than 2-Year",'Pivot Table for 1-11'!$A$3,"State","WV","SREB Type",9,"SREB Type2","Two-Year")+GETPIVOTDATA(" Old-2 But Less Than 4-Year",'Pivot Table for 1-11'!$A$3,"State","WV","SREB Type",9,"SREB Type2","Two-Year")</f>
        <v>200</v>
      </c>
      <c r="K277" s="56">
        <f>+GETPIVOTDATA(" Old-Associate's",'Pivot Table for 1-11'!$A$3,"State","WV","SREB Type",9,"SREB Type2","Two-Year")</f>
        <v>674</v>
      </c>
      <c r="L277" s="8">
        <f>+GETPIVOTDATA(" Old-Less Than 2-Year",'Pivot Table for 1-11'!$A$3,"State","WV","SREB Type",10,"SREB Type2","Two-Year")+GETPIVOTDATA(" Old-2 But Less Than 4-Year",'Pivot Table for 1-11'!$A$3,"State","WV","SREB Type",10,"SREB Type2","Two-Year")</f>
        <v>293</v>
      </c>
      <c r="M277" s="8">
        <f>+GETPIVOTDATA(" Old-Associate's",'Pivot Table for 1-11'!$A$3,"State","WV","SREB Type",10,"SREB Type2","Two-Year")</f>
        <v>1189</v>
      </c>
      <c r="N277" s="85"/>
      <c r="O277" s="85"/>
    </row>
    <row r="278" spans="1:22" s="43" customFormat="1" ht="15" customHeight="1" x14ac:dyDescent="0.2">
      <c r="A278" s="39"/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2"/>
      <c r="O278" s="52"/>
      <c r="P278" s="50"/>
      <c r="T278" s="3"/>
      <c r="U278" s="3"/>
      <c r="V278" s="3"/>
    </row>
    <row r="279" spans="1:22" s="43" customFormat="1" ht="15.75" customHeight="1" x14ac:dyDescent="0.2">
      <c r="A279" s="856" t="s">
        <v>1</v>
      </c>
      <c r="B279" s="857"/>
      <c r="C279" s="857"/>
      <c r="D279" s="857"/>
      <c r="E279" s="857"/>
      <c r="F279" s="857"/>
      <c r="G279" s="857"/>
      <c r="H279" s="857"/>
      <c r="I279" s="857"/>
      <c r="J279" s="857"/>
      <c r="K279" s="857"/>
      <c r="L279" s="857"/>
      <c r="M279" s="857"/>
      <c r="N279" s="857"/>
      <c r="O279" s="857"/>
      <c r="P279" s="857"/>
    </row>
    <row r="280" spans="1:22" s="43" customFormat="1" ht="15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3" t="s">
        <v>1293</v>
      </c>
      <c r="N280" s="83"/>
      <c r="O280" s="83"/>
      <c r="P280" s="84"/>
    </row>
    <row r="281" spans="1:22" ht="18" x14ac:dyDescent="0.25">
      <c r="A281" s="22" t="s">
        <v>223</v>
      </c>
      <c r="B281" s="1"/>
      <c r="C281" s="1"/>
      <c r="D281" s="1"/>
      <c r="E281" s="1"/>
      <c r="F281" s="1"/>
      <c r="G281" s="1"/>
      <c r="H281" s="1"/>
      <c r="I281" s="1"/>
      <c r="J281" s="1" t="s">
        <v>216</v>
      </c>
      <c r="K281" s="1"/>
      <c r="L281" s="1"/>
      <c r="N281" s="58"/>
      <c r="O281" s="58"/>
      <c r="P281" s="58"/>
    </row>
    <row r="282" spans="1:22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 t="s">
        <v>216</v>
      </c>
      <c r="K282" s="4"/>
      <c r="L282" s="4"/>
      <c r="M282" s="4"/>
      <c r="N282" s="57"/>
      <c r="O282" s="57"/>
      <c r="P282" s="57"/>
    </row>
    <row r="283" spans="1:22" ht="15.75" x14ac:dyDescent="0.25">
      <c r="A283" s="1" t="s">
        <v>181</v>
      </c>
      <c r="B283" s="1"/>
      <c r="C283" s="1"/>
      <c r="D283" s="1"/>
      <c r="E283" s="1"/>
      <c r="F283" s="1"/>
      <c r="G283" s="1"/>
      <c r="H283" s="1"/>
      <c r="I283" s="1"/>
      <c r="J283" s="1" t="s">
        <v>216</v>
      </c>
      <c r="K283" s="1"/>
      <c r="L283" s="1"/>
      <c r="M283" s="1"/>
      <c r="N283" s="58"/>
      <c r="O283" s="58"/>
      <c r="P283" s="58"/>
    </row>
    <row r="284" spans="1:22" ht="15.75" x14ac:dyDescent="0.25">
      <c r="A284" s="1" t="s">
        <v>487</v>
      </c>
      <c r="B284" s="1"/>
      <c r="C284" s="1"/>
      <c r="D284" s="1"/>
      <c r="E284" s="1"/>
      <c r="F284" s="1"/>
      <c r="G284" s="1"/>
      <c r="H284" s="1"/>
      <c r="I284" s="1"/>
      <c r="J284" s="1" t="s">
        <v>216</v>
      </c>
      <c r="K284" s="1"/>
      <c r="L284" s="1"/>
      <c r="M284" s="1"/>
      <c r="N284" s="58"/>
      <c r="O284" s="58"/>
      <c r="P284" s="58"/>
    </row>
    <row r="285" spans="1:22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22" ht="52.5" customHeight="1" x14ac:dyDescent="0.2">
      <c r="A286" s="11"/>
      <c r="B286" s="129" t="s">
        <v>224</v>
      </c>
      <c r="C286" s="130"/>
      <c r="D286" s="129" t="s">
        <v>225</v>
      </c>
      <c r="E286" s="130"/>
      <c r="F286" s="129" t="s">
        <v>226</v>
      </c>
      <c r="G286" s="129"/>
      <c r="H286" s="4" t="s">
        <v>216</v>
      </c>
      <c r="I286" s="4"/>
    </row>
    <row r="287" spans="1:22" ht="32.25" customHeight="1" x14ac:dyDescent="0.2">
      <c r="A287" s="14"/>
      <c r="B287" s="15" t="s">
        <v>244</v>
      </c>
      <c r="C287" s="15" t="s">
        <v>222</v>
      </c>
      <c r="D287" s="16" t="s">
        <v>244</v>
      </c>
      <c r="E287" s="15" t="s">
        <v>222</v>
      </c>
      <c r="F287" s="16" t="s">
        <v>244</v>
      </c>
      <c r="G287" s="15" t="s">
        <v>222</v>
      </c>
      <c r="H287" s="4"/>
      <c r="I287" s="4"/>
    </row>
    <row r="288" spans="1:22" ht="15" customHeight="1" x14ac:dyDescent="0.2">
      <c r="A288" s="5" t="s">
        <v>191</v>
      </c>
      <c r="B288" s="6">
        <f>+GETPIVOTDATA(" Old-Less Than 2-Year",'Pivot Table for 1-11'!$A$3,"SREB Type2","Technical")+GETPIVOTDATA(" Old-2 But Less Than 4-Year",'Pivot Table for 1-11'!$A$3,"SREB Type2","Technical")</f>
        <v>74603</v>
      </c>
      <c r="C288" s="6">
        <f>+GETPIVOTDATA(" Old-Associate's",'Pivot Table for 1-11'!$A$3,"SREB Type2","Technical")</f>
        <v>7331</v>
      </c>
      <c r="D288" s="114">
        <f>+GETPIVOTDATA(" Old-Less Than 2-Year",'Pivot Table for 1-11'!$A$3,"SREB Type",12,"SREB Type2","Technical")+GETPIVOTDATA(" Old-2 But Less Than 4-Year",'Pivot Table for 1-11'!$A$3,"SREB Type",12,"SREB Type2","Technical")</f>
        <v>54994</v>
      </c>
      <c r="E288" s="116">
        <f>+GETPIVOTDATA(" Old-Associate's",'Pivot Table for 1-11'!$A$3,"SREB Type",12,"SREB Type2","Technical")</f>
        <v>7175</v>
      </c>
      <c r="F288" s="114">
        <f>+GETPIVOTDATA(" Old-Less Than 2-Year",'Pivot Table for 1-11'!$A$3,"SREB Type",13,"SREB Type2","Technical")+GETPIVOTDATA(" Old-2 But Less Than 4-Year",'Pivot Table for 1-11'!$A$3,"SREB Type",13,"SREB Type2","Technical")</f>
        <v>18194</v>
      </c>
      <c r="G288" s="317">
        <f>+GETPIVOTDATA(" Old-Associate's",'Pivot Table for 1-11'!$A$3,"SREB Type",13,"SREB Type2","Technical")</f>
        <v>156</v>
      </c>
      <c r="H288" s="4"/>
      <c r="I288" s="4"/>
    </row>
    <row r="289" spans="1:9" ht="15" customHeight="1" x14ac:dyDescent="0.2">
      <c r="A289" s="5"/>
      <c r="B289" s="6"/>
      <c r="C289" s="6"/>
      <c r="D289" s="17"/>
      <c r="E289" s="55"/>
      <c r="F289" s="17"/>
      <c r="G289" s="40"/>
      <c r="H289" s="4"/>
      <c r="I289" s="4"/>
    </row>
    <row r="290" spans="1:9" ht="15" customHeight="1" x14ac:dyDescent="0.2">
      <c r="A290" s="5" t="s">
        <v>192</v>
      </c>
      <c r="B290" s="6">
        <f>+GETPIVOTDATA(" Old-Less Than 2-Year",'Pivot Table for 1-11'!$A$3,"State","AL","SREB Type2","Technical")+GETPIVOTDATA(" Old-2 But Less Than 4-Year",'Pivot Table for 1-11'!$A$3,"State","AL","SREB Type2","Technical")</f>
        <v>1001</v>
      </c>
      <c r="C290" s="6">
        <f>+GETPIVOTDATA(" Old-Associate's",'Pivot Table for 1-11'!$A$3,"State","AL","SREB Type2","Technical")</f>
        <v>375</v>
      </c>
      <c r="D290" s="17">
        <f>GETPIVOTDATA(" Old-Less Than 2-Year",'Pivot Table for 1-11'!$A$3,"State","AL")+GETPIVOTDATA(" Old-2 But Less Than 4-Year",'Pivot Table for 1-11'!$A$3,"State","AL","SREB Type",12,"SREB Type2","Technical")</f>
        <v>5734</v>
      </c>
      <c r="E290" s="55">
        <f>+GETPIVOTDATA(" Old-Associate's",'Pivot Table for 1-11'!$A$3,"State","AL","SREB Type",12,"SREB Type2","Technical")</f>
        <v>219</v>
      </c>
      <c r="F290" s="17">
        <f>GETPIVOTDATA(" Old-Less Than 2-Year",'Pivot Table for 1-11'!$A$3,"State","AL")+GETPIVOTDATA(" Old-2 But Less Than 4-Year",'Pivot Table for 1-11'!$A$3,"State","AL","SREB Type",13,"SREB Type2","Technical")</f>
        <v>5734</v>
      </c>
      <c r="G290" s="40">
        <f>+GETPIVOTDATA(" Old-Associate's",'Pivot Table for 1-11'!$A$3,"State","AL","SREB Type",13,"SREB Type2","Technical")</f>
        <v>156</v>
      </c>
      <c r="H290" s="4"/>
      <c r="I290" s="4"/>
    </row>
    <row r="291" spans="1:9" ht="15" customHeight="1" x14ac:dyDescent="0.2">
      <c r="A291" s="5" t="s">
        <v>193</v>
      </c>
      <c r="B291" s="6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6">
        <f>+GETPIVOTDATA(" Old-Associate's",'Pivot Table for 1-11'!$A$3,"State","AR","SREB Type2","Technical")</f>
        <v>0</v>
      </c>
      <c r="D291" s="17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55">
        <f>+GETPIVOTDATA(" Old-Associate's",'Pivot Table for 1-11'!$A$3,"State","AR","SREB Type",12,"SREB Type2","Technical")</f>
        <v>0</v>
      </c>
      <c r="F291" s="17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40">
        <f>+GETPIVOTDATA(" Old-Associate's",'Pivot Table for 1-11'!$A$3,"State","AR","SREB Type",13,"SREB Type2","Technical")</f>
        <v>0</v>
      </c>
      <c r="H291" s="4"/>
      <c r="I291" s="4"/>
    </row>
    <row r="292" spans="1:9" ht="15" customHeight="1" x14ac:dyDescent="0.2">
      <c r="A292" s="5" t="s">
        <v>194</v>
      </c>
      <c r="B292" s="6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6">
        <f>+GETPIVOTDATA(" Old-Associate's",'Pivot Table for 1-11'!$A$3,"State","DE","SREB Type2","Technical")</f>
        <v>0</v>
      </c>
      <c r="D292" s="17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55">
        <f>+GETPIVOTDATA(" Old-Associate's",'Pivot Table for 1-11'!$A$3,"State","DE","SREB Type",12,"SREB Type2","Technical")</f>
        <v>0</v>
      </c>
      <c r="F292" s="17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40">
        <f>+GETPIVOTDATA(" Old-Associate's",'Pivot Table for 1-11'!$A$3,"State","DE","SREB Type",13,"SREB Type2","Technical")</f>
        <v>0</v>
      </c>
      <c r="H292" s="4"/>
      <c r="I292" s="4"/>
    </row>
    <row r="293" spans="1:9" ht="15" customHeight="1" x14ac:dyDescent="0.2">
      <c r="A293" s="5" t="s">
        <v>195</v>
      </c>
      <c r="B293" s="6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6">
        <f>+GETPIVOTDATA(" Old-Associate's",'Pivot Table for 1-11'!$A$3,"State","FL","SREB Type2","Technical")</f>
        <v>0</v>
      </c>
      <c r="D293" s="17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55">
        <f>+GETPIVOTDATA(" Old-Associate's",'Pivot Table for 1-11'!$A$3,"State","FL","SREB Type",12,"SREB Type2","Technical")</f>
        <v>0</v>
      </c>
      <c r="F293" s="17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40">
        <f>+GETPIVOTDATA(" Old-Associate's",'Pivot Table for 1-11'!$A$3,"State","FL","SREB Type",13,"SREB Type2","Technical")</f>
        <v>0</v>
      </c>
      <c r="H293" s="4"/>
      <c r="I293" s="4"/>
    </row>
    <row r="294" spans="1:9" ht="15" customHeight="1" x14ac:dyDescent="0.2">
      <c r="A294" s="5"/>
      <c r="B294" s="6"/>
      <c r="C294" s="6"/>
      <c r="D294" s="17"/>
      <c r="E294" s="55"/>
      <c r="F294" s="17"/>
      <c r="G294" s="40"/>
      <c r="H294" s="4"/>
      <c r="I294" s="4"/>
    </row>
    <row r="295" spans="1:9" ht="15" customHeight="1" x14ac:dyDescent="0.2">
      <c r="A295" s="5" t="s">
        <v>196</v>
      </c>
      <c r="B295" s="6">
        <f>+GETPIVOTDATA(" Old-Less Than 2-Year",'Pivot Table for 1-11'!$A$3,"State","GA","SREB Type2","Technical")+GETPIVOTDATA(" Old-2 But Less Than 4-Year",'Pivot Table for 1-11'!$A$3,"State","GA","SREB Type2","Technical")</f>
        <v>43230</v>
      </c>
      <c r="C295" s="6">
        <f>+GETPIVOTDATA(" Old-Associate's",'Pivot Table for 1-11'!$A$3,"State","GA","SREB Type2","Technical")</f>
        <v>5748</v>
      </c>
      <c r="D295" s="17">
        <f>+GETPIVOTDATA(" Old-Less Than 2-Year",'Pivot Table for 1-11'!$A$3,"State","GA","SREB Type",12,"SREB Type2","Technical")+GETPIVOTDATA(" Old-2 But Less Than 4-Year",'Pivot Table for 1-11'!$A$3,"State","GA","SREB Type",12,"SREB Type2","Technical")</f>
        <v>43230</v>
      </c>
      <c r="E295" s="55">
        <f>+GETPIVOTDATA(" Old-Associate's",'Pivot Table for 1-11'!$A$3,"State","GA","SREB Type",12,"SREB Type2","Technical")</f>
        <v>5748</v>
      </c>
      <c r="F295" s="17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40">
        <f>+GETPIVOTDATA(" Old-Associate's",'Pivot Table for 1-11'!$A$3,"State","GA","SREB Type",13,"SREB Type2","Technical")</f>
        <v>0</v>
      </c>
      <c r="H295" s="4"/>
      <c r="I295" s="4"/>
    </row>
    <row r="296" spans="1:9" ht="15" customHeight="1" x14ac:dyDescent="0.2">
      <c r="A296" s="5" t="s">
        <v>197</v>
      </c>
      <c r="B296" s="6">
        <f>+GETPIVOTDATA(" Old-Less Than 2-Year",'Pivot Table for 1-11'!$A$3,"State","KY","SREB Type2","Technical")+GETPIVOTDATA(" Old-2 But Less Than 4-Year",'Pivot Table for 1-11'!$A$3,"State","KY","SREB Type2","Technical")</f>
        <v>2546</v>
      </c>
      <c r="C296" s="6">
        <f>+GETPIVOTDATA(" Old-Associate's",'Pivot Table for 1-11'!$A$3,"State","KY","SREB Type2","Technical")</f>
        <v>551</v>
      </c>
      <c r="D296" s="17">
        <f>+GETPIVOTDATA(" Old-Less Than 2-Year",'Pivot Table for 1-11'!$A$3,"State","KY","SREB Type",12,"SREB Type2","Technical")+GETPIVOTDATA(" Old-2 But Less Than 4-Year",'Pivot Table for 1-11'!$A$3,"State","KY","SREB Type",12,"SREB Type2","Technical")</f>
        <v>2546</v>
      </c>
      <c r="E296" s="55">
        <f>+GETPIVOTDATA(" Old-Associate's",'Pivot Table for 1-11'!$A$3,"State","KY","SREB Type",12,"SREB Type2","Technical")</f>
        <v>551</v>
      </c>
      <c r="F296" s="17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40">
        <f>+GETPIVOTDATA(" Old-Associate's",'Pivot Table for 1-11'!$A$3,"State","KY","SREB Type",13,"SREB Type2","Technical")</f>
        <v>0</v>
      </c>
      <c r="H296" s="4"/>
      <c r="I296" s="4"/>
    </row>
    <row r="297" spans="1:9" ht="15" customHeight="1" x14ac:dyDescent="0.2">
      <c r="A297" s="5" t="s">
        <v>198</v>
      </c>
      <c r="B297" s="6">
        <f>+GETPIVOTDATA(" Old-Less Than 2-Year",'Pivot Table for 1-11'!$A$3,"State","LA","SREB Type2","Technical")+GETPIVOTDATA(" Old-2 But Less Than 4-Year",'Pivot Table for 1-11'!$A$3,"State","LA","SREB Type2","Technical")</f>
        <v>6605</v>
      </c>
      <c r="C297" s="6">
        <f>+GETPIVOTDATA(" Old-Associate's",'Pivot Table for 1-11'!$A$3,"State","LA","SREB Type2","Technical")</f>
        <v>657</v>
      </c>
      <c r="D297" s="17">
        <f>+GETPIVOTDATA(" Old-Less Than 2-Year",'Pivot Table for 1-11'!$A$3,"State","LA","SREB Type",12,"SREB Type2","Technical")+GETPIVOTDATA(" Old-2 But Less Than 4-Year",'Pivot Table for 1-11'!$A$3,"State","LA","SREB Type",12,"SREB Type2","Technical")</f>
        <v>6605</v>
      </c>
      <c r="E297" s="55">
        <f>+GETPIVOTDATA(" Old-Associate's",'Pivot Table for 1-11'!$A$3,"State","LA","SREB Type",12,"SREB Type2","Technical")</f>
        <v>657</v>
      </c>
      <c r="F297" s="17">
        <f>+GETPIVOTDATA(" Old-Less Than 2-Year",'Pivot Table for 1-11'!$A$3,"State","LA","SREB Type",13,"SREB Type2","Technical")+GETPIVOTDATA(" Old-2 But Less Than 4-Year",'Pivot Table for 1-11'!$A$3,"State","LA","SREB Type",13,"SREB Type2","Technical")</f>
        <v>0</v>
      </c>
      <c r="G297" s="40">
        <f>+GETPIVOTDATA(" Old-Associate's",'Pivot Table for 1-11'!$A$3,"State","LA","SREB Type",13,"SREB Type2","Technical")</f>
        <v>0</v>
      </c>
      <c r="H297" s="4"/>
      <c r="I297" s="4"/>
    </row>
    <row r="298" spans="1:9" ht="15" customHeight="1" x14ac:dyDescent="0.2">
      <c r="A298" s="5" t="s">
        <v>199</v>
      </c>
      <c r="B298" s="6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6">
        <f>+GETPIVOTDATA(" Old-Associate's",'Pivot Table for 1-11'!$A$3,"State","MD","SREB Type2","Technical")</f>
        <v>0</v>
      </c>
      <c r="D298" s="17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55">
        <f>+GETPIVOTDATA(" Old-Associate's",'Pivot Table for 1-11'!$A$3,"State","MD","SREB Type",12,"SREB Type2","Technical")</f>
        <v>0</v>
      </c>
      <c r="F298" s="17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40">
        <f>+GETPIVOTDATA(" Old-Associate's",'Pivot Table for 1-11'!$A$3,"State","MD","SREB Type",13,"SREB Type2","Technical")</f>
        <v>0</v>
      </c>
      <c r="H298" s="4"/>
      <c r="I298" s="4"/>
    </row>
    <row r="299" spans="1:9" ht="15" customHeight="1" x14ac:dyDescent="0.2">
      <c r="A299" s="5"/>
      <c r="B299" s="6"/>
      <c r="C299" s="6"/>
      <c r="D299" s="17"/>
      <c r="E299" s="55"/>
      <c r="F299" s="17"/>
      <c r="G299" s="40"/>
      <c r="H299" s="4"/>
      <c r="I299" s="4"/>
    </row>
    <row r="300" spans="1:9" ht="15" customHeight="1" x14ac:dyDescent="0.2">
      <c r="A300" s="5" t="s">
        <v>200</v>
      </c>
      <c r="B300" s="6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6">
        <f>+GETPIVOTDATA(" Old-Associate's",'Pivot Table for 1-11'!$A$3,"State","MS","SREB Type2","Technical")</f>
        <v>0</v>
      </c>
      <c r="D300" s="17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55">
        <f>+GETPIVOTDATA(" Old-Associate's",'Pivot Table for 1-11'!$A$3,"State","MS","SREB Type",12,"SREB Type2","Technical")</f>
        <v>0</v>
      </c>
      <c r="F300" s="17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40">
        <f>+GETPIVOTDATA(" Old-Associate's",'Pivot Table for 1-11'!$A$3,"State","MS","SREB Type",13,"SREB Type2","Technical")</f>
        <v>0</v>
      </c>
      <c r="H300" s="4"/>
      <c r="I300" s="4"/>
    </row>
    <row r="301" spans="1:9" ht="15" customHeight="1" x14ac:dyDescent="0.2">
      <c r="A301" s="5" t="s">
        <v>201</v>
      </c>
      <c r="B301" s="6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6">
        <f>+GETPIVOTDATA(" Old-Associate's",'Pivot Table for 1-11'!$A$3,"State","NC","SREB Type2","Technical")</f>
        <v>0</v>
      </c>
      <c r="D301" s="17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55">
        <f>+GETPIVOTDATA(" Old-Associate's",'Pivot Table for 1-11'!$A$3,"State","NC","SREB Type",12,"SREB Type2","Technical")</f>
        <v>0</v>
      </c>
      <c r="F301" s="17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40">
        <f>+GETPIVOTDATA(" Old-Associate's",'Pivot Table for 1-11'!$A$3,"State","NC","SREB Type",13,"SREB Type2","Technical")</f>
        <v>0</v>
      </c>
      <c r="H301" s="4"/>
      <c r="I301" s="4"/>
    </row>
    <row r="302" spans="1:9" ht="15" customHeight="1" x14ac:dyDescent="0.2">
      <c r="A302" s="5" t="s">
        <v>202</v>
      </c>
      <c r="B302" s="6">
        <f>+GETPIVOTDATA(" Old-Less Than 2-Year",'Pivot Table for 1-11'!$A$3,"State","OK","SREB Type2","Technical")+GETPIVOTDATA(" Old-2 But Less Than 4-Year",'Pivot Table for 1-11'!$A$3,"State","OK","SREB Type2","Technical")</f>
        <v>11536</v>
      </c>
      <c r="C302" s="6">
        <f>+GETPIVOTDATA(" Old-Associate's",'Pivot Table for 1-11'!$A$3,"State","OK","SREB Type2","Technical")</f>
        <v>0</v>
      </c>
      <c r="D302" s="17">
        <f>+GETPIVOTDATA(" Old-Less Than 2-Year",'Pivot Table for 1-11'!$A$3,"State","OK","SREB Type",12,"SREB Type2","Technical")+GETPIVOTDATA(" Old-2 But Less Than 4-Year",'Pivot Table for 1-11'!$A$3,"State","OK","SREB Type",12,"SREB Type2","Technical")</f>
        <v>1719</v>
      </c>
      <c r="E302" s="55">
        <f>+GETPIVOTDATA(" Old-Associate's",'Pivot Table for 1-11'!$A$3,"State","OK","SREB Type",12,"SREB Type2","Technical")</f>
        <v>0</v>
      </c>
      <c r="F302" s="17">
        <f>+GETPIVOTDATA(" Old-Less Than 2-Year",'Pivot Table for 1-11'!$A$3,"State","OK","SREB Type",13,"SREB Type2","Technical")+GETPIVOTDATA(" Old-2 But Less Than 4-Year",'Pivot Table for 1-11'!$A$3,"State","OK","SREB Type",13,"SREB Type2","Technical")</f>
        <v>9817</v>
      </c>
      <c r="G302" s="40">
        <f>+GETPIVOTDATA(" Old-Associate's",'Pivot Table for 1-11'!$A$3,"State","OK","SREB Type",13,"SREB Type2","Technical")</f>
        <v>0</v>
      </c>
      <c r="H302" s="4"/>
      <c r="I302" s="4"/>
    </row>
    <row r="303" spans="1:9" ht="15" customHeight="1" x14ac:dyDescent="0.2">
      <c r="A303" s="5" t="s">
        <v>203</v>
      </c>
      <c r="B303" s="6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6">
        <f>+GETPIVOTDATA(" Old-Associate's",'Pivot Table for 1-11'!$A$3,"State","SC","SREB Type2","Technical")</f>
        <v>0</v>
      </c>
      <c r="D303" s="17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55">
        <f>+GETPIVOTDATA(" Old-Associate's",'Pivot Table for 1-11'!$A$3,"State","SC","SREB Type",12,"SREB Type2","Technical")</f>
        <v>0</v>
      </c>
      <c r="F303" s="17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40">
        <f>+GETPIVOTDATA(" Old-Associate's",'Pivot Table for 1-11'!$A$3,"State","SC","SREB Type",13,"SREB Type2","Technical")</f>
        <v>0</v>
      </c>
      <c r="H303" s="4"/>
      <c r="I303" s="4"/>
    </row>
    <row r="304" spans="1:9" ht="15" customHeight="1" x14ac:dyDescent="0.2">
      <c r="A304" s="5"/>
      <c r="B304" s="6"/>
      <c r="C304" s="6"/>
      <c r="D304" s="17"/>
      <c r="E304" s="55"/>
      <c r="F304" s="17"/>
      <c r="G304" s="40"/>
      <c r="H304" s="4"/>
      <c r="I304" s="4"/>
    </row>
    <row r="305" spans="1:17" ht="15" customHeight="1" x14ac:dyDescent="0.2">
      <c r="A305" s="5" t="s">
        <v>204</v>
      </c>
      <c r="B305" s="6">
        <f>+GETPIVOTDATA(" Old-Less Than 2-Year",'Pivot Table for 1-11'!$A$3,"State","TN","SREB Type2","Technical")+GETPIVOTDATA(" Old-2 But Less Than 4-Year",'Pivot Table for 1-11'!$A$3,"State","TN","SREB Type2","Technical")</f>
        <v>8270</v>
      </c>
      <c r="C305" s="6">
        <f>+GETPIVOTDATA(" Old-Associate's",'Pivot Table for 1-11'!$A$3,"State","TN","SREB Type2","Technical")</f>
        <v>0</v>
      </c>
      <c r="D305" s="17">
        <f>+GETPIVOTDATA(" Old-Less Than 2-Year",'Pivot Table for 1-11'!$A$3,"State","TN","SREB Type",12,"SREB Type2","Technical")+GETPIVOTDATA(" Old-2 But Less Than 4-Year",'Pivot Table for 1-11'!$A$3,"State","TN","SREB Type",12,"SREB Type2","Technical")</f>
        <v>535</v>
      </c>
      <c r="E305" s="55">
        <f>+GETPIVOTDATA(" Old-Associate's",'Pivot Table for 1-11'!$A$3,"State","TN","SREB Type",12,"SREB Type2","Technical")</f>
        <v>0</v>
      </c>
      <c r="F305" s="17">
        <f>+GETPIVOTDATA(" Old-Less Than 2-Year",'Pivot Table for 1-11'!$A$3,"State","TN","SREB Type",13,"SREB Type2","Technical")+GETPIVOTDATA(" Old-2 But Less Than 4-Year",'Pivot Table for 1-11'!$A$3,"State","TN","SREB Type",13,"SREB Type2","Technical")</f>
        <v>7735</v>
      </c>
      <c r="G305" s="40">
        <f>+GETPIVOTDATA(" Old-Associate's",'Pivot Table for 1-11'!$A$3,"State","TN","SREB Type",13,"SREB Type2","Technical")</f>
        <v>0</v>
      </c>
      <c r="H305" s="4"/>
      <c r="I305" s="4"/>
    </row>
    <row r="306" spans="1:17" ht="15" customHeight="1" x14ac:dyDescent="0.2">
      <c r="A306" s="5" t="s">
        <v>205</v>
      </c>
      <c r="B306" s="6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6">
        <f>+GETPIVOTDATA(" Old-Associate's",'Pivot Table for 1-11'!$A$3,"State","TX","SREB Type2","Technical")</f>
        <v>0</v>
      </c>
      <c r="D306" s="17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55">
        <f>+GETPIVOTDATA(" Old-Associate's",'Pivot Table for 1-11'!$A$3,"State","TX","SREB Type",12,"SREB Type2","Technical")</f>
        <v>0</v>
      </c>
      <c r="F306" s="17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40">
        <f>+GETPIVOTDATA(" Old-Associate's",'Pivot Table for 1-11'!$A$3,"State","TX","SREB Type",13,"SREB Type2","Technical")</f>
        <v>0</v>
      </c>
      <c r="H306" s="4"/>
      <c r="I306" s="4"/>
    </row>
    <row r="307" spans="1:17" ht="15" customHeight="1" x14ac:dyDescent="0.2">
      <c r="A307" s="5" t="s">
        <v>206</v>
      </c>
      <c r="B307" s="6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6">
        <f>+GETPIVOTDATA(" Old-Associate's",'Pivot Table for 1-11'!$A$3,"State","VA","SREB Type2","Technical")</f>
        <v>0</v>
      </c>
      <c r="D307" s="17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55">
        <f>+GETPIVOTDATA(" Old-Associate's",'Pivot Table for 1-11'!$A$3,"State","VA","SREB Type",12,"SREB Type2","Technical")</f>
        <v>0</v>
      </c>
      <c r="F307" s="17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40">
        <f>+GETPIVOTDATA(" Old-Associate's",'Pivot Table for 1-11'!$A$3,"State","VA","SREB Type",13,"SREB Type2","Technical")</f>
        <v>0</v>
      </c>
      <c r="H307" s="4"/>
      <c r="I307" s="4"/>
    </row>
    <row r="308" spans="1:17" ht="15" customHeight="1" x14ac:dyDescent="0.2">
      <c r="A308" s="7" t="s">
        <v>207</v>
      </c>
      <c r="B308" s="8">
        <f>+GETPIVOTDATA(" Old-Less Than 2-Year",'Pivot Table for 1-11'!$A$3,"State","WV","SREB Type2","Technical")+GETPIVOTDATA(" Old-2 But Less Than 4-Year",'Pivot Table for 1-11'!$A$3,"State","WV","SREB Type2","Technical")</f>
        <v>1415</v>
      </c>
      <c r="C308" s="8">
        <f>+GETPIVOTDATA(" Old-Associate's",'Pivot Table for 1-11'!$A$3,"State","WV","SREB Type2","Technical")</f>
        <v>0</v>
      </c>
      <c r="D308" s="18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56">
        <f>+GETPIVOTDATA(" Old-Associate's",'Pivot Table for 1-11'!$A$3,"State","WV","SREB Type",12,"SREB Type2","Technical")</f>
        <v>0</v>
      </c>
      <c r="F308" s="18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8">
        <f>+GETPIVOTDATA(" Old-Associate's",'Pivot Table for 1-11'!$A$3,"State","WV","SREB Type",13,"SREB Type2","Technical")</f>
        <v>0</v>
      </c>
      <c r="H308" s="4"/>
      <c r="I308" s="4"/>
      <c r="L308" s="65"/>
    </row>
    <row r="309" spans="1:17" ht="7.5" customHeight="1" x14ac:dyDescent="0.2">
      <c r="A309" s="45"/>
      <c r="B309" s="46"/>
      <c r="C309" s="46"/>
      <c r="D309" s="46"/>
      <c r="E309" s="46"/>
      <c r="F309" s="47"/>
      <c r="G309" s="47"/>
      <c r="H309" s="4"/>
      <c r="I309" s="4"/>
      <c r="L309" s="65"/>
      <c r="Q309" s="106"/>
    </row>
    <row r="310" spans="1:17" ht="25.5" customHeight="1" x14ac:dyDescent="0.2">
      <c r="A310" s="856" t="s">
        <v>1</v>
      </c>
      <c r="B310" s="857"/>
      <c r="C310" s="857"/>
      <c r="D310" s="857"/>
      <c r="E310" s="857"/>
      <c r="F310" s="857"/>
      <c r="G310" s="857"/>
      <c r="H310" s="316"/>
      <c r="I310" s="316"/>
      <c r="J310" s="148"/>
      <c r="K310" s="148"/>
      <c r="L310" s="148"/>
      <c r="M310" s="148"/>
      <c r="N310" s="148"/>
      <c r="O310" s="148"/>
      <c r="P310" s="148"/>
      <c r="Q310" s="106"/>
    </row>
    <row r="311" spans="1:17" x14ac:dyDescent="0.2">
      <c r="G311" s="83" t="s">
        <v>1293</v>
      </c>
      <c r="N311" s="105"/>
      <c r="O311" s="83"/>
    </row>
    <row r="312" spans="1:17" ht="18" x14ac:dyDescent="0.25">
      <c r="A312" s="22" t="s">
        <v>227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</row>
    <row r="313" spans="1:17" x14ac:dyDescent="0.2">
      <c r="A313" s="100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7"/>
      <c r="O313" s="57"/>
      <c r="P313" s="57"/>
    </row>
    <row r="314" spans="1:17" ht="15.75" x14ac:dyDescent="0.25">
      <c r="A314" s="1" t="s">
        <v>181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7" ht="15.75" x14ac:dyDescent="0.25">
      <c r="A315" s="1" t="s">
        <v>488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7" ht="15.7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59"/>
      <c r="O316" s="59"/>
      <c r="P316" s="59"/>
    </row>
    <row r="317" spans="1:17" ht="15.75" x14ac:dyDescent="0.25">
      <c r="A317" s="91"/>
      <c r="B317" s="91"/>
      <c r="C317" s="91"/>
      <c r="D317" s="91"/>
      <c r="E317" s="91"/>
      <c r="F317" s="91"/>
      <c r="G317" s="91"/>
      <c r="H317" s="95" t="s">
        <v>410</v>
      </c>
      <c r="I317" s="26"/>
      <c r="J317" s="26"/>
      <c r="K317" s="26"/>
      <c r="L317" s="26"/>
      <c r="M317" s="26"/>
      <c r="N317" s="92"/>
      <c r="O317" s="99"/>
      <c r="P317" s="94" t="s">
        <v>216</v>
      </c>
    </row>
    <row r="318" spans="1:17" ht="40.5" customHeight="1" x14ac:dyDescent="0.2">
      <c r="A318" s="14"/>
      <c r="B318" s="15" t="s">
        <v>244</v>
      </c>
      <c r="C318" s="15" t="s">
        <v>182</v>
      </c>
      <c r="D318" s="15" t="s">
        <v>175</v>
      </c>
      <c r="E318" s="15" t="s">
        <v>176</v>
      </c>
      <c r="F318" s="15" t="s">
        <v>183</v>
      </c>
      <c r="G318" s="15" t="s">
        <v>184</v>
      </c>
      <c r="H318" s="16" t="s">
        <v>185</v>
      </c>
      <c r="I318" s="15" t="s">
        <v>186</v>
      </c>
      <c r="J318" s="15" t="s">
        <v>187</v>
      </c>
      <c r="K318" s="15" t="s">
        <v>179</v>
      </c>
      <c r="L318" s="15" t="s">
        <v>188</v>
      </c>
      <c r="M318" s="15" t="s">
        <v>189</v>
      </c>
      <c r="N318" s="90" t="s">
        <v>411</v>
      </c>
      <c r="O318" s="96" t="s">
        <v>412</v>
      </c>
      <c r="P318" s="90" t="s">
        <v>190</v>
      </c>
    </row>
    <row r="319" spans="1:17" ht="15" customHeight="1" x14ac:dyDescent="0.2">
      <c r="A319" s="5" t="s">
        <v>191</v>
      </c>
      <c r="B319" s="6">
        <f>GETPIVOTDATA(" Old-Less Than 2-Year",'Pivot Table for 1-11'!$A$3,"SREB Type2","Specialized")+GETPIVOTDATA(" Old-2 But Less Than 4-Year",'Pivot Table for 1-11'!$A$3,"SREB Type2","Specialized")</f>
        <v>765</v>
      </c>
      <c r="C319" s="6">
        <f>GETPIVOTDATA(" Old-Associate's",'Pivot Table for 1-11'!$A$3,"SREB Type2","Specialized")</f>
        <v>714</v>
      </c>
      <c r="D319" s="6">
        <f>GETPIVOTDATA(" Old-Bachelor's",'Pivot Table for 1-11'!$A$3,"SREB Type2","Specialized")</f>
        <v>8251</v>
      </c>
      <c r="E319" s="6">
        <f>GETPIVOTDATA(" Old-Post-Bachelor's",'Pivot Table for 1-11'!$A$3,"SREB Type2","Specialized")</f>
        <v>638</v>
      </c>
      <c r="F319" s="6">
        <f>GETPIVOTDATA(" Old-Total Master's#",'Pivot Table for 1-11'!$A$3,"SREB Type2","Specialized")</f>
        <v>7054</v>
      </c>
      <c r="G319" s="6">
        <f>GETPIVOTDATA(" Old-Total Doctorates#",'Pivot Table for 1-11'!$A$3,"SREB Type2","Specialized")</f>
        <v>857</v>
      </c>
      <c r="H319" s="17">
        <f>GETPIVOTDATA(" Old-Law",'Pivot Table for 1-11'!$A$3,"SREB Type2","Specialized")</f>
        <v>293</v>
      </c>
      <c r="I319" s="6">
        <f>GETPIVOTDATA(" Old-Medicine",'Pivot Table for 1-11'!$A$3,"SREB Type2","Specialized")</f>
        <v>2305</v>
      </c>
      <c r="J319" s="6">
        <f>GETPIVOTDATA(" Old-Dentistry",'Pivot Table for 1-11'!$A$3,"SREB Type2","Specialized")</f>
        <v>706</v>
      </c>
      <c r="K319" s="6">
        <f>GETPIVOTDATA(" Old-Pharmacy",'Pivot Table for 1-11'!$A$3,"SREB Type2","Specialized")</f>
        <v>715</v>
      </c>
      <c r="L319" s="6">
        <f>GETPIVOTDATA(" Old-Optometry",'Pivot Table for 1-11'!$A$3,"SREB Type2","Specialized")</f>
        <v>0</v>
      </c>
      <c r="M319" s="6">
        <f>GETPIVOTDATA(" Old-Osteopathic Medicine",'Pivot Table for 1-11'!$A$3,"SREB Type2","Specialized")</f>
        <v>357</v>
      </c>
      <c r="N319" s="80">
        <f>GETPIVOTDATA(" Old-Veterinary Medicine",'Pivot Table for 1-11'!$A$3,"SREB Type2","Specialized")</f>
        <v>0</v>
      </c>
      <c r="O319" s="97">
        <f>+GETPIVOTDATA(" Old-Oth PP",'Pivot Table for 1-11'!$A$3,"SREB Type2","Specialized")</f>
        <v>362</v>
      </c>
      <c r="P319" s="81">
        <f>SUM(B319:O319)</f>
        <v>23017</v>
      </c>
    </row>
    <row r="320" spans="1:17" ht="15" customHeight="1" x14ac:dyDescent="0.2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0"/>
      <c r="O320" s="97"/>
      <c r="P320" s="81"/>
    </row>
    <row r="321" spans="1:16" ht="15" customHeight="1" x14ac:dyDescent="0.2">
      <c r="A321" s="5" t="s">
        <v>192</v>
      </c>
      <c r="B321" s="6">
        <f>GETPIVOTDATA(" Old-Less Than 2-Year",'Pivot Table for 1-11'!$A$3,"State","AL","SREB Type2","Specialized")+GETPIVOTDATA(" Old-2 But Less Than 4-Year",'Pivot Table for 1-11'!$A$3,"State","AL","SREB Type2","Specialized")</f>
        <v>87</v>
      </c>
      <c r="C321" s="6">
        <f>GETPIVOTDATA(" Old-Associate's",'Pivot Table for 1-11'!$A$3,"State","AL","SREB Type2","Specialized")</f>
        <v>94</v>
      </c>
      <c r="D321" s="6">
        <f>GETPIVOTDATA(" Old-Bachelor's",'Pivot Table for 1-11'!$A$3,"State","AL","SREB Type2","Specialized")</f>
        <v>0</v>
      </c>
      <c r="E321" s="6">
        <f>GETPIVOTDATA(" Old-Post-Bachelor's",'Pivot Table for 1-11'!$A$3,"State","AL","SREB Type2","Specialized")</f>
        <v>0</v>
      </c>
      <c r="F321" s="6">
        <f>GETPIVOTDATA(" Old-Total Master's#",'Pivot Table for 1-11'!$A$3,"State","AL","SREB Type2","Specialized")</f>
        <v>0</v>
      </c>
      <c r="G321" s="6">
        <f>GETPIVOTDATA(" Old-Total Doctorates#",'Pivot Table for 1-11'!$A$3,"State","AL","SREB Type2","Specialized")</f>
        <v>0</v>
      </c>
      <c r="H321" s="17">
        <f>GETPIVOTDATA(" Old-Law",'Pivot Table for 1-11'!$A$3,"State","AL","SREB Type2","Specialized")</f>
        <v>0</v>
      </c>
      <c r="I321" s="6">
        <f>GETPIVOTDATA(" Old-Medicine",'Pivot Table for 1-11'!$A$3,"State","AL","SREB Type2","Specialized")</f>
        <v>0</v>
      </c>
      <c r="J321" s="6">
        <f>GETPIVOTDATA(" Old-Dentistry",'Pivot Table for 1-11'!$A$3,"State","AL","SREB Type2","Specialized")</f>
        <v>0</v>
      </c>
      <c r="K321" s="6">
        <f>GETPIVOTDATA(" Old-Pharmacy",'Pivot Table for 1-11'!$A$3,"State","AL","SREB Type2","Specialized")</f>
        <v>0</v>
      </c>
      <c r="L321" s="6">
        <f>GETPIVOTDATA(" Old-Optometry",'Pivot Table for 1-11'!$A$3,"State","AL","SREB Type2","Specialized")</f>
        <v>0</v>
      </c>
      <c r="M321" s="6">
        <f>GETPIVOTDATA(" Old-Osteopathic Medicine",'Pivot Table for 1-11'!$A$3,"State","AL","SREB Type2","Specialized")</f>
        <v>0</v>
      </c>
      <c r="N321" s="80">
        <f>GETPIVOTDATA(" Old-Veterinary Medicine",'Pivot Table for 1-11'!$A$3,"State","AL","SREB Type2","Specialized")</f>
        <v>0</v>
      </c>
      <c r="O321" s="97">
        <f>+GETPIVOTDATA(" Old-Oth PP",'Pivot Table for 1-11'!$A$3,"State","AL","SREB Type2","Specialized")</f>
        <v>0</v>
      </c>
      <c r="P321" s="81">
        <f t="shared" ref="P321:P339" si="8">SUM(B321:O321)</f>
        <v>181</v>
      </c>
    </row>
    <row r="322" spans="1:16" ht="15" customHeight="1" x14ac:dyDescent="0.2">
      <c r="A322" s="5" t="s">
        <v>193</v>
      </c>
      <c r="B322" s="6">
        <f>GETPIVOTDATA(" Old-Less Than 2-Year",'Pivot Table for 1-11'!$A$3,"State","AR","SREB Type2","Specialized")+GETPIVOTDATA(" Old-2 But Less Than 4-Year",'Pivot Table for 1-11'!$A$3,"State","AR","SREB Type2","Specialized")</f>
        <v>18</v>
      </c>
      <c r="C322" s="6">
        <f>GETPIVOTDATA(" Old-Associate's",'Pivot Table for 1-11'!$A$3,"State","AR","SREB Type2","Specialized")</f>
        <v>116</v>
      </c>
      <c r="D322" s="6">
        <f>GETPIVOTDATA(" Old-Bachelor's",'Pivot Table for 1-11'!$A$3,"State","AR","SREB Type2","Specialized")</f>
        <v>326</v>
      </c>
      <c r="E322" s="6">
        <f>GETPIVOTDATA(" Old-Post-Bachelor's",'Pivot Table for 1-11'!$A$3,"State","AR","SREB Type2","Specialized")</f>
        <v>26</v>
      </c>
      <c r="F322" s="6">
        <f>GETPIVOTDATA(" Old-Total Master's#",'Pivot Table for 1-11'!$A$3,"State","AR","SREB Type2","Specialized")</f>
        <v>141</v>
      </c>
      <c r="G322" s="6">
        <f>GETPIVOTDATA(" Old-Total Doctorates#",'Pivot Table for 1-11'!$A$3,"State","AR","SREB Type2","Specialized")</f>
        <v>28</v>
      </c>
      <c r="H322" s="17">
        <f>GETPIVOTDATA(" Old-Law",'Pivot Table for 1-11'!$A$3,"State","AR","SREB Type2","Specialized")</f>
        <v>0</v>
      </c>
      <c r="I322" s="6">
        <f>GETPIVOTDATA(" Old-Medicine",'Pivot Table for 1-11'!$A$3,"State","AR","SREB Type2","Specialized")</f>
        <v>140</v>
      </c>
      <c r="J322" s="6">
        <f>GETPIVOTDATA(" Old-Dentistry",'Pivot Table for 1-11'!$A$3,"State","AR","SREB Type2","Specialized")</f>
        <v>0</v>
      </c>
      <c r="K322" s="6">
        <f>GETPIVOTDATA(" Old-Pharmacy",'Pivot Table for 1-11'!$A$3,"State","AR","SREB Type2","Specialized")</f>
        <v>112</v>
      </c>
      <c r="L322" s="6">
        <f>GETPIVOTDATA(" Old-Optometry",'Pivot Table for 1-11'!$A$3,"State","AR","SREB Type2","Specialized")</f>
        <v>0</v>
      </c>
      <c r="M322" s="6">
        <f>GETPIVOTDATA(" Old-Osteopathic Medicine",'Pivot Table for 1-11'!$A$3,"State","AR","SREB Type2","Specialized")</f>
        <v>0</v>
      </c>
      <c r="N322" s="80">
        <f>GETPIVOTDATA(" Old-Veterinary Medicine",'Pivot Table for 1-11'!$A$3,"State","AR","SREB Type2","Specialized")</f>
        <v>0</v>
      </c>
      <c r="O322" s="97">
        <f>+GETPIVOTDATA(" Old-Oth PP",'Pivot Table for 1-11'!$A$3,"State","AR","SREB Type2","Specialized")</f>
        <v>0</v>
      </c>
      <c r="P322" s="81">
        <f t="shared" si="8"/>
        <v>907</v>
      </c>
    </row>
    <row r="323" spans="1:16" ht="15" customHeight="1" x14ac:dyDescent="0.2">
      <c r="A323" s="5" t="s">
        <v>194</v>
      </c>
      <c r="B323" s="6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6">
        <f>GETPIVOTDATA(" Old-Associate's",'Pivot Table for 1-11'!$A$3,"State","DE","SREB Type2","Specialized")</f>
        <v>0</v>
      </c>
      <c r="D323" s="6">
        <f>GETPIVOTDATA(" Old-Bachelor's",'Pivot Table for 1-11'!$A$3,"State","DE","SREB Type2","Specialized")</f>
        <v>0</v>
      </c>
      <c r="E323" s="6">
        <f>GETPIVOTDATA(" Old-Post-Bachelor's",'Pivot Table for 1-11'!$A$3,"State","DE","SREB Type2","Specialized")</f>
        <v>0</v>
      </c>
      <c r="F323" s="6">
        <f>GETPIVOTDATA(" Old-Total Master's#",'Pivot Table for 1-11'!$A$3,"State","DE","SREB Type2","Specialized")</f>
        <v>0</v>
      </c>
      <c r="G323" s="6">
        <f>GETPIVOTDATA(" Old-Total Doctorates#",'Pivot Table for 1-11'!$A$3,"State","DE","SREB Type2","Specialized")</f>
        <v>0</v>
      </c>
      <c r="H323" s="17">
        <f>GETPIVOTDATA(" Old-Law",'Pivot Table for 1-11'!$A$3,"State","DE","SREB Type2","Specialized")</f>
        <v>0</v>
      </c>
      <c r="I323" s="6">
        <f>GETPIVOTDATA(" Old-Medicine",'Pivot Table for 1-11'!$A$3,"State","DE","SREB Type2","Specialized")</f>
        <v>0</v>
      </c>
      <c r="J323" s="6">
        <f>GETPIVOTDATA(" Old-Dentistry",'Pivot Table for 1-11'!$A$3,"State","DE","SREB Type2","Specialized")</f>
        <v>0</v>
      </c>
      <c r="K323" s="6">
        <f>GETPIVOTDATA(" Old-Pharmacy",'Pivot Table for 1-11'!$A$3,"State","DE","SREB Type2","Specialized")</f>
        <v>0</v>
      </c>
      <c r="L323" s="6">
        <f>GETPIVOTDATA(" Old-Optometry",'Pivot Table for 1-11'!$A$3,"State","DE","SREB Type2","Specialized")</f>
        <v>0</v>
      </c>
      <c r="M323" s="6">
        <f>GETPIVOTDATA(" Old-Osteopathic Medicine",'Pivot Table for 1-11'!$A$3,"State","DE","SREB Type2","Specialized")</f>
        <v>0</v>
      </c>
      <c r="N323" s="80">
        <f>GETPIVOTDATA(" Old-Veterinary Medicine",'Pivot Table for 1-11'!$A$3,"State","DE","SREB Type2","Specialized")</f>
        <v>0</v>
      </c>
      <c r="O323" s="97">
        <f>+GETPIVOTDATA(" Old-Oth PP",'Pivot Table for 1-11'!$A$3,"State","DE","SREB Type2","Specialized")</f>
        <v>0</v>
      </c>
      <c r="P323" s="81">
        <f t="shared" si="8"/>
        <v>0</v>
      </c>
    </row>
    <row r="324" spans="1:16" ht="15" customHeight="1" x14ac:dyDescent="0.2">
      <c r="A324" s="5" t="s">
        <v>195</v>
      </c>
      <c r="B324" s="6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6">
        <f>GETPIVOTDATA(" Old-Associate's",'Pivot Table for 1-11'!$A$3,"State","FL","SREB Type2","Specialized")</f>
        <v>0</v>
      </c>
      <c r="D324" s="6">
        <f>GETPIVOTDATA(" Old-Bachelor's",'Pivot Table for 1-11'!$A$3,"State","FL","SREB Type2","Specialized")</f>
        <v>0</v>
      </c>
      <c r="E324" s="6">
        <f>GETPIVOTDATA(" Old-Post-Bachelor's",'Pivot Table for 1-11'!$A$3,"State","FL","SREB Type2","Specialized")</f>
        <v>0</v>
      </c>
      <c r="F324" s="6">
        <f>GETPIVOTDATA(" Old-Total Master's#",'Pivot Table for 1-11'!$A$3,"State","FL","SREB Type2","Specialized")</f>
        <v>0</v>
      </c>
      <c r="G324" s="6">
        <f>GETPIVOTDATA(" Old-Total Doctorates#",'Pivot Table for 1-11'!$A$3,"State","FL","SREB Type2","Specialized")</f>
        <v>0</v>
      </c>
      <c r="H324" s="17">
        <f>GETPIVOTDATA(" Old-Law",'Pivot Table for 1-11'!$A$3,"State","FL","SREB Type2","Specialized")</f>
        <v>0</v>
      </c>
      <c r="I324" s="6">
        <f>GETPIVOTDATA(" Old-Medicine",'Pivot Table for 1-11'!$A$3,"State","FL","SREB Type2","Specialized")</f>
        <v>0</v>
      </c>
      <c r="J324" s="6">
        <f>GETPIVOTDATA(" Old-Dentistry",'Pivot Table for 1-11'!$A$3,"State","FL","SREB Type2","Specialized")</f>
        <v>0</v>
      </c>
      <c r="K324" s="6">
        <f>GETPIVOTDATA(" Old-Pharmacy",'Pivot Table for 1-11'!$A$3,"State","FL","SREB Type2","Specialized")</f>
        <v>0</v>
      </c>
      <c r="L324" s="6">
        <f>GETPIVOTDATA(" Old-Optometry",'Pivot Table for 1-11'!$A$3,"State","FL","SREB Type2","Specialized")</f>
        <v>0</v>
      </c>
      <c r="M324" s="6">
        <f>GETPIVOTDATA(" Old-Osteopathic Medicine",'Pivot Table for 1-11'!$A$3,"State","FL","SREB Type2","Specialized")</f>
        <v>0</v>
      </c>
      <c r="N324" s="80">
        <f>GETPIVOTDATA(" Old-Veterinary Medicine",'Pivot Table for 1-11'!$A$3,"State","FL","SREB Type2","Specialized")</f>
        <v>0</v>
      </c>
      <c r="O324" s="97">
        <f>+GETPIVOTDATA(" Old-Oth PP",'Pivot Table for 1-11'!$A$3,"State","FL","SREB Type2","Specialized")</f>
        <v>0</v>
      </c>
      <c r="P324" s="81">
        <f t="shared" si="8"/>
        <v>0</v>
      </c>
    </row>
    <row r="325" spans="1:16" ht="15" customHeight="1" x14ac:dyDescent="0.2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0"/>
      <c r="O325" s="97"/>
      <c r="P325" s="81"/>
    </row>
    <row r="326" spans="1:16" ht="15" customHeight="1" x14ac:dyDescent="0.2">
      <c r="A326" s="5" t="s">
        <v>196</v>
      </c>
      <c r="B326" s="6">
        <f>GETPIVOTDATA(" Old-Less Than 2-Year",'Pivot Table for 1-11'!$A$3,"State","GA","SREB Type2","Specialized")+GETPIVOTDATA(" Old-2 But Less Than 4-Year",'Pivot Table for 1-11'!$A$3,"State","GA","SREB Type2","Specialized")</f>
        <v>25</v>
      </c>
      <c r="C326" s="6">
        <f>GETPIVOTDATA(" Old-Associate's",'Pivot Table for 1-11'!$A$3,"State","GA","SREB Type2","Specialized")</f>
        <v>9</v>
      </c>
      <c r="D326" s="6">
        <f>GETPIVOTDATA(" Old-Bachelor's",'Pivot Table for 1-11'!$A$3,"State","GA","SREB Type2","Specialized")</f>
        <v>944</v>
      </c>
      <c r="E326" s="6">
        <f>GETPIVOTDATA(" Old-Post-Bachelor's",'Pivot Table for 1-11'!$A$3,"State","GA","SREB Type2","Specialized")</f>
        <v>41</v>
      </c>
      <c r="F326" s="6">
        <f>GETPIVOTDATA(" Old-Total Master's#",'Pivot Table for 1-11'!$A$3,"State","GA","SREB Type2","Specialized")</f>
        <v>453</v>
      </c>
      <c r="G326" s="6">
        <f>GETPIVOTDATA(" Old-Total Doctorates#",'Pivot Table for 1-11'!$A$3,"State","GA","SREB Type2","Specialized")</f>
        <v>74</v>
      </c>
      <c r="H326" s="17">
        <f>GETPIVOTDATA(" Old-Law",'Pivot Table for 1-11'!$A$3,"State","GA","SREB Type2","Specialized")</f>
        <v>0</v>
      </c>
      <c r="I326" s="6">
        <f>GETPIVOTDATA(" Old-Medicine",'Pivot Table for 1-11'!$A$3,"State","GA","SREB Type2","Specialized")</f>
        <v>178</v>
      </c>
      <c r="J326" s="6">
        <f>GETPIVOTDATA(" Old-Dentistry",'Pivot Table for 1-11'!$A$3,"State","GA","SREB Type2","Specialized")</f>
        <v>61</v>
      </c>
      <c r="K326" s="6">
        <f>GETPIVOTDATA(" Old-Pharmacy",'Pivot Table for 1-11'!$A$3,"State","GA","SREB Type2","Specialized")</f>
        <v>0</v>
      </c>
      <c r="L326" s="6">
        <f>GETPIVOTDATA(" Old-Optometry",'Pivot Table for 1-11'!$A$3,"State","GA","SREB Type2","Specialized")</f>
        <v>0</v>
      </c>
      <c r="M326" s="6">
        <f>GETPIVOTDATA(" Old-Osteopathic Medicine",'Pivot Table for 1-11'!$A$3,"State","GA","SREB Type2","Specialized")</f>
        <v>0</v>
      </c>
      <c r="N326" s="80">
        <f>GETPIVOTDATA(" Old-Veterinary Medicine",'Pivot Table for 1-11'!$A$3,"State","GA","SREB Type2","Specialized")</f>
        <v>0</v>
      </c>
      <c r="O326" s="97">
        <f>+GETPIVOTDATA(" Old-Oth PP",'Pivot Table for 1-11'!$A$3,"State","GA","SREB Type2","Specialized")</f>
        <v>0</v>
      </c>
      <c r="P326" s="81">
        <f t="shared" si="8"/>
        <v>1785</v>
      </c>
    </row>
    <row r="327" spans="1:16" ht="15" customHeight="1" x14ac:dyDescent="0.2">
      <c r="A327" s="5" t="s">
        <v>197</v>
      </c>
      <c r="B327" s="6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6">
        <f>GETPIVOTDATA(" Old-Associate's",'Pivot Table for 1-11'!$A$3,"State","KY","SREB Type2","Specialized")</f>
        <v>0</v>
      </c>
      <c r="D327" s="6">
        <f>GETPIVOTDATA(" Old-Bachelor's",'Pivot Table for 1-11'!$A$3,"State","KY","SREB Type2","Specialized")</f>
        <v>0</v>
      </c>
      <c r="E327" s="6">
        <f>GETPIVOTDATA(" Old-Post-Bachelor's",'Pivot Table for 1-11'!$A$3,"State","KY","SREB Type2","Specialized")</f>
        <v>0</v>
      </c>
      <c r="F327" s="6">
        <f>GETPIVOTDATA(" Old-Total Master's#",'Pivot Table for 1-11'!$A$3,"State","KY","SREB Type2","Specialized")</f>
        <v>0</v>
      </c>
      <c r="G327" s="6">
        <f>GETPIVOTDATA(" Old-Total Doctorates#",'Pivot Table for 1-11'!$A$3,"State","KY","SREB Type2","Specialized")</f>
        <v>0</v>
      </c>
      <c r="H327" s="17">
        <f>GETPIVOTDATA(" Old-Law",'Pivot Table for 1-11'!$A$3,"State","KY","SREB Type2","Specialized")</f>
        <v>0</v>
      </c>
      <c r="I327" s="6">
        <f>GETPIVOTDATA(" Old-Medicine",'Pivot Table for 1-11'!$A$3,"State","KY","SREB Type2","Specialized")</f>
        <v>0</v>
      </c>
      <c r="J327" s="6">
        <f>GETPIVOTDATA(" Old-Dentistry",'Pivot Table for 1-11'!$A$3,"State","KY","SREB Type2","Specialized")</f>
        <v>0</v>
      </c>
      <c r="K327" s="6">
        <f>GETPIVOTDATA(" Old-Pharmacy",'Pivot Table for 1-11'!$A$3,"State","KY","SREB Type2","Specialized")</f>
        <v>0</v>
      </c>
      <c r="L327" s="6">
        <f>GETPIVOTDATA(" Old-Optometry",'Pivot Table for 1-11'!$A$3,"State","KY","SREB Type2","Specialized")</f>
        <v>0</v>
      </c>
      <c r="M327" s="6">
        <f>GETPIVOTDATA(" Old-Osteopathic Medicine",'Pivot Table for 1-11'!$A$3,"State","KY","SREB Type2","Specialized")</f>
        <v>0</v>
      </c>
      <c r="N327" s="80">
        <f>GETPIVOTDATA(" Old-Veterinary Medicine",'Pivot Table for 1-11'!$A$3,"State","KY","SREB Type2","Specialized")</f>
        <v>0</v>
      </c>
      <c r="O327" s="97">
        <f>+GETPIVOTDATA(" Old-Oth PP",'Pivot Table for 1-11'!$A$3,"State","KY","SREB Type2","Specialized")</f>
        <v>0</v>
      </c>
      <c r="P327" s="81">
        <f t="shared" si="8"/>
        <v>0</v>
      </c>
    </row>
    <row r="328" spans="1:16" ht="15" customHeight="1" x14ac:dyDescent="0.2">
      <c r="A328" s="5" t="s">
        <v>198</v>
      </c>
      <c r="B328" s="6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6">
        <f>GETPIVOTDATA(" Old-Associate's",'Pivot Table for 1-11'!$A$3,"State","LA","SREB Type2","Specialized")</f>
        <v>11</v>
      </c>
      <c r="D328" s="6">
        <f>GETPIVOTDATA(" Old-Bachelor's",'Pivot Table for 1-11'!$A$3,"State","LA","SREB Type2","Specialized")</f>
        <v>329</v>
      </c>
      <c r="E328" s="6">
        <f>GETPIVOTDATA(" Old-Post-Bachelor's",'Pivot Table for 1-11'!$A$3,"State","LA","SREB Type2","Specialized")</f>
        <v>0</v>
      </c>
      <c r="F328" s="6">
        <f>GETPIVOTDATA(" Old-Total Master's#",'Pivot Table for 1-11'!$A$3,"State","LA","SREB Type2","Specialized")</f>
        <v>198</v>
      </c>
      <c r="G328" s="6">
        <f>GETPIVOTDATA(" Old-Total Doctorates#",'Pivot Table for 1-11'!$A$3,"State","LA","SREB Type2","Specialized")</f>
        <v>32</v>
      </c>
      <c r="H328" s="17">
        <f>GETPIVOTDATA(" Old-Law",'Pivot Table for 1-11'!$A$3,"State","LA","SREB Type2","Specialized")</f>
        <v>0</v>
      </c>
      <c r="I328" s="6">
        <f>GETPIVOTDATA(" Old-Medicine",'Pivot Table for 1-11'!$A$3,"State","LA","SREB Type2","Specialized")</f>
        <v>291</v>
      </c>
      <c r="J328" s="6">
        <f>GETPIVOTDATA(" Old-Dentistry",'Pivot Table for 1-11'!$A$3,"State","LA","SREB Type2","Specialized")</f>
        <v>53</v>
      </c>
      <c r="K328" s="6">
        <f>GETPIVOTDATA(" Old-Pharmacy",'Pivot Table for 1-11'!$A$3,"State","LA","SREB Type2","Specialized")</f>
        <v>0</v>
      </c>
      <c r="L328" s="6">
        <f>GETPIVOTDATA(" Old-Optometry",'Pivot Table for 1-11'!$A$3,"State","LA","SREB Type2","Specialized")</f>
        <v>0</v>
      </c>
      <c r="M328" s="6">
        <f>GETPIVOTDATA(" Old-Osteopathic Medicine",'Pivot Table for 1-11'!$A$3,"State","LA","SREB Type2","Specialized")</f>
        <v>0</v>
      </c>
      <c r="N328" s="80">
        <f>GETPIVOTDATA(" Old-Veterinary Medicine",'Pivot Table for 1-11'!$A$3,"State","LA","SREB Type2","Specialized")</f>
        <v>0</v>
      </c>
      <c r="O328" s="97">
        <f>+GETPIVOTDATA(" Old-Oth PP",'Pivot Table for 1-11'!$A$3,"State","LA","SREB Type2","Specialized")</f>
        <v>0</v>
      </c>
      <c r="P328" s="81">
        <f t="shared" si="8"/>
        <v>914</v>
      </c>
    </row>
    <row r="329" spans="1:16" ht="15" customHeight="1" x14ac:dyDescent="0.2">
      <c r="A329" s="5" t="s">
        <v>199</v>
      </c>
      <c r="B329" s="6">
        <f>GETPIVOTDATA(" Old-Less Than 2-Year",'Pivot Table for 1-11'!$A$3,"State","MD","SREB Type2","Specialized")+GETPIVOTDATA(" Old-2 But Less Than 4-Year",'Pivot Table for 1-11'!$A$3,"State","MD","SREB Type2","Specialized")</f>
        <v>584</v>
      </c>
      <c r="C329" s="6">
        <f>GETPIVOTDATA(" Old-Associate's",'Pivot Table for 1-11'!$A$3,"State","MD","SREB Type2","Specialized")</f>
        <v>285</v>
      </c>
      <c r="D329" s="6">
        <f>GETPIVOTDATA(" Old-Bachelor's",'Pivot Table for 1-11'!$A$3,"State","MD","SREB Type2","Specialized")</f>
        <v>3629</v>
      </c>
      <c r="E329" s="6">
        <f>GETPIVOTDATA(" Old-Post-Bachelor's",'Pivot Table for 1-11'!$A$3,"State","MD","SREB Type2","Specialized")</f>
        <v>565</v>
      </c>
      <c r="F329" s="6">
        <f>GETPIVOTDATA(" Old-Total Master's#",'Pivot Table for 1-11'!$A$3,"State","MD","SREB Type2","Specialized")</f>
        <v>3841</v>
      </c>
      <c r="G329" s="6">
        <f>GETPIVOTDATA(" Old-Total Doctorates#",'Pivot Table for 1-11'!$A$3,"State","MD","SREB Type2","Specialized")</f>
        <v>63</v>
      </c>
      <c r="H329" s="17">
        <f>GETPIVOTDATA(" Old-Law",'Pivot Table for 1-11'!$A$3,"State","MD","SREB Type2","Specialized")</f>
        <v>293</v>
      </c>
      <c r="I329" s="6">
        <f>GETPIVOTDATA(" Old-Medicine",'Pivot Table for 1-11'!$A$3,"State","MD","SREB Type2","Specialized")</f>
        <v>150</v>
      </c>
      <c r="J329" s="6">
        <f>GETPIVOTDATA(" Old-Dentistry",'Pivot Table for 1-11'!$A$3,"State","MD","SREB Type2","Specialized")</f>
        <v>128</v>
      </c>
      <c r="K329" s="6">
        <f>GETPIVOTDATA(" Old-Pharmacy",'Pivot Table for 1-11'!$A$3,"State","MD","SREB Type2","Specialized")</f>
        <v>145</v>
      </c>
      <c r="L329" s="6">
        <f>GETPIVOTDATA(" Old-Optometry",'Pivot Table for 1-11'!$A$3,"State","MD","SREB Type2","Specialized")</f>
        <v>0</v>
      </c>
      <c r="M329" s="6">
        <f>GETPIVOTDATA(" Old-Osteopathic Medicine",'Pivot Table for 1-11'!$A$3,"State","MD","SREB Type2","Specialized")</f>
        <v>0</v>
      </c>
      <c r="N329" s="80">
        <f>GETPIVOTDATA(" Old-Veterinary Medicine",'Pivot Table for 1-11'!$A$3,"State","MD","SREB Type2","Specialized")</f>
        <v>0</v>
      </c>
      <c r="O329" s="97">
        <f>+GETPIVOTDATA(" Old-Oth PP",'Pivot Table for 1-11'!$A$3,"State","MD","SREB Type2","Specialized")</f>
        <v>147</v>
      </c>
      <c r="P329" s="81">
        <f t="shared" si="8"/>
        <v>9830</v>
      </c>
    </row>
    <row r="330" spans="1:16" ht="10.5" customHeight="1" x14ac:dyDescent="0.2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0"/>
      <c r="O330" s="97"/>
      <c r="P330" s="81">
        <f t="shared" si="8"/>
        <v>0</v>
      </c>
    </row>
    <row r="331" spans="1:16" ht="15" customHeight="1" x14ac:dyDescent="0.2">
      <c r="A331" s="5" t="s">
        <v>200</v>
      </c>
      <c r="B331" s="6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6">
        <f>GETPIVOTDATA(" Old-Associate's",'Pivot Table for 1-11'!$A$3,"State","MS","SREB Type2","Specialized")</f>
        <v>0</v>
      </c>
      <c r="D331" s="6">
        <f>GETPIVOTDATA(" Old-Bachelor's",'Pivot Table for 1-11'!$A$3,"State","MS","SREB Type2","Specialized")</f>
        <v>263</v>
      </c>
      <c r="E331" s="6">
        <f>GETPIVOTDATA(" Old-Post-Bachelor's",'Pivot Table for 1-11'!$A$3,"State","MS","SREB Type2","Specialized")</f>
        <v>0</v>
      </c>
      <c r="F331" s="6">
        <f>GETPIVOTDATA(" Old-Total Master's#",'Pivot Table for 1-11'!$A$3,"State","MS","SREB Type2","Specialized")</f>
        <v>122</v>
      </c>
      <c r="G331" s="6">
        <f>GETPIVOTDATA(" Old-Total Doctorates#",'Pivot Table for 1-11'!$A$3,"State","MS","SREB Type2","Specialized")</f>
        <v>92</v>
      </c>
      <c r="H331" s="17">
        <f>GETPIVOTDATA(" Old-Law",'Pivot Table for 1-11'!$A$3,"State","MS","SREB Type2","Specialized")</f>
        <v>0</v>
      </c>
      <c r="I331" s="6">
        <f>GETPIVOTDATA(" Old-Medicine",'Pivot Table for 1-11'!$A$3,"State","MS","SREB Type2","Specialized")</f>
        <v>120</v>
      </c>
      <c r="J331" s="6">
        <f>GETPIVOTDATA(" Old-Dentistry",'Pivot Table for 1-11'!$A$3,"State","MS","SREB Type2","Specialized")</f>
        <v>41</v>
      </c>
      <c r="K331" s="6">
        <f>GETPIVOTDATA(" Old-Pharmacy",'Pivot Table for 1-11'!$A$3,"State","MS","SREB Type2","Specialized")</f>
        <v>0</v>
      </c>
      <c r="L331" s="6">
        <f>GETPIVOTDATA(" Old-Optometry",'Pivot Table for 1-11'!$A$3,"State","MS","SREB Type2","Specialized")</f>
        <v>0</v>
      </c>
      <c r="M331" s="6">
        <f>GETPIVOTDATA(" Old-Osteopathic Medicine",'Pivot Table for 1-11'!$A$3,"State","MS","SREB Type2","Specialized")</f>
        <v>0</v>
      </c>
      <c r="N331" s="80">
        <f>GETPIVOTDATA(" Old-Veterinary Medicine",'Pivot Table for 1-11'!$A$3,"State","MS","SREB Type2","Specialized")</f>
        <v>0</v>
      </c>
      <c r="O331" s="97">
        <f>+GETPIVOTDATA(" Old-Oth PP",'Pivot Table for 1-11'!$A$3,"State","MS","SREB Type2","Specialized")</f>
        <v>0</v>
      </c>
      <c r="P331" s="81">
        <f t="shared" si="8"/>
        <v>638</v>
      </c>
    </row>
    <row r="332" spans="1:16" ht="15" customHeight="1" x14ac:dyDescent="0.2">
      <c r="A332" s="5" t="s">
        <v>201</v>
      </c>
      <c r="B332" s="6">
        <f>GETPIVOTDATA(" Old-Less Than 2-Year",'Pivot Table for 1-11'!$A$3,"State","NC","SREB Type2","Specialized")+GETPIVOTDATA(" Old-2 But Less Than 4-Year",'Pivot Table for 1-11'!$A$3,"State","NC","SREB Type2","Specialized")</f>
        <v>8</v>
      </c>
      <c r="C332" s="6">
        <f>GETPIVOTDATA(" Old-Associate's",'Pivot Table for 1-11'!$A$3,"State","NC","SREB Type2","Specialized")</f>
        <v>0</v>
      </c>
      <c r="D332" s="6">
        <f>GETPIVOTDATA(" Old-Bachelor's",'Pivot Table for 1-11'!$A$3,"State","NC","SREB Type2","Specialized")</f>
        <v>154</v>
      </c>
      <c r="E332" s="6">
        <f>GETPIVOTDATA(" Old-Post-Bachelor's",'Pivot Table for 1-11'!$A$3,"State","NC","SREB Type2","Specialized")</f>
        <v>0</v>
      </c>
      <c r="F332" s="6">
        <f>GETPIVOTDATA(" Old-Total Master's#",'Pivot Table for 1-11'!$A$3,"State","NC","SREB Type2","Specialized")</f>
        <v>50</v>
      </c>
      <c r="G332" s="6">
        <f>GETPIVOTDATA(" Old-Total Doctorates#",'Pivot Table for 1-11'!$A$3,"State","NC","SREB Type2","Specialized")</f>
        <v>0</v>
      </c>
      <c r="H332" s="17">
        <f>GETPIVOTDATA(" Old-Law",'Pivot Table for 1-11'!$A$3,"State","NC","SREB Type2","Specialized")</f>
        <v>0</v>
      </c>
      <c r="I332" s="6">
        <f>GETPIVOTDATA(" Old-Medicine",'Pivot Table for 1-11'!$A$3,"State","NC","SREB Type2","Specialized")</f>
        <v>0</v>
      </c>
      <c r="J332" s="6">
        <f>GETPIVOTDATA(" Old-Dentistry",'Pivot Table for 1-11'!$A$3,"State","NC","SREB Type2","Specialized")</f>
        <v>0</v>
      </c>
      <c r="K332" s="6">
        <f>GETPIVOTDATA(" Old-Pharmacy",'Pivot Table for 1-11'!$A$3,"State","NC","SREB Type2","Specialized")</f>
        <v>0</v>
      </c>
      <c r="L332" s="6">
        <f>GETPIVOTDATA(" Old-Optometry",'Pivot Table for 1-11'!$A$3,"State","NC","SREB Type2","Specialized")</f>
        <v>0</v>
      </c>
      <c r="M332" s="6">
        <f>GETPIVOTDATA(" Old-Osteopathic Medicine",'Pivot Table for 1-11'!$A$3,"State","NC","SREB Type2","Specialized")</f>
        <v>0</v>
      </c>
      <c r="N332" s="80">
        <f>GETPIVOTDATA(" Old-Veterinary Medicine",'Pivot Table for 1-11'!$A$3,"State","NC","SREB Type2","Specialized")</f>
        <v>0</v>
      </c>
      <c r="O332" s="97">
        <f>+GETPIVOTDATA(" Old-Oth PP",'Pivot Table for 1-11'!$A$3,"State","NC","SREB Type2","Specialized")</f>
        <v>0</v>
      </c>
      <c r="P332" s="81">
        <f t="shared" si="8"/>
        <v>212</v>
      </c>
    </row>
    <row r="333" spans="1:16" ht="15" customHeight="1" x14ac:dyDescent="0.2">
      <c r="A333" s="5" t="s">
        <v>202</v>
      </c>
      <c r="B333" s="6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6">
        <f>GETPIVOTDATA(" Old-Associate's",'Pivot Table for 1-11'!$A$3,"State","OK","SREB Type2","Specialized")</f>
        <v>0</v>
      </c>
      <c r="D333" s="6">
        <f>GETPIVOTDATA(" Old-Bachelor's",'Pivot Table for 1-11'!$A$3,"State","OK","SREB Type2","Specialized")</f>
        <v>0</v>
      </c>
      <c r="E333" s="6">
        <f>GETPIVOTDATA(" Old-Post-Bachelor's",'Pivot Table for 1-11'!$A$3,"State","OK","SREB Type2","Specialized")</f>
        <v>0</v>
      </c>
      <c r="F333" s="6">
        <f>GETPIVOTDATA(" Old-Total Master's#",'Pivot Table for 1-11'!$A$3,"State","OK","SREB Type2","Specialized")</f>
        <v>0</v>
      </c>
      <c r="G333" s="6">
        <f>GETPIVOTDATA(" Old-Total Doctorates#",'Pivot Table for 1-11'!$A$3,"State","OK","SREB Type2","Specialized")</f>
        <v>0</v>
      </c>
      <c r="H333" s="17">
        <f>GETPIVOTDATA(" Old-Law",'Pivot Table for 1-11'!$A$3,"State","OK","SREB Type2","Specialized")</f>
        <v>0</v>
      </c>
      <c r="I333" s="6">
        <f>GETPIVOTDATA(" Old-Medicine",'Pivot Table for 1-11'!$A$3,"State","OK","SREB Type2","Specialized")</f>
        <v>0</v>
      </c>
      <c r="J333" s="6">
        <f>GETPIVOTDATA(" Old-Dentistry",'Pivot Table for 1-11'!$A$3,"State","OK","SREB Type2","Specialized")</f>
        <v>0</v>
      </c>
      <c r="K333" s="6">
        <f>GETPIVOTDATA(" Old-Pharmacy",'Pivot Table for 1-11'!$A$3,"State","OK","SREB Type2","Specialized")</f>
        <v>0</v>
      </c>
      <c r="L333" s="6">
        <f>GETPIVOTDATA(" Old-Optometry",'Pivot Table for 1-11'!$A$3,"State","OK","SREB Type2","Specialized")</f>
        <v>0</v>
      </c>
      <c r="M333" s="6">
        <f>GETPIVOTDATA(" Old-Osteopathic Medicine",'Pivot Table for 1-11'!$A$3,"State","OK","SREB Type2","Specialized")</f>
        <v>0</v>
      </c>
      <c r="N333" s="80">
        <f>GETPIVOTDATA(" Old-Veterinary Medicine",'Pivot Table for 1-11'!$A$3,"State","OK","SREB Type2","Specialized")</f>
        <v>0</v>
      </c>
      <c r="O333" s="97">
        <f>+GETPIVOTDATA(" Old-Oth PP",'Pivot Table for 1-11'!$A$3,"State","OK","SREB Type2","Specialized")</f>
        <v>0</v>
      </c>
      <c r="P333" s="81">
        <f t="shared" si="8"/>
        <v>0</v>
      </c>
    </row>
    <row r="334" spans="1:16" ht="15" customHeight="1" x14ac:dyDescent="0.2">
      <c r="A334" s="5" t="s">
        <v>203</v>
      </c>
      <c r="B334" s="6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6">
        <f>GETPIVOTDATA(" Old-Associate's",'Pivot Table for 1-11'!$A$3,"State","SC","SREB Type2","Specialized")</f>
        <v>0</v>
      </c>
      <c r="D334" s="6">
        <f>GETPIVOTDATA(" Old-Bachelor's",'Pivot Table for 1-11'!$A$3,"State","SC","SREB Type2","Specialized")</f>
        <v>189</v>
      </c>
      <c r="E334" s="6">
        <f>GETPIVOTDATA(" Old-Post-Bachelor's",'Pivot Table for 1-11'!$A$3,"State","SC","SREB Type2","Specialized")</f>
        <v>6</v>
      </c>
      <c r="F334" s="6">
        <f>GETPIVOTDATA(" Old-Total Master's#",'Pivot Table for 1-11'!$A$3,"State","SC","SREB Type2","Specialized")</f>
        <v>217</v>
      </c>
      <c r="G334" s="6">
        <f>GETPIVOTDATA(" Old-Total Doctorates#",'Pivot Table for 1-11'!$A$3,"State","SC","SREB Type2","Specialized")</f>
        <v>96</v>
      </c>
      <c r="H334" s="17">
        <f>GETPIVOTDATA(" Old-Law",'Pivot Table for 1-11'!$A$3,"State","SC","SREB Type2","Specialized")</f>
        <v>0</v>
      </c>
      <c r="I334" s="6">
        <f>GETPIVOTDATA(" Old-Medicine",'Pivot Table for 1-11'!$A$3,"State","SC","SREB Type2","Specialized")</f>
        <v>163</v>
      </c>
      <c r="J334" s="6">
        <f>GETPIVOTDATA(" Old-Dentistry",'Pivot Table for 1-11'!$A$3,"State","SC","SREB Type2","Specialized")</f>
        <v>51</v>
      </c>
      <c r="K334" s="6">
        <f>GETPIVOTDATA(" Old-Pharmacy",'Pivot Table for 1-11'!$A$3,"State","SC","SREB Type2","Specialized")</f>
        <v>75</v>
      </c>
      <c r="L334" s="6">
        <f>GETPIVOTDATA(" Old-Optometry",'Pivot Table for 1-11'!$A$3,"State","SC","SREB Type2","Specialized")</f>
        <v>0</v>
      </c>
      <c r="M334" s="6">
        <f>GETPIVOTDATA(" Old-Osteopathic Medicine",'Pivot Table for 1-11'!$A$3,"State","SC","SREB Type2","Specialized")</f>
        <v>0</v>
      </c>
      <c r="N334" s="80">
        <f>GETPIVOTDATA(" Old-Veterinary Medicine",'Pivot Table for 1-11'!$A$3,"State","SC","SREB Type2","Specialized")</f>
        <v>0</v>
      </c>
      <c r="O334" s="97">
        <f>+GETPIVOTDATA(" Old-Oth PP",'Pivot Table for 1-11'!$A$3,"State","SC","SREB Type2","Specialized")</f>
        <v>0</v>
      </c>
      <c r="P334" s="81">
        <f t="shared" si="8"/>
        <v>797</v>
      </c>
    </row>
    <row r="335" spans="1:16" ht="10.5" customHeight="1" x14ac:dyDescent="0.2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0"/>
      <c r="O335" s="97"/>
      <c r="P335" s="81"/>
    </row>
    <row r="336" spans="1:16" ht="15" customHeight="1" x14ac:dyDescent="0.2">
      <c r="A336" s="5" t="s">
        <v>204</v>
      </c>
      <c r="B336" s="6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6">
        <f>GETPIVOTDATA(" Old-Associate's",'Pivot Table for 1-11'!$A$3,"State","TN","SREB Type2","Specialized")</f>
        <v>0</v>
      </c>
      <c r="D336" s="6">
        <f>GETPIVOTDATA(" Old-Bachelor's",'Pivot Table for 1-11'!$A$3,"State","TN","SREB Type2","Specialized")</f>
        <v>45</v>
      </c>
      <c r="E336" s="6">
        <f>GETPIVOTDATA(" Old-Post-Bachelor's",'Pivot Table for 1-11'!$A$3,"State","TN","SREB Type2","Specialized")</f>
        <v>0</v>
      </c>
      <c r="F336" s="6">
        <f>GETPIVOTDATA(" Old-Total Master's#",'Pivot Table for 1-11'!$A$3,"State","TN","SREB Type2","Specialized")</f>
        <v>174</v>
      </c>
      <c r="G336" s="6">
        <f>GETPIVOTDATA(" Old-Total Doctorates#",'Pivot Table for 1-11'!$A$3,"State","TN","SREB Type2","Specialized")</f>
        <v>101</v>
      </c>
      <c r="H336" s="17">
        <f>GETPIVOTDATA(" Old-Law",'Pivot Table for 1-11'!$A$3,"State","TN","SREB Type2","Specialized")</f>
        <v>0</v>
      </c>
      <c r="I336" s="6">
        <f>GETPIVOTDATA(" Old-Medicine",'Pivot Table for 1-11'!$A$3,"State","TN","SREB Type2","Specialized")</f>
        <v>140</v>
      </c>
      <c r="J336" s="6">
        <f>GETPIVOTDATA(" Old-Dentistry",'Pivot Table for 1-11'!$A$3,"State","TN","SREB Type2","Specialized")</f>
        <v>83</v>
      </c>
      <c r="K336" s="6">
        <f>GETPIVOTDATA(" Old-Pharmacy",'Pivot Table for 1-11'!$A$3,"State","TN","SREB Type2","Specialized")</f>
        <v>197</v>
      </c>
      <c r="L336" s="6">
        <f>GETPIVOTDATA(" Old-Optometry",'Pivot Table for 1-11'!$A$3,"State","TN","SREB Type2","Specialized")</f>
        <v>0</v>
      </c>
      <c r="M336" s="6">
        <f>GETPIVOTDATA(" Old-Osteopathic Medicine",'Pivot Table for 1-11'!$A$3,"State","TN","SREB Type2","Specialized")</f>
        <v>0</v>
      </c>
      <c r="N336" s="80">
        <f>GETPIVOTDATA(" Old-Veterinary Medicine",'Pivot Table for 1-11'!$A$3,"State","TN","SREB Type2","Specialized")</f>
        <v>0</v>
      </c>
      <c r="O336" s="97">
        <f>+GETPIVOTDATA(" Old-Oth PP",'Pivot Table for 1-11'!$A$3,"State","TN","SREB Type2","Specialized")</f>
        <v>0</v>
      </c>
      <c r="P336" s="81">
        <f t="shared" si="8"/>
        <v>740</v>
      </c>
    </row>
    <row r="337" spans="1:16" ht="15" customHeight="1" x14ac:dyDescent="0.2">
      <c r="A337" s="5" t="s">
        <v>205</v>
      </c>
      <c r="B337" s="6">
        <f>GETPIVOTDATA(" Old-Less Than 2-Year",'Pivot Table for 1-11'!$A$3,"State","TX","SREB Type2","Specialized")+GETPIVOTDATA(" Old-2 But Less Than 4-Year",'Pivot Table for 1-11'!$A$3,"State","TX","SREB Type2","Specialized")</f>
        <v>0</v>
      </c>
      <c r="C337" s="6">
        <f>GETPIVOTDATA(" Old-Associate's",'Pivot Table for 1-11'!$A$3,"State","TX","SREB Type2","Specialized")</f>
        <v>199</v>
      </c>
      <c r="D337" s="6">
        <f>GETPIVOTDATA(" Old-Bachelor's",'Pivot Table for 1-11'!$A$3,"State","TX","SREB Type2","Specialized")</f>
        <v>2048</v>
      </c>
      <c r="E337" s="6">
        <f>GETPIVOTDATA(" Old-Post-Bachelor's",'Pivot Table for 1-11'!$A$3,"State","TX","SREB Type2","Specialized")</f>
        <v>0</v>
      </c>
      <c r="F337" s="6">
        <f>GETPIVOTDATA(" Old-Total Master's#",'Pivot Table for 1-11'!$A$3,"State","TX","SREB Type2","Specialized")</f>
        <v>1858</v>
      </c>
      <c r="G337" s="6">
        <f>GETPIVOTDATA(" Old-Total Doctorates#",'Pivot Table for 1-11'!$A$3,"State","TX","SREB Type2","Specialized")</f>
        <v>371</v>
      </c>
      <c r="H337" s="17">
        <f>GETPIVOTDATA(" Old-Law",'Pivot Table for 1-11'!$A$3,"State","TX","SREB Type2","Specialized")</f>
        <v>0</v>
      </c>
      <c r="I337" s="6">
        <f>GETPIVOTDATA(" Old-Medicine",'Pivot Table for 1-11'!$A$3,"State","TX","SREB Type2","Specialized")</f>
        <v>1123</v>
      </c>
      <c r="J337" s="6">
        <f>GETPIVOTDATA(" Old-Dentistry",'Pivot Table for 1-11'!$A$3,"State","TX","SREB Type2","Specialized")</f>
        <v>289</v>
      </c>
      <c r="K337" s="6">
        <f>GETPIVOTDATA(" Old-Pharmacy",'Pivot Table for 1-11'!$A$3,"State","TX","SREB Type2","Specialized")</f>
        <v>186</v>
      </c>
      <c r="L337" s="6">
        <f>GETPIVOTDATA(" Old-Optometry",'Pivot Table for 1-11'!$A$3,"State","TX","SREB Type2","Specialized")</f>
        <v>0</v>
      </c>
      <c r="M337" s="6">
        <f>GETPIVOTDATA(" Old-Osteopathic Medicine",'Pivot Table for 1-11'!$A$3,"State","TX","SREB Type2","Specialized")</f>
        <v>159</v>
      </c>
      <c r="N337" s="80">
        <f>GETPIVOTDATA(" Old-Veterinary Medicine",'Pivot Table for 1-11'!$A$3,"State","TX","SREB Type2","Specialized")</f>
        <v>0</v>
      </c>
      <c r="O337" s="97">
        <f>+GETPIVOTDATA(" Old-Oth PP",'Pivot Table for 1-11'!$A$3,"State","TX","SREB Type2","Specialized")</f>
        <v>215</v>
      </c>
      <c r="P337" s="81">
        <f t="shared" si="8"/>
        <v>6448</v>
      </c>
    </row>
    <row r="338" spans="1:16" ht="15" customHeight="1" x14ac:dyDescent="0.2">
      <c r="A338" s="5" t="s">
        <v>206</v>
      </c>
      <c r="B338" s="6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6">
        <f>GETPIVOTDATA(" Old-Associate's",'Pivot Table for 1-11'!$A$3,"State","VA","SREB Type2","Specialized")</f>
        <v>0</v>
      </c>
      <c r="D338" s="6">
        <f>GETPIVOTDATA(" Old-Bachelor's",'Pivot Table for 1-11'!$A$3,"State","VA","SREB Type2","Specialized")</f>
        <v>324</v>
      </c>
      <c r="E338" s="6">
        <f>GETPIVOTDATA(" Old-Post-Bachelor's",'Pivot Table for 1-11'!$A$3,"State","VA","SREB Type2","Specialized")</f>
        <v>0</v>
      </c>
      <c r="F338" s="6">
        <f>GETPIVOTDATA(" Old-Total Master's#",'Pivot Table for 1-11'!$A$3,"State","VA","SREB Type2","Specialized")</f>
        <v>0</v>
      </c>
      <c r="G338" s="6">
        <f>GETPIVOTDATA(" Old-Total Doctorates#",'Pivot Table for 1-11'!$A$3,"State","VA","SREB Type2","Specialized")</f>
        <v>0</v>
      </c>
      <c r="H338" s="17">
        <f>GETPIVOTDATA(" Old-Law",'Pivot Table for 1-11'!$A$3,"State","VA","SREB Type2","Specialized")</f>
        <v>0</v>
      </c>
      <c r="I338" s="6">
        <f>GETPIVOTDATA(" Old-Medicine",'Pivot Table for 1-11'!$A$3,"State","VA","SREB Type2","Specialized")</f>
        <v>0</v>
      </c>
      <c r="J338" s="6">
        <f>GETPIVOTDATA(" Old-Dentistry",'Pivot Table for 1-11'!$A$3,"State","VA","SREB Type2","Specialized")</f>
        <v>0</v>
      </c>
      <c r="K338" s="6">
        <f>GETPIVOTDATA(" Old-Pharmacy",'Pivot Table for 1-11'!$A$3,"State","VA","SREB Type2","Specialized")</f>
        <v>0</v>
      </c>
      <c r="L338" s="6">
        <f>GETPIVOTDATA(" Old-Optometry",'Pivot Table for 1-11'!$A$3,"State","VA","SREB Type2","Specialized")</f>
        <v>0</v>
      </c>
      <c r="M338" s="6">
        <f>GETPIVOTDATA(" Old-Osteopathic Medicine",'Pivot Table for 1-11'!$A$3,"State","VA","SREB Type2","Specialized")</f>
        <v>0</v>
      </c>
      <c r="N338" s="80">
        <f>GETPIVOTDATA(" Old-Veterinary Medicine",'Pivot Table for 1-11'!$A$3,"State","VA","SREB Type2","Specialized")</f>
        <v>0</v>
      </c>
      <c r="O338" s="97">
        <f>+GETPIVOTDATA(" Old-Oth PP",'Pivot Table for 1-11'!$A$3,"State","VA","SREB Type2","Specialized")</f>
        <v>0</v>
      </c>
      <c r="P338" s="81">
        <f t="shared" si="8"/>
        <v>324</v>
      </c>
    </row>
    <row r="339" spans="1:16" ht="15" customHeight="1" x14ac:dyDescent="0.2">
      <c r="A339" s="7" t="s">
        <v>207</v>
      </c>
      <c r="B339" s="8">
        <f>GETPIVOTDATA(" Old-Less Than 2-Year",'Pivot Table for 1-11'!$A$3,"State","WV","SREB Type2","Specialized")+GETPIVOTDATA(" Old-2 But Less Than 4-Year",'Pivot Table for 1-11'!$A$3,"State","WV","SREB Type2","Specialized")</f>
        <v>43</v>
      </c>
      <c r="C339" s="8">
        <f>GETPIVOTDATA(" Old-Associate's",'Pivot Table for 1-11'!$A$3,"State","WV","SREB Type2","Specialized")</f>
        <v>0</v>
      </c>
      <c r="D339" s="8">
        <f>GETPIVOTDATA(" Old-Bachelor's",'Pivot Table for 1-11'!$A$3,"State","WV","SREB Type2","Specialized")</f>
        <v>0</v>
      </c>
      <c r="E339" s="8">
        <f>GETPIVOTDATA(" Old-Post-Bachelor's",'Pivot Table for 1-11'!$A$3,"State","WV","SREB Type2","Specialized")</f>
        <v>0</v>
      </c>
      <c r="F339" s="8">
        <f>GETPIVOTDATA(" Old-Total Master's#",'Pivot Table for 1-11'!$A$3,"State","WV","SREB Type2","Specialized")</f>
        <v>0</v>
      </c>
      <c r="G339" s="8">
        <f>GETPIVOTDATA(" Old-Total Doctorates#",'Pivot Table for 1-11'!$A$3,"State","WV","SREB Type2","Specialized")</f>
        <v>0</v>
      </c>
      <c r="H339" s="18">
        <f>GETPIVOTDATA(" Old-Law",'Pivot Table for 1-11'!$A$3,"State","WV","SREB Type2","Specialized")</f>
        <v>0</v>
      </c>
      <c r="I339" s="8">
        <f>GETPIVOTDATA(" Old-Medicine",'Pivot Table for 1-11'!$A$3,"State","WV","SREB Type2","Specialized")</f>
        <v>0</v>
      </c>
      <c r="J339" s="8">
        <f>GETPIVOTDATA(" Old-Dentistry",'Pivot Table for 1-11'!$A$3,"State","WV","SREB Type2","Specialized")</f>
        <v>0</v>
      </c>
      <c r="K339" s="8">
        <f>GETPIVOTDATA(" Old-Pharmacy",'Pivot Table for 1-11'!$A$3,"State","WV","SREB Type2","Specialized")</f>
        <v>0</v>
      </c>
      <c r="L339" s="8">
        <f>GETPIVOTDATA(" Old-Optometry",'Pivot Table for 1-11'!$A$3,"State","WV","SREB Type2","Specialized")</f>
        <v>0</v>
      </c>
      <c r="M339" s="8">
        <f>GETPIVOTDATA(" Old-Osteopathic Medicine",'Pivot Table for 1-11'!$A$3,"State","WV","SREB Type2","Specialized")</f>
        <v>198</v>
      </c>
      <c r="N339" s="88">
        <f>GETPIVOTDATA(" Old-Veterinary Medicine",'Pivot Table for 1-11'!$A$3,"State","WV","SREB Type2","Specialized")</f>
        <v>0</v>
      </c>
      <c r="O339" s="98">
        <f>+GETPIVOTDATA(" Old-Oth PP",'Pivot Table for 1-11'!$A$3,"State","WV","SREB Type2","Specialized")</f>
        <v>0</v>
      </c>
      <c r="P339" s="82">
        <f t="shared" si="8"/>
        <v>241</v>
      </c>
    </row>
    <row r="340" spans="1:16" s="43" customFormat="1" ht="24" customHeight="1" x14ac:dyDescent="0.2">
      <c r="A340" s="856" t="s">
        <v>409</v>
      </c>
      <c r="B340" s="857"/>
      <c r="C340" s="857"/>
      <c r="D340" s="857"/>
      <c r="E340" s="857"/>
      <c r="F340" s="857"/>
      <c r="G340" s="857"/>
      <c r="H340" s="857"/>
      <c r="I340" s="857"/>
      <c r="J340" s="857"/>
      <c r="K340" s="857"/>
      <c r="L340" s="857"/>
      <c r="M340" s="857"/>
      <c r="N340" s="857"/>
      <c r="O340" s="857"/>
      <c r="P340" s="857"/>
    </row>
    <row r="341" spans="1:16" x14ac:dyDescent="0.2">
      <c r="N341" s="3"/>
      <c r="O341" s="83"/>
      <c r="P341" s="83" t="s">
        <v>1293</v>
      </c>
    </row>
    <row r="342" spans="1:16" ht="18" x14ac:dyDescent="0.25">
      <c r="A342" s="22" t="s">
        <v>228</v>
      </c>
      <c r="B342" s="22"/>
      <c r="C342" s="22"/>
      <c r="D342" s="22"/>
      <c r="E342" s="22"/>
      <c r="F342" s="22"/>
      <c r="G342" s="22"/>
      <c r="H342" s="21" t="s">
        <v>216</v>
      </c>
      <c r="I342" s="21"/>
      <c r="J342" s="21"/>
      <c r="K342" s="21"/>
      <c r="L342" s="21"/>
      <c r="M342" s="21"/>
      <c r="N342" s="86"/>
      <c r="O342" s="86"/>
      <c r="P342" s="86"/>
    </row>
    <row r="343" spans="1:16" ht="6.75" customHeight="1" x14ac:dyDescent="0.2">
      <c r="A343" s="4"/>
      <c r="B343" s="4"/>
      <c r="C343" s="4"/>
      <c r="D343" s="4"/>
      <c r="E343" s="4"/>
      <c r="F343" s="4"/>
      <c r="G343" s="4"/>
      <c r="H343" s="4"/>
      <c r="I343" s="57"/>
      <c r="J343" s="57"/>
      <c r="K343" s="57"/>
      <c r="L343" s="51"/>
      <c r="M343" s="51"/>
    </row>
    <row r="344" spans="1:16" ht="15.75" x14ac:dyDescent="0.25">
      <c r="A344" s="1" t="s">
        <v>229</v>
      </c>
      <c r="B344" s="1"/>
      <c r="C344" s="1"/>
      <c r="D344" s="1"/>
      <c r="E344" s="1"/>
      <c r="F344" s="1"/>
      <c r="G344" s="1"/>
      <c r="H344" s="1" t="s">
        <v>216</v>
      </c>
      <c r="I344" s="58"/>
      <c r="J344" s="58"/>
      <c r="K344" s="58"/>
      <c r="L344" s="59"/>
      <c r="M344" s="59"/>
      <c r="N344" s="59"/>
      <c r="O344" s="59"/>
      <c r="P344" s="59"/>
    </row>
    <row r="345" spans="1:16" ht="15.75" x14ac:dyDescent="0.25">
      <c r="A345" s="1" t="s">
        <v>230</v>
      </c>
      <c r="B345" s="1"/>
      <c r="C345" s="1"/>
      <c r="D345" s="1"/>
      <c r="E345" s="1"/>
      <c r="F345" s="1"/>
      <c r="G345" s="1"/>
      <c r="H345" s="1" t="s">
        <v>216</v>
      </c>
      <c r="I345" s="58"/>
      <c r="J345" s="58"/>
      <c r="K345" s="58"/>
      <c r="L345" s="59"/>
      <c r="M345" s="59"/>
      <c r="N345" s="59"/>
      <c r="O345" s="59"/>
      <c r="P345" s="59"/>
    </row>
    <row r="346" spans="1:16" ht="15.75" x14ac:dyDescent="0.25">
      <c r="A346" s="1" t="s">
        <v>489</v>
      </c>
      <c r="B346" s="1"/>
      <c r="C346" s="1"/>
      <c r="D346" s="1"/>
      <c r="E346" s="1"/>
      <c r="F346" s="1"/>
      <c r="G346" s="1"/>
      <c r="H346" s="1" t="s">
        <v>216</v>
      </c>
      <c r="I346" s="58"/>
      <c r="J346" s="58"/>
      <c r="K346" s="58"/>
      <c r="L346" s="59"/>
      <c r="M346" s="59"/>
      <c r="N346" s="59"/>
      <c r="O346" s="59"/>
      <c r="P346" s="59"/>
    </row>
    <row r="347" spans="1:16" ht="9" customHeight="1" x14ac:dyDescent="0.25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59"/>
      <c r="O347" s="59"/>
      <c r="P347" s="59"/>
    </row>
    <row r="348" spans="1:16" ht="15.75" x14ac:dyDescent="0.25">
      <c r="A348" s="23"/>
      <c r="B348" s="67"/>
      <c r="C348" s="24" t="s">
        <v>231</v>
      </c>
      <c r="D348" s="25"/>
      <c r="E348" s="25"/>
      <c r="F348" s="25"/>
      <c r="G348" s="26"/>
      <c r="H348" s="1" t="s">
        <v>216</v>
      </c>
      <c r="I348" s="1"/>
      <c r="J348" s="1"/>
      <c r="K348" s="1"/>
      <c r="L348" s="1"/>
      <c r="M348" s="2"/>
      <c r="N348" s="59"/>
      <c r="O348" s="59"/>
      <c r="P348" s="59"/>
    </row>
    <row r="349" spans="1:16" ht="86.25" customHeight="1" x14ac:dyDescent="0.25">
      <c r="A349" s="27"/>
      <c r="B349" s="28" t="s">
        <v>232</v>
      </c>
      <c r="C349" s="29" t="s">
        <v>413</v>
      </c>
      <c r="D349" s="29" t="s">
        <v>234</v>
      </c>
      <c r="E349" s="29" t="s">
        <v>235</v>
      </c>
      <c r="F349" s="30" t="s">
        <v>190</v>
      </c>
      <c r="G349" s="29" t="s">
        <v>258</v>
      </c>
      <c r="H349" s="1"/>
      <c r="I349" s="1"/>
      <c r="J349" s="1"/>
      <c r="K349" s="1"/>
      <c r="L349" s="1"/>
    </row>
    <row r="350" spans="1:16" ht="15" customHeight="1" x14ac:dyDescent="0.25">
      <c r="A350" s="5" t="s">
        <v>191</v>
      </c>
      <c r="B350" s="20">
        <f>GETPIVOTDATA(" Old-Bachelor's",'Pivot Table for 12'!$A$3)</f>
        <v>405895</v>
      </c>
      <c r="C350" s="31">
        <f>GETPIVOTDATA(" Old-Bach-TeachEd by CIP",'Pivot Table for 12'!$A$3)</f>
        <v>15771</v>
      </c>
      <c r="D350" s="20">
        <f>GETPIVOTDATA(" Old-Bach-TeachEd by Courses",'Pivot Table for 12'!$A$3)</f>
        <v>4792</v>
      </c>
      <c r="E350" s="20">
        <f>GETPIVOTDATA(" Old-Bach-TeachEd-Other",'Pivot Table for 12'!$A$3)</f>
        <v>5192</v>
      </c>
      <c r="F350" s="19">
        <f>GETPIVOTDATA(" Old-Bach-TeachEd-Subtot",'Pivot Table for 12'!$A$3)</f>
        <v>25755</v>
      </c>
      <c r="G350" s="110">
        <f>(F350/(B350-B368-B369))*100</f>
        <v>8.9876779301993661</v>
      </c>
      <c r="I350" s="1"/>
      <c r="J350" s="1"/>
      <c r="K350" s="1"/>
      <c r="L350" s="1"/>
    </row>
    <row r="351" spans="1:16" ht="7.5" customHeight="1" x14ac:dyDescent="0.2">
      <c r="A351" s="5"/>
      <c r="B351" s="20"/>
      <c r="C351" s="31"/>
      <c r="D351" s="20"/>
      <c r="E351" s="20"/>
      <c r="F351" s="19"/>
      <c r="G351" s="37"/>
      <c r="J351" s="33"/>
      <c r="K351" s="68"/>
    </row>
    <row r="352" spans="1:16" ht="15" customHeight="1" x14ac:dyDescent="0.25">
      <c r="A352" s="5" t="s">
        <v>192</v>
      </c>
      <c r="B352" s="20">
        <f>GETPIVOTDATA(" Old-Bachelor's",'Pivot Table for 12'!$A$3,"State","AL")</f>
        <v>20902</v>
      </c>
      <c r="C352" s="31">
        <f>GETPIVOTDATA(" Old-Bach-TeachEd by CIP",'Pivot Table for 12'!$A$3,"State","AL")</f>
        <v>2349</v>
      </c>
      <c r="D352" s="20">
        <f>GETPIVOTDATA(" Old-Bach-TeachEd by Courses",'Pivot Table for 12'!$A$3,"State","AL")</f>
        <v>0</v>
      </c>
      <c r="E352" s="20">
        <f>GETPIVOTDATA(" Old-Bach-TeachEd-Other",'Pivot Table for 12'!$A$3,"State","AL")</f>
        <v>112</v>
      </c>
      <c r="F352" s="19">
        <f>GETPIVOTDATA(" Old-Bach-TeachEd-Subtot",'Pivot Table for 12'!$A$3,"State","AL")</f>
        <v>2461</v>
      </c>
      <c r="G352" s="37">
        <f>(F352/B352)*100</f>
        <v>11.773992919337863</v>
      </c>
      <c r="J352" s="69"/>
      <c r="K352" s="10"/>
    </row>
    <row r="353" spans="1:11" ht="15" customHeight="1" x14ac:dyDescent="0.2">
      <c r="A353" s="5" t="s">
        <v>193</v>
      </c>
      <c r="B353" s="20">
        <f>GETPIVOTDATA(" Old-Bachelor's",'Pivot Table for 12'!$A$3,"State","AR")</f>
        <v>10735</v>
      </c>
      <c r="C353" s="31">
        <f>GETPIVOTDATA(" Old-Bach-TeachEd by CIP",'Pivot Table for 12'!$A$3,"State","AR")</f>
        <v>1150</v>
      </c>
      <c r="D353" s="20">
        <f>GETPIVOTDATA(" Old-Bach-TeachEd by Courses",'Pivot Table for 12'!$A$3,"State","AR")</f>
        <v>0</v>
      </c>
      <c r="E353" s="20">
        <f>GETPIVOTDATA(" Old-Bach-TeachEd-Other",'Pivot Table for 12'!$A$3,"State","AR")</f>
        <v>0</v>
      </c>
      <c r="F353" s="19">
        <f>GETPIVOTDATA(" Old-Bach-TeachEd-Subtot",'Pivot Table for 12'!$A$3,"State","AR")</f>
        <v>1150</v>
      </c>
      <c r="G353" s="37">
        <f t="shared" ref="G353:G370" si="9">(F353/B353)*100</f>
        <v>10.712622263623661</v>
      </c>
      <c r="I353" s="48"/>
      <c r="J353" s="33"/>
      <c r="K353" s="68"/>
    </row>
    <row r="354" spans="1:11" ht="15" customHeight="1" x14ac:dyDescent="0.2">
      <c r="A354" s="5" t="s">
        <v>194</v>
      </c>
      <c r="B354" s="20">
        <f>GETPIVOTDATA(" Old-Bachelor's",'Pivot Table for 12'!$A$3,"State","DE")</f>
        <v>4118</v>
      </c>
      <c r="C354" s="31">
        <f>GETPIVOTDATA(" Old-Bach-TeachEd by CIP",'Pivot Table for 12'!$A$3,"State","DE")</f>
        <v>347</v>
      </c>
      <c r="D354" s="20">
        <f>GETPIVOTDATA(" Old-Bach-TeachEd by Courses",'Pivot Table for 12'!$A$3,"State","DE")</f>
        <v>0</v>
      </c>
      <c r="E354" s="20">
        <f>GETPIVOTDATA(" Old-Bach-TeachEd-Other",'Pivot Table for 12'!$A$3,"State","DE")</f>
        <v>0</v>
      </c>
      <c r="F354" s="19">
        <f>GETPIVOTDATA(" Old-Bach-TeachEd-Subtot",'Pivot Table for 12'!$A$3,"State","DE")</f>
        <v>347</v>
      </c>
      <c r="G354" s="37">
        <f t="shared" si="9"/>
        <v>8.4264205925206408</v>
      </c>
      <c r="J354" s="33"/>
      <c r="K354" s="68"/>
    </row>
    <row r="355" spans="1:11" ht="15" customHeight="1" x14ac:dyDescent="0.2">
      <c r="A355" s="5" t="s">
        <v>195</v>
      </c>
      <c r="B355" s="20">
        <f>GETPIVOTDATA(" Old-Bachelor's",'Pivot Table for 12'!$A$3,"State","FL")</f>
        <v>57313</v>
      </c>
      <c r="C355" s="31">
        <f>GETPIVOTDATA(" Old-Bach-TeachEd by CIP",'Pivot Table for 12'!$A$3,"State","FL")</f>
        <v>0</v>
      </c>
      <c r="D355" s="20">
        <f>GETPIVOTDATA(" Old-Bach-TeachEd by Courses",'Pivot Table for 12'!$A$3,"State","FL")</f>
        <v>0</v>
      </c>
      <c r="E355" s="20">
        <f>GETPIVOTDATA(" Old-Bach-TeachEd-Other",'Pivot Table for 12'!$A$3,"State","FL")</f>
        <v>3367</v>
      </c>
      <c r="F355" s="19">
        <f>GETPIVOTDATA(" Old-Bach-TeachEd-Subtot",'Pivot Table for 12'!$A$3,"State","FL")</f>
        <v>3367</v>
      </c>
      <c r="G355" s="37">
        <f t="shared" si="9"/>
        <v>5.874757908327954</v>
      </c>
      <c r="J355" s="33"/>
      <c r="K355" s="68"/>
    </row>
    <row r="356" spans="1:11" ht="7.5" customHeight="1" x14ac:dyDescent="0.2">
      <c r="A356" s="5"/>
      <c r="B356" s="20"/>
      <c r="C356" s="31"/>
      <c r="D356" s="20"/>
      <c r="E356" s="20"/>
      <c r="F356" s="19"/>
      <c r="G356" s="37"/>
      <c r="J356" s="33"/>
      <c r="K356" s="68"/>
    </row>
    <row r="357" spans="1:11" ht="15" customHeight="1" x14ac:dyDescent="0.2">
      <c r="A357" s="5" t="s">
        <v>196</v>
      </c>
      <c r="B357" s="20">
        <f>GETPIVOTDATA(" Old-Bachelor's",'Pivot Table for 12'!$A$3,"State","GA")</f>
        <v>32397</v>
      </c>
      <c r="C357" s="31">
        <f>GETPIVOTDATA(" Old-Bach-TeachEd by CIP",'Pivot Table for 12'!$A$3,"State","GA")</f>
        <v>3452</v>
      </c>
      <c r="D357" s="20">
        <f>GETPIVOTDATA(" Old-Bach-TeachEd by Courses",'Pivot Table for 12'!$A$3,"State","GA")</f>
        <v>0</v>
      </c>
      <c r="E357" s="20">
        <f>GETPIVOTDATA(" Old-Bach-TeachEd-Other",'Pivot Table for 12'!$A$3,"State","GA")</f>
        <v>0</v>
      </c>
      <c r="F357" s="19">
        <f>GETPIVOTDATA(" Old-Bach-TeachEd-Subtot",'Pivot Table for 12'!$A$3,"State","GA")</f>
        <v>3452</v>
      </c>
      <c r="G357" s="37">
        <f t="shared" si="9"/>
        <v>10.65530759020897</v>
      </c>
      <c r="J357" s="33"/>
      <c r="K357" s="68"/>
    </row>
    <row r="358" spans="1:11" ht="15" customHeight="1" x14ac:dyDescent="0.2">
      <c r="A358" s="5" t="s">
        <v>197</v>
      </c>
      <c r="B358" s="20">
        <f>GETPIVOTDATA(" Old-Bachelor's",'Pivot Table for 12'!$A$3,"State","KY")</f>
        <v>15887</v>
      </c>
      <c r="C358" s="31">
        <f>GETPIVOTDATA(" Old-Bach-TeachEd by CIP",'Pivot Table for 12'!$A$3,"State","KY")</f>
        <v>0</v>
      </c>
      <c r="D358" s="20">
        <f>GETPIVOTDATA(" Old-Bach-TeachEd by Courses",'Pivot Table for 12'!$A$3,"State","KY")</f>
        <v>1792</v>
      </c>
      <c r="E358" s="20">
        <f>GETPIVOTDATA(" Old-Bach-TeachEd-Other",'Pivot Table for 12'!$A$3,"State","KY")</f>
        <v>0</v>
      </c>
      <c r="F358" s="19">
        <f>GETPIVOTDATA(" Old-Bach-TeachEd-Subtot",'Pivot Table for 12'!$A$3,"State","KY")</f>
        <v>1792</v>
      </c>
      <c r="G358" s="37">
        <f t="shared" si="9"/>
        <v>11.279662617234216</v>
      </c>
      <c r="J358" s="33"/>
      <c r="K358" s="68"/>
    </row>
    <row r="359" spans="1:11" ht="15" customHeight="1" x14ac:dyDescent="0.2">
      <c r="A359" s="5" t="s">
        <v>198</v>
      </c>
      <c r="B359" s="20">
        <f>GETPIVOTDATA(" Old-Bachelor's",'Pivot Table for 12'!$A$3,"State","LA")</f>
        <v>18323</v>
      </c>
      <c r="C359" s="31">
        <f>GETPIVOTDATA(" Old-Bach-TeachEd by CIP",'Pivot Table for 12'!$A$3,"State","LA")</f>
        <v>1514</v>
      </c>
      <c r="D359" s="20">
        <f>GETPIVOTDATA(" Old-Bach-TeachEd by Courses",'Pivot Table for 12'!$A$3,"State","LA")</f>
        <v>0</v>
      </c>
      <c r="E359" s="20">
        <f>GETPIVOTDATA(" Old-Bach-TeachEd-Other",'Pivot Table for 12'!$A$3,"State","LA")</f>
        <v>0</v>
      </c>
      <c r="F359" s="19">
        <f>GETPIVOTDATA(" Old-Bach-TeachEd-Subtot",'Pivot Table for 12'!$A$3,"State","LA")</f>
        <v>1514</v>
      </c>
      <c r="G359" s="37">
        <f t="shared" si="9"/>
        <v>8.2628390547399437</v>
      </c>
      <c r="J359" s="33"/>
      <c r="K359" s="68"/>
    </row>
    <row r="360" spans="1:11" ht="15" customHeight="1" x14ac:dyDescent="0.2">
      <c r="A360" s="5" t="s">
        <v>199</v>
      </c>
      <c r="B360" s="20">
        <f>GETPIVOTDATA(" Old-Bachelor's",'Pivot Table for 12'!$A$3,"State","MD")</f>
        <v>22450</v>
      </c>
      <c r="C360" s="31">
        <f>GETPIVOTDATA(" Old-Bach-TeachEd by CIP",'Pivot Table for 12'!$A$3,"State","MD")</f>
        <v>1856</v>
      </c>
      <c r="D360" s="20">
        <f>GETPIVOTDATA(" Old-Bach-TeachEd by Courses",'Pivot Table for 12'!$A$3,"State","MD")</f>
        <v>0</v>
      </c>
      <c r="E360" s="20">
        <f>GETPIVOTDATA(" Old-Bach-TeachEd-Other",'Pivot Table for 12'!$A$3,"State","MD")</f>
        <v>0</v>
      </c>
      <c r="F360" s="19">
        <f>GETPIVOTDATA(" Old-Bach-TeachEd-Subtot",'Pivot Table for 12'!$A$3,"State","MD")</f>
        <v>1856</v>
      </c>
      <c r="G360" s="37">
        <f t="shared" si="9"/>
        <v>8.2672605790645886</v>
      </c>
      <c r="J360" s="33"/>
      <c r="K360" s="68"/>
    </row>
    <row r="361" spans="1:11" ht="7.5" customHeight="1" x14ac:dyDescent="0.2">
      <c r="A361" s="5"/>
      <c r="B361" s="20"/>
      <c r="C361" s="31"/>
      <c r="D361" s="20"/>
      <c r="E361" s="20"/>
      <c r="F361" s="19"/>
      <c r="G361" s="37"/>
      <c r="J361" s="33"/>
      <c r="K361" s="68"/>
    </row>
    <row r="362" spans="1:11" ht="15" customHeight="1" x14ac:dyDescent="0.2">
      <c r="A362" s="5" t="s">
        <v>200</v>
      </c>
      <c r="B362" s="20">
        <f>GETPIVOTDATA(" Old-Bachelor's",'Pivot Table for 12'!$A$3,"State","MS")</f>
        <v>10975</v>
      </c>
      <c r="C362" s="31">
        <f>GETPIVOTDATA(" Old-Bach-TeachEd by CIP",'Pivot Table for 12'!$A$3,"State","MS")</f>
        <v>1524</v>
      </c>
      <c r="D362" s="20">
        <f>GETPIVOTDATA(" Old-Bach-TeachEd by Courses",'Pivot Table for 12'!$A$3,"State","MS")</f>
        <v>0</v>
      </c>
      <c r="E362" s="20">
        <f>GETPIVOTDATA(" Old-Bach-TeachEd-Other",'Pivot Table for 12'!$A$3,"State","MS")</f>
        <v>0</v>
      </c>
      <c r="F362" s="19">
        <f>GETPIVOTDATA(" Old-Bach-TeachEd-Subtot",'Pivot Table for 12'!$A$3,"State","MS")</f>
        <v>1524</v>
      </c>
      <c r="G362" s="37">
        <f t="shared" si="9"/>
        <v>13.886104783599087</v>
      </c>
      <c r="J362" s="33"/>
      <c r="K362" s="68"/>
    </row>
    <row r="363" spans="1:11" ht="15" customHeight="1" x14ac:dyDescent="0.2">
      <c r="A363" s="5" t="s">
        <v>201</v>
      </c>
      <c r="B363" s="20">
        <f>GETPIVOTDATA(" Old-Bachelor's",'Pivot Table for 12'!$A$3,"State","NC")</f>
        <v>34055</v>
      </c>
      <c r="C363" s="31">
        <f>GETPIVOTDATA(" Old-Bach-TeachEd by CIP",'Pivot Table for 12'!$A$3,"State","NC")</f>
        <v>0</v>
      </c>
      <c r="D363" s="20">
        <f>GETPIVOTDATA(" Old-Bach-TeachEd by Courses",'Pivot Table for 12'!$A$3,"State","NC")</f>
        <v>3000</v>
      </c>
      <c r="E363" s="20">
        <f>GETPIVOTDATA(" Old-Bach-TeachEd-Other",'Pivot Table for 12'!$A$3,"State","NC")</f>
        <v>0</v>
      </c>
      <c r="F363" s="19">
        <f>GETPIVOTDATA(" Old-Bach-TeachEd-Subtot",'Pivot Table for 12'!$A$3,"State","NC")</f>
        <v>3000</v>
      </c>
      <c r="G363" s="37">
        <f t="shared" si="9"/>
        <v>8.8092791073263843</v>
      </c>
      <c r="J363" s="33"/>
      <c r="K363" s="68"/>
    </row>
    <row r="364" spans="1:11" ht="15" customHeight="1" x14ac:dyDescent="0.2">
      <c r="A364" s="5" t="s">
        <v>202</v>
      </c>
      <c r="B364" s="20">
        <f>GETPIVOTDATA(" Old-Bachelor's",'Pivot Table for 12'!$A$3,"State","OK")</f>
        <v>15545</v>
      </c>
      <c r="C364" s="31">
        <f>GETPIVOTDATA(" Old-Bach-TeachEd by CIP",'Pivot Table for 12'!$A$3,"State","OK")</f>
        <v>1495</v>
      </c>
      <c r="D364" s="20">
        <f>GETPIVOTDATA(" Old-Bach-TeachEd by Courses",'Pivot Table for 12'!$A$3,"State","OK")</f>
        <v>0</v>
      </c>
      <c r="E364" s="20">
        <f>GETPIVOTDATA(" Old-Bach-TeachEd-Other",'Pivot Table for 12'!$A$3,"State","OK")</f>
        <v>0</v>
      </c>
      <c r="F364" s="19">
        <f>GETPIVOTDATA(" Old-Bach-TeachEd-Subtot",'Pivot Table for 12'!$A$3,"State","OK")</f>
        <v>1495</v>
      </c>
      <c r="G364" s="37">
        <f t="shared" si="9"/>
        <v>9.6172402701833395</v>
      </c>
      <c r="J364" s="33"/>
      <c r="K364" s="68"/>
    </row>
    <row r="365" spans="1:11" ht="15" customHeight="1" x14ac:dyDescent="0.2">
      <c r="A365" s="5" t="s">
        <v>203</v>
      </c>
      <c r="B365" s="20">
        <f>GETPIVOTDATA(" Old-Bachelor's",'Pivot Table for 12'!$A$3,"State","SC")</f>
        <v>16155</v>
      </c>
      <c r="C365" s="31">
        <f>GETPIVOTDATA(" Old-Bach-TeachEd by CIP",'Pivot Table for 12'!$A$3,"State","SC")</f>
        <v>1493</v>
      </c>
      <c r="D365" s="20">
        <f>GETPIVOTDATA(" Old-Bach-TeachEd by Courses",'Pivot Table for 12'!$A$3,"State","SC")</f>
        <v>0</v>
      </c>
      <c r="E365" s="20">
        <f>GETPIVOTDATA(" Old-Bach-TeachEd-Other",'Pivot Table for 12'!$A$3,"State","SC")</f>
        <v>91</v>
      </c>
      <c r="F365" s="19">
        <f>GETPIVOTDATA(" Old-Bach-TeachEd-Subtot",'Pivot Table for 12'!$A$3,"State","SC")</f>
        <v>1584</v>
      </c>
      <c r="G365" s="37">
        <f t="shared" si="9"/>
        <v>9.8050139275766011</v>
      </c>
      <c r="J365" s="33"/>
      <c r="K365" s="68"/>
    </row>
    <row r="366" spans="1:11" ht="9" customHeight="1" x14ac:dyDescent="0.2">
      <c r="A366" s="5"/>
      <c r="B366" s="20"/>
      <c r="C366" s="31"/>
      <c r="D366" s="20"/>
      <c r="E366" s="20"/>
      <c r="F366" s="19"/>
      <c r="G366" s="37"/>
      <c r="J366" s="33"/>
      <c r="K366" s="68"/>
    </row>
    <row r="367" spans="1:11" ht="15" customHeight="1" x14ac:dyDescent="0.2">
      <c r="A367" s="5" t="s">
        <v>204</v>
      </c>
      <c r="B367" s="20">
        <f>GETPIVOTDATA(" Old-Bachelor's",'Pivot Table for 12'!$A$3,"State","TN")</f>
        <v>19121</v>
      </c>
      <c r="C367" s="31">
        <f>GETPIVOTDATA(" Old-Bach-TeachEd by CIP",'Pivot Table for 12'!$A$3,"State","TN")</f>
        <v>0</v>
      </c>
      <c r="D367" s="20">
        <f>GETPIVOTDATA(" Old-Bach-TeachEd by Courses",'Pivot Table for 12'!$A$3,"State","TN")</f>
        <v>0</v>
      </c>
      <c r="E367" s="20">
        <f>GETPIVOTDATA(" Old-Bach-TeachEd-Other",'Pivot Table for 12'!$A$3,"State","TN")</f>
        <v>0</v>
      </c>
      <c r="F367" s="19">
        <f>GETPIVOTDATA(" Old-Bach-TeachEd-Subtot",'Pivot Table for 12'!$A$3,"State","TN")</f>
        <v>0</v>
      </c>
      <c r="G367" s="37">
        <f t="shared" si="9"/>
        <v>0</v>
      </c>
      <c r="J367" s="33"/>
      <c r="K367" s="68"/>
    </row>
    <row r="368" spans="1:11" ht="15" customHeight="1" x14ac:dyDescent="0.2">
      <c r="A368" s="5" t="s">
        <v>205</v>
      </c>
      <c r="B368" s="20">
        <f>GETPIVOTDATA(" Old-Bachelor's",'Pivot Table for 12'!$A$3,"State","TX")</f>
        <v>86204</v>
      </c>
      <c r="C368" s="31">
        <f>GETPIVOTDATA(" Old-Bach-TeachEd by CIP",'Pivot Table for 12'!$A$3,"State","TX")</f>
        <v>0</v>
      </c>
      <c r="D368" s="20">
        <f>GETPIVOTDATA(" Old-Bach-TeachEd by Courses",'Pivot Table for 12'!$A$3,"State","TX")</f>
        <v>0</v>
      </c>
      <c r="E368" s="20">
        <f>GETPIVOTDATA(" Old-Bach-TeachEd-Other",'Pivot Table for 12'!$A$3,"State","TX")</f>
        <v>0</v>
      </c>
      <c r="F368" s="19">
        <f>GETPIVOTDATA(" Old-Bach-TeachEd-Subtot",'Pivot Table for 12'!$A$3,"State","TX")</f>
        <v>0</v>
      </c>
      <c r="G368" s="37" t="str">
        <f>IF(F368&gt;0,(F368/B368)*100," ")</f>
        <v xml:space="preserve"> </v>
      </c>
      <c r="J368" s="33"/>
      <c r="K368" s="68"/>
    </row>
    <row r="369" spans="1:16" ht="15" customHeight="1" x14ac:dyDescent="0.2">
      <c r="A369" s="5" t="s">
        <v>206</v>
      </c>
      <c r="B369" s="20">
        <f>GETPIVOTDATA(" Old-Bachelor's",'Pivot Table for 12'!$A$3,"State","VA")</f>
        <v>33132</v>
      </c>
      <c r="C369" s="31">
        <f>GETPIVOTDATA(" Old-Bach-TeachEd by CIP",'Pivot Table for 12'!$A$3,"State","VA")</f>
        <v>0</v>
      </c>
      <c r="D369" s="20">
        <f>GETPIVOTDATA(" Old-Bach-TeachEd by Courses",'Pivot Table for 12'!$A$3,"State","VA")</f>
        <v>0</v>
      </c>
      <c r="E369" s="20">
        <f>GETPIVOTDATA(" Old-Bach-TeachEd-Other",'Pivot Table for 12'!$A$3,"State","VA")</f>
        <v>1417</v>
      </c>
      <c r="F369" s="19">
        <f>GETPIVOTDATA(" Old-Bach-TeachEd-Subtot",'Pivot Table for 12'!$A$3,"State","VA")</f>
        <v>1417</v>
      </c>
      <c r="G369" s="37">
        <f>IF(F369&gt;0,(F369/B369)*100," ")</f>
        <v>4.2768320656766869</v>
      </c>
    </row>
    <row r="370" spans="1:16" ht="15" customHeight="1" x14ac:dyDescent="0.2">
      <c r="A370" s="7" t="s">
        <v>207</v>
      </c>
      <c r="B370" s="34">
        <f>GETPIVOTDATA(" Old-Bachelor's",'Pivot Table for 12'!$A$3,"State","WV")</f>
        <v>8583</v>
      </c>
      <c r="C370" s="35">
        <f>GETPIVOTDATA(" Old-Bach-TeachEd by CIP",'Pivot Table for 12'!$A$3,"State","WV")</f>
        <v>591</v>
      </c>
      <c r="D370" s="34">
        <f>GETPIVOTDATA(" Old-Bach-TeachEd by Courses",'Pivot Table for 12'!$A$3,"State","WV")</f>
        <v>0</v>
      </c>
      <c r="E370" s="34">
        <f>GETPIVOTDATA(" Old-Bach-TeachEd-Other",'Pivot Table for 12'!$A$3,"State","WV")</f>
        <v>205</v>
      </c>
      <c r="F370" s="36">
        <f>GETPIVOTDATA(" Old-Bach-TeachEd-Subtot",'Pivot Table for 12'!$A$3,"State","WV")</f>
        <v>796</v>
      </c>
      <c r="G370" s="38">
        <f t="shared" si="9"/>
        <v>9.2741465687987876</v>
      </c>
    </row>
    <row r="371" spans="1:16" ht="15" customHeight="1" x14ac:dyDescent="0.2">
      <c r="A371" s="61" t="s">
        <v>3</v>
      </c>
      <c r="B371" s="32"/>
      <c r="C371" s="32"/>
      <c r="D371" s="32"/>
      <c r="E371" s="32"/>
      <c r="F371" s="32"/>
      <c r="G371" s="42"/>
    </row>
    <row r="372" spans="1:16" s="43" customFormat="1" ht="15" customHeight="1" x14ac:dyDescent="0.2">
      <c r="A372" s="61" t="s">
        <v>257</v>
      </c>
      <c r="B372" s="32"/>
      <c r="C372" s="32"/>
      <c r="D372" s="32"/>
      <c r="E372" s="32"/>
      <c r="F372" s="32"/>
      <c r="G372" s="42"/>
      <c r="N372" s="50"/>
      <c r="O372" s="50"/>
      <c r="P372" s="50"/>
    </row>
    <row r="373" spans="1:16" x14ac:dyDescent="0.2">
      <c r="A373" s="44"/>
      <c r="B373" s="44"/>
      <c r="C373" s="44"/>
      <c r="D373" s="44"/>
      <c r="E373" s="44"/>
      <c r="F373" s="44"/>
      <c r="G373" s="83" t="s">
        <v>1293</v>
      </c>
      <c r="H373" s="44"/>
      <c r="I373" s="44"/>
      <c r="J373" s="44"/>
      <c r="K373" s="44"/>
      <c r="L373" s="44"/>
      <c r="M373" s="44"/>
      <c r="N373" s="105"/>
      <c r="O373" s="83"/>
      <c r="P373" s="87"/>
    </row>
  </sheetData>
  <mergeCells count="11">
    <mergeCell ref="A217:P217"/>
    <mergeCell ref="A248:P248"/>
    <mergeCell ref="A279:P279"/>
    <mergeCell ref="A340:P340"/>
    <mergeCell ref="A310:G310"/>
    <mergeCell ref="A186:P186"/>
    <mergeCell ref="A30:P30"/>
    <mergeCell ref="A61:P61"/>
    <mergeCell ref="A93:P93"/>
    <mergeCell ref="A124:P124"/>
    <mergeCell ref="A155:P155"/>
  </mergeCells>
  <pageMargins left="0.5" right="0.27187499999999998" top="0.75" bottom="0.75" header="0.75" footer="0.5"/>
  <pageSetup scale="90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90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6" defaultRowHeight="12.75" x14ac:dyDescent="0.2"/>
  <cols>
    <col min="1" max="1" width="6" style="295"/>
    <col min="2" max="2" width="33" style="298" customWidth="1"/>
    <col min="3" max="3" width="9.25" style="511" customWidth="1"/>
    <col min="4" max="4" width="9.25" style="162" customWidth="1"/>
    <col min="5" max="7" width="9.25" style="511" customWidth="1"/>
    <col min="8" max="8" width="9.25" style="476" customWidth="1"/>
    <col min="9" max="12" width="9.25" style="511" customWidth="1"/>
    <col min="13" max="13" width="9.25" style="476" customWidth="1"/>
    <col min="14" max="15" width="9.25" style="511" customWidth="1"/>
    <col min="16" max="16" width="9.25" style="476" customWidth="1"/>
    <col min="17" max="22" width="9.25" style="511" customWidth="1"/>
    <col min="23" max="23" width="12.25" style="511" customWidth="1"/>
    <col min="24" max="24" width="12.25" style="511" bestFit="1" customWidth="1"/>
    <col min="25" max="25" width="9.75" style="511" customWidth="1"/>
    <col min="26" max="26" width="6" style="511"/>
    <col min="27" max="27" width="10.875" style="511" bestFit="1" customWidth="1"/>
    <col min="28" max="16384" width="6" style="511"/>
  </cols>
  <sheetData>
    <row r="1" spans="1:25" x14ac:dyDescent="0.2">
      <c r="B1" s="307" t="s">
        <v>471</v>
      </c>
    </row>
    <row r="3" spans="1:25" ht="15.75" x14ac:dyDescent="0.25">
      <c r="A3" s="140"/>
      <c r="B3" s="140"/>
      <c r="C3" s="511" t="s">
        <v>270</v>
      </c>
      <c r="D3" s="511" t="s">
        <v>236</v>
      </c>
      <c r="I3" s="496"/>
      <c r="N3" s="496"/>
      <c r="Q3" s="496"/>
      <c r="S3" s="496"/>
      <c r="U3" s="496"/>
      <c r="W3" s="296"/>
      <c r="X3" s="296"/>
    </row>
    <row r="4" spans="1:25" ht="26.25" x14ac:dyDescent="0.25">
      <c r="A4" s="140"/>
      <c r="B4" s="140"/>
      <c r="C4" s="511" t="s">
        <v>266</v>
      </c>
      <c r="D4" s="511"/>
      <c r="I4" s="124" t="s">
        <v>271</v>
      </c>
      <c r="J4" s="511" t="s">
        <v>267</v>
      </c>
      <c r="N4" s="124" t="s">
        <v>272</v>
      </c>
      <c r="O4" s="511" t="s">
        <v>268</v>
      </c>
      <c r="Q4" s="124"/>
      <c r="R4" s="511" t="s">
        <v>273</v>
      </c>
      <c r="S4" s="124" t="s">
        <v>269</v>
      </c>
      <c r="T4" s="511" t="s">
        <v>274</v>
      </c>
      <c r="U4" s="496" t="s">
        <v>973</v>
      </c>
      <c r="V4" s="297" t="s">
        <v>974</v>
      </c>
      <c r="W4" s="296" t="s">
        <v>954</v>
      </c>
      <c r="X4" s="296" t="s">
        <v>1199</v>
      </c>
      <c r="Y4" s="511" t="s">
        <v>262</v>
      </c>
    </row>
    <row r="5" spans="1:25" ht="15.75" x14ac:dyDescent="0.25">
      <c r="A5" s="140" t="s">
        <v>237</v>
      </c>
      <c r="B5" s="146" t="s">
        <v>265</v>
      </c>
      <c r="C5" s="511">
        <v>1</v>
      </c>
      <c r="D5" s="511">
        <v>2</v>
      </c>
      <c r="E5" s="511">
        <v>3</v>
      </c>
      <c r="F5" s="511">
        <v>4</v>
      </c>
      <c r="G5" s="511">
        <v>5</v>
      </c>
      <c r="H5" s="476">
        <v>6</v>
      </c>
      <c r="I5" s="124"/>
      <c r="J5" s="511">
        <v>7</v>
      </c>
      <c r="K5" s="511">
        <v>8</v>
      </c>
      <c r="L5" s="511">
        <v>9</v>
      </c>
      <c r="M5" s="476">
        <v>10</v>
      </c>
      <c r="N5" s="124"/>
      <c r="O5" s="511">
        <v>12</v>
      </c>
      <c r="P5" s="476">
        <v>13</v>
      </c>
      <c r="Q5" s="124">
        <v>14</v>
      </c>
      <c r="S5" s="124">
        <v>15</v>
      </c>
      <c r="U5" s="496">
        <v>99</v>
      </c>
      <c r="V5" s="297"/>
      <c r="W5" s="296" t="s">
        <v>954</v>
      </c>
      <c r="X5" s="296"/>
    </row>
    <row r="6" spans="1:25" ht="15.75" x14ac:dyDescent="0.25">
      <c r="A6" s="141" t="s">
        <v>0</v>
      </c>
      <c r="B6" s="143" t="s">
        <v>275</v>
      </c>
      <c r="C6" s="299"/>
      <c r="D6" s="300">
        <v>17</v>
      </c>
      <c r="E6" s="300">
        <v>99</v>
      </c>
      <c r="F6" s="300"/>
      <c r="G6" s="300"/>
      <c r="H6" s="301"/>
      <c r="I6" s="133">
        <v>116</v>
      </c>
      <c r="J6" s="299"/>
      <c r="K6" s="300">
        <v>1277</v>
      </c>
      <c r="L6" s="300">
        <v>2429</v>
      </c>
      <c r="M6" s="301">
        <v>824</v>
      </c>
      <c r="N6" s="133">
        <v>4530</v>
      </c>
      <c r="O6" s="299">
        <v>359</v>
      </c>
      <c r="P6" s="301">
        <v>642</v>
      </c>
      <c r="Q6" s="134"/>
      <c r="R6" s="301">
        <v>1001</v>
      </c>
      <c r="S6" s="133">
        <v>87</v>
      </c>
      <c r="T6" s="299">
        <v>87</v>
      </c>
      <c r="U6" s="309"/>
      <c r="V6" s="301"/>
      <c r="W6" s="296"/>
      <c r="X6" s="296"/>
      <c r="Y6" s="511">
        <v>5734</v>
      </c>
    </row>
    <row r="7" spans="1:25" ht="16.5" thickBot="1" x14ac:dyDescent="0.3">
      <c r="A7" s="142"/>
      <c r="B7" s="144" t="s">
        <v>276</v>
      </c>
      <c r="C7" s="302"/>
      <c r="D7" s="303">
        <v>22</v>
      </c>
      <c r="E7" s="786">
        <v>159</v>
      </c>
      <c r="F7" s="303"/>
      <c r="G7" s="303"/>
      <c r="H7" s="173"/>
      <c r="I7" s="118">
        <v>181</v>
      </c>
      <c r="J7" s="302"/>
      <c r="K7" s="303">
        <v>1341</v>
      </c>
      <c r="L7" s="303">
        <v>2764</v>
      </c>
      <c r="M7" s="173">
        <v>766</v>
      </c>
      <c r="N7" s="118">
        <v>4871</v>
      </c>
      <c r="O7" s="302">
        <v>284</v>
      </c>
      <c r="P7" s="173">
        <v>674</v>
      </c>
      <c r="Q7" s="119"/>
      <c r="R7" s="173">
        <v>958</v>
      </c>
      <c r="S7" s="118"/>
      <c r="T7" s="302"/>
      <c r="U7" s="310"/>
      <c r="V7" s="173"/>
      <c r="W7" s="296"/>
      <c r="X7" s="296"/>
      <c r="Y7" s="511">
        <v>6010</v>
      </c>
    </row>
    <row r="8" spans="1:25" s="306" customFormat="1" ht="16.5" thickBot="1" x14ac:dyDescent="0.3">
      <c r="A8" s="142"/>
      <c r="B8" s="145" t="s">
        <v>277</v>
      </c>
      <c r="C8" s="304">
        <v>0</v>
      </c>
      <c r="D8" s="788">
        <v>0.29411764705882354</v>
      </c>
      <c r="E8" s="787">
        <v>0.60606060606060608</v>
      </c>
      <c r="F8" s="305">
        <v>0</v>
      </c>
      <c r="G8" s="305">
        <v>0</v>
      </c>
      <c r="H8" s="253">
        <v>0</v>
      </c>
      <c r="I8" s="121">
        <v>0.56034482758620685</v>
      </c>
      <c r="J8" s="304">
        <v>0</v>
      </c>
      <c r="K8" s="305">
        <v>5.0117462803445575E-2</v>
      </c>
      <c r="L8" s="305">
        <v>0.13791683820502265</v>
      </c>
      <c r="M8" s="253">
        <v>-7.0388349514563103E-2</v>
      </c>
      <c r="N8" s="121">
        <v>7.5275938189845473E-2</v>
      </c>
      <c r="O8" s="304">
        <v>-0.20891364902506965</v>
      </c>
      <c r="P8" s="253">
        <v>4.9844236760124609E-2</v>
      </c>
      <c r="Q8" s="122">
        <v>0</v>
      </c>
      <c r="R8" s="305">
        <v>-4.295704295704296E-2</v>
      </c>
      <c r="S8" s="724">
        <v>-1</v>
      </c>
      <c r="T8" s="304">
        <v>-1</v>
      </c>
      <c r="U8" s="139">
        <v>0</v>
      </c>
      <c r="V8" s="253">
        <v>0</v>
      </c>
      <c r="W8" s="296">
        <v>0</v>
      </c>
      <c r="X8" s="296">
        <v>0</v>
      </c>
      <c r="Y8" s="306">
        <v>4.8133937914196026E-2</v>
      </c>
    </row>
    <row r="9" spans="1:25" ht="15.75" x14ac:dyDescent="0.25">
      <c r="A9" s="142"/>
      <c r="B9" s="143" t="s">
        <v>278</v>
      </c>
      <c r="C9" s="299"/>
      <c r="D9" s="300"/>
      <c r="E9" s="303">
        <v>34</v>
      </c>
      <c r="F9" s="300"/>
      <c r="G9" s="300"/>
      <c r="H9" s="301"/>
      <c r="I9" s="133">
        <v>34</v>
      </c>
      <c r="J9" s="299"/>
      <c r="K9" s="300"/>
      <c r="L9" s="303"/>
      <c r="M9" s="301"/>
      <c r="N9" s="133"/>
      <c r="O9" s="299"/>
      <c r="P9" s="301"/>
      <c r="Q9" s="134"/>
      <c r="R9" s="301"/>
      <c r="S9" s="133"/>
      <c r="T9" s="299"/>
      <c r="U9" s="309"/>
      <c r="V9" s="301"/>
      <c r="W9" s="296"/>
      <c r="X9" s="296"/>
      <c r="Y9" s="511">
        <v>34</v>
      </c>
    </row>
    <row r="10" spans="1:25" ht="15.75" x14ac:dyDescent="0.25">
      <c r="A10" s="142"/>
      <c r="B10" s="144" t="s">
        <v>279</v>
      </c>
      <c r="C10" s="302"/>
      <c r="D10" s="303"/>
      <c r="E10" s="303">
        <v>31</v>
      </c>
      <c r="F10" s="303"/>
      <c r="G10" s="303"/>
      <c r="H10" s="173"/>
      <c r="I10" s="118">
        <v>31</v>
      </c>
      <c r="J10" s="302"/>
      <c r="K10" s="303"/>
      <c r="L10" s="303"/>
      <c r="M10" s="173"/>
      <c r="N10" s="118"/>
      <c r="O10" s="302"/>
      <c r="P10" s="173"/>
      <c r="Q10" s="119"/>
      <c r="R10" s="173"/>
      <c r="S10" s="118"/>
      <c r="T10" s="302"/>
      <c r="U10" s="310"/>
      <c r="V10" s="173"/>
      <c r="W10" s="296"/>
      <c r="X10" s="296"/>
      <c r="Y10" s="511">
        <v>31</v>
      </c>
    </row>
    <row r="11" spans="1:25" s="306" customFormat="1" ht="15.75" x14ac:dyDescent="0.25">
      <c r="A11" s="142"/>
      <c r="B11" s="145" t="s">
        <v>280</v>
      </c>
      <c r="C11" s="304">
        <v>0</v>
      </c>
      <c r="D11" s="305">
        <v>0</v>
      </c>
      <c r="E11" s="305">
        <v>-8.8235294117647065E-2</v>
      </c>
      <c r="F11" s="305">
        <v>0</v>
      </c>
      <c r="G11" s="305">
        <v>0</v>
      </c>
      <c r="H11" s="253">
        <v>0</v>
      </c>
      <c r="I11" s="121">
        <v>-8.8235294117647065E-2</v>
      </c>
      <c r="J11" s="304">
        <v>0</v>
      </c>
      <c r="K11" s="305">
        <v>0</v>
      </c>
      <c r="L11" s="305">
        <v>0</v>
      </c>
      <c r="M11" s="253">
        <v>0</v>
      </c>
      <c r="N11" s="121">
        <v>0</v>
      </c>
      <c r="O11" s="304">
        <v>0</v>
      </c>
      <c r="P11" s="253">
        <v>0</v>
      </c>
      <c r="Q11" s="122">
        <v>0</v>
      </c>
      <c r="R11" s="253">
        <v>0</v>
      </c>
      <c r="S11" s="121">
        <v>0</v>
      </c>
      <c r="T11" s="304">
        <v>0</v>
      </c>
      <c r="U11" s="139">
        <v>0</v>
      </c>
      <c r="V11" s="253">
        <v>0</v>
      </c>
      <c r="W11" s="296">
        <v>0</v>
      </c>
      <c r="X11" s="296">
        <v>0</v>
      </c>
      <c r="Y11" s="306">
        <v>-8.8235294117647065E-2</v>
      </c>
    </row>
    <row r="12" spans="1:25" ht="15.75" x14ac:dyDescent="0.25">
      <c r="A12" s="142"/>
      <c r="B12" s="143" t="s">
        <v>281</v>
      </c>
      <c r="C12" s="299"/>
      <c r="D12" s="300"/>
      <c r="E12" s="300">
        <v>212</v>
      </c>
      <c r="F12" s="300"/>
      <c r="G12" s="300">
        <v>63</v>
      </c>
      <c r="H12" s="301"/>
      <c r="I12" s="133">
        <v>275</v>
      </c>
      <c r="J12" s="299"/>
      <c r="K12" s="300">
        <v>3070</v>
      </c>
      <c r="L12" s="300">
        <v>3810</v>
      </c>
      <c r="M12" s="301">
        <v>1310</v>
      </c>
      <c r="N12" s="133">
        <v>8190</v>
      </c>
      <c r="O12" s="299">
        <v>219</v>
      </c>
      <c r="P12" s="301">
        <v>156</v>
      </c>
      <c r="Q12" s="134"/>
      <c r="R12" s="301">
        <v>375</v>
      </c>
      <c r="S12" s="133">
        <v>94</v>
      </c>
      <c r="T12" s="299">
        <v>94</v>
      </c>
      <c r="U12" s="309"/>
      <c r="V12" s="301"/>
      <c r="W12" s="296"/>
      <c r="X12" s="296"/>
      <c r="Y12" s="511">
        <v>8934</v>
      </c>
    </row>
    <row r="13" spans="1:25" ht="15.75" x14ac:dyDescent="0.25">
      <c r="A13" s="142"/>
      <c r="B13" s="144" t="s">
        <v>282</v>
      </c>
      <c r="C13" s="302"/>
      <c r="D13" s="303"/>
      <c r="E13" s="303">
        <v>218</v>
      </c>
      <c r="F13" s="303"/>
      <c r="G13" s="303">
        <v>53</v>
      </c>
      <c r="H13" s="173"/>
      <c r="I13" s="118">
        <v>271</v>
      </c>
      <c r="J13" s="302"/>
      <c r="K13" s="303">
        <v>3400</v>
      </c>
      <c r="L13" s="303">
        <v>4427</v>
      </c>
      <c r="M13" s="173">
        <v>1476</v>
      </c>
      <c r="N13" s="118">
        <v>9303</v>
      </c>
      <c r="O13" s="302">
        <v>179</v>
      </c>
      <c r="P13" s="173">
        <v>160</v>
      </c>
      <c r="Q13" s="119"/>
      <c r="R13" s="173">
        <v>339</v>
      </c>
      <c r="S13" s="118">
        <v>84</v>
      </c>
      <c r="T13" s="302">
        <v>84</v>
      </c>
      <c r="U13" s="310"/>
      <c r="V13" s="173"/>
      <c r="W13" s="296"/>
      <c r="X13" s="296"/>
      <c r="Y13" s="511">
        <v>9997</v>
      </c>
    </row>
    <row r="14" spans="1:25" s="306" customFormat="1" ht="15.75" x14ac:dyDescent="0.25">
      <c r="A14" s="142"/>
      <c r="B14" s="145" t="s">
        <v>283</v>
      </c>
      <c r="C14" s="304">
        <v>0</v>
      </c>
      <c r="D14" s="305">
        <v>0</v>
      </c>
      <c r="E14" s="305">
        <v>2.8301886792452831E-2</v>
      </c>
      <c r="F14" s="305">
        <v>0</v>
      </c>
      <c r="G14" s="305">
        <v>-0.15873015873015872</v>
      </c>
      <c r="H14" s="253">
        <v>0</v>
      </c>
      <c r="I14" s="121">
        <v>-1.4545454545454545E-2</v>
      </c>
      <c r="J14" s="304">
        <v>0</v>
      </c>
      <c r="K14" s="305">
        <v>0.10749185667752444</v>
      </c>
      <c r="L14" s="305">
        <v>0.16194225721784777</v>
      </c>
      <c r="M14" s="253">
        <v>0.12671755725190839</v>
      </c>
      <c r="N14" s="121">
        <v>0.13589743589743589</v>
      </c>
      <c r="O14" s="304">
        <v>-0.18264840182648401</v>
      </c>
      <c r="P14" s="253">
        <v>2.564102564102564E-2</v>
      </c>
      <c r="Q14" s="122">
        <v>0</v>
      </c>
      <c r="R14" s="253">
        <v>-9.6000000000000002E-2</v>
      </c>
      <c r="S14" s="121">
        <v>-0.10638297872340426</v>
      </c>
      <c r="T14" s="304">
        <v>-0.10638297872340426</v>
      </c>
      <c r="U14" s="139">
        <v>0</v>
      </c>
      <c r="V14" s="253">
        <v>0</v>
      </c>
      <c r="W14" s="296">
        <v>0</v>
      </c>
      <c r="X14" s="296">
        <v>0</v>
      </c>
      <c r="Y14" s="306">
        <v>0.11898365793597493</v>
      </c>
    </row>
    <row r="15" spans="1:25" ht="15.75" x14ac:dyDescent="0.25">
      <c r="A15" s="142"/>
      <c r="B15" s="143" t="s">
        <v>284</v>
      </c>
      <c r="C15" s="299">
        <v>8620</v>
      </c>
      <c r="D15" s="300">
        <v>3025</v>
      </c>
      <c r="E15" s="300">
        <v>5552</v>
      </c>
      <c r="F15" s="300">
        <v>2120</v>
      </c>
      <c r="G15" s="300">
        <v>624</v>
      </c>
      <c r="H15" s="301">
        <v>961</v>
      </c>
      <c r="I15" s="133">
        <v>20902</v>
      </c>
      <c r="J15" s="299"/>
      <c r="K15" s="300"/>
      <c r="L15" s="300"/>
      <c r="M15" s="301"/>
      <c r="N15" s="133"/>
      <c r="O15" s="299"/>
      <c r="P15" s="301"/>
      <c r="Q15" s="134"/>
      <c r="R15" s="301"/>
      <c r="S15" s="133"/>
      <c r="T15" s="299"/>
      <c r="U15" s="309"/>
      <c r="V15" s="301"/>
      <c r="W15" s="296"/>
      <c r="X15" s="296"/>
      <c r="Y15" s="511">
        <v>20902</v>
      </c>
    </row>
    <row r="16" spans="1:25" ht="15.75" x14ac:dyDescent="0.25">
      <c r="A16" s="142"/>
      <c r="B16" s="144" t="s">
        <v>285</v>
      </c>
      <c r="C16" s="302">
        <v>8767</v>
      </c>
      <c r="D16" s="303">
        <v>3070</v>
      </c>
      <c r="E16" s="303">
        <v>5131</v>
      </c>
      <c r="F16" s="303">
        <v>2030</v>
      </c>
      <c r="G16" s="303">
        <v>591</v>
      </c>
      <c r="H16" s="173">
        <v>940</v>
      </c>
      <c r="I16" s="118">
        <v>20529</v>
      </c>
      <c r="J16" s="302"/>
      <c r="K16" s="303"/>
      <c r="L16" s="303"/>
      <c r="M16" s="173"/>
      <c r="N16" s="118"/>
      <c r="O16" s="302"/>
      <c r="P16" s="173"/>
      <c r="Q16" s="119"/>
      <c r="R16" s="173"/>
      <c r="S16" s="118"/>
      <c r="T16" s="302"/>
      <c r="U16" s="310"/>
      <c r="V16" s="173"/>
      <c r="W16" s="296"/>
      <c r="X16" s="296"/>
      <c r="Y16" s="511">
        <v>20529</v>
      </c>
    </row>
    <row r="17" spans="1:25" s="306" customFormat="1" ht="15.75" x14ac:dyDescent="0.25">
      <c r="A17" s="142"/>
      <c r="B17" s="145" t="s">
        <v>286</v>
      </c>
      <c r="C17" s="304">
        <v>1.705336426914153E-2</v>
      </c>
      <c r="D17" s="305">
        <v>1.487603305785124E-2</v>
      </c>
      <c r="E17" s="305">
        <v>-7.5828530259365992E-2</v>
      </c>
      <c r="F17" s="305">
        <v>-4.2452830188679243E-2</v>
      </c>
      <c r="G17" s="305">
        <v>-5.2884615384615384E-2</v>
      </c>
      <c r="H17" s="253">
        <v>-2.1852237252861603E-2</v>
      </c>
      <c r="I17" s="121">
        <v>-1.7845182279207731E-2</v>
      </c>
      <c r="J17" s="304">
        <v>0</v>
      </c>
      <c r="K17" s="305">
        <v>0</v>
      </c>
      <c r="L17" s="305">
        <v>0</v>
      </c>
      <c r="M17" s="253">
        <v>0</v>
      </c>
      <c r="N17" s="121">
        <v>0</v>
      </c>
      <c r="O17" s="304">
        <v>0</v>
      </c>
      <c r="P17" s="253">
        <v>0</v>
      </c>
      <c r="Q17" s="122">
        <v>0</v>
      </c>
      <c r="R17" s="253">
        <v>0</v>
      </c>
      <c r="S17" s="121">
        <v>0</v>
      </c>
      <c r="T17" s="304">
        <v>0</v>
      </c>
      <c r="U17" s="139">
        <v>0</v>
      </c>
      <c r="V17" s="253">
        <v>0</v>
      </c>
      <c r="W17" s="296">
        <v>0</v>
      </c>
      <c r="X17" s="296">
        <v>0</v>
      </c>
      <c r="Y17" s="306">
        <v>-1.7845182279207731E-2</v>
      </c>
    </row>
    <row r="18" spans="1:25" ht="15.75" x14ac:dyDescent="0.25">
      <c r="A18" s="142"/>
      <c r="B18" s="143" t="s">
        <v>287</v>
      </c>
      <c r="C18" s="299">
        <v>40</v>
      </c>
      <c r="D18" s="300">
        <v>54</v>
      </c>
      <c r="E18" s="300">
        <v>19</v>
      </c>
      <c r="F18" s="300"/>
      <c r="G18" s="300"/>
      <c r="H18" s="301"/>
      <c r="I18" s="133">
        <v>113</v>
      </c>
      <c r="J18" s="299"/>
      <c r="K18" s="300"/>
      <c r="L18" s="300"/>
      <c r="M18" s="301"/>
      <c r="N18" s="133"/>
      <c r="O18" s="299"/>
      <c r="P18" s="301"/>
      <c r="Q18" s="134"/>
      <c r="R18" s="301"/>
      <c r="S18" s="133"/>
      <c r="T18" s="299"/>
      <c r="U18" s="309"/>
      <c r="V18" s="301"/>
      <c r="W18" s="296"/>
      <c r="X18" s="296"/>
      <c r="Y18" s="511">
        <v>113</v>
      </c>
    </row>
    <row r="19" spans="1:25" ht="16.5" thickBot="1" x14ac:dyDescent="0.3">
      <c r="A19" s="142"/>
      <c r="B19" s="144" t="s">
        <v>288</v>
      </c>
      <c r="C19" s="302">
        <v>58</v>
      </c>
      <c r="D19" s="303">
        <v>38</v>
      </c>
      <c r="E19" s="303">
        <v>19</v>
      </c>
      <c r="F19" s="303"/>
      <c r="G19" s="303"/>
      <c r="H19" s="173"/>
      <c r="I19" s="118">
        <v>115</v>
      </c>
      <c r="J19" s="302"/>
      <c r="K19" s="303"/>
      <c r="L19" s="303"/>
      <c r="M19" s="173"/>
      <c r="N19" s="118"/>
      <c r="O19" s="302"/>
      <c r="P19" s="173"/>
      <c r="Q19" s="119"/>
      <c r="R19" s="173"/>
      <c r="S19" s="118"/>
      <c r="T19" s="302"/>
      <c r="U19" s="310"/>
      <c r="V19" s="173"/>
      <c r="W19" s="296"/>
      <c r="X19" s="296"/>
      <c r="Y19" s="511">
        <v>115</v>
      </c>
    </row>
    <row r="20" spans="1:25" s="306" customFormat="1" ht="16.5" thickBot="1" x14ac:dyDescent="0.3">
      <c r="A20" s="142"/>
      <c r="B20" s="145" t="s">
        <v>289</v>
      </c>
      <c r="C20" s="724">
        <v>0.45</v>
      </c>
      <c r="D20" s="787">
        <v>-0.29629629629629628</v>
      </c>
      <c r="E20" s="305">
        <v>0</v>
      </c>
      <c r="F20" s="305">
        <v>0</v>
      </c>
      <c r="G20" s="305">
        <v>0</v>
      </c>
      <c r="H20" s="253">
        <v>0</v>
      </c>
      <c r="I20" s="121">
        <v>1.7699115044247787E-2</v>
      </c>
      <c r="J20" s="304">
        <v>0</v>
      </c>
      <c r="K20" s="305">
        <v>0</v>
      </c>
      <c r="L20" s="305">
        <v>0</v>
      </c>
      <c r="M20" s="253">
        <v>0</v>
      </c>
      <c r="N20" s="121">
        <v>0</v>
      </c>
      <c r="O20" s="304">
        <v>0</v>
      </c>
      <c r="P20" s="253">
        <v>0</v>
      </c>
      <c r="Q20" s="122">
        <v>0</v>
      </c>
      <c r="R20" s="253">
        <v>0</v>
      </c>
      <c r="S20" s="121">
        <v>0</v>
      </c>
      <c r="T20" s="304">
        <v>0</v>
      </c>
      <c r="U20" s="139">
        <v>0</v>
      </c>
      <c r="V20" s="253">
        <v>0</v>
      </c>
      <c r="W20" s="296">
        <v>0</v>
      </c>
      <c r="X20" s="296">
        <v>0</v>
      </c>
      <c r="Y20" s="306">
        <v>1.7699115044247787E-2</v>
      </c>
    </row>
    <row r="21" spans="1:25" ht="15.75" x14ac:dyDescent="0.25">
      <c r="A21" s="142"/>
      <c r="B21" s="143" t="s">
        <v>290</v>
      </c>
      <c r="C21" s="302">
        <v>2634</v>
      </c>
      <c r="D21" s="303">
        <v>1766</v>
      </c>
      <c r="E21" s="300">
        <v>2325</v>
      </c>
      <c r="F21" s="300">
        <v>912</v>
      </c>
      <c r="G21" s="300">
        <v>1240</v>
      </c>
      <c r="H21" s="301">
        <v>0</v>
      </c>
      <c r="I21" s="133">
        <v>8877</v>
      </c>
      <c r="J21" s="299"/>
      <c r="K21" s="300">
        <v>0</v>
      </c>
      <c r="L21" s="300">
        <v>0</v>
      </c>
      <c r="M21" s="301">
        <v>0</v>
      </c>
      <c r="N21" s="133">
        <v>0</v>
      </c>
      <c r="O21" s="299">
        <v>0</v>
      </c>
      <c r="P21" s="301">
        <v>0</v>
      </c>
      <c r="Q21" s="134"/>
      <c r="R21" s="301">
        <v>0</v>
      </c>
      <c r="S21" s="133">
        <v>0</v>
      </c>
      <c r="T21" s="299">
        <v>0</v>
      </c>
      <c r="U21" s="309"/>
      <c r="V21" s="301"/>
      <c r="W21" s="296"/>
      <c r="X21" s="296"/>
      <c r="Y21" s="511">
        <v>8877</v>
      </c>
    </row>
    <row r="22" spans="1:25" ht="15.75" x14ac:dyDescent="0.25">
      <c r="A22" s="142"/>
      <c r="B22" s="144" t="s">
        <v>291</v>
      </c>
      <c r="C22" s="302">
        <v>2733</v>
      </c>
      <c r="D22" s="303">
        <v>1918</v>
      </c>
      <c r="E22" s="303">
        <v>2196</v>
      </c>
      <c r="F22" s="303">
        <v>904</v>
      </c>
      <c r="G22" s="303">
        <v>1119</v>
      </c>
      <c r="H22" s="173">
        <v>0</v>
      </c>
      <c r="I22" s="118">
        <v>8870</v>
      </c>
      <c r="J22" s="302"/>
      <c r="K22" s="303">
        <v>0</v>
      </c>
      <c r="L22" s="303">
        <v>0</v>
      </c>
      <c r="M22" s="173">
        <v>0</v>
      </c>
      <c r="N22" s="118">
        <v>0</v>
      </c>
      <c r="O22" s="302">
        <v>0</v>
      </c>
      <c r="P22" s="173">
        <v>0</v>
      </c>
      <c r="Q22" s="119"/>
      <c r="R22" s="173">
        <v>0</v>
      </c>
      <c r="S22" s="118">
        <v>0</v>
      </c>
      <c r="T22" s="302">
        <v>0</v>
      </c>
      <c r="U22" s="310"/>
      <c r="V22" s="173"/>
      <c r="W22" s="296"/>
      <c r="X22" s="296"/>
      <c r="Y22" s="511">
        <v>8870</v>
      </c>
    </row>
    <row r="23" spans="1:25" s="306" customFormat="1" ht="15.75" x14ac:dyDescent="0.25">
      <c r="A23" s="142"/>
      <c r="B23" s="145" t="s">
        <v>292</v>
      </c>
      <c r="C23" s="304">
        <v>3.7585421412300681E-2</v>
      </c>
      <c r="D23" s="305">
        <v>8.6070215175537937E-2</v>
      </c>
      <c r="E23" s="305">
        <v>-5.5483870967741933E-2</v>
      </c>
      <c r="F23" s="305">
        <v>-8.771929824561403E-3</v>
      </c>
      <c r="G23" s="305">
        <v>-9.7580645161290322E-2</v>
      </c>
      <c r="H23" s="253">
        <v>0</v>
      </c>
      <c r="I23" s="121">
        <v>-7.8855469190041686E-4</v>
      </c>
      <c r="J23" s="304">
        <v>0</v>
      </c>
      <c r="K23" s="305">
        <v>0</v>
      </c>
      <c r="L23" s="305">
        <v>0</v>
      </c>
      <c r="M23" s="253">
        <v>0</v>
      </c>
      <c r="N23" s="121">
        <v>0</v>
      </c>
      <c r="O23" s="304">
        <v>0</v>
      </c>
      <c r="P23" s="253">
        <v>0</v>
      </c>
      <c r="Q23" s="122">
        <v>0</v>
      </c>
      <c r="R23" s="253">
        <v>0</v>
      </c>
      <c r="S23" s="121">
        <v>0</v>
      </c>
      <c r="T23" s="304">
        <v>0</v>
      </c>
      <c r="U23" s="139">
        <v>0</v>
      </c>
      <c r="V23" s="253">
        <v>0</v>
      </c>
      <c r="W23" s="296">
        <v>0</v>
      </c>
      <c r="X23" s="296">
        <v>0</v>
      </c>
      <c r="Y23" s="306">
        <v>-7.8855469190041686E-4</v>
      </c>
    </row>
    <row r="24" spans="1:25" ht="15.75" x14ac:dyDescent="0.25">
      <c r="A24" s="142"/>
      <c r="B24" s="143" t="s">
        <v>293</v>
      </c>
      <c r="C24" s="299">
        <v>394</v>
      </c>
      <c r="D24" s="300">
        <v>183</v>
      </c>
      <c r="E24" s="300">
        <v>24</v>
      </c>
      <c r="F24" s="300">
        <v>0</v>
      </c>
      <c r="G24" s="300">
        <v>0</v>
      </c>
      <c r="H24" s="301">
        <v>0</v>
      </c>
      <c r="I24" s="133">
        <v>601</v>
      </c>
      <c r="J24" s="299"/>
      <c r="K24" s="300">
        <v>0</v>
      </c>
      <c r="L24" s="300">
        <v>0</v>
      </c>
      <c r="M24" s="301">
        <v>0</v>
      </c>
      <c r="N24" s="133">
        <v>0</v>
      </c>
      <c r="O24" s="299">
        <v>0</v>
      </c>
      <c r="P24" s="301">
        <v>0</v>
      </c>
      <c r="Q24" s="134"/>
      <c r="R24" s="301">
        <v>0</v>
      </c>
      <c r="S24" s="133">
        <v>0</v>
      </c>
      <c r="T24" s="299">
        <v>0</v>
      </c>
      <c r="U24" s="309"/>
      <c r="V24" s="301"/>
      <c r="W24" s="296"/>
      <c r="X24" s="296"/>
      <c r="Y24" s="511">
        <v>601</v>
      </c>
    </row>
    <row r="25" spans="1:25" ht="15.75" x14ac:dyDescent="0.25">
      <c r="A25" s="142"/>
      <c r="B25" s="144" t="s">
        <v>294</v>
      </c>
      <c r="C25" s="302">
        <v>430</v>
      </c>
      <c r="D25" s="303">
        <v>211</v>
      </c>
      <c r="E25" s="303">
        <v>32</v>
      </c>
      <c r="F25" s="303">
        <v>0</v>
      </c>
      <c r="G25" s="303">
        <v>0</v>
      </c>
      <c r="H25" s="173">
        <v>0</v>
      </c>
      <c r="I25" s="118">
        <v>673</v>
      </c>
      <c r="J25" s="302"/>
      <c r="K25" s="303">
        <v>0</v>
      </c>
      <c r="L25" s="303">
        <v>0</v>
      </c>
      <c r="M25" s="173">
        <v>0</v>
      </c>
      <c r="N25" s="118">
        <v>0</v>
      </c>
      <c r="O25" s="302">
        <v>0</v>
      </c>
      <c r="P25" s="173">
        <v>0</v>
      </c>
      <c r="Q25" s="119"/>
      <c r="R25" s="173">
        <v>0</v>
      </c>
      <c r="S25" s="118">
        <v>0</v>
      </c>
      <c r="T25" s="302">
        <v>0</v>
      </c>
      <c r="U25" s="310"/>
      <c r="V25" s="173"/>
      <c r="W25" s="296"/>
      <c r="X25" s="296"/>
      <c r="Y25" s="511">
        <v>673</v>
      </c>
    </row>
    <row r="26" spans="1:25" s="306" customFormat="1" ht="15.75" x14ac:dyDescent="0.25">
      <c r="A26" s="142"/>
      <c r="B26" s="145" t="s">
        <v>295</v>
      </c>
      <c r="C26" s="304">
        <v>9.1370558375634514E-2</v>
      </c>
      <c r="D26" s="305">
        <v>0.15300546448087432</v>
      </c>
      <c r="E26" s="305">
        <v>0.33333333333333331</v>
      </c>
      <c r="F26" s="305">
        <v>0</v>
      </c>
      <c r="G26" s="305">
        <v>0</v>
      </c>
      <c r="H26" s="253">
        <v>0</v>
      </c>
      <c r="I26" s="121">
        <v>0.11980033277870217</v>
      </c>
      <c r="J26" s="304">
        <v>0</v>
      </c>
      <c r="K26" s="305">
        <v>0</v>
      </c>
      <c r="L26" s="305">
        <v>0</v>
      </c>
      <c r="M26" s="253">
        <v>0</v>
      </c>
      <c r="N26" s="121">
        <v>0</v>
      </c>
      <c r="O26" s="304">
        <v>0</v>
      </c>
      <c r="P26" s="253">
        <v>0</v>
      </c>
      <c r="Q26" s="122">
        <v>0</v>
      </c>
      <c r="R26" s="253">
        <v>0</v>
      </c>
      <c r="S26" s="121">
        <v>0</v>
      </c>
      <c r="T26" s="304">
        <v>0</v>
      </c>
      <c r="U26" s="139">
        <v>0</v>
      </c>
      <c r="V26" s="253">
        <v>0</v>
      </c>
      <c r="W26" s="296">
        <v>0</v>
      </c>
      <c r="X26" s="296">
        <v>0</v>
      </c>
      <c r="Y26" s="306">
        <v>0.11980033277870217</v>
      </c>
    </row>
    <row r="27" spans="1:25" ht="15.75" x14ac:dyDescent="0.25">
      <c r="A27" s="142"/>
      <c r="B27" s="143" t="s">
        <v>296</v>
      </c>
      <c r="C27" s="299">
        <v>159</v>
      </c>
      <c r="D27" s="300"/>
      <c r="E27" s="300"/>
      <c r="F27" s="300"/>
      <c r="G27" s="300"/>
      <c r="H27" s="301"/>
      <c r="I27" s="133">
        <v>159</v>
      </c>
      <c r="J27" s="299"/>
      <c r="K27" s="300"/>
      <c r="L27" s="300"/>
      <c r="M27" s="301"/>
      <c r="N27" s="133"/>
      <c r="O27" s="299"/>
      <c r="P27" s="301"/>
      <c r="Q27" s="134"/>
      <c r="R27" s="301"/>
      <c r="S27" s="133"/>
      <c r="T27" s="299"/>
      <c r="U27" s="309"/>
      <c r="V27" s="301"/>
      <c r="W27" s="296"/>
      <c r="X27" s="296"/>
      <c r="Y27" s="511">
        <v>159</v>
      </c>
    </row>
    <row r="28" spans="1:25" ht="15.75" x14ac:dyDescent="0.25">
      <c r="A28" s="142"/>
      <c r="B28" s="144" t="s">
        <v>297</v>
      </c>
      <c r="C28" s="302">
        <v>175</v>
      </c>
      <c r="D28" s="303"/>
      <c r="E28" s="303"/>
      <c r="F28" s="303"/>
      <c r="G28" s="303"/>
      <c r="H28" s="173"/>
      <c r="I28" s="118">
        <v>175</v>
      </c>
      <c r="J28" s="302"/>
      <c r="K28" s="303"/>
      <c r="L28" s="303"/>
      <c r="M28" s="173"/>
      <c r="N28" s="118"/>
      <c r="O28" s="302"/>
      <c r="P28" s="173"/>
      <c r="Q28" s="119"/>
      <c r="R28" s="173"/>
      <c r="S28" s="118"/>
      <c r="T28" s="302"/>
      <c r="U28" s="310"/>
      <c r="V28" s="173"/>
      <c r="W28" s="296"/>
      <c r="X28" s="296"/>
      <c r="Y28" s="511">
        <v>175</v>
      </c>
    </row>
    <row r="29" spans="1:25" s="306" customFormat="1" ht="15.75" x14ac:dyDescent="0.25">
      <c r="A29" s="142"/>
      <c r="B29" s="145" t="s">
        <v>298</v>
      </c>
      <c r="C29" s="304">
        <v>0.10062893081761007</v>
      </c>
      <c r="D29" s="305">
        <v>0</v>
      </c>
      <c r="E29" s="305">
        <v>0</v>
      </c>
      <c r="F29" s="305">
        <v>0</v>
      </c>
      <c r="G29" s="305">
        <v>0</v>
      </c>
      <c r="H29" s="253">
        <v>0</v>
      </c>
      <c r="I29" s="121">
        <v>0.10062893081761007</v>
      </c>
      <c r="J29" s="304">
        <v>0</v>
      </c>
      <c r="K29" s="305">
        <v>0</v>
      </c>
      <c r="L29" s="305">
        <v>0</v>
      </c>
      <c r="M29" s="253">
        <v>0</v>
      </c>
      <c r="N29" s="121">
        <v>0</v>
      </c>
      <c r="O29" s="304">
        <v>0</v>
      </c>
      <c r="P29" s="253">
        <v>0</v>
      </c>
      <c r="Q29" s="122">
        <v>0</v>
      </c>
      <c r="R29" s="253">
        <v>0</v>
      </c>
      <c r="S29" s="121">
        <v>0</v>
      </c>
      <c r="T29" s="304">
        <v>0</v>
      </c>
      <c r="U29" s="139">
        <v>0</v>
      </c>
      <c r="V29" s="253">
        <v>0</v>
      </c>
      <c r="W29" s="296">
        <v>0</v>
      </c>
      <c r="X29" s="296">
        <v>0</v>
      </c>
      <c r="Y29" s="306">
        <v>0.10062893081761007</v>
      </c>
    </row>
    <row r="30" spans="1:25" ht="15.75" x14ac:dyDescent="0.25">
      <c r="A30" s="142"/>
      <c r="B30" s="143" t="s">
        <v>299</v>
      </c>
      <c r="C30" s="299"/>
      <c r="D30" s="300">
        <v>160</v>
      </c>
      <c r="E30" s="300">
        <v>69</v>
      </c>
      <c r="F30" s="300"/>
      <c r="G30" s="300"/>
      <c r="H30" s="301"/>
      <c r="I30" s="133">
        <v>229</v>
      </c>
      <c r="J30" s="299"/>
      <c r="K30" s="300"/>
      <c r="L30" s="300"/>
      <c r="M30" s="301"/>
      <c r="N30" s="133"/>
      <c r="O30" s="299"/>
      <c r="P30" s="301"/>
      <c r="Q30" s="134"/>
      <c r="R30" s="301"/>
      <c r="S30" s="133"/>
      <c r="T30" s="299"/>
      <c r="U30" s="309"/>
      <c r="V30" s="301"/>
      <c r="W30" s="296"/>
      <c r="X30" s="296"/>
      <c r="Y30" s="511">
        <v>229</v>
      </c>
    </row>
    <row r="31" spans="1:25" ht="15.75" x14ac:dyDescent="0.25">
      <c r="A31" s="142"/>
      <c r="B31" s="144" t="s">
        <v>300</v>
      </c>
      <c r="C31" s="302"/>
      <c r="D31" s="303">
        <v>178</v>
      </c>
      <c r="E31" s="303">
        <v>78</v>
      </c>
      <c r="F31" s="303"/>
      <c r="G31" s="303"/>
      <c r="H31" s="173"/>
      <c r="I31" s="118">
        <v>256</v>
      </c>
      <c r="J31" s="302"/>
      <c r="K31" s="303"/>
      <c r="L31" s="303"/>
      <c r="M31" s="173"/>
      <c r="N31" s="118"/>
      <c r="O31" s="302"/>
      <c r="P31" s="173"/>
      <c r="Q31" s="119"/>
      <c r="R31" s="173"/>
      <c r="S31" s="118"/>
      <c r="T31" s="302"/>
      <c r="U31" s="310"/>
      <c r="V31" s="173"/>
      <c r="W31" s="296"/>
      <c r="X31" s="296"/>
      <c r="Y31" s="511">
        <v>256</v>
      </c>
    </row>
    <row r="32" spans="1:25" s="306" customFormat="1" ht="15.75" x14ac:dyDescent="0.25">
      <c r="A32" s="142"/>
      <c r="B32" s="145" t="s">
        <v>301</v>
      </c>
      <c r="C32" s="304">
        <v>0</v>
      </c>
      <c r="D32" s="305">
        <v>0.1125</v>
      </c>
      <c r="E32" s="305">
        <v>0.13043478260869565</v>
      </c>
      <c r="F32" s="305">
        <v>0</v>
      </c>
      <c r="G32" s="305">
        <v>0</v>
      </c>
      <c r="H32" s="253">
        <v>0</v>
      </c>
      <c r="I32" s="121">
        <v>0.11790393013100436</v>
      </c>
      <c r="J32" s="304">
        <v>0</v>
      </c>
      <c r="K32" s="305">
        <v>0</v>
      </c>
      <c r="L32" s="305">
        <v>0</v>
      </c>
      <c r="M32" s="253">
        <v>0</v>
      </c>
      <c r="N32" s="121">
        <v>0</v>
      </c>
      <c r="O32" s="304">
        <v>0</v>
      </c>
      <c r="P32" s="253">
        <v>0</v>
      </c>
      <c r="Q32" s="122">
        <v>0</v>
      </c>
      <c r="R32" s="253">
        <v>0</v>
      </c>
      <c r="S32" s="121">
        <v>0</v>
      </c>
      <c r="T32" s="304">
        <v>0</v>
      </c>
      <c r="U32" s="139">
        <v>0</v>
      </c>
      <c r="V32" s="253">
        <v>0</v>
      </c>
      <c r="W32" s="296">
        <v>0</v>
      </c>
      <c r="X32" s="296">
        <v>0</v>
      </c>
      <c r="Y32" s="306">
        <v>0.11790393013100436</v>
      </c>
    </row>
    <row r="33" spans="1:25" ht="15.75" x14ac:dyDescent="0.25">
      <c r="A33" s="142"/>
      <c r="B33" s="143" t="s">
        <v>302</v>
      </c>
      <c r="C33" s="299"/>
      <c r="D33" s="300">
        <v>58</v>
      </c>
      <c r="E33" s="300"/>
      <c r="F33" s="300"/>
      <c r="G33" s="300"/>
      <c r="H33" s="301"/>
      <c r="I33" s="133">
        <v>58</v>
      </c>
      <c r="J33" s="299"/>
      <c r="K33" s="300"/>
      <c r="L33" s="300"/>
      <c r="M33" s="301"/>
      <c r="N33" s="133"/>
      <c r="O33" s="299"/>
      <c r="P33" s="301"/>
      <c r="Q33" s="134"/>
      <c r="R33" s="301"/>
      <c r="S33" s="133"/>
      <c r="T33" s="299"/>
      <c r="U33" s="309"/>
      <c r="V33" s="301"/>
      <c r="W33" s="296"/>
      <c r="X33" s="296"/>
      <c r="Y33" s="511">
        <v>58</v>
      </c>
    </row>
    <row r="34" spans="1:25" ht="15.75" x14ac:dyDescent="0.25">
      <c r="A34" s="142"/>
      <c r="B34" s="144" t="s">
        <v>303</v>
      </c>
      <c r="C34" s="302"/>
      <c r="D34" s="303">
        <v>65</v>
      </c>
      <c r="E34" s="303"/>
      <c r="F34" s="303"/>
      <c r="G34" s="303"/>
      <c r="H34" s="173"/>
      <c r="I34" s="118">
        <v>65</v>
      </c>
      <c r="J34" s="302"/>
      <c r="K34" s="303"/>
      <c r="L34" s="303"/>
      <c r="M34" s="173"/>
      <c r="N34" s="118"/>
      <c r="O34" s="302"/>
      <c r="P34" s="173"/>
      <c r="Q34" s="119"/>
      <c r="R34" s="173"/>
      <c r="S34" s="118"/>
      <c r="T34" s="302"/>
      <c r="U34" s="310"/>
      <c r="V34" s="173"/>
      <c r="W34" s="296"/>
      <c r="X34" s="296"/>
      <c r="Y34" s="511">
        <v>65</v>
      </c>
    </row>
    <row r="35" spans="1:25" s="306" customFormat="1" ht="15.75" x14ac:dyDescent="0.25">
      <c r="A35" s="142"/>
      <c r="B35" s="145" t="s">
        <v>304</v>
      </c>
      <c r="C35" s="304">
        <v>0</v>
      </c>
      <c r="D35" s="305">
        <v>0.1206896551724138</v>
      </c>
      <c r="E35" s="305">
        <v>0</v>
      </c>
      <c r="F35" s="305">
        <v>0</v>
      </c>
      <c r="G35" s="305">
        <v>0</v>
      </c>
      <c r="H35" s="253">
        <v>0</v>
      </c>
      <c r="I35" s="121">
        <v>0.1206896551724138</v>
      </c>
      <c r="J35" s="304">
        <v>0</v>
      </c>
      <c r="K35" s="305">
        <v>0</v>
      </c>
      <c r="L35" s="305">
        <v>0</v>
      </c>
      <c r="M35" s="253">
        <v>0</v>
      </c>
      <c r="N35" s="121">
        <v>0</v>
      </c>
      <c r="O35" s="304">
        <v>0</v>
      </c>
      <c r="P35" s="253">
        <v>0</v>
      </c>
      <c r="Q35" s="122">
        <v>0</v>
      </c>
      <c r="R35" s="253">
        <v>0</v>
      </c>
      <c r="S35" s="121">
        <v>0</v>
      </c>
      <c r="T35" s="304">
        <v>0</v>
      </c>
      <c r="U35" s="139">
        <v>0</v>
      </c>
      <c r="V35" s="253">
        <v>0</v>
      </c>
      <c r="W35" s="296">
        <v>0</v>
      </c>
      <c r="X35" s="296">
        <v>0</v>
      </c>
      <c r="Y35" s="306">
        <v>0.1206896551724138</v>
      </c>
    </row>
    <row r="36" spans="1:25" ht="15.75" x14ac:dyDescent="0.25">
      <c r="A36" s="142"/>
      <c r="B36" s="143" t="s">
        <v>305</v>
      </c>
      <c r="C36" s="299">
        <v>133</v>
      </c>
      <c r="D36" s="300"/>
      <c r="E36" s="300"/>
      <c r="F36" s="300"/>
      <c r="G36" s="300"/>
      <c r="H36" s="301"/>
      <c r="I36" s="133">
        <v>133</v>
      </c>
      <c r="J36" s="299"/>
      <c r="K36" s="300"/>
      <c r="L36" s="300"/>
      <c r="M36" s="301"/>
      <c r="N36" s="133"/>
      <c r="O36" s="299"/>
      <c r="P36" s="301"/>
      <c r="Q36" s="134"/>
      <c r="R36" s="301"/>
      <c r="S36" s="133"/>
      <c r="T36" s="299"/>
      <c r="U36" s="309"/>
      <c r="V36" s="301"/>
      <c r="W36" s="296"/>
      <c r="X36" s="296"/>
      <c r="Y36" s="511">
        <v>133</v>
      </c>
    </row>
    <row r="37" spans="1:25" ht="15.75" x14ac:dyDescent="0.25">
      <c r="A37" s="142"/>
      <c r="B37" s="144" t="s">
        <v>306</v>
      </c>
      <c r="C37" s="302">
        <v>131</v>
      </c>
      <c r="D37" s="303"/>
      <c r="E37" s="303"/>
      <c r="F37" s="303"/>
      <c r="G37" s="303"/>
      <c r="H37" s="173"/>
      <c r="I37" s="118">
        <v>131</v>
      </c>
      <c r="J37" s="302"/>
      <c r="K37" s="303"/>
      <c r="L37" s="303"/>
      <c r="M37" s="173"/>
      <c r="N37" s="118"/>
      <c r="O37" s="302"/>
      <c r="P37" s="173"/>
      <c r="Q37" s="119"/>
      <c r="R37" s="173"/>
      <c r="S37" s="118"/>
      <c r="T37" s="302"/>
      <c r="U37" s="310"/>
      <c r="V37" s="173"/>
      <c r="W37" s="296"/>
      <c r="X37" s="296"/>
      <c r="Y37" s="511">
        <v>131</v>
      </c>
    </row>
    <row r="38" spans="1:25" s="306" customFormat="1" ht="15.75" x14ac:dyDescent="0.25">
      <c r="A38" s="142"/>
      <c r="B38" s="145" t="s">
        <v>307</v>
      </c>
      <c r="C38" s="304">
        <v>-1.5037593984962405E-2</v>
      </c>
      <c r="D38" s="305">
        <v>0</v>
      </c>
      <c r="E38" s="305">
        <v>0</v>
      </c>
      <c r="F38" s="305">
        <v>0</v>
      </c>
      <c r="G38" s="305">
        <v>0</v>
      </c>
      <c r="H38" s="253">
        <v>0</v>
      </c>
      <c r="I38" s="121">
        <v>-1.5037593984962405E-2</v>
      </c>
      <c r="J38" s="304">
        <v>0</v>
      </c>
      <c r="K38" s="305">
        <v>0</v>
      </c>
      <c r="L38" s="305">
        <v>0</v>
      </c>
      <c r="M38" s="253">
        <v>0</v>
      </c>
      <c r="N38" s="121">
        <v>0</v>
      </c>
      <c r="O38" s="304">
        <v>0</v>
      </c>
      <c r="P38" s="253">
        <v>0</v>
      </c>
      <c r="Q38" s="122">
        <v>0</v>
      </c>
      <c r="R38" s="253">
        <v>0</v>
      </c>
      <c r="S38" s="121">
        <v>0</v>
      </c>
      <c r="T38" s="304">
        <v>0</v>
      </c>
      <c r="U38" s="139">
        <v>0</v>
      </c>
      <c r="V38" s="253">
        <v>0</v>
      </c>
      <c r="W38" s="296">
        <v>0</v>
      </c>
      <c r="X38" s="296">
        <v>0</v>
      </c>
      <c r="Y38" s="306">
        <v>-1.5037593984962405E-2</v>
      </c>
    </row>
    <row r="39" spans="1:25" ht="15.75" x14ac:dyDescent="0.25">
      <c r="A39" s="142"/>
      <c r="B39" s="143" t="s">
        <v>308</v>
      </c>
      <c r="C39" s="299"/>
      <c r="D39" s="300"/>
      <c r="E39" s="300"/>
      <c r="F39" s="300"/>
      <c r="G39" s="300"/>
      <c r="H39" s="301"/>
      <c r="I39" s="133"/>
      <c r="J39" s="299"/>
      <c r="K39" s="300"/>
      <c r="L39" s="300"/>
      <c r="M39" s="301"/>
      <c r="N39" s="133"/>
      <c r="O39" s="299"/>
      <c r="P39" s="301"/>
      <c r="Q39" s="134"/>
      <c r="R39" s="301"/>
      <c r="S39" s="133"/>
      <c r="T39" s="299"/>
      <c r="U39" s="309"/>
      <c r="V39" s="301"/>
      <c r="W39" s="296"/>
      <c r="X39" s="296"/>
    </row>
    <row r="40" spans="1:25" ht="15.75" x14ac:dyDescent="0.25">
      <c r="A40" s="142"/>
      <c r="B40" s="144" t="s">
        <v>309</v>
      </c>
      <c r="C40" s="302"/>
      <c r="D40" s="303"/>
      <c r="E40" s="303"/>
      <c r="F40" s="303"/>
      <c r="G40" s="303"/>
      <c r="H40" s="173"/>
      <c r="I40" s="118"/>
      <c r="J40" s="302"/>
      <c r="K40" s="303"/>
      <c r="L40" s="303"/>
      <c r="M40" s="173"/>
      <c r="N40" s="118"/>
      <c r="O40" s="302"/>
      <c r="P40" s="173"/>
      <c r="Q40" s="119"/>
      <c r="R40" s="173"/>
      <c r="S40" s="118"/>
      <c r="T40" s="302"/>
      <c r="U40" s="310"/>
      <c r="V40" s="173"/>
      <c r="W40" s="296"/>
      <c r="X40" s="296"/>
    </row>
    <row r="41" spans="1:25" s="306" customFormat="1" ht="15.75" x14ac:dyDescent="0.25">
      <c r="A41" s="142"/>
      <c r="B41" s="145" t="s">
        <v>310</v>
      </c>
      <c r="C41" s="304">
        <v>0</v>
      </c>
      <c r="D41" s="305">
        <v>0</v>
      </c>
      <c r="E41" s="305">
        <v>0</v>
      </c>
      <c r="F41" s="305">
        <v>0</v>
      </c>
      <c r="G41" s="305">
        <v>0</v>
      </c>
      <c r="H41" s="253">
        <v>0</v>
      </c>
      <c r="I41" s="121">
        <v>0</v>
      </c>
      <c r="J41" s="304">
        <v>0</v>
      </c>
      <c r="K41" s="305">
        <v>0</v>
      </c>
      <c r="L41" s="305">
        <v>0</v>
      </c>
      <c r="M41" s="253">
        <v>0</v>
      </c>
      <c r="N41" s="121">
        <v>0</v>
      </c>
      <c r="O41" s="304">
        <v>0</v>
      </c>
      <c r="P41" s="253">
        <v>0</v>
      </c>
      <c r="Q41" s="122">
        <v>0</v>
      </c>
      <c r="R41" s="253">
        <v>0</v>
      </c>
      <c r="S41" s="121">
        <v>0</v>
      </c>
      <c r="T41" s="304">
        <v>0</v>
      </c>
      <c r="U41" s="139">
        <v>0</v>
      </c>
      <c r="V41" s="253">
        <v>0</v>
      </c>
      <c r="W41" s="296">
        <v>0</v>
      </c>
      <c r="X41" s="296">
        <v>0</v>
      </c>
      <c r="Y41" s="306">
        <v>0</v>
      </c>
    </row>
    <row r="42" spans="1:25" ht="15.75" x14ac:dyDescent="0.25">
      <c r="A42" s="142"/>
      <c r="B42" s="143" t="s">
        <v>311</v>
      </c>
      <c r="C42" s="299"/>
      <c r="D42" s="300">
        <v>43</v>
      </c>
      <c r="E42" s="300"/>
      <c r="F42" s="300"/>
      <c r="G42" s="300"/>
      <c r="H42" s="301"/>
      <c r="I42" s="133">
        <v>43</v>
      </c>
      <c r="J42" s="299"/>
      <c r="K42" s="300"/>
      <c r="L42" s="300"/>
      <c r="M42" s="301"/>
      <c r="N42" s="133"/>
      <c r="O42" s="299"/>
      <c r="P42" s="301"/>
      <c r="Q42" s="134"/>
      <c r="R42" s="301"/>
      <c r="S42" s="133"/>
      <c r="T42" s="299"/>
      <c r="U42" s="309"/>
      <c r="V42" s="301"/>
      <c r="W42" s="296"/>
      <c r="X42" s="296"/>
      <c r="Y42" s="511">
        <v>43</v>
      </c>
    </row>
    <row r="43" spans="1:25" ht="15.75" x14ac:dyDescent="0.25">
      <c r="A43" s="142"/>
      <c r="B43" s="144" t="s">
        <v>312</v>
      </c>
      <c r="C43" s="302"/>
      <c r="D43" s="303">
        <v>36</v>
      </c>
      <c r="E43" s="303"/>
      <c r="F43" s="303"/>
      <c r="G43" s="303"/>
      <c r="H43" s="173"/>
      <c r="I43" s="118">
        <v>36</v>
      </c>
      <c r="J43" s="302"/>
      <c r="K43" s="303"/>
      <c r="L43" s="303"/>
      <c r="M43" s="173"/>
      <c r="N43" s="118"/>
      <c r="O43" s="302"/>
      <c r="P43" s="173"/>
      <c r="Q43" s="119"/>
      <c r="R43" s="173"/>
      <c r="S43" s="118"/>
      <c r="T43" s="302"/>
      <c r="U43" s="310"/>
      <c r="V43" s="173"/>
      <c r="W43" s="296"/>
      <c r="X43" s="296"/>
      <c r="Y43" s="511">
        <v>36</v>
      </c>
    </row>
    <row r="44" spans="1:25" s="306" customFormat="1" ht="15.75" x14ac:dyDescent="0.25">
      <c r="A44" s="142"/>
      <c r="B44" s="145" t="s">
        <v>313</v>
      </c>
      <c r="C44" s="304">
        <v>0</v>
      </c>
      <c r="D44" s="305">
        <v>-0.16279069767441862</v>
      </c>
      <c r="E44" s="305">
        <v>0</v>
      </c>
      <c r="F44" s="305">
        <v>0</v>
      </c>
      <c r="G44" s="305">
        <v>0</v>
      </c>
      <c r="H44" s="253">
        <v>0</v>
      </c>
      <c r="I44" s="121">
        <v>-0.16279069767441862</v>
      </c>
      <c r="J44" s="304">
        <v>0</v>
      </c>
      <c r="K44" s="305">
        <v>0</v>
      </c>
      <c r="L44" s="305">
        <v>0</v>
      </c>
      <c r="M44" s="253">
        <v>0</v>
      </c>
      <c r="N44" s="121">
        <v>0</v>
      </c>
      <c r="O44" s="304">
        <v>0</v>
      </c>
      <c r="P44" s="253">
        <v>0</v>
      </c>
      <c r="Q44" s="122">
        <v>0</v>
      </c>
      <c r="R44" s="253">
        <v>0</v>
      </c>
      <c r="S44" s="121">
        <v>0</v>
      </c>
      <c r="T44" s="304">
        <v>0</v>
      </c>
      <c r="U44" s="139">
        <v>0</v>
      </c>
      <c r="V44" s="253">
        <v>0</v>
      </c>
      <c r="W44" s="296">
        <v>0</v>
      </c>
      <c r="X44" s="296">
        <v>0</v>
      </c>
      <c r="Y44" s="306">
        <v>-0.16279069767441862</v>
      </c>
    </row>
    <row r="45" spans="1:25" ht="15.75" x14ac:dyDescent="0.25">
      <c r="A45" s="142"/>
      <c r="B45" s="143" t="s">
        <v>314</v>
      </c>
      <c r="C45" s="299"/>
      <c r="D45" s="300"/>
      <c r="E45" s="300"/>
      <c r="F45" s="300"/>
      <c r="G45" s="300"/>
      <c r="H45" s="301"/>
      <c r="I45" s="133"/>
      <c r="J45" s="299"/>
      <c r="K45" s="300"/>
      <c r="L45" s="300"/>
      <c r="M45" s="301"/>
      <c r="N45" s="133"/>
      <c r="O45" s="299"/>
      <c r="P45" s="301"/>
      <c r="Q45" s="134"/>
      <c r="R45" s="301"/>
      <c r="S45" s="133"/>
      <c r="T45" s="299"/>
      <c r="U45" s="309"/>
      <c r="V45" s="301"/>
      <c r="W45" s="296"/>
      <c r="X45" s="296"/>
    </row>
    <row r="46" spans="1:25" ht="15.75" x14ac:dyDescent="0.25">
      <c r="A46" s="142"/>
      <c r="B46" s="144" t="s">
        <v>315</v>
      </c>
      <c r="C46" s="302"/>
      <c r="D46" s="303"/>
      <c r="E46" s="303"/>
      <c r="F46" s="303"/>
      <c r="G46" s="303"/>
      <c r="H46" s="173"/>
      <c r="I46" s="118"/>
      <c r="J46" s="302"/>
      <c r="K46" s="303"/>
      <c r="L46" s="303"/>
      <c r="M46" s="173"/>
      <c r="N46" s="118"/>
      <c r="O46" s="302"/>
      <c r="P46" s="173"/>
      <c r="Q46" s="119"/>
      <c r="R46" s="173"/>
      <c r="S46" s="118"/>
      <c r="T46" s="302"/>
      <c r="U46" s="310"/>
      <c r="V46" s="173"/>
      <c r="W46" s="296"/>
      <c r="X46" s="296"/>
    </row>
    <row r="47" spans="1:25" s="306" customFormat="1" ht="15.75" x14ac:dyDescent="0.25">
      <c r="A47" s="142"/>
      <c r="B47" s="145" t="s">
        <v>316</v>
      </c>
      <c r="C47" s="304">
        <v>0</v>
      </c>
      <c r="D47" s="305">
        <v>0</v>
      </c>
      <c r="E47" s="305">
        <v>0</v>
      </c>
      <c r="F47" s="305">
        <v>0</v>
      </c>
      <c r="G47" s="305">
        <v>0</v>
      </c>
      <c r="H47" s="253">
        <v>0</v>
      </c>
      <c r="I47" s="121">
        <v>0</v>
      </c>
      <c r="J47" s="304">
        <v>0</v>
      </c>
      <c r="K47" s="305">
        <v>0</v>
      </c>
      <c r="L47" s="305">
        <v>0</v>
      </c>
      <c r="M47" s="253">
        <v>0</v>
      </c>
      <c r="N47" s="121">
        <v>0</v>
      </c>
      <c r="O47" s="304">
        <v>0</v>
      </c>
      <c r="P47" s="253">
        <v>0</v>
      </c>
      <c r="Q47" s="122">
        <v>0</v>
      </c>
      <c r="R47" s="253">
        <v>0</v>
      </c>
      <c r="S47" s="121">
        <v>0</v>
      </c>
      <c r="T47" s="304">
        <v>0</v>
      </c>
      <c r="U47" s="139">
        <v>0</v>
      </c>
      <c r="V47" s="253">
        <v>0</v>
      </c>
      <c r="W47" s="296">
        <v>0</v>
      </c>
      <c r="X47" s="296">
        <v>0</v>
      </c>
      <c r="Y47" s="306">
        <v>0</v>
      </c>
    </row>
    <row r="48" spans="1:25" ht="15.75" x14ac:dyDescent="0.25">
      <c r="A48" s="142"/>
      <c r="B48" s="143" t="s">
        <v>317</v>
      </c>
      <c r="C48" s="299">
        <v>90</v>
      </c>
      <c r="D48" s="300"/>
      <c r="E48" s="300"/>
      <c r="F48" s="300"/>
      <c r="G48" s="300"/>
      <c r="H48" s="301"/>
      <c r="I48" s="133">
        <v>90</v>
      </c>
      <c r="J48" s="299"/>
      <c r="K48" s="300"/>
      <c r="L48" s="300"/>
      <c r="M48" s="301"/>
      <c r="N48" s="133"/>
      <c r="O48" s="299"/>
      <c r="P48" s="301"/>
      <c r="Q48" s="134"/>
      <c r="R48" s="301"/>
      <c r="S48" s="133"/>
      <c r="T48" s="299"/>
      <c r="U48" s="309"/>
      <c r="V48" s="301"/>
      <c r="W48" s="296"/>
      <c r="X48" s="296"/>
      <c r="Y48" s="511">
        <v>90</v>
      </c>
    </row>
    <row r="49" spans="1:25" ht="15.75" x14ac:dyDescent="0.25">
      <c r="A49" s="142"/>
      <c r="B49" s="144" t="s">
        <v>318</v>
      </c>
      <c r="C49" s="302">
        <v>90</v>
      </c>
      <c r="D49" s="303"/>
      <c r="E49" s="303"/>
      <c r="F49" s="303"/>
      <c r="G49" s="303"/>
      <c r="H49" s="173"/>
      <c r="I49" s="118">
        <v>90</v>
      </c>
      <c r="J49" s="302"/>
      <c r="K49" s="303"/>
      <c r="L49" s="303"/>
      <c r="M49" s="173"/>
      <c r="N49" s="118"/>
      <c r="O49" s="302"/>
      <c r="P49" s="173"/>
      <c r="Q49" s="119"/>
      <c r="R49" s="173"/>
      <c r="S49" s="118"/>
      <c r="T49" s="302"/>
      <c r="U49" s="310"/>
      <c r="V49" s="173"/>
      <c r="W49" s="296"/>
      <c r="X49" s="296"/>
      <c r="Y49" s="511">
        <v>90</v>
      </c>
    </row>
    <row r="50" spans="1:25" s="306" customFormat="1" ht="15.75" x14ac:dyDescent="0.25">
      <c r="A50" s="142"/>
      <c r="B50" s="145" t="s">
        <v>319</v>
      </c>
      <c r="C50" s="304">
        <v>0</v>
      </c>
      <c r="D50" s="305">
        <v>0</v>
      </c>
      <c r="E50" s="305">
        <v>0</v>
      </c>
      <c r="F50" s="305">
        <v>0</v>
      </c>
      <c r="G50" s="305">
        <v>0</v>
      </c>
      <c r="H50" s="253">
        <v>0</v>
      </c>
      <c r="I50" s="121">
        <v>0</v>
      </c>
      <c r="J50" s="304">
        <v>0</v>
      </c>
      <c r="K50" s="305">
        <v>0</v>
      </c>
      <c r="L50" s="305">
        <v>0</v>
      </c>
      <c r="M50" s="253">
        <v>0</v>
      </c>
      <c r="N50" s="121">
        <v>0</v>
      </c>
      <c r="O50" s="304">
        <v>0</v>
      </c>
      <c r="P50" s="253">
        <v>0</v>
      </c>
      <c r="Q50" s="122">
        <v>0</v>
      </c>
      <c r="R50" s="253">
        <v>0</v>
      </c>
      <c r="S50" s="121">
        <v>0</v>
      </c>
      <c r="T50" s="304">
        <v>0</v>
      </c>
      <c r="U50" s="139">
        <v>0</v>
      </c>
      <c r="V50" s="253">
        <v>0</v>
      </c>
      <c r="W50" s="296">
        <v>0</v>
      </c>
      <c r="X50" s="296">
        <v>0</v>
      </c>
      <c r="Y50" s="306">
        <v>0</v>
      </c>
    </row>
    <row r="51" spans="1:25" ht="15.75" x14ac:dyDescent="0.25">
      <c r="A51" s="142"/>
      <c r="B51" s="143" t="s">
        <v>320</v>
      </c>
      <c r="C51" s="299"/>
      <c r="D51" s="300"/>
      <c r="E51" s="300"/>
      <c r="F51" s="300"/>
      <c r="G51" s="300"/>
      <c r="H51" s="301"/>
      <c r="I51" s="133"/>
      <c r="J51" s="299"/>
      <c r="K51" s="300"/>
      <c r="L51" s="300"/>
      <c r="M51" s="301"/>
      <c r="N51" s="133"/>
      <c r="O51" s="299"/>
      <c r="P51" s="301"/>
      <c r="Q51" s="134"/>
      <c r="R51" s="301"/>
      <c r="S51" s="133"/>
      <c r="T51" s="299"/>
      <c r="U51" s="309"/>
      <c r="V51" s="301"/>
      <c r="W51" s="296"/>
      <c r="X51" s="296"/>
    </row>
    <row r="52" spans="1:25" ht="15.75" x14ac:dyDescent="0.25">
      <c r="A52" s="142"/>
      <c r="B52" s="144" t="s">
        <v>321</v>
      </c>
      <c r="C52" s="302"/>
      <c r="D52" s="303"/>
      <c r="E52" s="303"/>
      <c r="F52" s="303"/>
      <c r="G52" s="303"/>
      <c r="H52" s="173"/>
      <c r="I52" s="118"/>
      <c r="J52" s="302"/>
      <c r="K52" s="303"/>
      <c r="L52" s="303"/>
      <c r="M52" s="173"/>
      <c r="N52" s="118"/>
      <c r="O52" s="302"/>
      <c r="P52" s="173"/>
      <c r="Q52" s="119"/>
      <c r="R52" s="173"/>
      <c r="S52" s="118"/>
      <c r="T52" s="302"/>
      <c r="U52" s="310"/>
      <c r="V52" s="173"/>
      <c r="W52" s="296"/>
      <c r="X52" s="296"/>
    </row>
    <row r="53" spans="1:25" s="306" customFormat="1" ht="15.75" x14ac:dyDescent="0.25">
      <c r="A53" s="142"/>
      <c r="B53" s="145" t="s">
        <v>322</v>
      </c>
      <c r="C53" s="304">
        <v>0</v>
      </c>
      <c r="D53" s="305">
        <v>0</v>
      </c>
      <c r="E53" s="305">
        <v>0</v>
      </c>
      <c r="F53" s="305">
        <v>0</v>
      </c>
      <c r="G53" s="305">
        <v>0</v>
      </c>
      <c r="H53" s="253">
        <v>0</v>
      </c>
      <c r="I53" s="121">
        <v>0</v>
      </c>
      <c r="J53" s="304">
        <v>0</v>
      </c>
      <c r="K53" s="305">
        <v>0</v>
      </c>
      <c r="L53" s="305">
        <v>0</v>
      </c>
      <c r="M53" s="253">
        <v>0</v>
      </c>
      <c r="N53" s="121">
        <v>0</v>
      </c>
      <c r="O53" s="304">
        <v>0</v>
      </c>
      <c r="P53" s="253">
        <v>0</v>
      </c>
      <c r="Q53" s="122">
        <v>0</v>
      </c>
      <c r="R53" s="253">
        <v>0</v>
      </c>
      <c r="S53" s="121">
        <v>0</v>
      </c>
      <c r="T53" s="304">
        <v>0</v>
      </c>
      <c r="U53" s="139">
        <v>0</v>
      </c>
      <c r="V53" s="253">
        <v>0</v>
      </c>
      <c r="W53" s="296">
        <v>0</v>
      </c>
      <c r="X53" s="296">
        <v>0</v>
      </c>
      <c r="Y53" s="306">
        <v>0</v>
      </c>
    </row>
    <row r="54" spans="1:25" ht="15.75" x14ac:dyDescent="0.25">
      <c r="A54" s="142"/>
      <c r="B54" s="143" t="s">
        <v>404</v>
      </c>
      <c r="C54" s="299">
        <v>58</v>
      </c>
      <c r="D54" s="300">
        <v>125</v>
      </c>
      <c r="E54" s="300">
        <v>96</v>
      </c>
      <c r="F54" s="300">
        <v>51</v>
      </c>
      <c r="G54" s="300"/>
      <c r="H54" s="301"/>
      <c r="I54" s="133">
        <v>330</v>
      </c>
      <c r="J54" s="299"/>
      <c r="K54" s="300"/>
      <c r="L54" s="300"/>
      <c r="M54" s="301"/>
      <c r="N54" s="133"/>
      <c r="O54" s="299"/>
      <c r="P54" s="301"/>
      <c r="Q54" s="134"/>
      <c r="R54" s="301"/>
      <c r="S54" s="133"/>
      <c r="T54" s="299"/>
      <c r="U54" s="309"/>
      <c r="V54" s="301"/>
      <c r="W54" s="296"/>
      <c r="X54" s="296"/>
      <c r="Y54" s="511">
        <v>330</v>
      </c>
    </row>
    <row r="55" spans="1:25" ht="16.5" thickBot="1" x14ac:dyDescent="0.3">
      <c r="A55" s="142"/>
      <c r="B55" s="144" t="s">
        <v>406</v>
      </c>
      <c r="C55" s="302">
        <v>78</v>
      </c>
      <c r="D55" s="303">
        <v>120</v>
      </c>
      <c r="E55" s="303">
        <v>66</v>
      </c>
      <c r="F55" s="303">
        <v>43</v>
      </c>
      <c r="G55" s="303"/>
      <c r="H55" s="173"/>
      <c r="I55" s="118">
        <v>307</v>
      </c>
      <c r="J55" s="302"/>
      <c r="K55" s="303"/>
      <c r="L55" s="303"/>
      <c r="M55" s="173"/>
      <c r="N55" s="118"/>
      <c r="O55" s="302"/>
      <c r="P55" s="173"/>
      <c r="Q55" s="119"/>
      <c r="R55" s="173"/>
      <c r="S55" s="118"/>
      <c r="T55" s="302"/>
      <c r="U55" s="310"/>
      <c r="V55" s="173"/>
      <c r="W55" s="296"/>
      <c r="X55" s="296"/>
      <c r="Y55" s="511">
        <v>307</v>
      </c>
    </row>
    <row r="56" spans="1:25" s="306" customFormat="1" ht="16.5" thickBot="1" x14ac:dyDescent="0.3">
      <c r="A56" s="142"/>
      <c r="B56" s="145" t="s">
        <v>474</v>
      </c>
      <c r="C56" s="724">
        <v>0.34482758620689657</v>
      </c>
      <c r="D56" s="305">
        <v>-0.04</v>
      </c>
      <c r="E56" s="724">
        <v>-0.3125</v>
      </c>
      <c r="F56" s="305">
        <v>-0.15686274509803921</v>
      </c>
      <c r="G56" s="305">
        <v>0</v>
      </c>
      <c r="H56" s="253">
        <v>0</v>
      </c>
      <c r="I56" s="121">
        <v>-6.9696969696969702E-2</v>
      </c>
      <c r="J56" s="304">
        <v>0</v>
      </c>
      <c r="K56" s="305">
        <v>0</v>
      </c>
      <c r="L56" s="305">
        <v>0</v>
      </c>
      <c r="M56" s="253">
        <v>0</v>
      </c>
      <c r="N56" s="121">
        <v>0</v>
      </c>
      <c r="O56" s="304">
        <v>0</v>
      </c>
      <c r="P56" s="253">
        <v>0</v>
      </c>
      <c r="Q56" s="122">
        <v>0</v>
      </c>
      <c r="R56" s="253">
        <v>0</v>
      </c>
      <c r="S56" s="121">
        <v>0</v>
      </c>
      <c r="T56" s="304">
        <v>0</v>
      </c>
      <c r="U56" s="139">
        <v>0</v>
      </c>
      <c r="V56" s="253">
        <v>0</v>
      </c>
      <c r="W56" s="296">
        <v>0</v>
      </c>
      <c r="X56" s="296">
        <v>0</v>
      </c>
      <c r="Y56" s="306">
        <v>-6.9696969696969702E-2</v>
      </c>
    </row>
    <row r="57" spans="1:25" ht="15.75" x14ac:dyDescent="0.25">
      <c r="A57" s="142"/>
      <c r="B57" s="143" t="s">
        <v>476</v>
      </c>
      <c r="C57" s="299"/>
      <c r="D57" s="300"/>
      <c r="E57" s="300"/>
      <c r="F57" s="300"/>
      <c r="G57" s="300"/>
      <c r="H57" s="301"/>
      <c r="I57" s="133"/>
      <c r="J57" s="299"/>
      <c r="K57" s="300"/>
      <c r="L57" s="300"/>
      <c r="M57" s="301"/>
      <c r="N57" s="133"/>
      <c r="O57" s="299"/>
      <c r="P57" s="301"/>
      <c r="Q57" s="134"/>
      <c r="R57" s="301"/>
      <c r="S57" s="133"/>
      <c r="T57" s="299"/>
      <c r="U57" s="309"/>
      <c r="V57" s="301"/>
      <c r="W57" s="296"/>
      <c r="X57" s="296"/>
    </row>
    <row r="58" spans="1:25" s="306" customFormat="1" ht="15.75" x14ac:dyDescent="0.25">
      <c r="A58" s="294"/>
      <c r="B58" s="144" t="s">
        <v>472</v>
      </c>
      <c r="C58" s="302"/>
      <c r="D58" s="303"/>
      <c r="E58" s="303"/>
      <c r="F58" s="303"/>
      <c r="G58" s="303"/>
      <c r="H58" s="173"/>
      <c r="I58" s="118"/>
      <c r="J58" s="302"/>
      <c r="K58" s="303"/>
      <c r="L58" s="303"/>
      <c r="M58" s="173"/>
      <c r="N58" s="118"/>
      <c r="O58" s="302"/>
      <c r="P58" s="173"/>
      <c r="Q58" s="119"/>
      <c r="R58" s="173"/>
      <c r="S58" s="118"/>
      <c r="T58" s="302"/>
      <c r="U58" s="310"/>
      <c r="V58" s="173"/>
      <c r="W58" s="296"/>
      <c r="X58" s="296"/>
    </row>
    <row r="59" spans="1:25" s="306" customFormat="1" ht="15.75" x14ac:dyDescent="0.25">
      <c r="A59" s="141" t="s">
        <v>980</v>
      </c>
      <c r="B59" s="143" t="s">
        <v>275</v>
      </c>
      <c r="C59" s="300"/>
      <c r="D59" s="300"/>
      <c r="E59" s="300">
        <v>357</v>
      </c>
      <c r="F59" s="300"/>
      <c r="G59" s="300">
        <v>389</v>
      </c>
      <c r="H59" s="134">
        <v>372</v>
      </c>
      <c r="I59" s="300">
        <v>1118</v>
      </c>
      <c r="J59" s="299"/>
      <c r="K59" s="300">
        <v>2367</v>
      </c>
      <c r="L59" s="300">
        <v>808</v>
      </c>
      <c r="M59" s="134">
        <v>5408</v>
      </c>
      <c r="N59" s="300">
        <v>8583</v>
      </c>
      <c r="O59" s="299"/>
      <c r="P59" s="134"/>
      <c r="Q59" s="301"/>
      <c r="R59" s="134"/>
      <c r="S59" s="300">
        <v>18</v>
      </c>
      <c r="T59" s="132">
        <v>18</v>
      </c>
      <c r="U59" s="311"/>
      <c r="V59" s="301"/>
      <c r="W59" s="296"/>
      <c r="X59" s="296"/>
      <c r="Y59" s="306">
        <v>9719</v>
      </c>
    </row>
    <row r="60" spans="1:25" ht="16.5" thickBot="1" x14ac:dyDescent="0.3">
      <c r="A60" s="142"/>
      <c r="B60" s="144" t="s">
        <v>276</v>
      </c>
      <c r="C60" s="303">
        <v>0</v>
      </c>
      <c r="D60" s="303"/>
      <c r="E60" s="303">
        <v>391</v>
      </c>
      <c r="F60" s="303">
        <v>8</v>
      </c>
      <c r="G60" s="303">
        <v>424</v>
      </c>
      <c r="H60" s="119">
        <v>224</v>
      </c>
      <c r="I60" s="303">
        <v>1047</v>
      </c>
      <c r="J60" s="302"/>
      <c r="K60" s="303">
        <v>1563</v>
      </c>
      <c r="L60" s="303">
        <v>714</v>
      </c>
      <c r="M60" s="119">
        <v>5912</v>
      </c>
      <c r="N60" s="303">
        <v>8189</v>
      </c>
      <c r="O60" s="302"/>
      <c r="P60" s="119"/>
      <c r="Q60" s="173"/>
      <c r="R60" s="119"/>
      <c r="S60" s="303">
        <v>12</v>
      </c>
      <c r="T60" s="117">
        <v>12</v>
      </c>
      <c r="U60" s="312"/>
      <c r="V60" s="173"/>
      <c r="W60" s="296"/>
      <c r="X60" s="296"/>
      <c r="Y60" s="511">
        <v>9248</v>
      </c>
    </row>
    <row r="61" spans="1:25" ht="16.5" thickBot="1" x14ac:dyDescent="0.3">
      <c r="A61" s="142"/>
      <c r="B61" s="145" t="s">
        <v>277</v>
      </c>
      <c r="C61" s="305">
        <v>0</v>
      </c>
      <c r="D61" s="305">
        <v>0</v>
      </c>
      <c r="E61" s="305">
        <v>9.5238095238095233E-2</v>
      </c>
      <c r="F61" s="305">
        <v>0</v>
      </c>
      <c r="G61" s="305">
        <v>8.9974293059125965E-2</v>
      </c>
      <c r="H61" s="724">
        <v>-0.39784946236559138</v>
      </c>
      <c r="I61" s="305">
        <v>-6.3506261180679785E-2</v>
      </c>
      <c r="J61" s="304">
        <v>0</v>
      </c>
      <c r="K61" s="724">
        <v>-0.33967046894803549</v>
      </c>
      <c r="L61" s="305">
        <v>-0.11633663366336634</v>
      </c>
      <c r="M61" s="122">
        <v>9.3195266272189353E-2</v>
      </c>
      <c r="N61" s="305">
        <v>-4.59046953279739E-2</v>
      </c>
      <c r="O61" s="304">
        <v>0</v>
      </c>
      <c r="P61" s="122">
        <v>0</v>
      </c>
      <c r="Q61" s="253">
        <v>0</v>
      </c>
      <c r="R61" s="122">
        <v>0</v>
      </c>
      <c r="S61" s="305">
        <v>-0.33333333333333331</v>
      </c>
      <c r="T61" s="120">
        <v>-0.33333333333333331</v>
      </c>
      <c r="U61" s="313">
        <v>0</v>
      </c>
      <c r="V61" s="253">
        <v>0</v>
      </c>
      <c r="W61" s="296">
        <v>0</v>
      </c>
      <c r="X61" s="296">
        <v>0</v>
      </c>
      <c r="Y61" s="511">
        <v>-4.8461775902870666E-2</v>
      </c>
    </row>
    <row r="62" spans="1:25" s="306" customFormat="1" ht="15.75" x14ac:dyDescent="0.25">
      <c r="A62" s="142"/>
      <c r="B62" s="143" t="s">
        <v>278</v>
      </c>
      <c r="C62" s="300"/>
      <c r="D62" s="300"/>
      <c r="E62" s="300"/>
      <c r="F62" s="300"/>
      <c r="G62" s="300">
        <v>16</v>
      </c>
      <c r="H62" s="134"/>
      <c r="I62" s="300">
        <v>16</v>
      </c>
      <c r="J62" s="299"/>
      <c r="K62" s="300">
        <v>4</v>
      </c>
      <c r="L62" s="300"/>
      <c r="M62" s="134"/>
      <c r="N62" s="300">
        <v>4</v>
      </c>
      <c r="O62" s="299"/>
      <c r="P62" s="134"/>
      <c r="Q62" s="301"/>
      <c r="R62" s="134"/>
      <c r="S62" s="300"/>
      <c r="T62" s="132"/>
      <c r="U62" s="311"/>
      <c r="V62" s="132"/>
      <c r="W62" s="296"/>
      <c r="X62" s="296"/>
      <c r="Y62" s="306">
        <v>20</v>
      </c>
    </row>
    <row r="63" spans="1:25" ht="15.75" x14ac:dyDescent="0.25">
      <c r="A63" s="142"/>
      <c r="B63" s="144" t="s">
        <v>279</v>
      </c>
      <c r="C63" s="303">
        <v>0</v>
      </c>
      <c r="D63" s="303"/>
      <c r="E63" s="303"/>
      <c r="F63" s="303"/>
      <c r="G63" s="303">
        <v>23</v>
      </c>
      <c r="H63" s="119"/>
      <c r="I63" s="303">
        <v>23</v>
      </c>
      <c r="J63" s="302"/>
      <c r="K63" s="303">
        <v>3</v>
      </c>
      <c r="L63" s="303"/>
      <c r="M63" s="119"/>
      <c r="N63" s="303">
        <v>3</v>
      </c>
      <c r="O63" s="302"/>
      <c r="P63" s="119"/>
      <c r="Q63" s="173"/>
      <c r="R63" s="119"/>
      <c r="S63" s="303"/>
      <c r="T63" s="117"/>
      <c r="U63" s="312"/>
      <c r="V63" s="117"/>
      <c r="W63" s="296"/>
      <c r="X63" s="296"/>
      <c r="Y63" s="511">
        <v>26</v>
      </c>
    </row>
    <row r="64" spans="1:25" ht="15.75" x14ac:dyDescent="0.25">
      <c r="A64" s="142"/>
      <c r="B64" s="145" t="s">
        <v>280</v>
      </c>
      <c r="C64" s="305">
        <v>0</v>
      </c>
      <c r="D64" s="305">
        <v>0</v>
      </c>
      <c r="E64" s="305">
        <v>0</v>
      </c>
      <c r="F64" s="305">
        <v>0</v>
      </c>
      <c r="G64" s="305">
        <v>0.4375</v>
      </c>
      <c r="H64" s="122">
        <v>0</v>
      </c>
      <c r="I64" s="305">
        <v>0.4375</v>
      </c>
      <c r="J64" s="304">
        <v>0</v>
      </c>
      <c r="K64" s="305">
        <v>-0.25</v>
      </c>
      <c r="L64" s="305">
        <v>0</v>
      </c>
      <c r="M64" s="122">
        <v>0</v>
      </c>
      <c r="N64" s="305">
        <v>-0.25</v>
      </c>
      <c r="O64" s="304">
        <v>0</v>
      </c>
      <c r="P64" s="122">
        <v>0</v>
      </c>
      <c r="Q64" s="253">
        <v>0</v>
      </c>
      <c r="R64" s="122">
        <v>0</v>
      </c>
      <c r="S64" s="305">
        <v>0</v>
      </c>
      <c r="T64" s="120">
        <v>0</v>
      </c>
      <c r="U64" s="313">
        <v>0</v>
      </c>
      <c r="V64" s="120">
        <v>0</v>
      </c>
      <c r="W64" s="296">
        <v>0</v>
      </c>
      <c r="X64" s="296">
        <v>0</v>
      </c>
      <c r="Y64" s="511">
        <v>0.3</v>
      </c>
    </row>
    <row r="65" spans="1:25" s="306" customFormat="1" ht="15.75" x14ac:dyDescent="0.25">
      <c r="A65" s="142"/>
      <c r="B65" s="143" t="s">
        <v>281</v>
      </c>
      <c r="C65" s="299"/>
      <c r="D65" s="300"/>
      <c r="E65" s="300">
        <v>2959</v>
      </c>
      <c r="F65" s="300">
        <v>63</v>
      </c>
      <c r="G65" s="300">
        <v>153</v>
      </c>
      <c r="H65" s="301">
        <v>402</v>
      </c>
      <c r="I65" s="133">
        <v>3577</v>
      </c>
      <c r="J65" s="299"/>
      <c r="K65" s="300">
        <v>2278</v>
      </c>
      <c r="L65" s="300">
        <v>962</v>
      </c>
      <c r="M65" s="301">
        <v>3209</v>
      </c>
      <c r="N65" s="133">
        <v>6449</v>
      </c>
      <c r="O65" s="299"/>
      <c r="P65" s="301"/>
      <c r="Q65" s="134"/>
      <c r="R65" s="301"/>
      <c r="S65" s="133">
        <v>116</v>
      </c>
      <c r="T65" s="299">
        <v>116</v>
      </c>
      <c r="U65" s="309"/>
      <c r="V65" s="301"/>
      <c r="W65" s="296"/>
      <c r="X65" s="296"/>
      <c r="Y65" s="306">
        <v>10142</v>
      </c>
    </row>
    <row r="66" spans="1:25" ht="16.5" thickBot="1" x14ac:dyDescent="0.3">
      <c r="A66" s="142"/>
      <c r="B66" s="144" t="s">
        <v>282</v>
      </c>
      <c r="C66" s="302">
        <v>0</v>
      </c>
      <c r="D66" s="303"/>
      <c r="E66" s="303">
        <v>990</v>
      </c>
      <c r="F66" s="303">
        <v>144</v>
      </c>
      <c r="G66" s="303">
        <v>193</v>
      </c>
      <c r="H66" s="173">
        <v>326</v>
      </c>
      <c r="I66" s="118">
        <v>1653</v>
      </c>
      <c r="J66" s="302"/>
      <c r="K66" s="303">
        <v>1833</v>
      </c>
      <c r="L66" s="303">
        <v>1188</v>
      </c>
      <c r="M66" s="173">
        <v>3485</v>
      </c>
      <c r="N66" s="118">
        <v>6506</v>
      </c>
      <c r="O66" s="302"/>
      <c r="P66" s="173"/>
      <c r="Q66" s="119"/>
      <c r="R66" s="173"/>
      <c r="S66" s="118">
        <v>64</v>
      </c>
      <c r="T66" s="302">
        <v>64</v>
      </c>
      <c r="U66" s="310"/>
      <c r="V66" s="173"/>
      <c r="W66" s="296"/>
      <c r="X66" s="296"/>
      <c r="Y66" s="511">
        <v>8223</v>
      </c>
    </row>
    <row r="67" spans="1:25" ht="16.5" thickBot="1" x14ac:dyDescent="0.3">
      <c r="A67" s="142"/>
      <c r="B67" s="145" t="s">
        <v>283</v>
      </c>
      <c r="C67" s="304">
        <v>0</v>
      </c>
      <c r="D67" s="305">
        <v>0</v>
      </c>
      <c r="E67" s="724">
        <v>-0.66542750929368033</v>
      </c>
      <c r="F67" s="724">
        <v>1.2857142857142858</v>
      </c>
      <c r="G67" s="305">
        <v>0.26143790849673204</v>
      </c>
      <c r="H67" s="122">
        <v>-0.1890547263681592</v>
      </c>
      <c r="I67" s="121">
        <v>-0.53788090578697234</v>
      </c>
      <c r="J67" s="304">
        <v>0</v>
      </c>
      <c r="K67" s="724">
        <v>-0.19534679543459174</v>
      </c>
      <c r="L67" s="724">
        <v>0.23492723492723494</v>
      </c>
      <c r="M67" s="122">
        <v>8.6008102212527263E-2</v>
      </c>
      <c r="N67" s="121">
        <v>8.8385796247480233E-3</v>
      </c>
      <c r="O67" s="304">
        <v>0</v>
      </c>
      <c r="P67" s="253">
        <v>0</v>
      </c>
      <c r="Q67" s="122">
        <v>0</v>
      </c>
      <c r="R67" s="253">
        <v>0</v>
      </c>
      <c r="S67" s="724">
        <v>-0.44827586206896552</v>
      </c>
      <c r="T67" s="304">
        <v>-0.44827586206896552</v>
      </c>
      <c r="U67" s="139">
        <v>0</v>
      </c>
      <c r="V67" s="253">
        <v>0</v>
      </c>
      <c r="W67" s="296">
        <v>0</v>
      </c>
      <c r="X67" s="296">
        <v>0</v>
      </c>
      <c r="Y67" s="511">
        <v>-0.18921317294419246</v>
      </c>
    </row>
    <row r="68" spans="1:25" s="306" customFormat="1" ht="15.75" x14ac:dyDescent="0.25">
      <c r="A68" s="142"/>
      <c r="B68" s="143" t="s">
        <v>284</v>
      </c>
      <c r="C68" s="300">
        <v>2958</v>
      </c>
      <c r="D68" s="300"/>
      <c r="E68" s="300">
        <v>5406</v>
      </c>
      <c r="F68" s="300">
        <v>823</v>
      </c>
      <c r="G68" s="300">
        <v>309</v>
      </c>
      <c r="H68" s="134">
        <v>913</v>
      </c>
      <c r="I68" s="300">
        <v>10409</v>
      </c>
      <c r="J68" s="299"/>
      <c r="K68" s="300"/>
      <c r="L68" s="300"/>
      <c r="M68" s="134"/>
      <c r="N68" s="300"/>
      <c r="O68" s="299"/>
      <c r="P68" s="134"/>
      <c r="Q68" s="301"/>
      <c r="R68" s="134"/>
      <c r="S68" s="300">
        <v>326</v>
      </c>
      <c r="T68" s="132">
        <v>326</v>
      </c>
      <c r="U68" s="311"/>
      <c r="V68" s="132"/>
      <c r="W68" s="296"/>
      <c r="X68" s="296"/>
      <c r="Y68" s="306">
        <v>10735</v>
      </c>
    </row>
    <row r="69" spans="1:25" ht="15.75" x14ac:dyDescent="0.25">
      <c r="A69" s="142"/>
      <c r="B69" s="144" t="s">
        <v>285</v>
      </c>
      <c r="C69" s="303">
        <v>3130</v>
      </c>
      <c r="D69" s="303"/>
      <c r="E69" s="303">
        <v>5616</v>
      </c>
      <c r="F69" s="303">
        <v>913</v>
      </c>
      <c r="G69" s="303">
        <v>370</v>
      </c>
      <c r="H69" s="119">
        <v>1088</v>
      </c>
      <c r="I69" s="303">
        <v>11117</v>
      </c>
      <c r="J69" s="302"/>
      <c r="K69" s="303"/>
      <c r="L69" s="303"/>
      <c r="M69" s="119"/>
      <c r="N69" s="303"/>
      <c r="O69" s="302"/>
      <c r="P69" s="119"/>
      <c r="Q69" s="173"/>
      <c r="R69" s="119"/>
      <c r="S69" s="303">
        <v>341</v>
      </c>
      <c r="T69" s="117">
        <v>341</v>
      </c>
      <c r="U69" s="312"/>
      <c r="V69" s="117"/>
      <c r="W69" s="296"/>
      <c r="X69" s="296"/>
      <c r="Y69" s="511">
        <v>11458</v>
      </c>
    </row>
    <row r="70" spans="1:25" ht="15.75" x14ac:dyDescent="0.25">
      <c r="A70" s="142"/>
      <c r="B70" s="145" t="s">
        <v>286</v>
      </c>
      <c r="C70" s="305">
        <v>5.8147396889790398E-2</v>
      </c>
      <c r="D70" s="305">
        <v>0</v>
      </c>
      <c r="E70" s="305">
        <v>3.8845726970033294E-2</v>
      </c>
      <c r="F70" s="305">
        <v>0.10935601458080195</v>
      </c>
      <c r="G70" s="305">
        <v>0.19741100323624594</v>
      </c>
      <c r="H70" s="122">
        <v>0.19167579408543264</v>
      </c>
      <c r="I70" s="305">
        <v>6.8018061293111734E-2</v>
      </c>
      <c r="J70" s="304">
        <v>0</v>
      </c>
      <c r="K70" s="305">
        <v>0</v>
      </c>
      <c r="L70" s="305">
        <v>0</v>
      </c>
      <c r="M70" s="122">
        <v>0</v>
      </c>
      <c r="N70" s="305">
        <v>0</v>
      </c>
      <c r="O70" s="304">
        <v>0</v>
      </c>
      <c r="P70" s="122">
        <v>0</v>
      </c>
      <c r="Q70" s="253">
        <v>0</v>
      </c>
      <c r="R70" s="122">
        <v>0</v>
      </c>
      <c r="S70" s="305">
        <v>4.6012269938650305E-2</v>
      </c>
      <c r="T70" s="120">
        <v>4.6012269938650305E-2</v>
      </c>
      <c r="U70" s="313">
        <v>0</v>
      </c>
      <c r="V70" s="120">
        <v>0</v>
      </c>
      <c r="W70" s="296">
        <v>0</v>
      </c>
      <c r="X70" s="296">
        <v>0</v>
      </c>
      <c r="Y70" s="511">
        <v>6.7349790405216575E-2</v>
      </c>
    </row>
    <row r="71" spans="1:25" s="306" customFormat="1" ht="15.75" x14ac:dyDescent="0.25">
      <c r="A71" s="142"/>
      <c r="B71" s="143" t="s">
        <v>287</v>
      </c>
      <c r="C71" s="300">
        <v>3</v>
      </c>
      <c r="D71" s="300"/>
      <c r="E71" s="300">
        <v>128</v>
      </c>
      <c r="F71" s="300">
        <v>120</v>
      </c>
      <c r="G71" s="300"/>
      <c r="H71" s="134"/>
      <c r="I71" s="300">
        <v>251</v>
      </c>
      <c r="J71" s="299"/>
      <c r="K71" s="300"/>
      <c r="L71" s="300"/>
      <c r="M71" s="134"/>
      <c r="N71" s="300"/>
      <c r="O71" s="299"/>
      <c r="P71" s="134"/>
      <c r="Q71" s="301"/>
      <c r="R71" s="134"/>
      <c r="S71" s="300">
        <v>26</v>
      </c>
      <c r="T71" s="132">
        <v>26</v>
      </c>
      <c r="U71" s="311"/>
      <c r="V71" s="132"/>
      <c r="W71" s="296"/>
      <c r="X71" s="296"/>
      <c r="Y71" s="306">
        <v>277</v>
      </c>
    </row>
    <row r="72" spans="1:25" ht="16.5" thickBot="1" x14ac:dyDescent="0.3">
      <c r="A72" s="142"/>
      <c r="B72" s="144" t="s">
        <v>288</v>
      </c>
      <c r="C72" s="303">
        <v>13</v>
      </c>
      <c r="D72" s="303"/>
      <c r="E72" s="303">
        <v>85</v>
      </c>
      <c r="F72" s="303">
        <v>131</v>
      </c>
      <c r="G72" s="303">
        <v>0</v>
      </c>
      <c r="H72" s="119">
        <v>0</v>
      </c>
      <c r="I72" s="303">
        <v>229</v>
      </c>
      <c r="J72" s="302"/>
      <c r="K72" s="303"/>
      <c r="L72" s="303"/>
      <c r="M72" s="119"/>
      <c r="N72" s="303"/>
      <c r="O72" s="302"/>
      <c r="P72" s="119"/>
      <c r="Q72" s="173"/>
      <c r="R72" s="119"/>
      <c r="S72" s="303">
        <v>22</v>
      </c>
      <c r="T72" s="117">
        <v>22</v>
      </c>
      <c r="U72" s="312"/>
      <c r="V72" s="117"/>
      <c r="W72" s="296"/>
      <c r="X72" s="296"/>
      <c r="Y72" s="511">
        <v>251</v>
      </c>
    </row>
    <row r="73" spans="1:25" ht="16.5" thickBot="1" x14ac:dyDescent="0.3">
      <c r="A73" s="142"/>
      <c r="B73" s="145" t="s">
        <v>289</v>
      </c>
      <c r="C73" s="724">
        <v>3.3333333333333335</v>
      </c>
      <c r="D73" s="305">
        <v>0</v>
      </c>
      <c r="E73" s="724">
        <v>-0.3359375</v>
      </c>
      <c r="F73" s="305">
        <v>9.166666666666666E-2</v>
      </c>
      <c r="G73" s="305">
        <v>0</v>
      </c>
      <c r="H73" s="122">
        <v>0</v>
      </c>
      <c r="I73" s="305">
        <v>-8.7649402390438252E-2</v>
      </c>
      <c r="J73" s="304">
        <v>0</v>
      </c>
      <c r="K73" s="305">
        <v>0</v>
      </c>
      <c r="L73" s="305">
        <v>0</v>
      </c>
      <c r="M73" s="122">
        <v>0</v>
      </c>
      <c r="N73" s="305">
        <v>0</v>
      </c>
      <c r="O73" s="304">
        <v>0</v>
      </c>
      <c r="P73" s="122">
        <v>0</v>
      </c>
      <c r="Q73" s="253">
        <v>0</v>
      </c>
      <c r="R73" s="122">
        <v>0</v>
      </c>
      <c r="S73" s="305">
        <v>-0.15384615384615385</v>
      </c>
      <c r="T73" s="120">
        <v>-0.15384615384615385</v>
      </c>
      <c r="U73" s="313">
        <v>0</v>
      </c>
      <c r="V73" s="120">
        <v>0</v>
      </c>
      <c r="W73" s="296">
        <v>0</v>
      </c>
      <c r="X73" s="296">
        <v>0</v>
      </c>
      <c r="Y73" s="511">
        <v>-9.3862815884476536E-2</v>
      </c>
    </row>
    <row r="74" spans="1:25" s="306" customFormat="1" ht="15.75" x14ac:dyDescent="0.25">
      <c r="A74" s="142"/>
      <c r="B74" s="143" t="s">
        <v>290</v>
      </c>
      <c r="C74" s="300">
        <v>1112</v>
      </c>
      <c r="D74" s="300"/>
      <c r="E74" s="300">
        <v>2715</v>
      </c>
      <c r="F74" s="300">
        <v>274</v>
      </c>
      <c r="G74" s="300">
        <v>67</v>
      </c>
      <c r="H74" s="134">
        <v>21</v>
      </c>
      <c r="I74" s="300">
        <v>4189</v>
      </c>
      <c r="J74" s="299"/>
      <c r="K74" s="300">
        <v>0</v>
      </c>
      <c r="L74" s="300">
        <v>0</v>
      </c>
      <c r="M74" s="134">
        <v>0</v>
      </c>
      <c r="N74" s="300">
        <v>0</v>
      </c>
      <c r="O74" s="299"/>
      <c r="P74" s="134"/>
      <c r="Q74" s="301"/>
      <c r="R74" s="134"/>
      <c r="S74" s="300">
        <v>141</v>
      </c>
      <c r="T74" s="132">
        <v>141</v>
      </c>
      <c r="U74" s="311"/>
      <c r="V74" s="132"/>
      <c r="W74" s="296"/>
      <c r="X74" s="296"/>
      <c r="Y74" s="306">
        <v>4330</v>
      </c>
    </row>
    <row r="75" spans="1:25" ht="16.5" thickBot="1" x14ac:dyDescent="0.3">
      <c r="A75" s="142"/>
      <c r="B75" s="144" t="s">
        <v>291</v>
      </c>
      <c r="C75" s="303">
        <v>1152</v>
      </c>
      <c r="D75" s="303"/>
      <c r="E75" s="303">
        <v>3205</v>
      </c>
      <c r="F75" s="303">
        <v>270</v>
      </c>
      <c r="G75" s="303">
        <v>48</v>
      </c>
      <c r="H75" s="119">
        <v>37</v>
      </c>
      <c r="I75" s="303">
        <v>4712</v>
      </c>
      <c r="J75" s="302"/>
      <c r="K75" s="303">
        <v>0</v>
      </c>
      <c r="L75" s="303">
        <v>0</v>
      </c>
      <c r="M75" s="119">
        <v>0</v>
      </c>
      <c r="N75" s="303">
        <v>0</v>
      </c>
      <c r="O75" s="302"/>
      <c r="P75" s="119"/>
      <c r="Q75" s="173"/>
      <c r="R75" s="119"/>
      <c r="S75" s="303">
        <v>158</v>
      </c>
      <c r="T75" s="117">
        <v>158</v>
      </c>
      <c r="U75" s="312"/>
      <c r="V75" s="117"/>
      <c r="W75" s="296"/>
      <c r="X75" s="296"/>
      <c r="Y75" s="511">
        <v>4870</v>
      </c>
    </row>
    <row r="76" spans="1:25" ht="16.5" thickBot="1" x14ac:dyDescent="0.3">
      <c r="A76" s="142"/>
      <c r="B76" s="145" t="s">
        <v>292</v>
      </c>
      <c r="C76" s="305">
        <v>3.5971223021582732E-2</v>
      </c>
      <c r="D76" s="305">
        <v>0</v>
      </c>
      <c r="E76" s="724">
        <v>0.18047882136279927</v>
      </c>
      <c r="F76" s="305">
        <v>-1.4598540145985401E-2</v>
      </c>
      <c r="G76" s="305">
        <v>-0.28358208955223879</v>
      </c>
      <c r="H76" s="122">
        <v>0.76190476190476186</v>
      </c>
      <c r="I76" s="305">
        <v>0.12485079971353545</v>
      </c>
      <c r="J76" s="304">
        <v>0</v>
      </c>
      <c r="K76" s="305">
        <v>0</v>
      </c>
      <c r="L76" s="305">
        <v>0</v>
      </c>
      <c r="M76" s="122">
        <v>0</v>
      </c>
      <c r="N76" s="305">
        <v>0</v>
      </c>
      <c r="O76" s="304">
        <v>0</v>
      </c>
      <c r="P76" s="122">
        <v>0</v>
      </c>
      <c r="Q76" s="253">
        <v>0</v>
      </c>
      <c r="R76" s="122">
        <v>0</v>
      </c>
      <c r="S76" s="305">
        <v>0.12056737588652482</v>
      </c>
      <c r="T76" s="120">
        <v>0.12056737588652482</v>
      </c>
      <c r="U76" s="313">
        <v>0</v>
      </c>
      <c r="V76" s="120">
        <v>0</v>
      </c>
      <c r="W76" s="296">
        <v>0</v>
      </c>
      <c r="X76" s="296">
        <v>0</v>
      </c>
      <c r="Y76" s="511">
        <v>0.12471131639722864</v>
      </c>
    </row>
    <row r="77" spans="1:25" s="306" customFormat="1" ht="15.75" x14ac:dyDescent="0.25">
      <c r="A77" s="142"/>
      <c r="B77" s="143" t="s">
        <v>293</v>
      </c>
      <c r="C77" s="300">
        <v>166</v>
      </c>
      <c r="D77" s="300"/>
      <c r="E77" s="300">
        <v>38</v>
      </c>
      <c r="F77" s="300">
        <v>0</v>
      </c>
      <c r="G77" s="300">
        <v>0</v>
      </c>
      <c r="H77" s="134">
        <v>0</v>
      </c>
      <c r="I77" s="300">
        <v>204</v>
      </c>
      <c r="J77" s="299"/>
      <c r="K77" s="300">
        <v>0</v>
      </c>
      <c r="L77" s="300">
        <v>0</v>
      </c>
      <c r="M77" s="134">
        <v>0</v>
      </c>
      <c r="N77" s="300">
        <v>0</v>
      </c>
      <c r="O77" s="299"/>
      <c r="P77" s="134"/>
      <c r="Q77" s="301"/>
      <c r="R77" s="134"/>
      <c r="S77" s="300">
        <v>28</v>
      </c>
      <c r="T77" s="132">
        <v>28</v>
      </c>
      <c r="U77" s="311"/>
      <c r="V77" s="132"/>
      <c r="W77" s="296"/>
      <c r="X77" s="296"/>
      <c r="Y77" s="306">
        <v>232</v>
      </c>
    </row>
    <row r="78" spans="1:25" ht="15.75" x14ac:dyDescent="0.25">
      <c r="A78" s="142"/>
      <c r="B78" s="144" t="s">
        <v>294</v>
      </c>
      <c r="C78" s="303">
        <v>164</v>
      </c>
      <c r="D78" s="303"/>
      <c r="E78" s="303">
        <v>61</v>
      </c>
      <c r="F78" s="303">
        <v>0</v>
      </c>
      <c r="G78" s="303">
        <v>0</v>
      </c>
      <c r="H78" s="119">
        <v>0</v>
      </c>
      <c r="I78" s="303">
        <v>225</v>
      </c>
      <c r="J78" s="302"/>
      <c r="K78" s="303">
        <v>0</v>
      </c>
      <c r="L78" s="303">
        <v>0</v>
      </c>
      <c r="M78" s="119">
        <v>0</v>
      </c>
      <c r="N78" s="303">
        <v>0</v>
      </c>
      <c r="O78" s="302"/>
      <c r="P78" s="119"/>
      <c r="Q78" s="173"/>
      <c r="R78" s="119"/>
      <c r="S78" s="303">
        <v>32</v>
      </c>
      <c r="T78" s="117">
        <v>32</v>
      </c>
      <c r="U78" s="312"/>
      <c r="V78" s="117"/>
      <c r="W78" s="296"/>
      <c r="X78" s="296"/>
      <c r="Y78" s="511">
        <v>257</v>
      </c>
    </row>
    <row r="79" spans="1:25" ht="15.75" x14ac:dyDescent="0.25">
      <c r="A79" s="142"/>
      <c r="B79" s="145" t="s">
        <v>295</v>
      </c>
      <c r="C79" s="305">
        <v>-1.2048192771084338E-2</v>
      </c>
      <c r="D79" s="305">
        <v>0</v>
      </c>
      <c r="E79" s="305">
        <v>0.60526315789473684</v>
      </c>
      <c r="F79" s="305">
        <v>0</v>
      </c>
      <c r="G79" s="305">
        <v>0</v>
      </c>
      <c r="H79" s="122">
        <v>0</v>
      </c>
      <c r="I79" s="305">
        <v>0.10294117647058823</v>
      </c>
      <c r="J79" s="304">
        <v>0</v>
      </c>
      <c r="K79" s="305">
        <v>0</v>
      </c>
      <c r="L79" s="305">
        <v>0</v>
      </c>
      <c r="M79" s="122">
        <v>0</v>
      </c>
      <c r="N79" s="305">
        <v>0</v>
      </c>
      <c r="O79" s="304">
        <v>0</v>
      </c>
      <c r="P79" s="122">
        <v>0</v>
      </c>
      <c r="Q79" s="253">
        <v>0</v>
      </c>
      <c r="R79" s="122">
        <v>0</v>
      </c>
      <c r="S79" s="305">
        <v>0.14285714285714285</v>
      </c>
      <c r="T79" s="120">
        <v>0.14285714285714285</v>
      </c>
      <c r="U79" s="313">
        <v>0</v>
      </c>
      <c r="V79" s="120">
        <v>0</v>
      </c>
      <c r="W79" s="296">
        <v>0</v>
      </c>
      <c r="X79" s="296">
        <v>0</v>
      </c>
      <c r="Y79" s="511">
        <v>0.10775862068965517</v>
      </c>
    </row>
    <row r="80" spans="1:25" s="306" customFormat="1" ht="15.75" x14ac:dyDescent="0.25">
      <c r="A80" s="142"/>
      <c r="B80" s="143" t="s">
        <v>296</v>
      </c>
      <c r="C80" s="300">
        <v>122</v>
      </c>
      <c r="D80" s="300"/>
      <c r="E80" s="300">
        <v>144</v>
      </c>
      <c r="F80" s="300"/>
      <c r="G80" s="300"/>
      <c r="H80" s="134"/>
      <c r="I80" s="300">
        <v>266</v>
      </c>
      <c r="J80" s="299"/>
      <c r="K80" s="300"/>
      <c r="L80" s="300"/>
      <c r="M80" s="134"/>
      <c r="N80" s="300"/>
      <c r="O80" s="299"/>
      <c r="P80" s="134"/>
      <c r="Q80" s="301"/>
      <c r="R80" s="134"/>
      <c r="S80" s="300"/>
      <c r="T80" s="132"/>
      <c r="U80" s="311"/>
      <c r="V80" s="132"/>
      <c r="W80" s="296"/>
      <c r="X80" s="296"/>
      <c r="Y80" s="306">
        <v>266</v>
      </c>
    </row>
    <row r="81" spans="1:25" ht="15.75" x14ac:dyDescent="0.25">
      <c r="A81" s="142"/>
      <c r="B81" s="144" t="s">
        <v>297</v>
      </c>
      <c r="C81" s="303">
        <v>131</v>
      </c>
      <c r="D81" s="303"/>
      <c r="E81" s="303">
        <v>144</v>
      </c>
      <c r="F81" s="303"/>
      <c r="G81" s="303"/>
      <c r="H81" s="119"/>
      <c r="I81" s="303">
        <v>275</v>
      </c>
      <c r="J81" s="302"/>
      <c r="K81" s="303"/>
      <c r="L81" s="303"/>
      <c r="M81" s="119"/>
      <c r="N81" s="303"/>
      <c r="O81" s="302"/>
      <c r="P81" s="119"/>
      <c r="Q81" s="173"/>
      <c r="R81" s="119"/>
      <c r="S81" s="303"/>
      <c r="T81" s="117"/>
      <c r="U81" s="312"/>
      <c r="V81" s="117"/>
      <c r="W81" s="296"/>
      <c r="X81" s="296"/>
      <c r="Y81" s="511">
        <v>275</v>
      </c>
    </row>
    <row r="82" spans="1:25" ht="15.75" x14ac:dyDescent="0.25">
      <c r="A82" s="142"/>
      <c r="B82" s="145" t="s">
        <v>298</v>
      </c>
      <c r="C82" s="305">
        <v>7.3770491803278687E-2</v>
      </c>
      <c r="D82" s="305">
        <v>0</v>
      </c>
      <c r="E82" s="305">
        <v>0</v>
      </c>
      <c r="F82" s="305">
        <v>0</v>
      </c>
      <c r="G82" s="305">
        <v>0</v>
      </c>
      <c r="H82" s="122">
        <v>0</v>
      </c>
      <c r="I82" s="305">
        <v>3.3834586466165412E-2</v>
      </c>
      <c r="J82" s="304">
        <v>0</v>
      </c>
      <c r="K82" s="305">
        <v>0</v>
      </c>
      <c r="L82" s="305">
        <v>0</v>
      </c>
      <c r="M82" s="122">
        <v>0</v>
      </c>
      <c r="N82" s="305">
        <v>0</v>
      </c>
      <c r="O82" s="304">
        <v>0</v>
      </c>
      <c r="P82" s="122">
        <v>0</v>
      </c>
      <c r="Q82" s="253">
        <v>0</v>
      </c>
      <c r="R82" s="122">
        <v>0</v>
      </c>
      <c r="S82" s="305">
        <v>0</v>
      </c>
      <c r="T82" s="120">
        <v>0</v>
      </c>
      <c r="U82" s="313">
        <v>0</v>
      </c>
      <c r="V82" s="120">
        <v>0</v>
      </c>
      <c r="W82" s="296">
        <v>0</v>
      </c>
      <c r="X82" s="296">
        <v>0</v>
      </c>
      <c r="Y82" s="511">
        <v>3.3834586466165412E-2</v>
      </c>
    </row>
    <row r="83" spans="1:25" s="306" customFormat="1" ht="15.75" x14ac:dyDescent="0.25">
      <c r="A83" s="142"/>
      <c r="B83" s="143" t="s">
        <v>299</v>
      </c>
      <c r="C83" s="300"/>
      <c r="D83" s="300"/>
      <c r="E83" s="300"/>
      <c r="F83" s="300"/>
      <c r="G83" s="300"/>
      <c r="H83" s="134"/>
      <c r="I83" s="300"/>
      <c r="J83" s="299"/>
      <c r="K83" s="300"/>
      <c r="L83" s="300"/>
      <c r="M83" s="134"/>
      <c r="N83" s="300"/>
      <c r="O83" s="299"/>
      <c r="P83" s="134"/>
      <c r="Q83" s="301"/>
      <c r="R83" s="134"/>
      <c r="S83" s="300">
        <v>140</v>
      </c>
      <c r="T83" s="132">
        <v>140</v>
      </c>
      <c r="U83" s="311"/>
      <c r="V83" s="132"/>
      <c r="W83" s="296"/>
      <c r="X83" s="296"/>
      <c r="Y83" s="306">
        <v>140</v>
      </c>
    </row>
    <row r="84" spans="1:25" ht="15.75" x14ac:dyDescent="0.25">
      <c r="A84" s="142"/>
      <c r="B84" s="144" t="s">
        <v>300</v>
      </c>
      <c r="C84" s="303"/>
      <c r="D84" s="303"/>
      <c r="E84" s="303"/>
      <c r="F84" s="303"/>
      <c r="G84" s="303"/>
      <c r="H84" s="119"/>
      <c r="I84" s="303"/>
      <c r="J84" s="302"/>
      <c r="K84" s="303"/>
      <c r="L84" s="303"/>
      <c r="M84" s="119"/>
      <c r="N84" s="303"/>
      <c r="O84" s="302"/>
      <c r="P84" s="119"/>
      <c r="Q84" s="173"/>
      <c r="R84" s="119"/>
      <c r="S84" s="303">
        <v>132</v>
      </c>
      <c r="T84" s="117">
        <v>132</v>
      </c>
      <c r="U84" s="312"/>
      <c r="V84" s="117"/>
      <c r="W84" s="296"/>
      <c r="X84" s="296"/>
      <c r="Y84" s="511">
        <v>132</v>
      </c>
    </row>
    <row r="85" spans="1:25" ht="15.75" x14ac:dyDescent="0.25">
      <c r="A85" s="142"/>
      <c r="B85" s="145" t="s">
        <v>301</v>
      </c>
      <c r="C85" s="305">
        <v>0</v>
      </c>
      <c r="D85" s="305">
        <v>0</v>
      </c>
      <c r="E85" s="305">
        <v>0</v>
      </c>
      <c r="F85" s="305">
        <v>0</v>
      </c>
      <c r="G85" s="305">
        <v>0</v>
      </c>
      <c r="H85" s="122">
        <v>0</v>
      </c>
      <c r="I85" s="305">
        <v>0</v>
      </c>
      <c r="J85" s="304">
        <v>0</v>
      </c>
      <c r="K85" s="305">
        <v>0</v>
      </c>
      <c r="L85" s="305">
        <v>0</v>
      </c>
      <c r="M85" s="122">
        <v>0</v>
      </c>
      <c r="N85" s="305">
        <v>0</v>
      </c>
      <c r="O85" s="304">
        <v>0</v>
      </c>
      <c r="P85" s="122">
        <v>0</v>
      </c>
      <c r="Q85" s="253">
        <v>0</v>
      </c>
      <c r="R85" s="122">
        <v>0</v>
      </c>
      <c r="S85" s="305">
        <v>-5.7142857142857141E-2</v>
      </c>
      <c r="T85" s="120">
        <v>-5.7142857142857141E-2</v>
      </c>
      <c r="U85" s="313">
        <v>0</v>
      </c>
      <c r="V85" s="120">
        <v>0</v>
      </c>
      <c r="W85" s="296">
        <v>0</v>
      </c>
      <c r="X85" s="296">
        <v>0</v>
      </c>
      <c r="Y85" s="511">
        <v>-5.7142857142857141E-2</v>
      </c>
    </row>
    <row r="86" spans="1:25" s="306" customFormat="1" ht="15.75" x14ac:dyDescent="0.25">
      <c r="A86" s="142"/>
      <c r="B86" s="143" t="s">
        <v>302</v>
      </c>
      <c r="C86" s="300"/>
      <c r="D86" s="300"/>
      <c r="E86" s="300"/>
      <c r="F86" s="300"/>
      <c r="G86" s="300"/>
      <c r="H86" s="134"/>
      <c r="I86" s="300"/>
      <c r="J86" s="299"/>
      <c r="K86" s="300"/>
      <c r="L86" s="300"/>
      <c r="M86" s="134"/>
      <c r="N86" s="300"/>
      <c r="O86" s="299"/>
      <c r="P86" s="134"/>
      <c r="Q86" s="301"/>
      <c r="R86" s="134"/>
      <c r="S86" s="300"/>
      <c r="T86" s="132"/>
      <c r="U86" s="311"/>
      <c r="V86" s="132"/>
      <c r="W86" s="296"/>
      <c r="X86" s="296"/>
    </row>
    <row r="87" spans="1:25" ht="15.75" x14ac:dyDescent="0.25">
      <c r="A87" s="142"/>
      <c r="B87" s="144" t="s">
        <v>303</v>
      </c>
      <c r="C87" s="303"/>
      <c r="D87" s="303"/>
      <c r="E87" s="303"/>
      <c r="F87" s="303"/>
      <c r="G87" s="303"/>
      <c r="H87" s="119"/>
      <c r="I87" s="303"/>
      <c r="J87" s="302"/>
      <c r="K87" s="303"/>
      <c r="L87" s="303"/>
      <c r="M87" s="119"/>
      <c r="N87" s="303"/>
      <c r="O87" s="302"/>
      <c r="P87" s="119"/>
      <c r="Q87" s="173"/>
      <c r="R87" s="119"/>
      <c r="S87" s="303"/>
      <c r="T87" s="117"/>
      <c r="U87" s="312"/>
      <c r="V87" s="117"/>
      <c r="W87" s="296"/>
      <c r="X87" s="296"/>
    </row>
    <row r="88" spans="1:25" ht="15.75" x14ac:dyDescent="0.25">
      <c r="A88" s="142"/>
      <c r="B88" s="145" t="s">
        <v>304</v>
      </c>
      <c r="C88" s="305">
        <v>0</v>
      </c>
      <c r="D88" s="305">
        <v>0</v>
      </c>
      <c r="E88" s="305">
        <v>0</v>
      </c>
      <c r="F88" s="305">
        <v>0</v>
      </c>
      <c r="G88" s="305">
        <v>0</v>
      </c>
      <c r="H88" s="122">
        <v>0</v>
      </c>
      <c r="I88" s="305">
        <v>0</v>
      </c>
      <c r="J88" s="304">
        <v>0</v>
      </c>
      <c r="K88" s="305">
        <v>0</v>
      </c>
      <c r="L88" s="305">
        <v>0</v>
      </c>
      <c r="M88" s="122">
        <v>0</v>
      </c>
      <c r="N88" s="305">
        <v>0</v>
      </c>
      <c r="O88" s="304">
        <v>0</v>
      </c>
      <c r="P88" s="122">
        <v>0</v>
      </c>
      <c r="Q88" s="253">
        <v>0</v>
      </c>
      <c r="R88" s="122">
        <v>0</v>
      </c>
      <c r="S88" s="305">
        <v>0</v>
      </c>
      <c r="T88" s="120">
        <v>0</v>
      </c>
      <c r="U88" s="313">
        <v>0</v>
      </c>
      <c r="V88" s="120">
        <v>0</v>
      </c>
      <c r="W88" s="296">
        <v>0</v>
      </c>
      <c r="X88" s="296">
        <v>0</v>
      </c>
      <c r="Y88" s="511">
        <v>0</v>
      </c>
    </row>
    <row r="89" spans="1:25" s="306" customFormat="1" ht="15.75" x14ac:dyDescent="0.25">
      <c r="A89" s="142"/>
      <c r="B89" s="143" t="s">
        <v>305</v>
      </c>
      <c r="C89" s="300"/>
      <c r="D89" s="300"/>
      <c r="E89" s="300"/>
      <c r="F89" s="300"/>
      <c r="G89" s="300"/>
      <c r="H89" s="134"/>
      <c r="I89" s="300"/>
      <c r="J89" s="299"/>
      <c r="K89" s="300"/>
      <c r="L89" s="300"/>
      <c r="M89" s="134"/>
      <c r="N89" s="300"/>
      <c r="O89" s="299"/>
      <c r="P89" s="134"/>
      <c r="Q89" s="301"/>
      <c r="R89" s="134"/>
      <c r="S89" s="300">
        <v>112</v>
      </c>
      <c r="T89" s="132">
        <v>112</v>
      </c>
      <c r="U89" s="311"/>
      <c r="V89" s="132"/>
      <c r="W89" s="296"/>
      <c r="X89" s="296"/>
      <c r="Y89" s="306">
        <v>112</v>
      </c>
    </row>
    <row r="90" spans="1:25" ht="15.75" x14ac:dyDescent="0.25">
      <c r="A90" s="142"/>
      <c r="B90" s="144" t="s">
        <v>306</v>
      </c>
      <c r="C90" s="303"/>
      <c r="D90" s="303"/>
      <c r="E90" s="303"/>
      <c r="F90" s="303"/>
      <c r="G90" s="303"/>
      <c r="H90" s="119"/>
      <c r="I90" s="303"/>
      <c r="J90" s="302"/>
      <c r="K90" s="303"/>
      <c r="L90" s="303"/>
      <c r="M90" s="119"/>
      <c r="N90" s="303"/>
      <c r="O90" s="302"/>
      <c r="P90" s="119"/>
      <c r="Q90" s="173"/>
      <c r="R90" s="119"/>
      <c r="S90" s="303">
        <v>113</v>
      </c>
      <c r="T90" s="117">
        <v>113</v>
      </c>
      <c r="U90" s="312"/>
      <c r="V90" s="117"/>
      <c r="W90" s="296"/>
      <c r="X90" s="296"/>
      <c r="Y90" s="511">
        <v>113</v>
      </c>
    </row>
    <row r="91" spans="1:25" ht="15.75" x14ac:dyDescent="0.25">
      <c r="A91" s="142"/>
      <c r="B91" s="145" t="s">
        <v>307</v>
      </c>
      <c r="C91" s="305">
        <v>0</v>
      </c>
      <c r="D91" s="305">
        <v>0</v>
      </c>
      <c r="E91" s="305">
        <v>0</v>
      </c>
      <c r="F91" s="305">
        <v>0</v>
      </c>
      <c r="G91" s="305">
        <v>0</v>
      </c>
      <c r="H91" s="122">
        <v>0</v>
      </c>
      <c r="I91" s="305">
        <v>0</v>
      </c>
      <c r="J91" s="304">
        <v>0</v>
      </c>
      <c r="K91" s="305">
        <v>0</v>
      </c>
      <c r="L91" s="305">
        <v>0</v>
      </c>
      <c r="M91" s="122">
        <v>0</v>
      </c>
      <c r="N91" s="305">
        <v>0</v>
      </c>
      <c r="O91" s="304">
        <v>0</v>
      </c>
      <c r="P91" s="122">
        <v>0</v>
      </c>
      <c r="Q91" s="253">
        <v>0</v>
      </c>
      <c r="R91" s="122">
        <v>0</v>
      </c>
      <c r="S91" s="305">
        <v>8.9285714285714281E-3</v>
      </c>
      <c r="T91" s="120">
        <v>8.9285714285714281E-3</v>
      </c>
      <c r="U91" s="313">
        <v>0</v>
      </c>
      <c r="V91" s="120">
        <v>0</v>
      </c>
      <c r="W91" s="296">
        <v>0</v>
      </c>
      <c r="X91" s="296">
        <v>0</v>
      </c>
      <c r="Y91" s="511">
        <v>8.9285714285714281E-3</v>
      </c>
    </row>
    <row r="92" spans="1:25" s="306" customFormat="1" ht="15.75" x14ac:dyDescent="0.25">
      <c r="A92" s="142"/>
      <c r="B92" s="143" t="s">
        <v>308</v>
      </c>
      <c r="C92" s="300"/>
      <c r="D92" s="300"/>
      <c r="E92" s="300"/>
      <c r="F92" s="300"/>
      <c r="G92" s="300"/>
      <c r="H92" s="134"/>
      <c r="I92" s="300"/>
      <c r="J92" s="299"/>
      <c r="K92" s="300"/>
      <c r="L92" s="300"/>
      <c r="M92" s="134"/>
      <c r="N92" s="300"/>
      <c r="O92" s="299"/>
      <c r="P92" s="134"/>
      <c r="Q92" s="301"/>
      <c r="R92" s="134"/>
      <c r="S92" s="300"/>
      <c r="T92" s="132"/>
      <c r="U92" s="311"/>
      <c r="V92" s="132"/>
      <c r="W92" s="296"/>
      <c r="X92" s="296"/>
    </row>
    <row r="93" spans="1:25" ht="15.75" x14ac:dyDescent="0.25">
      <c r="A93" s="142"/>
      <c r="B93" s="144" t="s">
        <v>309</v>
      </c>
      <c r="C93" s="303"/>
      <c r="D93" s="303"/>
      <c r="E93" s="303"/>
      <c r="F93" s="303"/>
      <c r="G93" s="303"/>
      <c r="H93" s="119"/>
      <c r="I93" s="303"/>
      <c r="J93" s="302"/>
      <c r="K93" s="303"/>
      <c r="L93" s="303"/>
      <c r="M93" s="119"/>
      <c r="N93" s="303"/>
      <c r="O93" s="302"/>
      <c r="P93" s="119"/>
      <c r="Q93" s="173"/>
      <c r="R93" s="119"/>
      <c r="S93" s="303"/>
      <c r="T93" s="117"/>
      <c r="U93" s="312"/>
      <c r="V93" s="117"/>
      <c r="W93" s="296"/>
      <c r="X93" s="296"/>
    </row>
    <row r="94" spans="1:25" ht="15.75" x14ac:dyDescent="0.25">
      <c r="A94" s="142"/>
      <c r="B94" s="145" t="s">
        <v>310</v>
      </c>
      <c r="C94" s="305">
        <v>0</v>
      </c>
      <c r="D94" s="305">
        <v>0</v>
      </c>
      <c r="E94" s="305">
        <v>0</v>
      </c>
      <c r="F94" s="305">
        <v>0</v>
      </c>
      <c r="G94" s="305">
        <v>0</v>
      </c>
      <c r="H94" s="122">
        <v>0</v>
      </c>
      <c r="I94" s="305">
        <v>0</v>
      </c>
      <c r="J94" s="304">
        <v>0</v>
      </c>
      <c r="K94" s="305">
        <v>0</v>
      </c>
      <c r="L94" s="305">
        <v>0</v>
      </c>
      <c r="M94" s="122">
        <v>0</v>
      </c>
      <c r="N94" s="305">
        <v>0</v>
      </c>
      <c r="O94" s="304">
        <v>0</v>
      </c>
      <c r="P94" s="122">
        <v>0</v>
      </c>
      <c r="Q94" s="253">
        <v>0</v>
      </c>
      <c r="R94" s="122">
        <v>0</v>
      </c>
      <c r="S94" s="305">
        <v>0</v>
      </c>
      <c r="T94" s="120">
        <v>0</v>
      </c>
      <c r="U94" s="313">
        <v>0</v>
      </c>
      <c r="V94" s="120">
        <v>0</v>
      </c>
      <c r="W94" s="296">
        <v>0</v>
      </c>
      <c r="X94" s="296">
        <v>0</v>
      </c>
      <c r="Y94" s="511">
        <v>0</v>
      </c>
    </row>
    <row r="95" spans="1:25" s="306" customFormat="1" ht="15.75" x14ac:dyDescent="0.25">
      <c r="A95" s="142"/>
      <c r="B95" s="143" t="s">
        <v>311</v>
      </c>
      <c r="C95" s="300"/>
      <c r="D95" s="300"/>
      <c r="E95" s="300"/>
      <c r="F95" s="300"/>
      <c r="G95" s="300"/>
      <c r="H95" s="134"/>
      <c r="I95" s="300"/>
      <c r="J95" s="299"/>
      <c r="K95" s="300"/>
      <c r="L95" s="300"/>
      <c r="M95" s="134"/>
      <c r="N95" s="300"/>
      <c r="O95" s="299"/>
      <c r="P95" s="134"/>
      <c r="Q95" s="301"/>
      <c r="R95" s="134"/>
      <c r="S95" s="300"/>
      <c r="T95" s="132"/>
      <c r="U95" s="311"/>
      <c r="V95" s="132"/>
      <c r="W95" s="296"/>
      <c r="X95" s="296"/>
    </row>
    <row r="96" spans="1:25" ht="15.75" x14ac:dyDescent="0.25">
      <c r="A96" s="142"/>
      <c r="B96" s="144" t="s">
        <v>312</v>
      </c>
      <c r="C96" s="303"/>
      <c r="D96" s="303"/>
      <c r="E96" s="303"/>
      <c r="F96" s="303"/>
      <c r="G96" s="303"/>
      <c r="H96" s="119"/>
      <c r="I96" s="303"/>
      <c r="J96" s="302"/>
      <c r="K96" s="303"/>
      <c r="L96" s="303"/>
      <c r="M96" s="119"/>
      <c r="N96" s="303"/>
      <c r="O96" s="302"/>
      <c r="P96" s="119"/>
      <c r="Q96" s="173"/>
      <c r="R96" s="119"/>
      <c r="S96" s="303"/>
      <c r="T96" s="117"/>
      <c r="U96" s="312"/>
      <c r="V96" s="117"/>
      <c r="W96" s="296"/>
      <c r="X96" s="296"/>
    </row>
    <row r="97" spans="1:25" ht="15.75" x14ac:dyDescent="0.25">
      <c r="A97" s="142"/>
      <c r="B97" s="145" t="s">
        <v>313</v>
      </c>
      <c r="C97" s="305">
        <v>0</v>
      </c>
      <c r="D97" s="305">
        <v>0</v>
      </c>
      <c r="E97" s="305">
        <v>0</v>
      </c>
      <c r="F97" s="305">
        <v>0</v>
      </c>
      <c r="G97" s="305">
        <v>0</v>
      </c>
      <c r="H97" s="122">
        <v>0</v>
      </c>
      <c r="I97" s="305">
        <v>0</v>
      </c>
      <c r="J97" s="304">
        <v>0</v>
      </c>
      <c r="K97" s="305">
        <v>0</v>
      </c>
      <c r="L97" s="305">
        <v>0</v>
      </c>
      <c r="M97" s="122">
        <v>0</v>
      </c>
      <c r="N97" s="305">
        <v>0</v>
      </c>
      <c r="O97" s="304">
        <v>0</v>
      </c>
      <c r="P97" s="122">
        <v>0</v>
      </c>
      <c r="Q97" s="253">
        <v>0</v>
      </c>
      <c r="R97" s="122">
        <v>0</v>
      </c>
      <c r="S97" s="305">
        <v>0</v>
      </c>
      <c r="T97" s="120">
        <v>0</v>
      </c>
      <c r="U97" s="313">
        <v>0</v>
      </c>
      <c r="V97" s="120">
        <v>0</v>
      </c>
      <c r="W97" s="296">
        <v>0</v>
      </c>
      <c r="X97" s="296">
        <v>0</v>
      </c>
      <c r="Y97" s="511">
        <v>0</v>
      </c>
    </row>
    <row r="98" spans="1:25" s="306" customFormat="1" ht="15.75" x14ac:dyDescent="0.25">
      <c r="A98" s="142"/>
      <c r="B98" s="143" t="s">
        <v>314</v>
      </c>
      <c r="C98" s="300"/>
      <c r="D98" s="300"/>
      <c r="E98" s="300"/>
      <c r="F98" s="300"/>
      <c r="G98" s="300"/>
      <c r="H98" s="134"/>
      <c r="I98" s="300"/>
      <c r="J98" s="299"/>
      <c r="K98" s="300"/>
      <c r="L98" s="300"/>
      <c r="M98" s="134"/>
      <c r="N98" s="300"/>
      <c r="O98" s="299"/>
      <c r="P98" s="134"/>
      <c r="Q98" s="301"/>
      <c r="R98" s="134"/>
      <c r="S98" s="300"/>
      <c r="T98" s="132"/>
      <c r="U98" s="311"/>
      <c r="V98" s="132"/>
      <c r="W98" s="296"/>
      <c r="X98" s="296"/>
    </row>
    <row r="99" spans="1:25" ht="15.75" x14ac:dyDescent="0.25">
      <c r="A99" s="142"/>
      <c r="B99" s="144" t="s">
        <v>315</v>
      </c>
      <c r="C99" s="303"/>
      <c r="D99" s="303"/>
      <c r="E99" s="303"/>
      <c r="F99" s="303"/>
      <c r="G99" s="303"/>
      <c r="H99" s="119"/>
      <c r="I99" s="303"/>
      <c r="J99" s="302"/>
      <c r="K99" s="303"/>
      <c r="L99" s="303"/>
      <c r="M99" s="119"/>
      <c r="N99" s="303"/>
      <c r="O99" s="302"/>
      <c r="P99" s="119"/>
      <c r="Q99" s="173"/>
      <c r="R99" s="119"/>
      <c r="S99" s="303"/>
      <c r="T99" s="117"/>
      <c r="U99" s="312"/>
      <c r="V99" s="117"/>
      <c r="W99" s="296"/>
      <c r="X99" s="296"/>
    </row>
    <row r="100" spans="1:25" ht="15.75" x14ac:dyDescent="0.25">
      <c r="A100" s="142"/>
      <c r="B100" s="145" t="s">
        <v>316</v>
      </c>
      <c r="C100" s="305">
        <v>0</v>
      </c>
      <c r="D100" s="305">
        <v>0</v>
      </c>
      <c r="E100" s="305">
        <v>0</v>
      </c>
      <c r="F100" s="305">
        <v>0</v>
      </c>
      <c r="G100" s="305">
        <v>0</v>
      </c>
      <c r="H100" s="122">
        <v>0</v>
      </c>
      <c r="I100" s="305">
        <v>0</v>
      </c>
      <c r="J100" s="304">
        <v>0</v>
      </c>
      <c r="K100" s="305">
        <v>0</v>
      </c>
      <c r="L100" s="305">
        <v>0</v>
      </c>
      <c r="M100" s="122">
        <v>0</v>
      </c>
      <c r="N100" s="305">
        <v>0</v>
      </c>
      <c r="O100" s="304">
        <v>0</v>
      </c>
      <c r="P100" s="122">
        <v>0</v>
      </c>
      <c r="Q100" s="253">
        <v>0</v>
      </c>
      <c r="R100" s="122">
        <v>0</v>
      </c>
      <c r="S100" s="305">
        <v>0</v>
      </c>
      <c r="T100" s="120">
        <v>0</v>
      </c>
      <c r="U100" s="313">
        <v>0</v>
      </c>
      <c r="V100" s="120">
        <v>0</v>
      </c>
      <c r="W100" s="296">
        <v>0</v>
      </c>
      <c r="X100" s="296">
        <v>0</v>
      </c>
      <c r="Y100" s="511">
        <v>0</v>
      </c>
    </row>
    <row r="101" spans="1:25" s="306" customFormat="1" ht="15.75" x14ac:dyDescent="0.25">
      <c r="A101" s="142"/>
      <c r="B101" s="143" t="s">
        <v>317</v>
      </c>
      <c r="C101" s="300"/>
      <c r="D101" s="300"/>
      <c r="E101" s="300"/>
      <c r="F101" s="300"/>
      <c r="G101" s="300"/>
      <c r="H101" s="134"/>
      <c r="I101" s="300"/>
      <c r="J101" s="299"/>
      <c r="K101" s="300"/>
      <c r="L101" s="300"/>
      <c r="M101" s="134"/>
      <c r="N101" s="300"/>
      <c r="O101" s="299"/>
      <c r="P101" s="134"/>
      <c r="Q101" s="301"/>
      <c r="R101" s="134"/>
      <c r="S101" s="300"/>
      <c r="T101" s="132"/>
      <c r="U101" s="311"/>
      <c r="V101" s="132"/>
      <c r="W101" s="296"/>
      <c r="X101" s="296"/>
    </row>
    <row r="102" spans="1:25" ht="15.75" x14ac:dyDescent="0.25">
      <c r="A102" s="142"/>
      <c r="B102" s="144" t="s">
        <v>318</v>
      </c>
      <c r="C102" s="303"/>
      <c r="D102" s="303"/>
      <c r="E102" s="303"/>
      <c r="F102" s="303"/>
      <c r="G102" s="303"/>
      <c r="H102" s="119"/>
      <c r="I102" s="303"/>
      <c r="J102" s="302"/>
      <c r="K102" s="303"/>
      <c r="L102" s="303"/>
      <c r="M102" s="119"/>
      <c r="N102" s="303"/>
      <c r="O102" s="302"/>
      <c r="P102" s="119"/>
      <c r="Q102" s="173"/>
      <c r="R102" s="119"/>
      <c r="S102" s="303"/>
      <c r="T102" s="117"/>
      <c r="U102" s="312"/>
      <c r="V102" s="117"/>
      <c r="W102" s="296"/>
      <c r="X102" s="296"/>
    </row>
    <row r="103" spans="1:25" ht="15.75" x14ac:dyDescent="0.25">
      <c r="A103" s="142"/>
      <c r="B103" s="145" t="s">
        <v>319</v>
      </c>
      <c r="C103" s="305">
        <v>0</v>
      </c>
      <c r="D103" s="305">
        <v>0</v>
      </c>
      <c r="E103" s="305">
        <v>0</v>
      </c>
      <c r="F103" s="305">
        <v>0</v>
      </c>
      <c r="G103" s="305">
        <v>0</v>
      </c>
      <c r="H103" s="122">
        <v>0</v>
      </c>
      <c r="I103" s="305">
        <v>0</v>
      </c>
      <c r="J103" s="304">
        <v>0</v>
      </c>
      <c r="K103" s="305">
        <v>0</v>
      </c>
      <c r="L103" s="305">
        <v>0</v>
      </c>
      <c r="M103" s="122">
        <v>0</v>
      </c>
      <c r="N103" s="305">
        <v>0</v>
      </c>
      <c r="O103" s="304">
        <v>0</v>
      </c>
      <c r="P103" s="122">
        <v>0</v>
      </c>
      <c r="Q103" s="253">
        <v>0</v>
      </c>
      <c r="R103" s="122">
        <v>0</v>
      </c>
      <c r="S103" s="305">
        <v>0</v>
      </c>
      <c r="T103" s="120">
        <v>0</v>
      </c>
      <c r="U103" s="313">
        <v>0</v>
      </c>
      <c r="V103" s="120">
        <v>0</v>
      </c>
      <c r="W103" s="296">
        <v>0</v>
      </c>
      <c r="X103" s="296">
        <v>0</v>
      </c>
      <c r="Y103" s="511">
        <v>0</v>
      </c>
    </row>
    <row r="104" spans="1:25" s="306" customFormat="1" ht="15.75" x14ac:dyDescent="0.25">
      <c r="A104" s="142"/>
      <c r="B104" s="143" t="s">
        <v>320</v>
      </c>
      <c r="C104" s="300"/>
      <c r="D104" s="300"/>
      <c r="E104" s="300"/>
      <c r="F104" s="300"/>
      <c r="G104" s="300"/>
      <c r="H104" s="134"/>
      <c r="I104" s="300"/>
      <c r="J104" s="299"/>
      <c r="K104" s="300"/>
      <c r="L104" s="300"/>
      <c r="M104" s="134"/>
      <c r="N104" s="300"/>
      <c r="O104" s="299"/>
      <c r="P104" s="134"/>
      <c r="Q104" s="301"/>
      <c r="R104" s="134"/>
      <c r="S104" s="300"/>
      <c r="T104" s="132"/>
      <c r="U104" s="311"/>
      <c r="V104" s="132"/>
      <c r="W104" s="296"/>
      <c r="X104" s="296"/>
    </row>
    <row r="105" spans="1:25" ht="15.75" x14ac:dyDescent="0.25">
      <c r="A105" s="142"/>
      <c r="B105" s="144" t="s">
        <v>321</v>
      </c>
      <c r="C105" s="303"/>
      <c r="D105" s="303"/>
      <c r="E105" s="303"/>
      <c r="F105" s="303"/>
      <c r="G105" s="303"/>
      <c r="H105" s="119"/>
      <c r="I105" s="303"/>
      <c r="J105" s="302"/>
      <c r="K105" s="303"/>
      <c r="L105" s="303"/>
      <c r="M105" s="119"/>
      <c r="N105" s="303"/>
      <c r="O105" s="302"/>
      <c r="P105" s="119"/>
      <c r="Q105" s="173"/>
      <c r="R105" s="119"/>
      <c r="S105" s="303"/>
      <c r="T105" s="117"/>
      <c r="U105" s="312"/>
      <c r="V105" s="117"/>
      <c r="W105" s="296"/>
      <c r="X105" s="296"/>
    </row>
    <row r="106" spans="1:25" ht="15.75" x14ac:dyDescent="0.25">
      <c r="A106" s="142"/>
      <c r="B106" s="145" t="s">
        <v>322</v>
      </c>
      <c r="C106" s="305">
        <v>0</v>
      </c>
      <c r="D106" s="305">
        <v>0</v>
      </c>
      <c r="E106" s="305">
        <v>0</v>
      </c>
      <c r="F106" s="305">
        <v>0</v>
      </c>
      <c r="G106" s="305">
        <v>0</v>
      </c>
      <c r="H106" s="122">
        <v>0</v>
      </c>
      <c r="I106" s="305">
        <v>0</v>
      </c>
      <c r="J106" s="304">
        <v>0</v>
      </c>
      <c r="K106" s="305">
        <v>0</v>
      </c>
      <c r="L106" s="305">
        <v>0</v>
      </c>
      <c r="M106" s="122">
        <v>0</v>
      </c>
      <c r="N106" s="305">
        <v>0</v>
      </c>
      <c r="O106" s="304">
        <v>0</v>
      </c>
      <c r="P106" s="122">
        <v>0</v>
      </c>
      <c r="Q106" s="253">
        <v>0</v>
      </c>
      <c r="R106" s="122">
        <v>0</v>
      </c>
      <c r="S106" s="305">
        <v>0</v>
      </c>
      <c r="T106" s="120">
        <v>0</v>
      </c>
      <c r="U106" s="313">
        <v>0</v>
      </c>
      <c r="V106" s="120">
        <v>0</v>
      </c>
      <c r="W106" s="296">
        <v>0</v>
      </c>
      <c r="X106" s="296">
        <v>0</v>
      </c>
      <c r="Y106" s="511">
        <v>0</v>
      </c>
    </row>
    <row r="107" spans="1:25" s="306" customFormat="1" ht="15.75" x14ac:dyDescent="0.25">
      <c r="A107" s="142"/>
      <c r="B107" s="143" t="s">
        <v>404</v>
      </c>
      <c r="C107" s="300"/>
      <c r="D107" s="300"/>
      <c r="E107" s="300">
        <v>55</v>
      </c>
      <c r="F107" s="300"/>
      <c r="G107" s="300"/>
      <c r="H107" s="134"/>
      <c r="I107" s="300">
        <v>55</v>
      </c>
      <c r="J107" s="299"/>
      <c r="K107" s="300"/>
      <c r="L107" s="300"/>
      <c r="M107" s="134"/>
      <c r="N107" s="300"/>
      <c r="O107" s="299"/>
      <c r="P107" s="134"/>
      <c r="Q107" s="301"/>
      <c r="R107" s="134"/>
      <c r="S107" s="300"/>
      <c r="T107" s="132"/>
      <c r="U107" s="311"/>
      <c r="V107" s="132"/>
      <c r="W107" s="296"/>
      <c r="X107" s="296"/>
      <c r="Y107" s="306">
        <v>55</v>
      </c>
    </row>
    <row r="108" spans="1:25" ht="16.5" thickBot="1" x14ac:dyDescent="0.3">
      <c r="A108" s="142"/>
      <c r="B108" s="144" t="s">
        <v>406</v>
      </c>
      <c r="C108" s="303"/>
      <c r="D108" s="303"/>
      <c r="E108" s="303">
        <v>78</v>
      </c>
      <c r="F108" s="303"/>
      <c r="G108" s="303"/>
      <c r="H108" s="119"/>
      <c r="I108" s="303">
        <v>78</v>
      </c>
      <c r="J108" s="302"/>
      <c r="K108" s="303"/>
      <c r="L108" s="303"/>
      <c r="M108" s="119"/>
      <c r="N108" s="303"/>
      <c r="O108" s="302"/>
      <c r="P108" s="119"/>
      <c r="Q108" s="173"/>
      <c r="R108" s="119"/>
      <c r="S108" s="303"/>
      <c r="T108" s="117"/>
      <c r="U108" s="312"/>
      <c r="V108" s="117"/>
      <c r="W108" s="296"/>
      <c r="X108" s="296"/>
      <c r="Y108" s="511">
        <v>78</v>
      </c>
    </row>
    <row r="109" spans="1:25" ht="16.5" thickBot="1" x14ac:dyDescent="0.3">
      <c r="A109" s="142"/>
      <c r="B109" s="145" t="s">
        <v>474</v>
      </c>
      <c r="C109" s="305">
        <v>0</v>
      </c>
      <c r="D109" s="305">
        <v>0</v>
      </c>
      <c r="E109" s="724">
        <v>0.41818181818181815</v>
      </c>
      <c r="F109" s="305">
        <v>0</v>
      </c>
      <c r="G109" s="305">
        <v>0</v>
      </c>
      <c r="H109" s="122">
        <v>0</v>
      </c>
      <c r="I109" s="305">
        <v>0.41818181818181815</v>
      </c>
      <c r="J109" s="304">
        <v>0</v>
      </c>
      <c r="K109" s="305">
        <v>0</v>
      </c>
      <c r="L109" s="305">
        <v>0</v>
      </c>
      <c r="M109" s="122">
        <v>0</v>
      </c>
      <c r="N109" s="305">
        <v>0</v>
      </c>
      <c r="O109" s="304">
        <v>0</v>
      </c>
      <c r="P109" s="122">
        <v>0</v>
      </c>
      <c r="Q109" s="253">
        <v>0</v>
      </c>
      <c r="R109" s="122">
        <v>0</v>
      </c>
      <c r="S109" s="305">
        <v>0</v>
      </c>
      <c r="T109" s="120">
        <v>0</v>
      </c>
      <c r="U109" s="313">
        <v>0</v>
      </c>
      <c r="V109" s="120">
        <v>0</v>
      </c>
      <c r="W109" s="296">
        <v>0</v>
      </c>
      <c r="X109" s="296">
        <v>0</v>
      </c>
      <c r="Y109" s="511">
        <v>0.41818181818181815</v>
      </c>
    </row>
    <row r="110" spans="1:25" s="306" customFormat="1" ht="15.75" x14ac:dyDescent="0.25">
      <c r="A110" s="142"/>
      <c r="B110" s="143" t="s">
        <v>476</v>
      </c>
      <c r="C110" s="300"/>
      <c r="D110" s="300"/>
      <c r="E110" s="300"/>
      <c r="F110" s="300"/>
      <c r="G110" s="300"/>
      <c r="H110" s="134"/>
      <c r="I110" s="300"/>
      <c r="J110" s="299"/>
      <c r="K110" s="300"/>
      <c r="L110" s="300"/>
      <c r="M110" s="134"/>
      <c r="N110" s="300"/>
      <c r="O110" s="299"/>
      <c r="P110" s="134"/>
      <c r="Q110" s="301"/>
      <c r="R110" s="134"/>
      <c r="S110" s="300"/>
      <c r="T110" s="132"/>
      <c r="U110" s="311"/>
      <c r="V110" s="132"/>
      <c r="W110" s="296"/>
      <c r="X110" s="296"/>
    </row>
    <row r="111" spans="1:25" ht="15.75" x14ac:dyDescent="0.25">
      <c r="A111" s="294"/>
      <c r="B111" s="144" t="s">
        <v>472</v>
      </c>
      <c r="C111" s="303"/>
      <c r="D111" s="303"/>
      <c r="E111" s="303"/>
      <c r="F111" s="303"/>
      <c r="G111" s="303"/>
      <c r="H111" s="119"/>
      <c r="I111" s="303"/>
      <c r="J111" s="302"/>
      <c r="K111" s="303"/>
      <c r="L111" s="303"/>
      <c r="M111" s="119"/>
      <c r="N111" s="303"/>
      <c r="O111" s="302"/>
      <c r="P111" s="119"/>
      <c r="Q111" s="173"/>
      <c r="R111" s="119"/>
      <c r="S111" s="303"/>
      <c r="T111" s="117"/>
      <c r="U111" s="312"/>
      <c r="V111" s="117"/>
      <c r="W111" s="296"/>
      <c r="X111" s="296"/>
    </row>
    <row r="112" spans="1:25" ht="15.75" x14ac:dyDescent="0.25">
      <c r="A112" s="141" t="s">
        <v>1087</v>
      </c>
      <c r="B112" s="143" t="s">
        <v>275</v>
      </c>
      <c r="C112" s="300"/>
      <c r="D112" s="300"/>
      <c r="E112" s="300"/>
      <c r="F112" s="300"/>
      <c r="G112" s="300"/>
      <c r="H112" s="134"/>
      <c r="I112" s="300"/>
      <c r="J112" s="299"/>
      <c r="K112" s="300">
        <v>117</v>
      </c>
      <c r="L112" s="300">
        <v>619</v>
      </c>
      <c r="M112" s="134"/>
      <c r="N112" s="300">
        <v>736</v>
      </c>
      <c r="O112" s="299"/>
      <c r="P112" s="134"/>
      <c r="Q112" s="301"/>
      <c r="R112" s="134"/>
      <c r="S112" s="300"/>
      <c r="T112" s="132"/>
      <c r="U112" s="311"/>
      <c r="V112" s="132"/>
      <c r="W112" s="296"/>
      <c r="X112" s="296"/>
      <c r="Y112" s="511">
        <v>736</v>
      </c>
    </row>
    <row r="113" spans="1:25" s="306" customFormat="1" ht="16.5" thickBot="1" x14ac:dyDescent="0.3">
      <c r="A113" s="142"/>
      <c r="B113" s="144" t="s">
        <v>276</v>
      </c>
      <c r="C113" s="303"/>
      <c r="D113" s="303"/>
      <c r="E113" s="303"/>
      <c r="F113" s="303"/>
      <c r="G113" s="303"/>
      <c r="H113" s="119"/>
      <c r="I113" s="303"/>
      <c r="J113" s="302"/>
      <c r="K113" s="303">
        <v>72</v>
      </c>
      <c r="L113" s="303">
        <v>343</v>
      </c>
      <c r="M113" s="119"/>
      <c r="N113" s="303">
        <v>415</v>
      </c>
      <c r="O113" s="302"/>
      <c r="P113" s="119"/>
      <c r="Q113" s="173"/>
      <c r="R113" s="119"/>
      <c r="S113" s="303"/>
      <c r="T113" s="117"/>
      <c r="U113" s="312"/>
      <c r="V113" s="117"/>
      <c r="W113" s="296"/>
      <c r="X113" s="296"/>
      <c r="Y113" s="306">
        <v>415</v>
      </c>
    </row>
    <row r="114" spans="1:25" ht="16.5" thickBot="1" x14ac:dyDescent="0.3">
      <c r="A114" s="142"/>
      <c r="B114" s="145" t="s">
        <v>277</v>
      </c>
      <c r="C114" s="305">
        <v>0</v>
      </c>
      <c r="D114" s="305">
        <v>0</v>
      </c>
      <c r="E114" s="305">
        <v>0</v>
      </c>
      <c r="F114" s="305">
        <v>0</v>
      </c>
      <c r="G114" s="305">
        <v>0</v>
      </c>
      <c r="H114" s="122">
        <v>0</v>
      </c>
      <c r="I114" s="305">
        <v>0</v>
      </c>
      <c r="J114" s="304">
        <v>0</v>
      </c>
      <c r="K114" s="724">
        <v>-0.38461538461538464</v>
      </c>
      <c r="L114" s="724">
        <v>-0.44588045234248791</v>
      </c>
      <c r="M114" s="122">
        <v>0</v>
      </c>
      <c r="N114" s="305">
        <v>-0.43614130434782611</v>
      </c>
      <c r="O114" s="304">
        <v>0</v>
      </c>
      <c r="P114" s="122">
        <v>0</v>
      </c>
      <c r="Q114" s="253">
        <v>0</v>
      </c>
      <c r="R114" s="122">
        <v>0</v>
      </c>
      <c r="S114" s="305">
        <v>0</v>
      </c>
      <c r="T114" s="120">
        <v>0</v>
      </c>
      <c r="U114" s="313">
        <v>0</v>
      </c>
      <c r="V114" s="120">
        <v>0</v>
      </c>
      <c r="W114" s="296">
        <v>0</v>
      </c>
      <c r="X114" s="296">
        <v>0</v>
      </c>
      <c r="Y114" s="511">
        <v>-0.43614130434782611</v>
      </c>
    </row>
    <row r="115" spans="1:25" ht="15.75" x14ac:dyDescent="0.25">
      <c r="A115" s="142"/>
      <c r="B115" s="143" t="s">
        <v>278</v>
      </c>
      <c r="C115" s="300"/>
      <c r="D115" s="300"/>
      <c r="E115" s="300"/>
      <c r="F115" s="300"/>
      <c r="G115" s="300"/>
      <c r="H115" s="134"/>
      <c r="I115" s="300"/>
      <c r="J115" s="299"/>
      <c r="K115" s="300"/>
      <c r="L115" s="300"/>
      <c r="M115" s="134"/>
      <c r="N115" s="300"/>
      <c r="O115" s="299"/>
      <c r="P115" s="134"/>
      <c r="Q115" s="301"/>
      <c r="R115" s="134"/>
      <c r="S115" s="300"/>
      <c r="T115" s="132"/>
      <c r="U115" s="311"/>
      <c r="V115" s="132"/>
      <c r="W115" s="296"/>
      <c r="X115" s="296"/>
    </row>
    <row r="116" spans="1:25" s="306" customFormat="1" ht="15.75" x14ac:dyDescent="0.25">
      <c r="A116" s="142"/>
      <c r="B116" s="144" t="s">
        <v>279</v>
      </c>
      <c r="C116" s="303"/>
      <c r="D116" s="303"/>
      <c r="E116" s="303"/>
      <c r="F116" s="303"/>
      <c r="G116" s="303"/>
      <c r="H116" s="119"/>
      <c r="I116" s="303"/>
      <c r="J116" s="302"/>
      <c r="K116" s="303"/>
      <c r="L116" s="303"/>
      <c r="M116" s="119"/>
      <c r="N116" s="303"/>
      <c r="O116" s="302"/>
      <c r="P116" s="119"/>
      <c r="Q116" s="173"/>
      <c r="R116" s="119"/>
      <c r="S116" s="303"/>
      <c r="T116" s="117"/>
      <c r="U116" s="312"/>
      <c r="V116" s="117"/>
      <c r="W116" s="296"/>
      <c r="X116" s="296"/>
    </row>
    <row r="117" spans="1:25" ht="15.75" x14ac:dyDescent="0.25">
      <c r="A117" s="142"/>
      <c r="B117" s="145" t="s">
        <v>280</v>
      </c>
      <c r="C117" s="305">
        <v>0</v>
      </c>
      <c r="D117" s="305">
        <v>0</v>
      </c>
      <c r="E117" s="305">
        <v>0</v>
      </c>
      <c r="F117" s="305">
        <v>0</v>
      </c>
      <c r="G117" s="305">
        <v>0</v>
      </c>
      <c r="H117" s="122">
        <v>0</v>
      </c>
      <c r="I117" s="305">
        <v>0</v>
      </c>
      <c r="J117" s="304">
        <v>0</v>
      </c>
      <c r="K117" s="305">
        <v>0</v>
      </c>
      <c r="L117" s="305">
        <v>0</v>
      </c>
      <c r="M117" s="122">
        <v>0</v>
      </c>
      <c r="N117" s="305">
        <v>0</v>
      </c>
      <c r="O117" s="304">
        <v>0</v>
      </c>
      <c r="P117" s="122">
        <v>0</v>
      </c>
      <c r="Q117" s="253">
        <v>0</v>
      </c>
      <c r="R117" s="122">
        <v>0</v>
      </c>
      <c r="S117" s="305">
        <v>0</v>
      </c>
      <c r="T117" s="120">
        <v>0</v>
      </c>
      <c r="U117" s="313">
        <v>0</v>
      </c>
      <c r="V117" s="120">
        <v>0</v>
      </c>
      <c r="W117" s="296">
        <v>0</v>
      </c>
      <c r="X117" s="296">
        <v>0</v>
      </c>
      <c r="Y117" s="511">
        <v>0</v>
      </c>
    </row>
    <row r="118" spans="1:25" ht="15.75" x14ac:dyDescent="0.25">
      <c r="A118" s="142"/>
      <c r="B118" s="143" t="s">
        <v>281</v>
      </c>
      <c r="C118" s="300">
        <v>252</v>
      </c>
      <c r="D118" s="300"/>
      <c r="E118" s="300"/>
      <c r="F118" s="300"/>
      <c r="G118" s="300"/>
      <c r="H118" s="134"/>
      <c r="I118" s="300">
        <v>252</v>
      </c>
      <c r="J118" s="299"/>
      <c r="K118" s="300">
        <v>573</v>
      </c>
      <c r="L118" s="300">
        <v>768</v>
      </c>
      <c r="M118" s="134"/>
      <c r="N118" s="300">
        <v>1341</v>
      </c>
      <c r="O118" s="299"/>
      <c r="P118" s="134"/>
      <c r="Q118" s="301"/>
      <c r="R118" s="134"/>
      <c r="S118" s="300"/>
      <c r="T118" s="132"/>
      <c r="U118" s="311"/>
      <c r="V118" s="132"/>
      <c r="W118" s="296"/>
      <c r="X118" s="296"/>
      <c r="Y118" s="511">
        <v>1593</v>
      </c>
    </row>
    <row r="119" spans="1:25" s="306" customFormat="1" ht="15.75" x14ac:dyDescent="0.25">
      <c r="A119" s="142"/>
      <c r="B119" s="144" t="s">
        <v>282</v>
      </c>
      <c r="C119" s="303">
        <v>303</v>
      </c>
      <c r="D119" s="303"/>
      <c r="E119" s="303"/>
      <c r="F119" s="303"/>
      <c r="G119" s="303"/>
      <c r="H119" s="119"/>
      <c r="I119" s="303">
        <v>303</v>
      </c>
      <c r="J119" s="302"/>
      <c r="K119" s="303">
        <v>566</v>
      </c>
      <c r="L119" s="303">
        <v>866</v>
      </c>
      <c r="M119" s="119"/>
      <c r="N119" s="303">
        <v>1432</v>
      </c>
      <c r="O119" s="302"/>
      <c r="P119" s="119"/>
      <c r="Q119" s="173"/>
      <c r="R119" s="119"/>
      <c r="S119" s="303"/>
      <c r="T119" s="117"/>
      <c r="U119" s="312"/>
      <c r="V119" s="117"/>
      <c r="W119" s="296"/>
      <c r="X119" s="296"/>
      <c r="Y119" s="306">
        <v>1735</v>
      </c>
    </row>
    <row r="120" spans="1:25" ht="15.75" x14ac:dyDescent="0.25">
      <c r="A120" s="142"/>
      <c r="B120" s="145" t="s">
        <v>283</v>
      </c>
      <c r="C120" s="305">
        <v>0.20238095238095238</v>
      </c>
      <c r="D120" s="305">
        <v>0</v>
      </c>
      <c r="E120" s="305">
        <v>0</v>
      </c>
      <c r="F120" s="305">
        <v>0</v>
      </c>
      <c r="G120" s="305">
        <v>0</v>
      </c>
      <c r="H120" s="122">
        <v>0</v>
      </c>
      <c r="I120" s="305">
        <v>0.20238095238095238</v>
      </c>
      <c r="J120" s="304">
        <v>0</v>
      </c>
      <c r="K120" s="305">
        <v>-1.2216404886561954E-2</v>
      </c>
      <c r="L120" s="305">
        <v>0.12760416666666666</v>
      </c>
      <c r="M120" s="122">
        <v>0</v>
      </c>
      <c r="N120" s="305">
        <v>6.7859806114839674E-2</v>
      </c>
      <c r="O120" s="304">
        <v>0</v>
      </c>
      <c r="P120" s="122">
        <v>0</v>
      </c>
      <c r="Q120" s="253">
        <v>0</v>
      </c>
      <c r="R120" s="122">
        <v>0</v>
      </c>
      <c r="S120" s="305">
        <v>0</v>
      </c>
      <c r="T120" s="120">
        <v>0</v>
      </c>
      <c r="U120" s="313">
        <v>0</v>
      </c>
      <c r="V120" s="120">
        <v>0</v>
      </c>
      <c r="W120" s="296">
        <v>0</v>
      </c>
      <c r="X120" s="296">
        <v>0</v>
      </c>
      <c r="Y120" s="511">
        <v>8.9139987445072191E-2</v>
      </c>
    </row>
    <row r="121" spans="1:25" ht="15.75" x14ac:dyDescent="0.25">
      <c r="A121" s="142"/>
      <c r="B121" s="143" t="s">
        <v>284</v>
      </c>
      <c r="C121" s="300">
        <v>3621</v>
      </c>
      <c r="D121" s="300"/>
      <c r="E121" s="300">
        <v>497</v>
      </c>
      <c r="F121" s="300"/>
      <c r="G121" s="300"/>
      <c r="H121" s="134"/>
      <c r="I121" s="300">
        <v>4118</v>
      </c>
      <c r="J121" s="299"/>
      <c r="K121" s="300"/>
      <c r="L121" s="300"/>
      <c r="M121" s="134"/>
      <c r="N121" s="300"/>
      <c r="O121" s="299"/>
      <c r="P121" s="134"/>
      <c r="Q121" s="301"/>
      <c r="R121" s="134"/>
      <c r="S121" s="300"/>
      <c r="T121" s="132"/>
      <c r="U121" s="311"/>
      <c r="V121" s="132"/>
      <c r="W121" s="296"/>
      <c r="X121" s="296"/>
      <c r="Y121" s="511">
        <v>4118</v>
      </c>
    </row>
    <row r="122" spans="1:25" s="306" customFormat="1" ht="15.75" x14ac:dyDescent="0.25">
      <c r="A122" s="142"/>
      <c r="B122" s="144" t="s">
        <v>285</v>
      </c>
      <c r="C122" s="303">
        <v>3535</v>
      </c>
      <c r="D122" s="303"/>
      <c r="E122" s="303">
        <v>505</v>
      </c>
      <c r="F122" s="303"/>
      <c r="G122" s="303"/>
      <c r="H122" s="119"/>
      <c r="I122" s="303">
        <v>4040</v>
      </c>
      <c r="J122" s="302"/>
      <c r="K122" s="303"/>
      <c r="L122" s="303"/>
      <c r="M122" s="119"/>
      <c r="N122" s="303"/>
      <c r="O122" s="302"/>
      <c r="P122" s="119"/>
      <c r="Q122" s="173"/>
      <c r="R122" s="119"/>
      <c r="S122" s="303"/>
      <c r="T122" s="117"/>
      <c r="U122" s="312"/>
      <c r="V122" s="117"/>
      <c r="W122" s="296"/>
      <c r="X122" s="296"/>
      <c r="Y122" s="306">
        <v>4040</v>
      </c>
    </row>
    <row r="123" spans="1:25" ht="15.75" x14ac:dyDescent="0.25">
      <c r="A123" s="142"/>
      <c r="B123" s="145" t="s">
        <v>286</v>
      </c>
      <c r="C123" s="305">
        <v>-2.3750345208505937E-2</v>
      </c>
      <c r="D123" s="305">
        <v>0</v>
      </c>
      <c r="E123" s="305">
        <v>1.6096579476861168E-2</v>
      </c>
      <c r="F123" s="305">
        <v>0</v>
      </c>
      <c r="G123" s="305">
        <v>0</v>
      </c>
      <c r="H123" s="122">
        <v>0</v>
      </c>
      <c r="I123" s="305">
        <v>-1.8941233608547839E-2</v>
      </c>
      <c r="J123" s="304">
        <v>0</v>
      </c>
      <c r="K123" s="305">
        <v>0</v>
      </c>
      <c r="L123" s="305">
        <v>0</v>
      </c>
      <c r="M123" s="122">
        <v>0</v>
      </c>
      <c r="N123" s="305">
        <v>0</v>
      </c>
      <c r="O123" s="304">
        <v>0</v>
      </c>
      <c r="P123" s="122">
        <v>0</v>
      </c>
      <c r="Q123" s="253">
        <v>0</v>
      </c>
      <c r="R123" s="122">
        <v>0</v>
      </c>
      <c r="S123" s="305">
        <v>0</v>
      </c>
      <c r="T123" s="120">
        <v>0</v>
      </c>
      <c r="U123" s="313">
        <v>0</v>
      </c>
      <c r="V123" s="120">
        <v>0</v>
      </c>
      <c r="W123" s="296">
        <v>0</v>
      </c>
      <c r="X123" s="296">
        <v>0</v>
      </c>
      <c r="Y123" s="511">
        <v>-1.8941233608547839E-2</v>
      </c>
    </row>
    <row r="124" spans="1:25" ht="15.75" x14ac:dyDescent="0.25">
      <c r="A124" s="142"/>
      <c r="B124" s="143" t="s">
        <v>287</v>
      </c>
      <c r="C124" s="300"/>
      <c r="D124" s="300"/>
      <c r="E124" s="300"/>
      <c r="F124" s="300"/>
      <c r="G124" s="300"/>
      <c r="H124" s="134"/>
      <c r="I124" s="300"/>
      <c r="J124" s="299"/>
      <c r="K124" s="300"/>
      <c r="L124" s="300"/>
      <c r="M124" s="134"/>
      <c r="N124" s="300"/>
      <c r="O124" s="299"/>
      <c r="P124" s="134"/>
      <c r="Q124" s="301"/>
      <c r="R124" s="134"/>
      <c r="S124" s="300"/>
      <c r="T124" s="132"/>
      <c r="U124" s="311"/>
      <c r="V124" s="132"/>
      <c r="W124" s="296"/>
      <c r="X124" s="296"/>
    </row>
    <row r="125" spans="1:25" s="306" customFormat="1" ht="15.75" x14ac:dyDescent="0.25">
      <c r="A125" s="142"/>
      <c r="B125" s="144" t="s">
        <v>288</v>
      </c>
      <c r="C125" s="303"/>
      <c r="D125" s="303"/>
      <c r="E125" s="303"/>
      <c r="F125" s="303"/>
      <c r="G125" s="303"/>
      <c r="H125" s="119"/>
      <c r="I125" s="303"/>
      <c r="J125" s="302"/>
      <c r="K125" s="303"/>
      <c r="L125" s="303"/>
      <c r="M125" s="119"/>
      <c r="N125" s="303"/>
      <c r="O125" s="302"/>
      <c r="P125" s="119"/>
      <c r="Q125" s="173"/>
      <c r="R125" s="119"/>
      <c r="S125" s="303"/>
      <c r="T125" s="117"/>
      <c r="U125" s="312"/>
      <c r="V125" s="117"/>
      <c r="W125" s="296"/>
      <c r="X125" s="296"/>
    </row>
    <row r="126" spans="1:25" ht="15.75" x14ac:dyDescent="0.25">
      <c r="A126" s="142"/>
      <c r="B126" s="145" t="s">
        <v>289</v>
      </c>
      <c r="C126" s="305">
        <v>0</v>
      </c>
      <c r="D126" s="305">
        <v>0</v>
      </c>
      <c r="E126" s="305">
        <v>0</v>
      </c>
      <c r="F126" s="305">
        <v>0</v>
      </c>
      <c r="G126" s="305">
        <v>0</v>
      </c>
      <c r="H126" s="122">
        <v>0</v>
      </c>
      <c r="I126" s="305">
        <v>0</v>
      </c>
      <c r="J126" s="304">
        <v>0</v>
      </c>
      <c r="K126" s="305">
        <v>0</v>
      </c>
      <c r="L126" s="305">
        <v>0</v>
      </c>
      <c r="M126" s="122">
        <v>0</v>
      </c>
      <c r="N126" s="305">
        <v>0</v>
      </c>
      <c r="O126" s="304">
        <v>0</v>
      </c>
      <c r="P126" s="122">
        <v>0</v>
      </c>
      <c r="Q126" s="253">
        <v>0</v>
      </c>
      <c r="R126" s="122">
        <v>0</v>
      </c>
      <c r="S126" s="305">
        <v>0</v>
      </c>
      <c r="T126" s="120">
        <v>0</v>
      </c>
      <c r="U126" s="313">
        <v>0</v>
      </c>
      <c r="V126" s="120">
        <v>0</v>
      </c>
      <c r="W126" s="296">
        <v>0</v>
      </c>
      <c r="X126" s="296">
        <v>0</v>
      </c>
      <c r="Y126" s="511">
        <v>0</v>
      </c>
    </row>
    <row r="127" spans="1:25" ht="15.75" x14ac:dyDescent="0.25">
      <c r="A127" s="142"/>
      <c r="B127" s="143" t="s">
        <v>290</v>
      </c>
      <c r="C127" s="300">
        <v>813</v>
      </c>
      <c r="D127" s="300"/>
      <c r="E127" s="300">
        <v>112</v>
      </c>
      <c r="F127" s="300"/>
      <c r="G127" s="300"/>
      <c r="H127" s="134"/>
      <c r="I127" s="300">
        <v>925</v>
      </c>
      <c r="J127" s="299"/>
      <c r="K127" s="300">
        <v>0</v>
      </c>
      <c r="L127" s="300">
        <v>0</v>
      </c>
      <c r="M127" s="134"/>
      <c r="N127" s="300">
        <v>0</v>
      </c>
      <c r="O127" s="299"/>
      <c r="P127" s="134"/>
      <c r="Q127" s="301"/>
      <c r="R127" s="134"/>
      <c r="S127" s="300"/>
      <c r="T127" s="132"/>
      <c r="U127" s="311"/>
      <c r="V127" s="132"/>
      <c r="W127" s="296"/>
      <c r="X127" s="296"/>
      <c r="Y127" s="511">
        <v>925</v>
      </c>
    </row>
    <row r="128" spans="1:25" s="306" customFormat="1" ht="15.75" x14ac:dyDescent="0.25">
      <c r="A128" s="142"/>
      <c r="B128" s="144" t="s">
        <v>291</v>
      </c>
      <c r="C128" s="303">
        <v>785</v>
      </c>
      <c r="D128" s="303"/>
      <c r="E128" s="303">
        <v>112</v>
      </c>
      <c r="F128" s="303"/>
      <c r="G128" s="303"/>
      <c r="H128" s="119"/>
      <c r="I128" s="303">
        <v>897</v>
      </c>
      <c r="J128" s="302"/>
      <c r="K128" s="303">
        <v>0</v>
      </c>
      <c r="L128" s="303">
        <v>0</v>
      </c>
      <c r="M128" s="119"/>
      <c r="N128" s="303">
        <v>0</v>
      </c>
      <c r="O128" s="302"/>
      <c r="P128" s="119"/>
      <c r="Q128" s="173"/>
      <c r="R128" s="119"/>
      <c r="S128" s="303"/>
      <c r="T128" s="117"/>
      <c r="U128" s="312"/>
      <c r="V128" s="117"/>
      <c r="W128" s="296"/>
      <c r="X128" s="296"/>
      <c r="Y128" s="306">
        <v>897</v>
      </c>
    </row>
    <row r="129" spans="1:25" ht="15.75" x14ac:dyDescent="0.25">
      <c r="A129" s="142"/>
      <c r="B129" s="145" t="s">
        <v>292</v>
      </c>
      <c r="C129" s="305">
        <v>-3.4440344403444033E-2</v>
      </c>
      <c r="D129" s="305">
        <v>0</v>
      </c>
      <c r="E129" s="305">
        <v>0</v>
      </c>
      <c r="F129" s="305">
        <v>0</v>
      </c>
      <c r="G129" s="305">
        <v>0</v>
      </c>
      <c r="H129" s="122">
        <v>0</v>
      </c>
      <c r="I129" s="305">
        <v>-3.027027027027027E-2</v>
      </c>
      <c r="J129" s="304">
        <v>0</v>
      </c>
      <c r="K129" s="305">
        <v>0</v>
      </c>
      <c r="L129" s="305">
        <v>0</v>
      </c>
      <c r="M129" s="122">
        <v>0</v>
      </c>
      <c r="N129" s="305">
        <v>0</v>
      </c>
      <c r="O129" s="304">
        <v>0</v>
      </c>
      <c r="P129" s="122">
        <v>0</v>
      </c>
      <c r="Q129" s="253">
        <v>0</v>
      </c>
      <c r="R129" s="122">
        <v>0</v>
      </c>
      <c r="S129" s="305">
        <v>0</v>
      </c>
      <c r="T129" s="120">
        <v>0</v>
      </c>
      <c r="U129" s="313">
        <v>0</v>
      </c>
      <c r="V129" s="120">
        <v>0</v>
      </c>
      <c r="W129" s="296">
        <v>0</v>
      </c>
      <c r="X129" s="296">
        <v>0</v>
      </c>
      <c r="Y129" s="511">
        <v>-3.027027027027027E-2</v>
      </c>
    </row>
    <row r="130" spans="1:25" ht="15.75" x14ac:dyDescent="0.25">
      <c r="A130" s="142"/>
      <c r="B130" s="143" t="s">
        <v>293</v>
      </c>
      <c r="C130" s="300">
        <v>211</v>
      </c>
      <c r="D130" s="300"/>
      <c r="E130" s="300">
        <v>5</v>
      </c>
      <c r="F130" s="300"/>
      <c r="G130" s="300"/>
      <c r="H130" s="134"/>
      <c r="I130" s="300">
        <v>216</v>
      </c>
      <c r="J130" s="299"/>
      <c r="K130" s="300">
        <v>0</v>
      </c>
      <c r="L130" s="300">
        <v>0</v>
      </c>
      <c r="M130" s="134"/>
      <c r="N130" s="300">
        <v>0</v>
      </c>
      <c r="O130" s="299"/>
      <c r="P130" s="134"/>
      <c r="Q130" s="301"/>
      <c r="R130" s="134"/>
      <c r="S130" s="300"/>
      <c r="T130" s="132"/>
      <c r="U130" s="311"/>
      <c r="V130" s="132"/>
      <c r="W130" s="296"/>
      <c r="X130" s="296"/>
      <c r="Y130" s="511">
        <v>216</v>
      </c>
    </row>
    <row r="131" spans="1:25" s="306" customFormat="1" ht="15.75" x14ac:dyDescent="0.25">
      <c r="A131" s="142"/>
      <c r="B131" s="144" t="s">
        <v>294</v>
      </c>
      <c r="C131" s="303">
        <v>228</v>
      </c>
      <c r="D131" s="303"/>
      <c r="E131" s="303">
        <v>15</v>
      </c>
      <c r="F131" s="303"/>
      <c r="G131" s="303"/>
      <c r="H131" s="119"/>
      <c r="I131" s="303">
        <v>243</v>
      </c>
      <c r="J131" s="302"/>
      <c r="K131" s="303">
        <v>0</v>
      </c>
      <c r="L131" s="303">
        <v>0</v>
      </c>
      <c r="M131" s="119"/>
      <c r="N131" s="303">
        <v>0</v>
      </c>
      <c r="O131" s="302"/>
      <c r="P131" s="119"/>
      <c r="Q131" s="173"/>
      <c r="R131" s="119"/>
      <c r="S131" s="303"/>
      <c r="T131" s="117"/>
      <c r="U131" s="312"/>
      <c r="V131" s="117"/>
      <c r="W131" s="296"/>
      <c r="X131" s="296"/>
      <c r="Y131" s="306">
        <v>243</v>
      </c>
    </row>
    <row r="132" spans="1:25" ht="15.75" x14ac:dyDescent="0.25">
      <c r="A132" s="142"/>
      <c r="B132" s="145" t="s">
        <v>295</v>
      </c>
      <c r="C132" s="305">
        <v>8.0568720379146919E-2</v>
      </c>
      <c r="D132" s="305">
        <v>0</v>
      </c>
      <c r="E132" s="305">
        <v>2</v>
      </c>
      <c r="F132" s="305">
        <v>0</v>
      </c>
      <c r="G132" s="305">
        <v>0</v>
      </c>
      <c r="H132" s="122">
        <v>0</v>
      </c>
      <c r="I132" s="305">
        <v>0.125</v>
      </c>
      <c r="J132" s="304">
        <v>0</v>
      </c>
      <c r="K132" s="305">
        <v>0</v>
      </c>
      <c r="L132" s="305">
        <v>0</v>
      </c>
      <c r="M132" s="122">
        <v>0</v>
      </c>
      <c r="N132" s="305">
        <v>0</v>
      </c>
      <c r="O132" s="304">
        <v>0</v>
      </c>
      <c r="P132" s="122">
        <v>0</v>
      </c>
      <c r="Q132" s="253">
        <v>0</v>
      </c>
      <c r="R132" s="122">
        <v>0</v>
      </c>
      <c r="S132" s="305">
        <v>0</v>
      </c>
      <c r="T132" s="120">
        <v>0</v>
      </c>
      <c r="U132" s="313">
        <v>0</v>
      </c>
      <c r="V132" s="120">
        <v>0</v>
      </c>
      <c r="W132" s="296">
        <v>0</v>
      </c>
      <c r="X132" s="296">
        <v>0</v>
      </c>
      <c r="Y132" s="511">
        <v>0.125</v>
      </c>
    </row>
    <row r="133" spans="1:25" ht="15.75" x14ac:dyDescent="0.25">
      <c r="A133" s="142"/>
      <c r="B133" s="143" t="s">
        <v>296</v>
      </c>
      <c r="C133" s="300"/>
      <c r="D133" s="300"/>
      <c r="E133" s="300"/>
      <c r="F133" s="300"/>
      <c r="G133" s="300"/>
      <c r="H133" s="134"/>
      <c r="I133" s="300"/>
      <c r="J133" s="299"/>
      <c r="K133" s="300"/>
      <c r="L133" s="300"/>
      <c r="M133" s="134"/>
      <c r="N133" s="300"/>
      <c r="O133" s="299"/>
      <c r="P133" s="134"/>
      <c r="Q133" s="301"/>
      <c r="R133" s="134"/>
      <c r="S133" s="300"/>
      <c r="T133" s="132"/>
      <c r="U133" s="311"/>
      <c r="V133" s="132"/>
      <c r="W133" s="296"/>
      <c r="X133" s="296"/>
    </row>
    <row r="134" spans="1:25" s="306" customFormat="1" ht="15.75" x14ac:dyDescent="0.25">
      <c r="A134" s="142"/>
      <c r="B134" s="144" t="s">
        <v>297</v>
      </c>
      <c r="C134" s="303"/>
      <c r="D134" s="303"/>
      <c r="E134" s="303"/>
      <c r="F134" s="303"/>
      <c r="G134" s="303"/>
      <c r="H134" s="119"/>
      <c r="I134" s="303"/>
      <c r="J134" s="302"/>
      <c r="K134" s="303"/>
      <c r="L134" s="303"/>
      <c r="M134" s="119"/>
      <c r="N134" s="303"/>
      <c r="O134" s="302"/>
      <c r="P134" s="119"/>
      <c r="Q134" s="173"/>
      <c r="R134" s="119"/>
      <c r="S134" s="303"/>
      <c r="T134" s="117"/>
      <c r="U134" s="312"/>
      <c r="V134" s="117"/>
      <c r="W134" s="296"/>
      <c r="X134" s="296"/>
    </row>
    <row r="135" spans="1:25" ht="15.75" x14ac:dyDescent="0.25">
      <c r="A135" s="142"/>
      <c r="B135" s="145" t="s">
        <v>298</v>
      </c>
      <c r="C135" s="305">
        <v>0</v>
      </c>
      <c r="D135" s="305">
        <v>0</v>
      </c>
      <c r="E135" s="305">
        <v>0</v>
      </c>
      <c r="F135" s="305">
        <v>0</v>
      </c>
      <c r="G135" s="305">
        <v>0</v>
      </c>
      <c r="H135" s="122">
        <v>0</v>
      </c>
      <c r="I135" s="305">
        <v>0</v>
      </c>
      <c r="J135" s="304">
        <v>0</v>
      </c>
      <c r="K135" s="305">
        <v>0</v>
      </c>
      <c r="L135" s="305">
        <v>0</v>
      </c>
      <c r="M135" s="122">
        <v>0</v>
      </c>
      <c r="N135" s="305">
        <v>0</v>
      </c>
      <c r="O135" s="304">
        <v>0</v>
      </c>
      <c r="P135" s="122">
        <v>0</v>
      </c>
      <c r="Q135" s="253">
        <v>0</v>
      </c>
      <c r="R135" s="122">
        <v>0</v>
      </c>
      <c r="S135" s="305">
        <v>0</v>
      </c>
      <c r="T135" s="120">
        <v>0</v>
      </c>
      <c r="U135" s="313">
        <v>0</v>
      </c>
      <c r="V135" s="120">
        <v>0</v>
      </c>
      <c r="W135" s="296">
        <v>0</v>
      </c>
      <c r="X135" s="296">
        <v>0</v>
      </c>
      <c r="Y135" s="511">
        <v>0</v>
      </c>
    </row>
    <row r="136" spans="1:25" ht="15.75" x14ac:dyDescent="0.25">
      <c r="A136" s="142"/>
      <c r="B136" s="143" t="s">
        <v>299</v>
      </c>
      <c r="C136" s="300"/>
      <c r="D136" s="300"/>
      <c r="E136" s="300"/>
      <c r="F136" s="300"/>
      <c r="G136" s="300"/>
      <c r="H136" s="134"/>
      <c r="I136" s="300"/>
      <c r="J136" s="299"/>
      <c r="K136" s="300"/>
      <c r="L136" s="300"/>
      <c r="M136" s="134"/>
      <c r="N136" s="300"/>
      <c r="O136" s="299"/>
      <c r="P136" s="134"/>
      <c r="Q136" s="301"/>
      <c r="R136" s="134"/>
      <c r="S136" s="300"/>
      <c r="T136" s="132"/>
      <c r="U136" s="311"/>
      <c r="V136" s="132"/>
      <c r="W136" s="296"/>
      <c r="X136" s="296"/>
    </row>
    <row r="137" spans="1:25" s="306" customFormat="1" ht="15.75" x14ac:dyDescent="0.25">
      <c r="A137" s="142"/>
      <c r="B137" s="144" t="s">
        <v>300</v>
      </c>
      <c r="C137" s="303"/>
      <c r="D137" s="303"/>
      <c r="E137" s="303"/>
      <c r="F137" s="303"/>
      <c r="G137" s="303"/>
      <c r="H137" s="119"/>
      <c r="I137" s="303"/>
      <c r="J137" s="302"/>
      <c r="K137" s="303"/>
      <c r="L137" s="303"/>
      <c r="M137" s="119"/>
      <c r="N137" s="303"/>
      <c r="O137" s="302"/>
      <c r="P137" s="119"/>
      <c r="Q137" s="173"/>
      <c r="R137" s="119"/>
      <c r="S137" s="303"/>
      <c r="T137" s="117"/>
      <c r="U137" s="312"/>
      <c r="V137" s="117"/>
      <c r="W137" s="296"/>
      <c r="X137" s="296"/>
    </row>
    <row r="138" spans="1:25" ht="15.75" x14ac:dyDescent="0.25">
      <c r="A138" s="142"/>
      <c r="B138" s="145" t="s">
        <v>301</v>
      </c>
      <c r="C138" s="305">
        <v>0</v>
      </c>
      <c r="D138" s="305">
        <v>0</v>
      </c>
      <c r="E138" s="305">
        <v>0</v>
      </c>
      <c r="F138" s="305">
        <v>0</v>
      </c>
      <c r="G138" s="305">
        <v>0</v>
      </c>
      <c r="H138" s="122">
        <v>0</v>
      </c>
      <c r="I138" s="305">
        <v>0</v>
      </c>
      <c r="J138" s="304">
        <v>0</v>
      </c>
      <c r="K138" s="305">
        <v>0</v>
      </c>
      <c r="L138" s="305">
        <v>0</v>
      </c>
      <c r="M138" s="122">
        <v>0</v>
      </c>
      <c r="N138" s="305">
        <v>0</v>
      </c>
      <c r="O138" s="304">
        <v>0</v>
      </c>
      <c r="P138" s="122">
        <v>0</v>
      </c>
      <c r="Q138" s="253">
        <v>0</v>
      </c>
      <c r="R138" s="122">
        <v>0</v>
      </c>
      <c r="S138" s="305">
        <v>0</v>
      </c>
      <c r="T138" s="120">
        <v>0</v>
      </c>
      <c r="U138" s="313">
        <v>0</v>
      </c>
      <c r="V138" s="120">
        <v>0</v>
      </c>
      <c r="W138" s="296">
        <v>0</v>
      </c>
      <c r="X138" s="296">
        <v>0</v>
      </c>
      <c r="Y138" s="511">
        <v>0</v>
      </c>
    </row>
    <row r="139" spans="1:25" ht="15.75" x14ac:dyDescent="0.25">
      <c r="A139" s="142"/>
      <c r="B139" s="143" t="s">
        <v>302</v>
      </c>
      <c r="C139" s="300"/>
      <c r="D139" s="300"/>
      <c r="E139" s="300"/>
      <c r="F139" s="300"/>
      <c r="G139" s="300"/>
      <c r="H139" s="134"/>
      <c r="I139" s="300"/>
      <c r="J139" s="299"/>
      <c r="K139" s="300"/>
      <c r="L139" s="300"/>
      <c r="M139" s="134"/>
      <c r="N139" s="300"/>
      <c r="O139" s="299"/>
      <c r="P139" s="134"/>
      <c r="Q139" s="301"/>
      <c r="R139" s="134"/>
      <c r="S139" s="300"/>
      <c r="T139" s="132"/>
      <c r="U139" s="311"/>
      <c r="V139" s="132"/>
      <c r="W139" s="296"/>
      <c r="X139" s="296"/>
    </row>
    <row r="140" spans="1:25" s="306" customFormat="1" ht="15.75" x14ac:dyDescent="0.25">
      <c r="A140" s="142"/>
      <c r="B140" s="144" t="s">
        <v>303</v>
      </c>
      <c r="C140" s="303"/>
      <c r="D140" s="303"/>
      <c r="E140" s="303"/>
      <c r="F140" s="303"/>
      <c r="G140" s="303"/>
      <c r="H140" s="119"/>
      <c r="I140" s="303"/>
      <c r="J140" s="302"/>
      <c r="K140" s="303"/>
      <c r="L140" s="303"/>
      <c r="M140" s="119"/>
      <c r="N140" s="303"/>
      <c r="O140" s="302"/>
      <c r="P140" s="119"/>
      <c r="Q140" s="173"/>
      <c r="R140" s="119"/>
      <c r="S140" s="303"/>
      <c r="T140" s="117"/>
      <c r="U140" s="312"/>
      <c r="V140" s="117"/>
      <c r="W140" s="296"/>
      <c r="X140" s="296"/>
    </row>
    <row r="141" spans="1:25" ht="15.75" x14ac:dyDescent="0.25">
      <c r="A141" s="142"/>
      <c r="B141" s="145" t="s">
        <v>304</v>
      </c>
      <c r="C141" s="305">
        <v>0</v>
      </c>
      <c r="D141" s="305">
        <v>0</v>
      </c>
      <c r="E141" s="305">
        <v>0</v>
      </c>
      <c r="F141" s="305">
        <v>0</v>
      </c>
      <c r="G141" s="305">
        <v>0</v>
      </c>
      <c r="H141" s="122">
        <v>0</v>
      </c>
      <c r="I141" s="305">
        <v>0</v>
      </c>
      <c r="J141" s="304">
        <v>0</v>
      </c>
      <c r="K141" s="305">
        <v>0</v>
      </c>
      <c r="L141" s="305">
        <v>0</v>
      </c>
      <c r="M141" s="122">
        <v>0</v>
      </c>
      <c r="N141" s="305">
        <v>0</v>
      </c>
      <c r="O141" s="304">
        <v>0</v>
      </c>
      <c r="P141" s="122">
        <v>0</v>
      </c>
      <c r="Q141" s="253">
        <v>0</v>
      </c>
      <c r="R141" s="122">
        <v>0</v>
      </c>
      <c r="S141" s="305">
        <v>0</v>
      </c>
      <c r="T141" s="120">
        <v>0</v>
      </c>
      <c r="U141" s="313">
        <v>0</v>
      </c>
      <c r="V141" s="120">
        <v>0</v>
      </c>
      <c r="W141" s="296">
        <v>0</v>
      </c>
      <c r="X141" s="296">
        <v>0</v>
      </c>
      <c r="Y141" s="511">
        <v>0</v>
      </c>
    </row>
    <row r="142" spans="1:25" ht="15.75" x14ac:dyDescent="0.25">
      <c r="A142" s="142"/>
      <c r="B142" s="143" t="s">
        <v>305</v>
      </c>
      <c r="C142" s="300"/>
      <c r="D142" s="300"/>
      <c r="E142" s="300"/>
      <c r="F142" s="300"/>
      <c r="G142" s="300"/>
      <c r="H142" s="134"/>
      <c r="I142" s="300"/>
      <c r="J142" s="299"/>
      <c r="K142" s="300"/>
      <c r="L142" s="300"/>
      <c r="M142" s="134"/>
      <c r="N142" s="300"/>
      <c r="O142" s="299"/>
      <c r="P142" s="134"/>
      <c r="Q142" s="301"/>
      <c r="R142" s="134"/>
      <c r="S142" s="300"/>
      <c r="T142" s="132"/>
      <c r="U142" s="311"/>
      <c r="V142" s="132"/>
      <c r="W142" s="296"/>
      <c r="X142" s="296"/>
    </row>
    <row r="143" spans="1:25" s="306" customFormat="1" ht="15.75" x14ac:dyDescent="0.25">
      <c r="A143" s="142"/>
      <c r="B143" s="144" t="s">
        <v>306</v>
      </c>
      <c r="C143" s="303"/>
      <c r="D143" s="303"/>
      <c r="E143" s="303"/>
      <c r="F143" s="303"/>
      <c r="G143" s="303"/>
      <c r="H143" s="119"/>
      <c r="I143" s="303"/>
      <c r="J143" s="302"/>
      <c r="K143" s="303"/>
      <c r="L143" s="303"/>
      <c r="M143" s="119"/>
      <c r="N143" s="303"/>
      <c r="O143" s="302"/>
      <c r="P143" s="119"/>
      <c r="Q143" s="173"/>
      <c r="R143" s="119"/>
      <c r="S143" s="303"/>
      <c r="T143" s="117"/>
      <c r="U143" s="312"/>
      <c r="V143" s="117"/>
      <c r="W143" s="296"/>
      <c r="X143" s="296"/>
    </row>
    <row r="144" spans="1:25" ht="15.75" x14ac:dyDescent="0.25">
      <c r="A144" s="142"/>
      <c r="B144" s="145" t="s">
        <v>307</v>
      </c>
      <c r="C144" s="305">
        <v>0</v>
      </c>
      <c r="D144" s="305">
        <v>0</v>
      </c>
      <c r="E144" s="305">
        <v>0</v>
      </c>
      <c r="F144" s="305">
        <v>0</v>
      </c>
      <c r="G144" s="305">
        <v>0</v>
      </c>
      <c r="H144" s="122">
        <v>0</v>
      </c>
      <c r="I144" s="305">
        <v>0</v>
      </c>
      <c r="J144" s="304">
        <v>0</v>
      </c>
      <c r="K144" s="305">
        <v>0</v>
      </c>
      <c r="L144" s="305">
        <v>0</v>
      </c>
      <c r="M144" s="122">
        <v>0</v>
      </c>
      <c r="N144" s="305">
        <v>0</v>
      </c>
      <c r="O144" s="304">
        <v>0</v>
      </c>
      <c r="P144" s="122">
        <v>0</v>
      </c>
      <c r="Q144" s="253">
        <v>0</v>
      </c>
      <c r="R144" s="122">
        <v>0</v>
      </c>
      <c r="S144" s="305">
        <v>0</v>
      </c>
      <c r="T144" s="120">
        <v>0</v>
      </c>
      <c r="U144" s="313">
        <v>0</v>
      </c>
      <c r="V144" s="120">
        <v>0</v>
      </c>
      <c r="W144" s="296">
        <v>0</v>
      </c>
      <c r="X144" s="296">
        <v>0</v>
      </c>
      <c r="Y144" s="511">
        <v>0</v>
      </c>
    </row>
    <row r="145" spans="1:25" ht="15.75" x14ac:dyDescent="0.25">
      <c r="A145" s="142"/>
      <c r="B145" s="143" t="s">
        <v>308</v>
      </c>
      <c r="C145" s="300"/>
      <c r="D145" s="300"/>
      <c r="E145" s="300"/>
      <c r="F145" s="300"/>
      <c r="G145" s="300"/>
      <c r="H145" s="134"/>
      <c r="I145" s="300"/>
      <c r="J145" s="299"/>
      <c r="K145" s="300"/>
      <c r="L145" s="300"/>
      <c r="M145" s="134"/>
      <c r="N145" s="300"/>
      <c r="O145" s="299"/>
      <c r="P145" s="134"/>
      <c r="Q145" s="301"/>
      <c r="R145" s="134"/>
      <c r="S145" s="300"/>
      <c r="T145" s="132"/>
      <c r="U145" s="311"/>
      <c r="V145" s="132"/>
      <c r="W145" s="296"/>
      <c r="X145" s="296"/>
    </row>
    <row r="146" spans="1:25" s="306" customFormat="1" ht="15.75" x14ac:dyDescent="0.25">
      <c r="A146" s="142"/>
      <c r="B146" s="144" t="s">
        <v>309</v>
      </c>
      <c r="C146" s="303"/>
      <c r="D146" s="303"/>
      <c r="E146" s="303"/>
      <c r="F146" s="303"/>
      <c r="G146" s="303"/>
      <c r="H146" s="119"/>
      <c r="I146" s="303"/>
      <c r="J146" s="302"/>
      <c r="K146" s="303"/>
      <c r="L146" s="303"/>
      <c r="M146" s="119"/>
      <c r="N146" s="303"/>
      <c r="O146" s="302"/>
      <c r="P146" s="119"/>
      <c r="Q146" s="173"/>
      <c r="R146" s="119"/>
      <c r="S146" s="303"/>
      <c r="T146" s="117"/>
      <c r="U146" s="312"/>
      <c r="V146" s="117"/>
      <c r="W146" s="296"/>
      <c r="X146" s="296"/>
    </row>
    <row r="147" spans="1:25" ht="15.75" x14ac:dyDescent="0.25">
      <c r="A147" s="142"/>
      <c r="B147" s="145" t="s">
        <v>310</v>
      </c>
      <c r="C147" s="305">
        <v>0</v>
      </c>
      <c r="D147" s="305">
        <v>0</v>
      </c>
      <c r="E147" s="305">
        <v>0</v>
      </c>
      <c r="F147" s="305">
        <v>0</v>
      </c>
      <c r="G147" s="305">
        <v>0</v>
      </c>
      <c r="H147" s="122">
        <v>0</v>
      </c>
      <c r="I147" s="305">
        <v>0</v>
      </c>
      <c r="J147" s="304">
        <v>0</v>
      </c>
      <c r="K147" s="305">
        <v>0</v>
      </c>
      <c r="L147" s="305">
        <v>0</v>
      </c>
      <c r="M147" s="122">
        <v>0</v>
      </c>
      <c r="N147" s="305">
        <v>0</v>
      </c>
      <c r="O147" s="304">
        <v>0</v>
      </c>
      <c r="P147" s="122">
        <v>0</v>
      </c>
      <c r="Q147" s="253">
        <v>0</v>
      </c>
      <c r="R147" s="122">
        <v>0</v>
      </c>
      <c r="S147" s="305">
        <v>0</v>
      </c>
      <c r="T147" s="120">
        <v>0</v>
      </c>
      <c r="U147" s="313">
        <v>0</v>
      </c>
      <c r="V147" s="120">
        <v>0</v>
      </c>
      <c r="W147" s="296">
        <v>0</v>
      </c>
      <c r="X147" s="296">
        <v>0</v>
      </c>
      <c r="Y147" s="511">
        <v>0</v>
      </c>
    </row>
    <row r="148" spans="1:25" ht="15.75" x14ac:dyDescent="0.25">
      <c r="A148" s="142"/>
      <c r="B148" s="143" t="s">
        <v>311</v>
      </c>
      <c r="C148" s="300"/>
      <c r="D148" s="300"/>
      <c r="E148" s="300"/>
      <c r="F148" s="300"/>
      <c r="G148" s="300"/>
      <c r="H148" s="134"/>
      <c r="I148" s="300"/>
      <c r="J148" s="299"/>
      <c r="K148" s="300"/>
      <c r="L148" s="300"/>
      <c r="M148" s="134"/>
      <c r="N148" s="300"/>
      <c r="O148" s="299"/>
      <c r="P148" s="134"/>
      <c r="Q148" s="301"/>
      <c r="R148" s="134"/>
      <c r="S148" s="300"/>
      <c r="T148" s="132"/>
      <c r="U148" s="311"/>
      <c r="V148" s="132"/>
      <c r="W148" s="296"/>
      <c r="X148" s="296"/>
    </row>
    <row r="149" spans="1:25" s="306" customFormat="1" ht="15.75" x14ac:dyDescent="0.25">
      <c r="A149" s="142"/>
      <c r="B149" s="144" t="s">
        <v>312</v>
      </c>
      <c r="C149" s="303"/>
      <c r="D149" s="303"/>
      <c r="E149" s="303"/>
      <c r="F149" s="303"/>
      <c r="G149" s="303"/>
      <c r="H149" s="119"/>
      <c r="I149" s="303"/>
      <c r="J149" s="302"/>
      <c r="K149" s="303"/>
      <c r="L149" s="303"/>
      <c r="M149" s="119"/>
      <c r="N149" s="303"/>
      <c r="O149" s="302"/>
      <c r="P149" s="119"/>
      <c r="Q149" s="173"/>
      <c r="R149" s="119"/>
      <c r="S149" s="303"/>
      <c r="T149" s="117"/>
      <c r="U149" s="312"/>
      <c r="V149" s="117"/>
      <c r="W149" s="296"/>
      <c r="X149" s="296"/>
    </row>
    <row r="150" spans="1:25" ht="15.75" x14ac:dyDescent="0.25">
      <c r="A150" s="142"/>
      <c r="B150" s="145" t="s">
        <v>313</v>
      </c>
      <c r="C150" s="305">
        <v>0</v>
      </c>
      <c r="D150" s="305">
        <v>0</v>
      </c>
      <c r="E150" s="305">
        <v>0</v>
      </c>
      <c r="F150" s="305">
        <v>0</v>
      </c>
      <c r="G150" s="305">
        <v>0</v>
      </c>
      <c r="H150" s="122">
        <v>0</v>
      </c>
      <c r="I150" s="305">
        <v>0</v>
      </c>
      <c r="J150" s="304">
        <v>0</v>
      </c>
      <c r="K150" s="305">
        <v>0</v>
      </c>
      <c r="L150" s="305">
        <v>0</v>
      </c>
      <c r="M150" s="122">
        <v>0</v>
      </c>
      <c r="N150" s="305">
        <v>0</v>
      </c>
      <c r="O150" s="304">
        <v>0</v>
      </c>
      <c r="P150" s="122">
        <v>0</v>
      </c>
      <c r="Q150" s="253">
        <v>0</v>
      </c>
      <c r="R150" s="122">
        <v>0</v>
      </c>
      <c r="S150" s="305">
        <v>0</v>
      </c>
      <c r="T150" s="120">
        <v>0</v>
      </c>
      <c r="U150" s="313">
        <v>0</v>
      </c>
      <c r="V150" s="120">
        <v>0</v>
      </c>
      <c r="W150" s="296">
        <v>0</v>
      </c>
      <c r="X150" s="296">
        <v>0</v>
      </c>
      <c r="Y150" s="511">
        <v>0</v>
      </c>
    </row>
    <row r="151" spans="1:25" ht="15.75" x14ac:dyDescent="0.25">
      <c r="A151" s="142"/>
      <c r="B151" s="143" t="s">
        <v>314</v>
      </c>
      <c r="C151" s="300"/>
      <c r="D151" s="300"/>
      <c r="E151" s="300"/>
      <c r="F151" s="300"/>
      <c r="G151" s="300"/>
      <c r="H151" s="134"/>
      <c r="I151" s="300"/>
      <c r="J151" s="299"/>
      <c r="K151" s="300"/>
      <c r="L151" s="300"/>
      <c r="M151" s="134"/>
      <c r="N151" s="300"/>
      <c r="O151" s="299"/>
      <c r="P151" s="134"/>
      <c r="Q151" s="301"/>
      <c r="R151" s="134"/>
      <c r="S151" s="300"/>
      <c r="T151" s="132"/>
      <c r="U151" s="311"/>
      <c r="V151" s="132"/>
      <c r="W151" s="296"/>
      <c r="X151" s="296"/>
    </row>
    <row r="152" spans="1:25" s="306" customFormat="1" ht="15.75" x14ac:dyDescent="0.25">
      <c r="A152" s="142"/>
      <c r="B152" s="144" t="s">
        <v>315</v>
      </c>
      <c r="C152" s="303"/>
      <c r="D152" s="303"/>
      <c r="E152" s="303"/>
      <c r="F152" s="303"/>
      <c r="G152" s="303"/>
      <c r="H152" s="119"/>
      <c r="I152" s="303"/>
      <c r="J152" s="302"/>
      <c r="K152" s="303"/>
      <c r="L152" s="303"/>
      <c r="M152" s="119"/>
      <c r="N152" s="303"/>
      <c r="O152" s="302"/>
      <c r="P152" s="119"/>
      <c r="Q152" s="173"/>
      <c r="R152" s="119"/>
      <c r="S152" s="303"/>
      <c r="T152" s="117"/>
      <c r="U152" s="312"/>
      <c r="V152" s="117"/>
      <c r="W152" s="296"/>
      <c r="X152" s="296"/>
    </row>
    <row r="153" spans="1:25" ht="15.75" x14ac:dyDescent="0.25">
      <c r="A153" s="142"/>
      <c r="B153" s="145" t="s">
        <v>316</v>
      </c>
      <c r="C153" s="305">
        <v>0</v>
      </c>
      <c r="D153" s="305">
        <v>0</v>
      </c>
      <c r="E153" s="305">
        <v>0</v>
      </c>
      <c r="F153" s="305">
        <v>0</v>
      </c>
      <c r="G153" s="305">
        <v>0</v>
      </c>
      <c r="H153" s="122">
        <v>0</v>
      </c>
      <c r="I153" s="305">
        <v>0</v>
      </c>
      <c r="J153" s="304">
        <v>0</v>
      </c>
      <c r="K153" s="305">
        <v>0</v>
      </c>
      <c r="L153" s="305">
        <v>0</v>
      </c>
      <c r="M153" s="122">
        <v>0</v>
      </c>
      <c r="N153" s="305">
        <v>0</v>
      </c>
      <c r="O153" s="304">
        <v>0</v>
      </c>
      <c r="P153" s="122">
        <v>0</v>
      </c>
      <c r="Q153" s="253">
        <v>0</v>
      </c>
      <c r="R153" s="122">
        <v>0</v>
      </c>
      <c r="S153" s="305">
        <v>0</v>
      </c>
      <c r="T153" s="120">
        <v>0</v>
      </c>
      <c r="U153" s="313">
        <v>0</v>
      </c>
      <c r="V153" s="120">
        <v>0</v>
      </c>
      <c r="W153" s="296">
        <v>0</v>
      </c>
      <c r="X153" s="296">
        <v>0</v>
      </c>
      <c r="Y153" s="511">
        <v>0</v>
      </c>
    </row>
    <row r="154" spans="1:25" ht="15.75" x14ac:dyDescent="0.25">
      <c r="A154" s="142"/>
      <c r="B154" s="143" t="s">
        <v>317</v>
      </c>
      <c r="C154" s="300"/>
      <c r="D154" s="300"/>
      <c r="E154" s="300"/>
      <c r="F154" s="300"/>
      <c r="G154" s="300"/>
      <c r="H154" s="134"/>
      <c r="I154" s="300"/>
      <c r="J154" s="299"/>
      <c r="K154" s="300"/>
      <c r="L154" s="300"/>
      <c r="M154" s="134"/>
      <c r="N154" s="300"/>
      <c r="O154" s="299"/>
      <c r="P154" s="134"/>
      <c r="Q154" s="301"/>
      <c r="R154" s="134"/>
      <c r="S154" s="300"/>
      <c r="T154" s="132"/>
      <c r="U154" s="311"/>
      <c r="V154" s="132"/>
      <c r="W154" s="296"/>
      <c r="X154" s="296"/>
    </row>
    <row r="155" spans="1:25" s="306" customFormat="1" ht="15.75" x14ac:dyDescent="0.25">
      <c r="A155" s="142"/>
      <c r="B155" s="144" t="s">
        <v>318</v>
      </c>
      <c r="C155" s="303"/>
      <c r="D155" s="303"/>
      <c r="E155" s="303"/>
      <c r="F155" s="303"/>
      <c r="G155" s="303"/>
      <c r="H155" s="119"/>
      <c r="I155" s="303"/>
      <c r="J155" s="302"/>
      <c r="K155" s="303"/>
      <c r="L155" s="303"/>
      <c r="M155" s="119"/>
      <c r="N155" s="303"/>
      <c r="O155" s="302"/>
      <c r="P155" s="119"/>
      <c r="Q155" s="173"/>
      <c r="R155" s="119"/>
      <c r="S155" s="303"/>
      <c r="T155" s="117"/>
      <c r="U155" s="312"/>
      <c r="V155" s="117"/>
      <c r="W155" s="296"/>
      <c r="X155" s="296"/>
    </row>
    <row r="156" spans="1:25" ht="15.75" x14ac:dyDescent="0.25">
      <c r="A156" s="142"/>
      <c r="B156" s="145" t="s">
        <v>319</v>
      </c>
      <c r="C156" s="305">
        <v>0</v>
      </c>
      <c r="D156" s="305">
        <v>0</v>
      </c>
      <c r="E156" s="305">
        <v>0</v>
      </c>
      <c r="F156" s="305">
        <v>0</v>
      </c>
      <c r="G156" s="305">
        <v>0</v>
      </c>
      <c r="H156" s="122">
        <v>0</v>
      </c>
      <c r="I156" s="305">
        <v>0</v>
      </c>
      <c r="J156" s="304">
        <v>0</v>
      </c>
      <c r="K156" s="305">
        <v>0</v>
      </c>
      <c r="L156" s="305">
        <v>0</v>
      </c>
      <c r="M156" s="122">
        <v>0</v>
      </c>
      <c r="N156" s="305">
        <v>0</v>
      </c>
      <c r="O156" s="304">
        <v>0</v>
      </c>
      <c r="P156" s="122">
        <v>0</v>
      </c>
      <c r="Q156" s="253">
        <v>0</v>
      </c>
      <c r="R156" s="122">
        <v>0</v>
      </c>
      <c r="S156" s="305">
        <v>0</v>
      </c>
      <c r="T156" s="120">
        <v>0</v>
      </c>
      <c r="U156" s="313">
        <v>0</v>
      </c>
      <c r="V156" s="120">
        <v>0</v>
      </c>
      <c r="W156" s="296">
        <v>0</v>
      </c>
      <c r="X156" s="296">
        <v>0</v>
      </c>
      <c r="Y156" s="511">
        <v>0</v>
      </c>
    </row>
    <row r="157" spans="1:25" ht="15.75" x14ac:dyDescent="0.25">
      <c r="A157" s="142"/>
      <c r="B157" s="143" t="s">
        <v>320</v>
      </c>
      <c r="C157" s="300"/>
      <c r="D157" s="300"/>
      <c r="E157" s="300"/>
      <c r="F157" s="300"/>
      <c r="G157" s="300"/>
      <c r="H157" s="134"/>
      <c r="I157" s="300"/>
      <c r="J157" s="299"/>
      <c r="K157" s="300"/>
      <c r="L157" s="300"/>
      <c r="M157" s="134"/>
      <c r="N157" s="300"/>
      <c r="O157" s="299"/>
      <c r="P157" s="134"/>
      <c r="Q157" s="301"/>
      <c r="R157" s="134"/>
      <c r="S157" s="300"/>
      <c r="T157" s="132"/>
      <c r="U157" s="311"/>
      <c r="V157" s="132"/>
      <c r="W157" s="296"/>
      <c r="X157" s="296"/>
    </row>
    <row r="158" spans="1:25" s="306" customFormat="1" ht="15.75" x14ac:dyDescent="0.25">
      <c r="A158" s="142"/>
      <c r="B158" s="144" t="s">
        <v>321</v>
      </c>
      <c r="C158" s="303"/>
      <c r="D158" s="303"/>
      <c r="E158" s="303"/>
      <c r="F158" s="303"/>
      <c r="G158" s="303"/>
      <c r="H158" s="119"/>
      <c r="I158" s="303"/>
      <c r="J158" s="302"/>
      <c r="K158" s="303"/>
      <c r="L158" s="303"/>
      <c r="M158" s="119"/>
      <c r="N158" s="303"/>
      <c r="O158" s="302"/>
      <c r="P158" s="119"/>
      <c r="Q158" s="173"/>
      <c r="R158" s="119"/>
      <c r="S158" s="303"/>
      <c r="T158" s="117"/>
      <c r="U158" s="312"/>
      <c r="V158" s="117"/>
      <c r="W158" s="296"/>
      <c r="X158" s="296"/>
    </row>
    <row r="159" spans="1:25" ht="15.75" x14ac:dyDescent="0.25">
      <c r="A159" s="142"/>
      <c r="B159" s="145" t="s">
        <v>322</v>
      </c>
      <c r="C159" s="305">
        <v>0</v>
      </c>
      <c r="D159" s="305">
        <v>0</v>
      </c>
      <c r="E159" s="305">
        <v>0</v>
      </c>
      <c r="F159" s="305">
        <v>0</v>
      </c>
      <c r="G159" s="305">
        <v>0</v>
      </c>
      <c r="H159" s="122">
        <v>0</v>
      </c>
      <c r="I159" s="305">
        <v>0</v>
      </c>
      <c r="J159" s="304">
        <v>0</v>
      </c>
      <c r="K159" s="305">
        <v>0</v>
      </c>
      <c r="L159" s="305">
        <v>0</v>
      </c>
      <c r="M159" s="122">
        <v>0</v>
      </c>
      <c r="N159" s="305">
        <v>0</v>
      </c>
      <c r="O159" s="304">
        <v>0</v>
      </c>
      <c r="P159" s="122">
        <v>0</v>
      </c>
      <c r="Q159" s="253">
        <v>0</v>
      </c>
      <c r="R159" s="122">
        <v>0</v>
      </c>
      <c r="S159" s="305">
        <v>0</v>
      </c>
      <c r="T159" s="120">
        <v>0</v>
      </c>
      <c r="U159" s="313">
        <v>0</v>
      </c>
      <c r="V159" s="120">
        <v>0</v>
      </c>
      <c r="W159" s="296">
        <v>0</v>
      </c>
      <c r="X159" s="296">
        <v>0</v>
      </c>
      <c r="Y159" s="511">
        <v>0</v>
      </c>
    </row>
    <row r="160" spans="1:25" ht="15.75" x14ac:dyDescent="0.25">
      <c r="A160" s="142"/>
      <c r="B160" s="143" t="s">
        <v>404</v>
      </c>
      <c r="C160" s="300">
        <v>41</v>
      </c>
      <c r="D160" s="300"/>
      <c r="E160" s="300"/>
      <c r="F160" s="300"/>
      <c r="G160" s="300"/>
      <c r="H160" s="134"/>
      <c r="I160" s="300">
        <v>41</v>
      </c>
      <c r="J160" s="299"/>
      <c r="K160" s="300"/>
      <c r="L160" s="300"/>
      <c r="M160" s="134"/>
      <c r="N160" s="300"/>
      <c r="O160" s="299"/>
      <c r="P160" s="134"/>
      <c r="Q160" s="301"/>
      <c r="R160" s="134"/>
      <c r="S160" s="300"/>
      <c r="T160" s="132"/>
      <c r="U160" s="311"/>
      <c r="V160" s="132"/>
      <c r="W160" s="296"/>
      <c r="X160" s="296"/>
      <c r="Y160" s="511">
        <v>41</v>
      </c>
    </row>
    <row r="161" spans="1:25" s="306" customFormat="1" ht="15.75" x14ac:dyDescent="0.25">
      <c r="A161" s="142"/>
      <c r="B161" s="144" t="s">
        <v>406</v>
      </c>
      <c r="C161" s="303">
        <v>34</v>
      </c>
      <c r="D161" s="303"/>
      <c r="E161" s="303"/>
      <c r="F161" s="303"/>
      <c r="G161" s="303"/>
      <c r="H161" s="119"/>
      <c r="I161" s="303">
        <v>34</v>
      </c>
      <c r="J161" s="302"/>
      <c r="K161" s="303"/>
      <c r="L161" s="303"/>
      <c r="M161" s="119"/>
      <c r="N161" s="303"/>
      <c r="O161" s="302"/>
      <c r="P161" s="119"/>
      <c r="Q161" s="173"/>
      <c r="R161" s="119"/>
      <c r="S161" s="303"/>
      <c r="T161" s="117"/>
      <c r="U161" s="312"/>
      <c r="V161" s="117"/>
      <c r="W161" s="296"/>
      <c r="X161" s="296"/>
      <c r="Y161" s="306">
        <v>34</v>
      </c>
    </row>
    <row r="162" spans="1:25" ht="15.75" x14ac:dyDescent="0.25">
      <c r="A162" s="142"/>
      <c r="B162" s="145" t="s">
        <v>474</v>
      </c>
      <c r="C162" s="305">
        <v>-0.17073170731707318</v>
      </c>
      <c r="D162" s="305">
        <v>0</v>
      </c>
      <c r="E162" s="305">
        <v>0</v>
      </c>
      <c r="F162" s="305">
        <v>0</v>
      </c>
      <c r="G162" s="305">
        <v>0</v>
      </c>
      <c r="H162" s="122">
        <v>0</v>
      </c>
      <c r="I162" s="305">
        <v>-0.17073170731707318</v>
      </c>
      <c r="J162" s="304">
        <v>0</v>
      </c>
      <c r="K162" s="305">
        <v>0</v>
      </c>
      <c r="L162" s="305">
        <v>0</v>
      </c>
      <c r="M162" s="122">
        <v>0</v>
      </c>
      <c r="N162" s="305">
        <v>0</v>
      </c>
      <c r="O162" s="304">
        <v>0</v>
      </c>
      <c r="P162" s="122">
        <v>0</v>
      </c>
      <c r="Q162" s="253">
        <v>0</v>
      </c>
      <c r="R162" s="122">
        <v>0</v>
      </c>
      <c r="S162" s="305">
        <v>0</v>
      </c>
      <c r="T162" s="120">
        <v>0</v>
      </c>
      <c r="U162" s="313">
        <v>0</v>
      </c>
      <c r="V162" s="120">
        <v>0</v>
      </c>
      <c r="W162" s="296">
        <v>0</v>
      </c>
      <c r="X162" s="296">
        <v>0</v>
      </c>
      <c r="Y162" s="511">
        <v>-0.17073170731707318</v>
      </c>
    </row>
    <row r="163" spans="1:25" ht="15.75" x14ac:dyDescent="0.25">
      <c r="A163" s="142"/>
      <c r="B163" s="143" t="s">
        <v>476</v>
      </c>
      <c r="C163" s="300"/>
      <c r="D163" s="300"/>
      <c r="E163" s="300"/>
      <c r="F163" s="300"/>
      <c r="G163" s="300"/>
      <c r="H163" s="134"/>
      <c r="I163" s="300"/>
      <c r="J163" s="299"/>
      <c r="K163" s="300"/>
      <c r="L163" s="300"/>
      <c r="M163" s="134"/>
      <c r="N163" s="300"/>
      <c r="O163" s="299"/>
      <c r="P163" s="134"/>
      <c r="Q163" s="301"/>
      <c r="R163" s="134"/>
      <c r="S163" s="300"/>
      <c r="T163" s="132"/>
      <c r="U163" s="311"/>
      <c r="V163" s="132"/>
      <c r="W163" s="296"/>
      <c r="X163" s="296"/>
    </row>
    <row r="164" spans="1:25" s="306" customFormat="1" ht="15.75" x14ac:dyDescent="0.25">
      <c r="A164" s="294"/>
      <c r="B164" s="144" t="s">
        <v>472</v>
      </c>
      <c r="C164" s="303"/>
      <c r="D164" s="303"/>
      <c r="E164" s="303"/>
      <c r="F164" s="303"/>
      <c r="G164" s="303"/>
      <c r="H164" s="119"/>
      <c r="I164" s="303"/>
      <c r="J164" s="302"/>
      <c r="K164" s="303"/>
      <c r="L164" s="303"/>
      <c r="M164" s="119"/>
      <c r="N164" s="303"/>
      <c r="O164" s="302"/>
      <c r="P164" s="119"/>
      <c r="Q164" s="173"/>
      <c r="R164" s="119"/>
      <c r="S164" s="303"/>
      <c r="T164" s="117"/>
      <c r="U164" s="312"/>
      <c r="V164" s="117"/>
      <c r="W164" s="296"/>
      <c r="X164" s="296"/>
    </row>
    <row r="165" spans="1:25" ht="15.75" x14ac:dyDescent="0.25">
      <c r="A165" s="141" t="s">
        <v>1074</v>
      </c>
      <c r="B165" s="143" t="s">
        <v>275</v>
      </c>
      <c r="C165" s="300"/>
      <c r="D165" s="300"/>
      <c r="E165" s="300"/>
      <c r="F165" s="300"/>
      <c r="G165" s="300"/>
      <c r="H165" s="134"/>
      <c r="I165" s="300"/>
      <c r="J165" s="299">
        <v>8383</v>
      </c>
      <c r="K165" s="300">
        <v>13331</v>
      </c>
      <c r="L165" s="300">
        <v>1763</v>
      </c>
      <c r="M165" s="134">
        <v>247</v>
      </c>
      <c r="N165" s="300">
        <v>23724</v>
      </c>
      <c r="O165" s="299"/>
      <c r="P165" s="134"/>
      <c r="Q165" s="301"/>
      <c r="R165" s="134"/>
      <c r="S165" s="300"/>
      <c r="T165" s="132"/>
      <c r="U165" s="311"/>
      <c r="V165" s="132"/>
      <c r="W165" s="296"/>
      <c r="X165" s="296"/>
      <c r="Y165" s="511">
        <v>23724</v>
      </c>
    </row>
    <row r="166" spans="1:25" ht="15.75" x14ac:dyDescent="0.25">
      <c r="A166" s="142"/>
      <c r="B166" s="144" t="s">
        <v>276</v>
      </c>
      <c r="C166" s="303"/>
      <c r="D166" s="303"/>
      <c r="E166" s="303"/>
      <c r="F166" s="303"/>
      <c r="G166" s="303"/>
      <c r="H166" s="119"/>
      <c r="I166" s="303"/>
      <c r="J166" s="302">
        <v>7822</v>
      </c>
      <c r="K166" s="303">
        <v>14207</v>
      </c>
      <c r="L166" s="303">
        <v>1389</v>
      </c>
      <c r="M166" s="119">
        <v>237</v>
      </c>
      <c r="N166" s="303">
        <v>23655</v>
      </c>
      <c r="O166" s="302"/>
      <c r="P166" s="119"/>
      <c r="Q166" s="173"/>
      <c r="R166" s="119"/>
      <c r="S166" s="303"/>
      <c r="T166" s="117"/>
      <c r="U166" s="312"/>
      <c r="V166" s="117"/>
      <c r="W166" s="296"/>
      <c r="X166" s="296"/>
      <c r="Y166" s="511">
        <v>23655</v>
      </c>
    </row>
    <row r="167" spans="1:25" s="306" customFormat="1" ht="15.75" x14ac:dyDescent="0.25">
      <c r="A167" s="142"/>
      <c r="B167" s="145" t="s">
        <v>277</v>
      </c>
      <c r="C167" s="305">
        <v>0</v>
      </c>
      <c r="D167" s="305">
        <v>0</v>
      </c>
      <c r="E167" s="305">
        <v>0</v>
      </c>
      <c r="F167" s="305">
        <v>0</v>
      </c>
      <c r="G167" s="305">
        <v>0</v>
      </c>
      <c r="H167" s="122">
        <v>0</v>
      </c>
      <c r="I167" s="305">
        <v>0</v>
      </c>
      <c r="J167" s="304">
        <v>-6.6921149946319938E-2</v>
      </c>
      <c r="K167" s="305">
        <v>6.5711499512414673E-2</v>
      </c>
      <c r="L167" s="305">
        <v>-0.21213840045377197</v>
      </c>
      <c r="M167" s="122">
        <v>-4.048582995951417E-2</v>
      </c>
      <c r="N167" s="305">
        <v>-2.9084471421345474E-3</v>
      </c>
      <c r="O167" s="304">
        <v>0</v>
      </c>
      <c r="P167" s="122">
        <v>0</v>
      </c>
      <c r="Q167" s="253">
        <v>0</v>
      </c>
      <c r="R167" s="122">
        <v>0</v>
      </c>
      <c r="S167" s="305">
        <v>0</v>
      </c>
      <c r="T167" s="120">
        <v>0</v>
      </c>
      <c r="U167" s="313">
        <v>0</v>
      </c>
      <c r="V167" s="120">
        <v>0</v>
      </c>
      <c r="W167" s="296">
        <v>0</v>
      </c>
      <c r="X167" s="296">
        <v>0</v>
      </c>
      <c r="Y167" s="306">
        <v>-2.9084471421345474E-3</v>
      </c>
    </row>
    <row r="168" spans="1:25" ht="15.75" x14ac:dyDescent="0.25">
      <c r="A168" s="142"/>
      <c r="B168" s="143" t="s">
        <v>278</v>
      </c>
      <c r="C168" s="300"/>
      <c r="D168" s="300"/>
      <c r="E168" s="300"/>
      <c r="F168" s="300"/>
      <c r="G168" s="300"/>
      <c r="H168" s="134"/>
      <c r="I168" s="300"/>
      <c r="J168" s="299">
        <v>158</v>
      </c>
      <c r="K168" s="300">
        <v>332</v>
      </c>
      <c r="L168" s="300">
        <v>25</v>
      </c>
      <c r="M168" s="134">
        <v>2</v>
      </c>
      <c r="N168" s="300">
        <v>517</v>
      </c>
      <c r="O168" s="299"/>
      <c r="P168" s="134"/>
      <c r="Q168" s="301"/>
      <c r="R168" s="134"/>
      <c r="S168" s="300"/>
      <c r="T168" s="132"/>
      <c r="U168" s="311"/>
      <c r="V168" s="132"/>
      <c r="W168" s="296"/>
      <c r="X168" s="296"/>
      <c r="Y168" s="511">
        <v>517</v>
      </c>
    </row>
    <row r="169" spans="1:25" ht="15.75" x14ac:dyDescent="0.25">
      <c r="A169" s="142"/>
      <c r="B169" s="144" t="s">
        <v>279</v>
      </c>
      <c r="C169" s="303"/>
      <c r="D169" s="303"/>
      <c r="E169" s="303"/>
      <c r="F169" s="303"/>
      <c r="G169" s="303"/>
      <c r="H169" s="119"/>
      <c r="I169" s="303"/>
      <c r="J169" s="302">
        <v>121</v>
      </c>
      <c r="K169" s="303">
        <v>279</v>
      </c>
      <c r="L169" s="303">
        <v>34</v>
      </c>
      <c r="M169" s="119">
        <v>8</v>
      </c>
      <c r="N169" s="303">
        <v>442</v>
      </c>
      <c r="O169" s="302"/>
      <c r="P169" s="119"/>
      <c r="Q169" s="173"/>
      <c r="R169" s="119"/>
      <c r="S169" s="303"/>
      <c r="T169" s="117"/>
      <c r="U169" s="312"/>
      <c r="V169" s="117"/>
      <c r="W169" s="296"/>
      <c r="X169" s="296"/>
      <c r="Y169" s="511">
        <v>442</v>
      </c>
    </row>
    <row r="170" spans="1:25" s="306" customFormat="1" ht="15.75" x14ac:dyDescent="0.25">
      <c r="A170" s="142"/>
      <c r="B170" s="145" t="s">
        <v>280</v>
      </c>
      <c r="C170" s="305">
        <v>0</v>
      </c>
      <c r="D170" s="305">
        <v>0</v>
      </c>
      <c r="E170" s="305">
        <v>0</v>
      </c>
      <c r="F170" s="305">
        <v>0</v>
      </c>
      <c r="G170" s="305">
        <v>0</v>
      </c>
      <c r="H170" s="122">
        <v>0</v>
      </c>
      <c r="I170" s="305">
        <v>0</v>
      </c>
      <c r="J170" s="304">
        <v>-0.23417721518987342</v>
      </c>
      <c r="K170" s="305">
        <v>-0.15963855421686746</v>
      </c>
      <c r="L170" s="305">
        <v>0.36</v>
      </c>
      <c r="M170" s="122">
        <v>3</v>
      </c>
      <c r="N170" s="305">
        <v>-0.14506769825918761</v>
      </c>
      <c r="O170" s="304">
        <v>0</v>
      </c>
      <c r="P170" s="122">
        <v>0</v>
      </c>
      <c r="Q170" s="253">
        <v>0</v>
      </c>
      <c r="R170" s="122">
        <v>0</v>
      </c>
      <c r="S170" s="305">
        <v>0</v>
      </c>
      <c r="T170" s="120">
        <v>0</v>
      </c>
      <c r="U170" s="313">
        <v>0</v>
      </c>
      <c r="V170" s="120">
        <v>0</v>
      </c>
      <c r="W170" s="296">
        <v>0</v>
      </c>
      <c r="X170" s="296">
        <v>0</v>
      </c>
      <c r="Y170" s="306">
        <v>-0.14506769825918761</v>
      </c>
    </row>
    <row r="171" spans="1:25" ht="15.75" x14ac:dyDescent="0.25">
      <c r="A171" s="142"/>
      <c r="B171" s="143" t="s">
        <v>281</v>
      </c>
      <c r="C171" s="300">
        <v>870</v>
      </c>
      <c r="D171" s="300">
        <v>220</v>
      </c>
      <c r="E171" s="300">
        <v>575</v>
      </c>
      <c r="F171" s="300">
        <v>258</v>
      </c>
      <c r="G171" s="300"/>
      <c r="H171" s="134">
        <v>0</v>
      </c>
      <c r="I171" s="300">
        <v>1923</v>
      </c>
      <c r="J171" s="299">
        <v>26011</v>
      </c>
      <c r="K171" s="300">
        <v>33758</v>
      </c>
      <c r="L171" s="300">
        <v>5733</v>
      </c>
      <c r="M171" s="134">
        <v>337</v>
      </c>
      <c r="N171" s="300">
        <v>65839</v>
      </c>
      <c r="O171" s="299"/>
      <c r="P171" s="134"/>
      <c r="Q171" s="301"/>
      <c r="R171" s="134"/>
      <c r="S171" s="300"/>
      <c r="T171" s="132"/>
      <c r="U171" s="311"/>
      <c r="V171" s="132"/>
      <c r="W171" s="296"/>
      <c r="X171" s="296"/>
      <c r="Y171" s="511">
        <v>67762</v>
      </c>
    </row>
    <row r="172" spans="1:25" ht="16.5" thickBot="1" x14ac:dyDescent="0.3">
      <c r="A172" s="142"/>
      <c r="B172" s="144" t="s">
        <v>282</v>
      </c>
      <c r="C172" s="303">
        <v>953</v>
      </c>
      <c r="D172" s="303">
        <v>251</v>
      </c>
      <c r="E172" s="303">
        <v>625</v>
      </c>
      <c r="F172" s="303">
        <v>306</v>
      </c>
      <c r="G172" s="303"/>
      <c r="H172" s="119"/>
      <c r="I172" s="303">
        <v>2135</v>
      </c>
      <c r="J172" s="302">
        <v>31268</v>
      </c>
      <c r="K172" s="303">
        <v>42135</v>
      </c>
      <c r="L172" s="786">
        <v>3431</v>
      </c>
      <c r="M172" s="119">
        <v>393</v>
      </c>
      <c r="N172" s="303">
        <v>77227</v>
      </c>
      <c r="O172" s="302"/>
      <c r="P172" s="119"/>
      <c r="Q172" s="173"/>
      <c r="R172" s="119"/>
      <c r="S172" s="303"/>
      <c r="T172" s="117"/>
      <c r="U172" s="312"/>
      <c r="V172" s="117"/>
      <c r="W172" s="296"/>
      <c r="X172" s="296"/>
      <c r="Y172" s="511">
        <v>79362</v>
      </c>
    </row>
    <row r="173" spans="1:25" s="306" customFormat="1" ht="16.5" thickBot="1" x14ac:dyDescent="0.3">
      <c r="A173" s="142"/>
      <c r="B173" s="145" t="s">
        <v>283</v>
      </c>
      <c r="C173" s="305">
        <v>9.5402298850574718E-2</v>
      </c>
      <c r="D173" s="305">
        <v>0.1409090909090909</v>
      </c>
      <c r="E173" s="305">
        <v>8.6956521739130432E-2</v>
      </c>
      <c r="F173" s="305">
        <v>0.18604651162790697</v>
      </c>
      <c r="G173" s="305">
        <v>0</v>
      </c>
      <c r="H173" s="122">
        <v>0</v>
      </c>
      <c r="I173" s="305">
        <v>0.11024440977639105</v>
      </c>
      <c r="J173" s="843">
        <v>0.20210680096882089</v>
      </c>
      <c r="K173" s="843">
        <v>0.24814858700159961</v>
      </c>
      <c r="L173" s="842">
        <v>-0.4015349729635444</v>
      </c>
      <c r="M173" s="122">
        <v>0.16617210682492581</v>
      </c>
      <c r="N173" s="305">
        <v>0.17296739014869605</v>
      </c>
      <c r="O173" s="304">
        <v>0</v>
      </c>
      <c r="P173" s="122">
        <v>0</v>
      </c>
      <c r="Q173" s="253">
        <v>0</v>
      </c>
      <c r="R173" s="122">
        <v>0</v>
      </c>
      <c r="S173" s="305">
        <v>0</v>
      </c>
      <c r="T173" s="120">
        <v>0</v>
      </c>
      <c r="U173" s="313">
        <v>0</v>
      </c>
      <c r="V173" s="120">
        <v>0</v>
      </c>
      <c r="W173" s="296">
        <v>0</v>
      </c>
      <c r="X173" s="296">
        <v>0</v>
      </c>
      <c r="Y173" s="306">
        <v>0.17118739116318882</v>
      </c>
    </row>
    <row r="174" spans="1:25" ht="15.75" x14ac:dyDescent="0.25">
      <c r="A174" s="142"/>
      <c r="B174" s="143" t="s">
        <v>284</v>
      </c>
      <c r="C174" s="300">
        <v>42044</v>
      </c>
      <c r="D174" s="300">
        <v>4593</v>
      </c>
      <c r="E174" s="300">
        <v>6194</v>
      </c>
      <c r="F174" s="300">
        <v>1616</v>
      </c>
      <c r="G174" s="300"/>
      <c r="H174" s="134">
        <v>167</v>
      </c>
      <c r="I174" s="300">
        <v>54614</v>
      </c>
      <c r="J174" s="302">
        <v>1583</v>
      </c>
      <c r="K174" s="303">
        <v>164</v>
      </c>
      <c r="L174" s="303">
        <v>952</v>
      </c>
      <c r="M174" s="134">
        <v>0</v>
      </c>
      <c r="N174" s="300">
        <v>2699</v>
      </c>
      <c r="O174" s="299"/>
      <c r="P174" s="134"/>
      <c r="Q174" s="301"/>
      <c r="R174" s="134"/>
      <c r="S174" s="300"/>
      <c r="T174" s="132"/>
      <c r="U174" s="311"/>
      <c r="V174" s="132"/>
      <c r="W174" s="296"/>
      <c r="X174" s="296"/>
      <c r="Y174" s="511">
        <v>57313</v>
      </c>
    </row>
    <row r="175" spans="1:25" ht="16.5" thickBot="1" x14ac:dyDescent="0.3">
      <c r="A175" s="142"/>
      <c r="B175" s="144" t="s">
        <v>285</v>
      </c>
      <c r="C175" s="303">
        <v>44040</v>
      </c>
      <c r="D175" s="303">
        <v>4892</v>
      </c>
      <c r="E175" s="303">
        <v>6632</v>
      </c>
      <c r="F175" s="303">
        <v>1744</v>
      </c>
      <c r="G175" s="303"/>
      <c r="H175" s="119">
        <v>179</v>
      </c>
      <c r="I175" s="303">
        <v>57487</v>
      </c>
      <c r="J175" s="302">
        <v>3313</v>
      </c>
      <c r="K175" s="303">
        <v>638</v>
      </c>
      <c r="L175" s="303">
        <v>6</v>
      </c>
      <c r="M175" s="119">
        <v>0</v>
      </c>
      <c r="N175" s="303">
        <v>3957</v>
      </c>
      <c r="O175" s="302"/>
      <c r="P175" s="119"/>
      <c r="Q175" s="173"/>
      <c r="R175" s="119"/>
      <c r="S175" s="303"/>
      <c r="T175" s="117"/>
      <c r="U175" s="312"/>
      <c r="V175" s="117"/>
      <c r="W175" s="296"/>
      <c r="X175" s="296"/>
      <c r="Y175" s="511">
        <v>61444</v>
      </c>
    </row>
    <row r="176" spans="1:25" s="306" customFormat="1" ht="16.5" thickBot="1" x14ac:dyDescent="0.3">
      <c r="A176" s="142"/>
      <c r="B176" s="145" t="s">
        <v>286</v>
      </c>
      <c r="C176" s="305">
        <v>4.7474074778803159E-2</v>
      </c>
      <c r="D176" s="305">
        <v>6.5099063792728062E-2</v>
      </c>
      <c r="E176" s="305">
        <v>7.0713593800452057E-2</v>
      </c>
      <c r="F176" s="305">
        <v>7.9207920792079209E-2</v>
      </c>
      <c r="G176" s="305">
        <v>0</v>
      </c>
      <c r="H176" s="122">
        <v>7.1856287425149698E-2</v>
      </c>
      <c r="I176" s="305">
        <v>5.2605559014172187E-2</v>
      </c>
      <c r="J176" s="843">
        <v>1.0928616550852812</v>
      </c>
      <c r="K176" s="843">
        <v>2.8902439024390243</v>
      </c>
      <c r="L176" s="843">
        <v>-0.99369747899159666</v>
      </c>
      <c r="M176" s="122">
        <v>0</v>
      </c>
      <c r="N176" s="305">
        <v>0.46609855502037789</v>
      </c>
      <c r="O176" s="304">
        <v>0</v>
      </c>
      <c r="P176" s="122">
        <v>0</v>
      </c>
      <c r="Q176" s="253">
        <v>0</v>
      </c>
      <c r="R176" s="122">
        <v>0</v>
      </c>
      <c r="S176" s="305">
        <v>0</v>
      </c>
      <c r="T176" s="120">
        <v>0</v>
      </c>
      <c r="U176" s="313">
        <v>0</v>
      </c>
      <c r="V176" s="120">
        <v>0</v>
      </c>
      <c r="W176" s="296">
        <v>0</v>
      </c>
      <c r="X176" s="296">
        <v>0</v>
      </c>
      <c r="Y176" s="306">
        <v>7.2077888088217329E-2</v>
      </c>
    </row>
    <row r="177" spans="1:25" ht="15.75" x14ac:dyDescent="0.25">
      <c r="A177" s="142"/>
      <c r="B177" s="143" t="s">
        <v>287</v>
      </c>
      <c r="C177" s="300">
        <v>143</v>
      </c>
      <c r="D177" s="300"/>
      <c r="E177" s="300"/>
      <c r="F177" s="300">
        <v>23</v>
      </c>
      <c r="G177" s="300"/>
      <c r="H177" s="134"/>
      <c r="I177" s="300">
        <v>166</v>
      </c>
      <c r="J177" s="299"/>
      <c r="K177" s="303"/>
      <c r="L177" s="300"/>
      <c r="M177" s="134"/>
      <c r="N177" s="300"/>
      <c r="O177" s="299"/>
      <c r="P177" s="134"/>
      <c r="Q177" s="301"/>
      <c r="R177" s="134"/>
      <c r="S177" s="300"/>
      <c r="T177" s="132"/>
      <c r="U177" s="311"/>
      <c r="V177" s="132"/>
      <c r="W177" s="296"/>
      <c r="X177" s="296"/>
      <c r="Y177" s="511">
        <v>166</v>
      </c>
    </row>
    <row r="178" spans="1:25" ht="15.75" x14ac:dyDescent="0.25">
      <c r="A178" s="142"/>
      <c r="B178" s="144" t="s">
        <v>288</v>
      </c>
      <c r="C178" s="303">
        <v>141</v>
      </c>
      <c r="D178" s="303"/>
      <c r="E178" s="303"/>
      <c r="F178" s="303">
        <v>35</v>
      </c>
      <c r="G178" s="303"/>
      <c r="H178" s="119"/>
      <c r="I178" s="303">
        <v>176</v>
      </c>
      <c r="J178" s="302"/>
      <c r="K178" s="303"/>
      <c r="L178" s="303"/>
      <c r="M178" s="119"/>
      <c r="N178" s="303"/>
      <c r="O178" s="302"/>
      <c r="P178" s="119"/>
      <c r="Q178" s="173"/>
      <c r="R178" s="119"/>
      <c r="S178" s="303"/>
      <c r="T178" s="117"/>
      <c r="U178" s="312"/>
      <c r="V178" s="117"/>
      <c r="W178" s="296"/>
      <c r="X178" s="296"/>
      <c r="Y178" s="511">
        <v>176</v>
      </c>
    </row>
    <row r="179" spans="1:25" s="306" customFormat="1" ht="15.75" x14ac:dyDescent="0.25">
      <c r="A179" s="142"/>
      <c r="B179" s="145" t="s">
        <v>289</v>
      </c>
      <c r="C179" s="305">
        <v>-1.3986013986013986E-2</v>
      </c>
      <c r="D179" s="305">
        <v>0</v>
      </c>
      <c r="E179" s="305">
        <v>0</v>
      </c>
      <c r="F179" s="305">
        <v>0.52173913043478259</v>
      </c>
      <c r="G179" s="305">
        <v>0</v>
      </c>
      <c r="H179" s="122">
        <v>0</v>
      </c>
      <c r="I179" s="305">
        <v>6.0240963855421686E-2</v>
      </c>
      <c r="J179" s="304">
        <v>0</v>
      </c>
      <c r="K179" s="305">
        <v>0</v>
      </c>
      <c r="L179" s="305">
        <v>0</v>
      </c>
      <c r="M179" s="122">
        <v>0</v>
      </c>
      <c r="N179" s="305">
        <v>0</v>
      </c>
      <c r="O179" s="304">
        <v>0</v>
      </c>
      <c r="P179" s="122">
        <v>0</v>
      </c>
      <c r="Q179" s="253">
        <v>0</v>
      </c>
      <c r="R179" s="122">
        <v>0</v>
      </c>
      <c r="S179" s="305">
        <v>0</v>
      </c>
      <c r="T179" s="120">
        <v>0</v>
      </c>
      <c r="U179" s="313">
        <v>0</v>
      </c>
      <c r="V179" s="120">
        <v>0</v>
      </c>
      <c r="W179" s="296">
        <v>0</v>
      </c>
      <c r="X179" s="296">
        <v>0</v>
      </c>
      <c r="Y179" s="306">
        <v>6.0240963855421686E-2</v>
      </c>
    </row>
    <row r="180" spans="1:25" ht="15.75" x14ac:dyDescent="0.25">
      <c r="A180" s="142"/>
      <c r="B180" s="143" t="s">
        <v>290</v>
      </c>
      <c r="C180" s="300">
        <v>13509</v>
      </c>
      <c r="D180" s="300">
        <v>1349</v>
      </c>
      <c r="E180" s="300">
        <v>1398</v>
      </c>
      <c r="F180" s="300">
        <v>385</v>
      </c>
      <c r="G180" s="300"/>
      <c r="H180" s="134">
        <v>0</v>
      </c>
      <c r="I180" s="300">
        <v>16641</v>
      </c>
      <c r="J180" s="299">
        <v>0</v>
      </c>
      <c r="K180" s="300">
        <v>0</v>
      </c>
      <c r="L180" s="300">
        <v>0</v>
      </c>
      <c r="M180" s="134">
        <v>0</v>
      </c>
      <c r="N180" s="300">
        <v>0</v>
      </c>
      <c r="O180" s="299"/>
      <c r="P180" s="134"/>
      <c r="Q180" s="301"/>
      <c r="R180" s="134"/>
      <c r="S180" s="300"/>
      <c r="T180" s="132"/>
      <c r="U180" s="311"/>
      <c r="V180" s="132"/>
      <c r="W180" s="296"/>
      <c r="X180" s="296"/>
      <c r="Y180" s="511">
        <v>16641</v>
      </c>
    </row>
    <row r="181" spans="1:25" ht="15.75" x14ac:dyDescent="0.25">
      <c r="A181" s="142"/>
      <c r="B181" s="144" t="s">
        <v>291</v>
      </c>
      <c r="C181" s="303">
        <v>14168</v>
      </c>
      <c r="D181" s="303">
        <v>1259</v>
      </c>
      <c r="E181" s="303">
        <v>1320</v>
      </c>
      <c r="F181" s="303">
        <v>371</v>
      </c>
      <c r="G181" s="303"/>
      <c r="H181" s="119">
        <v>0</v>
      </c>
      <c r="I181" s="303">
        <v>17118</v>
      </c>
      <c r="J181" s="302">
        <v>0</v>
      </c>
      <c r="K181" s="303">
        <v>0</v>
      </c>
      <c r="L181" s="303">
        <v>0</v>
      </c>
      <c r="M181" s="119">
        <v>0</v>
      </c>
      <c r="N181" s="303">
        <v>0</v>
      </c>
      <c r="O181" s="302"/>
      <c r="P181" s="119"/>
      <c r="Q181" s="173"/>
      <c r="R181" s="119"/>
      <c r="S181" s="303"/>
      <c r="T181" s="117"/>
      <c r="U181" s="312"/>
      <c r="V181" s="117"/>
      <c r="W181" s="296"/>
      <c r="X181" s="296"/>
      <c r="Y181" s="511">
        <v>17118</v>
      </c>
    </row>
    <row r="182" spans="1:25" s="306" customFormat="1" ht="15.75" x14ac:dyDescent="0.25">
      <c r="A182" s="142"/>
      <c r="B182" s="145" t="s">
        <v>292</v>
      </c>
      <c r="C182" s="305">
        <v>4.8782293285957512E-2</v>
      </c>
      <c r="D182" s="305">
        <v>-6.6716085989621948E-2</v>
      </c>
      <c r="E182" s="305">
        <v>-5.5793991416309016E-2</v>
      </c>
      <c r="F182" s="305">
        <v>-3.6363636363636362E-2</v>
      </c>
      <c r="G182" s="305">
        <v>0</v>
      </c>
      <c r="H182" s="122">
        <v>0</v>
      </c>
      <c r="I182" s="305">
        <v>2.8664142779881017E-2</v>
      </c>
      <c r="J182" s="304">
        <v>0</v>
      </c>
      <c r="K182" s="305">
        <v>0</v>
      </c>
      <c r="L182" s="305">
        <v>0</v>
      </c>
      <c r="M182" s="122">
        <v>0</v>
      </c>
      <c r="N182" s="305">
        <v>0</v>
      </c>
      <c r="O182" s="304">
        <v>0</v>
      </c>
      <c r="P182" s="122">
        <v>0</v>
      </c>
      <c r="Q182" s="253">
        <v>0</v>
      </c>
      <c r="R182" s="122">
        <v>0</v>
      </c>
      <c r="S182" s="305">
        <v>0</v>
      </c>
      <c r="T182" s="120">
        <v>0</v>
      </c>
      <c r="U182" s="313">
        <v>0</v>
      </c>
      <c r="V182" s="120">
        <v>0</v>
      </c>
      <c r="W182" s="296">
        <v>0</v>
      </c>
      <c r="X182" s="296">
        <v>0</v>
      </c>
      <c r="Y182" s="306">
        <v>2.8664142779881017E-2</v>
      </c>
    </row>
    <row r="183" spans="1:25" ht="15.75" x14ac:dyDescent="0.25">
      <c r="A183" s="142"/>
      <c r="B183" s="143" t="s">
        <v>293</v>
      </c>
      <c r="C183" s="300">
        <v>2164</v>
      </c>
      <c r="D183" s="300">
        <v>88</v>
      </c>
      <c r="E183" s="300">
        <v>98</v>
      </c>
      <c r="F183" s="300">
        <v>19</v>
      </c>
      <c r="G183" s="300"/>
      <c r="H183" s="134">
        <v>0</v>
      </c>
      <c r="I183" s="300">
        <v>2369</v>
      </c>
      <c r="J183" s="299">
        <v>0</v>
      </c>
      <c r="K183" s="300">
        <v>0</v>
      </c>
      <c r="L183" s="300">
        <v>0</v>
      </c>
      <c r="M183" s="134">
        <v>0</v>
      </c>
      <c r="N183" s="300">
        <v>0</v>
      </c>
      <c r="O183" s="299"/>
      <c r="P183" s="134"/>
      <c r="Q183" s="301"/>
      <c r="R183" s="134"/>
      <c r="S183" s="300"/>
      <c r="T183" s="132"/>
      <c r="U183" s="311"/>
      <c r="V183" s="132"/>
      <c r="W183" s="296"/>
      <c r="X183" s="296"/>
      <c r="Y183" s="511">
        <v>2369</v>
      </c>
    </row>
    <row r="184" spans="1:25" ht="15.75" x14ac:dyDescent="0.25">
      <c r="A184" s="142"/>
      <c r="B184" s="144" t="s">
        <v>294</v>
      </c>
      <c r="C184" s="303">
        <v>2070</v>
      </c>
      <c r="D184" s="303">
        <v>117</v>
      </c>
      <c r="E184" s="303">
        <v>105</v>
      </c>
      <c r="F184" s="303">
        <v>19</v>
      </c>
      <c r="G184" s="303"/>
      <c r="H184" s="119">
        <v>0</v>
      </c>
      <c r="I184" s="303">
        <v>2311</v>
      </c>
      <c r="J184" s="302">
        <v>0</v>
      </c>
      <c r="K184" s="303">
        <v>0</v>
      </c>
      <c r="L184" s="303">
        <v>0</v>
      </c>
      <c r="M184" s="119">
        <v>0</v>
      </c>
      <c r="N184" s="303">
        <v>0</v>
      </c>
      <c r="O184" s="302"/>
      <c r="P184" s="119"/>
      <c r="Q184" s="173"/>
      <c r="R184" s="119"/>
      <c r="S184" s="303"/>
      <c r="T184" s="117"/>
      <c r="U184" s="312"/>
      <c r="V184" s="117"/>
      <c r="W184" s="296"/>
      <c r="X184" s="296"/>
      <c r="Y184" s="511">
        <v>2311</v>
      </c>
    </row>
    <row r="185" spans="1:25" s="306" customFormat="1" ht="15.75" x14ac:dyDescent="0.25">
      <c r="A185" s="142"/>
      <c r="B185" s="145" t="s">
        <v>295</v>
      </c>
      <c r="C185" s="305">
        <v>-4.3438077634011092E-2</v>
      </c>
      <c r="D185" s="305">
        <v>0.32954545454545453</v>
      </c>
      <c r="E185" s="305">
        <v>7.1428571428571425E-2</v>
      </c>
      <c r="F185" s="305">
        <v>0</v>
      </c>
      <c r="G185" s="305">
        <v>0</v>
      </c>
      <c r="H185" s="122">
        <v>0</v>
      </c>
      <c r="I185" s="305">
        <v>-2.4482904178978471E-2</v>
      </c>
      <c r="J185" s="304">
        <v>0</v>
      </c>
      <c r="K185" s="305">
        <v>0</v>
      </c>
      <c r="L185" s="305">
        <v>0</v>
      </c>
      <c r="M185" s="122">
        <v>0</v>
      </c>
      <c r="N185" s="305">
        <v>0</v>
      </c>
      <c r="O185" s="304">
        <v>0</v>
      </c>
      <c r="P185" s="122">
        <v>0</v>
      </c>
      <c r="Q185" s="253">
        <v>0</v>
      </c>
      <c r="R185" s="122">
        <v>0</v>
      </c>
      <c r="S185" s="305">
        <v>0</v>
      </c>
      <c r="T185" s="120">
        <v>0</v>
      </c>
      <c r="U185" s="313">
        <v>0</v>
      </c>
      <c r="V185" s="120">
        <v>0</v>
      </c>
      <c r="W185" s="296">
        <v>0</v>
      </c>
      <c r="X185" s="296">
        <v>0</v>
      </c>
      <c r="Y185" s="306">
        <v>-2.4482904178978471E-2</v>
      </c>
    </row>
    <row r="186" spans="1:25" ht="15.75" x14ac:dyDescent="0.25">
      <c r="A186" s="142"/>
      <c r="B186" s="143" t="s">
        <v>296</v>
      </c>
      <c r="C186" s="300">
        <v>863</v>
      </c>
      <c r="D186" s="300"/>
      <c r="E186" s="300">
        <v>160</v>
      </c>
      <c r="F186" s="300"/>
      <c r="G186" s="300"/>
      <c r="H186" s="134"/>
      <c r="I186" s="300">
        <v>1023</v>
      </c>
      <c r="J186" s="299"/>
      <c r="K186" s="300"/>
      <c r="L186" s="300"/>
      <c r="M186" s="134"/>
      <c r="N186" s="300"/>
      <c r="O186" s="299"/>
      <c r="P186" s="134"/>
      <c r="Q186" s="301"/>
      <c r="R186" s="134"/>
      <c r="S186" s="300"/>
      <c r="T186" s="132"/>
      <c r="U186" s="311"/>
      <c r="V186" s="132"/>
      <c r="W186" s="296"/>
      <c r="X186" s="296"/>
      <c r="Y186" s="511">
        <v>1023</v>
      </c>
    </row>
    <row r="187" spans="1:25" ht="15.75" x14ac:dyDescent="0.25">
      <c r="A187" s="142"/>
      <c r="B187" s="144" t="s">
        <v>297</v>
      </c>
      <c r="C187" s="303">
        <v>807</v>
      </c>
      <c r="D187" s="303"/>
      <c r="E187" s="303">
        <v>152</v>
      </c>
      <c r="F187" s="303"/>
      <c r="G187" s="303"/>
      <c r="H187" s="119"/>
      <c r="I187" s="303">
        <v>959</v>
      </c>
      <c r="J187" s="302"/>
      <c r="K187" s="303"/>
      <c r="L187" s="303"/>
      <c r="M187" s="119"/>
      <c r="N187" s="303"/>
      <c r="O187" s="302"/>
      <c r="P187" s="119"/>
      <c r="Q187" s="173"/>
      <c r="R187" s="119"/>
      <c r="S187" s="303"/>
      <c r="T187" s="117"/>
      <c r="U187" s="312"/>
      <c r="V187" s="117"/>
      <c r="W187" s="296"/>
      <c r="X187" s="296"/>
      <c r="Y187" s="511">
        <v>959</v>
      </c>
    </row>
    <row r="188" spans="1:25" s="306" customFormat="1" ht="15.75" x14ac:dyDescent="0.25">
      <c r="A188" s="142"/>
      <c r="B188" s="145" t="s">
        <v>298</v>
      </c>
      <c r="C188" s="305">
        <v>-6.4889918887601386E-2</v>
      </c>
      <c r="D188" s="305">
        <v>0</v>
      </c>
      <c r="E188" s="305">
        <v>-0.05</v>
      </c>
      <c r="F188" s="305">
        <v>0</v>
      </c>
      <c r="G188" s="305">
        <v>0</v>
      </c>
      <c r="H188" s="122">
        <v>0</v>
      </c>
      <c r="I188" s="305">
        <v>-6.2561094819159335E-2</v>
      </c>
      <c r="J188" s="304">
        <v>0</v>
      </c>
      <c r="K188" s="305">
        <v>0</v>
      </c>
      <c r="L188" s="305">
        <v>0</v>
      </c>
      <c r="M188" s="122">
        <v>0</v>
      </c>
      <c r="N188" s="305">
        <v>0</v>
      </c>
      <c r="O188" s="304">
        <v>0</v>
      </c>
      <c r="P188" s="122">
        <v>0</v>
      </c>
      <c r="Q188" s="253">
        <v>0</v>
      </c>
      <c r="R188" s="122">
        <v>0</v>
      </c>
      <c r="S188" s="305">
        <v>0</v>
      </c>
      <c r="T188" s="120">
        <v>0</v>
      </c>
      <c r="U188" s="313">
        <v>0</v>
      </c>
      <c r="V188" s="120">
        <v>0</v>
      </c>
      <c r="W188" s="296">
        <v>0</v>
      </c>
      <c r="X188" s="296">
        <v>0</v>
      </c>
      <c r="Y188" s="306">
        <v>-6.2561094819159335E-2</v>
      </c>
    </row>
    <row r="189" spans="1:25" ht="15.75" x14ac:dyDescent="0.25">
      <c r="A189" s="142"/>
      <c r="B189" s="143" t="s">
        <v>299</v>
      </c>
      <c r="C189" s="300">
        <v>349</v>
      </c>
      <c r="D189" s="300"/>
      <c r="E189" s="300"/>
      <c r="F189" s="300"/>
      <c r="G189" s="300"/>
      <c r="H189" s="134"/>
      <c r="I189" s="300">
        <v>349</v>
      </c>
      <c r="J189" s="299"/>
      <c r="K189" s="300"/>
      <c r="L189" s="300"/>
      <c r="M189" s="134"/>
      <c r="N189" s="300"/>
      <c r="O189" s="299"/>
      <c r="P189" s="134"/>
      <c r="Q189" s="301"/>
      <c r="R189" s="134"/>
      <c r="S189" s="300"/>
      <c r="T189" s="132"/>
      <c r="U189" s="311"/>
      <c r="V189" s="132"/>
      <c r="W189" s="296"/>
      <c r="X189" s="296"/>
      <c r="Y189" s="511">
        <v>349</v>
      </c>
    </row>
    <row r="190" spans="1:25" ht="15.75" x14ac:dyDescent="0.25">
      <c r="A190" s="142"/>
      <c r="B190" s="144" t="s">
        <v>300</v>
      </c>
      <c r="C190" s="303">
        <v>361</v>
      </c>
      <c r="D190" s="303"/>
      <c r="E190" s="303"/>
      <c r="F190" s="303"/>
      <c r="G190" s="303"/>
      <c r="H190" s="119"/>
      <c r="I190" s="303">
        <v>361</v>
      </c>
      <c r="J190" s="302"/>
      <c r="K190" s="303"/>
      <c r="L190" s="303"/>
      <c r="M190" s="119"/>
      <c r="N190" s="303"/>
      <c r="O190" s="302"/>
      <c r="P190" s="119"/>
      <c r="Q190" s="173"/>
      <c r="R190" s="119"/>
      <c r="S190" s="303"/>
      <c r="T190" s="117"/>
      <c r="U190" s="312"/>
      <c r="V190" s="117"/>
      <c r="W190" s="296"/>
      <c r="X190" s="296"/>
      <c r="Y190" s="511">
        <v>361</v>
      </c>
    </row>
    <row r="191" spans="1:25" s="306" customFormat="1" ht="15.75" x14ac:dyDescent="0.25">
      <c r="A191" s="142"/>
      <c r="B191" s="145" t="s">
        <v>301</v>
      </c>
      <c r="C191" s="305">
        <v>3.4383954154727794E-2</v>
      </c>
      <c r="D191" s="305">
        <v>0</v>
      </c>
      <c r="E191" s="305">
        <v>0</v>
      </c>
      <c r="F191" s="305">
        <v>0</v>
      </c>
      <c r="G191" s="305">
        <v>0</v>
      </c>
      <c r="H191" s="122">
        <v>0</v>
      </c>
      <c r="I191" s="305">
        <v>3.4383954154727794E-2</v>
      </c>
      <c r="J191" s="304">
        <v>0</v>
      </c>
      <c r="K191" s="305">
        <v>0</v>
      </c>
      <c r="L191" s="305">
        <v>0</v>
      </c>
      <c r="M191" s="122">
        <v>0</v>
      </c>
      <c r="N191" s="305">
        <v>0</v>
      </c>
      <c r="O191" s="304">
        <v>0</v>
      </c>
      <c r="P191" s="122">
        <v>0</v>
      </c>
      <c r="Q191" s="253">
        <v>0</v>
      </c>
      <c r="R191" s="122">
        <v>0</v>
      </c>
      <c r="S191" s="305">
        <v>0</v>
      </c>
      <c r="T191" s="120">
        <v>0</v>
      </c>
      <c r="U191" s="313">
        <v>0</v>
      </c>
      <c r="V191" s="120">
        <v>0</v>
      </c>
      <c r="W191" s="296">
        <v>0</v>
      </c>
      <c r="X191" s="296">
        <v>0</v>
      </c>
      <c r="Y191" s="306">
        <v>3.4383954154727794E-2</v>
      </c>
    </row>
    <row r="192" spans="1:25" ht="15.75" x14ac:dyDescent="0.25">
      <c r="A192" s="142"/>
      <c r="B192" s="143" t="s">
        <v>302</v>
      </c>
      <c r="C192" s="300">
        <v>83</v>
      </c>
      <c r="D192" s="300"/>
      <c r="E192" s="300"/>
      <c r="F192" s="300"/>
      <c r="G192" s="300"/>
      <c r="H192" s="134"/>
      <c r="I192" s="300">
        <v>83</v>
      </c>
      <c r="J192" s="299"/>
      <c r="K192" s="300"/>
      <c r="L192" s="300"/>
      <c r="M192" s="134"/>
      <c r="N192" s="300"/>
      <c r="O192" s="299"/>
      <c r="P192" s="134"/>
      <c r="Q192" s="301"/>
      <c r="R192" s="134"/>
      <c r="S192" s="300"/>
      <c r="T192" s="132"/>
      <c r="U192" s="311"/>
      <c r="V192" s="132"/>
      <c r="W192" s="296"/>
      <c r="X192" s="296"/>
      <c r="Y192" s="511">
        <v>83</v>
      </c>
    </row>
    <row r="193" spans="1:25" ht="15.75" x14ac:dyDescent="0.25">
      <c r="A193" s="142"/>
      <c r="B193" s="144" t="s">
        <v>303</v>
      </c>
      <c r="C193" s="303">
        <v>83</v>
      </c>
      <c r="D193" s="303"/>
      <c r="E193" s="303"/>
      <c r="F193" s="303"/>
      <c r="G193" s="303"/>
      <c r="H193" s="119"/>
      <c r="I193" s="303">
        <v>83</v>
      </c>
      <c r="J193" s="302"/>
      <c r="K193" s="303"/>
      <c r="L193" s="303"/>
      <c r="M193" s="119"/>
      <c r="N193" s="303"/>
      <c r="O193" s="302"/>
      <c r="P193" s="119"/>
      <c r="Q193" s="173"/>
      <c r="R193" s="119"/>
      <c r="S193" s="303"/>
      <c r="T193" s="117"/>
      <c r="U193" s="312"/>
      <c r="V193" s="117"/>
      <c r="W193" s="296"/>
      <c r="X193" s="296"/>
      <c r="Y193" s="511">
        <v>83</v>
      </c>
    </row>
    <row r="194" spans="1:25" s="306" customFormat="1" ht="15.75" x14ac:dyDescent="0.25">
      <c r="A194" s="142"/>
      <c r="B194" s="145" t="s">
        <v>304</v>
      </c>
      <c r="C194" s="305">
        <v>0</v>
      </c>
      <c r="D194" s="305">
        <v>0</v>
      </c>
      <c r="E194" s="305">
        <v>0</v>
      </c>
      <c r="F194" s="305">
        <v>0</v>
      </c>
      <c r="G194" s="305">
        <v>0</v>
      </c>
      <c r="H194" s="122">
        <v>0</v>
      </c>
      <c r="I194" s="305">
        <v>0</v>
      </c>
      <c r="J194" s="304">
        <v>0</v>
      </c>
      <c r="K194" s="305">
        <v>0</v>
      </c>
      <c r="L194" s="305">
        <v>0</v>
      </c>
      <c r="M194" s="122">
        <v>0</v>
      </c>
      <c r="N194" s="305">
        <v>0</v>
      </c>
      <c r="O194" s="304">
        <v>0</v>
      </c>
      <c r="P194" s="122">
        <v>0</v>
      </c>
      <c r="Q194" s="253">
        <v>0</v>
      </c>
      <c r="R194" s="122">
        <v>0</v>
      </c>
      <c r="S194" s="305">
        <v>0</v>
      </c>
      <c r="T194" s="120">
        <v>0</v>
      </c>
      <c r="U194" s="313">
        <v>0</v>
      </c>
      <c r="V194" s="120">
        <v>0</v>
      </c>
      <c r="W194" s="296">
        <v>0</v>
      </c>
      <c r="X194" s="296">
        <v>0</v>
      </c>
      <c r="Y194" s="306">
        <v>0</v>
      </c>
    </row>
    <row r="195" spans="1:25" ht="15.75" x14ac:dyDescent="0.25">
      <c r="A195" s="142"/>
      <c r="B195" s="143" t="s">
        <v>305</v>
      </c>
      <c r="C195" s="300">
        <v>484</v>
      </c>
      <c r="D195" s="300"/>
      <c r="E195" s="300">
        <v>139</v>
      </c>
      <c r="F195" s="300"/>
      <c r="G195" s="300"/>
      <c r="H195" s="134"/>
      <c r="I195" s="300">
        <v>623</v>
      </c>
      <c r="J195" s="299"/>
      <c r="K195" s="300"/>
      <c r="L195" s="300"/>
      <c r="M195" s="134"/>
      <c r="N195" s="300"/>
      <c r="O195" s="299"/>
      <c r="P195" s="134"/>
      <c r="Q195" s="301"/>
      <c r="R195" s="134"/>
      <c r="S195" s="300"/>
      <c r="T195" s="132"/>
      <c r="U195" s="311"/>
      <c r="V195" s="132"/>
      <c r="W195" s="296"/>
      <c r="X195" s="296"/>
      <c r="Y195" s="511">
        <v>623</v>
      </c>
    </row>
    <row r="196" spans="1:25" ht="15.75" x14ac:dyDescent="0.25">
      <c r="A196" s="142"/>
      <c r="B196" s="144" t="s">
        <v>306</v>
      </c>
      <c r="C196" s="303">
        <v>461</v>
      </c>
      <c r="D196" s="303"/>
      <c r="E196" s="303">
        <v>135</v>
      </c>
      <c r="F196" s="303"/>
      <c r="G196" s="303"/>
      <c r="H196" s="119"/>
      <c r="I196" s="303">
        <v>596</v>
      </c>
      <c r="J196" s="302"/>
      <c r="K196" s="303"/>
      <c r="L196" s="303"/>
      <c r="M196" s="119"/>
      <c r="N196" s="303"/>
      <c r="O196" s="302"/>
      <c r="P196" s="119"/>
      <c r="Q196" s="173"/>
      <c r="R196" s="119"/>
      <c r="S196" s="303"/>
      <c r="T196" s="117"/>
      <c r="U196" s="312"/>
      <c r="V196" s="117"/>
      <c r="W196" s="296"/>
      <c r="X196" s="296"/>
      <c r="Y196" s="511">
        <v>596</v>
      </c>
    </row>
    <row r="197" spans="1:25" s="306" customFormat="1" ht="15.75" x14ac:dyDescent="0.25">
      <c r="A197" s="142"/>
      <c r="B197" s="145" t="s">
        <v>307</v>
      </c>
      <c r="C197" s="305">
        <v>-4.7520661157024795E-2</v>
      </c>
      <c r="D197" s="305">
        <v>0</v>
      </c>
      <c r="E197" s="305">
        <v>-2.8776978417266189E-2</v>
      </c>
      <c r="F197" s="305">
        <v>0</v>
      </c>
      <c r="G197" s="305">
        <v>0</v>
      </c>
      <c r="H197" s="122">
        <v>0</v>
      </c>
      <c r="I197" s="305">
        <v>-4.3338683788121987E-2</v>
      </c>
      <c r="J197" s="304">
        <v>0</v>
      </c>
      <c r="K197" s="305">
        <v>0</v>
      </c>
      <c r="L197" s="305">
        <v>0</v>
      </c>
      <c r="M197" s="122">
        <v>0</v>
      </c>
      <c r="N197" s="305">
        <v>0</v>
      </c>
      <c r="O197" s="304">
        <v>0</v>
      </c>
      <c r="P197" s="122">
        <v>0</v>
      </c>
      <c r="Q197" s="253">
        <v>0</v>
      </c>
      <c r="R197" s="122">
        <v>0</v>
      </c>
      <c r="S197" s="305">
        <v>0</v>
      </c>
      <c r="T197" s="120">
        <v>0</v>
      </c>
      <c r="U197" s="313">
        <v>0</v>
      </c>
      <c r="V197" s="120">
        <v>0</v>
      </c>
      <c r="W197" s="296">
        <v>0</v>
      </c>
      <c r="X197" s="296">
        <v>0</v>
      </c>
      <c r="Y197" s="306">
        <v>-4.3338683788121987E-2</v>
      </c>
    </row>
    <row r="198" spans="1:25" ht="15.75" x14ac:dyDescent="0.25">
      <c r="A198" s="142"/>
      <c r="B198" s="143" t="s">
        <v>308</v>
      </c>
      <c r="C198" s="300"/>
      <c r="D198" s="300"/>
      <c r="E198" s="300"/>
      <c r="F198" s="300"/>
      <c r="G198" s="300"/>
      <c r="H198" s="134"/>
      <c r="I198" s="300"/>
      <c r="J198" s="299"/>
      <c r="K198" s="300"/>
      <c r="L198" s="300"/>
      <c r="M198" s="134"/>
      <c r="N198" s="300"/>
      <c r="O198" s="299"/>
      <c r="P198" s="134"/>
      <c r="Q198" s="301"/>
      <c r="R198" s="134"/>
      <c r="S198" s="300"/>
      <c r="T198" s="132"/>
      <c r="U198" s="311"/>
      <c r="V198" s="132"/>
      <c r="W198" s="296"/>
      <c r="X198" s="296"/>
    </row>
    <row r="199" spans="1:25" ht="15.75" x14ac:dyDescent="0.25">
      <c r="A199" s="142"/>
      <c r="B199" s="144" t="s">
        <v>309</v>
      </c>
      <c r="C199" s="303"/>
      <c r="D199" s="303"/>
      <c r="E199" s="303"/>
      <c r="F199" s="303"/>
      <c r="G199" s="303"/>
      <c r="H199" s="119"/>
      <c r="I199" s="303"/>
      <c r="J199" s="302"/>
      <c r="K199" s="303"/>
      <c r="L199" s="303"/>
      <c r="M199" s="119"/>
      <c r="N199" s="303"/>
      <c r="O199" s="302"/>
      <c r="P199" s="119"/>
      <c r="Q199" s="173"/>
      <c r="R199" s="119"/>
      <c r="S199" s="303"/>
      <c r="T199" s="117"/>
      <c r="U199" s="312"/>
      <c r="V199" s="117"/>
      <c r="W199" s="296"/>
      <c r="X199" s="296"/>
    </row>
    <row r="200" spans="1:25" s="306" customFormat="1" ht="15.75" x14ac:dyDescent="0.25">
      <c r="A200" s="142"/>
      <c r="B200" s="145" t="s">
        <v>310</v>
      </c>
      <c r="C200" s="305">
        <v>0</v>
      </c>
      <c r="D200" s="305">
        <v>0</v>
      </c>
      <c r="E200" s="305">
        <v>0</v>
      </c>
      <c r="F200" s="305">
        <v>0</v>
      </c>
      <c r="G200" s="305">
        <v>0</v>
      </c>
      <c r="H200" s="122">
        <v>0</v>
      </c>
      <c r="I200" s="305">
        <v>0</v>
      </c>
      <c r="J200" s="304">
        <v>0</v>
      </c>
      <c r="K200" s="305">
        <v>0</v>
      </c>
      <c r="L200" s="305">
        <v>0</v>
      </c>
      <c r="M200" s="122">
        <v>0</v>
      </c>
      <c r="N200" s="305">
        <v>0</v>
      </c>
      <c r="O200" s="304">
        <v>0</v>
      </c>
      <c r="P200" s="122">
        <v>0</v>
      </c>
      <c r="Q200" s="253">
        <v>0</v>
      </c>
      <c r="R200" s="122">
        <v>0</v>
      </c>
      <c r="S200" s="305">
        <v>0</v>
      </c>
      <c r="T200" s="120">
        <v>0</v>
      </c>
      <c r="U200" s="313">
        <v>0</v>
      </c>
      <c r="V200" s="120">
        <v>0</v>
      </c>
      <c r="W200" s="296">
        <v>0</v>
      </c>
      <c r="X200" s="296">
        <v>0</v>
      </c>
      <c r="Y200" s="306">
        <v>0</v>
      </c>
    </row>
    <row r="201" spans="1:25" ht="15.75" x14ac:dyDescent="0.25">
      <c r="A201" s="142"/>
      <c r="B201" s="143" t="s">
        <v>311</v>
      </c>
      <c r="C201" s="300"/>
      <c r="D201" s="300"/>
      <c r="E201" s="300"/>
      <c r="F201" s="300"/>
      <c r="G201" s="300"/>
      <c r="H201" s="134"/>
      <c r="I201" s="300"/>
      <c r="J201" s="299"/>
      <c r="K201" s="300"/>
      <c r="L201" s="300"/>
      <c r="M201" s="134"/>
      <c r="N201" s="300"/>
      <c r="O201" s="299"/>
      <c r="P201" s="134"/>
      <c r="Q201" s="301"/>
      <c r="R201" s="134"/>
      <c r="S201" s="300"/>
      <c r="T201" s="132"/>
      <c r="U201" s="311"/>
      <c r="V201" s="132"/>
      <c r="W201" s="296"/>
      <c r="X201" s="296"/>
    </row>
    <row r="202" spans="1:25" ht="15.75" x14ac:dyDescent="0.25">
      <c r="A202" s="142"/>
      <c r="B202" s="144" t="s">
        <v>312</v>
      </c>
      <c r="C202" s="303"/>
      <c r="D202" s="303"/>
      <c r="E202" s="303"/>
      <c r="F202" s="303"/>
      <c r="G202" s="303"/>
      <c r="H202" s="119"/>
      <c r="I202" s="303"/>
      <c r="J202" s="302"/>
      <c r="K202" s="303"/>
      <c r="L202" s="303"/>
      <c r="M202" s="119"/>
      <c r="N202" s="303"/>
      <c r="O202" s="302"/>
      <c r="P202" s="119"/>
      <c r="Q202" s="173"/>
      <c r="R202" s="119"/>
      <c r="S202" s="303"/>
      <c r="T202" s="117"/>
      <c r="U202" s="312"/>
      <c r="V202" s="117"/>
      <c r="W202" s="296"/>
      <c r="X202" s="296"/>
    </row>
    <row r="203" spans="1:25" s="306" customFormat="1" ht="15.75" x14ac:dyDescent="0.25">
      <c r="A203" s="142"/>
      <c r="B203" s="145" t="s">
        <v>313</v>
      </c>
      <c r="C203" s="305">
        <v>0</v>
      </c>
      <c r="D203" s="305">
        <v>0</v>
      </c>
      <c r="E203" s="305">
        <v>0</v>
      </c>
      <c r="F203" s="305">
        <v>0</v>
      </c>
      <c r="G203" s="305">
        <v>0</v>
      </c>
      <c r="H203" s="122">
        <v>0</v>
      </c>
      <c r="I203" s="305">
        <v>0</v>
      </c>
      <c r="J203" s="304">
        <v>0</v>
      </c>
      <c r="K203" s="305">
        <v>0</v>
      </c>
      <c r="L203" s="305">
        <v>0</v>
      </c>
      <c r="M203" s="122">
        <v>0</v>
      </c>
      <c r="N203" s="305">
        <v>0</v>
      </c>
      <c r="O203" s="304">
        <v>0</v>
      </c>
      <c r="P203" s="122">
        <v>0</v>
      </c>
      <c r="Q203" s="253">
        <v>0</v>
      </c>
      <c r="R203" s="122">
        <v>0</v>
      </c>
      <c r="S203" s="305">
        <v>0</v>
      </c>
      <c r="T203" s="120">
        <v>0</v>
      </c>
      <c r="U203" s="313">
        <v>0</v>
      </c>
      <c r="V203" s="120">
        <v>0</v>
      </c>
      <c r="W203" s="296">
        <v>0</v>
      </c>
      <c r="X203" s="296">
        <v>0</v>
      </c>
      <c r="Y203" s="306">
        <v>0</v>
      </c>
    </row>
    <row r="204" spans="1:25" ht="15.75" x14ac:dyDescent="0.25">
      <c r="A204" s="142"/>
      <c r="B204" s="143" t="s">
        <v>314</v>
      </c>
      <c r="C204" s="300"/>
      <c r="D204" s="300"/>
      <c r="E204" s="300"/>
      <c r="F204" s="300"/>
      <c r="G204" s="300"/>
      <c r="H204" s="134"/>
      <c r="I204" s="300"/>
      <c r="J204" s="299"/>
      <c r="K204" s="300"/>
      <c r="L204" s="300"/>
      <c r="M204" s="134"/>
      <c r="N204" s="300"/>
      <c r="O204" s="299"/>
      <c r="P204" s="134"/>
      <c r="Q204" s="301"/>
      <c r="R204" s="134"/>
      <c r="S204" s="300"/>
      <c r="T204" s="132"/>
      <c r="U204" s="311"/>
      <c r="V204" s="132"/>
      <c r="W204" s="296"/>
      <c r="X204" s="296"/>
    </row>
    <row r="205" spans="1:25" ht="15.75" x14ac:dyDescent="0.25">
      <c r="A205" s="142"/>
      <c r="B205" s="144" t="s">
        <v>315</v>
      </c>
      <c r="C205" s="303"/>
      <c r="D205" s="303"/>
      <c r="E205" s="303"/>
      <c r="F205" s="303"/>
      <c r="G205" s="303"/>
      <c r="H205" s="119"/>
      <c r="I205" s="303"/>
      <c r="J205" s="302"/>
      <c r="K205" s="303"/>
      <c r="L205" s="303"/>
      <c r="M205" s="119"/>
      <c r="N205" s="303"/>
      <c r="O205" s="302"/>
      <c r="P205" s="119"/>
      <c r="Q205" s="173"/>
      <c r="R205" s="119"/>
      <c r="S205" s="303"/>
      <c r="T205" s="117"/>
      <c r="U205" s="312"/>
      <c r="V205" s="117"/>
      <c r="W205" s="296"/>
      <c r="X205" s="296"/>
    </row>
    <row r="206" spans="1:25" s="306" customFormat="1" ht="15.75" x14ac:dyDescent="0.25">
      <c r="A206" s="142"/>
      <c r="B206" s="145" t="s">
        <v>316</v>
      </c>
      <c r="C206" s="305">
        <v>0</v>
      </c>
      <c r="D206" s="305">
        <v>0</v>
      </c>
      <c r="E206" s="305">
        <v>0</v>
      </c>
      <c r="F206" s="305">
        <v>0</v>
      </c>
      <c r="G206" s="305">
        <v>0</v>
      </c>
      <c r="H206" s="122">
        <v>0</v>
      </c>
      <c r="I206" s="305">
        <v>0</v>
      </c>
      <c r="J206" s="304">
        <v>0</v>
      </c>
      <c r="K206" s="305">
        <v>0</v>
      </c>
      <c r="L206" s="305">
        <v>0</v>
      </c>
      <c r="M206" s="122">
        <v>0</v>
      </c>
      <c r="N206" s="305">
        <v>0</v>
      </c>
      <c r="O206" s="304">
        <v>0</v>
      </c>
      <c r="P206" s="122">
        <v>0</v>
      </c>
      <c r="Q206" s="253">
        <v>0</v>
      </c>
      <c r="R206" s="122">
        <v>0</v>
      </c>
      <c r="S206" s="305">
        <v>0</v>
      </c>
      <c r="T206" s="120">
        <v>0</v>
      </c>
      <c r="U206" s="313">
        <v>0</v>
      </c>
      <c r="V206" s="120">
        <v>0</v>
      </c>
      <c r="W206" s="296">
        <v>0</v>
      </c>
      <c r="X206" s="296">
        <v>0</v>
      </c>
      <c r="Y206" s="306">
        <v>0</v>
      </c>
    </row>
    <row r="207" spans="1:25" ht="15.75" x14ac:dyDescent="0.25">
      <c r="A207" s="142"/>
      <c r="B207" s="143" t="s">
        <v>317</v>
      </c>
      <c r="C207" s="300">
        <v>87</v>
      </c>
      <c r="D207" s="300"/>
      <c r="E207" s="300"/>
      <c r="F207" s="300"/>
      <c r="G207" s="300"/>
      <c r="H207" s="134"/>
      <c r="I207" s="300">
        <v>87</v>
      </c>
      <c r="J207" s="299"/>
      <c r="K207" s="300"/>
      <c r="L207" s="300"/>
      <c r="M207" s="134"/>
      <c r="N207" s="300"/>
      <c r="O207" s="299"/>
      <c r="P207" s="134"/>
      <c r="Q207" s="301"/>
      <c r="R207" s="134"/>
      <c r="S207" s="300"/>
      <c r="T207" s="132"/>
      <c r="U207" s="311"/>
      <c r="V207" s="132"/>
      <c r="W207" s="296"/>
      <c r="X207" s="296"/>
      <c r="Y207" s="511">
        <v>87</v>
      </c>
    </row>
    <row r="208" spans="1:25" ht="15.75" x14ac:dyDescent="0.25">
      <c r="A208" s="142"/>
      <c r="B208" s="144" t="s">
        <v>318</v>
      </c>
      <c r="C208" s="303">
        <v>84</v>
      </c>
      <c r="D208" s="303"/>
      <c r="E208" s="303"/>
      <c r="F208" s="303"/>
      <c r="G208" s="303"/>
      <c r="H208" s="119"/>
      <c r="I208" s="303">
        <v>84</v>
      </c>
      <c r="J208" s="302"/>
      <c r="K208" s="303"/>
      <c r="L208" s="303"/>
      <c r="M208" s="119"/>
      <c r="N208" s="303"/>
      <c r="O208" s="302"/>
      <c r="P208" s="119"/>
      <c r="Q208" s="173"/>
      <c r="R208" s="119"/>
      <c r="S208" s="303"/>
      <c r="T208" s="117"/>
      <c r="U208" s="312"/>
      <c r="V208" s="117"/>
      <c r="W208" s="296"/>
      <c r="X208" s="296"/>
      <c r="Y208" s="511">
        <v>84</v>
      </c>
    </row>
    <row r="209" spans="1:25" s="306" customFormat="1" ht="15.75" x14ac:dyDescent="0.25">
      <c r="A209" s="142"/>
      <c r="B209" s="145" t="s">
        <v>319</v>
      </c>
      <c r="C209" s="305">
        <v>-3.4482758620689655E-2</v>
      </c>
      <c r="D209" s="305">
        <v>0</v>
      </c>
      <c r="E209" s="305">
        <v>0</v>
      </c>
      <c r="F209" s="305">
        <v>0</v>
      </c>
      <c r="G209" s="305">
        <v>0</v>
      </c>
      <c r="H209" s="122">
        <v>0</v>
      </c>
      <c r="I209" s="305">
        <v>-3.4482758620689655E-2</v>
      </c>
      <c r="J209" s="304">
        <v>0</v>
      </c>
      <c r="K209" s="305">
        <v>0</v>
      </c>
      <c r="L209" s="305">
        <v>0</v>
      </c>
      <c r="M209" s="122">
        <v>0</v>
      </c>
      <c r="N209" s="305">
        <v>0</v>
      </c>
      <c r="O209" s="304">
        <v>0</v>
      </c>
      <c r="P209" s="122">
        <v>0</v>
      </c>
      <c r="Q209" s="253">
        <v>0</v>
      </c>
      <c r="R209" s="122">
        <v>0</v>
      </c>
      <c r="S209" s="305">
        <v>0</v>
      </c>
      <c r="T209" s="120">
        <v>0</v>
      </c>
      <c r="U209" s="313">
        <v>0</v>
      </c>
      <c r="V209" s="120">
        <v>0</v>
      </c>
      <c r="W209" s="296">
        <v>0</v>
      </c>
      <c r="X209" s="296">
        <v>0</v>
      </c>
      <c r="Y209" s="306">
        <v>-3.4482758620689655E-2</v>
      </c>
    </row>
    <row r="210" spans="1:25" ht="15.75" x14ac:dyDescent="0.25">
      <c r="A210" s="142"/>
      <c r="B210" s="143" t="s">
        <v>320</v>
      </c>
      <c r="C210" s="300"/>
      <c r="D210" s="300"/>
      <c r="E210" s="300"/>
      <c r="F210" s="300"/>
      <c r="G210" s="300"/>
      <c r="H210" s="134"/>
      <c r="I210" s="300"/>
      <c r="J210" s="299"/>
      <c r="K210" s="300"/>
      <c r="L210" s="300"/>
      <c r="M210" s="134"/>
      <c r="N210" s="300"/>
      <c r="O210" s="299"/>
      <c r="P210" s="134"/>
      <c r="Q210" s="301"/>
      <c r="R210" s="134"/>
      <c r="S210" s="300"/>
      <c r="T210" s="132"/>
      <c r="U210" s="311"/>
      <c r="V210" s="132"/>
      <c r="W210" s="296"/>
      <c r="X210" s="296"/>
    </row>
    <row r="211" spans="1:25" ht="15.75" x14ac:dyDescent="0.25">
      <c r="A211" s="142"/>
      <c r="B211" s="144" t="s">
        <v>321</v>
      </c>
      <c r="C211" s="303"/>
      <c r="D211" s="303"/>
      <c r="E211" s="303"/>
      <c r="F211" s="303"/>
      <c r="G211" s="303"/>
      <c r="H211" s="119"/>
      <c r="I211" s="303"/>
      <c r="J211" s="302"/>
      <c r="K211" s="303"/>
      <c r="L211" s="303"/>
      <c r="M211" s="119"/>
      <c r="N211" s="303"/>
      <c r="O211" s="302"/>
      <c r="P211" s="119"/>
      <c r="Q211" s="173"/>
      <c r="R211" s="119"/>
      <c r="S211" s="303"/>
      <c r="T211" s="117"/>
      <c r="U211" s="312"/>
      <c r="V211" s="117"/>
      <c r="W211" s="296"/>
      <c r="X211" s="296"/>
    </row>
    <row r="212" spans="1:25" s="306" customFormat="1" ht="15.75" x14ac:dyDescent="0.25">
      <c r="A212" s="142"/>
      <c r="B212" s="145" t="s">
        <v>322</v>
      </c>
      <c r="C212" s="305">
        <v>0</v>
      </c>
      <c r="D212" s="305">
        <v>0</v>
      </c>
      <c r="E212" s="305">
        <v>0</v>
      </c>
      <c r="F212" s="305">
        <v>0</v>
      </c>
      <c r="G212" s="305">
        <v>0</v>
      </c>
      <c r="H212" s="122">
        <v>0</v>
      </c>
      <c r="I212" s="305">
        <v>0</v>
      </c>
      <c r="J212" s="304">
        <v>0</v>
      </c>
      <c r="K212" s="305">
        <v>0</v>
      </c>
      <c r="L212" s="305">
        <v>0</v>
      </c>
      <c r="M212" s="122">
        <v>0</v>
      </c>
      <c r="N212" s="305">
        <v>0</v>
      </c>
      <c r="O212" s="304">
        <v>0</v>
      </c>
      <c r="P212" s="122">
        <v>0</v>
      </c>
      <c r="Q212" s="253">
        <v>0</v>
      </c>
      <c r="R212" s="122">
        <v>0</v>
      </c>
      <c r="S212" s="305">
        <v>0</v>
      </c>
      <c r="T212" s="120">
        <v>0</v>
      </c>
      <c r="U212" s="313">
        <v>0</v>
      </c>
      <c r="V212" s="120">
        <v>0</v>
      </c>
      <c r="W212" s="296">
        <v>0</v>
      </c>
      <c r="X212" s="296">
        <v>0</v>
      </c>
      <c r="Y212" s="306">
        <v>0</v>
      </c>
    </row>
    <row r="213" spans="1:25" ht="15.75" x14ac:dyDescent="0.25">
      <c r="A213" s="142"/>
      <c r="B213" s="143" t="s">
        <v>404</v>
      </c>
      <c r="C213" s="300">
        <v>298</v>
      </c>
      <c r="D213" s="300">
        <v>14</v>
      </c>
      <c r="E213" s="300">
        <v>37</v>
      </c>
      <c r="F213" s="300">
        <v>19</v>
      </c>
      <c r="G213" s="300"/>
      <c r="H213" s="134"/>
      <c r="I213" s="300">
        <v>368</v>
      </c>
      <c r="J213" s="299"/>
      <c r="K213" s="300"/>
      <c r="L213" s="300"/>
      <c r="M213" s="134"/>
      <c r="N213" s="300"/>
      <c r="O213" s="299"/>
      <c r="P213" s="134"/>
      <c r="Q213" s="301"/>
      <c r="R213" s="134"/>
      <c r="S213" s="300"/>
      <c r="T213" s="132"/>
      <c r="U213" s="311"/>
      <c r="V213" s="132"/>
      <c r="W213" s="296"/>
      <c r="X213" s="296"/>
      <c r="Y213" s="511">
        <v>368</v>
      </c>
    </row>
    <row r="214" spans="1:25" ht="15.75" x14ac:dyDescent="0.25">
      <c r="A214" s="142"/>
      <c r="B214" s="144" t="s">
        <v>406</v>
      </c>
      <c r="C214" s="303">
        <v>261</v>
      </c>
      <c r="D214" s="303">
        <v>9</v>
      </c>
      <c r="E214" s="303">
        <v>56</v>
      </c>
      <c r="F214" s="303">
        <v>19</v>
      </c>
      <c r="G214" s="303"/>
      <c r="H214" s="119"/>
      <c r="I214" s="303">
        <v>345</v>
      </c>
      <c r="J214" s="302"/>
      <c r="K214" s="303"/>
      <c r="L214" s="303"/>
      <c r="M214" s="119"/>
      <c r="N214" s="303"/>
      <c r="O214" s="302"/>
      <c r="P214" s="119"/>
      <c r="Q214" s="173"/>
      <c r="R214" s="119"/>
      <c r="S214" s="303"/>
      <c r="T214" s="117"/>
      <c r="U214" s="312"/>
      <c r="V214" s="117"/>
      <c r="W214" s="296"/>
      <c r="X214" s="296"/>
      <c r="Y214" s="511">
        <v>345</v>
      </c>
    </row>
    <row r="215" spans="1:25" s="306" customFormat="1" ht="15.75" x14ac:dyDescent="0.25">
      <c r="A215" s="142"/>
      <c r="B215" s="145" t="s">
        <v>474</v>
      </c>
      <c r="C215" s="305">
        <v>-0.12416107382550336</v>
      </c>
      <c r="D215" s="305">
        <v>-0.35714285714285715</v>
      </c>
      <c r="E215" s="305">
        <v>0.51351351351351349</v>
      </c>
      <c r="F215" s="305">
        <v>0</v>
      </c>
      <c r="G215" s="305">
        <v>0</v>
      </c>
      <c r="H215" s="122">
        <v>0</v>
      </c>
      <c r="I215" s="305">
        <v>-6.25E-2</v>
      </c>
      <c r="J215" s="304">
        <v>0</v>
      </c>
      <c r="K215" s="305">
        <v>0</v>
      </c>
      <c r="L215" s="305">
        <v>0</v>
      </c>
      <c r="M215" s="122">
        <v>0</v>
      </c>
      <c r="N215" s="305">
        <v>0</v>
      </c>
      <c r="O215" s="304">
        <v>0</v>
      </c>
      <c r="P215" s="122">
        <v>0</v>
      </c>
      <c r="Q215" s="253">
        <v>0</v>
      </c>
      <c r="R215" s="122">
        <v>0</v>
      </c>
      <c r="S215" s="305">
        <v>0</v>
      </c>
      <c r="T215" s="120">
        <v>0</v>
      </c>
      <c r="U215" s="313">
        <v>0</v>
      </c>
      <c r="V215" s="120">
        <v>0</v>
      </c>
      <c r="W215" s="296">
        <v>0</v>
      </c>
      <c r="X215" s="296">
        <v>0</v>
      </c>
      <c r="Y215" s="306">
        <v>-6.25E-2</v>
      </c>
    </row>
    <row r="216" spans="1:25" ht="15.75" x14ac:dyDescent="0.25">
      <c r="A216" s="142"/>
      <c r="B216" s="143" t="s">
        <v>476</v>
      </c>
      <c r="C216" s="300"/>
      <c r="D216" s="300"/>
      <c r="E216" s="300"/>
      <c r="F216" s="300"/>
      <c r="G216" s="300"/>
      <c r="H216" s="134"/>
      <c r="I216" s="300"/>
      <c r="J216" s="299"/>
      <c r="K216" s="300"/>
      <c r="L216" s="300"/>
      <c r="M216" s="134"/>
      <c r="N216" s="300"/>
      <c r="O216" s="299"/>
      <c r="P216" s="134"/>
      <c r="Q216" s="301"/>
      <c r="R216" s="134"/>
      <c r="S216" s="300"/>
      <c r="T216" s="132"/>
      <c r="U216" s="311"/>
      <c r="V216" s="132"/>
      <c r="W216" s="296"/>
      <c r="X216" s="296"/>
    </row>
    <row r="217" spans="1:25" ht="15.75" x14ac:dyDescent="0.25">
      <c r="A217" s="294"/>
      <c r="B217" s="144" t="s">
        <v>472</v>
      </c>
      <c r="C217" s="303"/>
      <c r="D217" s="303"/>
      <c r="E217" s="303"/>
      <c r="F217" s="303"/>
      <c r="G217" s="303"/>
      <c r="H217" s="119"/>
      <c r="I217" s="303"/>
      <c r="J217" s="302"/>
      <c r="K217" s="303"/>
      <c r="L217" s="303"/>
      <c r="M217" s="119"/>
      <c r="N217" s="303"/>
      <c r="O217" s="302"/>
      <c r="P217" s="119"/>
      <c r="Q217" s="173"/>
      <c r="R217" s="119"/>
      <c r="S217" s="303"/>
      <c r="T217" s="117"/>
      <c r="U217" s="312"/>
      <c r="V217" s="117"/>
      <c r="W217" s="296"/>
      <c r="X217" s="296"/>
    </row>
    <row r="218" spans="1:25" s="306" customFormat="1" ht="15.75" x14ac:dyDescent="0.25">
      <c r="A218" s="141" t="s">
        <v>548</v>
      </c>
      <c r="B218" s="143" t="s">
        <v>275</v>
      </c>
      <c r="C218" s="300"/>
      <c r="D218" s="300"/>
      <c r="E218" s="300"/>
      <c r="F218" s="300">
        <v>298</v>
      </c>
      <c r="G218" s="300">
        <v>57</v>
      </c>
      <c r="H218" s="134">
        <v>13</v>
      </c>
      <c r="I218" s="300">
        <v>368</v>
      </c>
      <c r="J218" s="299">
        <v>144</v>
      </c>
      <c r="K218" s="300">
        <v>18</v>
      </c>
      <c r="L218" s="300">
        <v>527</v>
      </c>
      <c r="M218" s="134"/>
      <c r="N218" s="300">
        <v>689</v>
      </c>
      <c r="O218" s="299">
        <v>40525</v>
      </c>
      <c r="P218" s="134"/>
      <c r="Q218" s="301"/>
      <c r="R218" s="134">
        <v>40525</v>
      </c>
      <c r="S218" s="300">
        <v>25</v>
      </c>
      <c r="T218" s="132">
        <v>25</v>
      </c>
      <c r="U218" s="311"/>
      <c r="V218" s="132"/>
      <c r="W218" s="296"/>
      <c r="X218" s="296"/>
      <c r="Y218" s="306">
        <v>41607</v>
      </c>
    </row>
    <row r="219" spans="1:25" ht="16.5" thickBot="1" x14ac:dyDescent="0.3">
      <c r="A219" s="142"/>
      <c r="B219" s="144" t="s">
        <v>276</v>
      </c>
      <c r="C219" s="303"/>
      <c r="D219" s="303"/>
      <c r="E219" s="303"/>
      <c r="F219" s="303">
        <v>136</v>
      </c>
      <c r="G219" s="303">
        <v>88</v>
      </c>
      <c r="H219" s="119">
        <v>4</v>
      </c>
      <c r="I219" s="303">
        <v>228</v>
      </c>
      <c r="J219" s="302">
        <v>136</v>
      </c>
      <c r="K219" s="303">
        <v>14</v>
      </c>
      <c r="L219" s="303">
        <v>386</v>
      </c>
      <c r="M219" s="119"/>
      <c r="N219" s="303">
        <v>536</v>
      </c>
      <c r="O219" s="302">
        <v>32058</v>
      </c>
      <c r="P219" s="119"/>
      <c r="Q219" s="173"/>
      <c r="R219" s="119">
        <v>32058</v>
      </c>
      <c r="S219" s="303">
        <v>12</v>
      </c>
      <c r="T219" s="117">
        <v>12</v>
      </c>
      <c r="U219" s="312"/>
      <c r="V219" s="117"/>
      <c r="W219" s="296"/>
      <c r="X219" s="296"/>
      <c r="Y219" s="511">
        <v>32834</v>
      </c>
    </row>
    <row r="220" spans="1:25" ht="16.5" thickBot="1" x14ac:dyDescent="0.3">
      <c r="A220" s="142"/>
      <c r="B220" s="145" t="s">
        <v>277</v>
      </c>
      <c r="C220" s="305">
        <v>0</v>
      </c>
      <c r="D220" s="305">
        <v>0</v>
      </c>
      <c r="E220" s="305">
        <v>0</v>
      </c>
      <c r="F220" s="724">
        <v>-0.5436241610738255</v>
      </c>
      <c r="G220" s="724">
        <v>0.54385964912280704</v>
      </c>
      <c r="H220" s="724">
        <v>-0.69230769230769229</v>
      </c>
      <c r="I220" s="305">
        <v>-0.38043478260869568</v>
      </c>
      <c r="J220" s="304">
        <v>-5.5555555555555552E-2</v>
      </c>
      <c r="K220" s="305">
        <v>-0.22222222222222221</v>
      </c>
      <c r="L220" s="724">
        <v>-0.26755218216318788</v>
      </c>
      <c r="M220" s="122">
        <v>0</v>
      </c>
      <c r="N220" s="305">
        <v>-0.22206095791001451</v>
      </c>
      <c r="O220" s="724">
        <v>-0.20893275755706353</v>
      </c>
      <c r="P220" s="122">
        <v>0</v>
      </c>
      <c r="Q220" s="253">
        <v>0</v>
      </c>
      <c r="R220" s="122">
        <v>-0.20893275755706353</v>
      </c>
      <c r="S220" s="724">
        <v>-0.52</v>
      </c>
      <c r="T220" s="120">
        <v>-0.52</v>
      </c>
      <c r="U220" s="313">
        <v>0</v>
      </c>
      <c r="V220" s="120">
        <v>0</v>
      </c>
      <c r="W220" s="296">
        <v>0</v>
      </c>
      <c r="X220" s="296">
        <v>0</v>
      </c>
      <c r="Y220" s="511">
        <v>-0.21085394284615569</v>
      </c>
    </row>
    <row r="221" spans="1:25" s="306" customFormat="1" ht="15.75" x14ac:dyDescent="0.25">
      <c r="A221" s="142"/>
      <c r="B221" s="143" t="s">
        <v>278</v>
      </c>
      <c r="C221" s="300"/>
      <c r="D221" s="300"/>
      <c r="E221" s="300"/>
      <c r="F221" s="300"/>
      <c r="G221" s="300"/>
      <c r="H221" s="134"/>
      <c r="I221" s="300"/>
      <c r="J221" s="299"/>
      <c r="K221" s="300"/>
      <c r="L221" s="300"/>
      <c r="M221" s="134"/>
      <c r="N221" s="300"/>
      <c r="O221" s="299">
        <v>2705</v>
      </c>
      <c r="P221" s="134"/>
      <c r="Q221" s="301"/>
      <c r="R221" s="134">
        <v>2705</v>
      </c>
      <c r="S221" s="300"/>
      <c r="T221" s="132"/>
      <c r="U221" s="311"/>
      <c r="V221" s="132"/>
      <c r="W221" s="296"/>
      <c r="X221" s="296"/>
      <c r="Y221" s="306">
        <v>2705</v>
      </c>
    </row>
    <row r="222" spans="1:25" ht="15.75" x14ac:dyDescent="0.25">
      <c r="A222" s="142"/>
      <c r="B222" s="144" t="s">
        <v>279</v>
      </c>
      <c r="C222" s="303"/>
      <c r="D222" s="303"/>
      <c r="E222" s="303"/>
      <c r="F222" s="303"/>
      <c r="G222" s="303"/>
      <c r="H222" s="119"/>
      <c r="I222" s="303"/>
      <c r="J222" s="302"/>
      <c r="K222" s="303"/>
      <c r="L222" s="303"/>
      <c r="M222" s="119"/>
      <c r="N222" s="303"/>
      <c r="O222" s="302">
        <v>2403</v>
      </c>
      <c r="P222" s="119"/>
      <c r="Q222" s="173"/>
      <c r="R222" s="119">
        <v>2403</v>
      </c>
      <c r="S222" s="303"/>
      <c r="T222" s="117"/>
      <c r="U222" s="312"/>
      <c r="V222" s="117"/>
      <c r="W222" s="296"/>
      <c r="X222" s="296"/>
      <c r="Y222" s="511">
        <v>2403</v>
      </c>
    </row>
    <row r="223" spans="1:25" ht="15.75" x14ac:dyDescent="0.25">
      <c r="A223" s="142"/>
      <c r="B223" s="145" t="s">
        <v>280</v>
      </c>
      <c r="C223" s="305">
        <v>0</v>
      </c>
      <c r="D223" s="305">
        <v>0</v>
      </c>
      <c r="E223" s="305">
        <v>0</v>
      </c>
      <c r="F223" s="305">
        <v>0</v>
      </c>
      <c r="G223" s="305">
        <v>0</v>
      </c>
      <c r="H223" s="122">
        <v>0</v>
      </c>
      <c r="I223" s="305">
        <v>0</v>
      </c>
      <c r="J223" s="304">
        <v>0</v>
      </c>
      <c r="K223" s="305">
        <v>0</v>
      </c>
      <c r="L223" s="305">
        <v>0</v>
      </c>
      <c r="M223" s="122">
        <v>0</v>
      </c>
      <c r="N223" s="305">
        <v>0</v>
      </c>
      <c r="O223" s="304">
        <v>-0.11164510166358595</v>
      </c>
      <c r="P223" s="122">
        <v>0</v>
      </c>
      <c r="Q223" s="253">
        <v>0</v>
      </c>
      <c r="R223" s="122">
        <v>-0.11164510166358595</v>
      </c>
      <c r="S223" s="305">
        <v>0</v>
      </c>
      <c r="T223" s="120">
        <v>0</v>
      </c>
      <c r="U223" s="313">
        <v>0</v>
      </c>
      <c r="V223" s="120">
        <v>0</v>
      </c>
      <c r="W223" s="296">
        <v>0</v>
      </c>
      <c r="X223" s="296">
        <v>0</v>
      </c>
      <c r="Y223" s="511">
        <v>-0.11164510166358595</v>
      </c>
    </row>
    <row r="224" spans="1:25" s="306" customFormat="1" ht="15.75" x14ac:dyDescent="0.25">
      <c r="A224" s="142"/>
      <c r="B224" s="143" t="s">
        <v>281</v>
      </c>
      <c r="C224" s="300"/>
      <c r="D224" s="300"/>
      <c r="E224" s="300">
        <v>43</v>
      </c>
      <c r="F224" s="300">
        <v>259</v>
      </c>
      <c r="G224" s="300">
        <v>84</v>
      </c>
      <c r="H224" s="134">
        <v>316</v>
      </c>
      <c r="I224" s="300">
        <v>702</v>
      </c>
      <c r="J224" s="299">
        <v>1530</v>
      </c>
      <c r="K224" s="300">
        <v>1800</v>
      </c>
      <c r="L224" s="300">
        <v>2707</v>
      </c>
      <c r="M224" s="134">
        <v>355</v>
      </c>
      <c r="N224" s="300">
        <v>6392</v>
      </c>
      <c r="O224" s="299">
        <v>5748</v>
      </c>
      <c r="P224" s="134"/>
      <c r="Q224" s="301"/>
      <c r="R224" s="134">
        <v>5748</v>
      </c>
      <c r="S224" s="300">
        <v>9</v>
      </c>
      <c r="T224" s="132">
        <v>9</v>
      </c>
      <c r="U224" s="311"/>
      <c r="V224" s="132"/>
      <c r="W224" s="296"/>
      <c r="X224" s="296"/>
      <c r="Y224" s="306">
        <v>12851</v>
      </c>
    </row>
    <row r="225" spans="1:25" ht="16.5" thickBot="1" x14ac:dyDescent="0.3">
      <c r="A225" s="142"/>
      <c r="B225" s="144" t="s">
        <v>282</v>
      </c>
      <c r="C225" s="303"/>
      <c r="D225" s="303"/>
      <c r="E225" s="303">
        <v>46</v>
      </c>
      <c r="F225" s="303">
        <v>259</v>
      </c>
      <c r="G225" s="303">
        <v>60</v>
      </c>
      <c r="H225" s="119">
        <v>310</v>
      </c>
      <c r="I225" s="303">
        <v>675</v>
      </c>
      <c r="J225" s="302">
        <v>1678</v>
      </c>
      <c r="K225" s="303">
        <v>2129</v>
      </c>
      <c r="L225" s="303">
        <v>2854</v>
      </c>
      <c r="M225" s="119">
        <v>343</v>
      </c>
      <c r="N225" s="303">
        <v>7004</v>
      </c>
      <c r="O225" s="302">
        <v>5363</v>
      </c>
      <c r="P225" s="119"/>
      <c r="Q225" s="173"/>
      <c r="R225" s="119">
        <v>5363</v>
      </c>
      <c r="S225" s="303">
        <v>6</v>
      </c>
      <c r="T225" s="117">
        <v>6</v>
      </c>
      <c r="U225" s="312"/>
      <c r="V225" s="117"/>
      <c r="W225" s="296"/>
      <c r="X225" s="296"/>
      <c r="Y225" s="511">
        <v>13048</v>
      </c>
    </row>
    <row r="226" spans="1:25" ht="16.5" thickBot="1" x14ac:dyDescent="0.3">
      <c r="A226" s="142"/>
      <c r="B226" s="145" t="s">
        <v>283</v>
      </c>
      <c r="C226" s="305">
        <v>0</v>
      </c>
      <c r="D226" s="305">
        <v>0</v>
      </c>
      <c r="E226" s="305">
        <v>6.9767441860465115E-2</v>
      </c>
      <c r="F226" s="305">
        <v>0</v>
      </c>
      <c r="G226" s="724">
        <v>-0.2857142857142857</v>
      </c>
      <c r="H226" s="122">
        <v>-1.8987341772151899E-2</v>
      </c>
      <c r="I226" s="305">
        <v>-3.8461538461538464E-2</v>
      </c>
      <c r="J226" s="304">
        <v>9.6732026143790853E-2</v>
      </c>
      <c r="K226" s="305">
        <v>0.18277777777777779</v>
      </c>
      <c r="L226" s="305">
        <v>5.4303657185075731E-2</v>
      </c>
      <c r="M226" s="122">
        <v>-3.3802816901408447E-2</v>
      </c>
      <c r="N226" s="305">
        <v>9.5744680851063829E-2</v>
      </c>
      <c r="O226" s="304">
        <v>-6.6979819067501736E-2</v>
      </c>
      <c r="P226" s="122">
        <v>0</v>
      </c>
      <c r="Q226" s="253">
        <v>0</v>
      </c>
      <c r="R226" s="122">
        <v>-6.6979819067501736E-2</v>
      </c>
      <c r="S226" s="305">
        <v>-0.33333333333333331</v>
      </c>
      <c r="T226" s="120">
        <v>-0.33333333333333331</v>
      </c>
      <c r="U226" s="313">
        <v>0</v>
      </c>
      <c r="V226" s="120">
        <v>0</v>
      </c>
      <c r="W226" s="296">
        <v>0</v>
      </c>
      <c r="X226" s="296">
        <v>0</v>
      </c>
      <c r="Y226" s="511">
        <v>1.5329546338806319E-2</v>
      </c>
    </row>
    <row r="227" spans="1:25" s="306" customFormat="1" ht="15.75" x14ac:dyDescent="0.25">
      <c r="A227" s="142"/>
      <c r="B227" s="143" t="s">
        <v>284</v>
      </c>
      <c r="C227" s="300">
        <v>10947</v>
      </c>
      <c r="D227" s="300">
        <v>3024</v>
      </c>
      <c r="E227" s="300">
        <v>5801</v>
      </c>
      <c r="F227" s="300">
        <v>8310</v>
      </c>
      <c r="G227" s="300">
        <v>2148</v>
      </c>
      <c r="H227" s="134">
        <v>702</v>
      </c>
      <c r="I227" s="300">
        <v>30932</v>
      </c>
      <c r="J227" s="299">
        <v>385</v>
      </c>
      <c r="K227" s="300"/>
      <c r="L227" s="300">
        <v>136</v>
      </c>
      <c r="M227" s="134"/>
      <c r="N227" s="300">
        <v>521</v>
      </c>
      <c r="O227" s="299"/>
      <c r="P227" s="134"/>
      <c r="Q227" s="301"/>
      <c r="R227" s="134"/>
      <c r="S227" s="300">
        <v>944</v>
      </c>
      <c r="T227" s="132">
        <v>944</v>
      </c>
      <c r="U227" s="311"/>
      <c r="V227" s="132"/>
      <c r="W227" s="296"/>
      <c r="X227" s="296"/>
      <c r="Y227" s="306">
        <v>32397</v>
      </c>
    </row>
    <row r="228" spans="1:25" ht="16.5" thickBot="1" x14ac:dyDescent="0.3">
      <c r="A228" s="142"/>
      <c r="B228" s="144" t="s">
        <v>285</v>
      </c>
      <c r="C228" s="303">
        <v>11214</v>
      </c>
      <c r="D228" s="303">
        <v>2866</v>
      </c>
      <c r="E228" s="303">
        <v>6091</v>
      </c>
      <c r="F228" s="303">
        <v>8732</v>
      </c>
      <c r="G228" s="303">
        <v>2338</v>
      </c>
      <c r="H228" s="119">
        <v>900</v>
      </c>
      <c r="I228" s="303">
        <v>32141</v>
      </c>
      <c r="J228" s="302">
        <v>431</v>
      </c>
      <c r="K228" s="303"/>
      <c r="L228" s="303">
        <v>219</v>
      </c>
      <c r="M228" s="119"/>
      <c r="N228" s="303">
        <v>650</v>
      </c>
      <c r="O228" s="302"/>
      <c r="P228" s="119"/>
      <c r="Q228" s="173"/>
      <c r="R228" s="119"/>
      <c r="S228" s="303">
        <v>926</v>
      </c>
      <c r="T228" s="117">
        <v>926</v>
      </c>
      <c r="U228" s="312"/>
      <c r="V228" s="117"/>
      <c r="W228" s="296"/>
      <c r="X228" s="296"/>
      <c r="Y228" s="511">
        <v>33717</v>
      </c>
    </row>
    <row r="229" spans="1:25" ht="16.5" thickBot="1" x14ac:dyDescent="0.3">
      <c r="A229" s="142"/>
      <c r="B229" s="145" t="s">
        <v>286</v>
      </c>
      <c r="C229" s="305">
        <v>2.4390243902439025E-2</v>
      </c>
      <c r="D229" s="305">
        <v>-5.2248677248677246E-2</v>
      </c>
      <c r="E229" s="305">
        <v>4.9991380796414409E-2</v>
      </c>
      <c r="F229" s="305">
        <v>5.078219013237064E-2</v>
      </c>
      <c r="G229" s="305">
        <v>8.8454376163873374E-2</v>
      </c>
      <c r="H229" s="724">
        <v>0.28205128205128205</v>
      </c>
      <c r="I229" s="305">
        <v>3.9085736454157506E-2</v>
      </c>
      <c r="J229" s="304">
        <v>0.11948051948051948</v>
      </c>
      <c r="K229" s="305">
        <v>0</v>
      </c>
      <c r="L229" s="724">
        <v>0.61029411764705888</v>
      </c>
      <c r="M229" s="122">
        <v>0</v>
      </c>
      <c r="N229" s="305">
        <v>0.24760076775431861</v>
      </c>
      <c r="O229" s="304">
        <v>0</v>
      </c>
      <c r="P229" s="122">
        <v>0</v>
      </c>
      <c r="Q229" s="253">
        <v>0</v>
      </c>
      <c r="R229" s="122">
        <v>0</v>
      </c>
      <c r="S229" s="305">
        <v>-1.9067796610169493E-2</v>
      </c>
      <c r="T229" s="120">
        <v>-1.9067796610169493E-2</v>
      </c>
      <c r="U229" s="313">
        <v>0</v>
      </c>
      <c r="V229" s="120">
        <v>0</v>
      </c>
      <c r="W229" s="296">
        <v>0</v>
      </c>
      <c r="X229" s="296">
        <v>0</v>
      </c>
      <c r="Y229" s="511">
        <v>4.0744513380868597E-2</v>
      </c>
    </row>
    <row r="230" spans="1:25" s="306" customFormat="1" ht="15.75" x14ac:dyDescent="0.25">
      <c r="A230" s="142"/>
      <c r="B230" s="143" t="s">
        <v>287</v>
      </c>
      <c r="C230" s="300">
        <v>46</v>
      </c>
      <c r="D230" s="300"/>
      <c r="E230" s="300">
        <v>10</v>
      </c>
      <c r="F230" s="300">
        <v>113</v>
      </c>
      <c r="G230" s="300"/>
      <c r="H230" s="134"/>
      <c r="I230" s="300">
        <v>169</v>
      </c>
      <c r="J230" s="299"/>
      <c r="K230" s="300"/>
      <c r="L230" s="300"/>
      <c r="M230" s="134"/>
      <c r="N230" s="300"/>
      <c r="O230" s="299"/>
      <c r="P230" s="134"/>
      <c r="Q230" s="301"/>
      <c r="R230" s="134"/>
      <c r="S230" s="300">
        <v>41</v>
      </c>
      <c r="T230" s="132">
        <v>41</v>
      </c>
      <c r="U230" s="311"/>
      <c r="V230" s="132"/>
      <c r="W230" s="296"/>
      <c r="X230" s="296"/>
      <c r="Y230" s="306">
        <v>210</v>
      </c>
    </row>
    <row r="231" spans="1:25" ht="16.5" thickBot="1" x14ac:dyDescent="0.3">
      <c r="A231" s="142"/>
      <c r="B231" s="144" t="s">
        <v>288</v>
      </c>
      <c r="C231" s="303">
        <v>31</v>
      </c>
      <c r="D231" s="303"/>
      <c r="E231" s="303">
        <v>1</v>
      </c>
      <c r="F231" s="303">
        <v>115</v>
      </c>
      <c r="G231" s="303"/>
      <c r="H231" s="119"/>
      <c r="I231" s="303">
        <v>147</v>
      </c>
      <c r="J231" s="302"/>
      <c r="K231" s="303"/>
      <c r="L231" s="303"/>
      <c r="M231" s="119"/>
      <c r="N231" s="303"/>
      <c r="O231" s="302"/>
      <c r="P231" s="119"/>
      <c r="Q231" s="173"/>
      <c r="R231" s="119"/>
      <c r="S231" s="303">
        <v>38</v>
      </c>
      <c r="T231" s="117">
        <v>38</v>
      </c>
      <c r="U231" s="312"/>
      <c r="V231" s="117"/>
      <c r="W231" s="296"/>
      <c r="X231" s="296"/>
      <c r="Y231" s="511">
        <v>185</v>
      </c>
    </row>
    <row r="232" spans="1:25" ht="16.5" thickBot="1" x14ac:dyDescent="0.3">
      <c r="A232" s="142"/>
      <c r="B232" s="145" t="s">
        <v>289</v>
      </c>
      <c r="C232" s="305">
        <v>-0.32608695652173914</v>
      </c>
      <c r="D232" s="305">
        <v>0</v>
      </c>
      <c r="E232" s="724">
        <v>-0.9</v>
      </c>
      <c r="F232" s="305">
        <v>1.7699115044247787E-2</v>
      </c>
      <c r="G232" s="305">
        <v>0</v>
      </c>
      <c r="H232" s="122">
        <v>0</v>
      </c>
      <c r="I232" s="305">
        <v>-0.13017751479289941</v>
      </c>
      <c r="J232" s="304">
        <v>0</v>
      </c>
      <c r="K232" s="305">
        <v>0</v>
      </c>
      <c r="L232" s="305">
        <v>0</v>
      </c>
      <c r="M232" s="122">
        <v>0</v>
      </c>
      <c r="N232" s="305">
        <v>0</v>
      </c>
      <c r="O232" s="304">
        <v>0</v>
      </c>
      <c r="P232" s="122">
        <v>0</v>
      </c>
      <c r="Q232" s="253">
        <v>0</v>
      </c>
      <c r="R232" s="122">
        <v>0</v>
      </c>
      <c r="S232" s="305">
        <v>-7.3170731707317069E-2</v>
      </c>
      <c r="T232" s="120">
        <v>-7.3170731707317069E-2</v>
      </c>
      <c r="U232" s="313">
        <v>0</v>
      </c>
      <c r="V232" s="120">
        <v>0</v>
      </c>
      <c r="W232" s="296">
        <v>0</v>
      </c>
      <c r="X232" s="296">
        <v>0</v>
      </c>
      <c r="Y232" s="511">
        <v>-0.11904761904761904</v>
      </c>
    </row>
    <row r="233" spans="1:25" s="306" customFormat="1" ht="15.75" x14ac:dyDescent="0.25">
      <c r="A233" s="142"/>
      <c r="B233" s="143" t="s">
        <v>290</v>
      </c>
      <c r="C233" s="300">
        <v>3966</v>
      </c>
      <c r="D233" s="300">
        <v>1878</v>
      </c>
      <c r="E233" s="300">
        <v>2068</v>
      </c>
      <c r="F233" s="300">
        <v>2799</v>
      </c>
      <c r="G233" s="300">
        <v>358</v>
      </c>
      <c r="H233" s="134">
        <v>0</v>
      </c>
      <c r="I233" s="300">
        <v>11069</v>
      </c>
      <c r="J233" s="299">
        <v>0</v>
      </c>
      <c r="K233" s="300">
        <v>0</v>
      </c>
      <c r="L233" s="300">
        <v>0</v>
      </c>
      <c r="M233" s="134">
        <v>0</v>
      </c>
      <c r="N233" s="300">
        <v>0</v>
      </c>
      <c r="O233" s="299">
        <v>0</v>
      </c>
      <c r="P233" s="134"/>
      <c r="Q233" s="301"/>
      <c r="R233" s="134">
        <v>0</v>
      </c>
      <c r="S233" s="300">
        <v>453</v>
      </c>
      <c r="T233" s="132">
        <v>453</v>
      </c>
      <c r="U233" s="311"/>
      <c r="V233" s="132"/>
      <c r="W233" s="296"/>
      <c r="X233" s="296"/>
      <c r="Y233" s="306">
        <v>11522</v>
      </c>
    </row>
    <row r="234" spans="1:25" ht="15.75" x14ac:dyDescent="0.25">
      <c r="A234" s="142"/>
      <c r="B234" s="144" t="s">
        <v>291</v>
      </c>
      <c r="C234" s="303">
        <v>4137</v>
      </c>
      <c r="D234" s="303">
        <v>1930</v>
      </c>
      <c r="E234" s="303">
        <v>2181</v>
      </c>
      <c r="F234" s="303">
        <v>2714</v>
      </c>
      <c r="G234" s="303">
        <v>354</v>
      </c>
      <c r="H234" s="119">
        <v>0</v>
      </c>
      <c r="I234" s="303">
        <v>11316</v>
      </c>
      <c r="J234" s="302">
        <v>0</v>
      </c>
      <c r="K234" s="303">
        <v>0</v>
      </c>
      <c r="L234" s="303">
        <v>0</v>
      </c>
      <c r="M234" s="119">
        <v>0</v>
      </c>
      <c r="N234" s="303">
        <v>0</v>
      </c>
      <c r="O234" s="302">
        <v>0</v>
      </c>
      <c r="P234" s="119"/>
      <c r="Q234" s="173"/>
      <c r="R234" s="119">
        <v>0</v>
      </c>
      <c r="S234" s="303">
        <v>504</v>
      </c>
      <c r="T234" s="117">
        <v>504</v>
      </c>
      <c r="U234" s="312"/>
      <c r="V234" s="117"/>
      <c r="W234" s="296"/>
      <c r="X234" s="296"/>
      <c r="Y234" s="511">
        <v>11820</v>
      </c>
    </row>
    <row r="235" spans="1:25" ht="15.75" x14ac:dyDescent="0.25">
      <c r="A235" s="142"/>
      <c r="B235" s="145" t="s">
        <v>292</v>
      </c>
      <c r="C235" s="305">
        <v>4.3116490166414521E-2</v>
      </c>
      <c r="D235" s="305">
        <v>2.7689030883919063E-2</v>
      </c>
      <c r="E235" s="305">
        <v>5.4642166344294002E-2</v>
      </c>
      <c r="F235" s="305">
        <v>-3.0367988567345482E-2</v>
      </c>
      <c r="G235" s="305">
        <v>-1.11731843575419E-2</v>
      </c>
      <c r="H235" s="122">
        <v>0</v>
      </c>
      <c r="I235" s="305">
        <v>2.231457222874695E-2</v>
      </c>
      <c r="J235" s="304">
        <v>0</v>
      </c>
      <c r="K235" s="305">
        <v>0</v>
      </c>
      <c r="L235" s="305">
        <v>0</v>
      </c>
      <c r="M235" s="122">
        <v>0</v>
      </c>
      <c r="N235" s="305">
        <v>0</v>
      </c>
      <c r="O235" s="304">
        <v>0</v>
      </c>
      <c r="P235" s="122">
        <v>0</v>
      </c>
      <c r="Q235" s="253">
        <v>0</v>
      </c>
      <c r="R235" s="122">
        <v>0</v>
      </c>
      <c r="S235" s="305">
        <v>0.11258278145695365</v>
      </c>
      <c r="T235" s="120">
        <v>0.11258278145695365</v>
      </c>
      <c r="U235" s="313">
        <v>0</v>
      </c>
      <c r="V235" s="120">
        <v>0</v>
      </c>
      <c r="W235" s="296">
        <v>0</v>
      </c>
      <c r="X235" s="296">
        <v>0</v>
      </c>
      <c r="Y235" s="511">
        <v>2.5863565353237285E-2</v>
      </c>
    </row>
    <row r="236" spans="1:25" s="306" customFormat="1" ht="15.75" x14ac:dyDescent="0.25">
      <c r="A236" s="142"/>
      <c r="B236" s="143" t="s">
        <v>293</v>
      </c>
      <c r="C236" s="300">
        <v>666</v>
      </c>
      <c r="D236" s="300">
        <v>447</v>
      </c>
      <c r="E236" s="300">
        <v>102</v>
      </c>
      <c r="F236" s="300">
        <v>51</v>
      </c>
      <c r="G236" s="300">
        <v>0</v>
      </c>
      <c r="H236" s="134">
        <v>0</v>
      </c>
      <c r="I236" s="300">
        <v>1266</v>
      </c>
      <c r="J236" s="299">
        <v>0</v>
      </c>
      <c r="K236" s="300">
        <v>0</v>
      </c>
      <c r="L236" s="300">
        <v>0</v>
      </c>
      <c r="M236" s="134">
        <v>0</v>
      </c>
      <c r="N236" s="300">
        <v>0</v>
      </c>
      <c r="O236" s="299">
        <v>0</v>
      </c>
      <c r="P236" s="134"/>
      <c r="Q236" s="301"/>
      <c r="R236" s="134">
        <v>0</v>
      </c>
      <c r="S236" s="300">
        <v>74</v>
      </c>
      <c r="T236" s="132">
        <v>74</v>
      </c>
      <c r="U236" s="311"/>
      <c r="V236" s="132"/>
      <c r="W236" s="296"/>
      <c r="X236" s="296"/>
      <c r="Y236" s="306">
        <v>1340</v>
      </c>
    </row>
    <row r="237" spans="1:25" ht="15.75" x14ac:dyDescent="0.25">
      <c r="A237" s="142"/>
      <c r="B237" s="144" t="s">
        <v>294</v>
      </c>
      <c r="C237" s="303">
        <v>700</v>
      </c>
      <c r="D237" s="303">
        <v>481</v>
      </c>
      <c r="E237" s="303">
        <v>122</v>
      </c>
      <c r="F237" s="303">
        <v>67</v>
      </c>
      <c r="G237" s="303">
        <v>0</v>
      </c>
      <c r="H237" s="119">
        <v>0</v>
      </c>
      <c r="I237" s="303">
        <v>1370</v>
      </c>
      <c r="J237" s="302">
        <v>0</v>
      </c>
      <c r="K237" s="303">
        <v>0</v>
      </c>
      <c r="L237" s="303">
        <v>0</v>
      </c>
      <c r="M237" s="119">
        <v>0</v>
      </c>
      <c r="N237" s="303">
        <v>0</v>
      </c>
      <c r="O237" s="302">
        <v>0</v>
      </c>
      <c r="P237" s="119"/>
      <c r="Q237" s="173"/>
      <c r="R237" s="119">
        <v>0</v>
      </c>
      <c r="S237" s="303">
        <v>75</v>
      </c>
      <c r="T237" s="117">
        <v>75</v>
      </c>
      <c r="U237" s="312"/>
      <c r="V237" s="117"/>
      <c r="W237" s="296"/>
      <c r="X237" s="296"/>
      <c r="Y237" s="511">
        <v>1445</v>
      </c>
    </row>
    <row r="238" spans="1:25" ht="15.75" x14ac:dyDescent="0.25">
      <c r="A238" s="142"/>
      <c r="B238" s="145" t="s">
        <v>295</v>
      </c>
      <c r="C238" s="305">
        <v>5.1051051051051052E-2</v>
      </c>
      <c r="D238" s="305">
        <v>7.6062639821029079E-2</v>
      </c>
      <c r="E238" s="305">
        <v>0.19607843137254902</v>
      </c>
      <c r="F238" s="305">
        <v>0.31372549019607843</v>
      </c>
      <c r="G238" s="305">
        <v>0</v>
      </c>
      <c r="H238" s="122">
        <v>0</v>
      </c>
      <c r="I238" s="305">
        <v>8.2148499210110582E-2</v>
      </c>
      <c r="J238" s="304">
        <v>0</v>
      </c>
      <c r="K238" s="305">
        <v>0</v>
      </c>
      <c r="L238" s="305">
        <v>0</v>
      </c>
      <c r="M238" s="122">
        <v>0</v>
      </c>
      <c r="N238" s="305">
        <v>0</v>
      </c>
      <c r="O238" s="304">
        <v>0</v>
      </c>
      <c r="P238" s="122">
        <v>0</v>
      </c>
      <c r="Q238" s="253">
        <v>0</v>
      </c>
      <c r="R238" s="122">
        <v>0</v>
      </c>
      <c r="S238" s="305">
        <v>1.3513513513513514E-2</v>
      </c>
      <c r="T238" s="120">
        <v>1.3513513513513514E-2</v>
      </c>
      <c r="U238" s="313">
        <v>0</v>
      </c>
      <c r="V238" s="120">
        <v>0</v>
      </c>
      <c r="W238" s="296">
        <v>0</v>
      </c>
      <c r="X238" s="296">
        <v>0</v>
      </c>
      <c r="Y238" s="511">
        <v>7.8358208955223885E-2</v>
      </c>
    </row>
    <row r="239" spans="1:25" s="306" customFormat="1" ht="15.75" x14ac:dyDescent="0.25">
      <c r="A239" s="142"/>
      <c r="B239" s="143" t="s">
        <v>296</v>
      </c>
      <c r="C239" s="300">
        <v>415</v>
      </c>
      <c r="D239" s="300"/>
      <c r="E239" s="300"/>
      <c r="F239" s="300"/>
      <c r="G239" s="300"/>
      <c r="H239" s="134"/>
      <c r="I239" s="300">
        <v>415</v>
      </c>
      <c r="J239" s="299"/>
      <c r="K239" s="300"/>
      <c r="L239" s="300"/>
      <c r="M239" s="134"/>
      <c r="N239" s="300"/>
      <c r="O239" s="299"/>
      <c r="P239" s="134"/>
      <c r="Q239" s="301"/>
      <c r="R239" s="134"/>
      <c r="S239" s="300"/>
      <c r="T239" s="132"/>
      <c r="U239" s="311"/>
      <c r="V239" s="132"/>
      <c r="W239" s="296"/>
      <c r="X239" s="296"/>
      <c r="Y239" s="306">
        <v>415</v>
      </c>
    </row>
    <row r="240" spans="1:25" ht="15.75" x14ac:dyDescent="0.25">
      <c r="A240" s="142"/>
      <c r="B240" s="144" t="s">
        <v>297</v>
      </c>
      <c r="C240" s="303">
        <v>421</v>
      </c>
      <c r="D240" s="303"/>
      <c r="E240" s="303"/>
      <c r="F240" s="303"/>
      <c r="G240" s="303"/>
      <c r="H240" s="119"/>
      <c r="I240" s="303">
        <v>421</v>
      </c>
      <c r="J240" s="302"/>
      <c r="K240" s="303"/>
      <c r="L240" s="303"/>
      <c r="M240" s="119"/>
      <c r="N240" s="303"/>
      <c r="O240" s="302"/>
      <c r="P240" s="119"/>
      <c r="Q240" s="173"/>
      <c r="R240" s="119"/>
      <c r="S240" s="303"/>
      <c r="T240" s="117"/>
      <c r="U240" s="312"/>
      <c r="V240" s="117"/>
      <c r="W240" s="296"/>
      <c r="X240" s="296"/>
      <c r="Y240" s="511">
        <v>421</v>
      </c>
    </row>
    <row r="241" spans="1:25" ht="15.75" x14ac:dyDescent="0.25">
      <c r="A241" s="142"/>
      <c r="B241" s="145" t="s">
        <v>298</v>
      </c>
      <c r="C241" s="305">
        <v>1.4457831325301205E-2</v>
      </c>
      <c r="D241" s="305">
        <v>0</v>
      </c>
      <c r="E241" s="305">
        <v>0</v>
      </c>
      <c r="F241" s="305">
        <v>0</v>
      </c>
      <c r="G241" s="305">
        <v>0</v>
      </c>
      <c r="H241" s="122">
        <v>0</v>
      </c>
      <c r="I241" s="305">
        <v>1.4457831325301205E-2</v>
      </c>
      <c r="J241" s="304">
        <v>0</v>
      </c>
      <c r="K241" s="305">
        <v>0</v>
      </c>
      <c r="L241" s="305">
        <v>0</v>
      </c>
      <c r="M241" s="122">
        <v>0</v>
      </c>
      <c r="N241" s="305">
        <v>0</v>
      </c>
      <c r="O241" s="304">
        <v>0</v>
      </c>
      <c r="P241" s="122">
        <v>0</v>
      </c>
      <c r="Q241" s="253">
        <v>0</v>
      </c>
      <c r="R241" s="122">
        <v>0</v>
      </c>
      <c r="S241" s="305">
        <v>0</v>
      </c>
      <c r="T241" s="120">
        <v>0</v>
      </c>
      <c r="U241" s="313">
        <v>0</v>
      </c>
      <c r="V241" s="120">
        <v>0</v>
      </c>
      <c r="W241" s="296">
        <v>0</v>
      </c>
      <c r="X241" s="296">
        <v>0</v>
      </c>
      <c r="Y241" s="511">
        <v>1.4457831325301205E-2</v>
      </c>
    </row>
    <row r="242" spans="1:25" s="306" customFormat="1" ht="15.75" x14ac:dyDescent="0.25">
      <c r="A242" s="142"/>
      <c r="B242" s="143" t="s">
        <v>299</v>
      </c>
      <c r="C242" s="300"/>
      <c r="D242" s="300"/>
      <c r="E242" s="300"/>
      <c r="F242" s="300"/>
      <c r="G242" s="300"/>
      <c r="H242" s="134"/>
      <c r="I242" s="300"/>
      <c r="J242" s="299"/>
      <c r="K242" s="300"/>
      <c r="L242" s="300"/>
      <c r="M242" s="134"/>
      <c r="N242" s="300"/>
      <c r="O242" s="299"/>
      <c r="P242" s="134"/>
      <c r="Q242" s="301"/>
      <c r="R242" s="134"/>
      <c r="S242" s="300">
        <v>178</v>
      </c>
      <c r="T242" s="132">
        <v>178</v>
      </c>
      <c r="U242" s="311"/>
      <c r="V242" s="132"/>
      <c r="W242" s="296"/>
      <c r="X242" s="296"/>
      <c r="Y242" s="306">
        <v>178</v>
      </c>
    </row>
    <row r="243" spans="1:25" ht="15.75" x14ac:dyDescent="0.25">
      <c r="A243" s="142"/>
      <c r="B243" s="144" t="s">
        <v>300</v>
      </c>
      <c r="C243" s="303"/>
      <c r="D243" s="303"/>
      <c r="E243" s="303"/>
      <c r="F243" s="303"/>
      <c r="G243" s="303"/>
      <c r="H243" s="119"/>
      <c r="I243" s="303"/>
      <c r="J243" s="302"/>
      <c r="K243" s="303"/>
      <c r="L243" s="303"/>
      <c r="M243" s="119"/>
      <c r="N243" s="303"/>
      <c r="O243" s="302"/>
      <c r="P243" s="119"/>
      <c r="Q243" s="173"/>
      <c r="R243" s="119"/>
      <c r="S243" s="303">
        <v>180</v>
      </c>
      <c r="T243" s="117">
        <v>180</v>
      </c>
      <c r="U243" s="312"/>
      <c r="V243" s="117"/>
      <c r="W243" s="296"/>
      <c r="X243" s="296"/>
      <c r="Y243" s="511">
        <v>180</v>
      </c>
    </row>
    <row r="244" spans="1:25" ht="15.75" x14ac:dyDescent="0.25">
      <c r="A244" s="142"/>
      <c r="B244" s="145" t="s">
        <v>301</v>
      </c>
      <c r="C244" s="305">
        <v>0</v>
      </c>
      <c r="D244" s="305">
        <v>0</v>
      </c>
      <c r="E244" s="305">
        <v>0</v>
      </c>
      <c r="F244" s="305">
        <v>0</v>
      </c>
      <c r="G244" s="305">
        <v>0</v>
      </c>
      <c r="H244" s="122">
        <v>0</v>
      </c>
      <c r="I244" s="305">
        <v>0</v>
      </c>
      <c r="J244" s="304">
        <v>0</v>
      </c>
      <c r="K244" s="305">
        <v>0</v>
      </c>
      <c r="L244" s="305">
        <v>0</v>
      </c>
      <c r="M244" s="122">
        <v>0</v>
      </c>
      <c r="N244" s="305">
        <v>0</v>
      </c>
      <c r="O244" s="304">
        <v>0</v>
      </c>
      <c r="P244" s="122">
        <v>0</v>
      </c>
      <c r="Q244" s="253">
        <v>0</v>
      </c>
      <c r="R244" s="122">
        <v>0</v>
      </c>
      <c r="S244" s="305">
        <v>1.1235955056179775E-2</v>
      </c>
      <c r="T244" s="120">
        <v>1.1235955056179775E-2</v>
      </c>
      <c r="U244" s="313">
        <v>0</v>
      </c>
      <c r="V244" s="120">
        <v>0</v>
      </c>
      <c r="W244" s="296">
        <v>0</v>
      </c>
      <c r="X244" s="296">
        <v>0</v>
      </c>
      <c r="Y244" s="511">
        <v>1.1235955056179775E-2</v>
      </c>
    </row>
    <row r="245" spans="1:25" s="306" customFormat="1" ht="15.75" x14ac:dyDescent="0.25">
      <c r="A245" s="142"/>
      <c r="B245" s="143" t="s">
        <v>302</v>
      </c>
      <c r="C245" s="300"/>
      <c r="D245" s="300"/>
      <c r="E245" s="300"/>
      <c r="F245" s="300"/>
      <c r="G245" s="300"/>
      <c r="H245" s="134"/>
      <c r="I245" s="300"/>
      <c r="J245" s="299"/>
      <c r="K245" s="300"/>
      <c r="L245" s="300"/>
      <c r="M245" s="134"/>
      <c r="N245" s="300"/>
      <c r="O245" s="299"/>
      <c r="P245" s="134"/>
      <c r="Q245" s="301"/>
      <c r="R245" s="134"/>
      <c r="S245" s="300">
        <v>61</v>
      </c>
      <c r="T245" s="132">
        <v>61</v>
      </c>
      <c r="U245" s="311"/>
      <c r="V245" s="132"/>
      <c r="W245" s="296"/>
      <c r="X245" s="296"/>
      <c r="Y245" s="306">
        <v>61</v>
      </c>
    </row>
    <row r="246" spans="1:25" ht="15.75" x14ac:dyDescent="0.25">
      <c r="A246" s="142"/>
      <c r="B246" s="144" t="s">
        <v>303</v>
      </c>
      <c r="C246" s="303"/>
      <c r="D246" s="303"/>
      <c r="E246" s="303"/>
      <c r="F246" s="303"/>
      <c r="G246" s="303"/>
      <c r="H246" s="119"/>
      <c r="I246" s="303"/>
      <c r="J246" s="302"/>
      <c r="K246" s="303"/>
      <c r="L246" s="303"/>
      <c r="M246" s="119"/>
      <c r="N246" s="303"/>
      <c r="O246" s="302"/>
      <c r="P246" s="119"/>
      <c r="Q246" s="173"/>
      <c r="R246" s="119"/>
      <c r="S246" s="303">
        <v>61</v>
      </c>
      <c r="T246" s="117">
        <v>61</v>
      </c>
      <c r="U246" s="312"/>
      <c r="V246" s="117"/>
      <c r="W246" s="296"/>
      <c r="X246" s="296"/>
      <c r="Y246" s="511">
        <v>61</v>
      </c>
    </row>
    <row r="247" spans="1:25" ht="15.75" x14ac:dyDescent="0.25">
      <c r="A247" s="142"/>
      <c r="B247" s="145" t="s">
        <v>304</v>
      </c>
      <c r="C247" s="305">
        <v>0</v>
      </c>
      <c r="D247" s="305">
        <v>0</v>
      </c>
      <c r="E247" s="305">
        <v>0</v>
      </c>
      <c r="F247" s="305">
        <v>0</v>
      </c>
      <c r="G247" s="305">
        <v>0</v>
      </c>
      <c r="H247" s="122">
        <v>0</v>
      </c>
      <c r="I247" s="305">
        <v>0</v>
      </c>
      <c r="J247" s="304">
        <v>0</v>
      </c>
      <c r="K247" s="305">
        <v>0</v>
      </c>
      <c r="L247" s="305">
        <v>0</v>
      </c>
      <c r="M247" s="122">
        <v>0</v>
      </c>
      <c r="N247" s="305">
        <v>0</v>
      </c>
      <c r="O247" s="304">
        <v>0</v>
      </c>
      <c r="P247" s="122">
        <v>0</v>
      </c>
      <c r="Q247" s="253">
        <v>0</v>
      </c>
      <c r="R247" s="122">
        <v>0</v>
      </c>
      <c r="S247" s="305">
        <v>0</v>
      </c>
      <c r="T247" s="120">
        <v>0</v>
      </c>
      <c r="U247" s="313">
        <v>0</v>
      </c>
      <c r="V247" s="120">
        <v>0</v>
      </c>
      <c r="W247" s="296">
        <v>0</v>
      </c>
      <c r="X247" s="296">
        <v>0</v>
      </c>
      <c r="Y247" s="511">
        <v>0</v>
      </c>
    </row>
    <row r="248" spans="1:25" s="306" customFormat="1" ht="15.75" x14ac:dyDescent="0.25">
      <c r="A248" s="142"/>
      <c r="B248" s="143" t="s">
        <v>305</v>
      </c>
      <c r="C248" s="300">
        <v>122</v>
      </c>
      <c r="D248" s="300"/>
      <c r="E248" s="300"/>
      <c r="F248" s="300"/>
      <c r="G248" s="300"/>
      <c r="H248" s="134"/>
      <c r="I248" s="300">
        <v>122</v>
      </c>
      <c r="J248" s="299"/>
      <c r="K248" s="300"/>
      <c r="L248" s="300"/>
      <c r="M248" s="134"/>
      <c r="N248" s="300"/>
      <c r="O248" s="299"/>
      <c r="P248" s="134"/>
      <c r="Q248" s="301"/>
      <c r="R248" s="134"/>
      <c r="S248" s="300"/>
      <c r="T248" s="132"/>
      <c r="U248" s="311"/>
      <c r="V248" s="132"/>
      <c r="W248" s="296"/>
      <c r="X248" s="296"/>
      <c r="Y248" s="306">
        <v>122</v>
      </c>
    </row>
    <row r="249" spans="1:25" ht="15.75" x14ac:dyDescent="0.25">
      <c r="A249" s="142"/>
      <c r="B249" s="144" t="s">
        <v>306</v>
      </c>
      <c r="C249" s="303">
        <v>122</v>
      </c>
      <c r="D249" s="303"/>
      <c r="E249" s="303"/>
      <c r="F249" s="303"/>
      <c r="G249" s="303"/>
      <c r="H249" s="119"/>
      <c r="I249" s="303">
        <v>122</v>
      </c>
      <c r="J249" s="302"/>
      <c r="K249" s="303"/>
      <c r="L249" s="303"/>
      <c r="M249" s="119"/>
      <c r="N249" s="303"/>
      <c r="O249" s="302"/>
      <c r="P249" s="119"/>
      <c r="Q249" s="173"/>
      <c r="R249" s="119"/>
      <c r="S249" s="303"/>
      <c r="T249" s="117"/>
      <c r="U249" s="312"/>
      <c r="V249" s="117"/>
      <c r="W249" s="296"/>
      <c r="X249" s="296"/>
      <c r="Y249" s="511">
        <v>122</v>
      </c>
    </row>
    <row r="250" spans="1:25" ht="15.75" x14ac:dyDescent="0.25">
      <c r="A250" s="142"/>
      <c r="B250" s="145" t="s">
        <v>307</v>
      </c>
      <c r="C250" s="305">
        <v>0</v>
      </c>
      <c r="D250" s="305">
        <v>0</v>
      </c>
      <c r="E250" s="305">
        <v>0</v>
      </c>
      <c r="F250" s="305">
        <v>0</v>
      </c>
      <c r="G250" s="305">
        <v>0</v>
      </c>
      <c r="H250" s="122">
        <v>0</v>
      </c>
      <c r="I250" s="305">
        <v>0</v>
      </c>
      <c r="J250" s="304">
        <v>0</v>
      </c>
      <c r="K250" s="305">
        <v>0</v>
      </c>
      <c r="L250" s="305">
        <v>0</v>
      </c>
      <c r="M250" s="122">
        <v>0</v>
      </c>
      <c r="N250" s="305">
        <v>0</v>
      </c>
      <c r="O250" s="304">
        <v>0</v>
      </c>
      <c r="P250" s="122">
        <v>0</v>
      </c>
      <c r="Q250" s="253">
        <v>0</v>
      </c>
      <c r="R250" s="122">
        <v>0</v>
      </c>
      <c r="S250" s="305">
        <v>0</v>
      </c>
      <c r="T250" s="120">
        <v>0</v>
      </c>
      <c r="U250" s="313">
        <v>0</v>
      </c>
      <c r="V250" s="120">
        <v>0</v>
      </c>
      <c r="W250" s="296">
        <v>0</v>
      </c>
      <c r="X250" s="296">
        <v>0</v>
      </c>
      <c r="Y250" s="511">
        <v>0</v>
      </c>
    </row>
    <row r="251" spans="1:25" s="306" customFormat="1" ht="15.75" x14ac:dyDescent="0.25">
      <c r="A251" s="142"/>
      <c r="B251" s="143" t="s">
        <v>308</v>
      </c>
      <c r="C251" s="300"/>
      <c r="D251" s="300"/>
      <c r="E251" s="300"/>
      <c r="F251" s="300"/>
      <c r="G251" s="300"/>
      <c r="H251" s="134"/>
      <c r="I251" s="300"/>
      <c r="J251" s="299"/>
      <c r="K251" s="300"/>
      <c r="L251" s="300"/>
      <c r="M251" s="134"/>
      <c r="N251" s="300"/>
      <c r="O251" s="299"/>
      <c r="P251" s="134"/>
      <c r="Q251" s="301"/>
      <c r="R251" s="134"/>
      <c r="S251" s="300"/>
      <c r="T251" s="132"/>
      <c r="U251" s="311"/>
      <c r="V251" s="132"/>
      <c r="W251" s="296"/>
      <c r="X251" s="296"/>
    </row>
    <row r="252" spans="1:25" ht="15.75" x14ac:dyDescent="0.25">
      <c r="A252" s="142"/>
      <c r="B252" s="144" t="s">
        <v>309</v>
      </c>
      <c r="C252" s="303"/>
      <c r="D252" s="303"/>
      <c r="E252" s="303"/>
      <c r="F252" s="303"/>
      <c r="G252" s="303"/>
      <c r="H252" s="119"/>
      <c r="I252" s="303"/>
      <c r="J252" s="302"/>
      <c r="K252" s="303"/>
      <c r="L252" s="303"/>
      <c r="M252" s="119"/>
      <c r="N252" s="303"/>
      <c r="O252" s="302"/>
      <c r="P252" s="119"/>
      <c r="Q252" s="173"/>
      <c r="R252" s="119"/>
      <c r="S252" s="303"/>
      <c r="T252" s="117"/>
      <c r="U252" s="312"/>
      <c r="V252" s="117"/>
      <c r="W252" s="296"/>
      <c r="X252" s="296"/>
    </row>
    <row r="253" spans="1:25" ht="15.75" x14ac:dyDescent="0.25">
      <c r="A253" s="142"/>
      <c r="B253" s="145" t="s">
        <v>310</v>
      </c>
      <c r="C253" s="305">
        <v>0</v>
      </c>
      <c r="D253" s="305">
        <v>0</v>
      </c>
      <c r="E253" s="305">
        <v>0</v>
      </c>
      <c r="F253" s="305">
        <v>0</v>
      </c>
      <c r="G253" s="305">
        <v>0</v>
      </c>
      <c r="H253" s="122">
        <v>0</v>
      </c>
      <c r="I253" s="305">
        <v>0</v>
      </c>
      <c r="J253" s="304">
        <v>0</v>
      </c>
      <c r="K253" s="305">
        <v>0</v>
      </c>
      <c r="L253" s="305">
        <v>0</v>
      </c>
      <c r="M253" s="122">
        <v>0</v>
      </c>
      <c r="N253" s="305">
        <v>0</v>
      </c>
      <c r="O253" s="304">
        <v>0</v>
      </c>
      <c r="P253" s="122">
        <v>0</v>
      </c>
      <c r="Q253" s="253">
        <v>0</v>
      </c>
      <c r="R253" s="122">
        <v>0</v>
      </c>
      <c r="S253" s="305">
        <v>0</v>
      </c>
      <c r="T253" s="120">
        <v>0</v>
      </c>
      <c r="U253" s="313">
        <v>0</v>
      </c>
      <c r="V253" s="120">
        <v>0</v>
      </c>
      <c r="W253" s="296">
        <v>0</v>
      </c>
      <c r="X253" s="296">
        <v>0</v>
      </c>
      <c r="Y253" s="511">
        <v>0</v>
      </c>
    </row>
    <row r="254" spans="1:25" s="306" customFormat="1" ht="15.75" x14ac:dyDescent="0.25">
      <c r="A254" s="142"/>
      <c r="B254" s="143" t="s">
        <v>311</v>
      </c>
      <c r="C254" s="300"/>
      <c r="D254" s="300"/>
      <c r="E254" s="300"/>
      <c r="F254" s="300"/>
      <c r="G254" s="300"/>
      <c r="H254" s="134"/>
      <c r="I254" s="300"/>
      <c r="J254" s="299"/>
      <c r="K254" s="300"/>
      <c r="L254" s="300"/>
      <c r="M254" s="134"/>
      <c r="N254" s="300"/>
      <c r="O254" s="299"/>
      <c r="P254" s="134"/>
      <c r="Q254" s="301"/>
      <c r="R254" s="134"/>
      <c r="S254" s="300"/>
      <c r="T254" s="132"/>
      <c r="U254" s="311"/>
      <c r="V254" s="132"/>
      <c r="W254" s="296"/>
      <c r="X254" s="296"/>
    </row>
    <row r="255" spans="1:25" ht="15.75" x14ac:dyDescent="0.25">
      <c r="A255" s="142"/>
      <c r="B255" s="144" t="s">
        <v>312</v>
      </c>
      <c r="C255" s="303"/>
      <c r="D255" s="303"/>
      <c r="E255" s="303"/>
      <c r="F255" s="303"/>
      <c r="G255" s="303"/>
      <c r="H255" s="119"/>
      <c r="I255" s="303"/>
      <c r="J255" s="302"/>
      <c r="K255" s="303"/>
      <c r="L255" s="303"/>
      <c r="M255" s="119"/>
      <c r="N255" s="303"/>
      <c r="O255" s="302"/>
      <c r="P255" s="119"/>
      <c r="Q255" s="173"/>
      <c r="R255" s="119"/>
      <c r="S255" s="303"/>
      <c r="T255" s="117"/>
      <c r="U255" s="312"/>
      <c r="V255" s="117"/>
      <c r="W255" s="296"/>
      <c r="X255" s="296"/>
    </row>
    <row r="256" spans="1:25" ht="15.75" x14ac:dyDescent="0.25">
      <c r="A256" s="142"/>
      <c r="B256" s="145" t="s">
        <v>313</v>
      </c>
      <c r="C256" s="305">
        <v>0</v>
      </c>
      <c r="D256" s="305">
        <v>0</v>
      </c>
      <c r="E256" s="305">
        <v>0</v>
      </c>
      <c r="F256" s="305">
        <v>0</v>
      </c>
      <c r="G256" s="305">
        <v>0</v>
      </c>
      <c r="H256" s="122">
        <v>0</v>
      </c>
      <c r="I256" s="305">
        <v>0</v>
      </c>
      <c r="J256" s="304">
        <v>0</v>
      </c>
      <c r="K256" s="305">
        <v>0</v>
      </c>
      <c r="L256" s="305">
        <v>0</v>
      </c>
      <c r="M256" s="122">
        <v>0</v>
      </c>
      <c r="N256" s="305">
        <v>0</v>
      </c>
      <c r="O256" s="304">
        <v>0</v>
      </c>
      <c r="P256" s="122">
        <v>0</v>
      </c>
      <c r="Q256" s="253">
        <v>0</v>
      </c>
      <c r="R256" s="122">
        <v>0</v>
      </c>
      <c r="S256" s="305">
        <v>0</v>
      </c>
      <c r="T256" s="120">
        <v>0</v>
      </c>
      <c r="U256" s="313">
        <v>0</v>
      </c>
      <c r="V256" s="120">
        <v>0</v>
      </c>
      <c r="W256" s="296">
        <v>0</v>
      </c>
      <c r="X256" s="296">
        <v>0</v>
      </c>
      <c r="Y256" s="511">
        <v>0</v>
      </c>
    </row>
    <row r="257" spans="1:25" s="306" customFormat="1" ht="15.75" x14ac:dyDescent="0.25">
      <c r="A257" s="142"/>
      <c r="B257" s="143" t="s">
        <v>314</v>
      </c>
      <c r="C257" s="300"/>
      <c r="D257" s="300"/>
      <c r="E257" s="300"/>
      <c r="F257" s="300"/>
      <c r="G257" s="300"/>
      <c r="H257" s="134"/>
      <c r="I257" s="300"/>
      <c r="J257" s="299"/>
      <c r="K257" s="300"/>
      <c r="L257" s="300"/>
      <c r="M257" s="134"/>
      <c r="N257" s="300"/>
      <c r="O257" s="299"/>
      <c r="P257" s="134"/>
      <c r="Q257" s="301"/>
      <c r="R257" s="134"/>
      <c r="S257" s="300"/>
      <c r="T257" s="132"/>
      <c r="U257" s="311"/>
      <c r="V257" s="132"/>
      <c r="W257" s="296"/>
      <c r="X257" s="296"/>
    </row>
    <row r="258" spans="1:25" ht="15.75" x14ac:dyDescent="0.25">
      <c r="A258" s="142"/>
      <c r="B258" s="144" t="s">
        <v>315</v>
      </c>
      <c r="C258" s="303"/>
      <c r="D258" s="303"/>
      <c r="E258" s="303"/>
      <c r="F258" s="303"/>
      <c r="G258" s="303"/>
      <c r="H258" s="119"/>
      <c r="I258" s="303"/>
      <c r="J258" s="302"/>
      <c r="K258" s="303"/>
      <c r="L258" s="303"/>
      <c r="M258" s="119"/>
      <c r="N258" s="303"/>
      <c r="O258" s="302"/>
      <c r="P258" s="119"/>
      <c r="Q258" s="173"/>
      <c r="R258" s="119"/>
      <c r="S258" s="303"/>
      <c r="T258" s="117"/>
      <c r="U258" s="312"/>
      <c r="V258" s="117"/>
      <c r="W258" s="296"/>
      <c r="X258" s="296"/>
    </row>
    <row r="259" spans="1:25" ht="15.75" x14ac:dyDescent="0.25">
      <c r="A259" s="142"/>
      <c r="B259" s="145" t="s">
        <v>316</v>
      </c>
      <c r="C259" s="305">
        <v>0</v>
      </c>
      <c r="D259" s="305">
        <v>0</v>
      </c>
      <c r="E259" s="305">
        <v>0</v>
      </c>
      <c r="F259" s="305">
        <v>0</v>
      </c>
      <c r="G259" s="305">
        <v>0</v>
      </c>
      <c r="H259" s="122">
        <v>0</v>
      </c>
      <c r="I259" s="305">
        <v>0</v>
      </c>
      <c r="J259" s="304">
        <v>0</v>
      </c>
      <c r="K259" s="305">
        <v>0</v>
      </c>
      <c r="L259" s="305">
        <v>0</v>
      </c>
      <c r="M259" s="122">
        <v>0</v>
      </c>
      <c r="N259" s="305">
        <v>0</v>
      </c>
      <c r="O259" s="304">
        <v>0</v>
      </c>
      <c r="P259" s="122">
        <v>0</v>
      </c>
      <c r="Q259" s="253">
        <v>0</v>
      </c>
      <c r="R259" s="122">
        <v>0</v>
      </c>
      <c r="S259" s="305">
        <v>0</v>
      </c>
      <c r="T259" s="120">
        <v>0</v>
      </c>
      <c r="U259" s="313">
        <v>0</v>
      </c>
      <c r="V259" s="120">
        <v>0</v>
      </c>
      <c r="W259" s="296">
        <v>0</v>
      </c>
      <c r="X259" s="296">
        <v>0</v>
      </c>
      <c r="Y259" s="511">
        <v>0</v>
      </c>
    </row>
    <row r="260" spans="1:25" s="306" customFormat="1" ht="15.75" x14ac:dyDescent="0.25">
      <c r="A260" s="142"/>
      <c r="B260" s="143" t="s">
        <v>317</v>
      </c>
      <c r="C260" s="300">
        <v>97</v>
      </c>
      <c r="D260" s="300"/>
      <c r="E260" s="300"/>
      <c r="F260" s="300"/>
      <c r="G260" s="300"/>
      <c r="H260" s="134"/>
      <c r="I260" s="300">
        <v>97</v>
      </c>
      <c r="J260" s="299"/>
      <c r="K260" s="300"/>
      <c r="L260" s="300"/>
      <c r="M260" s="134"/>
      <c r="N260" s="300"/>
      <c r="O260" s="299"/>
      <c r="P260" s="134"/>
      <c r="Q260" s="301"/>
      <c r="R260" s="134"/>
      <c r="S260" s="300"/>
      <c r="T260" s="132"/>
      <c r="U260" s="311"/>
      <c r="V260" s="132"/>
      <c r="W260" s="296"/>
      <c r="X260" s="296"/>
      <c r="Y260" s="306">
        <v>97</v>
      </c>
    </row>
    <row r="261" spans="1:25" ht="15.75" x14ac:dyDescent="0.25">
      <c r="A261" s="142"/>
      <c r="B261" s="144" t="s">
        <v>318</v>
      </c>
      <c r="C261" s="303">
        <v>99</v>
      </c>
      <c r="D261" s="303"/>
      <c r="E261" s="303"/>
      <c r="F261" s="303"/>
      <c r="G261" s="303"/>
      <c r="H261" s="119"/>
      <c r="I261" s="303">
        <v>99</v>
      </c>
      <c r="J261" s="302"/>
      <c r="K261" s="303"/>
      <c r="L261" s="303"/>
      <c r="M261" s="119"/>
      <c r="N261" s="303"/>
      <c r="O261" s="302"/>
      <c r="P261" s="119"/>
      <c r="Q261" s="173"/>
      <c r="R261" s="119"/>
      <c r="S261" s="303"/>
      <c r="T261" s="117"/>
      <c r="U261" s="312"/>
      <c r="V261" s="117"/>
      <c r="W261" s="296"/>
      <c r="X261" s="296"/>
      <c r="Y261" s="511">
        <v>99</v>
      </c>
    </row>
    <row r="262" spans="1:25" ht="15.75" x14ac:dyDescent="0.25">
      <c r="A262" s="142"/>
      <c r="B262" s="145" t="s">
        <v>319</v>
      </c>
      <c r="C262" s="305">
        <v>2.0618556701030927E-2</v>
      </c>
      <c r="D262" s="305">
        <v>0</v>
      </c>
      <c r="E262" s="305">
        <v>0</v>
      </c>
      <c r="F262" s="305">
        <v>0</v>
      </c>
      <c r="G262" s="305">
        <v>0</v>
      </c>
      <c r="H262" s="122">
        <v>0</v>
      </c>
      <c r="I262" s="305">
        <v>2.0618556701030927E-2</v>
      </c>
      <c r="J262" s="304">
        <v>0</v>
      </c>
      <c r="K262" s="305">
        <v>0</v>
      </c>
      <c r="L262" s="305">
        <v>0</v>
      </c>
      <c r="M262" s="122">
        <v>0</v>
      </c>
      <c r="N262" s="305">
        <v>0</v>
      </c>
      <c r="O262" s="304">
        <v>0</v>
      </c>
      <c r="P262" s="122">
        <v>0</v>
      </c>
      <c r="Q262" s="253">
        <v>0</v>
      </c>
      <c r="R262" s="122">
        <v>0</v>
      </c>
      <c r="S262" s="305">
        <v>0</v>
      </c>
      <c r="T262" s="120">
        <v>0</v>
      </c>
      <c r="U262" s="313">
        <v>0</v>
      </c>
      <c r="V262" s="120">
        <v>0</v>
      </c>
      <c r="W262" s="296">
        <v>0</v>
      </c>
      <c r="X262" s="296">
        <v>0</v>
      </c>
      <c r="Y262" s="511">
        <v>2.0618556701030927E-2</v>
      </c>
    </row>
    <row r="263" spans="1:25" s="306" customFormat="1" ht="15.75" x14ac:dyDescent="0.25">
      <c r="A263" s="142"/>
      <c r="B263" s="143" t="s">
        <v>320</v>
      </c>
      <c r="C263" s="300"/>
      <c r="D263" s="300"/>
      <c r="E263" s="300"/>
      <c r="F263" s="300"/>
      <c r="G263" s="300"/>
      <c r="H263" s="134"/>
      <c r="I263" s="300"/>
      <c r="J263" s="299"/>
      <c r="K263" s="300"/>
      <c r="L263" s="300"/>
      <c r="M263" s="134"/>
      <c r="N263" s="300"/>
      <c r="O263" s="299"/>
      <c r="P263" s="134"/>
      <c r="Q263" s="301"/>
      <c r="R263" s="134"/>
      <c r="S263" s="300"/>
      <c r="T263" s="132"/>
      <c r="U263" s="311"/>
      <c r="V263" s="132"/>
      <c r="W263" s="296"/>
      <c r="X263" s="296"/>
    </row>
    <row r="264" spans="1:25" ht="15.75" x14ac:dyDescent="0.25">
      <c r="A264" s="142"/>
      <c r="B264" s="144" t="s">
        <v>321</v>
      </c>
      <c r="C264" s="303"/>
      <c r="D264" s="303"/>
      <c r="E264" s="303"/>
      <c r="F264" s="303"/>
      <c r="G264" s="303"/>
      <c r="H264" s="119"/>
      <c r="I264" s="303"/>
      <c r="J264" s="302"/>
      <c r="K264" s="303"/>
      <c r="L264" s="303"/>
      <c r="M264" s="119"/>
      <c r="N264" s="303"/>
      <c r="O264" s="302"/>
      <c r="P264" s="119"/>
      <c r="Q264" s="173"/>
      <c r="R264" s="119"/>
      <c r="S264" s="303"/>
      <c r="T264" s="117"/>
      <c r="U264" s="312"/>
      <c r="V264" s="117"/>
      <c r="W264" s="296"/>
      <c r="X264" s="296"/>
    </row>
    <row r="265" spans="1:25" ht="15.75" x14ac:dyDescent="0.25">
      <c r="A265" s="142"/>
      <c r="B265" s="145" t="s">
        <v>322</v>
      </c>
      <c r="C265" s="305">
        <v>0</v>
      </c>
      <c r="D265" s="305">
        <v>0</v>
      </c>
      <c r="E265" s="305">
        <v>0</v>
      </c>
      <c r="F265" s="305">
        <v>0</v>
      </c>
      <c r="G265" s="305">
        <v>0</v>
      </c>
      <c r="H265" s="122">
        <v>0</v>
      </c>
      <c r="I265" s="305">
        <v>0</v>
      </c>
      <c r="J265" s="304">
        <v>0</v>
      </c>
      <c r="K265" s="305">
        <v>0</v>
      </c>
      <c r="L265" s="305">
        <v>0</v>
      </c>
      <c r="M265" s="122">
        <v>0</v>
      </c>
      <c r="N265" s="305">
        <v>0</v>
      </c>
      <c r="O265" s="304">
        <v>0</v>
      </c>
      <c r="P265" s="122">
        <v>0</v>
      </c>
      <c r="Q265" s="253">
        <v>0</v>
      </c>
      <c r="R265" s="122">
        <v>0</v>
      </c>
      <c r="S265" s="305">
        <v>0</v>
      </c>
      <c r="T265" s="120">
        <v>0</v>
      </c>
      <c r="U265" s="313">
        <v>0</v>
      </c>
      <c r="V265" s="120">
        <v>0</v>
      </c>
      <c r="W265" s="296">
        <v>0</v>
      </c>
      <c r="X265" s="296">
        <v>0</v>
      </c>
      <c r="Y265" s="511">
        <v>0</v>
      </c>
    </row>
    <row r="266" spans="1:25" s="306" customFormat="1" ht="15.75" x14ac:dyDescent="0.25">
      <c r="A266" s="142"/>
      <c r="B266" s="143" t="s">
        <v>404</v>
      </c>
      <c r="C266" s="300"/>
      <c r="D266" s="300"/>
      <c r="E266" s="300"/>
      <c r="F266" s="300"/>
      <c r="G266" s="300"/>
      <c r="H266" s="134"/>
      <c r="I266" s="300"/>
      <c r="J266" s="299"/>
      <c r="K266" s="300"/>
      <c r="L266" s="300"/>
      <c r="M266" s="134"/>
      <c r="N266" s="300"/>
      <c r="O266" s="299"/>
      <c r="P266" s="134"/>
      <c r="Q266" s="301"/>
      <c r="R266" s="134"/>
      <c r="S266" s="300"/>
      <c r="T266" s="132"/>
      <c r="U266" s="311"/>
      <c r="V266" s="132"/>
      <c r="W266" s="296"/>
      <c r="X266" s="296"/>
    </row>
    <row r="267" spans="1:25" ht="15.75" x14ac:dyDescent="0.25">
      <c r="A267" s="142"/>
      <c r="B267" s="144" t="s">
        <v>406</v>
      </c>
      <c r="C267" s="303"/>
      <c r="D267" s="303"/>
      <c r="E267" s="303"/>
      <c r="F267" s="303"/>
      <c r="G267" s="303"/>
      <c r="H267" s="119"/>
      <c r="I267" s="303"/>
      <c r="J267" s="302"/>
      <c r="K267" s="303"/>
      <c r="L267" s="303"/>
      <c r="M267" s="119"/>
      <c r="N267" s="303"/>
      <c r="O267" s="302"/>
      <c r="P267" s="119"/>
      <c r="Q267" s="173"/>
      <c r="R267" s="119"/>
      <c r="S267" s="303"/>
      <c r="T267" s="117"/>
      <c r="U267" s="312"/>
      <c r="V267" s="117"/>
      <c r="W267" s="296"/>
      <c r="X267" s="296"/>
    </row>
    <row r="268" spans="1:25" ht="15.75" x14ac:dyDescent="0.25">
      <c r="A268" s="142"/>
      <c r="B268" s="145" t="s">
        <v>474</v>
      </c>
      <c r="C268" s="305">
        <v>0</v>
      </c>
      <c r="D268" s="305">
        <v>0</v>
      </c>
      <c r="E268" s="305">
        <v>0</v>
      </c>
      <c r="F268" s="305">
        <v>0</v>
      </c>
      <c r="G268" s="305">
        <v>0</v>
      </c>
      <c r="H268" s="122">
        <v>0</v>
      </c>
      <c r="I268" s="305">
        <v>0</v>
      </c>
      <c r="J268" s="304">
        <v>0</v>
      </c>
      <c r="K268" s="305">
        <v>0</v>
      </c>
      <c r="L268" s="305">
        <v>0</v>
      </c>
      <c r="M268" s="122">
        <v>0</v>
      </c>
      <c r="N268" s="305">
        <v>0</v>
      </c>
      <c r="O268" s="304">
        <v>0</v>
      </c>
      <c r="P268" s="122">
        <v>0</v>
      </c>
      <c r="Q268" s="253">
        <v>0</v>
      </c>
      <c r="R268" s="122">
        <v>0</v>
      </c>
      <c r="S268" s="305">
        <v>0</v>
      </c>
      <c r="T268" s="120">
        <v>0</v>
      </c>
      <c r="U268" s="313">
        <v>0</v>
      </c>
      <c r="V268" s="120">
        <v>0</v>
      </c>
      <c r="W268" s="296">
        <v>0</v>
      </c>
      <c r="X268" s="296">
        <v>0</v>
      </c>
      <c r="Y268" s="511">
        <v>0</v>
      </c>
    </row>
    <row r="269" spans="1:25" s="306" customFormat="1" ht="15.75" x14ac:dyDescent="0.25">
      <c r="A269" s="142"/>
      <c r="B269" s="143" t="s">
        <v>476</v>
      </c>
      <c r="C269" s="300"/>
      <c r="D269" s="300"/>
      <c r="E269" s="300"/>
      <c r="F269" s="300"/>
      <c r="G269" s="300"/>
      <c r="H269" s="134"/>
      <c r="I269" s="300"/>
      <c r="J269" s="299"/>
      <c r="K269" s="300"/>
      <c r="L269" s="300"/>
      <c r="M269" s="134"/>
      <c r="N269" s="300"/>
      <c r="O269" s="299"/>
      <c r="P269" s="134"/>
      <c r="Q269" s="301"/>
      <c r="R269" s="134"/>
      <c r="S269" s="300"/>
      <c r="T269" s="132"/>
      <c r="U269" s="311"/>
      <c r="V269" s="132"/>
      <c r="W269" s="296"/>
      <c r="X269" s="296"/>
    </row>
    <row r="270" spans="1:25" ht="15.75" x14ac:dyDescent="0.25">
      <c r="A270" s="294"/>
      <c r="B270" s="144" t="s">
        <v>472</v>
      </c>
      <c r="C270" s="303"/>
      <c r="D270" s="303"/>
      <c r="E270" s="303"/>
      <c r="F270" s="303"/>
      <c r="G270" s="303"/>
      <c r="H270" s="119"/>
      <c r="I270" s="303"/>
      <c r="J270" s="302"/>
      <c r="K270" s="303"/>
      <c r="L270" s="303"/>
      <c r="M270" s="119"/>
      <c r="N270" s="303"/>
      <c r="O270" s="302"/>
      <c r="P270" s="119"/>
      <c r="Q270" s="173"/>
      <c r="R270" s="119"/>
      <c r="S270" s="303"/>
      <c r="T270" s="117"/>
      <c r="U270" s="312"/>
      <c r="V270" s="117"/>
      <c r="W270" s="296"/>
      <c r="X270" s="296"/>
    </row>
    <row r="271" spans="1:25" ht="15.75" x14ac:dyDescent="0.25">
      <c r="A271" s="141" t="s">
        <v>574</v>
      </c>
      <c r="B271" s="143" t="s">
        <v>275</v>
      </c>
      <c r="C271" s="300">
        <v>57</v>
      </c>
      <c r="D271" s="300"/>
      <c r="E271" s="300">
        <v>120</v>
      </c>
      <c r="F271" s="300"/>
      <c r="G271" s="300"/>
      <c r="H271" s="134"/>
      <c r="I271" s="300">
        <v>177</v>
      </c>
      <c r="J271" s="299"/>
      <c r="K271" s="300">
        <v>5074</v>
      </c>
      <c r="L271" s="300">
        <v>11872</v>
      </c>
      <c r="M271" s="134">
        <v>422</v>
      </c>
      <c r="N271" s="300">
        <v>17368</v>
      </c>
      <c r="O271" s="299">
        <v>2546</v>
      </c>
      <c r="P271" s="134"/>
      <c r="Q271" s="301"/>
      <c r="R271" s="134">
        <v>2546</v>
      </c>
      <c r="S271" s="300"/>
      <c r="T271" s="132"/>
      <c r="U271" s="311"/>
      <c r="V271" s="132"/>
      <c r="W271" s="296"/>
      <c r="X271" s="296"/>
      <c r="Y271" s="511">
        <v>20091</v>
      </c>
    </row>
    <row r="272" spans="1:25" s="306" customFormat="1" ht="15.75" x14ac:dyDescent="0.25">
      <c r="A272" s="142"/>
      <c r="B272" s="144" t="s">
        <v>276</v>
      </c>
      <c r="C272" s="303">
        <v>48</v>
      </c>
      <c r="D272" s="303"/>
      <c r="E272" s="303">
        <v>94</v>
      </c>
      <c r="F272" s="303">
        <v>26</v>
      </c>
      <c r="G272" s="303"/>
      <c r="H272" s="119"/>
      <c r="I272" s="303">
        <v>168</v>
      </c>
      <c r="J272" s="302"/>
      <c r="K272" s="303">
        <v>4302</v>
      </c>
      <c r="L272" s="303">
        <v>12363</v>
      </c>
      <c r="M272" s="119">
        <v>344</v>
      </c>
      <c r="N272" s="303">
        <v>17009</v>
      </c>
      <c r="O272" s="302">
        <v>2582</v>
      </c>
      <c r="P272" s="119"/>
      <c r="Q272" s="173"/>
      <c r="R272" s="119">
        <v>2582</v>
      </c>
      <c r="S272" s="303"/>
      <c r="T272" s="117"/>
      <c r="U272" s="312"/>
      <c r="V272" s="117"/>
      <c r="W272" s="296"/>
      <c r="X272" s="296"/>
      <c r="Y272" s="306">
        <v>19759</v>
      </c>
    </row>
    <row r="273" spans="1:25" ht="15.75" x14ac:dyDescent="0.25">
      <c r="A273" s="142"/>
      <c r="B273" s="145" t="s">
        <v>277</v>
      </c>
      <c r="C273" s="305">
        <v>-0.15789473684210525</v>
      </c>
      <c r="D273" s="305">
        <v>0</v>
      </c>
      <c r="E273" s="305">
        <v>-0.21666666666666667</v>
      </c>
      <c r="F273" s="305">
        <v>0</v>
      </c>
      <c r="G273" s="305">
        <v>0</v>
      </c>
      <c r="H273" s="122">
        <v>0</v>
      </c>
      <c r="I273" s="305">
        <v>-5.0847457627118647E-2</v>
      </c>
      <c r="J273" s="304">
        <v>0</v>
      </c>
      <c r="K273" s="305">
        <v>-0.15214820654316122</v>
      </c>
      <c r="L273" s="305">
        <v>4.1357816711590299E-2</v>
      </c>
      <c r="M273" s="122">
        <v>-0.18483412322274881</v>
      </c>
      <c r="N273" s="305">
        <v>-2.0670198065407645E-2</v>
      </c>
      <c r="O273" s="304">
        <v>1.4139827179890024E-2</v>
      </c>
      <c r="P273" s="122">
        <v>0</v>
      </c>
      <c r="Q273" s="253">
        <v>0</v>
      </c>
      <c r="R273" s="122">
        <v>1.4139827179890024E-2</v>
      </c>
      <c r="S273" s="305">
        <v>0</v>
      </c>
      <c r="T273" s="120">
        <v>0</v>
      </c>
      <c r="U273" s="313">
        <v>0</v>
      </c>
      <c r="V273" s="120">
        <v>0</v>
      </c>
      <c r="W273" s="296">
        <v>0</v>
      </c>
      <c r="X273" s="296">
        <v>0</v>
      </c>
      <c r="Y273" s="511">
        <v>-1.6524812104922602E-2</v>
      </c>
    </row>
    <row r="274" spans="1:25" ht="15.75" x14ac:dyDescent="0.25">
      <c r="A274" s="142"/>
      <c r="B274" s="143" t="s">
        <v>278</v>
      </c>
      <c r="C274" s="300"/>
      <c r="D274" s="300"/>
      <c r="E274" s="300"/>
      <c r="F274" s="300">
        <v>8</v>
      </c>
      <c r="G274" s="300"/>
      <c r="H274" s="134"/>
      <c r="I274" s="300">
        <v>8</v>
      </c>
      <c r="J274" s="299"/>
      <c r="K274" s="300"/>
      <c r="L274" s="300"/>
      <c r="M274" s="134"/>
      <c r="N274" s="300"/>
      <c r="O274" s="299"/>
      <c r="P274" s="134"/>
      <c r="Q274" s="301"/>
      <c r="R274" s="134"/>
      <c r="S274" s="300"/>
      <c r="T274" s="132"/>
      <c r="U274" s="311"/>
      <c r="V274" s="132"/>
      <c r="W274" s="296"/>
      <c r="X274" s="296"/>
      <c r="Y274" s="511">
        <v>8</v>
      </c>
    </row>
    <row r="275" spans="1:25" s="306" customFormat="1" ht="15.75" x14ac:dyDescent="0.25">
      <c r="A275" s="142"/>
      <c r="B275" s="144" t="s">
        <v>279</v>
      </c>
      <c r="C275" s="303"/>
      <c r="D275" s="303"/>
      <c r="E275" s="303"/>
      <c r="F275" s="303">
        <v>3</v>
      </c>
      <c r="G275" s="303"/>
      <c r="H275" s="119"/>
      <c r="I275" s="303">
        <v>3</v>
      </c>
      <c r="J275" s="302"/>
      <c r="K275" s="303"/>
      <c r="L275" s="303"/>
      <c r="M275" s="119"/>
      <c r="N275" s="303"/>
      <c r="O275" s="302"/>
      <c r="P275" s="119"/>
      <c r="Q275" s="173"/>
      <c r="R275" s="119"/>
      <c r="S275" s="303"/>
      <c r="T275" s="117"/>
      <c r="U275" s="312"/>
      <c r="V275" s="117"/>
      <c r="W275" s="296"/>
      <c r="X275" s="296"/>
      <c r="Y275" s="306">
        <v>3</v>
      </c>
    </row>
    <row r="276" spans="1:25" ht="15.75" x14ac:dyDescent="0.25">
      <c r="A276" s="142"/>
      <c r="B276" s="145" t="s">
        <v>280</v>
      </c>
      <c r="C276" s="305">
        <v>0</v>
      </c>
      <c r="D276" s="305">
        <v>0</v>
      </c>
      <c r="E276" s="305">
        <v>0</v>
      </c>
      <c r="F276" s="305">
        <v>-0.625</v>
      </c>
      <c r="G276" s="305">
        <v>0</v>
      </c>
      <c r="H276" s="122">
        <v>0</v>
      </c>
      <c r="I276" s="305">
        <v>-0.625</v>
      </c>
      <c r="J276" s="304">
        <v>0</v>
      </c>
      <c r="K276" s="305">
        <v>0</v>
      </c>
      <c r="L276" s="305">
        <v>0</v>
      </c>
      <c r="M276" s="122">
        <v>0</v>
      </c>
      <c r="N276" s="305">
        <v>0</v>
      </c>
      <c r="O276" s="304">
        <v>0</v>
      </c>
      <c r="P276" s="122">
        <v>0</v>
      </c>
      <c r="Q276" s="253">
        <v>0</v>
      </c>
      <c r="R276" s="122">
        <v>0</v>
      </c>
      <c r="S276" s="305">
        <v>0</v>
      </c>
      <c r="T276" s="120">
        <v>0</v>
      </c>
      <c r="U276" s="313">
        <v>0</v>
      </c>
      <c r="V276" s="120">
        <v>0</v>
      </c>
      <c r="W276" s="296">
        <v>0</v>
      </c>
      <c r="X276" s="296">
        <v>0</v>
      </c>
      <c r="Y276" s="511">
        <v>-0.625</v>
      </c>
    </row>
    <row r="277" spans="1:25" ht="15.75" x14ac:dyDescent="0.25">
      <c r="A277" s="142"/>
      <c r="B277" s="143" t="s">
        <v>281</v>
      </c>
      <c r="C277" s="300">
        <v>19</v>
      </c>
      <c r="D277" s="300"/>
      <c r="E277" s="300">
        <v>613</v>
      </c>
      <c r="F277" s="300">
        <v>163</v>
      </c>
      <c r="G277" s="300"/>
      <c r="H277" s="134"/>
      <c r="I277" s="300">
        <v>795</v>
      </c>
      <c r="J277" s="299"/>
      <c r="K277" s="300">
        <v>2093</v>
      </c>
      <c r="L277" s="300">
        <v>5064</v>
      </c>
      <c r="M277" s="134">
        <v>191</v>
      </c>
      <c r="N277" s="300">
        <v>7348</v>
      </c>
      <c r="O277" s="299">
        <v>551</v>
      </c>
      <c r="P277" s="134"/>
      <c r="Q277" s="301"/>
      <c r="R277" s="134">
        <v>551</v>
      </c>
      <c r="S277" s="300"/>
      <c r="T277" s="132"/>
      <c r="U277" s="311"/>
      <c r="V277" s="132"/>
      <c r="W277" s="296"/>
      <c r="X277" s="296"/>
      <c r="Y277" s="511">
        <v>8694</v>
      </c>
    </row>
    <row r="278" spans="1:25" s="306" customFormat="1" ht="15.75" x14ac:dyDescent="0.25">
      <c r="A278" s="142"/>
      <c r="B278" s="144" t="s">
        <v>282</v>
      </c>
      <c r="C278" s="303">
        <v>11</v>
      </c>
      <c r="D278" s="303"/>
      <c r="E278" s="303">
        <v>624</v>
      </c>
      <c r="F278" s="303">
        <v>171</v>
      </c>
      <c r="G278" s="303"/>
      <c r="H278" s="119"/>
      <c r="I278" s="303">
        <v>806</v>
      </c>
      <c r="J278" s="302"/>
      <c r="K278" s="303">
        <v>2367</v>
      </c>
      <c r="L278" s="303">
        <v>5701</v>
      </c>
      <c r="M278" s="119">
        <v>178</v>
      </c>
      <c r="N278" s="303">
        <v>8246</v>
      </c>
      <c r="O278" s="302">
        <v>707</v>
      </c>
      <c r="P278" s="119"/>
      <c r="Q278" s="173"/>
      <c r="R278" s="119">
        <v>707</v>
      </c>
      <c r="S278" s="303"/>
      <c r="T278" s="117"/>
      <c r="U278" s="312"/>
      <c r="V278" s="117"/>
      <c r="W278" s="296"/>
      <c r="X278" s="296"/>
      <c r="Y278" s="306">
        <v>9759</v>
      </c>
    </row>
    <row r="279" spans="1:25" ht="15.75" x14ac:dyDescent="0.25">
      <c r="A279" s="142"/>
      <c r="B279" s="145" t="s">
        <v>283</v>
      </c>
      <c r="C279" s="305">
        <v>-0.42105263157894735</v>
      </c>
      <c r="D279" s="305">
        <v>0</v>
      </c>
      <c r="E279" s="305">
        <v>1.794453507340946E-2</v>
      </c>
      <c r="F279" s="305">
        <v>4.9079754601226995E-2</v>
      </c>
      <c r="G279" s="305">
        <v>0</v>
      </c>
      <c r="H279" s="122">
        <v>0</v>
      </c>
      <c r="I279" s="305">
        <v>1.3836477987421384E-2</v>
      </c>
      <c r="J279" s="304">
        <v>0</v>
      </c>
      <c r="K279" s="305">
        <v>0.1309125656951744</v>
      </c>
      <c r="L279" s="305">
        <v>0.12578988941548183</v>
      </c>
      <c r="M279" s="122">
        <v>-6.8062827225130892E-2</v>
      </c>
      <c r="N279" s="305">
        <v>0.12221012520413718</v>
      </c>
      <c r="O279" s="304">
        <v>0.28312159709618873</v>
      </c>
      <c r="P279" s="122">
        <v>0</v>
      </c>
      <c r="Q279" s="253">
        <v>0</v>
      </c>
      <c r="R279" s="122">
        <v>0.28312159709618873</v>
      </c>
      <c r="S279" s="305">
        <v>0</v>
      </c>
      <c r="T279" s="120">
        <v>0</v>
      </c>
      <c r="U279" s="313">
        <v>0</v>
      </c>
      <c r="V279" s="120">
        <v>0</v>
      </c>
      <c r="W279" s="296">
        <v>0</v>
      </c>
      <c r="X279" s="296">
        <v>0</v>
      </c>
      <c r="Y279" s="511">
        <v>0.12249827467218771</v>
      </c>
    </row>
    <row r="280" spans="1:25" ht="15.75" x14ac:dyDescent="0.25">
      <c r="A280" s="142"/>
      <c r="B280" s="143" t="s">
        <v>284</v>
      </c>
      <c r="C280" s="300">
        <v>6330</v>
      </c>
      <c r="D280" s="300"/>
      <c r="E280" s="300">
        <v>7357</v>
      </c>
      <c r="F280" s="300">
        <v>2200</v>
      </c>
      <c r="G280" s="300"/>
      <c r="H280" s="134"/>
      <c r="I280" s="300">
        <v>15887</v>
      </c>
      <c r="J280" s="299"/>
      <c r="K280" s="300"/>
      <c r="L280" s="300"/>
      <c r="M280" s="134"/>
      <c r="N280" s="300"/>
      <c r="O280" s="299"/>
      <c r="P280" s="134"/>
      <c r="Q280" s="301"/>
      <c r="R280" s="134"/>
      <c r="S280" s="300"/>
      <c r="T280" s="132"/>
      <c r="U280" s="311"/>
      <c r="V280" s="132"/>
      <c r="W280" s="296"/>
      <c r="X280" s="296"/>
      <c r="Y280" s="511">
        <v>15887</v>
      </c>
    </row>
    <row r="281" spans="1:25" s="306" customFormat="1" ht="15.75" x14ac:dyDescent="0.25">
      <c r="A281" s="142"/>
      <c r="B281" s="144" t="s">
        <v>285</v>
      </c>
      <c r="C281" s="303">
        <v>6437</v>
      </c>
      <c r="D281" s="303"/>
      <c r="E281" s="303">
        <v>7561</v>
      </c>
      <c r="F281" s="303">
        <v>2209</v>
      </c>
      <c r="G281" s="303"/>
      <c r="H281" s="119"/>
      <c r="I281" s="303">
        <v>16207</v>
      </c>
      <c r="J281" s="302"/>
      <c r="K281" s="303"/>
      <c r="L281" s="303"/>
      <c r="M281" s="119"/>
      <c r="N281" s="303"/>
      <c r="O281" s="302"/>
      <c r="P281" s="119"/>
      <c r="Q281" s="173"/>
      <c r="R281" s="119"/>
      <c r="S281" s="303"/>
      <c r="T281" s="117"/>
      <c r="U281" s="312"/>
      <c r="V281" s="117"/>
      <c r="W281" s="296"/>
      <c r="X281" s="296"/>
      <c r="Y281" s="306">
        <v>16207</v>
      </c>
    </row>
    <row r="282" spans="1:25" ht="15.75" x14ac:dyDescent="0.25">
      <c r="A282" s="142"/>
      <c r="B282" s="145" t="s">
        <v>286</v>
      </c>
      <c r="C282" s="305">
        <v>1.6903633491311215E-2</v>
      </c>
      <c r="D282" s="305">
        <v>0</v>
      </c>
      <c r="E282" s="305">
        <v>2.7728693761043904E-2</v>
      </c>
      <c r="F282" s="305">
        <v>4.0909090909090912E-3</v>
      </c>
      <c r="G282" s="305">
        <v>0</v>
      </c>
      <c r="H282" s="122">
        <v>0</v>
      </c>
      <c r="I282" s="305">
        <v>2.014225467363253E-2</v>
      </c>
      <c r="J282" s="304">
        <v>0</v>
      </c>
      <c r="K282" s="305">
        <v>0</v>
      </c>
      <c r="L282" s="305">
        <v>0</v>
      </c>
      <c r="M282" s="122">
        <v>0</v>
      </c>
      <c r="N282" s="305">
        <v>0</v>
      </c>
      <c r="O282" s="304">
        <v>0</v>
      </c>
      <c r="P282" s="122">
        <v>0</v>
      </c>
      <c r="Q282" s="253">
        <v>0</v>
      </c>
      <c r="R282" s="122">
        <v>0</v>
      </c>
      <c r="S282" s="305">
        <v>0</v>
      </c>
      <c r="T282" s="120">
        <v>0</v>
      </c>
      <c r="U282" s="313">
        <v>0</v>
      </c>
      <c r="V282" s="120">
        <v>0</v>
      </c>
      <c r="W282" s="296">
        <v>0</v>
      </c>
      <c r="X282" s="296">
        <v>0</v>
      </c>
      <c r="Y282" s="511">
        <v>2.014225467363253E-2</v>
      </c>
    </row>
    <row r="283" spans="1:25" ht="15.75" x14ac:dyDescent="0.25">
      <c r="A283" s="142"/>
      <c r="B283" s="143" t="s">
        <v>287</v>
      </c>
      <c r="C283" s="300">
        <v>158</v>
      </c>
      <c r="D283" s="300"/>
      <c r="E283" s="300">
        <v>81</v>
      </c>
      <c r="F283" s="300">
        <v>55</v>
      </c>
      <c r="G283" s="300"/>
      <c r="H283" s="134"/>
      <c r="I283" s="300">
        <v>294</v>
      </c>
      <c r="J283" s="299"/>
      <c r="K283" s="300"/>
      <c r="L283" s="300"/>
      <c r="M283" s="134"/>
      <c r="N283" s="300"/>
      <c r="O283" s="299"/>
      <c r="P283" s="134"/>
      <c r="Q283" s="301"/>
      <c r="R283" s="134"/>
      <c r="S283" s="300"/>
      <c r="T283" s="132"/>
      <c r="U283" s="311"/>
      <c r="V283" s="132"/>
      <c r="W283" s="296"/>
      <c r="X283" s="296"/>
      <c r="Y283" s="511">
        <v>294</v>
      </c>
    </row>
    <row r="284" spans="1:25" s="306" customFormat="1" ht="16.5" thickBot="1" x14ac:dyDescent="0.3">
      <c r="A284" s="142"/>
      <c r="B284" s="144" t="s">
        <v>288</v>
      </c>
      <c r="C284" s="303">
        <v>163</v>
      </c>
      <c r="D284" s="303"/>
      <c r="E284" s="303">
        <v>51</v>
      </c>
      <c r="F284" s="303">
        <v>92</v>
      </c>
      <c r="G284" s="303"/>
      <c r="H284" s="119"/>
      <c r="I284" s="303">
        <v>306</v>
      </c>
      <c r="J284" s="302"/>
      <c r="K284" s="303"/>
      <c r="L284" s="303"/>
      <c r="M284" s="119"/>
      <c r="N284" s="303"/>
      <c r="O284" s="302"/>
      <c r="P284" s="119"/>
      <c r="Q284" s="173"/>
      <c r="R284" s="119"/>
      <c r="S284" s="303"/>
      <c r="T284" s="117"/>
      <c r="U284" s="312"/>
      <c r="V284" s="117"/>
      <c r="W284" s="296"/>
      <c r="X284" s="296"/>
      <c r="Y284" s="306">
        <v>306</v>
      </c>
    </row>
    <row r="285" spans="1:25" ht="16.5" thickBot="1" x14ac:dyDescent="0.3">
      <c r="A285" s="142"/>
      <c r="B285" s="145" t="s">
        <v>289</v>
      </c>
      <c r="C285" s="305">
        <v>3.1645569620253167E-2</v>
      </c>
      <c r="D285" s="305">
        <v>0</v>
      </c>
      <c r="E285" s="724">
        <v>-0.37037037037037035</v>
      </c>
      <c r="F285" s="724">
        <v>0.67272727272727273</v>
      </c>
      <c r="G285" s="305">
        <v>0</v>
      </c>
      <c r="H285" s="122">
        <v>0</v>
      </c>
      <c r="I285" s="305">
        <v>4.0816326530612242E-2</v>
      </c>
      <c r="J285" s="304">
        <v>0</v>
      </c>
      <c r="K285" s="305">
        <v>0</v>
      </c>
      <c r="L285" s="305">
        <v>0</v>
      </c>
      <c r="M285" s="122">
        <v>0</v>
      </c>
      <c r="N285" s="305">
        <v>0</v>
      </c>
      <c r="O285" s="304">
        <v>0</v>
      </c>
      <c r="P285" s="122">
        <v>0</v>
      </c>
      <c r="Q285" s="253">
        <v>0</v>
      </c>
      <c r="R285" s="122">
        <v>0</v>
      </c>
      <c r="S285" s="305">
        <v>0</v>
      </c>
      <c r="T285" s="120">
        <v>0</v>
      </c>
      <c r="U285" s="313">
        <v>0</v>
      </c>
      <c r="V285" s="120">
        <v>0</v>
      </c>
      <c r="W285" s="296">
        <v>0</v>
      </c>
      <c r="X285" s="296">
        <v>0</v>
      </c>
      <c r="Y285" s="511">
        <v>4.0816326530612242E-2</v>
      </c>
    </row>
    <row r="286" spans="1:25" ht="15.75" x14ac:dyDescent="0.25">
      <c r="A286" s="142"/>
      <c r="B286" s="143" t="s">
        <v>290</v>
      </c>
      <c r="C286" s="300">
        <v>2640</v>
      </c>
      <c r="D286" s="300"/>
      <c r="E286" s="300">
        <v>2704</v>
      </c>
      <c r="F286" s="300">
        <v>529</v>
      </c>
      <c r="G286" s="300"/>
      <c r="H286" s="134"/>
      <c r="I286" s="300">
        <v>5873</v>
      </c>
      <c r="J286" s="299"/>
      <c r="K286" s="300">
        <v>0</v>
      </c>
      <c r="L286" s="300">
        <v>0</v>
      </c>
      <c r="M286" s="134">
        <v>0</v>
      </c>
      <c r="N286" s="300">
        <v>0</v>
      </c>
      <c r="O286" s="299">
        <v>0</v>
      </c>
      <c r="P286" s="134"/>
      <c r="Q286" s="301"/>
      <c r="R286" s="134">
        <v>0</v>
      </c>
      <c r="S286" s="300"/>
      <c r="T286" s="132"/>
      <c r="U286" s="311"/>
      <c r="V286" s="132"/>
      <c r="W286" s="296"/>
      <c r="X286" s="296"/>
      <c r="Y286" s="511">
        <v>5873</v>
      </c>
    </row>
    <row r="287" spans="1:25" s="306" customFormat="1" ht="15.75" x14ac:dyDescent="0.25">
      <c r="A287" s="142"/>
      <c r="B287" s="144" t="s">
        <v>291</v>
      </c>
      <c r="C287" s="303">
        <v>2791</v>
      </c>
      <c r="D287" s="303"/>
      <c r="E287" s="303">
        <v>2903</v>
      </c>
      <c r="F287" s="303">
        <v>557</v>
      </c>
      <c r="G287" s="303"/>
      <c r="H287" s="119"/>
      <c r="I287" s="303">
        <v>6251</v>
      </c>
      <c r="J287" s="302"/>
      <c r="K287" s="303">
        <v>0</v>
      </c>
      <c r="L287" s="303">
        <v>0</v>
      </c>
      <c r="M287" s="119">
        <v>0</v>
      </c>
      <c r="N287" s="303">
        <v>0</v>
      </c>
      <c r="O287" s="302">
        <v>0</v>
      </c>
      <c r="P287" s="119"/>
      <c r="Q287" s="173"/>
      <c r="R287" s="119">
        <v>0</v>
      </c>
      <c r="S287" s="303"/>
      <c r="T287" s="117"/>
      <c r="U287" s="312"/>
      <c r="V287" s="117"/>
      <c r="W287" s="296"/>
      <c r="X287" s="296"/>
      <c r="Y287" s="306">
        <v>6251</v>
      </c>
    </row>
    <row r="288" spans="1:25" ht="15.75" x14ac:dyDescent="0.25">
      <c r="A288" s="142"/>
      <c r="B288" s="145" t="s">
        <v>292</v>
      </c>
      <c r="C288" s="305">
        <v>5.7196969696969698E-2</v>
      </c>
      <c r="D288" s="305">
        <v>0</v>
      </c>
      <c r="E288" s="305">
        <v>7.3594674556213019E-2</v>
      </c>
      <c r="F288" s="305">
        <v>5.2930056710775046E-2</v>
      </c>
      <c r="G288" s="305">
        <v>0</v>
      </c>
      <c r="H288" s="122">
        <v>0</v>
      </c>
      <c r="I288" s="305">
        <v>6.4362336114421936E-2</v>
      </c>
      <c r="J288" s="304">
        <v>0</v>
      </c>
      <c r="K288" s="305">
        <v>0</v>
      </c>
      <c r="L288" s="305">
        <v>0</v>
      </c>
      <c r="M288" s="122">
        <v>0</v>
      </c>
      <c r="N288" s="305">
        <v>0</v>
      </c>
      <c r="O288" s="304">
        <v>0</v>
      </c>
      <c r="P288" s="122">
        <v>0</v>
      </c>
      <c r="Q288" s="253">
        <v>0</v>
      </c>
      <c r="R288" s="122">
        <v>0</v>
      </c>
      <c r="S288" s="305">
        <v>0</v>
      </c>
      <c r="T288" s="120">
        <v>0</v>
      </c>
      <c r="U288" s="313">
        <v>0</v>
      </c>
      <c r="V288" s="120">
        <v>0</v>
      </c>
      <c r="W288" s="296">
        <v>0</v>
      </c>
      <c r="X288" s="296">
        <v>0</v>
      </c>
      <c r="Y288" s="511">
        <v>6.4362336114421936E-2</v>
      </c>
    </row>
    <row r="289" spans="1:25" ht="15.75" x14ac:dyDescent="0.25">
      <c r="A289" s="142"/>
      <c r="B289" s="143" t="s">
        <v>293</v>
      </c>
      <c r="C289" s="300">
        <v>424</v>
      </c>
      <c r="D289" s="300"/>
      <c r="E289" s="300">
        <v>0</v>
      </c>
      <c r="F289" s="300">
        <v>0</v>
      </c>
      <c r="G289" s="300"/>
      <c r="H289" s="134"/>
      <c r="I289" s="300">
        <v>424</v>
      </c>
      <c r="J289" s="299"/>
      <c r="K289" s="300">
        <v>0</v>
      </c>
      <c r="L289" s="300">
        <v>0</v>
      </c>
      <c r="M289" s="134">
        <v>0</v>
      </c>
      <c r="N289" s="300">
        <v>0</v>
      </c>
      <c r="O289" s="299">
        <v>0</v>
      </c>
      <c r="P289" s="134"/>
      <c r="Q289" s="301"/>
      <c r="R289" s="134">
        <v>0</v>
      </c>
      <c r="S289" s="300"/>
      <c r="T289" s="132"/>
      <c r="U289" s="311"/>
      <c r="V289" s="132"/>
      <c r="W289" s="296"/>
      <c r="X289" s="296"/>
      <c r="Y289" s="511">
        <v>424</v>
      </c>
    </row>
    <row r="290" spans="1:25" s="306" customFormat="1" ht="16.5" thickBot="1" x14ac:dyDescent="0.3">
      <c r="A290" s="142"/>
      <c r="B290" s="144" t="s">
        <v>294</v>
      </c>
      <c r="C290" s="303">
        <v>510</v>
      </c>
      <c r="D290" s="303"/>
      <c r="E290" s="303">
        <v>0</v>
      </c>
      <c r="F290" s="303">
        <v>14</v>
      </c>
      <c r="G290" s="303"/>
      <c r="H290" s="119"/>
      <c r="I290" s="303">
        <v>524</v>
      </c>
      <c r="J290" s="302"/>
      <c r="K290" s="303">
        <v>0</v>
      </c>
      <c r="L290" s="303">
        <v>0</v>
      </c>
      <c r="M290" s="119">
        <v>0</v>
      </c>
      <c r="N290" s="303">
        <v>0</v>
      </c>
      <c r="O290" s="302">
        <v>0</v>
      </c>
      <c r="P290" s="119"/>
      <c r="Q290" s="173"/>
      <c r="R290" s="119">
        <v>0</v>
      </c>
      <c r="S290" s="303"/>
      <c r="T290" s="117"/>
      <c r="U290" s="312"/>
      <c r="V290" s="117"/>
      <c r="W290" s="296"/>
      <c r="X290" s="296"/>
      <c r="Y290" s="306">
        <v>524</v>
      </c>
    </row>
    <row r="291" spans="1:25" ht="16.5" thickBot="1" x14ac:dyDescent="0.3">
      <c r="A291" s="142"/>
      <c r="B291" s="145" t="s">
        <v>295</v>
      </c>
      <c r="C291" s="305">
        <v>0.20283018867924529</v>
      </c>
      <c r="D291" s="305">
        <v>0</v>
      </c>
      <c r="E291" s="305">
        <v>0</v>
      </c>
      <c r="F291" s="724">
        <v>0</v>
      </c>
      <c r="G291" s="305">
        <v>0</v>
      </c>
      <c r="H291" s="122">
        <v>0</v>
      </c>
      <c r="I291" s="305">
        <v>0.23584905660377359</v>
      </c>
      <c r="J291" s="304">
        <v>0</v>
      </c>
      <c r="K291" s="305">
        <v>0</v>
      </c>
      <c r="L291" s="305">
        <v>0</v>
      </c>
      <c r="M291" s="122">
        <v>0</v>
      </c>
      <c r="N291" s="305">
        <v>0</v>
      </c>
      <c r="O291" s="304">
        <v>0</v>
      </c>
      <c r="P291" s="122">
        <v>0</v>
      </c>
      <c r="Q291" s="253">
        <v>0</v>
      </c>
      <c r="R291" s="122">
        <v>0</v>
      </c>
      <c r="S291" s="305">
        <v>0</v>
      </c>
      <c r="T291" s="120">
        <v>0</v>
      </c>
      <c r="U291" s="313">
        <v>0</v>
      </c>
      <c r="V291" s="120">
        <v>0</v>
      </c>
      <c r="W291" s="296">
        <v>0</v>
      </c>
      <c r="X291" s="296">
        <v>0</v>
      </c>
      <c r="Y291" s="511">
        <v>0.23584905660377359</v>
      </c>
    </row>
    <row r="292" spans="1:25" ht="15.75" x14ac:dyDescent="0.25">
      <c r="A292" s="142"/>
      <c r="B292" s="143" t="s">
        <v>296</v>
      </c>
      <c r="C292" s="300">
        <v>280</v>
      </c>
      <c r="D292" s="300"/>
      <c r="E292" s="300"/>
      <c r="F292" s="300">
        <v>177</v>
      </c>
      <c r="G292" s="300"/>
      <c r="H292" s="134"/>
      <c r="I292" s="300">
        <v>457</v>
      </c>
      <c r="J292" s="299"/>
      <c r="K292" s="300"/>
      <c r="L292" s="300"/>
      <c r="M292" s="134"/>
      <c r="N292" s="300"/>
      <c r="O292" s="299"/>
      <c r="P292" s="134"/>
      <c r="Q292" s="301"/>
      <c r="R292" s="134"/>
      <c r="S292" s="300"/>
      <c r="T292" s="132"/>
      <c r="U292" s="311"/>
      <c r="V292" s="132"/>
      <c r="W292" s="296"/>
      <c r="X292" s="296"/>
      <c r="Y292" s="511">
        <v>457</v>
      </c>
    </row>
    <row r="293" spans="1:25" s="306" customFormat="1" ht="15.75" x14ac:dyDescent="0.25">
      <c r="A293" s="142"/>
      <c r="B293" s="144" t="s">
        <v>297</v>
      </c>
      <c r="C293" s="303">
        <v>275</v>
      </c>
      <c r="D293" s="303"/>
      <c r="E293" s="303"/>
      <c r="F293" s="303">
        <v>154</v>
      </c>
      <c r="G293" s="303"/>
      <c r="H293" s="119"/>
      <c r="I293" s="303">
        <v>429</v>
      </c>
      <c r="J293" s="302"/>
      <c r="K293" s="303"/>
      <c r="L293" s="303"/>
      <c r="M293" s="119"/>
      <c r="N293" s="303"/>
      <c r="O293" s="302"/>
      <c r="P293" s="119"/>
      <c r="Q293" s="173"/>
      <c r="R293" s="119"/>
      <c r="S293" s="303"/>
      <c r="T293" s="117"/>
      <c r="U293" s="312"/>
      <c r="V293" s="117"/>
      <c r="W293" s="296"/>
      <c r="X293" s="296"/>
      <c r="Y293" s="306">
        <v>429</v>
      </c>
    </row>
    <row r="294" spans="1:25" ht="15.75" x14ac:dyDescent="0.25">
      <c r="A294" s="142"/>
      <c r="B294" s="145" t="s">
        <v>298</v>
      </c>
      <c r="C294" s="305">
        <v>-1.7857142857142856E-2</v>
      </c>
      <c r="D294" s="305">
        <v>0</v>
      </c>
      <c r="E294" s="305">
        <v>0</v>
      </c>
      <c r="F294" s="305">
        <v>-0.12994350282485875</v>
      </c>
      <c r="G294" s="305">
        <v>0</v>
      </c>
      <c r="H294" s="122">
        <v>0</v>
      </c>
      <c r="I294" s="305">
        <v>-6.1269146608315096E-2</v>
      </c>
      <c r="J294" s="304">
        <v>0</v>
      </c>
      <c r="K294" s="305">
        <v>0</v>
      </c>
      <c r="L294" s="305">
        <v>0</v>
      </c>
      <c r="M294" s="122">
        <v>0</v>
      </c>
      <c r="N294" s="305">
        <v>0</v>
      </c>
      <c r="O294" s="304">
        <v>0</v>
      </c>
      <c r="P294" s="122">
        <v>0</v>
      </c>
      <c r="Q294" s="253">
        <v>0</v>
      </c>
      <c r="R294" s="122">
        <v>0</v>
      </c>
      <c r="S294" s="305">
        <v>0</v>
      </c>
      <c r="T294" s="120">
        <v>0</v>
      </c>
      <c r="U294" s="313">
        <v>0</v>
      </c>
      <c r="V294" s="120">
        <v>0</v>
      </c>
      <c r="W294" s="296">
        <v>0</v>
      </c>
      <c r="X294" s="296">
        <v>0</v>
      </c>
      <c r="Y294" s="511">
        <v>-6.1269146608315096E-2</v>
      </c>
    </row>
    <row r="295" spans="1:25" ht="15.75" x14ac:dyDescent="0.25">
      <c r="A295" s="142"/>
      <c r="B295" s="143" t="s">
        <v>299</v>
      </c>
      <c r="C295" s="300">
        <v>237</v>
      </c>
      <c r="D295" s="300"/>
      <c r="E295" s="300"/>
      <c r="F295" s="300"/>
      <c r="G295" s="300"/>
      <c r="H295" s="134"/>
      <c r="I295" s="300">
        <v>237</v>
      </c>
      <c r="J295" s="299"/>
      <c r="K295" s="300"/>
      <c r="L295" s="300"/>
      <c r="M295" s="134"/>
      <c r="N295" s="300"/>
      <c r="O295" s="299"/>
      <c r="P295" s="134"/>
      <c r="Q295" s="301"/>
      <c r="R295" s="134"/>
      <c r="S295" s="300"/>
      <c r="T295" s="132"/>
      <c r="U295" s="311"/>
      <c r="V295" s="132"/>
      <c r="W295" s="296"/>
      <c r="X295" s="296"/>
      <c r="Y295" s="511">
        <v>237</v>
      </c>
    </row>
    <row r="296" spans="1:25" s="306" customFormat="1" ht="15.75" x14ac:dyDescent="0.25">
      <c r="A296" s="142"/>
      <c r="B296" s="144" t="s">
        <v>300</v>
      </c>
      <c r="C296" s="303">
        <v>252</v>
      </c>
      <c r="D296" s="303"/>
      <c r="E296" s="303"/>
      <c r="F296" s="303"/>
      <c r="G296" s="303"/>
      <c r="H296" s="119"/>
      <c r="I296" s="303">
        <v>252</v>
      </c>
      <c r="J296" s="302"/>
      <c r="K296" s="303"/>
      <c r="L296" s="303"/>
      <c r="M296" s="119"/>
      <c r="N296" s="303"/>
      <c r="O296" s="302"/>
      <c r="P296" s="119"/>
      <c r="Q296" s="173"/>
      <c r="R296" s="119"/>
      <c r="S296" s="303"/>
      <c r="T296" s="117"/>
      <c r="U296" s="312"/>
      <c r="V296" s="117"/>
      <c r="W296" s="296"/>
      <c r="X296" s="296"/>
      <c r="Y296" s="306">
        <v>252</v>
      </c>
    </row>
    <row r="297" spans="1:25" ht="15.75" x14ac:dyDescent="0.25">
      <c r="A297" s="142"/>
      <c r="B297" s="145" t="s">
        <v>301</v>
      </c>
      <c r="C297" s="305">
        <v>6.3291139240506333E-2</v>
      </c>
      <c r="D297" s="305">
        <v>0</v>
      </c>
      <c r="E297" s="305">
        <v>0</v>
      </c>
      <c r="F297" s="305">
        <v>0</v>
      </c>
      <c r="G297" s="305">
        <v>0</v>
      </c>
      <c r="H297" s="122">
        <v>0</v>
      </c>
      <c r="I297" s="305">
        <v>6.3291139240506333E-2</v>
      </c>
      <c r="J297" s="304">
        <v>0</v>
      </c>
      <c r="K297" s="305">
        <v>0</v>
      </c>
      <c r="L297" s="305">
        <v>0</v>
      </c>
      <c r="M297" s="122">
        <v>0</v>
      </c>
      <c r="N297" s="305">
        <v>0</v>
      </c>
      <c r="O297" s="304">
        <v>0</v>
      </c>
      <c r="P297" s="122">
        <v>0</v>
      </c>
      <c r="Q297" s="253">
        <v>0</v>
      </c>
      <c r="R297" s="122">
        <v>0</v>
      </c>
      <c r="S297" s="305">
        <v>0</v>
      </c>
      <c r="T297" s="120">
        <v>0</v>
      </c>
      <c r="U297" s="313">
        <v>0</v>
      </c>
      <c r="V297" s="120">
        <v>0</v>
      </c>
      <c r="W297" s="296">
        <v>0</v>
      </c>
      <c r="X297" s="296">
        <v>0</v>
      </c>
      <c r="Y297" s="511">
        <v>6.3291139240506333E-2</v>
      </c>
    </row>
    <row r="298" spans="1:25" ht="15.75" x14ac:dyDescent="0.25">
      <c r="A298" s="142"/>
      <c r="B298" s="143" t="s">
        <v>302</v>
      </c>
      <c r="C298" s="300">
        <v>129</v>
      </c>
      <c r="D298" s="300"/>
      <c r="E298" s="300"/>
      <c r="F298" s="300"/>
      <c r="G298" s="300"/>
      <c r="H298" s="134"/>
      <c r="I298" s="300">
        <v>129</v>
      </c>
      <c r="J298" s="299"/>
      <c r="K298" s="300"/>
      <c r="L298" s="300"/>
      <c r="M298" s="134"/>
      <c r="N298" s="300"/>
      <c r="O298" s="299"/>
      <c r="P298" s="134"/>
      <c r="Q298" s="301"/>
      <c r="R298" s="134"/>
      <c r="S298" s="300"/>
      <c r="T298" s="132"/>
      <c r="U298" s="311"/>
      <c r="V298" s="132"/>
      <c r="W298" s="296"/>
      <c r="X298" s="296"/>
      <c r="Y298" s="511">
        <v>129</v>
      </c>
    </row>
    <row r="299" spans="1:25" s="306" customFormat="1" ht="15.75" x14ac:dyDescent="0.25">
      <c r="A299" s="142"/>
      <c r="B299" s="144" t="s">
        <v>303</v>
      </c>
      <c r="C299" s="303">
        <v>148</v>
      </c>
      <c r="D299" s="303"/>
      <c r="E299" s="303"/>
      <c r="F299" s="303"/>
      <c r="G299" s="303"/>
      <c r="H299" s="119"/>
      <c r="I299" s="303">
        <v>148</v>
      </c>
      <c r="J299" s="302"/>
      <c r="K299" s="303"/>
      <c r="L299" s="303"/>
      <c r="M299" s="119"/>
      <c r="N299" s="303"/>
      <c r="O299" s="302"/>
      <c r="P299" s="119"/>
      <c r="Q299" s="173"/>
      <c r="R299" s="119"/>
      <c r="S299" s="303"/>
      <c r="T299" s="117"/>
      <c r="U299" s="312"/>
      <c r="V299" s="117"/>
      <c r="W299" s="296"/>
      <c r="X299" s="296"/>
      <c r="Y299" s="306">
        <v>148</v>
      </c>
    </row>
    <row r="300" spans="1:25" ht="15.75" x14ac:dyDescent="0.25">
      <c r="A300" s="142"/>
      <c r="B300" s="145" t="s">
        <v>304</v>
      </c>
      <c r="C300" s="305">
        <v>0.14728682170542637</v>
      </c>
      <c r="D300" s="305">
        <v>0</v>
      </c>
      <c r="E300" s="305">
        <v>0</v>
      </c>
      <c r="F300" s="305">
        <v>0</v>
      </c>
      <c r="G300" s="305">
        <v>0</v>
      </c>
      <c r="H300" s="122">
        <v>0</v>
      </c>
      <c r="I300" s="305">
        <v>0.14728682170542637</v>
      </c>
      <c r="J300" s="304">
        <v>0</v>
      </c>
      <c r="K300" s="305">
        <v>0</v>
      </c>
      <c r="L300" s="305">
        <v>0</v>
      </c>
      <c r="M300" s="122">
        <v>0</v>
      </c>
      <c r="N300" s="305">
        <v>0</v>
      </c>
      <c r="O300" s="304">
        <v>0</v>
      </c>
      <c r="P300" s="122">
        <v>0</v>
      </c>
      <c r="Q300" s="253">
        <v>0</v>
      </c>
      <c r="R300" s="122">
        <v>0</v>
      </c>
      <c r="S300" s="305">
        <v>0</v>
      </c>
      <c r="T300" s="120">
        <v>0</v>
      </c>
      <c r="U300" s="313">
        <v>0</v>
      </c>
      <c r="V300" s="120">
        <v>0</v>
      </c>
      <c r="W300" s="296">
        <v>0</v>
      </c>
      <c r="X300" s="296">
        <v>0</v>
      </c>
      <c r="Y300" s="511">
        <v>0.14728682170542637</v>
      </c>
    </row>
    <row r="301" spans="1:25" ht="15.75" x14ac:dyDescent="0.25">
      <c r="A301" s="142"/>
      <c r="B301" s="143" t="s">
        <v>305</v>
      </c>
      <c r="C301" s="300">
        <v>124</v>
      </c>
      <c r="D301" s="300"/>
      <c r="E301" s="300"/>
      <c r="F301" s="300"/>
      <c r="G301" s="300"/>
      <c r="H301" s="134"/>
      <c r="I301" s="300">
        <v>124</v>
      </c>
      <c r="J301" s="299"/>
      <c r="K301" s="300"/>
      <c r="L301" s="300"/>
      <c r="M301" s="134"/>
      <c r="N301" s="300"/>
      <c r="O301" s="299"/>
      <c r="P301" s="134"/>
      <c r="Q301" s="301"/>
      <c r="R301" s="134"/>
      <c r="S301" s="300"/>
      <c r="T301" s="132"/>
      <c r="U301" s="311"/>
      <c r="V301" s="132"/>
      <c r="W301" s="296"/>
      <c r="X301" s="296"/>
      <c r="Y301" s="511">
        <v>124</v>
      </c>
    </row>
    <row r="302" spans="1:25" s="306" customFormat="1" ht="15.75" x14ac:dyDescent="0.25">
      <c r="A302" s="142"/>
      <c r="B302" s="144" t="s">
        <v>306</v>
      </c>
      <c r="C302" s="303">
        <v>126</v>
      </c>
      <c r="D302" s="303"/>
      <c r="E302" s="303"/>
      <c r="F302" s="303"/>
      <c r="G302" s="303"/>
      <c r="H302" s="119"/>
      <c r="I302" s="303">
        <v>126</v>
      </c>
      <c r="J302" s="302"/>
      <c r="K302" s="303"/>
      <c r="L302" s="303"/>
      <c r="M302" s="119"/>
      <c r="N302" s="303"/>
      <c r="O302" s="302"/>
      <c r="P302" s="119"/>
      <c r="Q302" s="173"/>
      <c r="R302" s="119"/>
      <c r="S302" s="303"/>
      <c r="T302" s="117"/>
      <c r="U302" s="312"/>
      <c r="V302" s="117"/>
      <c r="W302" s="296"/>
      <c r="X302" s="296"/>
      <c r="Y302" s="306">
        <v>126</v>
      </c>
    </row>
    <row r="303" spans="1:25" ht="15.75" x14ac:dyDescent="0.25">
      <c r="A303" s="142"/>
      <c r="B303" s="145" t="s">
        <v>307</v>
      </c>
      <c r="C303" s="305">
        <v>1.6129032258064516E-2</v>
      </c>
      <c r="D303" s="305">
        <v>0</v>
      </c>
      <c r="E303" s="305">
        <v>0</v>
      </c>
      <c r="F303" s="305">
        <v>0</v>
      </c>
      <c r="G303" s="305">
        <v>0</v>
      </c>
      <c r="H303" s="122">
        <v>0</v>
      </c>
      <c r="I303" s="305">
        <v>1.6129032258064516E-2</v>
      </c>
      <c r="J303" s="304">
        <v>0</v>
      </c>
      <c r="K303" s="305">
        <v>0</v>
      </c>
      <c r="L303" s="305">
        <v>0</v>
      </c>
      <c r="M303" s="122">
        <v>0</v>
      </c>
      <c r="N303" s="305">
        <v>0</v>
      </c>
      <c r="O303" s="304">
        <v>0</v>
      </c>
      <c r="P303" s="122">
        <v>0</v>
      </c>
      <c r="Q303" s="253">
        <v>0</v>
      </c>
      <c r="R303" s="122">
        <v>0</v>
      </c>
      <c r="S303" s="305">
        <v>0</v>
      </c>
      <c r="T303" s="120">
        <v>0</v>
      </c>
      <c r="U303" s="313">
        <v>0</v>
      </c>
      <c r="V303" s="120">
        <v>0</v>
      </c>
      <c r="W303" s="296">
        <v>0</v>
      </c>
      <c r="X303" s="296">
        <v>0</v>
      </c>
      <c r="Y303" s="511">
        <v>1.6129032258064516E-2</v>
      </c>
    </row>
    <row r="304" spans="1:25" ht="15.75" x14ac:dyDescent="0.25">
      <c r="A304" s="142"/>
      <c r="B304" s="143" t="s">
        <v>308</v>
      </c>
      <c r="C304" s="300"/>
      <c r="D304" s="300"/>
      <c r="E304" s="300"/>
      <c r="F304" s="300"/>
      <c r="G304" s="300"/>
      <c r="H304" s="134"/>
      <c r="I304" s="300"/>
      <c r="J304" s="299"/>
      <c r="K304" s="300"/>
      <c r="L304" s="300"/>
      <c r="M304" s="134"/>
      <c r="N304" s="300"/>
      <c r="O304" s="299"/>
      <c r="P304" s="134"/>
      <c r="Q304" s="301"/>
      <c r="R304" s="134"/>
      <c r="S304" s="300"/>
      <c r="T304" s="132"/>
      <c r="U304" s="311"/>
      <c r="V304" s="132"/>
      <c r="W304" s="296"/>
      <c r="X304" s="296"/>
    </row>
    <row r="305" spans="1:25" s="306" customFormat="1" ht="15.75" x14ac:dyDescent="0.25">
      <c r="A305" s="142"/>
      <c r="B305" s="144" t="s">
        <v>309</v>
      </c>
      <c r="C305" s="303"/>
      <c r="D305" s="303"/>
      <c r="E305" s="303"/>
      <c r="F305" s="303"/>
      <c r="G305" s="303"/>
      <c r="H305" s="119"/>
      <c r="I305" s="303"/>
      <c r="J305" s="302"/>
      <c r="K305" s="303"/>
      <c r="L305" s="303"/>
      <c r="M305" s="119"/>
      <c r="N305" s="303"/>
      <c r="O305" s="302"/>
      <c r="P305" s="119"/>
      <c r="Q305" s="173"/>
      <c r="R305" s="119"/>
      <c r="S305" s="303"/>
      <c r="T305" s="117"/>
      <c r="U305" s="312"/>
      <c r="V305" s="117"/>
      <c r="W305" s="296"/>
      <c r="X305" s="296"/>
    </row>
    <row r="306" spans="1:25" ht="15.75" x14ac:dyDescent="0.25">
      <c r="A306" s="142"/>
      <c r="B306" s="145" t="s">
        <v>310</v>
      </c>
      <c r="C306" s="305">
        <v>0</v>
      </c>
      <c r="D306" s="305">
        <v>0</v>
      </c>
      <c r="E306" s="305">
        <v>0</v>
      </c>
      <c r="F306" s="305">
        <v>0</v>
      </c>
      <c r="G306" s="305">
        <v>0</v>
      </c>
      <c r="H306" s="122">
        <v>0</v>
      </c>
      <c r="I306" s="305">
        <v>0</v>
      </c>
      <c r="J306" s="304">
        <v>0</v>
      </c>
      <c r="K306" s="305">
        <v>0</v>
      </c>
      <c r="L306" s="305">
        <v>0</v>
      </c>
      <c r="M306" s="122">
        <v>0</v>
      </c>
      <c r="N306" s="305">
        <v>0</v>
      </c>
      <c r="O306" s="304">
        <v>0</v>
      </c>
      <c r="P306" s="122">
        <v>0</v>
      </c>
      <c r="Q306" s="253">
        <v>0</v>
      </c>
      <c r="R306" s="122">
        <v>0</v>
      </c>
      <c r="S306" s="305">
        <v>0</v>
      </c>
      <c r="T306" s="120">
        <v>0</v>
      </c>
      <c r="U306" s="313">
        <v>0</v>
      </c>
      <c r="V306" s="120">
        <v>0</v>
      </c>
      <c r="W306" s="296">
        <v>0</v>
      </c>
      <c r="X306" s="296">
        <v>0</v>
      </c>
      <c r="Y306" s="511">
        <v>0</v>
      </c>
    </row>
    <row r="307" spans="1:25" ht="15.75" x14ac:dyDescent="0.25">
      <c r="A307" s="142"/>
      <c r="B307" s="143" t="s">
        <v>311</v>
      </c>
      <c r="C307" s="300"/>
      <c r="D307" s="300"/>
      <c r="E307" s="300"/>
      <c r="F307" s="300"/>
      <c r="G307" s="300"/>
      <c r="H307" s="134"/>
      <c r="I307" s="300"/>
      <c r="J307" s="299"/>
      <c r="K307" s="300"/>
      <c r="L307" s="300"/>
      <c r="M307" s="134"/>
      <c r="N307" s="300"/>
      <c r="O307" s="299"/>
      <c r="P307" s="134"/>
      <c r="Q307" s="301"/>
      <c r="R307" s="134"/>
      <c r="S307" s="300"/>
      <c r="T307" s="132"/>
      <c r="U307" s="311"/>
      <c r="V307" s="132"/>
      <c r="W307" s="296"/>
      <c r="X307" s="296"/>
    </row>
    <row r="308" spans="1:25" s="306" customFormat="1" ht="15.75" x14ac:dyDescent="0.25">
      <c r="A308" s="142"/>
      <c r="B308" s="144" t="s">
        <v>312</v>
      </c>
      <c r="C308" s="303"/>
      <c r="D308" s="303"/>
      <c r="E308" s="303"/>
      <c r="F308" s="303"/>
      <c r="G308" s="303"/>
      <c r="H308" s="119"/>
      <c r="I308" s="303"/>
      <c r="J308" s="302"/>
      <c r="K308" s="303"/>
      <c r="L308" s="303"/>
      <c r="M308" s="119"/>
      <c r="N308" s="303"/>
      <c r="O308" s="302"/>
      <c r="P308" s="119"/>
      <c r="Q308" s="173"/>
      <c r="R308" s="119"/>
      <c r="S308" s="303"/>
      <c r="T308" s="117"/>
      <c r="U308" s="312"/>
      <c r="V308" s="117"/>
      <c r="W308" s="296"/>
      <c r="X308" s="296"/>
    </row>
    <row r="309" spans="1:25" ht="15.75" x14ac:dyDescent="0.25">
      <c r="A309" s="142"/>
      <c r="B309" s="145" t="s">
        <v>313</v>
      </c>
      <c r="C309" s="305">
        <v>0</v>
      </c>
      <c r="D309" s="305">
        <v>0</v>
      </c>
      <c r="E309" s="305">
        <v>0</v>
      </c>
      <c r="F309" s="305">
        <v>0</v>
      </c>
      <c r="G309" s="305">
        <v>0</v>
      </c>
      <c r="H309" s="122">
        <v>0</v>
      </c>
      <c r="I309" s="305">
        <v>0</v>
      </c>
      <c r="J309" s="304">
        <v>0</v>
      </c>
      <c r="K309" s="305">
        <v>0</v>
      </c>
      <c r="L309" s="305">
        <v>0</v>
      </c>
      <c r="M309" s="122">
        <v>0</v>
      </c>
      <c r="N309" s="305">
        <v>0</v>
      </c>
      <c r="O309" s="304">
        <v>0</v>
      </c>
      <c r="P309" s="122">
        <v>0</v>
      </c>
      <c r="Q309" s="253">
        <v>0</v>
      </c>
      <c r="R309" s="122">
        <v>0</v>
      </c>
      <c r="S309" s="305">
        <v>0</v>
      </c>
      <c r="T309" s="120">
        <v>0</v>
      </c>
      <c r="U309" s="313">
        <v>0</v>
      </c>
      <c r="V309" s="120">
        <v>0</v>
      </c>
      <c r="W309" s="296">
        <v>0</v>
      </c>
      <c r="X309" s="296">
        <v>0</v>
      </c>
      <c r="Y309" s="511">
        <v>0</v>
      </c>
    </row>
    <row r="310" spans="1:25" ht="15.75" x14ac:dyDescent="0.25">
      <c r="A310" s="142"/>
      <c r="B310" s="143" t="s">
        <v>314</v>
      </c>
      <c r="C310" s="300"/>
      <c r="D310" s="300"/>
      <c r="E310" s="300"/>
      <c r="F310" s="300"/>
      <c r="G310" s="300"/>
      <c r="H310" s="134"/>
      <c r="I310" s="300"/>
      <c r="J310" s="299"/>
      <c r="K310" s="300"/>
      <c r="L310" s="300"/>
      <c r="M310" s="134"/>
      <c r="N310" s="300"/>
      <c r="O310" s="299"/>
      <c r="P310" s="134"/>
      <c r="Q310" s="301"/>
      <c r="R310" s="134"/>
      <c r="S310" s="300"/>
      <c r="T310" s="132"/>
      <c r="U310" s="311"/>
      <c r="V310" s="132"/>
      <c r="W310" s="296"/>
      <c r="X310" s="296"/>
    </row>
    <row r="311" spans="1:25" s="306" customFormat="1" ht="15.75" x14ac:dyDescent="0.25">
      <c r="A311" s="142"/>
      <c r="B311" s="144" t="s">
        <v>315</v>
      </c>
      <c r="C311" s="303"/>
      <c r="D311" s="303"/>
      <c r="E311" s="303"/>
      <c r="F311" s="303"/>
      <c r="G311" s="303"/>
      <c r="H311" s="119"/>
      <c r="I311" s="303"/>
      <c r="J311" s="302"/>
      <c r="K311" s="303"/>
      <c r="L311" s="303"/>
      <c r="M311" s="119"/>
      <c r="N311" s="303"/>
      <c r="O311" s="302"/>
      <c r="P311" s="119"/>
      <c r="Q311" s="173"/>
      <c r="R311" s="119"/>
      <c r="S311" s="303"/>
      <c r="T311" s="117"/>
      <c r="U311" s="312"/>
      <c r="V311" s="117"/>
      <c r="W311" s="296"/>
      <c r="X311" s="296"/>
    </row>
    <row r="312" spans="1:25" ht="15.75" x14ac:dyDescent="0.25">
      <c r="A312" s="142"/>
      <c r="B312" s="145" t="s">
        <v>316</v>
      </c>
      <c r="C312" s="305">
        <v>0</v>
      </c>
      <c r="D312" s="305">
        <v>0</v>
      </c>
      <c r="E312" s="305">
        <v>0</v>
      </c>
      <c r="F312" s="305">
        <v>0</v>
      </c>
      <c r="G312" s="305">
        <v>0</v>
      </c>
      <c r="H312" s="122">
        <v>0</v>
      </c>
      <c r="I312" s="305">
        <v>0</v>
      </c>
      <c r="J312" s="304">
        <v>0</v>
      </c>
      <c r="K312" s="305">
        <v>0</v>
      </c>
      <c r="L312" s="305">
        <v>0</v>
      </c>
      <c r="M312" s="122">
        <v>0</v>
      </c>
      <c r="N312" s="305">
        <v>0</v>
      </c>
      <c r="O312" s="304">
        <v>0</v>
      </c>
      <c r="P312" s="122">
        <v>0</v>
      </c>
      <c r="Q312" s="253">
        <v>0</v>
      </c>
      <c r="R312" s="122">
        <v>0</v>
      </c>
      <c r="S312" s="305">
        <v>0</v>
      </c>
      <c r="T312" s="120">
        <v>0</v>
      </c>
      <c r="U312" s="313">
        <v>0</v>
      </c>
      <c r="V312" s="120">
        <v>0</v>
      </c>
      <c r="W312" s="296">
        <v>0</v>
      </c>
      <c r="X312" s="296">
        <v>0</v>
      </c>
      <c r="Y312" s="511">
        <v>0</v>
      </c>
    </row>
    <row r="313" spans="1:25" ht="15.75" x14ac:dyDescent="0.25">
      <c r="A313" s="142"/>
      <c r="B313" s="143" t="s">
        <v>317</v>
      </c>
      <c r="C313" s="300"/>
      <c r="D313" s="300"/>
      <c r="E313" s="300"/>
      <c r="F313" s="300"/>
      <c r="G313" s="300"/>
      <c r="H313" s="134"/>
      <c r="I313" s="300"/>
      <c r="J313" s="299"/>
      <c r="K313" s="300"/>
      <c r="L313" s="300"/>
      <c r="M313" s="134"/>
      <c r="N313" s="300"/>
      <c r="O313" s="299"/>
      <c r="P313" s="134"/>
      <c r="Q313" s="301"/>
      <c r="R313" s="134"/>
      <c r="S313" s="300"/>
      <c r="T313" s="132"/>
      <c r="U313" s="311"/>
      <c r="V313" s="132"/>
      <c r="W313" s="296"/>
      <c r="X313" s="296"/>
    </row>
    <row r="314" spans="1:25" s="306" customFormat="1" ht="15.75" x14ac:dyDescent="0.25">
      <c r="A314" s="142"/>
      <c r="B314" s="144" t="s">
        <v>318</v>
      </c>
      <c r="C314" s="303"/>
      <c r="D314" s="303"/>
      <c r="E314" s="303"/>
      <c r="F314" s="303"/>
      <c r="G314" s="303"/>
      <c r="H314" s="119"/>
      <c r="I314" s="303"/>
      <c r="J314" s="302"/>
      <c r="K314" s="303"/>
      <c r="L314" s="303"/>
      <c r="M314" s="119"/>
      <c r="N314" s="303"/>
      <c r="O314" s="302"/>
      <c r="P314" s="119"/>
      <c r="Q314" s="173"/>
      <c r="R314" s="119"/>
      <c r="S314" s="303"/>
      <c r="T314" s="117"/>
      <c r="U314" s="312"/>
      <c r="V314" s="117"/>
      <c r="W314" s="296"/>
      <c r="X314" s="296"/>
    </row>
    <row r="315" spans="1:25" ht="15.75" x14ac:dyDescent="0.25">
      <c r="A315" s="142"/>
      <c r="B315" s="145" t="s">
        <v>319</v>
      </c>
      <c r="C315" s="305">
        <v>0</v>
      </c>
      <c r="D315" s="305">
        <v>0</v>
      </c>
      <c r="E315" s="305">
        <v>0</v>
      </c>
      <c r="F315" s="305">
        <v>0</v>
      </c>
      <c r="G315" s="305">
        <v>0</v>
      </c>
      <c r="H315" s="122">
        <v>0</v>
      </c>
      <c r="I315" s="305">
        <v>0</v>
      </c>
      <c r="J315" s="304">
        <v>0</v>
      </c>
      <c r="K315" s="305">
        <v>0</v>
      </c>
      <c r="L315" s="305">
        <v>0</v>
      </c>
      <c r="M315" s="122">
        <v>0</v>
      </c>
      <c r="N315" s="305">
        <v>0</v>
      </c>
      <c r="O315" s="304">
        <v>0</v>
      </c>
      <c r="P315" s="122">
        <v>0</v>
      </c>
      <c r="Q315" s="253">
        <v>0</v>
      </c>
      <c r="R315" s="122">
        <v>0</v>
      </c>
      <c r="S315" s="305">
        <v>0</v>
      </c>
      <c r="T315" s="120">
        <v>0</v>
      </c>
      <c r="U315" s="313">
        <v>0</v>
      </c>
      <c r="V315" s="120">
        <v>0</v>
      </c>
      <c r="W315" s="296">
        <v>0</v>
      </c>
      <c r="X315" s="296">
        <v>0</v>
      </c>
      <c r="Y315" s="511">
        <v>0</v>
      </c>
    </row>
    <row r="316" spans="1:25" ht="15.75" x14ac:dyDescent="0.25">
      <c r="A316" s="142"/>
      <c r="B316" s="143" t="s">
        <v>320</v>
      </c>
      <c r="C316" s="300"/>
      <c r="D316" s="300"/>
      <c r="E316" s="300"/>
      <c r="F316" s="300"/>
      <c r="G316" s="300"/>
      <c r="H316" s="134"/>
      <c r="I316" s="300"/>
      <c r="J316" s="299"/>
      <c r="K316" s="300"/>
      <c r="L316" s="300"/>
      <c r="M316" s="134"/>
      <c r="N316" s="300"/>
      <c r="O316" s="299"/>
      <c r="P316" s="134"/>
      <c r="Q316" s="301"/>
      <c r="R316" s="134"/>
      <c r="S316" s="300"/>
      <c r="T316" s="132"/>
      <c r="U316" s="311"/>
      <c r="V316" s="132"/>
      <c r="W316" s="296"/>
      <c r="X316" s="296"/>
    </row>
    <row r="317" spans="1:25" s="306" customFormat="1" ht="15.75" x14ac:dyDescent="0.25">
      <c r="A317" s="142"/>
      <c r="B317" s="144" t="s">
        <v>321</v>
      </c>
      <c r="C317" s="303"/>
      <c r="D317" s="303"/>
      <c r="E317" s="303"/>
      <c r="F317" s="303"/>
      <c r="G317" s="303"/>
      <c r="H317" s="119"/>
      <c r="I317" s="303"/>
      <c r="J317" s="302"/>
      <c r="K317" s="303"/>
      <c r="L317" s="303"/>
      <c r="M317" s="119"/>
      <c r="N317" s="303"/>
      <c r="O317" s="302"/>
      <c r="P317" s="119"/>
      <c r="Q317" s="173"/>
      <c r="R317" s="119"/>
      <c r="S317" s="303"/>
      <c r="T317" s="117"/>
      <c r="U317" s="312"/>
      <c r="V317" s="117"/>
      <c r="W317" s="296"/>
      <c r="X317" s="296"/>
    </row>
    <row r="318" spans="1:25" ht="15.75" x14ac:dyDescent="0.25">
      <c r="A318" s="142"/>
      <c r="B318" s="145" t="s">
        <v>322</v>
      </c>
      <c r="C318" s="305">
        <v>0</v>
      </c>
      <c r="D318" s="305">
        <v>0</v>
      </c>
      <c r="E318" s="305">
        <v>0</v>
      </c>
      <c r="F318" s="305">
        <v>0</v>
      </c>
      <c r="G318" s="305">
        <v>0</v>
      </c>
      <c r="H318" s="122">
        <v>0</v>
      </c>
      <c r="I318" s="305">
        <v>0</v>
      </c>
      <c r="J318" s="304">
        <v>0</v>
      </c>
      <c r="K318" s="305">
        <v>0</v>
      </c>
      <c r="L318" s="305">
        <v>0</v>
      </c>
      <c r="M318" s="122">
        <v>0</v>
      </c>
      <c r="N318" s="305">
        <v>0</v>
      </c>
      <c r="O318" s="304">
        <v>0</v>
      </c>
      <c r="P318" s="122">
        <v>0</v>
      </c>
      <c r="Q318" s="253">
        <v>0</v>
      </c>
      <c r="R318" s="122">
        <v>0</v>
      </c>
      <c r="S318" s="305">
        <v>0</v>
      </c>
      <c r="T318" s="120">
        <v>0</v>
      </c>
      <c r="U318" s="313">
        <v>0</v>
      </c>
      <c r="V318" s="120">
        <v>0</v>
      </c>
      <c r="W318" s="296">
        <v>0</v>
      </c>
      <c r="X318" s="296">
        <v>0</v>
      </c>
      <c r="Y318" s="511">
        <v>0</v>
      </c>
    </row>
    <row r="319" spans="1:25" ht="15.75" x14ac:dyDescent="0.25">
      <c r="A319" s="142"/>
      <c r="B319" s="143" t="s">
        <v>404</v>
      </c>
      <c r="C319" s="300">
        <v>123</v>
      </c>
      <c r="D319" s="300"/>
      <c r="E319" s="300">
        <v>9</v>
      </c>
      <c r="F319" s="300">
        <v>2</v>
      </c>
      <c r="G319" s="300"/>
      <c r="H319" s="134"/>
      <c r="I319" s="300">
        <v>134</v>
      </c>
      <c r="J319" s="299"/>
      <c r="K319" s="300"/>
      <c r="L319" s="300"/>
      <c r="M319" s="134"/>
      <c r="N319" s="300"/>
      <c r="O319" s="299"/>
      <c r="P319" s="134"/>
      <c r="Q319" s="301"/>
      <c r="R319" s="134"/>
      <c r="S319" s="300"/>
      <c r="T319" s="132"/>
      <c r="U319" s="311"/>
      <c r="V319" s="132"/>
      <c r="W319" s="296"/>
      <c r="X319" s="296"/>
      <c r="Y319" s="511">
        <v>134</v>
      </c>
    </row>
    <row r="320" spans="1:25" s="306" customFormat="1" ht="16.5" thickBot="1" x14ac:dyDescent="0.3">
      <c r="A320" s="142"/>
      <c r="B320" s="144" t="s">
        <v>406</v>
      </c>
      <c r="C320" s="303">
        <v>126</v>
      </c>
      <c r="D320" s="303"/>
      <c r="E320" s="303">
        <v>29</v>
      </c>
      <c r="F320" s="303">
        <v>14</v>
      </c>
      <c r="G320" s="303"/>
      <c r="H320" s="119"/>
      <c r="I320" s="303">
        <v>169</v>
      </c>
      <c r="J320" s="302"/>
      <c r="K320" s="303"/>
      <c r="L320" s="303"/>
      <c r="M320" s="119"/>
      <c r="N320" s="303"/>
      <c r="O320" s="302"/>
      <c r="P320" s="119"/>
      <c r="Q320" s="173"/>
      <c r="R320" s="119"/>
      <c r="S320" s="303"/>
      <c r="T320" s="117"/>
      <c r="U320" s="312"/>
      <c r="V320" s="117"/>
      <c r="W320" s="296"/>
      <c r="X320" s="296"/>
      <c r="Y320" s="306">
        <v>169</v>
      </c>
    </row>
    <row r="321" spans="1:25" ht="16.5" thickBot="1" x14ac:dyDescent="0.3">
      <c r="A321" s="142"/>
      <c r="B321" s="145" t="s">
        <v>474</v>
      </c>
      <c r="C321" s="305">
        <v>2.4390243902439025E-2</v>
      </c>
      <c r="D321" s="305">
        <v>0</v>
      </c>
      <c r="E321" s="724">
        <v>2.2222222222222223</v>
      </c>
      <c r="F321" s="305">
        <v>6</v>
      </c>
      <c r="G321" s="305">
        <v>0</v>
      </c>
      <c r="H321" s="122">
        <v>0</v>
      </c>
      <c r="I321" s="305">
        <v>0.26119402985074625</v>
      </c>
      <c r="J321" s="304">
        <v>0</v>
      </c>
      <c r="K321" s="305">
        <v>0</v>
      </c>
      <c r="L321" s="305">
        <v>0</v>
      </c>
      <c r="M321" s="122">
        <v>0</v>
      </c>
      <c r="N321" s="305">
        <v>0</v>
      </c>
      <c r="O321" s="304">
        <v>0</v>
      </c>
      <c r="P321" s="122">
        <v>0</v>
      </c>
      <c r="Q321" s="253">
        <v>0</v>
      </c>
      <c r="R321" s="122">
        <v>0</v>
      </c>
      <c r="S321" s="305">
        <v>0</v>
      </c>
      <c r="T321" s="120">
        <v>0</v>
      </c>
      <c r="U321" s="313">
        <v>0</v>
      </c>
      <c r="V321" s="120">
        <v>0</v>
      </c>
      <c r="W321" s="296">
        <v>0</v>
      </c>
      <c r="X321" s="296">
        <v>0</v>
      </c>
      <c r="Y321" s="511">
        <v>0.26119402985074625</v>
      </c>
    </row>
    <row r="322" spans="1:25" ht="15.75" x14ac:dyDescent="0.25">
      <c r="A322" s="142"/>
      <c r="B322" s="143" t="s">
        <v>476</v>
      </c>
      <c r="C322" s="300"/>
      <c r="D322" s="300"/>
      <c r="E322" s="300"/>
      <c r="F322" s="300"/>
      <c r="G322" s="300"/>
      <c r="H322" s="134"/>
      <c r="I322" s="300"/>
      <c r="J322" s="299"/>
      <c r="K322" s="300"/>
      <c r="L322" s="300"/>
      <c r="M322" s="134"/>
      <c r="N322" s="300"/>
      <c r="O322" s="299"/>
      <c r="P322" s="134"/>
      <c r="Q322" s="301"/>
      <c r="R322" s="134"/>
      <c r="S322" s="300"/>
      <c r="T322" s="132"/>
      <c r="U322" s="311"/>
      <c r="V322" s="132"/>
      <c r="W322" s="296"/>
      <c r="X322" s="296"/>
    </row>
    <row r="323" spans="1:25" s="306" customFormat="1" ht="15.75" x14ac:dyDescent="0.25">
      <c r="A323" s="294"/>
      <c r="B323" s="144" t="s">
        <v>472</v>
      </c>
      <c r="C323" s="303"/>
      <c r="D323" s="303"/>
      <c r="E323" s="303"/>
      <c r="F323" s="303"/>
      <c r="G323" s="303"/>
      <c r="H323" s="119"/>
      <c r="I323" s="303"/>
      <c r="J323" s="302"/>
      <c r="K323" s="303"/>
      <c r="L323" s="303"/>
      <c r="M323" s="119"/>
      <c r="N323" s="303"/>
      <c r="O323" s="302"/>
      <c r="P323" s="119"/>
      <c r="Q323" s="173"/>
      <c r="R323" s="119"/>
      <c r="S323" s="303"/>
      <c r="T323" s="117"/>
      <c r="U323" s="312"/>
      <c r="V323" s="117"/>
      <c r="W323" s="296"/>
      <c r="X323" s="296"/>
    </row>
    <row r="324" spans="1:25" ht="15.75" x14ac:dyDescent="0.25">
      <c r="A324" s="141" t="s">
        <v>604</v>
      </c>
      <c r="B324" s="143" t="s">
        <v>275</v>
      </c>
      <c r="C324" s="300"/>
      <c r="D324" s="300"/>
      <c r="E324" s="300"/>
      <c r="F324" s="300"/>
      <c r="G324" s="300"/>
      <c r="H324" s="134">
        <v>15</v>
      </c>
      <c r="I324" s="300">
        <v>15</v>
      </c>
      <c r="J324" s="299"/>
      <c r="K324" s="300">
        <v>839</v>
      </c>
      <c r="L324" s="300">
        <v>298</v>
      </c>
      <c r="M324" s="134">
        <v>491</v>
      </c>
      <c r="N324" s="300">
        <v>1628</v>
      </c>
      <c r="O324" s="299">
        <v>6605</v>
      </c>
      <c r="P324" s="134"/>
      <c r="Q324" s="301"/>
      <c r="R324" s="134">
        <v>6605</v>
      </c>
      <c r="S324" s="300"/>
      <c r="T324" s="132"/>
      <c r="U324" s="311"/>
      <c r="V324" s="132"/>
      <c r="W324" s="296"/>
      <c r="X324" s="296"/>
      <c r="Y324" s="511">
        <v>8248</v>
      </c>
    </row>
    <row r="325" spans="1:25" ht="16.5" thickBot="1" x14ac:dyDescent="0.3">
      <c r="A325" s="142"/>
      <c r="B325" s="144" t="s">
        <v>276</v>
      </c>
      <c r="C325" s="303"/>
      <c r="D325" s="303"/>
      <c r="E325" s="303"/>
      <c r="F325" s="303"/>
      <c r="G325" s="303"/>
      <c r="H325" s="119">
        <v>5</v>
      </c>
      <c r="I325" s="303">
        <v>5</v>
      </c>
      <c r="J325" s="302"/>
      <c r="K325" s="303">
        <v>1397</v>
      </c>
      <c r="L325" s="303">
        <v>309</v>
      </c>
      <c r="M325" s="119">
        <v>680</v>
      </c>
      <c r="N325" s="303">
        <v>2386</v>
      </c>
      <c r="O325" s="302">
        <v>6714</v>
      </c>
      <c r="P325" s="119"/>
      <c r="Q325" s="173"/>
      <c r="R325" s="119">
        <v>6714</v>
      </c>
      <c r="S325" s="303"/>
      <c r="T325" s="117"/>
      <c r="U325" s="312"/>
      <c r="V325" s="117"/>
      <c r="W325" s="296"/>
      <c r="X325" s="296"/>
      <c r="Y325" s="511">
        <v>9105</v>
      </c>
    </row>
    <row r="326" spans="1:25" s="306" customFormat="1" ht="16.5" thickBot="1" x14ac:dyDescent="0.3">
      <c r="A326" s="142"/>
      <c r="B326" s="145" t="s">
        <v>277</v>
      </c>
      <c r="C326" s="305">
        <v>0</v>
      </c>
      <c r="D326" s="305">
        <v>0</v>
      </c>
      <c r="E326" s="305">
        <v>0</v>
      </c>
      <c r="F326" s="305">
        <v>0</v>
      </c>
      <c r="G326" s="305">
        <v>0</v>
      </c>
      <c r="H326" s="122">
        <v>-0.66666666666666663</v>
      </c>
      <c r="I326" s="305">
        <v>-0.66666666666666663</v>
      </c>
      <c r="J326" s="304">
        <v>0</v>
      </c>
      <c r="K326" s="724">
        <v>0.66507747318235999</v>
      </c>
      <c r="L326" s="305">
        <v>3.6912751677852351E-2</v>
      </c>
      <c r="M326" s="724">
        <v>0.38492871690427699</v>
      </c>
      <c r="N326" s="305">
        <v>0.4656019656019656</v>
      </c>
      <c r="O326" s="304">
        <v>1.6502649507948525E-2</v>
      </c>
      <c r="P326" s="122">
        <v>0</v>
      </c>
      <c r="Q326" s="253">
        <v>0</v>
      </c>
      <c r="R326" s="122">
        <v>1.6502649507948525E-2</v>
      </c>
      <c r="S326" s="305">
        <v>0</v>
      </c>
      <c r="T326" s="120">
        <v>0</v>
      </c>
      <c r="U326" s="313">
        <v>0</v>
      </c>
      <c r="V326" s="120">
        <v>0</v>
      </c>
      <c r="W326" s="296">
        <v>0</v>
      </c>
      <c r="X326" s="296">
        <v>0</v>
      </c>
      <c r="Y326" s="306">
        <v>0.10390397672162949</v>
      </c>
    </row>
    <row r="327" spans="1:25" ht="15.75" x14ac:dyDescent="0.25">
      <c r="A327" s="142"/>
      <c r="B327" s="143" t="s">
        <v>278</v>
      </c>
      <c r="C327" s="300"/>
      <c r="D327" s="300"/>
      <c r="E327" s="300"/>
      <c r="F327" s="300"/>
      <c r="G327" s="300"/>
      <c r="H327" s="134"/>
      <c r="I327" s="300"/>
      <c r="J327" s="299"/>
      <c r="K327" s="300">
        <v>25</v>
      </c>
      <c r="L327" s="300"/>
      <c r="M327" s="134"/>
      <c r="N327" s="300">
        <v>25</v>
      </c>
      <c r="O327" s="299"/>
      <c r="P327" s="134"/>
      <c r="Q327" s="301"/>
      <c r="R327" s="134"/>
      <c r="S327" s="300"/>
      <c r="T327" s="132"/>
      <c r="U327" s="311"/>
      <c r="V327" s="132"/>
      <c r="W327" s="296"/>
      <c r="X327" s="296"/>
      <c r="Y327" s="511">
        <v>25</v>
      </c>
    </row>
    <row r="328" spans="1:25" ht="15.75" x14ac:dyDescent="0.25">
      <c r="A328" s="142"/>
      <c r="B328" s="144" t="s">
        <v>279</v>
      </c>
      <c r="C328" s="303"/>
      <c r="D328" s="303"/>
      <c r="E328" s="303"/>
      <c r="F328" s="303"/>
      <c r="G328" s="303"/>
      <c r="H328" s="119"/>
      <c r="I328" s="303"/>
      <c r="J328" s="302"/>
      <c r="K328" s="303">
        <v>18</v>
      </c>
      <c r="L328" s="303"/>
      <c r="M328" s="119"/>
      <c r="N328" s="303">
        <v>18</v>
      </c>
      <c r="O328" s="302"/>
      <c r="P328" s="119"/>
      <c r="Q328" s="173"/>
      <c r="R328" s="119"/>
      <c r="S328" s="303"/>
      <c r="T328" s="117"/>
      <c r="U328" s="312"/>
      <c r="V328" s="117"/>
      <c r="W328" s="296"/>
      <c r="X328" s="296"/>
      <c r="Y328" s="511">
        <v>18</v>
      </c>
    </row>
    <row r="329" spans="1:25" s="306" customFormat="1" ht="15.75" x14ac:dyDescent="0.25">
      <c r="A329" s="142"/>
      <c r="B329" s="145" t="s">
        <v>280</v>
      </c>
      <c r="C329" s="305">
        <v>0</v>
      </c>
      <c r="D329" s="305">
        <v>0</v>
      </c>
      <c r="E329" s="305">
        <v>0</v>
      </c>
      <c r="F329" s="305">
        <v>0</v>
      </c>
      <c r="G329" s="305">
        <v>0</v>
      </c>
      <c r="H329" s="122">
        <v>0</v>
      </c>
      <c r="I329" s="305">
        <v>0</v>
      </c>
      <c r="J329" s="304">
        <v>0</v>
      </c>
      <c r="K329" s="305">
        <v>-0.28000000000000003</v>
      </c>
      <c r="L329" s="305">
        <v>0</v>
      </c>
      <c r="M329" s="122">
        <v>0</v>
      </c>
      <c r="N329" s="305">
        <v>-0.28000000000000003</v>
      </c>
      <c r="O329" s="304">
        <v>0</v>
      </c>
      <c r="P329" s="122">
        <v>0</v>
      </c>
      <c r="Q329" s="253">
        <v>0</v>
      </c>
      <c r="R329" s="122">
        <v>0</v>
      </c>
      <c r="S329" s="305">
        <v>0</v>
      </c>
      <c r="T329" s="120">
        <v>0</v>
      </c>
      <c r="U329" s="313">
        <v>0</v>
      </c>
      <c r="V329" s="120">
        <v>0</v>
      </c>
      <c r="W329" s="296">
        <v>0</v>
      </c>
      <c r="X329" s="296">
        <v>0</v>
      </c>
      <c r="Y329" s="306">
        <v>-0.28000000000000003</v>
      </c>
    </row>
    <row r="330" spans="1:25" ht="15.75" x14ac:dyDescent="0.25">
      <c r="A330" s="142"/>
      <c r="B330" s="143" t="s">
        <v>281</v>
      </c>
      <c r="C330" s="300"/>
      <c r="D330" s="300">
        <v>91</v>
      </c>
      <c r="E330" s="300">
        <v>242</v>
      </c>
      <c r="F330" s="300">
        <v>1107</v>
      </c>
      <c r="G330" s="300"/>
      <c r="H330" s="134">
        <v>142</v>
      </c>
      <c r="I330" s="300">
        <v>1582</v>
      </c>
      <c r="J330" s="299"/>
      <c r="K330" s="300">
        <v>2055</v>
      </c>
      <c r="L330" s="300">
        <v>481</v>
      </c>
      <c r="M330" s="134">
        <v>624</v>
      </c>
      <c r="N330" s="300">
        <v>3160</v>
      </c>
      <c r="O330" s="299">
        <v>657</v>
      </c>
      <c r="P330" s="134"/>
      <c r="Q330" s="301"/>
      <c r="R330" s="134">
        <v>657</v>
      </c>
      <c r="S330" s="300">
        <v>11</v>
      </c>
      <c r="T330" s="132">
        <v>11</v>
      </c>
      <c r="U330" s="311"/>
      <c r="V330" s="132"/>
      <c r="W330" s="296"/>
      <c r="X330" s="296"/>
      <c r="Y330" s="511">
        <v>5410</v>
      </c>
    </row>
    <row r="331" spans="1:25" ht="16.5" thickBot="1" x14ac:dyDescent="0.3">
      <c r="A331" s="142"/>
      <c r="B331" s="144" t="s">
        <v>282</v>
      </c>
      <c r="C331" s="303"/>
      <c r="D331" s="303">
        <v>70</v>
      </c>
      <c r="E331" s="303">
        <v>117</v>
      </c>
      <c r="F331" s="303">
        <v>1188</v>
      </c>
      <c r="G331" s="303"/>
      <c r="H331" s="119">
        <v>118</v>
      </c>
      <c r="I331" s="303">
        <v>1493</v>
      </c>
      <c r="J331" s="302"/>
      <c r="K331" s="303">
        <v>2280</v>
      </c>
      <c r="L331" s="303">
        <v>559</v>
      </c>
      <c r="M331" s="119">
        <v>735</v>
      </c>
      <c r="N331" s="303">
        <v>3574</v>
      </c>
      <c r="O331" s="302">
        <v>872</v>
      </c>
      <c r="P331" s="119"/>
      <c r="Q331" s="173"/>
      <c r="R331" s="119">
        <v>872</v>
      </c>
      <c r="S331" s="303">
        <v>5</v>
      </c>
      <c r="T331" s="117">
        <v>5</v>
      </c>
      <c r="U331" s="312"/>
      <c r="V331" s="117"/>
      <c r="W331" s="296"/>
      <c r="X331" s="296"/>
      <c r="Y331" s="511">
        <v>5944</v>
      </c>
    </row>
    <row r="332" spans="1:25" s="306" customFormat="1" ht="16.5" thickBot="1" x14ac:dyDescent="0.3">
      <c r="A332" s="142"/>
      <c r="B332" s="145" t="s">
        <v>283</v>
      </c>
      <c r="C332" s="305">
        <v>0</v>
      </c>
      <c r="D332" s="305">
        <v>-0.23076923076923078</v>
      </c>
      <c r="E332" s="724">
        <v>-0.51652892561983466</v>
      </c>
      <c r="F332" s="305">
        <v>7.3170731707317069E-2</v>
      </c>
      <c r="G332" s="305">
        <v>0</v>
      </c>
      <c r="H332" s="122">
        <v>-0.16901408450704225</v>
      </c>
      <c r="I332" s="305">
        <v>-5.6257901390644752E-2</v>
      </c>
      <c r="J332" s="304">
        <v>0</v>
      </c>
      <c r="K332" s="305">
        <v>0.10948905109489052</v>
      </c>
      <c r="L332" s="305">
        <v>0.16216216216216217</v>
      </c>
      <c r="M332" s="122">
        <v>0.17788461538461539</v>
      </c>
      <c r="N332" s="305">
        <v>0.13101265822784811</v>
      </c>
      <c r="O332" s="304">
        <v>0.32724505327245051</v>
      </c>
      <c r="P332" s="122">
        <v>0</v>
      </c>
      <c r="Q332" s="253">
        <v>0</v>
      </c>
      <c r="R332" s="122">
        <v>0.32724505327245051</v>
      </c>
      <c r="S332" s="305">
        <v>-0.54545454545454541</v>
      </c>
      <c r="T332" s="120">
        <v>-0.54545454545454541</v>
      </c>
      <c r="U332" s="313">
        <v>0</v>
      </c>
      <c r="V332" s="120">
        <v>0</v>
      </c>
      <c r="W332" s="296">
        <v>0</v>
      </c>
      <c r="X332" s="296">
        <v>0</v>
      </c>
      <c r="Y332" s="306">
        <v>9.8706099815157114E-2</v>
      </c>
    </row>
    <row r="333" spans="1:25" ht="15.75" x14ac:dyDescent="0.25">
      <c r="A333" s="142"/>
      <c r="B333" s="143" t="s">
        <v>284</v>
      </c>
      <c r="C333" s="300">
        <v>4440</v>
      </c>
      <c r="D333" s="300">
        <v>4948</v>
      </c>
      <c r="E333" s="300">
        <v>3880</v>
      </c>
      <c r="F333" s="300">
        <v>4565</v>
      </c>
      <c r="G333" s="300"/>
      <c r="H333" s="134">
        <v>161</v>
      </c>
      <c r="I333" s="300">
        <v>17994</v>
      </c>
      <c r="J333" s="299"/>
      <c r="K333" s="300"/>
      <c r="L333" s="300"/>
      <c r="M333" s="134"/>
      <c r="N333" s="300"/>
      <c r="O333" s="299"/>
      <c r="P333" s="134"/>
      <c r="Q333" s="301"/>
      <c r="R333" s="134"/>
      <c r="S333" s="300">
        <v>329</v>
      </c>
      <c r="T333" s="132">
        <v>329</v>
      </c>
      <c r="U333" s="311"/>
      <c r="V333" s="132"/>
      <c r="W333" s="296"/>
      <c r="X333" s="296"/>
      <c r="Y333" s="511">
        <v>18323</v>
      </c>
    </row>
    <row r="334" spans="1:25" ht="15.75" x14ac:dyDescent="0.25">
      <c r="A334" s="142"/>
      <c r="B334" s="144" t="s">
        <v>285</v>
      </c>
      <c r="C334" s="303">
        <v>4600</v>
      </c>
      <c r="D334" s="303">
        <v>4932</v>
      </c>
      <c r="E334" s="303">
        <v>3880</v>
      </c>
      <c r="F334" s="303">
        <v>4606</v>
      </c>
      <c r="G334" s="303"/>
      <c r="H334" s="119">
        <v>180</v>
      </c>
      <c r="I334" s="303">
        <v>18198</v>
      </c>
      <c r="J334" s="302"/>
      <c r="K334" s="303"/>
      <c r="L334" s="303"/>
      <c r="M334" s="119"/>
      <c r="N334" s="303"/>
      <c r="O334" s="302"/>
      <c r="P334" s="119"/>
      <c r="Q334" s="173"/>
      <c r="R334" s="119"/>
      <c r="S334" s="303">
        <v>384</v>
      </c>
      <c r="T334" s="117">
        <v>384</v>
      </c>
      <c r="U334" s="312"/>
      <c r="V334" s="117"/>
      <c r="W334" s="296"/>
      <c r="X334" s="296"/>
      <c r="Y334" s="511">
        <v>18582</v>
      </c>
    </row>
    <row r="335" spans="1:25" s="306" customFormat="1" ht="15.75" x14ac:dyDescent="0.25">
      <c r="A335" s="142"/>
      <c r="B335" s="145" t="s">
        <v>286</v>
      </c>
      <c r="C335" s="305">
        <v>3.6036036036036036E-2</v>
      </c>
      <c r="D335" s="305">
        <v>-3.2336297493936943E-3</v>
      </c>
      <c r="E335" s="305">
        <v>0</v>
      </c>
      <c r="F335" s="305">
        <v>8.9813800657174148E-3</v>
      </c>
      <c r="G335" s="305">
        <v>0</v>
      </c>
      <c r="H335" s="122">
        <v>0.11801242236024845</v>
      </c>
      <c r="I335" s="305">
        <v>1.1337112370790263E-2</v>
      </c>
      <c r="J335" s="304">
        <v>0</v>
      </c>
      <c r="K335" s="305">
        <v>0</v>
      </c>
      <c r="L335" s="305">
        <v>0</v>
      </c>
      <c r="M335" s="122">
        <v>0</v>
      </c>
      <c r="N335" s="305">
        <v>0</v>
      </c>
      <c r="O335" s="304">
        <v>0</v>
      </c>
      <c r="P335" s="122">
        <v>0</v>
      </c>
      <c r="Q335" s="253">
        <v>0</v>
      </c>
      <c r="R335" s="122">
        <v>0</v>
      </c>
      <c r="S335" s="305">
        <v>0.16717325227963525</v>
      </c>
      <c r="T335" s="120">
        <v>0.16717325227963525</v>
      </c>
      <c r="U335" s="313">
        <v>0</v>
      </c>
      <c r="V335" s="120">
        <v>0</v>
      </c>
      <c r="W335" s="296">
        <v>0</v>
      </c>
      <c r="X335" s="296">
        <v>0</v>
      </c>
      <c r="Y335" s="306">
        <v>1.4135239862467936E-2</v>
      </c>
    </row>
    <row r="336" spans="1:25" ht="15.75" x14ac:dyDescent="0.25">
      <c r="A336" s="142"/>
      <c r="B336" s="143" t="s">
        <v>287</v>
      </c>
      <c r="C336" s="300"/>
      <c r="D336" s="300">
        <v>41</v>
      </c>
      <c r="E336" s="300"/>
      <c r="F336" s="300">
        <v>84</v>
      </c>
      <c r="G336" s="300"/>
      <c r="H336" s="134"/>
      <c r="I336" s="300">
        <v>125</v>
      </c>
      <c r="J336" s="299"/>
      <c r="K336" s="300"/>
      <c r="L336" s="300"/>
      <c r="M336" s="134"/>
      <c r="N336" s="300"/>
      <c r="O336" s="299"/>
      <c r="P336" s="134"/>
      <c r="Q336" s="301"/>
      <c r="R336" s="134"/>
      <c r="S336" s="300"/>
      <c r="T336" s="132"/>
      <c r="U336" s="311"/>
      <c r="V336" s="132"/>
      <c r="W336" s="296"/>
      <c r="X336" s="296"/>
      <c r="Y336" s="511">
        <v>125</v>
      </c>
    </row>
    <row r="337" spans="1:25" ht="15.75" x14ac:dyDescent="0.25">
      <c r="A337" s="142"/>
      <c r="B337" s="144" t="s">
        <v>288</v>
      </c>
      <c r="C337" s="303"/>
      <c r="D337" s="303">
        <v>69</v>
      </c>
      <c r="E337" s="303"/>
      <c r="F337" s="303">
        <v>82</v>
      </c>
      <c r="G337" s="303"/>
      <c r="H337" s="119"/>
      <c r="I337" s="303">
        <v>151</v>
      </c>
      <c r="J337" s="302"/>
      <c r="K337" s="303"/>
      <c r="L337" s="303"/>
      <c r="M337" s="119"/>
      <c r="N337" s="303"/>
      <c r="O337" s="302"/>
      <c r="P337" s="119"/>
      <c r="Q337" s="173"/>
      <c r="R337" s="119"/>
      <c r="S337" s="303"/>
      <c r="T337" s="117"/>
      <c r="U337" s="312"/>
      <c r="V337" s="117"/>
      <c r="W337" s="296"/>
      <c r="X337" s="296"/>
      <c r="Y337" s="511">
        <v>151</v>
      </c>
    </row>
    <row r="338" spans="1:25" s="306" customFormat="1" ht="15.75" x14ac:dyDescent="0.25">
      <c r="A338" s="142"/>
      <c r="B338" s="145" t="s">
        <v>289</v>
      </c>
      <c r="C338" s="305">
        <v>0</v>
      </c>
      <c r="D338" s="305">
        <v>0.68292682926829273</v>
      </c>
      <c r="E338" s="305">
        <v>0</v>
      </c>
      <c r="F338" s="305">
        <v>-2.3809523809523808E-2</v>
      </c>
      <c r="G338" s="305">
        <v>0</v>
      </c>
      <c r="H338" s="122">
        <v>0</v>
      </c>
      <c r="I338" s="305">
        <v>0.20799999999999999</v>
      </c>
      <c r="J338" s="304">
        <v>0</v>
      </c>
      <c r="K338" s="305">
        <v>0</v>
      </c>
      <c r="L338" s="305">
        <v>0</v>
      </c>
      <c r="M338" s="122">
        <v>0</v>
      </c>
      <c r="N338" s="305">
        <v>0</v>
      </c>
      <c r="O338" s="304">
        <v>0</v>
      </c>
      <c r="P338" s="122">
        <v>0</v>
      </c>
      <c r="Q338" s="253">
        <v>0</v>
      </c>
      <c r="R338" s="122">
        <v>0</v>
      </c>
      <c r="S338" s="305">
        <v>0</v>
      </c>
      <c r="T338" s="120">
        <v>0</v>
      </c>
      <c r="U338" s="313">
        <v>0</v>
      </c>
      <c r="V338" s="120">
        <v>0</v>
      </c>
      <c r="W338" s="296">
        <v>0</v>
      </c>
      <c r="X338" s="296">
        <v>0</v>
      </c>
      <c r="Y338" s="306">
        <v>0.20799999999999999</v>
      </c>
    </row>
    <row r="339" spans="1:25" ht="15.75" x14ac:dyDescent="0.25">
      <c r="A339" s="142"/>
      <c r="B339" s="143" t="s">
        <v>290</v>
      </c>
      <c r="C339" s="300">
        <v>914</v>
      </c>
      <c r="D339" s="300">
        <v>1395</v>
      </c>
      <c r="E339" s="300">
        <v>939</v>
      </c>
      <c r="F339" s="300">
        <v>1169</v>
      </c>
      <c r="G339" s="300"/>
      <c r="H339" s="134">
        <v>0</v>
      </c>
      <c r="I339" s="300">
        <v>4417</v>
      </c>
      <c r="J339" s="299"/>
      <c r="K339" s="300">
        <v>0</v>
      </c>
      <c r="L339" s="300">
        <v>0</v>
      </c>
      <c r="M339" s="134">
        <v>0</v>
      </c>
      <c r="N339" s="300">
        <v>0</v>
      </c>
      <c r="O339" s="299">
        <v>0</v>
      </c>
      <c r="P339" s="134"/>
      <c r="Q339" s="301"/>
      <c r="R339" s="134">
        <v>0</v>
      </c>
      <c r="S339" s="300">
        <v>198</v>
      </c>
      <c r="T339" s="132">
        <v>198</v>
      </c>
      <c r="U339" s="311"/>
      <c r="V339" s="132"/>
      <c r="W339" s="296"/>
      <c r="X339" s="296"/>
      <c r="Y339" s="511">
        <v>4615</v>
      </c>
    </row>
    <row r="340" spans="1:25" ht="16.5" thickBot="1" x14ac:dyDescent="0.3">
      <c r="A340" s="142"/>
      <c r="B340" s="144" t="s">
        <v>291</v>
      </c>
      <c r="C340" s="303">
        <v>1011</v>
      </c>
      <c r="D340" s="303">
        <v>1398</v>
      </c>
      <c r="E340" s="303">
        <v>951</v>
      </c>
      <c r="F340" s="303">
        <v>1214</v>
      </c>
      <c r="G340" s="303"/>
      <c r="H340" s="119">
        <v>0</v>
      </c>
      <c r="I340" s="303">
        <v>4574</v>
      </c>
      <c r="J340" s="302"/>
      <c r="K340" s="303">
        <v>0</v>
      </c>
      <c r="L340" s="303">
        <v>0</v>
      </c>
      <c r="M340" s="119">
        <v>0</v>
      </c>
      <c r="N340" s="303">
        <v>0</v>
      </c>
      <c r="O340" s="302">
        <v>0</v>
      </c>
      <c r="P340" s="119"/>
      <c r="Q340" s="173"/>
      <c r="R340" s="119">
        <v>0</v>
      </c>
      <c r="S340" s="303">
        <v>246</v>
      </c>
      <c r="T340" s="117">
        <v>246</v>
      </c>
      <c r="U340" s="312"/>
      <c r="V340" s="117"/>
      <c r="W340" s="296"/>
      <c r="X340" s="296"/>
      <c r="Y340" s="511">
        <v>4820</v>
      </c>
    </row>
    <row r="341" spans="1:25" s="306" customFormat="1" ht="16.5" thickBot="1" x14ac:dyDescent="0.3">
      <c r="A341" s="142"/>
      <c r="B341" s="145" t="s">
        <v>292</v>
      </c>
      <c r="C341" s="305">
        <v>0.1061269146608315</v>
      </c>
      <c r="D341" s="305">
        <v>2.1505376344086021E-3</v>
      </c>
      <c r="E341" s="305">
        <v>1.2779552715654952E-2</v>
      </c>
      <c r="F341" s="305">
        <v>3.8494439692044483E-2</v>
      </c>
      <c r="G341" s="305">
        <v>0</v>
      </c>
      <c r="H341" s="122">
        <v>0</v>
      </c>
      <c r="I341" s="305">
        <v>3.5544487208512568E-2</v>
      </c>
      <c r="J341" s="304">
        <v>0</v>
      </c>
      <c r="K341" s="305">
        <v>0</v>
      </c>
      <c r="L341" s="305">
        <v>0</v>
      </c>
      <c r="M341" s="122">
        <v>0</v>
      </c>
      <c r="N341" s="305">
        <v>0</v>
      </c>
      <c r="O341" s="304">
        <v>0</v>
      </c>
      <c r="P341" s="122">
        <v>0</v>
      </c>
      <c r="Q341" s="253">
        <v>0</v>
      </c>
      <c r="R341" s="122">
        <v>0</v>
      </c>
      <c r="S341" s="724">
        <v>0.24242424242424243</v>
      </c>
      <c r="T341" s="120">
        <v>0.24242424242424243</v>
      </c>
      <c r="U341" s="313">
        <v>0</v>
      </c>
      <c r="V341" s="120">
        <v>0</v>
      </c>
      <c r="W341" s="296">
        <v>0</v>
      </c>
      <c r="X341" s="296">
        <v>0</v>
      </c>
      <c r="Y341" s="306">
        <v>4.4420368364030335E-2</v>
      </c>
    </row>
    <row r="342" spans="1:25" ht="15.75" x14ac:dyDescent="0.25">
      <c r="A342" s="142"/>
      <c r="B342" s="143" t="s">
        <v>293</v>
      </c>
      <c r="C342" s="300">
        <v>203</v>
      </c>
      <c r="D342" s="300">
        <v>107</v>
      </c>
      <c r="E342" s="300">
        <v>51</v>
      </c>
      <c r="F342" s="300">
        <v>2</v>
      </c>
      <c r="G342" s="300"/>
      <c r="H342" s="134">
        <v>0</v>
      </c>
      <c r="I342" s="300">
        <v>363</v>
      </c>
      <c r="J342" s="299"/>
      <c r="K342" s="300">
        <v>0</v>
      </c>
      <c r="L342" s="300">
        <v>0</v>
      </c>
      <c r="M342" s="134">
        <v>0</v>
      </c>
      <c r="N342" s="300">
        <v>0</v>
      </c>
      <c r="O342" s="299">
        <v>0</v>
      </c>
      <c r="P342" s="134"/>
      <c r="Q342" s="301"/>
      <c r="R342" s="134">
        <v>0</v>
      </c>
      <c r="S342" s="300">
        <v>32</v>
      </c>
      <c r="T342" s="132">
        <v>32</v>
      </c>
      <c r="U342" s="311"/>
      <c r="V342" s="132"/>
      <c r="W342" s="296"/>
      <c r="X342" s="296"/>
      <c r="Y342" s="511">
        <v>395</v>
      </c>
    </row>
    <row r="343" spans="1:25" ht="15.75" x14ac:dyDescent="0.25">
      <c r="A343" s="142"/>
      <c r="B343" s="144" t="s">
        <v>294</v>
      </c>
      <c r="C343" s="303">
        <v>268</v>
      </c>
      <c r="D343" s="303">
        <v>153</v>
      </c>
      <c r="E343" s="303">
        <v>69</v>
      </c>
      <c r="F343" s="303">
        <v>6</v>
      </c>
      <c r="G343" s="303"/>
      <c r="H343" s="119">
        <v>0</v>
      </c>
      <c r="I343" s="303">
        <v>496</v>
      </c>
      <c r="J343" s="302"/>
      <c r="K343" s="303">
        <v>0</v>
      </c>
      <c r="L343" s="303">
        <v>0</v>
      </c>
      <c r="M343" s="119">
        <v>0</v>
      </c>
      <c r="N343" s="303">
        <v>0</v>
      </c>
      <c r="O343" s="302">
        <v>0</v>
      </c>
      <c r="P343" s="119"/>
      <c r="Q343" s="173"/>
      <c r="R343" s="119">
        <v>0</v>
      </c>
      <c r="S343" s="303">
        <v>33</v>
      </c>
      <c r="T343" s="117">
        <v>33</v>
      </c>
      <c r="U343" s="312"/>
      <c r="V343" s="117"/>
      <c r="W343" s="296"/>
      <c r="X343" s="296"/>
      <c r="Y343" s="511">
        <v>529</v>
      </c>
    </row>
    <row r="344" spans="1:25" s="306" customFormat="1" ht="15.75" x14ac:dyDescent="0.25">
      <c r="A344" s="142"/>
      <c r="B344" s="145" t="s">
        <v>295</v>
      </c>
      <c r="C344" s="305">
        <v>0.32019704433497537</v>
      </c>
      <c r="D344" s="305">
        <v>0.42990654205607476</v>
      </c>
      <c r="E344" s="305">
        <v>0.35294117647058826</v>
      </c>
      <c r="F344" s="305">
        <v>2</v>
      </c>
      <c r="G344" s="305">
        <v>0</v>
      </c>
      <c r="H344" s="122">
        <v>0</v>
      </c>
      <c r="I344" s="305">
        <v>0.36639118457300274</v>
      </c>
      <c r="J344" s="304">
        <v>0</v>
      </c>
      <c r="K344" s="305">
        <v>0</v>
      </c>
      <c r="L344" s="305">
        <v>0</v>
      </c>
      <c r="M344" s="122">
        <v>0</v>
      </c>
      <c r="N344" s="305">
        <v>0</v>
      </c>
      <c r="O344" s="304">
        <v>0</v>
      </c>
      <c r="P344" s="122">
        <v>0</v>
      </c>
      <c r="Q344" s="253">
        <v>0</v>
      </c>
      <c r="R344" s="122">
        <v>0</v>
      </c>
      <c r="S344" s="305">
        <v>3.125E-2</v>
      </c>
      <c r="T344" s="120">
        <v>3.125E-2</v>
      </c>
      <c r="U344" s="313">
        <v>0</v>
      </c>
      <c r="V344" s="120">
        <v>0</v>
      </c>
      <c r="W344" s="296">
        <v>0</v>
      </c>
      <c r="X344" s="296">
        <v>0</v>
      </c>
      <c r="Y344" s="306">
        <v>0.3392405063291139</v>
      </c>
    </row>
    <row r="345" spans="1:25" ht="15.75" x14ac:dyDescent="0.25">
      <c r="A345" s="142"/>
      <c r="B345" s="143" t="s">
        <v>296</v>
      </c>
      <c r="C345" s="300">
        <v>174</v>
      </c>
      <c r="D345" s="300"/>
      <c r="E345" s="300">
        <v>151</v>
      </c>
      <c r="F345" s="300"/>
      <c r="G345" s="300"/>
      <c r="H345" s="134"/>
      <c r="I345" s="300">
        <v>325</v>
      </c>
      <c r="J345" s="299"/>
      <c r="K345" s="300"/>
      <c r="L345" s="300"/>
      <c r="M345" s="134"/>
      <c r="N345" s="300"/>
      <c r="O345" s="299"/>
      <c r="P345" s="134"/>
      <c r="Q345" s="301"/>
      <c r="R345" s="134"/>
      <c r="S345" s="300"/>
      <c r="T345" s="132"/>
      <c r="U345" s="311"/>
      <c r="V345" s="132"/>
      <c r="W345" s="296"/>
      <c r="X345" s="296"/>
      <c r="Y345" s="511">
        <v>325</v>
      </c>
    </row>
    <row r="346" spans="1:25" ht="15.75" x14ac:dyDescent="0.25">
      <c r="A346" s="142"/>
      <c r="B346" s="144" t="s">
        <v>297</v>
      </c>
      <c r="C346" s="303">
        <v>220</v>
      </c>
      <c r="D346" s="303"/>
      <c r="E346" s="303">
        <v>170</v>
      </c>
      <c r="F346" s="303"/>
      <c r="G346" s="303"/>
      <c r="H346" s="119"/>
      <c r="I346" s="303">
        <v>390</v>
      </c>
      <c r="J346" s="302"/>
      <c r="K346" s="303"/>
      <c r="L346" s="303"/>
      <c r="M346" s="119"/>
      <c r="N346" s="303"/>
      <c r="O346" s="302"/>
      <c r="P346" s="119"/>
      <c r="Q346" s="173"/>
      <c r="R346" s="119"/>
      <c r="S346" s="303"/>
      <c r="T346" s="117"/>
      <c r="U346" s="312"/>
      <c r="V346" s="117"/>
      <c r="W346" s="296"/>
      <c r="X346" s="296"/>
      <c r="Y346" s="511">
        <v>390</v>
      </c>
    </row>
    <row r="347" spans="1:25" s="306" customFormat="1" ht="15.75" x14ac:dyDescent="0.25">
      <c r="A347" s="142"/>
      <c r="B347" s="145" t="s">
        <v>298</v>
      </c>
      <c r="C347" s="305">
        <v>0.26436781609195403</v>
      </c>
      <c r="D347" s="305">
        <v>0</v>
      </c>
      <c r="E347" s="305">
        <v>0.12582781456953643</v>
      </c>
      <c r="F347" s="305">
        <v>0</v>
      </c>
      <c r="G347" s="305">
        <v>0</v>
      </c>
      <c r="H347" s="122">
        <v>0</v>
      </c>
      <c r="I347" s="305">
        <v>0.2</v>
      </c>
      <c r="J347" s="304">
        <v>0</v>
      </c>
      <c r="K347" s="305">
        <v>0</v>
      </c>
      <c r="L347" s="305">
        <v>0</v>
      </c>
      <c r="M347" s="122">
        <v>0</v>
      </c>
      <c r="N347" s="305">
        <v>0</v>
      </c>
      <c r="O347" s="304">
        <v>0</v>
      </c>
      <c r="P347" s="122">
        <v>0</v>
      </c>
      <c r="Q347" s="253">
        <v>0</v>
      </c>
      <c r="R347" s="122">
        <v>0</v>
      </c>
      <c r="S347" s="305">
        <v>0</v>
      </c>
      <c r="T347" s="120">
        <v>0</v>
      </c>
      <c r="U347" s="313">
        <v>0</v>
      </c>
      <c r="V347" s="120">
        <v>0</v>
      </c>
      <c r="W347" s="296">
        <v>0</v>
      </c>
      <c r="X347" s="296">
        <v>0</v>
      </c>
      <c r="Y347" s="306">
        <v>0.2</v>
      </c>
    </row>
    <row r="348" spans="1:25" ht="15.75" x14ac:dyDescent="0.25">
      <c r="A348" s="142"/>
      <c r="B348" s="143" t="s">
        <v>299</v>
      </c>
      <c r="C348" s="300"/>
      <c r="D348" s="300"/>
      <c r="E348" s="300"/>
      <c r="F348" s="300"/>
      <c r="G348" s="300"/>
      <c r="H348" s="134"/>
      <c r="I348" s="300"/>
      <c r="J348" s="299"/>
      <c r="K348" s="300"/>
      <c r="L348" s="300"/>
      <c r="M348" s="134"/>
      <c r="N348" s="300"/>
      <c r="O348" s="299"/>
      <c r="P348" s="134"/>
      <c r="Q348" s="301"/>
      <c r="R348" s="134"/>
      <c r="S348" s="300">
        <v>291</v>
      </c>
      <c r="T348" s="132">
        <v>291</v>
      </c>
      <c r="U348" s="311"/>
      <c r="V348" s="132"/>
      <c r="W348" s="296"/>
      <c r="X348" s="296"/>
      <c r="Y348" s="511">
        <v>291</v>
      </c>
    </row>
    <row r="349" spans="1:25" ht="15.75" x14ac:dyDescent="0.25">
      <c r="A349" s="142"/>
      <c r="B349" s="144" t="s">
        <v>300</v>
      </c>
      <c r="C349" s="303"/>
      <c r="D349" s="303"/>
      <c r="E349" s="303"/>
      <c r="F349" s="303"/>
      <c r="G349" s="303"/>
      <c r="H349" s="119"/>
      <c r="I349" s="303"/>
      <c r="J349" s="302"/>
      <c r="K349" s="303"/>
      <c r="L349" s="303"/>
      <c r="M349" s="119"/>
      <c r="N349" s="303"/>
      <c r="O349" s="302"/>
      <c r="P349" s="119"/>
      <c r="Q349" s="173"/>
      <c r="R349" s="119"/>
      <c r="S349" s="303">
        <v>283</v>
      </c>
      <c r="T349" s="117">
        <v>283</v>
      </c>
      <c r="U349" s="312"/>
      <c r="V349" s="117"/>
      <c r="W349" s="296"/>
      <c r="X349" s="296"/>
      <c r="Y349" s="511">
        <v>283</v>
      </c>
    </row>
    <row r="350" spans="1:25" s="306" customFormat="1" ht="15.75" x14ac:dyDescent="0.25">
      <c r="A350" s="142"/>
      <c r="B350" s="145" t="s">
        <v>301</v>
      </c>
      <c r="C350" s="305">
        <v>0</v>
      </c>
      <c r="D350" s="305">
        <v>0</v>
      </c>
      <c r="E350" s="305">
        <v>0</v>
      </c>
      <c r="F350" s="305">
        <v>0</v>
      </c>
      <c r="G350" s="305">
        <v>0</v>
      </c>
      <c r="H350" s="122">
        <v>0</v>
      </c>
      <c r="I350" s="305">
        <v>0</v>
      </c>
      <c r="J350" s="304">
        <v>0</v>
      </c>
      <c r="K350" s="305">
        <v>0</v>
      </c>
      <c r="L350" s="305">
        <v>0</v>
      </c>
      <c r="M350" s="122">
        <v>0</v>
      </c>
      <c r="N350" s="305">
        <v>0</v>
      </c>
      <c r="O350" s="304">
        <v>0</v>
      </c>
      <c r="P350" s="122">
        <v>0</v>
      </c>
      <c r="Q350" s="253">
        <v>0</v>
      </c>
      <c r="R350" s="122">
        <v>0</v>
      </c>
      <c r="S350" s="305">
        <v>-2.7491408934707903E-2</v>
      </c>
      <c r="T350" s="120">
        <v>-2.7491408934707903E-2</v>
      </c>
      <c r="U350" s="313">
        <v>0</v>
      </c>
      <c r="V350" s="120">
        <v>0</v>
      </c>
      <c r="W350" s="296">
        <v>0</v>
      </c>
      <c r="X350" s="296">
        <v>0</v>
      </c>
      <c r="Y350" s="306">
        <v>-2.7491408934707903E-2</v>
      </c>
    </row>
    <row r="351" spans="1:25" ht="15.75" x14ac:dyDescent="0.25">
      <c r="A351" s="142"/>
      <c r="B351" s="143" t="s">
        <v>302</v>
      </c>
      <c r="C351" s="300"/>
      <c r="D351" s="300"/>
      <c r="E351" s="300"/>
      <c r="F351" s="300"/>
      <c r="G351" s="300"/>
      <c r="H351" s="134"/>
      <c r="I351" s="300"/>
      <c r="J351" s="299"/>
      <c r="K351" s="300"/>
      <c r="L351" s="300"/>
      <c r="M351" s="134"/>
      <c r="N351" s="300"/>
      <c r="O351" s="299"/>
      <c r="P351" s="134"/>
      <c r="Q351" s="301"/>
      <c r="R351" s="134"/>
      <c r="S351" s="300">
        <v>53</v>
      </c>
      <c r="T351" s="132">
        <v>53</v>
      </c>
      <c r="U351" s="311"/>
      <c r="V351" s="132"/>
      <c r="W351" s="296"/>
      <c r="X351" s="296"/>
      <c r="Y351" s="511">
        <v>53</v>
      </c>
    </row>
    <row r="352" spans="1:25" ht="15.75" x14ac:dyDescent="0.25">
      <c r="A352" s="142"/>
      <c r="B352" s="144" t="s">
        <v>303</v>
      </c>
      <c r="C352" s="303"/>
      <c r="D352" s="303"/>
      <c r="E352" s="303"/>
      <c r="F352" s="303"/>
      <c r="G352" s="303"/>
      <c r="H352" s="119"/>
      <c r="I352" s="303"/>
      <c r="J352" s="302"/>
      <c r="K352" s="303"/>
      <c r="L352" s="303"/>
      <c r="M352" s="119"/>
      <c r="N352" s="303"/>
      <c r="O352" s="302"/>
      <c r="P352" s="119"/>
      <c r="Q352" s="173"/>
      <c r="R352" s="119"/>
      <c r="S352" s="303">
        <v>58</v>
      </c>
      <c r="T352" s="117">
        <v>58</v>
      </c>
      <c r="U352" s="312"/>
      <c r="V352" s="117"/>
      <c r="W352" s="296"/>
      <c r="X352" s="296"/>
      <c r="Y352" s="511">
        <v>58</v>
      </c>
    </row>
    <row r="353" spans="1:25" s="306" customFormat="1" ht="15.75" x14ac:dyDescent="0.25">
      <c r="A353" s="142"/>
      <c r="B353" s="145" t="s">
        <v>304</v>
      </c>
      <c r="C353" s="305">
        <v>0</v>
      </c>
      <c r="D353" s="305">
        <v>0</v>
      </c>
      <c r="E353" s="305">
        <v>0</v>
      </c>
      <c r="F353" s="305">
        <v>0</v>
      </c>
      <c r="G353" s="305">
        <v>0</v>
      </c>
      <c r="H353" s="122">
        <v>0</v>
      </c>
      <c r="I353" s="305">
        <v>0</v>
      </c>
      <c r="J353" s="304">
        <v>0</v>
      </c>
      <c r="K353" s="305">
        <v>0</v>
      </c>
      <c r="L353" s="305">
        <v>0</v>
      </c>
      <c r="M353" s="122">
        <v>0</v>
      </c>
      <c r="N353" s="305">
        <v>0</v>
      </c>
      <c r="O353" s="304">
        <v>0</v>
      </c>
      <c r="P353" s="122">
        <v>0</v>
      </c>
      <c r="Q353" s="253">
        <v>0</v>
      </c>
      <c r="R353" s="122">
        <v>0</v>
      </c>
      <c r="S353" s="305">
        <v>9.4339622641509441E-2</v>
      </c>
      <c r="T353" s="120">
        <v>9.4339622641509441E-2</v>
      </c>
      <c r="U353" s="313">
        <v>0</v>
      </c>
      <c r="V353" s="120">
        <v>0</v>
      </c>
      <c r="W353" s="296">
        <v>0</v>
      </c>
      <c r="X353" s="296">
        <v>0</v>
      </c>
      <c r="Y353" s="306">
        <v>9.4339622641509441E-2</v>
      </c>
    </row>
    <row r="354" spans="1:25" ht="15.75" x14ac:dyDescent="0.25">
      <c r="A354" s="142"/>
      <c r="B354" s="143" t="s">
        <v>305</v>
      </c>
      <c r="C354" s="300"/>
      <c r="D354" s="300"/>
      <c r="E354" s="300">
        <v>101</v>
      </c>
      <c r="F354" s="300"/>
      <c r="G354" s="300"/>
      <c r="H354" s="134"/>
      <c r="I354" s="300">
        <v>101</v>
      </c>
      <c r="J354" s="299"/>
      <c r="K354" s="300"/>
      <c r="L354" s="300"/>
      <c r="M354" s="134"/>
      <c r="N354" s="300"/>
      <c r="O354" s="299"/>
      <c r="P354" s="134"/>
      <c r="Q354" s="301"/>
      <c r="R354" s="134"/>
      <c r="S354" s="300"/>
      <c r="T354" s="132"/>
      <c r="U354" s="311"/>
      <c r="V354" s="132"/>
      <c r="W354" s="296"/>
      <c r="X354" s="296"/>
      <c r="Y354" s="511">
        <v>101</v>
      </c>
    </row>
    <row r="355" spans="1:25" ht="15.75" x14ac:dyDescent="0.25">
      <c r="A355" s="142"/>
      <c r="B355" s="144" t="s">
        <v>306</v>
      </c>
      <c r="C355" s="303"/>
      <c r="D355" s="303"/>
      <c r="E355" s="303">
        <v>96</v>
      </c>
      <c r="F355" s="303"/>
      <c r="G355" s="303"/>
      <c r="H355" s="119"/>
      <c r="I355" s="303">
        <v>96</v>
      </c>
      <c r="J355" s="302"/>
      <c r="K355" s="303"/>
      <c r="L355" s="303"/>
      <c r="M355" s="119"/>
      <c r="N355" s="303"/>
      <c r="O355" s="302"/>
      <c r="P355" s="119"/>
      <c r="Q355" s="173"/>
      <c r="R355" s="119"/>
      <c r="S355" s="303"/>
      <c r="T355" s="117"/>
      <c r="U355" s="312"/>
      <c r="V355" s="117"/>
      <c r="W355" s="296"/>
      <c r="X355" s="296"/>
      <c r="Y355" s="511">
        <v>96</v>
      </c>
    </row>
    <row r="356" spans="1:25" s="306" customFormat="1" ht="15.75" x14ac:dyDescent="0.25">
      <c r="A356" s="142"/>
      <c r="B356" s="145" t="s">
        <v>307</v>
      </c>
      <c r="C356" s="305">
        <v>0</v>
      </c>
      <c r="D356" s="305">
        <v>0</v>
      </c>
      <c r="E356" s="305">
        <v>-4.9504950495049507E-2</v>
      </c>
      <c r="F356" s="305">
        <v>0</v>
      </c>
      <c r="G356" s="305">
        <v>0</v>
      </c>
      <c r="H356" s="122">
        <v>0</v>
      </c>
      <c r="I356" s="305">
        <v>-4.9504950495049507E-2</v>
      </c>
      <c r="J356" s="304">
        <v>0</v>
      </c>
      <c r="K356" s="305">
        <v>0</v>
      </c>
      <c r="L356" s="305">
        <v>0</v>
      </c>
      <c r="M356" s="122">
        <v>0</v>
      </c>
      <c r="N356" s="305">
        <v>0</v>
      </c>
      <c r="O356" s="304">
        <v>0</v>
      </c>
      <c r="P356" s="122">
        <v>0</v>
      </c>
      <c r="Q356" s="253">
        <v>0</v>
      </c>
      <c r="R356" s="122">
        <v>0</v>
      </c>
      <c r="S356" s="305">
        <v>0</v>
      </c>
      <c r="T356" s="120">
        <v>0</v>
      </c>
      <c r="U356" s="313">
        <v>0</v>
      </c>
      <c r="V356" s="120">
        <v>0</v>
      </c>
      <c r="W356" s="296">
        <v>0</v>
      </c>
      <c r="X356" s="296">
        <v>0</v>
      </c>
      <c r="Y356" s="306">
        <v>-4.9504950495049507E-2</v>
      </c>
    </row>
    <row r="357" spans="1:25" ht="15.75" x14ac:dyDescent="0.25">
      <c r="A357" s="142"/>
      <c r="B357" s="143" t="s">
        <v>308</v>
      </c>
      <c r="C357" s="300"/>
      <c r="D357" s="300"/>
      <c r="E357" s="300"/>
      <c r="F357" s="300"/>
      <c r="G357" s="300"/>
      <c r="H357" s="134"/>
      <c r="I357" s="300"/>
      <c r="J357" s="299"/>
      <c r="K357" s="300"/>
      <c r="L357" s="300"/>
      <c r="M357" s="134"/>
      <c r="N357" s="300"/>
      <c r="O357" s="299"/>
      <c r="P357" s="134"/>
      <c r="Q357" s="301"/>
      <c r="R357" s="134"/>
      <c r="S357" s="300"/>
      <c r="T357" s="132"/>
      <c r="U357" s="311"/>
      <c r="V357" s="132"/>
      <c r="W357" s="296"/>
      <c r="X357" s="296"/>
    </row>
    <row r="358" spans="1:25" ht="15.75" x14ac:dyDescent="0.25">
      <c r="A358" s="142"/>
      <c r="B358" s="144" t="s">
        <v>309</v>
      </c>
      <c r="C358" s="303"/>
      <c r="D358" s="303"/>
      <c r="E358" s="303"/>
      <c r="F358" s="303"/>
      <c r="G358" s="303"/>
      <c r="H358" s="119"/>
      <c r="I358" s="303"/>
      <c r="J358" s="302"/>
      <c r="K358" s="303"/>
      <c r="L358" s="303"/>
      <c r="M358" s="119"/>
      <c r="N358" s="303"/>
      <c r="O358" s="302"/>
      <c r="P358" s="119"/>
      <c r="Q358" s="173"/>
      <c r="R358" s="119"/>
      <c r="S358" s="303"/>
      <c r="T358" s="117"/>
      <c r="U358" s="312"/>
      <c r="V358" s="117"/>
      <c r="W358" s="296"/>
      <c r="X358" s="296"/>
    </row>
    <row r="359" spans="1:25" s="306" customFormat="1" ht="15.75" x14ac:dyDescent="0.25">
      <c r="A359" s="142"/>
      <c r="B359" s="145" t="s">
        <v>310</v>
      </c>
      <c r="C359" s="305">
        <v>0</v>
      </c>
      <c r="D359" s="305">
        <v>0</v>
      </c>
      <c r="E359" s="305">
        <v>0</v>
      </c>
      <c r="F359" s="305">
        <v>0</v>
      </c>
      <c r="G359" s="305">
        <v>0</v>
      </c>
      <c r="H359" s="122">
        <v>0</v>
      </c>
      <c r="I359" s="305">
        <v>0</v>
      </c>
      <c r="J359" s="304">
        <v>0</v>
      </c>
      <c r="K359" s="305">
        <v>0</v>
      </c>
      <c r="L359" s="305">
        <v>0</v>
      </c>
      <c r="M359" s="122">
        <v>0</v>
      </c>
      <c r="N359" s="305">
        <v>0</v>
      </c>
      <c r="O359" s="304">
        <v>0</v>
      </c>
      <c r="P359" s="122">
        <v>0</v>
      </c>
      <c r="Q359" s="253">
        <v>0</v>
      </c>
      <c r="R359" s="122">
        <v>0</v>
      </c>
      <c r="S359" s="305">
        <v>0</v>
      </c>
      <c r="T359" s="120">
        <v>0</v>
      </c>
      <c r="U359" s="313">
        <v>0</v>
      </c>
      <c r="V359" s="120">
        <v>0</v>
      </c>
      <c r="W359" s="296">
        <v>0</v>
      </c>
      <c r="X359" s="296">
        <v>0</v>
      </c>
      <c r="Y359" s="306">
        <v>0</v>
      </c>
    </row>
    <row r="360" spans="1:25" ht="15.75" x14ac:dyDescent="0.25">
      <c r="A360" s="142"/>
      <c r="B360" s="143" t="s">
        <v>311</v>
      </c>
      <c r="C360" s="300"/>
      <c r="D360" s="300"/>
      <c r="E360" s="300"/>
      <c r="F360" s="300"/>
      <c r="G360" s="300"/>
      <c r="H360" s="134"/>
      <c r="I360" s="300"/>
      <c r="J360" s="299"/>
      <c r="K360" s="300"/>
      <c r="L360" s="300"/>
      <c r="M360" s="134"/>
      <c r="N360" s="300"/>
      <c r="O360" s="299"/>
      <c r="P360" s="134"/>
      <c r="Q360" s="301"/>
      <c r="R360" s="134"/>
      <c r="S360" s="300"/>
      <c r="T360" s="132"/>
      <c r="U360" s="311"/>
      <c r="V360" s="132"/>
      <c r="W360" s="296"/>
      <c r="X360" s="296"/>
    </row>
    <row r="361" spans="1:25" ht="15.75" x14ac:dyDescent="0.25">
      <c r="A361" s="142"/>
      <c r="B361" s="144" t="s">
        <v>312</v>
      </c>
      <c r="C361" s="303"/>
      <c r="D361" s="303"/>
      <c r="E361" s="303"/>
      <c r="F361" s="303"/>
      <c r="G361" s="303"/>
      <c r="H361" s="119"/>
      <c r="I361" s="303"/>
      <c r="J361" s="302"/>
      <c r="K361" s="303"/>
      <c r="L361" s="303"/>
      <c r="M361" s="119"/>
      <c r="N361" s="303"/>
      <c r="O361" s="302"/>
      <c r="P361" s="119"/>
      <c r="Q361" s="173"/>
      <c r="R361" s="119"/>
      <c r="S361" s="303"/>
      <c r="T361" s="117"/>
      <c r="U361" s="312"/>
      <c r="V361" s="117"/>
      <c r="W361" s="296"/>
      <c r="X361" s="296"/>
    </row>
    <row r="362" spans="1:25" s="306" customFormat="1" ht="15.75" x14ac:dyDescent="0.25">
      <c r="A362" s="142"/>
      <c r="B362" s="145" t="s">
        <v>313</v>
      </c>
      <c r="C362" s="305">
        <v>0</v>
      </c>
      <c r="D362" s="305">
        <v>0</v>
      </c>
      <c r="E362" s="305">
        <v>0</v>
      </c>
      <c r="F362" s="305">
        <v>0</v>
      </c>
      <c r="G362" s="305">
        <v>0</v>
      </c>
      <c r="H362" s="122">
        <v>0</v>
      </c>
      <c r="I362" s="305">
        <v>0</v>
      </c>
      <c r="J362" s="304">
        <v>0</v>
      </c>
      <c r="K362" s="305">
        <v>0</v>
      </c>
      <c r="L362" s="305">
        <v>0</v>
      </c>
      <c r="M362" s="122">
        <v>0</v>
      </c>
      <c r="N362" s="305">
        <v>0</v>
      </c>
      <c r="O362" s="304">
        <v>0</v>
      </c>
      <c r="P362" s="122">
        <v>0</v>
      </c>
      <c r="Q362" s="253">
        <v>0</v>
      </c>
      <c r="R362" s="122">
        <v>0</v>
      </c>
      <c r="S362" s="305">
        <v>0</v>
      </c>
      <c r="T362" s="120">
        <v>0</v>
      </c>
      <c r="U362" s="313">
        <v>0</v>
      </c>
      <c r="V362" s="120">
        <v>0</v>
      </c>
      <c r="W362" s="296">
        <v>0</v>
      </c>
      <c r="X362" s="296">
        <v>0</v>
      </c>
      <c r="Y362" s="306">
        <v>0</v>
      </c>
    </row>
    <row r="363" spans="1:25" ht="15.75" x14ac:dyDescent="0.25">
      <c r="A363" s="142"/>
      <c r="B363" s="143" t="s">
        <v>314</v>
      </c>
      <c r="C363" s="300"/>
      <c r="D363" s="300"/>
      <c r="E363" s="300"/>
      <c r="F363" s="300"/>
      <c r="G363" s="300"/>
      <c r="H363" s="134"/>
      <c r="I363" s="300"/>
      <c r="J363" s="299"/>
      <c r="K363" s="300"/>
      <c r="L363" s="300"/>
      <c r="M363" s="134"/>
      <c r="N363" s="300"/>
      <c r="O363" s="299"/>
      <c r="P363" s="134"/>
      <c r="Q363" s="301"/>
      <c r="R363" s="134"/>
      <c r="S363" s="300"/>
      <c r="T363" s="132"/>
      <c r="U363" s="311"/>
      <c r="V363" s="132"/>
      <c r="W363" s="296"/>
      <c r="X363" s="296"/>
    </row>
    <row r="364" spans="1:25" ht="15.75" x14ac:dyDescent="0.25">
      <c r="A364" s="142"/>
      <c r="B364" s="144" t="s">
        <v>315</v>
      </c>
      <c r="C364" s="303"/>
      <c r="D364" s="303"/>
      <c r="E364" s="303"/>
      <c r="F364" s="303"/>
      <c r="G364" s="303"/>
      <c r="H364" s="119"/>
      <c r="I364" s="303"/>
      <c r="J364" s="302"/>
      <c r="K364" s="303"/>
      <c r="L364" s="303"/>
      <c r="M364" s="119"/>
      <c r="N364" s="303"/>
      <c r="O364" s="302"/>
      <c r="P364" s="119"/>
      <c r="Q364" s="173"/>
      <c r="R364" s="119"/>
      <c r="S364" s="303"/>
      <c r="T364" s="117"/>
      <c r="U364" s="312"/>
      <c r="V364" s="117"/>
      <c r="W364" s="296"/>
      <c r="X364" s="296"/>
    </row>
    <row r="365" spans="1:25" s="306" customFormat="1" ht="15.75" x14ac:dyDescent="0.25">
      <c r="A365" s="142"/>
      <c r="B365" s="145" t="s">
        <v>316</v>
      </c>
      <c r="C365" s="305">
        <v>0</v>
      </c>
      <c r="D365" s="305">
        <v>0</v>
      </c>
      <c r="E365" s="305">
        <v>0</v>
      </c>
      <c r="F365" s="305">
        <v>0</v>
      </c>
      <c r="G365" s="305">
        <v>0</v>
      </c>
      <c r="H365" s="122">
        <v>0</v>
      </c>
      <c r="I365" s="305">
        <v>0</v>
      </c>
      <c r="J365" s="304">
        <v>0</v>
      </c>
      <c r="K365" s="305">
        <v>0</v>
      </c>
      <c r="L365" s="305">
        <v>0</v>
      </c>
      <c r="M365" s="122">
        <v>0</v>
      </c>
      <c r="N365" s="305">
        <v>0</v>
      </c>
      <c r="O365" s="304">
        <v>0</v>
      </c>
      <c r="P365" s="122">
        <v>0</v>
      </c>
      <c r="Q365" s="253">
        <v>0</v>
      </c>
      <c r="R365" s="122">
        <v>0</v>
      </c>
      <c r="S365" s="305">
        <v>0</v>
      </c>
      <c r="T365" s="120">
        <v>0</v>
      </c>
      <c r="U365" s="313">
        <v>0</v>
      </c>
      <c r="V365" s="120">
        <v>0</v>
      </c>
      <c r="W365" s="296">
        <v>0</v>
      </c>
      <c r="X365" s="296">
        <v>0</v>
      </c>
      <c r="Y365" s="306">
        <v>0</v>
      </c>
    </row>
    <row r="366" spans="1:25" ht="15.75" x14ac:dyDescent="0.25">
      <c r="A366" s="142"/>
      <c r="B366" s="143" t="s">
        <v>317</v>
      </c>
      <c r="C366" s="300">
        <v>75</v>
      </c>
      <c r="D366" s="300"/>
      <c r="E366" s="300"/>
      <c r="F366" s="300"/>
      <c r="G366" s="300"/>
      <c r="H366" s="134"/>
      <c r="I366" s="300">
        <v>75</v>
      </c>
      <c r="J366" s="299"/>
      <c r="K366" s="300"/>
      <c r="L366" s="300"/>
      <c r="M366" s="134"/>
      <c r="N366" s="300"/>
      <c r="O366" s="299"/>
      <c r="P366" s="134"/>
      <c r="Q366" s="301"/>
      <c r="R366" s="134"/>
      <c r="S366" s="300"/>
      <c r="T366" s="132"/>
      <c r="U366" s="311"/>
      <c r="V366" s="132"/>
      <c r="W366" s="296"/>
      <c r="X366" s="296"/>
      <c r="Y366" s="511">
        <v>75</v>
      </c>
    </row>
    <row r="367" spans="1:25" ht="15.75" x14ac:dyDescent="0.25">
      <c r="A367" s="142"/>
      <c r="B367" s="144" t="s">
        <v>318</v>
      </c>
      <c r="C367" s="303">
        <v>82</v>
      </c>
      <c r="D367" s="303"/>
      <c r="E367" s="303"/>
      <c r="F367" s="303"/>
      <c r="G367" s="303"/>
      <c r="H367" s="119"/>
      <c r="I367" s="303">
        <v>82</v>
      </c>
      <c r="J367" s="302"/>
      <c r="K367" s="303"/>
      <c r="L367" s="303"/>
      <c r="M367" s="119"/>
      <c r="N367" s="303"/>
      <c r="O367" s="302"/>
      <c r="P367" s="119"/>
      <c r="Q367" s="173"/>
      <c r="R367" s="119"/>
      <c r="S367" s="303"/>
      <c r="T367" s="117"/>
      <c r="U367" s="312"/>
      <c r="V367" s="117"/>
      <c r="W367" s="296"/>
      <c r="X367" s="296"/>
      <c r="Y367" s="511">
        <v>82</v>
      </c>
    </row>
    <row r="368" spans="1:25" s="306" customFormat="1" ht="15.75" x14ac:dyDescent="0.25">
      <c r="A368" s="142"/>
      <c r="B368" s="145" t="s">
        <v>319</v>
      </c>
      <c r="C368" s="305">
        <v>9.3333333333333338E-2</v>
      </c>
      <c r="D368" s="305">
        <v>0</v>
      </c>
      <c r="E368" s="305">
        <v>0</v>
      </c>
      <c r="F368" s="305">
        <v>0</v>
      </c>
      <c r="G368" s="305">
        <v>0</v>
      </c>
      <c r="H368" s="122">
        <v>0</v>
      </c>
      <c r="I368" s="305">
        <v>9.3333333333333338E-2</v>
      </c>
      <c r="J368" s="304">
        <v>0</v>
      </c>
      <c r="K368" s="305">
        <v>0</v>
      </c>
      <c r="L368" s="305">
        <v>0</v>
      </c>
      <c r="M368" s="122">
        <v>0</v>
      </c>
      <c r="N368" s="305">
        <v>0</v>
      </c>
      <c r="O368" s="304">
        <v>0</v>
      </c>
      <c r="P368" s="122">
        <v>0</v>
      </c>
      <c r="Q368" s="253">
        <v>0</v>
      </c>
      <c r="R368" s="122">
        <v>0</v>
      </c>
      <c r="S368" s="305">
        <v>0</v>
      </c>
      <c r="T368" s="120">
        <v>0</v>
      </c>
      <c r="U368" s="313">
        <v>0</v>
      </c>
      <c r="V368" s="120">
        <v>0</v>
      </c>
      <c r="W368" s="296">
        <v>0</v>
      </c>
      <c r="X368" s="296">
        <v>0</v>
      </c>
      <c r="Y368" s="306">
        <v>9.3333333333333338E-2</v>
      </c>
    </row>
    <row r="369" spans="1:25" ht="15.75" x14ac:dyDescent="0.25">
      <c r="A369" s="142"/>
      <c r="B369" s="143" t="s">
        <v>320</v>
      </c>
      <c r="C369" s="300"/>
      <c r="D369" s="300"/>
      <c r="E369" s="300"/>
      <c r="F369" s="300"/>
      <c r="G369" s="300"/>
      <c r="H369" s="134"/>
      <c r="I369" s="300"/>
      <c r="J369" s="299"/>
      <c r="K369" s="300"/>
      <c r="L369" s="300"/>
      <c r="M369" s="134"/>
      <c r="N369" s="300"/>
      <c r="O369" s="299"/>
      <c r="P369" s="134"/>
      <c r="Q369" s="301"/>
      <c r="R369" s="134"/>
      <c r="S369" s="300"/>
      <c r="T369" s="132"/>
      <c r="U369" s="311"/>
      <c r="V369" s="132"/>
      <c r="W369" s="296"/>
      <c r="X369" s="296"/>
    </row>
    <row r="370" spans="1:25" ht="15.75" x14ac:dyDescent="0.25">
      <c r="A370" s="142"/>
      <c r="B370" s="144" t="s">
        <v>321</v>
      </c>
      <c r="C370" s="303"/>
      <c r="D370" s="303"/>
      <c r="E370" s="303"/>
      <c r="F370" s="303"/>
      <c r="G370" s="303"/>
      <c r="H370" s="119"/>
      <c r="I370" s="303"/>
      <c r="J370" s="302"/>
      <c r="K370" s="303"/>
      <c r="L370" s="303"/>
      <c r="M370" s="119"/>
      <c r="N370" s="303"/>
      <c r="O370" s="302"/>
      <c r="P370" s="119"/>
      <c r="Q370" s="173"/>
      <c r="R370" s="119"/>
      <c r="S370" s="303"/>
      <c r="T370" s="117"/>
      <c r="U370" s="312"/>
      <c r="V370" s="117"/>
      <c r="W370" s="296"/>
      <c r="X370" s="296"/>
    </row>
    <row r="371" spans="1:25" s="306" customFormat="1" ht="15.75" x14ac:dyDescent="0.25">
      <c r="A371" s="142"/>
      <c r="B371" s="145" t="s">
        <v>322</v>
      </c>
      <c r="C371" s="305">
        <v>0</v>
      </c>
      <c r="D371" s="305">
        <v>0</v>
      </c>
      <c r="E371" s="305">
        <v>0</v>
      </c>
      <c r="F371" s="305">
        <v>0</v>
      </c>
      <c r="G371" s="305">
        <v>0</v>
      </c>
      <c r="H371" s="122">
        <v>0</v>
      </c>
      <c r="I371" s="305">
        <v>0</v>
      </c>
      <c r="J371" s="304">
        <v>0</v>
      </c>
      <c r="K371" s="305">
        <v>0</v>
      </c>
      <c r="L371" s="305">
        <v>0</v>
      </c>
      <c r="M371" s="122">
        <v>0</v>
      </c>
      <c r="N371" s="305">
        <v>0</v>
      </c>
      <c r="O371" s="304">
        <v>0</v>
      </c>
      <c r="P371" s="122">
        <v>0</v>
      </c>
      <c r="Q371" s="253">
        <v>0</v>
      </c>
      <c r="R371" s="122">
        <v>0</v>
      </c>
      <c r="S371" s="305">
        <v>0</v>
      </c>
      <c r="T371" s="120">
        <v>0</v>
      </c>
      <c r="U371" s="313">
        <v>0</v>
      </c>
      <c r="V371" s="120">
        <v>0</v>
      </c>
      <c r="W371" s="296">
        <v>0</v>
      </c>
      <c r="X371" s="296">
        <v>0</v>
      </c>
      <c r="Y371" s="306">
        <v>0</v>
      </c>
    </row>
    <row r="372" spans="1:25" ht="15.75" x14ac:dyDescent="0.25">
      <c r="A372" s="142"/>
      <c r="B372" s="143" t="s">
        <v>404</v>
      </c>
      <c r="C372" s="300"/>
      <c r="D372" s="300"/>
      <c r="E372" s="300"/>
      <c r="F372" s="300"/>
      <c r="G372" s="300"/>
      <c r="H372" s="134"/>
      <c r="I372" s="300"/>
      <c r="J372" s="299"/>
      <c r="K372" s="300"/>
      <c r="L372" s="300"/>
      <c r="M372" s="134"/>
      <c r="N372" s="300"/>
      <c r="O372" s="299"/>
      <c r="P372" s="134"/>
      <c r="Q372" s="301"/>
      <c r="R372" s="134"/>
      <c r="S372" s="300"/>
      <c r="T372" s="132"/>
      <c r="U372" s="311"/>
      <c r="V372" s="132"/>
      <c r="W372" s="296"/>
      <c r="X372" s="296"/>
    </row>
    <row r="373" spans="1:25" ht="15.75" x14ac:dyDescent="0.25">
      <c r="A373" s="142"/>
      <c r="B373" s="144" t="s">
        <v>406</v>
      </c>
      <c r="C373" s="303"/>
      <c r="D373" s="303"/>
      <c r="E373" s="303"/>
      <c r="F373" s="303"/>
      <c r="G373" s="303"/>
      <c r="H373" s="119"/>
      <c r="I373" s="303"/>
      <c r="J373" s="302"/>
      <c r="K373" s="303"/>
      <c r="L373" s="303"/>
      <c r="M373" s="119"/>
      <c r="N373" s="303"/>
      <c r="O373" s="302"/>
      <c r="P373" s="119"/>
      <c r="Q373" s="173"/>
      <c r="R373" s="119"/>
      <c r="S373" s="303"/>
      <c r="T373" s="117"/>
      <c r="U373" s="312"/>
      <c r="V373" s="117"/>
      <c r="W373" s="296"/>
      <c r="X373" s="296"/>
    </row>
    <row r="374" spans="1:25" s="306" customFormat="1" ht="15.75" x14ac:dyDescent="0.25">
      <c r="A374" s="142"/>
      <c r="B374" s="145" t="s">
        <v>474</v>
      </c>
      <c r="C374" s="305">
        <v>0</v>
      </c>
      <c r="D374" s="305">
        <v>0</v>
      </c>
      <c r="E374" s="305">
        <v>0</v>
      </c>
      <c r="F374" s="305">
        <v>0</v>
      </c>
      <c r="G374" s="305">
        <v>0</v>
      </c>
      <c r="H374" s="122">
        <v>0</v>
      </c>
      <c r="I374" s="305">
        <v>0</v>
      </c>
      <c r="J374" s="304">
        <v>0</v>
      </c>
      <c r="K374" s="305">
        <v>0</v>
      </c>
      <c r="L374" s="305">
        <v>0</v>
      </c>
      <c r="M374" s="122">
        <v>0</v>
      </c>
      <c r="N374" s="305">
        <v>0</v>
      </c>
      <c r="O374" s="304">
        <v>0</v>
      </c>
      <c r="P374" s="122">
        <v>0</v>
      </c>
      <c r="Q374" s="253">
        <v>0</v>
      </c>
      <c r="R374" s="122">
        <v>0</v>
      </c>
      <c r="S374" s="305">
        <v>0</v>
      </c>
      <c r="T374" s="120">
        <v>0</v>
      </c>
      <c r="U374" s="313">
        <v>0</v>
      </c>
      <c r="V374" s="120">
        <v>0</v>
      </c>
      <c r="W374" s="296">
        <v>0</v>
      </c>
      <c r="X374" s="296">
        <v>0</v>
      </c>
      <c r="Y374" s="306">
        <v>0</v>
      </c>
    </row>
    <row r="375" spans="1:25" ht="15.75" x14ac:dyDescent="0.25">
      <c r="A375" s="142"/>
      <c r="B375" s="143" t="s">
        <v>476</v>
      </c>
      <c r="C375" s="300"/>
      <c r="D375" s="300"/>
      <c r="E375" s="300"/>
      <c r="F375" s="300"/>
      <c r="G375" s="300"/>
      <c r="H375" s="134"/>
      <c r="I375" s="300"/>
      <c r="J375" s="299"/>
      <c r="K375" s="300"/>
      <c r="L375" s="300"/>
      <c r="M375" s="134"/>
      <c r="N375" s="300"/>
      <c r="O375" s="299"/>
      <c r="P375" s="134"/>
      <c r="Q375" s="301"/>
      <c r="R375" s="134"/>
      <c r="S375" s="300"/>
      <c r="T375" s="132"/>
      <c r="U375" s="311"/>
      <c r="V375" s="132"/>
      <c r="W375" s="296"/>
      <c r="X375" s="296"/>
    </row>
    <row r="376" spans="1:25" ht="15.75" x14ac:dyDescent="0.25">
      <c r="A376" s="294"/>
      <c r="B376" s="144" t="s">
        <v>472</v>
      </c>
      <c r="C376" s="303"/>
      <c r="D376" s="303"/>
      <c r="E376" s="303"/>
      <c r="F376" s="303"/>
      <c r="G376" s="303"/>
      <c r="H376" s="119"/>
      <c r="I376" s="303"/>
      <c r="J376" s="302"/>
      <c r="K376" s="303"/>
      <c r="L376" s="303"/>
      <c r="M376" s="119"/>
      <c r="N376" s="303"/>
      <c r="O376" s="302"/>
      <c r="P376" s="119"/>
      <c r="Q376" s="173"/>
      <c r="R376" s="119"/>
      <c r="S376" s="303"/>
      <c r="T376" s="117"/>
      <c r="U376" s="312"/>
      <c r="V376" s="117"/>
      <c r="W376" s="296"/>
      <c r="X376" s="296"/>
    </row>
    <row r="377" spans="1:25" s="306" customFormat="1" ht="15.75" x14ac:dyDescent="0.25">
      <c r="A377" s="141" t="s">
        <v>1094</v>
      </c>
      <c r="B377" s="143" t="s">
        <v>275</v>
      </c>
      <c r="C377" s="300"/>
      <c r="D377" s="300"/>
      <c r="E377" s="300"/>
      <c r="F377" s="300"/>
      <c r="G377" s="300"/>
      <c r="H377" s="134"/>
      <c r="I377" s="300"/>
      <c r="J377" s="299"/>
      <c r="K377" s="300">
        <v>2199</v>
      </c>
      <c r="L377" s="300">
        <v>1014</v>
      </c>
      <c r="M377" s="134">
        <v>124</v>
      </c>
      <c r="N377" s="300">
        <v>3337</v>
      </c>
      <c r="O377" s="299"/>
      <c r="P377" s="134"/>
      <c r="Q377" s="301"/>
      <c r="R377" s="134"/>
      <c r="S377" s="300"/>
      <c r="T377" s="132"/>
      <c r="U377" s="311"/>
      <c r="V377" s="132"/>
      <c r="W377" s="296"/>
      <c r="X377" s="296"/>
      <c r="Y377" s="306">
        <v>3337</v>
      </c>
    </row>
    <row r="378" spans="1:25" ht="15.75" x14ac:dyDescent="0.25">
      <c r="A378" s="142"/>
      <c r="B378" s="144" t="s">
        <v>276</v>
      </c>
      <c r="C378" s="303"/>
      <c r="D378" s="303"/>
      <c r="E378" s="303"/>
      <c r="F378" s="303"/>
      <c r="G378" s="303"/>
      <c r="H378" s="119"/>
      <c r="I378" s="303"/>
      <c r="J378" s="302"/>
      <c r="K378" s="303">
        <v>2397</v>
      </c>
      <c r="L378" s="303">
        <v>1033</v>
      </c>
      <c r="M378" s="119">
        <v>106</v>
      </c>
      <c r="N378" s="303">
        <v>3536</v>
      </c>
      <c r="O378" s="302"/>
      <c r="P378" s="119"/>
      <c r="Q378" s="173"/>
      <c r="R378" s="119"/>
      <c r="S378" s="303"/>
      <c r="T378" s="117"/>
      <c r="U378" s="312"/>
      <c r="V378" s="117"/>
      <c r="W378" s="296"/>
      <c r="X378" s="296"/>
      <c r="Y378" s="511">
        <v>3536</v>
      </c>
    </row>
    <row r="379" spans="1:25" ht="15.75" x14ac:dyDescent="0.25">
      <c r="A379" s="142"/>
      <c r="B379" s="145" t="s">
        <v>277</v>
      </c>
      <c r="C379" s="305">
        <v>0</v>
      </c>
      <c r="D379" s="305">
        <v>0</v>
      </c>
      <c r="E379" s="305">
        <v>0</v>
      </c>
      <c r="F379" s="305">
        <v>0</v>
      </c>
      <c r="G379" s="305">
        <v>0</v>
      </c>
      <c r="H379" s="122">
        <v>0</v>
      </c>
      <c r="I379" s="305">
        <v>0</v>
      </c>
      <c r="J379" s="304">
        <v>0</v>
      </c>
      <c r="K379" s="305">
        <v>9.0040927694406553E-2</v>
      </c>
      <c r="L379" s="305">
        <v>1.8737672583826429E-2</v>
      </c>
      <c r="M379" s="122">
        <v>-0.14516129032258066</v>
      </c>
      <c r="N379" s="305">
        <v>5.9634402157626609E-2</v>
      </c>
      <c r="O379" s="304">
        <v>0</v>
      </c>
      <c r="P379" s="122">
        <v>0</v>
      </c>
      <c r="Q379" s="253">
        <v>0</v>
      </c>
      <c r="R379" s="122">
        <v>0</v>
      </c>
      <c r="S379" s="305">
        <v>0</v>
      </c>
      <c r="T379" s="120">
        <v>0</v>
      </c>
      <c r="U379" s="313">
        <v>0</v>
      </c>
      <c r="V379" s="120">
        <v>0</v>
      </c>
      <c r="W379" s="296">
        <v>0</v>
      </c>
      <c r="X379" s="296">
        <v>0</v>
      </c>
      <c r="Y379" s="511">
        <v>5.9634402157626609E-2</v>
      </c>
    </row>
    <row r="380" spans="1:25" s="306" customFormat="1" ht="15.75" x14ac:dyDescent="0.25">
      <c r="A380" s="142"/>
      <c r="B380" s="143" t="s">
        <v>278</v>
      </c>
      <c r="C380" s="300">
        <v>47</v>
      </c>
      <c r="D380" s="300">
        <v>107</v>
      </c>
      <c r="E380" s="300"/>
      <c r="F380" s="300">
        <v>47</v>
      </c>
      <c r="G380" s="300"/>
      <c r="H380" s="134"/>
      <c r="I380" s="300">
        <v>201</v>
      </c>
      <c r="J380" s="299"/>
      <c r="K380" s="300"/>
      <c r="L380" s="300"/>
      <c r="M380" s="134"/>
      <c r="N380" s="300"/>
      <c r="O380" s="299"/>
      <c r="P380" s="134"/>
      <c r="Q380" s="301"/>
      <c r="R380" s="134"/>
      <c r="S380" s="300">
        <v>584</v>
      </c>
      <c r="T380" s="132">
        <v>584</v>
      </c>
      <c r="U380" s="311"/>
      <c r="V380" s="132"/>
      <c r="W380" s="296"/>
      <c r="X380" s="296"/>
      <c r="Y380" s="306">
        <v>785</v>
      </c>
    </row>
    <row r="381" spans="1:25" ht="15.75" x14ac:dyDescent="0.25">
      <c r="A381" s="142"/>
      <c r="B381" s="144" t="s">
        <v>279</v>
      </c>
      <c r="C381" s="303">
        <v>42</v>
      </c>
      <c r="D381" s="303">
        <v>118</v>
      </c>
      <c r="E381" s="303"/>
      <c r="F381" s="303">
        <v>61</v>
      </c>
      <c r="G381" s="303"/>
      <c r="H381" s="119"/>
      <c r="I381" s="303">
        <v>221</v>
      </c>
      <c r="J381" s="302"/>
      <c r="K381" s="303"/>
      <c r="L381" s="303"/>
      <c r="M381" s="119"/>
      <c r="N381" s="303"/>
      <c r="O381" s="302"/>
      <c r="P381" s="119"/>
      <c r="Q381" s="173"/>
      <c r="R381" s="119"/>
      <c r="S381" s="303">
        <v>659</v>
      </c>
      <c r="T381" s="117">
        <v>659</v>
      </c>
      <c r="U381" s="312"/>
      <c r="V381" s="117"/>
      <c r="W381" s="296"/>
      <c r="X381" s="296"/>
      <c r="Y381" s="511">
        <v>880</v>
      </c>
    </row>
    <row r="382" spans="1:25" ht="15.75" x14ac:dyDescent="0.25">
      <c r="A382" s="142"/>
      <c r="B382" s="145" t="s">
        <v>280</v>
      </c>
      <c r="C382" s="305">
        <v>-0.10638297872340426</v>
      </c>
      <c r="D382" s="305">
        <v>0.10280373831775701</v>
      </c>
      <c r="E382" s="305">
        <v>0</v>
      </c>
      <c r="F382" s="305">
        <v>0.2978723404255319</v>
      </c>
      <c r="G382" s="305">
        <v>0</v>
      </c>
      <c r="H382" s="122">
        <v>0</v>
      </c>
      <c r="I382" s="305">
        <v>9.950248756218906E-2</v>
      </c>
      <c r="J382" s="304">
        <v>0</v>
      </c>
      <c r="K382" s="305">
        <v>0</v>
      </c>
      <c r="L382" s="305">
        <v>0</v>
      </c>
      <c r="M382" s="122">
        <v>0</v>
      </c>
      <c r="N382" s="305">
        <v>0</v>
      </c>
      <c r="O382" s="304">
        <v>0</v>
      </c>
      <c r="P382" s="122">
        <v>0</v>
      </c>
      <c r="Q382" s="253">
        <v>0</v>
      </c>
      <c r="R382" s="122">
        <v>0</v>
      </c>
      <c r="S382" s="305">
        <v>0.12842465753424659</v>
      </c>
      <c r="T382" s="120">
        <v>0.12842465753424659</v>
      </c>
      <c r="U382" s="313">
        <v>0</v>
      </c>
      <c r="V382" s="120">
        <v>0</v>
      </c>
      <c r="W382" s="296">
        <v>0</v>
      </c>
      <c r="X382" s="296">
        <v>0</v>
      </c>
      <c r="Y382" s="511">
        <v>0.12101910828025478</v>
      </c>
    </row>
    <row r="383" spans="1:25" s="306" customFormat="1" ht="15.75" x14ac:dyDescent="0.25">
      <c r="A383" s="142"/>
      <c r="B383" s="143" t="s">
        <v>281</v>
      </c>
      <c r="C383" s="300"/>
      <c r="D383" s="300"/>
      <c r="E383" s="300"/>
      <c r="F383" s="300"/>
      <c r="G383" s="300"/>
      <c r="H383" s="134"/>
      <c r="I383" s="300"/>
      <c r="J383" s="299"/>
      <c r="K383" s="300">
        <v>8035</v>
      </c>
      <c r="L383" s="300">
        <v>4018</v>
      </c>
      <c r="M383" s="134">
        <v>584</v>
      </c>
      <c r="N383" s="300">
        <v>12637</v>
      </c>
      <c r="O383" s="299"/>
      <c r="P383" s="134"/>
      <c r="Q383" s="301"/>
      <c r="R383" s="134"/>
      <c r="S383" s="300">
        <v>285</v>
      </c>
      <c r="T383" s="132">
        <v>285</v>
      </c>
      <c r="U383" s="311"/>
      <c r="V383" s="132"/>
      <c r="W383" s="296"/>
      <c r="X383" s="296"/>
      <c r="Y383" s="306">
        <v>12922</v>
      </c>
    </row>
    <row r="384" spans="1:25" ht="16.5" thickBot="1" x14ac:dyDescent="0.3">
      <c r="A384" s="142"/>
      <c r="B384" s="144" t="s">
        <v>282</v>
      </c>
      <c r="C384" s="303"/>
      <c r="D384" s="303"/>
      <c r="E384" s="303"/>
      <c r="F384" s="303"/>
      <c r="G384" s="303"/>
      <c r="H384" s="119"/>
      <c r="I384" s="303"/>
      <c r="J384" s="302"/>
      <c r="K384" s="303">
        <v>8931</v>
      </c>
      <c r="L384" s="303">
        <v>4272</v>
      </c>
      <c r="M384" s="119">
        <v>649</v>
      </c>
      <c r="N384" s="303">
        <v>13852</v>
      </c>
      <c r="O384" s="302"/>
      <c r="P384" s="119"/>
      <c r="Q384" s="173"/>
      <c r="R384" s="119"/>
      <c r="S384" s="303">
        <v>398</v>
      </c>
      <c r="T384" s="117">
        <v>398</v>
      </c>
      <c r="U384" s="312"/>
      <c r="V384" s="117"/>
      <c r="W384" s="296"/>
      <c r="X384" s="296"/>
      <c r="Y384" s="511">
        <v>14250</v>
      </c>
    </row>
    <row r="385" spans="1:25" ht="16.5" thickBot="1" x14ac:dyDescent="0.3">
      <c r="A385" s="142"/>
      <c r="B385" s="145" t="s">
        <v>283</v>
      </c>
      <c r="C385" s="305">
        <v>0</v>
      </c>
      <c r="D385" s="305">
        <v>0</v>
      </c>
      <c r="E385" s="305">
        <v>0</v>
      </c>
      <c r="F385" s="305">
        <v>0</v>
      </c>
      <c r="G385" s="305">
        <v>0</v>
      </c>
      <c r="H385" s="122">
        <v>0</v>
      </c>
      <c r="I385" s="305">
        <v>0</v>
      </c>
      <c r="J385" s="304">
        <v>0</v>
      </c>
      <c r="K385" s="305">
        <v>0.11151213441194772</v>
      </c>
      <c r="L385" s="305">
        <v>6.3215530114484816E-2</v>
      </c>
      <c r="M385" s="122">
        <v>0.1113013698630137</v>
      </c>
      <c r="N385" s="305">
        <v>9.6146237239851232E-2</v>
      </c>
      <c r="O385" s="304">
        <v>0</v>
      </c>
      <c r="P385" s="122">
        <v>0</v>
      </c>
      <c r="Q385" s="253">
        <v>0</v>
      </c>
      <c r="R385" s="122">
        <v>0</v>
      </c>
      <c r="S385" s="724">
        <v>0.39649122807017545</v>
      </c>
      <c r="T385" s="120">
        <v>0.39649122807017545</v>
      </c>
      <c r="U385" s="313">
        <v>0</v>
      </c>
      <c r="V385" s="120">
        <v>0</v>
      </c>
      <c r="W385" s="296">
        <v>0</v>
      </c>
      <c r="X385" s="296">
        <v>0</v>
      </c>
      <c r="Y385" s="511">
        <v>0.10277046896765206</v>
      </c>
    </row>
    <row r="386" spans="1:25" s="306" customFormat="1" ht="15.75" x14ac:dyDescent="0.25">
      <c r="A386" s="142"/>
      <c r="B386" s="143" t="s">
        <v>284</v>
      </c>
      <c r="C386" s="300">
        <v>6987</v>
      </c>
      <c r="D386" s="300">
        <v>2718</v>
      </c>
      <c r="E386" s="300">
        <v>3948</v>
      </c>
      <c r="F386" s="300">
        <v>4379</v>
      </c>
      <c r="G386" s="300">
        <v>379</v>
      </c>
      <c r="H386" s="134">
        <v>410</v>
      </c>
      <c r="I386" s="300">
        <v>18821</v>
      </c>
      <c r="J386" s="299"/>
      <c r="K386" s="300"/>
      <c r="L386" s="300"/>
      <c r="M386" s="134"/>
      <c r="N386" s="300"/>
      <c r="O386" s="299"/>
      <c r="P386" s="134"/>
      <c r="Q386" s="301"/>
      <c r="R386" s="134"/>
      <c r="S386" s="300">
        <v>3629</v>
      </c>
      <c r="T386" s="132">
        <v>3629</v>
      </c>
      <c r="U386" s="311"/>
      <c r="V386" s="132"/>
      <c r="W386" s="296"/>
      <c r="X386" s="296"/>
      <c r="Y386" s="306">
        <v>22450</v>
      </c>
    </row>
    <row r="387" spans="1:25" ht="16.5" thickBot="1" x14ac:dyDescent="0.3">
      <c r="A387" s="142"/>
      <c r="B387" s="144" t="s">
        <v>285</v>
      </c>
      <c r="C387" s="303">
        <v>7043</v>
      </c>
      <c r="D387" s="303">
        <v>3042</v>
      </c>
      <c r="E387" s="303">
        <v>4103</v>
      </c>
      <c r="F387" s="303">
        <v>4619</v>
      </c>
      <c r="G387" s="303">
        <v>460</v>
      </c>
      <c r="H387" s="119">
        <v>444</v>
      </c>
      <c r="I387" s="303">
        <v>19711</v>
      </c>
      <c r="J387" s="302"/>
      <c r="K387" s="303"/>
      <c r="L387" s="303"/>
      <c r="M387" s="119"/>
      <c r="N387" s="303"/>
      <c r="O387" s="302"/>
      <c r="P387" s="119"/>
      <c r="Q387" s="173"/>
      <c r="R387" s="119"/>
      <c r="S387" s="303">
        <v>4222</v>
      </c>
      <c r="T387" s="117">
        <v>4222</v>
      </c>
      <c r="U387" s="312"/>
      <c r="V387" s="117"/>
      <c r="W387" s="296"/>
      <c r="X387" s="296"/>
      <c r="Y387" s="511">
        <v>23933</v>
      </c>
    </row>
    <row r="388" spans="1:25" ht="16.5" thickBot="1" x14ac:dyDescent="0.3">
      <c r="A388" s="142"/>
      <c r="B388" s="145" t="s">
        <v>286</v>
      </c>
      <c r="C388" s="305">
        <v>8.0148847860312001E-3</v>
      </c>
      <c r="D388" s="305">
        <v>0.11920529801324503</v>
      </c>
      <c r="E388" s="305">
        <v>3.9260385005065859E-2</v>
      </c>
      <c r="F388" s="305">
        <v>5.4807033569308064E-2</v>
      </c>
      <c r="G388" s="305">
        <v>0.21372031662269128</v>
      </c>
      <c r="H388" s="122">
        <v>8.2926829268292687E-2</v>
      </c>
      <c r="I388" s="305">
        <v>4.7287604271824026E-2</v>
      </c>
      <c r="J388" s="304">
        <v>0</v>
      </c>
      <c r="K388" s="305">
        <v>0</v>
      </c>
      <c r="L388" s="305">
        <v>0</v>
      </c>
      <c r="M388" s="122">
        <v>0</v>
      </c>
      <c r="N388" s="305">
        <v>0</v>
      </c>
      <c r="O388" s="304">
        <v>0</v>
      </c>
      <c r="P388" s="122">
        <v>0</v>
      </c>
      <c r="Q388" s="253">
        <v>0</v>
      </c>
      <c r="R388" s="122">
        <v>0</v>
      </c>
      <c r="S388" s="724">
        <v>0.16340589694130614</v>
      </c>
      <c r="T388" s="120">
        <v>0.16340589694130614</v>
      </c>
      <c r="U388" s="313">
        <v>0</v>
      </c>
      <c r="V388" s="120">
        <v>0</v>
      </c>
      <c r="W388" s="296">
        <v>0</v>
      </c>
      <c r="X388" s="296">
        <v>0</v>
      </c>
      <c r="Y388" s="511">
        <v>6.6057906458797333E-2</v>
      </c>
    </row>
    <row r="389" spans="1:25" s="306" customFormat="1" ht="15.75" x14ac:dyDescent="0.25">
      <c r="A389" s="142"/>
      <c r="B389" s="143" t="s">
        <v>287</v>
      </c>
      <c r="C389" s="300">
        <v>137</v>
      </c>
      <c r="D389" s="300">
        <v>128</v>
      </c>
      <c r="E389" s="300">
        <v>153</v>
      </c>
      <c r="F389" s="300">
        <v>46</v>
      </c>
      <c r="G389" s="300">
        <v>1</v>
      </c>
      <c r="H389" s="134"/>
      <c r="I389" s="300">
        <v>465</v>
      </c>
      <c r="J389" s="299"/>
      <c r="K389" s="300"/>
      <c r="L389" s="300"/>
      <c r="M389" s="134"/>
      <c r="N389" s="300"/>
      <c r="O389" s="299"/>
      <c r="P389" s="134"/>
      <c r="Q389" s="301"/>
      <c r="R389" s="134"/>
      <c r="S389" s="300">
        <v>565</v>
      </c>
      <c r="T389" s="132">
        <v>565</v>
      </c>
      <c r="U389" s="311"/>
      <c r="V389" s="132"/>
      <c r="W389" s="296"/>
      <c r="X389" s="296"/>
      <c r="Y389" s="306">
        <v>1030</v>
      </c>
    </row>
    <row r="390" spans="1:25" ht="16.5" thickBot="1" x14ac:dyDescent="0.3">
      <c r="A390" s="142"/>
      <c r="B390" s="144" t="s">
        <v>288</v>
      </c>
      <c r="C390" s="303">
        <v>104</v>
      </c>
      <c r="D390" s="303">
        <v>156</v>
      </c>
      <c r="E390" s="303">
        <v>156</v>
      </c>
      <c r="F390" s="303">
        <v>43</v>
      </c>
      <c r="G390" s="303">
        <v>0</v>
      </c>
      <c r="H390" s="119"/>
      <c r="I390" s="303">
        <v>459</v>
      </c>
      <c r="J390" s="302"/>
      <c r="K390" s="303"/>
      <c r="L390" s="303"/>
      <c r="M390" s="119"/>
      <c r="N390" s="303"/>
      <c r="O390" s="302"/>
      <c r="P390" s="119"/>
      <c r="Q390" s="173"/>
      <c r="R390" s="119"/>
      <c r="S390" s="303">
        <v>695</v>
      </c>
      <c r="T390" s="117">
        <v>695</v>
      </c>
      <c r="U390" s="312"/>
      <c r="V390" s="117"/>
      <c r="W390" s="296"/>
      <c r="X390" s="296"/>
      <c r="Y390" s="511">
        <v>1154</v>
      </c>
    </row>
    <row r="391" spans="1:25" ht="16.5" thickBot="1" x14ac:dyDescent="0.3">
      <c r="A391" s="142"/>
      <c r="B391" s="145" t="s">
        <v>289</v>
      </c>
      <c r="C391" s="305">
        <v>-0.24087591240875914</v>
      </c>
      <c r="D391" s="305">
        <v>0.21875</v>
      </c>
      <c r="E391" s="305">
        <v>1.9607843137254902E-2</v>
      </c>
      <c r="F391" s="305">
        <v>-6.5217391304347824E-2</v>
      </c>
      <c r="G391" s="305">
        <v>-1</v>
      </c>
      <c r="H391" s="122">
        <v>0</v>
      </c>
      <c r="I391" s="305">
        <v>-1.2903225806451613E-2</v>
      </c>
      <c r="J391" s="304">
        <v>0</v>
      </c>
      <c r="K391" s="305">
        <v>0</v>
      </c>
      <c r="L391" s="305">
        <v>0</v>
      </c>
      <c r="M391" s="122">
        <v>0</v>
      </c>
      <c r="N391" s="305">
        <v>0</v>
      </c>
      <c r="O391" s="304">
        <v>0</v>
      </c>
      <c r="P391" s="122">
        <v>0</v>
      </c>
      <c r="Q391" s="253">
        <v>0</v>
      </c>
      <c r="R391" s="122">
        <v>0</v>
      </c>
      <c r="S391" s="724">
        <v>0.23008849557522124</v>
      </c>
      <c r="T391" s="120">
        <v>0.23008849557522124</v>
      </c>
      <c r="U391" s="313">
        <v>0</v>
      </c>
      <c r="V391" s="120">
        <v>0</v>
      </c>
      <c r="W391" s="296">
        <v>0</v>
      </c>
      <c r="X391" s="296">
        <v>0</v>
      </c>
      <c r="Y391" s="511">
        <v>0.12038834951456311</v>
      </c>
    </row>
    <row r="392" spans="1:25" s="306" customFormat="1" ht="15.75" x14ac:dyDescent="0.25">
      <c r="A392" s="142"/>
      <c r="B392" s="143" t="s">
        <v>290</v>
      </c>
      <c r="C392" s="300">
        <v>2308</v>
      </c>
      <c r="D392" s="300">
        <v>788</v>
      </c>
      <c r="E392" s="300">
        <v>1053</v>
      </c>
      <c r="F392" s="300">
        <v>1246</v>
      </c>
      <c r="G392" s="300">
        <v>77</v>
      </c>
      <c r="H392" s="134">
        <v>33</v>
      </c>
      <c r="I392" s="300">
        <v>5505</v>
      </c>
      <c r="J392" s="299"/>
      <c r="K392" s="300">
        <v>0</v>
      </c>
      <c r="L392" s="300">
        <v>0</v>
      </c>
      <c r="M392" s="134">
        <v>0</v>
      </c>
      <c r="N392" s="300">
        <v>0</v>
      </c>
      <c r="O392" s="299"/>
      <c r="P392" s="134"/>
      <c r="Q392" s="301"/>
      <c r="R392" s="134"/>
      <c r="S392" s="300">
        <v>3841</v>
      </c>
      <c r="T392" s="132">
        <v>3841</v>
      </c>
      <c r="U392" s="311"/>
      <c r="V392" s="132"/>
      <c r="W392" s="296"/>
      <c r="X392" s="296"/>
      <c r="Y392" s="306">
        <v>9346</v>
      </c>
    </row>
    <row r="393" spans="1:25" ht="15.75" x14ac:dyDescent="0.25">
      <c r="A393" s="142"/>
      <c r="B393" s="144" t="s">
        <v>291</v>
      </c>
      <c r="C393" s="303">
        <v>2440</v>
      </c>
      <c r="D393" s="303">
        <v>860</v>
      </c>
      <c r="E393" s="303">
        <v>1096</v>
      </c>
      <c r="F393" s="303">
        <v>1254</v>
      </c>
      <c r="G393" s="303">
        <v>58</v>
      </c>
      <c r="H393" s="119">
        <v>26</v>
      </c>
      <c r="I393" s="303">
        <v>5734</v>
      </c>
      <c r="J393" s="302"/>
      <c r="K393" s="303">
        <v>0</v>
      </c>
      <c r="L393" s="303">
        <v>0</v>
      </c>
      <c r="M393" s="119">
        <v>0</v>
      </c>
      <c r="N393" s="303">
        <v>0</v>
      </c>
      <c r="O393" s="302"/>
      <c r="P393" s="119"/>
      <c r="Q393" s="173"/>
      <c r="R393" s="119"/>
      <c r="S393" s="303">
        <v>4141</v>
      </c>
      <c r="T393" s="117">
        <v>4141</v>
      </c>
      <c r="U393" s="312"/>
      <c r="V393" s="117"/>
      <c r="W393" s="296"/>
      <c r="X393" s="296"/>
      <c r="Y393" s="511">
        <v>9875</v>
      </c>
    </row>
    <row r="394" spans="1:25" ht="15.75" x14ac:dyDescent="0.25">
      <c r="A394" s="142"/>
      <c r="B394" s="145" t="s">
        <v>292</v>
      </c>
      <c r="C394" s="305">
        <v>5.7192374350086658E-2</v>
      </c>
      <c r="D394" s="305">
        <v>9.1370558375634514E-2</v>
      </c>
      <c r="E394" s="305">
        <v>4.0835707502374169E-2</v>
      </c>
      <c r="F394" s="305">
        <v>6.420545746388443E-3</v>
      </c>
      <c r="G394" s="305">
        <v>-0.24675324675324675</v>
      </c>
      <c r="H394" s="122">
        <v>-0.21212121212121213</v>
      </c>
      <c r="I394" s="305">
        <v>4.1598546775658489E-2</v>
      </c>
      <c r="J394" s="304">
        <v>0</v>
      </c>
      <c r="K394" s="305">
        <v>0</v>
      </c>
      <c r="L394" s="305">
        <v>0</v>
      </c>
      <c r="M394" s="122">
        <v>0</v>
      </c>
      <c r="N394" s="305">
        <v>0</v>
      </c>
      <c r="O394" s="304">
        <v>0</v>
      </c>
      <c r="P394" s="122">
        <v>0</v>
      </c>
      <c r="Q394" s="253">
        <v>0</v>
      </c>
      <c r="R394" s="122">
        <v>0</v>
      </c>
      <c r="S394" s="305">
        <v>7.8104660244727939E-2</v>
      </c>
      <c r="T394" s="120">
        <v>7.8104660244727939E-2</v>
      </c>
      <c r="U394" s="313">
        <v>0</v>
      </c>
      <c r="V394" s="120">
        <v>0</v>
      </c>
      <c r="W394" s="296">
        <v>0</v>
      </c>
      <c r="X394" s="296">
        <v>0</v>
      </c>
      <c r="Y394" s="511">
        <v>5.660175476139525E-2</v>
      </c>
    </row>
    <row r="395" spans="1:25" s="306" customFormat="1" ht="15.75" x14ac:dyDescent="0.25">
      <c r="A395" s="142"/>
      <c r="B395" s="143" t="s">
        <v>293</v>
      </c>
      <c r="C395" s="300">
        <v>580</v>
      </c>
      <c r="D395" s="300">
        <v>129</v>
      </c>
      <c r="E395" s="300">
        <v>6</v>
      </c>
      <c r="F395" s="300">
        <v>40</v>
      </c>
      <c r="G395" s="300">
        <v>0</v>
      </c>
      <c r="H395" s="134">
        <v>0</v>
      </c>
      <c r="I395" s="300">
        <v>755</v>
      </c>
      <c r="J395" s="299"/>
      <c r="K395" s="300">
        <v>0</v>
      </c>
      <c r="L395" s="300">
        <v>0</v>
      </c>
      <c r="M395" s="134">
        <v>0</v>
      </c>
      <c r="N395" s="300">
        <v>0</v>
      </c>
      <c r="O395" s="299"/>
      <c r="P395" s="134"/>
      <c r="Q395" s="301"/>
      <c r="R395" s="134"/>
      <c r="S395" s="300">
        <v>63</v>
      </c>
      <c r="T395" s="132">
        <v>63</v>
      </c>
      <c r="U395" s="311"/>
      <c r="V395" s="132"/>
      <c r="W395" s="296"/>
      <c r="X395" s="296"/>
      <c r="Y395" s="306">
        <v>818</v>
      </c>
    </row>
    <row r="396" spans="1:25" ht="16.5" thickBot="1" x14ac:dyDescent="0.3">
      <c r="A396" s="142"/>
      <c r="B396" s="144" t="s">
        <v>294</v>
      </c>
      <c r="C396" s="303">
        <v>632</v>
      </c>
      <c r="D396" s="303">
        <v>109</v>
      </c>
      <c r="E396" s="303">
        <v>12</v>
      </c>
      <c r="F396" s="303">
        <v>41</v>
      </c>
      <c r="G396" s="303">
        <v>0</v>
      </c>
      <c r="H396" s="119">
        <v>0</v>
      </c>
      <c r="I396" s="303">
        <v>794</v>
      </c>
      <c r="J396" s="302"/>
      <c r="K396" s="303">
        <v>0</v>
      </c>
      <c r="L396" s="303">
        <v>0</v>
      </c>
      <c r="M396" s="119">
        <v>0</v>
      </c>
      <c r="N396" s="303">
        <v>0</v>
      </c>
      <c r="O396" s="302"/>
      <c r="P396" s="119"/>
      <c r="Q396" s="173"/>
      <c r="R396" s="119"/>
      <c r="S396" s="303">
        <v>75</v>
      </c>
      <c r="T396" s="117">
        <v>75</v>
      </c>
      <c r="U396" s="312"/>
      <c r="V396" s="117"/>
      <c r="W396" s="296"/>
      <c r="X396" s="296"/>
      <c r="Y396" s="511">
        <v>869</v>
      </c>
    </row>
    <row r="397" spans="1:25" ht="16.5" thickBot="1" x14ac:dyDescent="0.3">
      <c r="A397" s="142"/>
      <c r="B397" s="145" t="s">
        <v>295</v>
      </c>
      <c r="C397" s="305">
        <v>8.9655172413793102E-2</v>
      </c>
      <c r="D397" s="305">
        <v>-0.15503875968992248</v>
      </c>
      <c r="E397" s="724">
        <v>1</v>
      </c>
      <c r="F397" s="305">
        <v>2.5000000000000001E-2</v>
      </c>
      <c r="G397" s="305">
        <v>0</v>
      </c>
      <c r="H397" s="122">
        <v>0</v>
      </c>
      <c r="I397" s="305">
        <v>5.1655629139072845E-2</v>
      </c>
      <c r="J397" s="304">
        <v>0</v>
      </c>
      <c r="K397" s="305">
        <v>0</v>
      </c>
      <c r="L397" s="305">
        <v>0</v>
      </c>
      <c r="M397" s="122">
        <v>0</v>
      </c>
      <c r="N397" s="305">
        <v>0</v>
      </c>
      <c r="O397" s="304">
        <v>0</v>
      </c>
      <c r="P397" s="122">
        <v>0</v>
      </c>
      <c r="Q397" s="253">
        <v>0</v>
      </c>
      <c r="R397" s="122">
        <v>0</v>
      </c>
      <c r="S397" s="305">
        <v>0.19047619047619047</v>
      </c>
      <c r="T397" s="120">
        <v>0.19047619047619047</v>
      </c>
      <c r="U397" s="313">
        <v>0</v>
      </c>
      <c r="V397" s="120">
        <v>0</v>
      </c>
      <c r="W397" s="296">
        <v>0</v>
      </c>
      <c r="X397" s="296">
        <v>0</v>
      </c>
      <c r="Y397" s="511">
        <v>6.2347188264058682E-2</v>
      </c>
    </row>
    <row r="398" spans="1:25" s="306" customFormat="1" ht="15.75" x14ac:dyDescent="0.25">
      <c r="A398" s="142"/>
      <c r="B398" s="143" t="s">
        <v>296</v>
      </c>
      <c r="C398" s="300"/>
      <c r="D398" s="300"/>
      <c r="E398" s="300"/>
      <c r="F398" s="300">
        <v>294</v>
      </c>
      <c r="G398" s="300"/>
      <c r="H398" s="134"/>
      <c r="I398" s="300">
        <v>294</v>
      </c>
      <c r="J398" s="299"/>
      <c r="K398" s="300"/>
      <c r="L398" s="300"/>
      <c r="M398" s="134"/>
      <c r="N398" s="300"/>
      <c r="O398" s="299"/>
      <c r="P398" s="134"/>
      <c r="Q398" s="301"/>
      <c r="R398" s="134"/>
      <c r="S398" s="300">
        <v>293</v>
      </c>
      <c r="T398" s="132">
        <v>293</v>
      </c>
      <c r="U398" s="311"/>
      <c r="V398" s="132"/>
      <c r="W398" s="296"/>
      <c r="X398" s="296"/>
      <c r="Y398" s="306">
        <v>587</v>
      </c>
    </row>
    <row r="399" spans="1:25" ht="15.75" x14ac:dyDescent="0.25">
      <c r="A399" s="142"/>
      <c r="B399" s="144" t="s">
        <v>297</v>
      </c>
      <c r="C399" s="303"/>
      <c r="D399" s="303"/>
      <c r="E399" s="303"/>
      <c r="F399" s="303">
        <v>343</v>
      </c>
      <c r="G399" s="303"/>
      <c r="H399" s="119"/>
      <c r="I399" s="303">
        <v>343</v>
      </c>
      <c r="J399" s="302"/>
      <c r="K399" s="303"/>
      <c r="L399" s="303"/>
      <c r="M399" s="119"/>
      <c r="N399" s="303"/>
      <c r="O399" s="302"/>
      <c r="P399" s="119"/>
      <c r="Q399" s="173"/>
      <c r="R399" s="119"/>
      <c r="S399" s="303">
        <v>321</v>
      </c>
      <c r="T399" s="117">
        <v>321</v>
      </c>
      <c r="U399" s="312"/>
      <c r="V399" s="117"/>
      <c r="W399" s="296"/>
      <c r="X399" s="296"/>
      <c r="Y399" s="511">
        <v>664</v>
      </c>
    </row>
    <row r="400" spans="1:25" ht="15.75" x14ac:dyDescent="0.25">
      <c r="A400" s="142"/>
      <c r="B400" s="145" t="s">
        <v>298</v>
      </c>
      <c r="C400" s="305">
        <v>0</v>
      </c>
      <c r="D400" s="305">
        <v>0</v>
      </c>
      <c r="E400" s="305">
        <v>0</v>
      </c>
      <c r="F400" s="305">
        <v>0.16666666666666666</v>
      </c>
      <c r="G400" s="305">
        <v>0</v>
      </c>
      <c r="H400" s="122">
        <v>0</v>
      </c>
      <c r="I400" s="305">
        <v>0.16666666666666666</v>
      </c>
      <c r="J400" s="304">
        <v>0</v>
      </c>
      <c r="K400" s="305">
        <v>0</v>
      </c>
      <c r="L400" s="305">
        <v>0</v>
      </c>
      <c r="M400" s="122">
        <v>0</v>
      </c>
      <c r="N400" s="305">
        <v>0</v>
      </c>
      <c r="O400" s="304">
        <v>0</v>
      </c>
      <c r="P400" s="122">
        <v>0</v>
      </c>
      <c r="Q400" s="253">
        <v>0</v>
      </c>
      <c r="R400" s="122">
        <v>0</v>
      </c>
      <c r="S400" s="305">
        <v>9.556313993174062E-2</v>
      </c>
      <c r="T400" s="120">
        <v>9.556313993174062E-2</v>
      </c>
      <c r="U400" s="313">
        <v>0</v>
      </c>
      <c r="V400" s="120">
        <v>0</v>
      </c>
      <c r="W400" s="296">
        <v>0</v>
      </c>
      <c r="X400" s="296">
        <v>0</v>
      </c>
      <c r="Y400" s="511">
        <v>0.131175468483816</v>
      </c>
    </row>
    <row r="401" spans="1:25" s="306" customFormat="1" ht="15.75" x14ac:dyDescent="0.25">
      <c r="A401" s="142"/>
      <c r="B401" s="143" t="s">
        <v>299</v>
      </c>
      <c r="C401" s="300"/>
      <c r="D401" s="300"/>
      <c r="E401" s="300"/>
      <c r="F401" s="300"/>
      <c r="G401" s="300"/>
      <c r="H401" s="134"/>
      <c r="I401" s="300"/>
      <c r="J401" s="299"/>
      <c r="K401" s="300"/>
      <c r="L401" s="300"/>
      <c r="M401" s="134"/>
      <c r="N401" s="300"/>
      <c r="O401" s="299"/>
      <c r="P401" s="134"/>
      <c r="Q401" s="301"/>
      <c r="R401" s="134"/>
      <c r="S401" s="300">
        <v>150</v>
      </c>
      <c r="T401" s="132">
        <v>150</v>
      </c>
      <c r="U401" s="311"/>
      <c r="V401" s="132"/>
      <c r="W401" s="296"/>
      <c r="X401" s="296"/>
      <c r="Y401" s="306">
        <v>150</v>
      </c>
    </row>
    <row r="402" spans="1:25" ht="15.75" x14ac:dyDescent="0.25">
      <c r="A402" s="142"/>
      <c r="B402" s="144" t="s">
        <v>300</v>
      </c>
      <c r="C402" s="303"/>
      <c r="D402" s="303"/>
      <c r="E402" s="303"/>
      <c r="F402" s="303"/>
      <c r="G402" s="303"/>
      <c r="H402" s="119"/>
      <c r="I402" s="303"/>
      <c r="J402" s="302"/>
      <c r="K402" s="303"/>
      <c r="L402" s="303"/>
      <c r="M402" s="119"/>
      <c r="N402" s="303"/>
      <c r="O402" s="302"/>
      <c r="P402" s="119"/>
      <c r="Q402" s="173"/>
      <c r="R402" s="119"/>
      <c r="S402" s="303">
        <v>153</v>
      </c>
      <c r="T402" s="117">
        <v>153</v>
      </c>
      <c r="U402" s="312"/>
      <c r="V402" s="117"/>
      <c r="W402" s="296"/>
      <c r="X402" s="296"/>
      <c r="Y402" s="511">
        <v>153</v>
      </c>
    </row>
    <row r="403" spans="1:25" ht="15.75" x14ac:dyDescent="0.25">
      <c r="A403" s="142"/>
      <c r="B403" s="145" t="s">
        <v>301</v>
      </c>
      <c r="C403" s="305">
        <v>0</v>
      </c>
      <c r="D403" s="305">
        <v>0</v>
      </c>
      <c r="E403" s="305">
        <v>0</v>
      </c>
      <c r="F403" s="305">
        <v>0</v>
      </c>
      <c r="G403" s="305">
        <v>0</v>
      </c>
      <c r="H403" s="122">
        <v>0</v>
      </c>
      <c r="I403" s="305">
        <v>0</v>
      </c>
      <c r="J403" s="304">
        <v>0</v>
      </c>
      <c r="K403" s="305">
        <v>0</v>
      </c>
      <c r="L403" s="305">
        <v>0</v>
      </c>
      <c r="M403" s="122">
        <v>0</v>
      </c>
      <c r="N403" s="305">
        <v>0</v>
      </c>
      <c r="O403" s="304">
        <v>0</v>
      </c>
      <c r="P403" s="122">
        <v>0</v>
      </c>
      <c r="Q403" s="253">
        <v>0</v>
      </c>
      <c r="R403" s="122">
        <v>0</v>
      </c>
      <c r="S403" s="305">
        <v>0.02</v>
      </c>
      <c r="T403" s="120">
        <v>0.02</v>
      </c>
      <c r="U403" s="313">
        <v>0</v>
      </c>
      <c r="V403" s="120">
        <v>0</v>
      </c>
      <c r="W403" s="296">
        <v>0</v>
      </c>
      <c r="X403" s="296">
        <v>0</v>
      </c>
      <c r="Y403" s="511">
        <v>0.02</v>
      </c>
    </row>
    <row r="404" spans="1:25" s="306" customFormat="1" ht="15.75" x14ac:dyDescent="0.25">
      <c r="A404" s="142"/>
      <c r="B404" s="143" t="s">
        <v>302</v>
      </c>
      <c r="C404" s="300"/>
      <c r="D404" s="300"/>
      <c r="E404" s="300"/>
      <c r="F404" s="300"/>
      <c r="G404" s="300"/>
      <c r="H404" s="134"/>
      <c r="I404" s="300"/>
      <c r="J404" s="299"/>
      <c r="K404" s="300"/>
      <c r="L404" s="300"/>
      <c r="M404" s="134"/>
      <c r="N404" s="300"/>
      <c r="O404" s="299"/>
      <c r="P404" s="134"/>
      <c r="Q404" s="301"/>
      <c r="R404" s="134"/>
      <c r="S404" s="300">
        <v>128</v>
      </c>
      <c r="T404" s="132">
        <v>128</v>
      </c>
      <c r="U404" s="311"/>
      <c r="V404" s="132"/>
      <c r="W404" s="296"/>
      <c r="X404" s="296"/>
      <c r="Y404" s="306">
        <v>128</v>
      </c>
    </row>
    <row r="405" spans="1:25" ht="15.75" x14ac:dyDescent="0.25">
      <c r="A405" s="142"/>
      <c r="B405" s="144" t="s">
        <v>303</v>
      </c>
      <c r="C405" s="303"/>
      <c r="D405" s="303"/>
      <c r="E405" s="303"/>
      <c r="F405" s="303"/>
      <c r="G405" s="303"/>
      <c r="H405" s="119"/>
      <c r="I405" s="303"/>
      <c r="J405" s="302"/>
      <c r="K405" s="303"/>
      <c r="L405" s="303"/>
      <c r="M405" s="119"/>
      <c r="N405" s="303"/>
      <c r="O405" s="302"/>
      <c r="P405" s="119"/>
      <c r="Q405" s="173"/>
      <c r="R405" s="119"/>
      <c r="S405" s="303">
        <v>123</v>
      </c>
      <c r="T405" s="117">
        <v>123</v>
      </c>
      <c r="U405" s="312"/>
      <c r="V405" s="117"/>
      <c r="W405" s="296"/>
      <c r="X405" s="296"/>
      <c r="Y405" s="511">
        <v>123</v>
      </c>
    </row>
    <row r="406" spans="1:25" ht="15.75" x14ac:dyDescent="0.25">
      <c r="A406" s="142"/>
      <c r="B406" s="145" t="s">
        <v>304</v>
      </c>
      <c r="C406" s="305">
        <v>0</v>
      </c>
      <c r="D406" s="305">
        <v>0</v>
      </c>
      <c r="E406" s="305">
        <v>0</v>
      </c>
      <c r="F406" s="305">
        <v>0</v>
      </c>
      <c r="G406" s="305">
        <v>0</v>
      </c>
      <c r="H406" s="122">
        <v>0</v>
      </c>
      <c r="I406" s="305">
        <v>0</v>
      </c>
      <c r="J406" s="304">
        <v>0</v>
      </c>
      <c r="K406" s="305">
        <v>0</v>
      </c>
      <c r="L406" s="305">
        <v>0</v>
      </c>
      <c r="M406" s="122">
        <v>0</v>
      </c>
      <c r="N406" s="305">
        <v>0</v>
      </c>
      <c r="O406" s="304">
        <v>0</v>
      </c>
      <c r="P406" s="122">
        <v>0</v>
      </c>
      <c r="Q406" s="253">
        <v>0</v>
      </c>
      <c r="R406" s="122">
        <v>0</v>
      </c>
      <c r="S406" s="305">
        <v>-3.90625E-2</v>
      </c>
      <c r="T406" s="120">
        <v>-3.90625E-2</v>
      </c>
      <c r="U406" s="313">
        <v>0</v>
      </c>
      <c r="V406" s="120">
        <v>0</v>
      </c>
      <c r="W406" s="296">
        <v>0</v>
      </c>
      <c r="X406" s="296">
        <v>0</v>
      </c>
      <c r="Y406" s="511">
        <v>-3.90625E-2</v>
      </c>
    </row>
    <row r="407" spans="1:25" s="306" customFormat="1" ht="15.75" x14ac:dyDescent="0.25">
      <c r="A407" s="142"/>
      <c r="B407" s="143" t="s">
        <v>305</v>
      </c>
      <c r="C407" s="300"/>
      <c r="D407" s="300"/>
      <c r="E407" s="300"/>
      <c r="F407" s="300"/>
      <c r="G407" s="300"/>
      <c r="H407" s="134"/>
      <c r="I407" s="300"/>
      <c r="J407" s="299"/>
      <c r="K407" s="300"/>
      <c r="L407" s="300"/>
      <c r="M407" s="134"/>
      <c r="N407" s="300"/>
      <c r="O407" s="299"/>
      <c r="P407" s="134"/>
      <c r="Q407" s="301"/>
      <c r="R407" s="134"/>
      <c r="S407" s="300">
        <v>145</v>
      </c>
      <c r="T407" s="132">
        <v>145</v>
      </c>
      <c r="U407" s="311"/>
      <c r="V407" s="132"/>
      <c r="W407" s="296"/>
      <c r="X407" s="296"/>
      <c r="Y407" s="306">
        <v>145</v>
      </c>
    </row>
    <row r="408" spans="1:25" ht="15.75" x14ac:dyDescent="0.25">
      <c r="A408" s="142"/>
      <c r="B408" s="144" t="s">
        <v>306</v>
      </c>
      <c r="C408" s="303"/>
      <c r="D408" s="303"/>
      <c r="E408" s="303"/>
      <c r="F408" s="303"/>
      <c r="G408" s="303"/>
      <c r="H408" s="119"/>
      <c r="I408" s="303"/>
      <c r="J408" s="302"/>
      <c r="K408" s="303"/>
      <c r="L408" s="303"/>
      <c r="M408" s="119"/>
      <c r="N408" s="303"/>
      <c r="O408" s="302"/>
      <c r="P408" s="119"/>
      <c r="Q408" s="173"/>
      <c r="R408" s="119"/>
      <c r="S408" s="303">
        <v>156</v>
      </c>
      <c r="T408" s="117">
        <v>156</v>
      </c>
      <c r="U408" s="312"/>
      <c r="V408" s="117"/>
      <c r="W408" s="296"/>
      <c r="X408" s="296"/>
      <c r="Y408" s="511">
        <v>156</v>
      </c>
    </row>
    <row r="409" spans="1:25" ht="15.75" x14ac:dyDescent="0.25">
      <c r="A409" s="142"/>
      <c r="B409" s="145" t="s">
        <v>307</v>
      </c>
      <c r="C409" s="305">
        <v>0</v>
      </c>
      <c r="D409" s="305">
        <v>0</v>
      </c>
      <c r="E409" s="305">
        <v>0</v>
      </c>
      <c r="F409" s="305">
        <v>0</v>
      </c>
      <c r="G409" s="305">
        <v>0</v>
      </c>
      <c r="H409" s="122">
        <v>0</v>
      </c>
      <c r="I409" s="305">
        <v>0</v>
      </c>
      <c r="J409" s="304">
        <v>0</v>
      </c>
      <c r="K409" s="305">
        <v>0</v>
      </c>
      <c r="L409" s="305">
        <v>0</v>
      </c>
      <c r="M409" s="122">
        <v>0</v>
      </c>
      <c r="N409" s="305">
        <v>0</v>
      </c>
      <c r="O409" s="304">
        <v>0</v>
      </c>
      <c r="P409" s="122">
        <v>0</v>
      </c>
      <c r="Q409" s="253">
        <v>0</v>
      </c>
      <c r="R409" s="122">
        <v>0</v>
      </c>
      <c r="S409" s="305">
        <v>7.586206896551724E-2</v>
      </c>
      <c r="T409" s="120">
        <v>7.586206896551724E-2</v>
      </c>
      <c r="U409" s="313">
        <v>0</v>
      </c>
      <c r="V409" s="120">
        <v>0</v>
      </c>
      <c r="W409" s="296">
        <v>0</v>
      </c>
      <c r="X409" s="296">
        <v>0</v>
      </c>
      <c r="Y409" s="511">
        <v>7.586206896551724E-2</v>
      </c>
    </row>
    <row r="410" spans="1:25" s="306" customFormat="1" ht="15.75" x14ac:dyDescent="0.25">
      <c r="A410" s="142"/>
      <c r="B410" s="143" t="s">
        <v>308</v>
      </c>
      <c r="C410" s="300"/>
      <c r="D410" s="300"/>
      <c r="E410" s="300"/>
      <c r="F410" s="300"/>
      <c r="G410" s="300"/>
      <c r="H410" s="134"/>
      <c r="I410" s="300"/>
      <c r="J410" s="299"/>
      <c r="K410" s="300"/>
      <c r="L410" s="300"/>
      <c r="M410" s="134"/>
      <c r="N410" s="300"/>
      <c r="O410" s="299"/>
      <c r="P410" s="134"/>
      <c r="Q410" s="301"/>
      <c r="R410" s="134"/>
      <c r="S410" s="300"/>
      <c r="T410" s="132"/>
      <c r="U410" s="311"/>
      <c r="V410" s="132"/>
      <c r="W410" s="296"/>
      <c r="X410" s="296"/>
    </row>
    <row r="411" spans="1:25" ht="15.75" x14ac:dyDescent="0.25">
      <c r="A411" s="142"/>
      <c r="B411" s="144" t="s">
        <v>309</v>
      </c>
      <c r="C411" s="303"/>
      <c r="D411" s="303"/>
      <c r="E411" s="303"/>
      <c r="F411" s="303"/>
      <c r="G411" s="303"/>
      <c r="H411" s="119"/>
      <c r="I411" s="303"/>
      <c r="J411" s="302"/>
      <c r="K411" s="303"/>
      <c r="L411" s="303"/>
      <c r="M411" s="119"/>
      <c r="N411" s="303"/>
      <c r="O411" s="302"/>
      <c r="P411" s="119"/>
      <c r="Q411" s="173"/>
      <c r="R411" s="119"/>
      <c r="S411" s="303"/>
      <c r="T411" s="117"/>
      <c r="U411" s="312"/>
      <c r="V411" s="117"/>
      <c r="W411" s="296"/>
      <c r="X411" s="296"/>
    </row>
    <row r="412" spans="1:25" ht="15.75" x14ac:dyDescent="0.25">
      <c r="A412" s="142"/>
      <c r="B412" s="145" t="s">
        <v>310</v>
      </c>
      <c r="C412" s="305">
        <v>0</v>
      </c>
      <c r="D412" s="305">
        <v>0</v>
      </c>
      <c r="E412" s="305">
        <v>0</v>
      </c>
      <c r="F412" s="305">
        <v>0</v>
      </c>
      <c r="G412" s="305">
        <v>0</v>
      </c>
      <c r="H412" s="122">
        <v>0</v>
      </c>
      <c r="I412" s="305">
        <v>0</v>
      </c>
      <c r="J412" s="304">
        <v>0</v>
      </c>
      <c r="K412" s="305">
        <v>0</v>
      </c>
      <c r="L412" s="305">
        <v>0</v>
      </c>
      <c r="M412" s="122">
        <v>0</v>
      </c>
      <c r="N412" s="305">
        <v>0</v>
      </c>
      <c r="O412" s="304">
        <v>0</v>
      </c>
      <c r="P412" s="122">
        <v>0</v>
      </c>
      <c r="Q412" s="253">
        <v>0</v>
      </c>
      <c r="R412" s="122">
        <v>0</v>
      </c>
      <c r="S412" s="305">
        <v>0</v>
      </c>
      <c r="T412" s="120">
        <v>0</v>
      </c>
      <c r="U412" s="313">
        <v>0</v>
      </c>
      <c r="V412" s="120">
        <v>0</v>
      </c>
      <c r="W412" s="296">
        <v>0</v>
      </c>
      <c r="X412" s="296">
        <v>0</v>
      </c>
      <c r="Y412" s="511">
        <v>0</v>
      </c>
    </row>
    <row r="413" spans="1:25" s="306" customFormat="1" ht="15.75" x14ac:dyDescent="0.25">
      <c r="A413" s="142"/>
      <c r="B413" s="143" t="s">
        <v>311</v>
      </c>
      <c r="C413" s="300"/>
      <c r="D413" s="300"/>
      <c r="E413" s="300"/>
      <c r="F413" s="300"/>
      <c r="G413" s="300"/>
      <c r="H413" s="134"/>
      <c r="I413" s="300"/>
      <c r="J413" s="299"/>
      <c r="K413" s="300"/>
      <c r="L413" s="300"/>
      <c r="M413" s="134"/>
      <c r="N413" s="300"/>
      <c r="O413" s="299"/>
      <c r="P413" s="134"/>
      <c r="Q413" s="301"/>
      <c r="R413" s="134"/>
      <c r="S413" s="300"/>
      <c r="T413" s="132"/>
      <c r="U413" s="311"/>
      <c r="V413" s="132"/>
      <c r="W413" s="296"/>
      <c r="X413" s="296"/>
    </row>
    <row r="414" spans="1:25" ht="15.75" x14ac:dyDescent="0.25">
      <c r="A414" s="142"/>
      <c r="B414" s="144" t="s">
        <v>312</v>
      </c>
      <c r="C414" s="303"/>
      <c r="D414" s="303"/>
      <c r="E414" s="303"/>
      <c r="F414" s="303"/>
      <c r="G414" s="303"/>
      <c r="H414" s="119"/>
      <c r="I414" s="303"/>
      <c r="J414" s="302"/>
      <c r="K414" s="303"/>
      <c r="L414" s="303"/>
      <c r="M414" s="119"/>
      <c r="N414" s="303"/>
      <c r="O414" s="302"/>
      <c r="P414" s="119"/>
      <c r="Q414" s="173"/>
      <c r="R414" s="119"/>
      <c r="S414" s="303"/>
      <c r="T414" s="117"/>
      <c r="U414" s="312"/>
      <c r="V414" s="117"/>
      <c r="W414" s="296"/>
      <c r="X414" s="296"/>
    </row>
    <row r="415" spans="1:25" ht="15.75" x14ac:dyDescent="0.25">
      <c r="A415" s="142"/>
      <c r="B415" s="145" t="s">
        <v>313</v>
      </c>
      <c r="C415" s="305">
        <v>0</v>
      </c>
      <c r="D415" s="305">
        <v>0</v>
      </c>
      <c r="E415" s="305">
        <v>0</v>
      </c>
      <c r="F415" s="305">
        <v>0</v>
      </c>
      <c r="G415" s="305">
        <v>0</v>
      </c>
      <c r="H415" s="122">
        <v>0</v>
      </c>
      <c r="I415" s="305">
        <v>0</v>
      </c>
      <c r="J415" s="304">
        <v>0</v>
      </c>
      <c r="K415" s="305">
        <v>0</v>
      </c>
      <c r="L415" s="305">
        <v>0</v>
      </c>
      <c r="M415" s="122">
        <v>0</v>
      </c>
      <c r="N415" s="305">
        <v>0</v>
      </c>
      <c r="O415" s="304">
        <v>0</v>
      </c>
      <c r="P415" s="122">
        <v>0</v>
      </c>
      <c r="Q415" s="253">
        <v>0</v>
      </c>
      <c r="R415" s="122">
        <v>0</v>
      </c>
      <c r="S415" s="305">
        <v>0</v>
      </c>
      <c r="T415" s="120">
        <v>0</v>
      </c>
      <c r="U415" s="313">
        <v>0</v>
      </c>
      <c r="V415" s="120">
        <v>0</v>
      </c>
      <c r="W415" s="296">
        <v>0</v>
      </c>
      <c r="X415" s="296">
        <v>0</v>
      </c>
      <c r="Y415" s="511">
        <v>0</v>
      </c>
    </row>
    <row r="416" spans="1:25" s="306" customFormat="1" ht="15.75" x14ac:dyDescent="0.25">
      <c r="A416" s="142"/>
      <c r="B416" s="143" t="s">
        <v>314</v>
      </c>
      <c r="C416" s="300"/>
      <c r="D416" s="300"/>
      <c r="E416" s="300"/>
      <c r="F416" s="300"/>
      <c r="G416" s="300"/>
      <c r="H416" s="134"/>
      <c r="I416" s="300"/>
      <c r="J416" s="299"/>
      <c r="K416" s="300"/>
      <c r="L416" s="300"/>
      <c r="M416" s="134"/>
      <c r="N416" s="300"/>
      <c r="O416" s="299"/>
      <c r="P416" s="134"/>
      <c r="Q416" s="301"/>
      <c r="R416" s="134"/>
      <c r="S416" s="300"/>
      <c r="T416" s="132"/>
      <c r="U416" s="311"/>
      <c r="V416" s="132"/>
      <c r="W416" s="296"/>
      <c r="X416" s="296"/>
    </row>
    <row r="417" spans="1:25" ht="15.75" x14ac:dyDescent="0.25">
      <c r="A417" s="142"/>
      <c r="B417" s="144" t="s">
        <v>315</v>
      </c>
      <c r="C417" s="303"/>
      <c r="D417" s="303"/>
      <c r="E417" s="303"/>
      <c r="F417" s="303"/>
      <c r="G417" s="303"/>
      <c r="H417" s="119"/>
      <c r="I417" s="303"/>
      <c r="J417" s="302"/>
      <c r="K417" s="303"/>
      <c r="L417" s="303"/>
      <c r="M417" s="119"/>
      <c r="N417" s="303"/>
      <c r="O417" s="302"/>
      <c r="P417" s="119"/>
      <c r="Q417" s="173"/>
      <c r="R417" s="119"/>
      <c r="S417" s="303"/>
      <c r="T417" s="117"/>
      <c r="U417" s="312"/>
      <c r="V417" s="117"/>
      <c r="W417" s="296"/>
      <c r="X417" s="296"/>
    </row>
    <row r="418" spans="1:25" ht="15.75" x14ac:dyDescent="0.25">
      <c r="A418" s="142"/>
      <c r="B418" s="145" t="s">
        <v>316</v>
      </c>
      <c r="C418" s="305">
        <v>0</v>
      </c>
      <c r="D418" s="305">
        <v>0</v>
      </c>
      <c r="E418" s="305">
        <v>0</v>
      </c>
      <c r="F418" s="305">
        <v>0</v>
      </c>
      <c r="G418" s="305">
        <v>0</v>
      </c>
      <c r="H418" s="122">
        <v>0</v>
      </c>
      <c r="I418" s="305">
        <v>0</v>
      </c>
      <c r="J418" s="304">
        <v>0</v>
      </c>
      <c r="K418" s="305">
        <v>0</v>
      </c>
      <c r="L418" s="305">
        <v>0</v>
      </c>
      <c r="M418" s="122">
        <v>0</v>
      </c>
      <c r="N418" s="305">
        <v>0</v>
      </c>
      <c r="O418" s="304">
        <v>0</v>
      </c>
      <c r="P418" s="122">
        <v>0</v>
      </c>
      <c r="Q418" s="253">
        <v>0</v>
      </c>
      <c r="R418" s="122">
        <v>0</v>
      </c>
      <c r="S418" s="305">
        <v>0</v>
      </c>
      <c r="T418" s="120">
        <v>0</v>
      </c>
      <c r="U418" s="313">
        <v>0</v>
      </c>
      <c r="V418" s="120">
        <v>0</v>
      </c>
      <c r="W418" s="296">
        <v>0</v>
      </c>
      <c r="X418" s="296">
        <v>0</v>
      </c>
      <c r="Y418" s="511">
        <v>0</v>
      </c>
    </row>
    <row r="419" spans="1:25" s="306" customFormat="1" ht="15.75" x14ac:dyDescent="0.25">
      <c r="A419" s="142"/>
      <c r="B419" s="143" t="s">
        <v>317</v>
      </c>
      <c r="C419" s="300">
        <v>25</v>
      </c>
      <c r="D419" s="300"/>
      <c r="E419" s="300"/>
      <c r="F419" s="300"/>
      <c r="G419" s="300"/>
      <c r="H419" s="134"/>
      <c r="I419" s="300">
        <v>25</v>
      </c>
      <c r="J419" s="299"/>
      <c r="K419" s="300"/>
      <c r="L419" s="300"/>
      <c r="M419" s="134"/>
      <c r="N419" s="300"/>
      <c r="O419" s="299"/>
      <c r="P419" s="134"/>
      <c r="Q419" s="301"/>
      <c r="R419" s="134"/>
      <c r="S419" s="300"/>
      <c r="T419" s="132"/>
      <c r="U419" s="311"/>
      <c r="V419" s="132"/>
      <c r="W419" s="296"/>
      <c r="X419" s="296"/>
      <c r="Y419" s="306">
        <v>25</v>
      </c>
    </row>
    <row r="420" spans="1:25" ht="15.75" x14ac:dyDescent="0.25">
      <c r="A420" s="142"/>
      <c r="B420" s="144" t="s">
        <v>318</v>
      </c>
      <c r="C420" s="303">
        <v>21</v>
      </c>
      <c r="D420" s="303"/>
      <c r="E420" s="303"/>
      <c r="F420" s="303"/>
      <c r="G420" s="303"/>
      <c r="H420" s="119"/>
      <c r="I420" s="303">
        <v>21</v>
      </c>
      <c r="J420" s="302"/>
      <c r="K420" s="303"/>
      <c r="L420" s="303"/>
      <c r="M420" s="119"/>
      <c r="N420" s="303"/>
      <c r="O420" s="302"/>
      <c r="P420" s="119"/>
      <c r="Q420" s="173"/>
      <c r="R420" s="119"/>
      <c r="S420" s="303"/>
      <c r="T420" s="117"/>
      <c r="U420" s="312"/>
      <c r="V420" s="117"/>
      <c r="W420" s="296"/>
      <c r="X420" s="296"/>
      <c r="Y420" s="511">
        <v>21</v>
      </c>
    </row>
    <row r="421" spans="1:25" ht="15.75" x14ac:dyDescent="0.25">
      <c r="A421" s="142"/>
      <c r="B421" s="145" t="s">
        <v>319</v>
      </c>
      <c r="C421" s="305">
        <v>-0.16</v>
      </c>
      <c r="D421" s="305">
        <v>0</v>
      </c>
      <c r="E421" s="305">
        <v>0</v>
      </c>
      <c r="F421" s="305">
        <v>0</v>
      </c>
      <c r="G421" s="305">
        <v>0</v>
      </c>
      <c r="H421" s="122">
        <v>0</v>
      </c>
      <c r="I421" s="305">
        <v>-0.16</v>
      </c>
      <c r="J421" s="304">
        <v>0</v>
      </c>
      <c r="K421" s="305">
        <v>0</v>
      </c>
      <c r="L421" s="305">
        <v>0</v>
      </c>
      <c r="M421" s="122">
        <v>0</v>
      </c>
      <c r="N421" s="305">
        <v>0</v>
      </c>
      <c r="O421" s="304">
        <v>0</v>
      </c>
      <c r="P421" s="122">
        <v>0</v>
      </c>
      <c r="Q421" s="253">
        <v>0</v>
      </c>
      <c r="R421" s="122">
        <v>0</v>
      </c>
      <c r="S421" s="305">
        <v>0</v>
      </c>
      <c r="T421" s="120">
        <v>0</v>
      </c>
      <c r="U421" s="313">
        <v>0</v>
      </c>
      <c r="V421" s="120">
        <v>0</v>
      </c>
      <c r="W421" s="296">
        <v>0</v>
      </c>
      <c r="X421" s="296">
        <v>0</v>
      </c>
      <c r="Y421" s="511">
        <v>-0.16</v>
      </c>
    </row>
    <row r="422" spans="1:25" s="306" customFormat="1" ht="15.75" x14ac:dyDescent="0.25">
      <c r="A422" s="142"/>
      <c r="B422" s="143" t="s">
        <v>320</v>
      </c>
      <c r="C422" s="300"/>
      <c r="D422" s="300"/>
      <c r="E422" s="300"/>
      <c r="F422" s="300"/>
      <c r="G422" s="300"/>
      <c r="H422" s="134"/>
      <c r="I422" s="300"/>
      <c r="J422" s="299"/>
      <c r="K422" s="300"/>
      <c r="L422" s="300"/>
      <c r="M422" s="134"/>
      <c r="N422" s="300"/>
      <c r="O422" s="299"/>
      <c r="P422" s="134"/>
      <c r="Q422" s="301"/>
      <c r="R422" s="134"/>
      <c r="S422" s="300"/>
      <c r="T422" s="132"/>
      <c r="U422" s="311"/>
      <c r="V422" s="132"/>
      <c r="W422" s="296"/>
      <c r="X422" s="296"/>
    </row>
    <row r="423" spans="1:25" ht="15.75" x14ac:dyDescent="0.25">
      <c r="A423" s="142"/>
      <c r="B423" s="144" t="s">
        <v>321</v>
      </c>
      <c r="C423" s="303"/>
      <c r="D423" s="303"/>
      <c r="E423" s="303"/>
      <c r="F423" s="303"/>
      <c r="G423" s="303"/>
      <c r="H423" s="119"/>
      <c r="I423" s="303"/>
      <c r="J423" s="302"/>
      <c r="K423" s="303"/>
      <c r="L423" s="303"/>
      <c r="M423" s="119"/>
      <c r="N423" s="303"/>
      <c r="O423" s="302"/>
      <c r="P423" s="119"/>
      <c r="Q423" s="173"/>
      <c r="R423" s="119"/>
      <c r="S423" s="303"/>
      <c r="T423" s="117"/>
      <c r="U423" s="312"/>
      <c r="V423" s="117"/>
      <c r="W423" s="296"/>
      <c r="X423" s="296"/>
    </row>
    <row r="424" spans="1:25" ht="15.75" x14ac:dyDescent="0.25">
      <c r="A424" s="142"/>
      <c r="B424" s="145" t="s">
        <v>322</v>
      </c>
      <c r="C424" s="305">
        <v>0</v>
      </c>
      <c r="D424" s="305">
        <v>0</v>
      </c>
      <c r="E424" s="305">
        <v>0</v>
      </c>
      <c r="F424" s="305">
        <v>0</v>
      </c>
      <c r="G424" s="305">
        <v>0</v>
      </c>
      <c r="H424" s="122">
        <v>0</v>
      </c>
      <c r="I424" s="305">
        <v>0</v>
      </c>
      <c r="J424" s="304">
        <v>0</v>
      </c>
      <c r="K424" s="305">
        <v>0</v>
      </c>
      <c r="L424" s="305">
        <v>0</v>
      </c>
      <c r="M424" s="122">
        <v>0</v>
      </c>
      <c r="N424" s="305">
        <v>0</v>
      </c>
      <c r="O424" s="304">
        <v>0</v>
      </c>
      <c r="P424" s="122">
        <v>0</v>
      </c>
      <c r="Q424" s="253">
        <v>0</v>
      </c>
      <c r="R424" s="122">
        <v>0</v>
      </c>
      <c r="S424" s="305">
        <v>0</v>
      </c>
      <c r="T424" s="120">
        <v>0</v>
      </c>
      <c r="U424" s="313">
        <v>0</v>
      </c>
      <c r="V424" s="120">
        <v>0</v>
      </c>
      <c r="W424" s="296">
        <v>0</v>
      </c>
      <c r="X424" s="296">
        <v>0</v>
      </c>
      <c r="Y424" s="511">
        <v>0</v>
      </c>
    </row>
    <row r="425" spans="1:25" s="306" customFormat="1" ht="15.75" x14ac:dyDescent="0.25">
      <c r="A425" s="142"/>
      <c r="B425" s="143" t="s">
        <v>404</v>
      </c>
      <c r="C425" s="300">
        <v>7</v>
      </c>
      <c r="D425" s="300"/>
      <c r="E425" s="300">
        <v>7</v>
      </c>
      <c r="F425" s="300">
        <v>23</v>
      </c>
      <c r="G425" s="300"/>
      <c r="H425" s="134"/>
      <c r="I425" s="300">
        <v>37</v>
      </c>
      <c r="J425" s="299"/>
      <c r="K425" s="300"/>
      <c r="L425" s="300"/>
      <c r="M425" s="134"/>
      <c r="N425" s="300"/>
      <c r="O425" s="299"/>
      <c r="P425" s="134"/>
      <c r="Q425" s="301"/>
      <c r="R425" s="134"/>
      <c r="S425" s="300">
        <v>147</v>
      </c>
      <c r="T425" s="132">
        <v>147</v>
      </c>
      <c r="U425" s="311"/>
      <c r="V425" s="132"/>
      <c r="W425" s="296"/>
      <c r="X425" s="296"/>
      <c r="Y425" s="306">
        <v>184</v>
      </c>
    </row>
    <row r="426" spans="1:25" ht="15.75" x14ac:dyDescent="0.25">
      <c r="A426" s="142"/>
      <c r="B426" s="144" t="s">
        <v>406</v>
      </c>
      <c r="C426" s="303">
        <v>4</v>
      </c>
      <c r="D426" s="303"/>
      <c r="E426" s="303">
        <v>7</v>
      </c>
      <c r="F426" s="303">
        <v>26</v>
      </c>
      <c r="G426" s="303"/>
      <c r="H426" s="119"/>
      <c r="I426" s="303">
        <v>37</v>
      </c>
      <c r="J426" s="302"/>
      <c r="K426" s="303"/>
      <c r="L426" s="303"/>
      <c r="M426" s="119"/>
      <c r="N426" s="303"/>
      <c r="O426" s="302"/>
      <c r="P426" s="119"/>
      <c r="Q426" s="173"/>
      <c r="R426" s="119"/>
      <c r="S426" s="303">
        <v>119</v>
      </c>
      <c r="T426" s="117">
        <v>119</v>
      </c>
      <c r="U426" s="312"/>
      <c r="V426" s="117"/>
      <c r="W426" s="296"/>
      <c r="X426" s="296"/>
      <c r="Y426" s="511">
        <v>156</v>
      </c>
    </row>
    <row r="427" spans="1:25" ht="15.75" x14ac:dyDescent="0.25">
      <c r="A427" s="142"/>
      <c r="B427" s="145" t="s">
        <v>474</v>
      </c>
      <c r="C427" s="305">
        <v>-0.42857142857142855</v>
      </c>
      <c r="D427" s="305">
        <v>0</v>
      </c>
      <c r="E427" s="305">
        <v>0</v>
      </c>
      <c r="F427" s="305">
        <v>0.13043478260869565</v>
      </c>
      <c r="G427" s="305">
        <v>0</v>
      </c>
      <c r="H427" s="122">
        <v>0</v>
      </c>
      <c r="I427" s="305">
        <v>0</v>
      </c>
      <c r="J427" s="304">
        <v>0</v>
      </c>
      <c r="K427" s="305">
        <v>0</v>
      </c>
      <c r="L427" s="305">
        <v>0</v>
      </c>
      <c r="M427" s="122">
        <v>0</v>
      </c>
      <c r="N427" s="305">
        <v>0</v>
      </c>
      <c r="O427" s="304">
        <v>0</v>
      </c>
      <c r="P427" s="122">
        <v>0</v>
      </c>
      <c r="Q427" s="253">
        <v>0</v>
      </c>
      <c r="R427" s="122">
        <v>0</v>
      </c>
      <c r="S427" s="305">
        <v>-0.19047619047619047</v>
      </c>
      <c r="T427" s="120">
        <v>-0.19047619047619047</v>
      </c>
      <c r="U427" s="313">
        <v>0</v>
      </c>
      <c r="V427" s="120">
        <v>0</v>
      </c>
      <c r="W427" s="296">
        <v>0</v>
      </c>
      <c r="X427" s="296">
        <v>0</v>
      </c>
      <c r="Y427" s="511">
        <v>-0.15217391304347827</v>
      </c>
    </row>
    <row r="428" spans="1:25" s="306" customFormat="1" ht="15.75" x14ac:dyDescent="0.25">
      <c r="A428" s="142"/>
      <c r="B428" s="143" t="s">
        <v>476</v>
      </c>
      <c r="C428" s="300"/>
      <c r="D428" s="300"/>
      <c r="E428" s="300"/>
      <c r="F428" s="300"/>
      <c r="G428" s="300"/>
      <c r="H428" s="134"/>
      <c r="I428" s="300"/>
      <c r="J428" s="299"/>
      <c r="K428" s="300"/>
      <c r="L428" s="300"/>
      <c r="M428" s="134"/>
      <c r="N428" s="300"/>
      <c r="O428" s="299"/>
      <c r="P428" s="134"/>
      <c r="Q428" s="301"/>
      <c r="R428" s="134"/>
      <c r="S428" s="300"/>
      <c r="T428" s="132"/>
      <c r="U428" s="311"/>
      <c r="V428" s="132"/>
      <c r="W428" s="296"/>
      <c r="X428" s="296"/>
    </row>
    <row r="429" spans="1:25" ht="15.75" x14ac:dyDescent="0.25">
      <c r="A429" s="294"/>
      <c r="B429" s="144" t="s">
        <v>472</v>
      </c>
      <c r="C429" s="303"/>
      <c r="D429" s="303"/>
      <c r="E429" s="303"/>
      <c r="F429" s="303"/>
      <c r="G429" s="303"/>
      <c r="H429" s="119"/>
      <c r="I429" s="303"/>
      <c r="J429" s="302"/>
      <c r="K429" s="303"/>
      <c r="L429" s="303"/>
      <c r="M429" s="119"/>
      <c r="N429" s="303"/>
      <c r="O429" s="302"/>
      <c r="P429" s="119"/>
      <c r="Q429" s="173"/>
      <c r="R429" s="119"/>
      <c r="S429" s="303"/>
      <c r="T429" s="117"/>
      <c r="U429" s="312"/>
      <c r="V429" s="117"/>
      <c r="W429" s="296"/>
      <c r="X429" s="296"/>
    </row>
    <row r="430" spans="1:25" ht="15.75" x14ac:dyDescent="0.25">
      <c r="A430" s="141" t="s">
        <v>693</v>
      </c>
      <c r="B430" s="143" t="s">
        <v>275</v>
      </c>
      <c r="C430" s="300"/>
      <c r="D430" s="300"/>
      <c r="E430" s="300"/>
      <c r="F430" s="300"/>
      <c r="G430" s="300"/>
      <c r="H430" s="134"/>
      <c r="I430" s="300"/>
      <c r="J430" s="299"/>
      <c r="K430" s="300">
        <v>1252</v>
      </c>
      <c r="L430" s="300">
        <v>1381</v>
      </c>
      <c r="M430" s="134">
        <v>231</v>
      </c>
      <c r="N430" s="300">
        <v>2864</v>
      </c>
      <c r="O430" s="299"/>
      <c r="P430" s="134"/>
      <c r="Q430" s="301"/>
      <c r="R430" s="134"/>
      <c r="S430" s="300"/>
      <c r="T430" s="132"/>
      <c r="U430" s="311"/>
      <c r="V430" s="132"/>
      <c r="W430" s="296"/>
      <c r="X430" s="296"/>
      <c r="Y430" s="511">
        <v>2864</v>
      </c>
    </row>
    <row r="431" spans="1:25" s="306" customFormat="1" ht="16.5" thickBot="1" x14ac:dyDescent="0.3">
      <c r="A431" s="142"/>
      <c r="B431" s="144" t="s">
        <v>276</v>
      </c>
      <c r="C431" s="303"/>
      <c r="D431" s="303"/>
      <c r="E431" s="303"/>
      <c r="F431" s="303"/>
      <c r="G431" s="303"/>
      <c r="H431" s="119"/>
      <c r="I431" s="303"/>
      <c r="J431" s="302"/>
      <c r="K431" s="303">
        <v>868</v>
      </c>
      <c r="L431" s="303">
        <v>1301</v>
      </c>
      <c r="M431" s="119">
        <v>295</v>
      </c>
      <c r="N431" s="303">
        <v>2464</v>
      </c>
      <c r="O431" s="302"/>
      <c r="P431" s="119"/>
      <c r="Q431" s="173"/>
      <c r="R431" s="119"/>
      <c r="S431" s="303"/>
      <c r="T431" s="117"/>
      <c r="U431" s="312"/>
      <c r="V431" s="117"/>
      <c r="W431" s="296"/>
      <c r="X431" s="296"/>
      <c r="Y431" s="306">
        <v>2464</v>
      </c>
    </row>
    <row r="432" spans="1:25" ht="16.5" thickBot="1" x14ac:dyDescent="0.3">
      <c r="A432" s="142"/>
      <c r="B432" s="145" t="s">
        <v>277</v>
      </c>
      <c r="C432" s="305">
        <v>0</v>
      </c>
      <c r="D432" s="305">
        <v>0</v>
      </c>
      <c r="E432" s="305">
        <v>0</v>
      </c>
      <c r="F432" s="305">
        <v>0</v>
      </c>
      <c r="G432" s="305">
        <v>0</v>
      </c>
      <c r="H432" s="122">
        <v>0</v>
      </c>
      <c r="I432" s="305">
        <v>0</v>
      </c>
      <c r="J432" s="304">
        <v>0</v>
      </c>
      <c r="K432" s="724">
        <v>-0.30670926517571884</v>
      </c>
      <c r="L432" s="305">
        <v>-5.7929036929761042E-2</v>
      </c>
      <c r="M432" s="724">
        <v>0.27705627705627706</v>
      </c>
      <c r="N432" s="305">
        <v>-0.13966480446927373</v>
      </c>
      <c r="O432" s="304">
        <v>0</v>
      </c>
      <c r="P432" s="122">
        <v>0</v>
      </c>
      <c r="Q432" s="253">
        <v>0</v>
      </c>
      <c r="R432" s="122">
        <v>0</v>
      </c>
      <c r="S432" s="305">
        <v>0</v>
      </c>
      <c r="T432" s="120">
        <v>0</v>
      </c>
      <c r="U432" s="313">
        <v>0</v>
      </c>
      <c r="V432" s="120">
        <v>0</v>
      </c>
      <c r="W432" s="296">
        <v>0</v>
      </c>
      <c r="X432" s="296">
        <v>0</v>
      </c>
      <c r="Y432" s="511">
        <v>-0.13966480446927373</v>
      </c>
    </row>
    <row r="433" spans="1:25" ht="15.75" x14ac:dyDescent="0.25">
      <c r="A433" s="142"/>
      <c r="B433" s="143" t="s">
        <v>278</v>
      </c>
      <c r="C433" s="300"/>
      <c r="D433" s="300"/>
      <c r="E433" s="300"/>
      <c r="F433" s="300"/>
      <c r="G433" s="300"/>
      <c r="H433" s="134"/>
      <c r="I433" s="300"/>
      <c r="J433" s="299"/>
      <c r="K433" s="300"/>
      <c r="L433" s="300"/>
      <c r="M433" s="134"/>
      <c r="N433" s="300"/>
      <c r="O433" s="299"/>
      <c r="P433" s="134"/>
      <c r="Q433" s="301"/>
      <c r="R433" s="134"/>
      <c r="S433" s="300"/>
      <c r="T433" s="132"/>
      <c r="U433" s="311"/>
      <c r="V433" s="132"/>
      <c r="W433" s="296"/>
      <c r="X433" s="296"/>
    </row>
    <row r="434" spans="1:25" s="306" customFormat="1" ht="15.75" x14ac:dyDescent="0.25">
      <c r="A434" s="142"/>
      <c r="B434" s="144" t="s">
        <v>279</v>
      </c>
      <c r="C434" s="303"/>
      <c r="D434" s="303"/>
      <c r="E434" s="303"/>
      <c r="F434" s="303"/>
      <c r="G434" s="303"/>
      <c r="H434" s="119"/>
      <c r="I434" s="303"/>
      <c r="J434" s="302"/>
      <c r="K434" s="303"/>
      <c r="L434" s="303"/>
      <c r="M434" s="119"/>
      <c r="N434" s="303"/>
      <c r="O434" s="302"/>
      <c r="P434" s="119"/>
      <c r="Q434" s="173"/>
      <c r="R434" s="119"/>
      <c r="S434" s="303"/>
      <c r="T434" s="117"/>
      <c r="U434" s="312"/>
      <c r="V434" s="117"/>
      <c r="W434" s="296"/>
      <c r="X434" s="296"/>
    </row>
    <row r="435" spans="1:25" ht="15.75" x14ac:dyDescent="0.25">
      <c r="A435" s="142"/>
      <c r="B435" s="145" t="s">
        <v>280</v>
      </c>
      <c r="C435" s="305">
        <v>0</v>
      </c>
      <c r="D435" s="305">
        <v>0</v>
      </c>
      <c r="E435" s="305">
        <v>0</v>
      </c>
      <c r="F435" s="305">
        <v>0</v>
      </c>
      <c r="G435" s="305">
        <v>0</v>
      </c>
      <c r="H435" s="122">
        <v>0</v>
      </c>
      <c r="I435" s="305">
        <v>0</v>
      </c>
      <c r="J435" s="304">
        <v>0</v>
      </c>
      <c r="K435" s="305">
        <v>0</v>
      </c>
      <c r="L435" s="305">
        <v>0</v>
      </c>
      <c r="M435" s="122">
        <v>0</v>
      </c>
      <c r="N435" s="305">
        <v>0</v>
      </c>
      <c r="O435" s="304">
        <v>0</v>
      </c>
      <c r="P435" s="122">
        <v>0</v>
      </c>
      <c r="Q435" s="253">
        <v>0</v>
      </c>
      <c r="R435" s="122">
        <v>0</v>
      </c>
      <c r="S435" s="305">
        <v>0</v>
      </c>
      <c r="T435" s="120">
        <v>0</v>
      </c>
      <c r="U435" s="313">
        <v>0</v>
      </c>
      <c r="V435" s="120">
        <v>0</v>
      </c>
      <c r="W435" s="296">
        <v>0</v>
      </c>
      <c r="X435" s="296">
        <v>0</v>
      </c>
      <c r="Y435" s="511">
        <v>0</v>
      </c>
    </row>
    <row r="436" spans="1:25" ht="15.75" x14ac:dyDescent="0.25">
      <c r="A436" s="142"/>
      <c r="B436" s="143" t="s">
        <v>281</v>
      </c>
      <c r="C436" s="300"/>
      <c r="D436" s="300"/>
      <c r="E436" s="300"/>
      <c r="F436" s="300">
        <v>31</v>
      </c>
      <c r="G436" s="300">
        <v>54</v>
      </c>
      <c r="H436" s="134"/>
      <c r="I436" s="300">
        <v>85</v>
      </c>
      <c r="J436" s="299"/>
      <c r="K436" s="300">
        <v>5833</v>
      </c>
      <c r="L436" s="300">
        <v>5192</v>
      </c>
      <c r="M436" s="134">
        <v>523</v>
      </c>
      <c r="N436" s="300">
        <v>11548</v>
      </c>
      <c r="O436" s="299"/>
      <c r="P436" s="134"/>
      <c r="Q436" s="301"/>
      <c r="R436" s="134"/>
      <c r="S436" s="300"/>
      <c r="T436" s="132"/>
      <c r="U436" s="311"/>
      <c r="V436" s="132"/>
      <c r="W436" s="296"/>
      <c r="X436" s="296"/>
      <c r="Y436" s="511">
        <v>11633</v>
      </c>
    </row>
    <row r="437" spans="1:25" s="306" customFormat="1" ht="16.5" thickBot="1" x14ac:dyDescent="0.3">
      <c r="A437" s="142"/>
      <c r="B437" s="144" t="s">
        <v>282</v>
      </c>
      <c r="C437" s="303"/>
      <c r="D437" s="303"/>
      <c r="E437" s="303"/>
      <c r="F437" s="303">
        <v>22</v>
      </c>
      <c r="G437" s="303">
        <v>48</v>
      </c>
      <c r="H437" s="119"/>
      <c r="I437" s="303">
        <v>70</v>
      </c>
      <c r="J437" s="302"/>
      <c r="K437" s="303">
        <v>5382</v>
      </c>
      <c r="L437" s="303">
        <v>5803</v>
      </c>
      <c r="M437" s="119">
        <v>622</v>
      </c>
      <c r="N437" s="303">
        <v>11807</v>
      </c>
      <c r="O437" s="302"/>
      <c r="P437" s="119"/>
      <c r="Q437" s="173"/>
      <c r="R437" s="119"/>
      <c r="S437" s="303"/>
      <c r="T437" s="117"/>
      <c r="U437" s="312"/>
      <c r="V437" s="117"/>
      <c r="W437" s="296"/>
      <c r="X437" s="296"/>
      <c r="Y437" s="306">
        <v>11877</v>
      </c>
    </row>
    <row r="438" spans="1:25" ht="16.5" thickBot="1" x14ac:dyDescent="0.3">
      <c r="A438" s="142"/>
      <c r="B438" s="145" t="s">
        <v>283</v>
      </c>
      <c r="C438" s="305">
        <v>0</v>
      </c>
      <c r="D438" s="305">
        <v>0</v>
      </c>
      <c r="E438" s="305">
        <v>0</v>
      </c>
      <c r="F438" s="305">
        <v>-0.29032258064516131</v>
      </c>
      <c r="G438" s="305">
        <v>-0.1111111111111111</v>
      </c>
      <c r="H438" s="122">
        <v>0</v>
      </c>
      <c r="I438" s="305">
        <v>-0.17647058823529413</v>
      </c>
      <c r="J438" s="304">
        <v>0</v>
      </c>
      <c r="K438" s="305">
        <v>-7.731870392593862E-2</v>
      </c>
      <c r="L438" s="305">
        <v>0.11768104776579352</v>
      </c>
      <c r="M438" s="724">
        <v>0.18929254302103252</v>
      </c>
      <c r="N438" s="305">
        <v>2.2428126082438517E-2</v>
      </c>
      <c r="O438" s="304">
        <v>0</v>
      </c>
      <c r="P438" s="122">
        <v>0</v>
      </c>
      <c r="Q438" s="253">
        <v>0</v>
      </c>
      <c r="R438" s="122">
        <v>0</v>
      </c>
      <c r="S438" s="305">
        <v>0</v>
      </c>
      <c r="T438" s="120">
        <v>0</v>
      </c>
      <c r="U438" s="313">
        <v>0</v>
      </c>
      <c r="V438" s="120">
        <v>0</v>
      </c>
      <c r="W438" s="296">
        <v>0</v>
      </c>
      <c r="X438" s="296">
        <v>0</v>
      </c>
      <c r="Y438" s="511">
        <v>2.0974813031892033E-2</v>
      </c>
    </row>
    <row r="439" spans="1:25" ht="15.75" x14ac:dyDescent="0.25">
      <c r="A439" s="142"/>
      <c r="B439" s="143" t="s">
        <v>284</v>
      </c>
      <c r="C439" s="300">
        <v>5120</v>
      </c>
      <c r="D439" s="300">
        <v>3899</v>
      </c>
      <c r="E439" s="300"/>
      <c r="F439" s="300">
        <v>1233</v>
      </c>
      <c r="G439" s="300">
        <v>460</v>
      </c>
      <c r="H439" s="134"/>
      <c r="I439" s="300">
        <v>10712</v>
      </c>
      <c r="J439" s="299"/>
      <c r="K439" s="300"/>
      <c r="L439" s="300"/>
      <c r="M439" s="134"/>
      <c r="N439" s="300"/>
      <c r="O439" s="299"/>
      <c r="P439" s="134"/>
      <c r="Q439" s="301"/>
      <c r="R439" s="134"/>
      <c r="S439" s="300">
        <v>263</v>
      </c>
      <c r="T439" s="132">
        <v>263</v>
      </c>
      <c r="U439" s="311"/>
      <c r="V439" s="132"/>
      <c r="W439" s="296"/>
      <c r="X439" s="296"/>
      <c r="Y439" s="511">
        <v>10975</v>
      </c>
    </row>
    <row r="440" spans="1:25" s="306" customFormat="1" ht="15.75" x14ac:dyDescent="0.25">
      <c r="A440" s="142"/>
      <c r="B440" s="144" t="s">
        <v>285</v>
      </c>
      <c r="C440" s="303">
        <v>5442</v>
      </c>
      <c r="D440" s="303">
        <v>3725</v>
      </c>
      <c r="E440" s="303"/>
      <c r="F440" s="303">
        <v>1228</v>
      </c>
      <c r="G440" s="303">
        <v>569</v>
      </c>
      <c r="H440" s="119"/>
      <c r="I440" s="303">
        <v>10964</v>
      </c>
      <c r="J440" s="302"/>
      <c r="K440" s="303"/>
      <c r="L440" s="303"/>
      <c r="M440" s="119"/>
      <c r="N440" s="303"/>
      <c r="O440" s="302"/>
      <c r="P440" s="119"/>
      <c r="Q440" s="173"/>
      <c r="R440" s="119"/>
      <c r="S440" s="303">
        <v>249</v>
      </c>
      <c r="T440" s="117">
        <v>249</v>
      </c>
      <c r="U440" s="312"/>
      <c r="V440" s="117"/>
      <c r="W440" s="296"/>
      <c r="X440" s="296"/>
      <c r="Y440" s="306">
        <v>11213</v>
      </c>
    </row>
    <row r="441" spans="1:25" ht="15.75" x14ac:dyDescent="0.25">
      <c r="A441" s="142"/>
      <c r="B441" s="145" t="s">
        <v>286</v>
      </c>
      <c r="C441" s="305">
        <v>6.2890625000000006E-2</v>
      </c>
      <c r="D441" s="305">
        <v>-4.4626827391638882E-2</v>
      </c>
      <c r="E441" s="305">
        <v>0</v>
      </c>
      <c r="F441" s="305">
        <v>-4.0551500405515001E-3</v>
      </c>
      <c r="G441" s="305">
        <v>0.23695652173913043</v>
      </c>
      <c r="H441" s="122">
        <v>0</v>
      </c>
      <c r="I441" s="305">
        <v>2.3525018670649739E-2</v>
      </c>
      <c r="J441" s="304">
        <v>0</v>
      </c>
      <c r="K441" s="305">
        <v>0</v>
      </c>
      <c r="L441" s="305">
        <v>0</v>
      </c>
      <c r="M441" s="122">
        <v>0</v>
      </c>
      <c r="N441" s="305">
        <v>0</v>
      </c>
      <c r="O441" s="304">
        <v>0</v>
      </c>
      <c r="P441" s="122">
        <v>0</v>
      </c>
      <c r="Q441" s="253">
        <v>0</v>
      </c>
      <c r="R441" s="122">
        <v>0</v>
      </c>
      <c r="S441" s="305">
        <v>-5.3231939163498096E-2</v>
      </c>
      <c r="T441" s="120">
        <v>-5.3231939163498096E-2</v>
      </c>
      <c r="U441" s="313">
        <v>0</v>
      </c>
      <c r="V441" s="120">
        <v>0</v>
      </c>
      <c r="W441" s="296">
        <v>0</v>
      </c>
      <c r="X441" s="296">
        <v>0</v>
      </c>
      <c r="Y441" s="511">
        <v>2.1685649202733484E-2</v>
      </c>
    </row>
    <row r="442" spans="1:25" ht="15.75" x14ac:dyDescent="0.25">
      <c r="A442" s="142"/>
      <c r="B442" s="143" t="s">
        <v>287</v>
      </c>
      <c r="C442" s="300"/>
      <c r="D442" s="300"/>
      <c r="E442" s="300"/>
      <c r="F442" s="300"/>
      <c r="G442" s="300"/>
      <c r="H442" s="134"/>
      <c r="I442" s="300"/>
      <c r="J442" s="299"/>
      <c r="K442" s="300"/>
      <c r="L442" s="300"/>
      <c r="M442" s="134"/>
      <c r="N442" s="300"/>
      <c r="O442" s="299"/>
      <c r="P442" s="134"/>
      <c r="Q442" s="301"/>
      <c r="R442" s="134"/>
      <c r="S442" s="300"/>
      <c r="T442" s="132"/>
      <c r="U442" s="311"/>
      <c r="V442" s="132"/>
      <c r="W442" s="296"/>
      <c r="X442" s="296"/>
    </row>
    <row r="443" spans="1:25" s="306" customFormat="1" ht="15.75" x14ac:dyDescent="0.25">
      <c r="A443" s="142"/>
      <c r="B443" s="144" t="s">
        <v>288</v>
      </c>
      <c r="C443" s="303"/>
      <c r="D443" s="303"/>
      <c r="E443" s="303"/>
      <c r="F443" s="303"/>
      <c r="G443" s="303"/>
      <c r="H443" s="119"/>
      <c r="I443" s="303"/>
      <c r="J443" s="302"/>
      <c r="K443" s="303"/>
      <c r="L443" s="303"/>
      <c r="M443" s="119"/>
      <c r="N443" s="303"/>
      <c r="O443" s="302"/>
      <c r="P443" s="119"/>
      <c r="Q443" s="173"/>
      <c r="R443" s="119"/>
      <c r="S443" s="303"/>
      <c r="T443" s="117"/>
      <c r="U443" s="312"/>
      <c r="V443" s="117"/>
      <c r="W443" s="296"/>
      <c r="X443" s="296"/>
    </row>
    <row r="444" spans="1:25" ht="15.75" x14ac:dyDescent="0.25">
      <c r="A444" s="142"/>
      <c r="B444" s="145" t="s">
        <v>289</v>
      </c>
      <c r="C444" s="305">
        <v>0</v>
      </c>
      <c r="D444" s="305">
        <v>0</v>
      </c>
      <c r="E444" s="305">
        <v>0</v>
      </c>
      <c r="F444" s="305">
        <v>0</v>
      </c>
      <c r="G444" s="305">
        <v>0</v>
      </c>
      <c r="H444" s="122">
        <v>0</v>
      </c>
      <c r="I444" s="305">
        <v>0</v>
      </c>
      <c r="J444" s="304">
        <v>0</v>
      </c>
      <c r="K444" s="305">
        <v>0</v>
      </c>
      <c r="L444" s="305">
        <v>0</v>
      </c>
      <c r="M444" s="122">
        <v>0</v>
      </c>
      <c r="N444" s="305">
        <v>0</v>
      </c>
      <c r="O444" s="304">
        <v>0</v>
      </c>
      <c r="P444" s="122">
        <v>0</v>
      </c>
      <c r="Q444" s="253">
        <v>0</v>
      </c>
      <c r="R444" s="122">
        <v>0</v>
      </c>
      <c r="S444" s="305">
        <v>0</v>
      </c>
      <c r="T444" s="120">
        <v>0</v>
      </c>
      <c r="U444" s="313">
        <v>0</v>
      </c>
      <c r="V444" s="120">
        <v>0</v>
      </c>
      <c r="W444" s="296">
        <v>0</v>
      </c>
      <c r="X444" s="296">
        <v>0</v>
      </c>
      <c r="Y444" s="511">
        <v>0</v>
      </c>
    </row>
    <row r="445" spans="1:25" ht="15.75" x14ac:dyDescent="0.25">
      <c r="A445" s="142"/>
      <c r="B445" s="143" t="s">
        <v>290</v>
      </c>
      <c r="C445" s="300">
        <v>1654</v>
      </c>
      <c r="D445" s="300">
        <v>1107</v>
      </c>
      <c r="E445" s="300"/>
      <c r="F445" s="300">
        <v>656</v>
      </c>
      <c r="G445" s="300">
        <v>93</v>
      </c>
      <c r="H445" s="134"/>
      <c r="I445" s="300">
        <v>3510</v>
      </c>
      <c r="J445" s="299"/>
      <c r="K445" s="300">
        <v>0</v>
      </c>
      <c r="L445" s="300">
        <v>0</v>
      </c>
      <c r="M445" s="134">
        <v>0</v>
      </c>
      <c r="N445" s="300">
        <v>0</v>
      </c>
      <c r="O445" s="299"/>
      <c r="P445" s="134"/>
      <c r="Q445" s="301"/>
      <c r="R445" s="134"/>
      <c r="S445" s="300">
        <v>122</v>
      </c>
      <c r="T445" s="132">
        <v>122</v>
      </c>
      <c r="U445" s="311"/>
      <c r="V445" s="132"/>
      <c r="W445" s="296"/>
      <c r="X445" s="296"/>
      <c r="Y445" s="511">
        <v>3632</v>
      </c>
    </row>
    <row r="446" spans="1:25" s="306" customFormat="1" ht="15.75" x14ac:dyDescent="0.25">
      <c r="A446" s="142"/>
      <c r="B446" s="144" t="s">
        <v>291</v>
      </c>
      <c r="C446" s="303">
        <v>1636</v>
      </c>
      <c r="D446" s="303">
        <v>1119</v>
      </c>
      <c r="E446" s="303"/>
      <c r="F446" s="303">
        <v>564</v>
      </c>
      <c r="G446" s="303">
        <v>93</v>
      </c>
      <c r="H446" s="119"/>
      <c r="I446" s="303">
        <v>3412</v>
      </c>
      <c r="J446" s="302"/>
      <c r="K446" s="303">
        <v>0</v>
      </c>
      <c r="L446" s="303">
        <v>0</v>
      </c>
      <c r="M446" s="119">
        <v>0</v>
      </c>
      <c r="N446" s="303">
        <v>0</v>
      </c>
      <c r="O446" s="302"/>
      <c r="P446" s="119"/>
      <c r="Q446" s="173"/>
      <c r="R446" s="119"/>
      <c r="S446" s="303">
        <v>132</v>
      </c>
      <c r="T446" s="117">
        <v>132</v>
      </c>
      <c r="U446" s="312"/>
      <c r="V446" s="117"/>
      <c r="W446" s="296"/>
      <c r="X446" s="296"/>
      <c r="Y446" s="306">
        <v>3544</v>
      </c>
    </row>
    <row r="447" spans="1:25" ht="15.75" x14ac:dyDescent="0.25">
      <c r="A447" s="142"/>
      <c r="B447" s="145" t="s">
        <v>292</v>
      </c>
      <c r="C447" s="305">
        <v>-1.0882708585247884E-2</v>
      </c>
      <c r="D447" s="305">
        <v>1.0840108401084011E-2</v>
      </c>
      <c r="E447" s="305">
        <v>0</v>
      </c>
      <c r="F447" s="305">
        <v>-0.1402439024390244</v>
      </c>
      <c r="G447" s="305">
        <v>0</v>
      </c>
      <c r="H447" s="122">
        <v>0</v>
      </c>
      <c r="I447" s="305">
        <v>-2.792022792022792E-2</v>
      </c>
      <c r="J447" s="304">
        <v>0</v>
      </c>
      <c r="K447" s="305">
        <v>0</v>
      </c>
      <c r="L447" s="305">
        <v>0</v>
      </c>
      <c r="M447" s="122">
        <v>0</v>
      </c>
      <c r="N447" s="305">
        <v>0</v>
      </c>
      <c r="O447" s="304">
        <v>0</v>
      </c>
      <c r="P447" s="122">
        <v>0</v>
      </c>
      <c r="Q447" s="253">
        <v>0</v>
      </c>
      <c r="R447" s="122">
        <v>0</v>
      </c>
      <c r="S447" s="305">
        <v>8.1967213114754092E-2</v>
      </c>
      <c r="T447" s="120">
        <v>8.1967213114754092E-2</v>
      </c>
      <c r="U447" s="313">
        <v>0</v>
      </c>
      <c r="V447" s="120">
        <v>0</v>
      </c>
      <c r="W447" s="296">
        <v>0</v>
      </c>
      <c r="X447" s="296">
        <v>0</v>
      </c>
      <c r="Y447" s="511">
        <v>-2.4229074889867842E-2</v>
      </c>
    </row>
    <row r="448" spans="1:25" ht="15.75" x14ac:dyDescent="0.25">
      <c r="A448" s="142"/>
      <c r="B448" s="143" t="s">
        <v>293</v>
      </c>
      <c r="C448" s="300">
        <v>279</v>
      </c>
      <c r="D448" s="300">
        <v>153</v>
      </c>
      <c r="E448" s="300"/>
      <c r="F448" s="300">
        <v>1</v>
      </c>
      <c r="G448" s="300">
        <v>0</v>
      </c>
      <c r="H448" s="134"/>
      <c r="I448" s="300">
        <v>433</v>
      </c>
      <c r="J448" s="299"/>
      <c r="K448" s="300">
        <v>0</v>
      </c>
      <c r="L448" s="300">
        <v>0</v>
      </c>
      <c r="M448" s="134">
        <v>0</v>
      </c>
      <c r="N448" s="300">
        <v>0</v>
      </c>
      <c r="O448" s="299"/>
      <c r="P448" s="134"/>
      <c r="Q448" s="301"/>
      <c r="R448" s="134"/>
      <c r="S448" s="300">
        <v>92</v>
      </c>
      <c r="T448" s="132">
        <v>92</v>
      </c>
      <c r="U448" s="311"/>
      <c r="V448" s="132"/>
      <c r="W448" s="296"/>
      <c r="X448" s="296"/>
      <c r="Y448" s="511">
        <v>525</v>
      </c>
    </row>
    <row r="449" spans="1:25" s="306" customFormat="1" ht="16.5" thickBot="1" x14ac:dyDescent="0.3">
      <c r="A449" s="142"/>
      <c r="B449" s="144" t="s">
        <v>294</v>
      </c>
      <c r="C449" s="303">
        <v>338</v>
      </c>
      <c r="D449" s="303">
        <v>144</v>
      </c>
      <c r="E449" s="303"/>
      <c r="F449" s="303">
        <v>2</v>
      </c>
      <c r="G449" s="303">
        <v>0</v>
      </c>
      <c r="H449" s="119"/>
      <c r="I449" s="303">
        <v>484</v>
      </c>
      <c r="J449" s="302"/>
      <c r="K449" s="303">
        <v>0</v>
      </c>
      <c r="L449" s="303">
        <v>0</v>
      </c>
      <c r="M449" s="119">
        <v>0</v>
      </c>
      <c r="N449" s="303">
        <v>0</v>
      </c>
      <c r="O449" s="302"/>
      <c r="P449" s="119"/>
      <c r="Q449" s="173"/>
      <c r="R449" s="119"/>
      <c r="S449" s="303">
        <v>80</v>
      </c>
      <c r="T449" s="117">
        <v>80</v>
      </c>
      <c r="U449" s="312"/>
      <c r="V449" s="117"/>
      <c r="W449" s="296"/>
      <c r="X449" s="296"/>
      <c r="Y449" s="306">
        <v>564</v>
      </c>
    </row>
    <row r="450" spans="1:25" ht="16.5" thickBot="1" x14ac:dyDescent="0.3">
      <c r="A450" s="142"/>
      <c r="B450" s="145" t="s">
        <v>295</v>
      </c>
      <c r="C450" s="724">
        <v>0.21146953405017921</v>
      </c>
      <c r="D450" s="305">
        <v>-5.8823529411764705E-2</v>
      </c>
      <c r="E450" s="305">
        <v>0</v>
      </c>
      <c r="F450" s="305">
        <v>1</v>
      </c>
      <c r="G450" s="305">
        <v>0</v>
      </c>
      <c r="H450" s="122">
        <v>0</v>
      </c>
      <c r="I450" s="305">
        <v>0.11778290993071594</v>
      </c>
      <c r="J450" s="304">
        <v>0</v>
      </c>
      <c r="K450" s="305">
        <v>0</v>
      </c>
      <c r="L450" s="305">
        <v>0</v>
      </c>
      <c r="M450" s="122">
        <v>0</v>
      </c>
      <c r="N450" s="305">
        <v>0</v>
      </c>
      <c r="O450" s="304">
        <v>0</v>
      </c>
      <c r="P450" s="122">
        <v>0</v>
      </c>
      <c r="Q450" s="253">
        <v>0</v>
      </c>
      <c r="R450" s="122">
        <v>0</v>
      </c>
      <c r="S450" s="724">
        <v>-0.13043478260869565</v>
      </c>
      <c r="T450" s="120">
        <v>-0.13043478260869565</v>
      </c>
      <c r="U450" s="313">
        <v>0</v>
      </c>
      <c r="V450" s="120">
        <v>0</v>
      </c>
      <c r="W450" s="296">
        <v>0</v>
      </c>
      <c r="X450" s="296">
        <v>0</v>
      </c>
      <c r="Y450" s="511">
        <v>7.4285714285714288E-2</v>
      </c>
    </row>
    <row r="451" spans="1:25" ht="15.75" x14ac:dyDescent="0.25">
      <c r="A451" s="142"/>
      <c r="B451" s="143" t="s">
        <v>296</v>
      </c>
      <c r="C451" s="300"/>
      <c r="D451" s="300">
        <v>150</v>
      </c>
      <c r="E451" s="300"/>
      <c r="F451" s="300"/>
      <c r="G451" s="300"/>
      <c r="H451" s="134"/>
      <c r="I451" s="300">
        <v>150</v>
      </c>
      <c r="J451" s="299"/>
      <c r="K451" s="300"/>
      <c r="L451" s="300"/>
      <c r="M451" s="134"/>
      <c r="N451" s="300"/>
      <c r="O451" s="299"/>
      <c r="P451" s="134"/>
      <c r="Q451" s="301"/>
      <c r="R451" s="134"/>
      <c r="S451" s="300"/>
      <c r="T451" s="132"/>
      <c r="U451" s="311"/>
      <c r="V451" s="132"/>
      <c r="W451" s="296"/>
      <c r="X451" s="296"/>
      <c r="Y451" s="511">
        <v>150</v>
      </c>
    </row>
    <row r="452" spans="1:25" s="306" customFormat="1" ht="15.75" x14ac:dyDescent="0.25">
      <c r="A452" s="142"/>
      <c r="B452" s="144" t="s">
        <v>297</v>
      </c>
      <c r="C452" s="303"/>
      <c r="D452" s="303">
        <v>164</v>
      </c>
      <c r="E452" s="303"/>
      <c r="F452" s="303"/>
      <c r="G452" s="303"/>
      <c r="H452" s="119"/>
      <c r="I452" s="303">
        <v>164</v>
      </c>
      <c r="J452" s="302"/>
      <c r="K452" s="303"/>
      <c r="L452" s="303"/>
      <c r="M452" s="119"/>
      <c r="N452" s="303"/>
      <c r="O452" s="302"/>
      <c r="P452" s="119"/>
      <c r="Q452" s="173"/>
      <c r="R452" s="119"/>
      <c r="S452" s="303"/>
      <c r="T452" s="117"/>
      <c r="U452" s="312"/>
      <c r="V452" s="117"/>
      <c r="W452" s="296"/>
      <c r="X452" s="296"/>
      <c r="Y452" s="306">
        <v>164</v>
      </c>
    </row>
    <row r="453" spans="1:25" ht="15.75" x14ac:dyDescent="0.25">
      <c r="A453" s="142"/>
      <c r="B453" s="145" t="s">
        <v>298</v>
      </c>
      <c r="C453" s="305">
        <v>0</v>
      </c>
      <c r="D453" s="305">
        <v>9.3333333333333338E-2</v>
      </c>
      <c r="E453" s="305">
        <v>0</v>
      </c>
      <c r="F453" s="305">
        <v>0</v>
      </c>
      <c r="G453" s="305">
        <v>0</v>
      </c>
      <c r="H453" s="122">
        <v>0</v>
      </c>
      <c r="I453" s="305">
        <v>9.3333333333333338E-2</v>
      </c>
      <c r="J453" s="304">
        <v>0</v>
      </c>
      <c r="K453" s="305">
        <v>0</v>
      </c>
      <c r="L453" s="305">
        <v>0</v>
      </c>
      <c r="M453" s="122">
        <v>0</v>
      </c>
      <c r="N453" s="305">
        <v>0</v>
      </c>
      <c r="O453" s="304">
        <v>0</v>
      </c>
      <c r="P453" s="122">
        <v>0</v>
      </c>
      <c r="Q453" s="253">
        <v>0</v>
      </c>
      <c r="R453" s="122">
        <v>0</v>
      </c>
      <c r="S453" s="305">
        <v>0</v>
      </c>
      <c r="T453" s="120">
        <v>0</v>
      </c>
      <c r="U453" s="313">
        <v>0</v>
      </c>
      <c r="V453" s="120">
        <v>0</v>
      </c>
      <c r="W453" s="296">
        <v>0</v>
      </c>
      <c r="X453" s="296">
        <v>0</v>
      </c>
      <c r="Y453" s="511">
        <v>9.3333333333333338E-2</v>
      </c>
    </row>
    <row r="454" spans="1:25" ht="15.75" x14ac:dyDescent="0.25">
      <c r="A454" s="142"/>
      <c r="B454" s="143" t="s">
        <v>299</v>
      </c>
      <c r="C454" s="300"/>
      <c r="D454" s="300"/>
      <c r="E454" s="300"/>
      <c r="F454" s="300"/>
      <c r="G454" s="300"/>
      <c r="H454" s="134"/>
      <c r="I454" s="300"/>
      <c r="J454" s="299"/>
      <c r="K454" s="300"/>
      <c r="L454" s="300"/>
      <c r="M454" s="134"/>
      <c r="N454" s="300"/>
      <c r="O454" s="299"/>
      <c r="P454" s="134"/>
      <c r="Q454" s="301"/>
      <c r="R454" s="134"/>
      <c r="S454" s="300">
        <v>120</v>
      </c>
      <c r="T454" s="132">
        <v>120</v>
      </c>
      <c r="U454" s="311"/>
      <c r="V454" s="132"/>
      <c r="W454" s="296"/>
      <c r="X454" s="296"/>
      <c r="Y454" s="511">
        <v>120</v>
      </c>
    </row>
    <row r="455" spans="1:25" s="306" customFormat="1" ht="15.75" x14ac:dyDescent="0.25">
      <c r="A455" s="142"/>
      <c r="B455" s="144" t="s">
        <v>300</v>
      </c>
      <c r="C455" s="303"/>
      <c r="D455" s="303"/>
      <c r="E455" s="303"/>
      <c r="F455" s="303"/>
      <c r="G455" s="303"/>
      <c r="H455" s="119"/>
      <c r="I455" s="303"/>
      <c r="J455" s="302"/>
      <c r="K455" s="303"/>
      <c r="L455" s="303"/>
      <c r="M455" s="119"/>
      <c r="N455" s="303"/>
      <c r="O455" s="302"/>
      <c r="P455" s="119"/>
      <c r="Q455" s="173"/>
      <c r="R455" s="119"/>
      <c r="S455" s="303">
        <v>106</v>
      </c>
      <c r="T455" s="117">
        <v>106</v>
      </c>
      <c r="U455" s="312"/>
      <c r="V455" s="117"/>
      <c r="W455" s="296"/>
      <c r="X455" s="296"/>
      <c r="Y455" s="306">
        <v>106</v>
      </c>
    </row>
    <row r="456" spans="1:25" ht="15.75" x14ac:dyDescent="0.25">
      <c r="A456" s="142"/>
      <c r="B456" s="145" t="s">
        <v>301</v>
      </c>
      <c r="C456" s="305">
        <v>0</v>
      </c>
      <c r="D456" s="305">
        <v>0</v>
      </c>
      <c r="E456" s="305">
        <v>0</v>
      </c>
      <c r="F456" s="305">
        <v>0</v>
      </c>
      <c r="G456" s="305">
        <v>0</v>
      </c>
      <c r="H456" s="122">
        <v>0</v>
      </c>
      <c r="I456" s="305">
        <v>0</v>
      </c>
      <c r="J456" s="304">
        <v>0</v>
      </c>
      <c r="K456" s="305">
        <v>0</v>
      </c>
      <c r="L456" s="305">
        <v>0</v>
      </c>
      <c r="M456" s="122">
        <v>0</v>
      </c>
      <c r="N456" s="305">
        <v>0</v>
      </c>
      <c r="O456" s="304">
        <v>0</v>
      </c>
      <c r="P456" s="122">
        <v>0</v>
      </c>
      <c r="Q456" s="253">
        <v>0</v>
      </c>
      <c r="R456" s="122">
        <v>0</v>
      </c>
      <c r="S456" s="305">
        <v>-0.11666666666666667</v>
      </c>
      <c r="T456" s="120">
        <v>-0.11666666666666667</v>
      </c>
      <c r="U456" s="313">
        <v>0</v>
      </c>
      <c r="V456" s="120">
        <v>0</v>
      </c>
      <c r="W456" s="296">
        <v>0</v>
      </c>
      <c r="X456" s="296">
        <v>0</v>
      </c>
      <c r="Y456" s="511">
        <v>-0.11666666666666667</v>
      </c>
    </row>
    <row r="457" spans="1:25" ht="15.75" x14ac:dyDescent="0.25">
      <c r="A457" s="142"/>
      <c r="B457" s="143" t="s">
        <v>302</v>
      </c>
      <c r="C457" s="300"/>
      <c r="D457" s="300"/>
      <c r="E457" s="300"/>
      <c r="F457" s="300"/>
      <c r="G457" s="300"/>
      <c r="H457" s="134"/>
      <c r="I457" s="300"/>
      <c r="J457" s="299"/>
      <c r="K457" s="300"/>
      <c r="L457" s="300"/>
      <c r="M457" s="134"/>
      <c r="N457" s="300"/>
      <c r="O457" s="299"/>
      <c r="P457" s="134"/>
      <c r="Q457" s="301"/>
      <c r="R457" s="134"/>
      <c r="S457" s="300">
        <v>41</v>
      </c>
      <c r="T457" s="132">
        <v>41</v>
      </c>
      <c r="U457" s="311"/>
      <c r="V457" s="132"/>
      <c r="W457" s="296"/>
      <c r="X457" s="296"/>
      <c r="Y457" s="511">
        <v>41</v>
      </c>
    </row>
    <row r="458" spans="1:25" s="306" customFormat="1" ht="15.75" x14ac:dyDescent="0.25">
      <c r="A458" s="142"/>
      <c r="B458" s="144" t="s">
        <v>303</v>
      </c>
      <c r="C458" s="303"/>
      <c r="D458" s="303"/>
      <c r="E458" s="303"/>
      <c r="F458" s="303"/>
      <c r="G458" s="303"/>
      <c r="H458" s="119"/>
      <c r="I458" s="303"/>
      <c r="J458" s="302"/>
      <c r="K458" s="303"/>
      <c r="L458" s="303"/>
      <c r="M458" s="119"/>
      <c r="N458" s="303"/>
      <c r="O458" s="302"/>
      <c r="P458" s="119"/>
      <c r="Q458" s="173"/>
      <c r="R458" s="119"/>
      <c r="S458" s="303">
        <v>36</v>
      </c>
      <c r="T458" s="117">
        <v>36</v>
      </c>
      <c r="U458" s="312"/>
      <c r="V458" s="117"/>
      <c r="W458" s="296"/>
      <c r="X458" s="296"/>
      <c r="Y458" s="306">
        <v>36</v>
      </c>
    </row>
    <row r="459" spans="1:25" ht="15.75" x14ac:dyDescent="0.25">
      <c r="A459" s="142"/>
      <c r="B459" s="145" t="s">
        <v>304</v>
      </c>
      <c r="C459" s="305">
        <v>0</v>
      </c>
      <c r="D459" s="305">
        <v>0</v>
      </c>
      <c r="E459" s="305">
        <v>0</v>
      </c>
      <c r="F459" s="305">
        <v>0</v>
      </c>
      <c r="G459" s="305">
        <v>0</v>
      </c>
      <c r="H459" s="122">
        <v>0</v>
      </c>
      <c r="I459" s="305">
        <v>0</v>
      </c>
      <c r="J459" s="304">
        <v>0</v>
      </c>
      <c r="K459" s="305">
        <v>0</v>
      </c>
      <c r="L459" s="305">
        <v>0</v>
      </c>
      <c r="M459" s="122">
        <v>0</v>
      </c>
      <c r="N459" s="305">
        <v>0</v>
      </c>
      <c r="O459" s="304">
        <v>0</v>
      </c>
      <c r="P459" s="122">
        <v>0</v>
      </c>
      <c r="Q459" s="253">
        <v>0</v>
      </c>
      <c r="R459" s="122">
        <v>0</v>
      </c>
      <c r="S459" s="305">
        <v>-0.12195121951219512</v>
      </c>
      <c r="T459" s="120">
        <v>-0.12195121951219512</v>
      </c>
      <c r="U459" s="313">
        <v>0</v>
      </c>
      <c r="V459" s="120">
        <v>0</v>
      </c>
      <c r="W459" s="296">
        <v>0</v>
      </c>
      <c r="X459" s="296">
        <v>0</v>
      </c>
      <c r="Y459" s="511">
        <v>-0.12195121951219512</v>
      </c>
    </row>
    <row r="460" spans="1:25" ht="15.75" x14ac:dyDescent="0.25">
      <c r="A460" s="142"/>
      <c r="B460" s="143" t="s">
        <v>305</v>
      </c>
      <c r="C460" s="300"/>
      <c r="D460" s="300">
        <v>98</v>
      </c>
      <c r="E460" s="300"/>
      <c r="F460" s="300"/>
      <c r="G460" s="300"/>
      <c r="H460" s="134"/>
      <c r="I460" s="300">
        <v>98</v>
      </c>
      <c r="J460" s="299"/>
      <c r="K460" s="300"/>
      <c r="L460" s="300"/>
      <c r="M460" s="134"/>
      <c r="N460" s="300"/>
      <c r="O460" s="299"/>
      <c r="P460" s="134"/>
      <c r="Q460" s="301"/>
      <c r="R460" s="134"/>
      <c r="S460" s="300"/>
      <c r="T460" s="132"/>
      <c r="U460" s="311"/>
      <c r="V460" s="132"/>
      <c r="W460" s="296"/>
      <c r="X460" s="296"/>
      <c r="Y460" s="511">
        <v>98</v>
      </c>
    </row>
    <row r="461" spans="1:25" s="306" customFormat="1" ht="15.75" x14ac:dyDescent="0.25">
      <c r="A461" s="142"/>
      <c r="B461" s="144" t="s">
        <v>306</v>
      </c>
      <c r="C461" s="303"/>
      <c r="D461" s="303">
        <v>105</v>
      </c>
      <c r="E461" s="303"/>
      <c r="F461" s="303"/>
      <c r="G461" s="303"/>
      <c r="H461" s="119"/>
      <c r="I461" s="303">
        <v>105</v>
      </c>
      <c r="J461" s="302"/>
      <c r="K461" s="303"/>
      <c r="L461" s="303"/>
      <c r="M461" s="119"/>
      <c r="N461" s="303"/>
      <c r="O461" s="302"/>
      <c r="P461" s="119"/>
      <c r="Q461" s="173"/>
      <c r="R461" s="119"/>
      <c r="S461" s="303"/>
      <c r="T461" s="117"/>
      <c r="U461" s="312"/>
      <c r="V461" s="117"/>
      <c r="W461" s="296"/>
      <c r="X461" s="296"/>
      <c r="Y461" s="306">
        <v>105</v>
      </c>
    </row>
    <row r="462" spans="1:25" ht="15.75" x14ac:dyDescent="0.25">
      <c r="A462" s="142"/>
      <c r="B462" s="145" t="s">
        <v>307</v>
      </c>
      <c r="C462" s="305">
        <v>0</v>
      </c>
      <c r="D462" s="305">
        <v>7.1428571428571425E-2</v>
      </c>
      <c r="E462" s="305">
        <v>0</v>
      </c>
      <c r="F462" s="305">
        <v>0</v>
      </c>
      <c r="G462" s="305">
        <v>0</v>
      </c>
      <c r="H462" s="122">
        <v>0</v>
      </c>
      <c r="I462" s="305">
        <v>7.1428571428571425E-2</v>
      </c>
      <c r="J462" s="304">
        <v>0</v>
      </c>
      <c r="K462" s="305">
        <v>0</v>
      </c>
      <c r="L462" s="305">
        <v>0</v>
      </c>
      <c r="M462" s="122">
        <v>0</v>
      </c>
      <c r="N462" s="305">
        <v>0</v>
      </c>
      <c r="O462" s="304">
        <v>0</v>
      </c>
      <c r="P462" s="122">
        <v>0</v>
      </c>
      <c r="Q462" s="253">
        <v>0</v>
      </c>
      <c r="R462" s="122">
        <v>0</v>
      </c>
      <c r="S462" s="305">
        <v>0</v>
      </c>
      <c r="T462" s="120">
        <v>0</v>
      </c>
      <c r="U462" s="313">
        <v>0</v>
      </c>
      <c r="V462" s="120">
        <v>0</v>
      </c>
      <c r="W462" s="296">
        <v>0</v>
      </c>
      <c r="X462" s="296">
        <v>0</v>
      </c>
      <c r="Y462" s="511">
        <v>7.1428571428571425E-2</v>
      </c>
    </row>
    <row r="463" spans="1:25" ht="15.75" x14ac:dyDescent="0.25">
      <c r="A463" s="142"/>
      <c r="B463" s="143" t="s">
        <v>308</v>
      </c>
      <c r="C463" s="300"/>
      <c r="D463" s="300"/>
      <c r="E463" s="300"/>
      <c r="F463" s="300"/>
      <c r="G463" s="300"/>
      <c r="H463" s="134"/>
      <c r="I463" s="300"/>
      <c r="J463" s="299"/>
      <c r="K463" s="300"/>
      <c r="L463" s="300"/>
      <c r="M463" s="134"/>
      <c r="N463" s="300"/>
      <c r="O463" s="299"/>
      <c r="P463" s="134"/>
      <c r="Q463" s="301"/>
      <c r="R463" s="134"/>
      <c r="S463" s="300"/>
      <c r="T463" s="132"/>
      <c r="U463" s="311"/>
      <c r="V463" s="132"/>
      <c r="W463" s="296"/>
      <c r="X463" s="296"/>
    </row>
    <row r="464" spans="1:25" s="306" customFormat="1" ht="15.75" x14ac:dyDescent="0.25">
      <c r="A464" s="142"/>
      <c r="B464" s="144" t="s">
        <v>309</v>
      </c>
      <c r="C464" s="303"/>
      <c r="D464" s="303"/>
      <c r="E464" s="303"/>
      <c r="F464" s="303"/>
      <c r="G464" s="303"/>
      <c r="H464" s="119"/>
      <c r="I464" s="303"/>
      <c r="J464" s="302"/>
      <c r="K464" s="303"/>
      <c r="L464" s="303"/>
      <c r="M464" s="119"/>
      <c r="N464" s="303"/>
      <c r="O464" s="302"/>
      <c r="P464" s="119"/>
      <c r="Q464" s="173"/>
      <c r="R464" s="119"/>
      <c r="S464" s="303"/>
      <c r="T464" s="117"/>
      <c r="U464" s="312"/>
      <c r="V464" s="117"/>
      <c r="W464" s="296"/>
      <c r="X464" s="296"/>
    </row>
    <row r="465" spans="1:25" ht="15.75" x14ac:dyDescent="0.25">
      <c r="A465" s="142"/>
      <c r="B465" s="145" t="s">
        <v>310</v>
      </c>
      <c r="C465" s="305">
        <v>0</v>
      </c>
      <c r="D465" s="305">
        <v>0</v>
      </c>
      <c r="E465" s="305">
        <v>0</v>
      </c>
      <c r="F465" s="305">
        <v>0</v>
      </c>
      <c r="G465" s="305">
        <v>0</v>
      </c>
      <c r="H465" s="122">
        <v>0</v>
      </c>
      <c r="I465" s="305">
        <v>0</v>
      </c>
      <c r="J465" s="304">
        <v>0</v>
      </c>
      <c r="K465" s="305">
        <v>0</v>
      </c>
      <c r="L465" s="305">
        <v>0</v>
      </c>
      <c r="M465" s="122">
        <v>0</v>
      </c>
      <c r="N465" s="305">
        <v>0</v>
      </c>
      <c r="O465" s="304">
        <v>0</v>
      </c>
      <c r="P465" s="122">
        <v>0</v>
      </c>
      <c r="Q465" s="253">
        <v>0</v>
      </c>
      <c r="R465" s="122">
        <v>0</v>
      </c>
      <c r="S465" s="305">
        <v>0</v>
      </c>
      <c r="T465" s="120">
        <v>0</v>
      </c>
      <c r="U465" s="313">
        <v>0</v>
      </c>
      <c r="V465" s="120">
        <v>0</v>
      </c>
      <c r="W465" s="296">
        <v>0</v>
      </c>
      <c r="X465" s="296">
        <v>0</v>
      </c>
      <c r="Y465" s="511">
        <v>0</v>
      </c>
    </row>
    <row r="466" spans="1:25" ht="15.75" x14ac:dyDescent="0.25">
      <c r="A466" s="142"/>
      <c r="B466" s="143" t="s">
        <v>311</v>
      </c>
      <c r="C466" s="300"/>
      <c r="D466" s="300"/>
      <c r="E466" s="300"/>
      <c r="F466" s="300"/>
      <c r="G466" s="300"/>
      <c r="H466" s="134"/>
      <c r="I466" s="300"/>
      <c r="J466" s="299"/>
      <c r="K466" s="300"/>
      <c r="L466" s="300"/>
      <c r="M466" s="134"/>
      <c r="N466" s="300"/>
      <c r="O466" s="299"/>
      <c r="P466" s="134"/>
      <c r="Q466" s="301"/>
      <c r="R466" s="134"/>
      <c r="S466" s="300"/>
      <c r="T466" s="132"/>
      <c r="U466" s="311"/>
      <c r="V466" s="132"/>
      <c r="W466" s="296"/>
      <c r="X466" s="296"/>
    </row>
    <row r="467" spans="1:25" s="306" customFormat="1" ht="15.75" x14ac:dyDescent="0.25">
      <c r="A467" s="142"/>
      <c r="B467" s="144" t="s">
        <v>312</v>
      </c>
      <c r="C467" s="303"/>
      <c r="D467" s="303"/>
      <c r="E467" s="303"/>
      <c r="F467" s="303"/>
      <c r="G467" s="303"/>
      <c r="H467" s="119"/>
      <c r="I467" s="303"/>
      <c r="J467" s="302"/>
      <c r="K467" s="303"/>
      <c r="L467" s="303"/>
      <c r="M467" s="119"/>
      <c r="N467" s="303"/>
      <c r="O467" s="302"/>
      <c r="P467" s="119"/>
      <c r="Q467" s="173"/>
      <c r="R467" s="119"/>
      <c r="S467" s="303"/>
      <c r="T467" s="117"/>
      <c r="U467" s="312"/>
      <c r="V467" s="117"/>
      <c r="W467" s="296"/>
      <c r="X467" s="296"/>
    </row>
    <row r="468" spans="1:25" ht="15.75" x14ac:dyDescent="0.25">
      <c r="A468" s="142"/>
      <c r="B468" s="145" t="s">
        <v>313</v>
      </c>
      <c r="C468" s="305">
        <v>0</v>
      </c>
      <c r="D468" s="305">
        <v>0</v>
      </c>
      <c r="E468" s="305">
        <v>0</v>
      </c>
      <c r="F468" s="305">
        <v>0</v>
      </c>
      <c r="G468" s="305">
        <v>0</v>
      </c>
      <c r="H468" s="122">
        <v>0</v>
      </c>
      <c r="I468" s="305">
        <v>0</v>
      </c>
      <c r="J468" s="304">
        <v>0</v>
      </c>
      <c r="K468" s="305">
        <v>0</v>
      </c>
      <c r="L468" s="305">
        <v>0</v>
      </c>
      <c r="M468" s="122">
        <v>0</v>
      </c>
      <c r="N468" s="305">
        <v>0</v>
      </c>
      <c r="O468" s="304">
        <v>0</v>
      </c>
      <c r="P468" s="122">
        <v>0</v>
      </c>
      <c r="Q468" s="253">
        <v>0</v>
      </c>
      <c r="R468" s="122">
        <v>0</v>
      </c>
      <c r="S468" s="305">
        <v>0</v>
      </c>
      <c r="T468" s="120">
        <v>0</v>
      </c>
      <c r="U468" s="313">
        <v>0</v>
      </c>
      <c r="V468" s="120">
        <v>0</v>
      </c>
      <c r="W468" s="296">
        <v>0</v>
      </c>
      <c r="X468" s="296">
        <v>0</v>
      </c>
      <c r="Y468" s="511">
        <v>0</v>
      </c>
    </row>
    <row r="469" spans="1:25" ht="15.75" x14ac:dyDescent="0.25">
      <c r="A469" s="142"/>
      <c r="B469" s="143" t="s">
        <v>314</v>
      </c>
      <c r="C469" s="300"/>
      <c r="D469" s="300"/>
      <c r="E469" s="300"/>
      <c r="F469" s="300"/>
      <c r="G469" s="300"/>
      <c r="H469" s="134"/>
      <c r="I469" s="300"/>
      <c r="J469" s="299"/>
      <c r="K469" s="300"/>
      <c r="L469" s="300"/>
      <c r="M469" s="134"/>
      <c r="N469" s="300"/>
      <c r="O469" s="299"/>
      <c r="P469" s="134"/>
      <c r="Q469" s="301"/>
      <c r="R469" s="134"/>
      <c r="S469" s="300"/>
      <c r="T469" s="132"/>
      <c r="U469" s="311"/>
      <c r="V469" s="132"/>
      <c r="W469" s="296"/>
      <c r="X469" s="296"/>
    </row>
    <row r="470" spans="1:25" s="306" customFormat="1" ht="15.75" x14ac:dyDescent="0.25">
      <c r="A470" s="142"/>
      <c r="B470" s="144" t="s">
        <v>315</v>
      </c>
      <c r="C470" s="303"/>
      <c r="D470" s="303"/>
      <c r="E470" s="303"/>
      <c r="F470" s="303"/>
      <c r="G470" s="303"/>
      <c r="H470" s="119"/>
      <c r="I470" s="303"/>
      <c r="J470" s="302"/>
      <c r="K470" s="303"/>
      <c r="L470" s="303"/>
      <c r="M470" s="119"/>
      <c r="N470" s="303"/>
      <c r="O470" s="302"/>
      <c r="P470" s="119"/>
      <c r="Q470" s="173"/>
      <c r="R470" s="119"/>
      <c r="S470" s="303"/>
      <c r="T470" s="117"/>
      <c r="U470" s="312"/>
      <c r="V470" s="117"/>
      <c r="W470" s="296"/>
      <c r="X470" s="296"/>
    </row>
    <row r="471" spans="1:25" ht="15.75" x14ac:dyDescent="0.25">
      <c r="A471" s="142"/>
      <c r="B471" s="145" t="s">
        <v>316</v>
      </c>
      <c r="C471" s="305">
        <v>0</v>
      </c>
      <c r="D471" s="305">
        <v>0</v>
      </c>
      <c r="E471" s="305">
        <v>0</v>
      </c>
      <c r="F471" s="305">
        <v>0</v>
      </c>
      <c r="G471" s="305">
        <v>0</v>
      </c>
      <c r="H471" s="122">
        <v>0</v>
      </c>
      <c r="I471" s="305">
        <v>0</v>
      </c>
      <c r="J471" s="304">
        <v>0</v>
      </c>
      <c r="K471" s="305">
        <v>0</v>
      </c>
      <c r="L471" s="305">
        <v>0</v>
      </c>
      <c r="M471" s="122">
        <v>0</v>
      </c>
      <c r="N471" s="305">
        <v>0</v>
      </c>
      <c r="O471" s="304">
        <v>0</v>
      </c>
      <c r="P471" s="122">
        <v>0</v>
      </c>
      <c r="Q471" s="253">
        <v>0</v>
      </c>
      <c r="R471" s="122">
        <v>0</v>
      </c>
      <c r="S471" s="305">
        <v>0</v>
      </c>
      <c r="T471" s="120">
        <v>0</v>
      </c>
      <c r="U471" s="313">
        <v>0</v>
      </c>
      <c r="V471" s="120">
        <v>0</v>
      </c>
      <c r="W471" s="296">
        <v>0</v>
      </c>
      <c r="X471" s="296">
        <v>0</v>
      </c>
      <c r="Y471" s="511">
        <v>0</v>
      </c>
    </row>
    <row r="472" spans="1:25" ht="15.75" x14ac:dyDescent="0.25">
      <c r="A472" s="142"/>
      <c r="B472" s="143" t="s">
        <v>317</v>
      </c>
      <c r="C472" s="300">
        <v>73</v>
      </c>
      <c r="D472" s="300"/>
      <c r="E472" s="300"/>
      <c r="F472" s="300"/>
      <c r="G472" s="300"/>
      <c r="H472" s="134"/>
      <c r="I472" s="300">
        <v>73</v>
      </c>
      <c r="J472" s="299"/>
      <c r="K472" s="300"/>
      <c r="L472" s="300"/>
      <c r="M472" s="134"/>
      <c r="N472" s="300"/>
      <c r="O472" s="299"/>
      <c r="P472" s="134"/>
      <c r="Q472" s="301"/>
      <c r="R472" s="134"/>
      <c r="S472" s="300"/>
      <c r="T472" s="132"/>
      <c r="U472" s="311"/>
      <c r="V472" s="132"/>
      <c r="W472" s="296"/>
      <c r="X472" s="296"/>
      <c r="Y472" s="511">
        <v>73</v>
      </c>
    </row>
    <row r="473" spans="1:25" s="306" customFormat="1" ht="15.75" x14ac:dyDescent="0.25">
      <c r="A473" s="142"/>
      <c r="B473" s="144" t="s">
        <v>318</v>
      </c>
      <c r="C473" s="303">
        <v>77</v>
      </c>
      <c r="D473" s="303"/>
      <c r="E473" s="303"/>
      <c r="F473" s="303"/>
      <c r="G473" s="303"/>
      <c r="H473" s="119"/>
      <c r="I473" s="303">
        <v>77</v>
      </c>
      <c r="J473" s="302"/>
      <c r="K473" s="303"/>
      <c r="L473" s="303"/>
      <c r="M473" s="119"/>
      <c r="N473" s="303"/>
      <c r="O473" s="302"/>
      <c r="P473" s="119"/>
      <c r="Q473" s="173"/>
      <c r="R473" s="119"/>
      <c r="S473" s="303"/>
      <c r="T473" s="117"/>
      <c r="U473" s="312"/>
      <c r="V473" s="117"/>
      <c r="W473" s="296"/>
      <c r="X473" s="296"/>
      <c r="Y473" s="306">
        <v>77</v>
      </c>
    </row>
    <row r="474" spans="1:25" ht="15.75" x14ac:dyDescent="0.25">
      <c r="A474" s="142"/>
      <c r="B474" s="145" t="s">
        <v>319</v>
      </c>
      <c r="C474" s="305">
        <v>5.4794520547945202E-2</v>
      </c>
      <c r="D474" s="305">
        <v>0</v>
      </c>
      <c r="E474" s="305">
        <v>0</v>
      </c>
      <c r="F474" s="305">
        <v>0</v>
      </c>
      <c r="G474" s="305">
        <v>0</v>
      </c>
      <c r="H474" s="122">
        <v>0</v>
      </c>
      <c r="I474" s="305">
        <v>5.4794520547945202E-2</v>
      </c>
      <c r="J474" s="304">
        <v>0</v>
      </c>
      <c r="K474" s="305">
        <v>0</v>
      </c>
      <c r="L474" s="305">
        <v>0</v>
      </c>
      <c r="M474" s="122">
        <v>0</v>
      </c>
      <c r="N474" s="305">
        <v>0</v>
      </c>
      <c r="O474" s="304">
        <v>0</v>
      </c>
      <c r="P474" s="122">
        <v>0</v>
      </c>
      <c r="Q474" s="253">
        <v>0</v>
      </c>
      <c r="R474" s="122">
        <v>0</v>
      </c>
      <c r="S474" s="305">
        <v>0</v>
      </c>
      <c r="T474" s="120">
        <v>0</v>
      </c>
      <c r="U474" s="313">
        <v>0</v>
      </c>
      <c r="V474" s="120">
        <v>0</v>
      </c>
      <c r="W474" s="296">
        <v>0</v>
      </c>
      <c r="X474" s="296">
        <v>0</v>
      </c>
      <c r="Y474" s="511">
        <v>5.4794520547945202E-2</v>
      </c>
    </row>
    <row r="475" spans="1:25" ht="15.75" x14ac:dyDescent="0.25">
      <c r="A475" s="142"/>
      <c r="B475" s="143" t="s">
        <v>320</v>
      </c>
      <c r="C475" s="300"/>
      <c r="D475" s="300"/>
      <c r="E475" s="300"/>
      <c r="F475" s="300"/>
      <c r="G475" s="300"/>
      <c r="H475" s="134"/>
      <c r="I475" s="300"/>
      <c r="J475" s="299"/>
      <c r="K475" s="300"/>
      <c r="L475" s="300"/>
      <c r="M475" s="134"/>
      <c r="N475" s="300"/>
      <c r="O475" s="299"/>
      <c r="P475" s="134"/>
      <c r="Q475" s="301"/>
      <c r="R475" s="134"/>
      <c r="S475" s="300"/>
      <c r="T475" s="132"/>
      <c r="U475" s="311"/>
      <c r="V475" s="132"/>
      <c r="W475" s="296"/>
      <c r="X475" s="296"/>
    </row>
    <row r="476" spans="1:25" s="306" customFormat="1" ht="15.75" x14ac:dyDescent="0.25">
      <c r="A476" s="142"/>
      <c r="B476" s="144" t="s">
        <v>321</v>
      </c>
      <c r="C476" s="303"/>
      <c r="D476" s="303"/>
      <c r="E476" s="303"/>
      <c r="F476" s="303"/>
      <c r="G476" s="303"/>
      <c r="H476" s="119"/>
      <c r="I476" s="303"/>
      <c r="J476" s="302"/>
      <c r="K476" s="303"/>
      <c r="L476" s="303"/>
      <c r="M476" s="119"/>
      <c r="N476" s="303"/>
      <c r="O476" s="302"/>
      <c r="P476" s="119"/>
      <c r="Q476" s="173"/>
      <c r="R476" s="119"/>
      <c r="S476" s="303"/>
      <c r="T476" s="117"/>
      <c r="U476" s="312"/>
      <c r="V476" s="117"/>
      <c r="W476" s="296"/>
      <c r="X476" s="296"/>
    </row>
    <row r="477" spans="1:25" ht="15.75" x14ac:dyDescent="0.25">
      <c r="A477" s="142"/>
      <c r="B477" s="145" t="s">
        <v>322</v>
      </c>
      <c r="C477" s="305">
        <v>0</v>
      </c>
      <c r="D477" s="305">
        <v>0</v>
      </c>
      <c r="E477" s="305">
        <v>0</v>
      </c>
      <c r="F477" s="305">
        <v>0</v>
      </c>
      <c r="G477" s="305">
        <v>0</v>
      </c>
      <c r="H477" s="122">
        <v>0</v>
      </c>
      <c r="I477" s="305">
        <v>0</v>
      </c>
      <c r="J477" s="304">
        <v>0</v>
      </c>
      <c r="K477" s="305">
        <v>0</v>
      </c>
      <c r="L477" s="305">
        <v>0</v>
      </c>
      <c r="M477" s="122">
        <v>0</v>
      </c>
      <c r="N477" s="305">
        <v>0</v>
      </c>
      <c r="O477" s="304">
        <v>0</v>
      </c>
      <c r="P477" s="122">
        <v>0</v>
      </c>
      <c r="Q477" s="253">
        <v>0</v>
      </c>
      <c r="R477" s="122">
        <v>0</v>
      </c>
      <c r="S477" s="305">
        <v>0</v>
      </c>
      <c r="T477" s="120">
        <v>0</v>
      </c>
      <c r="U477" s="313">
        <v>0</v>
      </c>
      <c r="V477" s="120">
        <v>0</v>
      </c>
      <c r="W477" s="296">
        <v>0</v>
      </c>
      <c r="X477" s="296">
        <v>0</v>
      </c>
      <c r="Y477" s="511">
        <v>0</v>
      </c>
    </row>
    <row r="478" spans="1:25" ht="15.75" x14ac:dyDescent="0.25">
      <c r="A478" s="142"/>
      <c r="B478" s="143" t="s">
        <v>404</v>
      </c>
      <c r="C478" s="300"/>
      <c r="D478" s="300"/>
      <c r="E478" s="300"/>
      <c r="F478" s="300"/>
      <c r="G478" s="300"/>
      <c r="H478" s="134"/>
      <c r="I478" s="300"/>
      <c r="J478" s="299"/>
      <c r="K478" s="300"/>
      <c r="L478" s="300"/>
      <c r="M478" s="134"/>
      <c r="N478" s="300"/>
      <c r="O478" s="299"/>
      <c r="P478" s="134"/>
      <c r="Q478" s="301"/>
      <c r="R478" s="134"/>
      <c r="S478" s="300"/>
      <c r="T478" s="132"/>
      <c r="U478" s="311"/>
      <c r="V478" s="132"/>
      <c r="W478" s="296"/>
      <c r="X478" s="296"/>
    </row>
    <row r="479" spans="1:25" s="306" customFormat="1" ht="15.75" x14ac:dyDescent="0.25">
      <c r="A479" s="142"/>
      <c r="B479" s="144" t="s">
        <v>406</v>
      </c>
      <c r="C479" s="303"/>
      <c r="D479" s="303"/>
      <c r="E479" s="303"/>
      <c r="F479" s="303"/>
      <c r="G479" s="303"/>
      <c r="H479" s="119"/>
      <c r="I479" s="303"/>
      <c r="J479" s="302"/>
      <c r="K479" s="303"/>
      <c r="L479" s="303"/>
      <c r="M479" s="119"/>
      <c r="N479" s="303"/>
      <c r="O479" s="302"/>
      <c r="P479" s="119"/>
      <c r="Q479" s="173"/>
      <c r="R479" s="119"/>
      <c r="S479" s="303"/>
      <c r="T479" s="117"/>
      <c r="U479" s="312"/>
      <c r="V479" s="117"/>
      <c r="W479" s="296"/>
      <c r="X479" s="296"/>
    </row>
    <row r="480" spans="1:25" ht="15.75" x14ac:dyDescent="0.25">
      <c r="A480" s="142"/>
      <c r="B480" s="145" t="s">
        <v>474</v>
      </c>
      <c r="C480" s="305">
        <v>0</v>
      </c>
      <c r="D480" s="305">
        <v>0</v>
      </c>
      <c r="E480" s="305">
        <v>0</v>
      </c>
      <c r="F480" s="305">
        <v>0</v>
      </c>
      <c r="G480" s="305">
        <v>0</v>
      </c>
      <c r="H480" s="122">
        <v>0</v>
      </c>
      <c r="I480" s="305">
        <v>0</v>
      </c>
      <c r="J480" s="304">
        <v>0</v>
      </c>
      <c r="K480" s="305">
        <v>0</v>
      </c>
      <c r="L480" s="305">
        <v>0</v>
      </c>
      <c r="M480" s="122">
        <v>0</v>
      </c>
      <c r="N480" s="305">
        <v>0</v>
      </c>
      <c r="O480" s="304">
        <v>0</v>
      </c>
      <c r="P480" s="122">
        <v>0</v>
      </c>
      <c r="Q480" s="253">
        <v>0</v>
      </c>
      <c r="R480" s="122">
        <v>0</v>
      </c>
      <c r="S480" s="305">
        <v>0</v>
      </c>
      <c r="T480" s="120">
        <v>0</v>
      </c>
      <c r="U480" s="313">
        <v>0</v>
      </c>
      <c r="V480" s="120">
        <v>0</v>
      </c>
      <c r="W480" s="296">
        <v>0</v>
      </c>
      <c r="X480" s="296">
        <v>0</v>
      </c>
      <c r="Y480" s="511">
        <v>0</v>
      </c>
    </row>
    <row r="481" spans="1:25" ht="15.75" x14ac:dyDescent="0.25">
      <c r="A481" s="142"/>
      <c r="B481" s="143" t="s">
        <v>476</v>
      </c>
      <c r="C481" s="300"/>
      <c r="D481" s="300"/>
      <c r="E481" s="300"/>
      <c r="F481" s="300"/>
      <c r="G481" s="300"/>
      <c r="H481" s="134"/>
      <c r="I481" s="300"/>
      <c r="J481" s="299"/>
      <c r="K481" s="300"/>
      <c r="L481" s="300"/>
      <c r="M481" s="134"/>
      <c r="N481" s="300"/>
      <c r="O481" s="299"/>
      <c r="P481" s="134"/>
      <c r="Q481" s="301"/>
      <c r="R481" s="134"/>
      <c r="S481" s="300"/>
      <c r="T481" s="132"/>
      <c r="U481" s="311"/>
      <c r="V481" s="132"/>
      <c r="W481" s="296"/>
      <c r="X481" s="296"/>
    </row>
    <row r="482" spans="1:25" s="306" customFormat="1" ht="15.75" x14ac:dyDescent="0.25">
      <c r="A482" s="294"/>
      <c r="B482" s="144" t="s">
        <v>472</v>
      </c>
      <c r="C482" s="303"/>
      <c r="D482" s="303"/>
      <c r="E482" s="303"/>
      <c r="F482" s="303"/>
      <c r="G482" s="303"/>
      <c r="H482" s="119"/>
      <c r="I482" s="303"/>
      <c r="J482" s="302"/>
      <c r="K482" s="303"/>
      <c r="L482" s="303"/>
      <c r="M482" s="119"/>
      <c r="N482" s="303"/>
      <c r="O482" s="302"/>
      <c r="P482" s="119"/>
      <c r="Q482" s="173"/>
      <c r="R482" s="119"/>
      <c r="S482" s="303"/>
      <c r="T482" s="117"/>
      <c r="U482" s="312"/>
      <c r="V482" s="117"/>
      <c r="W482" s="296"/>
      <c r="X482" s="296"/>
    </row>
    <row r="483" spans="1:25" ht="15.75" x14ac:dyDescent="0.25">
      <c r="A483" s="141" t="s">
        <v>264</v>
      </c>
      <c r="B483" s="143" t="s">
        <v>275</v>
      </c>
      <c r="C483" s="300">
        <v>4</v>
      </c>
      <c r="D483" s="300"/>
      <c r="E483" s="300"/>
      <c r="F483" s="300"/>
      <c r="G483" s="300"/>
      <c r="H483" s="134"/>
      <c r="I483" s="300">
        <v>4</v>
      </c>
      <c r="J483" s="299"/>
      <c r="K483" s="300">
        <v>3993</v>
      </c>
      <c r="L483" s="300">
        <v>6420</v>
      </c>
      <c r="M483" s="134">
        <v>3420</v>
      </c>
      <c r="N483" s="300">
        <v>13833</v>
      </c>
      <c r="O483" s="299"/>
      <c r="P483" s="134"/>
      <c r="Q483" s="301"/>
      <c r="R483" s="134"/>
      <c r="S483" s="300"/>
      <c r="T483" s="132"/>
      <c r="U483" s="311"/>
      <c r="V483" s="132"/>
      <c r="W483" s="296"/>
      <c r="X483" s="296"/>
      <c r="Y483" s="511">
        <v>13837</v>
      </c>
    </row>
    <row r="484" spans="1:25" ht="16.5" thickBot="1" x14ac:dyDescent="0.3">
      <c r="A484" s="142"/>
      <c r="B484" s="144" t="s">
        <v>276</v>
      </c>
      <c r="C484" s="303">
        <v>4</v>
      </c>
      <c r="D484" s="303"/>
      <c r="E484" s="303"/>
      <c r="F484" s="303"/>
      <c r="G484" s="303"/>
      <c r="H484" s="119"/>
      <c r="I484" s="303">
        <v>4</v>
      </c>
      <c r="J484" s="302"/>
      <c r="K484" s="303">
        <v>4113</v>
      </c>
      <c r="L484" s="303">
        <v>5915</v>
      </c>
      <c r="M484" s="119">
        <v>2542</v>
      </c>
      <c r="N484" s="303">
        <v>12570</v>
      </c>
      <c r="O484" s="302"/>
      <c r="P484" s="119"/>
      <c r="Q484" s="173"/>
      <c r="R484" s="119"/>
      <c r="S484" s="303"/>
      <c r="T484" s="117"/>
      <c r="U484" s="312"/>
      <c r="V484" s="117"/>
      <c r="W484" s="296"/>
      <c r="X484" s="296"/>
      <c r="Y484" s="511">
        <v>12574</v>
      </c>
    </row>
    <row r="485" spans="1:25" s="306" customFormat="1" ht="16.5" thickBot="1" x14ac:dyDescent="0.3">
      <c r="A485" s="142"/>
      <c r="B485" s="145" t="s">
        <v>277</v>
      </c>
      <c r="C485" s="305">
        <v>0</v>
      </c>
      <c r="D485" s="305">
        <v>0</v>
      </c>
      <c r="E485" s="305">
        <v>0</v>
      </c>
      <c r="F485" s="305">
        <v>0</v>
      </c>
      <c r="G485" s="305">
        <v>0</v>
      </c>
      <c r="H485" s="122">
        <v>0</v>
      </c>
      <c r="I485" s="305">
        <v>0</v>
      </c>
      <c r="J485" s="304">
        <v>0</v>
      </c>
      <c r="K485" s="305">
        <v>3.005259203606311E-2</v>
      </c>
      <c r="L485" s="305">
        <v>-7.8660436137071646E-2</v>
      </c>
      <c r="M485" s="724">
        <v>-0.25672514619883041</v>
      </c>
      <c r="N485" s="305">
        <v>-9.1303404901322924E-2</v>
      </c>
      <c r="O485" s="304">
        <v>0</v>
      </c>
      <c r="P485" s="122">
        <v>0</v>
      </c>
      <c r="Q485" s="253">
        <v>0</v>
      </c>
      <c r="R485" s="122">
        <v>0</v>
      </c>
      <c r="S485" s="305">
        <v>0</v>
      </c>
      <c r="T485" s="120">
        <v>0</v>
      </c>
      <c r="U485" s="313">
        <v>0</v>
      </c>
      <c r="V485" s="120">
        <v>0</v>
      </c>
      <c r="W485" s="296">
        <v>0</v>
      </c>
      <c r="X485" s="296">
        <v>0</v>
      </c>
      <c r="Y485" s="306">
        <v>-9.1277010912770115E-2</v>
      </c>
    </row>
    <row r="486" spans="1:25" ht="15.75" x14ac:dyDescent="0.25">
      <c r="A486" s="142"/>
      <c r="B486" s="143" t="s">
        <v>278</v>
      </c>
      <c r="C486" s="300"/>
      <c r="D486" s="300"/>
      <c r="E486" s="300"/>
      <c r="F486" s="300"/>
      <c r="G486" s="300"/>
      <c r="H486" s="134"/>
      <c r="I486" s="300"/>
      <c r="J486" s="299"/>
      <c r="K486" s="300"/>
      <c r="L486" s="300"/>
      <c r="M486" s="134">
        <v>3420</v>
      </c>
      <c r="N486" s="300">
        <v>3420</v>
      </c>
      <c r="O486" s="299"/>
      <c r="P486" s="134"/>
      <c r="Q486" s="301"/>
      <c r="R486" s="134"/>
      <c r="S486" s="300">
        <v>8</v>
      </c>
      <c r="T486" s="132">
        <v>8</v>
      </c>
      <c r="U486" s="311"/>
      <c r="V486" s="132"/>
      <c r="W486" s="296"/>
      <c r="X486" s="296"/>
      <c r="Y486" s="511">
        <v>3428</v>
      </c>
    </row>
    <row r="487" spans="1:25" ht="15.75" x14ac:dyDescent="0.25">
      <c r="A487" s="142"/>
      <c r="B487" s="144" t="s">
        <v>279</v>
      </c>
      <c r="C487" s="303"/>
      <c r="D487" s="303"/>
      <c r="E487" s="303"/>
      <c r="F487" s="303"/>
      <c r="G487" s="303"/>
      <c r="H487" s="119"/>
      <c r="I487" s="303"/>
      <c r="J487" s="302"/>
      <c r="K487" s="303"/>
      <c r="L487" s="303"/>
      <c r="M487" s="119">
        <v>2542</v>
      </c>
      <c r="N487" s="303">
        <v>2542</v>
      </c>
      <c r="O487" s="302"/>
      <c r="P487" s="119"/>
      <c r="Q487" s="173"/>
      <c r="R487" s="119"/>
      <c r="S487" s="303">
        <v>7</v>
      </c>
      <c r="T487" s="117">
        <v>7</v>
      </c>
      <c r="U487" s="312"/>
      <c r="V487" s="117"/>
      <c r="W487" s="296"/>
      <c r="X487" s="296"/>
      <c r="Y487" s="511">
        <v>2549</v>
      </c>
    </row>
    <row r="488" spans="1:25" s="306" customFormat="1" ht="15.75" x14ac:dyDescent="0.25">
      <c r="A488" s="142"/>
      <c r="B488" s="145" t="s">
        <v>280</v>
      </c>
      <c r="C488" s="305">
        <v>0</v>
      </c>
      <c r="D488" s="305">
        <v>0</v>
      </c>
      <c r="E488" s="305">
        <v>0</v>
      </c>
      <c r="F488" s="305">
        <v>0</v>
      </c>
      <c r="G488" s="305">
        <v>0</v>
      </c>
      <c r="H488" s="122">
        <v>0</v>
      </c>
      <c r="I488" s="305">
        <v>0</v>
      </c>
      <c r="J488" s="304">
        <v>0</v>
      </c>
      <c r="K488" s="305">
        <v>0</v>
      </c>
      <c r="L488" s="305">
        <v>0</v>
      </c>
      <c r="M488" s="122">
        <v>-0.25672514619883041</v>
      </c>
      <c r="N488" s="305">
        <v>-0.25672514619883041</v>
      </c>
      <c r="O488" s="304">
        <v>0</v>
      </c>
      <c r="P488" s="122">
        <v>0</v>
      </c>
      <c r="Q488" s="253">
        <v>0</v>
      </c>
      <c r="R488" s="122">
        <v>0</v>
      </c>
      <c r="S488" s="305">
        <v>-0.125</v>
      </c>
      <c r="T488" s="120">
        <v>-0.125</v>
      </c>
      <c r="U488" s="313">
        <v>0</v>
      </c>
      <c r="V488" s="120">
        <v>0</v>
      </c>
      <c r="W488" s="296">
        <v>0</v>
      </c>
      <c r="X488" s="296">
        <v>0</v>
      </c>
      <c r="Y488" s="306">
        <v>-0.25641773628938158</v>
      </c>
    </row>
    <row r="489" spans="1:25" ht="15.75" x14ac:dyDescent="0.25">
      <c r="A489" s="142"/>
      <c r="B489" s="143" t="s">
        <v>281</v>
      </c>
      <c r="C489" s="300">
        <v>127</v>
      </c>
      <c r="D489" s="300"/>
      <c r="E489" s="300"/>
      <c r="F489" s="300"/>
      <c r="G489" s="300"/>
      <c r="H489" s="134"/>
      <c r="I489" s="300">
        <v>127</v>
      </c>
      <c r="J489" s="299"/>
      <c r="K489" s="300">
        <v>10032</v>
      </c>
      <c r="L489" s="300">
        <v>9154</v>
      </c>
      <c r="M489" s="134">
        <v>3467</v>
      </c>
      <c r="N489" s="300">
        <v>22653</v>
      </c>
      <c r="O489" s="299"/>
      <c r="P489" s="134"/>
      <c r="Q489" s="301"/>
      <c r="R489" s="134"/>
      <c r="S489" s="300"/>
      <c r="T489" s="132"/>
      <c r="U489" s="311"/>
      <c r="V489" s="132"/>
      <c r="W489" s="296"/>
      <c r="X489" s="296"/>
      <c r="Y489" s="511">
        <v>22780</v>
      </c>
    </row>
    <row r="490" spans="1:25" ht="15.75" x14ac:dyDescent="0.25">
      <c r="A490" s="142"/>
      <c r="B490" s="144" t="s">
        <v>282</v>
      </c>
      <c r="C490" s="303">
        <v>154</v>
      </c>
      <c r="D490" s="303"/>
      <c r="E490" s="303"/>
      <c r="F490" s="303"/>
      <c r="G490" s="303"/>
      <c r="H490" s="119"/>
      <c r="I490" s="303">
        <v>154</v>
      </c>
      <c r="J490" s="302"/>
      <c r="K490" s="303">
        <v>9818</v>
      </c>
      <c r="L490" s="303">
        <v>9919</v>
      </c>
      <c r="M490" s="119">
        <v>3846</v>
      </c>
      <c r="N490" s="303">
        <v>23583</v>
      </c>
      <c r="O490" s="302"/>
      <c r="P490" s="119"/>
      <c r="Q490" s="173"/>
      <c r="R490" s="119"/>
      <c r="S490" s="303"/>
      <c r="T490" s="117"/>
      <c r="U490" s="312"/>
      <c r="V490" s="117"/>
      <c r="W490" s="296"/>
      <c r="X490" s="296"/>
      <c r="Y490" s="511">
        <v>23737</v>
      </c>
    </row>
    <row r="491" spans="1:25" s="306" customFormat="1" ht="15.75" x14ac:dyDescent="0.25">
      <c r="A491" s="142"/>
      <c r="B491" s="145" t="s">
        <v>283</v>
      </c>
      <c r="C491" s="305">
        <v>0.2125984251968504</v>
      </c>
      <c r="D491" s="305">
        <v>0</v>
      </c>
      <c r="E491" s="305">
        <v>0</v>
      </c>
      <c r="F491" s="305">
        <v>0</v>
      </c>
      <c r="G491" s="305">
        <v>0</v>
      </c>
      <c r="H491" s="122">
        <v>0</v>
      </c>
      <c r="I491" s="305">
        <v>0.2125984251968504</v>
      </c>
      <c r="J491" s="304">
        <v>0</v>
      </c>
      <c r="K491" s="305">
        <v>-2.1331738437001594E-2</v>
      </c>
      <c r="L491" s="305">
        <v>8.3570024033209525E-2</v>
      </c>
      <c r="M491" s="122">
        <v>0.10931641188347274</v>
      </c>
      <c r="N491" s="305">
        <v>4.1054165011256784E-2</v>
      </c>
      <c r="O491" s="304">
        <v>0</v>
      </c>
      <c r="P491" s="122">
        <v>0</v>
      </c>
      <c r="Q491" s="253">
        <v>0</v>
      </c>
      <c r="R491" s="122">
        <v>0</v>
      </c>
      <c r="S491" s="305">
        <v>0</v>
      </c>
      <c r="T491" s="120">
        <v>0</v>
      </c>
      <c r="U491" s="313">
        <v>0</v>
      </c>
      <c r="V491" s="120">
        <v>0</v>
      </c>
      <c r="W491" s="296">
        <v>0</v>
      </c>
      <c r="X491" s="296">
        <v>0</v>
      </c>
      <c r="Y491" s="306">
        <v>4.2010535557506584E-2</v>
      </c>
    </row>
    <row r="492" spans="1:25" ht="15.75" x14ac:dyDescent="0.25">
      <c r="A492" s="142"/>
      <c r="B492" s="143" t="s">
        <v>284</v>
      </c>
      <c r="C492" s="300">
        <v>12598</v>
      </c>
      <c r="D492" s="300">
        <v>7650</v>
      </c>
      <c r="E492" s="300">
        <v>9510</v>
      </c>
      <c r="F492" s="300">
        <v>902</v>
      </c>
      <c r="G492" s="300">
        <v>2070</v>
      </c>
      <c r="H492" s="134">
        <v>1171</v>
      </c>
      <c r="I492" s="300">
        <v>33901</v>
      </c>
      <c r="J492" s="299"/>
      <c r="K492" s="300"/>
      <c r="L492" s="300"/>
      <c r="M492" s="134"/>
      <c r="N492" s="300"/>
      <c r="O492" s="299"/>
      <c r="P492" s="134"/>
      <c r="Q492" s="301"/>
      <c r="R492" s="134"/>
      <c r="S492" s="300">
        <v>154</v>
      </c>
      <c r="T492" s="132">
        <v>154</v>
      </c>
      <c r="U492" s="311"/>
      <c r="V492" s="132"/>
      <c r="W492" s="296"/>
      <c r="X492" s="296"/>
      <c r="Y492" s="511">
        <v>34055</v>
      </c>
    </row>
    <row r="493" spans="1:25" ht="15.75" x14ac:dyDescent="0.25">
      <c r="A493" s="142"/>
      <c r="B493" s="144" t="s">
        <v>285</v>
      </c>
      <c r="C493" s="303">
        <v>12867</v>
      </c>
      <c r="D493" s="303">
        <v>8138</v>
      </c>
      <c r="E493" s="303">
        <v>10129</v>
      </c>
      <c r="F493" s="303">
        <v>991</v>
      </c>
      <c r="G493" s="303">
        <v>2200</v>
      </c>
      <c r="H493" s="119">
        <v>1119</v>
      </c>
      <c r="I493" s="303">
        <v>35444</v>
      </c>
      <c r="J493" s="302"/>
      <c r="K493" s="303"/>
      <c r="L493" s="303"/>
      <c r="M493" s="119"/>
      <c r="N493" s="303"/>
      <c r="O493" s="302"/>
      <c r="P493" s="119"/>
      <c r="Q493" s="173"/>
      <c r="R493" s="119"/>
      <c r="S493" s="303">
        <v>145</v>
      </c>
      <c r="T493" s="117">
        <v>145</v>
      </c>
      <c r="U493" s="312"/>
      <c r="V493" s="117"/>
      <c r="W493" s="296"/>
      <c r="X493" s="296"/>
      <c r="Y493" s="511">
        <v>35589</v>
      </c>
    </row>
    <row r="494" spans="1:25" s="306" customFormat="1" ht="15.75" x14ac:dyDescent="0.25">
      <c r="A494" s="142"/>
      <c r="B494" s="145" t="s">
        <v>286</v>
      </c>
      <c r="C494" s="305">
        <v>2.1352595650103192E-2</v>
      </c>
      <c r="D494" s="305">
        <v>6.3790849673202615E-2</v>
      </c>
      <c r="E494" s="305">
        <v>6.5089379600420605E-2</v>
      </c>
      <c r="F494" s="305">
        <v>9.8669623059866957E-2</v>
      </c>
      <c r="G494" s="305">
        <v>6.280193236714976E-2</v>
      </c>
      <c r="H494" s="122">
        <v>-4.4406490179333902E-2</v>
      </c>
      <c r="I494" s="305">
        <v>4.5514881566915431E-2</v>
      </c>
      <c r="J494" s="304">
        <v>0</v>
      </c>
      <c r="K494" s="305">
        <v>0</v>
      </c>
      <c r="L494" s="305">
        <v>0</v>
      </c>
      <c r="M494" s="122">
        <v>0</v>
      </c>
      <c r="N494" s="305">
        <v>0</v>
      </c>
      <c r="O494" s="304">
        <v>0</v>
      </c>
      <c r="P494" s="122">
        <v>0</v>
      </c>
      <c r="Q494" s="253">
        <v>0</v>
      </c>
      <c r="R494" s="122">
        <v>0</v>
      </c>
      <c r="S494" s="305">
        <v>-5.844155844155844E-2</v>
      </c>
      <c r="T494" s="120">
        <v>-5.844155844155844E-2</v>
      </c>
      <c r="U494" s="313">
        <v>0</v>
      </c>
      <c r="V494" s="120">
        <v>0</v>
      </c>
      <c r="W494" s="296">
        <v>0</v>
      </c>
      <c r="X494" s="296">
        <v>0</v>
      </c>
      <c r="Y494" s="306">
        <v>4.5044780502128907E-2</v>
      </c>
    </row>
    <row r="495" spans="1:25" ht="15.75" x14ac:dyDescent="0.25">
      <c r="A495" s="142"/>
      <c r="B495" s="143" t="s">
        <v>287</v>
      </c>
      <c r="C495" s="300">
        <v>33</v>
      </c>
      <c r="D495" s="300">
        <v>341</v>
      </c>
      <c r="E495" s="300">
        <v>33</v>
      </c>
      <c r="F495" s="300">
        <v>0</v>
      </c>
      <c r="G495" s="300">
        <v>0</v>
      </c>
      <c r="H495" s="134">
        <v>0</v>
      </c>
      <c r="I495" s="300">
        <v>407</v>
      </c>
      <c r="J495" s="299"/>
      <c r="K495" s="300"/>
      <c r="L495" s="300"/>
      <c r="M495" s="134"/>
      <c r="N495" s="300"/>
      <c r="O495" s="299"/>
      <c r="P495" s="134"/>
      <c r="Q495" s="301"/>
      <c r="R495" s="134"/>
      <c r="S495" s="300">
        <v>0</v>
      </c>
      <c r="T495" s="132">
        <v>0</v>
      </c>
      <c r="U495" s="311"/>
      <c r="V495" s="132"/>
      <c r="W495" s="296"/>
      <c r="X495" s="296"/>
      <c r="Y495" s="511">
        <v>407</v>
      </c>
    </row>
    <row r="496" spans="1:25" ht="16.5" thickBot="1" x14ac:dyDescent="0.3">
      <c r="A496" s="142"/>
      <c r="B496" s="144" t="s">
        <v>288</v>
      </c>
      <c r="C496" s="303">
        <v>15</v>
      </c>
      <c r="D496" s="303">
        <v>285</v>
      </c>
      <c r="E496" s="303">
        <v>26</v>
      </c>
      <c r="F496" s="303"/>
      <c r="G496" s="303"/>
      <c r="H496" s="119"/>
      <c r="I496" s="303">
        <v>326</v>
      </c>
      <c r="J496" s="302"/>
      <c r="K496" s="303"/>
      <c r="L496" s="303"/>
      <c r="M496" s="119"/>
      <c r="N496" s="303"/>
      <c r="O496" s="302"/>
      <c r="P496" s="119"/>
      <c r="Q496" s="173"/>
      <c r="R496" s="119"/>
      <c r="S496" s="303"/>
      <c r="T496" s="117"/>
      <c r="U496" s="312"/>
      <c r="V496" s="117"/>
      <c r="W496" s="296"/>
      <c r="X496" s="296"/>
      <c r="Y496" s="511">
        <v>326</v>
      </c>
    </row>
    <row r="497" spans="1:25" s="306" customFormat="1" ht="16.5" thickBot="1" x14ac:dyDescent="0.3">
      <c r="A497" s="142"/>
      <c r="B497" s="145" t="s">
        <v>289</v>
      </c>
      <c r="C497" s="724">
        <v>-0.54545454545454541</v>
      </c>
      <c r="D497" s="305">
        <v>-0.16422287390029325</v>
      </c>
      <c r="E497" s="305">
        <v>-0.21212121212121213</v>
      </c>
      <c r="F497" s="305">
        <v>0</v>
      </c>
      <c r="G497" s="305">
        <v>0</v>
      </c>
      <c r="H497" s="122">
        <v>0</v>
      </c>
      <c r="I497" s="305">
        <v>-0.19901719901719903</v>
      </c>
      <c r="J497" s="304">
        <v>0</v>
      </c>
      <c r="K497" s="305">
        <v>0</v>
      </c>
      <c r="L497" s="305">
        <v>0</v>
      </c>
      <c r="M497" s="122">
        <v>0</v>
      </c>
      <c r="N497" s="305">
        <v>0</v>
      </c>
      <c r="O497" s="304">
        <v>0</v>
      </c>
      <c r="P497" s="122">
        <v>0</v>
      </c>
      <c r="Q497" s="253">
        <v>0</v>
      </c>
      <c r="R497" s="122">
        <v>0</v>
      </c>
      <c r="S497" s="305">
        <v>0</v>
      </c>
      <c r="T497" s="120">
        <v>0</v>
      </c>
      <c r="U497" s="313">
        <v>0</v>
      </c>
      <c r="V497" s="120">
        <v>0</v>
      </c>
      <c r="W497" s="296">
        <v>0</v>
      </c>
      <c r="X497" s="296">
        <v>0</v>
      </c>
      <c r="Y497" s="306">
        <v>-0.19901719901719903</v>
      </c>
    </row>
    <row r="498" spans="1:25" ht="15.75" x14ac:dyDescent="0.25">
      <c r="A498" s="142"/>
      <c r="B498" s="143" t="s">
        <v>290</v>
      </c>
      <c r="C498" s="300">
        <v>4983</v>
      </c>
      <c r="D498" s="300">
        <v>2931</v>
      </c>
      <c r="E498" s="300">
        <v>2814</v>
      </c>
      <c r="F498" s="300">
        <v>117</v>
      </c>
      <c r="G498" s="300">
        <v>401</v>
      </c>
      <c r="H498" s="134">
        <v>30</v>
      </c>
      <c r="I498" s="300">
        <v>11276</v>
      </c>
      <c r="J498" s="299"/>
      <c r="K498" s="300">
        <v>0</v>
      </c>
      <c r="L498" s="300">
        <v>0</v>
      </c>
      <c r="M498" s="134">
        <v>0</v>
      </c>
      <c r="N498" s="300">
        <v>0</v>
      </c>
      <c r="O498" s="299"/>
      <c r="P498" s="134"/>
      <c r="Q498" s="301"/>
      <c r="R498" s="134"/>
      <c r="S498" s="300">
        <v>50</v>
      </c>
      <c r="T498" s="132">
        <v>50</v>
      </c>
      <c r="U498" s="311"/>
      <c r="V498" s="132"/>
      <c r="W498" s="296"/>
      <c r="X498" s="296"/>
      <c r="Y498" s="511">
        <v>11326</v>
      </c>
    </row>
    <row r="499" spans="1:25" ht="16.5" thickBot="1" x14ac:dyDescent="0.3">
      <c r="A499" s="142"/>
      <c r="B499" s="144" t="s">
        <v>291</v>
      </c>
      <c r="C499" s="303">
        <v>5330</v>
      </c>
      <c r="D499" s="303">
        <v>2929</v>
      </c>
      <c r="E499" s="303">
        <v>2691</v>
      </c>
      <c r="F499" s="303">
        <v>159</v>
      </c>
      <c r="G499" s="303">
        <v>391</v>
      </c>
      <c r="H499" s="119">
        <v>33</v>
      </c>
      <c r="I499" s="303">
        <v>11533</v>
      </c>
      <c r="J499" s="302"/>
      <c r="K499" s="303">
        <v>0</v>
      </c>
      <c r="L499" s="303">
        <v>0</v>
      </c>
      <c r="M499" s="119">
        <v>0</v>
      </c>
      <c r="N499" s="303">
        <v>0</v>
      </c>
      <c r="O499" s="302"/>
      <c r="P499" s="119"/>
      <c r="Q499" s="173"/>
      <c r="R499" s="119"/>
      <c r="S499" s="303">
        <v>43</v>
      </c>
      <c r="T499" s="117">
        <v>43</v>
      </c>
      <c r="U499" s="312"/>
      <c r="V499" s="117"/>
      <c r="W499" s="296"/>
      <c r="X499" s="296"/>
      <c r="Y499" s="511">
        <v>11576</v>
      </c>
    </row>
    <row r="500" spans="1:25" s="306" customFormat="1" ht="16.5" thickBot="1" x14ac:dyDescent="0.3">
      <c r="A500" s="142"/>
      <c r="B500" s="145" t="s">
        <v>292</v>
      </c>
      <c r="C500" s="305">
        <v>6.9636765001003409E-2</v>
      </c>
      <c r="D500" s="305">
        <v>-6.8236096895257596E-4</v>
      </c>
      <c r="E500" s="305">
        <v>-4.3710021321961619E-2</v>
      </c>
      <c r="F500" s="724">
        <v>0.35897435897435898</v>
      </c>
      <c r="G500" s="305">
        <v>-2.4937655860349128E-2</v>
      </c>
      <c r="H500" s="122">
        <v>0.1</v>
      </c>
      <c r="I500" s="305">
        <v>2.2791770131252217E-2</v>
      </c>
      <c r="J500" s="304">
        <v>0</v>
      </c>
      <c r="K500" s="305">
        <v>0</v>
      </c>
      <c r="L500" s="305">
        <v>0</v>
      </c>
      <c r="M500" s="122">
        <v>0</v>
      </c>
      <c r="N500" s="305">
        <v>0</v>
      </c>
      <c r="O500" s="304">
        <v>0</v>
      </c>
      <c r="P500" s="122">
        <v>0</v>
      </c>
      <c r="Q500" s="253">
        <v>0</v>
      </c>
      <c r="R500" s="122">
        <v>0</v>
      </c>
      <c r="S500" s="305">
        <v>-0.14000000000000001</v>
      </c>
      <c r="T500" s="120">
        <v>-0.14000000000000001</v>
      </c>
      <c r="U500" s="313">
        <v>0</v>
      </c>
      <c r="V500" s="120">
        <v>0</v>
      </c>
      <c r="W500" s="296">
        <v>0</v>
      </c>
      <c r="X500" s="296">
        <v>0</v>
      </c>
      <c r="Y500" s="306">
        <v>2.207310612749426E-2</v>
      </c>
    </row>
    <row r="501" spans="1:25" ht="15.75" x14ac:dyDescent="0.25">
      <c r="A501" s="142"/>
      <c r="B501" s="143" t="s">
        <v>293</v>
      </c>
      <c r="C501" s="300">
        <v>1031</v>
      </c>
      <c r="D501" s="300">
        <v>135</v>
      </c>
      <c r="E501" s="300">
        <v>65</v>
      </c>
      <c r="F501" s="300">
        <v>6</v>
      </c>
      <c r="G501" s="300">
        <v>0</v>
      </c>
      <c r="H501" s="134">
        <v>0</v>
      </c>
      <c r="I501" s="300">
        <v>1237</v>
      </c>
      <c r="J501" s="299"/>
      <c r="K501" s="300">
        <v>0</v>
      </c>
      <c r="L501" s="300">
        <v>0</v>
      </c>
      <c r="M501" s="134">
        <v>0</v>
      </c>
      <c r="N501" s="300">
        <v>0</v>
      </c>
      <c r="O501" s="299"/>
      <c r="P501" s="134"/>
      <c r="Q501" s="301"/>
      <c r="R501" s="134"/>
      <c r="S501" s="300">
        <v>0</v>
      </c>
      <c r="T501" s="132">
        <v>0</v>
      </c>
      <c r="U501" s="311"/>
      <c r="V501" s="132"/>
      <c r="W501" s="296"/>
      <c r="X501" s="296"/>
      <c r="Y501" s="511">
        <v>1237</v>
      </c>
    </row>
    <row r="502" spans="1:25" ht="16.5" thickBot="1" x14ac:dyDescent="0.3">
      <c r="A502" s="142"/>
      <c r="B502" s="144" t="s">
        <v>294</v>
      </c>
      <c r="C502" s="303">
        <v>1054</v>
      </c>
      <c r="D502" s="303">
        <v>157</v>
      </c>
      <c r="E502" s="303">
        <v>62</v>
      </c>
      <c r="F502" s="303">
        <v>1</v>
      </c>
      <c r="G502" s="303">
        <v>0</v>
      </c>
      <c r="H502" s="119">
        <v>0</v>
      </c>
      <c r="I502" s="303">
        <v>1274</v>
      </c>
      <c r="J502" s="302"/>
      <c r="K502" s="303">
        <v>0</v>
      </c>
      <c r="L502" s="303">
        <v>0</v>
      </c>
      <c r="M502" s="119">
        <v>0</v>
      </c>
      <c r="N502" s="303">
        <v>0</v>
      </c>
      <c r="O502" s="302"/>
      <c r="P502" s="119"/>
      <c r="Q502" s="173"/>
      <c r="R502" s="119"/>
      <c r="S502" s="303">
        <v>0</v>
      </c>
      <c r="T502" s="117">
        <v>0</v>
      </c>
      <c r="U502" s="312"/>
      <c r="V502" s="117"/>
      <c r="W502" s="296"/>
      <c r="X502" s="296"/>
      <c r="Y502" s="511">
        <v>1274</v>
      </c>
    </row>
    <row r="503" spans="1:25" s="306" customFormat="1" ht="16.5" thickBot="1" x14ac:dyDescent="0.3">
      <c r="A503" s="142"/>
      <c r="B503" s="145" t="s">
        <v>295</v>
      </c>
      <c r="C503" s="305">
        <v>2.2308438409311349E-2</v>
      </c>
      <c r="D503" s="305">
        <v>0.16296296296296298</v>
      </c>
      <c r="E503" s="305">
        <v>-4.6153846153846156E-2</v>
      </c>
      <c r="F503" s="724">
        <v>-0.83333333333333337</v>
      </c>
      <c r="G503" s="305">
        <v>0</v>
      </c>
      <c r="H503" s="122">
        <v>0</v>
      </c>
      <c r="I503" s="305">
        <v>2.9911075181891674E-2</v>
      </c>
      <c r="J503" s="304">
        <v>0</v>
      </c>
      <c r="K503" s="305">
        <v>0</v>
      </c>
      <c r="L503" s="305">
        <v>0</v>
      </c>
      <c r="M503" s="122">
        <v>0</v>
      </c>
      <c r="N503" s="305">
        <v>0</v>
      </c>
      <c r="O503" s="304">
        <v>0</v>
      </c>
      <c r="P503" s="122">
        <v>0</v>
      </c>
      <c r="Q503" s="253">
        <v>0</v>
      </c>
      <c r="R503" s="122">
        <v>0</v>
      </c>
      <c r="S503" s="305">
        <v>0</v>
      </c>
      <c r="T503" s="120">
        <v>0</v>
      </c>
      <c r="U503" s="313">
        <v>0</v>
      </c>
      <c r="V503" s="120">
        <v>0</v>
      </c>
      <c r="W503" s="296">
        <v>0</v>
      </c>
      <c r="X503" s="296">
        <v>0</v>
      </c>
      <c r="Y503" s="306">
        <v>2.9911075181891674E-2</v>
      </c>
    </row>
    <row r="504" spans="1:25" ht="15.75" x14ac:dyDescent="0.25">
      <c r="A504" s="142"/>
      <c r="B504" s="143" t="s">
        <v>296</v>
      </c>
      <c r="C504" s="300">
        <v>245</v>
      </c>
      <c r="D504" s="300"/>
      <c r="E504" s="300">
        <v>178</v>
      </c>
      <c r="F504" s="300"/>
      <c r="G504" s="300"/>
      <c r="H504" s="134"/>
      <c r="I504" s="300">
        <v>423</v>
      </c>
      <c r="J504" s="299"/>
      <c r="K504" s="300"/>
      <c r="L504" s="300"/>
      <c r="M504" s="134"/>
      <c r="N504" s="300"/>
      <c r="O504" s="299"/>
      <c r="P504" s="134"/>
      <c r="Q504" s="301"/>
      <c r="R504" s="134"/>
      <c r="S504" s="300"/>
      <c r="T504" s="132"/>
      <c r="U504" s="311"/>
      <c r="V504" s="132"/>
      <c r="W504" s="296"/>
      <c r="X504" s="296"/>
      <c r="Y504" s="511">
        <v>423</v>
      </c>
    </row>
    <row r="505" spans="1:25" ht="15.75" x14ac:dyDescent="0.25">
      <c r="A505" s="142"/>
      <c r="B505" s="144" t="s">
        <v>297</v>
      </c>
      <c r="C505" s="303">
        <v>259</v>
      </c>
      <c r="D505" s="303"/>
      <c r="E505" s="303">
        <v>165</v>
      </c>
      <c r="F505" s="303"/>
      <c r="G505" s="303"/>
      <c r="H505" s="119"/>
      <c r="I505" s="303">
        <v>424</v>
      </c>
      <c r="J505" s="302"/>
      <c r="K505" s="303"/>
      <c r="L505" s="303"/>
      <c r="M505" s="119"/>
      <c r="N505" s="303"/>
      <c r="O505" s="302"/>
      <c r="P505" s="119"/>
      <c r="Q505" s="173"/>
      <c r="R505" s="119"/>
      <c r="S505" s="303"/>
      <c r="T505" s="117"/>
      <c r="U505" s="312"/>
      <c r="V505" s="117"/>
      <c r="W505" s="296"/>
      <c r="X505" s="296"/>
      <c r="Y505" s="511">
        <v>424</v>
      </c>
    </row>
    <row r="506" spans="1:25" s="306" customFormat="1" ht="15.75" x14ac:dyDescent="0.25">
      <c r="A506" s="142"/>
      <c r="B506" s="145" t="s">
        <v>298</v>
      </c>
      <c r="C506" s="305">
        <v>5.7142857142857141E-2</v>
      </c>
      <c r="D506" s="305">
        <v>0</v>
      </c>
      <c r="E506" s="305">
        <v>-7.3033707865168537E-2</v>
      </c>
      <c r="F506" s="305">
        <v>0</v>
      </c>
      <c r="G506" s="305">
        <v>0</v>
      </c>
      <c r="H506" s="122">
        <v>0</v>
      </c>
      <c r="I506" s="305">
        <v>2.3640661938534278E-3</v>
      </c>
      <c r="J506" s="304">
        <v>0</v>
      </c>
      <c r="K506" s="305">
        <v>0</v>
      </c>
      <c r="L506" s="305">
        <v>0</v>
      </c>
      <c r="M506" s="122">
        <v>0</v>
      </c>
      <c r="N506" s="305">
        <v>0</v>
      </c>
      <c r="O506" s="304">
        <v>0</v>
      </c>
      <c r="P506" s="122">
        <v>0</v>
      </c>
      <c r="Q506" s="253">
        <v>0</v>
      </c>
      <c r="R506" s="122">
        <v>0</v>
      </c>
      <c r="S506" s="305">
        <v>0</v>
      </c>
      <c r="T506" s="120">
        <v>0</v>
      </c>
      <c r="U506" s="313">
        <v>0</v>
      </c>
      <c r="V506" s="120">
        <v>0</v>
      </c>
      <c r="W506" s="296">
        <v>0</v>
      </c>
      <c r="X506" s="296">
        <v>0</v>
      </c>
      <c r="Y506" s="306">
        <v>2.3640661938534278E-3</v>
      </c>
    </row>
    <row r="507" spans="1:25" ht="15.75" x14ac:dyDescent="0.25">
      <c r="A507" s="142"/>
      <c r="B507" s="143" t="s">
        <v>299</v>
      </c>
      <c r="C507" s="300">
        <v>154</v>
      </c>
      <c r="D507" s="300">
        <v>70</v>
      </c>
      <c r="E507" s="300"/>
      <c r="F507" s="300"/>
      <c r="G507" s="300"/>
      <c r="H507" s="134"/>
      <c r="I507" s="300">
        <v>224</v>
      </c>
      <c r="J507" s="299"/>
      <c r="K507" s="300"/>
      <c r="L507" s="300"/>
      <c r="M507" s="134"/>
      <c r="N507" s="300"/>
      <c r="O507" s="299"/>
      <c r="P507" s="134"/>
      <c r="Q507" s="301"/>
      <c r="R507" s="134"/>
      <c r="S507" s="300"/>
      <c r="T507" s="132"/>
      <c r="U507" s="311"/>
      <c r="V507" s="132"/>
      <c r="W507" s="296"/>
      <c r="X507" s="296"/>
      <c r="Y507" s="511">
        <v>224</v>
      </c>
    </row>
    <row r="508" spans="1:25" ht="15.75" x14ac:dyDescent="0.25">
      <c r="A508" s="142"/>
      <c r="B508" s="144" t="s">
        <v>300</v>
      </c>
      <c r="C508" s="303">
        <v>165</v>
      </c>
      <c r="D508" s="303">
        <v>71</v>
      </c>
      <c r="E508" s="303"/>
      <c r="F508" s="303"/>
      <c r="G508" s="303"/>
      <c r="H508" s="119"/>
      <c r="I508" s="303">
        <v>236</v>
      </c>
      <c r="J508" s="302"/>
      <c r="K508" s="303"/>
      <c r="L508" s="303"/>
      <c r="M508" s="119"/>
      <c r="N508" s="303"/>
      <c r="O508" s="302"/>
      <c r="P508" s="119"/>
      <c r="Q508" s="173"/>
      <c r="R508" s="119"/>
      <c r="S508" s="303"/>
      <c r="T508" s="117"/>
      <c r="U508" s="312"/>
      <c r="V508" s="117"/>
      <c r="W508" s="296"/>
      <c r="X508" s="296"/>
      <c r="Y508" s="511">
        <v>236</v>
      </c>
    </row>
    <row r="509" spans="1:25" s="306" customFormat="1" ht="15.75" x14ac:dyDescent="0.25">
      <c r="A509" s="142"/>
      <c r="B509" s="145" t="s">
        <v>301</v>
      </c>
      <c r="C509" s="305">
        <v>7.1428571428571425E-2</v>
      </c>
      <c r="D509" s="305">
        <v>1.4285714285714285E-2</v>
      </c>
      <c r="E509" s="305">
        <v>0</v>
      </c>
      <c r="F509" s="305">
        <v>0</v>
      </c>
      <c r="G509" s="305">
        <v>0</v>
      </c>
      <c r="H509" s="122">
        <v>0</v>
      </c>
      <c r="I509" s="305">
        <v>5.3571428571428568E-2</v>
      </c>
      <c r="J509" s="304">
        <v>0</v>
      </c>
      <c r="K509" s="305">
        <v>0</v>
      </c>
      <c r="L509" s="305">
        <v>0</v>
      </c>
      <c r="M509" s="122">
        <v>0</v>
      </c>
      <c r="N509" s="305">
        <v>0</v>
      </c>
      <c r="O509" s="304">
        <v>0</v>
      </c>
      <c r="P509" s="122">
        <v>0</v>
      </c>
      <c r="Q509" s="253">
        <v>0</v>
      </c>
      <c r="R509" s="122">
        <v>0</v>
      </c>
      <c r="S509" s="305">
        <v>0</v>
      </c>
      <c r="T509" s="120">
        <v>0</v>
      </c>
      <c r="U509" s="313">
        <v>0</v>
      </c>
      <c r="V509" s="120">
        <v>0</v>
      </c>
      <c r="W509" s="296">
        <v>0</v>
      </c>
      <c r="X509" s="296">
        <v>0</v>
      </c>
      <c r="Y509" s="306">
        <v>5.3571428571428568E-2</v>
      </c>
    </row>
    <row r="510" spans="1:25" ht="15.75" x14ac:dyDescent="0.25">
      <c r="A510" s="142"/>
      <c r="B510" s="143" t="s">
        <v>302</v>
      </c>
      <c r="C510" s="300">
        <v>81</v>
      </c>
      <c r="D510" s="300"/>
      <c r="E510" s="300"/>
      <c r="F510" s="300"/>
      <c r="G510" s="300"/>
      <c r="H510" s="134"/>
      <c r="I510" s="300">
        <v>81</v>
      </c>
      <c r="J510" s="299"/>
      <c r="K510" s="300"/>
      <c r="L510" s="300"/>
      <c r="M510" s="134"/>
      <c r="N510" s="300"/>
      <c r="O510" s="299"/>
      <c r="P510" s="134"/>
      <c r="Q510" s="301"/>
      <c r="R510" s="134"/>
      <c r="S510" s="300"/>
      <c r="T510" s="132"/>
      <c r="U510" s="311"/>
      <c r="V510" s="132"/>
      <c r="W510" s="296"/>
      <c r="X510" s="296"/>
      <c r="Y510" s="511">
        <v>81</v>
      </c>
    </row>
    <row r="511" spans="1:25" ht="15.75" x14ac:dyDescent="0.25">
      <c r="A511" s="142"/>
      <c r="B511" s="144" t="s">
        <v>303</v>
      </c>
      <c r="C511" s="303">
        <v>76</v>
      </c>
      <c r="D511" s="303"/>
      <c r="E511" s="303"/>
      <c r="F511" s="303"/>
      <c r="G511" s="303"/>
      <c r="H511" s="119"/>
      <c r="I511" s="303">
        <v>76</v>
      </c>
      <c r="J511" s="302"/>
      <c r="K511" s="303"/>
      <c r="L511" s="303"/>
      <c r="M511" s="119"/>
      <c r="N511" s="303"/>
      <c r="O511" s="302"/>
      <c r="P511" s="119"/>
      <c r="Q511" s="173"/>
      <c r="R511" s="119"/>
      <c r="S511" s="303"/>
      <c r="T511" s="117"/>
      <c r="U511" s="312"/>
      <c r="V511" s="117"/>
      <c r="W511" s="296"/>
      <c r="X511" s="296"/>
      <c r="Y511" s="511">
        <v>76</v>
      </c>
    </row>
    <row r="512" spans="1:25" s="306" customFormat="1" ht="15.75" x14ac:dyDescent="0.25">
      <c r="A512" s="142"/>
      <c r="B512" s="145" t="s">
        <v>304</v>
      </c>
      <c r="C512" s="305">
        <v>-6.1728395061728392E-2</v>
      </c>
      <c r="D512" s="305">
        <v>0</v>
      </c>
      <c r="E512" s="305">
        <v>0</v>
      </c>
      <c r="F512" s="305">
        <v>0</v>
      </c>
      <c r="G512" s="305">
        <v>0</v>
      </c>
      <c r="H512" s="122">
        <v>0</v>
      </c>
      <c r="I512" s="305">
        <v>-6.1728395061728392E-2</v>
      </c>
      <c r="J512" s="304">
        <v>0</v>
      </c>
      <c r="K512" s="305">
        <v>0</v>
      </c>
      <c r="L512" s="305">
        <v>0</v>
      </c>
      <c r="M512" s="122">
        <v>0</v>
      </c>
      <c r="N512" s="305">
        <v>0</v>
      </c>
      <c r="O512" s="304">
        <v>0</v>
      </c>
      <c r="P512" s="122">
        <v>0</v>
      </c>
      <c r="Q512" s="253">
        <v>0</v>
      </c>
      <c r="R512" s="122">
        <v>0</v>
      </c>
      <c r="S512" s="305">
        <v>0</v>
      </c>
      <c r="T512" s="120">
        <v>0</v>
      </c>
      <c r="U512" s="313">
        <v>0</v>
      </c>
      <c r="V512" s="120">
        <v>0</v>
      </c>
      <c r="W512" s="296">
        <v>0</v>
      </c>
      <c r="X512" s="296">
        <v>0</v>
      </c>
      <c r="Y512" s="306">
        <v>-6.1728395061728392E-2</v>
      </c>
    </row>
    <row r="513" spans="1:25" ht="15.75" x14ac:dyDescent="0.25">
      <c r="A513" s="142"/>
      <c r="B513" s="143" t="s">
        <v>305</v>
      </c>
      <c r="C513" s="300">
        <v>142</v>
      </c>
      <c r="D513" s="300"/>
      <c r="E513" s="300"/>
      <c r="F513" s="300"/>
      <c r="G513" s="300"/>
      <c r="H513" s="134"/>
      <c r="I513" s="300">
        <v>142</v>
      </c>
      <c r="J513" s="299"/>
      <c r="K513" s="300"/>
      <c r="L513" s="300"/>
      <c r="M513" s="134"/>
      <c r="N513" s="300"/>
      <c r="O513" s="299"/>
      <c r="P513" s="134"/>
      <c r="Q513" s="301"/>
      <c r="R513" s="134"/>
      <c r="S513" s="300"/>
      <c r="T513" s="132"/>
      <c r="U513" s="311"/>
      <c r="V513" s="132"/>
      <c r="W513" s="296"/>
      <c r="X513" s="296"/>
      <c r="Y513" s="511">
        <v>142</v>
      </c>
    </row>
    <row r="514" spans="1:25" ht="15.75" x14ac:dyDescent="0.25">
      <c r="A514" s="142"/>
      <c r="B514" s="144" t="s">
        <v>306</v>
      </c>
      <c r="C514" s="303">
        <v>146</v>
      </c>
      <c r="D514" s="303"/>
      <c r="E514" s="303"/>
      <c r="F514" s="303"/>
      <c r="G514" s="303"/>
      <c r="H514" s="119"/>
      <c r="I514" s="303">
        <v>146</v>
      </c>
      <c r="J514" s="302"/>
      <c r="K514" s="303"/>
      <c r="L514" s="303"/>
      <c r="M514" s="119"/>
      <c r="N514" s="303"/>
      <c r="O514" s="302"/>
      <c r="P514" s="119"/>
      <c r="Q514" s="173"/>
      <c r="R514" s="119"/>
      <c r="S514" s="303"/>
      <c r="T514" s="117"/>
      <c r="U514" s="312"/>
      <c r="V514" s="117"/>
      <c r="W514" s="296"/>
      <c r="X514" s="296"/>
      <c r="Y514" s="511">
        <v>146</v>
      </c>
    </row>
    <row r="515" spans="1:25" s="306" customFormat="1" ht="15.75" x14ac:dyDescent="0.25">
      <c r="A515" s="142"/>
      <c r="B515" s="145" t="s">
        <v>307</v>
      </c>
      <c r="C515" s="305">
        <v>2.8169014084507043E-2</v>
      </c>
      <c r="D515" s="305">
        <v>0</v>
      </c>
      <c r="E515" s="305">
        <v>0</v>
      </c>
      <c r="F515" s="305">
        <v>0</v>
      </c>
      <c r="G515" s="305">
        <v>0</v>
      </c>
      <c r="H515" s="122">
        <v>0</v>
      </c>
      <c r="I515" s="305">
        <v>2.8169014084507043E-2</v>
      </c>
      <c r="J515" s="304">
        <v>0</v>
      </c>
      <c r="K515" s="305">
        <v>0</v>
      </c>
      <c r="L515" s="305">
        <v>0</v>
      </c>
      <c r="M515" s="122">
        <v>0</v>
      </c>
      <c r="N515" s="305">
        <v>0</v>
      </c>
      <c r="O515" s="304">
        <v>0</v>
      </c>
      <c r="P515" s="122">
        <v>0</v>
      </c>
      <c r="Q515" s="253">
        <v>0</v>
      </c>
      <c r="R515" s="122">
        <v>0</v>
      </c>
      <c r="S515" s="305">
        <v>0</v>
      </c>
      <c r="T515" s="120">
        <v>0</v>
      </c>
      <c r="U515" s="313">
        <v>0</v>
      </c>
      <c r="V515" s="120">
        <v>0</v>
      </c>
      <c r="W515" s="296">
        <v>0</v>
      </c>
      <c r="X515" s="296">
        <v>0</v>
      </c>
      <c r="Y515" s="306">
        <v>2.8169014084507043E-2</v>
      </c>
    </row>
    <row r="516" spans="1:25" ht="15.75" x14ac:dyDescent="0.25">
      <c r="A516" s="142"/>
      <c r="B516" s="143" t="s">
        <v>308</v>
      </c>
      <c r="C516" s="300"/>
      <c r="D516" s="300"/>
      <c r="E516" s="300"/>
      <c r="F516" s="300"/>
      <c r="G516" s="300"/>
      <c r="H516" s="134"/>
      <c r="I516" s="300"/>
      <c r="J516" s="299"/>
      <c r="K516" s="300"/>
      <c r="L516" s="300"/>
      <c r="M516" s="134"/>
      <c r="N516" s="300"/>
      <c r="O516" s="299"/>
      <c r="P516" s="134"/>
      <c r="Q516" s="301"/>
      <c r="R516" s="134"/>
      <c r="S516" s="300"/>
      <c r="T516" s="132"/>
      <c r="U516" s="311"/>
      <c r="V516" s="132"/>
      <c r="W516" s="296"/>
      <c r="X516" s="296"/>
    </row>
    <row r="517" spans="1:25" ht="15.75" x14ac:dyDescent="0.25">
      <c r="A517" s="142"/>
      <c r="B517" s="144" t="s">
        <v>309</v>
      </c>
      <c r="C517" s="303"/>
      <c r="D517" s="303"/>
      <c r="E517" s="303"/>
      <c r="F517" s="303"/>
      <c r="G517" s="303"/>
      <c r="H517" s="119"/>
      <c r="I517" s="303"/>
      <c r="J517" s="302"/>
      <c r="K517" s="303"/>
      <c r="L517" s="303"/>
      <c r="M517" s="119"/>
      <c r="N517" s="303"/>
      <c r="O517" s="302"/>
      <c r="P517" s="119"/>
      <c r="Q517" s="173"/>
      <c r="R517" s="119"/>
      <c r="S517" s="303"/>
      <c r="T517" s="117"/>
      <c r="U517" s="312"/>
      <c r="V517" s="117"/>
      <c r="W517" s="296"/>
      <c r="X517" s="296"/>
    </row>
    <row r="518" spans="1:25" s="306" customFormat="1" ht="15.75" x14ac:dyDescent="0.25">
      <c r="A518" s="142"/>
      <c r="B518" s="145" t="s">
        <v>310</v>
      </c>
      <c r="C518" s="305">
        <v>0</v>
      </c>
      <c r="D518" s="305">
        <v>0</v>
      </c>
      <c r="E518" s="305">
        <v>0</v>
      </c>
      <c r="F518" s="305">
        <v>0</v>
      </c>
      <c r="G518" s="305">
        <v>0</v>
      </c>
      <c r="H518" s="122">
        <v>0</v>
      </c>
      <c r="I518" s="305">
        <v>0</v>
      </c>
      <c r="J518" s="304">
        <v>0</v>
      </c>
      <c r="K518" s="305">
        <v>0</v>
      </c>
      <c r="L518" s="305">
        <v>0</v>
      </c>
      <c r="M518" s="122">
        <v>0</v>
      </c>
      <c r="N518" s="305">
        <v>0</v>
      </c>
      <c r="O518" s="304">
        <v>0</v>
      </c>
      <c r="P518" s="122">
        <v>0</v>
      </c>
      <c r="Q518" s="253">
        <v>0</v>
      </c>
      <c r="R518" s="122">
        <v>0</v>
      </c>
      <c r="S518" s="305">
        <v>0</v>
      </c>
      <c r="T518" s="120">
        <v>0</v>
      </c>
      <c r="U518" s="313">
        <v>0</v>
      </c>
      <c r="V518" s="120">
        <v>0</v>
      </c>
      <c r="W518" s="296">
        <v>0</v>
      </c>
      <c r="X518" s="296">
        <v>0</v>
      </c>
      <c r="Y518" s="306">
        <v>0</v>
      </c>
    </row>
    <row r="519" spans="1:25" ht="15.75" x14ac:dyDescent="0.25">
      <c r="A519" s="142"/>
      <c r="B519" s="143" t="s">
        <v>311</v>
      </c>
      <c r="C519" s="300"/>
      <c r="D519" s="300"/>
      <c r="E519" s="300"/>
      <c r="F519" s="300"/>
      <c r="G519" s="300"/>
      <c r="H519" s="134"/>
      <c r="I519" s="300"/>
      <c r="J519" s="299"/>
      <c r="K519" s="300"/>
      <c r="L519" s="300"/>
      <c r="M519" s="134"/>
      <c r="N519" s="300"/>
      <c r="O519" s="299"/>
      <c r="P519" s="134"/>
      <c r="Q519" s="301"/>
      <c r="R519" s="134"/>
      <c r="S519" s="300"/>
      <c r="T519" s="132"/>
      <c r="U519" s="311"/>
      <c r="V519" s="132"/>
      <c r="W519" s="296"/>
      <c r="X519" s="296"/>
    </row>
    <row r="520" spans="1:25" ht="15.75" x14ac:dyDescent="0.25">
      <c r="A520" s="142"/>
      <c r="B520" s="144" t="s">
        <v>312</v>
      </c>
      <c r="C520" s="303"/>
      <c r="D520" s="303"/>
      <c r="E520" s="303"/>
      <c r="F520" s="303"/>
      <c r="G520" s="303"/>
      <c r="H520" s="119"/>
      <c r="I520" s="303"/>
      <c r="J520" s="302"/>
      <c r="K520" s="303"/>
      <c r="L520" s="303"/>
      <c r="M520" s="119"/>
      <c r="N520" s="303"/>
      <c r="O520" s="302"/>
      <c r="P520" s="119"/>
      <c r="Q520" s="173"/>
      <c r="R520" s="119"/>
      <c r="S520" s="303"/>
      <c r="T520" s="117"/>
      <c r="U520" s="312"/>
      <c r="V520" s="117"/>
      <c r="W520" s="296"/>
      <c r="X520" s="296"/>
    </row>
    <row r="521" spans="1:25" s="306" customFormat="1" ht="15.75" x14ac:dyDescent="0.25">
      <c r="A521" s="142"/>
      <c r="B521" s="145" t="s">
        <v>313</v>
      </c>
      <c r="C521" s="305">
        <v>0</v>
      </c>
      <c r="D521" s="305">
        <v>0</v>
      </c>
      <c r="E521" s="305">
        <v>0</v>
      </c>
      <c r="F521" s="305">
        <v>0</v>
      </c>
      <c r="G521" s="305">
        <v>0</v>
      </c>
      <c r="H521" s="122">
        <v>0</v>
      </c>
      <c r="I521" s="305">
        <v>0</v>
      </c>
      <c r="J521" s="304">
        <v>0</v>
      </c>
      <c r="K521" s="305">
        <v>0</v>
      </c>
      <c r="L521" s="305">
        <v>0</v>
      </c>
      <c r="M521" s="122">
        <v>0</v>
      </c>
      <c r="N521" s="305">
        <v>0</v>
      </c>
      <c r="O521" s="304">
        <v>0</v>
      </c>
      <c r="P521" s="122">
        <v>0</v>
      </c>
      <c r="Q521" s="253">
        <v>0</v>
      </c>
      <c r="R521" s="122">
        <v>0</v>
      </c>
      <c r="S521" s="305">
        <v>0</v>
      </c>
      <c r="T521" s="120">
        <v>0</v>
      </c>
      <c r="U521" s="313">
        <v>0</v>
      </c>
      <c r="V521" s="120">
        <v>0</v>
      </c>
      <c r="W521" s="296">
        <v>0</v>
      </c>
      <c r="X521" s="296">
        <v>0</v>
      </c>
      <c r="Y521" s="306">
        <v>0</v>
      </c>
    </row>
    <row r="522" spans="1:25" ht="15.75" x14ac:dyDescent="0.25">
      <c r="A522" s="142"/>
      <c r="B522" s="143" t="s">
        <v>314</v>
      </c>
      <c r="C522" s="300"/>
      <c r="D522" s="300"/>
      <c r="E522" s="300"/>
      <c r="F522" s="300"/>
      <c r="G522" s="300"/>
      <c r="H522" s="134"/>
      <c r="I522" s="300"/>
      <c r="J522" s="299"/>
      <c r="K522" s="300"/>
      <c r="L522" s="300"/>
      <c r="M522" s="134"/>
      <c r="N522" s="300"/>
      <c r="O522" s="299"/>
      <c r="P522" s="134"/>
      <c r="Q522" s="301"/>
      <c r="R522" s="134"/>
      <c r="S522" s="300"/>
      <c r="T522" s="132"/>
      <c r="U522" s="311"/>
      <c r="V522" s="132"/>
      <c r="W522" s="296"/>
      <c r="X522" s="296"/>
    </row>
    <row r="523" spans="1:25" ht="15.75" x14ac:dyDescent="0.25">
      <c r="A523" s="142"/>
      <c r="B523" s="144" t="s">
        <v>315</v>
      </c>
      <c r="C523" s="303"/>
      <c r="D523" s="303"/>
      <c r="E523" s="303"/>
      <c r="F523" s="303"/>
      <c r="G523" s="303"/>
      <c r="H523" s="119"/>
      <c r="I523" s="303"/>
      <c r="J523" s="302"/>
      <c r="K523" s="303"/>
      <c r="L523" s="303"/>
      <c r="M523" s="119"/>
      <c r="N523" s="303"/>
      <c r="O523" s="302"/>
      <c r="P523" s="119"/>
      <c r="Q523" s="173"/>
      <c r="R523" s="119"/>
      <c r="S523" s="303"/>
      <c r="T523" s="117"/>
      <c r="U523" s="312"/>
      <c r="V523" s="117"/>
      <c r="W523" s="296"/>
      <c r="X523" s="296"/>
    </row>
    <row r="524" spans="1:25" s="306" customFormat="1" ht="15.75" x14ac:dyDescent="0.25">
      <c r="A524" s="142"/>
      <c r="B524" s="145" t="s">
        <v>316</v>
      </c>
      <c r="C524" s="305">
        <v>0</v>
      </c>
      <c r="D524" s="305">
        <v>0</v>
      </c>
      <c r="E524" s="305">
        <v>0</v>
      </c>
      <c r="F524" s="305">
        <v>0</v>
      </c>
      <c r="G524" s="305">
        <v>0</v>
      </c>
      <c r="H524" s="122">
        <v>0</v>
      </c>
      <c r="I524" s="305">
        <v>0</v>
      </c>
      <c r="J524" s="304">
        <v>0</v>
      </c>
      <c r="K524" s="305">
        <v>0</v>
      </c>
      <c r="L524" s="305">
        <v>0</v>
      </c>
      <c r="M524" s="122">
        <v>0</v>
      </c>
      <c r="N524" s="305">
        <v>0</v>
      </c>
      <c r="O524" s="304">
        <v>0</v>
      </c>
      <c r="P524" s="122">
        <v>0</v>
      </c>
      <c r="Q524" s="253">
        <v>0</v>
      </c>
      <c r="R524" s="122">
        <v>0</v>
      </c>
      <c r="S524" s="305">
        <v>0</v>
      </c>
      <c r="T524" s="120">
        <v>0</v>
      </c>
      <c r="U524" s="313">
        <v>0</v>
      </c>
      <c r="V524" s="120">
        <v>0</v>
      </c>
      <c r="W524" s="296">
        <v>0</v>
      </c>
      <c r="X524" s="296">
        <v>0</v>
      </c>
      <c r="Y524" s="306">
        <v>0</v>
      </c>
    </row>
    <row r="525" spans="1:25" ht="15.75" x14ac:dyDescent="0.25">
      <c r="A525" s="142"/>
      <c r="B525" s="143" t="s">
        <v>317</v>
      </c>
      <c r="C525" s="300">
        <v>75</v>
      </c>
      <c r="D525" s="300"/>
      <c r="E525" s="300"/>
      <c r="F525" s="300"/>
      <c r="G525" s="300"/>
      <c r="H525" s="134"/>
      <c r="I525" s="300">
        <v>75</v>
      </c>
      <c r="J525" s="299"/>
      <c r="K525" s="300"/>
      <c r="L525" s="300"/>
      <c r="M525" s="134"/>
      <c r="N525" s="300"/>
      <c r="O525" s="299"/>
      <c r="P525" s="134"/>
      <c r="Q525" s="301"/>
      <c r="R525" s="134"/>
      <c r="S525" s="300"/>
      <c r="T525" s="132"/>
      <c r="U525" s="311"/>
      <c r="V525" s="132"/>
      <c r="W525" s="296"/>
      <c r="X525" s="296"/>
      <c r="Y525" s="511">
        <v>75</v>
      </c>
    </row>
    <row r="526" spans="1:25" ht="15.75" x14ac:dyDescent="0.25">
      <c r="A526" s="142"/>
      <c r="B526" s="144" t="s">
        <v>318</v>
      </c>
      <c r="C526" s="303">
        <v>79</v>
      </c>
      <c r="D526" s="303"/>
      <c r="E526" s="303"/>
      <c r="F526" s="303"/>
      <c r="G526" s="303"/>
      <c r="H526" s="119"/>
      <c r="I526" s="303">
        <v>79</v>
      </c>
      <c r="J526" s="302"/>
      <c r="K526" s="303"/>
      <c r="L526" s="303"/>
      <c r="M526" s="119"/>
      <c r="N526" s="303"/>
      <c r="O526" s="302"/>
      <c r="P526" s="119"/>
      <c r="Q526" s="173"/>
      <c r="R526" s="119"/>
      <c r="S526" s="303"/>
      <c r="T526" s="117"/>
      <c r="U526" s="312"/>
      <c r="V526" s="117"/>
      <c r="W526" s="296"/>
      <c r="X526" s="296"/>
      <c r="Y526" s="511">
        <v>79</v>
      </c>
    </row>
    <row r="527" spans="1:25" s="306" customFormat="1" ht="15.75" x14ac:dyDescent="0.25">
      <c r="A527" s="142"/>
      <c r="B527" s="145" t="s">
        <v>319</v>
      </c>
      <c r="C527" s="305">
        <v>5.3333333333333337E-2</v>
      </c>
      <c r="D527" s="305">
        <v>0</v>
      </c>
      <c r="E527" s="305">
        <v>0</v>
      </c>
      <c r="F527" s="305">
        <v>0</v>
      </c>
      <c r="G527" s="305">
        <v>0</v>
      </c>
      <c r="H527" s="122">
        <v>0</v>
      </c>
      <c r="I527" s="305">
        <v>5.3333333333333337E-2</v>
      </c>
      <c r="J527" s="304">
        <v>0</v>
      </c>
      <c r="K527" s="305">
        <v>0</v>
      </c>
      <c r="L527" s="305">
        <v>0</v>
      </c>
      <c r="M527" s="122">
        <v>0</v>
      </c>
      <c r="N527" s="305">
        <v>0</v>
      </c>
      <c r="O527" s="304">
        <v>0</v>
      </c>
      <c r="P527" s="122">
        <v>0</v>
      </c>
      <c r="Q527" s="253">
        <v>0</v>
      </c>
      <c r="R527" s="122">
        <v>0</v>
      </c>
      <c r="S527" s="305">
        <v>0</v>
      </c>
      <c r="T527" s="120">
        <v>0</v>
      </c>
      <c r="U527" s="313">
        <v>0</v>
      </c>
      <c r="V527" s="120">
        <v>0</v>
      </c>
      <c r="W527" s="296">
        <v>0</v>
      </c>
      <c r="X527" s="296">
        <v>0</v>
      </c>
      <c r="Y527" s="306">
        <v>5.3333333333333337E-2</v>
      </c>
    </row>
    <row r="528" spans="1:25" ht="15.75" x14ac:dyDescent="0.25">
      <c r="A528" s="142"/>
      <c r="B528" s="143" t="s">
        <v>320</v>
      </c>
      <c r="C528" s="300"/>
      <c r="D528" s="300"/>
      <c r="E528" s="300"/>
      <c r="F528" s="300"/>
      <c r="G528" s="300"/>
      <c r="H528" s="134"/>
      <c r="I528" s="300"/>
      <c r="J528" s="299"/>
      <c r="K528" s="300"/>
      <c r="L528" s="300"/>
      <c r="M528" s="134"/>
      <c r="N528" s="300"/>
      <c r="O528" s="299"/>
      <c r="P528" s="134"/>
      <c r="Q528" s="301"/>
      <c r="R528" s="134"/>
      <c r="S528" s="300"/>
      <c r="T528" s="132"/>
      <c r="U528" s="311"/>
      <c r="V528" s="132"/>
      <c r="W528" s="296"/>
      <c r="X528" s="296"/>
    </row>
    <row r="529" spans="1:25" ht="15.75" x14ac:dyDescent="0.25">
      <c r="A529" s="142"/>
      <c r="B529" s="144" t="s">
        <v>321</v>
      </c>
      <c r="C529" s="303"/>
      <c r="D529" s="303"/>
      <c r="E529" s="303"/>
      <c r="F529" s="303"/>
      <c r="G529" s="303"/>
      <c r="H529" s="119"/>
      <c r="I529" s="303"/>
      <c r="J529" s="302"/>
      <c r="K529" s="303"/>
      <c r="L529" s="303"/>
      <c r="M529" s="119"/>
      <c r="N529" s="303"/>
      <c r="O529" s="302"/>
      <c r="P529" s="119"/>
      <c r="Q529" s="173"/>
      <c r="R529" s="119"/>
      <c r="S529" s="303"/>
      <c r="T529" s="117"/>
      <c r="U529" s="312"/>
      <c r="V529" s="117"/>
      <c r="W529" s="296"/>
      <c r="X529" s="296"/>
    </row>
    <row r="530" spans="1:25" s="306" customFormat="1" ht="15.75" x14ac:dyDescent="0.25">
      <c r="A530" s="142"/>
      <c r="B530" s="145" t="s">
        <v>322</v>
      </c>
      <c r="C530" s="305">
        <v>0</v>
      </c>
      <c r="D530" s="305">
        <v>0</v>
      </c>
      <c r="E530" s="305">
        <v>0</v>
      </c>
      <c r="F530" s="305">
        <v>0</v>
      </c>
      <c r="G530" s="305">
        <v>0</v>
      </c>
      <c r="H530" s="122">
        <v>0</v>
      </c>
      <c r="I530" s="305">
        <v>0</v>
      </c>
      <c r="J530" s="304">
        <v>0</v>
      </c>
      <c r="K530" s="305">
        <v>0</v>
      </c>
      <c r="L530" s="305">
        <v>0</v>
      </c>
      <c r="M530" s="122">
        <v>0</v>
      </c>
      <c r="N530" s="305">
        <v>0</v>
      </c>
      <c r="O530" s="304">
        <v>0</v>
      </c>
      <c r="P530" s="122">
        <v>0</v>
      </c>
      <c r="Q530" s="253">
        <v>0</v>
      </c>
      <c r="R530" s="122">
        <v>0</v>
      </c>
      <c r="S530" s="305">
        <v>0</v>
      </c>
      <c r="T530" s="120">
        <v>0</v>
      </c>
      <c r="U530" s="313">
        <v>0</v>
      </c>
      <c r="V530" s="120">
        <v>0</v>
      </c>
      <c r="W530" s="296">
        <v>0</v>
      </c>
      <c r="X530" s="296">
        <v>0</v>
      </c>
      <c r="Y530" s="306">
        <v>0</v>
      </c>
    </row>
    <row r="531" spans="1:25" ht="15.75" x14ac:dyDescent="0.25">
      <c r="A531" s="142"/>
      <c r="B531" s="143" t="s">
        <v>404</v>
      </c>
      <c r="C531" s="300">
        <v>44</v>
      </c>
      <c r="D531" s="300">
        <v>31</v>
      </c>
      <c r="E531" s="300"/>
      <c r="F531" s="300"/>
      <c r="G531" s="300"/>
      <c r="H531" s="134"/>
      <c r="I531" s="300">
        <v>75</v>
      </c>
      <c r="J531" s="299"/>
      <c r="K531" s="300"/>
      <c r="L531" s="300"/>
      <c r="M531" s="134"/>
      <c r="N531" s="300"/>
      <c r="O531" s="299"/>
      <c r="P531" s="134"/>
      <c r="Q531" s="301"/>
      <c r="R531" s="134"/>
      <c r="S531" s="300"/>
      <c r="T531" s="132"/>
      <c r="U531" s="311"/>
      <c r="V531" s="132"/>
      <c r="W531" s="296"/>
      <c r="X531" s="296"/>
      <c r="Y531" s="511">
        <v>75</v>
      </c>
    </row>
    <row r="532" spans="1:25" ht="15.75" x14ac:dyDescent="0.25">
      <c r="A532" s="142"/>
      <c r="B532" s="144" t="s">
        <v>406</v>
      </c>
      <c r="C532" s="303">
        <v>38</v>
      </c>
      <c r="D532" s="303">
        <v>27</v>
      </c>
      <c r="E532" s="303"/>
      <c r="F532" s="303"/>
      <c r="G532" s="303"/>
      <c r="H532" s="119"/>
      <c r="I532" s="303">
        <v>65</v>
      </c>
      <c r="J532" s="302"/>
      <c r="K532" s="303"/>
      <c r="L532" s="303"/>
      <c r="M532" s="119"/>
      <c r="N532" s="303"/>
      <c r="O532" s="302"/>
      <c r="P532" s="119"/>
      <c r="Q532" s="173"/>
      <c r="R532" s="119"/>
      <c r="S532" s="303"/>
      <c r="T532" s="117"/>
      <c r="U532" s="312"/>
      <c r="V532" s="117"/>
      <c r="W532" s="296"/>
      <c r="X532" s="296"/>
      <c r="Y532" s="511">
        <v>65</v>
      </c>
    </row>
    <row r="533" spans="1:25" s="306" customFormat="1" ht="15.75" x14ac:dyDescent="0.25">
      <c r="A533" s="142"/>
      <c r="B533" s="145" t="s">
        <v>474</v>
      </c>
      <c r="C533" s="305">
        <v>-0.13636363636363635</v>
      </c>
      <c r="D533" s="305">
        <v>-0.12903225806451613</v>
      </c>
      <c r="E533" s="305">
        <v>0</v>
      </c>
      <c r="F533" s="305">
        <v>0</v>
      </c>
      <c r="G533" s="305">
        <v>0</v>
      </c>
      <c r="H533" s="122">
        <v>0</v>
      </c>
      <c r="I533" s="305">
        <v>-0.13333333333333333</v>
      </c>
      <c r="J533" s="304">
        <v>0</v>
      </c>
      <c r="K533" s="305">
        <v>0</v>
      </c>
      <c r="L533" s="305">
        <v>0</v>
      </c>
      <c r="M533" s="122">
        <v>0</v>
      </c>
      <c r="N533" s="305">
        <v>0</v>
      </c>
      <c r="O533" s="304">
        <v>0</v>
      </c>
      <c r="P533" s="122">
        <v>0</v>
      </c>
      <c r="Q533" s="253">
        <v>0</v>
      </c>
      <c r="R533" s="122">
        <v>0</v>
      </c>
      <c r="S533" s="305">
        <v>0</v>
      </c>
      <c r="T533" s="120">
        <v>0</v>
      </c>
      <c r="U533" s="313">
        <v>0</v>
      </c>
      <c r="V533" s="120">
        <v>0</v>
      </c>
      <c r="W533" s="296">
        <v>0</v>
      </c>
      <c r="X533" s="296">
        <v>0</v>
      </c>
      <c r="Y533" s="306">
        <v>-0.13333333333333333</v>
      </c>
    </row>
    <row r="534" spans="1:25" ht="15.75" x14ac:dyDescent="0.25">
      <c r="A534" s="142"/>
      <c r="B534" s="143" t="s">
        <v>476</v>
      </c>
      <c r="C534" s="300"/>
      <c r="D534" s="300"/>
      <c r="E534" s="300"/>
      <c r="F534" s="300"/>
      <c r="G534" s="300"/>
      <c r="H534" s="134"/>
      <c r="I534" s="300"/>
      <c r="J534" s="299"/>
      <c r="K534" s="300"/>
      <c r="L534" s="300"/>
      <c r="M534" s="134"/>
      <c r="N534" s="300"/>
      <c r="O534" s="299"/>
      <c r="P534" s="134"/>
      <c r="Q534" s="301"/>
      <c r="R534" s="134"/>
      <c r="S534" s="300"/>
      <c r="T534" s="132"/>
      <c r="U534" s="311"/>
      <c r="V534" s="132"/>
      <c r="W534" s="296"/>
      <c r="X534" s="296"/>
    </row>
    <row r="535" spans="1:25" ht="15.75" x14ac:dyDescent="0.25">
      <c r="A535" s="294"/>
      <c r="B535" s="144" t="s">
        <v>472</v>
      </c>
      <c r="C535" s="303"/>
      <c r="D535" s="303"/>
      <c r="E535" s="303"/>
      <c r="F535" s="303"/>
      <c r="G535" s="303"/>
      <c r="H535" s="119"/>
      <c r="I535" s="303"/>
      <c r="J535" s="302"/>
      <c r="K535" s="303"/>
      <c r="L535" s="303"/>
      <c r="M535" s="119"/>
      <c r="N535" s="303"/>
      <c r="O535" s="302"/>
      <c r="P535" s="119"/>
      <c r="Q535" s="173"/>
      <c r="R535" s="119"/>
      <c r="S535" s="303"/>
      <c r="T535" s="117"/>
      <c r="U535" s="312"/>
      <c r="V535" s="117"/>
      <c r="W535" s="296"/>
      <c r="X535" s="296"/>
    </row>
    <row r="536" spans="1:25" s="306" customFormat="1" ht="15.75" x14ac:dyDescent="0.25">
      <c r="A536" s="141" t="s">
        <v>644</v>
      </c>
      <c r="B536" s="143" t="s">
        <v>275</v>
      </c>
      <c r="C536" s="300"/>
      <c r="D536" s="300"/>
      <c r="E536" s="300"/>
      <c r="F536" s="300"/>
      <c r="G536" s="300"/>
      <c r="H536" s="134"/>
      <c r="I536" s="300"/>
      <c r="J536" s="299">
        <v>27</v>
      </c>
      <c r="K536" s="300">
        <v>420</v>
      </c>
      <c r="L536" s="300">
        <v>27</v>
      </c>
      <c r="M536" s="134">
        <v>112</v>
      </c>
      <c r="N536" s="300">
        <v>586</v>
      </c>
      <c r="O536" s="299">
        <v>1528</v>
      </c>
      <c r="P536" s="134">
        <v>9626</v>
      </c>
      <c r="Q536" s="301"/>
      <c r="R536" s="134">
        <v>11154</v>
      </c>
      <c r="S536" s="300"/>
      <c r="T536" s="132"/>
      <c r="U536" s="311"/>
      <c r="V536" s="132"/>
      <c r="W536" s="296"/>
      <c r="X536" s="296"/>
      <c r="Y536" s="306">
        <v>11740</v>
      </c>
    </row>
    <row r="537" spans="1:25" ht="16.5" thickBot="1" x14ac:dyDescent="0.3">
      <c r="A537" s="142"/>
      <c r="B537" s="144" t="s">
        <v>276</v>
      </c>
      <c r="C537" s="303"/>
      <c r="D537" s="303"/>
      <c r="E537" s="303"/>
      <c r="F537" s="303"/>
      <c r="G537" s="303"/>
      <c r="H537" s="119">
        <v>0</v>
      </c>
      <c r="I537" s="303">
        <v>0</v>
      </c>
      <c r="J537" s="302">
        <v>46</v>
      </c>
      <c r="K537" s="303">
        <v>582</v>
      </c>
      <c r="L537" s="303">
        <v>13</v>
      </c>
      <c r="M537" s="119">
        <v>117</v>
      </c>
      <c r="N537" s="303">
        <v>758</v>
      </c>
      <c r="O537" s="302">
        <v>1565</v>
      </c>
      <c r="P537" s="119">
        <v>10217</v>
      </c>
      <c r="Q537" s="173"/>
      <c r="R537" s="119">
        <v>11782</v>
      </c>
      <c r="S537" s="303"/>
      <c r="T537" s="117"/>
      <c r="U537" s="312"/>
      <c r="V537" s="117"/>
      <c r="W537" s="296"/>
      <c r="X537" s="296"/>
      <c r="Y537" s="511">
        <v>12540</v>
      </c>
    </row>
    <row r="538" spans="1:25" ht="16.5" thickBot="1" x14ac:dyDescent="0.3">
      <c r="A538" s="142"/>
      <c r="B538" s="145" t="s">
        <v>277</v>
      </c>
      <c r="C538" s="305">
        <v>0</v>
      </c>
      <c r="D538" s="305">
        <v>0</v>
      </c>
      <c r="E538" s="305">
        <v>0</v>
      </c>
      <c r="F538" s="305">
        <v>0</v>
      </c>
      <c r="G538" s="305">
        <v>0</v>
      </c>
      <c r="H538" s="122">
        <v>0</v>
      </c>
      <c r="I538" s="305">
        <v>0</v>
      </c>
      <c r="J538" s="724">
        <v>0.70370370370370372</v>
      </c>
      <c r="K538" s="724">
        <v>0.38571428571428573</v>
      </c>
      <c r="L538" s="724">
        <v>-0.51851851851851849</v>
      </c>
      <c r="M538" s="122">
        <v>4.4642857142857144E-2</v>
      </c>
      <c r="N538" s="305">
        <v>0.29351535836177473</v>
      </c>
      <c r="O538" s="304">
        <v>2.4214659685863876E-2</v>
      </c>
      <c r="P538" s="122">
        <v>6.1396218574693538E-2</v>
      </c>
      <c r="Q538" s="253">
        <v>0</v>
      </c>
      <c r="R538" s="122">
        <v>5.6302671687287073E-2</v>
      </c>
      <c r="S538" s="305">
        <v>0</v>
      </c>
      <c r="T538" s="120">
        <v>0</v>
      </c>
      <c r="U538" s="313">
        <v>0</v>
      </c>
      <c r="V538" s="120">
        <v>0</v>
      </c>
      <c r="W538" s="296">
        <v>0</v>
      </c>
      <c r="X538" s="296">
        <v>0</v>
      </c>
      <c r="Y538" s="511">
        <v>6.8143100511073251E-2</v>
      </c>
    </row>
    <row r="539" spans="1:25" s="306" customFormat="1" ht="15.75" x14ac:dyDescent="0.25">
      <c r="A539" s="142"/>
      <c r="B539" s="143" t="s">
        <v>278</v>
      </c>
      <c r="C539" s="300"/>
      <c r="D539" s="300"/>
      <c r="E539" s="300"/>
      <c r="F539" s="300"/>
      <c r="G539" s="300"/>
      <c r="H539" s="134"/>
      <c r="I539" s="300"/>
      <c r="J539" s="299"/>
      <c r="K539" s="300"/>
      <c r="L539" s="300"/>
      <c r="M539" s="134"/>
      <c r="N539" s="300"/>
      <c r="O539" s="299">
        <v>191</v>
      </c>
      <c r="P539" s="134">
        <v>191</v>
      </c>
      <c r="Q539" s="301"/>
      <c r="R539" s="134">
        <v>382</v>
      </c>
      <c r="S539" s="300"/>
      <c r="T539" s="132"/>
      <c r="U539" s="311"/>
      <c r="V539" s="132"/>
      <c r="W539" s="296"/>
      <c r="X539" s="296"/>
      <c r="Y539" s="306">
        <v>382</v>
      </c>
    </row>
    <row r="540" spans="1:25" ht="16.5" thickBot="1" x14ac:dyDescent="0.3">
      <c r="A540" s="142"/>
      <c r="B540" s="144" t="s">
        <v>279</v>
      </c>
      <c r="C540" s="303"/>
      <c r="D540" s="303"/>
      <c r="E540" s="303"/>
      <c r="F540" s="303"/>
      <c r="G540" s="303"/>
      <c r="H540" s="119"/>
      <c r="I540" s="303"/>
      <c r="J540" s="302"/>
      <c r="K540" s="303"/>
      <c r="L540" s="303"/>
      <c r="M540" s="119"/>
      <c r="N540" s="303"/>
      <c r="O540" s="302">
        <v>126</v>
      </c>
      <c r="P540" s="119">
        <v>158</v>
      </c>
      <c r="Q540" s="173"/>
      <c r="R540" s="119">
        <v>284</v>
      </c>
      <c r="S540" s="303"/>
      <c r="T540" s="117"/>
      <c r="U540" s="312"/>
      <c r="V540" s="117"/>
      <c r="W540" s="296"/>
      <c r="X540" s="296"/>
      <c r="Y540" s="511">
        <v>284</v>
      </c>
    </row>
    <row r="541" spans="1:25" ht="16.5" thickBot="1" x14ac:dyDescent="0.3">
      <c r="A541" s="142"/>
      <c r="B541" s="145" t="s">
        <v>280</v>
      </c>
      <c r="C541" s="305">
        <v>0</v>
      </c>
      <c r="D541" s="305">
        <v>0</v>
      </c>
      <c r="E541" s="305">
        <v>0</v>
      </c>
      <c r="F541" s="305">
        <v>0</v>
      </c>
      <c r="G541" s="305">
        <v>0</v>
      </c>
      <c r="H541" s="122">
        <v>0</v>
      </c>
      <c r="I541" s="305">
        <v>0</v>
      </c>
      <c r="J541" s="304">
        <v>0</v>
      </c>
      <c r="K541" s="305">
        <v>0</v>
      </c>
      <c r="L541" s="305">
        <v>0</v>
      </c>
      <c r="M541" s="122">
        <v>0</v>
      </c>
      <c r="N541" s="305">
        <v>0</v>
      </c>
      <c r="O541" s="724">
        <v>-0.34031413612565448</v>
      </c>
      <c r="P541" s="122">
        <v>-0.17277486910994763</v>
      </c>
      <c r="Q541" s="253">
        <v>0</v>
      </c>
      <c r="R541" s="122">
        <v>-0.25654450261780104</v>
      </c>
      <c r="S541" s="305">
        <v>0</v>
      </c>
      <c r="T541" s="120">
        <v>0</v>
      </c>
      <c r="U541" s="313">
        <v>0</v>
      </c>
      <c r="V541" s="120">
        <v>0</v>
      </c>
      <c r="W541" s="296">
        <v>0</v>
      </c>
      <c r="X541" s="296">
        <v>0</v>
      </c>
      <c r="Y541" s="511">
        <v>-0.25654450261780104</v>
      </c>
    </row>
    <row r="542" spans="1:25" s="306" customFormat="1" ht="15.75" x14ac:dyDescent="0.25">
      <c r="A542" s="142"/>
      <c r="B542" s="143" t="s">
        <v>281</v>
      </c>
      <c r="C542" s="300"/>
      <c r="D542" s="300"/>
      <c r="E542" s="300">
        <v>58</v>
      </c>
      <c r="F542" s="300"/>
      <c r="G542" s="300">
        <v>299</v>
      </c>
      <c r="H542" s="134">
        <v>337</v>
      </c>
      <c r="I542" s="300">
        <v>694</v>
      </c>
      <c r="J542" s="299">
        <v>1012</v>
      </c>
      <c r="K542" s="300">
        <v>3812</v>
      </c>
      <c r="L542" s="300">
        <v>1240</v>
      </c>
      <c r="M542" s="134">
        <v>2116</v>
      </c>
      <c r="N542" s="300">
        <v>8180</v>
      </c>
      <c r="O542" s="299"/>
      <c r="P542" s="134"/>
      <c r="Q542" s="301"/>
      <c r="R542" s="134"/>
      <c r="S542" s="300"/>
      <c r="T542" s="132"/>
      <c r="U542" s="311"/>
      <c r="V542" s="132"/>
      <c r="W542" s="296"/>
      <c r="X542" s="296"/>
      <c r="Y542" s="306">
        <v>8874</v>
      </c>
    </row>
    <row r="543" spans="1:25" ht="16.5" thickBot="1" x14ac:dyDescent="0.3">
      <c r="A543" s="142"/>
      <c r="B543" s="144" t="s">
        <v>282</v>
      </c>
      <c r="C543" s="303"/>
      <c r="D543" s="303"/>
      <c r="E543" s="303">
        <v>58</v>
      </c>
      <c r="F543" s="303"/>
      <c r="G543" s="303">
        <v>268</v>
      </c>
      <c r="H543" s="119">
        <v>289</v>
      </c>
      <c r="I543" s="303">
        <v>615</v>
      </c>
      <c r="J543" s="302">
        <v>1346</v>
      </c>
      <c r="K543" s="303">
        <v>4468</v>
      </c>
      <c r="L543" s="303">
        <v>1246</v>
      </c>
      <c r="M543" s="119">
        <v>2197</v>
      </c>
      <c r="N543" s="303">
        <v>9257</v>
      </c>
      <c r="O543" s="302"/>
      <c r="P543" s="119"/>
      <c r="Q543" s="173"/>
      <c r="R543" s="119"/>
      <c r="S543" s="303"/>
      <c r="T543" s="117"/>
      <c r="U543" s="312"/>
      <c r="V543" s="117"/>
      <c r="W543" s="296"/>
      <c r="X543" s="296"/>
      <c r="Y543" s="511">
        <v>9872</v>
      </c>
    </row>
    <row r="544" spans="1:25" ht="16.5" thickBot="1" x14ac:dyDescent="0.3">
      <c r="A544" s="142"/>
      <c r="B544" s="145" t="s">
        <v>283</v>
      </c>
      <c r="C544" s="305">
        <v>0</v>
      </c>
      <c r="D544" s="305">
        <v>0</v>
      </c>
      <c r="E544" s="305">
        <v>0</v>
      </c>
      <c r="F544" s="305">
        <v>0</v>
      </c>
      <c r="G544" s="305">
        <v>-0.10367892976588629</v>
      </c>
      <c r="H544" s="122">
        <v>-0.14243323442136499</v>
      </c>
      <c r="I544" s="305">
        <v>-0.1138328530259366</v>
      </c>
      <c r="J544" s="724">
        <v>0.33003952569169959</v>
      </c>
      <c r="K544" s="305">
        <v>0.17208814270724029</v>
      </c>
      <c r="L544" s="305">
        <v>4.8387096774193551E-3</v>
      </c>
      <c r="M544" s="122">
        <v>3.8279773156899809E-2</v>
      </c>
      <c r="N544" s="305">
        <v>0.13166259168704156</v>
      </c>
      <c r="O544" s="304">
        <v>0</v>
      </c>
      <c r="P544" s="122">
        <v>0</v>
      </c>
      <c r="Q544" s="253">
        <v>0</v>
      </c>
      <c r="R544" s="122">
        <v>0</v>
      </c>
      <c r="S544" s="305">
        <v>0</v>
      </c>
      <c r="T544" s="120">
        <v>0</v>
      </c>
      <c r="U544" s="313">
        <v>0</v>
      </c>
      <c r="V544" s="120">
        <v>0</v>
      </c>
      <c r="W544" s="296">
        <v>0</v>
      </c>
      <c r="X544" s="296">
        <v>0</v>
      </c>
      <c r="Y544" s="511">
        <v>0.11246337615505972</v>
      </c>
    </row>
    <row r="545" spans="1:25" s="306" customFormat="1" ht="15.75" x14ac:dyDescent="0.25">
      <c r="A545" s="142"/>
      <c r="B545" s="143" t="s">
        <v>284</v>
      </c>
      <c r="C545" s="300">
        <v>8097</v>
      </c>
      <c r="D545" s="300"/>
      <c r="E545" s="300">
        <v>3700</v>
      </c>
      <c r="F545" s="300">
        <v>623</v>
      </c>
      <c r="G545" s="300">
        <v>2381</v>
      </c>
      <c r="H545" s="134">
        <v>688</v>
      </c>
      <c r="I545" s="300">
        <v>15489</v>
      </c>
      <c r="J545" s="299">
        <v>56</v>
      </c>
      <c r="K545" s="300"/>
      <c r="L545" s="300"/>
      <c r="M545" s="134"/>
      <c r="N545" s="300">
        <v>56</v>
      </c>
      <c r="O545" s="299"/>
      <c r="P545" s="134"/>
      <c r="Q545" s="301"/>
      <c r="R545" s="134"/>
      <c r="S545" s="300"/>
      <c r="T545" s="132"/>
      <c r="U545" s="311"/>
      <c r="V545" s="132"/>
      <c r="W545" s="296"/>
      <c r="X545" s="296"/>
      <c r="Y545" s="306">
        <v>15545</v>
      </c>
    </row>
    <row r="546" spans="1:25" ht="16.5" thickBot="1" x14ac:dyDescent="0.3">
      <c r="A546" s="142"/>
      <c r="B546" s="144" t="s">
        <v>285</v>
      </c>
      <c r="C546" s="303">
        <v>8231</v>
      </c>
      <c r="D546" s="303"/>
      <c r="E546" s="303">
        <v>3940</v>
      </c>
      <c r="F546" s="303">
        <v>610</v>
      </c>
      <c r="G546" s="303">
        <v>2255</v>
      </c>
      <c r="H546" s="119">
        <v>700</v>
      </c>
      <c r="I546" s="303">
        <v>15736</v>
      </c>
      <c r="J546" s="302"/>
      <c r="K546" s="303"/>
      <c r="L546" s="303"/>
      <c r="M546" s="119"/>
      <c r="N546" s="303"/>
      <c r="O546" s="302"/>
      <c r="P546" s="119"/>
      <c r="Q546" s="173"/>
      <c r="R546" s="119"/>
      <c r="S546" s="303"/>
      <c r="T546" s="117"/>
      <c r="U546" s="312"/>
      <c r="V546" s="117"/>
      <c r="W546" s="296"/>
      <c r="X546" s="296"/>
      <c r="Y546" s="511">
        <v>15736</v>
      </c>
    </row>
    <row r="547" spans="1:25" ht="16.5" thickBot="1" x14ac:dyDescent="0.3">
      <c r="A547" s="142"/>
      <c r="B547" s="145" t="s">
        <v>286</v>
      </c>
      <c r="C547" s="305">
        <v>1.6549339261454861E-2</v>
      </c>
      <c r="D547" s="305">
        <v>0</v>
      </c>
      <c r="E547" s="305">
        <v>6.4864864864864868E-2</v>
      </c>
      <c r="F547" s="305">
        <v>-2.0866773675762441E-2</v>
      </c>
      <c r="G547" s="305">
        <v>-5.291894162116758E-2</v>
      </c>
      <c r="H547" s="122">
        <v>1.7441860465116279E-2</v>
      </c>
      <c r="I547" s="305">
        <v>1.5946800955516819E-2</v>
      </c>
      <c r="J547" s="793">
        <v>-1</v>
      </c>
      <c r="K547" s="305">
        <v>0</v>
      </c>
      <c r="L547" s="305">
        <v>0</v>
      </c>
      <c r="M547" s="122">
        <v>0</v>
      </c>
      <c r="N547" s="305">
        <v>-1</v>
      </c>
      <c r="O547" s="304">
        <v>0</v>
      </c>
      <c r="P547" s="122">
        <v>0</v>
      </c>
      <c r="Q547" s="253">
        <v>0</v>
      </c>
      <c r="R547" s="122">
        <v>0</v>
      </c>
      <c r="S547" s="305">
        <v>0</v>
      </c>
      <c r="T547" s="120">
        <v>0</v>
      </c>
      <c r="U547" s="313">
        <v>0</v>
      </c>
      <c r="V547" s="120">
        <v>0</v>
      </c>
      <c r="W547" s="296">
        <v>0</v>
      </c>
      <c r="X547" s="296">
        <v>0</v>
      </c>
      <c r="Y547" s="511">
        <v>1.2286908973946607E-2</v>
      </c>
    </row>
    <row r="548" spans="1:25" s="306" customFormat="1" ht="15.75" x14ac:dyDescent="0.25">
      <c r="A548" s="142"/>
      <c r="B548" s="143" t="s">
        <v>287</v>
      </c>
      <c r="C548" s="300">
        <v>110</v>
      </c>
      <c r="D548" s="300"/>
      <c r="E548" s="300"/>
      <c r="F548" s="300"/>
      <c r="G548" s="300"/>
      <c r="H548" s="134"/>
      <c r="I548" s="300">
        <v>110</v>
      </c>
      <c r="J548" s="299"/>
      <c r="K548" s="300"/>
      <c r="L548" s="300"/>
      <c r="M548" s="134"/>
      <c r="N548" s="300"/>
      <c r="O548" s="299"/>
      <c r="P548" s="134"/>
      <c r="Q548" s="301"/>
      <c r="R548" s="134"/>
      <c r="S548" s="300"/>
      <c r="T548" s="132"/>
      <c r="U548" s="311"/>
      <c r="V548" s="132"/>
      <c r="W548" s="296"/>
      <c r="X548" s="296"/>
      <c r="Y548" s="306">
        <v>110</v>
      </c>
    </row>
    <row r="549" spans="1:25" ht="16.5" thickBot="1" x14ac:dyDescent="0.3">
      <c r="A549" s="142"/>
      <c r="B549" s="144" t="s">
        <v>288</v>
      </c>
      <c r="C549" s="303">
        <v>158</v>
      </c>
      <c r="D549" s="303"/>
      <c r="E549" s="303"/>
      <c r="F549" s="303"/>
      <c r="G549" s="303"/>
      <c r="H549" s="119"/>
      <c r="I549" s="303">
        <v>158</v>
      </c>
      <c r="J549" s="302"/>
      <c r="K549" s="303"/>
      <c r="L549" s="303"/>
      <c r="M549" s="119"/>
      <c r="N549" s="303"/>
      <c r="O549" s="302"/>
      <c r="P549" s="119"/>
      <c r="Q549" s="173"/>
      <c r="R549" s="119"/>
      <c r="S549" s="303"/>
      <c r="T549" s="117"/>
      <c r="U549" s="312"/>
      <c r="V549" s="117"/>
      <c r="W549" s="296"/>
      <c r="X549" s="296"/>
      <c r="Y549" s="511">
        <v>158</v>
      </c>
    </row>
    <row r="550" spans="1:25" ht="16.5" thickBot="1" x14ac:dyDescent="0.3">
      <c r="A550" s="142"/>
      <c r="B550" s="145" t="s">
        <v>289</v>
      </c>
      <c r="C550" s="724">
        <v>0.43636363636363634</v>
      </c>
      <c r="D550" s="305">
        <v>0</v>
      </c>
      <c r="E550" s="305">
        <v>0</v>
      </c>
      <c r="F550" s="305">
        <v>0</v>
      </c>
      <c r="G550" s="305">
        <v>0</v>
      </c>
      <c r="H550" s="122">
        <v>0</v>
      </c>
      <c r="I550" s="305">
        <v>0.43636363636363634</v>
      </c>
      <c r="J550" s="304">
        <v>0</v>
      </c>
      <c r="K550" s="305">
        <v>0</v>
      </c>
      <c r="L550" s="305">
        <v>0</v>
      </c>
      <c r="M550" s="122">
        <v>0</v>
      </c>
      <c r="N550" s="305">
        <v>0</v>
      </c>
      <c r="O550" s="304">
        <v>0</v>
      </c>
      <c r="P550" s="122">
        <v>0</v>
      </c>
      <c r="Q550" s="253">
        <v>0</v>
      </c>
      <c r="R550" s="122">
        <v>0</v>
      </c>
      <c r="S550" s="305">
        <v>0</v>
      </c>
      <c r="T550" s="120">
        <v>0</v>
      </c>
      <c r="U550" s="313">
        <v>0</v>
      </c>
      <c r="V550" s="120">
        <v>0</v>
      </c>
      <c r="W550" s="296">
        <v>0</v>
      </c>
      <c r="X550" s="296">
        <v>0</v>
      </c>
      <c r="Y550" s="511">
        <v>0.43636363636363634</v>
      </c>
    </row>
    <row r="551" spans="1:25" s="306" customFormat="1" ht="15.75" x14ac:dyDescent="0.25">
      <c r="A551" s="142"/>
      <c r="B551" s="143" t="s">
        <v>290</v>
      </c>
      <c r="C551" s="300">
        <v>3055</v>
      </c>
      <c r="D551" s="300"/>
      <c r="E551" s="300">
        <v>866</v>
      </c>
      <c r="F551" s="300">
        <v>134</v>
      </c>
      <c r="G551" s="300">
        <v>769</v>
      </c>
      <c r="H551" s="134">
        <v>0</v>
      </c>
      <c r="I551" s="300">
        <v>4824</v>
      </c>
      <c r="J551" s="299">
        <v>0</v>
      </c>
      <c r="K551" s="300">
        <v>0</v>
      </c>
      <c r="L551" s="300">
        <v>0</v>
      </c>
      <c r="M551" s="134">
        <v>0</v>
      </c>
      <c r="N551" s="300">
        <v>0</v>
      </c>
      <c r="O551" s="299">
        <v>0</v>
      </c>
      <c r="P551" s="134">
        <v>0</v>
      </c>
      <c r="Q551" s="301"/>
      <c r="R551" s="134">
        <v>0</v>
      </c>
      <c r="S551" s="300"/>
      <c r="T551" s="132"/>
      <c r="U551" s="311"/>
      <c r="V551" s="132"/>
      <c r="W551" s="296"/>
      <c r="X551" s="296"/>
      <c r="Y551" s="306">
        <v>4824</v>
      </c>
    </row>
    <row r="552" spans="1:25" ht="16.5" thickBot="1" x14ac:dyDescent="0.3">
      <c r="A552" s="142"/>
      <c r="B552" s="144" t="s">
        <v>291</v>
      </c>
      <c r="C552" s="303">
        <v>3061</v>
      </c>
      <c r="D552" s="303"/>
      <c r="E552" s="303">
        <v>887</v>
      </c>
      <c r="F552" s="303">
        <v>162</v>
      </c>
      <c r="G552" s="303">
        <v>723</v>
      </c>
      <c r="H552" s="119">
        <v>0</v>
      </c>
      <c r="I552" s="303">
        <v>4833</v>
      </c>
      <c r="J552" s="302">
        <v>0</v>
      </c>
      <c r="K552" s="303">
        <v>0</v>
      </c>
      <c r="L552" s="303">
        <v>0</v>
      </c>
      <c r="M552" s="119">
        <v>0</v>
      </c>
      <c r="N552" s="303">
        <v>0</v>
      </c>
      <c r="O552" s="302">
        <v>0</v>
      </c>
      <c r="P552" s="119">
        <v>0</v>
      </c>
      <c r="Q552" s="173"/>
      <c r="R552" s="119">
        <v>0</v>
      </c>
      <c r="S552" s="303"/>
      <c r="T552" s="117"/>
      <c r="U552" s="312"/>
      <c r="V552" s="117"/>
      <c r="W552" s="296"/>
      <c r="X552" s="296"/>
      <c r="Y552" s="511">
        <v>4833</v>
      </c>
    </row>
    <row r="553" spans="1:25" ht="16.5" thickBot="1" x14ac:dyDescent="0.3">
      <c r="A553" s="142"/>
      <c r="B553" s="145" t="s">
        <v>292</v>
      </c>
      <c r="C553" s="305">
        <v>1.9639934533551553E-3</v>
      </c>
      <c r="D553" s="305">
        <v>0</v>
      </c>
      <c r="E553" s="305">
        <v>2.4249422632794459E-2</v>
      </c>
      <c r="F553" s="724">
        <v>0.20895522388059701</v>
      </c>
      <c r="G553" s="305">
        <v>-5.9817945383615082E-2</v>
      </c>
      <c r="H553" s="122">
        <v>0</v>
      </c>
      <c r="I553" s="305">
        <v>1.8656716417910447E-3</v>
      </c>
      <c r="J553" s="304">
        <v>0</v>
      </c>
      <c r="K553" s="305">
        <v>0</v>
      </c>
      <c r="L553" s="305">
        <v>0</v>
      </c>
      <c r="M553" s="122">
        <v>0</v>
      </c>
      <c r="N553" s="305">
        <v>0</v>
      </c>
      <c r="O553" s="304">
        <v>0</v>
      </c>
      <c r="P553" s="122">
        <v>0</v>
      </c>
      <c r="Q553" s="253">
        <v>0</v>
      </c>
      <c r="R553" s="122">
        <v>0</v>
      </c>
      <c r="S553" s="305">
        <v>0</v>
      </c>
      <c r="T553" s="120">
        <v>0</v>
      </c>
      <c r="U553" s="313">
        <v>0</v>
      </c>
      <c r="V553" s="120">
        <v>0</v>
      </c>
      <c r="W553" s="296">
        <v>0</v>
      </c>
      <c r="X553" s="296">
        <v>0</v>
      </c>
      <c r="Y553" s="511">
        <v>1.8656716417910447E-3</v>
      </c>
    </row>
    <row r="554" spans="1:25" s="306" customFormat="1" ht="15.75" x14ac:dyDescent="0.25">
      <c r="A554" s="142"/>
      <c r="B554" s="143" t="s">
        <v>293</v>
      </c>
      <c r="C554" s="300">
        <v>400</v>
      </c>
      <c r="D554" s="300"/>
      <c r="E554" s="300">
        <v>0</v>
      </c>
      <c r="F554" s="300">
        <v>0</v>
      </c>
      <c r="G554" s="300">
        <v>0</v>
      </c>
      <c r="H554" s="134">
        <v>0</v>
      </c>
      <c r="I554" s="300">
        <v>400</v>
      </c>
      <c r="J554" s="299">
        <v>0</v>
      </c>
      <c r="K554" s="300">
        <v>0</v>
      </c>
      <c r="L554" s="300">
        <v>0</v>
      </c>
      <c r="M554" s="134">
        <v>0</v>
      </c>
      <c r="N554" s="300">
        <v>0</v>
      </c>
      <c r="O554" s="299">
        <v>0</v>
      </c>
      <c r="P554" s="134">
        <v>0</v>
      </c>
      <c r="Q554" s="301"/>
      <c r="R554" s="134">
        <v>0</v>
      </c>
      <c r="S554" s="300"/>
      <c r="T554" s="132"/>
      <c r="U554" s="311"/>
      <c r="V554" s="132"/>
      <c r="W554" s="296"/>
      <c r="X554" s="296"/>
      <c r="Y554" s="306">
        <v>400</v>
      </c>
    </row>
    <row r="555" spans="1:25" ht="15.75" x14ac:dyDescent="0.25">
      <c r="A555" s="142"/>
      <c r="B555" s="144" t="s">
        <v>294</v>
      </c>
      <c r="C555" s="303">
        <v>430</v>
      </c>
      <c r="D555" s="303"/>
      <c r="E555" s="303">
        <v>0</v>
      </c>
      <c r="F555" s="303">
        <v>0</v>
      </c>
      <c r="G555" s="303">
        <v>0</v>
      </c>
      <c r="H555" s="119">
        <v>0</v>
      </c>
      <c r="I555" s="303">
        <v>430</v>
      </c>
      <c r="J555" s="302">
        <v>0</v>
      </c>
      <c r="K555" s="303">
        <v>0</v>
      </c>
      <c r="L555" s="303">
        <v>0</v>
      </c>
      <c r="M555" s="119">
        <v>0</v>
      </c>
      <c r="N555" s="303">
        <v>0</v>
      </c>
      <c r="O555" s="302">
        <v>0</v>
      </c>
      <c r="P555" s="119">
        <v>0</v>
      </c>
      <c r="Q555" s="173"/>
      <c r="R555" s="119">
        <v>0</v>
      </c>
      <c r="S555" s="303"/>
      <c r="T555" s="117"/>
      <c r="U555" s="312"/>
      <c r="V555" s="117"/>
      <c r="W555" s="296"/>
      <c r="X555" s="296"/>
      <c r="Y555" s="511">
        <v>430</v>
      </c>
    </row>
    <row r="556" spans="1:25" ht="15.75" x14ac:dyDescent="0.25">
      <c r="A556" s="142"/>
      <c r="B556" s="145" t="s">
        <v>295</v>
      </c>
      <c r="C556" s="305">
        <v>7.4999999999999997E-2</v>
      </c>
      <c r="D556" s="305">
        <v>0</v>
      </c>
      <c r="E556" s="305">
        <v>0</v>
      </c>
      <c r="F556" s="305">
        <v>0</v>
      </c>
      <c r="G556" s="305">
        <v>0</v>
      </c>
      <c r="H556" s="122">
        <v>0</v>
      </c>
      <c r="I556" s="305">
        <v>7.4999999999999997E-2</v>
      </c>
      <c r="J556" s="304">
        <v>0</v>
      </c>
      <c r="K556" s="305">
        <v>0</v>
      </c>
      <c r="L556" s="305">
        <v>0</v>
      </c>
      <c r="M556" s="122">
        <v>0</v>
      </c>
      <c r="N556" s="305">
        <v>0</v>
      </c>
      <c r="O556" s="304">
        <v>0</v>
      </c>
      <c r="P556" s="122">
        <v>0</v>
      </c>
      <c r="Q556" s="253">
        <v>0</v>
      </c>
      <c r="R556" s="122">
        <v>0</v>
      </c>
      <c r="S556" s="305">
        <v>0</v>
      </c>
      <c r="T556" s="120">
        <v>0</v>
      </c>
      <c r="U556" s="313">
        <v>0</v>
      </c>
      <c r="V556" s="120">
        <v>0</v>
      </c>
      <c r="W556" s="296">
        <v>0</v>
      </c>
      <c r="X556" s="296">
        <v>0</v>
      </c>
      <c r="Y556" s="511">
        <v>7.4999999999999997E-2</v>
      </c>
    </row>
    <row r="557" spans="1:25" s="306" customFormat="1" ht="15.75" x14ac:dyDescent="0.25">
      <c r="A557" s="142"/>
      <c r="B557" s="143" t="s">
        <v>296</v>
      </c>
      <c r="C557" s="300">
        <v>160</v>
      </c>
      <c r="D557" s="300"/>
      <c r="E557" s="300"/>
      <c r="F557" s="300"/>
      <c r="G557" s="300"/>
      <c r="H557" s="134"/>
      <c r="I557" s="300">
        <v>160</v>
      </c>
      <c r="J557" s="299"/>
      <c r="K557" s="300"/>
      <c r="L557" s="300"/>
      <c r="M557" s="134"/>
      <c r="N557" s="300"/>
      <c r="O557" s="299"/>
      <c r="P557" s="134"/>
      <c r="Q557" s="301"/>
      <c r="R557" s="134"/>
      <c r="S557" s="300"/>
      <c r="T557" s="132"/>
      <c r="U557" s="311"/>
      <c r="V557" s="132"/>
      <c r="W557" s="296"/>
      <c r="X557" s="296"/>
      <c r="Y557" s="306">
        <v>160</v>
      </c>
    </row>
    <row r="558" spans="1:25" ht="15.75" x14ac:dyDescent="0.25">
      <c r="A558" s="142"/>
      <c r="B558" s="144" t="s">
        <v>297</v>
      </c>
      <c r="C558" s="303">
        <v>186</v>
      </c>
      <c r="D558" s="303"/>
      <c r="E558" s="303"/>
      <c r="F558" s="303"/>
      <c r="G558" s="303"/>
      <c r="H558" s="119"/>
      <c r="I558" s="303">
        <v>186</v>
      </c>
      <c r="J558" s="302"/>
      <c r="K558" s="303"/>
      <c r="L558" s="303"/>
      <c r="M558" s="119"/>
      <c r="N558" s="303"/>
      <c r="O558" s="302"/>
      <c r="P558" s="119"/>
      <c r="Q558" s="173"/>
      <c r="R558" s="119"/>
      <c r="S558" s="303"/>
      <c r="T558" s="117"/>
      <c r="U558" s="312"/>
      <c r="V558" s="117"/>
      <c r="W558" s="296"/>
      <c r="X558" s="296"/>
      <c r="Y558" s="511">
        <v>186</v>
      </c>
    </row>
    <row r="559" spans="1:25" ht="15.75" x14ac:dyDescent="0.25">
      <c r="A559" s="142"/>
      <c r="B559" s="145" t="s">
        <v>298</v>
      </c>
      <c r="C559" s="305">
        <v>0.16250000000000001</v>
      </c>
      <c r="D559" s="305">
        <v>0</v>
      </c>
      <c r="E559" s="305">
        <v>0</v>
      </c>
      <c r="F559" s="305">
        <v>0</v>
      </c>
      <c r="G559" s="305">
        <v>0</v>
      </c>
      <c r="H559" s="122">
        <v>0</v>
      </c>
      <c r="I559" s="305">
        <v>0.16250000000000001</v>
      </c>
      <c r="J559" s="304">
        <v>0</v>
      </c>
      <c r="K559" s="305">
        <v>0</v>
      </c>
      <c r="L559" s="305">
        <v>0</v>
      </c>
      <c r="M559" s="122">
        <v>0</v>
      </c>
      <c r="N559" s="305">
        <v>0</v>
      </c>
      <c r="O559" s="304">
        <v>0</v>
      </c>
      <c r="P559" s="122">
        <v>0</v>
      </c>
      <c r="Q559" s="253">
        <v>0</v>
      </c>
      <c r="R559" s="122">
        <v>0</v>
      </c>
      <c r="S559" s="305">
        <v>0</v>
      </c>
      <c r="T559" s="120">
        <v>0</v>
      </c>
      <c r="U559" s="313">
        <v>0</v>
      </c>
      <c r="V559" s="120">
        <v>0</v>
      </c>
      <c r="W559" s="296">
        <v>0</v>
      </c>
      <c r="X559" s="296">
        <v>0</v>
      </c>
      <c r="Y559" s="511">
        <v>0.16250000000000001</v>
      </c>
    </row>
    <row r="560" spans="1:25" s="306" customFormat="1" ht="15.75" x14ac:dyDescent="0.25">
      <c r="A560" s="142"/>
      <c r="B560" s="143" t="s">
        <v>299</v>
      </c>
      <c r="C560" s="300">
        <v>164</v>
      </c>
      <c r="D560" s="300"/>
      <c r="E560" s="300"/>
      <c r="F560" s="300"/>
      <c r="G560" s="300"/>
      <c r="H560" s="134"/>
      <c r="I560" s="300">
        <v>164</v>
      </c>
      <c r="J560" s="299"/>
      <c r="K560" s="300"/>
      <c r="L560" s="300"/>
      <c r="M560" s="134"/>
      <c r="N560" s="300"/>
      <c r="O560" s="299"/>
      <c r="P560" s="134"/>
      <c r="Q560" s="301"/>
      <c r="R560" s="134"/>
      <c r="S560" s="300"/>
      <c r="T560" s="132"/>
      <c r="U560" s="311"/>
      <c r="V560" s="132"/>
      <c r="W560" s="296"/>
      <c r="X560" s="296"/>
      <c r="Y560" s="306">
        <v>164</v>
      </c>
    </row>
    <row r="561" spans="1:25" ht="15.75" x14ac:dyDescent="0.25">
      <c r="A561" s="142"/>
      <c r="B561" s="144" t="s">
        <v>300</v>
      </c>
      <c r="C561" s="303">
        <v>156</v>
      </c>
      <c r="D561" s="303"/>
      <c r="E561" s="303"/>
      <c r="F561" s="303"/>
      <c r="G561" s="303"/>
      <c r="H561" s="119"/>
      <c r="I561" s="303">
        <v>156</v>
      </c>
      <c r="J561" s="302"/>
      <c r="K561" s="303"/>
      <c r="L561" s="303"/>
      <c r="M561" s="119"/>
      <c r="N561" s="303"/>
      <c r="O561" s="302"/>
      <c r="P561" s="119"/>
      <c r="Q561" s="173"/>
      <c r="R561" s="119"/>
      <c r="S561" s="303"/>
      <c r="T561" s="117"/>
      <c r="U561" s="312"/>
      <c r="V561" s="117"/>
      <c r="W561" s="296"/>
      <c r="X561" s="296"/>
      <c r="Y561" s="511">
        <v>156</v>
      </c>
    </row>
    <row r="562" spans="1:25" ht="15.75" x14ac:dyDescent="0.25">
      <c r="A562" s="142"/>
      <c r="B562" s="145" t="s">
        <v>301</v>
      </c>
      <c r="C562" s="305">
        <v>-4.878048780487805E-2</v>
      </c>
      <c r="D562" s="305">
        <v>0</v>
      </c>
      <c r="E562" s="305">
        <v>0</v>
      </c>
      <c r="F562" s="305">
        <v>0</v>
      </c>
      <c r="G562" s="305">
        <v>0</v>
      </c>
      <c r="H562" s="122">
        <v>0</v>
      </c>
      <c r="I562" s="305">
        <v>-4.878048780487805E-2</v>
      </c>
      <c r="J562" s="304">
        <v>0</v>
      </c>
      <c r="K562" s="305">
        <v>0</v>
      </c>
      <c r="L562" s="305">
        <v>0</v>
      </c>
      <c r="M562" s="122">
        <v>0</v>
      </c>
      <c r="N562" s="305">
        <v>0</v>
      </c>
      <c r="O562" s="304">
        <v>0</v>
      </c>
      <c r="P562" s="122">
        <v>0</v>
      </c>
      <c r="Q562" s="253">
        <v>0</v>
      </c>
      <c r="R562" s="122">
        <v>0</v>
      </c>
      <c r="S562" s="305">
        <v>0</v>
      </c>
      <c r="T562" s="120">
        <v>0</v>
      </c>
      <c r="U562" s="313">
        <v>0</v>
      </c>
      <c r="V562" s="120">
        <v>0</v>
      </c>
      <c r="W562" s="296">
        <v>0</v>
      </c>
      <c r="X562" s="296">
        <v>0</v>
      </c>
      <c r="Y562" s="511">
        <v>-4.878048780487805E-2</v>
      </c>
    </row>
    <row r="563" spans="1:25" s="306" customFormat="1" ht="15.75" x14ac:dyDescent="0.25">
      <c r="A563" s="142"/>
      <c r="B563" s="143" t="s">
        <v>302</v>
      </c>
      <c r="C563" s="300">
        <v>62</v>
      </c>
      <c r="D563" s="300"/>
      <c r="E563" s="300"/>
      <c r="F563" s="300"/>
      <c r="G563" s="300"/>
      <c r="H563" s="134"/>
      <c r="I563" s="300">
        <v>62</v>
      </c>
      <c r="J563" s="299"/>
      <c r="K563" s="300"/>
      <c r="L563" s="300"/>
      <c r="M563" s="134"/>
      <c r="N563" s="300"/>
      <c r="O563" s="299"/>
      <c r="P563" s="134"/>
      <c r="Q563" s="301"/>
      <c r="R563" s="134"/>
      <c r="S563" s="300"/>
      <c r="T563" s="132"/>
      <c r="U563" s="311"/>
      <c r="V563" s="132"/>
      <c r="W563" s="296"/>
      <c r="X563" s="296"/>
      <c r="Y563" s="306">
        <v>62</v>
      </c>
    </row>
    <row r="564" spans="1:25" ht="15.75" x14ac:dyDescent="0.25">
      <c r="A564" s="142"/>
      <c r="B564" s="144" t="s">
        <v>303</v>
      </c>
      <c r="C564" s="303">
        <v>58</v>
      </c>
      <c r="D564" s="303"/>
      <c r="E564" s="303"/>
      <c r="F564" s="303"/>
      <c r="G564" s="303"/>
      <c r="H564" s="119"/>
      <c r="I564" s="303">
        <v>58</v>
      </c>
      <c r="J564" s="302"/>
      <c r="K564" s="303"/>
      <c r="L564" s="303"/>
      <c r="M564" s="119"/>
      <c r="N564" s="303"/>
      <c r="O564" s="302"/>
      <c r="P564" s="119"/>
      <c r="Q564" s="173"/>
      <c r="R564" s="119"/>
      <c r="S564" s="303"/>
      <c r="T564" s="117"/>
      <c r="U564" s="312"/>
      <c r="V564" s="117"/>
      <c r="W564" s="296"/>
      <c r="X564" s="296"/>
      <c r="Y564" s="511">
        <v>58</v>
      </c>
    </row>
    <row r="565" spans="1:25" ht="15.75" x14ac:dyDescent="0.25">
      <c r="A565" s="142"/>
      <c r="B565" s="145" t="s">
        <v>304</v>
      </c>
      <c r="C565" s="305">
        <v>-6.4516129032258063E-2</v>
      </c>
      <c r="D565" s="305">
        <v>0</v>
      </c>
      <c r="E565" s="305">
        <v>0</v>
      </c>
      <c r="F565" s="305">
        <v>0</v>
      </c>
      <c r="G565" s="305">
        <v>0</v>
      </c>
      <c r="H565" s="122">
        <v>0</v>
      </c>
      <c r="I565" s="305">
        <v>-6.4516129032258063E-2</v>
      </c>
      <c r="J565" s="304">
        <v>0</v>
      </c>
      <c r="K565" s="305">
        <v>0</v>
      </c>
      <c r="L565" s="305">
        <v>0</v>
      </c>
      <c r="M565" s="122">
        <v>0</v>
      </c>
      <c r="N565" s="305">
        <v>0</v>
      </c>
      <c r="O565" s="304">
        <v>0</v>
      </c>
      <c r="P565" s="122">
        <v>0</v>
      </c>
      <c r="Q565" s="253">
        <v>0</v>
      </c>
      <c r="R565" s="122">
        <v>0</v>
      </c>
      <c r="S565" s="305">
        <v>0</v>
      </c>
      <c r="T565" s="120">
        <v>0</v>
      </c>
      <c r="U565" s="313">
        <v>0</v>
      </c>
      <c r="V565" s="120">
        <v>0</v>
      </c>
      <c r="W565" s="296">
        <v>0</v>
      </c>
      <c r="X565" s="296">
        <v>0</v>
      </c>
      <c r="Y565" s="511">
        <v>-6.4516129032258063E-2</v>
      </c>
    </row>
    <row r="566" spans="1:25" s="306" customFormat="1" ht="15.75" x14ac:dyDescent="0.25">
      <c r="A566" s="142"/>
      <c r="B566" s="143" t="s">
        <v>305</v>
      </c>
      <c r="C566" s="300">
        <v>120</v>
      </c>
      <c r="D566" s="300"/>
      <c r="E566" s="300"/>
      <c r="F566" s="300"/>
      <c r="G566" s="300">
        <v>80</v>
      </c>
      <c r="H566" s="134"/>
      <c r="I566" s="300">
        <v>200</v>
      </c>
      <c r="J566" s="299"/>
      <c r="K566" s="300"/>
      <c r="L566" s="300"/>
      <c r="M566" s="134"/>
      <c r="N566" s="300"/>
      <c r="O566" s="299"/>
      <c r="P566" s="134"/>
      <c r="Q566" s="301"/>
      <c r="R566" s="134"/>
      <c r="S566" s="300"/>
      <c r="T566" s="132"/>
      <c r="U566" s="311"/>
      <c r="V566" s="132"/>
      <c r="W566" s="296"/>
      <c r="X566" s="296"/>
      <c r="Y566" s="306">
        <v>200</v>
      </c>
    </row>
    <row r="567" spans="1:25" ht="15.75" x14ac:dyDescent="0.25">
      <c r="A567" s="142"/>
      <c r="B567" s="144" t="s">
        <v>306</v>
      </c>
      <c r="C567" s="303">
        <v>116</v>
      </c>
      <c r="D567" s="303"/>
      <c r="E567" s="303"/>
      <c r="F567" s="303"/>
      <c r="G567" s="303">
        <v>77</v>
      </c>
      <c r="H567" s="119"/>
      <c r="I567" s="303">
        <v>193</v>
      </c>
      <c r="J567" s="302"/>
      <c r="K567" s="303"/>
      <c r="L567" s="303"/>
      <c r="M567" s="119"/>
      <c r="N567" s="303"/>
      <c r="O567" s="302"/>
      <c r="P567" s="119"/>
      <c r="Q567" s="173"/>
      <c r="R567" s="119"/>
      <c r="S567" s="303"/>
      <c r="T567" s="117"/>
      <c r="U567" s="312"/>
      <c r="V567" s="117"/>
      <c r="W567" s="296"/>
      <c r="X567" s="296"/>
      <c r="Y567" s="511">
        <v>193</v>
      </c>
    </row>
    <row r="568" spans="1:25" ht="15.75" x14ac:dyDescent="0.25">
      <c r="A568" s="142"/>
      <c r="B568" s="145" t="s">
        <v>307</v>
      </c>
      <c r="C568" s="305">
        <v>-3.3333333333333333E-2</v>
      </c>
      <c r="D568" s="305">
        <v>0</v>
      </c>
      <c r="E568" s="305">
        <v>0</v>
      </c>
      <c r="F568" s="305">
        <v>0</v>
      </c>
      <c r="G568" s="305">
        <v>-3.7499999999999999E-2</v>
      </c>
      <c r="H568" s="122">
        <v>0</v>
      </c>
      <c r="I568" s="305">
        <v>-3.5000000000000003E-2</v>
      </c>
      <c r="J568" s="304">
        <v>0</v>
      </c>
      <c r="K568" s="305">
        <v>0</v>
      </c>
      <c r="L568" s="305">
        <v>0</v>
      </c>
      <c r="M568" s="122">
        <v>0</v>
      </c>
      <c r="N568" s="305">
        <v>0</v>
      </c>
      <c r="O568" s="304">
        <v>0</v>
      </c>
      <c r="P568" s="122">
        <v>0</v>
      </c>
      <c r="Q568" s="253">
        <v>0</v>
      </c>
      <c r="R568" s="122">
        <v>0</v>
      </c>
      <c r="S568" s="305">
        <v>0</v>
      </c>
      <c r="T568" s="120">
        <v>0</v>
      </c>
      <c r="U568" s="313">
        <v>0</v>
      </c>
      <c r="V568" s="120">
        <v>0</v>
      </c>
      <c r="W568" s="296">
        <v>0</v>
      </c>
      <c r="X568" s="296">
        <v>0</v>
      </c>
      <c r="Y568" s="511">
        <v>-3.5000000000000003E-2</v>
      </c>
    </row>
    <row r="569" spans="1:25" s="306" customFormat="1" ht="15.75" x14ac:dyDescent="0.25">
      <c r="A569" s="142"/>
      <c r="B569" s="143" t="s">
        <v>308</v>
      </c>
      <c r="C569" s="300"/>
      <c r="D569" s="300"/>
      <c r="E569" s="300"/>
      <c r="F569" s="300"/>
      <c r="G569" s="300"/>
      <c r="H569" s="134"/>
      <c r="I569" s="300"/>
      <c r="J569" s="299"/>
      <c r="K569" s="300"/>
      <c r="L569" s="300"/>
      <c r="M569" s="134"/>
      <c r="N569" s="300"/>
      <c r="O569" s="299"/>
      <c r="P569" s="134"/>
      <c r="Q569" s="301"/>
      <c r="R569" s="134"/>
      <c r="S569" s="300"/>
      <c r="T569" s="132"/>
      <c r="U569" s="311"/>
      <c r="V569" s="132"/>
      <c r="W569" s="296"/>
      <c r="X569" s="296"/>
    </row>
    <row r="570" spans="1:25" ht="15.75" x14ac:dyDescent="0.25">
      <c r="A570" s="142"/>
      <c r="B570" s="144" t="s">
        <v>309</v>
      </c>
      <c r="C570" s="303"/>
      <c r="D570" s="303"/>
      <c r="E570" s="303"/>
      <c r="F570" s="303"/>
      <c r="G570" s="303"/>
      <c r="H570" s="119"/>
      <c r="I570" s="303"/>
      <c r="J570" s="302"/>
      <c r="K570" s="303"/>
      <c r="L570" s="303"/>
      <c r="M570" s="119"/>
      <c r="N570" s="303"/>
      <c r="O570" s="302"/>
      <c r="P570" s="119"/>
      <c r="Q570" s="173"/>
      <c r="R570" s="119"/>
      <c r="S570" s="303"/>
      <c r="T570" s="117"/>
      <c r="U570" s="312"/>
      <c r="V570" s="117"/>
      <c r="W570" s="296"/>
      <c r="X570" s="296"/>
    </row>
    <row r="571" spans="1:25" ht="15.75" x14ac:dyDescent="0.25">
      <c r="A571" s="142"/>
      <c r="B571" s="145" t="s">
        <v>310</v>
      </c>
      <c r="C571" s="305">
        <v>0</v>
      </c>
      <c r="D571" s="305">
        <v>0</v>
      </c>
      <c r="E571" s="305">
        <v>0</v>
      </c>
      <c r="F571" s="305">
        <v>0</v>
      </c>
      <c r="G571" s="305">
        <v>0</v>
      </c>
      <c r="H571" s="122">
        <v>0</v>
      </c>
      <c r="I571" s="305">
        <v>0</v>
      </c>
      <c r="J571" s="304">
        <v>0</v>
      </c>
      <c r="K571" s="305">
        <v>0</v>
      </c>
      <c r="L571" s="305">
        <v>0</v>
      </c>
      <c r="M571" s="122">
        <v>0</v>
      </c>
      <c r="N571" s="305">
        <v>0</v>
      </c>
      <c r="O571" s="304">
        <v>0</v>
      </c>
      <c r="P571" s="122">
        <v>0</v>
      </c>
      <c r="Q571" s="253">
        <v>0</v>
      </c>
      <c r="R571" s="122">
        <v>0</v>
      </c>
      <c r="S571" s="305">
        <v>0</v>
      </c>
      <c r="T571" s="120">
        <v>0</v>
      </c>
      <c r="U571" s="313">
        <v>0</v>
      </c>
      <c r="V571" s="120">
        <v>0</v>
      </c>
      <c r="W571" s="296">
        <v>0</v>
      </c>
      <c r="X571" s="296">
        <v>0</v>
      </c>
      <c r="Y571" s="511">
        <v>0</v>
      </c>
    </row>
    <row r="572" spans="1:25" s="306" customFormat="1" ht="15.75" x14ac:dyDescent="0.25">
      <c r="A572" s="142"/>
      <c r="B572" s="143" t="s">
        <v>311</v>
      </c>
      <c r="C572" s="300"/>
      <c r="D572" s="300"/>
      <c r="E572" s="300">
        <v>26</v>
      </c>
      <c r="F572" s="300"/>
      <c r="G572" s="300"/>
      <c r="H572" s="134"/>
      <c r="I572" s="300">
        <v>26</v>
      </c>
      <c r="J572" s="299"/>
      <c r="K572" s="300"/>
      <c r="L572" s="300"/>
      <c r="M572" s="134"/>
      <c r="N572" s="300"/>
      <c r="O572" s="299"/>
      <c r="P572" s="134"/>
      <c r="Q572" s="301"/>
      <c r="R572" s="134"/>
      <c r="S572" s="300"/>
      <c r="T572" s="132"/>
      <c r="U572" s="311"/>
      <c r="V572" s="132"/>
      <c r="W572" s="296"/>
      <c r="X572" s="296"/>
      <c r="Y572" s="306">
        <v>26</v>
      </c>
    </row>
    <row r="573" spans="1:25" ht="15.75" x14ac:dyDescent="0.25">
      <c r="A573" s="142"/>
      <c r="B573" s="144" t="s">
        <v>312</v>
      </c>
      <c r="C573" s="303"/>
      <c r="D573" s="303"/>
      <c r="E573" s="303">
        <v>27</v>
      </c>
      <c r="F573" s="303"/>
      <c r="G573" s="303"/>
      <c r="H573" s="119"/>
      <c r="I573" s="303">
        <v>27</v>
      </c>
      <c r="J573" s="302"/>
      <c r="K573" s="303"/>
      <c r="L573" s="303"/>
      <c r="M573" s="119"/>
      <c r="N573" s="303"/>
      <c r="O573" s="302"/>
      <c r="P573" s="119"/>
      <c r="Q573" s="173"/>
      <c r="R573" s="119"/>
      <c r="S573" s="303"/>
      <c r="T573" s="117"/>
      <c r="U573" s="312"/>
      <c r="V573" s="117"/>
      <c r="W573" s="296"/>
      <c r="X573" s="296"/>
      <c r="Y573" s="511">
        <v>27</v>
      </c>
    </row>
    <row r="574" spans="1:25" ht="15.75" x14ac:dyDescent="0.25">
      <c r="A574" s="142"/>
      <c r="B574" s="145" t="s">
        <v>313</v>
      </c>
      <c r="C574" s="305">
        <v>0</v>
      </c>
      <c r="D574" s="305">
        <v>0</v>
      </c>
      <c r="E574" s="305">
        <v>3.8461538461538464E-2</v>
      </c>
      <c r="F574" s="305">
        <v>0</v>
      </c>
      <c r="G574" s="305">
        <v>0</v>
      </c>
      <c r="H574" s="122">
        <v>0</v>
      </c>
      <c r="I574" s="305">
        <v>3.8461538461538464E-2</v>
      </c>
      <c r="J574" s="304">
        <v>0</v>
      </c>
      <c r="K574" s="305">
        <v>0</v>
      </c>
      <c r="L574" s="305">
        <v>0</v>
      </c>
      <c r="M574" s="122">
        <v>0</v>
      </c>
      <c r="N574" s="305">
        <v>0</v>
      </c>
      <c r="O574" s="304">
        <v>0</v>
      </c>
      <c r="P574" s="122">
        <v>0</v>
      </c>
      <c r="Q574" s="253">
        <v>0</v>
      </c>
      <c r="R574" s="122">
        <v>0</v>
      </c>
      <c r="S574" s="305">
        <v>0</v>
      </c>
      <c r="T574" s="120">
        <v>0</v>
      </c>
      <c r="U574" s="313">
        <v>0</v>
      </c>
      <c r="V574" s="120">
        <v>0</v>
      </c>
      <c r="W574" s="296">
        <v>0</v>
      </c>
      <c r="X574" s="296">
        <v>0</v>
      </c>
      <c r="Y574" s="511">
        <v>3.8461538461538464E-2</v>
      </c>
    </row>
    <row r="575" spans="1:25" s="306" customFormat="1" ht="15.75" x14ac:dyDescent="0.25">
      <c r="A575" s="142"/>
      <c r="B575" s="143" t="s">
        <v>314</v>
      </c>
      <c r="C575" s="300">
        <v>82</v>
      </c>
      <c r="D575" s="300"/>
      <c r="E575" s="300"/>
      <c r="F575" s="300"/>
      <c r="G575" s="300"/>
      <c r="H575" s="134"/>
      <c r="I575" s="300">
        <v>82</v>
      </c>
      <c r="J575" s="299"/>
      <c r="K575" s="300"/>
      <c r="L575" s="300"/>
      <c r="M575" s="134"/>
      <c r="N575" s="300"/>
      <c r="O575" s="299"/>
      <c r="P575" s="134"/>
      <c r="Q575" s="301"/>
      <c r="R575" s="134"/>
      <c r="S575" s="300"/>
      <c r="T575" s="132"/>
      <c r="U575" s="311"/>
      <c r="V575" s="132"/>
      <c r="W575" s="296"/>
      <c r="X575" s="296"/>
      <c r="Y575" s="306">
        <v>82</v>
      </c>
    </row>
    <row r="576" spans="1:25" ht="15.75" x14ac:dyDescent="0.25">
      <c r="A576" s="142"/>
      <c r="B576" s="144" t="s">
        <v>315</v>
      </c>
      <c r="C576" s="303">
        <v>83</v>
      </c>
      <c r="D576" s="303"/>
      <c r="E576" s="303"/>
      <c r="F576" s="303"/>
      <c r="G576" s="303"/>
      <c r="H576" s="119"/>
      <c r="I576" s="303">
        <v>83</v>
      </c>
      <c r="J576" s="302"/>
      <c r="K576" s="303"/>
      <c r="L576" s="303"/>
      <c r="M576" s="119"/>
      <c r="N576" s="303"/>
      <c r="O576" s="302"/>
      <c r="P576" s="119"/>
      <c r="Q576" s="173"/>
      <c r="R576" s="119"/>
      <c r="S576" s="303"/>
      <c r="T576" s="117"/>
      <c r="U576" s="312"/>
      <c r="V576" s="117"/>
      <c r="W576" s="296"/>
      <c r="X576" s="296"/>
      <c r="Y576" s="511">
        <v>83</v>
      </c>
    </row>
    <row r="577" spans="1:25" ht="15.75" x14ac:dyDescent="0.25">
      <c r="A577" s="142"/>
      <c r="B577" s="145" t="s">
        <v>316</v>
      </c>
      <c r="C577" s="305">
        <v>1.2195121951219513E-2</v>
      </c>
      <c r="D577" s="305">
        <v>0</v>
      </c>
      <c r="E577" s="305">
        <v>0</v>
      </c>
      <c r="F577" s="305">
        <v>0</v>
      </c>
      <c r="G577" s="305">
        <v>0</v>
      </c>
      <c r="H577" s="122">
        <v>0</v>
      </c>
      <c r="I577" s="305">
        <v>1.2195121951219513E-2</v>
      </c>
      <c r="J577" s="304">
        <v>0</v>
      </c>
      <c r="K577" s="305">
        <v>0</v>
      </c>
      <c r="L577" s="305">
        <v>0</v>
      </c>
      <c r="M577" s="122">
        <v>0</v>
      </c>
      <c r="N577" s="305">
        <v>0</v>
      </c>
      <c r="O577" s="304">
        <v>0</v>
      </c>
      <c r="P577" s="122">
        <v>0</v>
      </c>
      <c r="Q577" s="253">
        <v>0</v>
      </c>
      <c r="R577" s="122">
        <v>0</v>
      </c>
      <c r="S577" s="305">
        <v>0</v>
      </c>
      <c r="T577" s="120">
        <v>0</v>
      </c>
      <c r="U577" s="313">
        <v>0</v>
      </c>
      <c r="V577" s="120">
        <v>0</v>
      </c>
      <c r="W577" s="296">
        <v>0</v>
      </c>
      <c r="X577" s="296">
        <v>0</v>
      </c>
      <c r="Y577" s="511">
        <v>1.2195121951219513E-2</v>
      </c>
    </row>
    <row r="578" spans="1:25" s="306" customFormat="1" ht="15.75" x14ac:dyDescent="0.25">
      <c r="A578" s="142"/>
      <c r="B578" s="143" t="s">
        <v>317</v>
      </c>
      <c r="C578" s="300">
        <v>83</v>
      </c>
      <c r="D578" s="300"/>
      <c r="E578" s="300"/>
      <c r="F578" s="300"/>
      <c r="G578" s="300"/>
      <c r="H578" s="134"/>
      <c r="I578" s="300">
        <v>83</v>
      </c>
      <c r="J578" s="299"/>
      <c r="K578" s="300"/>
      <c r="L578" s="300"/>
      <c r="M578" s="134"/>
      <c r="N578" s="300"/>
      <c r="O578" s="299"/>
      <c r="P578" s="134"/>
      <c r="Q578" s="301"/>
      <c r="R578" s="134"/>
      <c r="S578" s="300"/>
      <c r="T578" s="132"/>
      <c r="U578" s="311"/>
      <c r="V578" s="132"/>
      <c r="W578" s="296"/>
      <c r="X578" s="296"/>
      <c r="Y578" s="306">
        <v>83</v>
      </c>
    </row>
    <row r="579" spans="1:25" ht="15.75" x14ac:dyDescent="0.25">
      <c r="A579" s="142"/>
      <c r="B579" s="144" t="s">
        <v>318</v>
      </c>
      <c r="C579" s="303">
        <v>84</v>
      </c>
      <c r="D579" s="303"/>
      <c r="E579" s="303"/>
      <c r="F579" s="303"/>
      <c r="G579" s="303"/>
      <c r="H579" s="119"/>
      <c r="I579" s="303">
        <v>84</v>
      </c>
      <c r="J579" s="302"/>
      <c r="K579" s="303"/>
      <c r="L579" s="303"/>
      <c r="M579" s="119"/>
      <c r="N579" s="303"/>
      <c r="O579" s="302"/>
      <c r="P579" s="119"/>
      <c r="Q579" s="173"/>
      <c r="R579" s="119"/>
      <c r="S579" s="303"/>
      <c r="T579" s="117"/>
      <c r="U579" s="312"/>
      <c r="V579" s="117"/>
      <c r="W579" s="296"/>
      <c r="X579" s="296"/>
      <c r="Y579" s="511">
        <v>84</v>
      </c>
    </row>
    <row r="580" spans="1:25" ht="15.75" x14ac:dyDescent="0.25">
      <c r="A580" s="142"/>
      <c r="B580" s="145" t="s">
        <v>319</v>
      </c>
      <c r="C580" s="305">
        <v>1.2048192771084338E-2</v>
      </c>
      <c r="D580" s="305">
        <v>0</v>
      </c>
      <c r="E580" s="305">
        <v>0</v>
      </c>
      <c r="F580" s="305">
        <v>0</v>
      </c>
      <c r="G580" s="305">
        <v>0</v>
      </c>
      <c r="H580" s="122">
        <v>0</v>
      </c>
      <c r="I580" s="305">
        <v>1.2048192771084338E-2</v>
      </c>
      <c r="J580" s="304">
        <v>0</v>
      </c>
      <c r="K580" s="305">
        <v>0</v>
      </c>
      <c r="L580" s="305">
        <v>0</v>
      </c>
      <c r="M580" s="122">
        <v>0</v>
      </c>
      <c r="N580" s="305">
        <v>0</v>
      </c>
      <c r="O580" s="304">
        <v>0</v>
      </c>
      <c r="P580" s="122">
        <v>0</v>
      </c>
      <c r="Q580" s="253">
        <v>0</v>
      </c>
      <c r="R580" s="122">
        <v>0</v>
      </c>
      <c r="S580" s="305">
        <v>0</v>
      </c>
      <c r="T580" s="120">
        <v>0</v>
      </c>
      <c r="U580" s="313">
        <v>0</v>
      </c>
      <c r="V580" s="120">
        <v>0</v>
      </c>
      <c r="W580" s="296">
        <v>0</v>
      </c>
      <c r="X580" s="296">
        <v>0</v>
      </c>
      <c r="Y580" s="511">
        <v>1.2048192771084338E-2</v>
      </c>
    </row>
    <row r="581" spans="1:25" s="306" customFormat="1" ht="15.75" x14ac:dyDescent="0.25">
      <c r="A581" s="142"/>
      <c r="B581" s="143" t="s">
        <v>320</v>
      </c>
      <c r="C581" s="300"/>
      <c r="D581" s="300"/>
      <c r="E581" s="300"/>
      <c r="F581" s="300"/>
      <c r="G581" s="300"/>
      <c r="H581" s="134"/>
      <c r="I581" s="300"/>
      <c r="J581" s="299"/>
      <c r="K581" s="300"/>
      <c r="L581" s="300"/>
      <c r="M581" s="134"/>
      <c r="N581" s="300"/>
      <c r="O581" s="299"/>
      <c r="P581" s="134"/>
      <c r="Q581" s="301"/>
      <c r="R581" s="134"/>
      <c r="S581" s="300"/>
      <c r="T581" s="132"/>
      <c r="U581" s="311"/>
      <c r="V581" s="132"/>
      <c r="W581" s="296"/>
      <c r="X581" s="296"/>
    </row>
    <row r="582" spans="1:25" ht="15.75" x14ac:dyDescent="0.25">
      <c r="A582" s="142"/>
      <c r="B582" s="144" t="s">
        <v>321</v>
      </c>
      <c r="C582" s="303"/>
      <c r="D582" s="303"/>
      <c r="E582" s="303"/>
      <c r="F582" s="303"/>
      <c r="G582" s="303"/>
      <c r="H582" s="119"/>
      <c r="I582" s="303"/>
      <c r="J582" s="302"/>
      <c r="K582" s="303"/>
      <c r="L582" s="303"/>
      <c r="M582" s="119"/>
      <c r="N582" s="303"/>
      <c r="O582" s="302"/>
      <c r="P582" s="119"/>
      <c r="Q582" s="173"/>
      <c r="R582" s="119"/>
      <c r="S582" s="303"/>
      <c r="T582" s="117"/>
      <c r="U582" s="312"/>
      <c r="V582" s="117"/>
      <c r="W582" s="296"/>
      <c r="X582" s="296"/>
    </row>
    <row r="583" spans="1:25" ht="15.75" x14ac:dyDescent="0.25">
      <c r="A583" s="142"/>
      <c r="B583" s="145" t="s">
        <v>322</v>
      </c>
      <c r="C583" s="305">
        <v>0</v>
      </c>
      <c r="D583" s="305">
        <v>0</v>
      </c>
      <c r="E583" s="305">
        <v>0</v>
      </c>
      <c r="F583" s="305">
        <v>0</v>
      </c>
      <c r="G583" s="305">
        <v>0</v>
      </c>
      <c r="H583" s="122">
        <v>0</v>
      </c>
      <c r="I583" s="305">
        <v>0</v>
      </c>
      <c r="J583" s="304">
        <v>0</v>
      </c>
      <c r="K583" s="305">
        <v>0</v>
      </c>
      <c r="L583" s="305">
        <v>0</v>
      </c>
      <c r="M583" s="122">
        <v>0</v>
      </c>
      <c r="N583" s="305">
        <v>0</v>
      </c>
      <c r="O583" s="304">
        <v>0</v>
      </c>
      <c r="P583" s="122">
        <v>0</v>
      </c>
      <c r="Q583" s="253">
        <v>0</v>
      </c>
      <c r="R583" s="122">
        <v>0</v>
      </c>
      <c r="S583" s="305">
        <v>0</v>
      </c>
      <c r="T583" s="120">
        <v>0</v>
      </c>
      <c r="U583" s="313">
        <v>0</v>
      </c>
      <c r="V583" s="120">
        <v>0</v>
      </c>
      <c r="W583" s="296">
        <v>0</v>
      </c>
      <c r="X583" s="296">
        <v>0</v>
      </c>
      <c r="Y583" s="511">
        <v>0</v>
      </c>
    </row>
    <row r="584" spans="1:25" s="306" customFormat="1" ht="15.75" x14ac:dyDescent="0.25">
      <c r="A584" s="142"/>
      <c r="B584" s="143" t="s">
        <v>404</v>
      </c>
      <c r="C584" s="300">
        <v>153</v>
      </c>
      <c r="D584" s="300"/>
      <c r="E584" s="300"/>
      <c r="F584" s="300"/>
      <c r="G584" s="300">
        <v>14</v>
      </c>
      <c r="H584" s="134"/>
      <c r="I584" s="300">
        <v>167</v>
      </c>
      <c r="J584" s="299"/>
      <c r="K584" s="300"/>
      <c r="L584" s="300"/>
      <c r="M584" s="134"/>
      <c r="N584" s="300"/>
      <c r="O584" s="299"/>
      <c r="P584" s="134"/>
      <c r="Q584" s="301"/>
      <c r="R584" s="134"/>
      <c r="S584" s="300"/>
      <c r="T584" s="132"/>
      <c r="U584" s="311"/>
      <c r="V584" s="132"/>
      <c r="W584" s="296"/>
      <c r="X584" s="296"/>
      <c r="Y584" s="306">
        <v>167</v>
      </c>
    </row>
    <row r="585" spans="1:25" ht="16.5" thickBot="1" x14ac:dyDescent="0.3">
      <c r="A585" s="142"/>
      <c r="B585" s="144" t="s">
        <v>406</v>
      </c>
      <c r="C585" s="303">
        <v>131</v>
      </c>
      <c r="D585" s="303"/>
      <c r="E585" s="303"/>
      <c r="F585" s="303"/>
      <c r="G585" s="303">
        <v>0</v>
      </c>
      <c r="H585" s="119"/>
      <c r="I585" s="303">
        <v>131</v>
      </c>
      <c r="J585" s="302"/>
      <c r="K585" s="303"/>
      <c r="L585" s="303"/>
      <c r="M585" s="119"/>
      <c r="N585" s="303"/>
      <c r="O585" s="302"/>
      <c r="P585" s="119"/>
      <c r="Q585" s="173"/>
      <c r="R585" s="119"/>
      <c r="S585" s="303"/>
      <c r="T585" s="117"/>
      <c r="U585" s="312"/>
      <c r="V585" s="117"/>
      <c r="W585" s="296"/>
      <c r="X585" s="296"/>
      <c r="Y585" s="511">
        <v>131</v>
      </c>
    </row>
    <row r="586" spans="1:25" ht="16.5" thickBot="1" x14ac:dyDescent="0.3">
      <c r="A586" s="142"/>
      <c r="B586" s="145" t="s">
        <v>474</v>
      </c>
      <c r="C586" s="724">
        <v>-0.1437908496732026</v>
      </c>
      <c r="D586" s="305">
        <v>0</v>
      </c>
      <c r="E586" s="305">
        <v>0</v>
      </c>
      <c r="F586" s="305">
        <v>0</v>
      </c>
      <c r="G586" s="724">
        <v>-1</v>
      </c>
      <c r="H586" s="122">
        <v>0</v>
      </c>
      <c r="I586" s="305">
        <v>-0.21556886227544911</v>
      </c>
      <c r="J586" s="304">
        <v>0</v>
      </c>
      <c r="K586" s="305">
        <v>0</v>
      </c>
      <c r="L586" s="305">
        <v>0</v>
      </c>
      <c r="M586" s="122">
        <v>0</v>
      </c>
      <c r="N586" s="305">
        <v>0</v>
      </c>
      <c r="O586" s="304">
        <v>0</v>
      </c>
      <c r="P586" s="122">
        <v>0</v>
      </c>
      <c r="Q586" s="253">
        <v>0</v>
      </c>
      <c r="R586" s="122">
        <v>0</v>
      </c>
      <c r="S586" s="305">
        <v>0</v>
      </c>
      <c r="T586" s="120">
        <v>0</v>
      </c>
      <c r="U586" s="313">
        <v>0</v>
      </c>
      <c r="V586" s="120">
        <v>0</v>
      </c>
      <c r="W586" s="296">
        <v>0</v>
      </c>
      <c r="X586" s="296">
        <v>0</v>
      </c>
      <c r="Y586" s="511">
        <v>-0.21556886227544911</v>
      </c>
    </row>
    <row r="587" spans="1:25" s="306" customFormat="1" ht="15.75" x14ac:dyDescent="0.25">
      <c r="A587" s="142"/>
      <c r="B587" s="143" t="s">
        <v>476</v>
      </c>
      <c r="C587" s="300"/>
      <c r="D587" s="300"/>
      <c r="E587" s="300"/>
      <c r="F587" s="300"/>
      <c r="G587" s="300"/>
      <c r="H587" s="134"/>
      <c r="I587" s="300"/>
      <c r="J587" s="299"/>
      <c r="K587" s="300"/>
      <c r="L587" s="300"/>
      <c r="M587" s="134"/>
      <c r="N587" s="300"/>
      <c r="O587" s="299"/>
      <c r="P587" s="134"/>
      <c r="Q587" s="301"/>
      <c r="R587" s="134"/>
      <c r="S587" s="300"/>
      <c r="T587" s="132"/>
      <c r="U587" s="311"/>
      <c r="V587" s="132"/>
      <c r="W587" s="296"/>
      <c r="X587" s="296"/>
    </row>
    <row r="588" spans="1:25" ht="15.75" x14ac:dyDescent="0.25">
      <c r="A588" s="294"/>
      <c r="B588" s="144" t="s">
        <v>472</v>
      </c>
      <c r="C588" s="303"/>
      <c r="D588" s="303"/>
      <c r="E588" s="303"/>
      <c r="F588" s="303"/>
      <c r="G588" s="303"/>
      <c r="H588" s="119"/>
      <c r="I588" s="303"/>
      <c r="J588" s="302"/>
      <c r="K588" s="303"/>
      <c r="L588" s="303"/>
      <c r="M588" s="119"/>
      <c r="N588" s="303"/>
      <c r="O588" s="302"/>
      <c r="P588" s="119"/>
      <c r="Q588" s="173"/>
      <c r="R588" s="119"/>
      <c r="S588" s="303"/>
      <c r="T588" s="117"/>
      <c r="U588" s="312"/>
      <c r="V588" s="117"/>
      <c r="W588" s="296"/>
      <c r="X588" s="296"/>
    </row>
    <row r="589" spans="1:25" ht="15.75" x14ac:dyDescent="0.25">
      <c r="A589" s="141" t="s">
        <v>1125</v>
      </c>
      <c r="B589" s="143" t="s">
        <v>275</v>
      </c>
      <c r="C589" s="300"/>
      <c r="D589" s="300"/>
      <c r="E589" s="300"/>
      <c r="F589" s="300"/>
      <c r="G589" s="300"/>
      <c r="H589" s="134">
        <v>5</v>
      </c>
      <c r="I589" s="300">
        <v>5</v>
      </c>
      <c r="J589" s="299"/>
      <c r="K589" s="300">
        <v>5721</v>
      </c>
      <c r="L589" s="300">
        <v>2066</v>
      </c>
      <c r="M589" s="134">
        <v>634</v>
      </c>
      <c r="N589" s="300">
        <v>8421</v>
      </c>
      <c r="O589" s="299"/>
      <c r="P589" s="134"/>
      <c r="Q589" s="301"/>
      <c r="R589" s="134"/>
      <c r="S589" s="300"/>
      <c r="T589" s="132"/>
      <c r="U589" s="311"/>
      <c r="V589" s="132"/>
      <c r="W589" s="296"/>
      <c r="X589" s="296"/>
      <c r="Y589" s="511">
        <v>8426</v>
      </c>
    </row>
    <row r="590" spans="1:25" s="306" customFormat="1" ht="15.75" x14ac:dyDescent="0.25">
      <c r="A590" s="142"/>
      <c r="B590" s="144" t="s">
        <v>276</v>
      </c>
      <c r="C590" s="303"/>
      <c r="D590" s="303"/>
      <c r="E590" s="303"/>
      <c r="F590" s="303"/>
      <c r="G590" s="303"/>
      <c r="H590" s="119">
        <v>6</v>
      </c>
      <c r="I590" s="303">
        <v>6</v>
      </c>
      <c r="J590" s="302"/>
      <c r="K590" s="303">
        <v>6226</v>
      </c>
      <c r="L590" s="303">
        <v>1957</v>
      </c>
      <c r="M590" s="119">
        <v>731</v>
      </c>
      <c r="N590" s="303">
        <v>8914</v>
      </c>
      <c r="O590" s="302"/>
      <c r="P590" s="119"/>
      <c r="Q590" s="173"/>
      <c r="R590" s="119"/>
      <c r="S590" s="303"/>
      <c r="T590" s="117"/>
      <c r="U590" s="312"/>
      <c r="V590" s="117"/>
      <c r="W590" s="296"/>
      <c r="X590" s="296"/>
      <c r="Y590" s="306">
        <v>8920</v>
      </c>
    </row>
    <row r="591" spans="1:25" ht="15.75" x14ac:dyDescent="0.25">
      <c r="A591" s="142"/>
      <c r="B591" s="145" t="s">
        <v>277</v>
      </c>
      <c r="C591" s="305">
        <v>0</v>
      </c>
      <c r="D591" s="305">
        <v>0</v>
      </c>
      <c r="E591" s="305">
        <v>0</v>
      </c>
      <c r="F591" s="305">
        <v>0</v>
      </c>
      <c r="G591" s="305">
        <v>0</v>
      </c>
      <c r="H591" s="122">
        <v>0.2</v>
      </c>
      <c r="I591" s="305">
        <v>0.2</v>
      </c>
      <c r="J591" s="304">
        <v>0</v>
      </c>
      <c r="K591" s="305">
        <v>8.8271281244537675E-2</v>
      </c>
      <c r="L591" s="305">
        <v>-5.2758954501452078E-2</v>
      </c>
      <c r="M591" s="122">
        <v>0.1529968454258675</v>
      </c>
      <c r="N591" s="305">
        <v>5.8544115900724378E-2</v>
      </c>
      <c r="O591" s="304">
        <v>0</v>
      </c>
      <c r="P591" s="122">
        <v>0</v>
      </c>
      <c r="Q591" s="253">
        <v>0</v>
      </c>
      <c r="R591" s="122">
        <v>0</v>
      </c>
      <c r="S591" s="305">
        <v>0</v>
      </c>
      <c r="T591" s="120">
        <v>0</v>
      </c>
      <c r="U591" s="313">
        <v>0</v>
      </c>
      <c r="V591" s="120">
        <v>0</v>
      </c>
      <c r="W591" s="296">
        <v>0</v>
      </c>
      <c r="X591" s="296">
        <v>0</v>
      </c>
      <c r="Y591" s="511">
        <v>5.8628056017089959E-2</v>
      </c>
    </row>
    <row r="592" spans="1:25" ht="15.75" x14ac:dyDescent="0.25">
      <c r="A592" s="142"/>
      <c r="B592" s="143" t="s">
        <v>278</v>
      </c>
      <c r="C592" s="300">
        <v>15</v>
      </c>
      <c r="D592" s="300"/>
      <c r="E592" s="300"/>
      <c r="F592" s="300"/>
      <c r="G592" s="300"/>
      <c r="H592" s="134"/>
      <c r="I592" s="300">
        <v>15</v>
      </c>
      <c r="J592" s="299"/>
      <c r="K592" s="300"/>
      <c r="L592" s="300"/>
      <c r="M592" s="134"/>
      <c r="N592" s="300"/>
      <c r="O592" s="299"/>
      <c r="P592" s="134"/>
      <c r="Q592" s="301"/>
      <c r="R592" s="134"/>
      <c r="S592" s="300"/>
      <c r="T592" s="132"/>
      <c r="U592" s="311"/>
      <c r="V592" s="132"/>
      <c r="W592" s="296"/>
      <c r="X592" s="296"/>
      <c r="Y592" s="511">
        <v>15</v>
      </c>
    </row>
    <row r="593" spans="1:25" s="306" customFormat="1" ht="15.75" x14ac:dyDescent="0.25">
      <c r="A593" s="142"/>
      <c r="B593" s="144" t="s">
        <v>279</v>
      </c>
      <c r="C593" s="303">
        <v>16</v>
      </c>
      <c r="D593" s="303"/>
      <c r="E593" s="303"/>
      <c r="F593" s="303"/>
      <c r="G593" s="303"/>
      <c r="H593" s="119"/>
      <c r="I593" s="303">
        <v>16</v>
      </c>
      <c r="J593" s="302"/>
      <c r="K593" s="303"/>
      <c r="L593" s="303"/>
      <c r="M593" s="119"/>
      <c r="N593" s="303"/>
      <c r="O593" s="302"/>
      <c r="P593" s="119"/>
      <c r="Q593" s="173"/>
      <c r="R593" s="119"/>
      <c r="S593" s="303"/>
      <c r="T593" s="117"/>
      <c r="U593" s="312"/>
      <c r="V593" s="117"/>
      <c r="W593" s="296"/>
      <c r="X593" s="296"/>
      <c r="Y593" s="306">
        <v>16</v>
      </c>
    </row>
    <row r="594" spans="1:25" ht="15.75" x14ac:dyDescent="0.25">
      <c r="A594" s="142"/>
      <c r="B594" s="145" t="s">
        <v>280</v>
      </c>
      <c r="C594" s="305">
        <v>6.6666666666666666E-2</v>
      </c>
      <c r="D594" s="305">
        <v>0</v>
      </c>
      <c r="E594" s="305">
        <v>0</v>
      </c>
      <c r="F594" s="305">
        <v>0</v>
      </c>
      <c r="G594" s="305">
        <v>0</v>
      </c>
      <c r="H594" s="122">
        <v>0</v>
      </c>
      <c r="I594" s="305">
        <v>6.6666666666666666E-2</v>
      </c>
      <c r="J594" s="304">
        <v>0</v>
      </c>
      <c r="K594" s="305">
        <v>0</v>
      </c>
      <c r="L594" s="305">
        <v>0</v>
      </c>
      <c r="M594" s="122">
        <v>0</v>
      </c>
      <c r="N594" s="305">
        <v>0</v>
      </c>
      <c r="O594" s="304">
        <v>0</v>
      </c>
      <c r="P594" s="122">
        <v>0</v>
      </c>
      <c r="Q594" s="253">
        <v>0</v>
      </c>
      <c r="R594" s="122">
        <v>0</v>
      </c>
      <c r="S594" s="305">
        <v>0</v>
      </c>
      <c r="T594" s="120">
        <v>0</v>
      </c>
      <c r="U594" s="313">
        <v>0</v>
      </c>
      <c r="V594" s="120">
        <v>0</v>
      </c>
      <c r="W594" s="296">
        <v>0</v>
      </c>
      <c r="X594" s="296">
        <v>0</v>
      </c>
      <c r="Y594" s="511">
        <v>6.6666666666666666E-2</v>
      </c>
    </row>
    <row r="595" spans="1:25" ht="15.75" x14ac:dyDescent="0.25">
      <c r="A595" s="142"/>
      <c r="B595" s="143" t="s">
        <v>281</v>
      </c>
      <c r="C595" s="300">
        <v>6</v>
      </c>
      <c r="D595" s="300"/>
      <c r="E595" s="300"/>
      <c r="F595" s="300"/>
      <c r="G595" s="300"/>
      <c r="H595" s="134">
        <v>3</v>
      </c>
      <c r="I595" s="300">
        <v>9</v>
      </c>
      <c r="J595" s="299"/>
      <c r="K595" s="300">
        <v>5843</v>
      </c>
      <c r="L595" s="300">
        <v>1642</v>
      </c>
      <c r="M595" s="134">
        <v>847</v>
      </c>
      <c r="N595" s="300">
        <v>8332</v>
      </c>
      <c r="O595" s="299"/>
      <c r="P595" s="134"/>
      <c r="Q595" s="301"/>
      <c r="R595" s="134"/>
      <c r="S595" s="300"/>
      <c r="T595" s="132"/>
      <c r="U595" s="311"/>
      <c r="V595" s="132"/>
      <c r="W595" s="296"/>
      <c r="X595" s="296"/>
      <c r="Y595" s="511">
        <v>8341</v>
      </c>
    </row>
    <row r="596" spans="1:25" s="306" customFormat="1" ht="15.75" x14ac:dyDescent="0.25">
      <c r="A596" s="142"/>
      <c r="B596" s="144" t="s">
        <v>282</v>
      </c>
      <c r="C596" s="303">
        <v>7</v>
      </c>
      <c r="D596" s="303"/>
      <c r="E596" s="303"/>
      <c r="F596" s="303"/>
      <c r="G596" s="303"/>
      <c r="H596" s="119">
        <v>3</v>
      </c>
      <c r="I596" s="303">
        <v>10</v>
      </c>
      <c r="J596" s="302"/>
      <c r="K596" s="303">
        <v>6195</v>
      </c>
      <c r="L596" s="303">
        <v>1784</v>
      </c>
      <c r="M596" s="119">
        <v>964</v>
      </c>
      <c r="N596" s="303">
        <v>8943</v>
      </c>
      <c r="O596" s="302"/>
      <c r="P596" s="119"/>
      <c r="Q596" s="173"/>
      <c r="R596" s="119"/>
      <c r="S596" s="303"/>
      <c r="T596" s="117"/>
      <c r="U596" s="312"/>
      <c r="V596" s="117"/>
      <c r="W596" s="296"/>
      <c r="X596" s="296"/>
      <c r="Y596" s="306">
        <v>8953</v>
      </c>
    </row>
    <row r="597" spans="1:25" ht="15.75" x14ac:dyDescent="0.25">
      <c r="A597" s="142"/>
      <c r="B597" s="145" t="s">
        <v>283</v>
      </c>
      <c r="C597" s="305">
        <v>0.16666666666666666</v>
      </c>
      <c r="D597" s="305">
        <v>0</v>
      </c>
      <c r="E597" s="305">
        <v>0</v>
      </c>
      <c r="F597" s="305">
        <v>0</v>
      </c>
      <c r="G597" s="305">
        <v>0</v>
      </c>
      <c r="H597" s="122">
        <v>0</v>
      </c>
      <c r="I597" s="305">
        <v>0.1111111111111111</v>
      </c>
      <c r="J597" s="304">
        <v>0</v>
      </c>
      <c r="K597" s="305">
        <v>6.0243025842888924E-2</v>
      </c>
      <c r="L597" s="305">
        <v>8.6479902557856272E-2</v>
      </c>
      <c r="M597" s="122">
        <v>0.13813459268004721</v>
      </c>
      <c r="N597" s="305">
        <v>7.3331733077292363E-2</v>
      </c>
      <c r="O597" s="304">
        <v>0</v>
      </c>
      <c r="P597" s="122">
        <v>0</v>
      </c>
      <c r="Q597" s="253">
        <v>0</v>
      </c>
      <c r="R597" s="122">
        <v>0</v>
      </c>
      <c r="S597" s="305">
        <v>0</v>
      </c>
      <c r="T597" s="120">
        <v>0</v>
      </c>
      <c r="U597" s="313">
        <v>0</v>
      </c>
      <c r="V597" s="120">
        <v>0</v>
      </c>
      <c r="W597" s="296">
        <v>0</v>
      </c>
      <c r="X597" s="296">
        <v>0</v>
      </c>
      <c r="Y597" s="511">
        <v>7.3372497302481715E-2</v>
      </c>
    </row>
    <row r="598" spans="1:25" ht="15.75" x14ac:dyDescent="0.25">
      <c r="A598" s="142"/>
      <c r="B598" s="143" t="s">
        <v>284</v>
      </c>
      <c r="C598" s="300">
        <v>7780</v>
      </c>
      <c r="D598" s="300"/>
      <c r="E598" s="300">
        <v>2962</v>
      </c>
      <c r="F598" s="300">
        <v>522</v>
      </c>
      <c r="G598" s="300">
        <v>2480</v>
      </c>
      <c r="H598" s="134">
        <v>2222</v>
      </c>
      <c r="I598" s="300">
        <v>15966</v>
      </c>
      <c r="J598" s="299"/>
      <c r="K598" s="300"/>
      <c r="L598" s="300"/>
      <c r="M598" s="134"/>
      <c r="N598" s="300"/>
      <c r="O598" s="299"/>
      <c r="P598" s="134"/>
      <c r="Q598" s="301"/>
      <c r="R598" s="134"/>
      <c r="S598" s="300">
        <v>189</v>
      </c>
      <c r="T598" s="132">
        <v>189</v>
      </c>
      <c r="U598" s="311"/>
      <c r="V598" s="132"/>
      <c r="W598" s="296"/>
      <c r="X598" s="296"/>
      <c r="Y598" s="511">
        <v>16155</v>
      </c>
    </row>
    <row r="599" spans="1:25" s="306" customFormat="1" ht="16.5" thickBot="1" x14ac:dyDescent="0.3">
      <c r="A599" s="142"/>
      <c r="B599" s="144" t="s">
        <v>285</v>
      </c>
      <c r="C599" s="303">
        <v>7997</v>
      </c>
      <c r="D599" s="303"/>
      <c r="E599" s="303">
        <v>3083</v>
      </c>
      <c r="F599" s="303">
        <v>495</v>
      </c>
      <c r="G599" s="303">
        <v>2548</v>
      </c>
      <c r="H599" s="119">
        <v>2319</v>
      </c>
      <c r="I599" s="303">
        <v>16442</v>
      </c>
      <c r="J599" s="302"/>
      <c r="K599" s="303"/>
      <c r="L599" s="303"/>
      <c r="M599" s="119"/>
      <c r="N599" s="303"/>
      <c r="O599" s="302"/>
      <c r="P599" s="119"/>
      <c r="Q599" s="173"/>
      <c r="R599" s="119"/>
      <c r="S599" s="303">
        <v>124</v>
      </c>
      <c r="T599" s="117">
        <v>124</v>
      </c>
      <c r="U599" s="312"/>
      <c r="V599" s="117"/>
      <c r="W599" s="296"/>
      <c r="X599" s="296"/>
      <c r="Y599" s="306">
        <v>16566</v>
      </c>
    </row>
    <row r="600" spans="1:25" ht="16.5" thickBot="1" x14ac:dyDescent="0.3">
      <c r="A600" s="142"/>
      <c r="B600" s="145" t="s">
        <v>286</v>
      </c>
      <c r="C600" s="305">
        <v>2.7892030848329048E-2</v>
      </c>
      <c r="D600" s="305">
        <v>0</v>
      </c>
      <c r="E600" s="305">
        <v>4.0850776502363267E-2</v>
      </c>
      <c r="F600" s="305">
        <v>-5.1724137931034482E-2</v>
      </c>
      <c r="G600" s="305">
        <v>2.7419354838709678E-2</v>
      </c>
      <c r="H600" s="122">
        <v>4.3654365436543656E-2</v>
      </c>
      <c r="I600" s="305">
        <v>2.9813353375923838E-2</v>
      </c>
      <c r="J600" s="304">
        <v>0</v>
      </c>
      <c r="K600" s="305">
        <v>0</v>
      </c>
      <c r="L600" s="305">
        <v>0</v>
      </c>
      <c r="M600" s="122">
        <v>0</v>
      </c>
      <c r="N600" s="305">
        <v>0</v>
      </c>
      <c r="O600" s="304">
        <v>0</v>
      </c>
      <c r="P600" s="122">
        <v>0</v>
      </c>
      <c r="Q600" s="253">
        <v>0</v>
      </c>
      <c r="R600" s="122">
        <v>0</v>
      </c>
      <c r="S600" s="724">
        <v>-0.3439153439153439</v>
      </c>
      <c r="T600" s="120">
        <v>-0.3439153439153439</v>
      </c>
      <c r="U600" s="313">
        <v>0</v>
      </c>
      <c r="V600" s="120">
        <v>0</v>
      </c>
      <c r="W600" s="296">
        <v>0</v>
      </c>
      <c r="X600" s="296">
        <v>0</v>
      </c>
      <c r="Y600" s="511">
        <v>2.544103992571959E-2</v>
      </c>
    </row>
    <row r="601" spans="1:25" ht="15.75" x14ac:dyDescent="0.25">
      <c r="A601" s="142"/>
      <c r="B601" s="143" t="s">
        <v>287</v>
      </c>
      <c r="C601" s="300">
        <v>83</v>
      </c>
      <c r="D601" s="300"/>
      <c r="E601" s="300">
        <v>7</v>
      </c>
      <c r="F601" s="300"/>
      <c r="G601" s="300"/>
      <c r="H601" s="134">
        <v>2</v>
      </c>
      <c r="I601" s="300">
        <v>92</v>
      </c>
      <c r="J601" s="299"/>
      <c r="K601" s="300"/>
      <c r="L601" s="300"/>
      <c r="M601" s="134"/>
      <c r="N601" s="300"/>
      <c r="O601" s="299"/>
      <c r="P601" s="134"/>
      <c r="Q601" s="301"/>
      <c r="R601" s="134"/>
      <c r="S601" s="300">
        <v>6</v>
      </c>
      <c r="T601" s="132">
        <v>6</v>
      </c>
      <c r="U601" s="311"/>
      <c r="V601" s="132"/>
      <c r="W601" s="296"/>
      <c r="X601" s="296"/>
      <c r="Y601" s="511">
        <v>98</v>
      </c>
    </row>
    <row r="602" spans="1:25" s="306" customFormat="1" ht="15.75" x14ac:dyDescent="0.25">
      <c r="A602" s="142"/>
      <c r="B602" s="144" t="s">
        <v>288</v>
      </c>
      <c r="C602" s="303">
        <v>91</v>
      </c>
      <c r="D602" s="303"/>
      <c r="E602" s="303">
        <v>12</v>
      </c>
      <c r="F602" s="303"/>
      <c r="G602" s="303"/>
      <c r="H602" s="119">
        <v>3</v>
      </c>
      <c r="I602" s="303">
        <v>106</v>
      </c>
      <c r="J602" s="302"/>
      <c r="K602" s="303"/>
      <c r="L602" s="303"/>
      <c r="M602" s="119"/>
      <c r="N602" s="303"/>
      <c r="O602" s="302"/>
      <c r="P602" s="119"/>
      <c r="Q602" s="173"/>
      <c r="R602" s="119"/>
      <c r="S602" s="303">
        <v>4</v>
      </c>
      <c r="T602" s="117">
        <v>4</v>
      </c>
      <c r="U602" s="312"/>
      <c r="V602" s="117"/>
      <c r="W602" s="296"/>
      <c r="X602" s="296"/>
      <c r="Y602" s="306">
        <v>110</v>
      </c>
    </row>
    <row r="603" spans="1:25" ht="15.75" x14ac:dyDescent="0.25">
      <c r="A603" s="142"/>
      <c r="B603" s="145" t="s">
        <v>289</v>
      </c>
      <c r="C603" s="305">
        <v>9.6385542168674704E-2</v>
      </c>
      <c r="D603" s="305">
        <v>0</v>
      </c>
      <c r="E603" s="305">
        <v>0.7142857142857143</v>
      </c>
      <c r="F603" s="305">
        <v>0</v>
      </c>
      <c r="G603" s="305">
        <v>0</v>
      </c>
      <c r="H603" s="122">
        <v>0.5</v>
      </c>
      <c r="I603" s="305">
        <v>0.15217391304347827</v>
      </c>
      <c r="J603" s="304">
        <v>0</v>
      </c>
      <c r="K603" s="305">
        <v>0</v>
      </c>
      <c r="L603" s="305">
        <v>0</v>
      </c>
      <c r="M603" s="122">
        <v>0</v>
      </c>
      <c r="N603" s="305">
        <v>0</v>
      </c>
      <c r="O603" s="304">
        <v>0</v>
      </c>
      <c r="P603" s="122">
        <v>0</v>
      </c>
      <c r="Q603" s="253">
        <v>0</v>
      </c>
      <c r="R603" s="122">
        <v>0</v>
      </c>
      <c r="S603" s="305">
        <v>-0.33333333333333331</v>
      </c>
      <c r="T603" s="120">
        <v>-0.33333333333333331</v>
      </c>
      <c r="U603" s="313">
        <v>0</v>
      </c>
      <c r="V603" s="120">
        <v>0</v>
      </c>
      <c r="W603" s="296">
        <v>0</v>
      </c>
      <c r="X603" s="296">
        <v>0</v>
      </c>
      <c r="Y603" s="511">
        <v>0.12244897959183673</v>
      </c>
    </row>
    <row r="604" spans="1:25" ht="15.75" x14ac:dyDescent="0.25">
      <c r="A604" s="142"/>
      <c r="B604" s="143" t="s">
        <v>290</v>
      </c>
      <c r="C604" s="300">
        <v>2780</v>
      </c>
      <c r="D604" s="300"/>
      <c r="E604" s="300">
        <v>533</v>
      </c>
      <c r="F604" s="300">
        <v>309</v>
      </c>
      <c r="G604" s="300">
        <v>348</v>
      </c>
      <c r="H604" s="134">
        <v>26</v>
      </c>
      <c r="I604" s="300">
        <v>3996</v>
      </c>
      <c r="J604" s="299"/>
      <c r="K604" s="300">
        <v>0</v>
      </c>
      <c r="L604" s="300">
        <v>0</v>
      </c>
      <c r="M604" s="134">
        <v>0</v>
      </c>
      <c r="N604" s="300">
        <v>0</v>
      </c>
      <c r="O604" s="299"/>
      <c r="P604" s="134"/>
      <c r="Q604" s="301"/>
      <c r="R604" s="134"/>
      <c r="S604" s="300">
        <v>217</v>
      </c>
      <c r="T604" s="132">
        <v>217</v>
      </c>
      <c r="U604" s="311"/>
      <c r="V604" s="132"/>
      <c r="W604" s="296"/>
      <c r="X604" s="296"/>
      <c r="Y604" s="511">
        <v>4213</v>
      </c>
    </row>
    <row r="605" spans="1:25" s="306" customFormat="1" ht="16.5" thickBot="1" x14ac:dyDescent="0.3">
      <c r="A605" s="142"/>
      <c r="B605" s="144" t="s">
        <v>291</v>
      </c>
      <c r="C605" s="303">
        <v>2888</v>
      </c>
      <c r="D605" s="303"/>
      <c r="E605" s="303">
        <v>607</v>
      </c>
      <c r="F605" s="303">
        <v>295</v>
      </c>
      <c r="G605" s="303">
        <v>400</v>
      </c>
      <c r="H605" s="119">
        <v>45</v>
      </c>
      <c r="I605" s="303">
        <v>4235</v>
      </c>
      <c r="J605" s="302"/>
      <c r="K605" s="303">
        <v>0</v>
      </c>
      <c r="L605" s="303">
        <v>0</v>
      </c>
      <c r="M605" s="119">
        <v>0</v>
      </c>
      <c r="N605" s="303">
        <v>0</v>
      </c>
      <c r="O605" s="302"/>
      <c r="P605" s="119"/>
      <c r="Q605" s="173"/>
      <c r="R605" s="119"/>
      <c r="S605" s="303">
        <v>256</v>
      </c>
      <c r="T605" s="117">
        <v>256</v>
      </c>
      <c r="U605" s="312"/>
      <c r="V605" s="117"/>
      <c r="W605" s="296"/>
      <c r="X605" s="296"/>
      <c r="Y605" s="306">
        <v>4491</v>
      </c>
    </row>
    <row r="606" spans="1:25" ht="16.5" thickBot="1" x14ac:dyDescent="0.3">
      <c r="A606" s="142"/>
      <c r="B606" s="145" t="s">
        <v>292</v>
      </c>
      <c r="C606" s="305">
        <v>3.884892086330935E-2</v>
      </c>
      <c r="D606" s="305">
        <v>0</v>
      </c>
      <c r="E606" s="305">
        <v>0.13883677298311445</v>
      </c>
      <c r="F606" s="305">
        <v>-4.5307443365695796E-2</v>
      </c>
      <c r="G606" s="305">
        <v>0.14942528735632185</v>
      </c>
      <c r="H606" s="724">
        <v>0.73076923076923073</v>
      </c>
      <c r="I606" s="305">
        <v>5.9809809809809808E-2</v>
      </c>
      <c r="J606" s="304">
        <v>0</v>
      </c>
      <c r="K606" s="305">
        <v>0</v>
      </c>
      <c r="L606" s="305">
        <v>0</v>
      </c>
      <c r="M606" s="122">
        <v>0</v>
      </c>
      <c r="N606" s="305">
        <v>0</v>
      </c>
      <c r="O606" s="304">
        <v>0</v>
      </c>
      <c r="P606" s="122">
        <v>0</v>
      </c>
      <c r="Q606" s="253">
        <v>0</v>
      </c>
      <c r="R606" s="122">
        <v>0</v>
      </c>
      <c r="S606" s="305">
        <v>0.17972350230414746</v>
      </c>
      <c r="T606" s="120">
        <v>0.17972350230414746</v>
      </c>
      <c r="U606" s="313">
        <v>0</v>
      </c>
      <c r="V606" s="120">
        <v>0</v>
      </c>
      <c r="W606" s="296">
        <v>0</v>
      </c>
      <c r="X606" s="296">
        <v>0</v>
      </c>
      <c r="Y606" s="511">
        <v>6.5986233088060758E-2</v>
      </c>
    </row>
    <row r="607" spans="1:25" ht="15.75" x14ac:dyDescent="0.25">
      <c r="A607" s="142"/>
      <c r="B607" s="143" t="s">
        <v>293</v>
      </c>
      <c r="C607" s="300">
        <v>481</v>
      </c>
      <c r="D607" s="300"/>
      <c r="E607" s="300">
        <v>0</v>
      </c>
      <c r="F607" s="300">
        <v>0</v>
      </c>
      <c r="G607" s="300">
        <v>17</v>
      </c>
      <c r="H607" s="134">
        <v>0</v>
      </c>
      <c r="I607" s="300">
        <v>498</v>
      </c>
      <c r="J607" s="299"/>
      <c r="K607" s="300">
        <v>0</v>
      </c>
      <c r="L607" s="300">
        <v>0</v>
      </c>
      <c r="M607" s="134">
        <v>0</v>
      </c>
      <c r="N607" s="300">
        <v>0</v>
      </c>
      <c r="O607" s="299"/>
      <c r="P607" s="134"/>
      <c r="Q607" s="301"/>
      <c r="R607" s="134"/>
      <c r="S607" s="300">
        <v>96</v>
      </c>
      <c r="T607" s="132">
        <v>96</v>
      </c>
      <c r="U607" s="311"/>
      <c r="V607" s="132"/>
      <c r="W607" s="296"/>
      <c r="X607" s="296"/>
      <c r="Y607" s="511">
        <v>594</v>
      </c>
    </row>
    <row r="608" spans="1:25" s="306" customFormat="1" ht="16.5" thickBot="1" x14ac:dyDescent="0.3">
      <c r="A608" s="142"/>
      <c r="B608" s="144" t="s">
        <v>294</v>
      </c>
      <c r="C608" s="303">
        <v>499</v>
      </c>
      <c r="D608" s="303"/>
      <c r="E608" s="303">
        <v>0</v>
      </c>
      <c r="F608" s="303">
        <v>0</v>
      </c>
      <c r="G608" s="303">
        <v>10</v>
      </c>
      <c r="H608" s="119">
        <v>0</v>
      </c>
      <c r="I608" s="303">
        <v>509</v>
      </c>
      <c r="J608" s="302"/>
      <c r="K608" s="303">
        <v>0</v>
      </c>
      <c r="L608" s="303">
        <v>0</v>
      </c>
      <c r="M608" s="119">
        <v>0</v>
      </c>
      <c r="N608" s="303">
        <v>0</v>
      </c>
      <c r="O608" s="302"/>
      <c r="P608" s="119"/>
      <c r="Q608" s="173"/>
      <c r="R608" s="119"/>
      <c r="S608" s="303">
        <v>130</v>
      </c>
      <c r="T608" s="117">
        <v>130</v>
      </c>
      <c r="U608" s="312"/>
      <c r="V608" s="117"/>
      <c r="W608" s="296"/>
      <c r="X608" s="296"/>
      <c r="Y608" s="306">
        <v>639</v>
      </c>
    </row>
    <row r="609" spans="1:25" ht="16.5" thickBot="1" x14ac:dyDescent="0.3">
      <c r="A609" s="142"/>
      <c r="B609" s="145" t="s">
        <v>295</v>
      </c>
      <c r="C609" s="305">
        <v>3.7422037422037424E-2</v>
      </c>
      <c r="D609" s="305">
        <v>0</v>
      </c>
      <c r="E609" s="305">
        <v>0</v>
      </c>
      <c r="F609" s="305">
        <v>0</v>
      </c>
      <c r="G609" s="724">
        <v>-0.41176470588235292</v>
      </c>
      <c r="H609" s="122">
        <v>0</v>
      </c>
      <c r="I609" s="305">
        <v>2.2088353413654619E-2</v>
      </c>
      <c r="J609" s="304">
        <v>0</v>
      </c>
      <c r="K609" s="305">
        <v>0</v>
      </c>
      <c r="L609" s="305">
        <v>0</v>
      </c>
      <c r="M609" s="122">
        <v>0</v>
      </c>
      <c r="N609" s="305">
        <v>0</v>
      </c>
      <c r="O609" s="304">
        <v>0</v>
      </c>
      <c r="P609" s="122">
        <v>0</v>
      </c>
      <c r="Q609" s="253">
        <v>0</v>
      </c>
      <c r="R609" s="122">
        <v>0</v>
      </c>
      <c r="S609" s="724">
        <v>0.35416666666666669</v>
      </c>
      <c r="T609" s="120">
        <v>0.35416666666666669</v>
      </c>
      <c r="U609" s="313">
        <v>0</v>
      </c>
      <c r="V609" s="120">
        <v>0</v>
      </c>
      <c r="W609" s="296">
        <v>0</v>
      </c>
      <c r="X609" s="296">
        <v>0</v>
      </c>
      <c r="Y609" s="511">
        <v>7.575757575757576E-2</v>
      </c>
    </row>
    <row r="610" spans="1:25" ht="15.75" x14ac:dyDescent="0.25">
      <c r="A610" s="142"/>
      <c r="B610" s="143" t="s">
        <v>296</v>
      </c>
      <c r="C610" s="300">
        <v>229</v>
      </c>
      <c r="D610" s="300"/>
      <c r="E610" s="300"/>
      <c r="F610" s="300"/>
      <c r="G610" s="300"/>
      <c r="H610" s="134"/>
      <c r="I610" s="300">
        <v>229</v>
      </c>
      <c r="J610" s="299"/>
      <c r="K610" s="300"/>
      <c r="L610" s="300"/>
      <c r="M610" s="134"/>
      <c r="N610" s="300"/>
      <c r="O610" s="299"/>
      <c r="P610" s="134"/>
      <c r="Q610" s="301"/>
      <c r="R610" s="134"/>
      <c r="S610" s="300"/>
      <c r="T610" s="132"/>
      <c r="U610" s="311"/>
      <c r="V610" s="132"/>
      <c r="W610" s="296"/>
      <c r="X610" s="296"/>
      <c r="Y610" s="511">
        <v>229</v>
      </c>
    </row>
    <row r="611" spans="1:25" s="306" customFormat="1" ht="15.75" x14ac:dyDescent="0.25">
      <c r="A611" s="142"/>
      <c r="B611" s="144" t="s">
        <v>297</v>
      </c>
      <c r="C611" s="303">
        <v>220</v>
      </c>
      <c r="D611" s="303"/>
      <c r="E611" s="303"/>
      <c r="F611" s="303"/>
      <c r="G611" s="303"/>
      <c r="H611" s="119"/>
      <c r="I611" s="303">
        <v>220</v>
      </c>
      <c r="J611" s="302"/>
      <c r="K611" s="303"/>
      <c r="L611" s="303"/>
      <c r="M611" s="119"/>
      <c r="N611" s="303"/>
      <c r="O611" s="302"/>
      <c r="P611" s="119"/>
      <c r="Q611" s="173"/>
      <c r="R611" s="119"/>
      <c r="S611" s="303"/>
      <c r="T611" s="117"/>
      <c r="U611" s="312"/>
      <c r="V611" s="117"/>
      <c r="W611" s="296"/>
      <c r="X611" s="296"/>
      <c r="Y611" s="306">
        <v>220</v>
      </c>
    </row>
    <row r="612" spans="1:25" ht="15.75" x14ac:dyDescent="0.25">
      <c r="A612" s="142"/>
      <c r="B612" s="145" t="s">
        <v>298</v>
      </c>
      <c r="C612" s="305">
        <v>-3.9301310043668124E-2</v>
      </c>
      <c r="D612" s="305">
        <v>0</v>
      </c>
      <c r="E612" s="305">
        <v>0</v>
      </c>
      <c r="F612" s="305">
        <v>0</v>
      </c>
      <c r="G612" s="305">
        <v>0</v>
      </c>
      <c r="H612" s="122">
        <v>0</v>
      </c>
      <c r="I612" s="305">
        <v>-3.9301310043668124E-2</v>
      </c>
      <c r="J612" s="304">
        <v>0</v>
      </c>
      <c r="K612" s="305">
        <v>0</v>
      </c>
      <c r="L612" s="305">
        <v>0</v>
      </c>
      <c r="M612" s="122">
        <v>0</v>
      </c>
      <c r="N612" s="305">
        <v>0</v>
      </c>
      <c r="O612" s="304">
        <v>0</v>
      </c>
      <c r="P612" s="122">
        <v>0</v>
      </c>
      <c r="Q612" s="253">
        <v>0</v>
      </c>
      <c r="R612" s="122">
        <v>0</v>
      </c>
      <c r="S612" s="305">
        <v>0</v>
      </c>
      <c r="T612" s="120">
        <v>0</v>
      </c>
      <c r="U612" s="313">
        <v>0</v>
      </c>
      <c r="V612" s="120">
        <v>0</v>
      </c>
      <c r="W612" s="296">
        <v>0</v>
      </c>
      <c r="X612" s="296">
        <v>0</v>
      </c>
      <c r="Y612" s="511">
        <v>-3.9301310043668124E-2</v>
      </c>
    </row>
    <row r="613" spans="1:25" ht="15.75" x14ac:dyDescent="0.25">
      <c r="A613" s="142"/>
      <c r="B613" s="143" t="s">
        <v>299</v>
      </c>
      <c r="C613" s="300">
        <v>80</v>
      </c>
      <c r="D613" s="300"/>
      <c r="E613" s="300"/>
      <c r="F613" s="300"/>
      <c r="G613" s="300"/>
      <c r="H613" s="134"/>
      <c r="I613" s="300">
        <v>80</v>
      </c>
      <c r="J613" s="299"/>
      <c r="K613" s="300"/>
      <c r="L613" s="300"/>
      <c r="M613" s="134"/>
      <c r="N613" s="300"/>
      <c r="O613" s="299"/>
      <c r="P613" s="134"/>
      <c r="Q613" s="301"/>
      <c r="R613" s="134"/>
      <c r="S613" s="300">
        <v>163</v>
      </c>
      <c r="T613" s="132">
        <v>163</v>
      </c>
      <c r="U613" s="311"/>
      <c r="V613" s="132"/>
      <c r="W613" s="296"/>
      <c r="X613" s="296"/>
      <c r="Y613" s="511">
        <v>243</v>
      </c>
    </row>
    <row r="614" spans="1:25" s="306" customFormat="1" ht="15.75" x14ac:dyDescent="0.25">
      <c r="A614" s="142"/>
      <c r="B614" s="144" t="s">
        <v>300</v>
      </c>
      <c r="C614" s="303">
        <v>75</v>
      </c>
      <c r="D614" s="303"/>
      <c r="E614" s="303"/>
      <c r="F614" s="303"/>
      <c r="G614" s="303"/>
      <c r="H614" s="119"/>
      <c r="I614" s="303">
        <v>75</v>
      </c>
      <c r="J614" s="302"/>
      <c r="K614" s="303"/>
      <c r="L614" s="303"/>
      <c r="M614" s="119"/>
      <c r="N614" s="303"/>
      <c r="O614" s="302"/>
      <c r="P614" s="119"/>
      <c r="Q614" s="173"/>
      <c r="R614" s="119"/>
      <c r="S614" s="303">
        <v>142</v>
      </c>
      <c r="T614" s="117">
        <v>142</v>
      </c>
      <c r="U614" s="312"/>
      <c r="V614" s="117"/>
      <c r="W614" s="296"/>
      <c r="X614" s="296"/>
      <c r="Y614" s="306">
        <v>217</v>
      </c>
    </row>
    <row r="615" spans="1:25" ht="15.75" x14ac:dyDescent="0.25">
      <c r="A615" s="142"/>
      <c r="B615" s="145" t="s">
        <v>301</v>
      </c>
      <c r="C615" s="305">
        <v>-6.25E-2</v>
      </c>
      <c r="D615" s="305">
        <v>0</v>
      </c>
      <c r="E615" s="305">
        <v>0</v>
      </c>
      <c r="F615" s="305">
        <v>0</v>
      </c>
      <c r="G615" s="305">
        <v>0</v>
      </c>
      <c r="H615" s="122">
        <v>0</v>
      </c>
      <c r="I615" s="305">
        <v>-6.25E-2</v>
      </c>
      <c r="J615" s="304">
        <v>0</v>
      </c>
      <c r="K615" s="305">
        <v>0</v>
      </c>
      <c r="L615" s="305">
        <v>0</v>
      </c>
      <c r="M615" s="122">
        <v>0</v>
      </c>
      <c r="N615" s="305">
        <v>0</v>
      </c>
      <c r="O615" s="304">
        <v>0</v>
      </c>
      <c r="P615" s="122">
        <v>0</v>
      </c>
      <c r="Q615" s="253">
        <v>0</v>
      </c>
      <c r="R615" s="122">
        <v>0</v>
      </c>
      <c r="S615" s="305">
        <v>-0.12883435582822086</v>
      </c>
      <c r="T615" s="120">
        <v>-0.12883435582822086</v>
      </c>
      <c r="U615" s="313">
        <v>0</v>
      </c>
      <c r="V615" s="120">
        <v>0</v>
      </c>
      <c r="W615" s="296">
        <v>0</v>
      </c>
      <c r="X615" s="296">
        <v>0</v>
      </c>
      <c r="Y615" s="511">
        <v>-0.10699588477366255</v>
      </c>
    </row>
    <row r="616" spans="1:25" ht="15.75" x14ac:dyDescent="0.25">
      <c r="A616" s="142"/>
      <c r="B616" s="143" t="s">
        <v>302</v>
      </c>
      <c r="C616" s="300"/>
      <c r="D616" s="300"/>
      <c r="E616" s="300"/>
      <c r="F616" s="300"/>
      <c r="G616" s="300"/>
      <c r="H616" s="134"/>
      <c r="I616" s="300"/>
      <c r="J616" s="299"/>
      <c r="K616" s="300"/>
      <c r="L616" s="300"/>
      <c r="M616" s="134"/>
      <c r="N616" s="300"/>
      <c r="O616" s="299"/>
      <c r="P616" s="134"/>
      <c r="Q616" s="301"/>
      <c r="R616" s="134"/>
      <c r="S616" s="300">
        <v>51</v>
      </c>
      <c r="T616" s="132">
        <v>51</v>
      </c>
      <c r="U616" s="311"/>
      <c r="V616" s="132"/>
      <c r="W616" s="296"/>
      <c r="X616" s="296"/>
      <c r="Y616" s="511">
        <v>51</v>
      </c>
    </row>
    <row r="617" spans="1:25" s="306" customFormat="1" ht="15.75" x14ac:dyDescent="0.25">
      <c r="A617" s="142"/>
      <c r="B617" s="144" t="s">
        <v>303</v>
      </c>
      <c r="C617" s="303"/>
      <c r="D617" s="303"/>
      <c r="E617" s="303"/>
      <c r="F617" s="303"/>
      <c r="G617" s="303"/>
      <c r="H617" s="119"/>
      <c r="I617" s="303"/>
      <c r="J617" s="302"/>
      <c r="K617" s="303"/>
      <c r="L617" s="303"/>
      <c r="M617" s="119"/>
      <c r="N617" s="303"/>
      <c r="O617" s="302"/>
      <c r="P617" s="119"/>
      <c r="Q617" s="173"/>
      <c r="R617" s="119"/>
      <c r="S617" s="303">
        <v>57</v>
      </c>
      <c r="T617" s="117">
        <v>57</v>
      </c>
      <c r="U617" s="312"/>
      <c r="V617" s="117"/>
      <c r="W617" s="296"/>
      <c r="X617" s="296"/>
      <c r="Y617" s="306">
        <v>57</v>
      </c>
    </row>
    <row r="618" spans="1:25" ht="15.75" x14ac:dyDescent="0.25">
      <c r="A618" s="142"/>
      <c r="B618" s="145" t="s">
        <v>304</v>
      </c>
      <c r="C618" s="305">
        <v>0</v>
      </c>
      <c r="D618" s="305">
        <v>0</v>
      </c>
      <c r="E618" s="305">
        <v>0</v>
      </c>
      <c r="F618" s="305">
        <v>0</v>
      </c>
      <c r="G618" s="305">
        <v>0</v>
      </c>
      <c r="H618" s="122">
        <v>0</v>
      </c>
      <c r="I618" s="305">
        <v>0</v>
      </c>
      <c r="J618" s="304">
        <v>0</v>
      </c>
      <c r="K618" s="305">
        <v>0</v>
      </c>
      <c r="L618" s="305">
        <v>0</v>
      </c>
      <c r="M618" s="122">
        <v>0</v>
      </c>
      <c r="N618" s="305">
        <v>0</v>
      </c>
      <c r="O618" s="304">
        <v>0</v>
      </c>
      <c r="P618" s="122">
        <v>0</v>
      </c>
      <c r="Q618" s="253">
        <v>0</v>
      </c>
      <c r="R618" s="122">
        <v>0</v>
      </c>
      <c r="S618" s="305">
        <v>0.11764705882352941</v>
      </c>
      <c r="T618" s="120">
        <v>0.11764705882352941</v>
      </c>
      <c r="U618" s="313">
        <v>0</v>
      </c>
      <c r="V618" s="120">
        <v>0</v>
      </c>
      <c r="W618" s="296">
        <v>0</v>
      </c>
      <c r="X618" s="296">
        <v>0</v>
      </c>
      <c r="Y618" s="511">
        <v>0.11764705882352941</v>
      </c>
    </row>
    <row r="619" spans="1:25" ht="15.75" x14ac:dyDescent="0.25">
      <c r="A619" s="142"/>
      <c r="B619" s="143" t="s">
        <v>305</v>
      </c>
      <c r="C619" s="300">
        <v>105</v>
      </c>
      <c r="D619" s="300"/>
      <c r="E619" s="300"/>
      <c r="F619" s="300"/>
      <c r="G619" s="300"/>
      <c r="H619" s="134"/>
      <c r="I619" s="300">
        <v>105</v>
      </c>
      <c r="J619" s="299"/>
      <c r="K619" s="300"/>
      <c r="L619" s="300"/>
      <c r="M619" s="134"/>
      <c r="N619" s="300"/>
      <c r="O619" s="299"/>
      <c r="P619" s="134"/>
      <c r="Q619" s="301"/>
      <c r="R619" s="134"/>
      <c r="S619" s="300">
        <v>75</v>
      </c>
      <c r="T619" s="132">
        <v>75</v>
      </c>
      <c r="U619" s="311"/>
      <c r="V619" s="132"/>
      <c r="W619" s="296"/>
      <c r="X619" s="296"/>
      <c r="Y619" s="511">
        <v>180</v>
      </c>
    </row>
    <row r="620" spans="1:25" s="306" customFormat="1" ht="15.75" x14ac:dyDescent="0.25">
      <c r="A620" s="142"/>
      <c r="B620" s="144" t="s">
        <v>306</v>
      </c>
      <c r="C620" s="303">
        <v>100</v>
      </c>
      <c r="D620" s="303"/>
      <c r="E620" s="303"/>
      <c r="F620" s="303"/>
      <c r="G620" s="303"/>
      <c r="H620" s="119"/>
      <c r="I620" s="303">
        <v>100</v>
      </c>
      <c r="J620" s="302"/>
      <c r="K620" s="303"/>
      <c r="L620" s="303"/>
      <c r="M620" s="119"/>
      <c r="N620" s="303"/>
      <c r="O620" s="302"/>
      <c r="P620" s="119"/>
      <c r="Q620" s="173"/>
      <c r="R620" s="119"/>
      <c r="S620" s="303">
        <v>80</v>
      </c>
      <c r="T620" s="117">
        <v>80</v>
      </c>
      <c r="U620" s="312"/>
      <c r="V620" s="117"/>
      <c r="W620" s="296"/>
      <c r="X620" s="296"/>
      <c r="Y620" s="306">
        <v>180</v>
      </c>
    </row>
    <row r="621" spans="1:25" ht="15.75" x14ac:dyDescent="0.25">
      <c r="A621" s="142"/>
      <c r="B621" s="145" t="s">
        <v>307</v>
      </c>
      <c r="C621" s="305">
        <v>-4.7619047619047616E-2</v>
      </c>
      <c r="D621" s="305">
        <v>0</v>
      </c>
      <c r="E621" s="305">
        <v>0</v>
      </c>
      <c r="F621" s="305">
        <v>0</v>
      </c>
      <c r="G621" s="305">
        <v>0</v>
      </c>
      <c r="H621" s="122">
        <v>0</v>
      </c>
      <c r="I621" s="305">
        <v>-4.7619047619047616E-2</v>
      </c>
      <c r="J621" s="304">
        <v>0</v>
      </c>
      <c r="K621" s="305">
        <v>0</v>
      </c>
      <c r="L621" s="305">
        <v>0</v>
      </c>
      <c r="M621" s="122">
        <v>0</v>
      </c>
      <c r="N621" s="305">
        <v>0</v>
      </c>
      <c r="O621" s="304">
        <v>0</v>
      </c>
      <c r="P621" s="122">
        <v>0</v>
      </c>
      <c r="Q621" s="253">
        <v>0</v>
      </c>
      <c r="R621" s="122">
        <v>0</v>
      </c>
      <c r="S621" s="305">
        <v>6.6666666666666666E-2</v>
      </c>
      <c r="T621" s="120">
        <v>6.6666666666666666E-2</v>
      </c>
      <c r="U621" s="313">
        <v>0</v>
      </c>
      <c r="V621" s="120">
        <v>0</v>
      </c>
      <c r="W621" s="296">
        <v>0</v>
      </c>
      <c r="X621" s="296">
        <v>0</v>
      </c>
      <c r="Y621" s="511">
        <v>0</v>
      </c>
    </row>
    <row r="622" spans="1:25" ht="15.75" x14ac:dyDescent="0.25">
      <c r="A622" s="142"/>
      <c r="B622" s="143" t="s">
        <v>308</v>
      </c>
      <c r="C622" s="300"/>
      <c r="D622" s="300"/>
      <c r="E622" s="300"/>
      <c r="F622" s="300"/>
      <c r="G622" s="300"/>
      <c r="H622" s="134"/>
      <c r="I622" s="300"/>
      <c r="J622" s="299"/>
      <c r="K622" s="300"/>
      <c r="L622" s="300"/>
      <c r="M622" s="134"/>
      <c r="N622" s="300"/>
      <c r="O622" s="299"/>
      <c r="P622" s="134"/>
      <c r="Q622" s="301"/>
      <c r="R622" s="134"/>
      <c r="S622" s="300"/>
      <c r="T622" s="132"/>
      <c r="U622" s="311"/>
      <c r="V622" s="132"/>
      <c r="W622" s="296"/>
      <c r="X622" s="296"/>
    </row>
    <row r="623" spans="1:25" s="306" customFormat="1" ht="15.75" x14ac:dyDescent="0.25">
      <c r="A623" s="142"/>
      <c r="B623" s="144" t="s">
        <v>309</v>
      </c>
      <c r="C623" s="303"/>
      <c r="D623" s="303"/>
      <c r="E623" s="303"/>
      <c r="F623" s="303"/>
      <c r="G623" s="303"/>
      <c r="H623" s="119"/>
      <c r="I623" s="303"/>
      <c r="J623" s="302"/>
      <c r="K623" s="303"/>
      <c r="L623" s="303"/>
      <c r="M623" s="119"/>
      <c r="N623" s="303"/>
      <c r="O623" s="302"/>
      <c r="P623" s="119"/>
      <c r="Q623" s="173"/>
      <c r="R623" s="119"/>
      <c r="S623" s="303"/>
      <c r="T623" s="117"/>
      <c r="U623" s="312"/>
      <c r="V623" s="117"/>
      <c r="W623" s="296"/>
      <c r="X623" s="296"/>
    </row>
    <row r="624" spans="1:25" ht="15.75" x14ac:dyDescent="0.25">
      <c r="A624" s="142"/>
      <c r="B624" s="145" t="s">
        <v>310</v>
      </c>
      <c r="C624" s="305">
        <v>0</v>
      </c>
      <c r="D624" s="305">
        <v>0</v>
      </c>
      <c r="E624" s="305">
        <v>0</v>
      </c>
      <c r="F624" s="305">
        <v>0</v>
      </c>
      <c r="G624" s="305">
        <v>0</v>
      </c>
      <c r="H624" s="122">
        <v>0</v>
      </c>
      <c r="I624" s="305">
        <v>0</v>
      </c>
      <c r="J624" s="304">
        <v>0</v>
      </c>
      <c r="K624" s="305">
        <v>0</v>
      </c>
      <c r="L624" s="305">
        <v>0</v>
      </c>
      <c r="M624" s="122">
        <v>0</v>
      </c>
      <c r="N624" s="305">
        <v>0</v>
      </c>
      <c r="O624" s="304">
        <v>0</v>
      </c>
      <c r="P624" s="122">
        <v>0</v>
      </c>
      <c r="Q624" s="253">
        <v>0</v>
      </c>
      <c r="R624" s="122">
        <v>0</v>
      </c>
      <c r="S624" s="305">
        <v>0</v>
      </c>
      <c r="T624" s="120">
        <v>0</v>
      </c>
      <c r="U624" s="313">
        <v>0</v>
      </c>
      <c r="V624" s="120">
        <v>0</v>
      </c>
      <c r="W624" s="296">
        <v>0</v>
      </c>
      <c r="X624" s="296">
        <v>0</v>
      </c>
      <c r="Y624" s="511">
        <v>0</v>
      </c>
    </row>
    <row r="625" spans="1:25" ht="15.75" x14ac:dyDescent="0.25">
      <c r="A625" s="142"/>
      <c r="B625" s="143" t="s">
        <v>311</v>
      </c>
      <c r="C625" s="300"/>
      <c r="D625" s="300"/>
      <c r="E625" s="300"/>
      <c r="F625" s="300"/>
      <c r="G625" s="300"/>
      <c r="H625" s="134"/>
      <c r="I625" s="300"/>
      <c r="J625" s="299"/>
      <c r="K625" s="300"/>
      <c r="L625" s="300"/>
      <c r="M625" s="134"/>
      <c r="N625" s="300"/>
      <c r="O625" s="299"/>
      <c r="P625" s="134"/>
      <c r="Q625" s="301"/>
      <c r="R625" s="134"/>
      <c r="S625" s="300"/>
      <c r="T625" s="132"/>
      <c r="U625" s="311"/>
      <c r="V625" s="132"/>
      <c r="W625" s="296"/>
      <c r="X625" s="296"/>
    </row>
    <row r="626" spans="1:25" s="306" customFormat="1" ht="15.75" x14ac:dyDescent="0.25">
      <c r="A626" s="142"/>
      <c r="B626" s="144" t="s">
        <v>312</v>
      </c>
      <c r="C626" s="303"/>
      <c r="D626" s="303"/>
      <c r="E626" s="303"/>
      <c r="F626" s="303"/>
      <c r="G626" s="303"/>
      <c r="H626" s="119"/>
      <c r="I626" s="303"/>
      <c r="J626" s="302"/>
      <c r="K626" s="303"/>
      <c r="L626" s="303"/>
      <c r="M626" s="119"/>
      <c r="N626" s="303"/>
      <c r="O626" s="302"/>
      <c r="P626" s="119"/>
      <c r="Q626" s="173"/>
      <c r="R626" s="119"/>
      <c r="S626" s="303"/>
      <c r="T626" s="117"/>
      <c r="U626" s="312"/>
      <c r="V626" s="117"/>
      <c r="W626" s="296"/>
      <c r="X626" s="296"/>
    </row>
    <row r="627" spans="1:25" ht="15.75" x14ac:dyDescent="0.25">
      <c r="A627" s="142"/>
      <c r="B627" s="145" t="s">
        <v>313</v>
      </c>
      <c r="C627" s="305">
        <v>0</v>
      </c>
      <c r="D627" s="305">
        <v>0</v>
      </c>
      <c r="E627" s="305">
        <v>0</v>
      </c>
      <c r="F627" s="305">
        <v>0</v>
      </c>
      <c r="G627" s="305">
        <v>0</v>
      </c>
      <c r="H627" s="122">
        <v>0</v>
      </c>
      <c r="I627" s="305">
        <v>0</v>
      </c>
      <c r="J627" s="304">
        <v>0</v>
      </c>
      <c r="K627" s="305">
        <v>0</v>
      </c>
      <c r="L627" s="305">
        <v>0</v>
      </c>
      <c r="M627" s="122">
        <v>0</v>
      </c>
      <c r="N627" s="305">
        <v>0</v>
      </c>
      <c r="O627" s="304">
        <v>0</v>
      </c>
      <c r="P627" s="122">
        <v>0</v>
      </c>
      <c r="Q627" s="253">
        <v>0</v>
      </c>
      <c r="R627" s="122">
        <v>0</v>
      </c>
      <c r="S627" s="305">
        <v>0</v>
      </c>
      <c r="T627" s="120">
        <v>0</v>
      </c>
      <c r="U627" s="313">
        <v>0</v>
      </c>
      <c r="V627" s="120">
        <v>0</v>
      </c>
      <c r="W627" s="296">
        <v>0</v>
      </c>
      <c r="X627" s="296">
        <v>0</v>
      </c>
      <c r="Y627" s="511">
        <v>0</v>
      </c>
    </row>
    <row r="628" spans="1:25" ht="15.75" x14ac:dyDescent="0.25">
      <c r="A628" s="142"/>
      <c r="B628" s="143" t="s">
        <v>314</v>
      </c>
      <c r="C628" s="300"/>
      <c r="D628" s="300"/>
      <c r="E628" s="300"/>
      <c r="F628" s="300"/>
      <c r="G628" s="300"/>
      <c r="H628" s="134"/>
      <c r="I628" s="300"/>
      <c r="J628" s="299"/>
      <c r="K628" s="300"/>
      <c r="L628" s="300"/>
      <c r="M628" s="134"/>
      <c r="N628" s="300"/>
      <c r="O628" s="299"/>
      <c r="P628" s="134"/>
      <c r="Q628" s="301"/>
      <c r="R628" s="134"/>
      <c r="S628" s="300"/>
      <c r="T628" s="132"/>
      <c r="U628" s="311"/>
      <c r="V628" s="132"/>
      <c r="W628" s="296"/>
      <c r="X628" s="296"/>
    </row>
    <row r="629" spans="1:25" s="306" customFormat="1" ht="15.75" x14ac:dyDescent="0.25">
      <c r="A629" s="142"/>
      <c r="B629" s="144" t="s">
        <v>315</v>
      </c>
      <c r="C629" s="303"/>
      <c r="D629" s="303"/>
      <c r="E629" s="303"/>
      <c r="F629" s="303"/>
      <c r="G629" s="303"/>
      <c r="H629" s="119"/>
      <c r="I629" s="303"/>
      <c r="J629" s="302"/>
      <c r="K629" s="303"/>
      <c r="L629" s="303"/>
      <c r="M629" s="119"/>
      <c r="N629" s="303"/>
      <c r="O629" s="302"/>
      <c r="P629" s="119"/>
      <c r="Q629" s="173"/>
      <c r="R629" s="119"/>
      <c r="S629" s="303"/>
      <c r="T629" s="117"/>
      <c r="U629" s="312"/>
      <c r="V629" s="117"/>
      <c r="W629" s="296"/>
      <c r="X629" s="296"/>
    </row>
    <row r="630" spans="1:25" ht="15.75" x14ac:dyDescent="0.25">
      <c r="A630" s="142"/>
      <c r="B630" s="145" t="s">
        <v>316</v>
      </c>
      <c r="C630" s="305">
        <v>0</v>
      </c>
      <c r="D630" s="305">
        <v>0</v>
      </c>
      <c r="E630" s="305">
        <v>0</v>
      </c>
      <c r="F630" s="305">
        <v>0</v>
      </c>
      <c r="G630" s="305">
        <v>0</v>
      </c>
      <c r="H630" s="122">
        <v>0</v>
      </c>
      <c r="I630" s="305">
        <v>0</v>
      </c>
      <c r="J630" s="304">
        <v>0</v>
      </c>
      <c r="K630" s="305">
        <v>0</v>
      </c>
      <c r="L630" s="305">
        <v>0</v>
      </c>
      <c r="M630" s="122">
        <v>0</v>
      </c>
      <c r="N630" s="305">
        <v>0</v>
      </c>
      <c r="O630" s="304">
        <v>0</v>
      </c>
      <c r="P630" s="122">
        <v>0</v>
      </c>
      <c r="Q630" s="253">
        <v>0</v>
      </c>
      <c r="R630" s="122">
        <v>0</v>
      </c>
      <c r="S630" s="305">
        <v>0</v>
      </c>
      <c r="T630" s="120">
        <v>0</v>
      </c>
      <c r="U630" s="313">
        <v>0</v>
      </c>
      <c r="V630" s="120">
        <v>0</v>
      </c>
      <c r="W630" s="296">
        <v>0</v>
      </c>
      <c r="X630" s="296">
        <v>0</v>
      </c>
      <c r="Y630" s="511">
        <v>0</v>
      </c>
    </row>
    <row r="631" spans="1:25" ht="15.75" x14ac:dyDescent="0.25">
      <c r="A631" s="142"/>
      <c r="B631" s="143" t="s">
        <v>317</v>
      </c>
      <c r="C631" s="300"/>
      <c r="D631" s="300"/>
      <c r="E631" s="300"/>
      <c r="F631" s="300"/>
      <c r="G631" s="300"/>
      <c r="H631" s="134"/>
      <c r="I631" s="300"/>
      <c r="J631" s="299"/>
      <c r="K631" s="300"/>
      <c r="L631" s="300"/>
      <c r="M631" s="134"/>
      <c r="N631" s="300"/>
      <c r="O631" s="299"/>
      <c r="P631" s="134"/>
      <c r="Q631" s="301"/>
      <c r="R631" s="134"/>
      <c r="S631" s="300"/>
      <c r="T631" s="132"/>
      <c r="U631" s="311"/>
      <c r="V631" s="132"/>
      <c r="W631" s="296"/>
      <c r="X631" s="296"/>
    </row>
    <row r="632" spans="1:25" s="306" customFormat="1" ht="15.75" x14ac:dyDescent="0.25">
      <c r="A632" s="142"/>
      <c r="B632" s="144" t="s">
        <v>318</v>
      </c>
      <c r="C632" s="303"/>
      <c r="D632" s="303"/>
      <c r="E632" s="303"/>
      <c r="F632" s="303"/>
      <c r="G632" s="303"/>
      <c r="H632" s="119"/>
      <c r="I632" s="303"/>
      <c r="J632" s="302"/>
      <c r="K632" s="303"/>
      <c r="L632" s="303"/>
      <c r="M632" s="119"/>
      <c r="N632" s="303"/>
      <c r="O632" s="302"/>
      <c r="P632" s="119"/>
      <c r="Q632" s="173"/>
      <c r="R632" s="119"/>
      <c r="S632" s="303"/>
      <c r="T632" s="117"/>
      <c r="U632" s="312"/>
      <c r="V632" s="117"/>
      <c r="W632" s="296"/>
      <c r="X632" s="296"/>
    </row>
    <row r="633" spans="1:25" ht="15.75" x14ac:dyDescent="0.25">
      <c r="A633" s="142"/>
      <c r="B633" s="145" t="s">
        <v>319</v>
      </c>
      <c r="C633" s="305">
        <v>0</v>
      </c>
      <c r="D633" s="305">
        <v>0</v>
      </c>
      <c r="E633" s="305">
        <v>0</v>
      </c>
      <c r="F633" s="305">
        <v>0</v>
      </c>
      <c r="G633" s="305">
        <v>0</v>
      </c>
      <c r="H633" s="122">
        <v>0</v>
      </c>
      <c r="I633" s="305">
        <v>0</v>
      </c>
      <c r="J633" s="304">
        <v>0</v>
      </c>
      <c r="K633" s="305">
        <v>0</v>
      </c>
      <c r="L633" s="305">
        <v>0</v>
      </c>
      <c r="M633" s="122">
        <v>0</v>
      </c>
      <c r="N633" s="305">
        <v>0</v>
      </c>
      <c r="O633" s="304">
        <v>0</v>
      </c>
      <c r="P633" s="122">
        <v>0</v>
      </c>
      <c r="Q633" s="253">
        <v>0</v>
      </c>
      <c r="R633" s="122">
        <v>0</v>
      </c>
      <c r="S633" s="305">
        <v>0</v>
      </c>
      <c r="T633" s="120">
        <v>0</v>
      </c>
      <c r="U633" s="313">
        <v>0</v>
      </c>
      <c r="V633" s="120">
        <v>0</v>
      </c>
      <c r="W633" s="296">
        <v>0</v>
      </c>
      <c r="X633" s="296">
        <v>0</v>
      </c>
      <c r="Y633" s="511">
        <v>0</v>
      </c>
    </row>
    <row r="634" spans="1:25" ht="15.75" x14ac:dyDescent="0.25">
      <c r="A634" s="142"/>
      <c r="B634" s="143" t="s">
        <v>320</v>
      </c>
      <c r="C634" s="300"/>
      <c r="D634" s="300"/>
      <c r="E634" s="300"/>
      <c r="F634" s="300"/>
      <c r="G634" s="300"/>
      <c r="H634" s="134"/>
      <c r="I634" s="300"/>
      <c r="J634" s="299"/>
      <c r="K634" s="300"/>
      <c r="L634" s="300"/>
      <c r="M634" s="134"/>
      <c r="N634" s="300"/>
      <c r="O634" s="299"/>
      <c r="P634" s="134"/>
      <c r="Q634" s="301"/>
      <c r="R634" s="134"/>
      <c r="S634" s="300"/>
      <c r="T634" s="132"/>
      <c r="U634" s="311"/>
      <c r="V634" s="132"/>
      <c r="W634" s="296"/>
      <c r="X634" s="296"/>
    </row>
    <row r="635" spans="1:25" s="306" customFormat="1" ht="15.75" x14ac:dyDescent="0.25">
      <c r="A635" s="142"/>
      <c r="B635" s="144" t="s">
        <v>321</v>
      </c>
      <c r="C635" s="303"/>
      <c r="D635" s="303"/>
      <c r="E635" s="303"/>
      <c r="F635" s="303"/>
      <c r="G635" s="303"/>
      <c r="H635" s="119"/>
      <c r="I635" s="303"/>
      <c r="J635" s="302"/>
      <c r="K635" s="303"/>
      <c r="L635" s="303"/>
      <c r="M635" s="119"/>
      <c r="N635" s="303"/>
      <c r="O635" s="302"/>
      <c r="P635" s="119"/>
      <c r="Q635" s="173"/>
      <c r="R635" s="119"/>
      <c r="S635" s="303"/>
      <c r="T635" s="117"/>
      <c r="U635" s="312"/>
      <c r="V635" s="117"/>
      <c r="W635" s="296"/>
      <c r="X635" s="296"/>
    </row>
    <row r="636" spans="1:25" ht="15.75" x14ac:dyDescent="0.25">
      <c r="A636" s="142"/>
      <c r="B636" s="145" t="s">
        <v>322</v>
      </c>
      <c r="C636" s="305">
        <v>0</v>
      </c>
      <c r="D636" s="305">
        <v>0</v>
      </c>
      <c r="E636" s="305">
        <v>0</v>
      </c>
      <c r="F636" s="305">
        <v>0</v>
      </c>
      <c r="G636" s="305">
        <v>0</v>
      </c>
      <c r="H636" s="122">
        <v>0</v>
      </c>
      <c r="I636" s="305">
        <v>0</v>
      </c>
      <c r="J636" s="304">
        <v>0</v>
      </c>
      <c r="K636" s="305">
        <v>0</v>
      </c>
      <c r="L636" s="305">
        <v>0</v>
      </c>
      <c r="M636" s="122">
        <v>0</v>
      </c>
      <c r="N636" s="305">
        <v>0</v>
      </c>
      <c r="O636" s="304">
        <v>0</v>
      </c>
      <c r="P636" s="122">
        <v>0</v>
      </c>
      <c r="Q636" s="253">
        <v>0</v>
      </c>
      <c r="R636" s="122">
        <v>0</v>
      </c>
      <c r="S636" s="305">
        <v>0</v>
      </c>
      <c r="T636" s="120">
        <v>0</v>
      </c>
      <c r="U636" s="313">
        <v>0</v>
      </c>
      <c r="V636" s="120">
        <v>0</v>
      </c>
      <c r="W636" s="296">
        <v>0</v>
      </c>
      <c r="X636" s="296">
        <v>0</v>
      </c>
      <c r="Y636" s="511">
        <v>0</v>
      </c>
    </row>
    <row r="637" spans="1:25" ht="15.75" x14ac:dyDescent="0.25">
      <c r="A637" s="142"/>
      <c r="B637" s="143" t="s">
        <v>404</v>
      </c>
      <c r="C637" s="300"/>
      <c r="D637" s="300"/>
      <c r="E637" s="300"/>
      <c r="F637" s="300"/>
      <c r="G637" s="300"/>
      <c r="H637" s="134"/>
      <c r="I637" s="300"/>
      <c r="J637" s="299"/>
      <c r="K637" s="300"/>
      <c r="L637" s="300"/>
      <c r="M637" s="134"/>
      <c r="N637" s="300"/>
      <c r="O637" s="299"/>
      <c r="P637" s="134"/>
      <c r="Q637" s="301"/>
      <c r="R637" s="134"/>
      <c r="S637" s="300"/>
      <c r="T637" s="132"/>
      <c r="U637" s="311"/>
      <c r="V637" s="132"/>
      <c r="W637" s="296"/>
      <c r="X637" s="296"/>
    </row>
    <row r="638" spans="1:25" s="306" customFormat="1" ht="15.75" x14ac:dyDescent="0.25">
      <c r="A638" s="142"/>
      <c r="B638" s="144" t="s">
        <v>406</v>
      </c>
      <c r="C638" s="303"/>
      <c r="D638" s="303"/>
      <c r="E638" s="303"/>
      <c r="F638" s="303"/>
      <c r="G638" s="303"/>
      <c r="H638" s="119"/>
      <c r="I638" s="303"/>
      <c r="J638" s="302"/>
      <c r="K638" s="303"/>
      <c r="L638" s="303"/>
      <c r="M638" s="119"/>
      <c r="N638" s="303"/>
      <c r="O638" s="302"/>
      <c r="P638" s="119"/>
      <c r="Q638" s="173"/>
      <c r="R638" s="119"/>
      <c r="S638" s="303"/>
      <c r="T638" s="117"/>
      <c r="U638" s="312"/>
      <c r="V638" s="117"/>
      <c r="W638" s="296"/>
      <c r="X638" s="296"/>
    </row>
    <row r="639" spans="1:25" ht="15.75" x14ac:dyDescent="0.25">
      <c r="A639" s="142"/>
      <c r="B639" s="145" t="s">
        <v>474</v>
      </c>
      <c r="C639" s="305">
        <v>0</v>
      </c>
      <c r="D639" s="305">
        <v>0</v>
      </c>
      <c r="E639" s="305">
        <v>0</v>
      </c>
      <c r="F639" s="305">
        <v>0</v>
      </c>
      <c r="G639" s="305">
        <v>0</v>
      </c>
      <c r="H639" s="122">
        <v>0</v>
      </c>
      <c r="I639" s="305">
        <v>0</v>
      </c>
      <c r="J639" s="304">
        <v>0</v>
      </c>
      <c r="K639" s="305">
        <v>0</v>
      </c>
      <c r="L639" s="305">
        <v>0</v>
      </c>
      <c r="M639" s="122">
        <v>0</v>
      </c>
      <c r="N639" s="305">
        <v>0</v>
      </c>
      <c r="O639" s="304">
        <v>0</v>
      </c>
      <c r="P639" s="122">
        <v>0</v>
      </c>
      <c r="Q639" s="253">
        <v>0</v>
      </c>
      <c r="R639" s="122">
        <v>0</v>
      </c>
      <c r="S639" s="305">
        <v>0</v>
      </c>
      <c r="T639" s="120">
        <v>0</v>
      </c>
      <c r="U639" s="313">
        <v>0</v>
      </c>
      <c r="V639" s="120">
        <v>0</v>
      </c>
      <c r="W639" s="296">
        <v>0</v>
      </c>
      <c r="X639" s="296">
        <v>0</v>
      </c>
      <c r="Y639" s="511">
        <v>0</v>
      </c>
    </row>
    <row r="640" spans="1:25" ht="15.75" x14ac:dyDescent="0.25">
      <c r="A640" s="142"/>
      <c r="B640" s="143" t="s">
        <v>476</v>
      </c>
      <c r="C640" s="300"/>
      <c r="D640" s="300"/>
      <c r="E640" s="300"/>
      <c r="F640" s="300"/>
      <c r="G640" s="300"/>
      <c r="H640" s="134"/>
      <c r="I640" s="300"/>
      <c r="J640" s="299"/>
      <c r="K640" s="300"/>
      <c r="L640" s="300"/>
      <c r="M640" s="134"/>
      <c r="N640" s="300"/>
      <c r="O640" s="299"/>
      <c r="P640" s="134"/>
      <c r="Q640" s="301"/>
      <c r="R640" s="134"/>
      <c r="S640" s="300"/>
      <c r="T640" s="132"/>
      <c r="U640" s="311"/>
      <c r="V640" s="132"/>
      <c r="W640" s="296"/>
      <c r="X640" s="296"/>
    </row>
    <row r="641" spans="1:25" s="306" customFormat="1" ht="15.75" x14ac:dyDescent="0.25">
      <c r="A641" s="294"/>
      <c r="B641" s="144" t="s">
        <v>472</v>
      </c>
      <c r="C641" s="303"/>
      <c r="D641" s="303"/>
      <c r="E641" s="303"/>
      <c r="F641" s="303"/>
      <c r="G641" s="303"/>
      <c r="H641" s="119"/>
      <c r="I641" s="303"/>
      <c r="J641" s="302"/>
      <c r="K641" s="303"/>
      <c r="L641" s="303"/>
      <c r="M641" s="119"/>
      <c r="N641" s="303"/>
      <c r="O641" s="302"/>
      <c r="P641" s="119"/>
      <c r="Q641" s="173"/>
      <c r="R641" s="119"/>
      <c r="S641" s="303"/>
      <c r="T641" s="117"/>
      <c r="U641" s="312"/>
      <c r="V641" s="117"/>
      <c r="W641" s="296"/>
      <c r="X641" s="296"/>
    </row>
    <row r="642" spans="1:25" ht="15.75" x14ac:dyDescent="0.25">
      <c r="A642" s="141" t="s">
        <v>802</v>
      </c>
      <c r="B642" s="143" t="s">
        <v>275</v>
      </c>
      <c r="C642" s="300"/>
      <c r="D642" s="300"/>
      <c r="E642" s="300"/>
      <c r="F642" s="300"/>
      <c r="G642" s="300"/>
      <c r="H642" s="134"/>
      <c r="I642" s="300"/>
      <c r="J642" s="299"/>
      <c r="K642" s="300"/>
      <c r="L642" s="300"/>
      <c r="M642" s="134"/>
      <c r="N642" s="300"/>
      <c r="O642" s="299">
        <v>535</v>
      </c>
      <c r="P642" s="134">
        <v>7735</v>
      </c>
      <c r="Q642" s="301"/>
      <c r="R642" s="134">
        <v>8270</v>
      </c>
      <c r="S642" s="300"/>
      <c r="T642" s="132"/>
      <c r="U642" s="311"/>
      <c r="V642" s="132"/>
      <c r="W642" s="296"/>
      <c r="X642" s="296"/>
      <c r="Y642" s="511">
        <v>8270</v>
      </c>
    </row>
    <row r="643" spans="1:25" ht="15.75" x14ac:dyDescent="0.25">
      <c r="A643" s="142"/>
      <c r="B643" s="144" t="s">
        <v>276</v>
      </c>
      <c r="C643" s="303"/>
      <c r="D643" s="303"/>
      <c r="E643" s="303"/>
      <c r="F643" s="303"/>
      <c r="G643" s="303"/>
      <c r="H643" s="119"/>
      <c r="I643" s="303"/>
      <c r="J643" s="302"/>
      <c r="K643" s="303"/>
      <c r="L643" s="303"/>
      <c r="M643" s="119"/>
      <c r="N643" s="303"/>
      <c r="O643" s="302">
        <v>650</v>
      </c>
      <c r="P643" s="119">
        <v>6678</v>
      </c>
      <c r="Q643" s="173"/>
      <c r="R643" s="119">
        <v>7328</v>
      </c>
      <c r="S643" s="303"/>
      <c r="T643" s="117"/>
      <c r="U643" s="312"/>
      <c r="V643" s="117"/>
      <c r="W643" s="296"/>
      <c r="X643" s="296"/>
      <c r="Y643" s="511">
        <v>7328</v>
      </c>
    </row>
    <row r="644" spans="1:25" s="306" customFormat="1" ht="15.75" x14ac:dyDescent="0.25">
      <c r="A644" s="142"/>
      <c r="B644" s="145" t="s">
        <v>277</v>
      </c>
      <c r="C644" s="305">
        <v>0</v>
      </c>
      <c r="D644" s="305">
        <v>0</v>
      </c>
      <c r="E644" s="305">
        <v>0</v>
      </c>
      <c r="F644" s="305">
        <v>0</v>
      </c>
      <c r="G644" s="305">
        <v>0</v>
      </c>
      <c r="H644" s="122">
        <v>0</v>
      </c>
      <c r="I644" s="305">
        <v>0</v>
      </c>
      <c r="J644" s="304">
        <v>0</v>
      </c>
      <c r="K644" s="305">
        <v>0</v>
      </c>
      <c r="L644" s="305">
        <v>0</v>
      </c>
      <c r="M644" s="122">
        <v>0</v>
      </c>
      <c r="N644" s="305">
        <v>0</v>
      </c>
      <c r="O644" s="304">
        <v>0.21495327102803738</v>
      </c>
      <c r="P644" s="122">
        <v>-0.13665158371040723</v>
      </c>
      <c r="Q644" s="253">
        <v>0</v>
      </c>
      <c r="R644" s="122">
        <v>-0.11390568319226119</v>
      </c>
      <c r="S644" s="305">
        <v>0</v>
      </c>
      <c r="T644" s="120">
        <v>0</v>
      </c>
      <c r="U644" s="313">
        <v>0</v>
      </c>
      <c r="V644" s="120">
        <v>0</v>
      </c>
      <c r="W644" s="296">
        <v>0</v>
      </c>
      <c r="X644" s="296">
        <v>0</v>
      </c>
      <c r="Y644" s="306">
        <v>-0.11390568319226119</v>
      </c>
    </row>
    <row r="645" spans="1:25" ht="15.75" x14ac:dyDescent="0.25">
      <c r="A645" s="142"/>
      <c r="B645" s="143" t="s">
        <v>278</v>
      </c>
      <c r="C645" s="300"/>
      <c r="D645" s="300"/>
      <c r="E645" s="300"/>
      <c r="F645" s="300"/>
      <c r="G645" s="300"/>
      <c r="H645" s="134"/>
      <c r="I645" s="300"/>
      <c r="J645" s="299"/>
      <c r="K645" s="300"/>
      <c r="L645" s="300"/>
      <c r="M645" s="134"/>
      <c r="N645" s="300"/>
      <c r="O645" s="299"/>
      <c r="P645" s="134"/>
      <c r="Q645" s="301"/>
      <c r="R645" s="134"/>
      <c r="S645" s="300"/>
      <c r="T645" s="132"/>
      <c r="U645" s="311"/>
      <c r="V645" s="132"/>
      <c r="W645" s="296"/>
      <c r="X645" s="296"/>
    </row>
    <row r="646" spans="1:25" ht="15.75" x14ac:dyDescent="0.25">
      <c r="A646" s="142"/>
      <c r="B646" s="144" t="s">
        <v>279</v>
      </c>
      <c r="C646" s="303"/>
      <c r="D646" s="303"/>
      <c r="E646" s="303"/>
      <c r="F646" s="303"/>
      <c r="G646" s="303"/>
      <c r="H646" s="119"/>
      <c r="I646" s="303"/>
      <c r="J646" s="302"/>
      <c r="K646" s="303"/>
      <c r="L646" s="303"/>
      <c r="M646" s="119"/>
      <c r="N646" s="303"/>
      <c r="O646" s="302"/>
      <c r="P646" s="119"/>
      <c r="Q646" s="173"/>
      <c r="R646" s="119"/>
      <c r="S646" s="303"/>
      <c r="T646" s="117"/>
      <c r="U646" s="312"/>
      <c r="V646" s="117"/>
      <c r="W646" s="296"/>
      <c r="X646" s="296"/>
    </row>
    <row r="647" spans="1:25" s="306" customFormat="1" ht="15.75" x14ac:dyDescent="0.25">
      <c r="A647" s="142"/>
      <c r="B647" s="145" t="s">
        <v>280</v>
      </c>
      <c r="C647" s="305">
        <v>0</v>
      </c>
      <c r="D647" s="305">
        <v>0</v>
      </c>
      <c r="E647" s="305">
        <v>0</v>
      </c>
      <c r="F647" s="305">
        <v>0</v>
      </c>
      <c r="G647" s="305">
        <v>0</v>
      </c>
      <c r="H647" s="122">
        <v>0</v>
      </c>
      <c r="I647" s="305">
        <v>0</v>
      </c>
      <c r="J647" s="304">
        <v>0</v>
      </c>
      <c r="K647" s="305">
        <v>0</v>
      </c>
      <c r="L647" s="305">
        <v>0</v>
      </c>
      <c r="M647" s="122">
        <v>0</v>
      </c>
      <c r="N647" s="305">
        <v>0</v>
      </c>
      <c r="O647" s="304">
        <v>0</v>
      </c>
      <c r="P647" s="122">
        <v>0</v>
      </c>
      <c r="Q647" s="253">
        <v>0</v>
      </c>
      <c r="R647" s="122">
        <v>0</v>
      </c>
      <c r="S647" s="305">
        <v>0</v>
      </c>
      <c r="T647" s="120">
        <v>0</v>
      </c>
      <c r="U647" s="313">
        <v>0</v>
      </c>
      <c r="V647" s="120">
        <v>0</v>
      </c>
      <c r="W647" s="296">
        <v>0</v>
      </c>
      <c r="X647" s="296">
        <v>0</v>
      </c>
      <c r="Y647" s="306">
        <v>0</v>
      </c>
    </row>
    <row r="648" spans="1:25" ht="15.75" x14ac:dyDescent="0.25">
      <c r="A648" s="142"/>
      <c r="B648" s="143" t="s">
        <v>281</v>
      </c>
      <c r="C648" s="300"/>
      <c r="D648" s="300">
        <v>115</v>
      </c>
      <c r="E648" s="300">
        <v>225</v>
      </c>
      <c r="F648" s="300"/>
      <c r="G648" s="300"/>
      <c r="H648" s="134"/>
      <c r="I648" s="300">
        <v>340</v>
      </c>
      <c r="J648" s="299"/>
      <c r="K648" s="300">
        <v>3869</v>
      </c>
      <c r="L648" s="300">
        <v>4443</v>
      </c>
      <c r="M648" s="134"/>
      <c r="N648" s="300">
        <v>8312</v>
      </c>
      <c r="O648" s="299"/>
      <c r="P648" s="134"/>
      <c r="Q648" s="301"/>
      <c r="R648" s="134"/>
      <c r="S648" s="300"/>
      <c r="T648" s="132"/>
      <c r="U648" s="311"/>
      <c r="V648" s="132"/>
      <c r="W648" s="296"/>
      <c r="X648" s="296"/>
      <c r="Y648" s="511">
        <v>8652</v>
      </c>
    </row>
    <row r="649" spans="1:25" ht="15.75" x14ac:dyDescent="0.25">
      <c r="A649" s="142"/>
      <c r="B649" s="144" t="s">
        <v>282</v>
      </c>
      <c r="C649" s="303"/>
      <c r="D649" s="303">
        <v>139</v>
      </c>
      <c r="E649" s="303">
        <v>241</v>
      </c>
      <c r="F649" s="303"/>
      <c r="G649" s="303"/>
      <c r="H649" s="119"/>
      <c r="I649" s="303">
        <v>380</v>
      </c>
      <c r="J649" s="302"/>
      <c r="K649" s="303">
        <v>4286</v>
      </c>
      <c r="L649" s="303">
        <v>4801</v>
      </c>
      <c r="M649" s="119"/>
      <c r="N649" s="303">
        <v>9087</v>
      </c>
      <c r="O649" s="302"/>
      <c r="P649" s="119"/>
      <c r="Q649" s="173"/>
      <c r="R649" s="119"/>
      <c r="S649" s="303"/>
      <c r="T649" s="117"/>
      <c r="U649" s="312"/>
      <c r="V649" s="117"/>
      <c r="W649" s="296"/>
      <c r="X649" s="296"/>
      <c r="Y649" s="511">
        <v>9467</v>
      </c>
    </row>
    <row r="650" spans="1:25" s="306" customFormat="1" ht="15.75" x14ac:dyDescent="0.25">
      <c r="A650" s="142"/>
      <c r="B650" s="145" t="s">
        <v>283</v>
      </c>
      <c r="C650" s="305">
        <v>0</v>
      </c>
      <c r="D650" s="305">
        <v>0.20869565217391303</v>
      </c>
      <c r="E650" s="305">
        <v>7.1111111111111111E-2</v>
      </c>
      <c r="F650" s="305">
        <v>0</v>
      </c>
      <c r="G650" s="305">
        <v>0</v>
      </c>
      <c r="H650" s="122">
        <v>0</v>
      </c>
      <c r="I650" s="305">
        <v>0.11764705882352941</v>
      </c>
      <c r="J650" s="304">
        <v>0</v>
      </c>
      <c r="K650" s="305">
        <v>0.10777978805892996</v>
      </c>
      <c r="L650" s="305">
        <v>8.0576187260859786E-2</v>
      </c>
      <c r="M650" s="122">
        <v>0</v>
      </c>
      <c r="N650" s="305">
        <v>9.3238691049085665E-2</v>
      </c>
      <c r="O650" s="304">
        <v>0</v>
      </c>
      <c r="P650" s="122">
        <v>0</v>
      </c>
      <c r="Q650" s="253">
        <v>0</v>
      </c>
      <c r="R650" s="122">
        <v>0</v>
      </c>
      <c r="S650" s="305">
        <v>0</v>
      </c>
      <c r="T650" s="120">
        <v>0</v>
      </c>
      <c r="U650" s="313">
        <v>0</v>
      </c>
      <c r="V650" s="120">
        <v>0</v>
      </c>
      <c r="W650" s="296">
        <v>0</v>
      </c>
      <c r="X650" s="296">
        <v>0</v>
      </c>
      <c r="Y650" s="306">
        <v>9.4197873324086911E-2</v>
      </c>
    </row>
    <row r="651" spans="1:25" ht="15.75" x14ac:dyDescent="0.25">
      <c r="A651" s="142"/>
      <c r="B651" s="143" t="s">
        <v>284</v>
      </c>
      <c r="C651" s="300">
        <v>7010</v>
      </c>
      <c r="D651" s="300">
        <v>966</v>
      </c>
      <c r="E651" s="300">
        <v>10062</v>
      </c>
      <c r="F651" s="300"/>
      <c r="G651" s="300">
        <v>1038</v>
      </c>
      <c r="H651" s="134"/>
      <c r="I651" s="300">
        <v>19076</v>
      </c>
      <c r="J651" s="299"/>
      <c r="K651" s="300"/>
      <c r="L651" s="300"/>
      <c r="M651" s="134"/>
      <c r="N651" s="300"/>
      <c r="O651" s="299"/>
      <c r="P651" s="134"/>
      <c r="Q651" s="301"/>
      <c r="R651" s="134"/>
      <c r="S651" s="300">
        <v>45</v>
      </c>
      <c r="T651" s="132">
        <v>45</v>
      </c>
      <c r="U651" s="311"/>
      <c r="V651" s="132"/>
      <c r="W651" s="296"/>
      <c r="X651" s="296"/>
      <c r="Y651" s="511">
        <v>19121</v>
      </c>
    </row>
    <row r="652" spans="1:25" ht="15.75" x14ac:dyDescent="0.25">
      <c r="A652" s="142"/>
      <c r="B652" s="144" t="s">
        <v>285</v>
      </c>
      <c r="C652" s="303">
        <v>7263</v>
      </c>
      <c r="D652" s="303">
        <v>959</v>
      </c>
      <c r="E652" s="303">
        <v>10579</v>
      </c>
      <c r="F652" s="303"/>
      <c r="G652" s="303">
        <v>1116</v>
      </c>
      <c r="H652" s="119"/>
      <c r="I652" s="303">
        <v>19917</v>
      </c>
      <c r="J652" s="302"/>
      <c r="K652" s="303"/>
      <c r="L652" s="303"/>
      <c r="M652" s="119"/>
      <c r="N652" s="303"/>
      <c r="O652" s="302"/>
      <c r="P652" s="119"/>
      <c r="Q652" s="173"/>
      <c r="R652" s="119"/>
      <c r="S652" s="303">
        <v>39</v>
      </c>
      <c r="T652" s="117">
        <v>39</v>
      </c>
      <c r="U652" s="312"/>
      <c r="V652" s="117"/>
      <c r="W652" s="296"/>
      <c r="X652" s="296"/>
      <c r="Y652" s="511">
        <v>19956</v>
      </c>
    </row>
    <row r="653" spans="1:25" s="306" customFormat="1" ht="15.75" x14ac:dyDescent="0.25">
      <c r="A653" s="142"/>
      <c r="B653" s="145" t="s">
        <v>286</v>
      </c>
      <c r="C653" s="305">
        <v>3.609129814550642E-2</v>
      </c>
      <c r="D653" s="305">
        <v>-7.246376811594203E-3</v>
      </c>
      <c r="E653" s="305">
        <v>5.1381435102365335E-2</v>
      </c>
      <c r="F653" s="305">
        <v>0</v>
      </c>
      <c r="G653" s="305">
        <v>7.5144508670520235E-2</v>
      </c>
      <c r="H653" s="122">
        <v>0</v>
      </c>
      <c r="I653" s="305">
        <v>4.4086810652128328E-2</v>
      </c>
      <c r="J653" s="304">
        <v>0</v>
      </c>
      <c r="K653" s="305">
        <v>0</v>
      </c>
      <c r="L653" s="305">
        <v>0</v>
      </c>
      <c r="M653" s="122">
        <v>0</v>
      </c>
      <c r="N653" s="305">
        <v>0</v>
      </c>
      <c r="O653" s="304">
        <v>0</v>
      </c>
      <c r="P653" s="122">
        <v>0</v>
      </c>
      <c r="Q653" s="253">
        <v>0</v>
      </c>
      <c r="R653" s="122">
        <v>0</v>
      </c>
      <c r="S653" s="305">
        <v>-0.13333333333333333</v>
      </c>
      <c r="T653" s="120">
        <v>-0.13333333333333333</v>
      </c>
      <c r="U653" s="313">
        <v>0</v>
      </c>
      <c r="V653" s="120">
        <v>0</v>
      </c>
      <c r="W653" s="296">
        <v>0</v>
      </c>
      <c r="X653" s="296">
        <v>0</v>
      </c>
      <c r="Y653" s="306">
        <v>4.3669264159824278E-2</v>
      </c>
    </row>
    <row r="654" spans="1:25" ht="15.75" x14ac:dyDescent="0.25">
      <c r="A654" s="142"/>
      <c r="B654" s="143" t="s">
        <v>287</v>
      </c>
      <c r="C654" s="300"/>
      <c r="D654" s="300"/>
      <c r="E654" s="300"/>
      <c r="F654" s="300"/>
      <c r="G654" s="300"/>
      <c r="H654" s="134"/>
      <c r="I654" s="300"/>
      <c r="J654" s="299"/>
      <c r="K654" s="300"/>
      <c r="L654" s="300"/>
      <c r="M654" s="134"/>
      <c r="N654" s="300"/>
      <c r="O654" s="299"/>
      <c r="P654" s="134"/>
      <c r="Q654" s="301"/>
      <c r="R654" s="134"/>
      <c r="S654" s="300"/>
      <c r="T654" s="132"/>
      <c r="U654" s="311"/>
      <c r="V654" s="132"/>
      <c r="W654" s="296"/>
      <c r="X654" s="296"/>
    </row>
    <row r="655" spans="1:25" ht="15.75" x14ac:dyDescent="0.25">
      <c r="A655" s="142"/>
      <c r="B655" s="144" t="s">
        <v>288</v>
      </c>
      <c r="C655" s="303"/>
      <c r="D655" s="303"/>
      <c r="E655" s="303"/>
      <c r="F655" s="303"/>
      <c r="G655" s="303"/>
      <c r="H655" s="119"/>
      <c r="I655" s="303"/>
      <c r="J655" s="302"/>
      <c r="K655" s="303"/>
      <c r="L655" s="303"/>
      <c r="M655" s="119"/>
      <c r="N655" s="303"/>
      <c r="O655" s="302"/>
      <c r="P655" s="119"/>
      <c r="Q655" s="173"/>
      <c r="R655" s="119"/>
      <c r="S655" s="303"/>
      <c r="T655" s="117"/>
      <c r="U655" s="312"/>
      <c r="V655" s="117"/>
      <c r="W655" s="296"/>
      <c r="X655" s="296"/>
    </row>
    <row r="656" spans="1:25" s="306" customFormat="1" ht="15.75" x14ac:dyDescent="0.25">
      <c r="A656" s="142"/>
      <c r="B656" s="145" t="s">
        <v>289</v>
      </c>
      <c r="C656" s="305">
        <v>0</v>
      </c>
      <c r="D656" s="305">
        <v>0</v>
      </c>
      <c r="E656" s="305">
        <v>0</v>
      </c>
      <c r="F656" s="305">
        <v>0</v>
      </c>
      <c r="G656" s="305">
        <v>0</v>
      </c>
      <c r="H656" s="122">
        <v>0</v>
      </c>
      <c r="I656" s="305">
        <v>0</v>
      </c>
      <c r="J656" s="304">
        <v>0</v>
      </c>
      <c r="K656" s="305">
        <v>0</v>
      </c>
      <c r="L656" s="305">
        <v>0</v>
      </c>
      <c r="M656" s="122">
        <v>0</v>
      </c>
      <c r="N656" s="305">
        <v>0</v>
      </c>
      <c r="O656" s="304">
        <v>0</v>
      </c>
      <c r="P656" s="122">
        <v>0</v>
      </c>
      <c r="Q656" s="253">
        <v>0</v>
      </c>
      <c r="R656" s="122">
        <v>0</v>
      </c>
      <c r="S656" s="305">
        <v>0</v>
      </c>
      <c r="T656" s="120">
        <v>0</v>
      </c>
      <c r="U656" s="313">
        <v>0</v>
      </c>
      <c r="V656" s="120">
        <v>0</v>
      </c>
      <c r="W656" s="296">
        <v>0</v>
      </c>
      <c r="X656" s="296">
        <v>0</v>
      </c>
      <c r="Y656" s="306">
        <v>0</v>
      </c>
    </row>
    <row r="657" spans="1:25" ht="15.75" x14ac:dyDescent="0.25">
      <c r="A657" s="142"/>
      <c r="B657" s="143" t="s">
        <v>290</v>
      </c>
      <c r="C657" s="300">
        <v>2557</v>
      </c>
      <c r="D657" s="300">
        <v>377</v>
      </c>
      <c r="E657" s="300">
        <v>3173</v>
      </c>
      <c r="F657" s="300"/>
      <c r="G657" s="300">
        <v>131</v>
      </c>
      <c r="H657" s="134"/>
      <c r="I657" s="300">
        <v>6238</v>
      </c>
      <c r="J657" s="299"/>
      <c r="K657" s="300">
        <v>0</v>
      </c>
      <c r="L657" s="300">
        <v>0</v>
      </c>
      <c r="M657" s="134"/>
      <c r="N657" s="300">
        <v>0</v>
      </c>
      <c r="O657" s="299">
        <v>0</v>
      </c>
      <c r="P657" s="134">
        <v>0</v>
      </c>
      <c r="Q657" s="301"/>
      <c r="R657" s="134">
        <v>0</v>
      </c>
      <c r="S657" s="300">
        <v>174</v>
      </c>
      <c r="T657" s="132">
        <v>174</v>
      </c>
      <c r="U657" s="311"/>
      <c r="V657" s="132"/>
      <c r="W657" s="296"/>
      <c r="X657" s="296"/>
      <c r="Y657" s="511">
        <v>6412</v>
      </c>
    </row>
    <row r="658" spans="1:25" ht="15.75" x14ac:dyDescent="0.25">
      <c r="A658" s="142"/>
      <c r="B658" s="144" t="s">
        <v>291</v>
      </c>
      <c r="C658" s="303">
        <v>2592</v>
      </c>
      <c r="D658" s="303">
        <v>434</v>
      </c>
      <c r="E658" s="303">
        <v>2794</v>
      </c>
      <c r="F658" s="303"/>
      <c r="G658" s="303">
        <v>132</v>
      </c>
      <c r="H658" s="119"/>
      <c r="I658" s="303">
        <v>5952</v>
      </c>
      <c r="J658" s="302"/>
      <c r="K658" s="303">
        <v>0</v>
      </c>
      <c r="L658" s="303">
        <v>0</v>
      </c>
      <c r="M658" s="119"/>
      <c r="N658" s="303">
        <v>0</v>
      </c>
      <c r="O658" s="302">
        <v>0</v>
      </c>
      <c r="P658" s="119">
        <v>0</v>
      </c>
      <c r="Q658" s="173"/>
      <c r="R658" s="119">
        <v>0</v>
      </c>
      <c r="S658" s="303">
        <v>190</v>
      </c>
      <c r="T658" s="117">
        <v>190</v>
      </c>
      <c r="U658" s="312"/>
      <c r="V658" s="117"/>
      <c r="W658" s="296"/>
      <c r="X658" s="296"/>
      <c r="Y658" s="511">
        <v>6142</v>
      </c>
    </row>
    <row r="659" spans="1:25" s="306" customFormat="1" ht="15.75" x14ac:dyDescent="0.25">
      <c r="A659" s="142"/>
      <c r="B659" s="145" t="s">
        <v>292</v>
      </c>
      <c r="C659" s="305">
        <v>1.368791552600704E-2</v>
      </c>
      <c r="D659" s="305">
        <v>0.15119363395225463</v>
      </c>
      <c r="E659" s="305">
        <v>-0.11944531988654271</v>
      </c>
      <c r="F659" s="305">
        <v>0</v>
      </c>
      <c r="G659" s="305">
        <v>7.6335877862595417E-3</v>
      </c>
      <c r="H659" s="122">
        <v>0</v>
      </c>
      <c r="I659" s="305">
        <v>-4.5848028214171208E-2</v>
      </c>
      <c r="J659" s="304">
        <v>0</v>
      </c>
      <c r="K659" s="305">
        <v>0</v>
      </c>
      <c r="L659" s="305">
        <v>0</v>
      </c>
      <c r="M659" s="122">
        <v>0</v>
      </c>
      <c r="N659" s="305">
        <v>0</v>
      </c>
      <c r="O659" s="304">
        <v>0</v>
      </c>
      <c r="P659" s="122">
        <v>0</v>
      </c>
      <c r="Q659" s="253">
        <v>0</v>
      </c>
      <c r="R659" s="122">
        <v>0</v>
      </c>
      <c r="S659" s="305">
        <v>9.1954022988505746E-2</v>
      </c>
      <c r="T659" s="120">
        <v>9.1954022988505746E-2</v>
      </c>
      <c r="U659" s="313">
        <v>0</v>
      </c>
      <c r="V659" s="120">
        <v>0</v>
      </c>
      <c r="W659" s="296">
        <v>0</v>
      </c>
      <c r="X659" s="296">
        <v>0</v>
      </c>
      <c r="Y659" s="306">
        <v>-4.21085464753587E-2</v>
      </c>
    </row>
    <row r="660" spans="1:25" ht="15.75" x14ac:dyDescent="0.25">
      <c r="A660" s="142"/>
      <c r="B660" s="143" t="s">
        <v>293</v>
      </c>
      <c r="C660" s="300">
        <v>398</v>
      </c>
      <c r="D660" s="300">
        <v>67</v>
      </c>
      <c r="E660" s="300">
        <v>180</v>
      </c>
      <c r="F660" s="300"/>
      <c r="G660" s="300">
        <v>0</v>
      </c>
      <c r="H660" s="134"/>
      <c r="I660" s="300">
        <v>645</v>
      </c>
      <c r="J660" s="299"/>
      <c r="K660" s="300">
        <v>0</v>
      </c>
      <c r="L660" s="300">
        <v>0</v>
      </c>
      <c r="M660" s="134"/>
      <c r="N660" s="300">
        <v>0</v>
      </c>
      <c r="O660" s="299">
        <v>0</v>
      </c>
      <c r="P660" s="134">
        <v>0</v>
      </c>
      <c r="Q660" s="301"/>
      <c r="R660" s="134">
        <v>0</v>
      </c>
      <c r="S660" s="300">
        <v>101</v>
      </c>
      <c r="T660" s="132">
        <v>101</v>
      </c>
      <c r="U660" s="311"/>
      <c r="V660" s="132"/>
      <c r="W660" s="296"/>
      <c r="X660" s="296"/>
      <c r="Y660" s="511">
        <v>746</v>
      </c>
    </row>
    <row r="661" spans="1:25" ht="16.5" thickBot="1" x14ac:dyDescent="0.3">
      <c r="A661" s="142"/>
      <c r="B661" s="144" t="s">
        <v>294</v>
      </c>
      <c r="C661" s="303">
        <v>455</v>
      </c>
      <c r="D661" s="303">
        <v>72</v>
      </c>
      <c r="E661" s="303">
        <v>175</v>
      </c>
      <c r="F661" s="303"/>
      <c r="G661" s="303">
        <v>0</v>
      </c>
      <c r="H661" s="119"/>
      <c r="I661" s="303">
        <v>702</v>
      </c>
      <c r="J661" s="302"/>
      <c r="K661" s="303">
        <v>0</v>
      </c>
      <c r="L661" s="303">
        <v>0</v>
      </c>
      <c r="M661" s="119"/>
      <c r="N661" s="303">
        <v>0</v>
      </c>
      <c r="O661" s="302">
        <v>0</v>
      </c>
      <c r="P661" s="119">
        <v>0</v>
      </c>
      <c r="Q661" s="173"/>
      <c r="R661" s="119">
        <v>0</v>
      </c>
      <c r="S661" s="303">
        <v>142</v>
      </c>
      <c r="T661" s="117">
        <v>142</v>
      </c>
      <c r="U661" s="312"/>
      <c r="V661" s="117"/>
      <c r="W661" s="296"/>
      <c r="X661" s="296"/>
      <c r="Y661" s="511">
        <v>844</v>
      </c>
    </row>
    <row r="662" spans="1:25" s="306" customFormat="1" ht="16.5" thickBot="1" x14ac:dyDescent="0.3">
      <c r="A662" s="142"/>
      <c r="B662" s="145" t="s">
        <v>295</v>
      </c>
      <c r="C662" s="305">
        <v>0.14321608040201006</v>
      </c>
      <c r="D662" s="305">
        <v>7.4626865671641784E-2</v>
      </c>
      <c r="E662" s="305">
        <v>-2.7777777777777776E-2</v>
      </c>
      <c r="F662" s="305">
        <v>0</v>
      </c>
      <c r="G662" s="305">
        <v>0</v>
      </c>
      <c r="H662" s="122">
        <v>0</v>
      </c>
      <c r="I662" s="305">
        <v>8.8372093023255813E-2</v>
      </c>
      <c r="J662" s="304">
        <v>0</v>
      </c>
      <c r="K662" s="305">
        <v>0</v>
      </c>
      <c r="L662" s="305">
        <v>0</v>
      </c>
      <c r="M662" s="122">
        <v>0</v>
      </c>
      <c r="N662" s="305">
        <v>0</v>
      </c>
      <c r="O662" s="304">
        <v>0</v>
      </c>
      <c r="P662" s="122">
        <v>0</v>
      </c>
      <c r="Q662" s="253">
        <v>0</v>
      </c>
      <c r="R662" s="122">
        <v>0</v>
      </c>
      <c r="S662" s="724">
        <v>0.40594059405940597</v>
      </c>
      <c r="T662" s="120">
        <v>0.40594059405940597</v>
      </c>
      <c r="U662" s="313">
        <v>0</v>
      </c>
      <c r="V662" s="120">
        <v>0</v>
      </c>
      <c r="W662" s="296">
        <v>0</v>
      </c>
      <c r="X662" s="296">
        <v>0</v>
      </c>
      <c r="Y662" s="306">
        <v>0.13136729222520108</v>
      </c>
    </row>
    <row r="663" spans="1:25" ht="15.75" x14ac:dyDescent="0.25">
      <c r="A663" s="142"/>
      <c r="B663" s="143" t="s">
        <v>296</v>
      </c>
      <c r="C663" s="300">
        <v>275</v>
      </c>
      <c r="D663" s="300"/>
      <c r="E663" s="300"/>
      <c r="F663" s="300"/>
      <c r="G663" s="300"/>
      <c r="H663" s="134"/>
      <c r="I663" s="300">
        <v>275</v>
      </c>
      <c r="J663" s="299"/>
      <c r="K663" s="300"/>
      <c r="L663" s="300"/>
      <c r="M663" s="134"/>
      <c r="N663" s="300"/>
      <c r="O663" s="299"/>
      <c r="P663" s="134"/>
      <c r="Q663" s="301"/>
      <c r="R663" s="134"/>
      <c r="S663" s="300"/>
      <c r="T663" s="132"/>
      <c r="U663" s="311"/>
      <c r="V663" s="132"/>
      <c r="W663" s="296"/>
      <c r="X663" s="296"/>
      <c r="Y663" s="511">
        <v>275</v>
      </c>
    </row>
    <row r="664" spans="1:25" ht="15.75" x14ac:dyDescent="0.25">
      <c r="A664" s="142"/>
      <c r="B664" s="144" t="s">
        <v>297</v>
      </c>
      <c r="C664" s="303">
        <v>290</v>
      </c>
      <c r="D664" s="303"/>
      <c r="E664" s="303"/>
      <c r="F664" s="303"/>
      <c r="G664" s="303"/>
      <c r="H664" s="119"/>
      <c r="I664" s="303">
        <v>290</v>
      </c>
      <c r="J664" s="302"/>
      <c r="K664" s="303"/>
      <c r="L664" s="303"/>
      <c r="M664" s="119"/>
      <c r="N664" s="303"/>
      <c r="O664" s="302"/>
      <c r="P664" s="119"/>
      <c r="Q664" s="173"/>
      <c r="R664" s="119"/>
      <c r="S664" s="303"/>
      <c r="T664" s="117"/>
      <c r="U664" s="312"/>
      <c r="V664" s="117"/>
      <c r="W664" s="296"/>
      <c r="X664" s="296"/>
      <c r="Y664" s="511">
        <v>290</v>
      </c>
    </row>
    <row r="665" spans="1:25" s="306" customFormat="1" ht="15.75" x14ac:dyDescent="0.25">
      <c r="A665" s="142"/>
      <c r="B665" s="145" t="s">
        <v>298</v>
      </c>
      <c r="C665" s="305">
        <v>5.4545454545454543E-2</v>
      </c>
      <c r="D665" s="305">
        <v>0</v>
      </c>
      <c r="E665" s="305">
        <v>0</v>
      </c>
      <c r="F665" s="305">
        <v>0</v>
      </c>
      <c r="G665" s="305">
        <v>0</v>
      </c>
      <c r="H665" s="122">
        <v>0</v>
      </c>
      <c r="I665" s="305">
        <v>5.4545454545454543E-2</v>
      </c>
      <c r="J665" s="304">
        <v>0</v>
      </c>
      <c r="K665" s="305">
        <v>0</v>
      </c>
      <c r="L665" s="305">
        <v>0</v>
      </c>
      <c r="M665" s="122">
        <v>0</v>
      </c>
      <c r="N665" s="305">
        <v>0</v>
      </c>
      <c r="O665" s="304">
        <v>0</v>
      </c>
      <c r="P665" s="122">
        <v>0</v>
      </c>
      <c r="Q665" s="253">
        <v>0</v>
      </c>
      <c r="R665" s="122">
        <v>0</v>
      </c>
      <c r="S665" s="305">
        <v>0</v>
      </c>
      <c r="T665" s="120">
        <v>0</v>
      </c>
      <c r="U665" s="313">
        <v>0</v>
      </c>
      <c r="V665" s="120">
        <v>0</v>
      </c>
      <c r="W665" s="296">
        <v>0</v>
      </c>
      <c r="X665" s="296">
        <v>0</v>
      </c>
      <c r="Y665" s="306">
        <v>5.4545454545454543E-2</v>
      </c>
    </row>
    <row r="666" spans="1:25" ht="15.75" x14ac:dyDescent="0.25">
      <c r="A666" s="142"/>
      <c r="B666" s="143" t="s">
        <v>299</v>
      </c>
      <c r="C666" s="300"/>
      <c r="D666" s="300"/>
      <c r="E666" s="300">
        <v>60</v>
      </c>
      <c r="F666" s="300"/>
      <c r="G666" s="300"/>
      <c r="H666" s="134"/>
      <c r="I666" s="300">
        <v>60</v>
      </c>
      <c r="J666" s="299"/>
      <c r="K666" s="300"/>
      <c r="L666" s="300"/>
      <c r="M666" s="134"/>
      <c r="N666" s="300"/>
      <c r="O666" s="299"/>
      <c r="P666" s="134"/>
      <c r="Q666" s="301"/>
      <c r="R666" s="134"/>
      <c r="S666" s="300">
        <v>140</v>
      </c>
      <c r="T666" s="132">
        <v>140</v>
      </c>
      <c r="U666" s="311"/>
      <c r="V666" s="132"/>
      <c r="W666" s="296"/>
      <c r="X666" s="296"/>
      <c r="Y666" s="511">
        <v>200</v>
      </c>
    </row>
    <row r="667" spans="1:25" ht="15.75" x14ac:dyDescent="0.25">
      <c r="A667" s="142"/>
      <c r="B667" s="144" t="s">
        <v>300</v>
      </c>
      <c r="C667" s="303"/>
      <c r="D667" s="303"/>
      <c r="E667" s="303">
        <v>58</v>
      </c>
      <c r="F667" s="303"/>
      <c r="G667" s="303"/>
      <c r="H667" s="119"/>
      <c r="I667" s="303">
        <v>58</v>
      </c>
      <c r="J667" s="302"/>
      <c r="K667" s="303"/>
      <c r="L667" s="303"/>
      <c r="M667" s="119"/>
      <c r="N667" s="303"/>
      <c r="O667" s="302"/>
      <c r="P667" s="119"/>
      <c r="Q667" s="173"/>
      <c r="R667" s="119"/>
      <c r="S667" s="303">
        <v>149</v>
      </c>
      <c r="T667" s="117">
        <v>149</v>
      </c>
      <c r="U667" s="312"/>
      <c r="V667" s="117"/>
      <c r="W667" s="296"/>
      <c r="X667" s="296"/>
      <c r="Y667" s="511">
        <v>207</v>
      </c>
    </row>
    <row r="668" spans="1:25" s="306" customFormat="1" ht="15.75" x14ac:dyDescent="0.25">
      <c r="A668" s="142"/>
      <c r="B668" s="145" t="s">
        <v>301</v>
      </c>
      <c r="C668" s="305">
        <v>0</v>
      </c>
      <c r="D668" s="305">
        <v>0</v>
      </c>
      <c r="E668" s="305">
        <v>-3.3333333333333333E-2</v>
      </c>
      <c r="F668" s="305">
        <v>0</v>
      </c>
      <c r="G668" s="305">
        <v>0</v>
      </c>
      <c r="H668" s="122">
        <v>0</v>
      </c>
      <c r="I668" s="305">
        <v>-3.3333333333333333E-2</v>
      </c>
      <c r="J668" s="304">
        <v>0</v>
      </c>
      <c r="K668" s="305">
        <v>0</v>
      </c>
      <c r="L668" s="305">
        <v>0</v>
      </c>
      <c r="M668" s="122">
        <v>0</v>
      </c>
      <c r="N668" s="305">
        <v>0</v>
      </c>
      <c r="O668" s="304">
        <v>0</v>
      </c>
      <c r="P668" s="122">
        <v>0</v>
      </c>
      <c r="Q668" s="253">
        <v>0</v>
      </c>
      <c r="R668" s="122">
        <v>0</v>
      </c>
      <c r="S668" s="305">
        <v>6.4285714285714279E-2</v>
      </c>
      <c r="T668" s="120">
        <v>6.4285714285714279E-2</v>
      </c>
      <c r="U668" s="313">
        <v>0</v>
      </c>
      <c r="V668" s="120">
        <v>0</v>
      </c>
      <c r="W668" s="296">
        <v>0</v>
      </c>
      <c r="X668" s="296">
        <v>0</v>
      </c>
      <c r="Y668" s="306">
        <v>3.5000000000000003E-2</v>
      </c>
    </row>
    <row r="669" spans="1:25" ht="15.75" x14ac:dyDescent="0.25">
      <c r="A669" s="142"/>
      <c r="B669" s="143" t="s">
        <v>302</v>
      </c>
      <c r="C669" s="300"/>
      <c r="D669" s="300"/>
      <c r="E669" s="300"/>
      <c r="F669" s="300"/>
      <c r="G669" s="300"/>
      <c r="H669" s="134"/>
      <c r="I669" s="300"/>
      <c r="J669" s="299"/>
      <c r="K669" s="300"/>
      <c r="L669" s="300"/>
      <c r="M669" s="134"/>
      <c r="N669" s="300"/>
      <c r="O669" s="299"/>
      <c r="P669" s="134"/>
      <c r="Q669" s="301"/>
      <c r="R669" s="134"/>
      <c r="S669" s="300">
        <v>83</v>
      </c>
      <c r="T669" s="132">
        <v>83</v>
      </c>
      <c r="U669" s="311"/>
      <c r="V669" s="132"/>
      <c r="W669" s="296"/>
      <c r="X669" s="296"/>
      <c r="Y669" s="511">
        <v>83</v>
      </c>
    </row>
    <row r="670" spans="1:25" ht="15.75" x14ac:dyDescent="0.25">
      <c r="A670" s="142"/>
      <c r="B670" s="144" t="s">
        <v>303</v>
      </c>
      <c r="C670" s="303"/>
      <c r="D670" s="303"/>
      <c r="E670" s="303"/>
      <c r="F670" s="303"/>
      <c r="G670" s="303"/>
      <c r="H670" s="119"/>
      <c r="I670" s="303"/>
      <c r="J670" s="302"/>
      <c r="K670" s="303"/>
      <c r="L670" s="303"/>
      <c r="M670" s="119"/>
      <c r="N670" s="303"/>
      <c r="O670" s="302"/>
      <c r="P670" s="119"/>
      <c r="Q670" s="173"/>
      <c r="R670" s="119"/>
      <c r="S670" s="303">
        <v>76</v>
      </c>
      <c r="T670" s="117">
        <v>76</v>
      </c>
      <c r="U670" s="312"/>
      <c r="V670" s="117"/>
      <c r="W670" s="296"/>
      <c r="X670" s="296"/>
      <c r="Y670" s="511">
        <v>76</v>
      </c>
    </row>
    <row r="671" spans="1:25" s="306" customFormat="1" ht="15.75" x14ac:dyDescent="0.25">
      <c r="A671" s="142"/>
      <c r="B671" s="145" t="s">
        <v>304</v>
      </c>
      <c r="C671" s="305">
        <v>0</v>
      </c>
      <c r="D671" s="305">
        <v>0</v>
      </c>
      <c r="E671" s="305">
        <v>0</v>
      </c>
      <c r="F671" s="305">
        <v>0</v>
      </c>
      <c r="G671" s="305">
        <v>0</v>
      </c>
      <c r="H671" s="122">
        <v>0</v>
      </c>
      <c r="I671" s="305">
        <v>0</v>
      </c>
      <c r="J671" s="304">
        <v>0</v>
      </c>
      <c r="K671" s="305">
        <v>0</v>
      </c>
      <c r="L671" s="305">
        <v>0</v>
      </c>
      <c r="M671" s="122">
        <v>0</v>
      </c>
      <c r="N671" s="305">
        <v>0</v>
      </c>
      <c r="O671" s="304">
        <v>0</v>
      </c>
      <c r="P671" s="122">
        <v>0</v>
      </c>
      <c r="Q671" s="253">
        <v>0</v>
      </c>
      <c r="R671" s="122">
        <v>0</v>
      </c>
      <c r="S671" s="305">
        <v>-8.4337349397590355E-2</v>
      </c>
      <c r="T671" s="120">
        <v>-8.4337349397590355E-2</v>
      </c>
      <c r="U671" s="313">
        <v>0</v>
      </c>
      <c r="V671" s="120">
        <v>0</v>
      </c>
      <c r="W671" s="296">
        <v>0</v>
      </c>
      <c r="X671" s="296">
        <v>0</v>
      </c>
      <c r="Y671" s="306">
        <v>-8.4337349397590355E-2</v>
      </c>
    </row>
    <row r="672" spans="1:25" ht="15.75" x14ac:dyDescent="0.25">
      <c r="A672" s="142"/>
      <c r="B672" s="143" t="s">
        <v>305</v>
      </c>
      <c r="C672" s="300"/>
      <c r="D672" s="300"/>
      <c r="E672" s="300">
        <v>72</v>
      </c>
      <c r="F672" s="300"/>
      <c r="G672" s="300"/>
      <c r="H672" s="134"/>
      <c r="I672" s="300">
        <v>72</v>
      </c>
      <c r="J672" s="299"/>
      <c r="K672" s="300"/>
      <c r="L672" s="300"/>
      <c r="M672" s="134"/>
      <c r="N672" s="300"/>
      <c r="O672" s="299"/>
      <c r="P672" s="134"/>
      <c r="Q672" s="301"/>
      <c r="R672" s="134"/>
      <c r="S672" s="300">
        <v>197</v>
      </c>
      <c r="T672" s="132">
        <v>197</v>
      </c>
      <c r="U672" s="311"/>
      <c r="V672" s="132"/>
      <c r="W672" s="296"/>
      <c r="X672" s="296"/>
      <c r="Y672" s="511">
        <v>269</v>
      </c>
    </row>
    <row r="673" spans="1:25" ht="15.75" x14ac:dyDescent="0.25">
      <c r="A673" s="142"/>
      <c r="B673" s="144" t="s">
        <v>306</v>
      </c>
      <c r="C673" s="303"/>
      <c r="D673" s="303"/>
      <c r="E673" s="303">
        <v>77</v>
      </c>
      <c r="F673" s="303"/>
      <c r="G673" s="303"/>
      <c r="H673" s="119"/>
      <c r="I673" s="303">
        <v>77</v>
      </c>
      <c r="J673" s="302"/>
      <c r="K673" s="303"/>
      <c r="L673" s="303"/>
      <c r="M673" s="119"/>
      <c r="N673" s="303"/>
      <c r="O673" s="302"/>
      <c r="P673" s="119"/>
      <c r="Q673" s="173"/>
      <c r="R673" s="119"/>
      <c r="S673" s="303">
        <v>172</v>
      </c>
      <c r="T673" s="117">
        <v>172</v>
      </c>
      <c r="U673" s="312"/>
      <c r="V673" s="117"/>
      <c r="W673" s="296"/>
      <c r="X673" s="296"/>
      <c r="Y673" s="511">
        <v>249</v>
      </c>
    </row>
    <row r="674" spans="1:25" s="306" customFormat="1" ht="15.75" x14ac:dyDescent="0.25">
      <c r="A674" s="142"/>
      <c r="B674" s="145" t="s">
        <v>307</v>
      </c>
      <c r="C674" s="305">
        <v>0</v>
      </c>
      <c r="D674" s="305">
        <v>0</v>
      </c>
      <c r="E674" s="305">
        <v>6.9444444444444448E-2</v>
      </c>
      <c r="F674" s="305">
        <v>0</v>
      </c>
      <c r="G674" s="305">
        <v>0</v>
      </c>
      <c r="H674" s="122">
        <v>0</v>
      </c>
      <c r="I674" s="305">
        <v>6.9444444444444448E-2</v>
      </c>
      <c r="J674" s="304">
        <v>0</v>
      </c>
      <c r="K674" s="305">
        <v>0</v>
      </c>
      <c r="L674" s="305">
        <v>0</v>
      </c>
      <c r="M674" s="122">
        <v>0</v>
      </c>
      <c r="N674" s="305">
        <v>0</v>
      </c>
      <c r="O674" s="304">
        <v>0</v>
      </c>
      <c r="P674" s="122">
        <v>0</v>
      </c>
      <c r="Q674" s="253">
        <v>0</v>
      </c>
      <c r="R674" s="122">
        <v>0</v>
      </c>
      <c r="S674" s="305">
        <v>-0.12690355329949238</v>
      </c>
      <c r="T674" s="120">
        <v>-0.12690355329949238</v>
      </c>
      <c r="U674" s="313">
        <v>0</v>
      </c>
      <c r="V674" s="120">
        <v>0</v>
      </c>
      <c r="W674" s="296">
        <v>0</v>
      </c>
      <c r="X674" s="296">
        <v>0</v>
      </c>
      <c r="Y674" s="306">
        <v>-7.434944237918216E-2</v>
      </c>
    </row>
    <row r="675" spans="1:25" ht="15.75" x14ac:dyDescent="0.25">
      <c r="A675" s="142"/>
      <c r="B675" s="143" t="s">
        <v>308</v>
      </c>
      <c r="C675" s="300"/>
      <c r="D675" s="300"/>
      <c r="E675" s="300"/>
      <c r="F675" s="300"/>
      <c r="G675" s="300"/>
      <c r="H675" s="134"/>
      <c r="I675" s="300"/>
      <c r="J675" s="299"/>
      <c r="K675" s="300"/>
      <c r="L675" s="300"/>
      <c r="M675" s="134"/>
      <c r="N675" s="300"/>
      <c r="O675" s="299"/>
      <c r="P675" s="134"/>
      <c r="Q675" s="301"/>
      <c r="R675" s="134"/>
      <c r="S675" s="300"/>
      <c r="T675" s="132"/>
      <c r="U675" s="311"/>
      <c r="V675" s="132"/>
      <c r="W675" s="296"/>
      <c r="X675" s="296"/>
    </row>
    <row r="676" spans="1:25" ht="15.75" x14ac:dyDescent="0.25">
      <c r="A676" s="142"/>
      <c r="B676" s="144" t="s">
        <v>309</v>
      </c>
      <c r="C676" s="303"/>
      <c r="D676" s="303"/>
      <c r="E676" s="303"/>
      <c r="F676" s="303"/>
      <c r="G676" s="303"/>
      <c r="H676" s="119"/>
      <c r="I676" s="303"/>
      <c r="J676" s="302"/>
      <c r="K676" s="303"/>
      <c r="L676" s="303"/>
      <c r="M676" s="119"/>
      <c r="N676" s="303"/>
      <c r="O676" s="302"/>
      <c r="P676" s="119"/>
      <c r="Q676" s="173"/>
      <c r="R676" s="119"/>
      <c r="S676" s="303"/>
      <c r="T676" s="117"/>
      <c r="U676" s="312"/>
      <c r="V676" s="117"/>
      <c r="W676" s="296"/>
      <c r="X676" s="296"/>
    </row>
    <row r="677" spans="1:25" s="306" customFormat="1" ht="15.75" x14ac:dyDescent="0.25">
      <c r="A677" s="142"/>
      <c r="B677" s="145" t="s">
        <v>310</v>
      </c>
      <c r="C677" s="305">
        <v>0</v>
      </c>
      <c r="D677" s="305">
        <v>0</v>
      </c>
      <c r="E677" s="305">
        <v>0</v>
      </c>
      <c r="F677" s="305">
        <v>0</v>
      </c>
      <c r="G677" s="305">
        <v>0</v>
      </c>
      <c r="H677" s="122">
        <v>0</v>
      </c>
      <c r="I677" s="305">
        <v>0</v>
      </c>
      <c r="J677" s="304">
        <v>0</v>
      </c>
      <c r="K677" s="305">
        <v>0</v>
      </c>
      <c r="L677" s="305">
        <v>0</v>
      </c>
      <c r="M677" s="122">
        <v>0</v>
      </c>
      <c r="N677" s="305">
        <v>0</v>
      </c>
      <c r="O677" s="304">
        <v>0</v>
      </c>
      <c r="P677" s="122">
        <v>0</v>
      </c>
      <c r="Q677" s="253">
        <v>0</v>
      </c>
      <c r="R677" s="122">
        <v>0</v>
      </c>
      <c r="S677" s="305">
        <v>0</v>
      </c>
      <c r="T677" s="120">
        <v>0</v>
      </c>
      <c r="U677" s="313">
        <v>0</v>
      </c>
      <c r="V677" s="120">
        <v>0</v>
      </c>
      <c r="W677" s="296">
        <v>0</v>
      </c>
      <c r="X677" s="296">
        <v>0</v>
      </c>
      <c r="Y677" s="306">
        <v>0</v>
      </c>
    </row>
    <row r="678" spans="1:25" ht="15.75" x14ac:dyDescent="0.25">
      <c r="A678" s="142"/>
      <c r="B678" s="143" t="s">
        <v>311</v>
      </c>
      <c r="C678" s="300"/>
      <c r="D678" s="300"/>
      <c r="E678" s="300"/>
      <c r="F678" s="300"/>
      <c r="G678" s="300"/>
      <c r="H678" s="134"/>
      <c r="I678" s="300"/>
      <c r="J678" s="299"/>
      <c r="K678" s="300"/>
      <c r="L678" s="300"/>
      <c r="M678" s="134"/>
      <c r="N678" s="300"/>
      <c r="O678" s="299"/>
      <c r="P678" s="134"/>
      <c r="Q678" s="301"/>
      <c r="R678" s="134"/>
      <c r="S678" s="300"/>
      <c r="T678" s="132"/>
      <c r="U678" s="311"/>
      <c r="V678" s="132"/>
      <c r="W678" s="296"/>
      <c r="X678" s="296"/>
    </row>
    <row r="679" spans="1:25" ht="15.75" x14ac:dyDescent="0.25">
      <c r="A679" s="142"/>
      <c r="B679" s="144" t="s">
        <v>312</v>
      </c>
      <c r="C679" s="303"/>
      <c r="D679" s="303"/>
      <c r="E679" s="303"/>
      <c r="F679" s="303"/>
      <c r="G679" s="303"/>
      <c r="H679" s="119"/>
      <c r="I679" s="303"/>
      <c r="J679" s="302"/>
      <c r="K679" s="303"/>
      <c r="L679" s="303"/>
      <c r="M679" s="119"/>
      <c r="N679" s="303"/>
      <c r="O679" s="302"/>
      <c r="P679" s="119"/>
      <c r="Q679" s="173"/>
      <c r="R679" s="119"/>
      <c r="S679" s="303"/>
      <c r="T679" s="117"/>
      <c r="U679" s="312"/>
      <c r="V679" s="117"/>
      <c r="W679" s="296"/>
      <c r="X679" s="296"/>
    </row>
    <row r="680" spans="1:25" s="306" customFormat="1" ht="15.75" x14ac:dyDescent="0.25">
      <c r="A680" s="142"/>
      <c r="B680" s="145" t="s">
        <v>313</v>
      </c>
      <c r="C680" s="305">
        <v>0</v>
      </c>
      <c r="D680" s="305">
        <v>0</v>
      </c>
      <c r="E680" s="305">
        <v>0</v>
      </c>
      <c r="F680" s="305">
        <v>0</v>
      </c>
      <c r="G680" s="305">
        <v>0</v>
      </c>
      <c r="H680" s="122">
        <v>0</v>
      </c>
      <c r="I680" s="305">
        <v>0</v>
      </c>
      <c r="J680" s="304">
        <v>0</v>
      </c>
      <c r="K680" s="305">
        <v>0</v>
      </c>
      <c r="L680" s="305">
        <v>0</v>
      </c>
      <c r="M680" s="122">
        <v>0</v>
      </c>
      <c r="N680" s="305">
        <v>0</v>
      </c>
      <c r="O680" s="304">
        <v>0</v>
      </c>
      <c r="P680" s="122">
        <v>0</v>
      </c>
      <c r="Q680" s="253">
        <v>0</v>
      </c>
      <c r="R680" s="122">
        <v>0</v>
      </c>
      <c r="S680" s="305">
        <v>0</v>
      </c>
      <c r="T680" s="120">
        <v>0</v>
      </c>
      <c r="U680" s="313">
        <v>0</v>
      </c>
      <c r="V680" s="120">
        <v>0</v>
      </c>
      <c r="W680" s="296">
        <v>0</v>
      </c>
      <c r="X680" s="296">
        <v>0</v>
      </c>
      <c r="Y680" s="306">
        <v>0</v>
      </c>
    </row>
    <row r="681" spans="1:25" ht="15.75" x14ac:dyDescent="0.25">
      <c r="A681" s="142"/>
      <c r="B681" s="143" t="s">
        <v>314</v>
      </c>
      <c r="C681" s="300"/>
      <c r="D681" s="300"/>
      <c r="E681" s="300"/>
      <c r="F681" s="300"/>
      <c r="G681" s="300"/>
      <c r="H681" s="134"/>
      <c r="I681" s="300"/>
      <c r="J681" s="299"/>
      <c r="K681" s="300"/>
      <c r="L681" s="300"/>
      <c r="M681" s="134"/>
      <c r="N681" s="300"/>
      <c r="O681" s="299"/>
      <c r="P681" s="134"/>
      <c r="Q681" s="301"/>
      <c r="R681" s="134"/>
      <c r="S681" s="300"/>
      <c r="T681" s="132"/>
      <c r="U681" s="311"/>
      <c r="V681" s="132"/>
      <c r="W681" s="296"/>
      <c r="X681" s="296"/>
    </row>
    <row r="682" spans="1:25" ht="15.75" x14ac:dyDescent="0.25">
      <c r="A682" s="142"/>
      <c r="B682" s="144" t="s">
        <v>315</v>
      </c>
      <c r="C682" s="303"/>
      <c r="D682" s="303"/>
      <c r="E682" s="303"/>
      <c r="F682" s="303"/>
      <c r="G682" s="303"/>
      <c r="H682" s="119"/>
      <c r="I682" s="303"/>
      <c r="J682" s="302"/>
      <c r="K682" s="303"/>
      <c r="L682" s="303"/>
      <c r="M682" s="119"/>
      <c r="N682" s="303"/>
      <c r="O682" s="302"/>
      <c r="P682" s="119"/>
      <c r="Q682" s="173"/>
      <c r="R682" s="119"/>
      <c r="S682" s="303"/>
      <c r="T682" s="117"/>
      <c r="U682" s="312"/>
      <c r="V682" s="117"/>
      <c r="W682" s="296"/>
      <c r="X682" s="296"/>
    </row>
    <row r="683" spans="1:25" s="306" customFormat="1" ht="15.75" x14ac:dyDescent="0.25">
      <c r="A683" s="142"/>
      <c r="B683" s="145" t="s">
        <v>316</v>
      </c>
      <c r="C683" s="305">
        <v>0</v>
      </c>
      <c r="D683" s="305">
        <v>0</v>
      </c>
      <c r="E683" s="305">
        <v>0</v>
      </c>
      <c r="F683" s="305">
        <v>0</v>
      </c>
      <c r="G683" s="305">
        <v>0</v>
      </c>
      <c r="H683" s="122">
        <v>0</v>
      </c>
      <c r="I683" s="305">
        <v>0</v>
      </c>
      <c r="J683" s="304">
        <v>0</v>
      </c>
      <c r="K683" s="305">
        <v>0</v>
      </c>
      <c r="L683" s="305">
        <v>0</v>
      </c>
      <c r="M683" s="122">
        <v>0</v>
      </c>
      <c r="N683" s="305">
        <v>0</v>
      </c>
      <c r="O683" s="304">
        <v>0</v>
      </c>
      <c r="P683" s="122">
        <v>0</v>
      </c>
      <c r="Q683" s="253">
        <v>0</v>
      </c>
      <c r="R683" s="122">
        <v>0</v>
      </c>
      <c r="S683" s="305">
        <v>0</v>
      </c>
      <c r="T683" s="120">
        <v>0</v>
      </c>
      <c r="U683" s="313">
        <v>0</v>
      </c>
      <c r="V683" s="120">
        <v>0</v>
      </c>
      <c r="W683" s="296">
        <v>0</v>
      </c>
      <c r="X683" s="296">
        <v>0</v>
      </c>
      <c r="Y683" s="306">
        <v>0</v>
      </c>
    </row>
    <row r="684" spans="1:25" ht="15.75" x14ac:dyDescent="0.25">
      <c r="A684" s="142"/>
      <c r="B684" s="143" t="s">
        <v>317</v>
      </c>
      <c r="C684" s="300">
        <v>64</v>
      </c>
      <c r="D684" s="300"/>
      <c r="E684" s="300"/>
      <c r="F684" s="300"/>
      <c r="G684" s="300"/>
      <c r="H684" s="134"/>
      <c r="I684" s="300">
        <v>64</v>
      </c>
      <c r="J684" s="299"/>
      <c r="K684" s="300"/>
      <c r="L684" s="300"/>
      <c r="M684" s="134"/>
      <c r="N684" s="300"/>
      <c r="O684" s="299"/>
      <c r="P684" s="134"/>
      <c r="Q684" s="301"/>
      <c r="R684" s="134"/>
      <c r="S684" s="300"/>
      <c r="T684" s="132"/>
      <c r="U684" s="311"/>
      <c r="V684" s="132"/>
      <c r="W684" s="296"/>
      <c r="X684" s="296"/>
      <c r="Y684" s="511">
        <v>64</v>
      </c>
    </row>
    <row r="685" spans="1:25" ht="16.5" thickBot="1" x14ac:dyDescent="0.3">
      <c r="A685" s="142"/>
      <c r="B685" s="144" t="s">
        <v>318</v>
      </c>
      <c r="C685" s="303">
        <v>97</v>
      </c>
      <c r="D685" s="303"/>
      <c r="E685" s="303"/>
      <c r="F685" s="303"/>
      <c r="G685" s="303"/>
      <c r="H685" s="119"/>
      <c r="I685" s="303">
        <v>97</v>
      </c>
      <c r="J685" s="302"/>
      <c r="K685" s="303"/>
      <c r="L685" s="303"/>
      <c r="M685" s="119"/>
      <c r="N685" s="303"/>
      <c r="O685" s="302"/>
      <c r="P685" s="119"/>
      <c r="Q685" s="173"/>
      <c r="R685" s="119"/>
      <c r="S685" s="303"/>
      <c r="T685" s="117"/>
      <c r="U685" s="312"/>
      <c r="V685" s="117"/>
      <c r="W685" s="296"/>
      <c r="X685" s="296"/>
      <c r="Y685" s="511">
        <v>97</v>
      </c>
    </row>
    <row r="686" spans="1:25" s="306" customFormat="1" ht="16.5" thickBot="1" x14ac:dyDescent="0.3">
      <c r="A686" s="142"/>
      <c r="B686" s="145" t="s">
        <v>319</v>
      </c>
      <c r="C686" s="724">
        <v>0.515625</v>
      </c>
      <c r="D686" s="305">
        <v>0</v>
      </c>
      <c r="E686" s="305">
        <v>0</v>
      </c>
      <c r="F686" s="305">
        <v>0</v>
      </c>
      <c r="G686" s="305">
        <v>0</v>
      </c>
      <c r="H686" s="122">
        <v>0</v>
      </c>
      <c r="I686" s="305">
        <v>0.515625</v>
      </c>
      <c r="J686" s="304">
        <v>0</v>
      </c>
      <c r="K686" s="305">
        <v>0</v>
      </c>
      <c r="L686" s="305">
        <v>0</v>
      </c>
      <c r="M686" s="122">
        <v>0</v>
      </c>
      <c r="N686" s="305">
        <v>0</v>
      </c>
      <c r="O686" s="304">
        <v>0</v>
      </c>
      <c r="P686" s="122">
        <v>0</v>
      </c>
      <c r="Q686" s="253">
        <v>0</v>
      </c>
      <c r="R686" s="122">
        <v>0</v>
      </c>
      <c r="S686" s="305">
        <v>0</v>
      </c>
      <c r="T686" s="120">
        <v>0</v>
      </c>
      <c r="U686" s="313">
        <v>0</v>
      </c>
      <c r="V686" s="120">
        <v>0</v>
      </c>
      <c r="W686" s="296">
        <v>0</v>
      </c>
      <c r="X686" s="296">
        <v>0</v>
      </c>
      <c r="Y686" s="306">
        <v>0.515625</v>
      </c>
    </row>
    <row r="687" spans="1:25" ht="15.75" x14ac:dyDescent="0.25">
      <c r="A687" s="142"/>
      <c r="B687" s="143" t="s">
        <v>320</v>
      </c>
      <c r="C687" s="300"/>
      <c r="D687" s="300"/>
      <c r="E687" s="300"/>
      <c r="F687" s="300"/>
      <c r="G687" s="300"/>
      <c r="H687" s="134"/>
      <c r="I687" s="300"/>
      <c r="J687" s="299"/>
      <c r="K687" s="300"/>
      <c r="L687" s="300"/>
      <c r="M687" s="134"/>
      <c r="N687" s="300"/>
      <c r="O687" s="299"/>
      <c r="P687" s="134"/>
      <c r="Q687" s="301"/>
      <c r="R687" s="134"/>
      <c r="S687" s="300"/>
      <c r="T687" s="132"/>
      <c r="U687" s="311"/>
      <c r="V687" s="132"/>
      <c r="W687" s="296"/>
      <c r="X687" s="296"/>
    </row>
    <row r="688" spans="1:25" ht="15.75" x14ac:dyDescent="0.25">
      <c r="A688" s="142"/>
      <c r="B688" s="144" t="s">
        <v>321</v>
      </c>
      <c r="C688" s="303"/>
      <c r="D688" s="303"/>
      <c r="E688" s="303"/>
      <c r="F688" s="303"/>
      <c r="G688" s="303"/>
      <c r="H688" s="119"/>
      <c r="I688" s="303"/>
      <c r="J688" s="302"/>
      <c r="K688" s="303"/>
      <c r="L688" s="303"/>
      <c r="M688" s="119"/>
      <c r="N688" s="303"/>
      <c r="O688" s="302"/>
      <c r="P688" s="119"/>
      <c r="Q688" s="173"/>
      <c r="R688" s="119"/>
      <c r="S688" s="303"/>
      <c r="T688" s="117"/>
      <c r="U688" s="312"/>
      <c r="V688" s="117"/>
      <c r="W688" s="296"/>
      <c r="X688" s="296"/>
    </row>
    <row r="689" spans="1:25" s="306" customFormat="1" ht="15.75" x14ac:dyDescent="0.25">
      <c r="A689" s="142"/>
      <c r="B689" s="145" t="s">
        <v>322</v>
      </c>
      <c r="C689" s="305">
        <v>0</v>
      </c>
      <c r="D689" s="305">
        <v>0</v>
      </c>
      <c r="E689" s="305">
        <v>0</v>
      </c>
      <c r="F689" s="305">
        <v>0</v>
      </c>
      <c r="G689" s="305">
        <v>0</v>
      </c>
      <c r="H689" s="122">
        <v>0</v>
      </c>
      <c r="I689" s="305">
        <v>0</v>
      </c>
      <c r="J689" s="304">
        <v>0</v>
      </c>
      <c r="K689" s="305">
        <v>0</v>
      </c>
      <c r="L689" s="305">
        <v>0</v>
      </c>
      <c r="M689" s="122">
        <v>0</v>
      </c>
      <c r="N689" s="305">
        <v>0</v>
      </c>
      <c r="O689" s="304">
        <v>0</v>
      </c>
      <c r="P689" s="122">
        <v>0</v>
      </c>
      <c r="Q689" s="253">
        <v>0</v>
      </c>
      <c r="R689" s="122">
        <v>0</v>
      </c>
      <c r="S689" s="305">
        <v>0</v>
      </c>
      <c r="T689" s="120">
        <v>0</v>
      </c>
      <c r="U689" s="313">
        <v>0</v>
      </c>
      <c r="V689" s="120">
        <v>0</v>
      </c>
      <c r="W689" s="296">
        <v>0</v>
      </c>
      <c r="X689" s="296">
        <v>0</v>
      </c>
      <c r="Y689" s="306">
        <v>0</v>
      </c>
    </row>
    <row r="690" spans="1:25" ht="15.75" x14ac:dyDescent="0.25">
      <c r="A690" s="142"/>
      <c r="B690" s="143" t="s">
        <v>404</v>
      </c>
      <c r="C690" s="300"/>
      <c r="D690" s="300"/>
      <c r="E690" s="300"/>
      <c r="F690" s="300"/>
      <c r="G690" s="300"/>
      <c r="H690" s="134"/>
      <c r="I690" s="300"/>
      <c r="J690" s="299"/>
      <c r="K690" s="300"/>
      <c r="L690" s="300"/>
      <c r="M690" s="134"/>
      <c r="N690" s="300"/>
      <c r="O690" s="299"/>
      <c r="P690" s="134"/>
      <c r="Q690" s="301"/>
      <c r="R690" s="134"/>
      <c r="S690" s="300"/>
      <c r="T690" s="132"/>
      <c r="U690" s="311"/>
      <c r="V690" s="132"/>
      <c r="W690" s="296"/>
      <c r="X690" s="296"/>
    </row>
    <row r="691" spans="1:25" ht="15.75" x14ac:dyDescent="0.25">
      <c r="A691" s="142"/>
      <c r="B691" s="144" t="s">
        <v>406</v>
      </c>
      <c r="C691" s="303"/>
      <c r="D691" s="303"/>
      <c r="E691" s="303"/>
      <c r="F691" s="303"/>
      <c r="G691" s="303"/>
      <c r="H691" s="119"/>
      <c r="I691" s="303"/>
      <c r="J691" s="302"/>
      <c r="K691" s="303"/>
      <c r="L691" s="303"/>
      <c r="M691" s="119"/>
      <c r="N691" s="303"/>
      <c r="O691" s="302"/>
      <c r="P691" s="119"/>
      <c r="Q691" s="173"/>
      <c r="R691" s="119"/>
      <c r="S691" s="303"/>
      <c r="T691" s="117"/>
      <c r="U691" s="312"/>
      <c r="V691" s="117"/>
      <c r="W691" s="296"/>
      <c r="X691" s="296"/>
    </row>
    <row r="692" spans="1:25" s="306" customFormat="1" ht="15.75" x14ac:dyDescent="0.25">
      <c r="A692" s="142"/>
      <c r="B692" s="145" t="s">
        <v>474</v>
      </c>
      <c r="C692" s="305">
        <v>0</v>
      </c>
      <c r="D692" s="305">
        <v>0</v>
      </c>
      <c r="E692" s="305">
        <v>0</v>
      </c>
      <c r="F692" s="305">
        <v>0</v>
      </c>
      <c r="G692" s="305">
        <v>0</v>
      </c>
      <c r="H692" s="122">
        <v>0</v>
      </c>
      <c r="I692" s="305">
        <v>0</v>
      </c>
      <c r="J692" s="304">
        <v>0</v>
      </c>
      <c r="K692" s="305">
        <v>0</v>
      </c>
      <c r="L692" s="305">
        <v>0</v>
      </c>
      <c r="M692" s="122">
        <v>0</v>
      </c>
      <c r="N692" s="305">
        <v>0</v>
      </c>
      <c r="O692" s="304">
        <v>0</v>
      </c>
      <c r="P692" s="122">
        <v>0</v>
      </c>
      <c r="Q692" s="253">
        <v>0</v>
      </c>
      <c r="R692" s="122">
        <v>0</v>
      </c>
      <c r="S692" s="305">
        <v>0</v>
      </c>
      <c r="T692" s="120">
        <v>0</v>
      </c>
      <c r="U692" s="313">
        <v>0</v>
      </c>
      <c r="V692" s="120">
        <v>0</v>
      </c>
      <c r="W692" s="296">
        <v>0</v>
      </c>
      <c r="X692" s="296">
        <v>0</v>
      </c>
      <c r="Y692" s="306">
        <v>0</v>
      </c>
    </row>
    <row r="693" spans="1:25" ht="15.75" x14ac:dyDescent="0.25">
      <c r="A693" s="142"/>
      <c r="B693" s="143" t="s">
        <v>476</v>
      </c>
      <c r="C693" s="300"/>
      <c r="D693" s="300"/>
      <c r="E693" s="300"/>
      <c r="F693" s="300"/>
      <c r="G693" s="300"/>
      <c r="H693" s="134"/>
      <c r="I693" s="300"/>
      <c r="J693" s="299"/>
      <c r="K693" s="300"/>
      <c r="L693" s="300"/>
      <c r="M693" s="134"/>
      <c r="N693" s="300"/>
      <c r="O693" s="299"/>
      <c r="P693" s="134"/>
      <c r="Q693" s="301"/>
      <c r="R693" s="134"/>
      <c r="S693" s="300"/>
      <c r="T693" s="132"/>
      <c r="U693" s="311"/>
      <c r="V693" s="132"/>
      <c r="W693" s="296"/>
      <c r="X693" s="296"/>
    </row>
    <row r="694" spans="1:25" ht="15.75" x14ac:dyDescent="0.25">
      <c r="A694" s="294"/>
      <c r="B694" s="144" t="s">
        <v>472</v>
      </c>
      <c r="C694" s="303"/>
      <c r="D694" s="303"/>
      <c r="E694" s="303"/>
      <c r="F694" s="303"/>
      <c r="G694" s="303"/>
      <c r="H694" s="119"/>
      <c r="I694" s="303"/>
      <c r="J694" s="302"/>
      <c r="K694" s="303"/>
      <c r="L694" s="303"/>
      <c r="M694" s="119"/>
      <c r="N694" s="303"/>
      <c r="O694" s="302"/>
      <c r="P694" s="119"/>
      <c r="Q694" s="173"/>
      <c r="R694" s="119"/>
      <c r="S694" s="303"/>
      <c r="T694" s="117"/>
      <c r="U694" s="312"/>
      <c r="V694" s="117"/>
      <c r="W694" s="296"/>
      <c r="X694" s="296"/>
    </row>
    <row r="695" spans="1:25" s="306" customFormat="1" ht="15.75" x14ac:dyDescent="0.25">
      <c r="A695" s="141" t="s">
        <v>854</v>
      </c>
      <c r="B695" s="143" t="s">
        <v>275</v>
      </c>
      <c r="C695" s="300"/>
      <c r="D695" s="300"/>
      <c r="E695" s="300"/>
      <c r="F695" s="300"/>
      <c r="G695" s="300"/>
      <c r="H695" s="134"/>
      <c r="I695" s="300"/>
      <c r="J695" s="299">
        <v>1782</v>
      </c>
      <c r="K695" s="300">
        <v>17812</v>
      </c>
      <c r="L695" s="300">
        <v>8154</v>
      </c>
      <c r="M695" s="134">
        <v>1319</v>
      </c>
      <c r="N695" s="300">
        <v>29067</v>
      </c>
      <c r="O695" s="299"/>
      <c r="P695" s="134"/>
      <c r="Q695" s="301"/>
      <c r="R695" s="134"/>
      <c r="S695" s="300"/>
      <c r="T695" s="132"/>
      <c r="U695" s="311"/>
      <c r="V695" s="132"/>
      <c r="W695" s="296"/>
      <c r="X695" s="296"/>
      <c r="Y695" s="306">
        <v>29067</v>
      </c>
    </row>
    <row r="696" spans="1:25" ht="15.75" x14ac:dyDescent="0.25">
      <c r="A696" s="142"/>
      <c r="B696" s="144" t="s">
        <v>276</v>
      </c>
      <c r="C696" s="303"/>
      <c r="D696" s="303"/>
      <c r="E696" s="303"/>
      <c r="F696" s="303"/>
      <c r="G696" s="303"/>
      <c r="H696" s="119"/>
      <c r="I696" s="303"/>
      <c r="J696" s="302">
        <v>1974</v>
      </c>
      <c r="K696" s="303">
        <v>18098</v>
      </c>
      <c r="L696" s="303">
        <v>7721</v>
      </c>
      <c r="M696" s="119">
        <v>1456</v>
      </c>
      <c r="N696" s="303">
        <v>29249</v>
      </c>
      <c r="O696" s="302"/>
      <c r="P696" s="119"/>
      <c r="Q696" s="173"/>
      <c r="R696" s="119"/>
      <c r="S696" s="303"/>
      <c r="T696" s="117"/>
      <c r="U696" s="312"/>
      <c r="V696" s="117"/>
      <c r="W696" s="296"/>
      <c r="X696" s="296"/>
      <c r="Y696" s="511">
        <v>29249</v>
      </c>
    </row>
    <row r="697" spans="1:25" ht="15.75" x14ac:dyDescent="0.25">
      <c r="A697" s="142"/>
      <c r="B697" s="145" t="s">
        <v>277</v>
      </c>
      <c r="C697" s="305">
        <v>0</v>
      </c>
      <c r="D697" s="305">
        <v>0</v>
      </c>
      <c r="E697" s="305">
        <v>0</v>
      </c>
      <c r="F697" s="305">
        <v>0</v>
      </c>
      <c r="G697" s="305">
        <v>0</v>
      </c>
      <c r="H697" s="122">
        <v>0</v>
      </c>
      <c r="I697" s="305">
        <v>0</v>
      </c>
      <c r="J697" s="304">
        <v>0.10774410774410774</v>
      </c>
      <c r="K697" s="305">
        <v>1.6056591062205253E-2</v>
      </c>
      <c r="L697" s="305">
        <v>-5.3102771645818003E-2</v>
      </c>
      <c r="M697" s="122">
        <v>0.10386656557998483</v>
      </c>
      <c r="N697" s="305">
        <v>6.2613960849072833E-3</v>
      </c>
      <c r="O697" s="304">
        <v>0</v>
      </c>
      <c r="P697" s="122">
        <v>0</v>
      </c>
      <c r="Q697" s="253">
        <v>0</v>
      </c>
      <c r="R697" s="122">
        <v>0</v>
      </c>
      <c r="S697" s="305">
        <v>0</v>
      </c>
      <c r="T697" s="120">
        <v>0</v>
      </c>
      <c r="U697" s="313">
        <v>0</v>
      </c>
      <c r="V697" s="120">
        <v>0</v>
      </c>
      <c r="W697" s="296">
        <v>0</v>
      </c>
      <c r="X697" s="296">
        <v>0</v>
      </c>
      <c r="Y697" s="511">
        <v>6.2613960849072833E-3</v>
      </c>
    </row>
    <row r="698" spans="1:25" s="306" customFormat="1" ht="15.75" x14ac:dyDescent="0.25">
      <c r="A698" s="142"/>
      <c r="B698" s="143" t="s">
        <v>278</v>
      </c>
      <c r="C698" s="300"/>
      <c r="D698" s="300"/>
      <c r="E698" s="300"/>
      <c r="F698" s="300"/>
      <c r="G698" s="300"/>
      <c r="H698" s="134"/>
      <c r="I698" s="300"/>
      <c r="J698" s="299"/>
      <c r="K698" s="300"/>
      <c r="L698" s="300"/>
      <c r="M698" s="134"/>
      <c r="N698" s="300"/>
      <c r="O698" s="299"/>
      <c r="P698" s="134"/>
      <c r="Q698" s="301"/>
      <c r="R698" s="134"/>
      <c r="S698" s="300"/>
      <c r="T698" s="132"/>
      <c r="U698" s="311"/>
      <c r="V698" s="132"/>
      <c r="W698" s="296"/>
      <c r="X698" s="296"/>
    </row>
    <row r="699" spans="1:25" ht="15.75" x14ac:dyDescent="0.25">
      <c r="A699" s="142"/>
      <c r="B699" s="144" t="s">
        <v>279</v>
      </c>
      <c r="C699" s="303"/>
      <c r="D699" s="303"/>
      <c r="E699" s="303"/>
      <c r="F699" s="303"/>
      <c r="G699" s="303"/>
      <c r="H699" s="119"/>
      <c r="I699" s="303"/>
      <c r="J699" s="302"/>
      <c r="K699" s="303"/>
      <c r="L699" s="303"/>
      <c r="M699" s="119"/>
      <c r="N699" s="303"/>
      <c r="O699" s="302"/>
      <c r="P699" s="119"/>
      <c r="Q699" s="173"/>
      <c r="R699" s="119"/>
      <c r="S699" s="303"/>
      <c r="T699" s="117"/>
      <c r="U699" s="312"/>
      <c r="V699" s="117"/>
      <c r="W699" s="296"/>
      <c r="X699" s="296"/>
    </row>
    <row r="700" spans="1:25" ht="15.75" x14ac:dyDescent="0.25">
      <c r="A700" s="142"/>
      <c r="B700" s="145" t="s">
        <v>280</v>
      </c>
      <c r="C700" s="305">
        <v>0</v>
      </c>
      <c r="D700" s="305">
        <v>0</v>
      </c>
      <c r="E700" s="305">
        <v>0</v>
      </c>
      <c r="F700" s="305">
        <v>0</v>
      </c>
      <c r="G700" s="305">
        <v>0</v>
      </c>
      <c r="H700" s="122">
        <v>0</v>
      </c>
      <c r="I700" s="305">
        <v>0</v>
      </c>
      <c r="J700" s="304">
        <v>0</v>
      </c>
      <c r="K700" s="305">
        <v>0</v>
      </c>
      <c r="L700" s="305">
        <v>0</v>
      </c>
      <c r="M700" s="122">
        <v>0</v>
      </c>
      <c r="N700" s="305">
        <v>0</v>
      </c>
      <c r="O700" s="304">
        <v>0</v>
      </c>
      <c r="P700" s="122">
        <v>0</v>
      </c>
      <c r="Q700" s="253">
        <v>0</v>
      </c>
      <c r="R700" s="122">
        <v>0</v>
      </c>
      <c r="S700" s="305">
        <v>0</v>
      </c>
      <c r="T700" s="120">
        <v>0</v>
      </c>
      <c r="U700" s="313">
        <v>0</v>
      </c>
      <c r="V700" s="120">
        <v>0</v>
      </c>
      <c r="W700" s="296">
        <v>0</v>
      </c>
      <c r="X700" s="296">
        <v>0</v>
      </c>
      <c r="Y700" s="511">
        <v>0</v>
      </c>
    </row>
    <row r="701" spans="1:25" s="306" customFormat="1" ht="15.75" x14ac:dyDescent="0.25">
      <c r="A701" s="142"/>
      <c r="B701" s="143" t="s">
        <v>281</v>
      </c>
      <c r="C701" s="300"/>
      <c r="D701" s="300"/>
      <c r="E701" s="300">
        <v>292</v>
      </c>
      <c r="F701" s="300"/>
      <c r="G701" s="300"/>
      <c r="H701" s="134"/>
      <c r="I701" s="300">
        <v>292</v>
      </c>
      <c r="J701" s="299">
        <v>2767</v>
      </c>
      <c r="K701" s="300">
        <v>38334</v>
      </c>
      <c r="L701" s="300">
        <v>9496</v>
      </c>
      <c r="M701" s="134">
        <v>1492</v>
      </c>
      <c r="N701" s="300">
        <v>52089</v>
      </c>
      <c r="O701" s="299"/>
      <c r="P701" s="134"/>
      <c r="Q701" s="301"/>
      <c r="R701" s="134"/>
      <c r="S701" s="300">
        <v>199</v>
      </c>
      <c r="T701" s="132">
        <v>199</v>
      </c>
      <c r="U701" s="311"/>
      <c r="V701" s="132"/>
      <c r="W701" s="296"/>
      <c r="X701" s="296"/>
      <c r="Y701" s="306">
        <v>52580</v>
      </c>
    </row>
    <row r="702" spans="1:25" ht="15.75" x14ac:dyDescent="0.25">
      <c r="A702" s="142"/>
      <c r="B702" s="144" t="s">
        <v>282</v>
      </c>
      <c r="C702" s="303"/>
      <c r="D702" s="303"/>
      <c r="E702" s="303">
        <v>251</v>
      </c>
      <c r="F702" s="303"/>
      <c r="G702" s="303"/>
      <c r="H702" s="119"/>
      <c r="I702" s="303">
        <v>251</v>
      </c>
      <c r="J702" s="302">
        <v>3109</v>
      </c>
      <c r="K702" s="303">
        <v>43595</v>
      </c>
      <c r="L702" s="303">
        <v>10037</v>
      </c>
      <c r="M702" s="119">
        <v>1411</v>
      </c>
      <c r="N702" s="303">
        <v>58152</v>
      </c>
      <c r="O702" s="302"/>
      <c r="P702" s="119"/>
      <c r="Q702" s="173"/>
      <c r="R702" s="119"/>
      <c r="S702" s="303">
        <v>133</v>
      </c>
      <c r="T702" s="117">
        <v>133</v>
      </c>
      <c r="U702" s="312"/>
      <c r="V702" s="117"/>
      <c r="W702" s="296"/>
      <c r="X702" s="296"/>
      <c r="Y702" s="511">
        <v>58536</v>
      </c>
    </row>
    <row r="703" spans="1:25" ht="15.75" x14ac:dyDescent="0.25">
      <c r="A703" s="142"/>
      <c r="B703" s="145" t="s">
        <v>283</v>
      </c>
      <c r="C703" s="305">
        <v>0</v>
      </c>
      <c r="D703" s="305">
        <v>0</v>
      </c>
      <c r="E703" s="305">
        <v>-0.1404109589041096</v>
      </c>
      <c r="F703" s="305">
        <v>0</v>
      </c>
      <c r="G703" s="305">
        <v>0</v>
      </c>
      <c r="H703" s="122">
        <v>0</v>
      </c>
      <c r="I703" s="305">
        <v>-0.1404109589041096</v>
      </c>
      <c r="J703" s="304">
        <v>0.12359956631731117</v>
      </c>
      <c r="K703" s="305">
        <v>0.13724109145927896</v>
      </c>
      <c r="L703" s="305">
        <v>5.6971356360572871E-2</v>
      </c>
      <c r="M703" s="122">
        <v>-5.4289544235924934E-2</v>
      </c>
      <c r="N703" s="305">
        <v>0.11639693601336175</v>
      </c>
      <c r="O703" s="304">
        <v>0</v>
      </c>
      <c r="P703" s="122">
        <v>0</v>
      </c>
      <c r="Q703" s="253">
        <v>0</v>
      </c>
      <c r="R703" s="122">
        <v>0</v>
      </c>
      <c r="S703" s="305">
        <v>-0.33165829145728642</v>
      </c>
      <c r="T703" s="120">
        <v>-0.33165829145728642</v>
      </c>
      <c r="U703" s="313">
        <v>0</v>
      </c>
      <c r="V703" s="120">
        <v>0</v>
      </c>
      <c r="W703" s="296">
        <v>0</v>
      </c>
      <c r="X703" s="296">
        <v>0</v>
      </c>
      <c r="Y703" s="511">
        <v>0.11327500950931914</v>
      </c>
    </row>
    <row r="704" spans="1:25" s="306" customFormat="1" ht="15.75" x14ac:dyDescent="0.25">
      <c r="A704" s="142"/>
      <c r="B704" s="143" t="s">
        <v>284</v>
      </c>
      <c r="C704" s="300">
        <v>41460</v>
      </c>
      <c r="D704" s="300">
        <v>8881</v>
      </c>
      <c r="E704" s="300">
        <v>28794</v>
      </c>
      <c r="F704" s="300">
        <v>1393</v>
      </c>
      <c r="G704" s="300">
        <v>3220</v>
      </c>
      <c r="H704" s="134">
        <v>250</v>
      </c>
      <c r="I704" s="300">
        <v>83998</v>
      </c>
      <c r="J704" s="299">
        <v>158</v>
      </c>
      <c r="K704" s="300"/>
      <c r="L704" s="300"/>
      <c r="M704" s="134"/>
      <c r="N704" s="300">
        <v>158</v>
      </c>
      <c r="O704" s="299"/>
      <c r="P704" s="134"/>
      <c r="Q704" s="301"/>
      <c r="R704" s="134"/>
      <c r="S704" s="300">
        <v>2048</v>
      </c>
      <c r="T704" s="132">
        <v>2048</v>
      </c>
      <c r="U704" s="311"/>
      <c r="V704" s="132"/>
      <c r="W704" s="296"/>
      <c r="X704" s="296"/>
      <c r="Y704" s="306">
        <v>86204</v>
      </c>
    </row>
    <row r="705" spans="1:25" ht="15.75" x14ac:dyDescent="0.25">
      <c r="A705" s="142"/>
      <c r="B705" s="144" t="s">
        <v>285</v>
      </c>
      <c r="C705" s="303">
        <v>42792</v>
      </c>
      <c r="D705" s="303">
        <v>9294</v>
      </c>
      <c r="E705" s="303">
        <v>29845</v>
      </c>
      <c r="F705" s="303">
        <v>1464</v>
      </c>
      <c r="G705" s="303">
        <v>3152</v>
      </c>
      <c r="H705" s="119">
        <v>314</v>
      </c>
      <c r="I705" s="303">
        <v>86861</v>
      </c>
      <c r="J705" s="302">
        <v>138</v>
      </c>
      <c r="K705" s="303"/>
      <c r="L705" s="303"/>
      <c r="M705" s="119"/>
      <c r="N705" s="303">
        <v>138</v>
      </c>
      <c r="O705" s="302"/>
      <c r="P705" s="119"/>
      <c r="Q705" s="173"/>
      <c r="R705" s="119"/>
      <c r="S705" s="303">
        <v>2344</v>
      </c>
      <c r="T705" s="117">
        <v>2344</v>
      </c>
      <c r="U705" s="312"/>
      <c r="V705" s="117"/>
      <c r="W705" s="296"/>
      <c r="X705" s="296"/>
      <c r="Y705" s="511">
        <v>89343</v>
      </c>
    </row>
    <row r="706" spans="1:25" ht="15.75" x14ac:dyDescent="0.25">
      <c r="A706" s="142"/>
      <c r="B706" s="145" t="s">
        <v>286</v>
      </c>
      <c r="C706" s="305">
        <v>3.2127351664254705E-2</v>
      </c>
      <c r="D706" s="305">
        <v>4.6503772097736741E-2</v>
      </c>
      <c r="E706" s="305">
        <v>3.6500659859692988E-2</v>
      </c>
      <c r="F706" s="305">
        <v>5.0969131371141424E-2</v>
      </c>
      <c r="G706" s="305">
        <v>-2.1118012422360249E-2</v>
      </c>
      <c r="H706" s="122">
        <v>0.25600000000000001</v>
      </c>
      <c r="I706" s="305">
        <v>3.4084144860591921E-2</v>
      </c>
      <c r="J706" s="304">
        <v>-0.12658227848101267</v>
      </c>
      <c r="K706" s="305">
        <v>0</v>
      </c>
      <c r="L706" s="305">
        <v>0</v>
      </c>
      <c r="M706" s="122">
        <v>0</v>
      </c>
      <c r="N706" s="305">
        <v>-0.12658227848101267</v>
      </c>
      <c r="O706" s="304">
        <v>0</v>
      </c>
      <c r="P706" s="122">
        <v>0</v>
      </c>
      <c r="Q706" s="253">
        <v>0</v>
      </c>
      <c r="R706" s="122">
        <v>0</v>
      </c>
      <c r="S706" s="305">
        <v>0.14453125</v>
      </c>
      <c r="T706" s="120">
        <v>0.14453125</v>
      </c>
      <c r="U706" s="313">
        <v>0</v>
      </c>
      <c r="V706" s="120">
        <v>0</v>
      </c>
      <c r="W706" s="296">
        <v>0</v>
      </c>
      <c r="X706" s="296">
        <v>0</v>
      </c>
      <c r="Y706" s="511">
        <v>3.6413623497749521E-2</v>
      </c>
    </row>
    <row r="707" spans="1:25" s="306" customFormat="1" ht="15.75" x14ac:dyDescent="0.25">
      <c r="A707" s="142"/>
      <c r="B707" s="143" t="s">
        <v>287</v>
      </c>
      <c r="C707" s="300"/>
      <c r="D707" s="300"/>
      <c r="E707" s="300"/>
      <c r="F707" s="300"/>
      <c r="G707" s="300"/>
      <c r="H707" s="134"/>
      <c r="I707" s="300"/>
      <c r="J707" s="299"/>
      <c r="K707" s="300"/>
      <c r="L707" s="300"/>
      <c r="M707" s="134"/>
      <c r="N707" s="300"/>
      <c r="O707" s="299"/>
      <c r="P707" s="134"/>
      <c r="Q707" s="301"/>
      <c r="R707" s="134"/>
      <c r="S707" s="300"/>
      <c r="T707" s="132"/>
      <c r="U707" s="311"/>
      <c r="V707" s="132"/>
      <c r="W707" s="296"/>
      <c r="X707" s="296"/>
    </row>
    <row r="708" spans="1:25" ht="15.75" x14ac:dyDescent="0.25">
      <c r="A708" s="142"/>
      <c r="B708" s="144" t="s">
        <v>288</v>
      </c>
      <c r="C708" s="303"/>
      <c r="D708" s="303"/>
      <c r="E708" s="303"/>
      <c r="F708" s="303"/>
      <c r="G708" s="303"/>
      <c r="H708" s="119"/>
      <c r="I708" s="303"/>
      <c r="J708" s="302"/>
      <c r="K708" s="303"/>
      <c r="L708" s="303"/>
      <c r="M708" s="119"/>
      <c r="N708" s="303"/>
      <c r="O708" s="302"/>
      <c r="P708" s="119"/>
      <c r="Q708" s="173"/>
      <c r="R708" s="119"/>
      <c r="S708" s="303"/>
      <c r="T708" s="117"/>
      <c r="U708" s="312"/>
      <c r="V708" s="117"/>
      <c r="W708" s="296"/>
      <c r="X708" s="296"/>
    </row>
    <row r="709" spans="1:25" ht="15.75" x14ac:dyDescent="0.25">
      <c r="A709" s="142"/>
      <c r="B709" s="145" t="s">
        <v>289</v>
      </c>
      <c r="C709" s="305">
        <v>0</v>
      </c>
      <c r="D709" s="305">
        <v>0</v>
      </c>
      <c r="E709" s="305">
        <v>0</v>
      </c>
      <c r="F709" s="305">
        <v>0</v>
      </c>
      <c r="G709" s="305">
        <v>0</v>
      </c>
      <c r="H709" s="122">
        <v>0</v>
      </c>
      <c r="I709" s="305">
        <v>0</v>
      </c>
      <c r="J709" s="304">
        <v>0</v>
      </c>
      <c r="K709" s="305">
        <v>0</v>
      </c>
      <c r="L709" s="305">
        <v>0</v>
      </c>
      <c r="M709" s="122">
        <v>0</v>
      </c>
      <c r="N709" s="305">
        <v>0</v>
      </c>
      <c r="O709" s="304">
        <v>0</v>
      </c>
      <c r="P709" s="122">
        <v>0</v>
      </c>
      <c r="Q709" s="253">
        <v>0</v>
      </c>
      <c r="R709" s="122">
        <v>0</v>
      </c>
      <c r="S709" s="305">
        <v>0</v>
      </c>
      <c r="T709" s="120">
        <v>0</v>
      </c>
      <c r="U709" s="313">
        <v>0</v>
      </c>
      <c r="V709" s="120">
        <v>0</v>
      </c>
      <c r="W709" s="296">
        <v>0</v>
      </c>
      <c r="X709" s="296">
        <v>0</v>
      </c>
      <c r="Y709" s="511">
        <v>0</v>
      </c>
    </row>
    <row r="710" spans="1:25" s="306" customFormat="1" ht="15.75" x14ac:dyDescent="0.25">
      <c r="A710" s="142"/>
      <c r="B710" s="143" t="s">
        <v>290</v>
      </c>
      <c r="C710" s="300">
        <v>14675</v>
      </c>
      <c r="D710" s="300">
        <v>3684</v>
      </c>
      <c r="E710" s="300">
        <v>12125</v>
      </c>
      <c r="F710" s="300">
        <v>814</v>
      </c>
      <c r="G710" s="300">
        <v>266</v>
      </c>
      <c r="H710" s="134">
        <v>9</v>
      </c>
      <c r="I710" s="300">
        <v>31573</v>
      </c>
      <c r="J710" s="299">
        <v>0</v>
      </c>
      <c r="K710" s="300">
        <v>0</v>
      </c>
      <c r="L710" s="300">
        <v>0</v>
      </c>
      <c r="M710" s="134">
        <v>0</v>
      </c>
      <c r="N710" s="300">
        <v>0</v>
      </c>
      <c r="O710" s="299"/>
      <c r="P710" s="134"/>
      <c r="Q710" s="301"/>
      <c r="R710" s="134"/>
      <c r="S710" s="300">
        <v>1858</v>
      </c>
      <c r="T710" s="132">
        <v>1858</v>
      </c>
      <c r="U710" s="311">
        <v>0</v>
      </c>
      <c r="V710" s="132">
        <v>0</v>
      </c>
      <c r="W710" s="296"/>
      <c r="X710" s="296"/>
      <c r="Y710" s="306">
        <v>33431</v>
      </c>
    </row>
    <row r="711" spans="1:25" ht="16.5" thickBot="1" x14ac:dyDescent="0.3">
      <c r="A711" s="142"/>
      <c r="B711" s="144" t="s">
        <v>291</v>
      </c>
      <c r="C711" s="303">
        <v>16374</v>
      </c>
      <c r="D711" s="303">
        <v>3861</v>
      </c>
      <c r="E711" s="303">
        <v>11606</v>
      </c>
      <c r="F711" s="303">
        <v>739</v>
      </c>
      <c r="G711" s="303">
        <v>374</v>
      </c>
      <c r="H711" s="119">
        <v>12</v>
      </c>
      <c r="I711" s="303">
        <v>32966</v>
      </c>
      <c r="J711" s="302">
        <v>0</v>
      </c>
      <c r="K711" s="303">
        <v>0</v>
      </c>
      <c r="L711" s="303">
        <v>0</v>
      </c>
      <c r="M711" s="119">
        <v>0</v>
      </c>
      <c r="N711" s="303">
        <v>0</v>
      </c>
      <c r="O711" s="302"/>
      <c r="P711" s="119"/>
      <c r="Q711" s="173"/>
      <c r="R711" s="119"/>
      <c r="S711" s="303">
        <v>2267</v>
      </c>
      <c r="T711" s="117">
        <v>2267</v>
      </c>
      <c r="U711" s="312">
        <v>0</v>
      </c>
      <c r="V711" s="117">
        <v>0</v>
      </c>
      <c r="W711" s="296"/>
      <c r="X711" s="296"/>
      <c r="Y711" s="511">
        <v>35233</v>
      </c>
    </row>
    <row r="712" spans="1:25" ht="16.5" thickBot="1" x14ac:dyDescent="0.3">
      <c r="A712" s="142"/>
      <c r="B712" s="145" t="s">
        <v>292</v>
      </c>
      <c r="C712" s="305">
        <v>0.11577512776831346</v>
      </c>
      <c r="D712" s="305">
        <v>4.8045602605863193E-2</v>
      </c>
      <c r="E712" s="305">
        <v>-4.2804123711340208E-2</v>
      </c>
      <c r="F712" s="305">
        <v>-9.2137592137592136E-2</v>
      </c>
      <c r="G712" s="724">
        <v>0.40601503759398494</v>
      </c>
      <c r="H712" s="122">
        <v>0.33333333333333331</v>
      </c>
      <c r="I712" s="305">
        <v>4.4119975928799925E-2</v>
      </c>
      <c r="J712" s="304">
        <v>0</v>
      </c>
      <c r="K712" s="305">
        <v>0</v>
      </c>
      <c r="L712" s="305">
        <v>0</v>
      </c>
      <c r="M712" s="122">
        <v>0</v>
      </c>
      <c r="N712" s="305">
        <v>0</v>
      </c>
      <c r="O712" s="304">
        <v>0</v>
      </c>
      <c r="P712" s="122">
        <v>0</v>
      </c>
      <c r="Q712" s="253">
        <v>0</v>
      </c>
      <c r="R712" s="122">
        <v>0</v>
      </c>
      <c r="S712" s="724">
        <v>0.2201291711517761</v>
      </c>
      <c r="T712" s="120">
        <v>0.2201291711517761</v>
      </c>
      <c r="U712" s="313">
        <v>0</v>
      </c>
      <c r="V712" s="120">
        <v>0</v>
      </c>
      <c r="W712" s="296">
        <v>0</v>
      </c>
      <c r="X712" s="296">
        <v>0</v>
      </c>
      <c r="Y712" s="511">
        <v>5.3902066943854507E-2</v>
      </c>
    </row>
    <row r="713" spans="1:25" s="306" customFormat="1" ht="15.75" x14ac:dyDescent="0.25">
      <c r="A713" s="142"/>
      <c r="B713" s="143" t="s">
        <v>293</v>
      </c>
      <c r="C713" s="300">
        <v>2530</v>
      </c>
      <c r="D713" s="300">
        <v>235</v>
      </c>
      <c r="E713" s="300">
        <v>296</v>
      </c>
      <c r="F713" s="300">
        <v>0</v>
      </c>
      <c r="G713" s="300">
        <v>0</v>
      </c>
      <c r="H713" s="134">
        <v>0</v>
      </c>
      <c r="I713" s="300">
        <v>3061</v>
      </c>
      <c r="J713" s="299">
        <v>0</v>
      </c>
      <c r="K713" s="300">
        <v>0</v>
      </c>
      <c r="L713" s="300">
        <v>0</v>
      </c>
      <c r="M713" s="134">
        <v>0</v>
      </c>
      <c r="N713" s="300">
        <v>0</v>
      </c>
      <c r="O713" s="299"/>
      <c r="P713" s="134"/>
      <c r="Q713" s="301"/>
      <c r="R713" s="134"/>
      <c r="S713" s="300">
        <v>371</v>
      </c>
      <c r="T713" s="132">
        <v>371</v>
      </c>
      <c r="U713" s="311">
        <v>0</v>
      </c>
      <c r="V713" s="132">
        <v>0</v>
      </c>
      <c r="W713" s="296"/>
      <c r="X713" s="296"/>
      <c r="Y713" s="306">
        <v>3432</v>
      </c>
    </row>
    <row r="714" spans="1:25" ht="15.75" x14ac:dyDescent="0.25">
      <c r="A714" s="142"/>
      <c r="B714" s="144" t="s">
        <v>294</v>
      </c>
      <c r="C714" s="303">
        <v>2639</v>
      </c>
      <c r="D714" s="303">
        <v>230</v>
      </c>
      <c r="E714" s="303">
        <v>334</v>
      </c>
      <c r="F714" s="303">
        <v>0</v>
      </c>
      <c r="G714" s="303">
        <v>0</v>
      </c>
      <c r="H714" s="119">
        <v>2</v>
      </c>
      <c r="I714" s="303">
        <v>3205</v>
      </c>
      <c r="J714" s="302">
        <v>0</v>
      </c>
      <c r="K714" s="303">
        <v>0</v>
      </c>
      <c r="L714" s="303">
        <v>0</v>
      </c>
      <c r="M714" s="119">
        <v>0</v>
      </c>
      <c r="N714" s="303">
        <v>0</v>
      </c>
      <c r="O714" s="302"/>
      <c r="P714" s="119"/>
      <c r="Q714" s="173"/>
      <c r="R714" s="119"/>
      <c r="S714" s="303">
        <v>432</v>
      </c>
      <c r="T714" s="117">
        <v>432</v>
      </c>
      <c r="U714" s="312">
        <v>0</v>
      </c>
      <c r="V714" s="117">
        <v>0</v>
      </c>
      <c r="W714" s="296"/>
      <c r="X714" s="296"/>
      <c r="Y714" s="511">
        <v>3637</v>
      </c>
    </row>
    <row r="715" spans="1:25" ht="15.75" x14ac:dyDescent="0.25">
      <c r="A715" s="142"/>
      <c r="B715" s="145" t="s">
        <v>295</v>
      </c>
      <c r="C715" s="305">
        <v>4.3083003952569171E-2</v>
      </c>
      <c r="D715" s="305">
        <v>-2.1276595744680851E-2</v>
      </c>
      <c r="E715" s="305">
        <v>0.12837837837837837</v>
      </c>
      <c r="F715" s="305">
        <v>0</v>
      </c>
      <c r="G715" s="305">
        <v>0</v>
      </c>
      <c r="H715" s="122">
        <v>0</v>
      </c>
      <c r="I715" s="305">
        <v>4.7043449852989222E-2</v>
      </c>
      <c r="J715" s="304">
        <v>0</v>
      </c>
      <c r="K715" s="305">
        <v>0</v>
      </c>
      <c r="L715" s="305">
        <v>0</v>
      </c>
      <c r="M715" s="122">
        <v>0</v>
      </c>
      <c r="N715" s="305">
        <v>0</v>
      </c>
      <c r="O715" s="304">
        <v>0</v>
      </c>
      <c r="P715" s="122">
        <v>0</v>
      </c>
      <c r="Q715" s="253">
        <v>0</v>
      </c>
      <c r="R715" s="122">
        <v>0</v>
      </c>
      <c r="S715" s="305">
        <v>0.16442048517520216</v>
      </c>
      <c r="T715" s="120">
        <v>0.16442048517520216</v>
      </c>
      <c r="U715" s="313">
        <v>0</v>
      </c>
      <c r="V715" s="120">
        <v>0</v>
      </c>
      <c r="W715" s="296">
        <v>0</v>
      </c>
      <c r="X715" s="296">
        <v>0</v>
      </c>
      <c r="Y715" s="511">
        <v>5.9731934731934729E-2</v>
      </c>
    </row>
    <row r="716" spans="1:25" s="306" customFormat="1" ht="15.75" x14ac:dyDescent="0.25">
      <c r="A716" s="142"/>
      <c r="B716" s="143" t="s">
        <v>296</v>
      </c>
      <c r="C716" s="300">
        <v>863</v>
      </c>
      <c r="D716" s="300"/>
      <c r="E716" s="300">
        <v>161</v>
      </c>
      <c r="F716" s="300"/>
      <c r="G716" s="300"/>
      <c r="H716" s="134"/>
      <c r="I716" s="300">
        <v>1024</v>
      </c>
      <c r="J716" s="299"/>
      <c r="K716" s="300"/>
      <c r="L716" s="300"/>
      <c r="M716" s="134"/>
      <c r="N716" s="300"/>
      <c r="O716" s="299"/>
      <c r="P716" s="134"/>
      <c r="Q716" s="301"/>
      <c r="R716" s="134"/>
      <c r="S716" s="300"/>
      <c r="T716" s="132"/>
      <c r="U716" s="311"/>
      <c r="V716" s="132"/>
      <c r="W716" s="296"/>
      <c r="X716" s="296"/>
      <c r="Y716" s="306">
        <v>1024</v>
      </c>
    </row>
    <row r="717" spans="1:25" ht="15.75" x14ac:dyDescent="0.25">
      <c r="A717" s="142"/>
      <c r="B717" s="144" t="s">
        <v>297</v>
      </c>
      <c r="C717" s="303">
        <v>851</v>
      </c>
      <c r="D717" s="303"/>
      <c r="E717" s="303">
        <v>179</v>
      </c>
      <c r="F717" s="303"/>
      <c r="G717" s="303"/>
      <c r="H717" s="119"/>
      <c r="I717" s="303">
        <v>1030</v>
      </c>
      <c r="J717" s="302"/>
      <c r="K717" s="303"/>
      <c r="L717" s="303"/>
      <c r="M717" s="119"/>
      <c r="N717" s="303"/>
      <c r="O717" s="302"/>
      <c r="P717" s="119"/>
      <c r="Q717" s="173"/>
      <c r="R717" s="119"/>
      <c r="S717" s="303"/>
      <c r="T717" s="117"/>
      <c r="U717" s="312"/>
      <c r="V717" s="117"/>
      <c r="W717" s="296"/>
      <c r="X717" s="296"/>
      <c r="Y717" s="511">
        <v>1030</v>
      </c>
    </row>
    <row r="718" spans="1:25" ht="15.75" x14ac:dyDescent="0.25">
      <c r="A718" s="142"/>
      <c r="B718" s="145" t="s">
        <v>298</v>
      </c>
      <c r="C718" s="305">
        <v>-1.3904982618771726E-2</v>
      </c>
      <c r="D718" s="305">
        <v>0</v>
      </c>
      <c r="E718" s="305">
        <v>0.11180124223602485</v>
      </c>
      <c r="F718" s="305">
        <v>0</v>
      </c>
      <c r="G718" s="305">
        <v>0</v>
      </c>
      <c r="H718" s="122">
        <v>0</v>
      </c>
      <c r="I718" s="305">
        <v>5.859375E-3</v>
      </c>
      <c r="J718" s="304">
        <v>0</v>
      </c>
      <c r="K718" s="305">
        <v>0</v>
      </c>
      <c r="L718" s="305">
        <v>0</v>
      </c>
      <c r="M718" s="122">
        <v>0</v>
      </c>
      <c r="N718" s="305">
        <v>0</v>
      </c>
      <c r="O718" s="304">
        <v>0</v>
      </c>
      <c r="P718" s="122">
        <v>0</v>
      </c>
      <c r="Q718" s="253">
        <v>0</v>
      </c>
      <c r="R718" s="122">
        <v>0</v>
      </c>
      <c r="S718" s="305">
        <v>0</v>
      </c>
      <c r="T718" s="120">
        <v>0</v>
      </c>
      <c r="U718" s="313">
        <v>0</v>
      </c>
      <c r="V718" s="120">
        <v>0</v>
      </c>
      <c r="W718" s="296">
        <v>0</v>
      </c>
      <c r="X718" s="296">
        <v>0</v>
      </c>
      <c r="Y718" s="511">
        <v>5.859375E-3</v>
      </c>
    </row>
    <row r="719" spans="1:25" s="306" customFormat="1" ht="15.75" x14ac:dyDescent="0.25">
      <c r="A719" s="142"/>
      <c r="B719" s="143" t="s">
        <v>299</v>
      </c>
      <c r="C719" s="300"/>
      <c r="D719" s="300"/>
      <c r="E719" s="300"/>
      <c r="F719" s="300"/>
      <c r="G719" s="300"/>
      <c r="H719" s="134"/>
      <c r="I719" s="300"/>
      <c r="J719" s="299"/>
      <c r="K719" s="300"/>
      <c r="L719" s="300"/>
      <c r="M719" s="134"/>
      <c r="N719" s="300"/>
      <c r="O719" s="299"/>
      <c r="P719" s="134"/>
      <c r="Q719" s="301"/>
      <c r="R719" s="134"/>
      <c r="S719" s="300">
        <v>1123</v>
      </c>
      <c r="T719" s="132">
        <v>1123</v>
      </c>
      <c r="U719" s="311"/>
      <c r="V719" s="132"/>
      <c r="W719" s="296"/>
      <c r="X719" s="296"/>
      <c r="Y719" s="306">
        <v>1123</v>
      </c>
    </row>
    <row r="720" spans="1:25" ht="15.75" x14ac:dyDescent="0.25">
      <c r="A720" s="142"/>
      <c r="B720" s="144" t="s">
        <v>300</v>
      </c>
      <c r="C720" s="303"/>
      <c r="D720" s="303"/>
      <c r="E720" s="303"/>
      <c r="F720" s="303"/>
      <c r="G720" s="303"/>
      <c r="H720" s="119"/>
      <c r="I720" s="303"/>
      <c r="J720" s="302"/>
      <c r="K720" s="303"/>
      <c r="L720" s="303"/>
      <c r="M720" s="119"/>
      <c r="N720" s="303"/>
      <c r="O720" s="302"/>
      <c r="P720" s="119"/>
      <c r="Q720" s="173"/>
      <c r="R720" s="119"/>
      <c r="S720" s="303">
        <v>1132</v>
      </c>
      <c r="T720" s="117">
        <v>1132</v>
      </c>
      <c r="U720" s="312"/>
      <c r="V720" s="117"/>
      <c r="W720" s="296"/>
      <c r="X720" s="296"/>
      <c r="Y720" s="511">
        <v>1132</v>
      </c>
    </row>
    <row r="721" spans="1:25" ht="15.75" x14ac:dyDescent="0.25">
      <c r="A721" s="142"/>
      <c r="B721" s="145" t="s">
        <v>301</v>
      </c>
      <c r="C721" s="305">
        <v>0</v>
      </c>
      <c r="D721" s="305">
        <v>0</v>
      </c>
      <c r="E721" s="305">
        <v>0</v>
      </c>
      <c r="F721" s="305">
        <v>0</v>
      </c>
      <c r="G721" s="305">
        <v>0</v>
      </c>
      <c r="H721" s="122">
        <v>0</v>
      </c>
      <c r="I721" s="305">
        <v>0</v>
      </c>
      <c r="J721" s="304">
        <v>0</v>
      </c>
      <c r="K721" s="305">
        <v>0</v>
      </c>
      <c r="L721" s="305">
        <v>0</v>
      </c>
      <c r="M721" s="122">
        <v>0</v>
      </c>
      <c r="N721" s="305">
        <v>0</v>
      </c>
      <c r="O721" s="304">
        <v>0</v>
      </c>
      <c r="P721" s="122">
        <v>0</v>
      </c>
      <c r="Q721" s="253">
        <v>0</v>
      </c>
      <c r="R721" s="122">
        <v>0</v>
      </c>
      <c r="S721" s="305">
        <v>8.0142475512021364E-3</v>
      </c>
      <c r="T721" s="120">
        <v>8.0142475512021364E-3</v>
      </c>
      <c r="U721" s="313">
        <v>0</v>
      </c>
      <c r="V721" s="120">
        <v>0</v>
      </c>
      <c r="W721" s="296">
        <v>0</v>
      </c>
      <c r="X721" s="296">
        <v>0</v>
      </c>
      <c r="Y721" s="511">
        <v>8.0142475512021364E-3</v>
      </c>
    </row>
    <row r="722" spans="1:25" s="306" customFormat="1" ht="15.75" x14ac:dyDescent="0.25">
      <c r="A722" s="142"/>
      <c r="B722" s="143" t="s">
        <v>302</v>
      </c>
      <c r="C722" s="300"/>
      <c r="D722" s="300"/>
      <c r="E722" s="300"/>
      <c r="F722" s="300"/>
      <c r="G722" s="300"/>
      <c r="H722" s="134"/>
      <c r="I722" s="300"/>
      <c r="J722" s="299"/>
      <c r="K722" s="300"/>
      <c r="L722" s="300"/>
      <c r="M722" s="134"/>
      <c r="N722" s="300"/>
      <c r="O722" s="299"/>
      <c r="P722" s="134"/>
      <c r="Q722" s="301"/>
      <c r="R722" s="134"/>
      <c r="S722" s="300">
        <v>289</v>
      </c>
      <c r="T722" s="132">
        <v>289</v>
      </c>
      <c r="U722" s="311"/>
      <c r="V722" s="132"/>
      <c r="W722" s="296"/>
      <c r="X722" s="296"/>
      <c r="Y722" s="306">
        <v>289</v>
      </c>
    </row>
    <row r="723" spans="1:25" ht="15.75" x14ac:dyDescent="0.25">
      <c r="A723" s="142"/>
      <c r="B723" s="144" t="s">
        <v>303</v>
      </c>
      <c r="C723" s="303"/>
      <c r="D723" s="303"/>
      <c r="E723" s="303"/>
      <c r="F723" s="303"/>
      <c r="G723" s="303"/>
      <c r="H723" s="119"/>
      <c r="I723" s="303"/>
      <c r="J723" s="302"/>
      <c r="K723" s="303"/>
      <c r="L723" s="303"/>
      <c r="M723" s="119"/>
      <c r="N723" s="303"/>
      <c r="O723" s="302"/>
      <c r="P723" s="119"/>
      <c r="Q723" s="173"/>
      <c r="R723" s="119"/>
      <c r="S723" s="303">
        <v>268</v>
      </c>
      <c r="T723" s="117">
        <v>268</v>
      </c>
      <c r="U723" s="312"/>
      <c r="V723" s="117"/>
      <c r="W723" s="296"/>
      <c r="X723" s="296"/>
      <c r="Y723" s="511">
        <v>268</v>
      </c>
    </row>
    <row r="724" spans="1:25" ht="15.75" x14ac:dyDescent="0.25">
      <c r="A724" s="142"/>
      <c r="B724" s="145" t="s">
        <v>304</v>
      </c>
      <c r="C724" s="305">
        <v>0</v>
      </c>
      <c r="D724" s="305">
        <v>0</v>
      </c>
      <c r="E724" s="305">
        <v>0</v>
      </c>
      <c r="F724" s="305">
        <v>0</v>
      </c>
      <c r="G724" s="305">
        <v>0</v>
      </c>
      <c r="H724" s="122">
        <v>0</v>
      </c>
      <c r="I724" s="305">
        <v>0</v>
      </c>
      <c r="J724" s="304">
        <v>0</v>
      </c>
      <c r="K724" s="305">
        <v>0</v>
      </c>
      <c r="L724" s="305">
        <v>0</v>
      </c>
      <c r="M724" s="122">
        <v>0</v>
      </c>
      <c r="N724" s="305">
        <v>0</v>
      </c>
      <c r="O724" s="304">
        <v>0</v>
      </c>
      <c r="P724" s="122">
        <v>0</v>
      </c>
      <c r="Q724" s="253">
        <v>0</v>
      </c>
      <c r="R724" s="122">
        <v>0</v>
      </c>
      <c r="S724" s="305">
        <v>-7.2664359861591699E-2</v>
      </c>
      <c r="T724" s="120">
        <v>-7.2664359861591699E-2</v>
      </c>
      <c r="U724" s="313">
        <v>0</v>
      </c>
      <c r="V724" s="120">
        <v>0</v>
      </c>
      <c r="W724" s="296">
        <v>0</v>
      </c>
      <c r="X724" s="296">
        <v>0</v>
      </c>
      <c r="Y724" s="511">
        <v>-7.2664359861591699E-2</v>
      </c>
    </row>
    <row r="725" spans="1:25" s="306" customFormat="1" ht="15.75" x14ac:dyDescent="0.25">
      <c r="A725" s="142"/>
      <c r="B725" s="143" t="s">
        <v>305</v>
      </c>
      <c r="C725" s="300">
        <v>243</v>
      </c>
      <c r="D725" s="300"/>
      <c r="E725" s="300">
        <v>112</v>
      </c>
      <c r="F725" s="300"/>
      <c r="G725" s="300"/>
      <c r="H725" s="134"/>
      <c r="I725" s="300">
        <v>355</v>
      </c>
      <c r="J725" s="299"/>
      <c r="K725" s="300"/>
      <c r="L725" s="300"/>
      <c r="M725" s="134"/>
      <c r="N725" s="300"/>
      <c r="O725" s="299"/>
      <c r="P725" s="134"/>
      <c r="Q725" s="301"/>
      <c r="R725" s="134"/>
      <c r="S725" s="300">
        <v>186</v>
      </c>
      <c r="T725" s="132">
        <v>186</v>
      </c>
      <c r="U725" s="311"/>
      <c r="V725" s="132"/>
      <c r="W725" s="296"/>
      <c r="X725" s="296"/>
      <c r="Y725" s="306">
        <v>541</v>
      </c>
    </row>
    <row r="726" spans="1:25" ht="15.75" x14ac:dyDescent="0.25">
      <c r="A726" s="142"/>
      <c r="B726" s="144" t="s">
        <v>306</v>
      </c>
      <c r="C726" s="303">
        <v>253</v>
      </c>
      <c r="D726" s="303"/>
      <c r="E726" s="303">
        <v>112</v>
      </c>
      <c r="F726" s="303"/>
      <c r="G726" s="303"/>
      <c r="H726" s="119"/>
      <c r="I726" s="303">
        <v>365</v>
      </c>
      <c r="J726" s="302"/>
      <c r="K726" s="303"/>
      <c r="L726" s="303"/>
      <c r="M726" s="119"/>
      <c r="N726" s="303"/>
      <c r="O726" s="302"/>
      <c r="P726" s="119"/>
      <c r="Q726" s="173"/>
      <c r="R726" s="119"/>
      <c r="S726" s="303">
        <v>218</v>
      </c>
      <c r="T726" s="117">
        <v>218</v>
      </c>
      <c r="U726" s="312"/>
      <c r="V726" s="117"/>
      <c r="W726" s="296"/>
      <c r="X726" s="296"/>
      <c r="Y726" s="511">
        <v>583</v>
      </c>
    </row>
    <row r="727" spans="1:25" ht="15.75" x14ac:dyDescent="0.25">
      <c r="A727" s="142"/>
      <c r="B727" s="145" t="s">
        <v>307</v>
      </c>
      <c r="C727" s="305">
        <v>4.1152263374485597E-2</v>
      </c>
      <c r="D727" s="305">
        <v>0</v>
      </c>
      <c r="E727" s="305">
        <v>0</v>
      </c>
      <c r="F727" s="305">
        <v>0</v>
      </c>
      <c r="G727" s="305">
        <v>0</v>
      </c>
      <c r="H727" s="122">
        <v>0</v>
      </c>
      <c r="I727" s="305">
        <v>2.8169014084507043E-2</v>
      </c>
      <c r="J727" s="304">
        <v>0</v>
      </c>
      <c r="K727" s="305">
        <v>0</v>
      </c>
      <c r="L727" s="305">
        <v>0</v>
      </c>
      <c r="M727" s="122">
        <v>0</v>
      </c>
      <c r="N727" s="305">
        <v>0</v>
      </c>
      <c r="O727" s="304">
        <v>0</v>
      </c>
      <c r="P727" s="122">
        <v>0</v>
      </c>
      <c r="Q727" s="253">
        <v>0</v>
      </c>
      <c r="R727" s="122">
        <v>0</v>
      </c>
      <c r="S727" s="305">
        <v>0.17204301075268819</v>
      </c>
      <c r="T727" s="120">
        <v>0.17204301075268819</v>
      </c>
      <c r="U727" s="313">
        <v>0</v>
      </c>
      <c r="V727" s="120">
        <v>0</v>
      </c>
      <c r="W727" s="296">
        <v>0</v>
      </c>
      <c r="X727" s="296">
        <v>0</v>
      </c>
      <c r="Y727" s="511">
        <v>7.763401109057301E-2</v>
      </c>
    </row>
    <row r="728" spans="1:25" s="306" customFormat="1" ht="15.75" x14ac:dyDescent="0.25">
      <c r="A728" s="142"/>
      <c r="B728" s="143" t="s">
        <v>308</v>
      </c>
      <c r="C728" s="300"/>
      <c r="D728" s="300"/>
      <c r="E728" s="300"/>
      <c r="F728" s="300"/>
      <c r="G728" s="300"/>
      <c r="H728" s="134"/>
      <c r="I728" s="300"/>
      <c r="J728" s="299"/>
      <c r="K728" s="300"/>
      <c r="L728" s="300"/>
      <c r="M728" s="134"/>
      <c r="N728" s="300"/>
      <c r="O728" s="299"/>
      <c r="P728" s="134"/>
      <c r="Q728" s="301"/>
      <c r="R728" s="134"/>
      <c r="S728" s="300"/>
      <c r="T728" s="132"/>
      <c r="U728" s="311"/>
      <c r="V728" s="132"/>
      <c r="W728" s="296"/>
      <c r="X728" s="296"/>
    </row>
    <row r="729" spans="1:25" ht="15.75" x14ac:dyDescent="0.25">
      <c r="A729" s="142"/>
      <c r="B729" s="144" t="s">
        <v>309</v>
      </c>
      <c r="C729" s="303"/>
      <c r="D729" s="303"/>
      <c r="E729" s="303"/>
      <c r="F729" s="303"/>
      <c r="G729" s="303"/>
      <c r="H729" s="119"/>
      <c r="I729" s="303"/>
      <c r="J729" s="302"/>
      <c r="K729" s="303"/>
      <c r="L729" s="303"/>
      <c r="M729" s="119"/>
      <c r="N729" s="303"/>
      <c r="O729" s="302"/>
      <c r="P729" s="119"/>
      <c r="Q729" s="173"/>
      <c r="R729" s="119"/>
      <c r="S729" s="303"/>
      <c r="T729" s="117"/>
      <c r="U729" s="312"/>
      <c r="V729" s="117"/>
      <c r="W729" s="296"/>
      <c r="X729" s="296"/>
    </row>
    <row r="730" spans="1:25" ht="15.75" x14ac:dyDescent="0.25">
      <c r="A730" s="142"/>
      <c r="B730" s="145" t="s">
        <v>310</v>
      </c>
      <c r="C730" s="305">
        <v>0</v>
      </c>
      <c r="D730" s="305">
        <v>0</v>
      </c>
      <c r="E730" s="305">
        <v>0</v>
      </c>
      <c r="F730" s="305">
        <v>0</v>
      </c>
      <c r="G730" s="305">
        <v>0</v>
      </c>
      <c r="H730" s="122">
        <v>0</v>
      </c>
      <c r="I730" s="305">
        <v>0</v>
      </c>
      <c r="J730" s="304">
        <v>0</v>
      </c>
      <c r="K730" s="305">
        <v>0</v>
      </c>
      <c r="L730" s="305">
        <v>0</v>
      </c>
      <c r="M730" s="122">
        <v>0</v>
      </c>
      <c r="N730" s="305">
        <v>0</v>
      </c>
      <c r="O730" s="304">
        <v>0</v>
      </c>
      <c r="P730" s="122">
        <v>0</v>
      </c>
      <c r="Q730" s="253">
        <v>0</v>
      </c>
      <c r="R730" s="122">
        <v>0</v>
      </c>
      <c r="S730" s="305">
        <v>0</v>
      </c>
      <c r="T730" s="120">
        <v>0</v>
      </c>
      <c r="U730" s="313">
        <v>0</v>
      </c>
      <c r="V730" s="120">
        <v>0</v>
      </c>
      <c r="W730" s="296">
        <v>0</v>
      </c>
      <c r="X730" s="296">
        <v>0</v>
      </c>
      <c r="Y730" s="511">
        <v>0</v>
      </c>
    </row>
    <row r="731" spans="1:25" s="306" customFormat="1" ht="15.75" x14ac:dyDescent="0.25">
      <c r="A731" s="142"/>
      <c r="B731" s="143" t="s">
        <v>311</v>
      </c>
      <c r="C731" s="300">
        <v>102</v>
      </c>
      <c r="D731" s="300"/>
      <c r="E731" s="300"/>
      <c r="F731" s="300"/>
      <c r="G731" s="300"/>
      <c r="H731" s="134"/>
      <c r="I731" s="300">
        <v>102</v>
      </c>
      <c r="J731" s="299"/>
      <c r="K731" s="300"/>
      <c r="L731" s="300"/>
      <c r="M731" s="134"/>
      <c r="N731" s="300"/>
      <c r="O731" s="299"/>
      <c r="P731" s="134"/>
      <c r="Q731" s="301"/>
      <c r="R731" s="134"/>
      <c r="S731" s="300"/>
      <c r="T731" s="132"/>
      <c r="U731" s="311"/>
      <c r="V731" s="132"/>
      <c r="W731" s="296"/>
      <c r="X731" s="296"/>
      <c r="Y731" s="306">
        <v>102</v>
      </c>
    </row>
    <row r="732" spans="1:25" ht="15.75" x14ac:dyDescent="0.25">
      <c r="A732" s="142"/>
      <c r="B732" s="144" t="s">
        <v>312</v>
      </c>
      <c r="C732" s="303">
        <v>91</v>
      </c>
      <c r="D732" s="303"/>
      <c r="E732" s="303"/>
      <c r="F732" s="303"/>
      <c r="G732" s="303"/>
      <c r="H732" s="119"/>
      <c r="I732" s="303">
        <v>91</v>
      </c>
      <c r="J732" s="302"/>
      <c r="K732" s="303"/>
      <c r="L732" s="303"/>
      <c r="M732" s="119"/>
      <c r="N732" s="303"/>
      <c r="O732" s="302"/>
      <c r="P732" s="119"/>
      <c r="Q732" s="173"/>
      <c r="R732" s="119"/>
      <c r="S732" s="303"/>
      <c r="T732" s="117"/>
      <c r="U732" s="312"/>
      <c r="V732" s="117"/>
      <c r="W732" s="296"/>
      <c r="X732" s="296"/>
      <c r="Y732" s="511">
        <v>91</v>
      </c>
    </row>
    <row r="733" spans="1:25" ht="15.75" x14ac:dyDescent="0.25">
      <c r="A733" s="142"/>
      <c r="B733" s="145" t="s">
        <v>313</v>
      </c>
      <c r="C733" s="305">
        <v>-0.10784313725490197</v>
      </c>
      <c r="D733" s="305">
        <v>0</v>
      </c>
      <c r="E733" s="305">
        <v>0</v>
      </c>
      <c r="F733" s="305">
        <v>0</v>
      </c>
      <c r="G733" s="305">
        <v>0</v>
      </c>
      <c r="H733" s="122">
        <v>0</v>
      </c>
      <c r="I733" s="305">
        <v>-0.10784313725490197</v>
      </c>
      <c r="J733" s="304">
        <v>0</v>
      </c>
      <c r="K733" s="305">
        <v>0</v>
      </c>
      <c r="L733" s="305">
        <v>0</v>
      </c>
      <c r="M733" s="122">
        <v>0</v>
      </c>
      <c r="N733" s="305">
        <v>0</v>
      </c>
      <c r="O733" s="304">
        <v>0</v>
      </c>
      <c r="P733" s="122">
        <v>0</v>
      </c>
      <c r="Q733" s="253">
        <v>0</v>
      </c>
      <c r="R733" s="122">
        <v>0</v>
      </c>
      <c r="S733" s="305">
        <v>0</v>
      </c>
      <c r="T733" s="120">
        <v>0</v>
      </c>
      <c r="U733" s="313">
        <v>0</v>
      </c>
      <c r="V733" s="120">
        <v>0</v>
      </c>
      <c r="W733" s="296">
        <v>0</v>
      </c>
      <c r="X733" s="296">
        <v>0</v>
      </c>
      <c r="Y733" s="511">
        <v>-0.10784313725490197</v>
      </c>
    </row>
    <row r="734" spans="1:25" s="306" customFormat="1" ht="15.75" x14ac:dyDescent="0.25">
      <c r="A734" s="142"/>
      <c r="B734" s="143" t="s">
        <v>314</v>
      </c>
      <c r="C734" s="300"/>
      <c r="D734" s="300"/>
      <c r="E734" s="300"/>
      <c r="F734" s="300"/>
      <c r="G734" s="300"/>
      <c r="H734" s="134"/>
      <c r="I734" s="300"/>
      <c r="J734" s="299"/>
      <c r="K734" s="300"/>
      <c r="L734" s="300"/>
      <c r="M734" s="134"/>
      <c r="N734" s="300"/>
      <c r="O734" s="299"/>
      <c r="P734" s="134"/>
      <c r="Q734" s="301"/>
      <c r="R734" s="134"/>
      <c r="S734" s="300">
        <v>159</v>
      </c>
      <c r="T734" s="132">
        <v>159</v>
      </c>
      <c r="U734" s="311"/>
      <c r="V734" s="132"/>
      <c r="W734" s="296"/>
      <c r="X734" s="296"/>
      <c r="Y734" s="306">
        <v>159</v>
      </c>
    </row>
    <row r="735" spans="1:25" ht="15.75" x14ac:dyDescent="0.25">
      <c r="A735" s="142"/>
      <c r="B735" s="144" t="s">
        <v>315</v>
      </c>
      <c r="C735" s="303"/>
      <c r="D735" s="303"/>
      <c r="E735" s="303"/>
      <c r="F735" s="303"/>
      <c r="G735" s="303"/>
      <c r="H735" s="119"/>
      <c r="I735" s="303"/>
      <c r="J735" s="302"/>
      <c r="K735" s="303"/>
      <c r="L735" s="303"/>
      <c r="M735" s="119"/>
      <c r="N735" s="303"/>
      <c r="O735" s="302"/>
      <c r="P735" s="119"/>
      <c r="Q735" s="173"/>
      <c r="R735" s="119"/>
      <c r="S735" s="303">
        <v>166</v>
      </c>
      <c r="T735" s="117">
        <v>166</v>
      </c>
      <c r="U735" s="312"/>
      <c r="V735" s="117"/>
      <c r="W735" s="296"/>
      <c r="X735" s="296"/>
      <c r="Y735" s="511">
        <v>166</v>
      </c>
    </row>
    <row r="736" spans="1:25" ht="15.75" x14ac:dyDescent="0.25">
      <c r="A736" s="142"/>
      <c r="B736" s="145" t="s">
        <v>316</v>
      </c>
      <c r="C736" s="305">
        <v>0</v>
      </c>
      <c r="D736" s="305">
        <v>0</v>
      </c>
      <c r="E736" s="305">
        <v>0</v>
      </c>
      <c r="F736" s="305">
        <v>0</v>
      </c>
      <c r="G736" s="305">
        <v>0</v>
      </c>
      <c r="H736" s="122">
        <v>0</v>
      </c>
      <c r="I736" s="305">
        <v>0</v>
      </c>
      <c r="J736" s="304">
        <v>0</v>
      </c>
      <c r="K736" s="305">
        <v>0</v>
      </c>
      <c r="L736" s="305">
        <v>0</v>
      </c>
      <c r="M736" s="122">
        <v>0</v>
      </c>
      <c r="N736" s="305">
        <v>0</v>
      </c>
      <c r="O736" s="304">
        <v>0</v>
      </c>
      <c r="P736" s="122">
        <v>0</v>
      </c>
      <c r="Q736" s="253">
        <v>0</v>
      </c>
      <c r="R736" s="122">
        <v>0</v>
      </c>
      <c r="S736" s="305">
        <v>4.40251572327044E-2</v>
      </c>
      <c r="T736" s="120">
        <v>4.40251572327044E-2</v>
      </c>
      <c r="U736" s="313">
        <v>0</v>
      </c>
      <c r="V736" s="120">
        <v>0</v>
      </c>
      <c r="W736" s="296">
        <v>0</v>
      </c>
      <c r="X736" s="296">
        <v>0</v>
      </c>
      <c r="Y736" s="511">
        <v>4.40251572327044E-2</v>
      </c>
    </row>
    <row r="737" spans="1:25" s="306" customFormat="1" ht="15.75" x14ac:dyDescent="0.25">
      <c r="A737" s="142"/>
      <c r="B737" s="143" t="s">
        <v>317</v>
      </c>
      <c r="C737" s="300">
        <v>121</v>
      </c>
      <c r="D737" s="300"/>
      <c r="E737" s="300"/>
      <c r="F737" s="300"/>
      <c r="G737" s="300"/>
      <c r="H737" s="134"/>
      <c r="I737" s="300">
        <v>121</v>
      </c>
      <c r="J737" s="299"/>
      <c r="K737" s="300"/>
      <c r="L737" s="300"/>
      <c r="M737" s="134"/>
      <c r="N737" s="300"/>
      <c r="O737" s="299"/>
      <c r="P737" s="134"/>
      <c r="Q737" s="301"/>
      <c r="R737" s="134"/>
      <c r="S737" s="300"/>
      <c r="T737" s="132"/>
      <c r="U737" s="311"/>
      <c r="V737" s="132"/>
      <c r="W737" s="296"/>
      <c r="X737" s="296"/>
      <c r="Y737" s="306">
        <v>121</v>
      </c>
    </row>
    <row r="738" spans="1:25" ht="15.75" x14ac:dyDescent="0.25">
      <c r="A738" s="142"/>
      <c r="B738" s="144" t="s">
        <v>318</v>
      </c>
      <c r="C738" s="303">
        <v>129</v>
      </c>
      <c r="D738" s="303"/>
      <c r="E738" s="303"/>
      <c r="F738" s="303"/>
      <c r="G738" s="303"/>
      <c r="H738" s="119"/>
      <c r="I738" s="303">
        <v>129</v>
      </c>
      <c r="J738" s="302"/>
      <c r="K738" s="303"/>
      <c r="L738" s="303"/>
      <c r="M738" s="119"/>
      <c r="N738" s="303"/>
      <c r="O738" s="302"/>
      <c r="P738" s="119"/>
      <c r="Q738" s="173"/>
      <c r="R738" s="119"/>
      <c r="S738" s="303"/>
      <c r="T738" s="117"/>
      <c r="U738" s="312"/>
      <c r="V738" s="117"/>
      <c r="W738" s="296"/>
      <c r="X738" s="296"/>
      <c r="Y738" s="511">
        <v>129</v>
      </c>
    </row>
    <row r="739" spans="1:25" ht="15.75" x14ac:dyDescent="0.25">
      <c r="A739" s="142"/>
      <c r="B739" s="145" t="s">
        <v>319</v>
      </c>
      <c r="C739" s="305">
        <v>6.6115702479338845E-2</v>
      </c>
      <c r="D739" s="305">
        <v>0</v>
      </c>
      <c r="E739" s="305">
        <v>0</v>
      </c>
      <c r="F739" s="305">
        <v>0</v>
      </c>
      <c r="G739" s="305">
        <v>0</v>
      </c>
      <c r="H739" s="122">
        <v>0</v>
      </c>
      <c r="I739" s="305">
        <v>6.6115702479338845E-2</v>
      </c>
      <c r="J739" s="304">
        <v>0</v>
      </c>
      <c r="K739" s="305">
        <v>0</v>
      </c>
      <c r="L739" s="305">
        <v>0</v>
      </c>
      <c r="M739" s="122">
        <v>0</v>
      </c>
      <c r="N739" s="305">
        <v>0</v>
      </c>
      <c r="O739" s="304">
        <v>0</v>
      </c>
      <c r="P739" s="122">
        <v>0</v>
      </c>
      <c r="Q739" s="253">
        <v>0</v>
      </c>
      <c r="R739" s="122">
        <v>0</v>
      </c>
      <c r="S739" s="305">
        <v>0</v>
      </c>
      <c r="T739" s="120">
        <v>0</v>
      </c>
      <c r="U739" s="313">
        <v>0</v>
      </c>
      <c r="V739" s="120">
        <v>0</v>
      </c>
      <c r="W739" s="296">
        <v>0</v>
      </c>
      <c r="X739" s="296">
        <v>0</v>
      </c>
      <c r="Y739" s="511">
        <v>6.6115702479338845E-2</v>
      </c>
    </row>
    <row r="740" spans="1:25" s="306" customFormat="1" ht="15.75" x14ac:dyDescent="0.25">
      <c r="A740" s="142"/>
      <c r="B740" s="143" t="s">
        <v>320</v>
      </c>
      <c r="C740" s="300"/>
      <c r="D740" s="300"/>
      <c r="E740" s="300"/>
      <c r="F740" s="300"/>
      <c r="G740" s="300"/>
      <c r="H740" s="134"/>
      <c r="I740" s="300"/>
      <c r="J740" s="299"/>
      <c r="K740" s="300"/>
      <c r="L740" s="300"/>
      <c r="M740" s="134"/>
      <c r="N740" s="300"/>
      <c r="O740" s="299"/>
      <c r="P740" s="134"/>
      <c r="Q740" s="301"/>
      <c r="R740" s="134"/>
      <c r="S740" s="300"/>
      <c r="T740" s="132"/>
      <c r="U740" s="311"/>
      <c r="V740" s="132"/>
      <c r="W740" s="296"/>
      <c r="X740" s="296"/>
    </row>
    <row r="741" spans="1:25" ht="15.75" x14ac:dyDescent="0.25">
      <c r="A741" s="142"/>
      <c r="B741" s="144" t="s">
        <v>321</v>
      </c>
      <c r="C741" s="303"/>
      <c r="D741" s="303"/>
      <c r="E741" s="303"/>
      <c r="F741" s="303"/>
      <c r="G741" s="303"/>
      <c r="H741" s="119"/>
      <c r="I741" s="303"/>
      <c r="J741" s="302"/>
      <c r="K741" s="303"/>
      <c r="L741" s="303"/>
      <c r="M741" s="119"/>
      <c r="N741" s="303"/>
      <c r="O741" s="302"/>
      <c r="P741" s="119"/>
      <c r="Q741" s="173"/>
      <c r="R741" s="119"/>
      <c r="S741" s="303"/>
      <c r="T741" s="117"/>
      <c r="U741" s="312"/>
      <c r="V741" s="117"/>
      <c r="W741" s="296"/>
      <c r="X741" s="296"/>
    </row>
    <row r="742" spans="1:25" ht="15.75" x14ac:dyDescent="0.25">
      <c r="A742" s="142"/>
      <c r="B742" s="145" t="s">
        <v>322</v>
      </c>
      <c r="C742" s="305">
        <v>0</v>
      </c>
      <c r="D742" s="305">
        <v>0</v>
      </c>
      <c r="E742" s="305">
        <v>0</v>
      </c>
      <c r="F742" s="305">
        <v>0</v>
      </c>
      <c r="G742" s="305">
        <v>0</v>
      </c>
      <c r="H742" s="122">
        <v>0</v>
      </c>
      <c r="I742" s="305">
        <v>0</v>
      </c>
      <c r="J742" s="304">
        <v>0</v>
      </c>
      <c r="K742" s="305">
        <v>0</v>
      </c>
      <c r="L742" s="305">
        <v>0</v>
      </c>
      <c r="M742" s="122">
        <v>0</v>
      </c>
      <c r="N742" s="305">
        <v>0</v>
      </c>
      <c r="O742" s="304">
        <v>0</v>
      </c>
      <c r="P742" s="122">
        <v>0</v>
      </c>
      <c r="Q742" s="253">
        <v>0</v>
      </c>
      <c r="R742" s="122">
        <v>0</v>
      </c>
      <c r="S742" s="305">
        <v>0</v>
      </c>
      <c r="T742" s="120">
        <v>0</v>
      </c>
      <c r="U742" s="313">
        <v>0</v>
      </c>
      <c r="V742" s="120">
        <v>0</v>
      </c>
      <c r="W742" s="296">
        <v>0</v>
      </c>
      <c r="X742" s="296">
        <v>0</v>
      </c>
      <c r="Y742" s="511">
        <v>0</v>
      </c>
    </row>
    <row r="743" spans="1:25" s="306" customFormat="1" ht="15.75" x14ac:dyDescent="0.25">
      <c r="A743" s="142"/>
      <c r="B743" s="143" t="s">
        <v>404</v>
      </c>
      <c r="C743" s="300">
        <v>22</v>
      </c>
      <c r="D743" s="300">
        <v>130</v>
      </c>
      <c r="E743" s="300">
        <v>40</v>
      </c>
      <c r="F743" s="300"/>
      <c r="G743" s="300"/>
      <c r="H743" s="134"/>
      <c r="I743" s="300">
        <v>192</v>
      </c>
      <c r="J743" s="299"/>
      <c r="K743" s="300"/>
      <c r="L743" s="300"/>
      <c r="M743" s="134"/>
      <c r="N743" s="300"/>
      <c r="O743" s="299"/>
      <c r="P743" s="134"/>
      <c r="Q743" s="301"/>
      <c r="R743" s="134"/>
      <c r="S743" s="300">
        <v>215</v>
      </c>
      <c r="T743" s="132">
        <v>215</v>
      </c>
      <c r="U743" s="311"/>
      <c r="V743" s="132"/>
      <c r="W743" s="296"/>
      <c r="X743" s="296"/>
      <c r="Y743" s="306">
        <v>407</v>
      </c>
    </row>
    <row r="744" spans="1:25" ht="16.5" thickBot="1" x14ac:dyDescent="0.3">
      <c r="A744" s="142"/>
      <c r="B744" s="144" t="s">
        <v>406</v>
      </c>
      <c r="C744" s="303">
        <v>25</v>
      </c>
      <c r="D744" s="303">
        <v>114</v>
      </c>
      <c r="E744" s="303">
        <v>68</v>
      </c>
      <c r="F744" s="303"/>
      <c r="G744" s="303"/>
      <c r="H744" s="119"/>
      <c r="I744" s="303">
        <v>207</v>
      </c>
      <c r="J744" s="302"/>
      <c r="K744" s="303"/>
      <c r="L744" s="303"/>
      <c r="M744" s="119"/>
      <c r="N744" s="303"/>
      <c r="O744" s="302"/>
      <c r="P744" s="119"/>
      <c r="Q744" s="173"/>
      <c r="R744" s="119"/>
      <c r="S744" s="303">
        <v>227</v>
      </c>
      <c r="T744" s="117">
        <v>227</v>
      </c>
      <c r="U744" s="312"/>
      <c r="V744" s="117"/>
      <c r="W744" s="296"/>
      <c r="X744" s="296"/>
      <c r="Y744" s="511">
        <v>434</v>
      </c>
    </row>
    <row r="745" spans="1:25" ht="16.5" thickBot="1" x14ac:dyDescent="0.3">
      <c r="A745" s="142"/>
      <c r="B745" s="145" t="s">
        <v>474</v>
      </c>
      <c r="C745" s="305">
        <v>0.13636363636363635</v>
      </c>
      <c r="D745" s="305">
        <v>-0.12307692307692308</v>
      </c>
      <c r="E745" s="724">
        <v>0.7</v>
      </c>
      <c r="F745" s="305">
        <v>0</v>
      </c>
      <c r="G745" s="305">
        <v>0</v>
      </c>
      <c r="H745" s="122">
        <v>0</v>
      </c>
      <c r="I745" s="305">
        <v>7.8125E-2</v>
      </c>
      <c r="J745" s="304">
        <v>0</v>
      </c>
      <c r="K745" s="305">
        <v>0</v>
      </c>
      <c r="L745" s="305">
        <v>0</v>
      </c>
      <c r="M745" s="122">
        <v>0</v>
      </c>
      <c r="N745" s="305">
        <v>0</v>
      </c>
      <c r="O745" s="304">
        <v>0</v>
      </c>
      <c r="P745" s="122">
        <v>0</v>
      </c>
      <c r="Q745" s="253">
        <v>0</v>
      </c>
      <c r="R745" s="122">
        <v>0</v>
      </c>
      <c r="S745" s="305">
        <v>5.5813953488372092E-2</v>
      </c>
      <c r="T745" s="120">
        <v>5.5813953488372092E-2</v>
      </c>
      <c r="U745" s="313">
        <v>0</v>
      </c>
      <c r="V745" s="120">
        <v>0</v>
      </c>
      <c r="W745" s="296">
        <v>0</v>
      </c>
      <c r="X745" s="296">
        <v>0</v>
      </c>
      <c r="Y745" s="511">
        <v>6.6339066339066333E-2</v>
      </c>
    </row>
    <row r="746" spans="1:25" s="306" customFormat="1" ht="15.75" x14ac:dyDescent="0.25">
      <c r="A746" s="142"/>
      <c r="B746" s="143" t="s">
        <v>476</v>
      </c>
      <c r="C746" s="300"/>
      <c r="D746" s="300"/>
      <c r="E746" s="300"/>
      <c r="F746" s="300"/>
      <c r="G746" s="300"/>
      <c r="H746" s="134"/>
      <c r="I746" s="300"/>
      <c r="J746" s="299"/>
      <c r="K746" s="300"/>
      <c r="L746" s="300"/>
      <c r="M746" s="134"/>
      <c r="N746" s="300"/>
      <c r="O746" s="299"/>
      <c r="P746" s="134"/>
      <c r="Q746" s="301"/>
      <c r="R746" s="134"/>
      <c r="S746" s="300"/>
      <c r="T746" s="132"/>
      <c r="U746" s="311"/>
      <c r="V746" s="132"/>
      <c r="W746" s="296"/>
      <c r="X746" s="296"/>
    </row>
    <row r="747" spans="1:25" ht="15.75" x14ac:dyDescent="0.25">
      <c r="A747" s="294"/>
      <c r="B747" s="144" t="s">
        <v>472</v>
      </c>
      <c r="C747" s="303"/>
      <c r="D747" s="303"/>
      <c r="E747" s="303"/>
      <c r="F747" s="303"/>
      <c r="G747" s="303"/>
      <c r="H747" s="119"/>
      <c r="I747" s="303"/>
      <c r="J747" s="302"/>
      <c r="K747" s="303"/>
      <c r="L747" s="303"/>
      <c r="M747" s="119"/>
      <c r="N747" s="303"/>
      <c r="O747" s="302"/>
      <c r="P747" s="119"/>
      <c r="Q747" s="173"/>
      <c r="R747" s="119"/>
      <c r="S747" s="303"/>
      <c r="T747" s="117"/>
      <c r="U747" s="312"/>
      <c r="V747" s="117"/>
      <c r="W747" s="296"/>
      <c r="X747" s="296"/>
    </row>
    <row r="748" spans="1:25" ht="15.75" x14ac:dyDescent="0.25">
      <c r="A748" s="141" t="s">
        <v>1198</v>
      </c>
      <c r="B748" s="143" t="s">
        <v>275</v>
      </c>
      <c r="C748" s="300">
        <v>0</v>
      </c>
      <c r="D748" s="300">
        <v>0</v>
      </c>
      <c r="E748" s="300">
        <v>0</v>
      </c>
      <c r="F748" s="300">
        <v>1</v>
      </c>
      <c r="G748" s="300">
        <v>12</v>
      </c>
      <c r="H748" s="134">
        <v>0</v>
      </c>
      <c r="I748" s="300">
        <v>13</v>
      </c>
      <c r="J748" s="299"/>
      <c r="K748" s="300">
        <v>4037</v>
      </c>
      <c r="L748" s="300">
        <v>5833</v>
      </c>
      <c r="M748" s="134">
        <v>1275</v>
      </c>
      <c r="N748" s="300">
        <v>11145</v>
      </c>
      <c r="O748" s="299"/>
      <c r="P748" s="134"/>
      <c r="Q748" s="301"/>
      <c r="R748" s="134"/>
      <c r="S748" s="300">
        <v>0</v>
      </c>
      <c r="T748" s="132">
        <v>0</v>
      </c>
      <c r="U748" s="311"/>
      <c r="V748" s="132"/>
      <c r="W748" s="296"/>
      <c r="X748" s="296"/>
      <c r="Y748" s="511">
        <v>11158</v>
      </c>
    </row>
    <row r="749" spans="1:25" s="306" customFormat="1" ht="16.5" thickBot="1" x14ac:dyDescent="0.3">
      <c r="A749" s="142"/>
      <c r="B749" s="144" t="s">
        <v>276</v>
      </c>
      <c r="C749" s="303">
        <v>0</v>
      </c>
      <c r="D749" s="303">
        <v>0</v>
      </c>
      <c r="E749" s="303">
        <v>0</v>
      </c>
      <c r="F749" s="303">
        <v>17</v>
      </c>
      <c r="G749" s="303">
        <v>14</v>
      </c>
      <c r="H749" s="119">
        <v>0</v>
      </c>
      <c r="I749" s="303">
        <v>31</v>
      </c>
      <c r="J749" s="302"/>
      <c r="K749" s="303">
        <v>5339</v>
      </c>
      <c r="L749" s="303">
        <v>7310</v>
      </c>
      <c r="M749" s="119">
        <v>1205</v>
      </c>
      <c r="N749" s="303">
        <v>13854</v>
      </c>
      <c r="O749" s="302"/>
      <c r="P749" s="119"/>
      <c r="Q749" s="173"/>
      <c r="R749" s="119"/>
      <c r="S749" s="303">
        <v>0</v>
      </c>
      <c r="T749" s="117">
        <v>0</v>
      </c>
      <c r="U749" s="312"/>
      <c r="V749" s="117"/>
      <c r="W749" s="296"/>
      <c r="X749" s="296"/>
      <c r="Y749" s="306">
        <v>13885</v>
      </c>
    </row>
    <row r="750" spans="1:25" ht="16.5" thickBot="1" x14ac:dyDescent="0.3">
      <c r="A750" s="142"/>
      <c r="B750" s="145" t="s">
        <v>277</v>
      </c>
      <c r="C750" s="305">
        <v>0</v>
      </c>
      <c r="D750" s="305">
        <v>0</v>
      </c>
      <c r="E750" s="305">
        <v>0</v>
      </c>
      <c r="F750" s="724">
        <v>16</v>
      </c>
      <c r="G750" s="305">
        <v>0.16666666666666666</v>
      </c>
      <c r="H750" s="122">
        <v>0</v>
      </c>
      <c r="I750" s="305">
        <v>1.3846153846153846</v>
      </c>
      <c r="J750" s="304">
        <v>0</v>
      </c>
      <c r="K750" s="724">
        <v>0.32251672033688383</v>
      </c>
      <c r="L750" s="724">
        <v>0.25321446939825132</v>
      </c>
      <c r="M750" s="122">
        <v>-5.4901960784313725E-2</v>
      </c>
      <c r="N750" s="305">
        <v>0.24306864064602962</v>
      </c>
      <c r="O750" s="304">
        <v>0</v>
      </c>
      <c r="P750" s="122">
        <v>0</v>
      </c>
      <c r="Q750" s="253">
        <v>0</v>
      </c>
      <c r="R750" s="122">
        <v>0</v>
      </c>
      <c r="S750" s="305">
        <v>0</v>
      </c>
      <c r="T750" s="120">
        <v>0</v>
      </c>
      <c r="U750" s="313">
        <v>0</v>
      </c>
      <c r="V750" s="120">
        <v>0</v>
      </c>
      <c r="W750" s="296">
        <v>0</v>
      </c>
      <c r="X750" s="296">
        <v>0</v>
      </c>
      <c r="Y750" s="511">
        <v>0.24439863774870049</v>
      </c>
    </row>
    <row r="751" spans="1:25" ht="15.75" x14ac:dyDescent="0.25">
      <c r="A751" s="142"/>
      <c r="B751" s="143" t="s">
        <v>278</v>
      </c>
      <c r="C751" s="300"/>
      <c r="D751" s="300"/>
      <c r="E751" s="300"/>
      <c r="F751" s="300"/>
      <c r="G751" s="300"/>
      <c r="H751" s="134"/>
      <c r="I751" s="300"/>
      <c r="J751" s="299"/>
      <c r="K751" s="300"/>
      <c r="L751" s="300"/>
      <c r="M751" s="134"/>
      <c r="N751" s="300"/>
      <c r="O751" s="299"/>
      <c r="P751" s="134"/>
      <c r="Q751" s="301"/>
      <c r="R751" s="134"/>
      <c r="S751" s="300"/>
      <c r="T751" s="132"/>
      <c r="U751" s="311"/>
      <c r="V751" s="132"/>
      <c r="W751" s="296"/>
      <c r="X751" s="296"/>
    </row>
    <row r="752" spans="1:25" s="306" customFormat="1" ht="15.75" x14ac:dyDescent="0.25">
      <c r="A752" s="142"/>
      <c r="B752" s="144" t="s">
        <v>279</v>
      </c>
      <c r="C752" s="303"/>
      <c r="D752" s="303"/>
      <c r="E752" s="303"/>
      <c r="F752" s="303"/>
      <c r="G752" s="303"/>
      <c r="H752" s="119"/>
      <c r="I752" s="303"/>
      <c r="J752" s="302"/>
      <c r="K752" s="303"/>
      <c r="L752" s="303"/>
      <c r="M752" s="119"/>
      <c r="N752" s="303"/>
      <c r="O752" s="302"/>
      <c r="P752" s="119"/>
      <c r="Q752" s="173"/>
      <c r="R752" s="119"/>
      <c r="S752" s="303"/>
      <c r="T752" s="117"/>
      <c r="U752" s="312"/>
      <c r="V752" s="117"/>
      <c r="W752" s="296"/>
      <c r="X752" s="296"/>
    </row>
    <row r="753" spans="1:25" ht="15.75" x14ac:dyDescent="0.25">
      <c r="A753" s="142"/>
      <c r="B753" s="145" t="s">
        <v>280</v>
      </c>
      <c r="C753" s="305">
        <v>0</v>
      </c>
      <c r="D753" s="305">
        <v>0</v>
      </c>
      <c r="E753" s="305">
        <v>0</v>
      </c>
      <c r="F753" s="305">
        <v>0</v>
      </c>
      <c r="G753" s="305">
        <v>0</v>
      </c>
      <c r="H753" s="122">
        <v>0</v>
      </c>
      <c r="I753" s="305">
        <v>0</v>
      </c>
      <c r="J753" s="304">
        <v>0</v>
      </c>
      <c r="K753" s="305">
        <v>0</v>
      </c>
      <c r="L753" s="305">
        <v>0</v>
      </c>
      <c r="M753" s="122">
        <v>0</v>
      </c>
      <c r="N753" s="305">
        <v>0</v>
      </c>
      <c r="O753" s="304">
        <v>0</v>
      </c>
      <c r="P753" s="122">
        <v>0</v>
      </c>
      <c r="Q753" s="253">
        <v>0</v>
      </c>
      <c r="R753" s="122">
        <v>0</v>
      </c>
      <c r="S753" s="305">
        <v>0</v>
      </c>
      <c r="T753" s="120">
        <v>0</v>
      </c>
      <c r="U753" s="313">
        <v>0</v>
      </c>
      <c r="V753" s="120">
        <v>0</v>
      </c>
      <c r="W753" s="296">
        <v>0</v>
      </c>
      <c r="X753" s="296">
        <v>0</v>
      </c>
      <c r="Y753" s="511">
        <v>0</v>
      </c>
    </row>
    <row r="754" spans="1:25" ht="15.75" x14ac:dyDescent="0.25">
      <c r="A754" s="142"/>
      <c r="B754" s="143" t="s">
        <v>281</v>
      </c>
      <c r="C754" s="300">
        <v>43</v>
      </c>
      <c r="D754" s="300">
        <v>0</v>
      </c>
      <c r="E754" s="300">
        <v>79</v>
      </c>
      <c r="F754" s="300">
        <v>11</v>
      </c>
      <c r="G754" s="300">
        <v>0</v>
      </c>
      <c r="H754" s="134">
        <v>0</v>
      </c>
      <c r="I754" s="300">
        <v>133</v>
      </c>
      <c r="J754" s="299"/>
      <c r="K754" s="300">
        <v>8850</v>
      </c>
      <c r="L754" s="300">
        <v>5517</v>
      </c>
      <c r="M754" s="134">
        <v>1425</v>
      </c>
      <c r="N754" s="300">
        <v>15792</v>
      </c>
      <c r="O754" s="299"/>
      <c r="P754" s="134"/>
      <c r="Q754" s="301"/>
      <c r="R754" s="134"/>
      <c r="S754" s="300">
        <v>0</v>
      </c>
      <c r="T754" s="132">
        <v>0</v>
      </c>
      <c r="U754" s="311"/>
      <c r="V754" s="132"/>
      <c r="W754" s="296"/>
      <c r="X754" s="296"/>
      <c r="Y754" s="511">
        <v>15925</v>
      </c>
    </row>
    <row r="755" spans="1:25" s="306" customFormat="1" ht="16.5" thickBot="1" x14ac:dyDescent="0.3">
      <c r="A755" s="142"/>
      <c r="B755" s="144" t="s">
        <v>282</v>
      </c>
      <c r="C755" s="303">
        <v>50</v>
      </c>
      <c r="D755" s="303">
        <v>0</v>
      </c>
      <c r="E755" s="303">
        <v>77</v>
      </c>
      <c r="F755" s="303">
        <v>21</v>
      </c>
      <c r="G755" s="303">
        <v>0</v>
      </c>
      <c r="H755" s="119">
        <v>0</v>
      </c>
      <c r="I755" s="303">
        <v>148</v>
      </c>
      <c r="J755" s="302"/>
      <c r="K755" s="303">
        <v>10071</v>
      </c>
      <c r="L755" s="303">
        <v>6624</v>
      </c>
      <c r="M755" s="119">
        <v>1056</v>
      </c>
      <c r="N755" s="303">
        <v>17751</v>
      </c>
      <c r="O755" s="302"/>
      <c r="P755" s="119"/>
      <c r="Q755" s="173"/>
      <c r="R755" s="119"/>
      <c r="S755" s="303">
        <v>0</v>
      </c>
      <c r="T755" s="117">
        <v>0</v>
      </c>
      <c r="U755" s="312"/>
      <c r="V755" s="117"/>
      <c r="W755" s="296"/>
      <c r="X755" s="296"/>
      <c r="Y755" s="306">
        <v>17899</v>
      </c>
    </row>
    <row r="756" spans="1:25" ht="16.5" thickBot="1" x14ac:dyDescent="0.3">
      <c r="A756" s="142"/>
      <c r="B756" s="145" t="s">
        <v>283</v>
      </c>
      <c r="C756" s="305">
        <v>0.16279069767441862</v>
      </c>
      <c r="D756" s="305">
        <v>0</v>
      </c>
      <c r="E756" s="305">
        <v>-2.5316455696202531E-2</v>
      </c>
      <c r="F756" s="724">
        <v>0.90909090909090906</v>
      </c>
      <c r="G756" s="305">
        <v>0</v>
      </c>
      <c r="H756" s="122">
        <v>0</v>
      </c>
      <c r="I756" s="305">
        <v>0.11278195488721804</v>
      </c>
      <c r="J756" s="304">
        <v>0</v>
      </c>
      <c r="K756" s="724">
        <v>0.13796610169491524</v>
      </c>
      <c r="L756" s="724">
        <v>0.20065252854812399</v>
      </c>
      <c r="M756" s="724">
        <v>-0.25894736842105265</v>
      </c>
      <c r="N756" s="305">
        <v>0.12405015197568389</v>
      </c>
      <c r="O756" s="304">
        <v>0</v>
      </c>
      <c r="P756" s="122">
        <v>0</v>
      </c>
      <c r="Q756" s="253">
        <v>0</v>
      </c>
      <c r="R756" s="122">
        <v>0</v>
      </c>
      <c r="S756" s="305">
        <v>0</v>
      </c>
      <c r="T756" s="120">
        <v>0</v>
      </c>
      <c r="U756" s="313">
        <v>0</v>
      </c>
      <c r="V756" s="120">
        <v>0</v>
      </c>
      <c r="W756" s="296">
        <v>0</v>
      </c>
      <c r="X756" s="296">
        <v>0</v>
      </c>
      <c r="Y756" s="511">
        <v>0.12395604395604395</v>
      </c>
    </row>
    <row r="757" spans="1:25" ht="15.75" x14ac:dyDescent="0.25">
      <c r="A757" s="142"/>
      <c r="B757" s="143" t="s">
        <v>284</v>
      </c>
      <c r="C757" s="300">
        <v>16776</v>
      </c>
      <c r="D757" s="300">
        <v>5871</v>
      </c>
      <c r="E757" s="300">
        <v>4605</v>
      </c>
      <c r="F757" s="300">
        <v>3257</v>
      </c>
      <c r="G757" s="300">
        <v>2040</v>
      </c>
      <c r="H757" s="134">
        <v>259</v>
      </c>
      <c r="I757" s="300">
        <v>32808</v>
      </c>
      <c r="J757" s="299"/>
      <c r="K757" s="300">
        <v>0</v>
      </c>
      <c r="L757" s="300">
        <v>0</v>
      </c>
      <c r="M757" s="134">
        <v>0</v>
      </c>
      <c r="N757" s="300">
        <v>0</v>
      </c>
      <c r="O757" s="299"/>
      <c r="P757" s="134"/>
      <c r="Q757" s="301"/>
      <c r="R757" s="134"/>
      <c r="S757" s="300">
        <v>324</v>
      </c>
      <c r="T757" s="132">
        <v>324</v>
      </c>
      <c r="U757" s="311"/>
      <c r="V757" s="132"/>
      <c r="W757" s="296"/>
      <c r="X757" s="296"/>
      <c r="Y757" s="511">
        <v>33132</v>
      </c>
    </row>
    <row r="758" spans="1:25" s="306" customFormat="1" ht="15.75" x14ac:dyDescent="0.25">
      <c r="A758" s="142"/>
      <c r="B758" s="144" t="s">
        <v>285</v>
      </c>
      <c r="C758" s="303">
        <v>17984</v>
      </c>
      <c r="D758" s="303">
        <v>6118</v>
      </c>
      <c r="E758" s="303">
        <v>4909</v>
      </c>
      <c r="F758" s="303">
        <v>3526</v>
      </c>
      <c r="G758" s="303">
        <v>2011</v>
      </c>
      <c r="H758" s="119">
        <v>279</v>
      </c>
      <c r="I758" s="303">
        <v>34827</v>
      </c>
      <c r="J758" s="302"/>
      <c r="K758" s="303"/>
      <c r="L758" s="303"/>
      <c r="M758" s="119"/>
      <c r="N758" s="303"/>
      <c r="O758" s="302"/>
      <c r="P758" s="119"/>
      <c r="Q758" s="173"/>
      <c r="R758" s="119"/>
      <c r="S758" s="303">
        <v>305</v>
      </c>
      <c r="T758" s="117">
        <v>305</v>
      </c>
      <c r="U758" s="312"/>
      <c r="V758" s="117"/>
      <c r="W758" s="296"/>
      <c r="X758" s="296"/>
      <c r="Y758" s="306">
        <v>35132</v>
      </c>
    </row>
    <row r="759" spans="1:25" ht="15.75" x14ac:dyDescent="0.25">
      <c r="A759" s="142"/>
      <c r="B759" s="145" t="s">
        <v>286</v>
      </c>
      <c r="C759" s="305">
        <v>7.2007629947544116E-2</v>
      </c>
      <c r="D759" s="305">
        <v>4.2071197411003236E-2</v>
      </c>
      <c r="E759" s="305">
        <v>6.601520086862106E-2</v>
      </c>
      <c r="F759" s="305">
        <v>8.2591341725514272E-2</v>
      </c>
      <c r="G759" s="305">
        <v>-1.4215686274509804E-2</v>
      </c>
      <c r="H759" s="122">
        <v>7.7220077220077218E-2</v>
      </c>
      <c r="I759" s="305">
        <v>6.1539868324798831E-2</v>
      </c>
      <c r="J759" s="304">
        <v>0</v>
      </c>
      <c r="K759" s="305">
        <v>0</v>
      </c>
      <c r="L759" s="305">
        <v>0</v>
      </c>
      <c r="M759" s="122">
        <v>0</v>
      </c>
      <c r="N759" s="305">
        <v>0</v>
      </c>
      <c r="O759" s="304">
        <v>0</v>
      </c>
      <c r="P759" s="122">
        <v>0</v>
      </c>
      <c r="Q759" s="253">
        <v>0</v>
      </c>
      <c r="R759" s="122">
        <v>0</v>
      </c>
      <c r="S759" s="305">
        <v>-5.8641975308641972E-2</v>
      </c>
      <c r="T759" s="120">
        <v>-5.8641975308641972E-2</v>
      </c>
      <c r="U759" s="313">
        <v>0</v>
      </c>
      <c r="V759" s="120">
        <v>0</v>
      </c>
      <c r="W759" s="296">
        <v>0</v>
      </c>
      <c r="X759" s="296">
        <v>0</v>
      </c>
      <c r="Y759" s="511">
        <v>6.0364602197271522E-2</v>
      </c>
    </row>
    <row r="760" spans="1:25" ht="15.75" x14ac:dyDescent="0.25">
      <c r="A760" s="142"/>
      <c r="B760" s="143" t="s">
        <v>287</v>
      </c>
      <c r="C760" s="300">
        <v>545</v>
      </c>
      <c r="D760" s="300">
        <v>212</v>
      </c>
      <c r="E760" s="300">
        <v>0</v>
      </c>
      <c r="F760" s="300">
        <v>19</v>
      </c>
      <c r="G760" s="300">
        <v>24</v>
      </c>
      <c r="H760" s="134">
        <v>0</v>
      </c>
      <c r="I760" s="300">
        <v>800</v>
      </c>
      <c r="J760" s="299"/>
      <c r="K760" s="300">
        <v>0</v>
      </c>
      <c r="L760" s="300">
        <v>0</v>
      </c>
      <c r="M760" s="134">
        <v>0</v>
      </c>
      <c r="N760" s="300">
        <v>0</v>
      </c>
      <c r="O760" s="299"/>
      <c r="P760" s="134"/>
      <c r="Q760" s="301"/>
      <c r="R760" s="134"/>
      <c r="S760" s="300">
        <v>0</v>
      </c>
      <c r="T760" s="132">
        <v>0</v>
      </c>
      <c r="U760" s="311"/>
      <c r="V760" s="132"/>
      <c r="W760" s="296"/>
      <c r="X760" s="296"/>
      <c r="Y760" s="511">
        <v>800</v>
      </c>
    </row>
    <row r="761" spans="1:25" s="306" customFormat="1" ht="16.5" thickBot="1" x14ac:dyDescent="0.3">
      <c r="A761" s="142"/>
      <c r="B761" s="144" t="s">
        <v>288</v>
      </c>
      <c r="C761" s="303">
        <v>583</v>
      </c>
      <c r="D761" s="303">
        <v>224</v>
      </c>
      <c r="E761" s="303">
        <v>0</v>
      </c>
      <c r="F761" s="303">
        <v>35</v>
      </c>
      <c r="G761" s="303">
        <v>11</v>
      </c>
      <c r="H761" s="119">
        <v>0</v>
      </c>
      <c r="I761" s="303">
        <v>853</v>
      </c>
      <c r="J761" s="302"/>
      <c r="K761" s="303">
        <v>0</v>
      </c>
      <c r="L761" s="303"/>
      <c r="M761" s="119"/>
      <c r="N761" s="303">
        <v>0</v>
      </c>
      <c r="O761" s="302"/>
      <c r="P761" s="119"/>
      <c r="Q761" s="173"/>
      <c r="R761" s="119"/>
      <c r="S761" s="303"/>
      <c r="T761" s="117"/>
      <c r="U761" s="312"/>
      <c r="V761" s="117"/>
      <c r="W761" s="296"/>
      <c r="X761" s="296"/>
      <c r="Y761" s="306">
        <v>853</v>
      </c>
    </row>
    <row r="762" spans="1:25" ht="16.5" thickBot="1" x14ac:dyDescent="0.3">
      <c r="A762" s="142"/>
      <c r="B762" s="145" t="s">
        <v>289</v>
      </c>
      <c r="C762" s="305">
        <v>6.9724770642201839E-2</v>
      </c>
      <c r="D762" s="305">
        <v>5.6603773584905662E-2</v>
      </c>
      <c r="E762" s="305">
        <v>0</v>
      </c>
      <c r="F762" s="724">
        <v>0.84210526315789469</v>
      </c>
      <c r="G762" s="724">
        <v>-0.54166666666666663</v>
      </c>
      <c r="H762" s="122">
        <v>0</v>
      </c>
      <c r="I762" s="305">
        <v>6.6250000000000003E-2</v>
      </c>
      <c r="J762" s="304">
        <v>0</v>
      </c>
      <c r="K762" s="305">
        <v>0</v>
      </c>
      <c r="L762" s="305">
        <v>0</v>
      </c>
      <c r="M762" s="122">
        <v>0</v>
      </c>
      <c r="N762" s="305">
        <v>0</v>
      </c>
      <c r="O762" s="304">
        <v>0</v>
      </c>
      <c r="P762" s="122">
        <v>0</v>
      </c>
      <c r="Q762" s="253">
        <v>0</v>
      </c>
      <c r="R762" s="122">
        <v>0</v>
      </c>
      <c r="S762" s="305">
        <v>0</v>
      </c>
      <c r="T762" s="120">
        <v>0</v>
      </c>
      <c r="U762" s="313">
        <v>0</v>
      </c>
      <c r="V762" s="120">
        <v>0</v>
      </c>
      <c r="W762" s="296">
        <v>0</v>
      </c>
      <c r="X762" s="296">
        <v>0</v>
      </c>
      <c r="Y762" s="511">
        <v>6.6250000000000003E-2</v>
      </c>
    </row>
    <row r="763" spans="1:25" ht="15.75" x14ac:dyDescent="0.25">
      <c r="A763" s="142"/>
      <c r="B763" s="143" t="s">
        <v>290</v>
      </c>
      <c r="C763" s="300">
        <v>7382</v>
      </c>
      <c r="D763" s="300">
        <v>2436</v>
      </c>
      <c r="E763" s="300">
        <v>932</v>
      </c>
      <c r="F763" s="300">
        <v>697</v>
      </c>
      <c r="G763" s="300">
        <v>353</v>
      </c>
      <c r="H763" s="134">
        <v>0</v>
      </c>
      <c r="I763" s="300">
        <v>11800</v>
      </c>
      <c r="J763" s="299"/>
      <c r="K763" s="300">
        <v>0</v>
      </c>
      <c r="L763" s="300">
        <v>0</v>
      </c>
      <c r="M763" s="134">
        <v>0</v>
      </c>
      <c r="N763" s="300">
        <v>0</v>
      </c>
      <c r="O763" s="299"/>
      <c r="P763" s="134"/>
      <c r="Q763" s="301"/>
      <c r="R763" s="134"/>
      <c r="S763" s="300">
        <v>0</v>
      </c>
      <c r="T763" s="132">
        <v>0</v>
      </c>
      <c r="U763" s="311"/>
      <c r="V763" s="132"/>
      <c r="W763" s="296"/>
      <c r="X763" s="296"/>
      <c r="Y763" s="511">
        <v>11800</v>
      </c>
    </row>
    <row r="764" spans="1:25" s="306" customFormat="1" ht="15.75" x14ac:dyDescent="0.25">
      <c r="A764" s="142"/>
      <c r="B764" s="144" t="s">
        <v>291</v>
      </c>
      <c r="C764" s="303">
        <v>7462</v>
      </c>
      <c r="D764" s="303">
        <v>2392</v>
      </c>
      <c r="E764" s="303">
        <v>1060</v>
      </c>
      <c r="F764" s="303">
        <v>759</v>
      </c>
      <c r="G764" s="303">
        <v>329</v>
      </c>
      <c r="H764" s="119">
        <v>0</v>
      </c>
      <c r="I764" s="303">
        <v>12002</v>
      </c>
      <c r="J764" s="302"/>
      <c r="K764" s="303">
        <v>0</v>
      </c>
      <c r="L764" s="303">
        <v>0</v>
      </c>
      <c r="M764" s="119">
        <v>0</v>
      </c>
      <c r="N764" s="303">
        <v>0</v>
      </c>
      <c r="O764" s="302"/>
      <c r="P764" s="119"/>
      <c r="Q764" s="173"/>
      <c r="R764" s="119"/>
      <c r="S764" s="303">
        <v>0</v>
      </c>
      <c r="T764" s="117">
        <v>0</v>
      </c>
      <c r="U764" s="312"/>
      <c r="V764" s="117"/>
      <c r="W764" s="296"/>
      <c r="X764" s="296"/>
      <c r="Y764" s="306">
        <v>12002</v>
      </c>
    </row>
    <row r="765" spans="1:25" ht="15.75" x14ac:dyDescent="0.25">
      <c r="A765" s="142"/>
      <c r="B765" s="145" t="s">
        <v>292</v>
      </c>
      <c r="C765" s="305">
        <v>1.083717149823896E-2</v>
      </c>
      <c r="D765" s="305">
        <v>-1.8062397372742199E-2</v>
      </c>
      <c r="E765" s="305">
        <v>0.13733905579399142</v>
      </c>
      <c r="F765" s="305">
        <v>8.8952654232424683E-2</v>
      </c>
      <c r="G765" s="305">
        <v>-6.79886685552408E-2</v>
      </c>
      <c r="H765" s="122">
        <v>0</v>
      </c>
      <c r="I765" s="305">
        <v>1.7118644067796611E-2</v>
      </c>
      <c r="J765" s="304">
        <v>0</v>
      </c>
      <c r="K765" s="305">
        <v>0</v>
      </c>
      <c r="L765" s="305">
        <v>0</v>
      </c>
      <c r="M765" s="122">
        <v>0</v>
      </c>
      <c r="N765" s="305">
        <v>0</v>
      </c>
      <c r="O765" s="304">
        <v>0</v>
      </c>
      <c r="P765" s="122">
        <v>0</v>
      </c>
      <c r="Q765" s="253">
        <v>0</v>
      </c>
      <c r="R765" s="122">
        <v>0</v>
      </c>
      <c r="S765" s="305">
        <v>0</v>
      </c>
      <c r="T765" s="120">
        <v>0</v>
      </c>
      <c r="U765" s="313">
        <v>0</v>
      </c>
      <c r="V765" s="120">
        <v>0</v>
      </c>
      <c r="W765" s="296">
        <v>0</v>
      </c>
      <c r="X765" s="296">
        <v>0</v>
      </c>
      <c r="Y765" s="511">
        <v>1.7118644067796611E-2</v>
      </c>
    </row>
    <row r="766" spans="1:25" ht="15.75" x14ac:dyDescent="0.25">
      <c r="A766" s="142"/>
      <c r="B766" s="143" t="s">
        <v>293</v>
      </c>
      <c r="C766" s="300">
        <v>1229</v>
      </c>
      <c r="D766" s="300">
        <v>382</v>
      </c>
      <c r="E766" s="300">
        <v>20</v>
      </c>
      <c r="F766" s="300">
        <v>6</v>
      </c>
      <c r="G766" s="300">
        <v>0</v>
      </c>
      <c r="H766" s="134">
        <v>0</v>
      </c>
      <c r="I766" s="300">
        <v>1637</v>
      </c>
      <c r="J766" s="299"/>
      <c r="K766" s="300">
        <v>0</v>
      </c>
      <c r="L766" s="300">
        <v>0</v>
      </c>
      <c r="M766" s="134">
        <v>0</v>
      </c>
      <c r="N766" s="300">
        <v>0</v>
      </c>
      <c r="O766" s="299"/>
      <c r="P766" s="134"/>
      <c r="Q766" s="301"/>
      <c r="R766" s="134"/>
      <c r="S766" s="300">
        <v>0</v>
      </c>
      <c r="T766" s="132">
        <v>0</v>
      </c>
      <c r="U766" s="311"/>
      <c r="V766" s="132"/>
      <c r="W766" s="296"/>
      <c r="X766" s="296"/>
      <c r="Y766" s="511">
        <v>1637</v>
      </c>
    </row>
    <row r="767" spans="1:25" s="306" customFormat="1" ht="15.75" x14ac:dyDescent="0.25">
      <c r="A767" s="142"/>
      <c r="B767" s="144" t="s">
        <v>294</v>
      </c>
      <c r="C767" s="303">
        <v>1282</v>
      </c>
      <c r="D767" s="303">
        <v>388</v>
      </c>
      <c r="E767" s="303">
        <v>18</v>
      </c>
      <c r="F767" s="303">
        <v>8</v>
      </c>
      <c r="G767" s="303">
        <v>0</v>
      </c>
      <c r="H767" s="119">
        <v>0</v>
      </c>
      <c r="I767" s="303">
        <v>1696</v>
      </c>
      <c r="J767" s="302"/>
      <c r="K767" s="303">
        <v>0</v>
      </c>
      <c r="L767" s="303">
        <v>0</v>
      </c>
      <c r="M767" s="119">
        <v>0</v>
      </c>
      <c r="N767" s="303">
        <v>0</v>
      </c>
      <c r="O767" s="302"/>
      <c r="P767" s="119"/>
      <c r="Q767" s="173"/>
      <c r="R767" s="119"/>
      <c r="S767" s="303">
        <v>0</v>
      </c>
      <c r="T767" s="117">
        <v>0</v>
      </c>
      <c r="U767" s="312"/>
      <c r="V767" s="117"/>
      <c r="W767" s="296"/>
      <c r="X767" s="296"/>
      <c r="Y767" s="306">
        <v>1696</v>
      </c>
    </row>
    <row r="768" spans="1:25" ht="15.75" x14ac:dyDescent="0.25">
      <c r="A768" s="142"/>
      <c r="B768" s="145" t="s">
        <v>295</v>
      </c>
      <c r="C768" s="305">
        <v>4.3124491456468676E-2</v>
      </c>
      <c r="D768" s="305">
        <v>1.5706806282722512E-2</v>
      </c>
      <c r="E768" s="305">
        <v>-0.1</v>
      </c>
      <c r="F768" s="305">
        <v>0.33333333333333331</v>
      </c>
      <c r="G768" s="305">
        <v>0</v>
      </c>
      <c r="H768" s="122">
        <v>0</v>
      </c>
      <c r="I768" s="305">
        <v>3.6041539401343921E-2</v>
      </c>
      <c r="J768" s="304">
        <v>0</v>
      </c>
      <c r="K768" s="305">
        <v>0</v>
      </c>
      <c r="L768" s="305">
        <v>0</v>
      </c>
      <c r="M768" s="122">
        <v>0</v>
      </c>
      <c r="N768" s="305">
        <v>0</v>
      </c>
      <c r="O768" s="304">
        <v>0</v>
      </c>
      <c r="P768" s="122">
        <v>0</v>
      </c>
      <c r="Q768" s="253">
        <v>0</v>
      </c>
      <c r="R768" s="122">
        <v>0</v>
      </c>
      <c r="S768" s="305">
        <v>0</v>
      </c>
      <c r="T768" s="120">
        <v>0</v>
      </c>
      <c r="U768" s="313">
        <v>0</v>
      </c>
      <c r="V768" s="120">
        <v>0</v>
      </c>
      <c r="W768" s="296">
        <v>0</v>
      </c>
      <c r="X768" s="296">
        <v>0</v>
      </c>
      <c r="Y768" s="511">
        <v>3.6041539401343921E-2</v>
      </c>
    </row>
    <row r="769" spans="1:25" ht="15.75" x14ac:dyDescent="0.25">
      <c r="A769" s="142"/>
      <c r="B769" s="143" t="s">
        <v>296</v>
      </c>
      <c r="C769" s="300">
        <v>544</v>
      </c>
      <c r="D769" s="300">
        <v>205</v>
      </c>
      <c r="E769" s="300"/>
      <c r="F769" s="300"/>
      <c r="G769" s="300"/>
      <c r="H769" s="134"/>
      <c r="I769" s="300">
        <v>749</v>
      </c>
      <c r="J769" s="299"/>
      <c r="K769" s="300"/>
      <c r="L769" s="300"/>
      <c r="M769" s="134"/>
      <c r="N769" s="300"/>
      <c r="O769" s="299"/>
      <c r="P769" s="134"/>
      <c r="Q769" s="301"/>
      <c r="R769" s="134"/>
      <c r="S769" s="300"/>
      <c r="T769" s="132"/>
      <c r="U769" s="311"/>
      <c r="V769" s="132"/>
      <c r="W769" s="296"/>
      <c r="X769" s="296"/>
      <c r="Y769" s="511">
        <v>749</v>
      </c>
    </row>
    <row r="770" spans="1:25" s="306" customFormat="1" ht="15.75" x14ac:dyDescent="0.25">
      <c r="A770" s="142"/>
      <c r="B770" s="144" t="s">
        <v>297</v>
      </c>
      <c r="C770" s="303">
        <v>577</v>
      </c>
      <c r="D770" s="303">
        <v>205</v>
      </c>
      <c r="E770" s="303"/>
      <c r="F770" s="303"/>
      <c r="G770" s="303"/>
      <c r="H770" s="119"/>
      <c r="I770" s="303">
        <v>782</v>
      </c>
      <c r="J770" s="302"/>
      <c r="K770" s="303"/>
      <c r="L770" s="303"/>
      <c r="M770" s="119"/>
      <c r="N770" s="303"/>
      <c r="O770" s="302"/>
      <c r="P770" s="119"/>
      <c r="Q770" s="173"/>
      <c r="R770" s="119"/>
      <c r="S770" s="303"/>
      <c r="T770" s="117"/>
      <c r="U770" s="312"/>
      <c r="V770" s="117"/>
      <c r="W770" s="296"/>
      <c r="X770" s="296"/>
      <c r="Y770" s="306">
        <v>782</v>
      </c>
    </row>
    <row r="771" spans="1:25" ht="15.75" x14ac:dyDescent="0.25">
      <c r="A771" s="142"/>
      <c r="B771" s="145" t="s">
        <v>298</v>
      </c>
      <c r="C771" s="305">
        <v>6.0661764705882353E-2</v>
      </c>
      <c r="D771" s="305">
        <v>0</v>
      </c>
      <c r="E771" s="305">
        <v>0</v>
      </c>
      <c r="F771" s="305">
        <v>0</v>
      </c>
      <c r="G771" s="305">
        <v>0</v>
      </c>
      <c r="H771" s="122">
        <v>0</v>
      </c>
      <c r="I771" s="305">
        <v>4.4058744993324434E-2</v>
      </c>
      <c r="J771" s="304">
        <v>0</v>
      </c>
      <c r="K771" s="305">
        <v>0</v>
      </c>
      <c r="L771" s="305">
        <v>0</v>
      </c>
      <c r="M771" s="122">
        <v>0</v>
      </c>
      <c r="N771" s="305">
        <v>0</v>
      </c>
      <c r="O771" s="304">
        <v>0</v>
      </c>
      <c r="P771" s="122">
        <v>0</v>
      </c>
      <c r="Q771" s="253">
        <v>0</v>
      </c>
      <c r="R771" s="122">
        <v>0</v>
      </c>
      <c r="S771" s="305">
        <v>0</v>
      </c>
      <c r="T771" s="120">
        <v>0</v>
      </c>
      <c r="U771" s="313">
        <v>0</v>
      </c>
      <c r="V771" s="120">
        <v>0</v>
      </c>
      <c r="W771" s="296">
        <v>0</v>
      </c>
      <c r="X771" s="296">
        <v>0</v>
      </c>
      <c r="Y771" s="511">
        <v>4.4058744993324434E-2</v>
      </c>
    </row>
    <row r="772" spans="1:25" ht="15.75" x14ac:dyDescent="0.25">
      <c r="A772" s="142"/>
      <c r="B772" s="143" t="s">
        <v>299</v>
      </c>
      <c r="C772" s="300">
        <v>136</v>
      </c>
      <c r="D772" s="300">
        <v>176</v>
      </c>
      <c r="E772" s="300"/>
      <c r="F772" s="300"/>
      <c r="G772" s="300"/>
      <c r="H772" s="134"/>
      <c r="I772" s="300">
        <v>312</v>
      </c>
      <c r="J772" s="299"/>
      <c r="K772" s="300"/>
      <c r="L772" s="300"/>
      <c r="M772" s="134"/>
      <c r="N772" s="300"/>
      <c r="O772" s="299"/>
      <c r="P772" s="134"/>
      <c r="Q772" s="301"/>
      <c r="R772" s="134"/>
      <c r="S772" s="300"/>
      <c r="T772" s="132"/>
      <c r="U772" s="311"/>
      <c r="V772" s="132"/>
      <c r="W772" s="296"/>
      <c r="X772" s="296"/>
      <c r="Y772" s="511">
        <v>312</v>
      </c>
    </row>
    <row r="773" spans="1:25" s="306" customFormat="1" ht="15.75" x14ac:dyDescent="0.25">
      <c r="A773" s="142"/>
      <c r="B773" s="144" t="s">
        <v>300</v>
      </c>
      <c r="C773" s="303">
        <v>150</v>
      </c>
      <c r="D773" s="303">
        <v>187</v>
      </c>
      <c r="E773" s="303"/>
      <c r="F773" s="303"/>
      <c r="G773" s="303"/>
      <c r="H773" s="119"/>
      <c r="I773" s="303">
        <v>337</v>
      </c>
      <c r="J773" s="302"/>
      <c r="K773" s="303"/>
      <c r="L773" s="303"/>
      <c r="M773" s="119"/>
      <c r="N773" s="303"/>
      <c r="O773" s="302"/>
      <c r="P773" s="119"/>
      <c r="Q773" s="173"/>
      <c r="R773" s="119"/>
      <c r="S773" s="303"/>
      <c r="T773" s="117"/>
      <c r="U773" s="312"/>
      <c r="V773" s="117"/>
      <c r="W773" s="296"/>
      <c r="X773" s="296"/>
      <c r="Y773" s="306">
        <v>337</v>
      </c>
    </row>
    <row r="774" spans="1:25" ht="15.75" x14ac:dyDescent="0.25">
      <c r="A774" s="142"/>
      <c r="B774" s="145" t="s">
        <v>301</v>
      </c>
      <c r="C774" s="305">
        <v>0.10294117647058823</v>
      </c>
      <c r="D774" s="305">
        <v>6.25E-2</v>
      </c>
      <c r="E774" s="305">
        <v>0</v>
      </c>
      <c r="F774" s="305">
        <v>0</v>
      </c>
      <c r="G774" s="305">
        <v>0</v>
      </c>
      <c r="H774" s="122">
        <v>0</v>
      </c>
      <c r="I774" s="305">
        <v>8.0128205128205135E-2</v>
      </c>
      <c r="J774" s="304">
        <v>0</v>
      </c>
      <c r="K774" s="305">
        <v>0</v>
      </c>
      <c r="L774" s="305">
        <v>0</v>
      </c>
      <c r="M774" s="122">
        <v>0</v>
      </c>
      <c r="N774" s="305">
        <v>0</v>
      </c>
      <c r="O774" s="304">
        <v>0</v>
      </c>
      <c r="P774" s="122">
        <v>0</v>
      </c>
      <c r="Q774" s="253">
        <v>0</v>
      </c>
      <c r="R774" s="122">
        <v>0</v>
      </c>
      <c r="S774" s="305">
        <v>0</v>
      </c>
      <c r="T774" s="120">
        <v>0</v>
      </c>
      <c r="U774" s="313">
        <v>0</v>
      </c>
      <c r="V774" s="120">
        <v>0</v>
      </c>
      <c r="W774" s="296">
        <v>0</v>
      </c>
      <c r="X774" s="296">
        <v>0</v>
      </c>
      <c r="Y774" s="511">
        <v>8.0128205128205135E-2</v>
      </c>
    </row>
    <row r="775" spans="1:25" ht="15.75" x14ac:dyDescent="0.25">
      <c r="A775" s="142"/>
      <c r="B775" s="143" t="s">
        <v>302</v>
      </c>
      <c r="C775" s="300"/>
      <c r="D775" s="300">
        <v>89</v>
      </c>
      <c r="E775" s="300"/>
      <c r="F775" s="300"/>
      <c r="G775" s="300"/>
      <c r="H775" s="134"/>
      <c r="I775" s="300">
        <v>89</v>
      </c>
      <c r="J775" s="299"/>
      <c r="K775" s="300"/>
      <c r="L775" s="300"/>
      <c r="M775" s="134"/>
      <c r="N775" s="300"/>
      <c r="O775" s="299"/>
      <c r="P775" s="134"/>
      <c r="Q775" s="301"/>
      <c r="R775" s="134"/>
      <c r="S775" s="300"/>
      <c r="T775" s="132"/>
      <c r="U775" s="311"/>
      <c r="V775" s="132"/>
      <c r="W775" s="296"/>
      <c r="X775" s="296"/>
      <c r="Y775" s="511">
        <v>89</v>
      </c>
    </row>
    <row r="776" spans="1:25" s="306" customFormat="1" ht="15.75" x14ac:dyDescent="0.25">
      <c r="A776" s="142"/>
      <c r="B776" s="144" t="s">
        <v>303</v>
      </c>
      <c r="C776" s="303">
        <v>0</v>
      </c>
      <c r="D776" s="303">
        <v>104</v>
      </c>
      <c r="E776" s="303"/>
      <c r="F776" s="303"/>
      <c r="G776" s="303"/>
      <c r="H776" s="119"/>
      <c r="I776" s="303">
        <v>104</v>
      </c>
      <c r="J776" s="302"/>
      <c r="K776" s="303"/>
      <c r="L776" s="303"/>
      <c r="M776" s="119"/>
      <c r="N776" s="303"/>
      <c r="O776" s="302"/>
      <c r="P776" s="119"/>
      <c r="Q776" s="173"/>
      <c r="R776" s="119"/>
      <c r="S776" s="303"/>
      <c r="T776" s="117"/>
      <c r="U776" s="312"/>
      <c r="V776" s="117"/>
      <c r="W776" s="296"/>
      <c r="X776" s="296"/>
      <c r="Y776" s="306">
        <v>104</v>
      </c>
    </row>
    <row r="777" spans="1:25" ht="15.75" x14ac:dyDescent="0.25">
      <c r="A777" s="142"/>
      <c r="B777" s="145" t="s">
        <v>304</v>
      </c>
      <c r="C777" s="305">
        <v>0</v>
      </c>
      <c r="D777" s="305">
        <v>0.16853932584269662</v>
      </c>
      <c r="E777" s="305">
        <v>0</v>
      </c>
      <c r="F777" s="305">
        <v>0</v>
      </c>
      <c r="G777" s="305">
        <v>0</v>
      </c>
      <c r="H777" s="122">
        <v>0</v>
      </c>
      <c r="I777" s="305">
        <v>0.16853932584269662</v>
      </c>
      <c r="J777" s="304">
        <v>0</v>
      </c>
      <c r="K777" s="305">
        <v>0</v>
      </c>
      <c r="L777" s="305">
        <v>0</v>
      </c>
      <c r="M777" s="122">
        <v>0</v>
      </c>
      <c r="N777" s="305">
        <v>0</v>
      </c>
      <c r="O777" s="304">
        <v>0</v>
      </c>
      <c r="P777" s="122">
        <v>0</v>
      </c>
      <c r="Q777" s="253">
        <v>0</v>
      </c>
      <c r="R777" s="122">
        <v>0</v>
      </c>
      <c r="S777" s="305">
        <v>0</v>
      </c>
      <c r="T777" s="120">
        <v>0</v>
      </c>
      <c r="U777" s="313">
        <v>0</v>
      </c>
      <c r="V777" s="120">
        <v>0</v>
      </c>
      <c r="W777" s="296">
        <v>0</v>
      </c>
      <c r="X777" s="296">
        <v>0</v>
      </c>
      <c r="Y777" s="511">
        <v>0.16853932584269662</v>
      </c>
    </row>
    <row r="778" spans="1:25" ht="15.75" x14ac:dyDescent="0.25">
      <c r="A778" s="142"/>
      <c r="B778" s="143" t="s">
        <v>305</v>
      </c>
      <c r="C778" s="300"/>
      <c r="D778" s="300">
        <v>136</v>
      </c>
      <c r="E778" s="300"/>
      <c r="F778" s="300"/>
      <c r="G778" s="300"/>
      <c r="H778" s="134"/>
      <c r="I778" s="300">
        <v>136</v>
      </c>
      <c r="J778" s="299"/>
      <c r="K778" s="300"/>
      <c r="L778" s="300"/>
      <c r="M778" s="134"/>
      <c r="N778" s="300"/>
      <c r="O778" s="299"/>
      <c r="P778" s="134"/>
      <c r="Q778" s="301"/>
      <c r="R778" s="134"/>
      <c r="S778" s="300"/>
      <c r="T778" s="132"/>
      <c r="U778" s="311"/>
      <c r="V778" s="132"/>
      <c r="W778" s="296"/>
      <c r="X778" s="296"/>
      <c r="Y778" s="511">
        <v>136</v>
      </c>
    </row>
    <row r="779" spans="1:25" s="306" customFormat="1" ht="15.75" x14ac:dyDescent="0.25">
      <c r="A779" s="142"/>
      <c r="B779" s="144" t="s">
        <v>306</v>
      </c>
      <c r="C779" s="303">
        <v>0</v>
      </c>
      <c r="D779" s="303">
        <v>124</v>
      </c>
      <c r="E779" s="303"/>
      <c r="F779" s="303"/>
      <c r="G779" s="303"/>
      <c r="H779" s="119"/>
      <c r="I779" s="303">
        <v>124</v>
      </c>
      <c r="J779" s="302"/>
      <c r="K779" s="303"/>
      <c r="L779" s="303"/>
      <c r="M779" s="119"/>
      <c r="N779" s="303"/>
      <c r="O779" s="302"/>
      <c r="P779" s="119"/>
      <c r="Q779" s="173"/>
      <c r="R779" s="119"/>
      <c r="S779" s="303"/>
      <c r="T779" s="117"/>
      <c r="U779" s="312"/>
      <c r="V779" s="117"/>
      <c r="W779" s="296"/>
      <c r="X779" s="296"/>
      <c r="Y779" s="306">
        <v>124</v>
      </c>
    </row>
    <row r="780" spans="1:25" ht="15.75" x14ac:dyDescent="0.25">
      <c r="A780" s="142"/>
      <c r="B780" s="145" t="s">
        <v>307</v>
      </c>
      <c r="C780" s="305">
        <v>0</v>
      </c>
      <c r="D780" s="305">
        <v>-8.8235294117647065E-2</v>
      </c>
      <c r="E780" s="305">
        <v>0</v>
      </c>
      <c r="F780" s="305">
        <v>0</v>
      </c>
      <c r="G780" s="305">
        <v>0</v>
      </c>
      <c r="H780" s="122">
        <v>0</v>
      </c>
      <c r="I780" s="305">
        <v>-8.8235294117647065E-2</v>
      </c>
      <c r="J780" s="304">
        <v>0</v>
      </c>
      <c r="K780" s="305">
        <v>0</v>
      </c>
      <c r="L780" s="305">
        <v>0</v>
      </c>
      <c r="M780" s="122">
        <v>0</v>
      </c>
      <c r="N780" s="305">
        <v>0</v>
      </c>
      <c r="O780" s="304">
        <v>0</v>
      </c>
      <c r="P780" s="122">
        <v>0</v>
      </c>
      <c r="Q780" s="253">
        <v>0</v>
      </c>
      <c r="R780" s="122">
        <v>0</v>
      </c>
      <c r="S780" s="305">
        <v>0</v>
      </c>
      <c r="T780" s="120">
        <v>0</v>
      </c>
      <c r="U780" s="313">
        <v>0</v>
      </c>
      <c r="V780" s="120">
        <v>0</v>
      </c>
      <c r="W780" s="296">
        <v>0</v>
      </c>
      <c r="X780" s="296">
        <v>0</v>
      </c>
      <c r="Y780" s="511">
        <v>-8.8235294117647065E-2</v>
      </c>
    </row>
    <row r="781" spans="1:25" ht="15.75" x14ac:dyDescent="0.25">
      <c r="A781" s="142"/>
      <c r="B781" s="143" t="s">
        <v>308</v>
      </c>
      <c r="C781" s="300"/>
      <c r="D781" s="300"/>
      <c r="E781" s="300"/>
      <c r="F781" s="300"/>
      <c r="G781" s="300"/>
      <c r="H781" s="134"/>
      <c r="I781" s="300"/>
      <c r="J781" s="299"/>
      <c r="K781" s="300"/>
      <c r="L781" s="300"/>
      <c r="M781" s="134"/>
      <c r="N781" s="300"/>
      <c r="O781" s="299"/>
      <c r="P781" s="134"/>
      <c r="Q781" s="301"/>
      <c r="R781" s="134"/>
      <c r="S781" s="300"/>
      <c r="T781" s="132"/>
      <c r="U781" s="311"/>
      <c r="V781" s="132"/>
      <c r="W781" s="296"/>
      <c r="X781" s="296"/>
    </row>
    <row r="782" spans="1:25" s="306" customFormat="1" ht="15.75" x14ac:dyDescent="0.25">
      <c r="A782" s="142"/>
      <c r="B782" s="144" t="s">
        <v>309</v>
      </c>
      <c r="C782" s="303"/>
      <c r="D782" s="303"/>
      <c r="E782" s="303"/>
      <c r="F782" s="303"/>
      <c r="G782" s="303"/>
      <c r="H782" s="119"/>
      <c r="I782" s="303"/>
      <c r="J782" s="302"/>
      <c r="K782" s="303"/>
      <c r="L782" s="303"/>
      <c r="M782" s="119"/>
      <c r="N782" s="303"/>
      <c r="O782" s="302"/>
      <c r="P782" s="119"/>
      <c r="Q782" s="173"/>
      <c r="R782" s="119"/>
      <c r="S782" s="303"/>
      <c r="T782" s="117"/>
      <c r="U782" s="312"/>
      <c r="V782" s="117"/>
      <c r="W782" s="296"/>
      <c r="X782" s="296"/>
    </row>
    <row r="783" spans="1:25" ht="15.75" x14ac:dyDescent="0.25">
      <c r="A783" s="142"/>
      <c r="B783" s="145" t="s">
        <v>310</v>
      </c>
      <c r="C783" s="305">
        <v>0</v>
      </c>
      <c r="D783" s="305">
        <v>0</v>
      </c>
      <c r="E783" s="305">
        <v>0</v>
      </c>
      <c r="F783" s="305">
        <v>0</v>
      </c>
      <c r="G783" s="305">
        <v>0</v>
      </c>
      <c r="H783" s="122">
        <v>0</v>
      </c>
      <c r="I783" s="305">
        <v>0</v>
      </c>
      <c r="J783" s="304">
        <v>0</v>
      </c>
      <c r="K783" s="305">
        <v>0</v>
      </c>
      <c r="L783" s="305">
        <v>0</v>
      </c>
      <c r="M783" s="122">
        <v>0</v>
      </c>
      <c r="N783" s="305">
        <v>0</v>
      </c>
      <c r="O783" s="304">
        <v>0</v>
      </c>
      <c r="P783" s="122">
        <v>0</v>
      </c>
      <c r="Q783" s="253">
        <v>0</v>
      </c>
      <c r="R783" s="122">
        <v>0</v>
      </c>
      <c r="S783" s="305">
        <v>0</v>
      </c>
      <c r="T783" s="120">
        <v>0</v>
      </c>
      <c r="U783" s="313">
        <v>0</v>
      </c>
      <c r="V783" s="120">
        <v>0</v>
      </c>
      <c r="W783" s="296">
        <v>0</v>
      </c>
      <c r="X783" s="296">
        <v>0</v>
      </c>
      <c r="Y783" s="511">
        <v>0</v>
      </c>
    </row>
    <row r="784" spans="1:25" ht="15.75" x14ac:dyDescent="0.25">
      <c r="A784" s="142"/>
      <c r="B784" s="143" t="s">
        <v>311</v>
      </c>
      <c r="C784" s="300"/>
      <c r="D784" s="300"/>
      <c r="E784" s="300"/>
      <c r="F784" s="300"/>
      <c r="G784" s="300"/>
      <c r="H784" s="134"/>
      <c r="I784" s="300"/>
      <c r="J784" s="299"/>
      <c r="K784" s="300"/>
      <c r="L784" s="300"/>
      <c r="M784" s="134"/>
      <c r="N784" s="300"/>
      <c r="O784" s="299"/>
      <c r="P784" s="134"/>
      <c r="Q784" s="301"/>
      <c r="R784" s="134"/>
      <c r="S784" s="300"/>
      <c r="T784" s="132"/>
      <c r="U784" s="311"/>
      <c r="V784" s="132"/>
      <c r="W784" s="296"/>
      <c r="X784" s="296"/>
    </row>
    <row r="785" spans="1:25" s="306" customFormat="1" ht="15.75" x14ac:dyDescent="0.25">
      <c r="A785" s="142"/>
      <c r="B785" s="144" t="s">
        <v>312</v>
      </c>
      <c r="C785" s="303"/>
      <c r="D785" s="303"/>
      <c r="E785" s="303"/>
      <c r="F785" s="303"/>
      <c r="G785" s="303"/>
      <c r="H785" s="119"/>
      <c r="I785" s="303"/>
      <c r="J785" s="302"/>
      <c r="K785" s="303"/>
      <c r="L785" s="303"/>
      <c r="M785" s="119"/>
      <c r="N785" s="303"/>
      <c r="O785" s="302"/>
      <c r="P785" s="119"/>
      <c r="Q785" s="173"/>
      <c r="R785" s="119"/>
      <c r="S785" s="303"/>
      <c r="T785" s="117"/>
      <c r="U785" s="312"/>
      <c r="V785" s="117"/>
      <c r="W785" s="296"/>
      <c r="X785" s="296"/>
    </row>
    <row r="786" spans="1:25" ht="15.75" x14ac:dyDescent="0.25">
      <c r="A786" s="142"/>
      <c r="B786" s="145" t="s">
        <v>313</v>
      </c>
      <c r="C786" s="305">
        <v>0</v>
      </c>
      <c r="D786" s="305">
        <v>0</v>
      </c>
      <c r="E786" s="305">
        <v>0</v>
      </c>
      <c r="F786" s="305">
        <v>0</v>
      </c>
      <c r="G786" s="305">
        <v>0</v>
      </c>
      <c r="H786" s="122">
        <v>0</v>
      </c>
      <c r="I786" s="305">
        <v>0</v>
      </c>
      <c r="J786" s="304">
        <v>0</v>
      </c>
      <c r="K786" s="305">
        <v>0</v>
      </c>
      <c r="L786" s="305">
        <v>0</v>
      </c>
      <c r="M786" s="122">
        <v>0</v>
      </c>
      <c r="N786" s="305">
        <v>0</v>
      </c>
      <c r="O786" s="304">
        <v>0</v>
      </c>
      <c r="P786" s="122">
        <v>0</v>
      </c>
      <c r="Q786" s="253">
        <v>0</v>
      </c>
      <c r="R786" s="122">
        <v>0</v>
      </c>
      <c r="S786" s="305">
        <v>0</v>
      </c>
      <c r="T786" s="120">
        <v>0</v>
      </c>
      <c r="U786" s="313">
        <v>0</v>
      </c>
      <c r="V786" s="120">
        <v>0</v>
      </c>
      <c r="W786" s="296">
        <v>0</v>
      </c>
      <c r="X786" s="296">
        <v>0</v>
      </c>
      <c r="Y786" s="511">
        <v>0</v>
      </c>
    </row>
    <row r="787" spans="1:25" ht="15.75" x14ac:dyDescent="0.25">
      <c r="A787" s="142"/>
      <c r="B787" s="143" t="s">
        <v>314</v>
      </c>
      <c r="C787" s="300"/>
      <c r="D787" s="300"/>
      <c r="E787" s="300"/>
      <c r="F787" s="300"/>
      <c r="G787" s="300"/>
      <c r="H787" s="134"/>
      <c r="I787" s="300"/>
      <c r="J787" s="299"/>
      <c r="K787" s="300"/>
      <c r="L787" s="300"/>
      <c r="M787" s="134"/>
      <c r="N787" s="300"/>
      <c r="O787" s="299"/>
      <c r="P787" s="134"/>
      <c r="Q787" s="301"/>
      <c r="R787" s="134"/>
      <c r="S787" s="300"/>
      <c r="T787" s="132"/>
      <c r="U787" s="311"/>
      <c r="V787" s="132"/>
      <c r="W787" s="296"/>
      <c r="X787" s="296"/>
    </row>
    <row r="788" spans="1:25" s="306" customFormat="1" ht="15.75" x14ac:dyDescent="0.25">
      <c r="A788" s="142"/>
      <c r="B788" s="144" t="s">
        <v>315</v>
      </c>
      <c r="C788" s="303"/>
      <c r="D788" s="303"/>
      <c r="E788" s="303"/>
      <c r="F788" s="303"/>
      <c r="G788" s="303"/>
      <c r="H788" s="119"/>
      <c r="I788" s="303"/>
      <c r="J788" s="302"/>
      <c r="K788" s="303"/>
      <c r="L788" s="303"/>
      <c r="M788" s="119"/>
      <c r="N788" s="303"/>
      <c r="O788" s="302"/>
      <c r="P788" s="119"/>
      <c r="Q788" s="173"/>
      <c r="R788" s="119"/>
      <c r="S788" s="303"/>
      <c r="T788" s="117"/>
      <c r="U788" s="312"/>
      <c r="V788" s="117"/>
      <c r="W788" s="296"/>
      <c r="X788" s="296"/>
    </row>
    <row r="789" spans="1:25" ht="15.75" x14ac:dyDescent="0.25">
      <c r="A789" s="142"/>
      <c r="B789" s="145" t="s">
        <v>316</v>
      </c>
      <c r="C789" s="305">
        <v>0</v>
      </c>
      <c r="D789" s="305">
        <v>0</v>
      </c>
      <c r="E789" s="305">
        <v>0</v>
      </c>
      <c r="F789" s="305">
        <v>0</v>
      </c>
      <c r="G789" s="305">
        <v>0</v>
      </c>
      <c r="H789" s="122">
        <v>0</v>
      </c>
      <c r="I789" s="305">
        <v>0</v>
      </c>
      <c r="J789" s="304">
        <v>0</v>
      </c>
      <c r="K789" s="305">
        <v>0</v>
      </c>
      <c r="L789" s="305">
        <v>0</v>
      </c>
      <c r="M789" s="122">
        <v>0</v>
      </c>
      <c r="N789" s="305">
        <v>0</v>
      </c>
      <c r="O789" s="304">
        <v>0</v>
      </c>
      <c r="P789" s="122">
        <v>0</v>
      </c>
      <c r="Q789" s="253">
        <v>0</v>
      </c>
      <c r="R789" s="122">
        <v>0</v>
      </c>
      <c r="S789" s="305">
        <v>0</v>
      </c>
      <c r="T789" s="120">
        <v>0</v>
      </c>
      <c r="U789" s="313">
        <v>0</v>
      </c>
      <c r="V789" s="120">
        <v>0</v>
      </c>
      <c r="W789" s="296">
        <v>0</v>
      </c>
      <c r="X789" s="296">
        <v>0</v>
      </c>
      <c r="Y789" s="511">
        <v>0</v>
      </c>
    </row>
    <row r="790" spans="1:25" ht="15.75" x14ac:dyDescent="0.25">
      <c r="A790" s="142"/>
      <c r="B790" s="143" t="s">
        <v>317</v>
      </c>
      <c r="C790" s="300">
        <v>85</v>
      </c>
      <c r="D790" s="300"/>
      <c r="E790" s="300"/>
      <c r="F790" s="300"/>
      <c r="G790" s="300"/>
      <c r="H790" s="134"/>
      <c r="I790" s="300">
        <v>85</v>
      </c>
      <c r="J790" s="299"/>
      <c r="K790" s="300"/>
      <c r="L790" s="300"/>
      <c r="M790" s="134"/>
      <c r="N790" s="300"/>
      <c r="O790" s="299"/>
      <c r="P790" s="134"/>
      <c r="Q790" s="301"/>
      <c r="R790" s="134"/>
      <c r="S790" s="300"/>
      <c r="T790" s="132"/>
      <c r="U790" s="311"/>
      <c r="V790" s="132"/>
      <c r="W790" s="296"/>
      <c r="X790" s="296"/>
      <c r="Y790" s="511">
        <v>85</v>
      </c>
    </row>
    <row r="791" spans="1:25" s="306" customFormat="1" ht="15.75" x14ac:dyDescent="0.25">
      <c r="A791" s="142"/>
      <c r="B791" s="144" t="s">
        <v>318</v>
      </c>
      <c r="C791" s="303">
        <v>91</v>
      </c>
      <c r="D791" s="303"/>
      <c r="E791" s="303"/>
      <c r="F791" s="303"/>
      <c r="G791" s="303"/>
      <c r="H791" s="119"/>
      <c r="I791" s="303">
        <v>91</v>
      </c>
      <c r="J791" s="302"/>
      <c r="K791" s="303"/>
      <c r="L791" s="303"/>
      <c r="M791" s="119"/>
      <c r="N791" s="303"/>
      <c r="O791" s="302"/>
      <c r="P791" s="119"/>
      <c r="Q791" s="173"/>
      <c r="R791" s="119"/>
      <c r="S791" s="303"/>
      <c r="T791" s="117"/>
      <c r="U791" s="312"/>
      <c r="V791" s="117"/>
      <c r="W791" s="296"/>
      <c r="X791" s="296"/>
      <c r="Y791" s="306">
        <v>91</v>
      </c>
    </row>
    <row r="792" spans="1:25" ht="15.75" x14ac:dyDescent="0.25">
      <c r="A792" s="142"/>
      <c r="B792" s="145" t="s">
        <v>319</v>
      </c>
      <c r="C792" s="305">
        <v>7.0588235294117646E-2</v>
      </c>
      <c r="D792" s="305">
        <v>0</v>
      </c>
      <c r="E792" s="305">
        <v>0</v>
      </c>
      <c r="F792" s="305">
        <v>0</v>
      </c>
      <c r="G792" s="305">
        <v>0</v>
      </c>
      <c r="H792" s="122">
        <v>0</v>
      </c>
      <c r="I792" s="305">
        <v>7.0588235294117646E-2</v>
      </c>
      <c r="J792" s="304">
        <v>0</v>
      </c>
      <c r="K792" s="305">
        <v>0</v>
      </c>
      <c r="L792" s="305">
        <v>0</v>
      </c>
      <c r="M792" s="122">
        <v>0</v>
      </c>
      <c r="N792" s="305">
        <v>0</v>
      </c>
      <c r="O792" s="304">
        <v>0</v>
      </c>
      <c r="P792" s="122">
        <v>0</v>
      </c>
      <c r="Q792" s="253">
        <v>0</v>
      </c>
      <c r="R792" s="122">
        <v>0</v>
      </c>
      <c r="S792" s="305">
        <v>0</v>
      </c>
      <c r="T792" s="120">
        <v>0</v>
      </c>
      <c r="U792" s="313">
        <v>0</v>
      </c>
      <c r="V792" s="120">
        <v>0</v>
      </c>
      <c r="W792" s="296">
        <v>0</v>
      </c>
      <c r="X792" s="296">
        <v>0</v>
      </c>
      <c r="Y792" s="511">
        <v>7.0588235294117646E-2</v>
      </c>
    </row>
    <row r="793" spans="1:25" ht="15.75" x14ac:dyDescent="0.25">
      <c r="A793" s="142"/>
      <c r="B793" s="143" t="s">
        <v>320</v>
      </c>
      <c r="C793" s="300"/>
      <c r="D793" s="300"/>
      <c r="E793" s="300"/>
      <c r="F793" s="300"/>
      <c r="G793" s="300"/>
      <c r="H793" s="134"/>
      <c r="I793" s="300"/>
      <c r="J793" s="299"/>
      <c r="K793" s="300"/>
      <c r="L793" s="300"/>
      <c r="M793" s="134"/>
      <c r="N793" s="300"/>
      <c r="O793" s="299"/>
      <c r="P793" s="134"/>
      <c r="Q793" s="301"/>
      <c r="R793" s="134"/>
      <c r="S793" s="300"/>
      <c r="T793" s="132"/>
      <c r="U793" s="311"/>
      <c r="V793" s="132"/>
      <c r="W793" s="296"/>
      <c r="X793" s="296"/>
    </row>
    <row r="794" spans="1:25" s="306" customFormat="1" ht="15.75" x14ac:dyDescent="0.25">
      <c r="A794" s="142"/>
      <c r="B794" s="144" t="s">
        <v>321</v>
      </c>
      <c r="C794" s="303"/>
      <c r="D794" s="303"/>
      <c r="E794" s="303"/>
      <c r="F794" s="303"/>
      <c r="G794" s="303"/>
      <c r="H794" s="119"/>
      <c r="I794" s="303"/>
      <c r="J794" s="302"/>
      <c r="K794" s="303"/>
      <c r="L794" s="303"/>
      <c r="M794" s="119"/>
      <c r="N794" s="303"/>
      <c r="O794" s="302"/>
      <c r="P794" s="119"/>
      <c r="Q794" s="173"/>
      <c r="R794" s="119"/>
      <c r="S794" s="303"/>
      <c r="T794" s="117"/>
      <c r="U794" s="312"/>
      <c r="V794" s="117"/>
      <c r="W794" s="296"/>
      <c r="X794" s="296"/>
    </row>
    <row r="795" spans="1:25" ht="15.75" x14ac:dyDescent="0.25">
      <c r="A795" s="142"/>
      <c r="B795" s="145" t="s">
        <v>322</v>
      </c>
      <c r="C795" s="305">
        <v>0</v>
      </c>
      <c r="D795" s="305">
        <v>0</v>
      </c>
      <c r="E795" s="305">
        <v>0</v>
      </c>
      <c r="F795" s="305">
        <v>0</v>
      </c>
      <c r="G795" s="305">
        <v>0</v>
      </c>
      <c r="H795" s="122">
        <v>0</v>
      </c>
      <c r="I795" s="305">
        <v>0</v>
      </c>
      <c r="J795" s="304">
        <v>0</v>
      </c>
      <c r="K795" s="305">
        <v>0</v>
      </c>
      <c r="L795" s="305">
        <v>0</v>
      </c>
      <c r="M795" s="122">
        <v>0</v>
      </c>
      <c r="N795" s="305">
        <v>0</v>
      </c>
      <c r="O795" s="304">
        <v>0</v>
      </c>
      <c r="P795" s="122">
        <v>0</v>
      </c>
      <c r="Q795" s="253">
        <v>0</v>
      </c>
      <c r="R795" s="122">
        <v>0</v>
      </c>
      <c r="S795" s="305">
        <v>0</v>
      </c>
      <c r="T795" s="120">
        <v>0</v>
      </c>
      <c r="U795" s="313">
        <v>0</v>
      </c>
      <c r="V795" s="120">
        <v>0</v>
      </c>
      <c r="W795" s="296">
        <v>0</v>
      </c>
      <c r="X795" s="296">
        <v>0</v>
      </c>
      <c r="Y795" s="511">
        <v>0</v>
      </c>
    </row>
    <row r="796" spans="1:25" ht="15.75" x14ac:dyDescent="0.25">
      <c r="A796" s="142"/>
      <c r="B796" s="143" t="s">
        <v>404</v>
      </c>
      <c r="C796" s="300"/>
      <c r="D796" s="300"/>
      <c r="E796" s="300"/>
      <c r="F796" s="300"/>
      <c r="G796" s="300"/>
      <c r="H796" s="134"/>
      <c r="I796" s="300"/>
      <c r="J796" s="299"/>
      <c r="K796" s="300"/>
      <c r="L796" s="300"/>
      <c r="M796" s="134"/>
      <c r="N796" s="300"/>
      <c r="O796" s="299"/>
      <c r="P796" s="134"/>
      <c r="Q796" s="301"/>
      <c r="R796" s="134"/>
      <c r="S796" s="300"/>
      <c r="T796" s="132"/>
      <c r="U796" s="311"/>
      <c r="V796" s="132"/>
      <c r="W796" s="296"/>
      <c r="X796" s="296"/>
    </row>
    <row r="797" spans="1:25" s="306" customFormat="1" ht="15.75" x14ac:dyDescent="0.25">
      <c r="A797" s="142"/>
      <c r="B797" s="144" t="s">
        <v>406</v>
      </c>
      <c r="C797" s="303"/>
      <c r="D797" s="303"/>
      <c r="E797" s="303"/>
      <c r="F797" s="303"/>
      <c r="G797" s="303"/>
      <c r="H797" s="119"/>
      <c r="I797" s="303"/>
      <c r="J797" s="302"/>
      <c r="K797" s="303"/>
      <c r="L797" s="303"/>
      <c r="M797" s="119"/>
      <c r="N797" s="303"/>
      <c r="O797" s="302"/>
      <c r="P797" s="119"/>
      <c r="Q797" s="173"/>
      <c r="R797" s="119"/>
      <c r="S797" s="303"/>
      <c r="T797" s="117"/>
      <c r="U797" s="312"/>
      <c r="V797" s="117"/>
      <c r="W797" s="296"/>
      <c r="X797" s="296"/>
    </row>
    <row r="798" spans="1:25" ht="15.75" x14ac:dyDescent="0.25">
      <c r="A798" s="142"/>
      <c r="B798" s="145" t="s">
        <v>474</v>
      </c>
      <c r="C798" s="305">
        <v>0</v>
      </c>
      <c r="D798" s="305">
        <v>0</v>
      </c>
      <c r="E798" s="305">
        <v>0</v>
      </c>
      <c r="F798" s="305">
        <v>0</v>
      </c>
      <c r="G798" s="305">
        <v>0</v>
      </c>
      <c r="H798" s="122">
        <v>0</v>
      </c>
      <c r="I798" s="305">
        <v>0</v>
      </c>
      <c r="J798" s="304">
        <v>0</v>
      </c>
      <c r="K798" s="305">
        <v>0</v>
      </c>
      <c r="L798" s="305">
        <v>0</v>
      </c>
      <c r="M798" s="122">
        <v>0</v>
      </c>
      <c r="N798" s="305">
        <v>0</v>
      </c>
      <c r="O798" s="304">
        <v>0</v>
      </c>
      <c r="P798" s="122">
        <v>0</v>
      </c>
      <c r="Q798" s="253">
        <v>0</v>
      </c>
      <c r="R798" s="122">
        <v>0</v>
      </c>
      <c r="S798" s="305">
        <v>0</v>
      </c>
      <c r="T798" s="120">
        <v>0</v>
      </c>
      <c r="U798" s="313">
        <v>0</v>
      </c>
      <c r="V798" s="120">
        <v>0</v>
      </c>
      <c r="W798" s="296">
        <v>0</v>
      </c>
      <c r="X798" s="296">
        <v>0</v>
      </c>
      <c r="Y798" s="511">
        <v>0</v>
      </c>
    </row>
    <row r="799" spans="1:25" ht="15.75" x14ac:dyDescent="0.25">
      <c r="A799" s="142"/>
      <c r="B799" s="143" t="s">
        <v>476</v>
      </c>
      <c r="C799" s="300"/>
      <c r="D799" s="300"/>
      <c r="E799" s="300"/>
      <c r="F799" s="300"/>
      <c r="G799" s="300"/>
      <c r="H799" s="134"/>
      <c r="I799" s="300"/>
      <c r="J799" s="299"/>
      <c r="K799" s="300"/>
      <c r="L799" s="300"/>
      <c r="M799" s="134"/>
      <c r="N799" s="300"/>
      <c r="O799" s="299"/>
      <c r="P799" s="134"/>
      <c r="Q799" s="301"/>
      <c r="R799" s="134"/>
      <c r="S799" s="300"/>
      <c r="T799" s="132"/>
      <c r="U799" s="311"/>
      <c r="V799" s="132"/>
      <c r="W799" s="296"/>
      <c r="X799" s="296"/>
    </row>
    <row r="800" spans="1:25" s="306" customFormat="1" ht="15.75" x14ac:dyDescent="0.25">
      <c r="A800" s="294"/>
      <c r="B800" s="144" t="s">
        <v>472</v>
      </c>
      <c r="C800" s="303"/>
      <c r="D800" s="303"/>
      <c r="E800" s="303"/>
      <c r="F800" s="303"/>
      <c r="G800" s="303"/>
      <c r="H800" s="119"/>
      <c r="I800" s="303"/>
      <c r="J800" s="302"/>
      <c r="K800" s="303"/>
      <c r="L800" s="303"/>
      <c r="M800" s="119"/>
      <c r="N800" s="303"/>
      <c r="O800" s="302"/>
      <c r="P800" s="119"/>
      <c r="Q800" s="173"/>
      <c r="R800" s="119"/>
      <c r="S800" s="303"/>
      <c r="T800" s="117"/>
      <c r="U800" s="312"/>
      <c r="V800" s="117"/>
      <c r="W800" s="296"/>
      <c r="X800" s="296"/>
    </row>
    <row r="801" spans="1:25" ht="15.75" x14ac:dyDescent="0.25">
      <c r="A801" s="141" t="s">
        <v>743</v>
      </c>
      <c r="B801" s="143" t="s">
        <v>275</v>
      </c>
      <c r="C801" s="300"/>
      <c r="D801" s="300"/>
      <c r="E801" s="300"/>
      <c r="F801" s="300"/>
      <c r="G801" s="300"/>
      <c r="H801" s="134"/>
      <c r="I801" s="300"/>
      <c r="J801" s="299">
        <v>100</v>
      </c>
      <c r="K801" s="300"/>
      <c r="L801" s="300">
        <v>200</v>
      </c>
      <c r="M801" s="134">
        <v>293</v>
      </c>
      <c r="N801" s="300">
        <v>593</v>
      </c>
      <c r="O801" s="299"/>
      <c r="P801" s="134"/>
      <c r="Q801" s="301">
        <v>1415</v>
      </c>
      <c r="R801" s="134">
        <v>1415</v>
      </c>
      <c r="S801" s="300">
        <v>43</v>
      </c>
      <c r="T801" s="132">
        <v>43</v>
      </c>
      <c r="U801" s="311"/>
      <c r="V801" s="132"/>
      <c r="W801" s="296">
        <v>18</v>
      </c>
      <c r="X801" s="296">
        <v>18</v>
      </c>
      <c r="Y801" s="511">
        <v>2069</v>
      </c>
    </row>
    <row r="802" spans="1:25" ht="16.5" thickBot="1" x14ac:dyDescent="0.3">
      <c r="A802" s="142"/>
      <c r="B802" s="144" t="s">
        <v>276</v>
      </c>
      <c r="C802" s="303"/>
      <c r="D802" s="303"/>
      <c r="E802" s="303"/>
      <c r="F802" s="303"/>
      <c r="G802" s="303"/>
      <c r="H802" s="119"/>
      <c r="I802" s="303"/>
      <c r="J802" s="302">
        <v>123</v>
      </c>
      <c r="K802" s="303"/>
      <c r="L802" s="303">
        <v>249</v>
      </c>
      <c r="M802" s="119">
        <v>392</v>
      </c>
      <c r="N802" s="303">
        <v>764</v>
      </c>
      <c r="O802" s="302"/>
      <c r="P802" s="119"/>
      <c r="Q802" s="173">
        <v>1315</v>
      </c>
      <c r="R802" s="119">
        <v>1315</v>
      </c>
      <c r="S802" s="303">
        <v>45</v>
      </c>
      <c r="T802" s="117">
        <v>45</v>
      </c>
      <c r="U802" s="312"/>
      <c r="V802" s="117"/>
      <c r="W802" s="296">
        <v>18</v>
      </c>
      <c r="X802" s="296">
        <v>18</v>
      </c>
      <c r="Y802" s="511">
        <v>2142</v>
      </c>
    </row>
    <row r="803" spans="1:25" s="306" customFormat="1" ht="16.5" thickBot="1" x14ac:dyDescent="0.3">
      <c r="A803" s="142"/>
      <c r="B803" s="145" t="s">
        <v>277</v>
      </c>
      <c r="C803" s="305">
        <v>0</v>
      </c>
      <c r="D803" s="305">
        <v>0</v>
      </c>
      <c r="E803" s="305">
        <v>0</v>
      </c>
      <c r="F803" s="305">
        <v>0</v>
      </c>
      <c r="G803" s="305">
        <v>0</v>
      </c>
      <c r="H803" s="122">
        <v>0</v>
      </c>
      <c r="I803" s="305">
        <v>0</v>
      </c>
      <c r="J803" s="304">
        <v>0.23</v>
      </c>
      <c r="K803" s="305">
        <v>0</v>
      </c>
      <c r="L803" s="724">
        <v>0.245</v>
      </c>
      <c r="M803" s="724">
        <v>0.33788395904436858</v>
      </c>
      <c r="N803" s="305">
        <v>0.28836424957841483</v>
      </c>
      <c r="O803" s="304">
        <v>0</v>
      </c>
      <c r="P803" s="122">
        <v>0</v>
      </c>
      <c r="Q803" s="253">
        <v>-7.0671378091872794E-2</v>
      </c>
      <c r="R803" s="122">
        <v>-7.0671378091872794E-2</v>
      </c>
      <c r="S803" s="305">
        <v>4.6511627906976744E-2</v>
      </c>
      <c r="T803" s="120">
        <v>4.6511627906976744E-2</v>
      </c>
      <c r="U803" s="313">
        <v>0</v>
      </c>
      <c r="V803" s="120">
        <v>0</v>
      </c>
      <c r="W803" s="296">
        <v>0</v>
      </c>
      <c r="X803" s="296">
        <v>0</v>
      </c>
      <c r="Y803" s="306">
        <v>3.5282745287578542E-2</v>
      </c>
    </row>
    <row r="804" spans="1:25" ht="15.75" x14ac:dyDescent="0.25">
      <c r="A804" s="142"/>
      <c r="B804" s="143" t="s">
        <v>278</v>
      </c>
      <c r="C804" s="300"/>
      <c r="D804" s="300"/>
      <c r="E804" s="300"/>
      <c r="F804" s="300"/>
      <c r="G804" s="300"/>
      <c r="H804" s="134"/>
      <c r="I804" s="300"/>
      <c r="J804" s="299"/>
      <c r="K804" s="300"/>
      <c r="L804" s="300"/>
      <c r="M804" s="134"/>
      <c r="N804" s="300"/>
      <c r="O804" s="299"/>
      <c r="P804" s="134"/>
      <c r="Q804" s="301"/>
      <c r="R804" s="134"/>
      <c r="S804" s="300"/>
      <c r="T804" s="132"/>
      <c r="U804" s="311"/>
      <c r="V804" s="132"/>
      <c r="W804" s="296"/>
      <c r="X804" s="296"/>
    </row>
    <row r="805" spans="1:25" ht="15.75" x14ac:dyDescent="0.25">
      <c r="A805" s="142"/>
      <c r="B805" s="144" t="s">
        <v>279</v>
      </c>
      <c r="C805" s="303"/>
      <c r="D805" s="303"/>
      <c r="E805" s="303"/>
      <c r="F805" s="303"/>
      <c r="G805" s="303"/>
      <c r="H805" s="119"/>
      <c r="I805" s="303"/>
      <c r="J805" s="302"/>
      <c r="K805" s="303"/>
      <c r="L805" s="303"/>
      <c r="M805" s="119"/>
      <c r="N805" s="303"/>
      <c r="O805" s="302"/>
      <c r="P805" s="119"/>
      <c r="Q805" s="173"/>
      <c r="R805" s="119"/>
      <c r="S805" s="303"/>
      <c r="T805" s="117"/>
      <c r="U805" s="312"/>
      <c r="V805" s="117"/>
      <c r="W805" s="296"/>
      <c r="X805" s="296"/>
    </row>
    <row r="806" spans="1:25" s="306" customFormat="1" ht="15.75" x14ac:dyDescent="0.25">
      <c r="A806" s="142"/>
      <c r="B806" s="145" t="s">
        <v>280</v>
      </c>
      <c r="C806" s="305">
        <v>0</v>
      </c>
      <c r="D806" s="305">
        <v>0</v>
      </c>
      <c r="E806" s="305">
        <v>0</v>
      </c>
      <c r="F806" s="305">
        <v>0</v>
      </c>
      <c r="G806" s="305">
        <v>0</v>
      </c>
      <c r="H806" s="122">
        <v>0</v>
      </c>
      <c r="I806" s="305">
        <v>0</v>
      </c>
      <c r="J806" s="304">
        <v>0</v>
      </c>
      <c r="K806" s="305">
        <v>0</v>
      </c>
      <c r="L806" s="305">
        <v>0</v>
      </c>
      <c r="M806" s="122">
        <v>0</v>
      </c>
      <c r="N806" s="305">
        <v>0</v>
      </c>
      <c r="O806" s="304">
        <v>0</v>
      </c>
      <c r="P806" s="122">
        <v>0</v>
      </c>
      <c r="Q806" s="253">
        <v>0</v>
      </c>
      <c r="R806" s="122">
        <v>0</v>
      </c>
      <c r="S806" s="305">
        <v>0</v>
      </c>
      <c r="T806" s="120">
        <v>0</v>
      </c>
      <c r="U806" s="313">
        <v>0</v>
      </c>
      <c r="V806" s="120">
        <v>0</v>
      </c>
      <c r="W806" s="296">
        <v>0</v>
      </c>
      <c r="X806" s="296">
        <v>0</v>
      </c>
      <c r="Y806" s="306">
        <v>0</v>
      </c>
    </row>
    <row r="807" spans="1:25" ht="15.75" x14ac:dyDescent="0.25">
      <c r="A807" s="142"/>
      <c r="B807" s="143" t="s">
        <v>281</v>
      </c>
      <c r="C807" s="300"/>
      <c r="D807" s="300"/>
      <c r="E807" s="300">
        <v>91</v>
      </c>
      <c r="F807" s="300"/>
      <c r="G807" s="300">
        <v>113</v>
      </c>
      <c r="H807" s="134">
        <v>130</v>
      </c>
      <c r="I807" s="300">
        <v>334</v>
      </c>
      <c r="J807" s="299">
        <v>752</v>
      </c>
      <c r="K807" s="300"/>
      <c r="L807" s="300">
        <v>674</v>
      </c>
      <c r="M807" s="134">
        <v>1189</v>
      </c>
      <c r="N807" s="300">
        <v>2615</v>
      </c>
      <c r="O807" s="299"/>
      <c r="P807" s="134"/>
      <c r="Q807" s="301"/>
      <c r="R807" s="134"/>
      <c r="S807" s="300"/>
      <c r="T807" s="132"/>
      <c r="U807" s="311"/>
      <c r="V807" s="132"/>
      <c r="W807" s="296"/>
      <c r="X807" s="296"/>
      <c r="Y807" s="511">
        <v>2949</v>
      </c>
    </row>
    <row r="808" spans="1:25" ht="16.5" thickBot="1" x14ac:dyDescent="0.3">
      <c r="A808" s="142"/>
      <c r="B808" s="144" t="s">
        <v>282</v>
      </c>
      <c r="C808" s="303"/>
      <c r="D808" s="303"/>
      <c r="E808" s="303">
        <v>111</v>
      </c>
      <c r="F808" s="303"/>
      <c r="G808" s="303">
        <v>71</v>
      </c>
      <c r="H808" s="119">
        <v>180</v>
      </c>
      <c r="I808" s="303">
        <v>362</v>
      </c>
      <c r="J808" s="302">
        <v>559</v>
      </c>
      <c r="K808" s="303"/>
      <c r="L808" s="303">
        <v>743</v>
      </c>
      <c r="M808" s="119">
        <v>1378</v>
      </c>
      <c r="N808" s="303">
        <v>2680</v>
      </c>
      <c r="O808" s="302"/>
      <c r="P808" s="119"/>
      <c r="Q808" s="173"/>
      <c r="R808" s="119"/>
      <c r="S808" s="303"/>
      <c r="T808" s="117"/>
      <c r="U808" s="312"/>
      <c r="V808" s="117"/>
      <c r="W808" s="296"/>
      <c r="X808" s="296"/>
      <c r="Y808" s="511">
        <v>3042</v>
      </c>
    </row>
    <row r="809" spans="1:25" s="306" customFormat="1" ht="16.5" thickBot="1" x14ac:dyDescent="0.3">
      <c r="A809" s="142"/>
      <c r="B809" s="145" t="s">
        <v>283</v>
      </c>
      <c r="C809" s="305">
        <v>0</v>
      </c>
      <c r="D809" s="305">
        <v>0</v>
      </c>
      <c r="E809" s="305">
        <v>0.21978021978021978</v>
      </c>
      <c r="F809" s="305">
        <v>0</v>
      </c>
      <c r="G809" s="724">
        <v>-0.37168141592920356</v>
      </c>
      <c r="H809" s="724">
        <v>0.38461538461538464</v>
      </c>
      <c r="I809" s="305">
        <v>8.3832335329341312E-2</v>
      </c>
      <c r="J809" s="724">
        <v>-0.25664893617021278</v>
      </c>
      <c r="K809" s="305">
        <v>0</v>
      </c>
      <c r="L809" s="305">
        <v>0.10237388724035608</v>
      </c>
      <c r="M809" s="122">
        <v>0.15895710681244743</v>
      </c>
      <c r="N809" s="305">
        <v>2.4856596558317401E-2</v>
      </c>
      <c r="O809" s="304">
        <v>0</v>
      </c>
      <c r="P809" s="122">
        <v>0</v>
      </c>
      <c r="Q809" s="253">
        <v>0</v>
      </c>
      <c r="R809" s="122">
        <v>0</v>
      </c>
      <c r="S809" s="305">
        <v>0</v>
      </c>
      <c r="T809" s="120">
        <v>0</v>
      </c>
      <c r="U809" s="313">
        <v>0</v>
      </c>
      <c r="V809" s="120">
        <v>0</v>
      </c>
      <c r="W809" s="296">
        <v>0</v>
      </c>
      <c r="X809" s="296">
        <v>0</v>
      </c>
      <c r="Y809" s="306">
        <v>3.1536113936927769E-2</v>
      </c>
    </row>
    <row r="810" spans="1:25" ht="15.75" x14ac:dyDescent="0.25">
      <c r="A810" s="142"/>
      <c r="B810" s="143" t="s">
        <v>284</v>
      </c>
      <c r="C810" s="300">
        <v>4060</v>
      </c>
      <c r="D810" s="300"/>
      <c r="E810" s="300">
        <v>1393</v>
      </c>
      <c r="F810" s="300"/>
      <c r="G810" s="300">
        <v>1207</v>
      </c>
      <c r="H810" s="134">
        <v>1728</v>
      </c>
      <c r="I810" s="300">
        <v>8388</v>
      </c>
      <c r="J810" s="299">
        <v>195</v>
      </c>
      <c r="K810" s="300"/>
      <c r="L810" s="300"/>
      <c r="M810" s="134"/>
      <c r="N810" s="300">
        <v>195</v>
      </c>
      <c r="O810" s="299"/>
      <c r="P810" s="134"/>
      <c r="Q810" s="301"/>
      <c r="R810" s="134"/>
      <c r="S810" s="300"/>
      <c r="T810" s="132"/>
      <c r="U810" s="311"/>
      <c r="V810" s="132"/>
      <c r="W810" s="296"/>
      <c r="X810" s="296"/>
      <c r="Y810" s="511">
        <v>8583</v>
      </c>
    </row>
    <row r="811" spans="1:25" ht="16.5" thickBot="1" x14ac:dyDescent="0.3">
      <c r="A811" s="142"/>
      <c r="B811" s="144" t="s">
        <v>285</v>
      </c>
      <c r="C811" s="303">
        <v>4204</v>
      </c>
      <c r="D811" s="303"/>
      <c r="E811" s="303">
        <v>1547</v>
      </c>
      <c r="F811" s="303"/>
      <c r="G811" s="303">
        <v>1319</v>
      </c>
      <c r="H811" s="119">
        <v>1798</v>
      </c>
      <c r="I811" s="303">
        <v>8868</v>
      </c>
      <c r="J811" s="302">
        <v>250</v>
      </c>
      <c r="K811" s="303"/>
      <c r="L811" s="303"/>
      <c r="M811" s="119"/>
      <c r="N811" s="303">
        <v>250</v>
      </c>
      <c r="O811" s="302"/>
      <c r="P811" s="119"/>
      <c r="Q811" s="173"/>
      <c r="R811" s="119"/>
      <c r="S811" s="303"/>
      <c r="T811" s="117"/>
      <c r="U811" s="312"/>
      <c r="V811" s="117"/>
      <c r="W811" s="296"/>
      <c r="X811" s="296"/>
      <c r="Y811" s="511">
        <v>9118</v>
      </c>
    </row>
    <row r="812" spans="1:25" s="306" customFormat="1" ht="16.5" thickBot="1" x14ac:dyDescent="0.3">
      <c r="A812" s="142"/>
      <c r="B812" s="145" t="s">
        <v>286</v>
      </c>
      <c r="C812" s="305">
        <v>3.5467980295566505E-2</v>
      </c>
      <c r="D812" s="305">
        <v>0</v>
      </c>
      <c r="E812" s="305">
        <v>0.11055276381909548</v>
      </c>
      <c r="F812" s="305">
        <v>0</v>
      </c>
      <c r="G812" s="305">
        <v>9.2792046396023203E-2</v>
      </c>
      <c r="H812" s="122">
        <v>4.0509259259259259E-2</v>
      </c>
      <c r="I812" s="305">
        <v>5.7224606580829757E-2</v>
      </c>
      <c r="J812" s="724">
        <v>0.28205128205128205</v>
      </c>
      <c r="K812" s="305">
        <v>0</v>
      </c>
      <c r="L812" s="305">
        <v>0</v>
      </c>
      <c r="M812" s="122">
        <v>0</v>
      </c>
      <c r="N812" s="305">
        <v>0.28205128205128205</v>
      </c>
      <c r="O812" s="304">
        <v>0</v>
      </c>
      <c r="P812" s="122">
        <v>0</v>
      </c>
      <c r="Q812" s="253">
        <v>0</v>
      </c>
      <c r="R812" s="122">
        <v>0</v>
      </c>
      <c r="S812" s="305">
        <v>0</v>
      </c>
      <c r="T812" s="120">
        <v>0</v>
      </c>
      <c r="U812" s="313">
        <v>0</v>
      </c>
      <c r="V812" s="120">
        <v>0</v>
      </c>
      <c r="W812" s="296">
        <v>0</v>
      </c>
      <c r="X812" s="296">
        <v>0</v>
      </c>
      <c r="Y812" s="306">
        <v>6.2332517767680298E-2</v>
      </c>
    </row>
    <row r="813" spans="1:25" ht="15.75" x14ac:dyDescent="0.25">
      <c r="A813" s="142"/>
      <c r="B813" s="143" t="s">
        <v>287</v>
      </c>
      <c r="C813" s="300"/>
      <c r="D813" s="300"/>
      <c r="E813" s="300"/>
      <c r="F813" s="300"/>
      <c r="G813" s="300"/>
      <c r="H813" s="134"/>
      <c r="I813" s="300"/>
      <c r="J813" s="299"/>
      <c r="K813" s="300"/>
      <c r="L813" s="300"/>
      <c r="M813" s="134"/>
      <c r="N813" s="300"/>
      <c r="O813" s="299"/>
      <c r="P813" s="134"/>
      <c r="Q813" s="301"/>
      <c r="R813" s="134"/>
      <c r="S813" s="300"/>
      <c r="T813" s="132"/>
      <c r="U813" s="311"/>
      <c r="V813" s="132"/>
      <c r="W813" s="296"/>
      <c r="X813" s="296"/>
    </row>
    <row r="814" spans="1:25" ht="15.75" x14ac:dyDescent="0.25">
      <c r="A814" s="142"/>
      <c r="B814" s="144" t="s">
        <v>288</v>
      </c>
      <c r="C814" s="303"/>
      <c r="D814" s="303"/>
      <c r="E814" s="303"/>
      <c r="F814" s="303"/>
      <c r="G814" s="303"/>
      <c r="H814" s="119"/>
      <c r="I814" s="303"/>
      <c r="J814" s="302"/>
      <c r="K814" s="303"/>
      <c r="L814" s="303"/>
      <c r="M814" s="119"/>
      <c r="N814" s="303"/>
      <c r="O814" s="302"/>
      <c r="P814" s="119"/>
      <c r="Q814" s="173"/>
      <c r="R814" s="119"/>
      <c r="S814" s="303"/>
      <c r="T814" s="117"/>
      <c r="U814" s="312"/>
      <c r="V814" s="117"/>
      <c r="W814" s="296"/>
      <c r="X814" s="296"/>
    </row>
    <row r="815" spans="1:25" s="306" customFormat="1" ht="15.75" x14ac:dyDescent="0.25">
      <c r="A815" s="142"/>
      <c r="B815" s="145" t="s">
        <v>289</v>
      </c>
      <c r="C815" s="305">
        <v>0</v>
      </c>
      <c r="D815" s="305">
        <v>0</v>
      </c>
      <c r="E815" s="305">
        <v>0</v>
      </c>
      <c r="F815" s="305">
        <v>0</v>
      </c>
      <c r="G815" s="305">
        <v>0</v>
      </c>
      <c r="H815" s="122">
        <v>0</v>
      </c>
      <c r="I815" s="305">
        <v>0</v>
      </c>
      <c r="J815" s="304">
        <v>0</v>
      </c>
      <c r="K815" s="305">
        <v>0</v>
      </c>
      <c r="L815" s="305">
        <v>0</v>
      </c>
      <c r="M815" s="122">
        <v>0</v>
      </c>
      <c r="N815" s="305">
        <v>0</v>
      </c>
      <c r="O815" s="304">
        <v>0</v>
      </c>
      <c r="P815" s="122">
        <v>0</v>
      </c>
      <c r="Q815" s="253">
        <v>0</v>
      </c>
      <c r="R815" s="122">
        <v>0</v>
      </c>
      <c r="S815" s="305">
        <v>0</v>
      </c>
      <c r="T815" s="120">
        <v>0</v>
      </c>
      <c r="U815" s="313">
        <v>0</v>
      </c>
      <c r="V815" s="120">
        <v>0</v>
      </c>
      <c r="W815" s="296">
        <v>0</v>
      </c>
      <c r="X815" s="296">
        <v>0</v>
      </c>
      <c r="Y815" s="306">
        <v>0</v>
      </c>
    </row>
    <row r="816" spans="1:25" ht="15.75" x14ac:dyDescent="0.25">
      <c r="A816" s="142"/>
      <c r="B816" s="143" t="s">
        <v>290</v>
      </c>
      <c r="C816" s="300">
        <v>1629</v>
      </c>
      <c r="D816" s="300"/>
      <c r="E816" s="300">
        <v>902</v>
      </c>
      <c r="F816" s="300"/>
      <c r="G816" s="300">
        <v>119</v>
      </c>
      <c r="H816" s="134">
        <v>65</v>
      </c>
      <c r="I816" s="300">
        <v>2715</v>
      </c>
      <c r="J816" s="299">
        <v>0</v>
      </c>
      <c r="K816" s="300"/>
      <c r="L816" s="300">
        <v>0</v>
      </c>
      <c r="M816" s="134">
        <v>0</v>
      </c>
      <c r="N816" s="300">
        <v>0</v>
      </c>
      <c r="O816" s="299"/>
      <c r="P816" s="134"/>
      <c r="Q816" s="301">
        <v>0</v>
      </c>
      <c r="R816" s="134">
        <v>0</v>
      </c>
      <c r="S816" s="300">
        <v>0</v>
      </c>
      <c r="T816" s="132">
        <v>0</v>
      </c>
      <c r="U816" s="311"/>
      <c r="V816" s="132"/>
      <c r="W816" s="296">
        <v>0</v>
      </c>
      <c r="X816" s="296">
        <v>0</v>
      </c>
      <c r="Y816" s="511">
        <v>2715</v>
      </c>
    </row>
    <row r="817" spans="1:25" ht="16.5" thickBot="1" x14ac:dyDescent="0.3">
      <c r="A817" s="142"/>
      <c r="B817" s="144" t="s">
        <v>291</v>
      </c>
      <c r="C817" s="303">
        <v>1642</v>
      </c>
      <c r="D817" s="303"/>
      <c r="E817" s="303">
        <v>864</v>
      </c>
      <c r="F817" s="303"/>
      <c r="G817" s="303">
        <v>152</v>
      </c>
      <c r="H817" s="119">
        <v>54</v>
      </c>
      <c r="I817" s="303">
        <v>2712</v>
      </c>
      <c r="J817" s="302">
        <v>0</v>
      </c>
      <c r="K817" s="303"/>
      <c r="L817" s="303">
        <v>0</v>
      </c>
      <c r="M817" s="119">
        <v>0</v>
      </c>
      <c r="N817" s="303">
        <v>0</v>
      </c>
      <c r="O817" s="302"/>
      <c r="P817" s="119"/>
      <c r="Q817" s="173">
        <v>0</v>
      </c>
      <c r="R817" s="119">
        <v>0</v>
      </c>
      <c r="S817" s="303">
        <v>0</v>
      </c>
      <c r="T817" s="117">
        <v>0</v>
      </c>
      <c r="U817" s="312"/>
      <c r="V817" s="117"/>
      <c r="W817" s="296">
        <v>0</v>
      </c>
      <c r="X817" s="296">
        <v>0</v>
      </c>
      <c r="Y817" s="511">
        <v>2712</v>
      </c>
    </row>
    <row r="818" spans="1:25" s="306" customFormat="1" ht="16.5" thickBot="1" x14ac:dyDescent="0.3">
      <c r="A818" s="142"/>
      <c r="B818" s="145" t="s">
        <v>292</v>
      </c>
      <c r="C818" s="305">
        <v>7.9803560466543896E-3</v>
      </c>
      <c r="D818" s="305">
        <v>0</v>
      </c>
      <c r="E818" s="305">
        <v>-4.2128603104212861E-2</v>
      </c>
      <c r="F818" s="305">
        <v>0</v>
      </c>
      <c r="G818" s="724">
        <v>0.27731092436974791</v>
      </c>
      <c r="H818" s="122">
        <v>-0.16923076923076924</v>
      </c>
      <c r="I818" s="305">
        <v>-1.1049723756906078E-3</v>
      </c>
      <c r="J818" s="304">
        <v>0</v>
      </c>
      <c r="K818" s="305">
        <v>0</v>
      </c>
      <c r="L818" s="305">
        <v>0</v>
      </c>
      <c r="M818" s="122">
        <v>0</v>
      </c>
      <c r="N818" s="305">
        <v>0</v>
      </c>
      <c r="O818" s="304">
        <v>0</v>
      </c>
      <c r="P818" s="122">
        <v>0</v>
      </c>
      <c r="Q818" s="253">
        <v>0</v>
      </c>
      <c r="R818" s="122">
        <v>0</v>
      </c>
      <c r="S818" s="305">
        <v>0</v>
      </c>
      <c r="T818" s="120">
        <v>0</v>
      </c>
      <c r="U818" s="313">
        <v>0</v>
      </c>
      <c r="V818" s="120">
        <v>0</v>
      </c>
      <c r="W818" s="296">
        <v>0</v>
      </c>
      <c r="X818" s="296">
        <v>0</v>
      </c>
      <c r="Y818" s="306">
        <v>-1.1049723756906078E-3</v>
      </c>
    </row>
    <row r="819" spans="1:25" ht="15.75" x14ac:dyDescent="0.25">
      <c r="A819" s="142"/>
      <c r="B819" s="143" t="s">
        <v>293</v>
      </c>
      <c r="C819" s="300">
        <v>166</v>
      </c>
      <c r="D819" s="300"/>
      <c r="E819" s="300">
        <v>12</v>
      </c>
      <c r="F819" s="300"/>
      <c r="G819" s="300">
        <v>0</v>
      </c>
      <c r="H819" s="134">
        <v>0</v>
      </c>
      <c r="I819" s="300">
        <v>178</v>
      </c>
      <c r="J819" s="299">
        <v>0</v>
      </c>
      <c r="K819" s="300"/>
      <c r="L819" s="300">
        <v>0</v>
      </c>
      <c r="M819" s="134">
        <v>0</v>
      </c>
      <c r="N819" s="300">
        <v>0</v>
      </c>
      <c r="O819" s="299"/>
      <c r="P819" s="134"/>
      <c r="Q819" s="301">
        <v>0</v>
      </c>
      <c r="R819" s="134">
        <v>0</v>
      </c>
      <c r="S819" s="300">
        <v>0</v>
      </c>
      <c r="T819" s="132">
        <v>0</v>
      </c>
      <c r="U819" s="311"/>
      <c r="V819" s="132"/>
      <c r="W819" s="296">
        <v>0</v>
      </c>
      <c r="X819" s="296">
        <v>0</v>
      </c>
      <c r="Y819" s="511">
        <v>178</v>
      </c>
    </row>
    <row r="820" spans="1:25" ht="15.75" x14ac:dyDescent="0.25">
      <c r="A820" s="142"/>
      <c r="B820" s="144" t="s">
        <v>294</v>
      </c>
      <c r="C820" s="303">
        <v>162</v>
      </c>
      <c r="D820" s="303"/>
      <c r="E820" s="303">
        <v>16</v>
      </c>
      <c r="F820" s="303"/>
      <c r="G820" s="303">
        <v>0</v>
      </c>
      <c r="H820" s="119">
        <v>0</v>
      </c>
      <c r="I820" s="303">
        <v>178</v>
      </c>
      <c r="J820" s="302">
        <v>0</v>
      </c>
      <c r="K820" s="303"/>
      <c r="L820" s="303">
        <v>0</v>
      </c>
      <c r="M820" s="119">
        <v>0</v>
      </c>
      <c r="N820" s="303">
        <v>0</v>
      </c>
      <c r="O820" s="302"/>
      <c r="P820" s="119"/>
      <c r="Q820" s="173">
        <v>0</v>
      </c>
      <c r="R820" s="119">
        <v>0</v>
      </c>
      <c r="S820" s="303">
        <v>0</v>
      </c>
      <c r="T820" s="117">
        <v>0</v>
      </c>
      <c r="U820" s="312"/>
      <c r="V820" s="117"/>
      <c r="W820" s="296">
        <v>0</v>
      </c>
      <c r="X820" s="296">
        <v>0</v>
      </c>
      <c r="Y820" s="511">
        <v>178</v>
      </c>
    </row>
    <row r="821" spans="1:25" s="306" customFormat="1" ht="15.75" x14ac:dyDescent="0.25">
      <c r="A821" s="142"/>
      <c r="B821" s="145" t="s">
        <v>295</v>
      </c>
      <c r="C821" s="305">
        <v>-2.4096385542168676E-2</v>
      </c>
      <c r="D821" s="305">
        <v>0</v>
      </c>
      <c r="E821" s="305">
        <v>0.33333333333333331</v>
      </c>
      <c r="F821" s="305">
        <v>0</v>
      </c>
      <c r="G821" s="305">
        <v>0</v>
      </c>
      <c r="H821" s="122">
        <v>0</v>
      </c>
      <c r="I821" s="305">
        <v>0</v>
      </c>
      <c r="J821" s="304">
        <v>0</v>
      </c>
      <c r="K821" s="305">
        <v>0</v>
      </c>
      <c r="L821" s="305">
        <v>0</v>
      </c>
      <c r="M821" s="122">
        <v>0</v>
      </c>
      <c r="N821" s="305">
        <v>0</v>
      </c>
      <c r="O821" s="304">
        <v>0</v>
      </c>
      <c r="P821" s="122">
        <v>0</v>
      </c>
      <c r="Q821" s="253">
        <v>0</v>
      </c>
      <c r="R821" s="122">
        <v>0</v>
      </c>
      <c r="S821" s="305">
        <v>0</v>
      </c>
      <c r="T821" s="120">
        <v>0</v>
      </c>
      <c r="U821" s="313">
        <v>0</v>
      </c>
      <c r="V821" s="120">
        <v>0</v>
      </c>
      <c r="W821" s="296">
        <v>0</v>
      </c>
      <c r="X821" s="296">
        <v>0</v>
      </c>
      <c r="Y821" s="306">
        <v>0</v>
      </c>
    </row>
    <row r="822" spans="1:25" ht="15.75" x14ac:dyDescent="0.25">
      <c r="A822" s="142"/>
      <c r="B822" s="143" t="s">
        <v>296</v>
      </c>
      <c r="C822" s="300">
        <v>124</v>
      </c>
      <c r="D822" s="300"/>
      <c r="E822" s="300"/>
      <c r="F822" s="300"/>
      <c r="G822" s="300"/>
      <c r="H822" s="134"/>
      <c r="I822" s="300">
        <v>124</v>
      </c>
      <c r="J822" s="299"/>
      <c r="K822" s="300"/>
      <c r="L822" s="300"/>
      <c r="M822" s="134"/>
      <c r="N822" s="300"/>
      <c r="O822" s="299"/>
      <c r="P822" s="134"/>
      <c r="Q822" s="301"/>
      <c r="R822" s="134"/>
      <c r="S822" s="300"/>
      <c r="T822" s="132"/>
      <c r="U822" s="311"/>
      <c r="V822" s="132"/>
      <c r="W822" s="296"/>
      <c r="X822" s="296"/>
      <c r="Y822" s="511">
        <v>124</v>
      </c>
    </row>
    <row r="823" spans="1:25" ht="15.75" x14ac:dyDescent="0.25">
      <c r="A823" s="142"/>
      <c r="B823" s="144" t="s">
        <v>297</v>
      </c>
      <c r="C823" s="303">
        <v>142</v>
      </c>
      <c r="D823" s="303"/>
      <c r="E823" s="303"/>
      <c r="F823" s="303"/>
      <c r="G823" s="303"/>
      <c r="H823" s="119"/>
      <c r="I823" s="303">
        <v>142</v>
      </c>
      <c r="J823" s="302"/>
      <c r="K823" s="303"/>
      <c r="L823" s="303"/>
      <c r="M823" s="119"/>
      <c r="N823" s="303"/>
      <c r="O823" s="302"/>
      <c r="P823" s="119"/>
      <c r="Q823" s="173"/>
      <c r="R823" s="119"/>
      <c r="S823" s="303"/>
      <c r="T823" s="117"/>
      <c r="U823" s="312"/>
      <c r="V823" s="117"/>
      <c r="W823" s="296"/>
      <c r="X823" s="296"/>
      <c r="Y823" s="511">
        <v>142</v>
      </c>
    </row>
    <row r="824" spans="1:25" s="306" customFormat="1" ht="15.75" x14ac:dyDescent="0.25">
      <c r="A824" s="142"/>
      <c r="B824" s="145" t="s">
        <v>298</v>
      </c>
      <c r="C824" s="305">
        <v>0.14516129032258066</v>
      </c>
      <c r="D824" s="305">
        <v>0</v>
      </c>
      <c r="E824" s="305">
        <v>0</v>
      </c>
      <c r="F824" s="305">
        <v>0</v>
      </c>
      <c r="G824" s="305">
        <v>0</v>
      </c>
      <c r="H824" s="122">
        <v>0</v>
      </c>
      <c r="I824" s="305">
        <v>0.14516129032258066</v>
      </c>
      <c r="J824" s="304">
        <v>0</v>
      </c>
      <c r="K824" s="305">
        <v>0</v>
      </c>
      <c r="L824" s="305">
        <v>0</v>
      </c>
      <c r="M824" s="122">
        <v>0</v>
      </c>
      <c r="N824" s="305">
        <v>0</v>
      </c>
      <c r="O824" s="304">
        <v>0</v>
      </c>
      <c r="P824" s="122">
        <v>0</v>
      </c>
      <c r="Q824" s="253">
        <v>0</v>
      </c>
      <c r="R824" s="122">
        <v>0</v>
      </c>
      <c r="S824" s="305">
        <v>0</v>
      </c>
      <c r="T824" s="120">
        <v>0</v>
      </c>
      <c r="U824" s="313">
        <v>0</v>
      </c>
      <c r="V824" s="120">
        <v>0</v>
      </c>
      <c r="W824" s="296">
        <v>0</v>
      </c>
      <c r="X824" s="296">
        <v>0</v>
      </c>
      <c r="Y824" s="306">
        <v>0.14516129032258066</v>
      </c>
    </row>
    <row r="825" spans="1:25" ht="15.75" x14ac:dyDescent="0.25">
      <c r="A825" s="142"/>
      <c r="B825" s="143" t="s">
        <v>299</v>
      </c>
      <c r="C825" s="300">
        <v>95</v>
      </c>
      <c r="D825" s="300"/>
      <c r="E825" s="300">
        <v>72</v>
      </c>
      <c r="F825" s="300"/>
      <c r="G825" s="300"/>
      <c r="H825" s="134"/>
      <c r="I825" s="300">
        <v>167</v>
      </c>
      <c r="J825" s="299"/>
      <c r="K825" s="300"/>
      <c r="L825" s="300"/>
      <c r="M825" s="134"/>
      <c r="N825" s="300"/>
      <c r="O825" s="299"/>
      <c r="P825" s="134"/>
      <c r="Q825" s="301"/>
      <c r="R825" s="134"/>
      <c r="S825" s="300"/>
      <c r="T825" s="132"/>
      <c r="U825" s="311"/>
      <c r="V825" s="132"/>
      <c r="W825" s="296"/>
      <c r="X825" s="296"/>
      <c r="Y825" s="511">
        <v>167</v>
      </c>
    </row>
    <row r="826" spans="1:25" ht="15.75" x14ac:dyDescent="0.25">
      <c r="A826" s="142"/>
      <c r="B826" s="144" t="s">
        <v>300</v>
      </c>
      <c r="C826" s="303">
        <v>99</v>
      </c>
      <c r="D826" s="303"/>
      <c r="E826" s="303">
        <v>63</v>
      </c>
      <c r="F826" s="303"/>
      <c r="G826" s="303"/>
      <c r="H826" s="119"/>
      <c r="I826" s="303">
        <v>162</v>
      </c>
      <c r="J826" s="302"/>
      <c r="K826" s="303"/>
      <c r="L826" s="303"/>
      <c r="M826" s="119"/>
      <c r="N826" s="303"/>
      <c r="O826" s="302"/>
      <c r="P826" s="119"/>
      <c r="Q826" s="173"/>
      <c r="R826" s="119"/>
      <c r="S826" s="303"/>
      <c r="T826" s="117"/>
      <c r="U826" s="312"/>
      <c r="V826" s="117"/>
      <c r="W826" s="296"/>
      <c r="X826" s="296"/>
      <c r="Y826" s="511">
        <v>162</v>
      </c>
    </row>
    <row r="827" spans="1:25" s="306" customFormat="1" ht="15.75" x14ac:dyDescent="0.25">
      <c r="A827" s="142"/>
      <c r="B827" s="145" t="s">
        <v>301</v>
      </c>
      <c r="C827" s="305">
        <v>4.2105263157894736E-2</v>
      </c>
      <c r="D827" s="305">
        <v>0</v>
      </c>
      <c r="E827" s="305">
        <v>-0.125</v>
      </c>
      <c r="F827" s="305">
        <v>0</v>
      </c>
      <c r="G827" s="305">
        <v>0</v>
      </c>
      <c r="H827" s="122">
        <v>0</v>
      </c>
      <c r="I827" s="305">
        <v>-2.9940119760479042E-2</v>
      </c>
      <c r="J827" s="304">
        <v>0</v>
      </c>
      <c r="K827" s="305">
        <v>0</v>
      </c>
      <c r="L827" s="305">
        <v>0</v>
      </c>
      <c r="M827" s="122">
        <v>0</v>
      </c>
      <c r="N827" s="305">
        <v>0</v>
      </c>
      <c r="O827" s="304">
        <v>0</v>
      </c>
      <c r="P827" s="122">
        <v>0</v>
      </c>
      <c r="Q827" s="253">
        <v>0</v>
      </c>
      <c r="R827" s="122">
        <v>0</v>
      </c>
      <c r="S827" s="305">
        <v>0</v>
      </c>
      <c r="T827" s="120">
        <v>0</v>
      </c>
      <c r="U827" s="313">
        <v>0</v>
      </c>
      <c r="V827" s="120">
        <v>0</v>
      </c>
      <c r="W827" s="296">
        <v>0</v>
      </c>
      <c r="X827" s="296">
        <v>0</v>
      </c>
      <c r="Y827" s="306">
        <v>-2.9940119760479042E-2</v>
      </c>
    </row>
    <row r="828" spans="1:25" ht="15.75" x14ac:dyDescent="0.25">
      <c r="A828" s="142"/>
      <c r="B828" s="143" t="s">
        <v>302</v>
      </c>
      <c r="C828" s="300">
        <v>48</v>
      </c>
      <c r="D828" s="300"/>
      <c r="E828" s="300"/>
      <c r="F828" s="300"/>
      <c r="G828" s="300"/>
      <c r="H828" s="134"/>
      <c r="I828" s="300">
        <v>48</v>
      </c>
      <c r="J828" s="299"/>
      <c r="K828" s="300"/>
      <c r="L828" s="300"/>
      <c r="M828" s="134"/>
      <c r="N828" s="300"/>
      <c r="O828" s="299"/>
      <c r="P828" s="134"/>
      <c r="Q828" s="301"/>
      <c r="R828" s="134"/>
      <c r="S828" s="300"/>
      <c r="T828" s="132"/>
      <c r="U828" s="311"/>
      <c r="V828" s="132"/>
      <c r="W828" s="296"/>
      <c r="X828" s="296"/>
      <c r="Y828" s="511">
        <v>48</v>
      </c>
    </row>
    <row r="829" spans="1:25" ht="15.75" x14ac:dyDescent="0.25">
      <c r="A829" s="142"/>
      <c r="B829" s="144" t="s">
        <v>303</v>
      </c>
      <c r="C829" s="303">
        <v>43</v>
      </c>
      <c r="D829" s="303"/>
      <c r="E829" s="303"/>
      <c r="F829" s="303"/>
      <c r="G829" s="303"/>
      <c r="H829" s="119"/>
      <c r="I829" s="303">
        <v>43</v>
      </c>
      <c r="J829" s="302"/>
      <c r="K829" s="303"/>
      <c r="L829" s="303"/>
      <c r="M829" s="119"/>
      <c r="N829" s="303"/>
      <c r="O829" s="302"/>
      <c r="P829" s="119"/>
      <c r="Q829" s="173"/>
      <c r="R829" s="119"/>
      <c r="S829" s="303"/>
      <c r="T829" s="117"/>
      <c r="U829" s="312"/>
      <c r="V829" s="117"/>
      <c r="W829" s="296"/>
      <c r="X829" s="296"/>
      <c r="Y829" s="511">
        <v>43</v>
      </c>
    </row>
    <row r="830" spans="1:25" s="306" customFormat="1" ht="15.75" x14ac:dyDescent="0.25">
      <c r="A830" s="142"/>
      <c r="B830" s="145" t="s">
        <v>304</v>
      </c>
      <c r="C830" s="305">
        <v>-0.10416666666666667</v>
      </c>
      <c r="D830" s="305">
        <v>0</v>
      </c>
      <c r="E830" s="305">
        <v>0</v>
      </c>
      <c r="F830" s="305">
        <v>0</v>
      </c>
      <c r="G830" s="305">
        <v>0</v>
      </c>
      <c r="H830" s="122">
        <v>0</v>
      </c>
      <c r="I830" s="305">
        <v>-0.10416666666666667</v>
      </c>
      <c r="J830" s="304">
        <v>0</v>
      </c>
      <c r="K830" s="305">
        <v>0</v>
      </c>
      <c r="L830" s="305">
        <v>0</v>
      </c>
      <c r="M830" s="122">
        <v>0</v>
      </c>
      <c r="N830" s="305">
        <v>0</v>
      </c>
      <c r="O830" s="304">
        <v>0</v>
      </c>
      <c r="P830" s="122">
        <v>0</v>
      </c>
      <c r="Q830" s="253">
        <v>0</v>
      </c>
      <c r="R830" s="122">
        <v>0</v>
      </c>
      <c r="S830" s="305">
        <v>0</v>
      </c>
      <c r="T830" s="120">
        <v>0</v>
      </c>
      <c r="U830" s="313">
        <v>0</v>
      </c>
      <c r="V830" s="120">
        <v>0</v>
      </c>
      <c r="W830" s="296">
        <v>0</v>
      </c>
      <c r="X830" s="296">
        <v>0</v>
      </c>
      <c r="Y830" s="306">
        <v>-0.10416666666666667</v>
      </c>
    </row>
    <row r="831" spans="1:25" ht="15.75" x14ac:dyDescent="0.25">
      <c r="A831" s="142"/>
      <c r="B831" s="143" t="s">
        <v>305</v>
      </c>
      <c r="C831" s="300">
        <v>87</v>
      </c>
      <c r="D831" s="300"/>
      <c r="E831" s="300"/>
      <c r="F831" s="300"/>
      <c r="G831" s="300"/>
      <c r="H831" s="134"/>
      <c r="I831" s="300">
        <v>87</v>
      </c>
      <c r="J831" s="299"/>
      <c r="K831" s="300"/>
      <c r="L831" s="300"/>
      <c r="M831" s="134"/>
      <c r="N831" s="300"/>
      <c r="O831" s="299"/>
      <c r="P831" s="134"/>
      <c r="Q831" s="301"/>
      <c r="R831" s="134"/>
      <c r="S831" s="300"/>
      <c r="T831" s="132"/>
      <c r="U831" s="311"/>
      <c r="V831" s="132"/>
      <c r="W831" s="296"/>
      <c r="X831" s="296"/>
      <c r="Y831" s="511">
        <v>87</v>
      </c>
    </row>
    <row r="832" spans="1:25" ht="15.75" x14ac:dyDescent="0.25">
      <c r="A832" s="142"/>
      <c r="B832" s="144" t="s">
        <v>306</v>
      </c>
      <c r="C832" s="303">
        <v>81</v>
      </c>
      <c r="D832" s="303"/>
      <c r="E832" s="303"/>
      <c r="F832" s="303"/>
      <c r="G832" s="303"/>
      <c r="H832" s="119"/>
      <c r="I832" s="303">
        <v>81</v>
      </c>
      <c r="J832" s="302"/>
      <c r="K832" s="303"/>
      <c r="L832" s="303"/>
      <c r="M832" s="119"/>
      <c r="N832" s="303"/>
      <c r="O832" s="302"/>
      <c r="P832" s="119"/>
      <c r="Q832" s="173"/>
      <c r="R832" s="119"/>
      <c r="S832" s="303"/>
      <c r="T832" s="117"/>
      <c r="U832" s="312"/>
      <c r="V832" s="117"/>
      <c r="W832" s="296"/>
      <c r="X832" s="296"/>
      <c r="Y832" s="511">
        <v>81</v>
      </c>
    </row>
    <row r="833" spans="1:25" s="306" customFormat="1" ht="15.75" x14ac:dyDescent="0.25">
      <c r="A833" s="142"/>
      <c r="B833" s="145" t="s">
        <v>307</v>
      </c>
      <c r="C833" s="305">
        <v>-6.8965517241379309E-2</v>
      </c>
      <c r="D833" s="305">
        <v>0</v>
      </c>
      <c r="E833" s="305">
        <v>0</v>
      </c>
      <c r="F833" s="305">
        <v>0</v>
      </c>
      <c r="G833" s="305">
        <v>0</v>
      </c>
      <c r="H833" s="122">
        <v>0</v>
      </c>
      <c r="I833" s="305">
        <v>-6.8965517241379309E-2</v>
      </c>
      <c r="J833" s="304">
        <v>0</v>
      </c>
      <c r="K833" s="305">
        <v>0</v>
      </c>
      <c r="L833" s="305">
        <v>0</v>
      </c>
      <c r="M833" s="122">
        <v>0</v>
      </c>
      <c r="N833" s="305">
        <v>0</v>
      </c>
      <c r="O833" s="304">
        <v>0</v>
      </c>
      <c r="P833" s="122">
        <v>0</v>
      </c>
      <c r="Q833" s="253">
        <v>0</v>
      </c>
      <c r="R833" s="122">
        <v>0</v>
      </c>
      <c r="S833" s="305">
        <v>0</v>
      </c>
      <c r="T833" s="120">
        <v>0</v>
      </c>
      <c r="U833" s="313">
        <v>0</v>
      </c>
      <c r="V833" s="120">
        <v>0</v>
      </c>
      <c r="W833" s="296">
        <v>0</v>
      </c>
      <c r="X833" s="296">
        <v>0</v>
      </c>
      <c r="Y833" s="306">
        <v>-6.8965517241379309E-2</v>
      </c>
    </row>
    <row r="834" spans="1:25" ht="15.75" x14ac:dyDescent="0.25">
      <c r="A834" s="142"/>
      <c r="B834" s="143" t="s">
        <v>308</v>
      </c>
      <c r="C834" s="300"/>
      <c r="D834" s="300"/>
      <c r="E834" s="300"/>
      <c r="F834" s="300"/>
      <c r="G834" s="300"/>
      <c r="H834" s="134"/>
      <c r="I834" s="300"/>
      <c r="J834" s="299"/>
      <c r="K834" s="300"/>
      <c r="L834" s="300"/>
      <c r="M834" s="134"/>
      <c r="N834" s="300"/>
      <c r="O834" s="299"/>
      <c r="P834" s="134"/>
      <c r="Q834" s="301"/>
      <c r="R834" s="134"/>
      <c r="S834" s="300"/>
      <c r="T834" s="132"/>
      <c r="U834" s="311"/>
      <c r="V834" s="132"/>
      <c r="W834" s="296"/>
      <c r="X834" s="296"/>
    </row>
    <row r="835" spans="1:25" ht="15.75" x14ac:dyDescent="0.25">
      <c r="A835" s="142"/>
      <c r="B835" s="144" t="s">
        <v>309</v>
      </c>
      <c r="C835" s="303"/>
      <c r="D835" s="303"/>
      <c r="E835" s="303"/>
      <c r="F835" s="303"/>
      <c r="G835" s="303"/>
      <c r="H835" s="119"/>
      <c r="I835" s="303"/>
      <c r="J835" s="302"/>
      <c r="K835" s="303"/>
      <c r="L835" s="303"/>
      <c r="M835" s="119"/>
      <c r="N835" s="303"/>
      <c r="O835" s="302"/>
      <c r="P835" s="119"/>
      <c r="Q835" s="173"/>
      <c r="R835" s="119"/>
      <c r="S835" s="303"/>
      <c r="T835" s="117"/>
      <c r="U835" s="312"/>
      <c r="V835" s="117"/>
      <c r="W835" s="296"/>
      <c r="X835" s="296"/>
    </row>
    <row r="836" spans="1:25" s="306" customFormat="1" ht="15.75" x14ac:dyDescent="0.25">
      <c r="A836" s="142"/>
      <c r="B836" s="145" t="s">
        <v>310</v>
      </c>
      <c r="C836" s="305">
        <v>0</v>
      </c>
      <c r="D836" s="305">
        <v>0</v>
      </c>
      <c r="E836" s="305">
        <v>0</v>
      </c>
      <c r="F836" s="305">
        <v>0</v>
      </c>
      <c r="G836" s="305">
        <v>0</v>
      </c>
      <c r="H836" s="122">
        <v>0</v>
      </c>
      <c r="I836" s="305">
        <v>0</v>
      </c>
      <c r="J836" s="304">
        <v>0</v>
      </c>
      <c r="K836" s="305">
        <v>0</v>
      </c>
      <c r="L836" s="305">
        <v>0</v>
      </c>
      <c r="M836" s="122">
        <v>0</v>
      </c>
      <c r="N836" s="305">
        <v>0</v>
      </c>
      <c r="O836" s="304">
        <v>0</v>
      </c>
      <c r="P836" s="122">
        <v>0</v>
      </c>
      <c r="Q836" s="253">
        <v>0</v>
      </c>
      <c r="R836" s="122">
        <v>0</v>
      </c>
      <c r="S836" s="305">
        <v>0</v>
      </c>
      <c r="T836" s="120">
        <v>0</v>
      </c>
      <c r="U836" s="313">
        <v>0</v>
      </c>
      <c r="V836" s="120">
        <v>0</v>
      </c>
      <c r="W836" s="296">
        <v>0</v>
      </c>
      <c r="X836" s="296">
        <v>0</v>
      </c>
      <c r="Y836" s="306">
        <v>0</v>
      </c>
    </row>
    <row r="837" spans="1:25" ht="15.75" x14ac:dyDescent="0.25">
      <c r="A837" s="142"/>
      <c r="B837" s="143" t="s">
        <v>311</v>
      </c>
      <c r="C837" s="300"/>
      <c r="D837" s="300"/>
      <c r="E837" s="300"/>
      <c r="F837" s="300"/>
      <c r="G837" s="300"/>
      <c r="H837" s="134"/>
      <c r="I837" s="300"/>
      <c r="J837" s="299"/>
      <c r="K837" s="300"/>
      <c r="L837" s="300"/>
      <c r="M837" s="134"/>
      <c r="N837" s="300"/>
      <c r="O837" s="299"/>
      <c r="P837" s="134"/>
      <c r="Q837" s="301"/>
      <c r="R837" s="134"/>
      <c r="S837" s="300"/>
      <c r="T837" s="132"/>
      <c r="U837" s="311"/>
      <c r="V837" s="132"/>
      <c r="W837" s="296"/>
      <c r="X837" s="296"/>
    </row>
    <row r="838" spans="1:25" ht="15.75" x14ac:dyDescent="0.25">
      <c r="A838" s="142"/>
      <c r="B838" s="144" t="s">
        <v>312</v>
      </c>
      <c r="C838" s="303"/>
      <c r="D838" s="303"/>
      <c r="E838" s="303"/>
      <c r="F838" s="303"/>
      <c r="G838" s="303"/>
      <c r="H838" s="119"/>
      <c r="I838" s="303"/>
      <c r="J838" s="302"/>
      <c r="K838" s="303"/>
      <c r="L838" s="303"/>
      <c r="M838" s="119"/>
      <c r="N838" s="303"/>
      <c r="O838" s="302"/>
      <c r="P838" s="119"/>
      <c r="Q838" s="173"/>
      <c r="R838" s="119"/>
      <c r="S838" s="303"/>
      <c r="T838" s="117"/>
      <c r="U838" s="312"/>
      <c r="V838" s="117"/>
      <c r="W838" s="296"/>
      <c r="X838" s="296"/>
    </row>
    <row r="839" spans="1:25" s="306" customFormat="1" ht="15.75" x14ac:dyDescent="0.25">
      <c r="A839" s="142"/>
      <c r="B839" s="145" t="s">
        <v>313</v>
      </c>
      <c r="C839" s="305">
        <v>0</v>
      </c>
      <c r="D839" s="305">
        <v>0</v>
      </c>
      <c r="E839" s="305">
        <v>0</v>
      </c>
      <c r="F839" s="305">
        <v>0</v>
      </c>
      <c r="G839" s="305">
        <v>0</v>
      </c>
      <c r="H839" s="122">
        <v>0</v>
      </c>
      <c r="I839" s="305">
        <v>0</v>
      </c>
      <c r="J839" s="304">
        <v>0</v>
      </c>
      <c r="K839" s="305">
        <v>0</v>
      </c>
      <c r="L839" s="305">
        <v>0</v>
      </c>
      <c r="M839" s="122">
        <v>0</v>
      </c>
      <c r="N839" s="305">
        <v>0</v>
      </c>
      <c r="O839" s="304">
        <v>0</v>
      </c>
      <c r="P839" s="122">
        <v>0</v>
      </c>
      <c r="Q839" s="253">
        <v>0</v>
      </c>
      <c r="R839" s="122">
        <v>0</v>
      </c>
      <c r="S839" s="305">
        <v>0</v>
      </c>
      <c r="T839" s="120">
        <v>0</v>
      </c>
      <c r="U839" s="313">
        <v>0</v>
      </c>
      <c r="V839" s="120">
        <v>0</v>
      </c>
      <c r="W839" s="296">
        <v>0</v>
      </c>
      <c r="X839" s="296">
        <v>0</v>
      </c>
      <c r="Y839" s="306">
        <v>0</v>
      </c>
    </row>
    <row r="840" spans="1:25" ht="15.75" x14ac:dyDescent="0.25">
      <c r="A840" s="142"/>
      <c r="B840" s="143" t="s">
        <v>314</v>
      </c>
      <c r="C840" s="300"/>
      <c r="D840" s="300"/>
      <c r="E840" s="300"/>
      <c r="F840" s="300"/>
      <c r="G840" s="300"/>
      <c r="H840" s="134"/>
      <c r="I840" s="300"/>
      <c r="J840" s="299"/>
      <c r="K840" s="300"/>
      <c r="L840" s="300"/>
      <c r="M840" s="134"/>
      <c r="N840" s="300"/>
      <c r="O840" s="299"/>
      <c r="P840" s="134"/>
      <c r="Q840" s="301"/>
      <c r="R840" s="134"/>
      <c r="S840" s="300">
        <v>198</v>
      </c>
      <c r="T840" s="132">
        <v>198</v>
      </c>
      <c r="U840" s="311"/>
      <c r="V840" s="132"/>
      <c r="W840" s="296"/>
      <c r="X840" s="296"/>
      <c r="Y840" s="511">
        <v>198</v>
      </c>
    </row>
    <row r="841" spans="1:25" ht="15.75" x14ac:dyDescent="0.25">
      <c r="A841" s="142"/>
      <c r="B841" s="144" t="s">
        <v>315</v>
      </c>
      <c r="C841" s="303"/>
      <c r="D841" s="303"/>
      <c r="E841" s="303"/>
      <c r="F841" s="303"/>
      <c r="G841" s="303"/>
      <c r="H841" s="119"/>
      <c r="I841" s="303"/>
      <c r="J841" s="302"/>
      <c r="K841" s="303"/>
      <c r="L841" s="303"/>
      <c r="M841" s="119"/>
      <c r="N841" s="303"/>
      <c r="O841" s="302"/>
      <c r="P841" s="119"/>
      <c r="Q841" s="173"/>
      <c r="R841" s="119"/>
      <c r="S841" s="303">
        <v>157</v>
      </c>
      <c r="T841" s="117">
        <v>157</v>
      </c>
      <c r="U841" s="312"/>
      <c r="V841" s="117"/>
      <c r="W841" s="296"/>
      <c r="X841" s="296"/>
      <c r="Y841" s="511">
        <v>157</v>
      </c>
    </row>
    <row r="842" spans="1:25" s="306" customFormat="1" ht="15.75" x14ac:dyDescent="0.25">
      <c r="A842" s="142"/>
      <c r="B842" s="145" t="s">
        <v>316</v>
      </c>
      <c r="C842" s="305">
        <v>0</v>
      </c>
      <c r="D842" s="305">
        <v>0</v>
      </c>
      <c r="E842" s="305">
        <v>0</v>
      </c>
      <c r="F842" s="305">
        <v>0</v>
      </c>
      <c r="G842" s="305">
        <v>0</v>
      </c>
      <c r="H842" s="122">
        <v>0</v>
      </c>
      <c r="I842" s="305">
        <v>0</v>
      </c>
      <c r="J842" s="304">
        <v>0</v>
      </c>
      <c r="K842" s="305">
        <v>0</v>
      </c>
      <c r="L842" s="305">
        <v>0</v>
      </c>
      <c r="M842" s="122">
        <v>0</v>
      </c>
      <c r="N842" s="305">
        <v>0</v>
      </c>
      <c r="O842" s="304">
        <v>0</v>
      </c>
      <c r="P842" s="122">
        <v>0</v>
      </c>
      <c r="Q842" s="253">
        <v>0</v>
      </c>
      <c r="R842" s="122">
        <v>0</v>
      </c>
      <c r="S842" s="305">
        <v>-0.20707070707070707</v>
      </c>
      <c r="T842" s="120">
        <v>-0.20707070707070707</v>
      </c>
      <c r="U842" s="313">
        <v>0</v>
      </c>
      <c r="V842" s="120">
        <v>0</v>
      </c>
      <c r="W842" s="296">
        <v>0</v>
      </c>
      <c r="X842" s="296">
        <v>0</v>
      </c>
      <c r="Y842" s="306">
        <v>-0.20707070707070707</v>
      </c>
    </row>
    <row r="843" spans="1:25" ht="15.75" x14ac:dyDescent="0.25">
      <c r="A843" s="142"/>
      <c r="B843" s="143" t="s">
        <v>317</v>
      </c>
      <c r="C843" s="300"/>
      <c r="D843" s="300"/>
      <c r="E843" s="300"/>
      <c r="F843" s="300"/>
      <c r="G843" s="300"/>
      <c r="H843" s="134"/>
      <c r="I843" s="300"/>
      <c r="J843" s="299"/>
      <c r="K843" s="300"/>
      <c r="L843" s="300"/>
      <c r="M843" s="134"/>
      <c r="N843" s="300"/>
      <c r="O843" s="299"/>
      <c r="P843" s="134"/>
      <c r="Q843" s="301"/>
      <c r="R843" s="134"/>
      <c r="S843" s="300"/>
      <c r="T843" s="132"/>
      <c r="U843" s="311"/>
      <c r="V843" s="132"/>
      <c r="W843" s="296"/>
      <c r="X843" s="296"/>
    </row>
    <row r="844" spans="1:25" ht="15.75" x14ac:dyDescent="0.25">
      <c r="A844" s="142"/>
      <c r="B844" s="144" t="s">
        <v>318</v>
      </c>
      <c r="C844" s="303"/>
      <c r="D844" s="303"/>
      <c r="E844" s="303"/>
      <c r="F844" s="303"/>
      <c r="G844" s="303"/>
      <c r="H844" s="119"/>
      <c r="I844" s="303"/>
      <c r="J844" s="302"/>
      <c r="K844" s="303"/>
      <c r="L844" s="303"/>
      <c r="M844" s="119"/>
      <c r="N844" s="303"/>
      <c r="O844" s="302"/>
      <c r="P844" s="119"/>
      <c r="Q844" s="173"/>
      <c r="R844" s="119"/>
      <c r="S844" s="303"/>
      <c r="T844" s="117"/>
      <c r="U844" s="312"/>
      <c r="V844" s="117"/>
      <c r="W844" s="296"/>
      <c r="X844" s="296"/>
    </row>
    <row r="845" spans="1:25" s="306" customFormat="1" ht="15.75" x14ac:dyDescent="0.25">
      <c r="A845" s="142"/>
      <c r="B845" s="145" t="s">
        <v>319</v>
      </c>
      <c r="C845" s="305">
        <v>0</v>
      </c>
      <c r="D845" s="305">
        <v>0</v>
      </c>
      <c r="E845" s="305">
        <v>0</v>
      </c>
      <c r="F845" s="305">
        <v>0</v>
      </c>
      <c r="G845" s="305">
        <v>0</v>
      </c>
      <c r="H845" s="122">
        <v>0</v>
      </c>
      <c r="I845" s="305">
        <v>0</v>
      </c>
      <c r="J845" s="304">
        <v>0</v>
      </c>
      <c r="K845" s="305">
        <v>0</v>
      </c>
      <c r="L845" s="305">
        <v>0</v>
      </c>
      <c r="M845" s="122">
        <v>0</v>
      </c>
      <c r="N845" s="305">
        <v>0</v>
      </c>
      <c r="O845" s="304">
        <v>0</v>
      </c>
      <c r="P845" s="122">
        <v>0</v>
      </c>
      <c r="Q845" s="253">
        <v>0</v>
      </c>
      <c r="R845" s="122">
        <v>0</v>
      </c>
      <c r="S845" s="305">
        <v>0</v>
      </c>
      <c r="T845" s="120">
        <v>0</v>
      </c>
      <c r="U845" s="313">
        <v>0</v>
      </c>
      <c r="V845" s="120">
        <v>0</v>
      </c>
      <c r="W845" s="296">
        <v>0</v>
      </c>
      <c r="X845" s="296">
        <v>0</v>
      </c>
      <c r="Y845" s="306">
        <v>0</v>
      </c>
    </row>
    <row r="846" spans="1:25" ht="15.75" x14ac:dyDescent="0.25">
      <c r="A846" s="142"/>
      <c r="B846" s="143" t="s">
        <v>320</v>
      </c>
      <c r="C846" s="300"/>
      <c r="D846" s="300"/>
      <c r="E846" s="300"/>
      <c r="F846" s="300"/>
      <c r="G846" s="300"/>
      <c r="H846" s="134"/>
      <c r="I846" s="300"/>
      <c r="J846" s="299"/>
      <c r="K846" s="300"/>
      <c r="L846" s="300"/>
      <c r="M846" s="134"/>
      <c r="N846" s="300"/>
      <c r="O846" s="299"/>
      <c r="P846" s="134"/>
      <c r="Q846" s="301"/>
      <c r="R846" s="134"/>
      <c r="S846" s="300"/>
      <c r="T846" s="132"/>
      <c r="U846" s="311"/>
      <c r="V846" s="132"/>
      <c r="W846" s="296"/>
      <c r="X846" s="296"/>
    </row>
    <row r="847" spans="1:25" ht="15.75" x14ac:dyDescent="0.25">
      <c r="A847" s="142"/>
      <c r="B847" s="144" t="s">
        <v>321</v>
      </c>
      <c r="C847" s="303"/>
      <c r="D847" s="303"/>
      <c r="E847" s="303"/>
      <c r="F847" s="303"/>
      <c r="G847" s="303"/>
      <c r="H847" s="119"/>
      <c r="I847" s="303"/>
      <c r="J847" s="302"/>
      <c r="K847" s="303"/>
      <c r="L847" s="303"/>
      <c r="M847" s="119"/>
      <c r="N847" s="303"/>
      <c r="O847" s="302"/>
      <c r="P847" s="119"/>
      <c r="Q847" s="173"/>
      <c r="R847" s="119"/>
      <c r="S847" s="303"/>
      <c r="T847" s="117"/>
      <c r="U847" s="312"/>
      <c r="V847" s="117"/>
      <c r="W847" s="296"/>
      <c r="X847" s="296"/>
    </row>
    <row r="848" spans="1:25" s="306" customFormat="1" ht="15.75" x14ac:dyDescent="0.25">
      <c r="A848" s="142"/>
      <c r="B848" s="145" t="s">
        <v>322</v>
      </c>
      <c r="C848" s="305">
        <v>0</v>
      </c>
      <c r="D848" s="305">
        <v>0</v>
      </c>
      <c r="E848" s="305">
        <v>0</v>
      </c>
      <c r="F848" s="305">
        <v>0</v>
      </c>
      <c r="G848" s="305">
        <v>0</v>
      </c>
      <c r="H848" s="122">
        <v>0</v>
      </c>
      <c r="I848" s="305">
        <v>0</v>
      </c>
      <c r="J848" s="304">
        <v>0</v>
      </c>
      <c r="K848" s="305">
        <v>0</v>
      </c>
      <c r="L848" s="305">
        <v>0</v>
      </c>
      <c r="M848" s="122">
        <v>0</v>
      </c>
      <c r="N848" s="305">
        <v>0</v>
      </c>
      <c r="O848" s="304">
        <v>0</v>
      </c>
      <c r="P848" s="122">
        <v>0</v>
      </c>
      <c r="Q848" s="253">
        <v>0</v>
      </c>
      <c r="R848" s="122">
        <v>0</v>
      </c>
      <c r="S848" s="305">
        <v>0</v>
      </c>
      <c r="T848" s="120">
        <v>0</v>
      </c>
      <c r="U848" s="313">
        <v>0</v>
      </c>
      <c r="V848" s="120">
        <v>0</v>
      </c>
      <c r="W848" s="296">
        <v>0</v>
      </c>
      <c r="X848" s="296">
        <v>0</v>
      </c>
      <c r="Y848" s="306">
        <v>0</v>
      </c>
    </row>
    <row r="849" spans="1:25" ht="15.75" x14ac:dyDescent="0.25">
      <c r="A849" s="142"/>
      <c r="B849" s="143" t="s">
        <v>404</v>
      </c>
      <c r="C849" s="300">
        <v>80</v>
      </c>
      <c r="D849" s="300"/>
      <c r="E849" s="300">
        <v>11</v>
      </c>
      <c r="F849" s="300"/>
      <c r="G849" s="300"/>
      <c r="H849" s="134"/>
      <c r="I849" s="300">
        <v>91</v>
      </c>
      <c r="J849" s="299"/>
      <c r="K849" s="300"/>
      <c r="L849" s="300"/>
      <c r="M849" s="134"/>
      <c r="N849" s="300"/>
      <c r="O849" s="299"/>
      <c r="P849" s="134"/>
      <c r="Q849" s="301"/>
      <c r="R849" s="134"/>
      <c r="S849" s="300">
        <v>0</v>
      </c>
      <c r="T849" s="132">
        <v>0</v>
      </c>
      <c r="U849" s="311"/>
      <c r="V849" s="132"/>
      <c r="W849" s="296"/>
      <c r="X849" s="296"/>
      <c r="Y849" s="511">
        <v>91</v>
      </c>
    </row>
    <row r="850" spans="1:25" ht="16.5" thickBot="1" x14ac:dyDescent="0.3">
      <c r="A850" s="142"/>
      <c r="B850" s="144" t="s">
        <v>406</v>
      </c>
      <c r="C850" s="303">
        <v>74</v>
      </c>
      <c r="D850" s="303"/>
      <c r="E850" s="786">
        <v>39</v>
      </c>
      <c r="F850" s="303"/>
      <c r="G850" s="303"/>
      <c r="H850" s="119"/>
      <c r="I850" s="303">
        <v>113</v>
      </c>
      <c r="J850" s="302"/>
      <c r="K850" s="303"/>
      <c r="L850" s="303"/>
      <c r="M850" s="119"/>
      <c r="N850" s="303"/>
      <c r="O850" s="302"/>
      <c r="P850" s="119"/>
      <c r="Q850" s="173"/>
      <c r="R850" s="119"/>
      <c r="S850" s="303"/>
      <c r="T850" s="117"/>
      <c r="U850" s="312"/>
      <c r="V850" s="117"/>
      <c r="W850" s="296"/>
      <c r="X850" s="296"/>
      <c r="Y850" s="511">
        <v>113</v>
      </c>
    </row>
    <row r="851" spans="1:25" s="306" customFormat="1" ht="16.5" thickBot="1" x14ac:dyDescent="0.3">
      <c r="A851" s="142"/>
      <c r="B851" s="145" t="s">
        <v>474</v>
      </c>
      <c r="C851" s="305">
        <v>-7.4999999999999997E-2</v>
      </c>
      <c r="D851" s="788">
        <v>0</v>
      </c>
      <c r="E851" s="787">
        <v>2.5454545454545454</v>
      </c>
      <c r="F851" s="305">
        <v>0</v>
      </c>
      <c r="G851" s="305">
        <v>0</v>
      </c>
      <c r="H851" s="122">
        <v>0</v>
      </c>
      <c r="I851" s="305">
        <v>0.24175824175824176</v>
      </c>
      <c r="J851" s="304">
        <v>0</v>
      </c>
      <c r="K851" s="305">
        <v>0</v>
      </c>
      <c r="L851" s="305">
        <v>0</v>
      </c>
      <c r="M851" s="122">
        <v>0</v>
      </c>
      <c r="N851" s="305">
        <v>0</v>
      </c>
      <c r="O851" s="304">
        <v>0</v>
      </c>
      <c r="P851" s="122">
        <v>0</v>
      </c>
      <c r="Q851" s="253">
        <v>0</v>
      </c>
      <c r="R851" s="122">
        <v>0</v>
      </c>
      <c r="S851" s="305">
        <v>0</v>
      </c>
      <c r="T851" s="120">
        <v>0</v>
      </c>
      <c r="U851" s="313">
        <v>0</v>
      </c>
      <c r="V851" s="120">
        <v>0</v>
      </c>
      <c r="W851" s="296">
        <v>0</v>
      </c>
      <c r="X851" s="296">
        <v>0</v>
      </c>
      <c r="Y851" s="306">
        <v>0.24175824175824176</v>
      </c>
    </row>
    <row r="852" spans="1:25" ht="15.75" x14ac:dyDescent="0.25">
      <c r="A852" s="142"/>
      <c r="B852" s="143" t="s">
        <v>476</v>
      </c>
      <c r="C852" s="300"/>
      <c r="D852" s="300"/>
      <c r="E852" s="303"/>
      <c r="F852" s="300"/>
      <c r="G852" s="300"/>
      <c r="H852" s="134"/>
      <c r="I852" s="300"/>
      <c r="J852" s="299"/>
      <c r="K852" s="300"/>
      <c r="L852" s="300"/>
      <c r="M852" s="134"/>
      <c r="N852" s="300"/>
      <c r="O852" s="299"/>
      <c r="P852" s="134"/>
      <c r="Q852" s="301"/>
      <c r="R852" s="134"/>
      <c r="S852" s="300"/>
      <c r="T852" s="132"/>
      <c r="U852" s="311"/>
      <c r="V852" s="132"/>
      <c r="W852" s="296"/>
      <c r="X852" s="296"/>
    </row>
    <row r="853" spans="1:25" ht="15.75" x14ac:dyDescent="0.25">
      <c r="A853" s="294"/>
      <c r="B853" s="144" t="s">
        <v>472</v>
      </c>
      <c r="C853" s="303">
        <v>0</v>
      </c>
      <c r="D853" s="303"/>
      <c r="E853" s="303"/>
      <c r="F853" s="303"/>
      <c r="G853" s="303"/>
      <c r="H853" s="119"/>
      <c r="I853" s="303">
        <v>0</v>
      </c>
      <c r="J853" s="302"/>
      <c r="K853" s="303"/>
      <c r="L853" s="303"/>
      <c r="M853" s="119"/>
      <c r="N853" s="303"/>
      <c r="O853" s="302"/>
      <c r="P853" s="119"/>
      <c r="Q853" s="173"/>
      <c r="R853" s="119"/>
      <c r="S853" s="303"/>
      <c r="T853" s="117"/>
      <c r="U853" s="312"/>
      <c r="V853" s="117"/>
      <c r="W853" s="296"/>
      <c r="X853" s="296"/>
      <c r="Y853" s="511">
        <v>0</v>
      </c>
    </row>
    <row r="854" spans="1:25" s="306" customFormat="1" ht="15.75" x14ac:dyDescent="0.25">
      <c r="A854" s="143" t="s">
        <v>323</v>
      </c>
      <c r="B854" s="143"/>
      <c r="C854" s="300">
        <v>61</v>
      </c>
      <c r="D854" s="300">
        <v>17</v>
      </c>
      <c r="E854" s="300">
        <v>576</v>
      </c>
      <c r="F854" s="300">
        <v>299</v>
      </c>
      <c r="G854" s="300">
        <v>458</v>
      </c>
      <c r="H854" s="134">
        <v>405</v>
      </c>
      <c r="I854" s="300">
        <v>1816</v>
      </c>
      <c r="J854" s="299">
        <v>10436</v>
      </c>
      <c r="K854" s="300">
        <v>58457</v>
      </c>
      <c r="L854" s="300">
        <v>43411</v>
      </c>
      <c r="M854" s="134">
        <v>14800</v>
      </c>
      <c r="N854" s="300">
        <v>127104</v>
      </c>
      <c r="O854" s="299">
        <v>52098</v>
      </c>
      <c r="P854" s="134">
        <v>18003</v>
      </c>
      <c r="Q854" s="301">
        <v>1415</v>
      </c>
      <c r="R854" s="134">
        <v>71516</v>
      </c>
      <c r="S854" s="300">
        <v>173</v>
      </c>
      <c r="T854" s="132">
        <v>173</v>
      </c>
      <c r="U854" s="311"/>
      <c r="V854" s="132"/>
      <c r="W854" s="296">
        <v>18</v>
      </c>
      <c r="X854" s="296">
        <v>18</v>
      </c>
      <c r="Y854" s="306">
        <v>200627</v>
      </c>
    </row>
    <row r="855" spans="1:25" ht="15.75" x14ac:dyDescent="0.25">
      <c r="A855" s="144" t="s">
        <v>324</v>
      </c>
      <c r="B855" s="144"/>
      <c r="C855" s="303">
        <v>52</v>
      </c>
      <c r="D855" s="303">
        <v>22</v>
      </c>
      <c r="E855" s="303">
        <v>644</v>
      </c>
      <c r="F855" s="303">
        <v>187</v>
      </c>
      <c r="G855" s="303">
        <v>526</v>
      </c>
      <c r="H855" s="119">
        <v>239</v>
      </c>
      <c r="I855" s="303">
        <v>1670</v>
      </c>
      <c r="J855" s="302">
        <v>10101</v>
      </c>
      <c r="K855" s="303">
        <v>60519</v>
      </c>
      <c r="L855" s="303">
        <v>43767</v>
      </c>
      <c r="M855" s="119">
        <v>14783</v>
      </c>
      <c r="N855" s="303">
        <v>129170</v>
      </c>
      <c r="O855" s="302">
        <v>43853</v>
      </c>
      <c r="P855" s="119">
        <v>17569</v>
      </c>
      <c r="Q855" s="173">
        <v>1315</v>
      </c>
      <c r="R855" s="119">
        <v>62737</v>
      </c>
      <c r="S855" s="303">
        <v>69</v>
      </c>
      <c r="T855" s="117">
        <v>69</v>
      </c>
      <c r="U855" s="312"/>
      <c r="V855" s="117"/>
      <c r="W855" s="296">
        <v>18</v>
      </c>
      <c r="X855" s="296">
        <v>18</v>
      </c>
      <c r="Y855" s="511">
        <v>193664</v>
      </c>
    </row>
    <row r="856" spans="1:25" ht="15.75" x14ac:dyDescent="0.25">
      <c r="A856" s="308" t="s">
        <v>325</v>
      </c>
      <c r="B856" s="145"/>
      <c r="C856" s="305">
        <v>-0.14754098360655737</v>
      </c>
      <c r="D856" s="305">
        <v>0.29411764705882354</v>
      </c>
      <c r="E856" s="305">
        <v>0.11805555555555555</v>
      </c>
      <c r="F856" s="305">
        <v>-0.37458193979933108</v>
      </c>
      <c r="G856" s="305">
        <v>0.14847161572052403</v>
      </c>
      <c r="H856" s="122">
        <v>-0.40987654320987654</v>
      </c>
      <c r="I856" s="305">
        <v>-8.039647577092511E-2</v>
      </c>
      <c r="J856" s="304">
        <v>-3.2100421617477962E-2</v>
      </c>
      <c r="K856" s="305">
        <v>3.5273790991669093E-2</v>
      </c>
      <c r="L856" s="305">
        <v>8.200686461956647E-3</v>
      </c>
      <c r="M856" s="122">
        <v>-1.1486486486486486E-3</v>
      </c>
      <c r="N856" s="305">
        <v>1.6254405840886204E-2</v>
      </c>
      <c r="O856" s="304">
        <v>-0.15825943414334523</v>
      </c>
      <c r="P856" s="122">
        <v>-2.4107093262234071E-2</v>
      </c>
      <c r="Q856" s="253">
        <v>-7.0671378091872794E-2</v>
      </c>
      <c r="R856" s="122">
        <v>-0.12275574696571397</v>
      </c>
      <c r="S856" s="305">
        <v>-0.60115606936416188</v>
      </c>
      <c r="T856" s="120">
        <v>-0.60115606936416188</v>
      </c>
      <c r="U856" s="313">
        <v>0</v>
      </c>
      <c r="V856" s="120">
        <v>0</v>
      </c>
      <c r="W856" s="296">
        <v>0</v>
      </c>
      <c r="X856" s="296">
        <v>0</v>
      </c>
      <c r="Y856" s="511">
        <v>-3.4706196075303924E-2</v>
      </c>
    </row>
    <row r="857" spans="1:25" s="306" customFormat="1" ht="15.75" x14ac:dyDescent="0.25">
      <c r="A857" s="143" t="s">
        <v>326</v>
      </c>
      <c r="B857" s="143"/>
      <c r="C857" s="300">
        <v>62</v>
      </c>
      <c r="D857" s="300">
        <v>107</v>
      </c>
      <c r="E857" s="300">
        <v>34</v>
      </c>
      <c r="F857" s="300">
        <v>55</v>
      </c>
      <c r="G857" s="300">
        <v>16</v>
      </c>
      <c r="H857" s="134"/>
      <c r="I857" s="300">
        <v>274</v>
      </c>
      <c r="J857" s="299">
        <v>158</v>
      </c>
      <c r="K857" s="300">
        <v>361</v>
      </c>
      <c r="L857" s="300">
        <v>25</v>
      </c>
      <c r="M857" s="134">
        <v>3422</v>
      </c>
      <c r="N857" s="300">
        <v>3966</v>
      </c>
      <c r="O857" s="299">
        <v>2896</v>
      </c>
      <c r="P857" s="134">
        <v>191</v>
      </c>
      <c r="Q857" s="301"/>
      <c r="R857" s="134">
        <v>3087</v>
      </c>
      <c r="S857" s="300">
        <v>592</v>
      </c>
      <c r="T857" s="132">
        <v>592</v>
      </c>
      <c r="U857" s="311"/>
      <c r="V857" s="132"/>
      <c r="W857" s="296"/>
      <c r="X857" s="296"/>
      <c r="Y857" s="306">
        <v>7919</v>
      </c>
    </row>
    <row r="858" spans="1:25" ht="15.75" x14ac:dyDescent="0.25">
      <c r="A858" s="144" t="s">
        <v>327</v>
      </c>
      <c r="B858" s="144"/>
      <c r="C858" s="303">
        <v>58</v>
      </c>
      <c r="D858" s="303">
        <v>118</v>
      </c>
      <c r="E858" s="303">
        <v>31</v>
      </c>
      <c r="F858" s="303">
        <v>64</v>
      </c>
      <c r="G858" s="303">
        <v>23</v>
      </c>
      <c r="H858" s="119"/>
      <c r="I858" s="303">
        <v>294</v>
      </c>
      <c r="J858" s="302">
        <v>121</v>
      </c>
      <c r="K858" s="303">
        <v>300</v>
      </c>
      <c r="L858" s="303">
        <v>34</v>
      </c>
      <c r="M858" s="119">
        <v>2550</v>
      </c>
      <c r="N858" s="303">
        <v>3005</v>
      </c>
      <c r="O858" s="302">
        <v>2529</v>
      </c>
      <c r="P858" s="119">
        <v>158</v>
      </c>
      <c r="Q858" s="173"/>
      <c r="R858" s="119">
        <v>2687</v>
      </c>
      <c r="S858" s="303">
        <v>666</v>
      </c>
      <c r="T858" s="117">
        <v>666</v>
      </c>
      <c r="U858" s="312"/>
      <c r="V858" s="117"/>
      <c r="W858" s="296"/>
      <c r="X858" s="296"/>
      <c r="Y858" s="511">
        <v>6652</v>
      </c>
    </row>
    <row r="859" spans="1:25" ht="15.75" x14ac:dyDescent="0.25">
      <c r="A859" s="145" t="s">
        <v>328</v>
      </c>
      <c r="B859" s="145"/>
      <c r="C859" s="305">
        <v>-6.4516129032258063E-2</v>
      </c>
      <c r="D859" s="305">
        <v>0.10280373831775701</v>
      </c>
      <c r="E859" s="305">
        <v>-8.8235294117647065E-2</v>
      </c>
      <c r="F859" s="305">
        <v>0.16363636363636364</v>
      </c>
      <c r="G859" s="305">
        <v>0.4375</v>
      </c>
      <c r="H859" s="122">
        <v>0</v>
      </c>
      <c r="I859" s="305">
        <v>7.2992700729927001E-2</v>
      </c>
      <c r="J859" s="304">
        <v>-0.23417721518987342</v>
      </c>
      <c r="K859" s="305">
        <v>-0.16897506925207756</v>
      </c>
      <c r="L859" s="305">
        <v>0.36</v>
      </c>
      <c r="M859" s="122">
        <v>-0.25482174167153709</v>
      </c>
      <c r="N859" s="305">
        <v>-0.24230963187090268</v>
      </c>
      <c r="O859" s="304">
        <v>-0.12672651933701656</v>
      </c>
      <c r="P859" s="122">
        <v>-0.17277486910994763</v>
      </c>
      <c r="Q859" s="253">
        <v>0</v>
      </c>
      <c r="R859" s="122">
        <v>-0.12957563977972142</v>
      </c>
      <c r="S859" s="305">
        <v>0.125</v>
      </c>
      <c r="T859" s="120">
        <v>0.125</v>
      </c>
      <c r="U859" s="313">
        <v>0</v>
      </c>
      <c r="V859" s="120">
        <v>0</v>
      </c>
      <c r="W859" s="296">
        <v>0</v>
      </c>
      <c r="X859" s="296">
        <v>0</v>
      </c>
      <c r="Y859" s="511">
        <v>-0.15999494885717894</v>
      </c>
    </row>
    <row r="860" spans="1:25" s="306" customFormat="1" ht="15.75" x14ac:dyDescent="0.25">
      <c r="A860" s="143" t="s">
        <v>329</v>
      </c>
      <c r="B860" s="143"/>
      <c r="C860" s="300">
        <v>1317</v>
      </c>
      <c r="D860" s="300">
        <v>426</v>
      </c>
      <c r="E860" s="300">
        <v>5389</v>
      </c>
      <c r="F860" s="300">
        <v>1892</v>
      </c>
      <c r="G860" s="300">
        <v>766</v>
      </c>
      <c r="H860" s="134">
        <v>1330</v>
      </c>
      <c r="I860" s="300">
        <v>11120</v>
      </c>
      <c r="J860" s="299">
        <v>32072</v>
      </c>
      <c r="K860" s="300">
        <v>130235</v>
      </c>
      <c r="L860" s="300">
        <v>60901</v>
      </c>
      <c r="M860" s="134">
        <v>17669</v>
      </c>
      <c r="N860" s="300">
        <v>240877</v>
      </c>
      <c r="O860" s="299">
        <v>7175</v>
      </c>
      <c r="P860" s="134">
        <v>156</v>
      </c>
      <c r="Q860" s="301"/>
      <c r="R860" s="134">
        <v>7331</v>
      </c>
      <c r="S860" s="300">
        <v>714</v>
      </c>
      <c r="T860" s="132">
        <v>714</v>
      </c>
      <c r="U860" s="311"/>
      <c r="V860" s="132"/>
      <c r="W860" s="296"/>
      <c r="X860" s="296"/>
      <c r="Y860" s="306">
        <v>260042</v>
      </c>
    </row>
    <row r="861" spans="1:25" ht="15.75" x14ac:dyDescent="0.25">
      <c r="A861" s="144" t="s">
        <v>330</v>
      </c>
      <c r="B861" s="144"/>
      <c r="C861" s="303">
        <v>1478</v>
      </c>
      <c r="D861" s="303">
        <v>460</v>
      </c>
      <c r="E861" s="303">
        <v>3358</v>
      </c>
      <c r="F861" s="303">
        <v>2111</v>
      </c>
      <c r="G861" s="303">
        <v>693</v>
      </c>
      <c r="H861" s="119">
        <v>1226</v>
      </c>
      <c r="I861" s="303">
        <v>9326</v>
      </c>
      <c r="J861" s="302">
        <v>37960</v>
      </c>
      <c r="K861" s="303">
        <v>147456</v>
      </c>
      <c r="L861" s="303">
        <v>64255</v>
      </c>
      <c r="M861" s="119">
        <v>18733</v>
      </c>
      <c r="N861" s="303">
        <v>268404</v>
      </c>
      <c r="O861" s="302">
        <v>7121</v>
      </c>
      <c r="P861" s="119">
        <v>160</v>
      </c>
      <c r="Q861" s="173"/>
      <c r="R861" s="119">
        <v>7281</v>
      </c>
      <c r="S861" s="303">
        <v>690</v>
      </c>
      <c r="T861" s="117">
        <v>690</v>
      </c>
      <c r="U861" s="312"/>
      <c r="V861" s="117"/>
      <c r="W861" s="296"/>
      <c r="X861" s="296"/>
      <c r="Y861" s="511">
        <v>285701</v>
      </c>
    </row>
    <row r="862" spans="1:25" ht="15.75" x14ac:dyDescent="0.25">
      <c r="A862" s="308" t="s">
        <v>331</v>
      </c>
      <c r="B862" s="145"/>
      <c r="C862" s="305">
        <v>0.12224753227031131</v>
      </c>
      <c r="D862" s="305">
        <v>7.9812206572769953E-2</v>
      </c>
      <c r="E862" s="305">
        <v>-0.37687882724067545</v>
      </c>
      <c r="F862" s="305">
        <v>0.11575052854122622</v>
      </c>
      <c r="G862" s="305">
        <v>-9.5300261096605748E-2</v>
      </c>
      <c r="H862" s="122">
        <v>-7.8195488721804512E-2</v>
      </c>
      <c r="I862" s="305">
        <v>-0.16133093525179856</v>
      </c>
      <c r="J862" s="304">
        <v>0.18358692940883012</v>
      </c>
      <c r="K862" s="305">
        <v>0.13223019925519253</v>
      </c>
      <c r="L862" s="305">
        <v>5.5072987307269172E-2</v>
      </c>
      <c r="M862" s="122">
        <v>6.0218461712603998E-2</v>
      </c>
      <c r="N862" s="305">
        <v>0.1142782415921819</v>
      </c>
      <c r="O862" s="304">
        <v>-7.5261324041811847E-3</v>
      </c>
      <c r="P862" s="122">
        <v>2.564102564102564E-2</v>
      </c>
      <c r="Q862" s="253">
        <v>0</v>
      </c>
      <c r="R862" s="122">
        <v>-6.8203519301595966E-3</v>
      </c>
      <c r="S862" s="305">
        <v>-3.3613445378151259E-2</v>
      </c>
      <c r="T862" s="120">
        <v>-3.3613445378151259E-2</v>
      </c>
      <c r="U862" s="313">
        <v>0</v>
      </c>
      <c r="V862" s="120">
        <v>0</v>
      </c>
      <c r="W862" s="296">
        <v>0</v>
      </c>
      <c r="X862" s="296">
        <v>0</v>
      </c>
      <c r="Y862" s="511">
        <v>9.8672522131040372E-2</v>
      </c>
    </row>
    <row r="863" spans="1:25" s="306" customFormat="1" ht="15.75" x14ac:dyDescent="0.25">
      <c r="A863" s="143" t="s">
        <v>332</v>
      </c>
      <c r="B863" s="143"/>
      <c r="C863" s="300">
        <v>188848</v>
      </c>
      <c r="D863" s="300">
        <v>45575</v>
      </c>
      <c r="E863" s="300">
        <v>99661</v>
      </c>
      <c r="F863" s="300">
        <v>31943</v>
      </c>
      <c r="G863" s="300">
        <v>18356</v>
      </c>
      <c r="H863" s="134">
        <v>9632</v>
      </c>
      <c r="I863" s="300">
        <v>394015</v>
      </c>
      <c r="J863" s="299">
        <v>2377</v>
      </c>
      <c r="K863" s="300">
        <v>164</v>
      </c>
      <c r="L863" s="300">
        <v>1088</v>
      </c>
      <c r="M863" s="134">
        <v>0</v>
      </c>
      <c r="N863" s="300">
        <v>3629</v>
      </c>
      <c r="O863" s="299"/>
      <c r="P863" s="134"/>
      <c r="Q863" s="301"/>
      <c r="R863" s="134"/>
      <c r="S863" s="300">
        <v>8251</v>
      </c>
      <c r="T863" s="132">
        <v>8251</v>
      </c>
      <c r="U863" s="311"/>
      <c r="V863" s="132"/>
      <c r="W863" s="296"/>
      <c r="X863" s="296"/>
      <c r="Y863" s="306">
        <v>405895</v>
      </c>
    </row>
    <row r="864" spans="1:25" ht="15.75" x14ac:dyDescent="0.25">
      <c r="A864" s="144" t="s">
        <v>333</v>
      </c>
      <c r="B864" s="144"/>
      <c r="C864" s="303">
        <v>195546</v>
      </c>
      <c r="D864" s="303">
        <v>47036</v>
      </c>
      <c r="E864" s="303">
        <v>103551</v>
      </c>
      <c r="F864" s="303">
        <v>33167</v>
      </c>
      <c r="G864" s="303">
        <v>18929</v>
      </c>
      <c r="H864" s="119">
        <v>10260</v>
      </c>
      <c r="I864" s="303">
        <v>408489</v>
      </c>
      <c r="J864" s="302">
        <v>4132</v>
      </c>
      <c r="K864" s="303">
        <v>638</v>
      </c>
      <c r="L864" s="303">
        <v>225</v>
      </c>
      <c r="M864" s="119">
        <v>0</v>
      </c>
      <c r="N864" s="303">
        <v>4995</v>
      </c>
      <c r="O864" s="302"/>
      <c r="P864" s="119"/>
      <c r="Q864" s="173"/>
      <c r="R864" s="119"/>
      <c r="S864" s="303">
        <v>9079</v>
      </c>
      <c r="T864" s="117">
        <v>9079</v>
      </c>
      <c r="U864" s="312"/>
      <c r="V864" s="117"/>
      <c r="W864" s="296"/>
      <c r="X864" s="296"/>
      <c r="Y864" s="511">
        <v>422563</v>
      </c>
    </row>
    <row r="865" spans="1:25" ht="15.75" x14ac:dyDescent="0.25">
      <c r="A865" s="308" t="s">
        <v>334</v>
      </c>
      <c r="B865" s="145"/>
      <c r="C865" s="305">
        <v>3.5467677709057017E-2</v>
      </c>
      <c r="D865" s="305">
        <v>3.2057048820625343E-2</v>
      </c>
      <c r="E865" s="305">
        <v>3.9032319563319651E-2</v>
      </c>
      <c r="F865" s="305">
        <v>3.8318254390633313E-2</v>
      </c>
      <c r="G865" s="305">
        <v>3.1215951187622576E-2</v>
      </c>
      <c r="H865" s="122">
        <v>6.5199335548172754E-2</v>
      </c>
      <c r="I865" s="305">
        <v>3.6734642082154233E-2</v>
      </c>
      <c r="J865" s="304">
        <v>0.73832562053007988</v>
      </c>
      <c r="K865" s="305">
        <v>2.8902439024390243</v>
      </c>
      <c r="L865" s="305">
        <v>-0.79319852941176472</v>
      </c>
      <c r="M865" s="122">
        <v>0</v>
      </c>
      <c r="N865" s="305">
        <v>0.37641223477542024</v>
      </c>
      <c r="O865" s="304">
        <v>0</v>
      </c>
      <c r="P865" s="122">
        <v>0</v>
      </c>
      <c r="Q865" s="253">
        <v>0</v>
      </c>
      <c r="R865" s="122">
        <v>0</v>
      </c>
      <c r="S865" s="305">
        <v>0.10035147254878196</v>
      </c>
      <c r="T865" s="120">
        <v>0.10035147254878196</v>
      </c>
      <c r="U865" s="313">
        <v>0</v>
      </c>
      <c r="V865" s="120">
        <v>0</v>
      </c>
      <c r="W865" s="296">
        <v>0</v>
      </c>
      <c r="X865" s="296">
        <v>0</v>
      </c>
      <c r="Y865" s="511">
        <v>4.1064807400928813E-2</v>
      </c>
    </row>
    <row r="866" spans="1:25" s="306" customFormat="1" ht="15.75" x14ac:dyDescent="0.25">
      <c r="A866" s="143" t="s">
        <v>335</v>
      </c>
      <c r="B866" s="143"/>
      <c r="C866" s="300">
        <v>1298</v>
      </c>
      <c r="D866" s="300">
        <v>776</v>
      </c>
      <c r="E866" s="300">
        <v>431</v>
      </c>
      <c r="F866" s="300">
        <v>460</v>
      </c>
      <c r="G866" s="300">
        <v>25</v>
      </c>
      <c r="H866" s="134">
        <v>2</v>
      </c>
      <c r="I866" s="300">
        <v>2992</v>
      </c>
      <c r="J866" s="299"/>
      <c r="K866" s="300">
        <v>0</v>
      </c>
      <c r="L866" s="300">
        <v>0</v>
      </c>
      <c r="M866" s="134">
        <v>0</v>
      </c>
      <c r="N866" s="300">
        <v>0</v>
      </c>
      <c r="O866" s="299"/>
      <c r="P866" s="134"/>
      <c r="Q866" s="301"/>
      <c r="R866" s="134"/>
      <c r="S866" s="300">
        <v>638</v>
      </c>
      <c r="T866" s="132">
        <v>638</v>
      </c>
      <c r="U866" s="311"/>
      <c r="V866" s="132"/>
      <c r="W866" s="296"/>
      <c r="X866" s="296"/>
      <c r="Y866" s="306">
        <v>3630</v>
      </c>
    </row>
    <row r="867" spans="1:25" ht="15.75" x14ac:dyDescent="0.25">
      <c r="A867" s="144" t="s">
        <v>336</v>
      </c>
      <c r="B867" s="144"/>
      <c r="C867" s="303">
        <v>1357</v>
      </c>
      <c r="D867" s="303">
        <v>772</v>
      </c>
      <c r="E867" s="303">
        <v>350</v>
      </c>
      <c r="F867" s="303">
        <v>533</v>
      </c>
      <c r="G867" s="303">
        <v>11</v>
      </c>
      <c r="H867" s="119">
        <v>3</v>
      </c>
      <c r="I867" s="303">
        <v>3026</v>
      </c>
      <c r="J867" s="302"/>
      <c r="K867" s="303">
        <v>0</v>
      </c>
      <c r="L867" s="303"/>
      <c r="M867" s="119"/>
      <c r="N867" s="303">
        <v>0</v>
      </c>
      <c r="O867" s="302"/>
      <c r="P867" s="119"/>
      <c r="Q867" s="173"/>
      <c r="R867" s="119"/>
      <c r="S867" s="303">
        <v>759</v>
      </c>
      <c r="T867" s="117">
        <v>759</v>
      </c>
      <c r="U867" s="312"/>
      <c r="V867" s="117"/>
      <c r="W867" s="296"/>
      <c r="X867" s="296"/>
      <c r="Y867" s="511">
        <v>3785</v>
      </c>
    </row>
    <row r="868" spans="1:25" ht="15.75" x14ac:dyDescent="0.25">
      <c r="A868" s="308" t="s">
        <v>337</v>
      </c>
      <c r="B868" s="145"/>
      <c r="C868" s="305">
        <v>4.5454545454545456E-2</v>
      </c>
      <c r="D868" s="305">
        <v>-5.1546391752577319E-3</v>
      </c>
      <c r="E868" s="305">
        <v>-0.18793503480278423</v>
      </c>
      <c r="F868" s="305">
        <v>0.15869565217391304</v>
      </c>
      <c r="G868" s="305">
        <v>-0.56000000000000005</v>
      </c>
      <c r="H868" s="122">
        <v>0.5</v>
      </c>
      <c r="I868" s="305">
        <v>1.1363636363636364E-2</v>
      </c>
      <c r="J868" s="304">
        <v>0</v>
      </c>
      <c r="K868" s="305">
        <v>0</v>
      </c>
      <c r="L868" s="305">
        <v>0</v>
      </c>
      <c r="M868" s="122">
        <v>0</v>
      </c>
      <c r="N868" s="305">
        <v>0</v>
      </c>
      <c r="O868" s="304">
        <v>0</v>
      </c>
      <c r="P868" s="122">
        <v>0</v>
      </c>
      <c r="Q868" s="253">
        <v>0</v>
      </c>
      <c r="R868" s="122">
        <v>0</v>
      </c>
      <c r="S868" s="305">
        <v>0.18965517241379309</v>
      </c>
      <c r="T868" s="120">
        <v>0.18965517241379309</v>
      </c>
      <c r="U868" s="313">
        <v>0</v>
      </c>
      <c r="V868" s="120">
        <v>0</v>
      </c>
      <c r="W868" s="296">
        <v>0</v>
      </c>
      <c r="X868" s="296">
        <v>0</v>
      </c>
      <c r="Y868" s="511">
        <v>4.2699724517906337E-2</v>
      </c>
    </row>
    <row r="869" spans="1:25" s="306" customFormat="1" ht="15.75" x14ac:dyDescent="0.25">
      <c r="A869" s="143" t="s">
        <v>338</v>
      </c>
      <c r="B869" s="143"/>
      <c r="C869" s="300">
        <v>66611</v>
      </c>
      <c r="D869" s="300">
        <v>17711</v>
      </c>
      <c r="E869" s="300">
        <v>34659</v>
      </c>
      <c r="F869" s="300">
        <v>10041</v>
      </c>
      <c r="G869" s="300">
        <v>4222</v>
      </c>
      <c r="H869" s="134">
        <v>184</v>
      </c>
      <c r="I869" s="300">
        <v>133428</v>
      </c>
      <c r="J869" s="299">
        <v>0</v>
      </c>
      <c r="K869" s="300">
        <v>0</v>
      </c>
      <c r="L869" s="300">
        <v>0</v>
      </c>
      <c r="M869" s="134">
        <v>0</v>
      </c>
      <c r="N869" s="300">
        <v>0</v>
      </c>
      <c r="O869" s="299">
        <v>0</v>
      </c>
      <c r="P869" s="134">
        <v>0</v>
      </c>
      <c r="Q869" s="301">
        <v>0</v>
      </c>
      <c r="R869" s="134">
        <v>0</v>
      </c>
      <c r="S869" s="300">
        <v>7054</v>
      </c>
      <c r="T869" s="132">
        <v>7054</v>
      </c>
      <c r="U869" s="311">
        <v>0</v>
      </c>
      <c r="V869" s="132">
        <v>0</v>
      </c>
      <c r="W869" s="296">
        <v>0</v>
      </c>
      <c r="X869" s="296">
        <v>0</v>
      </c>
      <c r="Y869" s="306">
        <v>140482</v>
      </c>
    </row>
    <row r="870" spans="1:25" ht="15.75" x14ac:dyDescent="0.25">
      <c r="A870" s="144" t="s">
        <v>339</v>
      </c>
      <c r="B870" s="144"/>
      <c r="C870" s="303">
        <v>70202</v>
      </c>
      <c r="D870" s="303">
        <v>18100</v>
      </c>
      <c r="E870" s="303">
        <v>34473</v>
      </c>
      <c r="F870" s="303">
        <v>9962</v>
      </c>
      <c r="G870" s="303">
        <v>4173</v>
      </c>
      <c r="H870" s="119">
        <v>207</v>
      </c>
      <c r="I870" s="303">
        <v>137117</v>
      </c>
      <c r="J870" s="302">
        <v>0</v>
      </c>
      <c r="K870" s="303">
        <v>0</v>
      </c>
      <c r="L870" s="303">
        <v>0</v>
      </c>
      <c r="M870" s="119">
        <v>0</v>
      </c>
      <c r="N870" s="303">
        <v>0</v>
      </c>
      <c r="O870" s="302">
        <v>0</v>
      </c>
      <c r="P870" s="119">
        <v>0</v>
      </c>
      <c r="Q870" s="173">
        <v>0</v>
      </c>
      <c r="R870" s="119">
        <v>0</v>
      </c>
      <c r="S870" s="303">
        <v>7937</v>
      </c>
      <c r="T870" s="117">
        <v>7937</v>
      </c>
      <c r="U870" s="312">
        <v>0</v>
      </c>
      <c r="V870" s="117">
        <v>0</v>
      </c>
      <c r="W870" s="296">
        <v>0</v>
      </c>
      <c r="X870" s="296">
        <v>0</v>
      </c>
      <c r="Y870" s="511">
        <v>145054</v>
      </c>
    </row>
    <row r="871" spans="1:25" ht="15.75" x14ac:dyDescent="0.25">
      <c r="A871" s="308" t="s">
        <v>340</v>
      </c>
      <c r="B871" s="145"/>
      <c r="C871" s="305">
        <v>5.3910014862410115E-2</v>
      </c>
      <c r="D871" s="305">
        <v>2.1963751340974537E-2</v>
      </c>
      <c r="E871" s="305">
        <v>-5.3665714533021724E-3</v>
      </c>
      <c r="F871" s="305">
        <v>-7.8677422567473357E-3</v>
      </c>
      <c r="G871" s="305">
        <v>-1.1605873993368073E-2</v>
      </c>
      <c r="H871" s="122">
        <v>0.125</v>
      </c>
      <c r="I871" s="305">
        <v>2.7647870012291274E-2</v>
      </c>
      <c r="J871" s="304">
        <v>0</v>
      </c>
      <c r="K871" s="305">
        <v>0</v>
      </c>
      <c r="L871" s="305">
        <v>0</v>
      </c>
      <c r="M871" s="122">
        <v>0</v>
      </c>
      <c r="N871" s="305">
        <v>0</v>
      </c>
      <c r="O871" s="304">
        <v>0</v>
      </c>
      <c r="P871" s="122">
        <v>0</v>
      </c>
      <c r="Q871" s="253">
        <v>0</v>
      </c>
      <c r="R871" s="122">
        <v>0</v>
      </c>
      <c r="S871" s="305">
        <v>0.12517720442302241</v>
      </c>
      <c r="T871" s="120">
        <v>0.12517720442302241</v>
      </c>
      <c r="U871" s="313">
        <v>0</v>
      </c>
      <c r="V871" s="120">
        <v>0</v>
      </c>
      <c r="W871" s="296">
        <v>0</v>
      </c>
      <c r="X871" s="296">
        <v>0</v>
      </c>
      <c r="Y871" s="511">
        <v>3.2545094745234267E-2</v>
      </c>
    </row>
    <row r="872" spans="1:25" s="306" customFormat="1" ht="15.75" x14ac:dyDescent="0.25">
      <c r="A872" s="143" t="s">
        <v>341</v>
      </c>
      <c r="B872" s="143"/>
      <c r="C872" s="300">
        <v>11322</v>
      </c>
      <c r="D872" s="300">
        <v>1926</v>
      </c>
      <c r="E872" s="300">
        <v>897</v>
      </c>
      <c r="F872" s="300">
        <v>125</v>
      </c>
      <c r="G872" s="300">
        <v>17</v>
      </c>
      <c r="H872" s="134">
        <v>0</v>
      </c>
      <c r="I872" s="300">
        <v>14287</v>
      </c>
      <c r="J872" s="299">
        <v>0</v>
      </c>
      <c r="K872" s="300">
        <v>0</v>
      </c>
      <c r="L872" s="300">
        <v>0</v>
      </c>
      <c r="M872" s="134">
        <v>0</v>
      </c>
      <c r="N872" s="300">
        <v>0</v>
      </c>
      <c r="O872" s="299">
        <v>0</v>
      </c>
      <c r="P872" s="134">
        <v>0</v>
      </c>
      <c r="Q872" s="301">
        <v>0</v>
      </c>
      <c r="R872" s="134">
        <v>0</v>
      </c>
      <c r="S872" s="300">
        <v>857</v>
      </c>
      <c r="T872" s="132">
        <v>857</v>
      </c>
      <c r="U872" s="311">
        <v>0</v>
      </c>
      <c r="V872" s="132">
        <v>0</v>
      </c>
      <c r="W872" s="296">
        <v>0</v>
      </c>
      <c r="X872" s="296">
        <v>0</v>
      </c>
      <c r="Y872" s="306">
        <v>15144</v>
      </c>
    </row>
    <row r="873" spans="1:25" x14ac:dyDescent="0.2">
      <c r="A873" s="144" t="s">
        <v>342</v>
      </c>
      <c r="B873" s="144"/>
      <c r="C873" s="303">
        <v>11861</v>
      </c>
      <c r="D873" s="303">
        <v>2062</v>
      </c>
      <c r="E873" s="303">
        <v>1021</v>
      </c>
      <c r="F873" s="303">
        <v>158</v>
      </c>
      <c r="G873" s="303">
        <v>10</v>
      </c>
      <c r="H873" s="119">
        <v>2</v>
      </c>
      <c r="I873" s="303">
        <v>15114</v>
      </c>
      <c r="J873" s="302">
        <v>0</v>
      </c>
      <c r="K873" s="303">
        <v>0</v>
      </c>
      <c r="L873" s="303">
        <v>0</v>
      </c>
      <c r="M873" s="119">
        <v>0</v>
      </c>
      <c r="N873" s="303">
        <v>0</v>
      </c>
      <c r="O873" s="302">
        <v>0</v>
      </c>
      <c r="P873" s="119">
        <v>0</v>
      </c>
      <c r="Q873" s="173">
        <v>0</v>
      </c>
      <c r="R873" s="119">
        <v>0</v>
      </c>
      <c r="S873" s="303">
        <v>999</v>
      </c>
      <c r="T873" s="117">
        <v>999</v>
      </c>
      <c r="U873" s="312">
        <v>0</v>
      </c>
      <c r="V873" s="117">
        <v>0</v>
      </c>
      <c r="W873" s="511">
        <v>0</v>
      </c>
      <c r="X873" s="511">
        <v>0</v>
      </c>
      <c r="Y873" s="511">
        <v>16113</v>
      </c>
    </row>
    <row r="874" spans="1:25" x14ac:dyDescent="0.2">
      <c r="A874" s="308" t="s">
        <v>343</v>
      </c>
      <c r="B874" s="145"/>
      <c r="C874" s="305">
        <v>4.7606429959371137E-2</v>
      </c>
      <c r="D874" s="305">
        <v>7.0612668743509868E-2</v>
      </c>
      <c r="E874" s="305">
        <v>0.13823857302118173</v>
      </c>
      <c r="F874" s="305">
        <v>0.26400000000000001</v>
      </c>
      <c r="G874" s="305">
        <v>-0.41176470588235292</v>
      </c>
      <c r="H874" s="122">
        <v>0</v>
      </c>
      <c r="I874" s="305">
        <v>5.7884790368866804E-2</v>
      </c>
      <c r="J874" s="304">
        <v>0</v>
      </c>
      <c r="K874" s="305">
        <v>0</v>
      </c>
      <c r="L874" s="305">
        <v>0</v>
      </c>
      <c r="M874" s="122">
        <v>0</v>
      </c>
      <c r="N874" s="305">
        <v>0</v>
      </c>
      <c r="O874" s="304">
        <v>0</v>
      </c>
      <c r="P874" s="122">
        <v>0</v>
      </c>
      <c r="Q874" s="253">
        <v>0</v>
      </c>
      <c r="R874" s="122">
        <v>0</v>
      </c>
      <c r="S874" s="305">
        <v>0.16569428238039674</v>
      </c>
      <c r="T874" s="120">
        <v>0.16569428238039674</v>
      </c>
      <c r="U874" s="313">
        <v>0</v>
      </c>
      <c r="V874" s="120">
        <v>0</v>
      </c>
      <c r="W874" s="511">
        <v>0</v>
      </c>
      <c r="X874" s="511">
        <v>0</v>
      </c>
      <c r="Y874" s="511">
        <v>6.3985736925515055E-2</v>
      </c>
    </row>
    <row r="875" spans="1:25" x14ac:dyDescent="0.2">
      <c r="A875" s="143" t="s">
        <v>344</v>
      </c>
      <c r="B875" s="143"/>
      <c r="C875" s="300">
        <v>4453</v>
      </c>
      <c r="D875" s="300">
        <v>355</v>
      </c>
      <c r="E875" s="300">
        <v>794</v>
      </c>
      <c r="F875" s="300">
        <v>471</v>
      </c>
      <c r="G875" s="300"/>
      <c r="H875" s="134"/>
      <c r="I875" s="300">
        <v>6073</v>
      </c>
      <c r="J875" s="299"/>
      <c r="K875" s="300"/>
      <c r="L875" s="300"/>
      <c r="M875" s="134"/>
      <c r="N875" s="300"/>
      <c r="O875" s="299"/>
      <c r="P875" s="134"/>
      <c r="Q875" s="301"/>
      <c r="R875" s="134"/>
      <c r="S875" s="300">
        <v>293</v>
      </c>
      <c r="T875" s="132">
        <v>293</v>
      </c>
      <c r="U875" s="311"/>
      <c r="V875" s="132"/>
      <c r="Y875" s="511">
        <v>6366</v>
      </c>
    </row>
    <row r="876" spans="1:25" x14ac:dyDescent="0.2">
      <c r="A876" s="144" t="s">
        <v>345</v>
      </c>
      <c r="B876" s="144"/>
      <c r="C876" s="303">
        <v>4554</v>
      </c>
      <c r="D876" s="303">
        <v>369</v>
      </c>
      <c r="E876" s="303">
        <v>810</v>
      </c>
      <c r="F876" s="303">
        <v>497</v>
      </c>
      <c r="G876" s="303"/>
      <c r="H876" s="119"/>
      <c r="I876" s="303">
        <v>6230</v>
      </c>
      <c r="J876" s="302"/>
      <c r="K876" s="303"/>
      <c r="L876" s="303"/>
      <c r="M876" s="119"/>
      <c r="N876" s="303"/>
      <c r="O876" s="302"/>
      <c r="P876" s="119"/>
      <c r="Q876" s="173"/>
      <c r="R876" s="119"/>
      <c r="S876" s="303">
        <v>321</v>
      </c>
      <c r="T876" s="117">
        <v>321</v>
      </c>
      <c r="U876" s="312"/>
      <c r="V876" s="117"/>
      <c r="Y876" s="511">
        <v>6551</v>
      </c>
    </row>
    <row r="877" spans="1:25" x14ac:dyDescent="0.2">
      <c r="A877" s="308" t="s">
        <v>346</v>
      </c>
      <c r="B877" s="145"/>
      <c r="C877" s="305">
        <v>2.2681338423534696E-2</v>
      </c>
      <c r="D877" s="305">
        <v>3.9436619718309862E-2</v>
      </c>
      <c r="E877" s="305">
        <v>2.0151133501259445E-2</v>
      </c>
      <c r="F877" s="305">
        <v>5.5201698513800426E-2</v>
      </c>
      <c r="G877" s="305">
        <v>0</v>
      </c>
      <c r="H877" s="122">
        <v>0</v>
      </c>
      <c r="I877" s="305">
        <v>2.5852132389263954E-2</v>
      </c>
      <c r="J877" s="304">
        <v>0</v>
      </c>
      <c r="K877" s="305">
        <v>0</v>
      </c>
      <c r="L877" s="305">
        <v>0</v>
      </c>
      <c r="M877" s="122">
        <v>0</v>
      </c>
      <c r="N877" s="305">
        <v>0</v>
      </c>
      <c r="O877" s="304">
        <v>0</v>
      </c>
      <c r="P877" s="122">
        <v>0</v>
      </c>
      <c r="Q877" s="253">
        <v>0</v>
      </c>
      <c r="R877" s="122">
        <v>0</v>
      </c>
      <c r="S877" s="305">
        <v>9.556313993174062E-2</v>
      </c>
      <c r="T877" s="120">
        <v>9.556313993174062E-2</v>
      </c>
      <c r="U877" s="313">
        <v>0</v>
      </c>
      <c r="V877" s="120">
        <v>0</v>
      </c>
      <c r="W877" s="511">
        <v>0</v>
      </c>
      <c r="X877" s="511">
        <v>0</v>
      </c>
      <c r="Y877" s="511">
        <v>2.9060634621426329E-2</v>
      </c>
    </row>
    <row r="878" spans="1:25" x14ac:dyDescent="0.2">
      <c r="A878" s="143" t="s">
        <v>347</v>
      </c>
      <c r="B878" s="143"/>
      <c r="C878" s="300">
        <v>1215</v>
      </c>
      <c r="D878" s="300">
        <v>406</v>
      </c>
      <c r="E878" s="300">
        <v>201</v>
      </c>
      <c r="F878" s="300"/>
      <c r="G878" s="300"/>
      <c r="H878" s="134"/>
      <c r="I878" s="300">
        <v>1822</v>
      </c>
      <c r="J878" s="299"/>
      <c r="K878" s="300"/>
      <c r="L878" s="300"/>
      <c r="M878" s="134"/>
      <c r="N878" s="300"/>
      <c r="O878" s="299"/>
      <c r="P878" s="134"/>
      <c r="Q878" s="301"/>
      <c r="R878" s="134"/>
      <c r="S878" s="300">
        <v>2305</v>
      </c>
      <c r="T878" s="132">
        <v>2305</v>
      </c>
      <c r="U878" s="311"/>
      <c r="V878" s="132"/>
      <c r="Y878" s="511">
        <v>4127</v>
      </c>
    </row>
    <row r="879" spans="1:25" x14ac:dyDescent="0.2">
      <c r="A879" s="144" t="s">
        <v>348</v>
      </c>
      <c r="B879" s="144"/>
      <c r="C879" s="303">
        <v>1258</v>
      </c>
      <c r="D879" s="303">
        <v>436</v>
      </c>
      <c r="E879" s="303">
        <v>199</v>
      </c>
      <c r="F879" s="303"/>
      <c r="G879" s="303"/>
      <c r="H879" s="119"/>
      <c r="I879" s="303">
        <v>1893</v>
      </c>
      <c r="J879" s="302"/>
      <c r="K879" s="303"/>
      <c r="L879" s="303"/>
      <c r="M879" s="119"/>
      <c r="N879" s="303"/>
      <c r="O879" s="302"/>
      <c r="P879" s="119"/>
      <c r="Q879" s="173"/>
      <c r="R879" s="119"/>
      <c r="S879" s="303">
        <v>2277</v>
      </c>
      <c r="T879" s="117">
        <v>2277</v>
      </c>
      <c r="U879" s="312"/>
      <c r="V879" s="117"/>
      <c r="Y879" s="511">
        <v>4170</v>
      </c>
    </row>
    <row r="880" spans="1:25" x14ac:dyDescent="0.2">
      <c r="A880" s="308" t="s">
        <v>349</v>
      </c>
      <c r="B880" s="145"/>
      <c r="C880" s="305">
        <v>3.539094650205761E-2</v>
      </c>
      <c r="D880" s="305">
        <v>7.3891625615763554E-2</v>
      </c>
      <c r="E880" s="305">
        <v>-9.9502487562189053E-3</v>
      </c>
      <c r="F880" s="305">
        <v>0</v>
      </c>
      <c r="G880" s="305">
        <v>0</v>
      </c>
      <c r="H880" s="122">
        <v>0</v>
      </c>
      <c r="I880" s="305">
        <v>3.8968166849615807E-2</v>
      </c>
      <c r="J880" s="304">
        <v>0</v>
      </c>
      <c r="K880" s="305">
        <v>0</v>
      </c>
      <c r="L880" s="305">
        <v>0</v>
      </c>
      <c r="M880" s="122">
        <v>0</v>
      </c>
      <c r="N880" s="305">
        <v>0</v>
      </c>
      <c r="O880" s="304">
        <v>0</v>
      </c>
      <c r="P880" s="122">
        <v>0</v>
      </c>
      <c r="Q880" s="253">
        <v>0</v>
      </c>
      <c r="R880" s="122">
        <v>0</v>
      </c>
      <c r="S880" s="305">
        <v>-1.2147505422993492E-2</v>
      </c>
      <c r="T880" s="120">
        <v>-1.2147505422993492E-2</v>
      </c>
      <c r="U880" s="313">
        <v>0</v>
      </c>
      <c r="V880" s="120">
        <v>0</v>
      </c>
      <c r="W880" s="511">
        <v>0</v>
      </c>
      <c r="X880" s="511">
        <v>0</v>
      </c>
      <c r="Y880" s="511">
        <v>1.0419190695420402E-2</v>
      </c>
    </row>
    <row r="881" spans="1:25" x14ac:dyDescent="0.2">
      <c r="A881" s="143" t="s">
        <v>350</v>
      </c>
      <c r="B881" s="143"/>
      <c r="C881" s="300">
        <v>403</v>
      </c>
      <c r="D881" s="300">
        <v>147</v>
      </c>
      <c r="E881" s="300"/>
      <c r="F881" s="300"/>
      <c r="G881" s="300"/>
      <c r="H881" s="134"/>
      <c r="I881" s="300">
        <v>550</v>
      </c>
      <c r="J881" s="299"/>
      <c r="K881" s="300"/>
      <c r="L881" s="300"/>
      <c r="M881" s="134"/>
      <c r="N881" s="300"/>
      <c r="O881" s="299"/>
      <c r="P881" s="134"/>
      <c r="Q881" s="301"/>
      <c r="R881" s="134"/>
      <c r="S881" s="300">
        <v>706</v>
      </c>
      <c r="T881" s="132">
        <v>706</v>
      </c>
      <c r="U881" s="311"/>
      <c r="V881" s="132"/>
      <c r="Y881" s="511">
        <v>1256</v>
      </c>
    </row>
    <row r="882" spans="1:25" x14ac:dyDescent="0.2">
      <c r="A882" s="144" t="s">
        <v>351</v>
      </c>
      <c r="B882" s="144"/>
      <c r="C882" s="303">
        <v>408</v>
      </c>
      <c r="D882" s="303">
        <v>169</v>
      </c>
      <c r="E882" s="303"/>
      <c r="F882" s="303"/>
      <c r="G882" s="303"/>
      <c r="H882" s="119"/>
      <c r="I882" s="303">
        <v>577</v>
      </c>
      <c r="J882" s="302"/>
      <c r="K882" s="303"/>
      <c r="L882" s="303"/>
      <c r="M882" s="119"/>
      <c r="N882" s="303"/>
      <c r="O882" s="302"/>
      <c r="P882" s="119"/>
      <c r="Q882" s="173"/>
      <c r="R882" s="119"/>
      <c r="S882" s="303">
        <v>679</v>
      </c>
      <c r="T882" s="117">
        <v>679</v>
      </c>
      <c r="U882" s="312"/>
      <c r="V882" s="117"/>
      <c r="Y882" s="511">
        <v>1256</v>
      </c>
    </row>
    <row r="883" spans="1:25" x14ac:dyDescent="0.2">
      <c r="A883" s="308" t="s">
        <v>352</v>
      </c>
      <c r="B883" s="145"/>
      <c r="C883" s="305">
        <v>1.2406947890818859E-2</v>
      </c>
      <c r="D883" s="305">
        <v>0.14965986394557823</v>
      </c>
      <c r="E883" s="305">
        <v>0</v>
      </c>
      <c r="F883" s="305">
        <v>0</v>
      </c>
      <c r="G883" s="305">
        <v>0</v>
      </c>
      <c r="H883" s="122">
        <v>0</v>
      </c>
      <c r="I883" s="305">
        <v>4.9090909090909088E-2</v>
      </c>
      <c r="J883" s="304">
        <v>0</v>
      </c>
      <c r="K883" s="305">
        <v>0</v>
      </c>
      <c r="L883" s="305">
        <v>0</v>
      </c>
      <c r="M883" s="122">
        <v>0</v>
      </c>
      <c r="N883" s="305">
        <v>0</v>
      </c>
      <c r="O883" s="304">
        <v>0</v>
      </c>
      <c r="P883" s="122">
        <v>0</v>
      </c>
      <c r="Q883" s="253">
        <v>0</v>
      </c>
      <c r="R883" s="122">
        <v>0</v>
      </c>
      <c r="S883" s="305">
        <v>-3.8243626062322948E-2</v>
      </c>
      <c r="T883" s="120">
        <v>-3.8243626062322948E-2</v>
      </c>
      <c r="U883" s="313">
        <v>0</v>
      </c>
      <c r="V883" s="120">
        <v>0</v>
      </c>
      <c r="W883" s="511">
        <v>0</v>
      </c>
      <c r="X883" s="511">
        <v>0</v>
      </c>
      <c r="Y883" s="511">
        <v>0</v>
      </c>
    </row>
    <row r="884" spans="1:25" x14ac:dyDescent="0.2">
      <c r="A884" s="143" t="s">
        <v>353</v>
      </c>
      <c r="B884" s="143"/>
      <c r="C884" s="300">
        <v>1560</v>
      </c>
      <c r="D884" s="300">
        <v>234</v>
      </c>
      <c r="E884" s="300">
        <v>424</v>
      </c>
      <c r="F884" s="300"/>
      <c r="G884" s="300">
        <v>80</v>
      </c>
      <c r="H884" s="134"/>
      <c r="I884" s="300">
        <v>2298</v>
      </c>
      <c r="J884" s="299"/>
      <c r="K884" s="300"/>
      <c r="L884" s="300"/>
      <c r="M884" s="134"/>
      <c r="N884" s="300"/>
      <c r="O884" s="299"/>
      <c r="P884" s="134"/>
      <c r="Q884" s="301"/>
      <c r="R884" s="134"/>
      <c r="S884" s="300">
        <v>715</v>
      </c>
      <c r="T884" s="132">
        <v>715</v>
      </c>
      <c r="U884" s="311"/>
      <c r="V884" s="132"/>
      <c r="Y884" s="511">
        <v>3013</v>
      </c>
    </row>
    <row r="885" spans="1:25" x14ac:dyDescent="0.2">
      <c r="A885" s="144" t="s">
        <v>354</v>
      </c>
      <c r="B885" s="144"/>
      <c r="C885" s="303">
        <v>1536</v>
      </c>
      <c r="D885" s="303">
        <v>229</v>
      </c>
      <c r="E885" s="303">
        <v>420</v>
      </c>
      <c r="F885" s="303"/>
      <c r="G885" s="303">
        <v>77</v>
      </c>
      <c r="H885" s="119"/>
      <c r="I885" s="303">
        <v>2262</v>
      </c>
      <c r="J885" s="302"/>
      <c r="K885" s="303"/>
      <c r="L885" s="303"/>
      <c r="M885" s="119"/>
      <c r="N885" s="303"/>
      <c r="O885" s="302"/>
      <c r="P885" s="119"/>
      <c r="Q885" s="173"/>
      <c r="R885" s="119"/>
      <c r="S885" s="303">
        <v>739</v>
      </c>
      <c r="T885" s="117">
        <v>739</v>
      </c>
      <c r="U885" s="312"/>
      <c r="V885" s="117"/>
      <c r="Y885" s="511">
        <v>3001</v>
      </c>
    </row>
    <row r="886" spans="1:25" x14ac:dyDescent="0.2">
      <c r="A886" s="308" t="s">
        <v>355</v>
      </c>
      <c r="B886" s="145"/>
      <c r="C886" s="305">
        <v>-1.5384615384615385E-2</v>
      </c>
      <c r="D886" s="305">
        <v>-2.1367521367521368E-2</v>
      </c>
      <c r="E886" s="305">
        <v>-9.433962264150943E-3</v>
      </c>
      <c r="F886" s="305">
        <v>0</v>
      </c>
      <c r="G886" s="305">
        <v>-3.7499999999999999E-2</v>
      </c>
      <c r="H886" s="122">
        <v>0</v>
      </c>
      <c r="I886" s="305">
        <v>-1.5665796344647518E-2</v>
      </c>
      <c r="J886" s="304">
        <v>0</v>
      </c>
      <c r="K886" s="305">
        <v>0</v>
      </c>
      <c r="L886" s="305">
        <v>0</v>
      </c>
      <c r="M886" s="122">
        <v>0</v>
      </c>
      <c r="N886" s="305">
        <v>0</v>
      </c>
      <c r="O886" s="304">
        <v>0</v>
      </c>
      <c r="P886" s="122">
        <v>0</v>
      </c>
      <c r="Q886" s="253">
        <v>0</v>
      </c>
      <c r="R886" s="122">
        <v>0</v>
      </c>
      <c r="S886" s="305">
        <v>3.3566433566433566E-2</v>
      </c>
      <c r="T886" s="120">
        <v>3.3566433566433566E-2</v>
      </c>
      <c r="U886" s="313">
        <v>0</v>
      </c>
      <c r="V886" s="120">
        <v>0</v>
      </c>
      <c r="W886" s="511">
        <v>0</v>
      </c>
      <c r="X886" s="511">
        <v>0</v>
      </c>
      <c r="Y886" s="511">
        <v>-3.9827414537006306E-3</v>
      </c>
    </row>
    <row r="887" spans="1:25" x14ac:dyDescent="0.2">
      <c r="A887" s="143" t="s">
        <v>356</v>
      </c>
      <c r="B887" s="143"/>
      <c r="C887" s="300"/>
      <c r="D887" s="300"/>
      <c r="E887" s="300"/>
      <c r="F887" s="300"/>
      <c r="G887" s="300"/>
      <c r="H887" s="134"/>
      <c r="I887" s="300"/>
      <c r="J887" s="299"/>
      <c r="K887" s="300"/>
      <c r="L887" s="300"/>
      <c r="M887" s="134"/>
      <c r="N887" s="300"/>
      <c r="O887" s="299"/>
      <c r="P887" s="134"/>
      <c r="Q887" s="301"/>
      <c r="R887" s="134"/>
      <c r="S887" s="300"/>
      <c r="T887" s="132"/>
      <c r="U887" s="311"/>
      <c r="V887" s="132"/>
    </row>
    <row r="888" spans="1:25" x14ac:dyDescent="0.2">
      <c r="A888" s="144" t="s">
        <v>357</v>
      </c>
      <c r="B888" s="144"/>
      <c r="C888" s="303"/>
      <c r="D888" s="303"/>
      <c r="E888" s="303"/>
      <c r="F888" s="303"/>
      <c r="G888" s="303"/>
      <c r="H888" s="119"/>
      <c r="I888" s="303"/>
      <c r="J888" s="302"/>
      <c r="K888" s="303"/>
      <c r="L888" s="303"/>
      <c r="M888" s="119"/>
      <c r="N888" s="303"/>
      <c r="O888" s="302"/>
      <c r="P888" s="119"/>
      <c r="Q888" s="173"/>
      <c r="R888" s="119"/>
      <c r="S888" s="303"/>
      <c r="T888" s="117"/>
      <c r="U888" s="312"/>
      <c r="V888" s="117"/>
    </row>
    <row r="889" spans="1:25" x14ac:dyDescent="0.2">
      <c r="A889" s="308" t="s">
        <v>358</v>
      </c>
      <c r="B889" s="145"/>
      <c r="C889" s="305">
        <v>0</v>
      </c>
      <c r="D889" s="305">
        <v>0</v>
      </c>
      <c r="E889" s="305">
        <v>0</v>
      </c>
      <c r="F889" s="305">
        <v>0</v>
      </c>
      <c r="G889" s="305">
        <v>0</v>
      </c>
      <c r="H889" s="122">
        <v>0</v>
      </c>
      <c r="I889" s="305">
        <v>0</v>
      </c>
      <c r="J889" s="304">
        <v>0</v>
      </c>
      <c r="K889" s="305">
        <v>0</v>
      </c>
      <c r="L889" s="305">
        <v>0</v>
      </c>
      <c r="M889" s="122">
        <v>0</v>
      </c>
      <c r="N889" s="305">
        <v>0</v>
      </c>
      <c r="O889" s="304">
        <v>0</v>
      </c>
      <c r="P889" s="122">
        <v>0</v>
      </c>
      <c r="Q889" s="253">
        <v>0</v>
      </c>
      <c r="R889" s="122">
        <v>0</v>
      </c>
      <c r="S889" s="305">
        <v>0</v>
      </c>
      <c r="T889" s="120">
        <v>0</v>
      </c>
      <c r="U889" s="313">
        <v>0</v>
      </c>
      <c r="V889" s="120">
        <v>0</v>
      </c>
      <c r="W889" s="511">
        <v>0</v>
      </c>
      <c r="X889" s="511">
        <v>0</v>
      </c>
      <c r="Y889" s="511">
        <v>0</v>
      </c>
    </row>
    <row r="890" spans="1:25" x14ac:dyDescent="0.2">
      <c r="A890" s="143" t="s">
        <v>359</v>
      </c>
      <c r="B890" s="143"/>
      <c r="C890" s="300">
        <v>102</v>
      </c>
      <c r="D890" s="300">
        <v>43</v>
      </c>
      <c r="E890" s="300">
        <v>26</v>
      </c>
      <c r="F890" s="300"/>
      <c r="G890" s="300"/>
      <c r="H890" s="134"/>
      <c r="I890" s="300">
        <v>171</v>
      </c>
      <c r="J890" s="299"/>
      <c r="K890" s="300"/>
      <c r="L890" s="300"/>
      <c r="M890" s="134"/>
      <c r="N890" s="300"/>
      <c r="O890" s="299"/>
      <c r="P890" s="134"/>
      <c r="Q890" s="301"/>
      <c r="R890" s="134"/>
      <c r="S890" s="300"/>
      <c r="T890" s="132"/>
      <c r="U890" s="311"/>
      <c r="V890" s="132"/>
      <c r="Y890" s="511">
        <v>171</v>
      </c>
    </row>
    <row r="891" spans="1:25" x14ac:dyDescent="0.2">
      <c r="A891" s="144" t="s">
        <v>360</v>
      </c>
      <c r="B891" s="144"/>
      <c r="C891" s="303">
        <v>91</v>
      </c>
      <c r="D891" s="303">
        <v>36</v>
      </c>
      <c r="E891" s="303">
        <v>27</v>
      </c>
      <c r="F891" s="303"/>
      <c r="G891" s="303"/>
      <c r="H891" s="119"/>
      <c r="I891" s="303">
        <v>154</v>
      </c>
      <c r="J891" s="302"/>
      <c r="K891" s="303"/>
      <c r="L891" s="303"/>
      <c r="M891" s="119"/>
      <c r="N891" s="303"/>
      <c r="O891" s="302"/>
      <c r="P891" s="119"/>
      <c r="Q891" s="173"/>
      <c r="R891" s="119"/>
      <c r="S891" s="303"/>
      <c r="T891" s="117"/>
      <c r="U891" s="312"/>
      <c r="V891" s="117"/>
      <c r="Y891" s="511">
        <v>154</v>
      </c>
    </row>
    <row r="892" spans="1:25" x14ac:dyDescent="0.2">
      <c r="A892" s="308" t="s">
        <v>361</v>
      </c>
      <c r="B892" s="145"/>
      <c r="C892" s="305">
        <v>-0.10784313725490197</v>
      </c>
      <c r="D892" s="305">
        <v>-0.16279069767441862</v>
      </c>
      <c r="E892" s="305">
        <v>3.8461538461538464E-2</v>
      </c>
      <c r="F892" s="305">
        <v>0</v>
      </c>
      <c r="G892" s="305">
        <v>0</v>
      </c>
      <c r="H892" s="122">
        <v>0</v>
      </c>
      <c r="I892" s="305">
        <v>-9.9415204678362568E-2</v>
      </c>
      <c r="J892" s="304">
        <v>0</v>
      </c>
      <c r="K892" s="305">
        <v>0</v>
      </c>
      <c r="L892" s="305">
        <v>0</v>
      </c>
      <c r="M892" s="122">
        <v>0</v>
      </c>
      <c r="N892" s="305">
        <v>0</v>
      </c>
      <c r="O892" s="304">
        <v>0</v>
      </c>
      <c r="P892" s="122">
        <v>0</v>
      </c>
      <c r="Q892" s="253">
        <v>0</v>
      </c>
      <c r="R892" s="122">
        <v>0</v>
      </c>
      <c r="S892" s="305">
        <v>0</v>
      </c>
      <c r="T892" s="120">
        <v>0</v>
      </c>
      <c r="U892" s="313">
        <v>0</v>
      </c>
      <c r="V892" s="120">
        <v>0</v>
      </c>
      <c r="W892" s="511">
        <v>0</v>
      </c>
      <c r="X892" s="511">
        <v>0</v>
      </c>
      <c r="Y892" s="511">
        <v>-9.9415204678362568E-2</v>
      </c>
    </row>
    <row r="893" spans="1:25" x14ac:dyDescent="0.2">
      <c r="A893" s="143" t="s">
        <v>362</v>
      </c>
      <c r="B893" s="143"/>
      <c r="C893" s="300">
        <v>82</v>
      </c>
      <c r="D893" s="300"/>
      <c r="E893" s="300"/>
      <c r="F893" s="300"/>
      <c r="G893" s="300"/>
      <c r="H893" s="134"/>
      <c r="I893" s="300">
        <v>82</v>
      </c>
      <c r="J893" s="299"/>
      <c r="K893" s="300"/>
      <c r="L893" s="300"/>
      <c r="M893" s="134"/>
      <c r="N893" s="300"/>
      <c r="O893" s="299"/>
      <c r="P893" s="134"/>
      <c r="Q893" s="301"/>
      <c r="R893" s="134"/>
      <c r="S893" s="300">
        <v>357</v>
      </c>
      <c r="T893" s="132">
        <v>357</v>
      </c>
      <c r="U893" s="311"/>
      <c r="V893" s="132"/>
      <c r="Y893" s="511">
        <v>439</v>
      </c>
    </row>
    <row r="894" spans="1:25" x14ac:dyDescent="0.2">
      <c r="A894" s="144" t="s">
        <v>363</v>
      </c>
      <c r="B894" s="144"/>
      <c r="C894" s="303">
        <v>83</v>
      </c>
      <c r="D894" s="303"/>
      <c r="E894" s="303"/>
      <c r="F894" s="303"/>
      <c r="G894" s="303"/>
      <c r="H894" s="119"/>
      <c r="I894" s="303">
        <v>83</v>
      </c>
      <c r="J894" s="302"/>
      <c r="K894" s="303"/>
      <c r="L894" s="303"/>
      <c r="M894" s="119"/>
      <c r="N894" s="303"/>
      <c r="O894" s="302"/>
      <c r="P894" s="119"/>
      <c r="Q894" s="173"/>
      <c r="R894" s="119"/>
      <c r="S894" s="303">
        <v>323</v>
      </c>
      <c r="T894" s="117">
        <v>323</v>
      </c>
      <c r="U894" s="312"/>
      <c r="V894" s="117"/>
      <c r="Y894" s="511">
        <v>406</v>
      </c>
    </row>
    <row r="895" spans="1:25" x14ac:dyDescent="0.2">
      <c r="A895" s="308" t="s">
        <v>364</v>
      </c>
      <c r="B895" s="145"/>
      <c r="C895" s="305">
        <v>1.2195121951219513E-2</v>
      </c>
      <c r="D895" s="305">
        <v>0</v>
      </c>
      <c r="E895" s="305">
        <v>0</v>
      </c>
      <c r="F895" s="305">
        <v>0</v>
      </c>
      <c r="G895" s="305">
        <v>0</v>
      </c>
      <c r="H895" s="122">
        <v>0</v>
      </c>
      <c r="I895" s="305">
        <v>1.2195121951219513E-2</v>
      </c>
      <c r="J895" s="304">
        <v>0</v>
      </c>
      <c r="K895" s="305">
        <v>0</v>
      </c>
      <c r="L895" s="305">
        <v>0</v>
      </c>
      <c r="M895" s="122">
        <v>0</v>
      </c>
      <c r="N895" s="305">
        <v>0</v>
      </c>
      <c r="O895" s="304">
        <v>0</v>
      </c>
      <c r="P895" s="122">
        <v>0</v>
      </c>
      <c r="Q895" s="253">
        <v>0</v>
      </c>
      <c r="R895" s="122">
        <v>0</v>
      </c>
      <c r="S895" s="305">
        <v>-9.5238095238095233E-2</v>
      </c>
      <c r="T895" s="120">
        <v>-9.5238095238095233E-2</v>
      </c>
      <c r="U895" s="313">
        <v>0</v>
      </c>
      <c r="V895" s="120">
        <v>0</v>
      </c>
      <c r="W895" s="511">
        <v>0</v>
      </c>
      <c r="X895" s="511">
        <v>0</v>
      </c>
      <c r="Y895" s="511">
        <v>-7.5170842824601361E-2</v>
      </c>
    </row>
    <row r="896" spans="1:25" x14ac:dyDescent="0.2">
      <c r="A896" s="143" t="s">
        <v>365</v>
      </c>
      <c r="B896" s="143"/>
      <c r="C896" s="300">
        <v>875</v>
      </c>
      <c r="D896" s="300"/>
      <c r="E896" s="300"/>
      <c r="F896" s="300"/>
      <c r="G896" s="300"/>
      <c r="H896" s="134"/>
      <c r="I896" s="300">
        <v>875</v>
      </c>
      <c r="J896" s="299"/>
      <c r="K896" s="300"/>
      <c r="L896" s="300"/>
      <c r="M896" s="134"/>
      <c r="N896" s="300"/>
      <c r="O896" s="299"/>
      <c r="P896" s="134"/>
      <c r="Q896" s="301"/>
      <c r="R896" s="134"/>
      <c r="S896" s="300"/>
      <c r="T896" s="132"/>
      <c r="U896" s="311"/>
      <c r="V896" s="132"/>
      <c r="Y896" s="511">
        <v>875</v>
      </c>
    </row>
    <row r="897" spans="1:25" x14ac:dyDescent="0.2">
      <c r="A897" s="144" t="s">
        <v>366</v>
      </c>
      <c r="B897" s="144"/>
      <c r="C897" s="303">
        <v>933</v>
      </c>
      <c r="D897" s="303"/>
      <c r="E897" s="303"/>
      <c r="F897" s="303"/>
      <c r="G897" s="303"/>
      <c r="H897" s="119"/>
      <c r="I897" s="303">
        <v>933</v>
      </c>
      <c r="J897" s="302"/>
      <c r="K897" s="303"/>
      <c r="L897" s="303"/>
      <c r="M897" s="119"/>
      <c r="N897" s="303"/>
      <c r="O897" s="302"/>
      <c r="P897" s="119"/>
      <c r="Q897" s="173"/>
      <c r="R897" s="119"/>
      <c r="S897" s="303"/>
      <c r="T897" s="117"/>
      <c r="U897" s="312"/>
      <c r="V897" s="117"/>
      <c r="Y897" s="511">
        <v>933</v>
      </c>
    </row>
    <row r="898" spans="1:25" x14ac:dyDescent="0.2">
      <c r="A898" s="308" t="s">
        <v>367</v>
      </c>
      <c r="B898" s="145"/>
      <c r="C898" s="305">
        <v>6.6285714285714281E-2</v>
      </c>
      <c r="D898" s="305">
        <v>0</v>
      </c>
      <c r="E898" s="305">
        <v>0</v>
      </c>
      <c r="F898" s="305">
        <v>0</v>
      </c>
      <c r="G898" s="305">
        <v>0</v>
      </c>
      <c r="H898" s="122">
        <v>0</v>
      </c>
      <c r="I898" s="305">
        <v>6.6285714285714281E-2</v>
      </c>
      <c r="J898" s="304">
        <v>0</v>
      </c>
      <c r="K898" s="305">
        <v>0</v>
      </c>
      <c r="L898" s="305">
        <v>0</v>
      </c>
      <c r="M898" s="122">
        <v>0</v>
      </c>
      <c r="N898" s="305">
        <v>0</v>
      </c>
      <c r="O898" s="304">
        <v>0</v>
      </c>
      <c r="P898" s="122">
        <v>0</v>
      </c>
      <c r="Q898" s="253">
        <v>0</v>
      </c>
      <c r="R898" s="122">
        <v>0</v>
      </c>
      <c r="S898" s="305">
        <v>0</v>
      </c>
      <c r="T898" s="120">
        <v>0</v>
      </c>
      <c r="U898" s="313">
        <v>0</v>
      </c>
      <c r="V898" s="120">
        <v>0</v>
      </c>
      <c r="W898" s="511">
        <v>0</v>
      </c>
      <c r="X898" s="511">
        <v>0</v>
      </c>
      <c r="Y898" s="511">
        <v>6.6285714285714281E-2</v>
      </c>
    </row>
    <row r="899" spans="1:25" x14ac:dyDescent="0.2">
      <c r="A899" s="143" t="s">
        <v>368</v>
      </c>
      <c r="B899" s="143"/>
      <c r="C899" s="300"/>
      <c r="D899" s="300"/>
      <c r="E899" s="300"/>
      <c r="F899" s="300"/>
      <c r="G899" s="300"/>
      <c r="H899" s="134"/>
      <c r="I899" s="300"/>
      <c r="J899" s="299"/>
      <c r="K899" s="300"/>
      <c r="L899" s="300"/>
      <c r="M899" s="134"/>
      <c r="N899" s="300"/>
      <c r="O899" s="299"/>
      <c r="P899" s="134"/>
      <c r="Q899" s="301"/>
      <c r="R899" s="134"/>
      <c r="S899" s="300"/>
      <c r="T899" s="132"/>
      <c r="U899" s="311"/>
      <c r="V899" s="132"/>
    </row>
    <row r="900" spans="1:25" x14ac:dyDescent="0.2">
      <c r="A900" s="144" t="s">
        <v>369</v>
      </c>
      <c r="B900" s="144"/>
      <c r="C900" s="303"/>
      <c r="D900" s="303"/>
      <c r="E900" s="303"/>
      <c r="F900" s="303"/>
      <c r="G900" s="303"/>
      <c r="H900" s="119"/>
      <c r="I900" s="303"/>
      <c r="J900" s="302"/>
      <c r="K900" s="303"/>
      <c r="L900" s="303"/>
      <c r="M900" s="119"/>
      <c r="N900" s="303"/>
      <c r="O900" s="302"/>
      <c r="P900" s="119"/>
      <c r="Q900" s="173"/>
      <c r="R900" s="119"/>
      <c r="S900" s="303"/>
      <c r="T900" s="117"/>
      <c r="U900" s="312"/>
      <c r="V900" s="117"/>
    </row>
    <row r="901" spans="1:25" x14ac:dyDescent="0.2">
      <c r="A901" s="308" t="s">
        <v>370</v>
      </c>
      <c r="B901" s="145"/>
      <c r="C901" s="305">
        <v>0</v>
      </c>
      <c r="D901" s="305">
        <v>0</v>
      </c>
      <c r="E901" s="305">
        <v>0</v>
      </c>
      <c r="F901" s="305">
        <v>0</v>
      </c>
      <c r="G901" s="305">
        <v>0</v>
      </c>
      <c r="H901" s="122">
        <v>0</v>
      </c>
      <c r="I901" s="305">
        <v>0</v>
      </c>
      <c r="J901" s="304">
        <v>0</v>
      </c>
      <c r="K901" s="305">
        <v>0</v>
      </c>
      <c r="L901" s="305">
        <v>0</v>
      </c>
      <c r="M901" s="122">
        <v>0</v>
      </c>
      <c r="N901" s="305">
        <v>0</v>
      </c>
      <c r="O901" s="304">
        <v>0</v>
      </c>
      <c r="P901" s="122">
        <v>0</v>
      </c>
      <c r="Q901" s="253">
        <v>0</v>
      </c>
      <c r="R901" s="122">
        <v>0</v>
      </c>
      <c r="S901" s="305">
        <v>0</v>
      </c>
      <c r="T901" s="120">
        <v>0</v>
      </c>
      <c r="U901" s="313">
        <v>0</v>
      </c>
      <c r="V901" s="120">
        <v>0</v>
      </c>
      <c r="W901" s="511">
        <v>0</v>
      </c>
      <c r="X901" s="511">
        <v>0</v>
      </c>
      <c r="Y901" s="511">
        <v>0</v>
      </c>
    </row>
    <row r="902" spans="1:25" x14ac:dyDescent="0.2">
      <c r="A902" s="143" t="s">
        <v>405</v>
      </c>
      <c r="B902" s="143"/>
      <c r="C902" s="300">
        <v>826</v>
      </c>
      <c r="D902" s="300">
        <v>300</v>
      </c>
      <c r="E902" s="300">
        <v>255</v>
      </c>
      <c r="F902" s="300">
        <v>95</v>
      </c>
      <c r="G902" s="300">
        <v>14</v>
      </c>
      <c r="H902" s="134"/>
      <c r="I902" s="300">
        <v>1490</v>
      </c>
      <c r="J902" s="299"/>
      <c r="K902" s="300"/>
      <c r="L902" s="300"/>
      <c r="M902" s="134"/>
      <c r="N902" s="300"/>
      <c r="O902" s="299"/>
      <c r="P902" s="134"/>
      <c r="Q902" s="301"/>
      <c r="R902" s="134"/>
      <c r="S902" s="300">
        <v>362</v>
      </c>
      <c r="T902" s="132">
        <v>362</v>
      </c>
      <c r="U902" s="311"/>
      <c r="V902" s="132"/>
      <c r="Y902" s="511">
        <v>1852</v>
      </c>
    </row>
    <row r="903" spans="1:25" x14ac:dyDescent="0.2">
      <c r="A903" s="144" t="s">
        <v>407</v>
      </c>
      <c r="B903" s="144"/>
      <c r="C903" s="303">
        <v>771</v>
      </c>
      <c r="D903" s="303">
        <v>270</v>
      </c>
      <c r="E903" s="303">
        <v>343</v>
      </c>
      <c r="F903" s="303">
        <v>102</v>
      </c>
      <c r="G903" s="303">
        <v>0</v>
      </c>
      <c r="H903" s="119"/>
      <c r="I903" s="303">
        <v>1486</v>
      </c>
      <c r="J903" s="302"/>
      <c r="K903" s="303"/>
      <c r="L903" s="303"/>
      <c r="M903" s="119"/>
      <c r="N903" s="303"/>
      <c r="O903" s="302"/>
      <c r="P903" s="119"/>
      <c r="Q903" s="173"/>
      <c r="R903" s="119"/>
      <c r="S903" s="303">
        <v>346</v>
      </c>
      <c r="T903" s="117">
        <v>346</v>
      </c>
      <c r="U903" s="312"/>
      <c r="V903" s="117"/>
      <c r="Y903" s="511">
        <v>1832</v>
      </c>
    </row>
    <row r="904" spans="1:25" x14ac:dyDescent="0.2">
      <c r="A904" s="308" t="s">
        <v>475</v>
      </c>
      <c r="B904" s="145"/>
      <c r="C904" s="305">
        <v>-6.6585956416464892E-2</v>
      </c>
      <c r="D904" s="305">
        <v>-0.1</v>
      </c>
      <c r="E904" s="305">
        <v>0.34509803921568627</v>
      </c>
      <c r="F904" s="305">
        <v>7.3684210526315783E-2</v>
      </c>
      <c r="G904" s="305">
        <v>-1</v>
      </c>
      <c r="H904" s="122">
        <v>0</v>
      </c>
      <c r="I904" s="305">
        <v>-2.6845637583892616E-3</v>
      </c>
      <c r="J904" s="304">
        <v>0</v>
      </c>
      <c r="K904" s="305">
        <v>0</v>
      </c>
      <c r="L904" s="305">
        <v>0</v>
      </c>
      <c r="M904" s="122">
        <v>0</v>
      </c>
      <c r="N904" s="305">
        <v>0</v>
      </c>
      <c r="O904" s="304">
        <v>0</v>
      </c>
      <c r="P904" s="122">
        <v>0</v>
      </c>
      <c r="Q904" s="253">
        <v>0</v>
      </c>
      <c r="R904" s="122">
        <v>0</v>
      </c>
      <c r="S904" s="305">
        <v>-4.4198895027624308E-2</v>
      </c>
      <c r="T904" s="120">
        <v>-4.4198895027624308E-2</v>
      </c>
      <c r="U904" s="313">
        <v>0</v>
      </c>
      <c r="V904" s="120">
        <v>0</v>
      </c>
      <c r="W904" s="511">
        <v>0</v>
      </c>
      <c r="X904" s="511">
        <v>0</v>
      </c>
      <c r="Y904" s="511">
        <v>-1.079913606911447E-2</v>
      </c>
    </row>
    <row r="905" spans="1:25" x14ac:dyDescent="0.2">
      <c r="A905" s="143" t="s">
        <v>477</v>
      </c>
      <c r="B905" s="143"/>
      <c r="C905" s="300"/>
      <c r="D905" s="300"/>
      <c r="E905" s="300"/>
      <c r="F905" s="300"/>
      <c r="G905" s="300"/>
      <c r="H905" s="134"/>
      <c r="I905" s="300"/>
      <c r="J905" s="299"/>
      <c r="K905" s="300"/>
      <c r="L905" s="300"/>
      <c r="M905" s="134"/>
      <c r="N905" s="300"/>
      <c r="O905" s="299"/>
      <c r="P905" s="134"/>
      <c r="Q905" s="301"/>
      <c r="R905" s="134"/>
      <c r="S905" s="300"/>
      <c r="T905" s="132"/>
      <c r="U905" s="311"/>
      <c r="V905" s="132"/>
    </row>
    <row r="906" spans="1:25" x14ac:dyDescent="0.2">
      <c r="A906" s="144" t="s">
        <v>473</v>
      </c>
      <c r="B906" s="144"/>
      <c r="C906" s="303">
        <v>0</v>
      </c>
      <c r="D906" s="303"/>
      <c r="E906" s="303"/>
      <c r="F906" s="303"/>
      <c r="G906" s="303"/>
      <c r="H906" s="119"/>
      <c r="I906" s="303">
        <v>0</v>
      </c>
      <c r="J906" s="302"/>
      <c r="K906" s="303"/>
      <c r="L906" s="303"/>
      <c r="M906" s="119"/>
      <c r="N906" s="303"/>
      <c r="O906" s="302"/>
      <c r="P906" s="119"/>
      <c r="Q906" s="173"/>
      <c r="R906" s="119"/>
      <c r="S906" s="303"/>
      <c r="T906" s="117"/>
      <c r="U906" s="312"/>
      <c r="V906" s="117"/>
      <c r="Y906" s="511">
        <v>0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Y17011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" defaultRowHeight="12.75" x14ac:dyDescent="0.2"/>
  <cols>
    <col min="1" max="1" width="6.875" style="10" customWidth="1"/>
    <col min="2" max="2" width="30.25" style="496" customWidth="1"/>
    <col min="3" max="3" width="9.5" style="496" customWidth="1"/>
    <col min="4" max="4" width="7.375" style="66" customWidth="1"/>
    <col min="5" max="8" width="7.75" style="496" customWidth="1"/>
    <col min="9" max="9" width="13.5" style="496" customWidth="1"/>
    <col min="10" max="13" width="6.75" style="496" customWidth="1"/>
    <col min="14" max="14" width="14" style="496" customWidth="1"/>
    <col min="15" max="17" width="6.875" style="496" customWidth="1"/>
    <col min="18" max="18" width="13.875" style="496" customWidth="1"/>
    <col min="19" max="19" width="12.5" style="496" customWidth="1"/>
    <col min="20" max="20" width="15.5" style="496" customWidth="1"/>
    <col min="21" max="21" width="6.25" style="496" customWidth="1"/>
    <col min="22" max="22" width="7.625" style="496" customWidth="1"/>
    <col min="23" max="23" width="10.875" style="496" customWidth="1"/>
    <col min="24" max="25" width="11" style="496" customWidth="1"/>
    <col min="26" max="26" width="7.75" style="496" customWidth="1"/>
    <col min="27" max="27" width="7.5" style="496" customWidth="1"/>
    <col min="28" max="28" width="7.75" style="496" customWidth="1"/>
    <col min="29" max="29" width="9.5" style="496" customWidth="1"/>
    <col min="30" max="30" width="7.75" style="496" customWidth="1"/>
    <col min="31" max="31" width="29" style="496" bestFit="1" customWidth="1"/>
    <col min="32" max="32" width="29.75" style="496" bestFit="1" customWidth="1"/>
    <col min="33" max="33" width="27.875" style="496" bestFit="1" customWidth="1"/>
    <col min="34" max="34" width="28.5" style="496" bestFit="1" customWidth="1"/>
    <col min="35" max="35" width="17.875" style="496" bestFit="1" customWidth="1"/>
    <col min="36" max="36" width="18.5" style="496" bestFit="1" customWidth="1"/>
    <col min="37" max="37" width="16.5" style="496" bestFit="1" customWidth="1"/>
    <col min="38" max="80" width="3.5" style="496" bestFit="1" customWidth="1"/>
    <col min="81" max="314" width="4.5" style="496" bestFit="1" customWidth="1"/>
    <col min="315" max="337" width="5.5" style="496" bestFit="1" customWidth="1"/>
    <col min="338" max="338" width="6.625" style="496" bestFit="1" customWidth="1"/>
    <col min="339" max="339" width="11" style="496" bestFit="1" customWidth="1"/>
    <col min="340" max="16384" width="9" style="496"/>
  </cols>
  <sheetData>
    <row r="3" spans="1:25" x14ac:dyDescent="0.2">
      <c r="B3" s="10"/>
      <c r="C3" s="496" t="s">
        <v>270</v>
      </c>
      <c r="D3" s="496" t="s">
        <v>236</v>
      </c>
    </row>
    <row r="4" spans="1:25" x14ac:dyDescent="0.2">
      <c r="B4" s="10"/>
      <c r="C4" s="496" t="s">
        <v>266</v>
      </c>
      <c r="D4" s="496"/>
      <c r="I4" s="496" t="s">
        <v>271</v>
      </c>
      <c r="J4" s="496" t="s">
        <v>267</v>
      </c>
      <c r="N4" s="496" t="s">
        <v>272</v>
      </c>
      <c r="O4" s="496" t="s">
        <v>268</v>
      </c>
      <c r="R4" s="496" t="s">
        <v>273</v>
      </c>
      <c r="S4" s="496" t="s">
        <v>269</v>
      </c>
      <c r="T4" s="124" t="s">
        <v>274</v>
      </c>
      <c r="U4" s="496" t="s">
        <v>973</v>
      </c>
      <c r="V4" s="249" t="s">
        <v>974</v>
      </c>
      <c r="W4" s="250" t="s">
        <v>954</v>
      </c>
      <c r="X4" s="496" t="s">
        <v>1199</v>
      </c>
      <c r="Y4" s="496" t="s">
        <v>262</v>
      </c>
    </row>
    <row r="5" spans="1:25" x14ac:dyDescent="0.2">
      <c r="A5" s="10" t="s">
        <v>237</v>
      </c>
      <c r="B5" s="496" t="s">
        <v>265</v>
      </c>
      <c r="C5" s="496">
        <v>1</v>
      </c>
      <c r="D5" s="496">
        <v>2</v>
      </c>
      <c r="E5" s="496">
        <v>3</v>
      </c>
      <c r="F5" s="496">
        <v>4</v>
      </c>
      <c r="G5" s="496">
        <v>5</v>
      </c>
      <c r="H5" s="496">
        <v>6</v>
      </c>
      <c r="J5" s="496">
        <v>7</v>
      </c>
      <c r="K5" s="496">
        <v>8</v>
      </c>
      <c r="L5" s="496">
        <v>9</v>
      </c>
      <c r="M5" s="496">
        <v>10</v>
      </c>
      <c r="O5" s="496">
        <v>12</v>
      </c>
      <c r="P5" s="496">
        <v>13</v>
      </c>
      <c r="Q5" s="496">
        <v>14</v>
      </c>
      <c r="S5" s="496">
        <v>15</v>
      </c>
      <c r="T5" s="124"/>
      <c r="U5" s="496">
        <v>99</v>
      </c>
      <c r="V5" s="249"/>
      <c r="W5" s="250" t="s">
        <v>954</v>
      </c>
    </row>
    <row r="6" spans="1:25" x14ac:dyDescent="0.2">
      <c r="A6" s="131" t="s">
        <v>0</v>
      </c>
      <c r="B6" s="135" t="s">
        <v>284</v>
      </c>
      <c r="C6" s="136">
        <v>8620</v>
      </c>
      <c r="D6" s="137">
        <v>3025</v>
      </c>
      <c r="E6" s="137">
        <v>5552</v>
      </c>
      <c r="F6" s="137">
        <v>2120</v>
      </c>
      <c r="G6" s="137">
        <v>624</v>
      </c>
      <c r="H6" s="137">
        <v>961</v>
      </c>
      <c r="I6" s="137">
        <v>20902</v>
      </c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8"/>
      <c r="Y6" s="496">
        <v>20902</v>
      </c>
    </row>
    <row r="7" spans="1:25" x14ac:dyDescent="0.2">
      <c r="A7" s="252"/>
      <c r="B7" s="125" t="s">
        <v>285</v>
      </c>
      <c r="C7" s="126">
        <v>8767</v>
      </c>
      <c r="D7" s="127">
        <v>3070</v>
      </c>
      <c r="E7" s="127">
        <v>5131</v>
      </c>
      <c r="F7" s="127">
        <v>2030</v>
      </c>
      <c r="G7" s="127">
        <v>591</v>
      </c>
      <c r="H7" s="127">
        <v>940</v>
      </c>
      <c r="I7" s="127">
        <v>20529</v>
      </c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8"/>
      <c r="Y7" s="496">
        <v>20529</v>
      </c>
    </row>
    <row r="8" spans="1:25" s="123" customFormat="1" x14ac:dyDescent="0.2">
      <c r="A8" s="252"/>
      <c r="B8" s="139" t="s">
        <v>286</v>
      </c>
      <c r="C8" s="120">
        <v>1.705336426914153E-2</v>
      </c>
      <c r="D8" s="121">
        <v>1.487603305785124E-2</v>
      </c>
      <c r="E8" s="121">
        <v>-7.5828530259365992E-2</v>
      </c>
      <c r="F8" s="121">
        <v>-4.2452830188679243E-2</v>
      </c>
      <c r="G8" s="121">
        <v>-5.2884615384615384E-2</v>
      </c>
      <c r="H8" s="121">
        <v>-2.1852237252861603E-2</v>
      </c>
      <c r="I8" s="121">
        <v>-1.7845182279207731E-2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2">
        <v>0</v>
      </c>
      <c r="X8" s="496">
        <v>0</v>
      </c>
      <c r="Y8" s="496">
        <v>-1.7845182279207731E-2</v>
      </c>
    </row>
    <row r="9" spans="1:25" x14ac:dyDescent="0.2">
      <c r="A9" s="252"/>
      <c r="B9" s="135" t="s">
        <v>371</v>
      </c>
      <c r="C9" s="136">
        <v>724</v>
      </c>
      <c r="D9" s="137">
        <v>179</v>
      </c>
      <c r="E9" s="137">
        <v>726</v>
      </c>
      <c r="F9" s="137">
        <v>309</v>
      </c>
      <c r="G9" s="137">
        <v>126</v>
      </c>
      <c r="H9" s="137">
        <v>285</v>
      </c>
      <c r="I9" s="137">
        <v>2349</v>
      </c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8"/>
      <c r="Y9" s="496">
        <v>2349</v>
      </c>
    </row>
    <row r="10" spans="1:25" x14ac:dyDescent="0.2">
      <c r="A10" s="252"/>
      <c r="B10" s="125" t="s">
        <v>373</v>
      </c>
      <c r="C10" s="126">
        <v>824</v>
      </c>
      <c r="D10" s="127">
        <v>156</v>
      </c>
      <c r="E10" s="127">
        <v>681</v>
      </c>
      <c r="F10" s="127">
        <v>296</v>
      </c>
      <c r="G10" s="127">
        <v>101</v>
      </c>
      <c r="H10" s="127">
        <v>278</v>
      </c>
      <c r="I10" s="127">
        <v>2336</v>
      </c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8"/>
      <c r="Y10" s="496">
        <v>2336</v>
      </c>
    </row>
    <row r="11" spans="1:25" s="123" customFormat="1" x14ac:dyDescent="0.2">
      <c r="A11" s="252"/>
      <c r="B11" s="139" t="s">
        <v>375</v>
      </c>
      <c r="C11" s="120">
        <v>0.13812154696132597</v>
      </c>
      <c r="D11" s="121">
        <v>-0.12849162011173185</v>
      </c>
      <c r="E11" s="121">
        <v>-6.1983471074380167E-2</v>
      </c>
      <c r="F11" s="121">
        <v>-4.2071197411003236E-2</v>
      </c>
      <c r="G11" s="121">
        <v>-0.1984126984126984</v>
      </c>
      <c r="H11" s="121">
        <v>-2.456140350877193E-2</v>
      </c>
      <c r="I11" s="121">
        <v>-5.5342699020859941E-3</v>
      </c>
      <c r="J11" s="121">
        <v>0</v>
      </c>
      <c r="K11" s="121">
        <v>0</v>
      </c>
      <c r="L11" s="121">
        <v>0</v>
      </c>
      <c r="M11" s="121">
        <v>0</v>
      </c>
      <c r="N11" s="121"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v>0</v>
      </c>
      <c r="W11" s="122">
        <v>0</v>
      </c>
      <c r="X11" s="496">
        <v>0</v>
      </c>
      <c r="Y11" s="496">
        <v>-5.5342699020859941E-3</v>
      </c>
    </row>
    <row r="12" spans="1:25" x14ac:dyDescent="0.2">
      <c r="A12" s="252"/>
      <c r="B12" s="135" t="s">
        <v>377</v>
      </c>
      <c r="C12" s="136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8"/>
    </row>
    <row r="13" spans="1:25" x14ac:dyDescent="0.2">
      <c r="A13" s="252"/>
      <c r="B13" s="125" t="s">
        <v>379</v>
      </c>
      <c r="C13" s="126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8"/>
    </row>
    <row r="14" spans="1:25" s="123" customFormat="1" x14ac:dyDescent="0.2">
      <c r="A14" s="252"/>
      <c r="B14" s="139" t="s">
        <v>381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2">
        <v>0</v>
      </c>
      <c r="X14" s="496">
        <v>0</v>
      </c>
      <c r="Y14" s="496">
        <v>0</v>
      </c>
    </row>
    <row r="15" spans="1:25" x14ac:dyDescent="0.2">
      <c r="A15" s="252"/>
      <c r="B15" s="135" t="s">
        <v>383</v>
      </c>
      <c r="C15" s="136"/>
      <c r="D15" s="137">
        <v>90</v>
      </c>
      <c r="E15" s="137"/>
      <c r="F15" s="137">
        <v>19</v>
      </c>
      <c r="G15" s="137">
        <v>3</v>
      </c>
      <c r="H15" s="137"/>
      <c r="I15" s="137">
        <v>112</v>
      </c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8"/>
      <c r="Y15" s="496">
        <v>112</v>
      </c>
    </row>
    <row r="16" spans="1:25" ht="13.5" thickBot="1" x14ac:dyDescent="0.25">
      <c r="A16" s="252"/>
      <c r="B16" s="125" t="s">
        <v>385</v>
      </c>
      <c r="C16" s="126"/>
      <c r="D16" s="785">
        <v>57</v>
      </c>
      <c r="E16" s="127">
        <v>6</v>
      </c>
      <c r="F16" s="785">
        <v>7</v>
      </c>
      <c r="G16" s="785">
        <v>20</v>
      </c>
      <c r="H16" s="127"/>
      <c r="I16" s="127">
        <v>90</v>
      </c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8"/>
      <c r="Y16" s="496">
        <v>90</v>
      </c>
    </row>
    <row r="17" spans="1:25" s="123" customFormat="1" ht="13.5" thickBot="1" x14ac:dyDescent="0.25">
      <c r="A17" s="252"/>
      <c r="B17" s="139" t="s">
        <v>387</v>
      </c>
      <c r="C17" s="120">
        <v>0</v>
      </c>
      <c r="D17" s="789">
        <v>-0.36666666666666664</v>
      </c>
      <c r="E17" s="121">
        <v>0</v>
      </c>
      <c r="F17" s="789">
        <v>-0.63157894736842102</v>
      </c>
      <c r="G17" s="789">
        <v>5.666666666666667</v>
      </c>
      <c r="H17" s="121">
        <v>0</v>
      </c>
      <c r="I17" s="121">
        <v>-0.19642857142857142</v>
      </c>
      <c r="J17" s="121">
        <v>0</v>
      </c>
      <c r="K17" s="121">
        <v>0</v>
      </c>
      <c r="L17" s="121">
        <v>0</v>
      </c>
      <c r="M17" s="121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122">
        <v>0</v>
      </c>
      <c r="X17" s="496">
        <v>0</v>
      </c>
      <c r="Y17" s="496">
        <v>-0.19642857142857142</v>
      </c>
    </row>
    <row r="18" spans="1:25" x14ac:dyDescent="0.2">
      <c r="A18" s="252"/>
      <c r="B18" s="135" t="s">
        <v>391</v>
      </c>
      <c r="C18" s="136">
        <v>724</v>
      </c>
      <c r="D18" s="785">
        <v>269</v>
      </c>
      <c r="E18" s="137">
        <v>726</v>
      </c>
      <c r="F18" s="785">
        <v>328</v>
      </c>
      <c r="G18" s="785">
        <v>129</v>
      </c>
      <c r="H18" s="137">
        <v>285</v>
      </c>
      <c r="I18" s="137">
        <v>2461</v>
      </c>
      <c r="J18" s="137"/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/>
      <c r="R18" s="137">
        <v>0</v>
      </c>
      <c r="S18" s="137">
        <v>0</v>
      </c>
      <c r="T18" s="137">
        <v>0</v>
      </c>
      <c r="U18" s="137"/>
      <c r="V18" s="137"/>
      <c r="W18" s="138"/>
      <c r="Y18" s="496">
        <v>2461</v>
      </c>
    </row>
    <row r="19" spans="1:25" x14ac:dyDescent="0.2">
      <c r="A19" s="252"/>
      <c r="B19" s="125" t="s">
        <v>389</v>
      </c>
      <c r="C19" s="126">
        <v>824</v>
      </c>
      <c r="D19" s="127">
        <v>213</v>
      </c>
      <c r="E19" s="127">
        <v>687</v>
      </c>
      <c r="F19" s="127">
        <v>303</v>
      </c>
      <c r="G19" s="127">
        <v>121</v>
      </c>
      <c r="H19" s="127">
        <v>278</v>
      </c>
      <c r="I19" s="127">
        <v>2426</v>
      </c>
      <c r="J19" s="127"/>
      <c r="K19" s="127">
        <v>0</v>
      </c>
      <c r="L19" s="127">
        <v>0</v>
      </c>
      <c r="M19" s="127">
        <v>0</v>
      </c>
      <c r="N19" s="127">
        <v>0</v>
      </c>
      <c r="O19" s="127">
        <v>0</v>
      </c>
      <c r="P19" s="127">
        <v>0</v>
      </c>
      <c r="Q19" s="127"/>
      <c r="R19" s="127">
        <v>0</v>
      </c>
      <c r="S19" s="127">
        <v>0</v>
      </c>
      <c r="T19" s="127">
        <v>0</v>
      </c>
      <c r="U19" s="127"/>
      <c r="V19" s="127"/>
      <c r="W19" s="128"/>
      <c r="Y19" s="496">
        <v>2426</v>
      </c>
    </row>
    <row r="20" spans="1:25" s="123" customFormat="1" x14ac:dyDescent="0.2">
      <c r="A20" s="251"/>
      <c r="B20" s="139" t="s">
        <v>393</v>
      </c>
      <c r="C20" s="120">
        <v>0.13812154696132597</v>
      </c>
      <c r="D20" s="121">
        <v>-0.20817843866171004</v>
      </c>
      <c r="E20" s="121">
        <v>-5.3719008264462811E-2</v>
      </c>
      <c r="F20" s="121">
        <v>-7.621951219512195E-2</v>
      </c>
      <c r="G20" s="121">
        <v>-6.2015503875968991E-2</v>
      </c>
      <c r="H20" s="121">
        <v>-2.456140350877193E-2</v>
      </c>
      <c r="I20" s="121">
        <v>-1.4221861032100772E-2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122">
        <v>0</v>
      </c>
      <c r="X20" s="496">
        <v>0</v>
      </c>
      <c r="Y20" s="496">
        <v>-1.4221861032100772E-2</v>
      </c>
    </row>
    <row r="21" spans="1:25" x14ac:dyDescent="0.2">
      <c r="A21" s="131" t="s">
        <v>980</v>
      </c>
      <c r="B21" s="135" t="s">
        <v>284</v>
      </c>
      <c r="C21" s="136">
        <v>2958</v>
      </c>
      <c r="D21" s="137"/>
      <c r="E21" s="137">
        <v>5406</v>
      </c>
      <c r="F21" s="137">
        <v>823</v>
      </c>
      <c r="G21" s="137">
        <v>309</v>
      </c>
      <c r="H21" s="137">
        <v>913</v>
      </c>
      <c r="I21" s="137">
        <v>10409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>
        <v>326</v>
      </c>
      <c r="T21" s="137">
        <v>326</v>
      </c>
      <c r="U21" s="137"/>
      <c r="V21" s="137"/>
      <c r="W21" s="138"/>
      <c r="Y21" s="496">
        <v>10735</v>
      </c>
    </row>
    <row r="22" spans="1:25" x14ac:dyDescent="0.2">
      <c r="A22" s="252"/>
      <c r="B22" s="125" t="s">
        <v>285</v>
      </c>
      <c r="C22" s="126">
        <v>3130</v>
      </c>
      <c r="D22" s="127"/>
      <c r="E22" s="127">
        <v>5616</v>
      </c>
      <c r="F22" s="127">
        <v>913</v>
      </c>
      <c r="G22" s="127">
        <v>370</v>
      </c>
      <c r="H22" s="127">
        <v>1088</v>
      </c>
      <c r="I22" s="127">
        <v>11117</v>
      </c>
      <c r="J22" s="127"/>
      <c r="K22" s="127"/>
      <c r="L22" s="127"/>
      <c r="M22" s="127"/>
      <c r="N22" s="127"/>
      <c r="O22" s="127"/>
      <c r="P22" s="127"/>
      <c r="Q22" s="127"/>
      <c r="R22" s="127"/>
      <c r="S22" s="127">
        <v>341</v>
      </c>
      <c r="T22" s="127">
        <v>341</v>
      </c>
      <c r="U22" s="127"/>
      <c r="V22" s="127"/>
      <c r="W22" s="128"/>
      <c r="Y22" s="496">
        <v>11458</v>
      </c>
    </row>
    <row r="23" spans="1:25" s="123" customFormat="1" x14ac:dyDescent="0.2">
      <c r="A23" s="252"/>
      <c r="B23" s="139" t="s">
        <v>286</v>
      </c>
      <c r="C23" s="120">
        <v>5.8147396889790398E-2</v>
      </c>
      <c r="D23" s="121">
        <v>0</v>
      </c>
      <c r="E23" s="121">
        <v>3.8845726970033294E-2</v>
      </c>
      <c r="F23" s="121">
        <v>0.10935601458080195</v>
      </c>
      <c r="G23" s="121">
        <v>0.19741100323624594</v>
      </c>
      <c r="H23" s="121">
        <v>0.19167579408543264</v>
      </c>
      <c r="I23" s="121">
        <v>6.8018061293111734E-2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4.6012269938650305E-2</v>
      </c>
      <c r="T23" s="121">
        <v>4.6012269938650305E-2</v>
      </c>
      <c r="U23" s="121">
        <v>0</v>
      </c>
      <c r="V23" s="121">
        <v>0</v>
      </c>
      <c r="W23" s="122">
        <v>0</v>
      </c>
      <c r="X23" s="496">
        <v>0</v>
      </c>
      <c r="Y23" s="496">
        <v>6.7349790405216575E-2</v>
      </c>
    </row>
    <row r="24" spans="1:25" x14ac:dyDescent="0.2">
      <c r="A24" s="252"/>
      <c r="B24" s="135" t="s">
        <v>371</v>
      </c>
      <c r="C24" s="136">
        <v>142</v>
      </c>
      <c r="D24" s="137"/>
      <c r="E24" s="137">
        <v>698</v>
      </c>
      <c r="F24" s="137">
        <v>161</v>
      </c>
      <c r="G24" s="137">
        <v>23</v>
      </c>
      <c r="H24" s="137">
        <v>126</v>
      </c>
      <c r="I24" s="137">
        <v>1150</v>
      </c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8"/>
      <c r="Y24" s="496">
        <v>1150</v>
      </c>
    </row>
    <row r="25" spans="1:25" ht="13.5" thickBot="1" x14ac:dyDescent="0.25">
      <c r="A25" s="252"/>
      <c r="B25" s="125" t="s">
        <v>373</v>
      </c>
      <c r="C25" s="126">
        <v>150</v>
      </c>
      <c r="D25" s="127"/>
      <c r="E25" s="127">
        <v>678</v>
      </c>
      <c r="F25" s="127">
        <v>177</v>
      </c>
      <c r="G25" s="785">
        <v>51</v>
      </c>
      <c r="H25" s="127">
        <v>112</v>
      </c>
      <c r="I25" s="127">
        <v>1168</v>
      </c>
      <c r="J25" s="127"/>
      <c r="K25" s="127"/>
      <c r="L25" s="127"/>
      <c r="M25" s="127"/>
      <c r="N25" s="127"/>
      <c r="O25" s="127"/>
      <c r="P25" s="127"/>
      <c r="Q25" s="127"/>
      <c r="R25" s="127"/>
      <c r="S25" s="127">
        <v>0</v>
      </c>
      <c r="T25" s="127">
        <v>0</v>
      </c>
      <c r="U25" s="127"/>
      <c r="V25" s="127"/>
      <c r="W25" s="128"/>
      <c r="Y25" s="496">
        <v>1168</v>
      </c>
    </row>
    <row r="26" spans="1:25" s="123" customFormat="1" ht="13.5" thickBot="1" x14ac:dyDescent="0.25">
      <c r="A26" s="252"/>
      <c r="B26" s="139" t="s">
        <v>375</v>
      </c>
      <c r="C26" s="120">
        <v>5.6338028169014086E-2</v>
      </c>
      <c r="D26" s="121">
        <v>0</v>
      </c>
      <c r="E26" s="121">
        <v>-2.865329512893983E-2</v>
      </c>
      <c r="F26" s="121">
        <v>9.9378881987577633E-2</v>
      </c>
      <c r="G26" s="789">
        <v>1.2173913043478262</v>
      </c>
      <c r="H26" s="121">
        <v>-0.1111111111111111</v>
      </c>
      <c r="I26" s="121">
        <v>1.5652173913043479E-2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0</v>
      </c>
      <c r="W26" s="122">
        <v>0</v>
      </c>
      <c r="X26" s="496">
        <v>0</v>
      </c>
      <c r="Y26" s="496">
        <v>1.5652173913043479E-2</v>
      </c>
    </row>
    <row r="27" spans="1:25" x14ac:dyDescent="0.2">
      <c r="A27" s="252"/>
      <c r="B27" s="135" t="s">
        <v>377</v>
      </c>
      <c r="C27" s="136"/>
      <c r="D27" s="137"/>
      <c r="E27" s="137"/>
      <c r="F27" s="137"/>
      <c r="G27" s="785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8"/>
    </row>
    <row r="28" spans="1:25" x14ac:dyDescent="0.2">
      <c r="A28" s="252"/>
      <c r="B28" s="125" t="s">
        <v>379</v>
      </c>
      <c r="C28" s="126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8"/>
    </row>
    <row r="29" spans="1:25" s="123" customFormat="1" x14ac:dyDescent="0.2">
      <c r="A29" s="252"/>
      <c r="B29" s="139" t="s">
        <v>381</v>
      </c>
      <c r="C29" s="120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2">
        <v>0</v>
      </c>
      <c r="X29" s="496">
        <v>0</v>
      </c>
      <c r="Y29" s="496">
        <v>0</v>
      </c>
    </row>
    <row r="30" spans="1:25" x14ac:dyDescent="0.2">
      <c r="A30" s="252"/>
      <c r="B30" s="135" t="s">
        <v>383</v>
      </c>
      <c r="C30" s="136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8"/>
    </row>
    <row r="31" spans="1:25" x14ac:dyDescent="0.2">
      <c r="A31" s="252"/>
      <c r="B31" s="125" t="s">
        <v>385</v>
      </c>
      <c r="C31" s="126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8"/>
    </row>
    <row r="32" spans="1:25" s="123" customFormat="1" x14ac:dyDescent="0.2">
      <c r="A32" s="252"/>
      <c r="B32" s="139" t="s">
        <v>387</v>
      </c>
      <c r="C32" s="120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2">
        <v>0</v>
      </c>
      <c r="X32" s="496">
        <v>0</v>
      </c>
      <c r="Y32" s="496">
        <v>0</v>
      </c>
    </row>
    <row r="33" spans="1:25" x14ac:dyDescent="0.2">
      <c r="A33" s="252"/>
      <c r="B33" s="135" t="s">
        <v>391</v>
      </c>
      <c r="C33" s="136">
        <v>142</v>
      </c>
      <c r="D33" s="137"/>
      <c r="E33" s="137">
        <v>698</v>
      </c>
      <c r="F33" s="137">
        <v>161</v>
      </c>
      <c r="G33" s="137">
        <v>23</v>
      </c>
      <c r="H33" s="137">
        <v>126</v>
      </c>
      <c r="I33" s="137">
        <v>1150</v>
      </c>
      <c r="J33" s="137"/>
      <c r="K33" s="137">
        <v>0</v>
      </c>
      <c r="L33" s="137">
        <v>0</v>
      </c>
      <c r="M33" s="137">
        <v>0</v>
      </c>
      <c r="N33" s="137">
        <v>0</v>
      </c>
      <c r="O33" s="137"/>
      <c r="P33" s="137"/>
      <c r="Q33" s="137"/>
      <c r="R33" s="137"/>
      <c r="S33" s="137">
        <v>0</v>
      </c>
      <c r="T33" s="137">
        <v>0</v>
      </c>
      <c r="U33" s="137"/>
      <c r="V33" s="137"/>
      <c r="W33" s="138"/>
      <c r="Y33" s="496">
        <v>1150</v>
      </c>
    </row>
    <row r="34" spans="1:25" ht="13.5" thickBot="1" x14ac:dyDescent="0.25">
      <c r="A34" s="252"/>
      <c r="B34" s="125" t="s">
        <v>389</v>
      </c>
      <c r="C34" s="126">
        <v>150</v>
      </c>
      <c r="D34" s="127"/>
      <c r="E34" s="127">
        <v>678</v>
      </c>
      <c r="F34" s="127">
        <v>177</v>
      </c>
      <c r="G34" s="785">
        <v>51</v>
      </c>
      <c r="H34" s="127">
        <v>112</v>
      </c>
      <c r="I34" s="127">
        <v>1168</v>
      </c>
      <c r="J34" s="127"/>
      <c r="K34" s="127">
        <v>0</v>
      </c>
      <c r="L34" s="127">
        <v>0</v>
      </c>
      <c r="M34" s="127">
        <v>0</v>
      </c>
      <c r="N34" s="127">
        <v>0</v>
      </c>
      <c r="O34" s="127"/>
      <c r="P34" s="127"/>
      <c r="Q34" s="127"/>
      <c r="R34" s="127"/>
      <c r="S34" s="127">
        <v>0</v>
      </c>
      <c r="T34" s="127">
        <v>0</v>
      </c>
      <c r="U34" s="127"/>
      <c r="V34" s="127"/>
      <c r="W34" s="128"/>
      <c r="Y34" s="496">
        <v>1168</v>
      </c>
    </row>
    <row r="35" spans="1:25" s="123" customFormat="1" ht="13.5" thickBot="1" x14ac:dyDescent="0.25">
      <c r="A35" s="251"/>
      <c r="B35" s="139" t="s">
        <v>393</v>
      </c>
      <c r="C35" s="120">
        <v>5.6338028169014086E-2</v>
      </c>
      <c r="D35" s="121">
        <v>0</v>
      </c>
      <c r="E35" s="121">
        <v>-2.865329512893983E-2</v>
      </c>
      <c r="F35" s="121">
        <v>9.9378881987577633E-2</v>
      </c>
      <c r="G35" s="789">
        <v>1.2173913043478262</v>
      </c>
      <c r="H35" s="121">
        <v>-0.1111111111111111</v>
      </c>
      <c r="I35" s="121">
        <v>1.5652173913043479E-2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2">
        <v>0</v>
      </c>
      <c r="X35" s="496">
        <v>0</v>
      </c>
      <c r="Y35" s="496">
        <v>1.5652173913043479E-2</v>
      </c>
    </row>
    <row r="36" spans="1:25" x14ac:dyDescent="0.2">
      <c r="A36" s="131" t="s">
        <v>1087</v>
      </c>
      <c r="B36" s="135" t="s">
        <v>284</v>
      </c>
      <c r="C36" s="136">
        <v>3621</v>
      </c>
      <c r="D36" s="137"/>
      <c r="E36" s="137">
        <v>497</v>
      </c>
      <c r="F36" s="137"/>
      <c r="G36" s="785"/>
      <c r="H36" s="137"/>
      <c r="I36" s="137">
        <v>4118</v>
      </c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  <c r="Y36" s="496">
        <v>4118</v>
      </c>
    </row>
    <row r="37" spans="1:25" x14ac:dyDescent="0.2">
      <c r="A37" s="252"/>
      <c r="B37" s="125" t="s">
        <v>285</v>
      </c>
      <c r="C37" s="126">
        <v>3535</v>
      </c>
      <c r="D37" s="127"/>
      <c r="E37" s="127">
        <v>505</v>
      </c>
      <c r="F37" s="127"/>
      <c r="G37" s="127"/>
      <c r="H37" s="127"/>
      <c r="I37" s="127">
        <v>4040</v>
      </c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8"/>
      <c r="Y37" s="496">
        <v>4040</v>
      </c>
    </row>
    <row r="38" spans="1:25" s="123" customFormat="1" x14ac:dyDescent="0.2">
      <c r="A38" s="252"/>
      <c r="B38" s="139" t="s">
        <v>286</v>
      </c>
      <c r="C38" s="120">
        <v>-2.3750345208505937E-2</v>
      </c>
      <c r="D38" s="121">
        <v>0</v>
      </c>
      <c r="E38" s="121">
        <v>1.6096579476861168E-2</v>
      </c>
      <c r="F38" s="121">
        <v>0</v>
      </c>
      <c r="G38" s="121">
        <v>0</v>
      </c>
      <c r="H38" s="121">
        <v>0</v>
      </c>
      <c r="I38" s="121">
        <v>-1.8941233608547839E-2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2">
        <v>0</v>
      </c>
      <c r="X38" s="496">
        <v>0</v>
      </c>
      <c r="Y38" s="496">
        <v>-1.8941233608547839E-2</v>
      </c>
    </row>
    <row r="39" spans="1:25" x14ac:dyDescent="0.2">
      <c r="A39" s="252"/>
      <c r="B39" s="135" t="s">
        <v>371</v>
      </c>
      <c r="C39" s="136">
        <v>321</v>
      </c>
      <c r="D39" s="137"/>
      <c r="E39" s="137">
        <v>26</v>
      </c>
      <c r="F39" s="137"/>
      <c r="G39" s="137"/>
      <c r="H39" s="137"/>
      <c r="I39" s="137">
        <v>347</v>
      </c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8"/>
      <c r="Y39" s="496">
        <v>347</v>
      </c>
    </row>
    <row r="40" spans="1:25" x14ac:dyDescent="0.2">
      <c r="A40" s="252"/>
      <c r="B40" s="125" t="s">
        <v>373</v>
      </c>
      <c r="C40" s="126">
        <v>306</v>
      </c>
      <c r="D40" s="127"/>
      <c r="E40" s="127">
        <v>28</v>
      </c>
      <c r="F40" s="127"/>
      <c r="G40" s="127"/>
      <c r="H40" s="127"/>
      <c r="I40" s="127">
        <v>334</v>
      </c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8"/>
      <c r="Y40" s="496">
        <v>334</v>
      </c>
    </row>
    <row r="41" spans="1:25" s="123" customFormat="1" x14ac:dyDescent="0.2">
      <c r="A41" s="252"/>
      <c r="B41" s="139" t="s">
        <v>375</v>
      </c>
      <c r="C41" s="120">
        <v>-4.6728971962616821E-2</v>
      </c>
      <c r="D41" s="121">
        <v>0</v>
      </c>
      <c r="E41" s="121">
        <v>7.6923076923076927E-2</v>
      </c>
      <c r="F41" s="121">
        <v>0</v>
      </c>
      <c r="G41" s="121">
        <v>0</v>
      </c>
      <c r="H41" s="121">
        <v>0</v>
      </c>
      <c r="I41" s="121">
        <v>-3.7463976945244955E-2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2">
        <v>0</v>
      </c>
      <c r="X41" s="496">
        <v>0</v>
      </c>
      <c r="Y41" s="496">
        <v>-3.7463976945244955E-2</v>
      </c>
    </row>
    <row r="42" spans="1:25" x14ac:dyDescent="0.2">
      <c r="A42" s="252"/>
      <c r="B42" s="135" t="s">
        <v>377</v>
      </c>
      <c r="C42" s="136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8"/>
    </row>
    <row r="43" spans="1:25" x14ac:dyDescent="0.2">
      <c r="A43" s="252"/>
      <c r="B43" s="125" t="s">
        <v>379</v>
      </c>
      <c r="C43" s="126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8"/>
    </row>
    <row r="44" spans="1:25" s="123" customFormat="1" x14ac:dyDescent="0.2">
      <c r="A44" s="252"/>
      <c r="B44" s="139" t="s">
        <v>381</v>
      </c>
      <c r="C44" s="120">
        <v>0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2">
        <v>0</v>
      </c>
      <c r="X44" s="496">
        <v>0</v>
      </c>
      <c r="Y44" s="496">
        <v>0</v>
      </c>
    </row>
    <row r="45" spans="1:25" x14ac:dyDescent="0.2">
      <c r="A45" s="252"/>
      <c r="B45" s="135" t="s">
        <v>383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8"/>
    </row>
    <row r="46" spans="1:25" x14ac:dyDescent="0.2">
      <c r="A46" s="252"/>
      <c r="B46" s="125" t="s">
        <v>385</v>
      </c>
      <c r="C46" s="126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8"/>
    </row>
    <row r="47" spans="1:25" s="123" customFormat="1" x14ac:dyDescent="0.2">
      <c r="A47" s="252"/>
      <c r="B47" s="139" t="s">
        <v>387</v>
      </c>
      <c r="C47" s="120">
        <v>0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2">
        <v>0</v>
      </c>
      <c r="X47" s="496">
        <v>0</v>
      </c>
      <c r="Y47" s="496">
        <v>0</v>
      </c>
    </row>
    <row r="48" spans="1:25" x14ac:dyDescent="0.2">
      <c r="A48" s="252"/>
      <c r="B48" s="135" t="s">
        <v>391</v>
      </c>
      <c r="C48" s="136">
        <v>321</v>
      </c>
      <c r="D48" s="137"/>
      <c r="E48" s="137">
        <v>26</v>
      </c>
      <c r="F48" s="137"/>
      <c r="G48" s="137"/>
      <c r="H48" s="137"/>
      <c r="I48" s="137">
        <v>347</v>
      </c>
      <c r="J48" s="137"/>
      <c r="K48" s="137">
        <v>0</v>
      </c>
      <c r="L48" s="137">
        <v>0</v>
      </c>
      <c r="M48" s="137"/>
      <c r="N48" s="137">
        <v>0</v>
      </c>
      <c r="O48" s="137"/>
      <c r="P48" s="137"/>
      <c r="Q48" s="137"/>
      <c r="R48" s="137"/>
      <c r="S48" s="137"/>
      <c r="T48" s="137"/>
      <c r="U48" s="137"/>
      <c r="V48" s="137"/>
      <c r="W48" s="138"/>
      <c r="Y48" s="496">
        <v>347</v>
      </c>
    </row>
    <row r="49" spans="1:25" x14ac:dyDescent="0.2">
      <c r="A49" s="252"/>
      <c r="B49" s="125" t="s">
        <v>389</v>
      </c>
      <c r="C49" s="126">
        <v>306</v>
      </c>
      <c r="D49" s="127"/>
      <c r="E49" s="127">
        <v>28</v>
      </c>
      <c r="F49" s="127"/>
      <c r="G49" s="127"/>
      <c r="H49" s="127"/>
      <c r="I49" s="127">
        <v>334</v>
      </c>
      <c r="J49" s="127"/>
      <c r="K49" s="127">
        <v>0</v>
      </c>
      <c r="L49" s="127">
        <v>0</v>
      </c>
      <c r="M49" s="127"/>
      <c r="N49" s="127">
        <v>0</v>
      </c>
      <c r="O49" s="127"/>
      <c r="P49" s="127"/>
      <c r="Q49" s="127"/>
      <c r="R49" s="127"/>
      <c r="S49" s="127"/>
      <c r="T49" s="127"/>
      <c r="U49" s="127"/>
      <c r="V49" s="127"/>
      <c r="W49" s="128"/>
      <c r="Y49" s="496">
        <v>334</v>
      </c>
    </row>
    <row r="50" spans="1:25" s="123" customFormat="1" x14ac:dyDescent="0.2">
      <c r="A50" s="251"/>
      <c r="B50" s="139" t="s">
        <v>393</v>
      </c>
      <c r="C50" s="120">
        <v>-4.6728971962616821E-2</v>
      </c>
      <c r="D50" s="121">
        <v>0</v>
      </c>
      <c r="E50" s="121">
        <v>7.6923076923076927E-2</v>
      </c>
      <c r="F50" s="121">
        <v>0</v>
      </c>
      <c r="G50" s="121">
        <v>0</v>
      </c>
      <c r="H50" s="121">
        <v>0</v>
      </c>
      <c r="I50" s="121">
        <v>-3.7463976945244955E-2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2">
        <v>0</v>
      </c>
      <c r="X50" s="496">
        <v>0</v>
      </c>
      <c r="Y50" s="496">
        <v>-3.7463976945244955E-2</v>
      </c>
    </row>
    <row r="51" spans="1:25" x14ac:dyDescent="0.2">
      <c r="A51" s="131" t="s">
        <v>1074</v>
      </c>
      <c r="B51" s="135" t="s">
        <v>284</v>
      </c>
      <c r="C51" s="136">
        <v>42044</v>
      </c>
      <c r="D51" s="137">
        <v>4593</v>
      </c>
      <c r="E51" s="137">
        <v>6194</v>
      </c>
      <c r="F51" s="137">
        <v>1616</v>
      </c>
      <c r="G51" s="137"/>
      <c r="H51" s="137">
        <v>167</v>
      </c>
      <c r="I51" s="137">
        <v>54614</v>
      </c>
      <c r="J51" s="137">
        <v>1583</v>
      </c>
      <c r="K51" s="137">
        <v>164</v>
      </c>
      <c r="L51" s="137">
        <v>952</v>
      </c>
      <c r="M51" s="137">
        <v>0</v>
      </c>
      <c r="N51" s="137">
        <v>2699</v>
      </c>
      <c r="O51" s="137"/>
      <c r="P51" s="137"/>
      <c r="Q51" s="137"/>
      <c r="R51" s="137"/>
      <c r="S51" s="137"/>
      <c r="T51" s="137"/>
      <c r="U51" s="137"/>
      <c r="V51" s="137"/>
      <c r="W51" s="138"/>
      <c r="Y51" s="496">
        <v>57313</v>
      </c>
    </row>
    <row r="52" spans="1:25" ht="13.5" thickBot="1" x14ac:dyDescent="0.25">
      <c r="A52" s="252"/>
      <c r="B52" s="125" t="s">
        <v>285</v>
      </c>
      <c r="C52" s="126">
        <v>44040</v>
      </c>
      <c r="D52" s="127">
        <v>4892</v>
      </c>
      <c r="E52" s="127">
        <v>6632</v>
      </c>
      <c r="F52" s="127">
        <v>1744</v>
      </c>
      <c r="G52" s="127"/>
      <c r="H52" s="127">
        <v>179</v>
      </c>
      <c r="I52" s="127">
        <v>57487</v>
      </c>
      <c r="J52" s="785">
        <v>3313</v>
      </c>
      <c r="K52" s="785">
        <v>638</v>
      </c>
      <c r="L52" s="785">
        <v>6</v>
      </c>
      <c r="M52" s="127">
        <v>0</v>
      </c>
      <c r="N52" s="785">
        <v>3957</v>
      </c>
      <c r="O52" s="127"/>
      <c r="P52" s="127"/>
      <c r="Q52" s="127"/>
      <c r="R52" s="127"/>
      <c r="S52" s="127"/>
      <c r="T52" s="127"/>
      <c r="U52" s="127"/>
      <c r="V52" s="127"/>
      <c r="W52" s="128"/>
      <c r="Y52" s="496">
        <v>61444</v>
      </c>
    </row>
    <row r="53" spans="1:25" s="123" customFormat="1" ht="13.5" thickBot="1" x14ac:dyDescent="0.25">
      <c r="A53" s="252"/>
      <c r="B53" s="139" t="s">
        <v>286</v>
      </c>
      <c r="C53" s="120">
        <v>4.7474074778803159E-2</v>
      </c>
      <c r="D53" s="121">
        <v>6.5099063792728062E-2</v>
      </c>
      <c r="E53" s="121">
        <v>7.0713593800452057E-2</v>
      </c>
      <c r="F53" s="121">
        <v>7.9207920792079209E-2</v>
      </c>
      <c r="G53" s="121">
        <v>0</v>
      </c>
      <c r="H53" s="121">
        <v>7.1856287425149698E-2</v>
      </c>
      <c r="I53" s="121">
        <v>5.2605559014172187E-2</v>
      </c>
      <c r="J53" s="844">
        <v>1.0928616550852812</v>
      </c>
      <c r="K53" s="844">
        <v>2.8902439024390243</v>
      </c>
      <c r="L53" s="844">
        <v>-0.99369747899159666</v>
      </c>
      <c r="M53" s="121">
        <v>0</v>
      </c>
      <c r="N53" s="844">
        <v>0.46609855502037789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2">
        <v>0</v>
      </c>
      <c r="X53" s="496">
        <v>0</v>
      </c>
      <c r="Y53" s="496">
        <v>7.2077888088217329E-2</v>
      </c>
    </row>
    <row r="54" spans="1:25" x14ac:dyDescent="0.2">
      <c r="A54" s="252"/>
      <c r="B54" s="135" t="s">
        <v>371</v>
      </c>
      <c r="C54" s="136"/>
      <c r="D54" s="137"/>
      <c r="E54" s="137"/>
      <c r="F54" s="137"/>
      <c r="G54" s="137"/>
      <c r="H54" s="137"/>
      <c r="I54" s="137"/>
      <c r="J54" s="785"/>
      <c r="K54" s="785"/>
      <c r="L54" s="785"/>
      <c r="M54" s="137"/>
      <c r="N54" s="785"/>
      <c r="O54" s="137"/>
      <c r="P54" s="137"/>
      <c r="Q54" s="137"/>
      <c r="R54" s="137"/>
      <c r="S54" s="137"/>
      <c r="T54" s="137"/>
      <c r="U54" s="137"/>
      <c r="V54" s="137"/>
      <c r="W54" s="138"/>
    </row>
    <row r="55" spans="1:25" x14ac:dyDescent="0.2">
      <c r="A55" s="252"/>
      <c r="B55" s="125" t="s">
        <v>373</v>
      </c>
      <c r="C55" s="126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8"/>
    </row>
    <row r="56" spans="1:25" s="123" customFormat="1" x14ac:dyDescent="0.2">
      <c r="A56" s="252"/>
      <c r="B56" s="139" t="s">
        <v>375</v>
      </c>
      <c r="C56" s="120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2">
        <v>0</v>
      </c>
      <c r="X56" s="496">
        <v>0</v>
      </c>
      <c r="Y56" s="496">
        <v>0</v>
      </c>
    </row>
    <row r="57" spans="1:25" x14ac:dyDescent="0.2">
      <c r="A57" s="252"/>
      <c r="B57" s="135" t="s">
        <v>377</v>
      </c>
      <c r="C57" s="136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8"/>
    </row>
    <row r="58" spans="1:25" x14ac:dyDescent="0.2">
      <c r="A58" s="252"/>
      <c r="B58" s="125" t="s">
        <v>379</v>
      </c>
      <c r="C58" s="126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8"/>
    </row>
    <row r="59" spans="1:25" s="123" customFormat="1" x14ac:dyDescent="0.2">
      <c r="A59" s="252"/>
      <c r="B59" s="139" t="s">
        <v>381</v>
      </c>
      <c r="C59" s="120">
        <v>0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2">
        <v>0</v>
      </c>
      <c r="X59" s="496">
        <v>0</v>
      </c>
      <c r="Y59" s="496">
        <v>0</v>
      </c>
    </row>
    <row r="60" spans="1:25" x14ac:dyDescent="0.2">
      <c r="A60" s="252"/>
      <c r="B60" s="135" t="s">
        <v>383</v>
      </c>
      <c r="C60" s="136">
        <v>2162</v>
      </c>
      <c r="D60" s="137">
        <v>456</v>
      </c>
      <c r="E60" s="137">
        <v>590</v>
      </c>
      <c r="F60" s="137">
        <v>159</v>
      </c>
      <c r="G60" s="137"/>
      <c r="H60" s="137">
        <v>0</v>
      </c>
      <c r="I60" s="137">
        <v>3367</v>
      </c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8"/>
      <c r="Y60" s="496">
        <v>3367</v>
      </c>
    </row>
    <row r="61" spans="1:25" ht="13.5" thickBot="1" x14ac:dyDescent="0.25">
      <c r="A61" s="252"/>
      <c r="B61" s="125" t="s">
        <v>385</v>
      </c>
      <c r="C61" s="126">
        <v>2081</v>
      </c>
      <c r="D61" s="127">
        <v>430</v>
      </c>
      <c r="E61" s="785">
        <v>431</v>
      </c>
      <c r="F61" s="127">
        <v>162</v>
      </c>
      <c r="G61" s="127"/>
      <c r="H61" s="127"/>
      <c r="I61" s="127">
        <v>3104</v>
      </c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8"/>
      <c r="Y61" s="496">
        <v>3104</v>
      </c>
    </row>
    <row r="62" spans="1:25" s="123" customFormat="1" ht="13.5" thickBot="1" x14ac:dyDescent="0.25">
      <c r="A62" s="252"/>
      <c r="B62" s="139" t="s">
        <v>387</v>
      </c>
      <c r="C62" s="120">
        <v>-3.7465309898242372E-2</v>
      </c>
      <c r="D62" s="121">
        <v>-5.701754385964912E-2</v>
      </c>
      <c r="E62" s="789">
        <v>-0.26949152542372884</v>
      </c>
      <c r="F62" s="121">
        <v>1.8867924528301886E-2</v>
      </c>
      <c r="G62" s="121">
        <v>0</v>
      </c>
      <c r="H62" s="121">
        <v>0</v>
      </c>
      <c r="I62" s="121">
        <v>-7.8111078111078106E-2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2">
        <v>0</v>
      </c>
      <c r="X62" s="496">
        <v>0</v>
      </c>
      <c r="Y62" s="496">
        <v>-7.8111078111078106E-2</v>
      </c>
    </row>
    <row r="63" spans="1:25" x14ac:dyDescent="0.2">
      <c r="A63" s="252"/>
      <c r="B63" s="135" t="s">
        <v>391</v>
      </c>
      <c r="C63" s="136">
        <v>2162</v>
      </c>
      <c r="D63" s="137">
        <v>456</v>
      </c>
      <c r="E63" s="785">
        <v>590</v>
      </c>
      <c r="F63" s="137">
        <v>159</v>
      </c>
      <c r="G63" s="137"/>
      <c r="H63" s="137">
        <v>0</v>
      </c>
      <c r="I63" s="137">
        <v>3367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/>
      <c r="P63" s="137"/>
      <c r="Q63" s="137"/>
      <c r="R63" s="137"/>
      <c r="S63" s="137"/>
      <c r="T63" s="137"/>
      <c r="U63" s="137"/>
      <c r="V63" s="137"/>
      <c r="W63" s="138"/>
      <c r="Y63" s="496">
        <v>3367</v>
      </c>
    </row>
    <row r="64" spans="1:25" ht="13.5" thickBot="1" x14ac:dyDescent="0.25">
      <c r="A64" s="252"/>
      <c r="B64" s="125" t="s">
        <v>389</v>
      </c>
      <c r="C64" s="126">
        <v>2081</v>
      </c>
      <c r="D64" s="127">
        <v>430</v>
      </c>
      <c r="E64" s="785">
        <v>431</v>
      </c>
      <c r="F64" s="127">
        <v>162</v>
      </c>
      <c r="G64" s="127"/>
      <c r="H64" s="127">
        <v>0</v>
      </c>
      <c r="I64" s="127">
        <v>3104</v>
      </c>
      <c r="J64" s="127">
        <v>0</v>
      </c>
      <c r="K64" s="127">
        <v>0</v>
      </c>
      <c r="L64" s="127">
        <v>0</v>
      </c>
      <c r="M64" s="127">
        <v>0</v>
      </c>
      <c r="N64" s="127">
        <v>0</v>
      </c>
      <c r="O64" s="127"/>
      <c r="P64" s="127"/>
      <c r="Q64" s="127"/>
      <c r="R64" s="127"/>
      <c r="S64" s="127"/>
      <c r="T64" s="127"/>
      <c r="U64" s="127"/>
      <c r="V64" s="127"/>
      <c r="W64" s="128"/>
      <c r="Y64" s="496">
        <v>3104</v>
      </c>
    </row>
    <row r="65" spans="1:25" s="123" customFormat="1" ht="13.5" thickBot="1" x14ac:dyDescent="0.25">
      <c r="A65" s="251"/>
      <c r="B65" s="139" t="s">
        <v>393</v>
      </c>
      <c r="C65" s="120">
        <v>-3.7465309898242372E-2</v>
      </c>
      <c r="D65" s="121">
        <v>-5.701754385964912E-2</v>
      </c>
      <c r="E65" s="789">
        <v>-0.26949152542372884</v>
      </c>
      <c r="F65" s="121">
        <v>1.8867924528301886E-2</v>
      </c>
      <c r="G65" s="121">
        <v>0</v>
      </c>
      <c r="H65" s="121">
        <v>0</v>
      </c>
      <c r="I65" s="121">
        <v>-7.8111078111078106E-2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2">
        <v>0</v>
      </c>
      <c r="X65" s="496">
        <v>0</v>
      </c>
      <c r="Y65" s="496">
        <v>-7.8111078111078106E-2</v>
      </c>
    </row>
    <row r="66" spans="1:25" x14ac:dyDescent="0.2">
      <c r="A66" s="131" t="s">
        <v>548</v>
      </c>
      <c r="B66" s="135" t="s">
        <v>284</v>
      </c>
      <c r="C66" s="136">
        <v>10947</v>
      </c>
      <c r="D66" s="137">
        <v>3024</v>
      </c>
      <c r="E66" s="785">
        <v>5801</v>
      </c>
      <c r="F66" s="137">
        <v>8310</v>
      </c>
      <c r="G66" s="137">
        <v>2148</v>
      </c>
      <c r="H66" s="137">
        <v>702</v>
      </c>
      <c r="I66" s="137">
        <v>30932</v>
      </c>
      <c r="J66" s="137">
        <v>385</v>
      </c>
      <c r="K66" s="137"/>
      <c r="L66" s="137">
        <v>136</v>
      </c>
      <c r="M66" s="137"/>
      <c r="N66" s="137">
        <v>521</v>
      </c>
      <c r="O66" s="137"/>
      <c r="P66" s="137"/>
      <c r="Q66" s="137"/>
      <c r="R66" s="137"/>
      <c r="S66" s="137">
        <v>944</v>
      </c>
      <c r="T66" s="137">
        <v>944</v>
      </c>
      <c r="U66" s="137"/>
      <c r="V66" s="137"/>
      <c r="W66" s="138"/>
      <c r="Y66" s="496">
        <v>32397</v>
      </c>
    </row>
    <row r="67" spans="1:25" ht="13.5" thickBot="1" x14ac:dyDescent="0.25">
      <c r="A67" s="252"/>
      <c r="B67" s="125" t="s">
        <v>285</v>
      </c>
      <c r="C67" s="126">
        <v>11214</v>
      </c>
      <c r="D67" s="127">
        <v>2866</v>
      </c>
      <c r="E67" s="127">
        <v>6091</v>
      </c>
      <c r="F67" s="127">
        <v>8732</v>
      </c>
      <c r="G67" s="127">
        <v>2338</v>
      </c>
      <c r="H67" s="785">
        <v>900</v>
      </c>
      <c r="I67" s="127">
        <v>32141</v>
      </c>
      <c r="J67" s="127">
        <v>431</v>
      </c>
      <c r="K67" s="127"/>
      <c r="L67" s="785">
        <v>219</v>
      </c>
      <c r="M67" s="127"/>
      <c r="N67" s="127">
        <v>650</v>
      </c>
      <c r="O67" s="127"/>
      <c r="P67" s="127"/>
      <c r="Q67" s="127"/>
      <c r="R67" s="127"/>
      <c r="S67" s="127">
        <v>926</v>
      </c>
      <c r="T67" s="127">
        <v>926</v>
      </c>
      <c r="U67" s="127"/>
      <c r="V67" s="127"/>
      <c r="W67" s="128"/>
      <c r="Y67" s="496">
        <v>33717</v>
      </c>
    </row>
    <row r="68" spans="1:25" s="123" customFormat="1" ht="13.5" thickBot="1" x14ac:dyDescent="0.25">
      <c r="A68" s="252"/>
      <c r="B68" s="139" t="s">
        <v>286</v>
      </c>
      <c r="C68" s="120">
        <v>2.4390243902439025E-2</v>
      </c>
      <c r="D68" s="121">
        <v>-5.2248677248677246E-2</v>
      </c>
      <c r="E68" s="121">
        <v>4.9991380796414409E-2</v>
      </c>
      <c r="F68" s="121">
        <v>5.078219013237064E-2</v>
      </c>
      <c r="G68" s="121">
        <v>8.8454376163873374E-2</v>
      </c>
      <c r="H68" s="789">
        <v>0.28205128205128205</v>
      </c>
      <c r="I68" s="121">
        <v>3.9085736454157506E-2</v>
      </c>
      <c r="J68" s="121">
        <v>0.11948051948051948</v>
      </c>
      <c r="K68" s="121">
        <v>0</v>
      </c>
      <c r="L68" s="789">
        <v>0.61029411764705888</v>
      </c>
      <c r="M68" s="121">
        <v>0</v>
      </c>
      <c r="N68" s="121">
        <v>0.24760076775431861</v>
      </c>
      <c r="O68" s="121">
        <v>0</v>
      </c>
      <c r="P68" s="121">
        <v>0</v>
      </c>
      <c r="Q68" s="121">
        <v>0</v>
      </c>
      <c r="R68" s="121">
        <v>0</v>
      </c>
      <c r="S68" s="121">
        <v>-1.9067796610169493E-2</v>
      </c>
      <c r="T68" s="121">
        <v>-1.9067796610169493E-2</v>
      </c>
      <c r="U68" s="121">
        <v>0</v>
      </c>
      <c r="V68" s="121">
        <v>0</v>
      </c>
      <c r="W68" s="122">
        <v>0</v>
      </c>
      <c r="X68" s="496">
        <v>0</v>
      </c>
      <c r="Y68" s="496">
        <v>4.0744513380868597E-2</v>
      </c>
    </row>
    <row r="69" spans="1:25" x14ac:dyDescent="0.2">
      <c r="A69" s="252"/>
      <c r="B69" s="135" t="s">
        <v>371</v>
      </c>
      <c r="C69" s="136">
        <v>744</v>
      </c>
      <c r="D69" s="137">
        <v>0</v>
      </c>
      <c r="E69" s="137">
        <v>836</v>
      </c>
      <c r="F69" s="137">
        <v>1385</v>
      </c>
      <c r="G69" s="137">
        <v>197</v>
      </c>
      <c r="H69" s="785">
        <v>64</v>
      </c>
      <c r="I69" s="137">
        <v>3226</v>
      </c>
      <c r="J69" s="137">
        <v>187</v>
      </c>
      <c r="K69" s="137"/>
      <c r="L69" s="785">
        <v>39</v>
      </c>
      <c r="M69" s="137"/>
      <c r="N69" s="137">
        <v>226</v>
      </c>
      <c r="O69" s="137"/>
      <c r="P69" s="137"/>
      <c r="Q69" s="137"/>
      <c r="R69" s="137"/>
      <c r="S69" s="137">
        <v>0</v>
      </c>
      <c r="T69" s="137">
        <v>0</v>
      </c>
      <c r="U69" s="137"/>
      <c r="V69" s="137"/>
      <c r="W69" s="138"/>
      <c r="Y69" s="496">
        <v>3452</v>
      </c>
    </row>
    <row r="70" spans="1:25" ht="13.5" thickBot="1" x14ac:dyDescent="0.25">
      <c r="A70" s="252"/>
      <c r="B70" s="125" t="s">
        <v>373</v>
      </c>
      <c r="C70" s="126">
        <v>731</v>
      </c>
      <c r="D70" s="127"/>
      <c r="E70" s="127">
        <v>781</v>
      </c>
      <c r="F70" s="127">
        <v>1377</v>
      </c>
      <c r="G70" s="127">
        <v>198</v>
      </c>
      <c r="H70" s="785">
        <v>126</v>
      </c>
      <c r="I70" s="127">
        <v>3213</v>
      </c>
      <c r="J70" s="127">
        <v>188</v>
      </c>
      <c r="K70" s="127"/>
      <c r="L70" s="785">
        <v>70</v>
      </c>
      <c r="M70" s="127"/>
      <c r="N70" s="127">
        <v>258</v>
      </c>
      <c r="O70" s="127"/>
      <c r="P70" s="127"/>
      <c r="Q70" s="127"/>
      <c r="R70" s="127"/>
      <c r="S70" s="127"/>
      <c r="T70" s="127"/>
      <c r="U70" s="127"/>
      <c r="V70" s="127"/>
      <c r="W70" s="128"/>
      <c r="Y70" s="496">
        <v>3471</v>
      </c>
    </row>
    <row r="71" spans="1:25" s="123" customFormat="1" ht="13.5" thickBot="1" x14ac:dyDescent="0.25">
      <c r="A71" s="252"/>
      <c r="B71" s="139" t="s">
        <v>375</v>
      </c>
      <c r="C71" s="120">
        <v>-1.7473118279569891E-2</v>
      </c>
      <c r="D71" s="121">
        <v>0</v>
      </c>
      <c r="E71" s="121">
        <v>-6.5789473684210523E-2</v>
      </c>
      <c r="F71" s="121">
        <v>-5.7761732851985556E-3</v>
      </c>
      <c r="G71" s="121">
        <v>5.076142131979695E-3</v>
      </c>
      <c r="H71" s="789">
        <v>0.96875</v>
      </c>
      <c r="I71" s="121">
        <v>-4.0297582145071295E-3</v>
      </c>
      <c r="J71" s="121">
        <v>5.3475935828877002E-3</v>
      </c>
      <c r="K71" s="121">
        <v>0</v>
      </c>
      <c r="L71" s="789">
        <v>0.79487179487179482</v>
      </c>
      <c r="M71" s="121">
        <v>0</v>
      </c>
      <c r="N71" s="121">
        <v>0.1415929203539823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2">
        <v>0</v>
      </c>
      <c r="X71" s="496">
        <v>0</v>
      </c>
      <c r="Y71" s="496">
        <v>5.5040556199304749E-3</v>
      </c>
    </row>
    <row r="72" spans="1:25" x14ac:dyDescent="0.2">
      <c r="A72" s="252"/>
      <c r="B72" s="135" t="s">
        <v>377</v>
      </c>
      <c r="C72" s="136"/>
      <c r="D72" s="137"/>
      <c r="E72" s="137"/>
      <c r="F72" s="137"/>
      <c r="G72" s="137"/>
      <c r="H72" s="785"/>
      <c r="I72" s="137"/>
      <c r="J72" s="137"/>
      <c r="K72" s="137"/>
      <c r="L72" s="785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</row>
    <row r="73" spans="1:25" x14ac:dyDescent="0.2">
      <c r="A73" s="252"/>
      <c r="B73" s="125" t="s">
        <v>379</v>
      </c>
      <c r="C73" s="126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8"/>
    </row>
    <row r="74" spans="1:25" s="123" customFormat="1" x14ac:dyDescent="0.2">
      <c r="A74" s="252"/>
      <c r="B74" s="139" t="s">
        <v>381</v>
      </c>
      <c r="C74" s="120">
        <v>0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2">
        <v>0</v>
      </c>
      <c r="X74" s="496">
        <v>0</v>
      </c>
      <c r="Y74" s="496">
        <v>0</v>
      </c>
    </row>
    <row r="75" spans="1:25" x14ac:dyDescent="0.2">
      <c r="A75" s="252"/>
      <c r="B75" s="135" t="s">
        <v>383</v>
      </c>
      <c r="C75" s="136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8"/>
    </row>
    <row r="76" spans="1:25" x14ac:dyDescent="0.2">
      <c r="A76" s="252"/>
      <c r="B76" s="125" t="s">
        <v>385</v>
      </c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8"/>
    </row>
    <row r="77" spans="1:25" s="123" customFormat="1" x14ac:dyDescent="0.2">
      <c r="A77" s="252"/>
      <c r="B77" s="139" t="s">
        <v>387</v>
      </c>
      <c r="C77" s="120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2">
        <v>0</v>
      </c>
      <c r="X77" s="496">
        <v>0</v>
      </c>
      <c r="Y77" s="496">
        <v>0</v>
      </c>
    </row>
    <row r="78" spans="1:25" x14ac:dyDescent="0.2">
      <c r="A78" s="252"/>
      <c r="B78" s="135" t="s">
        <v>391</v>
      </c>
      <c r="C78" s="136">
        <v>744</v>
      </c>
      <c r="D78" s="137">
        <v>0</v>
      </c>
      <c r="E78" s="137">
        <v>836</v>
      </c>
      <c r="F78" s="137">
        <v>1385</v>
      </c>
      <c r="G78" s="137">
        <v>197</v>
      </c>
      <c r="H78" s="137">
        <v>64</v>
      </c>
      <c r="I78" s="137">
        <v>3226</v>
      </c>
      <c r="J78" s="137">
        <v>187</v>
      </c>
      <c r="K78" s="137">
        <v>0</v>
      </c>
      <c r="L78" s="137">
        <v>39</v>
      </c>
      <c r="M78" s="137">
        <v>0</v>
      </c>
      <c r="N78" s="137">
        <v>226</v>
      </c>
      <c r="O78" s="137">
        <v>0</v>
      </c>
      <c r="P78" s="137"/>
      <c r="Q78" s="137"/>
      <c r="R78" s="137">
        <v>0</v>
      </c>
      <c r="S78" s="137">
        <v>0</v>
      </c>
      <c r="T78" s="137">
        <v>0</v>
      </c>
      <c r="U78" s="137"/>
      <c r="V78" s="137"/>
      <c r="W78" s="138"/>
      <c r="Y78" s="496">
        <v>3452</v>
      </c>
    </row>
    <row r="79" spans="1:25" ht="13.5" thickBot="1" x14ac:dyDescent="0.25">
      <c r="A79" s="252"/>
      <c r="B79" s="125" t="s">
        <v>389</v>
      </c>
      <c r="C79" s="126">
        <v>731</v>
      </c>
      <c r="D79" s="127">
        <v>0</v>
      </c>
      <c r="E79" s="127">
        <v>781</v>
      </c>
      <c r="F79" s="127">
        <v>1377</v>
      </c>
      <c r="G79" s="127">
        <v>198</v>
      </c>
      <c r="H79" s="785">
        <v>126</v>
      </c>
      <c r="I79" s="127">
        <v>3213</v>
      </c>
      <c r="J79" s="127">
        <v>188</v>
      </c>
      <c r="K79" s="127">
        <v>0</v>
      </c>
      <c r="L79" s="127">
        <v>70</v>
      </c>
      <c r="M79" s="127">
        <v>0</v>
      </c>
      <c r="N79" s="127">
        <v>258</v>
      </c>
      <c r="O79" s="127">
        <v>0</v>
      </c>
      <c r="P79" s="127"/>
      <c r="Q79" s="127"/>
      <c r="R79" s="127">
        <v>0</v>
      </c>
      <c r="S79" s="127">
        <v>0</v>
      </c>
      <c r="T79" s="127">
        <v>0</v>
      </c>
      <c r="U79" s="127"/>
      <c r="V79" s="127"/>
      <c r="W79" s="128"/>
      <c r="Y79" s="496">
        <v>3471</v>
      </c>
    </row>
    <row r="80" spans="1:25" s="123" customFormat="1" ht="13.5" thickBot="1" x14ac:dyDescent="0.25">
      <c r="A80" s="251"/>
      <c r="B80" s="139" t="s">
        <v>393</v>
      </c>
      <c r="C80" s="120">
        <v>-1.7473118279569891E-2</v>
      </c>
      <c r="D80" s="121">
        <v>0</v>
      </c>
      <c r="E80" s="121">
        <v>-6.5789473684210523E-2</v>
      </c>
      <c r="F80" s="121">
        <v>-5.7761732851985556E-3</v>
      </c>
      <c r="G80" s="121">
        <v>5.076142131979695E-3</v>
      </c>
      <c r="H80" s="789">
        <v>0.96875</v>
      </c>
      <c r="I80" s="121">
        <v>-4.0297582145071295E-3</v>
      </c>
      <c r="J80" s="121">
        <v>5.3475935828877002E-3</v>
      </c>
      <c r="K80" s="121">
        <v>0</v>
      </c>
      <c r="L80" s="789">
        <v>0.79487179487179482</v>
      </c>
      <c r="M80" s="121">
        <v>0</v>
      </c>
      <c r="N80" s="121">
        <v>0.1415929203539823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2">
        <v>0</v>
      </c>
      <c r="X80" s="496">
        <v>0</v>
      </c>
      <c r="Y80" s="496">
        <v>5.5040556199304749E-3</v>
      </c>
    </row>
    <row r="81" spans="1:25" x14ac:dyDescent="0.2">
      <c r="A81" s="131" t="s">
        <v>574</v>
      </c>
      <c r="B81" s="135" t="s">
        <v>284</v>
      </c>
      <c r="C81" s="136">
        <v>6330</v>
      </c>
      <c r="D81" s="137"/>
      <c r="E81" s="137">
        <v>7357</v>
      </c>
      <c r="F81" s="137">
        <v>2200</v>
      </c>
      <c r="G81" s="137"/>
      <c r="H81" s="785"/>
      <c r="I81" s="137">
        <v>15887</v>
      </c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8"/>
      <c r="Y81" s="496">
        <v>15887</v>
      </c>
    </row>
    <row r="82" spans="1:25" x14ac:dyDescent="0.2">
      <c r="A82" s="252"/>
      <c r="B82" s="125" t="s">
        <v>285</v>
      </c>
      <c r="C82" s="126">
        <v>6437</v>
      </c>
      <c r="D82" s="127"/>
      <c r="E82" s="127">
        <v>7561</v>
      </c>
      <c r="F82" s="127">
        <v>2209</v>
      </c>
      <c r="G82" s="127"/>
      <c r="H82" s="127"/>
      <c r="I82" s="127">
        <v>16207</v>
      </c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8"/>
      <c r="Y82" s="496">
        <v>16207</v>
      </c>
    </row>
    <row r="83" spans="1:25" s="123" customFormat="1" x14ac:dyDescent="0.2">
      <c r="A83" s="252"/>
      <c r="B83" s="139" t="s">
        <v>286</v>
      </c>
      <c r="C83" s="120">
        <v>1.6903633491311215E-2</v>
      </c>
      <c r="D83" s="121">
        <v>0</v>
      </c>
      <c r="E83" s="121">
        <v>2.7728693761043904E-2</v>
      </c>
      <c r="F83" s="121">
        <v>4.0909090909090912E-3</v>
      </c>
      <c r="G83" s="121">
        <v>0</v>
      </c>
      <c r="H83" s="121">
        <v>0</v>
      </c>
      <c r="I83" s="121">
        <v>2.014225467363253E-2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2">
        <v>0</v>
      </c>
      <c r="X83" s="496">
        <v>0</v>
      </c>
      <c r="Y83" s="496">
        <v>2.014225467363253E-2</v>
      </c>
    </row>
    <row r="84" spans="1:25" x14ac:dyDescent="0.2">
      <c r="A84" s="252"/>
      <c r="B84" s="135" t="s">
        <v>371</v>
      </c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8"/>
    </row>
    <row r="85" spans="1:25" x14ac:dyDescent="0.2">
      <c r="A85" s="252"/>
      <c r="B85" s="125" t="s">
        <v>373</v>
      </c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8"/>
    </row>
    <row r="86" spans="1:25" s="123" customFormat="1" x14ac:dyDescent="0.2">
      <c r="A86" s="252"/>
      <c r="B86" s="139" t="s">
        <v>375</v>
      </c>
      <c r="C86" s="120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2">
        <v>0</v>
      </c>
      <c r="X86" s="496">
        <v>0</v>
      </c>
      <c r="Y86" s="496">
        <v>0</v>
      </c>
    </row>
    <row r="87" spans="1:25" x14ac:dyDescent="0.2">
      <c r="A87" s="252"/>
      <c r="B87" s="135" t="s">
        <v>377</v>
      </c>
      <c r="C87" s="136">
        <v>340</v>
      </c>
      <c r="D87" s="137"/>
      <c r="E87" s="137">
        <v>1232</v>
      </c>
      <c r="F87" s="137">
        <v>220</v>
      </c>
      <c r="G87" s="137"/>
      <c r="H87" s="137"/>
      <c r="I87" s="137">
        <v>1792</v>
      </c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8"/>
      <c r="Y87" s="496">
        <v>1792</v>
      </c>
    </row>
    <row r="88" spans="1:25" x14ac:dyDescent="0.2">
      <c r="A88" s="252"/>
      <c r="B88" s="125" t="s">
        <v>379</v>
      </c>
      <c r="C88" s="126">
        <v>358</v>
      </c>
      <c r="D88" s="127"/>
      <c r="E88" s="127">
        <v>1124</v>
      </c>
      <c r="F88" s="127">
        <v>222</v>
      </c>
      <c r="G88" s="127"/>
      <c r="H88" s="127"/>
      <c r="I88" s="127">
        <v>1704</v>
      </c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8"/>
      <c r="Y88" s="496">
        <v>1704</v>
      </c>
    </row>
    <row r="89" spans="1:25" s="123" customFormat="1" x14ac:dyDescent="0.2">
      <c r="A89" s="252"/>
      <c r="B89" s="139" t="s">
        <v>381</v>
      </c>
      <c r="C89" s="120">
        <v>5.2941176470588235E-2</v>
      </c>
      <c r="D89" s="121">
        <v>0</v>
      </c>
      <c r="E89" s="121">
        <v>-8.7662337662337664E-2</v>
      </c>
      <c r="F89" s="121">
        <v>9.0909090909090905E-3</v>
      </c>
      <c r="G89" s="121">
        <v>0</v>
      </c>
      <c r="H89" s="121">
        <v>0</v>
      </c>
      <c r="I89" s="121">
        <v>-4.9107142857142856E-2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2">
        <v>0</v>
      </c>
      <c r="X89" s="496">
        <v>0</v>
      </c>
      <c r="Y89" s="496">
        <v>-4.9107142857142856E-2</v>
      </c>
    </row>
    <row r="90" spans="1:25" x14ac:dyDescent="0.2">
      <c r="A90" s="252"/>
      <c r="B90" s="135" t="s">
        <v>383</v>
      </c>
      <c r="C90" s="136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8"/>
    </row>
    <row r="91" spans="1:25" x14ac:dyDescent="0.2">
      <c r="A91" s="252"/>
      <c r="B91" s="125" t="s">
        <v>385</v>
      </c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8"/>
    </row>
    <row r="92" spans="1:25" s="123" customFormat="1" x14ac:dyDescent="0.2">
      <c r="A92" s="252"/>
      <c r="B92" s="139" t="s">
        <v>387</v>
      </c>
      <c r="C92" s="120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2">
        <v>0</v>
      </c>
      <c r="X92" s="496">
        <v>0</v>
      </c>
      <c r="Y92" s="496">
        <v>0</v>
      </c>
    </row>
    <row r="93" spans="1:25" x14ac:dyDescent="0.2">
      <c r="A93" s="252"/>
      <c r="B93" s="135" t="s">
        <v>391</v>
      </c>
      <c r="C93" s="136">
        <v>340</v>
      </c>
      <c r="D93" s="137"/>
      <c r="E93" s="137">
        <v>1232</v>
      </c>
      <c r="F93" s="137">
        <v>220</v>
      </c>
      <c r="G93" s="137"/>
      <c r="H93" s="137"/>
      <c r="I93" s="137">
        <v>1792</v>
      </c>
      <c r="J93" s="137"/>
      <c r="K93" s="137">
        <v>0</v>
      </c>
      <c r="L93" s="137">
        <v>0</v>
      </c>
      <c r="M93" s="137">
        <v>0</v>
      </c>
      <c r="N93" s="137">
        <v>0</v>
      </c>
      <c r="O93" s="137">
        <v>0</v>
      </c>
      <c r="P93" s="137"/>
      <c r="Q93" s="137"/>
      <c r="R93" s="137">
        <v>0</v>
      </c>
      <c r="S93" s="137"/>
      <c r="T93" s="137"/>
      <c r="U93" s="137"/>
      <c r="V93" s="137"/>
      <c r="W93" s="138"/>
      <c r="Y93" s="496">
        <v>1792</v>
      </c>
    </row>
    <row r="94" spans="1:25" x14ac:dyDescent="0.2">
      <c r="A94" s="252"/>
      <c r="B94" s="125" t="s">
        <v>389</v>
      </c>
      <c r="C94" s="126">
        <v>358</v>
      </c>
      <c r="D94" s="127"/>
      <c r="E94" s="127">
        <v>1124</v>
      </c>
      <c r="F94" s="127">
        <v>222</v>
      </c>
      <c r="G94" s="127"/>
      <c r="H94" s="127"/>
      <c r="I94" s="127">
        <v>1704</v>
      </c>
      <c r="J94" s="127"/>
      <c r="K94" s="127">
        <v>0</v>
      </c>
      <c r="L94" s="127">
        <v>0</v>
      </c>
      <c r="M94" s="127">
        <v>0</v>
      </c>
      <c r="N94" s="127">
        <v>0</v>
      </c>
      <c r="O94" s="127">
        <v>0</v>
      </c>
      <c r="P94" s="127"/>
      <c r="Q94" s="127"/>
      <c r="R94" s="127">
        <v>0</v>
      </c>
      <c r="S94" s="127"/>
      <c r="T94" s="127"/>
      <c r="U94" s="127"/>
      <c r="V94" s="127"/>
      <c r="W94" s="128"/>
      <c r="Y94" s="496">
        <v>1704</v>
      </c>
    </row>
    <row r="95" spans="1:25" s="123" customFormat="1" x14ac:dyDescent="0.2">
      <c r="A95" s="251"/>
      <c r="B95" s="139" t="s">
        <v>393</v>
      </c>
      <c r="C95" s="120">
        <v>5.2941176470588235E-2</v>
      </c>
      <c r="D95" s="121">
        <v>0</v>
      </c>
      <c r="E95" s="121">
        <v>-8.7662337662337664E-2</v>
      </c>
      <c r="F95" s="121">
        <v>9.0909090909090905E-3</v>
      </c>
      <c r="G95" s="121">
        <v>0</v>
      </c>
      <c r="H95" s="121">
        <v>0</v>
      </c>
      <c r="I95" s="121">
        <v>-4.9107142857142856E-2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2">
        <v>0</v>
      </c>
      <c r="X95" s="496">
        <v>0</v>
      </c>
      <c r="Y95" s="496">
        <v>-4.9107142857142856E-2</v>
      </c>
    </row>
    <row r="96" spans="1:25" x14ac:dyDescent="0.2">
      <c r="A96" s="131" t="s">
        <v>604</v>
      </c>
      <c r="B96" s="135" t="s">
        <v>284</v>
      </c>
      <c r="C96" s="136">
        <v>4440</v>
      </c>
      <c r="D96" s="137">
        <v>4948</v>
      </c>
      <c r="E96" s="137">
        <v>3880</v>
      </c>
      <c r="F96" s="137">
        <v>4565</v>
      </c>
      <c r="G96" s="137"/>
      <c r="H96" s="137">
        <v>161</v>
      </c>
      <c r="I96" s="137">
        <v>17994</v>
      </c>
      <c r="J96" s="137"/>
      <c r="K96" s="137"/>
      <c r="L96" s="137"/>
      <c r="M96" s="137"/>
      <c r="N96" s="137"/>
      <c r="O96" s="137"/>
      <c r="P96" s="137"/>
      <c r="Q96" s="137"/>
      <c r="R96" s="137"/>
      <c r="S96" s="137">
        <v>329</v>
      </c>
      <c r="T96" s="137">
        <v>329</v>
      </c>
      <c r="U96" s="137"/>
      <c r="V96" s="137"/>
      <c r="W96" s="138"/>
      <c r="Y96" s="496">
        <v>18323</v>
      </c>
    </row>
    <row r="97" spans="1:25" x14ac:dyDescent="0.2">
      <c r="A97" s="252"/>
      <c r="B97" s="125" t="s">
        <v>285</v>
      </c>
      <c r="C97" s="126">
        <v>4600</v>
      </c>
      <c r="D97" s="127">
        <v>4932</v>
      </c>
      <c r="E97" s="127">
        <v>3880</v>
      </c>
      <c r="F97" s="127">
        <v>4606</v>
      </c>
      <c r="G97" s="127"/>
      <c r="H97" s="127">
        <v>180</v>
      </c>
      <c r="I97" s="127">
        <v>18198</v>
      </c>
      <c r="J97" s="127"/>
      <c r="K97" s="127"/>
      <c r="L97" s="127"/>
      <c r="M97" s="127"/>
      <c r="N97" s="127"/>
      <c r="O97" s="127"/>
      <c r="P97" s="127"/>
      <c r="Q97" s="127"/>
      <c r="R97" s="127"/>
      <c r="S97" s="127">
        <v>384</v>
      </c>
      <c r="T97" s="127">
        <v>384</v>
      </c>
      <c r="U97" s="127"/>
      <c r="V97" s="127"/>
      <c r="W97" s="128"/>
      <c r="Y97" s="496">
        <v>18582</v>
      </c>
    </row>
    <row r="98" spans="1:25" s="123" customFormat="1" x14ac:dyDescent="0.2">
      <c r="A98" s="252"/>
      <c r="B98" s="139" t="s">
        <v>286</v>
      </c>
      <c r="C98" s="120">
        <v>3.6036036036036036E-2</v>
      </c>
      <c r="D98" s="121">
        <v>-3.2336297493936943E-3</v>
      </c>
      <c r="E98" s="121">
        <v>0</v>
      </c>
      <c r="F98" s="121">
        <v>8.9813800657174148E-3</v>
      </c>
      <c r="G98" s="121">
        <v>0</v>
      </c>
      <c r="H98" s="121">
        <v>0.11801242236024845</v>
      </c>
      <c r="I98" s="121">
        <v>1.1337112370790263E-2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0.16717325227963525</v>
      </c>
      <c r="T98" s="121">
        <v>0.16717325227963525</v>
      </c>
      <c r="U98" s="121">
        <v>0</v>
      </c>
      <c r="V98" s="121">
        <v>0</v>
      </c>
      <c r="W98" s="122">
        <v>0</v>
      </c>
      <c r="X98" s="496">
        <v>0</v>
      </c>
      <c r="Y98" s="496">
        <v>1.4135239862467936E-2</v>
      </c>
    </row>
    <row r="99" spans="1:25" x14ac:dyDescent="0.2">
      <c r="A99" s="252"/>
      <c r="B99" s="135" t="s">
        <v>371</v>
      </c>
      <c r="C99" s="136">
        <v>432</v>
      </c>
      <c r="D99" s="137">
        <v>399</v>
      </c>
      <c r="E99" s="137">
        <v>323</v>
      </c>
      <c r="F99" s="137">
        <v>354</v>
      </c>
      <c r="G99" s="137"/>
      <c r="H99" s="137">
        <v>6</v>
      </c>
      <c r="I99" s="137">
        <v>1514</v>
      </c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8"/>
      <c r="Y99" s="496">
        <v>1514</v>
      </c>
    </row>
    <row r="100" spans="1:25" x14ac:dyDescent="0.2">
      <c r="A100" s="252"/>
      <c r="B100" s="125" t="s">
        <v>373</v>
      </c>
      <c r="C100" s="126">
        <v>458</v>
      </c>
      <c r="D100" s="127">
        <v>444</v>
      </c>
      <c r="E100" s="127">
        <v>341</v>
      </c>
      <c r="F100" s="127">
        <v>347</v>
      </c>
      <c r="G100" s="127"/>
      <c r="H100" s="127">
        <v>14</v>
      </c>
      <c r="I100" s="127">
        <v>1604</v>
      </c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8"/>
      <c r="Y100" s="496">
        <v>1604</v>
      </c>
    </row>
    <row r="101" spans="1:25" s="123" customFormat="1" x14ac:dyDescent="0.2">
      <c r="A101" s="252"/>
      <c r="B101" s="139" t="s">
        <v>375</v>
      </c>
      <c r="C101" s="120">
        <v>6.0185185185185182E-2</v>
      </c>
      <c r="D101" s="121">
        <v>0.11278195488721804</v>
      </c>
      <c r="E101" s="121">
        <v>5.5727554179566562E-2</v>
      </c>
      <c r="F101" s="121">
        <v>-1.977401129943503E-2</v>
      </c>
      <c r="G101" s="121">
        <v>0</v>
      </c>
      <c r="H101" s="121">
        <v>1.3333333333333333</v>
      </c>
      <c r="I101" s="121">
        <v>5.9445178335535004E-2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2">
        <v>0</v>
      </c>
      <c r="X101" s="496">
        <v>0</v>
      </c>
      <c r="Y101" s="496">
        <v>5.9445178335535004E-2</v>
      </c>
    </row>
    <row r="102" spans="1:25" x14ac:dyDescent="0.2">
      <c r="A102" s="252"/>
      <c r="B102" s="135" t="s">
        <v>377</v>
      </c>
      <c r="C102" s="136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8"/>
    </row>
    <row r="103" spans="1:25" x14ac:dyDescent="0.2">
      <c r="A103" s="252"/>
      <c r="B103" s="125" t="s">
        <v>379</v>
      </c>
      <c r="C103" s="126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8"/>
    </row>
    <row r="104" spans="1:25" s="123" customFormat="1" x14ac:dyDescent="0.2">
      <c r="A104" s="252"/>
      <c r="B104" s="139" t="s">
        <v>381</v>
      </c>
      <c r="C104" s="120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2">
        <v>0</v>
      </c>
      <c r="X104" s="496">
        <v>0</v>
      </c>
      <c r="Y104" s="496">
        <v>0</v>
      </c>
    </row>
    <row r="105" spans="1:25" x14ac:dyDescent="0.2">
      <c r="A105" s="252"/>
      <c r="B105" s="135" t="s">
        <v>383</v>
      </c>
      <c r="C105" s="136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8"/>
    </row>
    <row r="106" spans="1:25" x14ac:dyDescent="0.2">
      <c r="A106" s="252"/>
      <c r="B106" s="125" t="s">
        <v>385</v>
      </c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8"/>
    </row>
    <row r="107" spans="1:25" s="123" customFormat="1" x14ac:dyDescent="0.2">
      <c r="A107" s="252"/>
      <c r="B107" s="139" t="s">
        <v>387</v>
      </c>
      <c r="C107" s="120">
        <v>0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2">
        <v>0</v>
      </c>
      <c r="X107" s="496">
        <v>0</v>
      </c>
      <c r="Y107" s="496">
        <v>0</v>
      </c>
    </row>
    <row r="108" spans="1:25" x14ac:dyDescent="0.2">
      <c r="A108" s="252"/>
      <c r="B108" s="135" t="s">
        <v>391</v>
      </c>
      <c r="C108" s="136">
        <v>432</v>
      </c>
      <c r="D108" s="137">
        <v>399</v>
      </c>
      <c r="E108" s="137">
        <v>323</v>
      </c>
      <c r="F108" s="137">
        <v>354</v>
      </c>
      <c r="G108" s="137"/>
      <c r="H108" s="137">
        <v>6</v>
      </c>
      <c r="I108" s="137">
        <v>1514</v>
      </c>
      <c r="J108" s="137"/>
      <c r="K108" s="137">
        <v>0</v>
      </c>
      <c r="L108" s="137">
        <v>0</v>
      </c>
      <c r="M108" s="137">
        <v>0</v>
      </c>
      <c r="N108" s="137">
        <v>0</v>
      </c>
      <c r="O108" s="137">
        <v>0</v>
      </c>
      <c r="P108" s="137"/>
      <c r="Q108" s="137"/>
      <c r="R108" s="137">
        <v>0</v>
      </c>
      <c r="S108" s="137">
        <v>0</v>
      </c>
      <c r="T108" s="137">
        <v>0</v>
      </c>
      <c r="U108" s="137"/>
      <c r="V108" s="137"/>
      <c r="W108" s="138"/>
      <c r="Y108" s="496">
        <v>1514</v>
      </c>
    </row>
    <row r="109" spans="1:25" ht="13.5" thickBot="1" x14ac:dyDescent="0.25">
      <c r="A109" s="252"/>
      <c r="B109" s="125" t="s">
        <v>389</v>
      </c>
      <c r="C109" s="126">
        <v>458</v>
      </c>
      <c r="D109" s="127">
        <v>444</v>
      </c>
      <c r="E109" s="127">
        <v>341</v>
      </c>
      <c r="F109" s="127">
        <v>347</v>
      </c>
      <c r="G109" s="127"/>
      <c r="H109" s="127">
        <v>14</v>
      </c>
      <c r="I109" s="127">
        <v>1604</v>
      </c>
      <c r="J109" s="127"/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  <c r="P109" s="127"/>
      <c r="Q109" s="127"/>
      <c r="R109" s="127">
        <v>0</v>
      </c>
      <c r="S109" s="127">
        <v>0</v>
      </c>
      <c r="T109" s="127">
        <v>0</v>
      </c>
      <c r="U109" s="127"/>
      <c r="V109" s="127"/>
      <c r="W109" s="128"/>
      <c r="Y109" s="496">
        <v>1604</v>
      </c>
    </row>
    <row r="110" spans="1:25" s="123" customFormat="1" ht="13.5" thickBot="1" x14ac:dyDescent="0.25">
      <c r="A110" s="251"/>
      <c r="B110" s="139" t="s">
        <v>393</v>
      </c>
      <c r="C110" s="120">
        <v>6.0185185185185182E-2</v>
      </c>
      <c r="D110" s="121">
        <v>0.11278195488721804</v>
      </c>
      <c r="E110" s="121">
        <v>5.5727554179566562E-2</v>
      </c>
      <c r="F110" s="121">
        <v>-1.977401129943503E-2</v>
      </c>
      <c r="G110" s="121">
        <v>0</v>
      </c>
      <c r="H110" s="789">
        <v>1.3333333333333333</v>
      </c>
      <c r="I110" s="121">
        <v>5.9445178335535004E-2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2">
        <v>0</v>
      </c>
      <c r="X110" s="496">
        <v>0</v>
      </c>
      <c r="Y110" s="496">
        <v>5.9445178335535004E-2</v>
      </c>
    </row>
    <row r="111" spans="1:25" x14ac:dyDescent="0.2">
      <c r="A111" s="131" t="s">
        <v>1094</v>
      </c>
      <c r="B111" s="135" t="s">
        <v>284</v>
      </c>
      <c r="C111" s="136">
        <v>6987</v>
      </c>
      <c r="D111" s="137">
        <v>2718</v>
      </c>
      <c r="E111" s="137">
        <v>3948</v>
      </c>
      <c r="F111" s="137">
        <v>4379</v>
      </c>
      <c r="G111" s="137">
        <v>379</v>
      </c>
      <c r="H111" s="137">
        <v>410</v>
      </c>
      <c r="I111" s="137">
        <v>18821</v>
      </c>
      <c r="J111" s="137"/>
      <c r="K111" s="137"/>
      <c r="L111" s="137"/>
      <c r="M111" s="137"/>
      <c r="N111" s="137"/>
      <c r="O111" s="137"/>
      <c r="P111" s="137"/>
      <c r="Q111" s="137"/>
      <c r="R111" s="137"/>
      <c r="S111" s="137">
        <v>3629</v>
      </c>
      <c r="T111" s="137">
        <v>3629</v>
      </c>
      <c r="U111" s="137"/>
      <c r="V111" s="137"/>
      <c r="W111" s="138"/>
      <c r="Y111" s="496">
        <v>22450</v>
      </c>
    </row>
    <row r="112" spans="1:25" ht="13.5" thickBot="1" x14ac:dyDescent="0.25">
      <c r="A112" s="252"/>
      <c r="B112" s="125" t="s">
        <v>285</v>
      </c>
      <c r="C112" s="126">
        <v>7043</v>
      </c>
      <c r="D112" s="127">
        <v>3042</v>
      </c>
      <c r="E112" s="127">
        <v>4103</v>
      </c>
      <c r="F112" s="127">
        <v>4619</v>
      </c>
      <c r="G112" s="127">
        <v>460</v>
      </c>
      <c r="H112" s="127">
        <v>444</v>
      </c>
      <c r="I112" s="127">
        <v>19711</v>
      </c>
      <c r="J112" s="127"/>
      <c r="K112" s="127"/>
      <c r="L112" s="127"/>
      <c r="M112" s="127"/>
      <c r="N112" s="127"/>
      <c r="O112" s="127"/>
      <c r="P112" s="127"/>
      <c r="Q112" s="127"/>
      <c r="R112" s="127"/>
      <c r="S112" s="127">
        <v>4222</v>
      </c>
      <c r="T112" s="127">
        <v>4222</v>
      </c>
      <c r="U112" s="127"/>
      <c r="V112" s="127"/>
      <c r="W112" s="128"/>
      <c r="Y112" s="496">
        <v>23933</v>
      </c>
    </row>
    <row r="113" spans="1:25" s="123" customFormat="1" ht="13.5" thickBot="1" x14ac:dyDescent="0.25">
      <c r="A113" s="252"/>
      <c r="B113" s="139" t="s">
        <v>286</v>
      </c>
      <c r="C113" s="120">
        <v>8.0148847860312001E-3</v>
      </c>
      <c r="D113" s="121">
        <v>0.11920529801324503</v>
      </c>
      <c r="E113" s="121">
        <v>3.9260385005065859E-2</v>
      </c>
      <c r="F113" s="121">
        <v>5.4807033569308064E-2</v>
      </c>
      <c r="G113" s="789">
        <v>0.21372031662269128</v>
      </c>
      <c r="H113" s="121">
        <v>8.2926829268292687E-2</v>
      </c>
      <c r="I113" s="121">
        <v>4.7287604271824026E-2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789">
        <v>0.16340589694130614</v>
      </c>
      <c r="T113" s="121">
        <v>0.16340589694130614</v>
      </c>
      <c r="U113" s="121">
        <v>0</v>
      </c>
      <c r="V113" s="121">
        <v>0</v>
      </c>
      <c r="W113" s="122">
        <v>0</v>
      </c>
      <c r="X113" s="496">
        <v>0</v>
      </c>
      <c r="Y113" s="496">
        <v>6.6057906458797333E-2</v>
      </c>
    </row>
    <row r="114" spans="1:25" x14ac:dyDescent="0.2">
      <c r="A114" s="252"/>
      <c r="B114" s="135" t="s">
        <v>371</v>
      </c>
      <c r="C114" s="136">
        <v>601</v>
      </c>
      <c r="D114" s="137">
        <v>55</v>
      </c>
      <c r="E114" s="137">
        <v>674</v>
      </c>
      <c r="F114" s="137">
        <v>484</v>
      </c>
      <c r="G114" s="137">
        <v>42</v>
      </c>
      <c r="H114" s="137"/>
      <c r="I114" s="137">
        <v>1856</v>
      </c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8"/>
      <c r="Y114" s="496">
        <v>1856</v>
      </c>
    </row>
    <row r="115" spans="1:25" ht="13.5" thickBot="1" x14ac:dyDescent="0.25">
      <c r="A115" s="252"/>
      <c r="B115" s="125" t="s">
        <v>373</v>
      </c>
      <c r="C115" s="126">
        <v>618</v>
      </c>
      <c r="D115" s="127">
        <v>42</v>
      </c>
      <c r="E115" s="127">
        <v>712</v>
      </c>
      <c r="F115" s="127">
        <v>496</v>
      </c>
      <c r="G115" s="127">
        <v>44</v>
      </c>
      <c r="H115" s="127"/>
      <c r="I115" s="127">
        <v>1912</v>
      </c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8"/>
      <c r="Y115" s="496">
        <v>1912</v>
      </c>
    </row>
    <row r="116" spans="1:25" s="123" customFormat="1" ht="13.5" thickBot="1" x14ac:dyDescent="0.25">
      <c r="A116" s="252"/>
      <c r="B116" s="139" t="s">
        <v>375</v>
      </c>
      <c r="C116" s="120">
        <v>2.8286189683860232E-2</v>
      </c>
      <c r="D116" s="789">
        <v>-0.23636363636363636</v>
      </c>
      <c r="E116" s="121">
        <v>5.637982195845697E-2</v>
      </c>
      <c r="F116" s="121">
        <v>2.4793388429752067E-2</v>
      </c>
      <c r="G116" s="121">
        <v>4.7619047619047616E-2</v>
      </c>
      <c r="H116" s="121">
        <v>0</v>
      </c>
      <c r="I116" s="121">
        <v>3.017241379310345E-2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2">
        <v>0</v>
      </c>
      <c r="X116" s="496">
        <v>0</v>
      </c>
      <c r="Y116" s="496">
        <v>3.017241379310345E-2</v>
      </c>
    </row>
    <row r="117" spans="1:25" x14ac:dyDescent="0.2">
      <c r="A117" s="252"/>
      <c r="B117" s="135" t="s">
        <v>377</v>
      </c>
      <c r="C117" s="136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8"/>
    </row>
    <row r="118" spans="1:25" x14ac:dyDescent="0.2">
      <c r="A118" s="252"/>
      <c r="B118" s="125" t="s">
        <v>379</v>
      </c>
      <c r="C118" s="126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8"/>
    </row>
    <row r="119" spans="1:25" s="123" customFormat="1" x14ac:dyDescent="0.2">
      <c r="A119" s="252"/>
      <c r="B119" s="139" t="s">
        <v>381</v>
      </c>
      <c r="C119" s="120">
        <v>0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2">
        <v>0</v>
      </c>
      <c r="X119" s="496">
        <v>0</v>
      </c>
      <c r="Y119" s="496">
        <v>0</v>
      </c>
    </row>
    <row r="120" spans="1:25" x14ac:dyDescent="0.2">
      <c r="A120" s="252"/>
      <c r="B120" s="135" t="s">
        <v>383</v>
      </c>
      <c r="C120" s="136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8"/>
    </row>
    <row r="121" spans="1:25" x14ac:dyDescent="0.2">
      <c r="A121" s="252"/>
      <c r="B121" s="125" t="s">
        <v>385</v>
      </c>
      <c r="C121" s="126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8"/>
    </row>
    <row r="122" spans="1:25" s="123" customFormat="1" x14ac:dyDescent="0.2">
      <c r="A122" s="252"/>
      <c r="B122" s="139" t="s">
        <v>387</v>
      </c>
      <c r="C122" s="120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2">
        <v>0</v>
      </c>
      <c r="X122" s="496">
        <v>0</v>
      </c>
      <c r="Y122" s="496">
        <v>0</v>
      </c>
    </row>
    <row r="123" spans="1:25" x14ac:dyDescent="0.2">
      <c r="A123" s="252"/>
      <c r="B123" s="135" t="s">
        <v>391</v>
      </c>
      <c r="C123" s="136">
        <v>601</v>
      </c>
      <c r="D123" s="137">
        <v>55</v>
      </c>
      <c r="E123" s="137">
        <v>674</v>
      </c>
      <c r="F123" s="137">
        <v>484</v>
      </c>
      <c r="G123" s="137">
        <v>42</v>
      </c>
      <c r="H123" s="137">
        <v>0</v>
      </c>
      <c r="I123" s="137">
        <v>1856</v>
      </c>
      <c r="J123" s="137"/>
      <c r="K123" s="137">
        <v>0</v>
      </c>
      <c r="L123" s="137">
        <v>0</v>
      </c>
      <c r="M123" s="137">
        <v>0</v>
      </c>
      <c r="N123" s="137">
        <v>0</v>
      </c>
      <c r="O123" s="137"/>
      <c r="P123" s="137"/>
      <c r="Q123" s="137"/>
      <c r="R123" s="137"/>
      <c r="S123" s="137">
        <v>0</v>
      </c>
      <c r="T123" s="137">
        <v>0</v>
      </c>
      <c r="U123" s="137"/>
      <c r="V123" s="137"/>
      <c r="W123" s="138"/>
      <c r="Y123" s="496">
        <v>1856</v>
      </c>
    </row>
    <row r="124" spans="1:25" ht="13.5" thickBot="1" x14ac:dyDescent="0.25">
      <c r="A124" s="252"/>
      <c r="B124" s="125" t="s">
        <v>389</v>
      </c>
      <c r="C124" s="126">
        <v>618</v>
      </c>
      <c r="D124" s="127">
        <v>42</v>
      </c>
      <c r="E124" s="127">
        <v>712</v>
      </c>
      <c r="F124" s="127">
        <v>496</v>
      </c>
      <c r="G124" s="127">
        <v>44</v>
      </c>
      <c r="H124" s="127">
        <v>0</v>
      </c>
      <c r="I124" s="127">
        <v>1912</v>
      </c>
      <c r="J124" s="127"/>
      <c r="K124" s="127">
        <v>0</v>
      </c>
      <c r="L124" s="127">
        <v>0</v>
      </c>
      <c r="M124" s="127">
        <v>0</v>
      </c>
      <c r="N124" s="127">
        <v>0</v>
      </c>
      <c r="O124" s="127"/>
      <c r="P124" s="127"/>
      <c r="Q124" s="127"/>
      <c r="R124" s="127"/>
      <c r="S124" s="127">
        <v>0</v>
      </c>
      <c r="T124" s="127">
        <v>0</v>
      </c>
      <c r="U124" s="127"/>
      <c r="V124" s="127"/>
      <c r="W124" s="128"/>
      <c r="Y124" s="496">
        <v>1912</v>
      </c>
    </row>
    <row r="125" spans="1:25" s="123" customFormat="1" ht="13.5" thickBot="1" x14ac:dyDescent="0.25">
      <c r="A125" s="251"/>
      <c r="B125" s="139" t="s">
        <v>393</v>
      </c>
      <c r="C125" s="120">
        <v>2.8286189683860232E-2</v>
      </c>
      <c r="D125" s="789">
        <v>-0.23636363636363636</v>
      </c>
      <c r="E125" s="121">
        <v>5.637982195845697E-2</v>
      </c>
      <c r="F125" s="121">
        <v>2.4793388429752067E-2</v>
      </c>
      <c r="G125" s="121">
        <v>4.7619047619047616E-2</v>
      </c>
      <c r="H125" s="121">
        <v>0</v>
      </c>
      <c r="I125" s="121">
        <v>3.017241379310345E-2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2">
        <v>0</v>
      </c>
      <c r="X125" s="496">
        <v>0</v>
      </c>
      <c r="Y125" s="496">
        <v>3.017241379310345E-2</v>
      </c>
    </row>
    <row r="126" spans="1:25" x14ac:dyDescent="0.2">
      <c r="A126" s="131" t="s">
        <v>693</v>
      </c>
      <c r="B126" s="135" t="s">
        <v>284</v>
      </c>
      <c r="C126" s="136">
        <v>5120</v>
      </c>
      <c r="D126" s="137">
        <v>3899</v>
      </c>
      <c r="E126" s="137"/>
      <c r="F126" s="137">
        <v>1233</v>
      </c>
      <c r="G126" s="137">
        <v>460</v>
      </c>
      <c r="H126" s="137"/>
      <c r="I126" s="137">
        <v>10712</v>
      </c>
      <c r="J126" s="137"/>
      <c r="K126" s="137"/>
      <c r="L126" s="137"/>
      <c r="M126" s="137"/>
      <c r="N126" s="137"/>
      <c r="O126" s="137"/>
      <c r="P126" s="137"/>
      <c r="Q126" s="137"/>
      <c r="R126" s="137"/>
      <c r="S126" s="137">
        <v>263</v>
      </c>
      <c r="T126" s="137">
        <v>263</v>
      </c>
      <c r="U126" s="137"/>
      <c r="V126" s="137"/>
      <c r="W126" s="138"/>
      <c r="Y126" s="496">
        <v>10975</v>
      </c>
    </row>
    <row r="127" spans="1:25" ht="13.5" thickBot="1" x14ac:dyDescent="0.25">
      <c r="A127" s="252"/>
      <c r="B127" s="125" t="s">
        <v>285</v>
      </c>
      <c r="C127" s="126">
        <v>5442</v>
      </c>
      <c r="D127" s="127">
        <v>3725</v>
      </c>
      <c r="E127" s="127"/>
      <c r="F127" s="127">
        <v>1228</v>
      </c>
      <c r="G127" s="127">
        <v>569</v>
      </c>
      <c r="H127" s="127"/>
      <c r="I127" s="127">
        <v>10964</v>
      </c>
      <c r="J127" s="127"/>
      <c r="K127" s="127"/>
      <c r="L127" s="127"/>
      <c r="M127" s="127"/>
      <c r="N127" s="127"/>
      <c r="O127" s="127"/>
      <c r="P127" s="127"/>
      <c r="Q127" s="127"/>
      <c r="R127" s="127"/>
      <c r="S127" s="127">
        <v>249</v>
      </c>
      <c r="T127" s="127">
        <v>249</v>
      </c>
      <c r="U127" s="127"/>
      <c r="V127" s="127"/>
      <c r="W127" s="128"/>
      <c r="Y127" s="496">
        <v>11213</v>
      </c>
    </row>
    <row r="128" spans="1:25" s="123" customFormat="1" ht="13.5" thickBot="1" x14ac:dyDescent="0.25">
      <c r="A128" s="252"/>
      <c r="B128" s="139" t="s">
        <v>286</v>
      </c>
      <c r="C128" s="120">
        <v>6.2890625000000006E-2</v>
      </c>
      <c r="D128" s="121">
        <v>-4.4626827391638882E-2</v>
      </c>
      <c r="E128" s="121">
        <v>0</v>
      </c>
      <c r="F128" s="121">
        <v>-4.0551500405515001E-3</v>
      </c>
      <c r="G128" s="789">
        <v>0.23695652173913043</v>
      </c>
      <c r="H128" s="121">
        <v>0</v>
      </c>
      <c r="I128" s="121">
        <v>2.3525018670649739E-2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-5.3231939163498096E-2</v>
      </c>
      <c r="T128" s="121">
        <v>-5.3231939163498096E-2</v>
      </c>
      <c r="U128" s="121">
        <v>0</v>
      </c>
      <c r="V128" s="121">
        <v>0</v>
      </c>
      <c r="W128" s="122">
        <v>0</v>
      </c>
      <c r="X128" s="496">
        <v>0</v>
      </c>
      <c r="Y128" s="496">
        <v>2.1685649202733484E-2</v>
      </c>
    </row>
    <row r="129" spans="1:25" x14ac:dyDescent="0.2">
      <c r="A129" s="252"/>
      <c r="B129" s="135" t="s">
        <v>371</v>
      </c>
      <c r="C129" s="136">
        <v>789</v>
      </c>
      <c r="D129" s="137">
        <v>475</v>
      </c>
      <c r="E129" s="137"/>
      <c r="F129" s="137">
        <v>209</v>
      </c>
      <c r="G129" s="137">
        <v>51</v>
      </c>
      <c r="H129" s="137"/>
      <c r="I129" s="137">
        <v>1524</v>
      </c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8"/>
      <c r="Y129" s="496">
        <v>1524</v>
      </c>
    </row>
    <row r="130" spans="1:25" x14ac:dyDescent="0.2">
      <c r="A130" s="252"/>
      <c r="B130" s="125" t="s">
        <v>373</v>
      </c>
      <c r="C130" s="126">
        <v>842</v>
      </c>
      <c r="D130" s="127">
        <v>482</v>
      </c>
      <c r="E130" s="127"/>
      <c r="F130" s="127">
        <v>209</v>
      </c>
      <c r="G130" s="127">
        <v>45</v>
      </c>
      <c r="H130" s="127"/>
      <c r="I130" s="127">
        <v>1578</v>
      </c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8"/>
      <c r="Y130" s="496">
        <v>1578</v>
      </c>
    </row>
    <row r="131" spans="1:25" s="123" customFormat="1" x14ac:dyDescent="0.2">
      <c r="A131" s="252"/>
      <c r="B131" s="139" t="s">
        <v>375</v>
      </c>
      <c r="C131" s="120">
        <v>6.7173637515842835E-2</v>
      </c>
      <c r="D131" s="121">
        <v>1.4736842105263158E-2</v>
      </c>
      <c r="E131" s="121">
        <v>0</v>
      </c>
      <c r="F131" s="121">
        <v>0</v>
      </c>
      <c r="G131" s="121">
        <v>-0.11764705882352941</v>
      </c>
      <c r="H131" s="121">
        <v>0</v>
      </c>
      <c r="I131" s="121">
        <v>3.5433070866141732E-2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2">
        <v>0</v>
      </c>
      <c r="X131" s="496">
        <v>0</v>
      </c>
      <c r="Y131" s="496">
        <v>3.5433070866141732E-2</v>
      </c>
    </row>
    <row r="132" spans="1:25" x14ac:dyDescent="0.2">
      <c r="A132" s="252"/>
      <c r="B132" s="135" t="s">
        <v>377</v>
      </c>
      <c r="C132" s="136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8"/>
    </row>
    <row r="133" spans="1:25" x14ac:dyDescent="0.2">
      <c r="A133" s="252"/>
      <c r="B133" s="125" t="s">
        <v>379</v>
      </c>
      <c r="C133" s="126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8"/>
    </row>
    <row r="134" spans="1:25" s="123" customFormat="1" x14ac:dyDescent="0.2">
      <c r="A134" s="252"/>
      <c r="B134" s="139" t="s">
        <v>381</v>
      </c>
      <c r="C134" s="120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2">
        <v>0</v>
      </c>
      <c r="X134" s="496">
        <v>0</v>
      </c>
      <c r="Y134" s="496">
        <v>0</v>
      </c>
    </row>
    <row r="135" spans="1:25" x14ac:dyDescent="0.2">
      <c r="A135" s="252"/>
      <c r="B135" s="135" t="s">
        <v>383</v>
      </c>
      <c r="C135" s="136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8"/>
    </row>
    <row r="136" spans="1:25" x14ac:dyDescent="0.2">
      <c r="A136" s="252"/>
      <c r="B136" s="125" t="s">
        <v>385</v>
      </c>
      <c r="C136" s="126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8"/>
    </row>
    <row r="137" spans="1:25" s="123" customFormat="1" x14ac:dyDescent="0.2">
      <c r="A137" s="252"/>
      <c r="B137" s="139" t="s">
        <v>387</v>
      </c>
      <c r="C137" s="120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2">
        <v>0</v>
      </c>
      <c r="X137" s="496">
        <v>0</v>
      </c>
      <c r="Y137" s="496">
        <v>0</v>
      </c>
    </row>
    <row r="138" spans="1:25" x14ac:dyDescent="0.2">
      <c r="A138" s="252"/>
      <c r="B138" s="135" t="s">
        <v>391</v>
      </c>
      <c r="C138" s="136">
        <v>789</v>
      </c>
      <c r="D138" s="137">
        <v>475</v>
      </c>
      <c r="E138" s="137"/>
      <c r="F138" s="137">
        <v>209</v>
      </c>
      <c r="G138" s="137">
        <v>51</v>
      </c>
      <c r="H138" s="137"/>
      <c r="I138" s="137">
        <v>1524</v>
      </c>
      <c r="J138" s="137"/>
      <c r="K138" s="137">
        <v>0</v>
      </c>
      <c r="L138" s="137">
        <v>0</v>
      </c>
      <c r="M138" s="137">
        <v>0</v>
      </c>
      <c r="N138" s="137">
        <v>0</v>
      </c>
      <c r="O138" s="137"/>
      <c r="P138" s="137"/>
      <c r="Q138" s="137"/>
      <c r="R138" s="137"/>
      <c r="S138" s="137">
        <v>0</v>
      </c>
      <c r="T138" s="137">
        <v>0</v>
      </c>
      <c r="U138" s="137"/>
      <c r="V138" s="137"/>
      <c r="W138" s="138"/>
      <c r="Y138" s="496">
        <v>1524</v>
      </c>
    </row>
    <row r="139" spans="1:25" x14ac:dyDescent="0.2">
      <c r="A139" s="252"/>
      <c r="B139" s="125" t="s">
        <v>389</v>
      </c>
      <c r="C139" s="126">
        <v>842</v>
      </c>
      <c r="D139" s="127">
        <v>482</v>
      </c>
      <c r="E139" s="127"/>
      <c r="F139" s="127">
        <v>209</v>
      </c>
      <c r="G139" s="127">
        <v>45</v>
      </c>
      <c r="H139" s="127"/>
      <c r="I139" s="127">
        <v>1578</v>
      </c>
      <c r="J139" s="127"/>
      <c r="K139" s="127">
        <v>0</v>
      </c>
      <c r="L139" s="127">
        <v>0</v>
      </c>
      <c r="M139" s="127">
        <v>0</v>
      </c>
      <c r="N139" s="127">
        <v>0</v>
      </c>
      <c r="O139" s="127"/>
      <c r="P139" s="127"/>
      <c r="Q139" s="127"/>
      <c r="R139" s="127"/>
      <c r="S139" s="127">
        <v>0</v>
      </c>
      <c r="T139" s="127">
        <v>0</v>
      </c>
      <c r="U139" s="127"/>
      <c r="V139" s="127"/>
      <c r="W139" s="128"/>
      <c r="Y139" s="496">
        <v>1578</v>
      </c>
    </row>
    <row r="140" spans="1:25" s="123" customFormat="1" x14ac:dyDescent="0.2">
      <c r="A140" s="251"/>
      <c r="B140" s="139" t="s">
        <v>393</v>
      </c>
      <c r="C140" s="120">
        <v>6.7173637515842835E-2</v>
      </c>
      <c r="D140" s="121">
        <v>1.4736842105263158E-2</v>
      </c>
      <c r="E140" s="121">
        <v>0</v>
      </c>
      <c r="F140" s="121">
        <v>0</v>
      </c>
      <c r="G140" s="121">
        <v>-0.11764705882352941</v>
      </c>
      <c r="H140" s="121">
        <v>0</v>
      </c>
      <c r="I140" s="121">
        <v>3.5433070866141732E-2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2">
        <v>0</v>
      </c>
      <c r="X140" s="496">
        <v>0</v>
      </c>
      <c r="Y140" s="496">
        <v>3.5433070866141732E-2</v>
      </c>
    </row>
    <row r="141" spans="1:25" x14ac:dyDescent="0.2">
      <c r="A141" s="131" t="s">
        <v>264</v>
      </c>
      <c r="B141" s="135" t="s">
        <v>284</v>
      </c>
      <c r="C141" s="136">
        <v>12598</v>
      </c>
      <c r="D141" s="137">
        <v>7650</v>
      </c>
      <c r="E141" s="137">
        <v>9510</v>
      </c>
      <c r="F141" s="137">
        <v>902</v>
      </c>
      <c r="G141" s="137">
        <v>2070</v>
      </c>
      <c r="H141" s="137">
        <v>1171</v>
      </c>
      <c r="I141" s="137">
        <v>33901</v>
      </c>
      <c r="J141" s="137"/>
      <c r="K141" s="137"/>
      <c r="L141" s="137"/>
      <c r="M141" s="137"/>
      <c r="N141" s="137"/>
      <c r="O141" s="137"/>
      <c r="P141" s="137"/>
      <c r="Q141" s="137"/>
      <c r="R141" s="137"/>
      <c r="S141" s="137">
        <v>154</v>
      </c>
      <c r="T141" s="137">
        <v>154</v>
      </c>
      <c r="U141" s="137"/>
      <c r="V141" s="137"/>
      <c r="W141" s="138"/>
      <c r="Y141" s="496">
        <v>34055</v>
      </c>
    </row>
    <row r="142" spans="1:25" x14ac:dyDescent="0.2">
      <c r="A142" s="252"/>
      <c r="B142" s="125" t="s">
        <v>285</v>
      </c>
      <c r="C142" s="126">
        <v>12867</v>
      </c>
      <c r="D142" s="127">
        <v>8138</v>
      </c>
      <c r="E142" s="127">
        <v>10129</v>
      </c>
      <c r="F142" s="127">
        <v>991</v>
      </c>
      <c r="G142" s="127">
        <v>2200</v>
      </c>
      <c r="H142" s="127">
        <v>1119</v>
      </c>
      <c r="I142" s="127">
        <v>35444</v>
      </c>
      <c r="J142" s="127"/>
      <c r="K142" s="127"/>
      <c r="L142" s="127"/>
      <c r="M142" s="127"/>
      <c r="N142" s="127"/>
      <c r="O142" s="127"/>
      <c r="P142" s="127"/>
      <c r="Q142" s="127"/>
      <c r="R142" s="127"/>
      <c r="S142" s="127">
        <v>145</v>
      </c>
      <c r="T142" s="127">
        <v>145</v>
      </c>
      <c r="U142" s="127"/>
      <c r="V142" s="127"/>
      <c r="W142" s="128"/>
      <c r="Y142" s="496">
        <v>35589</v>
      </c>
    </row>
    <row r="143" spans="1:25" s="123" customFormat="1" x14ac:dyDescent="0.2">
      <c r="A143" s="252"/>
      <c r="B143" s="139" t="s">
        <v>286</v>
      </c>
      <c r="C143" s="120">
        <v>2.1352595650103192E-2</v>
      </c>
      <c r="D143" s="121">
        <v>6.3790849673202615E-2</v>
      </c>
      <c r="E143" s="121">
        <v>6.5089379600420605E-2</v>
      </c>
      <c r="F143" s="121">
        <v>9.8669623059866957E-2</v>
      </c>
      <c r="G143" s="121">
        <v>6.280193236714976E-2</v>
      </c>
      <c r="H143" s="121">
        <v>-4.4406490179333902E-2</v>
      </c>
      <c r="I143" s="121">
        <v>4.5514881566915431E-2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-5.844155844155844E-2</v>
      </c>
      <c r="T143" s="121">
        <v>-5.844155844155844E-2</v>
      </c>
      <c r="U143" s="121">
        <v>0</v>
      </c>
      <c r="V143" s="121">
        <v>0</v>
      </c>
      <c r="W143" s="122">
        <v>0</v>
      </c>
      <c r="X143" s="496">
        <v>0</v>
      </c>
      <c r="Y143" s="496">
        <v>4.5044780502128907E-2</v>
      </c>
    </row>
    <row r="144" spans="1:25" x14ac:dyDescent="0.2">
      <c r="A144" s="252"/>
      <c r="B144" s="135" t="s">
        <v>371</v>
      </c>
      <c r="C144" s="136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8"/>
    </row>
    <row r="145" spans="1:25" x14ac:dyDescent="0.2">
      <c r="A145" s="252"/>
      <c r="B145" s="125" t="s">
        <v>373</v>
      </c>
      <c r="C145" s="126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8"/>
    </row>
    <row r="146" spans="1:25" s="123" customFormat="1" x14ac:dyDescent="0.2">
      <c r="A146" s="252"/>
      <c r="B146" s="139" t="s">
        <v>375</v>
      </c>
      <c r="C146" s="120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2">
        <v>0</v>
      </c>
      <c r="X146" s="496">
        <v>0</v>
      </c>
      <c r="Y146" s="496">
        <v>0</v>
      </c>
    </row>
    <row r="147" spans="1:25" x14ac:dyDescent="0.2">
      <c r="A147" s="252"/>
      <c r="B147" s="135" t="s">
        <v>377</v>
      </c>
      <c r="C147" s="136">
        <v>766</v>
      </c>
      <c r="D147" s="137">
        <v>777</v>
      </c>
      <c r="E147" s="137">
        <v>1097</v>
      </c>
      <c r="F147" s="137">
        <v>99</v>
      </c>
      <c r="G147" s="137">
        <v>156</v>
      </c>
      <c r="H147" s="137">
        <v>105</v>
      </c>
      <c r="I147" s="137">
        <v>3000</v>
      </c>
      <c r="J147" s="137"/>
      <c r="K147" s="137"/>
      <c r="L147" s="137"/>
      <c r="M147" s="137"/>
      <c r="N147" s="137"/>
      <c r="O147" s="137"/>
      <c r="P147" s="137"/>
      <c r="Q147" s="137"/>
      <c r="R147" s="137"/>
      <c r="S147" s="137">
        <v>0</v>
      </c>
      <c r="T147" s="137">
        <v>0</v>
      </c>
      <c r="U147" s="137"/>
      <c r="V147" s="137"/>
      <c r="W147" s="138"/>
      <c r="Y147" s="496">
        <v>3000</v>
      </c>
    </row>
    <row r="148" spans="1:25" ht="13.5" thickBot="1" x14ac:dyDescent="0.25">
      <c r="A148" s="252"/>
      <c r="B148" s="125" t="s">
        <v>379</v>
      </c>
      <c r="C148" s="126">
        <v>823</v>
      </c>
      <c r="D148" s="127">
        <v>814</v>
      </c>
      <c r="E148" s="127">
        <v>1246</v>
      </c>
      <c r="F148" s="127">
        <v>82</v>
      </c>
      <c r="G148" s="127">
        <v>174</v>
      </c>
      <c r="H148" s="127">
        <v>84</v>
      </c>
      <c r="I148" s="127">
        <v>3223</v>
      </c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8"/>
      <c r="Y148" s="496">
        <v>3223</v>
      </c>
    </row>
    <row r="149" spans="1:25" s="123" customFormat="1" ht="13.5" thickBot="1" x14ac:dyDescent="0.25">
      <c r="A149" s="252"/>
      <c r="B149" s="139" t="s">
        <v>381</v>
      </c>
      <c r="C149" s="120">
        <v>7.4412532637075715E-2</v>
      </c>
      <c r="D149" s="121">
        <v>4.7619047619047616E-2</v>
      </c>
      <c r="E149" s="121">
        <v>0.13582497721057429</v>
      </c>
      <c r="F149" s="121">
        <v>-0.17171717171717171</v>
      </c>
      <c r="G149" s="121">
        <v>0.11538461538461539</v>
      </c>
      <c r="H149" s="789">
        <v>-0.2</v>
      </c>
      <c r="I149" s="121">
        <v>7.4333333333333335E-2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2">
        <v>0</v>
      </c>
      <c r="X149" s="496">
        <v>0</v>
      </c>
      <c r="Y149" s="496">
        <v>7.4333333333333335E-2</v>
      </c>
    </row>
    <row r="150" spans="1:25" x14ac:dyDescent="0.2">
      <c r="A150" s="252"/>
      <c r="B150" s="135" t="s">
        <v>383</v>
      </c>
      <c r="C150" s="136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8"/>
    </row>
    <row r="151" spans="1:25" x14ac:dyDescent="0.2">
      <c r="A151" s="252"/>
      <c r="B151" s="125" t="s">
        <v>385</v>
      </c>
      <c r="C151" s="126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8"/>
    </row>
    <row r="152" spans="1:25" s="123" customFormat="1" x14ac:dyDescent="0.2">
      <c r="A152" s="252"/>
      <c r="B152" s="139" t="s">
        <v>387</v>
      </c>
      <c r="C152" s="120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122">
        <v>0</v>
      </c>
      <c r="X152" s="496">
        <v>0</v>
      </c>
      <c r="Y152" s="496">
        <v>0</v>
      </c>
    </row>
    <row r="153" spans="1:25" x14ac:dyDescent="0.2">
      <c r="A153" s="252"/>
      <c r="B153" s="135" t="s">
        <v>391</v>
      </c>
      <c r="C153" s="136">
        <v>766</v>
      </c>
      <c r="D153" s="137">
        <v>777</v>
      </c>
      <c r="E153" s="137">
        <v>1097</v>
      </c>
      <c r="F153" s="137">
        <v>99</v>
      </c>
      <c r="G153" s="137">
        <v>156</v>
      </c>
      <c r="H153" s="137">
        <v>105</v>
      </c>
      <c r="I153" s="137">
        <v>3000</v>
      </c>
      <c r="J153" s="137"/>
      <c r="K153" s="137">
        <v>0</v>
      </c>
      <c r="L153" s="137">
        <v>0</v>
      </c>
      <c r="M153" s="137">
        <v>0</v>
      </c>
      <c r="N153" s="137">
        <v>0</v>
      </c>
      <c r="O153" s="137"/>
      <c r="P153" s="137"/>
      <c r="Q153" s="137"/>
      <c r="R153" s="137"/>
      <c r="S153" s="137">
        <v>0</v>
      </c>
      <c r="T153" s="137">
        <v>0</v>
      </c>
      <c r="U153" s="137"/>
      <c r="V153" s="137"/>
      <c r="W153" s="138"/>
      <c r="Y153" s="496">
        <v>3000</v>
      </c>
    </row>
    <row r="154" spans="1:25" ht="13.5" thickBot="1" x14ac:dyDescent="0.25">
      <c r="A154" s="252"/>
      <c r="B154" s="125" t="s">
        <v>389</v>
      </c>
      <c r="C154" s="126">
        <v>823</v>
      </c>
      <c r="D154" s="127">
        <v>814</v>
      </c>
      <c r="E154" s="127">
        <v>1246</v>
      </c>
      <c r="F154" s="127">
        <v>82</v>
      </c>
      <c r="G154" s="127">
        <v>174</v>
      </c>
      <c r="H154" s="127">
        <v>84</v>
      </c>
      <c r="I154" s="127">
        <v>3223</v>
      </c>
      <c r="J154" s="127"/>
      <c r="K154" s="127">
        <v>0</v>
      </c>
      <c r="L154" s="127">
        <v>0</v>
      </c>
      <c r="M154" s="127">
        <v>0</v>
      </c>
      <c r="N154" s="127">
        <v>0</v>
      </c>
      <c r="O154" s="127"/>
      <c r="P154" s="127"/>
      <c r="Q154" s="127"/>
      <c r="R154" s="127"/>
      <c r="S154" s="127">
        <v>0</v>
      </c>
      <c r="T154" s="127">
        <v>0</v>
      </c>
      <c r="U154" s="127"/>
      <c r="V154" s="127"/>
      <c r="W154" s="128"/>
      <c r="Y154" s="496">
        <v>3223</v>
      </c>
    </row>
    <row r="155" spans="1:25" s="123" customFormat="1" ht="13.5" thickBot="1" x14ac:dyDescent="0.25">
      <c r="A155" s="251"/>
      <c r="B155" s="139" t="s">
        <v>393</v>
      </c>
      <c r="C155" s="120">
        <v>7.4412532637075715E-2</v>
      </c>
      <c r="D155" s="121">
        <v>4.7619047619047616E-2</v>
      </c>
      <c r="E155" s="121">
        <v>0.13582497721057429</v>
      </c>
      <c r="F155" s="121">
        <v>-0.17171717171717171</v>
      </c>
      <c r="G155" s="121">
        <v>0.11538461538461539</v>
      </c>
      <c r="H155" s="789">
        <v>-0.2</v>
      </c>
      <c r="I155" s="121">
        <v>7.4333333333333335E-2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122">
        <v>0</v>
      </c>
      <c r="X155" s="496">
        <v>0</v>
      </c>
      <c r="Y155" s="496">
        <v>7.4333333333333335E-2</v>
      </c>
    </row>
    <row r="156" spans="1:25" x14ac:dyDescent="0.2">
      <c r="A156" s="131" t="s">
        <v>644</v>
      </c>
      <c r="B156" s="135" t="s">
        <v>284</v>
      </c>
      <c r="C156" s="136">
        <v>8097</v>
      </c>
      <c r="D156" s="137"/>
      <c r="E156" s="137">
        <v>3700</v>
      </c>
      <c r="F156" s="137">
        <v>623</v>
      </c>
      <c r="G156" s="137">
        <v>2381</v>
      </c>
      <c r="H156" s="137">
        <v>688</v>
      </c>
      <c r="I156" s="137">
        <v>15489</v>
      </c>
      <c r="J156" s="137">
        <v>56</v>
      </c>
      <c r="K156" s="137"/>
      <c r="L156" s="137"/>
      <c r="M156" s="137"/>
      <c r="N156" s="137">
        <v>56</v>
      </c>
      <c r="O156" s="137"/>
      <c r="P156" s="137"/>
      <c r="Q156" s="137"/>
      <c r="R156" s="137"/>
      <c r="S156" s="137"/>
      <c r="T156" s="137"/>
      <c r="U156" s="137"/>
      <c r="V156" s="137"/>
      <c r="W156" s="138"/>
      <c r="Y156" s="496">
        <v>15545</v>
      </c>
    </row>
    <row r="157" spans="1:25" ht="13.5" thickBot="1" x14ac:dyDescent="0.25">
      <c r="A157" s="252"/>
      <c r="B157" s="125" t="s">
        <v>285</v>
      </c>
      <c r="C157" s="126">
        <v>8231</v>
      </c>
      <c r="D157" s="127"/>
      <c r="E157" s="127">
        <v>3940</v>
      </c>
      <c r="F157" s="127">
        <v>610</v>
      </c>
      <c r="G157" s="127">
        <v>2255</v>
      </c>
      <c r="H157" s="127">
        <v>700</v>
      </c>
      <c r="I157" s="127">
        <v>15736</v>
      </c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8"/>
      <c r="Y157" s="496">
        <v>15736</v>
      </c>
    </row>
    <row r="158" spans="1:25" s="123" customFormat="1" ht="13.5" thickBot="1" x14ac:dyDescent="0.25">
      <c r="A158" s="252"/>
      <c r="B158" s="139" t="s">
        <v>286</v>
      </c>
      <c r="C158" s="120">
        <v>1.6549339261454861E-2</v>
      </c>
      <c r="D158" s="121">
        <v>0</v>
      </c>
      <c r="E158" s="121">
        <v>6.4864864864864868E-2</v>
      </c>
      <c r="F158" s="121">
        <v>-2.0866773675762441E-2</v>
      </c>
      <c r="G158" s="121">
        <v>-5.291894162116758E-2</v>
      </c>
      <c r="H158" s="121">
        <v>1.7441860465116279E-2</v>
      </c>
      <c r="I158" s="121">
        <v>1.5946800955516819E-2</v>
      </c>
      <c r="J158" s="789">
        <v>-1</v>
      </c>
      <c r="K158" s="121">
        <v>0</v>
      </c>
      <c r="L158" s="121">
        <v>0</v>
      </c>
      <c r="M158" s="121">
        <v>0</v>
      </c>
      <c r="N158" s="121">
        <v>-1</v>
      </c>
      <c r="O158" s="121">
        <v>0</v>
      </c>
      <c r="P158" s="121">
        <v>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122">
        <v>0</v>
      </c>
      <c r="X158" s="496">
        <v>0</v>
      </c>
      <c r="Y158" s="496">
        <v>1.2286908973946607E-2</v>
      </c>
    </row>
    <row r="159" spans="1:25" x14ac:dyDescent="0.2">
      <c r="A159" s="252"/>
      <c r="B159" s="135" t="s">
        <v>371</v>
      </c>
      <c r="C159" s="136">
        <v>417</v>
      </c>
      <c r="D159" s="137"/>
      <c r="E159" s="137">
        <v>566</v>
      </c>
      <c r="F159" s="137">
        <v>125</v>
      </c>
      <c r="G159" s="137">
        <v>344</v>
      </c>
      <c r="H159" s="137">
        <v>43</v>
      </c>
      <c r="I159" s="137">
        <v>1495</v>
      </c>
      <c r="J159" s="137">
        <v>0</v>
      </c>
      <c r="K159" s="137"/>
      <c r="L159" s="137"/>
      <c r="M159" s="137"/>
      <c r="N159" s="137">
        <v>0</v>
      </c>
      <c r="O159" s="137"/>
      <c r="P159" s="137"/>
      <c r="Q159" s="137"/>
      <c r="R159" s="137"/>
      <c r="S159" s="137"/>
      <c r="T159" s="137"/>
      <c r="U159" s="137"/>
      <c r="V159" s="137"/>
      <c r="W159" s="138"/>
      <c r="Y159" s="496">
        <v>1495</v>
      </c>
    </row>
    <row r="160" spans="1:25" ht="13.5" thickBot="1" x14ac:dyDescent="0.25">
      <c r="A160" s="252"/>
      <c r="B160" s="125" t="s">
        <v>373</v>
      </c>
      <c r="C160" s="126">
        <v>415</v>
      </c>
      <c r="D160" s="127"/>
      <c r="E160" s="127">
        <v>566</v>
      </c>
      <c r="F160" s="127">
        <v>110</v>
      </c>
      <c r="G160" s="127">
        <v>342</v>
      </c>
      <c r="H160" s="127">
        <v>58</v>
      </c>
      <c r="I160" s="127">
        <v>1491</v>
      </c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8"/>
      <c r="Y160" s="496">
        <v>1491</v>
      </c>
    </row>
    <row r="161" spans="1:25" s="123" customFormat="1" ht="13.5" thickBot="1" x14ac:dyDescent="0.25">
      <c r="A161" s="252"/>
      <c r="B161" s="139" t="s">
        <v>375</v>
      </c>
      <c r="C161" s="120">
        <v>-4.7961630695443642E-3</v>
      </c>
      <c r="D161" s="121">
        <v>0</v>
      </c>
      <c r="E161" s="121">
        <v>0</v>
      </c>
      <c r="F161" s="121">
        <v>-0.12</v>
      </c>
      <c r="G161" s="121">
        <v>-5.8139534883720929E-3</v>
      </c>
      <c r="H161" s="789">
        <v>0.34883720930232559</v>
      </c>
      <c r="I161" s="121">
        <v>-2.6755852842809363E-3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>
        <v>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122">
        <v>0</v>
      </c>
      <c r="X161" s="496">
        <v>0</v>
      </c>
      <c r="Y161" s="496">
        <v>-2.6755852842809363E-3</v>
      </c>
    </row>
    <row r="162" spans="1:25" x14ac:dyDescent="0.2">
      <c r="A162" s="252"/>
      <c r="B162" s="135" t="s">
        <v>377</v>
      </c>
      <c r="C162" s="136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8"/>
    </row>
    <row r="163" spans="1:25" x14ac:dyDescent="0.2">
      <c r="A163" s="252"/>
      <c r="B163" s="125" t="s">
        <v>379</v>
      </c>
      <c r="C163" s="126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8"/>
    </row>
    <row r="164" spans="1:25" s="123" customFormat="1" x14ac:dyDescent="0.2">
      <c r="A164" s="252"/>
      <c r="B164" s="139" t="s">
        <v>381</v>
      </c>
      <c r="C164" s="120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2">
        <v>0</v>
      </c>
      <c r="X164" s="496">
        <v>0</v>
      </c>
      <c r="Y164" s="496">
        <v>0</v>
      </c>
    </row>
    <row r="165" spans="1:25" x14ac:dyDescent="0.2">
      <c r="A165" s="252"/>
      <c r="B165" s="135" t="s">
        <v>383</v>
      </c>
      <c r="C165" s="136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8"/>
    </row>
    <row r="166" spans="1:25" x14ac:dyDescent="0.2">
      <c r="A166" s="252"/>
      <c r="B166" s="125" t="s">
        <v>385</v>
      </c>
      <c r="C166" s="126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8"/>
    </row>
    <row r="167" spans="1:25" s="123" customFormat="1" x14ac:dyDescent="0.2">
      <c r="A167" s="252"/>
      <c r="B167" s="139" t="s">
        <v>387</v>
      </c>
      <c r="C167" s="120">
        <v>0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2">
        <v>0</v>
      </c>
      <c r="X167" s="496">
        <v>0</v>
      </c>
      <c r="Y167" s="496">
        <v>0</v>
      </c>
    </row>
    <row r="168" spans="1:25" x14ac:dyDescent="0.2">
      <c r="A168" s="252"/>
      <c r="B168" s="135" t="s">
        <v>391</v>
      </c>
      <c r="C168" s="136">
        <v>417</v>
      </c>
      <c r="D168" s="137"/>
      <c r="E168" s="137">
        <v>566</v>
      </c>
      <c r="F168" s="137">
        <v>125</v>
      </c>
      <c r="G168" s="137">
        <v>344</v>
      </c>
      <c r="H168" s="137">
        <v>43</v>
      </c>
      <c r="I168" s="137">
        <v>1495</v>
      </c>
      <c r="J168" s="137">
        <v>0</v>
      </c>
      <c r="K168" s="137">
        <v>0</v>
      </c>
      <c r="L168" s="137">
        <v>0</v>
      </c>
      <c r="M168" s="137">
        <v>0</v>
      </c>
      <c r="N168" s="137">
        <v>0</v>
      </c>
      <c r="O168" s="137">
        <v>0</v>
      </c>
      <c r="P168" s="137">
        <v>0</v>
      </c>
      <c r="Q168" s="137"/>
      <c r="R168" s="137">
        <v>0</v>
      </c>
      <c r="S168" s="137"/>
      <c r="T168" s="137"/>
      <c r="U168" s="137"/>
      <c r="V168" s="137"/>
      <c r="W168" s="138"/>
      <c r="Y168" s="496">
        <v>1495</v>
      </c>
    </row>
    <row r="169" spans="1:25" x14ac:dyDescent="0.2">
      <c r="A169" s="252"/>
      <c r="B169" s="125" t="s">
        <v>389</v>
      </c>
      <c r="C169" s="126">
        <v>415</v>
      </c>
      <c r="D169" s="127"/>
      <c r="E169" s="127">
        <v>566</v>
      </c>
      <c r="F169" s="127">
        <v>110</v>
      </c>
      <c r="G169" s="127">
        <v>342</v>
      </c>
      <c r="H169" s="127">
        <v>58</v>
      </c>
      <c r="I169" s="127">
        <v>1491</v>
      </c>
      <c r="J169" s="127">
        <v>0</v>
      </c>
      <c r="K169" s="127">
        <v>0</v>
      </c>
      <c r="L169" s="127">
        <v>0</v>
      </c>
      <c r="M169" s="127">
        <v>0</v>
      </c>
      <c r="N169" s="127">
        <v>0</v>
      </c>
      <c r="O169" s="127">
        <v>0</v>
      </c>
      <c r="P169" s="127">
        <v>0</v>
      </c>
      <c r="Q169" s="127"/>
      <c r="R169" s="127">
        <v>0</v>
      </c>
      <c r="S169" s="127"/>
      <c r="T169" s="127"/>
      <c r="U169" s="127"/>
      <c r="V169" s="127"/>
      <c r="W169" s="128"/>
      <c r="Y169" s="496">
        <v>1491</v>
      </c>
    </row>
    <row r="170" spans="1:25" s="123" customFormat="1" x14ac:dyDescent="0.2">
      <c r="A170" s="251"/>
      <c r="B170" s="139" t="s">
        <v>393</v>
      </c>
      <c r="C170" s="120">
        <v>-4.7961630695443642E-3</v>
      </c>
      <c r="D170" s="121">
        <v>0</v>
      </c>
      <c r="E170" s="121">
        <v>0</v>
      </c>
      <c r="F170" s="121">
        <v>-0.12</v>
      </c>
      <c r="G170" s="121">
        <v>-5.8139534883720929E-3</v>
      </c>
      <c r="H170" s="121">
        <v>0.34883720930232559</v>
      </c>
      <c r="I170" s="121">
        <v>-2.6755852842809363E-3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122">
        <v>0</v>
      </c>
      <c r="X170" s="496">
        <v>0</v>
      </c>
      <c r="Y170" s="496">
        <v>-2.6755852842809363E-3</v>
      </c>
    </row>
    <row r="171" spans="1:25" x14ac:dyDescent="0.2">
      <c r="A171" s="131" t="s">
        <v>1125</v>
      </c>
      <c r="B171" s="135" t="s">
        <v>284</v>
      </c>
      <c r="C171" s="136">
        <v>7780</v>
      </c>
      <c r="D171" s="137"/>
      <c r="E171" s="137">
        <v>2962</v>
      </c>
      <c r="F171" s="137">
        <v>522</v>
      </c>
      <c r="G171" s="137">
        <v>2480</v>
      </c>
      <c r="H171" s="137">
        <v>2222</v>
      </c>
      <c r="I171" s="137">
        <v>15966</v>
      </c>
      <c r="J171" s="137"/>
      <c r="K171" s="137"/>
      <c r="L171" s="137"/>
      <c r="M171" s="137"/>
      <c r="N171" s="137"/>
      <c r="O171" s="137"/>
      <c r="P171" s="137"/>
      <c r="Q171" s="137"/>
      <c r="R171" s="137"/>
      <c r="S171" s="137">
        <v>189</v>
      </c>
      <c r="T171" s="137">
        <v>189</v>
      </c>
      <c r="U171" s="137"/>
      <c r="V171" s="137"/>
      <c r="W171" s="138"/>
      <c r="Y171" s="496">
        <v>16155</v>
      </c>
    </row>
    <row r="172" spans="1:25" ht="13.5" thickBot="1" x14ac:dyDescent="0.25">
      <c r="A172" s="252"/>
      <c r="B172" s="125" t="s">
        <v>285</v>
      </c>
      <c r="C172" s="126">
        <v>7997</v>
      </c>
      <c r="D172" s="127"/>
      <c r="E172" s="127">
        <v>3083</v>
      </c>
      <c r="F172" s="127">
        <v>495</v>
      </c>
      <c r="G172" s="127">
        <v>2548</v>
      </c>
      <c r="H172" s="127">
        <v>2319</v>
      </c>
      <c r="I172" s="127">
        <v>16442</v>
      </c>
      <c r="J172" s="127"/>
      <c r="K172" s="127"/>
      <c r="L172" s="127"/>
      <c r="M172" s="127"/>
      <c r="N172" s="127"/>
      <c r="O172" s="127"/>
      <c r="P172" s="127"/>
      <c r="Q172" s="127"/>
      <c r="R172" s="127"/>
      <c r="S172" s="127">
        <v>124</v>
      </c>
      <c r="T172" s="127">
        <v>124</v>
      </c>
      <c r="U172" s="127"/>
      <c r="V172" s="127"/>
      <c r="W172" s="128"/>
      <c r="Y172" s="496">
        <v>16566</v>
      </c>
    </row>
    <row r="173" spans="1:25" s="123" customFormat="1" ht="13.5" thickBot="1" x14ac:dyDescent="0.25">
      <c r="A173" s="252"/>
      <c r="B173" s="139" t="s">
        <v>286</v>
      </c>
      <c r="C173" s="120">
        <v>2.7892030848329048E-2</v>
      </c>
      <c r="D173" s="121">
        <v>0</v>
      </c>
      <c r="E173" s="121">
        <v>4.0850776502363267E-2</v>
      </c>
      <c r="F173" s="121">
        <v>-5.1724137931034482E-2</v>
      </c>
      <c r="G173" s="121">
        <v>2.7419354838709678E-2</v>
      </c>
      <c r="H173" s="121">
        <v>4.3654365436543656E-2</v>
      </c>
      <c r="I173" s="121">
        <v>2.9813353375923838E-2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>
        <v>0</v>
      </c>
      <c r="P173" s="121">
        <v>0</v>
      </c>
      <c r="Q173" s="121">
        <v>0</v>
      </c>
      <c r="R173" s="121">
        <v>0</v>
      </c>
      <c r="S173" s="789">
        <v>-0.3439153439153439</v>
      </c>
      <c r="T173" s="121">
        <v>-0.3439153439153439</v>
      </c>
      <c r="U173" s="121">
        <v>0</v>
      </c>
      <c r="V173" s="121">
        <v>0</v>
      </c>
      <c r="W173" s="122">
        <v>0</v>
      </c>
      <c r="X173" s="496">
        <v>0</v>
      </c>
      <c r="Y173" s="496">
        <v>2.544103992571959E-2</v>
      </c>
    </row>
    <row r="174" spans="1:25" x14ac:dyDescent="0.2">
      <c r="A174" s="252"/>
      <c r="B174" s="135" t="s">
        <v>371</v>
      </c>
      <c r="C174" s="136">
        <v>465</v>
      </c>
      <c r="D174" s="137"/>
      <c r="E174" s="137">
        <v>368</v>
      </c>
      <c r="F174" s="137">
        <v>39</v>
      </c>
      <c r="G174" s="137">
        <v>243</v>
      </c>
      <c r="H174" s="137">
        <v>378</v>
      </c>
      <c r="I174" s="137">
        <v>1493</v>
      </c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8"/>
      <c r="Y174" s="496">
        <v>1493</v>
      </c>
    </row>
    <row r="175" spans="1:25" x14ac:dyDescent="0.2">
      <c r="A175" s="252"/>
      <c r="B175" s="125" t="s">
        <v>373</v>
      </c>
      <c r="C175" s="126">
        <v>425</v>
      </c>
      <c r="D175" s="127"/>
      <c r="E175" s="127">
        <v>347</v>
      </c>
      <c r="F175" s="127">
        <v>41</v>
      </c>
      <c r="G175" s="127">
        <v>227</v>
      </c>
      <c r="H175" s="127">
        <v>367</v>
      </c>
      <c r="I175" s="127">
        <v>1407</v>
      </c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8"/>
      <c r="Y175" s="496">
        <v>1407</v>
      </c>
    </row>
    <row r="176" spans="1:25" s="123" customFormat="1" x14ac:dyDescent="0.2">
      <c r="A176" s="252"/>
      <c r="B176" s="139" t="s">
        <v>375</v>
      </c>
      <c r="C176" s="120">
        <v>-8.6021505376344093E-2</v>
      </c>
      <c r="D176" s="121">
        <v>0</v>
      </c>
      <c r="E176" s="121">
        <v>-5.7065217391304345E-2</v>
      </c>
      <c r="F176" s="121">
        <v>5.128205128205128E-2</v>
      </c>
      <c r="G176" s="121">
        <v>-6.584362139917696E-2</v>
      </c>
      <c r="H176" s="121">
        <v>-2.9100529100529099E-2</v>
      </c>
      <c r="I176" s="121">
        <v>-5.7602143335565972E-2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0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2">
        <v>0</v>
      </c>
      <c r="X176" s="496">
        <v>0</v>
      </c>
      <c r="Y176" s="496">
        <v>-5.7602143335565972E-2</v>
      </c>
    </row>
    <row r="177" spans="1:25" x14ac:dyDescent="0.2">
      <c r="A177" s="252"/>
      <c r="B177" s="135" t="s">
        <v>377</v>
      </c>
      <c r="C177" s="136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8"/>
    </row>
    <row r="178" spans="1:25" x14ac:dyDescent="0.2">
      <c r="A178" s="252"/>
      <c r="B178" s="125" t="s">
        <v>379</v>
      </c>
      <c r="C178" s="126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8"/>
    </row>
    <row r="179" spans="1:25" s="123" customFormat="1" x14ac:dyDescent="0.2">
      <c r="A179" s="252"/>
      <c r="B179" s="139" t="s">
        <v>381</v>
      </c>
      <c r="C179" s="120">
        <v>0</v>
      </c>
      <c r="D179" s="121">
        <v>0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122">
        <v>0</v>
      </c>
      <c r="X179" s="496">
        <v>0</v>
      </c>
      <c r="Y179" s="496">
        <v>0</v>
      </c>
    </row>
    <row r="180" spans="1:25" x14ac:dyDescent="0.2">
      <c r="A180" s="252"/>
      <c r="B180" s="135" t="s">
        <v>383</v>
      </c>
      <c r="C180" s="136">
        <v>26</v>
      </c>
      <c r="D180" s="137"/>
      <c r="E180" s="137">
        <v>58</v>
      </c>
      <c r="F180" s="137"/>
      <c r="G180" s="137"/>
      <c r="H180" s="137">
        <v>7</v>
      </c>
      <c r="I180" s="137">
        <v>91</v>
      </c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8"/>
      <c r="Y180" s="496">
        <v>91</v>
      </c>
    </row>
    <row r="181" spans="1:25" x14ac:dyDescent="0.2">
      <c r="A181" s="252"/>
      <c r="B181" s="125" t="s">
        <v>385</v>
      </c>
      <c r="C181" s="126">
        <v>20</v>
      </c>
      <c r="D181" s="127"/>
      <c r="E181" s="127">
        <v>66</v>
      </c>
      <c r="F181" s="127">
        <v>1</v>
      </c>
      <c r="G181" s="127">
        <v>3</v>
      </c>
      <c r="H181" s="127">
        <v>6</v>
      </c>
      <c r="I181" s="127">
        <v>96</v>
      </c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8"/>
      <c r="Y181" s="496">
        <v>96</v>
      </c>
    </row>
    <row r="182" spans="1:25" s="123" customFormat="1" x14ac:dyDescent="0.2">
      <c r="A182" s="252"/>
      <c r="B182" s="139" t="s">
        <v>387</v>
      </c>
      <c r="C182" s="120">
        <v>-0.23076923076923078</v>
      </c>
      <c r="D182" s="121">
        <v>0</v>
      </c>
      <c r="E182" s="121">
        <v>0.13793103448275862</v>
      </c>
      <c r="F182" s="121">
        <v>0</v>
      </c>
      <c r="G182" s="121">
        <v>0</v>
      </c>
      <c r="H182" s="121">
        <v>-0.14285714285714285</v>
      </c>
      <c r="I182" s="121">
        <v>5.4945054945054944E-2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2">
        <v>0</v>
      </c>
      <c r="X182" s="496">
        <v>0</v>
      </c>
      <c r="Y182" s="496">
        <v>5.4945054945054944E-2</v>
      </c>
    </row>
    <row r="183" spans="1:25" x14ac:dyDescent="0.2">
      <c r="A183" s="252"/>
      <c r="B183" s="135" t="s">
        <v>391</v>
      </c>
      <c r="C183" s="136">
        <v>491</v>
      </c>
      <c r="D183" s="137"/>
      <c r="E183" s="137">
        <v>426</v>
      </c>
      <c r="F183" s="137">
        <v>39</v>
      </c>
      <c r="G183" s="137">
        <v>243</v>
      </c>
      <c r="H183" s="137">
        <v>385</v>
      </c>
      <c r="I183" s="137">
        <v>1584</v>
      </c>
      <c r="J183" s="137"/>
      <c r="K183" s="137">
        <v>0</v>
      </c>
      <c r="L183" s="137">
        <v>0</v>
      </c>
      <c r="M183" s="137">
        <v>0</v>
      </c>
      <c r="N183" s="137">
        <v>0</v>
      </c>
      <c r="O183" s="137"/>
      <c r="P183" s="137"/>
      <c r="Q183" s="137"/>
      <c r="R183" s="137"/>
      <c r="S183" s="137">
        <v>0</v>
      </c>
      <c r="T183" s="137">
        <v>0</v>
      </c>
      <c r="U183" s="137"/>
      <c r="V183" s="137"/>
      <c r="W183" s="138"/>
      <c r="Y183" s="496">
        <v>1584</v>
      </c>
    </row>
    <row r="184" spans="1:25" x14ac:dyDescent="0.2">
      <c r="A184" s="252"/>
      <c r="B184" s="125" t="s">
        <v>389</v>
      </c>
      <c r="C184" s="126">
        <v>445</v>
      </c>
      <c r="D184" s="127"/>
      <c r="E184" s="127">
        <v>413</v>
      </c>
      <c r="F184" s="127">
        <v>42</v>
      </c>
      <c r="G184" s="127">
        <v>230</v>
      </c>
      <c r="H184" s="127">
        <v>373</v>
      </c>
      <c r="I184" s="127">
        <v>1503</v>
      </c>
      <c r="J184" s="127"/>
      <c r="K184" s="127">
        <v>0</v>
      </c>
      <c r="L184" s="127">
        <v>0</v>
      </c>
      <c r="M184" s="127">
        <v>0</v>
      </c>
      <c r="N184" s="127">
        <v>0</v>
      </c>
      <c r="O184" s="127"/>
      <c r="P184" s="127"/>
      <c r="Q184" s="127"/>
      <c r="R184" s="127"/>
      <c r="S184" s="127">
        <v>0</v>
      </c>
      <c r="T184" s="127">
        <v>0</v>
      </c>
      <c r="U184" s="127"/>
      <c r="V184" s="127"/>
      <c r="W184" s="128"/>
      <c r="Y184" s="496">
        <v>1503</v>
      </c>
    </row>
    <row r="185" spans="1:25" s="123" customFormat="1" x14ac:dyDescent="0.2">
      <c r="A185" s="251"/>
      <c r="B185" s="139" t="s">
        <v>393</v>
      </c>
      <c r="C185" s="120">
        <v>-9.368635437881874E-2</v>
      </c>
      <c r="D185" s="121">
        <v>0</v>
      </c>
      <c r="E185" s="121">
        <v>-3.0516431924882629E-2</v>
      </c>
      <c r="F185" s="121">
        <v>7.6923076923076927E-2</v>
      </c>
      <c r="G185" s="121">
        <v>-5.3497942386831275E-2</v>
      </c>
      <c r="H185" s="121">
        <v>-3.1168831168831169E-2</v>
      </c>
      <c r="I185" s="121">
        <v>-5.113636363636364E-2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0</v>
      </c>
      <c r="Q185" s="121">
        <v>0</v>
      </c>
      <c r="R185" s="121">
        <v>0</v>
      </c>
      <c r="S185" s="121">
        <v>0</v>
      </c>
      <c r="T185" s="121">
        <v>0</v>
      </c>
      <c r="U185" s="121">
        <v>0</v>
      </c>
      <c r="V185" s="121">
        <v>0</v>
      </c>
      <c r="W185" s="122">
        <v>0</v>
      </c>
      <c r="X185" s="496">
        <v>0</v>
      </c>
      <c r="Y185" s="496">
        <v>-5.113636363636364E-2</v>
      </c>
    </row>
    <row r="186" spans="1:25" x14ac:dyDescent="0.2">
      <c r="A186" s="131" t="s">
        <v>802</v>
      </c>
      <c r="B186" s="135" t="s">
        <v>284</v>
      </c>
      <c r="C186" s="136">
        <v>7010</v>
      </c>
      <c r="D186" s="137">
        <v>966</v>
      </c>
      <c r="E186" s="137">
        <v>10062</v>
      </c>
      <c r="F186" s="137"/>
      <c r="G186" s="137">
        <v>1038</v>
      </c>
      <c r="H186" s="137"/>
      <c r="I186" s="137">
        <v>19076</v>
      </c>
      <c r="J186" s="137"/>
      <c r="K186" s="137"/>
      <c r="L186" s="137"/>
      <c r="M186" s="137"/>
      <c r="N186" s="137"/>
      <c r="O186" s="137"/>
      <c r="P186" s="137"/>
      <c r="Q186" s="137"/>
      <c r="R186" s="137"/>
      <c r="S186" s="137">
        <v>45</v>
      </c>
      <c r="T186" s="137">
        <v>45</v>
      </c>
      <c r="U186" s="137"/>
      <c r="V186" s="137"/>
      <c r="W186" s="138"/>
      <c r="Y186" s="496">
        <v>19121</v>
      </c>
    </row>
    <row r="187" spans="1:25" x14ac:dyDescent="0.2">
      <c r="A187" s="252"/>
      <c r="B187" s="125" t="s">
        <v>285</v>
      </c>
      <c r="C187" s="126">
        <v>7263</v>
      </c>
      <c r="D187" s="127">
        <v>959</v>
      </c>
      <c r="E187" s="127">
        <v>10579</v>
      </c>
      <c r="F187" s="127"/>
      <c r="G187" s="127">
        <v>1116</v>
      </c>
      <c r="H187" s="127"/>
      <c r="I187" s="127">
        <v>19917</v>
      </c>
      <c r="J187" s="127"/>
      <c r="K187" s="127"/>
      <c r="L187" s="127"/>
      <c r="M187" s="127"/>
      <c r="N187" s="127"/>
      <c r="O187" s="127"/>
      <c r="P187" s="127"/>
      <c r="Q187" s="127"/>
      <c r="R187" s="127"/>
      <c r="S187" s="127">
        <v>39</v>
      </c>
      <c r="T187" s="127">
        <v>39</v>
      </c>
      <c r="U187" s="127"/>
      <c r="V187" s="127"/>
      <c r="W187" s="128"/>
      <c r="Y187" s="496">
        <v>19956</v>
      </c>
    </row>
    <row r="188" spans="1:25" s="123" customFormat="1" x14ac:dyDescent="0.2">
      <c r="A188" s="252"/>
      <c r="B188" s="139" t="s">
        <v>286</v>
      </c>
      <c r="C188" s="120">
        <v>3.609129814550642E-2</v>
      </c>
      <c r="D188" s="121">
        <v>-7.246376811594203E-3</v>
      </c>
      <c r="E188" s="121">
        <v>5.1381435102365335E-2</v>
      </c>
      <c r="F188" s="121">
        <v>0</v>
      </c>
      <c r="G188" s="121">
        <v>7.5144508670520235E-2</v>
      </c>
      <c r="H188" s="121">
        <v>0</v>
      </c>
      <c r="I188" s="121">
        <v>4.4086810652128328E-2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-0.13333333333333333</v>
      </c>
      <c r="T188" s="121">
        <v>-0.13333333333333333</v>
      </c>
      <c r="U188" s="121">
        <v>0</v>
      </c>
      <c r="V188" s="121">
        <v>0</v>
      </c>
      <c r="W188" s="122">
        <v>0</v>
      </c>
      <c r="X188" s="496">
        <v>0</v>
      </c>
      <c r="Y188" s="496">
        <v>4.3669264159824278E-2</v>
      </c>
    </row>
    <row r="189" spans="1:25" x14ac:dyDescent="0.2">
      <c r="A189" s="252"/>
      <c r="B189" s="135" t="s">
        <v>371</v>
      </c>
      <c r="C189" s="136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8"/>
    </row>
    <row r="190" spans="1:25" x14ac:dyDescent="0.2">
      <c r="A190" s="252"/>
      <c r="B190" s="125" t="s">
        <v>373</v>
      </c>
      <c r="C190" s="126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8"/>
    </row>
    <row r="191" spans="1:25" s="123" customFormat="1" x14ac:dyDescent="0.2">
      <c r="A191" s="252"/>
      <c r="B191" s="139" t="s">
        <v>375</v>
      </c>
      <c r="C191" s="120">
        <v>0</v>
      </c>
      <c r="D191" s="121">
        <v>0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0</v>
      </c>
      <c r="P191" s="121">
        <v>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2">
        <v>0</v>
      </c>
      <c r="X191" s="496">
        <v>0</v>
      </c>
      <c r="Y191" s="496">
        <v>0</v>
      </c>
    </row>
    <row r="192" spans="1:25" x14ac:dyDescent="0.2">
      <c r="A192" s="252"/>
      <c r="B192" s="135" t="s">
        <v>377</v>
      </c>
      <c r="C192" s="136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8"/>
    </row>
    <row r="193" spans="1:25" x14ac:dyDescent="0.2">
      <c r="A193" s="252"/>
      <c r="B193" s="125" t="s">
        <v>379</v>
      </c>
      <c r="C193" s="126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8"/>
    </row>
    <row r="194" spans="1:25" s="123" customFormat="1" x14ac:dyDescent="0.2">
      <c r="A194" s="252"/>
      <c r="B194" s="139" t="s">
        <v>381</v>
      </c>
      <c r="C194" s="120">
        <v>0</v>
      </c>
      <c r="D194" s="121">
        <v>0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2">
        <v>0</v>
      </c>
      <c r="X194" s="496">
        <v>0</v>
      </c>
      <c r="Y194" s="496">
        <v>0</v>
      </c>
    </row>
    <row r="195" spans="1:25" x14ac:dyDescent="0.2">
      <c r="A195" s="252"/>
      <c r="B195" s="135" t="s">
        <v>383</v>
      </c>
      <c r="C195" s="136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8"/>
    </row>
    <row r="196" spans="1:25" x14ac:dyDescent="0.2">
      <c r="A196" s="252"/>
      <c r="B196" s="125" t="s">
        <v>385</v>
      </c>
      <c r="C196" s="126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8"/>
    </row>
    <row r="197" spans="1:25" s="123" customFormat="1" x14ac:dyDescent="0.2">
      <c r="A197" s="252"/>
      <c r="B197" s="139" t="s">
        <v>387</v>
      </c>
      <c r="C197" s="120">
        <v>0</v>
      </c>
      <c r="D197" s="121">
        <v>0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2">
        <v>0</v>
      </c>
      <c r="X197" s="496">
        <v>0</v>
      </c>
      <c r="Y197" s="496">
        <v>0</v>
      </c>
    </row>
    <row r="198" spans="1:25" x14ac:dyDescent="0.2">
      <c r="A198" s="252"/>
      <c r="B198" s="135" t="s">
        <v>391</v>
      </c>
      <c r="C198" s="136">
        <v>0</v>
      </c>
      <c r="D198" s="137">
        <v>0</v>
      </c>
      <c r="E198" s="137">
        <v>0</v>
      </c>
      <c r="F198" s="137"/>
      <c r="G198" s="137">
        <v>0</v>
      </c>
      <c r="H198" s="137"/>
      <c r="I198" s="137">
        <v>0</v>
      </c>
      <c r="J198" s="137"/>
      <c r="K198" s="137">
        <v>0</v>
      </c>
      <c r="L198" s="137">
        <v>0</v>
      </c>
      <c r="M198" s="137"/>
      <c r="N198" s="137">
        <v>0</v>
      </c>
      <c r="O198" s="137">
        <v>0</v>
      </c>
      <c r="P198" s="137">
        <v>0</v>
      </c>
      <c r="Q198" s="137"/>
      <c r="R198" s="137">
        <v>0</v>
      </c>
      <c r="S198" s="137">
        <v>0</v>
      </c>
      <c r="T198" s="137">
        <v>0</v>
      </c>
      <c r="U198" s="137"/>
      <c r="V198" s="137"/>
      <c r="W198" s="138"/>
      <c r="Y198" s="496">
        <v>0</v>
      </c>
    </row>
    <row r="199" spans="1:25" x14ac:dyDescent="0.2">
      <c r="A199" s="252"/>
      <c r="B199" s="125" t="s">
        <v>389</v>
      </c>
      <c r="C199" s="126">
        <v>0</v>
      </c>
      <c r="D199" s="127">
        <v>0</v>
      </c>
      <c r="E199" s="127">
        <v>0</v>
      </c>
      <c r="F199" s="127"/>
      <c r="G199" s="127">
        <v>0</v>
      </c>
      <c r="H199" s="127"/>
      <c r="I199" s="127">
        <v>0</v>
      </c>
      <c r="J199" s="127"/>
      <c r="K199" s="127">
        <v>0</v>
      </c>
      <c r="L199" s="127">
        <v>0</v>
      </c>
      <c r="M199" s="127"/>
      <c r="N199" s="127">
        <v>0</v>
      </c>
      <c r="O199" s="127">
        <v>0</v>
      </c>
      <c r="P199" s="127">
        <v>0</v>
      </c>
      <c r="Q199" s="127"/>
      <c r="R199" s="127">
        <v>0</v>
      </c>
      <c r="S199" s="127">
        <v>0</v>
      </c>
      <c r="T199" s="127">
        <v>0</v>
      </c>
      <c r="U199" s="127"/>
      <c r="V199" s="127"/>
      <c r="W199" s="128"/>
      <c r="Y199" s="496">
        <v>0</v>
      </c>
    </row>
    <row r="200" spans="1:25" s="123" customFormat="1" x14ac:dyDescent="0.2">
      <c r="A200" s="251"/>
      <c r="B200" s="139" t="s">
        <v>393</v>
      </c>
      <c r="C200" s="120">
        <v>0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2">
        <v>0</v>
      </c>
      <c r="X200" s="496">
        <v>0</v>
      </c>
      <c r="Y200" s="496">
        <v>0</v>
      </c>
    </row>
    <row r="201" spans="1:25" x14ac:dyDescent="0.2">
      <c r="A201" s="131" t="s">
        <v>854</v>
      </c>
      <c r="B201" s="135" t="s">
        <v>284</v>
      </c>
      <c r="C201" s="136">
        <v>41460</v>
      </c>
      <c r="D201" s="137">
        <v>8881</v>
      </c>
      <c r="E201" s="137">
        <v>28794</v>
      </c>
      <c r="F201" s="137">
        <v>1393</v>
      </c>
      <c r="G201" s="137">
        <v>3220</v>
      </c>
      <c r="H201" s="137">
        <v>250</v>
      </c>
      <c r="I201" s="137">
        <v>83998</v>
      </c>
      <c r="J201" s="137">
        <v>158</v>
      </c>
      <c r="K201" s="137"/>
      <c r="L201" s="137"/>
      <c r="M201" s="137"/>
      <c r="N201" s="137">
        <v>158</v>
      </c>
      <c r="O201" s="137"/>
      <c r="P201" s="137"/>
      <c r="Q201" s="137"/>
      <c r="R201" s="137"/>
      <c r="S201" s="137">
        <v>2048</v>
      </c>
      <c r="T201" s="137">
        <v>2048</v>
      </c>
      <c r="U201" s="137"/>
      <c r="V201" s="137"/>
      <c r="W201" s="138"/>
      <c r="Y201" s="496">
        <v>86204</v>
      </c>
    </row>
    <row r="202" spans="1:25" ht="13.5" thickBot="1" x14ac:dyDescent="0.25">
      <c r="A202" s="252"/>
      <c r="B202" s="125" t="s">
        <v>285</v>
      </c>
      <c r="C202" s="126">
        <v>42792</v>
      </c>
      <c r="D202" s="127">
        <v>9294</v>
      </c>
      <c r="E202" s="127">
        <v>29845</v>
      </c>
      <c r="F202" s="127">
        <v>1464</v>
      </c>
      <c r="G202" s="127">
        <v>3152</v>
      </c>
      <c r="H202" s="127">
        <v>314</v>
      </c>
      <c r="I202" s="127">
        <v>86861</v>
      </c>
      <c r="J202" s="127">
        <v>138</v>
      </c>
      <c r="K202" s="127"/>
      <c r="L202" s="127"/>
      <c r="M202" s="127"/>
      <c r="N202" s="127">
        <v>138</v>
      </c>
      <c r="O202" s="127"/>
      <c r="P202" s="127"/>
      <c r="Q202" s="127"/>
      <c r="R202" s="127"/>
      <c r="S202" s="127">
        <v>2344</v>
      </c>
      <c r="T202" s="127">
        <v>2344</v>
      </c>
      <c r="U202" s="127"/>
      <c r="V202" s="127"/>
      <c r="W202" s="128"/>
      <c r="Y202" s="496">
        <v>89343</v>
      </c>
    </row>
    <row r="203" spans="1:25" s="123" customFormat="1" ht="13.5" thickBot="1" x14ac:dyDescent="0.25">
      <c r="A203" s="252"/>
      <c r="B203" s="139" t="s">
        <v>286</v>
      </c>
      <c r="C203" s="120">
        <v>3.2127351664254705E-2</v>
      </c>
      <c r="D203" s="121">
        <v>4.6503772097736741E-2</v>
      </c>
      <c r="E203" s="121">
        <v>3.6500659859692988E-2</v>
      </c>
      <c r="F203" s="121">
        <v>5.0969131371141424E-2</v>
      </c>
      <c r="G203" s="121">
        <v>-2.1118012422360249E-2</v>
      </c>
      <c r="H203" s="121">
        <v>0.25600000000000001</v>
      </c>
      <c r="I203" s="121">
        <v>3.4084144860591921E-2</v>
      </c>
      <c r="J203" s="121">
        <v>-0.12658227848101267</v>
      </c>
      <c r="K203" s="121">
        <v>0</v>
      </c>
      <c r="L203" s="121">
        <v>0</v>
      </c>
      <c r="M203" s="121">
        <v>0</v>
      </c>
      <c r="N203" s="121">
        <v>-0.12658227848101267</v>
      </c>
      <c r="O203" s="121">
        <v>0</v>
      </c>
      <c r="P203" s="121">
        <v>0</v>
      </c>
      <c r="Q203" s="121">
        <v>0</v>
      </c>
      <c r="R203" s="121">
        <v>0</v>
      </c>
      <c r="S203" s="789">
        <v>0.14453125</v>
      </c>
      <c r="T203" s="121">
        <v>0.14453125</v>
      </c>
      <c r="U203" s="121">
        <v>0</v>
      </c>
      <c r="V203" s="121">
        <v>0</v>
      </c>
      <c r="W203" s="122">
        <v>0</v>
      </c>
      <c r="X203" s="496">
        <v>0</v>
      </c>
      <c r="Y203" s="496">
        <v>3.6413623497749521E-2</v>
      </c>
    </row>
    <row r="204" spans="1:25" x14ac:dyDescent="0.2">
      <c r="A204" s="252"/>
      <c r="B204" s="135" t="s">
        <v>371</v>
      </c>
      <c r="C204" s="136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8"/>
    </row>
    <row r="205" spans="1:25" x14ac:dyDescent="0.2">
      <c r="A205" s="252"/>
      <c r="B205" s="125" t="s">
        <v>373</v>
      </c>
      <c r="C205" s="126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8"/>
    </row>
    <row r="206" spans="1:25" s="123" customFormat="1" x14ac:dyDescent="0.2">
      <c r="A206" s="252"/>
      <c r="B206" s="139" t="s">
        <v>375</v>
      </c>
      <c r="C206" s="120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0</v>
      </c>
      <c r="Q206" s="121">
        <v>0</v>
      </c>
      <c r="R206" s="121">
        <v>0</v>
      </c>
      <c r="S206" s="121">
        <v>0</v>
      </c>
      <c r="T206" s="121">
        <v>0</v>
      </c>
      <c r="U206" s="121">
        <v>0</v>
      </c>
      <c r="V206" s="121">
        <v>0</v>
      </c>
      <c r="W206" s="122">
        <v>0</v>
      </c>
      <c r="X206" s="496">
        <v>0</v>
      </c>
      <c r="Y206" s="496">
        <v>0</v>
      </c>
    </row>
    <row r="207" spans="1:25" x14ac:dyDescent="0.2">
      <c r="A207" s="252"/>
      <c r="B207" s="135" t="s">
        <v>377</v>
      </c>
      <c r="C207" s="136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8"/>
    </row>
    <row r="208" spans="1:25" x14ac:dyDescent="0.2">
      <c r="A208" s="252"/>
      <c r="B208" s="125" t="s">
        <v>379</v>
      </c>
      <c r="C208" s="126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8"/>
    </row>
    <row r="209" spans="1:25" s="123" customFormat="1" x14ac:dyDescent="0.2">
      <c r="A209" s="252"/>
      <c r="B209" s="139" t="s">
        <v>381</v>
      </c>
      <c r="C209" s="120">
        <v>0</v>
      </c>
      <c r="D209" s="121">
        <v>0</v>
      </c>
      <c r="E209" s="121">
        <v>0</v>
      </c>
      <c r="F209" s="121">
        <v>0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0</v>
      </c>
      <c r="Q209" s="121">
        <v>0</v>
      </c>
      <c r="R209" s="121">
        <v>0</v>
      </c>
      <c r="S209" s="121">
        <v>0</v>
      </c>
      <c r="T209" s="121">
        <v>0</v>
      </c>
      <c r="U209" s="121">
        <v>0</v>
      </c>
      <c r="V209" s="121">
        <v>0</v>
      </c>
      <c r="W209" s="122">
        <v>0</v>
      </c>
      <c r="X209" s="496">
        <v>0</v>
      </c>
      <c r="Y209" s="496">
        <v>0</v>
      </c>
    </row>
    <row r="210" spans="1:25" x14ac:dyDescent="0.2">
      <c r="A210" s="252"/>
      <c r="B210" s="135" t="s">
        <v>383</v>
      </c>
      <c r="C210" s="136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8"/>
    </row>
    <row r="211" spans="1:25" x14ac:dyDescent="0.2">
      <c r="A211" s="252"/>
      <c r="B211" s="125" t="s">
        <v>385</v>
      </c>
      <c r="C211" s="126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8"/>
    </row>
    <row r="212" spans="1:25" s="123" customFormat="1" x14ac:dyDescent="0.2">
      <c r="A212" s="252"/>
      <c r="B212" s="139" t="s">
        <v>387</v>
      </c>
      <c r="C212" s="120">
        <v>0</v>
      </c>
      <c r="D212" s="121">
        <v>0</v>
      </c>
      <c r="E212" s="121"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0</v>
      </c>
      <c r="P212" s="121">
        <v>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v>0</v>
      </c>
      <c r="W212" s="122">
        <v>0</v>
      </c>
      <c r="X212" s="496">
        <v>0</v>
      </c>
      <c r="Y212" s="496">
        <v>0</v>
      </c>
    </row>
    <row r="213" spans="1:25" x14ac:dyDescent="0.2">
      <c r="A213" s="252"/>
      <c r="B213" s="135" t="s">
        <v>391</v>
      </c>
      <c r="C213" s="136">
        <v>0</v>
      </c>
      <c r="D213" s="137">
        <v>0</v>
      </c>
      <c r="E213" s="137">
        <v>0</v>
      </c>
      <c r="F213" s="137">
        <v>0</v>
      </c>
      <c r="G213" s="137">
        <v>0</v>
      </c>
      <c r="H213" s="137">
        <v>0</v>
      </c>
      <c r="I213" s="137">
        <v>0</v>
      </c>
      <c r="J213" s="137">
        <v>0</v>
      </c>
      <c r="K213" s="137">
        <v>0</v>
      </c>
      <c r="L213" s="137">
        <v>0</v>
      </c>
      <c r="M213" s="137">
        <v>0</v>
      </c>
      <c r="N213" s="137">
        <v>0</v>
      </c>
      <c r="O213" s="137"/>
      <c r="P213" s="137"/>
      <c r="Q213" s="137"/>
      <c r="R213" s="137"/>
      <c r="S213" s="137">
        <v>0</v>
      </c>
      <c r="T213" s="137">
        <v>0</v>
      </c>
      <c r="U213" s="137">
        <v>0</v>
      </c>
      <c r="V213" s="137">
        <v>0</v>
      </c>
      <c r="W213" s="138"/>
      <c r="Y213" s="496">
        <v>0</v>
      </c>
    </row>
    <row r="214" spans="1:25" x14ac:dyDescent="0.2">
      <c r="A214" s="252"/>
      <c r="B214" s="125" t="s">
        <v>389</v>
      </c>
      <c r="C214" s="126">
        <v>0</v>
      </c>
      <c r="D214" s="127">
        <v>0</v>
      </c>
      <c r="E214" s="127">
        <v>0</v>
      </c>
      <c r="F214" s="127">
        <v>0</v>
      </c>
      <c r="G214" s="127">
        <v>0</v>
      </c>
      <c r="H214" s="127">
        <v>0</v>
      </c>
      <c r="I214" s="127">
        <v>0</v>
      </c>
      <c r="J214" s="127">
        <v>0</v>
      </c>
      <c r="K214" s="127">
        <v>0</v>
      </c>
      <c r="L214" s="127">
        <v>0</v>
      </c>
      <c r="M214" s="127">
        <v>0</v>
      </c>
      <c r="N214" s="127">
        <v>0</v>
      </c>
      <c r="O214" s="127"/>
      <c r="P214" s="127"/>
      <c r="Q214" s="127"/>
      <c r="R214" s="127"/>
      <c r="S214" s="127">
        <v>0</v>
      </c>
      <c r="T214" s="127">
        <v>0</v>
      </c>
      <c r="U214" s="127">
        <v>0</v>
      </c>
      <c r="V214" s="127">
        <v>0</v>
      </c>
      <c r="W214" s="128"/>
      <c r="Y214" s="496">
        <v>0</v>
      </c>
    </row>
    <row r="215" spans="1:25" s="123" customFormat="1" x14ac:dyDescent="0.2">
      <c r="A215" s="251"/>
      <c r="B215" s="139" t="s">
        <v>393</v>
      </c>
      <c r="C215" s="120">
        <v>0</v>
      </c>
      <c r="D215" s="121">
        <v>0</v>
      </c>
      <c r="E215" s="121">
        <v>0</v>
      </c>
      <c r="F215" s="121">
        <v>0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0</v>
      </c>
      <c r="Q215" s="121">
        <v>0</v>
      </c>
      <c r="R215" s="121">
        <v>0</v>
      </c>
      <c r="S215" s="121">
        <v>0</v>
      </c>
      <c r="T215" s="121">
        <v>0</v>
      </c>
      <c r="U215" s="121">
        <v>0</v>
      </c>
      <c r="V215" s="121">
        <v>0</v>
      </c>
      <c r="W215" s="122">
        <v>0</v>
      </c>
      <c r="X215" s="496">
        <v>0</v>
      </c>
      <c r="Y215" s="496">
        <v>0</v>
      </c>
    </row>
    <row r="216" spans="1:25" x14ac:dyDescent="0.2">
      <c r="A216" s="131" t="s">
        <v>1198</v>
      </c>
      <c r="B216" s="135" t="s">
        <v>284</v>
      </c>
      <c r="C216" s="136">
        <v>16776</v>
      </c>
      <c r="D216" s="137">
        <v>5871</v>
      </c>
      <c r="E216" s="137">
        <v>4605</v>
      </c>
      <c r="F216" s="137">
        <v>3257</v>
      </c>
      <c r="G216" s="137">
        <v>2040</v>
      </c>
      <c r="H216" s="137">
        <v>259</v>
      </c>
      <c r="I216" s="137">
        <v>32808</v>
      </c>
      <c r="J216" s="137"/>
      <c r="K216" s="137">
        <v>0</v>
      </c>
      <c r="L216" s="137">
        <v>0</v>
      </c>
      <c r="M216" s="137">
        <v>0</v>
      </c>
      <c r="N216" s="137">
        <v>0</v>
      </c>
      <c r="O216" s="137"/>
      <c r="P216" s="137"/>
      <c r="Q216" s="137"/>
      <c r="R216" s="137"/>
      <c r="S216" s="137">
        <v>324</v>
      </c>
      <c r="T216" s="137">
        <v>324</v>
      </c>
      <c r="U216" s="137"/>
      <c r="V216" s="137"/>
      <c r="W216" s="138"/>
      <c r="Y216" s="496">
        <v>33132</v>
      </c>
    </row>
    <row r="217" spans="1:25" x14ac:dyDescent="0.2">
      <c r="A217" s="252"/>
      <c r="B217" s="125" t="s">
        <v>285</v>
      </c>
      <c r="C217" s="126">
        <v>17984</v>
      </c>
      <c r="D217" s="127">
        <v>6118</v>
      </c>
      <c r="E217" s="127">
        <v>4909</v>
      </c>
      <c r="F217" s="127">
        <v>3526</v>
      </c>
      <c r="G217" s="127">
        <v>2011</v>
      </c>
      <c r="H217" s="127">
        <v>279</v>
      </c>
      <c r="I217" s="127">
        <v>34827</v>
      </c>
      <c r="J217" s="127"/>
      <c r="K217" s="127"/>
      <c r="L217" s="127"/>
      <c r="M217" s="127"/>
      <c r="N217" s="127"/>
      <c r="O217" s="127"/>
      <c r="P217" s="127"/>
      <c r="Q217" s="127"/>
      <c r="R217" s="127"/>
      <c r="S217" s="127">
        <v>305</v>
      </c>
      <c r="T217" s="127">
        <v>305</v>
      </c>
      <c r="U217" s="127"/>
      <c r="V217" s="127"/>
      <c r="W217" s="128"/>
      <c r="Y217" s="496">
        <v>35132</v>
      </c>
    </row>
    <row r="218" spans="1:25" s="123" customFormat="1" x14ac:dyDescent="0.2">
      <c r="A218" s="252"/>
      <c r="B218" s="139" t="s">
        <v>286</v>
      </c>
      <c r="C218" s="120">
        <v>7.2007629947544116E-2</v>
      </c>
      <c r="D218" s="121">
        <v>4.2071197411003236E-2</v>
      </c>
      <c r="E218" s="121">
        <v>6.601520086862106E-2</v>
      </c>
      <c r="F218" s="121">
        <v>8.2591341725514272E-2</v>
      </c>
      <c r="G218" s="121">
        <v>-1.4215686274509804E-2</v>
      </c>
      <c r="H218" s="121">
        <v>7.7220077220077218E-2</v>
      </c>
      <c r="I218" s="121">
        <v>6.1539868324798831E-2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0</v>
      </c>
      <c r="P218" s="121">
        <v>0</v>
      </c>
      <c r="Q218" s="121">
        <v>0</v>
      </c>
      <c r="R218" s="121">
        <v>0</v>
      </c>
      <c r="S218" s="121">
        <v>-5.8641975308641972E-2</v>
      </c>
      <c r="T218" s="121">
        <v>-5.8641975308641972E-2</v>
      </c>
      <c r="U218" s="121">
        <v>0</v>
      </c>
      <c r="V218" s="121">
        <v>0</v>
      </c>
      <c r="W218" s="122">
        <v>0</v>
      </c>
      <c r="X218" s="496">
        <v>0</v>
      </c>
      <c r="Y218" s="496">
        <v>6.0364602197271522E-2</v>
      </c>
    </row>
    <row r="219" spans="1:25" x14ac:dyDescent="0.2">
      <c r="A219" s="252"/>
      <c r="B219" s="135" t="s">
        <v>371</v>
      </c>
      <c r="C219" s="136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8"/>
    </row>
    <row r="220" spans="1:25" x14ac:dyDescent="0.2">
      <c r="A220" s="252"/>
      <c r="B220" s="125" t="s">
        <v>373</v>
      </c>
      <c r="C220" s="126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8"/>
    </row>
    <row r="221" spans="1:25" s="123" customFormat="1" x14ac:dyDescent="0.2">
      <c r="A221" s="252"/>
      <c r="B221" s="139" t="s">
        <v>375</v>
      </c>
      <c r="C221" s="120">
        <v>0</v>
      </c>
      <c r="D221" s="121">
        <v>0</v>
      </c>
      <c r="E221" s="121">
        <v>0</v>
      </c>
      <c r="F221" s="121">
        <v>0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0</v>
      </c>
      <c r="P221" s="121">
        <v>0</v>
      </c>
      <c r="Q221" s="121">
        <v>0</v>
      </c>
      <c r="R221" s="121">
        <v>0</v>
      </c>
      <c r="S221" s="121">
        <v>0</v>
      </c>
      <c r="T221" s="121">
        <v>0</v>
      </c>
      <c r="U221" s="121">
        <v>0</v>
      </c>
      <c r="V221" s="121">
        <v>0</v>
      </c>
      <c r="W221" s="122">
        <v>0</v>
      </c>
      <c r="X221" s="496">
        <v>0</v>
      </c>
      <c r="Y221" s="496">
        <v>0</v>
      </c>
    </row>
    <row r="222" spans="1:25" x14ac:dyDescent="0.2">
      <c r="A222" s="252"/>
      <c r="B222" s="135" t="s">
        <v>377</v>
      </c>
      <c r="C222" s="136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8"/>
    </row>
    <row r="223" spans="1:25" x14ac:dyDescent="0.2">
      <c r="A223" s="252"/>
      <c r="B223" s="125" t="s">
        <v>379</v>
      </c>
      <c r="C223" s="126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8"/>
    </row>
    <row r="224" spans="1:25" s="123" customFormat="1" x14ac:dyDescent="0.2">
      <c r="A224" s="252"/>
      <c r="B224" s="139" t="s">
        <v>381</v>
      </c>
      <c r="C224" s="120">
        <v>0</v>
      </c>
      <c r="D224" s="121">
        <v>0</v>
      </c>
      <c r="E224" s="121"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v>0</v>
      </c>
      <c r="W224" s="122">
        <v>0</v>
      </c>
      <c r="X224" s="496">
        <v>0</v>
      </c>
      <c r="Y224" s="496">
        <v>0</v>
      </c>
    </row>
    <row r="225" spans="1:25" x14ac:dyDescent="0.2">
      <c r="A225" s="252"/>
      <c r="B225" s="135" t="s">
        <v>383</v>
      </c>
      <c r="C225" s="136">
        <v>271</v>
      </c>
      <c r="D225" s="137">
        <v>204</v>
      </c>
      <c r="E225" s="137">
        <v>449</v>
      </c>
      <c r="F225" s="137">
        <v>193</v>
      </c>
      <c r="G225" s="137">
        <v>300</v>
      </c>
      <c r="H225" s="137">
        <v>0</v>
      </c>
      <c r="I225" s="137">
        <v>1417</v>
      </c>
      <c r="J225" s="137"/>
      <c r="K225" s="137">
        <v>0</v>
      </c>
      <c r="L225" s="137">
        <v>0</v>
      </c>
      <c r="M225" s="137">
        <v>0</v>
      </c>
      <c r="N225" s="137">
        <v>0</v>
      </c>
      <c r="O225" s="137"/>
      <c r="P225" s="137"/>
      <c r="Q225" s="137"/>
      <c r="R225" s="137"/>
      <c r="S225" s="137">
        <v>0</v>
      </c>
      <c r="T225" s="137">
        <v>0</v>
      </c>
      <c r="U225" s="137"/>
      <c r="V225" s="137"/>
      <c r="W225" s="138"/>
      <c r="Y225" s="496">
        <v>1417</v>
      </c>
    </row>
    <row r="226" spans="1:25" ht="13.5" thickBot="1" x14ac:dyDescent="0.25">
      <c r="A226" s="252"/>
      <c r="B226" s="125" t="s">
        <v>385</v>
      </c>
      <c r="C226" s="126">
        <v>343</v>
      </c>
      <c r="D226" s="127">
        <v>210</v>
      </c>
      <c r="E226" s="127">
        <v>468</v>
      </c>
      <c r="F226" s="127">
        <v>390</v>
      </c>
      <c r="G226" s="127">
        <v>86</v>
      </c>
      <c r="H226" s="127"/>
      <c r="I226" s="127">
        <v>1497</v>
      </c>
      <c r="J226" s="127"/>
      <c r="K226" s="127"/>
      <c r="L226" s="127"/>
      <c r="M226" s="127"/>
      <c r="N226" s="127"/>
      <c r="O226" s="127"/>
      <c r="P226" s="127"/>
      <c r="Q226" s="127"/>
      <c r="R226" s="127"/>
      <c r="S226" s="127">
        <v>0</v>
      </c>
      <c r="T226" s="127">
        <v>0</v>
      </c>
      <c r="U226" s="127"/>
      <c r="V226" s="127"/>
      <c r="W226" s="128"/>
      <c r="Y226" s="496">
        <v>1497</v>
      </c>
    </row>
    <row r="227" spans="1:25" s="123" customFormat="1" ht="13.5" thickBot="1" x14ac:dyDescent="0.25">
      <c r="A227" s="252"/>
      <c r="B227" s="139" t="s">
        <v>387</v>
      </c>
      <c r="C227" s="120">
        <v>0.26568265682656828</v>
      </c>
      <c r="D227" s="121">
        <v>2.9411764705882353E-2</v>
      </c>
      <c r="E227" s="121">
        <v>4.2316258351893093E-2</v>
      </c>
      <c r="F227" s="789">
        <v>1.0207253886010363</v>
      </c>
      <c r="G227" s="789">
        <v>-0.71333333333333337</v>
      </c>
      <c r="H227" s="121">
        <v>0</v>
      </c>
      <c r="I227" s="121">
        <v>5.6457304163726185E-2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v>0</v>
      </c>
      <c r="W227" s="122">
        <v>0</v>
      </c>
      <c r="X227" s="496">
        <v>0</v>
      </c>
      <c r="Y227" s="496">
        <v>5.6457304163726185E-2</v>
      </c>
    </row>
    <row r="228" spans="1:25" x14ac:dyDescent="0.2">
      <c r="A228" s="252"/>
      <c r="B228" s="135" t="s">
        <v>391</v>
      </c>
      <c r="C228" s="136">
        <v>271</v>
      </c>
      <c r="D228" s="137">
        <v>204</v>
      </c>
      <c r="E228" s="137">
        <v>449</v>
      </c>
      <c r="F228" s="137">
        <v>193</v>
      </c>
      <c r="G228" s="137">
        <v>300</v>
      </c>
      <c r="H228" s="137">
        <v>0</v>
      </c>
      <c r="I228" s="137">
        <v>1417</v>
      </c>
      <c r="J228" s="137"/>
      <c r="K228" s="137">
        <v>0</v>
      </c>
      <c r="L228" s="137">
        <v>0</v>
      </c>
      <c r="M228" s="137">
        <v>0</v>
      </c>
      <c r="N228" s="137">
        <v>0</v>
      </c>
      <c r="O228" s="137"/>
      <c r="P228" s="137"/>
      <c r="Q228" s="137"/>
      <c r="R228" s="137"/>
      <c r="S228" s="137">
        <v>0</v>
      </c>
      <c r="T228" s="137">
        <v>0</v>
      </c>
      <c r="U228" s="137"/>
      <c r="V228" s="137"/>
      <c r="W228" s="138"/>
      <c r="Y228" s="496">
        <v>1417</v>
      </c>
    </row>
    <row r="229" spans="1:25" x14ac:dyDescent="0.2">
      <c r="A229" s="252"/>
      <c r="B229" s="125" t="s">
        <v>389</v>
      </c>
      <c r="C229" s="126">
        <v>343</v>
      </c>
      <c r="D229" s="127">
        <v>210</v>
      </c>
      <c r="E229" s="127">
        <v>468</v>
      </c>
      <c r="F229" s="127">
        <v>390</v>
      </c>
      <c r="G229" s="127">
        <v>86</v>
      </c>
      <c r="H229" s="127">
        <v>0</v>
      </c>
      <c r="I229" s="127">
        <v>1497</v>
      </c>
      <c r="J229" s="127"/>
      <c r="K229" s="127">
        <v>0</v>
      </c>
      <c r="L229" s="127">
        <v>0</v>
      </c>
      <c r="M229" s="127">
        <v>0</v>
      </c>
      <c r="N229" s="127">
        <v>0</v>
      </c>
      <c r="O229" s="127"/>
      <c r="P229" s="127"/>
      <c r="Q229" s="127"/>
      <c r="R229" s="127"/>
      <c r="S229" s="127">
        <v>0</v>
      </c>
      <c r="T229" s="127">
        <v>0</v>
      </c>
      <c r="U229" s="127"/>
      <c r="V229" s="127"/>
      <c r="W229" s="128"/>
      <c r="Y229" s="496">
        <v>1497</v>
      </c>
    </row>
    <row r="230" spans="1:25" s="123" customFormat="1" x14ac:dyDescent="0.2">
      <c r="A230" s="251"/>
      <c r="B230" s="139" t="s">
        <v>393</v>
      </c>
      <c r="C230" s="120">
        <v>0.26568265682656828</v>
      </c>
      <c r="D230" s="121">
        <v>2.9411764705882353E-2</v>
      </c>
      <c r="E230" s="121">
        <v>4.2316258351893093E-2</v>
      </c>
      <c r="F230" s="121">
        <v>1.0207253886010363</v>
      </c>
      <c r="G230" s="121">
        <v>-0.71333333333333337</v>
      </c>
      <c r="H230" s="121">
        <v>0</v>
      </c>
      <c r="I230" s="121">
        <v>5.6457304163726185E-2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v>0</v>
      </c>
      <c r="W230" s="122">
        <v>0</v>
      </c>
      <c r="X230" s="496">
        <v>0</v>
      </c>
      <c r="Y230" s="496">
        <v>5.6457304163726185E-2</v>
      </c>
    </row>
    <row r="231" spans="1:25" x14ac:dyDescent="0.2">
      <c r="A231" s="131" t="s">
        <v>743</v>
      </c>
      <c r="B231" s="135" t="s">
        <v>284</v>
      </c>
      <c r="C231" s="136">
        <v>4060</v>
      </c>
      <c r="D231" s="137"/>
      <c r="E231" s="137">
        <v>1393</v>
      </c>
      <c r="F231" s="137"/>
      <c r="G231" s="137">
        <v>1207</v>
      </c>
      <c r="H231" s="137">
        <v>1728</v>
      </c>
      <c r="I231" s="137">
        <v>8388</v>
      </c>
      <c r="J231" s="137">
        <v>195</v>
      </c>
      <c r="K231" s="137"/>
      <c r="L231" s="137"/>
      <c r="M231" s="137"/>
      <c r="N231" s="137">
        <v>195</v>
      </c>
      <c r="O231" s="137"/>
      <c r="P231" s="137"/>
      <c r="Q231" s="137"/>
      <c r="R231" s="137"/>
      <c r="S231" s="137"/>
      <c r="T231" s="137"/>
      <c r="U231" s="137"/>
      <c r="V231" s="137"/>
      <c r="W231" s="138"/>
      <c r="Y231" s="496">
        <v>8583</v>
      </c>
    </row>
    <row r="232" spans="1:25" ht="13.5" thickBot="1" x14ac:dyDescent="0.25">
      <c r="A232" s="252"/>
      <c r="B232" s="125" t="s">
        <v>285</v>
      </c>
      <c r="C232" s="126">
        <v>4204</v>
      </c>
      <c r="D232" s="127"/>
      <c r="E232" s="127">
        <v>1547</v>
      </c>
      <c r="F232" s="127"/>
      <c r="G232" s="127">
        <v>1319</v>
      </c>
      <c r="H232" s="127">
        <v>1798</v>
      </c>
      <c r="I232" s="127">
        <v>8868</v>
      </c>
      <c r="J232" s="127">
        <v>250</v>
      </c>
      <c r="K232" s="127"/>
      <c r="L232" s="127"/>
      <c r="M232" s="127"/>
      <c r="N232" s="127">
        <v>250</v>
      </c>
      <c r="O232" s="127"/>
      <c r="P232" s="127"/>
      <c r="Q232" s="127"/>
      <c r="R232" s="127"/>
      <c r="S232" s="127"/>
      <c r="T232" s="127"/>
      <c r="U232" s="127"/>
      <c r="V232" s="127"/>
      <c r="W232" s="128"/>
      <c r="Y232" s="496">
        <v>9118</v>
      </c>
    </row>
    <row r="233" spans="1:25" s="123" customFormat="1" ht="13.5" thickBot="1" x14ac:dyDescent="0.25">
      <c r="A233" s="252"/>
      <c r="B233" s="139" t="s">
        <v>286</v>
      </c>
      <c r="C233" s="120">
        <v>3.5467980295566505E-2</v>
      </c>
      <c r="D233" s="121">
        <v>0</v>
      </c>
      <c r="E233" s="121">
        <v>0.11055276381909548</v>
      </c>
      <c r="F233" s="121">
        <v>0</v>
      </c>
      <c r="G233" s="121">
        <v>9.2792046396023203E-2</v>
      </c>
      <c r="H233" s="121">
        <v>4.0509259259259259E-2</v>
      </c>
      <c r="I233" s="121">
        <v>5.7224606580829757E-2</v>
      </c>
      <c r="J233" s="789">
        <v>0.28205128205128205</v>
      </c>
      <c r="K233" s="121">
        <v>0</v>
      </c>
      <c r="L233" s="121">
        <v>0</v>
      </c>
      <c r="M233" s="121">
        <v>0</v>
      </c>
      <c r="N233" s="121">
        <v>0.28205128205128205</v>
      </c>
      <c r="O233" s="121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1">
        <v>0</v>
      </c>
      <c r="W233" s="122">
        <v>0</v>
      </c>
      <c r="X233" s="496">
        <v>0</v>
      </c>
      <c r="Y233" s="496">
        <v>6.2332517767680298E-2</v>
      </c>
    </row>
    <row r="234" spans="1:25" x14ac:dyDescent="0.2">
      <c r="A234" s="252"/>
      <c r="B234" s="135" t="s">
        <v>371</v>
      </c>
      <c r="C234" s="136"/>
      <c r="D234" s="137"/>
      <c r="E234" s="137">
        <v>137</v>
      </c>
      <c r="F234" s="137"/>
      <c r="G234" s="137">
        <v>144</v>
      </c>
      <c r="H234" s="137">
        <v>281</v>
      </c>
      <c r="I234" s="137">
        <v>562</v>
      </c>
      <c r="J234" s="137">
        <v>29</v>
      </c>
      <c r="K234" s="137"/>
      <c r="L234" s="137"/>
      <c r="M234" s="137"/>
      <c r="N234" s="137">
        <v>29</v>
      </c>
      <c r="O234" s="137"/>
      <c r="P234" s="137"/>
      <c r="Q234" s="137"/>
      <c r="R234" s="137"/>
      <c r="S234" s="137"/>
      <c r="T234" s="137"/>
      <c r="U234" s="137"/>
      <c r="V234" s="137"/>
      <c r="W234" s="138"/>
      <c r="Y234" s="496">
        <v>591</v>
      </c>
    </row>
    <row r="235" spans="1:25" x14ac:dyDescent="0.2">
      <c r="A235" s="252"/>
      <c r="B235" s="125" t="s">
        <v>373</v>
      </c>
      <c r="C235" s="126"/>
      <c r="D235" s="127"/>
      <c r="E235" s="127">
        <v>137</v>
      </c>
      <c r="F235" s="127"/>
      <c r="G235" s="127">
        <v>126</v>
      </c>
      <c r="H235" s="127">
        <v>301</v>
      </c>
      <c r="I235" s="127">
        <v>564</v>
      </c>
      <c r="J235" s="127">
        <v>29</v>
      </c>
      <c r="K235" s="127"/>
      <c r="L235" s="127"/>
      <c r="M235" s="127"/>
      <c r="N235" s="127">
        <v>29</v>
      </c>
      <c r="O235" s="127"/>
      <c r="P235" s="127"/>
      <c r="Q235" s="127"/>
      <c r="R235" s="127"/>
      <c r="S235" s="127"/>
      <c r="T235" s="127"/>
      <c r="U235" s="127"/>
      <c r="V235" s="127"/>
      <c r="W235" s="128"/>
      <c r="Y235" s="496">
        <v>593</v>
      </c>
    </row>
    <row r="236" spans="1:25" s="123" customFormat="1" x14ac:dyDescent="0.2">
      <c r="A236" s="252"/>
      <c r="B236" s="139" t="s">
        <v>375</v>
      </c>
      <c r="C236" s="120">
        <v>0</v>
      </c>
      <c r="D236" s="121">
        <v>0</v>
      </c>
      <c r="E236" s="121">
        <v>0</v>
      </c>
      <c r="F236" s="121">
        <v>0</v>
      </c>
      <c r="G236" s="121">
        <v>-0.125</v>
      </c>
      <c r="H236" s="121">
        <v>7.1174377224199295E-2</v>
      </c>
      <c r="I236" s="121">
        <v>3.5587188612099642E-3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1">
        <v>0</v>
      </c>
      <c r="W236" s="122">
        <v>0</v>
      </c>
      <c r="X236" s="496">
        <v>0</v>
      </c>
      <c r="Y236" s="496">
        <v>3.3840947546531302E-3</v>
      </c>
    </row>
    <row r="237" spans="1:25" x14ac:dyDescent="0.2">
      <c r="A237" s="252"/>
      <c r="B237" s="135" t="s">
        <v>377</v>
      </c>
      <c r="C237" s="136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8"/>
    </row>
    <row r="238" spans="1:25" x14ac:dyDescent="0.2">
      <c r="A238" s="252"/>
      <c r="B238" s="125" t="s">
        <v>379</v>
      </c>
      <c r="C238" s="126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8"/>
    </row>
    <row r="239" spans="1:25" s="123" customFormat="1" x14ac:dyDescent="0.2">
      <c r="A239" s="252"/>
      <c r="B239" s="139" t="s">
        <v>381</v>
      </c>
      <c r="C239" s="120">
        <v>0</v>
      </c>
      <c r="D239" s="121">
        <v>0</v>
      </c>
      <c r="E239" s="121">
        <v>0</v>
      </c>
      <c r="F239" s="121">
        <v>0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1">
        <v>0</v>
      </c>
      <c r="W239" s="122">
        <v>0</v>
      </c>
      <c r="X239" s="496">
        <v>0</v>
      </c>
      <c r="Y239" s="496">
        <v>0</v>
      </c>
    </row>
    <row r="240" spans="1:25" x14ac:dyDescent="0.2">
      <c r="A240" s="252"/>
      <c r="B240" s="135" t="s">
        <v>383</v>
      </c>
      <c r="C240" s="136">
        <v>205</v>
      </c>
      <c r="D240" s="137"/>
      <c r="E240" s="137"/>
      <c r="F240" s="137"/>
      <c r="G240" s="137"/>
      <c r="H240" s="137"/>
      <c r="I240" s="137">
        <v>205</v>
      </c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8"/>
      <c r="Y240" s="496">
        <v>205</v>
      </c>
    </row>
    <row r="241" spans="1:25" x14ac:dyDescent="0.2">
      <c r="A241" s="252"/>
      <c r="B241" s="125" t="s">
        <v>385</v>
      </c>
      <c r="C241" s="126">
        <v>196</v>
      </c>
      <c r="D241" s="127"/>
      <c r="E241" s="127"/>
      <c r="F241" s="127"/>
      <c r="G241" s="127"/>
      <c r="H241" s="127"/>
      <c r="I241" s="127">
        <v>196</v>
      </c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8"/>
      <c r="Y241" s="496">
        <v>196</v>
      </c>
    </row>
    <row r="242" spans="1:25" s="123" customFormat="1" x14ac:dyDescent="0.2">
      <c r="A242" s="252"/>
      <c r="B242" s="139" t="s">
        <v>387</v>
      </c>
      <c r="C242" s="120">
        <v>-4.3902439024390241E-2</v>
      </c>
      <c r="D242" s="121">
        <v>0</v>
      </c>
      <c r="E242" s="121">
        <v>0</v>
      </c>
      <c r="F242" s="121">
        <v>0</v>
      </c>
      <c r="G242" s="121">
        <v>0</v>
      </c>
      <c r="H242" s="121">
        <v>0</v>
      </c>
      <c r="I242" s="121">
        <v>-4.3902439024390241E-2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2">
        <v>0</v>
      </c>
      <c r="X242" s="496">
        <v>0</v>
      </c>
      <c r="Y242" s="496">
        <v>-4.3902439024390241E-2</v>
      </c>
    </row>
    <row r="243" spans="1:25" x14ac:dyDescent="0.2">
      <c r="A243" s="252"/>
      <c r="B243" s="135" t="s">
        <v>391</v>
      </c>
      <c r="C243" s="136">
        <v>205</v>
      </c>
      <c r="D243" s="137"/>
      <c r="E243" s="137">
        <v>137</v>
      </c>
      <c r="F243" s="137"/>
      <c r="G243" s="137">
        <v>144</v>
      </c>
      <c r="H243" s="137">
        <v>281</v>
      </c>
      <c r="I243" s="137">
        <v>767</v>
      </c>
      <c r="J243" s="137">
        <v>29</v>
      </c>
      <c r="K243" s="137"/>
      <c r="L243" s="137">
        <v>0</v>
      </c>
      <c r="M243" s="137">
        <v>0</v>
      </c>
      <c r="N243" s="137">
        <v>29</v>
      </c>
      <c r="O243" s="137"/>
      <c r="P243" s="137"/>
      <c r="Q243" s="137">
        <v>0</v>
      </c>
      <c r="R243" s="137">
        <v>0</v>
      </c>
      <c r="S243" s="137">
        <v>0</v>
      </c>
      <c r="T243" s="137">
        <v>0</v>
      </c>
      <c r="U243" s="137"/>
      <c r="V243" s="137"/>
      <c r="W243" s="138">
        <v>0</v>
      </c>
      <c r="X243" s="496">
        <v>0</v>
      </c>
      <c r="Y243" s="496">
        <v>796</v>
      </c>
    </row>
    <row r="244" spans="1:25" x14ac:dyDescent="0.2">
      <c r="A244" s="252"/>
      <c r="B244" s="125" t="s">
        <v>389</v>
      </c>
      <c r="C244" s="126">
        <v>196</v>
      </c>
      <c r="D244" s="127"/>
      <c r="E244" s="127">
        <v>137</v>
      </c>
      <c r="F244" s="127"/>
      <c r="G244" s="127">
        <v>126</v>
      </c>
      <c r="H244" s="127">
        <v>301</v>
      </c>
      <c r="I244" s="127">
        <v>760</v>
      </c>
      <c r="J244" s="127">
        <v>29</v>
      </c>
      <c r="K244" s="127"/>
      <c r="L244" s="127">
        <v>0</v>
      </c>
      <c r="M244" s="127">
        <v>0</v>
      </c>
      <c r="N244" s="127">
        <v>29</v>
      </c>
      <c r="O244" s="127"/>
      <c r="P244" s="127"/>
      <c r="Q244" s="127">
        <v>0</v>
      </c>
      <c r="R244" s="127">
        <v>0</v>
      </c>
      <c r="S244" s="127">
        <v>0</v>
      </c>
      <c r="T244" s="127">
        <v>0</v>
      </c>
      <c r="U244" s="127"/>
      <c r="V244" s="127"/>
      <c r="W244" s="128">
        <v>0</v>
      </c>
      <c r="X244" s="496">
        <v>0</v>
      </c>
      <c r="Y244" s="496">
        <v>789</v>
      </c>
    </row>
    <row r="245" spans="1:25" s="123" customFormat="1" x14ac:dyDescent="0.2">
      <c r="A245" s="251"/>
      <c r="B245" s="139" t="s">
        <v>393</v>
      </c>
      <c r="C245" s="120">
        <v>-4.3902439024390241E-2</v>
      </c>
      <c r="D245" s="121">
        <v>0</v>
      </c>
      <c r="E245" s="121">
        <v>0</v>
      </c>
      <c r="F245" s="121">
        <v>0</v>
      </c>
      <c r="G245" s="121">
        <v>-0.125</v>
      </c>
      <c r="H245" s="121">
        <v>7.1174377224199295E-2</v>
      </c>
      <c r="I245" s="121">
        <v>-9.126466753585397E-3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1">
        <v>0</v>
      </c>
      <c r="W245" s="122">
        <v>0</v>
      </c>
      <c r="X245" s="496">
        <v>0</v>
      </c>
      <c r="Y245" s="496">
        <v>-8.7939698492462311E-3</v>
      </c>
    </row>
    <row r="246" spans="1:25" x14ac:dyDescent="0.2">
      <c r="A246" s="131" t="s">
        <v>332</v>
      </c>
      <c r="B246" s="135"/>
      <c r="C246" s="136">
        <v>188848</v>
      </c>
      <c r="D246" s="137">
        <v>45575</v>
      </c>
      <c r="E246" s="137">
        <v>99661</v>
      </c>
      <c r="F246" s="137">
        <v>31943</v>
      </c>
      <c r="G246" s="137">
        <v>18356</v>
      </c>
      <c r="H246" s="137">
        <v>9632</v>
      </c>
      <c r="I246" s="137">
        <v>394015</v>
      </c>
      <c r="J246" s="137">
        <v>2377</v>
      </c>
      <c r="K246" s="137">
        <v>164</v>
      </c>
      <c r="L246" s="137">
        <v>1088</v>
      </c>
      <c r="M246" s="137">
        <v>0</v>
      </c>
      <c r="N246" s="137">
        <v>3629</v>
      </c>
      <c r="O246" s="137"/>
      <c r="P246" s="137"/>
      <c r="Q246" s="137"/>
      <c r="R246" s="137"/>
      <c r="S246" s="137">
        <v>8251</v>
      </c>
      <c r="T246" s="137">
        <v>8251</v>
      </c>
      <c r="U246" s="137"/>
      <c r="V246" s="137"/>
      <c r="W246" s="138"/>
      <c r="Y246" s="496">
        <v>405895</v>
      </c>
    </row>
    <row r="247" spans="1:25" x14ac:dyDescent="0.2">
      <c r="A247" s="252" t="s">
        <v>333</v>
      </c>
      <c r="B247" s="125"/>
      <c r="C247" s="126">
        <v>195546</v>
      </c>
      <c r="D247" s="127">
        <v>47036</v>
      </c>
      <c r="E247" s="127">
        <v>103551</v>
      </c>
      <c r="F247" s="127">
        <v>33167</v>
      </c>
      <c r="G247" s="127">
        <v>18929</v>
      </c>
      <c r="H247" s="127">
        <v>10260</v>
      </c>
      <c r="I247" s="127">
        <v>408489</v>
      </c>
      <c r="J247" s="127">
        <v>4132</v>
      </c>
      <c r="K247" s="127">
        <v>638</v>
      </c>
      <c r="L247" s="127">
        <v>225</v>
      </c>
      <c r="M247" s="127">
        <v>0</v>
      </c>
      <c r="N247" s="127">
        <v>4995</v>
      </c>
      <c r="O247" s="127"/>
      <c r="P247" s="127"/>
      <c r="Q247" s="127"/>
      <c r="R247" s="127"/>
      <c r="S247" s="127">
        <v>9079</v>
      </c>
      <c r="T247" s="127">
        <v>9079</v>
      </c>
      <c r="U247" s="127"/>
      <c r="V247" s="127"/>
      <c r="W247" s="128"/>
      <c r="Y247" s="496">
        <v>422563</v>
      </c>
    </row>
    <row r="248" spans="1:25" s="123" customFormat="1" x14ac:dyDescent="0.2">
      <c r="A248" s="252" t="s">
        <v>334</v>
      </c>
      <c r="B248" s="139"/>
      <c r="C248" s="120">
        <v>3.5467677709057017E-2</v>
      </c>
      <c r="D248" s="121">
        <v>3.2057048820625343E-2</v>
      </c>
      <c r="E248" s="121">
        <v>3.9032319563319651E-2</v>
      </c>
      <c r="F248" s="121">
        <v>3.8318254390633313E-2</v>
      </c>
      <c r="G248" s="121">
        <v>3.1215951187622576E-2</v>
      </c>
      <c r="H248" s="121">
        <v>6.5199335548172754E-2</v>
      </c>
      <c r="I248" s="121">
        <v>3.6734642082154233E-2</v>
      </c>
      <c r="J248" s="121">
        <v>0.73832562053007988</v>
      </c>
      <c r="K248" s="121">
        <v>2.8902439024390243</v>
      </c>
      <c r="L248" s="121">
        <v>-0.79319852941176472</v>
      </c>
      <c r="M248" s="121">
        <v>0</v>
      </c>
      <c r="N248" s="121">
        <v>0.37641223477542024</v>
      </c>
      <c r="O248" s="121">
        <v>0</v>
      </c>
      <c r="P248" s="121">
        <v>0</v>
      </c>
      <c r="Q248" s="121">
        <v>0</v>
      </c>
      <c r="R248" s="121">
        <v>0</v>
      </c>
      <c r="S248" s="121">
        <v>0.10035147254878196</v>
      </c>
      <c r="T248" s="121">
        <v>0.10035147254878196</v>
      </c>
      <c r="U248" s="121">
        <v>0</v>
      </c>
      <c r="V248" s="121">
        <v>0</v>
      </c>
      <c r="W248" s="122">
        <v>0</v>
      </c>
      <c r="X248" s="496">
        <v>0</v>
      </c>
      <c r="Y248" s="496">
        <v>4.1064807400928813E-2</v>
      </c>
    </row>
    <row r="249" spans="1:25" x14ac:dyDescent="0.2">
      <c r="A249" s="252" t="s">
        <v>372</v>
      </c>
      <c r="B249" s="135"/>
      <c r="C249" s="136">
        <v>4635</v>
      </c>
      <c r="D249" s="137">
        <v>1108</v>
      </c>
      <c r="E249" s="137">
        <v>4354</v>
      </c>
      <c r="F249" s="137">
        <v>3066</v>
      </c>
      <c r="G249" s="137">
        <v>1170</v>
      </c>
      <c r="H249" s="137">
        <v>1183</v>
      </c>
      <c r="I249" s="137">
        <v>15516</v>
      </c>
      <c r="J249" s="137">
        <v>216</v>
      </c>
      <c r="K249" s="137"/>
      <c r="L249" s="137">
        <v>39</v>
      </c>
      <c r="M249" s="137"/>
      <c r="N249" s="137">
        <v>255</v>
      </c>
      <c r="O249" s="137"/>
      <c r="P249" s="137"/>
      <c r="Q249" s="137"/>
      <c r="R249" s="137"/>
      <c r="S249" s="137">
        <v>0</v>
      </c>
      <c r="T249" s="137">
        <v>0</v>
      </c>
      <c r="U249" s="137"/>
      <c r="V249" s="137"/>
      <c r="W249" s="138"/>
      <c r="Y249" s="496">
        <v>15771</v>
      </c>
    </row>
    <row r="250" spans="1:25" x14ac:dyDescent="0.2">
      <c r="A250" s="252" t="s">
        <v>374</v>
      </c>
      <c r="B250" s="125"/>
      <c r="C250" s="126">
        <v>4769</v>
      </c>
      <c r="D250" s="127">
        <v>1124</v>
      </c>
      <c r="E250" s="127">
        <v>4271</v>
      </c>
      <c r="F250" s="127">
        <v>3053</v>
      </c>
      <c r="G250" s="127">
        <v>1134</v>
      </c>
      <c r="H250" s="127">
        <v>1256</v>
      </c>
      <c r="I250" s="127">
        <v>15607</v>
      </c>
      <c r="J250" s="127">
        <v>217</v>
      </c>
      <c r="K250" s="127"/>
      <c r="L250" s="127">
        <v>70</v>
      </c>
      <c r="M250" s="127"/>
      <c r="N250" s="127">
        <v>287</v>
      </c>
      <c r="O250" s="127"/>
      <c r="P250" s="127"/>
      <c r="Q250" s="127"/>
      <c r="R250" s="127"/>
      <c r="S250" s="127">
        <v>0</v>
      </c>
      <c r="T250" s="127">
        <v>0</v>
      </c>
      <c r="U250" s="127"/>
      <c r="V250" s="127"/>
      <c r="W250" s="128"/>
      <c r="Y250" s="496">
        <v>15894</v>
      </c>
    </row>
    <row r="251" spans="1:25" s="123" customFormat="1" x14ac:dyDescent="0.2">
      <c r="A251" s="252" t="s">
        <v>376</v>
      </c>
      <c r="B251" s="139"/>
      <c r="C251" s="120">
        <v>2.8910463861920171E-2</v>
      </c>
      <c r="D251" s="121">
        <v>1.444043321299639E-2</v>
      </c>
      <c r="E251" s="121">
        <v>-1.906293063849334E-2</v>
      </c>
      <c r="F251" s="121">
        <v>-4.2400521852576645E-3</v>
      </c>
      <c r="G251" s="121">
        <v>-3.0769230769230771E-2</v>
      </c>
      <c r="H251" s="121">
        <v>6.1707523245984781E-2</v>
      </c>
      <c r="I251" s="121">
        <v>5.8649136375354474E-3</v>
      </c>
      <c r="J251" s="121">
        <v>4.6296296296296294E-3</v>
      </c>
      <c r="K251" s="121">
        <v>0</v>
      </c>
      <c r="L251" s="121">
        <v>0.79487179487179482</v>
      </c>
      <c r="M251" s="121">
        <v>0</v>
      </c>
      <c r="N251" s="121">
        <v>0.12549019607843137</v>
      </c>
      <c r="O251" s="121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1">
        <v>0</v>
      </c>
      <c r="W251" s="122">
        <v>0</v>
      </c>
      <c r="X251" s="496">
        <v>0</v>
      </c>
      <c r="Y251" s="496">
        <v>7.7991249762221796E-3</v>
      </c>
    </row>
    <row r="252" spans="1:25" x14ac:dyDescent="0.2">
      <c r="A252" s="252" t="s">
        <v>378</v>
      </c>
      <c r="B252" s="135"/>
      <c r="C252" s="136">
        <v>1106</v>
      </c>
      <c r="D252" s="137">
        <v>777</v>
      </c>
      <c r="E252" s="137">
        <v>2329</v>
      </c>
      <c r="F252" s="137">
        <v>319</v>
      </c>
      <c r="G252" s="137">
        <v>156</v>
      </c>
      <c r="H252" s="137">
        <v>105</v>
      </c>
      <c r="I252" s="137">
        <v>4792</v>
      </c>
      <c r="J252" s="137"/>
      <c r="K252" s="137"/>
      <c r="L252" s="137"/>
      <c r="M252" s="137"/>
      <c r="N252" s="137"/>
      <c r="O252" s="137"/>
      <c r="P252" s="137"/>
      <c r="Q252" s="137"/>
      <c r="R252" s="137"/>
      <c r="S252" s="137">
        <v>0</v>
      </c>
      <c r="T252" s="137">
        <v>0</v>
      </c>
      <c r="U252" s="137"/>
      <c r="V252" s="137"/>
      <c r="W252" s="138"/>
      <c r="Y252" s="496">
        <v>4792</v>
      </c>
    </row>
    <row r="253" spans="1:25" x14ac:dyDescent="0.2">
      <c r="A253" s="252" t="s">
        <v>380</v>
      </c>
      <c r="B253" s="125"/>
      <c r="C253" s="126">
        <v>1181</v>
      </c>
      <c r="D253" s="127">
        <v>814</v>
      </c>
      <c r="E253" s="127">
        <v>2370</v>
      </c>
      <c r="F253" s="127">
        <v>304</v>
      </c>
      <c r="G253" s="127">
        <v>174</v>
      </c>
      <c r="H253" s="127">
        <v>84</v>
      </c>
      <c r="I253" s="127">
        <v>4927</v>
      </c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8"/>
      <c r="Y253" s="496">
        <v>4927</v>
      </c>
    </row>
    <row r="254" spans="1:25" s="123" customFormat="1" x14ac:dyDescent="0.2">
      <c r="A254" s="252" t="s">
        <v>382</v>
      </c>
      <c r="B254" s="139"/>
      <c r="C254" s="120">
        <v>6.7811934900542492E-2</v>
      </c>
      <c r="D254" s="121">
        <v>4.7619047619047616E-2</v>
      </c>
      <c r="E254" s="121">
        <v>1.7604121940747102E-2</v>
      </c>
      <c r="F254" s="121">
        <v>-4.7021943573667714E-2</v>
      </c>
      <c r="G254" s="121">
        <v>0.11538461538461539</v>
      </c>
      <c r="H254" s="121">
        <v>-0.2</v>
      </c>
      <c r="I254" s="121">
        <v>2.8171953255425708E-2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1">
        <v>0</v>
      </c>
      <c r="W254" s="122">
        <v>0</v>
      </c>
      <c r="X254" s="496">
        <v>0</v>
      </c>
      <c r="Y254" s="496">
        <v>2.8171953255425708E-2</v>
      </c>
    </row>
    <row r="255" spans="1:25" x14ac:dyDescent="0.2">
      <c r="A255" s="252" t="s">
        <v>384</v>
      </c>
      <c r="B255" s="135"/>
      <c r="C255" s="136">
        <v>2664</v>
      </c>
      <c r="D255" s="137">
        <v>750</v>
      </c>
      <c r="E255" s="137">
        <v>1097</v>
      </c>
      <c r="F255" s="137">
        <v>371</v>
      </c>
      <c r="G255" s="137">
        <v>303</v>
      </c>
      <c r="H255" s="137">
        <v>7</v>
      </c>
      <c r="I255" s="137">
        <v>5192</v>
      </c>
      <c r="J255" s="137"/>
      <c r="K255" s="137">
        <v>0</v>
      </c>
      <c r="L255" s="137">
        <v>0</v>
      </c>
      <c r="M255" s="137">
        <v>0</v>
      </c>
      <c r="N255" s="137">
        <v>0</v>
      </c>
      <c r="O255" s="137"/>
      <c r="P255" s="137"/>
      <c r="Q255" s="137"/>
      <c r="R255" s="137"/>
      <c r="S255" s="137">
        <v>0</v>
      </c>
      <c r="T255" s="137">
        <v>0</v>
      </c>
      <c r="U255" s="137"/>
      <c r="V255" s="137"/>
      <c r="W255" s="138"/>
      <c r="Y255" s="496">
        <v>5192</v>
      </c>
    </row>
    <row r="256" spans="1:25" x14ac:dyDescent="0.2">
      <c r="A256" s="252" t="s">
        <v>386</v>
      </c>
      <c r="B256" s="125"/>
      <c r="C256" s="126">
        <v>2640</v>
      </c>
      <c r="D256" s="127">
        <v>697</v>
      </c>
      <c r="E256" s="127">
        <v>971</v>
      </c>
      <c r="F256" s="127">
        <v>560</v>
      </c>
      <c r="G256" s="127">
        <v>109</v>
      </c>
      <c r="H256" s="127">
        <v>6</v>
      </c>
      <c r="I256" s="127">
        <v>4983</v>
      </c>
      <c r="J256" s="127"/>
      <c r="K256" s="127"/>
      <c r="L256" s="127"/>
      <c r="M256" s="127"/>
      <c r="N256" s="127"/>
      <c r="O256" s="127"/>
      <c r="P256" s="127"/>
      <c r="Q256" s="127"/>
      <c r="R256" s="127"/>
      <c r="S256" s="127">
        <v>0</v>
      </c>
      <c r="T256" s="127">
        <v>0</v>
      </c>
      <c r="U256" s="127"/>
      <c r="V256" s="127"/>
      <c r="W256" s="128"/>
      <c r="Y256" s="496">
        <v>4983</v>
      </c>
    </row>
    <row r="257" spans="1:25" s="123" customFormat="1" x14ac:dyDescent="0.2">
      <c r="A257" s="252" t="s">
        <v>388</v>
      </c>
      <c r="B257" s="139"/>
      <c r="C257" s="120">
        <v>-9.0090090090090089E-3</v>
      </c>
      <c r="D257" s="121">
        <v>-7.0666666666666669E-2</v>
      </c>
      <c r="E257" s="121">
        <v>-0.11485870556061988</v>
      </c>
      <c r="F257" s="121">
        <v>0.50943396226415094</v>
      </c>
      <c r="G257" s="121">
        <v>-0.64026402640264024</v>
      </c>
      <c r="H257" s="121">
        <v>-0.14285714285714285</v>
      </c>
      <c r="I257" s="121">
        <v>-4.025423728813559E-2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2">
        <v>0</v>
      </c>
      <c r="X257" s="496">
        <v>0</v>
      </c>
      <c r="Y257" s="496">
        <v>-4.025423728813559E-2</v>
      </c>
    </row>
    <row r="258" spans="1:25" x14ac:dyDescent="0.2">
      <c r="A258" s="252" t="s">
        <v>392</v>
      </c>
      <c r="B258" s="135"/>
      <c r="C258" s="136">
        <v>8405</v>
      </c>
      <c r="D258" s="137">
        <v>2635</v>
      </c>
      <c r="E258" s="137">
        <v>7780</v>
      </c>
      <c r="F258" s="137">
        <v>3756</v>
      </c>
      <c r="G258" s="137">
        <v>1629</v>
      </c>
      <c r="H258" s="137">
        <v>1295</v>
      </c>
      <c r="I258" s="137">
        <v>25500</v>
      </c>
      <c r="J258" s="137">
        <v>216</v>
      </c>
      <c r="K258" s="137">
        <v>0</v>
      </c>
      <c r="L258" s="137">
        <v>39</v>
      </c>
      <c r="M258" s="137">
        <v>0</v>
      </c>
      <c r="N258" s="137">
        <v>255</v>
      </c>
      <c r="O258" s="137">
        <v>0</v>
      </c>
      <c r="P258" s="137">
        <v>0</v>
      </c>
      <c r="Q258" s="137">
        <v>0</v>
      </c>
      <c r="R258" s="137">
        <v>0</v>
      </c>
      <c r="S258" s="137">
        <v>0</v>
      </c>
      <c r="T258" s="137">
        <v>0</v>
      </c>
      <c r="U258" s="137">
        <v>0</v>
      </c>
      <c r="V258" s="137">
        <v>0</v>
      </c>
      <c r="W258" s="138">
        <v>0</v>
      </c>
      <c r="X258" s="496">
        <v>0</v>
      </c>
      <c r="Y258" s="496">
        <v>25755</v>
      </c>
    </row>
    <row r="259" spans="1:25" x14ac:dyDescent="0.2">
      <c r="A259" s="252" t="s">
        <v>390</v>
      </c>
      <c r="B259" s="125"/>
      <c r="C259" s="126">
        <v>8590</v>
      </c>
      <c r="D259" s="127">
        <v>2635</v>
      </c>
      <c r="E259" s="127">
        <v>7612</v>
      </c>
      <c r="F259" s="127">
        <v>3917</v>
      </c>
      <c r="G259" s="127">
        <v>1417</v>
      </c>
      <c r="H259" s="127">
        <v>1346</v>
      </c>
      <c r="I259" s="127">
        <v>25517</v>
      </c>
      <c r="J259" s="127">
        <v>217</v>
      </c>
      <c r="K259" s="127">
        <v>0</v>
      </c>
      <c r="L259" s="127">
        <v>70</v>
      </c>
      <c r="M259" s="127">
        <v>0</v>
      </c>
      <c r="N259" s="127">
        <v>287</v>
      </c>
      <c r="O259" s="127">
        <v>0</v>
      </c>
      <c r="P259" s="127">
        <v>0</v>
      </c>
      <c r="Q259" s="127">
        <v>0</v>
      </c>
      <c r="R259" s="127">
        <v>0</v>
      </c>
      <c r="S259" s="127">
        <v>0</v>
      </c>
      <c r="T259" s="127">
        <v>0</v>
      </c>
      <c r="U259" s="127">
        <v>0</v>
      </c>
      <c r="V259" s="127">
        <v>0</v>
      </c>
      <c r="W259" s="128">
        <v>0</v>
      </c>
      <c r="X259" s="496">
        <v>0</v>
      </c>
      <c r="Y259" s="496">
        <v>25804</v>
      </c>
    </row>
    <row r="260" spans="1:25" s="123" customFormat="1" x14ac:dyDescent="0.2">
      <c r="A260" s="251" t="s">
        <v>394</v>
      </c>
      <c r="B260" s="139"/>
      <c r="C260" s="120">
        <v>2.2010707911957167E-2</v>
      </c>
      <c r="D260" s="121">
        <v>0</v>
      </c>
      <c r="E260" s="121">
        <v>-2.1593830334190232E-2</v>
      </c>
      <c r="F260" s="121">
        <v>4.2864749733759318E-2</v>
      </c>
      <c r="G260" s="121">
        <v>-0.13014119091467158</v>
      </c>
      <c r="H260" s="121">
        <v>3.9382239382239385E-2</v>
      </c>
      <c r="I260" s="121">
        <v>6.6666666666666664E-4</v>
      </c>
      <c r="J260" s="121">
        <v>4.6296296296296294E-3</v>
      </c>
      <c r="K260" s="121">
        <v>0</v>
      </c>
      <c r="L260" s="121">
        <v>0.79487179487179482</v>
      </c>
      <c r="M260" s="121">
        <v>0</v>
      </c>
      <c r="N260" s="121">
        <v>0.12549019607843137</v>
      </c>
      <c r="O260" s="121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1">
        <v>0</v>
      </c>
      <c r="W260" s="122">
        <v>0</v>
      </c>
      <c r="X260" s="496">
        <v>0</v>
      </c>
      <c r="Y260" s="496">
        <v>1.9025431954960202E-3</v>
      </c>
    </row>
    <row r="261" spans="1:25" x14ac:dyDescent="0.2">
      <c r="A261" s="496"/>
      <c r="D261" s="496"/>
    </row>
    <row r="262" spans="1:25" x14ac:dyDescent="0.2">
      <c r="A262" s="496"/>
      <c r="D262" s="496"/>
    </row>
    <row r="263" spans="1:25" s="123" customFormat="1" x14ac:dyDescent="0.2">
      <c r="A263" s="496"/>
      <c r="B263" s="496"/>
      <c r="C263" s="496"/>
      <c r="D263" s="496"/>
      <c r="E263" s="496"/>
      <c r="F263" s="496"/>
      <c r="G263" s="496"/>
      <c r="H263" s="496"/>
      <c r="I263" s="496"/>
      <c r="J263" s="496"/>
      <c r="K263" s="496"/>
      <c r="L263" s="496"/>
      <c r="M263" s="496"/>
      <c r="N263" s="496"/>
      <c r="O263" s="496"/>
      <c r="P263" s="496"/>
      <c r="Q263" s="496"/>
      <c r="R263" s="496"/>
      <c r="S263" s="496"/>
      <c r="T263" s="496"/>
      <c r="U263" s="496"/>
      <c r="V263" s="496"/>
      <c r="W263" s="496"/>
      <c r="X263" s="496"/>
      <c r="Y263" s="496"/>
    </row>
    <row r="264" spans="1:25" x14ac:dyDescent="0.2">
      <c r="A264" s="496"/>
      <c r="D264" s="496"/>
    </row>
    <row r="265" spans="1:25" x14ac:dyDescent="0.2">
      <c r="A265" s="496"/>
      <c r="D265" s="496"/>
    </row>
    <row r="266" spans="1:25" s="123" customFormat="1" x14ac:dyDescent="0.2">
      <c r="A266" s="496"/>
      <c r="B266" s="496"/>
      <c r="C266" s="496"/>
      <c r="D266" s="496"/>
      <c r="E266" s="496"/>
      <c r="F266" s="496"/>
      <c r="G266" s="496"/>
      <c r="H266" s="496"/>
      <c r="I266" s="496"/>
      <c r="J266" s="496"/>
      <c r="K266" s="496"/>
      <c r="L266" s="496"/>
      <c r="M266" s="496"/>
      <c r="N266" s="496"/>
      <c r="O266" s="496"/>
      <c r="P266" s="496"/>
      <c r="Q266" s="496"/>
      <c r="R266" s="496"/>
      <c r="S266" s="496"/>
      <c r="T266" s="496"/>
      <c r="U266" s="496"/>
      <c r="V266" s="496"/>
      <c r="W266" s="496"/>
      <c r="X266" s="496"/>
      <c r="Y266" s="496"/>
    </row>
    <row r="267" spans="1:25" x14ac:dyDescent="0.2">
      <c r="A267" s="496"/>
      <c r="D267" s="496"/>
    </row>
    <row r="268" spans="1:25" x14ac:dyDescent="0.2">
      <c r="A268" s="496"/>
      <c r="D268" s="496"/>
    </row>
    <row r="269" spans="1:25" s="123" customFormat="1" x14ac:dyDescent="0.2">
      <c r="A269" s="496"/>
      <c r="B269" s="496"/>
      <c r="C269" s="496"/>
      <c r="D269" s="496"/>
      <c r="E269" s="496"/>
      <c r="F269" s="496"/>
      <c r="G269" s="496"/>
      <c r="H269" s="496"/>
      <c r="I269" s="496"/>
      <c r="J269" s="496"/>
      <c r="K269" s="496"/>
      <c r="L269" s="496"/>
      <c r="M269" s="496"/>
      <c r="N269" s="496"/>
      <c r="O269" s="496"/>
      <c r="P269" s="496"/>
      <c r="Q269" s="496"/>
      <c r="R269" s="496"/>
      <c r="S269" s="496"/>
      <c r="T269" s="496"/>
      <c r="U269" s="496"/>
      <c r="V269" s="496"/>
      <c r="W269" s="496"/>
      <c r="X269" s="496"/>
      <c r="Y269" s="496"/>
    </row>
    <row r="270" spans="1:25" x14ac:dyDescent="0.2">
      <c r="A270" s="496"/>
      <c r="D270" s="496"/>
    </row>
    <row r="271" spans="1:25" x14ac:dyDescent="0.2">
      <c r="A271" s="496"/>
      <c r="D271" s="496"/>
    </row>
    <row r="272" spans="1:25" s="123" customFormat="1" x14ac:dyDescent="0.2">
      <c r="A272" s="496"/>
      <c r="B272" s="496"/>
      <c r="C272" s="496"/>
      <c r="D272" s="496"/>
      <c r="E272" s="496"/>
      <c r="F272" s="496"/>
      <c r="G272" s="496"/>
      <c r="H272" s="496"/>
      <c r="I272" s="496"/>
      <c r="J272" s="496"/>
      <c r="K272" s="496"/>
      <c r="L272" s="496"/>
      <c r="M272" s="496"/>
      <c r="N272" s="496"/>
      <c r="O272" s="496"/>
      <c r="P272" s="496"/>
      <c r="Q272" s="496"/>
      <c r="R272" s="496"/>
      <c r="S272" s="496"/>
      <c r="T272" s="496"/>
      <c r="U272" s="496"/>
      <c r="V272" s="496"/>
      <c r="W272" s="496"/>
      <c r="X272" s="496"/>
      <c r="Y272" s="496"/>
    </row>
    <row r="273" spans="1:25" x14ac:dyDescent="0.2">
      <c r="A273" s="496"/>
      <c r="D273" s="496"/>
    </row>
    <row r="274" spans="1:25" x14ac:dyDescent="0.2">
      <c r="A274" s="496"/>
      <c r="D274" s="496"/>
    </row>
    <row r="275" spans="1:25" s="123" customFormat="1" x14ac:dyDescent="0.2">
      <c r="A275" s="496"/>
      <c r="B275" s="496"/>
      <c r="C275" s="496"/>
      <c r="D275" s="496"/>
      <c r="E275" s="496"/>
      <c r="F275" s="496"/>
      <c r="G275" s="496"/>
      <c r="H275" s="496"/>
      <c r="I275" s="496"/>
      <c r="J275" s="496"/>
      <c r="K275" s="496"/>
      <c r="L275" s="496"/>
      <c r="M275" s="496"/>
      <c r="N275" s="496"/>
      <c r="O275" s="496"/>
      <c r="P275" s="496"/>
      <c r="Q275" s="496"/>
      <c r="R275" s="496"/>
      <c r="S275" s="496"/>
      <c r="T275" s="496"/>
      <c r="U275" s="496"/>
      <c r="V275" s="496"/>
      <c r="W275" s="496"/>
      <c r="X275" s="496"/>
      <c r="Y275" s="496"/>
    </row>
    <row r="276" spans="1:25" x14ac:dyDescent="0.2">
      <c r="A276" s="496"/>
      <c r="D276" s="496"/>
    </row>
    <row r="277" spans="1:25" x14ac:dyDescent="0.2">
      <c r="A277" s="496"/>
      <c r="D277" s="496"/>
    </row>
    <row r="278" spans="1:25" s="123" customFormat="1" x14ac:dyDescent="0.2">
      <c r="A278" s="496"/>
      <c r="B278" s="496"/>
      <c r="C278" s="496"/>
      <c r="D278" s="496"/>
      <c r="E278" s="496"/>
      <c r="F278" s="496"/>
      <c r="G278" s="496"/>
      <c r="H278" s="496"/>
      <c r="I278" s="496"/>
      <c r="J278" s="496"/>
      <c r="K278" s="496"/>
      <c r="L278" s="496"/>
      <c r="M278" s="496"/>
      <c r="N278" s="496"/>
      <c r="O278" s="496"/>
      <c r="P278" s="496"/>
      <c r="Q278" s="496"/>
      <c r="R278" s="496"/>
      <c r="S278" s="496"/>
      <c r="T278" s="496"/>
      <c r="U278" s="496"/>
      <c r="V278" s="496"/>
      <c r="W278" s="496"/>
      <c r="X278" s="496"/>
      <c r="Y278" s="496"/>
    </row>
    <row r="279" spans="1:25" x14ac:dyDescent="0.2">
      <c r="A279" s="496"/>
      <c r="D279" s="496"/>
    </row>
    <row r="280" spans="1:25" x14ac:dyDescent="0.2">
      <c r="A280" s="496"/>
      <c r="D280" s="496"/>
    </row>
    <row r="281" spans="1:25" s="123" customFormat="1" x14ac:dyDescent="0.2">
      <c r="A281" s="496"/>
      <c r="B281" s="496"/>
      <c r="C281" s="496"/>
      <c r="D281" s="496"/>
      <c r="E281" s="496"/>
      <c r="F281" s="496"/>
      <c r="G281" s="496"/>
      <c r="H281" s="496"/>
      <c r="I281" s="496"/>
      <c r="J281" s="496"/>
      <c r="K281" s="496"/>
      <c r="L281" s="496"/>
      <c r="M281" s="496"/>
      <c r="N281" s="496"/>
      <c r="O281" s="496"/>
      <c r="P281" s="496"/>
      <c r="Q281" s="496"/>
      <c r="R281" s="496"/>
      <c r="S281" s="496"/>
      <c r="T281" s="496"/>
      <c r="U281" s="496"/>
      <c r="V281" s="496"/>
      <c r="W281" s="496"/>
      <c r="X281" s="496"/>
      <c r="Y281" s="496"/>
    </row>
    <row r="282" spans="1:25" x14ac:dyDescent="0.2">
      <c r="A282" s="496"/>
      <c r="D282" s="496"/>
    </row>
    <row r="283" spans="1:25" x14ac:dyDescent="0.2">
      <c r="A283" s="496"/>
      <c r="D283" s="496"/>
    </row>
    <row r="284" spans="1:25" s="123" customFormat="1" x14ac:dyDescent="0.2">
      <c r="A284" s="496"/>
      <c r="B284" s="496"/>
      <c r="C284" s="496"/>
      <c r="D284" s="496"/>
      <c r="E284" s="496"/>
      <c r="F284" s="496"/>
      <c r="G284" s="496"/>
      <c r="H284" s="496"/>
      <c r="I284" s="496"/>
      <c r="J284" s="496"/>
      <c r="K284" s="496"/>
      <c r="L284" s="496"/>
      <c r="M284" s="496"/>
      <c r="N284" s="496"/>
      <c r="O284" s="496"/>
      <c r="P284" s="496"/>
      <c r="Q284" s="496"/>
      <c r="R284" s="496"/>
      <c r="S284" s="496"/>
      <c r="T284" s="496"/>
      <c r="U284" s="496"/>
      <c r="V284" s="496"/>
      <c r="W284" s="496"/>
      <c r="X284" s="496"/>
      <c r="Y284" s="496"/>
    </row>
    <row r="285" spans="1:25" x14ac:dyDescent="0.2">
      <c r="A285" s="496"/>
      <c r="D285" s="496"/>
    </row>
    <row r="286" spans="1:25" x14ac:dyDescent="0.2">
      <c r="A286" s="496"/>
      <c r="D286" s="496"/>
    </row>
    <row r="287" spans="1:25" s="123" customFormat="1" x14ac:dyDescent="0.2">
      <c r="A287" s="496"/>
      <c r="B287" s="496"/>
      <c r="C287" s="496"/>
      <c r="D287" s="496"/>
      <c r="E287" s="496"/>
      <c r="F287" s="496"/>
      <c r="G287" s="496"/>
      <c r="H287" s="496"/>
      <c r="I287" s="496"/>
      <c r="J287" s="496"/>
      <c r="K287" s="496"/>
      <c r="L287" s="496"/>
      <c r="M287" s="496"/>
      <c r="N287" s="496"/>
      <c r="O287" s="496"/>
      <c r="P287" s="496"/>
      <c r="Q287" s="496"/>
      <c r="R287" s="496"/>
      <c r="S287" s="496"/>
      <c r="T287" s="496"/>
      <c r="U287" s="496"/>
      <c r="V287" s="496"/>
      <c r="W287" s="496"/>
      <c r="X287" s="496"/>
      <c r="Y287" s="496"/>
    </row>
    <row r="288" spans="1:25" x14ac:dyDescent="0.2">
      <c r="A288" s="496"/>
      <c r="D288" s="496"/>
    </row>
    <row r="289" spans="1:25" x14ac:dyDescent="0.2">
      <c r="A289" s="496"/>
      <c r="D289" s="496"/>
    </row>
    <row r="290" spans="1:25" s="123" customFormat="1" x14ac:dyDescent="0.2">
      <c r="A290" s="496"/>
      <c r="B290" s="496"/>
      <c r="C290" s="496"/>
      <c r="D290" s="496"/>
      <c r="E290" s="496"/>
      <c r="F290" s="496"/>
      <c r="G290" s="496"/>
      <c r="H290" s="496"/>
      <c r="I290" s="496"/>
      <c r="J290" s="496"/>
      <c r="K290" s="496"/>
      <c r="L290" s="496"/>
      <c r="M290" s="496"/>
      <c r="N290" s="496"/>
      <c r="O290" s="496"/>
      <c r="P290" s="496"/>
      <c r="Q290" s="496"/>
      <c r="R290" s="496"/>
      <c r="S290" s="496"/>
      <c r="T290" s="496"/>
      <c r="U290" s="496"/>
      <c r="V290" s="496"/>
      <c r="W290" s="496"/>
      <c r="X290" s="496"/>
      <c r="Y290" s="496"/>
    </row>
    <row r="291" spans="1:25" x14ac:dyDescent="0.2">
      <c r="A291" s="496"/>
      <c r="D291" s="496"/>
    </row>
    <row r="292" spans="1:25" x14ac:dyDescent="0.2">
      <c r="A292" s="496"/>
      <c r="D292" s="496"/>
    </row>
    <row r="293" spans="1:25" s="123" customFormat="1" x14ac:dyDescent="0.2">
      <c r="A293" s="496"/>
      <c r="B293" s="496"/>
      <c r="C293" s="496"/>
      <c r="D293" s="496"/>
      <c r="E293" s="496"/>
      <c r="F293" s="496"/>
      <c r="G293" s="496"/>
      <c r="H293" s="496"/>
      <c r="I293" s="496"/>
      <c r="J293" s="496"/>
      <c r="K293" s="496"/>
      <c r="L293" s="496"/>
      <c r="M293" s="496"/>
      <c r="N293" s="496"/>
      <c r="O293" s="496"/>
      <c r="P293" s="496"/>
      <c r="Q293" s="496"/>
      <c r="R293" s="496"/>
      <c r="S293" s="496"/>
      <c r="T293" s="496"/>
      <c r="U293" s="496"/>
      <c r="V293" s="496"/>
      <c r="W293" s="496"/>
      <c r="X293" s="496"/>
      <c r="Y293" s="496"/>
    </row>
    <row r="294" spans="1:25" x14ac:dyDescent="0.2">
      <c r="A294" s="496"/>
      <c r="D294" s="496"/>
    </row>
    <row r="295" spans="1:25" x14ac:dyDescent="0.2">
      <c r="A295" s="496"/>
      <c r="D295" s="496"/>
    </row>
    <row r="296" spans="1:25" s="123" customFormat="1" x14ac:dyDescent="0.2">
      <c r="A296" s="496"/>
      <c r="B296" s="496"/>
      <c r="C296" s="496"/>
      <c r="D296" s="496"/>
      <c r="E296" s="496"/>
      <c r="F296" s="496"/>
      <c r="G296" s="496"/>
      <c r="H296" s="496"/>
      <c r="I296" s="496"/>
      <c r="J296" s="496"/>
      <c r="K296" s="496"/>
      <c r="L296" s="496"/>
      <c r="M296" s="496"/>
      <c r="N296" s="496"/>
      <c r="O296" s="496"/>
      <c r="P296" s="496"/>
      <c r="Q296" s="496"/>
      <c r="R296" s="496"/>
      <c r="S296" s="496"/>
      <c r="T296" s="496"/>
      <c r="U296" s="496"/>
      <c r="V296" s="496"/>
      <c r="W296" s="496"/>
      <c r="X296" s="496"/>
      <c r="Y296" s="496"/>
    </row>
    <row r="297" spans="1:25" x14ac:dyDescent="0.2">
      <c r="A297" s="496"/>
      <c r="D297" s="496"/>
    </row>
    <row r="298" spans="1:25" x14ac:dyDescent="0.2">
      <c r="A298" s="496"/>
      <c r="D298" s="496"/>
    </row>
    <row r="299" spans="1:25" s="123" customFormat="1" x14ac:dyDescent="0.2">
      <c r="A299" s="496"/>
      <c r="B299" s="496"/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P299" s="496"/>
      <c r="Q299" s="496"/>
      <c r="R299" s="496"/>
      <c r="S299" s="496"/>
      <c r="T299" s="496"/>
      <c r="U299" s="496"/>
      <c r="V299" s="496"/>
      <c r="W299" s="496"/>
      <c r="X299" s="496"/>
      <c r="Y299" s="496"/>
    </row>
    <row r="300" spans="1:25" x14ac:dyDescent="0.2">
      <c r="A300" s="496"/>
      <c r="D300" s="496"/>
    </row>
    <row r="301" spans="1:25" x14ac:dyDescent="0.2">
      <c r="A301" s="496"/>
      <c r="D301" s="496"/>
    </row>
    <row r="302" spans="1:25" s="123" customFormat="1" x14ac:dyDescent="0.2">
      <c r="A302" s="496"/>
      <c r="B302" s="496"/>
      <c r="C302" s="496"/>
      <c r="D302" s="496"/>
      <c r="E302" s="496"/>
      <c r="F302" s="496"/>
      <c r="G302" s="496"/>
      <c r="H302" s="496"/>
      <c r="I302" s="496"/>
      <c r="J302" s="496"/>
      <c r="K302" s="496"/>
      <c r="L302" s="496"/>
      <c r="M302" s="496"/>
      <c r="N302" s="496"/>
      <c r="O302" s="496"/>
      <c r="P302" s="496"/>
      <c r="Q302" s="496"/>
      <c r="R302" s="496"/>
      <c r="S302" s="496"/>
      <c r="T302" s="496"/>
      <c r="U302" s="496"/>
      <c r="V302" s="496"/>
      <c r="W302" s="496"/>
      <c r="X302" s="496"/>
      <c r="Y302" s="496"/>
    </row>
    <row r="303" spans="1:25" x14ac:dyDescent="0.2">
      <c r="A303" s="496"/>
      <c r="D303" s="496"/>
    </row>
    <row r="304" spans="1:25" x14ac:dyDescent="0.2">
      <c r="A304" s="496"/>
      <c r="D304" s="496"/>
    </row>
    <row r="305" spans="1:25" s="123" customFormat="1" x14ac:dyDescent="0.2">
      <c r="A305" s="496"/>
      <c r="B305" s="496"/>
      <c r="C305" s="496"/>
      <c r="D305" s="496"/>
      <c r="E305" s="496"/>
      <c r="F305" s="496"/>
      <c r="G305" s="496"/>
      <c r="H305" s="496"/>
      <c r="I305" s="496"/>
      <c r="J305" s="496"/>
      <c r="K305" s="496"/>
      <c r="L305" s="496"/>
      <c r="M305" s="496"/>
      <c r="N305" s="496"/>
      <c r="O305" s="496"/>
      <c r="P305" s="496"/>
      <c r="Q305" s="496"/>
      <c r="R305" s="496"/>
      <c r="S305" s="496"/>
      <c r="T305" s="496"/>
      <c r="U305" s="496"/>
      <c r="V305" s="496"/>
      <c r="W305" s="496"/>
      <c r="X305" s="496"/>
      <c r="Y305" s="496"/>
    </row>
    <row r="306" spans="1:25" x14ac:dyDescent="0.2">
      <c r="A306" s="496"/>
      <c r="D306" s="496"/>
    </row>
    <row r="307" spans="1:25" x14ac:dyDescent="0.2">
      <c r="A307" s="496"/>
      <c r="D307" s="496"/>
    </row>
    <row r="308" spans="1:25" s="123" customFormat="1" x14ac:dyDescent="0.2">
      <c r="A308" s="496"/>
      <c r="B308" s="496"/>
      <c r="C308" s="496"/>
      <c r="D308" s="496"/>
      <c r="E308" s="496"/>
      <c r="F308" s="496"/>
      <c r="G308" s="496"/>
      <c r="H308" s="496"/>
      <c r="I308" s="496"/>
      <c r="J308" s="496"/>
      <c r="K308" s="496"/>
      <c r="L308" s="496"/>
      <c r="M308" s="496"/>
      <c r="N308" s="496"/>
      <c r="O308" s="496"/>
      <c r="P308" s="496"/>
      <c r="Q308" s="496"/>
      <c r="R308" s="496"/>
      <c r="S308" s="496"/>
      <c r="T308" s="496"/>
      <c r="U308" s="496"/>
      <c r="V308" s="496"/>
      <c r="W308" s="496"/>
      <c r="X308" s="496"/>
      <c r="Y308" s="496"/>
    </row>
    <row r="309" spans="1:25" x14ac:dyDescent="0.2">
      <c r="A309" s="496"/>
      <c r="D309" s="496"/>
    </row>
    <row r="310" spans="1:25" x14ac:dyDescent="0.2">
      <c r="A310" s="496"/>
      <c r="D310" s="496"/>
    </row>
    <row r="311" spans="1:25" s="123" customFormat="1" x14ac:dyDescent="0.2">
      <c r="A311" s="496"/>
      <c r="B311" s="496"/>
      <c r="C311" s="496"/>
      <c r="D311" s="496"/>
      <c r="E311" s="496"/>
      <c r="F311" s="496"/>
      <c r="G311" s="496"/>
      <c r="H311" s="496"/>
      <c r="I311" s="496"/>
      <c r="J311" s="496"/>
      <c r="K311" s="496"/>
      <c r="L311" s="496"/>
      <c r="M311" s="496"/>
      <c r="N311" s="496"/>
      <c r="O311" s="496"/>
      <c r="P311" s="496"/>
      <c r="Q311" s="496"/>
      <c r="R311" s="496"/>
      <c r="S311" s="496"/>
      <c r="T311" s="496"/>
      <c r="U311" s="496"/>
      <c r="V311" s="496"/>
      <c r="W311" s="496"/>
      <c r="X311" s="496"/>
      <c r="Y311" s="496"/>
    </row>
    <row r="312" spans="1:25" x14ac:dyDescent="0.2">
      <c r="A312" s="496"/>
      <c r="D312" s="496"/>
    </row>
    <row r="313" spans="1:25" x14ac:dyDescent="0.2">
      <c r="A313" s="496"/>
      <c r="D313" s="496"/>
    </row>
    <row r="314" spans="1:25" s="123" customFormat="1" x14ac:dyDescent="0.2">
      <c r="A314" s="496"/>
      <c r="B314" s="496"/>
      <c r="C314" s="496"/>
      <c r="D314" s="496"/>
      <c r="E314" s="496"/>
      <c r="F314" s="496"/>
      <c r="G314" s="496"/>
      <c r="H314" s="496"/>
      <c r="I314" s="496"/>
      <c r="J314" s="496"/>
      <c r="K314" s="496"/>
      <c r="L314" s="496"/>
      <c r="M314" s="496"/>
      <c r="N314" s="496"/>
      <c r="O314" s="496"/>
      <c r="P314" s="496"/>
      <c r="Q314" s="496"/>
      <c r="R314" s="496"/>
      <c r="S314" s="496"/>
      <c r="T314" s="496"/>
      <c r="U314" s="496"/>
      <c r="V314" s="496"/>
      <c r="W314" s="496"/>
      <c r="X314" s="496"/>
      <c r="Y314" s="496"/>
    </row>
    <row r="315" spans="1:25" x14ac:dyDescent="0.2">
      <c r="A315" s="496"/>
      <c r="D315" s="496"/>
    </row>
    <row r="316" spans="1:25" x14ac:dyDescent="0.2">
      <c r="A316" s="496"/>
      <c r="D316" s="496"/>
    </row>
    <row r="317" spans="1:25" s="123" customFormat="1" x14ac:dyDescent="0.2">
      <c r="A317" s="496"/>
      <c r="B317" s="496"/>
      <c r="C317" s="496"/>
      <c r="D317" s="496"/>
      <c r="E317" s="496"/>
      <c r="F317" s="496"/>
      <c r="G317" s="496"/>
      <c r="H317" s="496"/>
      <c r="I317" s="496"/>
      <c r="J317" s="496"/>
      <c r="K317" s="496"/>
      <c r="L317" s="496"/>
      <c r="M317" s="496"/>
      <c r="N317" s="496"/>
      <c r="O317" s="496"/>
      <c r="P317" s="496"/>
      <c r="Q317" s="496"/>
      <c r="R317" s="496"/>
      <c r="S317" s="496"/>
      <c r="T317" s="496"/>
      <c r="U317" s="496"/>
      <c r="V317" s="496"/>
      <c r="W317" s="496"/>
      <c r="X317" s="496"/>
      <c r="Y317" s="496"/>
    </row>
    <row r="318" spans="1:25" x14ac:dyDescent="0.2">
      <c r="A318" s="496"/>
      <c r="D318" s="496"/>
    </row>
    <row r="319" spans="1:25" x14ac:dyDescent="0.2">
      <c r="A319" s="496"/>
      <c r="D319" s="496"/>
    </row>
    <row r="320" spans="1:25" s="123" customFormat="1" x14ac:dyDescent="0.2">
      <c r="A320" s="496"/>
      <c r="B320" s="496"/>
      <c r="C320" s="496"/>
      <c r="D320" s="496"/>
      <c r="E320" s="496"/>
      <c r="F320" s="496"/>
      <c r="G320" s="496"/>
      <c r="H320" s="496"/>
      <c r="I320" s="496"/>
      <c r="J320" s="496"/>
      <c r="K320" s="496"/>
      <c r="L320" s="496"/>
      <c r="M320" s="496"/>
      <c r="N320" s="496"/>
      <c r="O320" s="496"/>
      <c r="P320" s="496"/>
      <c r="Q320" s="496"/>
      <c r="R320" s="496"/>
      <c r="S320" s="496"/>
      <c r="T320" s="496"/>
      <c r="U320" s="496"/>
      <c r="V320" s="496"/>
      <c r="W320" s="496"/>
      <c r="X320" s="496"/>
      <c r="Y320" s="496"/>
    </row>
    <row r="321" spans="1:25" x14ac:dyDescent="0.2">
      <c r="A321" s="496"/>
      <c r="D321" s="496"/>
    </row>
    <row r="322" spans="1:25" x14ac:dyDescent="0.2">
      <c r="A322" s="496"/>
      <c r="D322" s="496"/>
    </row>
    <row r="323" spans="1:25" s="123" customFormat="1" x14ac:dyDescent="0.2">
      <c r="A323" s="496"/>
      <c r="B323" s="496"/>
      <c r="C323" s="496"/>
      <c r="D323" s="496"/>
      <c r="E323" s="496"/>
      <c r="F323" s="496"/>
      <c r="G323" s="496"/>
      <c r="H323" s="496"/>
      <c r="I323" s="496"/>
      <c r="J323" s="496"/>
      <c r="K323" s="496"/>
      <c r="L323" s="496"/>
      <c r="M323" s="496"/>
      <c r="N323" s="496"/>
      <c r="O323" s="496"/>
      <c r="P323" s="496"/>
      <c r="Q323" s="496"/>
      <c r="R323" s="496"/>
      <c r="S323" s="496"/>
      <c r="T323" s="496"/>
      <c r="U323" s="496"/>
      <c r="V323" s="496"/>
      <c r="W323" s="496"/>
      <c r="X323" s="496"/>
      <c r="Y323" s="496"/>
    </row>
    <row r="324" spans="1:25" x14ac:dyDescent="0.2">
      <c r="A324" s="496"/>
      <c r="D324" s="496"/>
    </row>
    <row r="325" spans="1:25" x14ac:dyDescent="0.2">
      <c r="A325" s="496"/>
      <c r="D325" s="496"/>
    </row>
    <row r="326" spans="1:25" s="123" customFormat="1" x14ac:dyDescent="0.2">
      <c r="A326" s="496"/>
      <c r="B326" s="496"/>
      <c r="C326" s="496"/>
      <c r="D326" s="496"/>
      <c r="E326" s="496"/>
      <c r="F326" s="496"/>
      <c r="G326" s="496"/>
      <c r="H326" s="496"/>
      <c r="I326" s="496"/>
      <c r="J326" s="496"/>
      <c r="K326" s="496"/>
      <c r="L326" s="496"/>
      <c r="M326" s="496"/>
      <c r="N326" s="496"/>
      <c r="O326" s="496"/>
      <c r="P326" s="496"/>
      <c r="Q326" s="496"/>
      <c r="R326" s="496"/>
      <c r="S326" s="496"/>
      <c r="T326" s="496"/>
      <c r="U326" s="496"/>
      <c r="V326" s="496"/>
      <c r="W326" s="496"/>
      <c r="X326" s="496"/>
      <c r="Y326" s="496"/>
    </row>
    <row r="327" spans="1:25" x14ac:dyDescent="0.2">
      <c r="A327" s="496"/>
      <c r="D327" s="496"/>
    </row>
    <row r="328" spans="1:25" x14ac:dyDescent="0.2">
      <c r="A328" s="496"/>
      <c r="D328" s="496"/>
    </row>
    <row r="329" spans="1:25" s="123" customFormat="1" x14ac:dyDescent="0.2">
      <c r="A329" s="496"/>
      <c r="B329" s="496"/>
      <c r="C329" s="496"/>
      <c r="D329" s="496"/>
      <c r="E329" s="496"/>
      <c r="F329" s="496"/>
      <c r="G329" s="496"/>
      <c r="H329" s="496"/>
      <c r="I329" s="496"/>
      <c r="J329" s="496"/>
      <c r="K329" s="496"/>
      <c r="L329" s="496"/>
      <c r="M329" s="496"/>
      <c r="N329" s="496"/>
      <c r="O329" s="496"/>
      <c r="P329" s="496"/>
      <c r="Q329" s="496"/>
      <c r="R329" s="496"/>
      <c r="S329" s="496"/>
      <c r="T329" s="496"/>
      <c r="U329" s="496"/>
      <c r="V329" s="496"/>
      <c r="W329" s="496"/>
      <c r="X329" s="496"/>
      <c r="Y329" s="496"/>
    </row>
    <row r="330" spans="1:25" x14ac:dyDescent="0.2">
      <c r="A330" s="496"/>
      <c r="D330" s="496"/>
    </row>
    <row r="331" spans="1:25" x14ac:dyDescent="0.2">
      <c r="A331" s="496"/>
      <c r="D331" s="496"/>
    </row>
    <row r="332" spans="1:25" s="123" customFormat="1" x14ac:dyDescent="0.2">
      <c r="A332" s="496"/>
      <c r="B332" s="496"/>
      <c r="C332" s="496"/>
      <c r="D332" s="496"/>
      <c r="E332" s="496"/>
      <c r="F332" s="496"/>
      <c r="G332" s="496"/>
      <c r="H332" s="496"/>
      <c r="I332" s="496"/>
      <c r="J332" s="496"/>
      <c r="K332" s="496"/>
      <c r="L332" s="496"/>
      <c r="M332" s="496"/>
      <c r="N332" s="496"/>
      <c r="O332" s="496"/>
      <c r="P332" s="496"/>
      <c r="Q332" s="496"/>
      <c r="R332" s="496"/>
      <c r="S332" s="496"/>
      <c r="T332" s="496"/>
      <c r="U332" s="496"/>
      <c r="V332" s="496"/>
      <c r="W332" s="496"/>
      <c r="X332" s="496"/>
      <c r="Y332" s="496"/>
    </row>
    <row r="333" spans="1:25" x14ac:dyDescent="0.2">
      <c r="A333" s="496"/>
      <c r="D333" s="496"/>
    </row>
    <row r="334" spans="1:25" x14ac:dyDescent="0.2">
      <c r="A334" s="496"/>
      <c r="D334" s="496"/>
    </row>
    <row r="335" spans="1:25" s="123" customFormat="1" x14ac:dyDescent="0.2">
      <c r="A335" s="496"/>
      <c r="B335" s="496"/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496"/>
      <c r="O335" s="496"/>
      <c r="P335" s="496"/>
      <c r="Q335" s="496"/>
      <c r="R335" s="496"/>
      <c r="S335" s="496"/>
      <c r="T335" s="496"/>
      <c r="U335" s="496"/>
      <c r="V335" s="496"/>
      <c r="W335" s="496"/>
      <c r="X335" s="496"/>
      <c r="Y335" s="496"/>
    </row>
    <row r="336" spans="1:25" x14ac:dyDescent="0.2">
      <c r="A336" s="496"/>
      <c r="D336" s="496"/>
    </row>
    <row r="337" spans="1:25" x14ac:dyDescent="0.2">
      <c r="A337" s="496"/>
      <c r="D337" s="496"/>
    </row>
    <row r="338" spans="1:25" s="123" customFormat="1" x14ac:dyDescent="0.2">
      <c r="A338" s="496"/>
      <c r="B338" s="496"/>
      <c r="C338" s="496"/>
      <c r="D338" s="496"/>
      <c r="E338" s="496"/>
      <c r="F338" s="496"/>
      <c r="G338" s="496"/>
      <c r="H338" s="496"/>
      <c r="I338" s="496"/>
      <c r="J338" s="496"/>
      <c r="K338" s="496"/>
      <c r="L338" s="496"/>
      <c r="M338" s="496"/>
      <c r="N338" s="496"/>
      <c r="O338" s="496"/>
      <c r="P338" s="496"/>
      <c r="Q338" s="496"/>
      <c r="R338" s="496"/>
      <c r="S338" s="496"/>
      <c r="T338" s="496"/>
      <c r="U338" s="496"/>
      <c r="V338" s="496"/>
      <c r="W338" s="496"/>
      <c r="X338" s="496"/>
      <c r="Y338" s="496"/>
    </row>
    <row r="339" spans="1:25" x14ac:dyDescent="0.2">
      <c r="A339" s="496"/>
      <c r="D339" s="496"/>
    </row>
    <row r="340" spans="1:25" x14ac:dyDescent="0.2">
      <c r="A340" s="496"/>
      <c r="D340" s="496"/>
    </row>
    <row r="341" spans="1:25" s="123" customFormat="1" x14ac:dyDescent="0.2">
      <c r="A341" s="496"/>
      <c r="B341" s="496"/>
      <c r="C341" s="496"/>
      <c r="D341" s="496"/>
      <c r="E341" s="496"/>
      <c r="F341" s="496"/>
      <c r="G341" s="496"/>
      <c r="H341" s="496"/>
      <c r="I341" s="496"/>
      <c r="J341" s="496"/>
      <c r="K341" s="496"/>
      <c r="L341" s="496"/>
      <c r="M341" s="496"/>
      <c r="N341" s="496"/>
      <c r="O341" s="496"/>
      <c r="P341" s="496"/>
      <c r="Q341" s="496"/>
      <c r="R341" s="496"/>
      <c r="S341" s="496"/>
      <c r="T341" s="496"/>
      <c r="U341" s="496"/>
      <c r="V341" s="496"/>
      <c r="W341" s="496"/>
      <c r="X341" s="496"/>
      <c r="Y341" s="496"/>
    </row>
    <row r="342" spans="1:25" x14ac:dyDescent="0.2">
      <c r="A342" s="496"/>
      <c r="D342" s="496"/>
    </row>
    <row r="343" spans="1:25" x14ac:dyDescent="0.2">
      <c r="A343" s="496"/>
      <c r="D343" s="496"/>
    </row>
    <row r="344" spans="1:25" s="123" customFormat="1" x14ac:dyDescent="0.2">
      <c r="A344" s="496"/>
      <c r="B344" s="496"/>
      <c r="C344" s="496"/>
      <c r="D344" s="496"/>
      <c r="E344" s="496"/>
      <c r="F344" s="496"/>
      <c r="G344" s="496"/>
      <c r="H344" s="496"/>
      <c r="I344" s="496"/>
      <c r="J344" s="496"/>
      <c r="K344" s="496"/>
      <c r="L344" s="496"/>
      <c r="M344" s="496"/>
      <c r="N344" s="496"/>
      <c r="O344" s="496"/>
      <c r="P344" s="496"/>
      <c r="Q344" s="496"/>
      <c r="R344" s="496"/>
      <c r="S344" s="496"/>
      <c r="T344" s="496"/>
      <c r="U344" s="496"/>
      <c r="V344" s="496"/>
      <c r="W344" s="496"/>
      <c r="X344" s="496"/>
      <c r="Y344" s="496"/>
    </row>
    <row r="345" spans="1:25" x14ac:dyDescent="0.2">
      <c r="A345" s="496"/>
      <c r="D345" s="496"/>
    </row>
    <row r="346" spans="1:25" x14ac:dyDescent="0.2">
      <c r="A346" s="496"/>
      <c r="D346" s="496"/>
    </row>
    <row r="347" spans="1:25" s="123" customFormat="1" x14ac:dyDescent="0.2">
      <c r="A347" s="496"/>
      <c r="B347" s="496"/>
      <c r="C347" s="496"/>
      <c r="D347" s="496"/>
      <c r="E347" s="496"/>
      <c r="F347" s="496"/>
      <c r="G347" s="496"/>
      <c r="H347" s="496"/>
      <c r="I347" s="496"/>
      <c r="J347" s="496"/>
      <c r="K347" s="496"/>
      <c r="L347" s="496"/>
      <c r="M347" s="496"/>
      <c r="N347" s="496"/>
      <c r="O347" s="496"/>
      <c r="P347" s="496"/>
      <c r="Q347" s="496"/>
      <c r="R347" s="496"/>
      <c r="S347" s="496"/>
      <c r="T347" s="496"/>
      <c r="U347" s="496"/>
      <c r="V347" s="496"/>
      <c r="W347" s="496"/>
      <c r="X347" s="496"/>
      <c r="Y347" s="496"/>
    </row>
    <row r="348" spans="1:25" x14ac:dyDescent="0.2">
      <c r="A348" s="496"/>
      <c r="D348" s="496"/>
    </row>
    <row r="349" spans="1:25" x14ac:dyDescent="0.2">
      <c r="A349" s="496"/>
      <c r="D349" s="496"/>
    </row>
    <row r="350" spans="1:25" s="123" customFormat="1" x14ac:dyDescent="0.2">
      <c r="A350" s="496"/>
      <c r="B350" s="496"/>
      <c r="C350" s="496"/>
      <c r="D350" s="496"/>
      <c r="E350" s="496"/>
      <c r="F350" s="496"/>
      <c r="G350" s="496"/>
      <c r="H350" s="496"/>
      <c r="I350" s="496"/>
      <c r="J350" s="496"/>
      <c r="K350" s="496"/>
      <c r="L350" s="496"/>
      <c r="M350" s="496"/>
      <c r="N350" s="496"/>
      <c r="O350" s="496"/>
      <c r="P350" s="496"/>
      <c r="Q350" s="496"/>
      <c r="R350" s="496"/>
      <c r="S350" s="496"/>
      <c r="T350" s="496"/>
      <c r="U350" s="496"/>
      <c r="V350" s="496"/>
      <c r="W350" s="496"/>
      <c r="X350" s="496"/>
      <c r="Y350" s="496"/>
    </row>
    <row r="351" spans="1:25" x14ac:dyDescent="0.2">
      <c r="A351" s="496"/>
      <c r="D351" s="496"/>
    </row>
    <row r="352" spans="1:25" x14ac:dyDescent="0.2">
      <c r="A352" s="496"/>
      <c r="D352" s="496"/>
    </row>
    <row r="353" spans="1:25" s="123" customFormat="1" x14ac:dyDescent="0.2">
      <c r="A353" s="496"/>
      <c r="B353" s="496"/>
      <c r="C353" s="496"/>
      <c r="D353" s="496"/>
      <c r="E353" s="496"/>
      <c r="F353" s="496"/>
      <c r="G353" s="496"/>
      <c r="H353" s="496"/>
      <c r="I353" s="496"/>
      <c r="J353" s="496"/>
      <c r="K353" s="496"/>
      <c r="L353" s="496"/>
      <c r="M353" s="496"/>
      <c r="N353" s="496"/>
      <c r="O353" s="496"/>
      <c r="P353" s="496"/>
      <c r="Q353" s="496"/>
      <c r="R353" s="496"/>
      <c r="S353" s="496"/>
      <c r="T353" s="496"/>
      <c r="U353" s="496"/>
      <c r="V353" s="496"/>
      <c r="W353" s="496"/>
      <c r="X353" s="496"/>
      <c r="Y353" s="496"/>
    </row>
    <row r="354" spans="1:25" x14ac:dyDescent="0.2">
      <c r="A354" s="496"/>
      <c r="D354" s="496"/>
    </row>
    <row r="355" spans="1:25" x14ac:dyDescent="0.2">
      <c r="A355" s="496"/>
      <c r="D355" s="496"/>
    </row>
    <row r="356" spans="1:25" s="123" customFormat="1" x14ac:dyDescent="0.2">
      <c r="A356" s="496"/>
      <c r="B356" s="496"/>
      <c r="C356" s="496"/>
      <c r="D356" s="496"/>
      <c r="E356" s="496"/>
      <c r="F356" s="496"/>
      <c r="G356" s="496"/>
      <c r="H356" s="496"/>
      <c r="I356" s="496"/>
      <c r="J356" s="496"/>
      <c r="K356" s="496"/>
      <c r="L356" s="496"/>
      <c r="M356" s="496"/>
      <c r="N356" s="496"/>
      <c r="O356" s="496"/>
      <c r="P356" s="496"/>
      <c r="Q356" s="496"/>
      <c r="R356" s="496"/>
      <c r="S356" s="496"/>
      <c r="T356" s="496"/>
      <c r="U356" s="496"/>
      <c r="V356" s="496"/>
      <c r="W356" s="496"/>
      <c r="X356" s="496"/>
      <c r="Y356" s="496"/>
    </row>
    <row r="357" spans="1:25" x14ac:dyDescent="0.2">
      <c r="A357" s="496"/>
      <c r="D357" s="496"/>
    </row>
    <row r="358" spans="1:25" x14ac:dyDescent="0.2">
      <c r="A358" s="496"/>
      <c r="D358" s="496"/>
    </row>
    <row r="359" spans="1:25" s="123" customFormat="1" x14ac:dyDescent="0.2">
      <c r="A359" s="496"/>
      <c r="B359" s="496"/>
      <c r="C359" s="496"/>
      <c r="D359" s="496"/>
      <c r="E359" s="496"/>
      <c r="F359" s="496"/>
      <c r="G359" s="496"/>
      <c r="H359" s="496"/>
      <c r="I359" s="496"/>
      <c r="J359" s="496"/>
      <c r="K359" s="496"/>
      <c r="L359" s="496"/>
      <c r="M359" s="496"/>
      <c r="N359" s="496"/>
      <c r="O359" s="496"/>
      <c r="P359" s="496"/>
      <c r="Q359" s="496"/>
      <c r="R359" s="496"/>
      <c r="S359" s="496"/>
      <c r="T359" s="496"/>
      <c r="U359" s="496"/>
      <c r="V359" s="496"/>
      <c r="W359" s="496"/>
      <c r="X359" s="496"/>
      <c r="Y359" s="496"/>
    </row>
    <row r="360" spans="1:25" x14ac:dyDescent="0.2">
      <c r="A360" s="496"/>
      <c r="D360" s="496"/>
    </row>
    <row r="361" spans="1:25" x14ac:dyDescent="0.2">
      <c r="A361" s="496"/>
      <c r="D361" s="496"/>
    </row>
    <row r="362" spans="1:25" s="123" customFormat="1" x14ac:dyDescent="0.2">
      <c r="A362" s="496"/>
      <c r="B362" s="496"/>
      <c r="C362" s="496"/>
      <c r="D362" s="496"/>
      <c r="E362" s="496"/>
      <c r="F362" s="496"/>
      <c r="G362" s="496"/>
      <c r="H362" s="496"/>
      <c r="I362" s="496"/>
      <c r="J362" s="496"/>
      <c r="K362" s="496"/>
      <c r="L362" s="496"/>
      <c r="M362" s="496"/>
      <c r="N362" s="496"/>
      <c r="O362" s="496"/>
      <c r="P362" s="496"/>
      <c r="Q362" s="496"/>
      <c r="R362" s="496"/>
      <c r="S362" s="496"/>
      <c r="T362" s="496"/>
      <c r="U362" s="496"/>
      <c r="V362" s="496"/>
      <c r="W362" s="496"/>
      <c r="X362" s="496"/>
      <c r="Y362" s="496"/>
    </row>
    <row r="363" spans="1:25" x14ac:dyDescent="0.2">
      <c r="A363" s="496"/>
      <c r="D363" s="496"/>
    </row>
    <row r="364" spans="1:25" x14ac:dyDescent="0.2">
      <c r="A364" s="496"/>
      <c r="D364" s="496"/>
    </row>
    <row r="365" spans="1:25" s="123" customFormat="1" x14ac:dyDescent="0.2">
      <c r="A365" s="496"/>
      <c r="B365" s="496"/>
      <c r="C365" s="496"/>
      <c r="D365" s="496"/>
      <c r="E365" s="496"/>
      <c r="F365" s="496"/>
      <c r="G365" s="496"/>
      <c r="H365" s="496"/>
      <c r="I365" s="496"/>
      <c r="J365" s="496"/>
      <c r="K365" s="496"/>
      <c r="L365" s="496"/>
      <c r="M365" s="496"/>
      <c r="N365" s="496"/>
      <c r="O365" s="496"/>
      <c r="P365" s="496"/>
      <c r="Q365" s="496"/>
      <c r="R365" s="496"/>
      <c r="S365" s="496"/>
      <c r="T365" s="496"/>
      <c r="U365" s="496"/>
      <c r="V365" s="496"/>
      <c r="W365" s="496"/>
      <c r="X365" s="496"/>
      <c r="Y365" s="496"/>
    </row>
    <row r="366" spans="1:25" x14ac:dyDescent="0.2">
      <c r="A366" s="496"/>
      <c r="D366" s="496"/>
    </row>
    <row r="367" spans="1:25" x14ac:dyDescent="0.2">
      <c r="A367" s="496"/>
      <c r="D367" s="496"/>
    </row>
    <row r="368" spans="1:25" s="123" customFormat="1" x14ac:dyDescent="0.2">
      <c r="A368" s="496"/>
      <c r="B368" s="496"/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6"/>
      <c r="N368" s="496"/>
      <c r="O368" s="496"/>
      <c r="P368" s="496"/>
      <c r="Q368" s="496"/>
      <c r="R368" s="496"/>
      <c r="S368" s="496"/>
      <c r="T368" s="496"/>
      <c r="U368" s="496"/>
      <c r="V368" s="496"/>
      <c r="W368" s="496"/>
      <c r="X368" s="496"/>
      <c r="Y368" s="496"/>
    </row>
    <row r="369" spans="1:25" x14ac:dyDescent="0.2">
      <c r="A369" s="496"/>
      <c r="D369" s="496"/>
    </row>
    <row r="370" spans="1:25" x14ac:dyDescent="0.2">
      <c r="A370" s="496"/>
      <c r="D370" s="496"/>
    </row>
    <row r="371" spans="1:25" s="123" customFormat="1" x14ac:dyDescent="0.2">
      <c r="A371" s="496"/>
      <c r="B371" s="496"/>
      <c r="C371" s="496"/>
      <c r="D371" s="496"/>
      <c r="E371" s="496"/>
      <c r="F371" s="496"/>
      <c r="G371" s="496"/>
      <c r="H371" s="496"/>
      <c r="I371" s="496"/>
      <c r="J371" s="496"/>
      <c r="K371" s="496"/>
      <c r="L371" s="496"/>
      <c r="M371" s="496"/>
      <c r="N371" s="496"/>
      <c r="O371" s="496"/>
      <c r="P371" s="496"/>
      <c r="Q371" s="496"/>
      <c r="R371" s="496"/>
      <c r="S371" s="496"/>
      <c r="T371" s="496"/>
      <c r="U371" s="496"/>
      <c r="V371" s="496"/>
      <c r="W371" s="496"/>
      <c r="X371" s="496"/>
      <c r="Y371" s="496"/>
    </row>
    <row r="372" spans="1:25" x14ac:dyDescent="0.2">
      <c r="A372" s="496"/>
      <c r="D372" s="496"/>
    </row>
    <row r="373" spans="1:25" x14ac:dyDescent="0.2">
      <c r="A373" s="496"/>
      <c r="D373" s="496"/>
    </row>
    <row r="374" spans="1:25" s="123" customFormat="1" x14ac:dyDescent="0.2">
      <c r="A374" s="496"/>
      <c r="B374" s="496"/>
      <c r="C374" s="496"/>
      <c r="D374" s="496"/>
      <c r="E374" s="496"/>
      <c r="F374" s="496"/>
      <c r="G374" s="496"/>
      <c r="H374" s="496"/>
      <c r="I374" s="496"/>
      <c r="J374" s="496"/>
      <c r="K374" s="496"/>
      <c r="L374" s="496"/>
      <c r="M374" s="496"/>
      <c r="N374" s="496"/>
      <c r="O374" s="496"/>
      <c r="P374" s="496"/>
      <c r="Q374" s="496"/>
      <c r="R374" s="496"/>
      <c r="S374" s="496"/>
      <c r="T374" s="496"/>
      <c r="U374" s="496"/>
      <c r="V374" s="496"/>
      <c r="W374" s="496"/>
      <c r="X374" s="496"/>
      <c r="Y374" s="496"/>
    </row>
    <row r="375" spans="1:25" x14ac:dyDescent="0.2">
      <c r="A375" s="496"/>
      <c r="D375" s="496"/>
    </row>
    <row r="376" spans="1:25" x14ac:dyDescent="0.2">
      <c r="A376" s="496"/>
      <c r="D376" s="496"/>
    </row>
    <row r="377" spans="1:25" s="123" customFormat="1" x14ac:dyDescent="0.2">
      <c r="A377" s="496"/>
      <c r="B377" s="496"/>
      <c r="C377" s="496"/>
      <c r="D377" s="496"/>
      <c r="E377" s="496"/>
      <c r="F377" s="496"/>
      <c r="G377" s="496"/>
      <c r="H377" s="496"/>
      <c r="I377" s="496"/>
      <c r="J377" s="496"/>
      <c r="K377" s="496"/>
      <c r="L377" s="496"/>
      <c r="M377" s="496"/>
      <c r="N377" s="496"/>
      <c r="O377" s="496"/>
      <c r="P377" s="496"/>
      <c r="Q377" s="496"/>
      <c r="R377" s="496"/>
      <c r="S377" s="496"/>
      <c r="T377" s="496"/>
      <c r="U377" s="496"/>
      <c r="V377" s="496"/>
      <c r="W377" s="496"/>
      <c r="X377" s="496"/>
      <c r="Y377" s="496"/>
    </row>
    <row r="378" spans="1:25" x14ac:dyDescent="0.2">
      <c r="A378" s="496"/>
      <c r="D378" s="496"/>
    </row>
    <row r="379" spans="1:25" x14ac:dyDescent="0.2">
      <c r="A379" s="496"/>
      <c r="D379" s="496"/>
    </row>
    <row r="380" spans="1:25" s="123" customFormat="1" x14ac:dyDescent="0.2">
      <c r="A380" s="496"/>
      <c r="B380" s="496"/>
      <c r="C380" s="496"/>
      <c r="D380" s="496"/>
      <c r="E380" s="496"/>
      <c r="F380" s="496"/>
      <c r="G380" s="496"/>
      <c r="H380" s="496"/>
      <c r="I380" s="496"/>
      <c r="J380" s="496"/>
      <c r="K380" s="496"/>
      <c r="L380" s="496"/>
      <c r="M380" s="496"/>
      <c r="N380" s="496"/>
      <c r="O380" s="496"/>
      <c r="P380" s="496"/>
      <c r="Q380" s="496"/>
      <c r="R380" s="496"/>
      <c r="S380" s="496"/>
      <c r="T380" s="496"/>
      <c r="U380" s="496"/>
      <c r="V380" s="496"/>
      <c r="W380" s="496"/>
      <c r="X380" s="496"/>
      <c r="Y380" s="496"/>
    </row>
    <row r="381" spans="1:25" x14ac:dyDescent="0.2">
      <c r="A381" s="496"/>
      <c r="D381" s="496"/>
    </row>
    <row r="382" spans="1:25" x14ac:dyDescent="0.2">
      <c r="A382" s="496"/>
      <c r="D382" s="496"/>
    </row>
    <row r="383" spans="1:25" s="123" customFormat="1" x14ac:dyDescent="0.2">
      <c r="A383" s="496"/>
      <c r="B383" s="496"/>
      <c r="C383" s="496"/>
      <c r="D383" s="496"/>
      <c r="E383" s="496"/>
      <c r="F383" s="496"/>
      <c r="G383" s="496"/>
      <c r="H383" s="496"/>
      <c r="I383" s="496"/>
      <c r="J383" s="496"/>
      <c r="K383" s="496"/>
      <c r="L383" s="496"/>
      <c r="M383" s="496"/>
      <c r="N383" s="496"/>
      <c r="O383" s="496"/>
      <c r="P383" s="496"/>
      <c r="Q383" s="496"/>
      <c r="R383" s="496"/>
      <c r="S383" s="496"/>
      <c r="T383" s="496"/>
      <c r="U383" s="496"/>
      <c r="V383" s="496"/>
      <c r="W383" s="496"/>
      <c r="X383" s="496"/>
      <c r="Y383" s="496"/>
    </row>
    <row r="384" spans="1:25" x14ac:dyDescent="0.2">
      <c r="A384" s="496"/>
      <c r="D384" s="496"/>
    </row>
    <row r="385" spans="1:25" x14ac:dyDescent="0.2">
      <c r="A385" s="496"/>
      <c r="D385" s="496"/>
    </row>
    <row r="386" spans="1:25" s="123" customFormat="1" x14ac:dyDescent="0.2">
      <c r="A386" s="496"/>
      <c r="B386" s="496"/>
      <c r="C386" s="496"/>
      <c r="D386" s="496"/>
      <c r="E386" s="496"/>
      <c r="F386" s="496"/>
      <c r="G386" s="496"/>
      <c r="H386" s="496"/>
      <c r="I386" s="496"/>
      <c r="J386" s="496"/>
      <c r="K386" s="496"/>
      <c r="L386" s="496"/>
      <c r="M386" s="496"/>
      <c r="N386" s="496"/>
      <c r="O386" s="496"/>
      <c r="P386" s="496"/>
      <c r="Q386" s="496"/>
      <c r="R386" s="496"/>
      <c r="S386" s="496"/>
      <c r="T386" s="496"/>
      <c r="U386" s="496"/>
      <c r="V386" s="496"/>
      <c r="W386" s="496"/>
      <c r="X386" s="496"/>
      <c r="Y386" s="496"/>
    </row>
    <row r="387" spans="1:25" x14ac:dyDescent="0.2">
      <c r="A387" s="496"/>
      <c r="D387" s="496"/>
    </row>
    <row r="388" spans="1:25" x14ac:dyDescent="0.2">
      <c r="A388" s="496"/>
      <c r="D388" s="496"/>
    </row>
    <row r="389" spans="1:25" s="123" customFormat="1" x14ac:dyDescent="0.2">
      <c r="A389" s="496"/>
      <c r="B389" s="496"/>
      <c r="C389" s="496"/>
      <c r="D389" s="496"/>
      <c r="E389" s="496"/>
      <c r="F389" s="496"/>
      <c r="G389" s="496"/>
      <c r="H389" s="496"/>
      <c r="I389" s="496"/>
      <c r="J389" s="496"/>
      <c r="K389" s="496"/>
      <c r="L389" s="496"/>
      <c r="M389" s="496"/>
      <c r="N389" s="496"/>
      <c r="O389" s="496"/>
      <c r="P389" s="496"/>
      <c r="Q389" s="496"/>
      <c r="R389" s="496"/>
      <c r="S389" s="496"/>
      <c r="T389" s="496"/>
      <c r="U389" s="496"/>
      <c r="V389" s="496"/>
      <c r="W389" s="496"/>
      <c r="X389" s="496"/>
      <c r="Y389" s="496"/>
    </row>
    <row r="390" spans="1:25" x14ac:dyDescent="0.2">
      <c r="A390" s="496"/>
      <c r="D390" s="496"/>
    </row>
    <row r="391" spans="1:25" x14ac:dyDescent="0.2">
      <c r="A391" s="496"/>
      <c r="D391" s="496"/>
    </row>
    <row r="392" spans="1:25" s="123" customFormat="1" x14ac:dyDescent="0.2">
      <c r="A392" s="496"/>
      <c r="B392" s="496"/>
      <c r="C392" s="496"/>
      <c r="D392" s="496"/>
      <c r="E392" s="496"/>
      <c r="F392" s="496"/>
      <c r="G392" s="496"/>
      <c r="H392" s="496"/>
      <c r="I392" s="496"/>
      <c r="J392" s="496"/>
      <c r="K392" s="496"/>
      <c r="L392" s="496"/>
      <c r="M392" s="496"/>
      <c r="N392" s="496"/>
      <c r="O392" s="496"/>
      <c r="P392" s="496"/>
      <c r="Q392" s="496"/>
      <c r="R392" s="496"/>
      <c r="S392" s="496"/>
      <c r="T392" s="496"/>
      <c r="U392" s="496"/>
      <c r="V392" s="496"/>
      <c r="W392" s="496"/>
      <c r="X392" s="496"/>
      <c r="Y392" s="496"/>
    </row>
    <row r="393" spans="1:25" x14ac:dyDescent="0.2">
      <c r="A393" s="496"/>
      <c r="D393" s="496"/>
    </row>
    <row r="394" spans="1:25" x14ac:dyDescent="0.2">
      <c r="A394" s="496"/>
      <c r="D394" s="496"/>
    </row>
    <row r="395" spans="1:25" s="123" customFormat="1" x14ac:dyDescent="0.2">
      <c r="A395" s="496"/>
      <c r="B395" s="496"/>
      <c r="C395" s="496"/>
      <c r="D395" s="496"/>
      <c r="E395" s="496"/>
      <c r="F395" s="496"/>
      <c r="G395" s="496"/>
      <c r="H395" s="496"/>
      <c r="I395" s="496"/>
      <c r="J395" s="496"/>
      <c r="K395" s="496"/>
      <c r="L395" s="496"/>
      <c r="M395" s="496"/>
      <c r="N395" s="496"/>
      <c r="O395" s="496"/>
      <c r="P395" s="496"/>
      <c r="Q395" s="496"/>
      <c r="R395" s="496"/>
      <c r="S395" s="496"/>
      <c r="T395" s="496"/>
      <c r="U395" s="496"/>
      <c r="V395" s="496"/>
      <c r="W395" s="496"/>
      <c r="X395" s="496"/>
      <c r="Y395" s="496"/>
    </row>
    <row r="396" spans="1:25" x14ac:dyDescent="0.2">
      <c r="A396" s="496"/>
      <c r="D396" s="496"/>
    </row>
    <row r="397" spans="1:25" x14ac:dyDescent="0.2">
      <c r="A397" s="496"/>
      <c r="D397" s="496"/>
    </row>
    <row r="398" spans="1:25" s="123" customFormat="1" x14ac:dyDescent="0.2">
      <c r="A398" s="496"/>
      <c r="B398" s="496"/>
      <c r="C398" s="496"/>
      <c r="D398" s="496"/>
      <c r="E398" s="496"/>
      <c r="F398" s="496"/>
      <c r="G398" s="496"/>
      <c r="H398" s="496"/>
      <c r="I398" s="496"/>
      <c r="J398" s="496"/>
      <c r="K398" s="496"/>
      <c r="L398" s="496"/>
      <c r="M398" s="496"/>
      <c r="N398" s="496"/>
      <c r="O398" s="496"/>
      <c r="P398" s="496"/>
      <c r="Q398" s="496"/>
      <c r="R398" s="496"/>
      <c r="S398" s="496"/>
      <c r="T398" s="496"/>
      <c r="U398" s="496"/>
      <c r="V398" s="496"/>
      <c r="W398" s="496"/>
      <c r="X398" s="496"/>
      <c r="Y398" s="496"/>
    </row>
    <row r="399" spans="1:25" x14ac:dyDescent="0.2">
      <c r="A399" s="496"/>
      <c r="D399" s="496"/>
    </row>
    <row r="400" spans="1:25" x14ac:dyDescent="0.2">
      <c r="A400" s="496"/>
      <c r="D400" s="496"/>
    </row>
    <row r="401" spans="1:25" s="123" customFormat="1" x14ac:dyDescent="0.2">
      <c r="A401" s="496"/>
      <c r="B401" s="496"/>
      <c r="C401" s="496"/>
      <c r="D401" s="496"/>
      <c r="E401" s="496"/>
      <c r="F401" s="496"/>
      <c r="G401" s="496"/>
      <c r="H401" s="496"/>
      <c r="I401" s="496"/>
      <c r="J401" s="496"/>
      <c r="K401" s="496"/>
      <c r="L401" s="496"/>
      <c r="M401" s="496"/>
      <c r="N401" s="496"/>
      <c r="O401" s="496"/>
      <c r="P401" s="496"/>
      <c r="Q401" s="496"/>
      <c r="R401" s="496"/>
      <c r="S401" s="496"/>
      <c r="T401" s="496"/>
      <c r="U401" s="496"/>
      <c r="V401" s="496"/>
      <c r="W401" s="496"/>
      <c r="X401" s="496"/>
      <c r="Y401" s="496"/>
    </row>
    <row r="402" spans="1:25" x14ac:dyDescent="0.2">
      <c r="A402" s="496"/>
      <c r="D402" s="496"/>
    </row>
    <row r="403" spans="1:25" x14ac:dyDescent="0.2">
      <c r="A403" s="496"/>
      <c r="D403" s="496"/>
    </row>
    <row r="404" spans="1:25" s="123" customFormat="1" x14ac:dyDescent="0.2">
      <c r="A404" s="496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  <c r="V404" s="496"/>
      <c r="W404" s="496"/>
      <c r="X404" s="496"/>
      <c r="Y404" s="496"/>
    </row>
    <row r="405" spans="1:25" x14ac:dyDescent="0.2">
      <c r="A405" s="496"/>
      <c r="D405" s="496"/>
    </row>
    <row r="406" spans="1:25" x14ac:dyDescent="0.2">
      <c r="A406" s="496"/>
      <c r="D406" s="496"/>
    </row>
    <row r="407" spans="1:25" s="123" customFormat="1" x14ac:dyDescent="0.2">
      <c r="A407" s="496"/>
      <c r="B407" s="496"/>
      <c r="C407" s="496"/>
      <c r="D407" s="496"/>
      <c r="E407" s="496"/>
      <c r="F407" s="496"/>
      <c r="G407" s="496"/>
      <c r="H407" s="496"/>
      <c r="I407" s="496"/>
      <c r="J407" s="496"/>
      <c r="K407" s="496"/>
      <c r="L407" s="496"/>
      <c r="M407" s="496"/>
      <c r="N407" s="496"/>
      <c r="O407" s="496"/>
      <c r="P407" s="496"/>
      <c r="Q407" s="496"/>
      <c r="R407" s="496"/>
      <c r="S407" s="496"/>
      <c r="T407" s="496"/>
      <c r="U407" s="496"/>
      <c r="V407" s="496"/>
      <c r="W407" s="496"/>
      <c r="X407" s="496"/>
      <c r="Y407" s="496"/>
    </row>
    <row r="408" spans="1:25" x14ac:dyDescent="0.2">
      <c r="A408" s="496"/>
      <c r="D408" s="496"/>
    </row>
    <row r="409" spans="1:25" x14ac:dyDescent="0.2">
      <c r="A409" s="496"/>
      <c r="D409" s="496"/>
    </row>
    <row r="410" spans="1:25" s="123" customFormat="1" x14ac:dyDescent="0.2">
      <c r="A410" s="496"/>
      <c r="B410" s="496"/>
      <c r="C410" s="496"/>
      <c r="D410" s="496"/>
      <c r="E410" s="496"/>
      <c r="F410" s="496"/>
      <c r="G410" s="496"/>
      <c r="H410" s="496"/>
      <c r="I410" s="496"/>
      <c r="J410" s="496"/>
      <c r="K410" s="496"/>
      <c r="L410" s="496"/>
      <c r="M410" s="496"/>
      <c r="N410" s="496"/>
      <c r="O410" s="496"/>
      <c r="P410" s="496"/>
      <c r="Q410" s="496"/>
      <c r="R410" s="496"/>
      <c r="S410" s="496"/>
      <c r="T410" s="496"/>
      <c r="U410" s="496"/>
      <c r="V410" s="496"/>
      <c r="W410" s="496"/>
      <c r="X410" s="496"/>
      <c r="Y410" s="496"/>
    </row>
    <row r="411" spans="1:25" x14ac:dyDescent="0.2">
      <c r="A411" s="496"/>
      <c r="D411" s="496"/>
    </row>
    <row r="412" spans="1:25" x14ac:dyDescent="0.2">
      <c r="A412" s="496"/>
      <c r="D412" s="496"/>
    </row>
    <row r="413" spans="1:25" s="123" customFormat="1" x14ac:dyDescent="0.2">
      <c r="A413" s="496"/>
      <c r="B413" s="496"/>
      <c r="C413" s="496"/>
      <c r="D413" s="496"/>
      <c r="E413" s="496"/>
      <c r="F413" s="496"/>
      <c r="G413" s="496"/>
      <c r="H413" s="496"/>
      <c r="I413" s="496"/>
      <c r="J413" s="496"/>
      <c r="K413" s="496"/>
      <c r="L413" s="496"/>
      <c r="M413" s="496"/>
      <c r="N413" s="496"/>
      <c r="O413" s="496"/>
      <c r="P413" s="496"/>
      <c r="Q413" s="496"/>
      <c r="R413" s="496"/>
      <c r="S413" s="496"/>
      <c r="T413" s="496"/>
      <c r="U413" s="496"/>
      <c r="V413" s="496"/>
      <c r="W413" s="496"/>
      <c r="X413" s="496"/>
      <c r="Y413" s="496"/>
    </row>
    <row r="414" spans="1:25" x14ac:dyDescent="0.2">
      <c r="A414" s="496"/>
      <c r="D414" s="496"/>
    </row>
    <row r="415" spans="1:25" x14ac:dyDescent="0.2">
      <c r="A415" s="496"/>
      <c r="D415" s="496"/>
    </row>
    <row r="416" spans="1:25" s="123" customFormat="1" x14ac:dyDescent="0.2">
      <c r="A416" s="496"/>
      <c r="B416" s="496"/>
      <c r="C416" s="496"/>
      <c r="D416" s="496"/>
      <c r="E416" s="496"/>
      <c r="F416" s="496"/>
      <c r="G416" s="496"/>
      <c r="H416" s="496"/>
      <c r="I416" s="496"/>
      <c r="J416" s="496"/>
      <c r="K416" s="496"/>
      <c r="L416" s="496"/>
      <c r="M416" s="496"/>
      <c r="N416" s="496"/>
      <c r="O416" s="496"/>
      <c r="P416" s="496"/>
      <c r="Q416" s="496"/>
      <c r="R416" s="496"/>
      <c r="S416" s="496"/>
      <c r="T416" s="496"/>
      <c r="U416" s="496"/>
      <c r="V416" s="496"/>
      <c r="W416" s="496"/>
      <c r="X416" s="496"/>
      <c r="Y416" s="496"/>
    </row>
    <row r="417" spans="1:25" x14ac:dyDescent="0.2">
      <c r="A417" s="496"/>
      <c r="D417" s="496"/>
    </row>
    <row r="418" spans="1:25" x14ac:dyDescent="0.2">
      <c r="A418" s="496"/>
      <c r="D418" s="496"/>
    </row>
    <row r="419" spans="1:25" s="123" customFormat="1" x14ac:dyDescent="0.2">
      <c r="A419" s="496"/>
      <c r="B419" s="496"/>
      <c r="C419" s="496"/>
      <c r="D419" s="496"/>
      <c r="E419" s="496"/>
      <c r="F419" s="496"/>
      <c r="G419" s="496"/>
      <c r="H419" s="496"/>
      <c r="I419" s="496"/>
      <c r="J419" s="496"/>
      <c r="K419" s="496"/>
      <c r="L419" s="496"/>
      <c r="M419" s="496"/>
      <c r="N419" s="496"/>
      <c r="O419" s="496"/>
      <c r="P419" s="496"/>
      <c r="Q419" s="496"/>
      <c r="R419" s="496"/>
      <c r="S419" s="496"/>
      <c r="T419" s="496"/>
      <c r="U419" s="496"/>
      <c r="V419" s="496"/>
      <c r="W419" s="496"/>
      <c r="X419" s="496"/>
      <c r="Y419" s="496"/>
    </row>
    <row r="420" spans="1:25" x14ac:dyDescent="0.2">
      <c r="A420" s="496"/>
      <c r="D420" s="496"/>
    </row>
    <row r="421" spans="1:25" x14ac:dyDescent="0.2">
      <c r="A421" s="496"/>
      <c r="D421" s="496"/>
    </row>
    <row r="422" spans="1:25" s="123" customFormat="1" x14ac:dyDescent="0.2">
      <c r="A422" s="496"/>
      <c r="B422" s="496"/>
      <c r="C422" s="496"/>
      <c r="D422" s="496"/>
      <c r="E422" s="496"/>
      <c r="F422" s="496"/>
      <c r="G422" s="496"/>
      <c r="H422" s="496"/>
      <c r="I422" s="496"/>
      <c r="J422" s="496"/>
      <c r="K422" s="496"/>
      <c r="L422" s="496"/>
      <c r="M422" s="496"/>
      <c r="N422" s="496"/>
      <c r="O422" s="496"/>
      <c r="P422" s="496"/>
      <c r="Q422" s="496"/>
      <c r="R422" s="496"/>
      <c r="S422" s="496"/>
      <c r="T422" s="496"/>
      <c r="U422" s="496"/>
      <c r="V422" s="496"/>
      <c r="W422" s="496"/>
      <c r="X422" s="496"/>
      <c r="Y422" s="496"/>
    </row>
    <row r="423" spans="1:25" x14ac:dyDescent="0.2">
      <c r="A423" s="496"/>
      <c r="D423" s="496"/>
    </row>
    <row r="424" spans="1:25" x14ac:dyDescent="0.2">
      <c r="A424" s="496"/>
      <c r="D424" s="496"/>
    </row>
    <row r="425" spans="1:25" s="123" customFormat="1" x14ac:dyDescent="0.2">
      <c r="A425" s="496"/>
      <c r="B425" s="496"/>
      <c r="C425" s="496"/>
      <c r="D425" s="496"/>
      <c r="E425" s="496"/>
      <c r="F425" s="496"/>
      <c r="G425" s="496"/>
      <c r="H425" s="496"/>
      <c r="I425" s="496"/>
      <c r="J425" s="496"/>
      <c r="K425" s="496"/>
      <c r="L425" s="496"/>
      <c r="M425" s="496"/>
      <c r="N425" s="496"/>
      <c r="O425" s="496"/>
      <c r="P425" s="496"/>
      <c r="Q425" s="496"/>
      <c r="R425" s="496"/>
      <c r="S425" s="496"/>
      <c r="T425" s="496"/>
      <c r="U425" s="496"/>
      <c r="V425" s="496"/>
      <c r="W425" s="496"/>
      <c r="X425" s="496"/>
      <c r="Y425" s="496"/>
    </row>
    <row r="426" spans="1:25" x14ac:dyDescent="0.2">
      <c r="A426" s="496"/>
      <c r="D426" s="496"/>
    </row>
    <row r="427" spans="1:25" x14ac:dyDescent="0.2">
      <c r="A427" s="496"/>
      <c r="D427" s="496"/>
    </row>
    <row r="428" spans="1:25" s="123" customFormat="1" x14ac:dyDescent="0.2">
      <c r="A428" s="496"/>
      <c r="B428" s="496"/>
      <c r="C428" s="496"/>
      <c r="D428" s="496"/>
      <c r="E428" s="496"/>
      <c r="F428" s="496"/>
      <c r="G428" s="496"/>
      <c r="H428" s="496"/>
      <c r="I428" s="496"/>
      <c r="J428" s="496"/>
      <c r="K428" s="496"/>
      <c r="L428" s="496"/>
      <c r="M428" s="496"/>
      <c r="N428" s="496"/>
      <c r="O428" s="496"/>
      <c r="P428" s="496"/>
      <c r="Q428" s="496"/>
      <c r="R428" s="496"/>
      <c r="S428" s="496"/>
      <c r="T428" s="496"/>
      <c r="U428" s="496"/>
      <c r="V428" s="496"/>
      <c r="W428" s="496"/>
      <c r="X428" s="496"/>
      <c r="Y428" s="496"/>
    </row>
    <row r="429" spans="1:25" x14ac:dyDescent="0.2">
      <c r="A429" s="496"/>
      <c r="D429" s="496"/>
    </row>
    <row r="430" spans="1:25" x14ac:dyDescent="0.2">
      <c r="A430" s="496"/>
      <c r="D430" s="496"/>
    </row>
    <row r="431" spans="1:25" s="123" customFormat="1" x14ac:dyDescent="0.2">
      <c r="A431" s="496"/>
      <c r="B431" s="496"/>
      <c r="C431" s="496"/>
      <c r="D431" s="496"/>
      <c r="E431" s="496"/>
      <c r="F431" s="496"/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/>
      <c r="T431" s="496"/>
      <c r="U431" s="496"/>
      <c r="V431" s="496"/>
      <c r="W431" s="496"/>
      <c r="X431" s="496"/>
      <c r="Y431" s="496"/>
    </row>
    <row r="432" spans="1:25" x14ac:dyDescent="0.2">
      <c r="A432" s="496"/>
      <c r="D432" s="496"/>
    </row>
    <row r="433" spans="1:25" x14ac:dyDescent="0.2">
      <c r="A433" s="496"/>
      <c r="D433" s="496"/>
    </row>
    <row r="434" spans="1:25" s="123" customFormat="1" x14ac:dyDescent="0.2">
      <c r="A434" s="496"/>
      <c r="B434" s="496"/>
      <c r="C434" s="496"/>
      <c r="D434" s="496"/>
      <c r="E434" s="496"/>
      <c r="F434" s="496"/>
      <c r="G434" s="496"/>
      <c r="H434" s="496"/>
      <c r="I434" s="496"/>
      <c r="J434" s="496"/>
      <c r="K434" s="496"/>
      <c r="L434" s="496"/>
      <c r="M434" s="496"/>
      <c r="N434" s="496"/>
      <c r="O434" s="496"/>
      <c r="P434" s="496"/>
      <c r="Q434" s="496"/>
      <c r="R434" s="496"/>
      <c r="S434" s="496"/>
      <c r="T434" s="496"/>
      <c r="U434" s="496"/>
      <c r="V434" s="496"/>
      <c r="W434" s="496"/>
      <c r="X434" s="496"/>
      <c r="Y434" s="496"/>
    </row>
    <row r="435" spans="1:25" x14ac:dyDescent="0.2">
      <c r="A435" s="496"/>
      <c r="D435" s="496"/>
    </row>
    <row r="436" spans="1:25" x14ac:dyDescent="0.2">
      <c r="A436" s="496"/>
      <c r="D436" s="496"/>
    </row>
    <row r="437" spans="1:25" s="123" customFormat="1" x14ac:dyDescent="0.2">
      <c r="A437" s="496"/>
      <c r="B437" s="496"/>
      <c r="C437" s="496"/>
      <c r="D437" s="496"/>
      <c r="E437" s="496"/>
      <c r="F437" s="496"/>
      <c r="G437" s="496"/>
      <c r="H437" s="496"/>
      <c r="I437" s="496"/>
      <c r="J437" s="496"/>
      <c r="K437" s="496"/>
      <c r="L437" s="496"/>
      <c r="M437" s="496"/>
      <c r="N437" s="496"/>
      <c r="O437" s="496"/>
      <c r="P437" s="496"/>
      <c r="Q437" s="496"/>
      <c r="R437" s="496"/>
      <c r="S437" s="496"/>
      <c r="T437" s="496"/>
      <c r="U437" s="496"/>
      <c r="V437" s="496"/>
      <c r="W437" s="496"/>
      <c r="X437" s="496"/>
      <c r="Y437" s="496"/>
    </row>
    <row r="438" spans="1:25" x14ac:dyDescent="0.2">
      <c r="A438" s="496"/>
      <c r="D438" s="496"/>
    </row>
    <row r="439" spans="1:25" x14ac:dyDescent="0.2">
      <c r="A439" s="496"/>
      <c r="D439" s="496"/>
    </row>
    <row r="440" spans="1:25" s="123" customFormat="1" x14ac:dyDescent="0.2">
      <c r="A440" s="496"/>
      <c r="B440" s="496"/>
      <c r="C440" s="496"/>
      <c r="D440" s="496"/>
      <c r="E440" s="496"/>
      <c r="F440" s="496"/>
      <c r="G440" s="496"/>
      <c r="H440" s="496"/>
      <c r="I440" s="496"/>
      <c r="J440" s="496"/>
      <c r="K440" s="496"/>
      <c r="L440" s="496"/>
      <c r="M440" s="496"/>
      <c r="N440" s="496"/>
      <c r="O440" s="496"/>
      <c r="P440" s="496"/>
      <c r="Q440" s="496"/>
      <c r="R440" s="496"/>
      <c r="S440" s="496"/>
      <c r="T440" s="496"/>
      <c r="U440" s="496"/>
      <c r="V440" s="496"/>
      <c r="W440" s="496"/>
      <c r="X440" s="496"/>
      <c r="Y440" s="496"/>
    </row>
    <row r="441" spans="1:25" x14ac:dyDescent="0.2">
      <c r="A441" s="496"/>
      <c r="D441" s="496"/>
    </row>
    <row r="442" spans="1:25" x14ac:dyDescent="0.2">
      <c r="A442" s="496"/>
      <c r="D442" s="496"/>
    </row>
    <row r="443" spans="1:25" s="123" customFormat="1" x14ac:dyDescent="0.2">
      <c r="A443" s="496"/>
      <c r="B443" s="496"/>
      <c r="C443" s="496"/>
      <c r="D443" s="496"/>
      <c r="E443" s="496"/>
      <c r="F443" s="496"/>
      <c r="G443" s="496"/>
      <c r="H443" s="496"/>
      <c r="I443" s="496"/>
      <c r="J443" s="496"/>
      <c r="K443" s="496"/>
      <c r="L443" s="496"/>
      <c r="M443" s="496"/>
      <c r="N443" s="496"/>
      <c r="O443" s="496"/>
      <c r="P443" s="496"/>
      <c r="Q443" s="496"/>
      <c r="R443" s="496"/>
      <c r="S443" s="496"/>
      <c r="T443" s="496"/>
      <c r="U443" s="496"/>
      <c r="V443" s="496"/>
      <c r="W443" s="496"/>
      <c r="X443" s="496"/>
      <c r="Y443" s="496"/>
    </row>
    <row r="444" spans="1:25" x14ac:dyDescent="0.2">
      <c r="A444" s="496"/>
      <c r="D444" s="496"/>
    </row>
    <row r="445" spans="1:25" x14ac:dyDescent="0.2">
      <c r="A445" s="496"/>
      <c r="D445" s="496"/>
    </row>
    <row r="446" spans="1:25" s="123" customFormat="1" x14ac:dyDescent="0.2">
      <c r="A446" s="496"/>
      <c r="B446" s="496"/>
      <c r="C446" s="496"/>
      <c r="D446" s="496"/>
      <c r="E446" s="496"/>
      <c r="F446" s="496"/>
      <c r="G446" s="496"/>
      <c r="H446" s="496"/>
      <c r="I446" s="496"/>
      <c r="J446" s="496"/>
      <c r="K446" s="496"/>
      <c r="L446" s="496"/>
      <c r="M446" s="496"/>
      <c r="N446" s="496"/>
      <c r="O446" s="496"/>
      <c r="P446" s="496"/>
      <c r="Q446" s="496"/>
      <c r="R446" s="496"/>
      <c r="S446" s="496"/>
      <c r="T446" s="496"/>
      <c r="U446" s="496"/>
      <c r="V446" s="496"/>
      <c r="W446" s="496"/>
      <c r="X446" s="496"/>
      <c r="Y446" s="496"/>
    </row>
    <row r="447" spans="1:25" x14ac:dyDescent="0.2">
      <c r="A447" s="496"/>
      <c r="D447" s="496"/>
    </row>
    <row r="448" spans="1:25" x14ac:dyDescent="0.2">
      <c r="A448" s="496"/>
      <c r="D448" s="496"/>
    </row>
    <row r="449" spans="1:25" s="123" customFormat="1" x14ac:dyDescent="0.2">
      <c r="A449" s="496"/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96"/>
      <c r="O449" s="496"/>
      <c r="P449" s="496"/>
      <c r="Q449" s="496"/>
      <c r="R449" s="496"/>
      <c r="S449" s="496"/>
      <c r="T449" s="496"/>
      <c r="U449" s="496"/>
      <c r="V449" s="496"/>
      <c r="W449" s="496"/>
      <c r="X449" s="496"/>
      <c r="Y449" s="496"/>
    </row>
    <row r="450" spans="1:25" x14ac:dyDescent="0.2">
      <c r="A450" s="496"/>
      <c r="D450" s="496"/>
    </row>
    <row r="451" spans="1:25" x14ac:dyDescent="0.2">
      <c r="A451" s="496"/>
      <c r="D451" s="496"/>
    </row>
    <row r="452" spans="1:25" s="123" customFormat="1" x14ac:dyDescent="0.2">
      <c r="A452" s="496"/>
      <c r="B452" s="496"/>
      <c r="C452" s="496"/>
      <c r="D452" s="496"/>
      <c r="E452" s="496"/>
      <c r="F452" s="496"/>
      <c r="G452" s="496"/>
      <c r="H452" s="496"/>
      <c r="I452" s="496"/>
      <c r="J452" s="496"/>
      <c r="K452" s="496"/>
      <c r="L452" s="496"/>
      <c r="M452" s="496"/>
      <c r="N452" s="496"/>
      <c r="O452" s="496"/>
      <c r="P452" s="496"/>
      <c r="Q452" s="496"/>
      <c r="R452" s="496"/>
      <c r="S452" s="496"/>
      <c r="T452" s="496"/>
      <c r="U452" s="496"/>
      <c r="V452" s="496"/>
      <c r="W452" s="496"/>
      <c r="X452" s="496"/>
      <c r="Y452" s="496"/>
    </row>
    <row r="453" spans="1:25" x14ac:dyDescent="0.2">
      <c r="A453" s="496"/>
      <c r="D453" s="496"/>
    </row>
    <row r="454" spans="1:25" x14ac:dyDescent="0.2">
      <c r="A454" s="496"/>
      <c r="D454" s="496"/>
    </row>
    <row r="455" spans="1:25" s="123" customFormat="1" x14ac:dyDescent="0.2">
      <c r="A455" s="496"/>
      <c r="B455" s="496"/>
      <c r="C455" s="496"/>
      <c r="D455" s="496"/>
      <c r="E455" s="496"/>
      <c r="F455" s="496"/>
      <c r="G455" s="496"/>
      <c r="H455" s="496"/>
      <c r="I455" s="496"/>
      <c r="J455" s="496"/>
      <c r="K455" s="496"/>
      <c r="L455" s="496"/>
      <c r="M455" s="496"/>
      <c r="N455" s="496"/>
      <c r="O455" s="496"/>
      <c r="P455" s="496"/>
      <c r="Q455" s="496"/>
      <c r="R455" s="496"/>
      <c r="S455" s="496"/>
      <c r="T455" s="496"/>
      <c r="U455" s="496"/>
      <c r="V455" s="496"/>
      <c r="W455" s="496"/>
      <c r="X455" s="496"/>
      <c r="Y455" s="496"/>
    </row>
    <row r="456" spans="1:25" x14ac:dyDescent="0.2">
      <c r="A456" s="496"/>
      <c r="D456" s="496"/>
    </row>
    <row r="457" spans="1:25" x14ac:dyDescent="0.2">
      <c r="A457" s="496"/>
      <c r="D457" s="496"/>
    </row>
    <row r="458" spans="1:25" s="123" customFormat="1" x14ac:dyDescent="0.2">
      <c r="A458" s="496"/>
      <c r="B458" s="496"/>
      <c r="C458" s="496"/>
      <c r="D458" s="496"/>
      <c r="E458" s="496"/>
      <c r="F458" s="496"/>
      <c r="G458" s="496"/>
      <c r="H458" s="496"/>
      <c r="I458" s="496"/>
      <c r="J458" s="496"/>
      <c r="K458" s="496"/>
      <c r="L458" s="496"/>
      <c r="M458" s="496"/>
      <c r="N458" s="496"/>
      <c r="O458" s="496"/>
      <c r="P458" s="496"/>
      <c r="Q458" s="496"/>
      <c r="R458" s="496"/>
      <c r="S458" s="496"/>
      <c r="T458" s="496"/>
      <c r="U458" s="496"/>
      <c r="V458" s="496"/>
      <c r="W458" s="496"/>
      <c r="X458" s="496"/>
      <c r="Y458" s="496"/>
    </row>
    <row r="459" spans="1:25" x14ac:dyDescent="0.2">
      <c r="A459" s="496"/>
      <c r="D459" s="496"/>
    </row>
    <row r="460" spans="1:25" x14ac:dyDescent="0.2">
      <c r="A460" s="496"/>
      <c r="D460" s="496"/>
    </row>
    <row r="461" spans="1:25" s="123" customFormat="1" x14ac:dyDescent="0.2">
      <c r="A461" s="496"/>
      <c r="B461" s="496"/>
      <c r="C461" s="496"/>
      <c r="D461" s="496"/>
      <c r="E461" s="496"/>
      <c r="F461" s="496"/>
      <c r="G461" s="496"/>
      <c r="H461" s="496"/>
      <c r="I461" s="496"/>
      <c r="J461" s="496"/>
      <c r="K461" s="496"/>
      <c r="L461" s="496"/>
      <c r="M461" s="496"/>
      <c r="N461" s="496"/>
      <c r="O461" s="496"/>
      <c r="P461" s="496"/>
      <c r="Q461" s="496"/>
      <c r="R461" s="496"/>
      <c r="S461" s="496"/>
      <c r="T461" s="496"/>
      <c r="U461" s="496"/>
      <c r="V461" s="496"/>
      <c r="W461" s="496"/>
      <c r="X461" s="496"/>
      <c r="Y461" s="496"/>
    </row>
    <row r="462" spans="1:25" x14ac:dyDescent="0.2">
      <c r="A462" s="496"/>
      <c r="D462" s="496"/>
    </row>
    <row r="463" spans="1:25" x14ac:dyDescent="0.2">
      <c r="A463" s="496"/>
      <c r="D463" s="496"/>
    </row>
    <row r="464" spans="1:25" s="123" customFormat="1" x14ac:dyDescent="0.2">
      <c r="A464" s="496"/>
      <c r="B464" s="496"/>
      <c r="C464" s="496"/>
      <c r="D464" s="496"/>
      <c r="E464" s="496"/>
      <c r="F464" s="496"/>
      <c r="G464" s="496"/>
      <c r="H464" s="496"/>
      <c r="I464" s="496"/>
      <c r="J464" s="496"/>
      <c r="K464" s="496"/>
      <c r="L464" s="496"/>
      <c r="M464" s="496"/>
      <c r="N464" s="496"/>
      <c r="O464" s="496"/>
      <c r="P464" s="496"/>
      <c r="Q464" s="496"/>
      <c r="R464" s="496"/>
      <c r="S464" s="496"/>
      <c r="T464" s="496"/>
      <c r="U464" s="496"/>
      <c r="V464" s="496"/>
      <c r="W464" s="496"/>
      <c r="X464" s="496"/>
      <c r="Y464" s="496"/>
    </row>
    <row r="465" spans="1:25" x14ac:dyDescent="0.2">
      <c r="A465" s="496"/>
      <c r="D465" s="496"/>
    </row>
    <row r="466" spans="1:25" x14ac:dyDescent="0.2">
      <c r="A466" s="496"/>
      <c r="D466" s="496"/>
    </row>
    <row r="467" spans="1:25" s="123" customFormat="1" x14ac:dyDescent="0.2">
      <c r="A467" s="496"/>
      <c r="B467" s="496"/>
      <c r="C467" s="496"/>
      <c r="D467" s="496"/>
      <c r="E467" s="496"/>
      <c r="F467" s="496"/>
      <c r="G467" s="496"/>
      <c r="H467" s="496"/>
      <c r="I467" s="496"/>
      <c r="J467" s="496"/>
      <c r="K467" s="496"/>
      <c r="L467" s="496"/>
      <c r="M467" s="496"/>
      <c r="N467" s="496"/>
      <c r="O467" s="496"/>
      <c r="P467" s="496"/>
      <c r="Q467" s="496"/>
      <c r="R467" s="496"/>
      <c r="S467" s="496"/>
      <c r="T467" s="496"/>
      <c r="U467" s="496"/>
      <c r="V467" s="496"/>
      <c r="W467" s="496"/>
      <c r="X467" s="496"/>
      <c r="Y467" s="496"/>
    </row>
    <row r="468" spans="1:25" x14ac:dyDescent="0.2">
      <c r="A468" s="496"/>
      <c r="D468" s="496"/>
    </row>
    <row r="469" spans="1:25" x14ac:dyDescent="0.2">
      <c r="A469" s="496"/>
      <c r="D469" s="496"/>
    </row>
    <row r="470" spans="1:25" s="123" customFormat="1" x14ac:dyDescent="0.2">
      <c r="A470" s="496"/>
      <c r="B470" s="496"/>
      <c r="C470" s="496"/>
      <c r="D470" s="496"/>
      <c r="E470" s="496"/>
      <c r="F470" s="496"/>
      <c r="G470" s="496"/>
      <c r="H470" s="496"/>
      <c r="I470" s="496"/>
      <c r="J470" s="496"/>
      <c r="K470" s="496"/>
      <c r="L470" s="496"/>
      <c r="M470" s="496"/>
      <c r="N470" s="496"/>
      <c r="O470" s="496"/>
      <c r="P470" s="496"/>
      <c r="Q470" s="496"/>
      <c r="R470" s="496"/>
      <c r="S470" s="496"/>
      <c r="T470" s="496"/>
      <c r="U470" s="496"/>
      <c r="V470" s="496"/>
      <c r="W470" s="496"/>
      <c r="X470" s="496"/>
      <c r="Y470" s="496"/>
    </row>
    <row r="471" spans="1:25" x14ac:dyDescent="0.2">
      <c r="A471" s="496"/>
      <c r="D471" s="496"/>
    </row>
    <row r="472" spans="1:25" x14ac:dyDescent="0.2">
      <c r="A472" s="496"/>
      <c r="D472" s="496"/>
    </row>
    <row r="473" spans="1:25" s="123" customFormat="1" x14ac:dyDescent="0.2">
      <c r="A473" s="496"/>
      <c r="B473" s="496"/>
      <c r="C473" s="496"/>
      <c r="D473" s="496"/>
      <c r="E473" s="496"/>
      <c r="F473" s="496"/>
      <c r="G473" s="496"/>
      <c r="H473" s="496"/>
      <c r="I473" s="496"/>
      <c r="J473" s="496"/>
      <c r="K473" s="496"/>
      <c r="L473" s="496"/>
      <c r="M473" s="496"/>
      <c r="N473" s="496"/>
      <c r="O473" s="496"/>
      <c r="P473" s="496"/>
      <c r="Q473" s="496"/>
      <c r="R473" s="496"/>
      <c r="S473" s="496"/>
      <c r="T473" s="496"/>
      <c r="U473" s="496"/>
      <c r="V473" s="496"/>
      <c r="W473" s="496"/>
      <c r="X473" s="496"/>
      <c r="Y473" s="496"/>
    </row>
    <row r="474" spans="1:25" x14ac:dyDescent="0.2">
      <c r="A474" s="496"/>
      <c r="D474" s="496"/>
    </row>
    <row r="475" spans="1:25" x14ac:dyDescent="0.2">
      <c r="A475" s="496"/>
      <c r="D475" s="496"/>
    </row>
    <row r="476" spans="1:25" s="123" customFormat="1" x14ac:dyDescent="0.2">
      <c r="A476" s="496"/>
      <c r="B476" s="496"/>
      <c r="C476" s="496"/>
      <c r="D476" s="496"/>
      <c r="E476" s="496"/>
      <c r="F476" s="496"/>
      <c r="G476" s="496"/>
      <c r="H476" s="496"/>
      <c r="I476" s="496"/>
      <c r="J476" s="496"/>
      <c r="K476" s="496"/>
      <c r="L476" s="496"/>
      <c r="M476" s="496"/>
      <c r="N476" s="496"/>
      <c r="O476" s="496"/>
      <c r="P476" s="496"/>
      <c r="Q476" s="496"/>
      <c r="R476" s="496"/>
      <c r="S476" s="496"/>
      <c r="T476" s="496"/>
      <c r="U476" s="496"/>
      <c r="V476" s="496"/>
      <c r="W476" s="496"/>
      <c r="X476" s="496"/>
      <c r="Y476" s="496"/>
    </row>
    <row r="477" spans="1:25" x14ac:dyDescent="0.2">
      <c r="A477" s="496"/>
      <c r="D477" s="496"/>
    </row>
    <row r="478" spans="1:25" x14ac:dyDescent="0.2">
      <c r="A478" s="496"/>
      <c r="D478" s="496"/>
    </row>
    <row r="479" spans="1:25" s="123" customFormat="1" x14ac:dyDescent="0.2">
      <c r="A479" s="496"/>
      <c r="B479" s="496"/>
      <c r="C479" s="496"/>
      <c r="D479" s="496"/>
      <c r="E479" s="496"/>
      <c r="F479" s="496"/>
      <c r="G479" s="496"/>
      <c r="H479" s="496"/>
      <c r="I479" s="496"/>
      <c r="J479" s="496"/>
      <c r="K479" s="496"/>
      <c r="L479" s="496"/>
      <c r="M479" s="496"/>
      <c r="N479" s="496"/>
      <c r="O479" s="496"/>
      <c r="P479" s="496"/>
      <c r="Q479" s="496"/>
      <c r="R479" s="496"/>
      <c r="S479" s="496"/>
      <c r="T479" s="496"/>
      <c r="U479" s="496"/>
      <c r="V479" s="496"/>
      <c r="W479" s="496"/>
      <c r="X479" s="496"/>
      <c r="Y479" s="496"/>
    </row>
    <row r="480" spans="1:25" x14ac:dyDescent="0.2">
      <c r="A480" s="496"/>
      <c r="D480" s="496"/>
    </row>
    <row r="481" spans="1:25" x14ac:dyDescent="0.2">
      <c r="A481" s="496"/>
      <c r="D481" s="496"/>
    </row>
    <row r="482" spans="1:25" s="123" customFormat="1" x14ac:dyDescent="0.2">
      <c r="A482" s="496"/>
      <c r="B482" s="496"/>
      <c r="C482" s="496"/>
      <c r="D482" s="496"/>
      <c r="E482" s="496"/>
      <c r="F482" s="496"/>
      <c r="G482" s="496"/>
      <c r="H482" s="496"/>
      <c r="I482" s="496"/>
      <c r="J482" s="496"/>
      <c r="K482" s="496"/>
      <c r="L482" s="496"/>
      <c r="M482" s="496"/>
      <c r="N482" s="496"/>
      <c r="O482" s="496"/>
      <c r="P482" s="496"/>
      <c r="Q482" s="496"/>
      <c r="R482" s="496"/>
      <c r="S482" s="496"/>
      <c r="T482" s="496"/>
      <c r="U482" s="496"/>
      <c r="V482" s="496"/>
      <c r="W482" s="496"/>
      <c r="X482" s="496"/>
      <c r="Y482" s="496"/>
    </row>
    <row r="483" spans="1:25" x14ac:dyDescent="0.2">
      <c r="A483" s="496"/>
      <c r="D483" s="496"/>
    </row>
    <row r="484" spans="1:25" x14ac:dyDescent="0.2">
      <c r="A484" s="496"/>
      <c r="D484" s="496"/>
    </row>
    <row r="485" spans="1:25" s="123" customFormat="1" x14ac:dyDescent="0.2">
      <c r="A485" s="496"/>
      <c r="B485" s="496"/>
      <c r="C485" s="496"/>
      <c r="D485" s="496"/>
      <c r="E485" s="496"/>
      <c r="F485" s="496"/>
      <c r="G485" s="496"/>
      <c r="H485" s="496"/>
      <c r="I485" s="496"/>
      <c r="J485" s="496"/>
      <c r="K485" s="496"/>
      <c r="L485" s="496"/>
      <c r="M485" s="496"/>
      <c r="N485" s="496"/>
      <c r="O485" s="496"/>
      <c r="P485" s="496"/>
      <c r="Q485" s="496"/>
      <c r="R485" s="496"/>
      <c r="S485" s="496"/>
      <c r="T485" s="496"/>
      <c r="U485" s="496"/>
      <c r="V485" s="496"/>
      <c r="W485" s="496"/>
      <c r="X485" s="496"/>
      <c r="Y485" s="496"/>
    </row>
    <row r="486" spans="1:25" x14ac:dyDescent="0.2">
      <c r="A486" s="496"/>
      <c r="D486" s="496"/>
    </row>
    <row r="487" spans="1:25" x14ac:dyDescent="0.2">
      <c r="A487" s="496"/>
      <c r="D487" s="496"/>
    </row>
    <row r="488" spans="1:25" s="123" customFormat="1" x14ac:dyDescent="0.2">
      <c r="A488" s="496"/>
      <c r="B488" s="496"/>
      <c r="C488" s="496"/>
      <c r="D488" s="496"/>
      <c r="E488" s="496"/>
      <c r="F488" s="496"/>
      <c r="G488" s="496"/>
      <c r="H488" s="496"/>
      <c r="I488" s="496"/>
      <c r="J488" s="496"/>
      <c r="K488" s="496"/>
      <c r="L488" s="496"/>
      <c r="M488" s="496"/>
      <c r="N488" s="496"/>
      <c r="O488" s="496"/>
      <c r="P488" s="496"/>
      <c r="Q488" s="496"/>
      <c r="R488" s="496"/>
      <c r="S488" s="496"/>
      <c r="T488" s="496"/>
      <c r="U488" s="496"/>
      <c r="V488" s="496"/>
      <c r="W488" s="496"/>
      <c r="X488" s="496"/>
      <c r="Y488" s="496"/>
    </row>
    <row r="489" spans="1:25" x14ac:dyDescent="0.2">
      <c r="A489" s="496"/>
      <c r="D489" s="496"/>
    </row>
    <row r="490" spans="1:25" x14ac:dyDescent="0.2">
      <c r="A490" s="496"/>
      <c r="D490" s="496"/>
    </row>
    <row r="491" spans="1:25" s="123" customFormat="1" x14ac:dyDescent="0.2">
      <c r="A491" s="496"/>
      <c r="B491" s="496"/>
      <c r="C491" s="496"/>
      <c r="D491" s="496"/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496"/>
      <c r="R491" s="496"/>
      <c r="S491" s="496"/>
      <c r="T491" s="496"/>
      <c r="U491" s="496"/>
      <c r="V491" s="496"/>
      <c r="W491" s="496"/>
      <c r="X491" s="496"/>
      <c r="Y491" s="496"/>
    </row>
    <row r="492" spans="1:25" x14ac:dyDescent="0.2">
      <c r="A492" s="496"/>
      <c r="D492" s="496"/>
    </row>
    <row r="493" spans="1:25" x14ac:dyDescent="0.2">
      <c r="A493" s="496"/>
      <c r="D493" s="496"/>
    </row>
    <row r="494" spans="1:25" s="123" customFormat="1" x14ac:dyDescent="0.2">
      <c r="A494" s="496"/>
      <c r="B494" s="496"/>
      <c r="C494" s="496"/>
      <c r="D494" s="496"/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496"/>
      <c r="R494" s="496"/>
      <c r="S494" s="496"/>
      <c r="T494" s="496"/>
      <c r="U494" s="496"/>
      <c r="V494" s="496"/>
      <c r="W494" s="496"/>
      <c r="X494" s="496"/>
      <c r="Y494" s="496"/>
    </row>
    <row r="495" spans="1:25" x14ac:dyDescent="0.2">
      <c r="A495" s="496"/>
      <c r="D495" s="496"/>
    </row>
    <row r="496" spans="1:25" x14ac:dyDescent="0.2">
      <c r="A496" s="496"/>
      <c r="D496" s="496"/>
    </row>
    <row r="497" spans="1:25" s="123" customFormat="1" x14ac:dyDescent="0.2">
      <c r="A497" s="496"/>
      <c r="B497" s="496"/>
      <c r="C497" s="496"/>
      <c r="D497" s="496"/>
      <c r="E497" s="496"/>
      <c r="F497" s="496"/>
      <c r="G497" s="496"/>
      <c r="H497" s="496"/>
      <c r="I497" s="496"/>
      <c r="J497" s="496"/>
      <c r="K497" s="496"/>
      <c r="L497" s="496"/>
      <c r="M497" s="496"/>
      <c r="N497" s="496"/>
      <c r="O497" s="496"/>
      <c r="P497" s="496"/>
      <c r="Q497" s="496"/>
      <c r="R497" s="496"/>
      <c r="S497" s="496"/>
      <c r="T497" s="496"/>
      <c r="U497" s="496"/>
      <c r="V497" s="496"/>
      <c r="W497" s="496"/>
      <c r="X497" s="496"/>
      <c r="Y497" s="496"/>
    </row>
    <row r="498" spans="1:25" x14ac:dyDescent="0.2">
      <c r="A498" s="496"/>
      <c r="D498" s="496"/>
    </row>
    <row r="499" spans="1:25" x14ac:dyDescent="0.2">
      <c r="A499" s="496"/>
      <c r="D499" s="496"/>
    </row>
    <row r="500" spans="1:25" s="123" customFormat="1" x14ac:dyDescent="0.2">
      <c r="A500" s="496"/>
      <c r="B500" s="496"/>
      <c r="C500" s="496"/>
      <c r="D500" s="496"/>
      <c r="E500" s="496"/>
      <c r="F500" s="496"/>
      <c r="G500" s="496"/>
      <c r="H500" s="496"/>
      <c r="I500" s="496"/>
      <c r="J500" s="496"/>
      <c r="K500" s="496"/>
      <c r="L500" s="496"/>
      <c r="M500" s="496"/>
      <c r="N500" s="496"/>
      <c r="O500" s="496"/>
      <c r="P500" s="496"/>
      <c r="Q500" s="496"/>
      <c r="R500" s="496"/>
      <c r="S500" s="496"/>
      <c r="T500" s="496"/>
      <c r="U500" s="496"/>
      <c r="V500" s="496"/>
      <c r="W500" s="496"/>
      <c r="X500" s="496"/>
      <c r="Y500" s="496"/>
    </row>
    <row r="501" spans="1:25" x14ac:dyDescent="0.2">
      <c r="A501" s="496"/>
      <c r="D501" s="496"/>
    </row>
    <row r="502" spans="1:25" x14ac:dyDescent="0.2">
      <c r="A502" s="496"/>
      <c r="D502" s="496"/>
    </row>
    <row r="503" spans="1:25" s="123" customFormat="1" x14ac:dyDescent="0.2">
      <c r="A503" s="496"/>
      <c r="B503" s="496"/>
      <c r="C503" s="496"/>
      <c r="D503" s="496"/>
      <c r="E503" s="496"/>
      <c r="F503" s="496"/>
      <c r="G503" s="496"/>
      <c r="H503" s="496"/>
      <c r="I503" s="496"/>
      <c r="J503" s="496"/>
      <c r="K503" s="496"/>
      <c r="L503" s="496"/>
      <c r="M503" s="496"/>
      <c r="N503" s="496"/>
      <c r="O503" s="496"/>
      <c r="P503" s="496"/>
      <c r="Q503" s="496"/>
      <c r="R503" s="496"/>
      <c r="S503" s="496"/>
      <c r="T503" s="496"/>
      <c r="U503" s="496"/>
      <c r="V503" s="496"/>
      <c r="W503" s="496"/>
      <c r="X503" s="496"/>
      <c r="Y503" s="496"/>
    </row>
    <row r="504" spans="1:25" x14ac:dyDescent="0.2">
      <c r="A504" s="496"/>
      <c r="D504" s="496"/>
    </row>
    <row r="505" spans="1:25" x14ac:dyDescent="0.2">
      <c r="A505" s="496"/>
      <c r="D505" s="496"/>
    </row>
    <row r="506" spans="1:25" s="123" customFormat="1" x14ac:dyDescent="0.2">
      <c r="A506" s="496"/>
      <c r="B506" s="496"/>
      <c r="C506" s="496"/>
      <c r="D506" s="496"/>
      <c r="E506" s="496"/>
      <c r="F506" s="496"/>
      <c r="G506" s="496"/>
      <c r="H506" s="496"/>
      <c r="I506" s="496"/>
      <c r="J506" s="496"/>
      <c r="K506" s="496"/>
      <c r="L506" s="496"/>
      <c r="M506" s="496"/>
      <c r="N506" s="496"/>
      <c r="O506" s="496"/>
      <c r="P506" s="496"/>
      <c r="Q506" s="496"/>
      <c r="R506" s="496"/>
      <c r="S506" s="496"/>
      <c r="T506" s="496"/>
      <c r="U506" s="496"/>
      <c r="V506" s="496"/>
      <c r="W506" s="496"/>
      <c r="X506" s="496"/>
      <c r="Y506" s="496"/>
    </row>
    <row r="507" spans="1:25" x14ac:dyDescent="0.2">
      <c r="A507" s="496"/>
      <c r="D507" s="496"/>
    </row>
    <row r="508" spans="1:25" x14ac:dyDescent="0.2">
      <c r="A508" s="496"/>
      <c r="D508" s="496"/>
    </row>
    <row r="509" spans="1:25" s="123" customFormat="1" x14ac:dyDescent="0.2">
      <c r="A509" s="496"/>
      <c r="B509" s="496"/>
      <c r="C509" s="496"/>
      <c r="D509" s="496"/>
      <c r="E509" s="496"/>
      <c r="F509" s="496"/>
      <c r="G509" s="496"/>
      <c r="H509" s="496"/>
      <c r="I509" s="496"/>
      <c r="J509" s="496"/>
      <c r="K509" s="496"/>
      <c r="L509" s="496"/>
      <c r="M509" s="496"/>
      <c r="N509" s="496"/>
      <c r="O509" s="496"/>
      <c r="P509" s="496"/>
      <c r="Q509" s="496"/>
      <c r="R509" s="496"/>
      <c r="S509" s="496"/>
      <c r="T509" s="496"/>
      <c r="U509" s="496"/>
      <c r="V509" s="496"/>
      <c r="W509" s="496"/>
      <c r="X509" s="496"/>
      <c r="Y509" s="496"/>
    </row>
    <row r="510" spans="1:25" x14ac:dyDescent="0.2">
      <c r="A510" s="496"/>
      <c r="D510" s="496"/>
    </row>
    <row r="511" spans="1:25" x14ac:dyDescent="0.2">
      <c r="A511" s="496"/>
      <c r="D511" s="496"/>
    </row>
    <row r="512" spans="1:25" s="123" customFormat="1" x14ac:dyDescent="0.2">
      <c r="A512" s="496"/>
      <c r="B512" s="496"/>
      <c r="C512" s="496"/>
      <c r="D512" s="496"/>
      <c r="E512" s="496"/>
      <c r="F512" s="496"/>
      <c r="G512" s="496"/>
      <c r="H512" s="496"/>
      <c r="I512" s="496"/>
      <c r="J512" s="496"/>
      <c r="K512" s="496"/>
      <c r="L512" s="496"/>
      <c r="M512" s="496"/>
      <c r="N512" s="496"/>
      <c r="O512" s="496"/>
      <c r="P512" s="496"/>
      <c r="Q512" s="496"/>
      <c r="R512" s="496"/>
      <c r="S512" s="496"/>
      <c r="T512" s="496"/>
      <c r="U512" s="496"/>
      <c r="V512" s="496"/>
      <c r="W512" s="496"/>
      <c r="X512" s="496"/>
      <c r="Y512" s="496"/>
    </row>
    <row r="513" spans="1:25" x14ac:dyDescent="0.2">
      <c r="A513" s="496"/>
      <c r="D513" s="496"/>
    </row>
    <row r="514" spans="1:25" x14ac:dyDescent="0.2">
      <c r="A514" s="496"/>
      <c r="D514" s="496"/>
    </row>
    <row r="515" spans="1:25" s="123" customFormat="1" x14ac:dyDescent="0.2">
      <c r="A515" s="496"/>
      <c r="B515" s="496"/>
      <c r="C515" s="496"/>
      <c r="D515" s="496"/>
      <c r="E515" s="496"/>
      <c r="F515" s="496"/>
      <c r="G515" s="496"/>
      <c r="H515" s="496"/>
      <c r="I515" s="496"/>
      <c r="J515" s="496"/>
      <c r="K515" s="496"/>
      <c r="L515" s="496"/>
      <c r="M515" s="496"/>
      <c r="N515" s="496"/>
      <c r="O515" s="496"/>
      <c r="P515" s="496"/>
      <c r="Q515" s="496"/>
      <c r="R515" s="496"/>
      <c r="S515" s="496"/>
      <c r="T515" s="496"/>
      <c r="U515" s="496"/>
      <c r="V515" s="496"/>
      <c r="W515" s="496"/>
      <c r="X515" s="496"/>
      <c r="Y515" s="496"/>
    </row>
    <row r="516" spans="1:25" x14ac:dyDescent="0.2">
      <c r="A516" s="496"/>
      <c r="D516" s="496"/>
    </row>
    <row r="517" spans="1:25" x14ac:dyDescent="0.2">
      <c r="A517" s="496"/>
      <c r="D517" s="496"/>
    </row>
    <row r="518" spans="1:25" s="123" customFormat="1" x14ac:dyDescent="0.2">
      <c r="A518" s="496"/>
      <c r="B518" s="496"/>
      <c r="C518" s="496"/>
      <c r="D518" s="496"/>
      <c r="E518" s="496"/>
      <c r="F518" s="496"/>
      <c r="G518" s="496"/>
      <c r="H518" s="496"/>
      <c r="I518" s="496"/>
      <c r="J518" s="496"/>
      <c r="K518" s="496"/>
      <c r="L518" s="496"/>
      <c r="M518" s="496"/>
      <c r="N518" s="496"/>
      <c r="O518" s="496"/>
      <c r="P518" s="496"/>
      <c r="Q518" s="496"/>
      <c r="R518" s="496"/>
      <c r="S518" s="496"/>
      <c r="T518" s="496"/>
      <c r="U518" s="496"/>
      <c r="V518" s="496"/>
      <c r="W518" s="496"/>
      <c r="X518" s="496"/>
      <c r="Y518" s="496"/>
    </row>
    <row r="519" spans="1:25" x14ac:dyDescent="0.2">
      <c r="A519" s="496"/>
      <c r="D519" s="496"/>
    </row>
    <row r="520" spans="1:25" x14ac:dyDescent="0.2">
      <c r="A520" s="496"/>
      <c r="D520" s="496"/>
    </row>
    <row r="521" spans="1:25" s="123" customFormat="1" x14ac:dyDescent="0.2">
      <c r="A521" s="496"/>
      <c r="B521" s="496"/>
      <c r="C521" s="496"/>
      <c r="D521" s="496"/>
      <c r="E521" s="496"/>
      <c r="F521" s="496"/>
      <c r="G521" s="496"/>
      <c r="H521" s="496"/>
      <c r="I521" s="496"/>
      <c r="J521" s="496"/>
      <c r="K521" s="496"/>
      <c r="L521" s="496"/>
      <c r="M521" s="496"/>
      <c r="N521" s="496"/>
      <c r="O521" s="496"/>
      <c r="P521" s="496"/>
      <c r="Q521" s="496"/>
      <c r="R521" s="496"/>
      <c r="S521" s="496"/>
      <c r="T521" s="496"/>
      <c r="U521" s="496"/>
      <c r="V521" s="496"/>
      <c r="W521" s="496"/>
      <c r="X521" s="496"/>
      <c r="Y521" s="496"/>
    </row>
    <row r="522" spans="1:25" x14ac:dyDescent="0.2">
      <c r="A522" s="496"/>
      <c r="D522" s="496"/>
    </row>
    <row r="523" spans="1:25" x14ac:dyDescent="0.2">
      <c r="A523" s="496"/>
      <c r="D523" s="496"/>
    </row>
    <row r="524" spans="1:25" s="123" customFormat="1" x14ac:dyDescent="0.2">
      <c r="A524" s="496"/>
      <c r="B524" s="496"/>
      <c r="C524" s="496"/>
      <c r="D524" s="496"/>
      <c r="E524" s="496"/>
      <c r="F524" s="496"/>
      <c r="G524" s="496"/>
      <c r="H524" s="496"/>
      <c r="I524" s="496"/>
      <c r="J524" s="496"/>
      <c r="K524" s="496"/>
      <c r="L524" s="496"/>
      <c r="M524" s="496"/>
      <c r="N524" s="496"/>
      <c r="O524" s="496"/>
      <c r="P524" s="496"/>
      <c r="Q524" s="496"/>
      <c r="R524" s="496"/>
      <c r="S524" s="496"/>
      <c r="T524" s="496"/>
      <c r="U524" s="496"/>
      <c r="V524" s="496"/>
      <c r="W524" s="496"/>
      <c r="X524" s="496"/>
      <c r="Y524" s="496"/>
    </row>
    <row r="525" spans="1:25" x14ac:dyDescent="0.2">
      <c r="A525" s="496"/>
      <c r="D525" s="496"/>
    </row>
    <row r="526" spans="1:25" x14ac:dyDescent="0.2">
      <c r="A526" s="496"/>
      <c r="D526" s="496"/>
    </row>
    <row r="527" spans="1:25" s="123" customFormat="1" x14ac:dyDescent="0.2">
      <c r="A527" s="496"/>
      <c r="B527" s="496"/>
      <c r="C527" s="496"/>
      <c r="D527" s="496"/>
      <c r="E527" s="496"/>
      <c r="F527" s="496"/>
      <c r="G527" s="496"/>
      <c r="H527" s="496"/>
      <c r="I527" s="496"/>
      <c r="J527" s="496"/>
      <c r="K527" s="496"/>
      <c r="L527" s="496"/>
      <c r="M527" s="496"/>
      <c r="N527" s="496"/>
      <c r="O527" s="496"/>
      <c r="P527" s="496"/>
      <c r="Q527" s="496"/>
      <c r="R527" s="496"/>
      <c r="S527" s="496"/>
      <c r="T527" s="496"/>
      <c r="U527" s="496"/>
      <c r="V527" s="496"/>
      <c r="W527" s="496"/>
      <c r="X527" s="496"/>
      <c r="Y527" s="496"/>
    </row>
    <row r="528" spans="1:25" x14ac:dyDescent="0.2">
      <c r="A528" s="496"/>
      <c r="D528" s="496"/>
    </row>
    <row r="529" spans="1:25" x14ac:dyDescent="0.2">
      <c r="A529" s="496"/>
      <c r="D529" s="496"/>
    </row>
    <row r="530" spans="1:25" s="123" customFormat="1" x14ac:dyDescent="0.2">
      <c r="A530" s="496"/>
      <c r="B530" s="496"/>
      <c r="C530" s="496"/>
      <c r="D530" s="496"/>
      <c r="E530" s="496"/>
      <c r="F530" s="496"/>
      <c r="G530" s="496"/>
      <c r="H530" s="496"/>
      <c r="I530" s="496"/>
      <c r="J530" s="496"/>
      <c r="K530" s="496"/>
      <c r="L530" s="496"/>
      <c r="M530" s="496"/>
      <c r="N530" s="496"/>
      <c r="O530" s="496"/>
      <c r="P530" s="496"/>
      <c r="Q530" s="496"/>
      <c r="R530" s="496"/>
      <c r="S530" s="496"/>
      <c r="T530" s="496"/>
      <c r="U530" s="496"/>
      <c r="V530" s="496"/>
      <c r="W530" s="496"/>
      <c r="X530" s="496"/>
      <c r="Y530" s="496"/>
    </row>
    <row r="531" spans="1:25" x14ac:dyDescent="0.2">
      <c r="A531" s="496"/>
      <c r="D531" s="496"/>
    </row>
    <row r="532" spans="1:25" x14ac:dyDescent="0.2">
      <c r="A532" s="496"/>
      <c r="D532" s="496"/>
    </row>
    <row r="533" spans="1:25" s="123" customFormat="1" x14ac:dyDescent="0.2">
      <c r="A533" s="496"/>
      <c r="B533" s="496"/>
      <c r="C533" s="496"/>
      <c r="D533" s="496"/>
      <c r="E533" s="496"/>
      <c r="F533" s="496"/>
      <c r="G533" s="496"/>
      <c r="H533" s="496"/>
      <c r="I533" s="496"/>
      <c r="J533" s="496"/>
      <c r="K533" s="496"/>
      <c r="L533" s="496"/>
      <c r="M533" s="496"/>
      <c r="N533" s="496"/>
      <c r="O533" s="496"/>
      <c r="P533" s="496"/>
      <c r="Q533" s="496"/>
      <c r="R533" s="496"/>
      <c r="S533" s="496"/>
      <c r="T533" s="496"/>
      <c r="U533" s="496"/>
      <c r="V533" s="496"/>
      <c r="W533" s="496"/>
      <c r="X533" s="496"/>
      <c r="Y533" s="496"/>
    </row>
    <row r="534" spans="1:25" x14ac:dyDescent="0.2">
      <c r="A534" s="496"/>
      <c r="D534" s="496"/>
    </row>
    <row r="535" spans="1:25" x14ac:dyDescent="0.2">
      <c r="A535" s="496"/>
      <c r="D535" s="496"/>
    </row>
    <row r="536" spans="1:25" s="123" customFormat="1" x14ac:dyDescent="0.2">
      <c r="A536" s="496"/>
      <c r="B536" s="496"/>
      <c r="C536" s="496"/>
      <c r="D536" s="496"/>
      <c r="E536" s="496"/>
      <c r="F536" s="496"/>
      <c r="G536" s="496"/>
      <c r="H536" s="496"/>
      <c r="I536" s="496"/>
      <c r="J536" s="496"/>
      <c r="K536" s="496"/>
      <c r="L536" s="496"/>
      <c r="M536" s="496"/>
      <c r="N536" s="496"/>
      <c r="O536" s="496"/>
      <c r="P536" s="496"/>
      <c r="Q536" s="496"/>
      <c r="R536" s="496"/>
      <c r="S536" s="496"/>
      <c r="T536" s="496"/>
      <c r="U536" s="496"/>
      <c r="V536" s="496"/>
      <c r="W536" s="496"/>
      <c r="X536" s="496"/>
      <c r="Y536" s="496"/>
    </row>
    <row r="537" spans="1:25" x14ac:dyDescent="0.2">
      <c r="A537" s="496"/>
      <c r="D537" s="496"/>
    </row>
    <row r="538" spans="1:25" x14ac:dyDescent="0.2">
      <c r="A538" s="496"/>
      <c r="D538" s="496"/>
    </row>
    <row r="539" spans="1:25" s="123" customFormat="1" x14ac:dyDescent="0.2">
      <c r="A539" s="496"/>
      <c r="B539" s="496"/>
      <c r="C539" s="496"/>
      <c r="D539" s="496"/>
      <c r="E539" s="496"/>
      <c r="F539" s="496"/>
      <c r="G539" s="496"/>
      <c r="H539" s="496"/>
      <c r="I539" s="496"/>
      <c r="J539" s="496"/>
      <c r="K539" s="496"/>
      <c r="L539" s="496"/>
      <c r="M539" s="496"/>
      <c r="N539" s="496"/>
      <c r="O539" s="496"/>
      <c r="P539" s="496"/>
      <c r="Q539" s="496"/>
      <c r="R539" s="496"/>
      <c r="S539" s="496"/>
      <c r="T539" s="496"/>
      <c r="U539" s="496"/>
      <c r="V539" s="496"/>
      <c r="W539" s="496"/>
      <c r="X539" s="496"/>
      <c r="Y539" s="496"/>
    </row>
    <row r="540" spans="1:25" x14ac:dyDescent="0.2">
      <c r="A540" s="496"/>
      <c r="D540" s="496"/>
    </row>
    <row r="541" spans="1:25" x14ac:dyDescent="0.2">
      <c r="A541" s="496"/>
      <c r="D541" s="496"/>
    </row>
    <row r="542" spans="1:25" s="123" customFormat="1" x14ac:dyDescent="0.2">
      <c r="A542" s="496"/>
      <c r="B542" s="496"/>
      <c r="C542" s="496"/>
      <c r="D542" s="496"/>
      <c r="E542" s="496"/>
      <c r="F542" s="496"/>
      <c r="G542" s="496"/>
      <c r="H542" s="496"/>
      <c r="I542" s="496"/>
      <c r="J542" s="496"/>
      <c r="K542" s="496"/>
      <c r="L542" s="496"/>
      <c r="M542" s="496"/>
      <c r="N542" s="496"/>
      <c r="O542" s="496"/>
      <c r="P542" s="496"/>
      <c r="Q542" s="496"/>
      <c r="R542" s="496"/>
      <c r="S542" s="496"/>
      <c r="T542" s="496"/>
      <c r="U542" s="496"/>
      <c r="V542" s="496"/>
      <c r="W542" s="496"/>
      <c r="X542" s="496"/>
      <c r="Y542" s="496"/>
    </row>
    <row r="543" spans="1:25" x14ac:dyDescent="0.2">
      <c r="A543" s="496"/>
      <c r="D543" s="496"/>
    </row>
    <row r="544" spans="1:25" x14ac:dyDescent="0.2">
      <c r="A544" s="496"/>
      <c r="D544" s="496"/>
    </row>
    <row r="545" spans="1:25" s="123" customFormat="1" x14ac:dyDescent="0.2">
      <c r="A545" s="496"/>
      <c r="B545" s="496"/>
      <c r="C545" s="496"/>
      <c r="D545" s="496"/>
      <c r="E545" s="496"/>
      <c r="F545" s="496"/>
      <c r="G545" s="496"/>
      <c r="H545" s="496"/>
      <c r="I545" s="496"/>
      <c r="J545" s="496"/>
      <c r="K545" s="496"/>
      <c r="L545" s="496"/>
      <c r="M545" s="496"/>
      <c r="N545" s="496"/>
      <c r="O545" s="496"/>
      <c r="P545" s="496"/>
      <c r="Q545" s="496"/>
      <c r="R545" s="496"/>
      <c r="S545" s="496"/>
      <c r="T545" s="496"/>
      <c r="U545" s="496"/>
      <c r="V545" s="496"/>
      <c r="W545" s="496"/>
      <c r="X545" s="496"/>
      <c r="Y545" s="496"/>
    </row>
    <row r="546" spans="1:25" x14ac:dyDescent="0.2">
      <c r="A546" s="496"/>
      <c r="D546" s="496"/>
    </row>
    <row r="547" spans="1:25" x14ac:dyDescent="0.2">
      <c r="A547" s="496"/>
      <c r="D547" s="496"/>
    </row>
    <row r="548" spans="1:25" s="123" customFormat="1" x14ac:dyDescent="0.2">
      <c r="A548" s="496"/>
      <c r="B548" s="496"/>
      <c r="C548" s="496"/>
      <c r="D548" s="496"/>
      <c r="E548" s="496"/>
      <c r="F548" s="496"/>
      <c r="G548" s="496"/>
      <c r="H548" s="496"/>
      <c r="I548" s="496"/>
      <c r="J548" s="496"/>
      <c r="K548" s="496"/>
      <c r="L548" s="496"/>
      <c r="M548" s="496"/>
      <c r="N548" s="496"/>
      <c r="O548" s="496"/>
      <c r="P548" s="496"/>
      <c r="Q548" s="496"/>
      <c r="R548" s="496"/>
      <c r="S548" s="496"/>
      <c r="T548" s="496"/>
      <c r="U548" s="496"/>
      <c r="V548" s="496"/>
      <c r="W548" s="496"/>
      <c r="X548" s="496"/>
      <c r="Y548" s="496"/>
    </row>
    <row r="549" spans="1:25" x14ac:dyDescent="0.2">
      <c r="A549" s="496"/>
      <c r="D549" s="496"/>
    </row>
    <row r="550" spans="1:25" x14ac:dyDescent="0.2">
      <c r="A550" s="496"/>
      <c r="D550" s="496"/>
    </row>
    <row r="551" spans="1:25" s="123" customFormat="1" x14ac:dyDescent="0.2">
      <c r="A551" s="496"/>
      <c r="B551" s="496"/>
      <c r="C551" s="496"/>
      <c r="D551" s="496"/>
      <c r="E551" s="496"/>
      <c r="F551" s="496"/>
      <c r="G551" s="496"/>
      <c r="H551" s="496"/>
      <c r="I551" s="496"/>
      <c r="J551" s="496"/>
      <c r="K551" s="496"/>
      <c r="L551" s="496"/>
      <c r="M551" s="496"/>
      <c r="N551" s="496"/>
      <c r="O551" s="496"/>
      <c r="P551" s="496"/>
      <c r="Q551" s="496"/>
      <c r="R551" s="496"/>
      <c r="S551" s="496"/>
      <c r="T551" s="496"/>
      <c r="U551" s="496"/>
      <c r="V551" s="496"/>
      <c r="W551" s="496"/>
      <c r="X551" s="496"/>
      <c r="Y551" s="496"/>
    </row>
    <row r="552" spans="1:25" x14ac:dyDescent="0.2">
      <c r="A552" s="496"/>
      <c r="D552" s="496"/>
    </row>
    <row r="553" spans="1:25" x14ac:dyDescent="0.2">
      <c r="A553" s="496"/>
      <c r="D553" s="496"/>
    </row>
    <row r="554" spans="1:25" s="123" customFormat="1" x14ac:dyDescent="0.2">
      <c r="A554" s="496"/>
      <c r="B554" s="496"/>
      <c r="C554" s="496"/>
      <c r="D554" s="496"/>
      <c r="E554" s="496"/>
      <c r="F554" s="496"/>
      <c r="G554" s="496"/>
      <c r="H554" s="496"/>
      <c r="I554" s="496"/>
      <c r="J554" s="496"/>
      <c r="K554" s="496"/>
      <c r="L554" s="496"/>
      <c r="M554" s="496"/>
      <c r="N554" s="496"/>
      <c r="O554" s="496"/>
      <c r="P554" s="496"/>
      <c r="Q554" s="496"/>
      <c r="R554" s="496"/>
      <c r="S554" s="496"/>
      <c r="T554" s="496"/>
      <c r="U554" s="496"/>
      <c r="V554" s="496"/>
      <c r="W554" s="496"/>
      <c r="X554" s="496"/>
      <c r="Y554" s="496"/>
    </row>
    <row r="555" spans="1:25" x14ac:dyDescent="0.2">
      <c r="A555" s="496"/>
      <c r="D555" s="496"/>
    </row>
    <row r="556" spans="1:25" x14ac:dyDescent="0.2">
      <c r="A556" s="496"/>
      <c r="D556" s="496"/>
    </row>
    <row r="557" spans="1:25" s="123" customFormat="1" x14ac:dyDescent="0.2">
      <c r="A557" s="496"/>
      <c r="B557" s="496"/>
      <c r="C557" s="496"/>
      <c r="D557" s="496"/>
      <c r="E557" s="496"/>
      <c r="F557" s="496"/>
      <c r="G557" s="496"/>
      <c r="H557" s="496"/>
      <c r="I557" s="496"/>
      <c r="J557" s="496"/>
      <c r="K557" s="496"/>
      <c r="L557" s="496"/>
      <c r="M557" s="496"/>
      <c r="N557" s="496"/>
      <c r="O557" s="496"/>
      <c r="P557" s="496"/>
      <c r="Q557" s="496"/>
      <c r="R557" s="496"/>
      <c r="S557" s="496"/>
      <c r="T557" s="496"/>
      <c r="U557" s="496"/>
      <c r="V557" s="496"/>
      <c r="W557" s="496"/>
      <c r="X557" s="496"/>
      <c r="Y557" s="496"/>
    </row>
    <row r="558" spans="1:25" x14ac:dyDescent="0.2">
      <c r="A558" s="496"/>
      <c r="D558" s="496"/>
    </row>
    <row r="559" spans="1:25" x14ac:dyDescent="0.2">
      <c r="A559" s="496"/>
      <c r="D559" s="496"/>
    </row>
    <row r="560" spans="1:25" s="123" customFormat="1" x14ac:dyDescent="0.2">
      <c r="A560" s="496"/>
      <c r="B560" s="496"/>
      <c r="C560" s="496"/>
      <c r="D560" s="496"/>
      <c r="E560" s="496"/>
      <c r="F560" s="496"/>
      <c r="G560" s="496"/>
      <c r="H560" s="496"/>
      <c r="I560" s="496"/>
      <c r="J560" s="496"/>
      <c r="K560" s="496"/>
      <c r="L560" s="496"/>
      <c r="M560" s="496"/>
      <c r="N560" s="496"/>
      <c r="O560" s="496"/>
      <c r="P560" s="496"/>
      <c r="Q560" s="496"/>
      <c r="R560" s="496"/>
      <c r="S560" s="496"/>
      <c r="T560" s="496"/>
      <c r="U560" s="496"/>
      <c r="V560" s="496"/>
      <c r="W560" s="496"/>
      <c r="X560" s="496"/>
      <c r="Y560" s="496"/>
    </row>
    <row r="561" spans="1:25" x14ac:dyDescent="0.2">
      <c r="A561" s="496"/>
      <c r="D561" s="496"/>
    </row>
    <row r="562" spans="1:25" x14ac:dyDescent="0.2">
      <c r="A562" s="496"/>
      <c r="D562" s="496"/>
    </row>
    <row r="563" spans="1:25" s="123" customFormat="1" x14ac:dyDescent="0.2">
      <c r="A563" s="496"/>
      <c r="B563" s="496"/>
      <c r="C563" s="496"/>
      <c r="D563" s="496"/>
      <c r="E563" s="496"/>
      <c r="F563" s="496"/>
      <c r="G563" s="496"/>
      <c r="H563" s="496"/>
      <c r="I563" s="496"/>
      <c r="J563" s="496"/>
      <c r="K563" s="496"/>
      <c r="L563" s="496"/>
      <c r="M563" s="496"/>
      <c r="N563" s="496"/>
      <c r="O563" s="496"/>
      <c r="P563" s="496"/>
      <c r="Q563" s="496"/>
      <c r="R563" s="496"/>
      <c r="S563" s="496"/>
      <c r="T563" s="496"/>
      <c r="U563" s="496"/>
      <c r="V563" s="496"/>
      <c r="W563" s="496"/>
      <c r="X563" s="496"/>
      <c r="Y563" s="496"/>
    </row>
    <row r="564" spans="1:25" x14ac:dyDescent="0.2">
      <c r="A564" s="496"/>
      <c r="D564" s="496"/>
    </row>
    <row r="565" spans="1:25" x14ac:dyDescent="0.2">
      <c r="A565" s="496"/>
      <c r="D565" s="496"/>
    </row>
    <row r="566" spans="1:25" s="123" customFormat="1" x14ac:dyDescent="0.2">
      <c r="A566" s="496"/>
      <c r="B566" s="496"/>
      <c r="C566" s="496"/>
      <c r="D566" s="496"/>
      <c r="E566" s="496"/>
      <c r="F566" s="496"/>
      <c r="G566" s="496"/>
      <c r="H566" s="496"/>
      <c r="I566" s="496"/>
      <c r="J566" s="496"/>
      <c r="K566" s="496"/>
      <c r="L566" s="496"/>
      <c r="M566" s="496"/>
      <c r="N566" s="496"/>
      <c r="O566" s="496"/>
      <c r="P566" s="496"/>
      <c r="Q566" s="496"/>
      <c r="R566" s="496"/>
      <c r="S566" s="496"/>
      <c r="T566" s="496"/>
      <c r="U566" s="496"/>
      <c r="V566" s="496"/>
      <c r="W566" s="496"/>
      <c r="X566" s="496"/>
      <c r="Y566" s="496"/>
    </row>
    <row r="567" spans="1:25" x14ac:dyDescent="0.2">
      <c r="A567" s="496"/>
      <c r="D567" s="496"/>
    </row>
    <row r="568" spans="1:25" x14ac:dyDescent="0.2">
      <c r="A568" s="496"/>
      <c r="D568" s="496"/>
    </row>
    <row r="569" spans="1:25" s="123" customFormat="1" x14ac:dyDescent="0.2">
      <c r="A569" s="496"/>
      <c r="B569" s="496"/>
      <c r="C569" s="496"/>
      <c r="D569" s="496"/>
      <c r="E569" s="496"/>
      <c r="F569" s="496"/>
      <c r="G569" s="496"/>
      <c r="H569" s="496"/>
      <c r="I569" s="496"/>
      <c r="J569" s="496"/>
      <c r="K569" s="496"/>
      <c r="L569" s="496"/>
      <c r="M569" s="496"/>
      <c r="N569" s="496"/>
      <c r="O569" s="496"/>
      <c r="P569" s="496"/>
      <c r="Q569" s="496"/>
      <c r="R569" s="496"/>
      <c r="S569" s="496"/>
      <c r="T569" s="496"/>
      <c r="U569" s="496"/>
      <c r="V569" s="496"/>
      <c r="W569" s="496"/>
      <c r="X569" s="496"/>
      <c r="Y569" s="496"/>
    </row>
    <row r="570" spans="1:25" x14ac:dyDescent="0.2">
      <c r="A570" s="496"/>
      <c r="D570" s="496"/>
    </row>
    <row r="571" spans="1:25" x14ac:dyDescent="0.2">
      <c r="A571" s="496"/>
      <c r="D571" s="496"/>
    </row>
    <row r="572" spans="1:25" s="123" customFormat="1" x14ac:dyDescent="0.2">
      <c r="A572" s="496"/>
      <c r="B572" s="496"/>
      <c r="C572" s="496"/>
      <c r="D572" s="496"/>
      <c r="E572" s="496"/>
      <c r="F572" s="496"/>
      <c r="G572" s="496"/>
      <c r="H572" s="496"/>
      <c r="I572" s="496"/>
      <c r="J572" s="496"/>
      <c r="K572" s="496"/>
      <c r="L572" s="496"/>
      <c r="M572" s="496"/>
      <c r="N572" s="496"/>
      <c r="O572" s="496"/>
      <c r="P572" s="496"/>
      <c r="Q572" s="496"/>
      <c r="R572" s="496"/>
      <c r="S572" s="496"/>
      <c r="T572" s="496"/>
      <c r="U572" s="496"/>
      <c r="V572" s="496"/>
      <c r="W572" s="496"/>
      <c r="X572" s="496"/>
      <c r="Y572" s="496"/>
    </row>
    <row r="573" spans="1:25" x14ac:dyDescent="0.2">
      <c r="A573" s="496"/>
      <c r="D573" s="496"/>
    </row>
    <row r="574" spans="1:25" x14ac:dyDescent="0.2">
      <c r="A574" s="496"/>
      <c r="D574" s="496"/>
    </row>
    <row r="575" spans="1:25" s="123" customFormat="1" x14ac:dyDescent="0.2">
      <c r="A575" s="496"/>
      <c r="B575" s="496"/>
      <c r="C575" s="496"/>
      <c r="D575" s="496"/>
      <c r="E575" s="496"/>
      <c r="F575" s="496"/>
      <c r="G575" s="496"/>
      <c r="H575" s="496"/>
      <c r="I575" s="496"/>
      <c r="J575" s="496"/>
      <c r="K575" s="496"/>
      <c r="L575" s="496"/>
      <c r="M575" s="496"/>
      <c r="N575" s="496"/>
      <c r="O575" s="496"/>
      <c r="P575" s="496"/>
      <c r="Q575" s="496"/>
      <c r="R575" s="496"/>
      <c r="S575" s="496"/>
      <c r="T575" s="496"/>
      <c r="U575" s="496"/>
      <c r="V575" s="496"/>
      <c r="W575" s="496"/>
      <c r="X575" s="496"/>
      <c r="Y575" s="496"/>
    </row>
    <row r="576" spans="1:25" x14ac:dyDescent="0.2">
      <c r="A576" s="496"/>
      <c r="D576" s="496"/>
    </row>
    <row r="577" spans="1:25" x14ac:dyDescent="0.2">
      <c r="A577" s="496"/>
      <c r="D577" s="496"/>
    </row>
    <row r="578" spans="1:25" s="123" customFormat="1" x14ac:dyDescent="0.2">
      <c r="A578" s="496"/>
      <c r="B578" s="496"/>
      <c r="C578" s="496"/>
      <c r="D578" s="496"/>
      <c r="E578" s="496"/>
      <c r="F578" s="496"/>
      <c r="G578" s="496"/>
      <c r="H578" s="496"/>
      <c r="I578" s="496"/>
      <c r="J578" s="496"/>
      <c r="K578" s="496"/>
      <c r="L578" s="496"/>
      <c r="M578" s="496"/>
      <c r="N578" s="496"/>
      <c r="O578" s="496"/>
      <c r="P578" s="496"/>
      <c r="Q578" s="496"/>
      <c r="R578" s="496"/>
      <c r="S578" s="496"/>
      <c r="T578" s="496"/>
      <c r="U578" s="496"/>
      <c r="V578" s="496"/>
      <c r="W578" s="496"/>
      <c r="X578" s="496"/>
      <c r="Y578" s="496"/>
    </row>
    <row r="579" spans="1:25" x14ac:dyDescent="0.2">
      <c r="A579" s="496"/>
      <c r="D579" s="496"/>
    </row>
    <row r="580" spans="1:25" x14ac:dyDescent="0.2">
      <c r="A580" s="496"/>
      <c r="D580" s="496"/>
    </row>
    <row r="581" spans="1:25" s="123" customFormat="1" x14ac:dyDescent="0.2">
      <c r="A581" s="496"/>
      <c r="B581" s="496"/>
      <c r="C581" s="496"/>
      <c r="D581" s="496"/>
      <c r="E581" s="496"/>
      <c r="F581" s="496"/>
      <c r="G581" s="496"/>
      <c r="H581" s="496"/>
      <c r="I581" s="496"/>
      <c r="J581" s="496"/>
      <c r="K581" s="496"/>
      <c r="L581" s="496"/>
      <c r="M581" s="496"/>
      <c r="N581" s="496"/>
      <c r="O581" s="496"/>
      <c r="P581" s="496"/>
      <c r="Q581" s="496"/>
      <c r="R581" s="496"/>
      <c r="S581" s="496"/>
      <c r="T581" s="496"/>
      <c r="U581" s="496"/>
      <c r="V581" s="496"/>
      <c r="W581" s="496"/>
      <c r="X581" s="496"/>
      <c r="Y581" s="496"/>
    </row>
    <row r="582" spans="1:25" x14ac:dyDescent="0.2">
      <c r="A582" s="496"/>
      <c r="D582" s="496"/>
    </row>
    <row r="583" spans="1:25" x14ac:dyDescent="0.2">
      <c r="A583" s="496"/>
      <c r="D583" s="496"/>
    </row>
    <row r="584" spans="1:25" s="123" customFormat="1" x14ac:dyDescent="0.2">
      <c r="A584" s="496"/>
      <c r="B584" s="496"/>
      <c r="C584" s="496"/>
      <c r="D584" s="496"/>
      <c r="E584" s="496"/>
      <c r="F584" s="496"/>
      <c r="G584" s="496"/>
      <c r="H584" s="496"/>
      <c r="I584" s="496"/>
      <c r="J584" s="496"/>
      <c r="K584" s="496"/>
      <c r="L584" s="496"/>
      <c r="M584" s="496"/>
      <c r="N584" s="496"/>
      <c r="O584" s="496"/>
      <c r="P584" s="496"/>
      <c r="Q584" s="496"/>
      <c r="R584" s="496"/>
      <c r="S584" s="496"/>
      <c r="T584" s="496"/>
      <c r="U584" s="496"/>
      <c r="V584" s="496"/>
      <c r="W584" s="496"/>
      <c r="X584" s="496"/>
      <c r="Y584" s="496"/>
    </row>
    <row r="585" spans="1:25" x14ac:dyDescent="0.2">
      <c r="A585" s="496"/>
      <c r="D585" s="496"/>
    </row>
    <row r="586" spans="1:25" x14ac:dyDescent="0.2">
      <c r="A586" s="496"/>
      <c r="D586" s="496"/>
    </row>
    <row r="587" spans="1:25" s="123" customFormat="1" x14ac:dyDescent="0.2">
      <c r="A587" s="496"/>
      <c r="B587" s="496"/>
      <c r="C587" s="496"/>
      <c r="D587" s="496"/>
      <c r="E587" s="496"/>
      <c r="F587" s="496"/>
      <c r="G587" s="496"/>
      <c r="H587" s="496"/>
      <c r="I587" s="496"/>
      <c r="J587" s="496"/>
      <c r="K587" s="496"/>
      <c r="L587" s="496"/>
      <c r="M587" s="496"/>
      <c r="N587" s="496"/>
      <c r="O587" s="496"/>
      <c r="P587" s="496"/>
      <c r="Q587" s="496"/>
      <c r="R587" s="496"/>
      <c r="S587" s="496"/>
      <c r="T587" s="496"/>
      <c r="U587" s="496"/>
      <c r="V587" s="496"/>
      <c r="W587" s="496"/>
      <c r="X587" s="496"/>
      <c r="Y587" s="496"/>
    </row>
    <row r="588" spans="1:25" x14ac:dyDescent="0.2">
      <c r="A588" s="496"/>
      <c r="D588" s="496"/>
    </row>
    <row r="589" spans="1:25" x14ac:dyDescent="0.2">
      <c r="A589" s="496"/>
      <c r="D589" s="496"/>
    </row>
    <row r="590" spans="1:25" s="123" customFormat="1" x14ac:dyDescent="0.2">
      <c r="A590" s="496"/>
      <c r="B590" s="496"/>
      <c r="C590" s="496"/>
      <c r="D590" s="496"/>
      <c r="E590" s="496"/>
      <c r="F590" s="496"/>
      <c r="G590" s="496"/>
      <c r="H590" s="496"/>
      <c r="I590" s="496"/>
      <c r="J590" s="496"/>
      <c r="K590" s="496"/>
      <c r="L590" s="496"/>
      <c r="M590" s="496"/>
      <c r="N590" s="496"/>
      <c r="O590" s="496"/>
      <c r="P590" s="496"/>
      <c r="Q590" s="496"/>
      <c r="R590" s="496"/>
      <c r="S590" s="496"/>
      <c r="T590" s="496"/>
      <c r="U590" s="496"/>
      <c r="V590" s="496"/>
      <c r="W590" s="496"/>
      <c r="X590" s="496"/>
      <c r="Y590" s="496"/>
    </row>
    <row r="591" spans="1:25" x14ac:dyDescent="0.2">
      <c r="A591" s="496"/>
      <c r="D591" s="496"/>
    </row>
    <row r="592" spans="1:25" x14ac:dyDescent="0.2">
      <c r="A592" s="496"/>
      <c r="D592" s="496"/>
    </row>
    <row r="593" spans="1:25" s="123" customFormat="1" x14ac:dyDescent="0.2">
      <c r="A593" s="496"/>
      <c r="B593" s="496"/>
      <c r="C593" s="496"/>
      <c r="D593" s="496"/>
      <c r="E593" s="496"/>
      <c r="F593" s="496"/>
      <c r="G593" s="496"/>
      <c r="H593" s="496"/>
      <c r="I593" s="496"/>
      <c r="J593" s="496"/>
      <c r="K593" s="496"/>
      <c r="L593" s="496"/>
      <c r="M593" s="496"/>
      <c r="N593" s="496"/>
      <c r="O593" s="496"/>
      <c r="P593" s="496"/>
      <c r="Q593" s="496"/>
      <c r="R593" s="496"/>
      <c r="S593" s="496"/>
      <c r="T593" s="496"/>
      <c r="U593" s="496"/>
      <c r="V593" s="496"/>
      <c r="W593" s="496"/>
      <c r="X593" s="496"/>
      <c r="Y593" s="496"/>
    </row>
    <row r="594" spans="1:25" x14ac:dyDescent="0.2">
      <c r="A594" s="496"/>
      <c r="D594" s="496"/>
    </row>
    <row r="595" spans="1:25" x14ac:dyDescent="0.2">
      <c r="A595" s="496"/>
      <c r="D595" s="496"/>
    </row>
    <row r="596" spans="1:25" s="123" customFormat="1" x14ac:dyDescent="0.2">
      <c r="A596" s="496"/>
      <c r="B596" s="496"/>
      <c r="C596" s="496"/>
      <c r="D596" s="496"/>
      <c r="E596" s="496"/>
      <c r="F596" s="496"/>
      <c r="G596" s="496"/>
      <c r="H596" s="496"/>
      <c r="I596" s="496"/>
      <c r="J596" s="496"/>
      <c r="K596" s="496"/>
      <c r="L596" s="496"/>
      <c r="M596" s="496"/>
      <c r="N596" s="496"/>
      <c r="O596" s="496"/>
      <c r="P596" s="496"/>
      <c r="Q596" s="496"/>
      <c r="R596" s="496"/>
      <c r="S596" s="496"/>
      <c r="T596" s="496"/>
      <c r="U596" s="496"/>
      <c r="V596" s="496"/>
      <c r="W596" s="496"/>
      <c r="X596" s="496"/>
      <c r="Y596" s="496"/>
    </row>
    <row r="597" spans="1:25" x14ac:dyDescent="0.2">
      <c r="A597" s="496"/>
      <c r="D597" s="496"/>
    </row>
    <row r="598" spans="1:25" x14ac:dyDescent="0.2">
      <c r="A598" s="496"/>
      <c r="D598" s="496"/>
    </row>
    <row r="599" spans="1:25" s="123" customFormat="1" x14ac:dyDescent="0.2">
      <c r="A599" s="496"/>
      <c r="B599" s="496"/>
      <c r="C599" s="496"/>
      <c r="D599" s="496"/>
      <c r="E599" s="496"/>
      <c r="F599" s="496"/>
      <c r="G599" s="496"/>
      <c r="H599" s="496"/>
      <c r="I599" s="496"/>
      <c r="J599" s="496"/>
      <c r="K599" s="496"/>
      <c r="L599" s="496"/>
      <c r="M599" s="496"/>
      <c r="N599" s="496"/>
      <c r="O599" s="496"/>
      <c r="P599" s="496"/>
      <c r="Q599" s="496"/>
      <c r="R599" s="496"/>
      <c r="S599" s="496"/>
      <c r="T599" s="496"/>
      <c r="U599" s="496"/>
      <c r="V599" s="496"/>
      <c r="W599" s="496"/>
      <c r="X599" s="496"/>
      <c r="Y599" s="496"/>
    </row>
    <row r="600" spans="1:25" x14ac:dyDescent="0.2">
      <c r="A600" s="496"/>
      <c r="D600" s="496"/>
    </row>
    <row r="601" spans="1:25" x14ac:dyDescent="0.2">
      <c r="A601" s="496"/>
      <c r="D601" s="496"/>
    </row>
    <row r="602" spans="1:25" s="123" customFormat="1" x14ac:dyDescent="0.2">
      <c r="A602" s="496"/>
      <c r="B602" s="496"/>
      <c r="C602" s="496"/>
      <c r="D602" s="496"/>
      <c r="E602" s="496"/>
      <c r="F602" s="496"/>
      <c r="G602" s="496"/>
      <c r="H602" s="496"/>
      <c r="I602" s="496"/>
      <c r="J602" s="496"/>
      <c r="K602" s="496"/>
      <c r="L602" s="496"/>
      <c r="M602" s="496"/>
      <c r="N602" s="496"/>
      <c r="O602" s="496"/>
      <c r="P602" s="496"/>
      <c r="Q602" s="496"/>
      <c r="R602" s="496"/>
      <c r="S602" s="496"/>
      <c r="T602" s="496"/>
      <c r="U602" s="496"/>
      <c r="V602" s="496"/>
      <c r="W602" s="496"/>
      <c r="X602" s="496"/>
      <c r="Y602" s="496"/>
    </row>
    <row r="603" spans="1:25" x14ac:dyDescent="0.2">
      <c r="A603" s="496"/>
      <c r="D603" s="496"/>
    </row>
    <row r="604" spans="1:25" x14ac:dyDescent="0.2">
      <c r="A604" s="496"/>
      <c r="D604" s="496"/>
    </row>
    <row r="605" spans="1:25" s="123" customFormat="1" x14ac:dyDescent="0.2">
      <c r="A605" s="496"/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96"/>
      <c r="M605" s="496"/>
      <c r="N605" s="496"/>
      <c r="O605" s="496"/>
      <c r="P605" s="496"/>
      <c r="Q605" s="496"/>
      <c r="R605" s="496"/>
      <c r="S605" s="496"/>
      <c r="T605" s="496"/>
      <c r="U605" s="496"/>
      <c r="V605" s="496"/>
      <c r="W605" s="496"/>
      <c r="X605" s="496"/>
      <c r="Y605" s="496"/>
    </row>
    <row r="606" spans="1:25" x14ac:dyDescent="0.2">
      <c r="A606" s="496"/>
      <c r="D606" s="496"/>
    </row>
    <row r="607" spans="1:25" x14ac:dyDescent="0.2">
      <c r="A607" s="496"/>
      <c r="D607" s="496"/>
    </row>
    <row r="608" spans="1:25" s="123" customFormat="1" x14ac:dyDescent="0.2">
      <c r="A608" s="496"/>
      <c r="B608" s="496"/>
      <c r="C608" s="496"/>
      <c r="D608" s="496"/>
      <c r="E608" s="496"/>
      <c r="F608" s="496"/>
      <c r="G608" s="496"/>
      <c r="H608" s="496"/>
      <c r="I608" s="496"/>
      <c r="J608" s="496"/>
      <c r="K608" s="496"/>
      <c r="L608" s="496"/>
      <c r="M608" s="496"/>
      <c r="N608" s="496"/>
      <c r="O608" s="496"/>
      <c r="P608" s="496"/>
      <c r="Q608" s="496"/>
      <c r="R608" s="496"/>
      <c r="S608" s="496"/>
      <c r="T608" s="496"/>
      <c r="U608" s="496"/>
      <c r="V608" s="496"/>
      <c r="W608" s="496"/>
      <c r="X608" s="496"/>
      <c r="Y608" s="496"/>
    </row>
    <row r="609" spans="1:25" x14ac:dyDescent="0.2">
      <c r="A609" s="496"/>
      <c r="D609" s="496"/>
    </row>
    <row r="610" spans="1:25" x14ac:dyDescent="0.2">
      <c r="A610" s="496"/>
      <c r="D610" s="496"/>
    </row>
    <row r="611" spans="1:25" s="123" customFormat="1" x14ac:dyDescent="0.2">
      <c r="A611" s="496"/>
      <c r="B611" s="496"/>
      <c r="C611" s="496"/>
      <c r="D611" s="496"/>
      <c r="E611" s="496"/>
      <c r="F611" s="496"/>
      <c r="G611" s="496"/>
      <c r="H611" s="496"/>
      <c r="I611" s="496"/>
      <c r="J611" s="496"/>
      <c r="K611" s="496"/>
      <c r="L611" s="496"/>
      <c r="M611" s="496"/>
      <c r="N611" s="496"/>
      <c r="O611" s="496"/>
      <c r="P611" s="496"/>
      <c r="Q611" s="496"/>
      <c r="R611" s="496"/>
      <c r="S611" s="496"/>
      <c r="T611" s="496"/>
      <c r="U611" s="496"/>
      <c r="V611" s="496"/>
      <c r="W611" s="496"/>
      <c r="X611" s="496"/>
      <c r="Y611" s="496"/>
    </row>
    <row r="612" spans="1:25" x14ac:dyDescent="0.2">
      <c r="A612" s="496"/>
      <c r="D612" s="496"/>
    </row>
    <row r="613" spans="1:25" x14ac:dyDescent="0.2">
      <c r="A613" s="496"/>
      <c r="D613" s="496"/>
    </row>
    <row r="614" spans="1:25" s="123" customFormat="1" x14ac:dyDescent="0.2">
      <c r="A614" s="496"/>
      <c r="B614" s="496"/>
      <c r="C614" s="496"/>
      <c r="D614" s="496"/>
      <c r="E614" s="496"/>
      <c r="F614" s="496"/>
      <c r="G614" s="496"/>
      <c r="H614" s="496"/>
      <c r="I614" s="496"/>
      <c r="J614" s="496"/>
      <c r="K614" s="496"/>
      <c r="L614" s="496"/>
      <c r="M614" s="496"/>
      <c r="N614" s="496"/>
      <c r="O614" s="496"/>
      <c r="P614" s="496"/>
      <c r="Q614" s="496"/>
      <c r="R614" s="496"/>
      <c r="S614" s="496"/>
      <c r="T614" s="496"/>
      <c r="U614" s="496"/>
      <c r="V614" s="496"/>
      <c r="W614" s="496"/>
      <c r="X614" s="496"/>
      <c r="Y614" s="496"/>
    </row>
    <row r="615" spans="1:25" x14ac:dyDescent="0.2">
      <c r="A615" s="496"/>
      <c r="D615" s="496"/>
    </row>
    <row r="616" spans="1:25" x14ac:dyDescent="0.2">
      <c r="A616" s="496"/>
      <c r="D616" s="496"/>
    </row>
    <row r="617" spans="1:25" s="123" customFormat="1" x14ac:dyDescent="0.2">
      <c r="A617" s="496"/>
      <c r="B617" s="496"/>
      <c r="C617" s="496"/>
      <c r="D617" s="496"/>
      <c r="E617" s="496"/>
      <c r="F617" s="496"/>
      <c r="G617" s="496"/>
      <c r="H617" s="496"/>
      <c r="I617" s="496"/>
      <c r="J617" s="496"/>
      <c r="K617" s="496"/>
      <c r="L617" s="496"/>
      <c r="M617" s="496"/>
      <c r="N617" s="496"/>
      <c r="O617" s="496"/>
      <c r="P617" s="496"/>
      <c r="Q617" s="496"/>
      <c r="R617" s="496"/>
      <c r="S617" s="496"/>
      <c r="T617" s="496"/>
      <c r="U617" s="496"/>
      <c r="V617" s="496"/>
      <c r="W617" s="496"/>
      <c r="X617" s="496"/>
      <c r="Y617" s="496"/>
    </row>
    <row r="618" spans="1:25" x14ac:dyDescent="0.2">
      <c r="A618" s="496"/>
      <c r="D618" s="496"/>
    </row>
    <row r="619" spans="1:25" x14ac:dyDescent="0.2">
      <c r="A619" s="496"/>
      <c r="D619" s="496"/>
    </row>
    <row r="620" spans="1:25" s="123" customFormat="1" x14ac:dyDescent="0.2">
      <c r="A620" s="496"/>
      <c r="B620" s="496"/>
      <c r="C620" s="496"/>
      <c r="D620" s="496"/>
      <c r="E620" s="496"/>
      <c r="F620" s="496"/>
      <c r="G620" s="496"/>
      <c r="H620" s="496"/>
      <c r="I620" s="496"/>
      <c r="J620" s="496"/>
      <c r="K620" s="496"/>
      <c r="L620" s="496"/>
      <c r="M620" s="496"/>
      <c r="N620" s="496"/>
      <c r="O620" s="496"/>
      <c r="P620" s="496"/>
      <c r="Q620" s="496"/>
      <c r="R620" s="496"/>
      <c r="S620" s="496"/>
      <c r="T620" s="496"/>
      <c r="U620" s="496"/>
      <c r="V620" s="496"/>
      <c r="W620" s="496"/>
      <c r="X620" s="496"/>
      <c r="Y620" s="496"/>
    </row>
    <row r="621" spans="1:25" x14ac:dyDescent="0.2">
      <c r="A621" s="496"/>
      <c r="D621" s="496"/>
    </row>
    <row r="622" spans="1:25" x14ac:dyDescent="0.2">
      <c r="A622" s="496"/>
      <c r="D622" s="496"/>
    </row>
    <row r="623" spans="1:25" s="123" customFormat="1" x14ac:dyDescent="0.2">
      <c r="A623" s="496"/>
      <c r="B623" s="496"/>
      <c r="C623" s="496"/>
      <c r="D623" s="496"/>
      <c r="E623" s="496"/>
      <c r="F623" s="496"/>
      <c r="G623" s="496"/>
      <c r="H623" s="496"/>
      <c r="I623" s="496"/>
      <c r="J623" s="496"/>
      <c r="K623" s="496"/>
      <c r="L623" s="496"/>
      <c r="M623" s="496"/>
      <c r="N623" s="496"/>
      <c r="O623" s="496"/>
      <c r="P623" s="496"/>
      <c r="Q623" s="496"/>
      <c r="R623" s="496"/>
      <c r="S623" s="496"/>
      <c r="T623" s="496"/>
      <c r="U623" s="496"/>
      <c r="V623" s="496"/>
      <c r="W623" s="496"/>
      <c r="X623" s="496"/>
      <c r="Y623" s="496"/>
    </row>
    <row r="624" spans="1:25" x14ac:dyDescent="0.2">
      <c r="A624" s="496"/>
      <c r="D624" s="496"/>
    </row>
    <row r="625" spans="1:25" x14ac:dyDescent="0.2">
      <c r="A625" s="496"/>
      <c r="D625" s="496"/>
    </row>
    <row r="626" spans="1:25" s="123" customFormat="1" x14ac:dyDescent="0.2">
      <c r="A626" s="496"/>
      <c r="B626" s="496"/>
      <c r="C626" s="496"/>
      <c r="D626" s="496"/>
      <c r="E626" s="496"/>
      <c r="F626" s="496"/>
      <c r="G626" s="496"/>
      <c r="H626" s="496"/>
      <c r="I626" s="496"/>
      <c r="J626" s="496"/>
      <c r="K626" s="496"/>
      <c r="L626" s="496"/>
      <c r="M626" s="496"/>
      <c r="N626" s="496"/>
      <c r="O626" s="496"/>
      <c r="P626" s="496"/>
      <c r="Q626" s="496"/>
      <c r="R626" s="496"/>
      <c r="S626" s="496"/>
      <c r="T626" s="496"/>
      <c r="U626" s="496"/>
      <c r="V626" s="496"/>
      <c r="W626" s="496"/>
      <c r="X626" s="496"/>
      <c r="Y626" s="496"/>
    </row>
    <row r="627" spans="1:25" x14ac:dyDescent="0.2">
      <c r="A627" s="496"/>
      <c r="D627" s="496"/>
    </row>
    <row r="628" spans="1:25" x14ac:dyDescent="0.2">
      <c r="A628" s="496"/>
      <c r="D628" s="496"/>
    </row>
    <row r="629" spans="1:25" s="123" customFormat="1" x14ac:dyDescent="0.2">
      <c r="A629" s="496"/>
      <c r="B629" s="496"/>
      <c r="C629" s="496"/>
      <c r="D629" s="496"/>
      <c r="E629" s="496"/>
      <c r="F629" s="496"/>
      <c r="G629" s="496"/>
      <c r="H629" s="496"/>
      <c r="I629" s="496"/>
      <c r="J629" s="496"/>
      <c r="K629" s="496"/>
      <c r="L629" s="496"/>
      <c r="M629" s="496"/>
      <c r="N629" s="496"/>
      <c r="O629" s="496"/>
      <c r="P629" s="496"/>
      <c r="Q629" s="496"/>
      <c r="R629" s="496"/>
      <c r="S629" s="496"/>
      <c r="T629" s="496"/>
      <c r="U629" s="496"/>
      <c r="V629" s="496"/>
      <c r="W629" s="496"/>
      <c r="X629" s="496"/>
      <c r="Y629" s="496"/>
    </row>
    <row r="630" spans="1:25" x14ac:dyDescent="0.2">
      <c r="A630" s="496"/>
      <c r="D630" s="496"/>
    </row>
    <row r="631" spans="1:25" x14ac:dyDescent="0.2">
      <c r="A631" s="496"/>
      <c r="D631" s="496"/>
    </row>
    <row r="632" spans="1:25" s="123" customFormat="1" x14ac:dyDescent="0.2">
      <c r="A632" s="496"/>
      <c r="B632" s="496"/>
      <c r="C632" s="496"/>
      <c r="D632" s="496"/>
      <c r="E632" s="496"/>
      <c r="F632" s="496"/>
      <c r="G632" s="496"/>
      <c r="H632" s="496"/>
      <c r="I632" s="496"/>
      <c r="J632" s="496"/>
      <c r="K632" s="496"/>
      <c r="L632" s="496"/>
      <c r="M632" s="496"/>
      <c r="N632" s="496"/>
      <c r="O632" s="496"/>
      <c r="P632" s="496"/>
      <c r="Q632" s="496"/>
      <c r="R632" s="496"/>
      <c r="S632" s="496"/>
      <c r="T632" s="496"/>
      <c r="U632" s="496"/>
      <c r="V632" s="496"/>
      <c r="W632" s="496"/>
      <c r="X632" s="496"/>
      <c r="Y632" s="496"/>
    </row>
    <row r="633" spans="1:25" x14ac:dyDescent="0.2">
      <c r="A633" s="496"/>
      <c r="D633" s="496"/>
    </row>
    <row r="634" spans="1:25" x14ac:dyDescent="0.2">
      <c r="A634" s="496"/>
      <c r="D634" s="496"/>
    </row>
    <row r="635" spans="1:25" s="123" customFormat="1" x14ac:dyDescent="0.2">
      <c r="A635" s="496"/>
      <c r="B635" s="496"/>
      <c r="C635" s="496"/>
      <c r="D635" s="496"/>
      <c r="E635" s="496"/>
      <c r="F635" s="496"/>
      <c r="G635" s="496"/>
      <c r="H635" s="496"/>
      <c r="I635" s="496"/>
      <c r="J635" s="496"/>
      <c r="K635" s="496"/>
      <c r="L635" s="496"/>
      <c r="M635" s="496"/>
      <c r="N635" s="496"/>
      <c r="O635" s="496"/>
      <c r="P635" s="496"/>
      <c r="Q635" s="496"/>
      <c r="R635" s="496"/>
      <c r="S635" s="496"/>
      <c r="T635" s="496"/>
      <c r="U635" s="496"/>
      <c r="V635" s="496"/>
      <c r="W635" s="496"/>
      <c r="X635" s="496"/>
      <c r="Y635" s="496"/>
    </row>
    <row r="636" spans="1:25" x14ac:dyDescent="0.2">
      <c r="A636" s="496"/>
      <c r="D636" s="496"/>
    </row>
    <row r="637" spans="1:25" x14ac:dyDescent="0.2">
      <c r="A637" s="496"/>
      <c r="D637" s="496"/>
    </row>
    <row r="638" spans="1:25" s="123" customFormat="1" x14ac:dyDescent="0.2">
      <c r="A638" s="496"/>
      <c r="B638" s="496"/>
      <c r="C638" s="496"/>
      <c r="D638" s="496"/>
      <c r="E638" s="496"/>
      <c r="F638" s="496"/>
      <c r="G638" s="496"/>
      <c r="H638" s="496"/>
      <c r="I638" s="496"/>
      <c r="J638" s="496"/>
      <c r="K638" s="496"/>
      <c r="L638" s="496"/>
      <c r="M638" s="496"/>
      <c r="N638" s="496"/>
      <c r="O638" s="496"/>
      <c r="P638" s="496"/>
      <c r="Q638" s="496"/>
      <c r="R638" s="496"/>
      <c r="S638" s="496"/>
      <c r="T638" s="496"/>
      <c r="U638" s="496"/>
      <c r="V638" s="496"/>
      <c r="W638" s="496"/>
      <c r="X638" s="496"/>
      <c r="Y638" s="496"/>
    </row>
    <row r="639" spans="1:25" x14ac:dyDescent="0.2">
      <c r="A639" s="496"/>
      <c r="D639" s="496"/>
    </row>
    <row r="640" spans="1:25" x14ac:dyDescent="0.2">
      <c r="A640" s="496"/>
      <c r="D640" s="496"/>
    </row>
    <row r="641" spans="1:25" s="123" customFormat="1" x14ac:dyDescent="0.2">
      <c r="A641" s="496"/>
      <c r="B641" s="496"/>
      <c r="C641" s="496"/>
      <c r="D641" s="496"/>
      <c r="E641" s="496"/>
      <c r="F641" s="496"/>
      <c r="G641" s="496"/>
      <c r="H641" s="496"/>
      <c r="I641" s="496"/>
      <c r="J641" s="496"/>
      <c r="K641" s="496"/>
      <c r="L641" s="496"/>
      <c r="M641" s="496"/>
      <c r="N641" s="496"/>
      <c r="O641" s="496"/>
      <c r="P641" s="496"/>
      <c r="Q641" s="496"/>
      <c r="R641" s="496"/>
      <c r="S641" s="496"/>
      <c r="T641" s="496"/>
      <c r="U641" s="496"/>
      <c r="V641" s="496"/>
      <c r="W641" s="496"/>
      <c r="X641" s="496"/>
      <c r="Y641" s="496"/>
    </row>
    <row r="642" spans="1:25" x14ac:dyDescent="0.2">
      <c r="A642" s="496"/>
      <c r="D642" s="496"/>
    </row>
    <row r="643" spans="1:25" x14ac:dyDescent="0.2">
      <c r="A643" s="496"/>
      <c r="D643" s="496"/>
    </row>
    <row r="644" spans="1:25" s="123" customFormat="1" x14ac:dyDescent="0.2">
      <c r="A644" s="496"/>
      <c r="B644" s="496"/>
      <c r="C644" s="496"/>
      <c r="D644" s="496"/>
      <c r="E644" s="496"/>
      <c r="F644" s="496"/>
      <c r="G644" s="496"/>
      <c r="H644" s="496"/>
      <c r="I644" s="496"/>
      <c r="J644" s="496"/>
      <c r="K644" s="496"/>
      <c r="L644" s="496"/>
      <c r="M644" s="496"/>
      <c r="N644" s="496"/>
      <c r="O644" s="496"/>
      <c r="P644" s="496"/>
      <c r="Q644" s="496"/>
      <c r="R644" s="496"/>
      <c r="S644" s="496"/>
      <c r="T644" s="496"/>
      <c r="U644" s="496"/>
      <c r="V644" s="496"/>
      <c r="W644" s="496"/>
      <c r="X644" s="496"/>
      <c r="Y644" s="496"/>
    </row>
    <row r="645" spans="1:25" x14ac:dyDescent="0.2">
      <c r="A645" s="496"/>
      <c r="D645" s="496"/>
    </row>
    <row r="646" spans="1:25" x14ac:dyDescent="0.2">
      <c r="A646" s="496"/>
      <c r="D646" s="496"/>
    </row>
    <row r="647" spans="1:25" s="123" customFormat="1" x14ac:dyDescent="0.2">
      <c r="A647" s="496"/>
      <c r="B647" s="496"/>
      <c r="C647" s="496"/>
      <c r="D647" s="496"/>
      <c r="E647" s="496"/>
      <c r="F647" s="496"/>
      <c r="G647" s="496"/>
      <c r="H647" s="496"/>
      <c r="I647" s="496"/>
      <c r="J647" s="496"/>
      <c r="K647" s="496"/>
      <c r="L647" s="496"/>
      <c r="M647" s="496"/>
      <c r="N647" s="496"/>
      <c r="O647" s="496"/>
      <c r="P647" s="496"/>
      <c r="Q647" s="496"/>
      <c r="R647" s="496"/>
      <c r="S647" s="496"/>
      <c r="T647" s="496"/>
      <c r="U647" s="496"/>
      <c r="V647" s="496"/>
      <c r="W647" s="496"/>
      <c r="X647" s="496"/>
      <c r="Y647" s="496"/>
    </row>
    <row r="648" spans="1:25" x14ac:dyDescent="0.2">
      <c r="A648" s="496"/>
      <c r="D648" s="496"/>
    </row>
    <row r="649" spans="1:25" x14ac:dyDescent="0.2">
      <c r="A649" s="496"/>
      <c r="D649" s="496"/>
    </row>
    <row r="650" spans="1:25" s="123" customFormat="1" x14ac:dyDescent="0.2">
      <c r="A650" s="496"/>
      <c r="B650" s="496"/>
      <c r="C650" s="496"/>
      <c r="D650" s="496"/>
      <c r="E650" s="496"/>
      <c r="F650" s="496"/>
      <c r="G650" s="496"/>
      <c r="H650" s="496"/>
      <c r="I650" s="496"/>
      <c r="J650" s="496"/>
      <c r="K650" s="496"/>
      <c r="L650" s="496"/>
      <c r="M650" s="496"/>
      <c r="N650" s="496"/>
      <c r="O650" s="496"/>
      <c r="P650" s="496"/>
      <c r="Q650" s="496"/>
      <c r="R650" s="496"/>
      <c r="S650" s="496"/>
      <c r="T650" s="496"/>
      <c r="U650" s="496"/>
      <c r="V650" s="496"/>
      <c r="W650" s="496"/>
      <c r="X650" s="496"/>
      <c r="Y650" s="496"/>
    </row>
    <row r="651" spans="1:25" x14ac:dyDescent="0.2">
      <c r="A651" s="496"/>
      <c r="D651" s="496"/>
    </row>
    <row r="652" spans="1:25" x14ac:dyDescent="0.2">
      <c r="A652" s="496"/>
      <c r="D652" s="496"/>
    </row>
    <row r="653" spans="1:25" s="123" customFormat="1" x14ac:dyDescent="0.2">
      <c r="A653" s="496"/>
      <c r="B653" s="496"/>
      <c r="C653" s="496"/>
      <c r="D653" s="496"/>
      <c r="E653" s="496"/>
      <c r="F653" s="496"/>
      <c r="G653" s="496"/>
      <c r="H653" s="496"/>
      <c r="I653" s="496"/>
      <c r="J653" s="496"/>
      <c r="K653" s="496"/>
      <c r="L653" s="496"/>
      <c r="M653" s="496"/>
      <c r="N653" s="496"/>
      <c r="O653" s="496"/>
      <c r="P653" s="496"/>
      <c r="Q653" s="496"/>
      <c r="R653" s="496"/>
      <c r="S653" s="496"/>
      <c r="T653" s="496"/>
      <c r="U653" s="496"/>
      <c r="V653" s="496"/>
      <c r="W653" s="496"/>
      <c r="X653" s="496"/>
      <c r="Y653" s="496"/>
    </row>
    <row r="654" spans="1:25" x14ac:dyDescent="0.2">
      <c r="A654" s="496"/>
      <c r="D654" s="496"/>
    </row>
    <row r="655" spans="1:25" x14ac:dyDescent="0.2">
      <c r="A655" s="496"/>
      <c r="D655" s="496"/>
    </row>
    <row r="656" spans="1:25" s="123" customFormat="1" x14ac:dyDescent="0.2">
      <c r="A656" s="496"/>
      <c r="B656" s="496"/>
      <c r="C656" s="496"/>
      <c r="D656" s="496"/>
      <c r="E656" s="496"/>
      <c r="F656" s="496"/>
      <c r="G656" s="496"/>
      <c r="H656" s="496"/>
      <c r="I656" s="496"/>
      <c r="J656" s="496"/>
      <c r="K656" s="496"/>
      <c r="L656" s="496"/>
      <c r="M656" s="496"/>
      <c r="N656" s="496"/>
      <c r="O656" s="496"/>
      <c r="P656" s="496"/>
      <c r="Q656" s="496"/>
      <c r="R656" s="496"/>
      <c r="S656" s="496"/>
      <c r="T656" s="496"/>
      <c r="U656" s="496"/>
      <c r="V656" s="496"/>
      <c r="W656" s="496"/>
      <c r="X656" s="496"/>
      <c r="Y656" s="496"/>
    </row>
    <row r="657" spans="1:25" x14ac:dyDescent="0.2">
      <c r="A657" s="496"/>
      <c r="D657" s="496"/>
    </row>
    <row r="658" spans="1:25" x14ac:dyDescent="0.2">
      <c r="A658" s="496"/>
      <c r="D658" s="496"/>
    </row>
    <row r="659" spans="1:25" s="123" customFormat="1" x14ac:dyDescent="0.2">
      <c r="A659" s="496"/>
      <c r="B659" s="496"/>
      <c r="C659" s="496"/>
      <c r="D659" s="496"/>
      <c r="E659" s="496"/>
      <c r="F659" s="496"/>
      <c r="G659" s="496"/>
      <c r="H659" s="496"/>
      <c r="I659" s="496"/>
      <c r="J659" s="496"/>
      <c r="K659" s="496"/>
      <c r="L659" s="496"/>
      <c r="M659" s="496"/>
      <c r="N659" s="496"/>
      <c r="O659" s="496"/>
      <c r="P659" s="496"/>
      <c r="Q659" s="496"/>
      <c r="R659" s="496"/>
      <c r="S659" s="496"/>
      <c r="T659" s="496"/>
      <c r="U659" s="496"/>
      <c r="V659" s="496"/>
      <c r="W659" s="496"/>
      <c r="X659" s="496"/>
      <c r="Y659" s="496"/>
    </row>
    <row r="660" spans="1:25" x14ac:dyDescent="0.2">
      <c r="A660" s="496"/>
      <c r="D660" s="496"/>
    </row>
    <row r="661" spans="1:25" x14ac:dyDescent="0.2">
      <c r="A661" s="496"/>
      <c r="D661" s="496"/>
    </row>
    <row r="662" spans="1:25" s="123" customFormat="1" x14ac:dyDescent="0.2">
      <c r="A662" s="496"/>
      <c r="B662" s="496"/>
      <c r="C662" s="496"/>
      <c r="D662" s="496"/>
      <c r="E662" s="496"/>
      <c r="F662" s="496"/>
      <c r="G662" s="496"/>
      <c r="H662" s="496"/>
      <c r="I662" s="496"/>
      <c r="J662" s="496"/>
      <c r="K662" s="496"/>
      <c r="L662" s="496"/>
      <c r="M662" s="496"/>
      <c r="N662" s="496"/>
      <c r="O662" s="496"/>
      <c r="P662" s="496"/>
      <c r="Q662" s="496"/>
      <c r="R662" s="496"/>
      <c r="S662" s="496"/>
      <c r="T662" s="496"/>
      <c r="U662" s="496"/>
      <c r="V662" s="496"/>
      <c r="W662" s="496"/>
      <c r="X662" s="496"/>
      <c r="Y662" s="496"/>
    </row>
    <row r="663" spans="1:25" x14ac:dyDescent="0.2">
      <c r="A663" s="496"/>
      <c r="D663" s="496"/>
    </row>
    <row r="664" spans="1:25" x14ac:dyDescent="0.2">
      <c r="A664" s="496"/>
      <c r="D664" s="496"/>
    </row>
    <row r="665" spans="1:25" s="123" customFormat="1" x14ac:dyDescent="0.2">
      <c r="A665" s="496"/>
      <c r="B665" s="496"/>
      <c r="C665" s="496"/>
      <c r="D665" s="496"/>
      <c r="E665" s="496"/>
      <c r="F665" s="496"/>
      <c r="G665" s="496"/>
      <c r="H665" s="496"/>
      <c r="I665" s="496"/>
      <c r="J665" s="496"/>
      <c r="K665" s="496"/>
      <c r="L665" s="496"/>
      <c r="M665" s="496"/>
      <c r="N665" s="496"/>
      <c r="O665" s="496"/>
      <c r="P665" s="496"/>
      <c r="Q665" s="496"/>
      <c r="R665" s="496"/>
      <c r="S665" s="496"/>
      <c r="T665" s="496"/>
      <c r="U665" s="496"/>
      <c r="V665" s="496"/>
      <c r="W665" s="496"/>
      <c r="X665" s="496"/>
      <c r="Y665" s="496"/>
    </row>
    <row r="666" spans="1:25" x14ac:dyDescent="0.2">
      <c r="A666" s="496"/>
      <c r="D666" s="496"/>
    </row>
    <row r="667" spans="1:25" x14ac:dyDescent="0.2">
      <c r="A667" s="496"/>
      <c r="D667" s="496"/>
    </row>
    <row r="668" spans="1:25" s="123" customFormat="1" x14ac:dyDescent="0.2">
      <c r="A668" s="496"/>
      <c r="B668" s="496"/>
      <c r="C668" s="496"/>
      <c r="D668" s="496"/>
      <c r="E668" s="496"/>
      <c r="F668" s="496"/>
      <c r="G668" s="496"/>
      <c r="H668" s="496"/>
      <c r="I668" s="496"/>
      <c r="J668" s="496"/>
      <c r="K668" s="496"/>
      <c r="L668" s="496"/>
      <c r="M668" s="496"/>
      <c r="N668" s="496"/>
      <c r="O668" s="496"/>
      <c r="P668" s="496"/>
      <c r="Q668" s="496"/>
      <c r="R668" s="496"/>
      <c r="S668" s="496"/>
      <c r="T668" s="496"/>
      <c r="U668" s="496"/>
      <c r="V668" s="496"/>
      <c r="W668" s="496"/>
      <c r="X668" s="496"/>
      <c r="Y668" s="496"/>
    </row>
    <row r="669" spans="1:25" x14ac:dyDescent="0.2">
      <c r="A669" s="496"/>
      <c r="D669" s="496"/>
    </row>
    <row r="670" spans="1:25" x14ac:dyDescent="0.2">
      <c r="A670" s="496"/>
      <c r="D670" s="496"/>
    </row>
    <row r="671" spans="1:25" s="123" customFormat="1" x14ac:dyDescent="0.2">
      <c r="A671" s="496"/>
      <c r="B671" s="496"/>
      <c r="C671" s="496"/>
      <c r="D671" s="496"/>
      <c r="E671" s="496"/>
      <c r="F671" s="496"/>
      <c r="G671" s="496"/>
      <c r="H671" s="496"/>
      <c r="I671" s="496"/>
      <c r="J671" s="496"/>
      <c r="K671" s="496"/>
      <c r="L671" s="496"/>
      <c r="M671" s="496"/>
      <c r="N671" s="496"/>
      <c r="O671" s="496"/>
      <c r="P671" s="496"/>
      <c r="Q671" s="496"/>
      <c r="R671" s="496"/>
      <c r="S671" s="496"/>
      <c r="T671" s="496"/>
      <c r="U671" s="496"/>
      <c r="V671" s="496"/>
      <c r="W671" s="496"/>
      <c r="X671" s="496"/>
      <c r="Y671" s="496"/>
    </row>
    <row r="672" spans="1:25" x14ac:dyDescent="0.2">
      <c r="A672" s="496"/>
      <c r="D672" s="496"/>
    </row>
    <row r="673" spans="1:25" x14ac:dyDescent="0.2">
      <c r="A673" s="496"/>
      <c r="D673" s="496"/>
    </row>
    <row r="674" spans="1:25" s="123" customFormat="1" x14ac:dyDescent="0.2">
      <c r="A674" s="496"/>
      <c r="B674" s="496"/>
      <c r="C674" s="496"/>
      <c r="D674" s="496"/>
      <c r="E674" s="496"/>
      <c r="F674" s="496"/>
      <c r="G674" s="496"/>
      <c r="H674" s="496"/>
      <c r="I674" s="496"/>
      <c r="J674" s="496"/>
      <c r="K674" s="496"/>
      <c r="L674" s="496"/>
      <c r="M674" s="496"/>
      <c r="N674" s="496"/>
      <c r="O674" s="496"/>
      <c r="P674" s="496"/>
      <c r="Q674" s="496"/>
      <c r="R674" s="496"/>
      <c r="S674" s="496"/>
      <c r="T674" s="496"/>
      <c r="U674" s="496"/>
      <c r="V674" s="496"/>
      <c r="W674" s="496"/>
      <c r="X674" s="496"/>
      <c r="Y674" s="496"/>
    </row>
    <row r="675" spans="1:25" x14ac:dyDescent="0.2">
      <c r="A675" s="496"/>
      <c r="D675" s="496"/>
    </row>
    <row r="676" spans="1:25" x14ac:dyDescent="0.2">
      <c r="A676" s="496"/>
      <c r="D676" s="496"/>
    </row>
    <row r="677" spans="1:25" s="123" customFormat="1" x14ac:dyDescent="0.2">
      <c r="A677" s="496"/>
      <c r="B677" s="496"/>
      <c r="C677" s="496"/>
      <c r="D677" s="496"/>
      <c r="E677" s="496"/>
      <c r="F677" s="496"/>
      <c r="G677" s="496"/>
      <c r="H677" s="496"/>
      <c r="I677" s="496"/>
      <c r="J677" s="496"/>
      <c r="K677" s="496"/>
      <c r="L677" s="496"/>
      <c r="M677" s="496"/>
      <c r="N677" s="496"/>
      <c r="O677" s="496"/>
      <c r="P677" s="496"/>
      <c r="Q677" s="496"/>
      <c r="R677" s="496"/>
      <c r="S677" s="496"/>
      <c r="T677" s="496"/>
      <c r="U677" s="496"/>
      <c r="V677" s="496"/>
      <c r="W677" s="496"/>
      <c r="X677" s="496"/>
      <c r="Y677" s="496"/>
    </row>
    <row r="678" spans="1:25" x14ac:dyDescent="0.2">
      <c r="A678" s="496"/>
      <c r="D678" s="496"/>
    </row>
    <row r="679" spans="1:25" x14ac:dyDescent="0.2">
      <c r="A679" s="496"/>
      <c r="D679" s="496"/>
    </row>
    <row r="680" spans="1:25" s="123" customFormat="1" x14ac:dyDescent="0.2">
      <c r="A680" s="496"/>
      <c r="B680" s="496"/>
      <c r="C680" s="496"/>
      <c r="D680" s="496"/>
      <c r="E680" s="496"/>
      <c r="F680" s="496"/>
      <c r="G680" s="496"/>
      <c r="H680" s="496"/>
      <c r="I680" s="496"/>
      <c r="J680" s="496"/>
      <c r="K680" s="496"/>
      <c r="L680" s="496"/>
      <c r="M680" s="496"/>
      <c r="N680" s="496"/>
      <c r="O680" s="496"/>
      <c r="P680" s="496"/>
      <c r="Q680" s="496"/>
      <c r="R680" s="496"/>
      <c r="S680" s="496"/>
      <c r="T680" s="496"/>
      <c r="U680" s="496"/>
      <c r="V680" s="496"/>
      <c r="W680" s="496"/>
      <c r="X680" s="496"/>
      <c r="Y680" s="496"/>
    </row>
    <row r="681" spans="1:25" x14ac:dyDescent="0.2">
      <c r="A681" s="496"/>
      <c r="D681" s="496"/>
    </row>
    <row r="682" spans="1:25" x14ac:dyDescent="0.2">
      <c r="A682" s="496"/>
      <c r="D682" s="496"/>
    </row>
    <row r="683" spans="1:25" s="123" customFormat="1" x14ac:dyDescent="0.2">
      <c r="A683" s="496"/>
      <c r="B683" s="496"/>
      <c r="C683" s="496"/>
      <c r="D683" s="496"/>
      <c r="E683" s="496"/>
      <c r="F683" s="496"/>
      <c r="G683" s="496"/>
      <c r="H683" s="496"/>
      <c r="I683" s="496"/>
      <c r="J683" s="496"/>
      <c r="K683" s="496"/>
      <c r="L683" s="496"/>
      <c r="M683" s="496"/>
      <c r="N683" s="496"/>
      <c r="O683" s="496"/>
      <c r="P683" s="496"/>
      <c r="Q683" s="496"/>
      <c r="R683" s="496"/>
      <c r="S683" s="496"/>
      <c r="T683" s="496"/>
      <c r="U683" s="496"/>
      <c r="V683" s="496"/>
      <c r="W683" s="496"/>
      <c r="X683" s="496"/>
      <c r="Y683" s="496"/>
    </row>
    <row r="684" spans="1:25" x14ac:dyDescent="0.2">
      <c r="A684" s="496"/>
      <c r="D684" s="496"/>
    </row>
    <row r="685" spans="1:25" x14ac:dyDescent="0.2">
      <c r="A685" s="496"/>
      <c r="D685" s="496"/>
    </row>
    <row r="686" spans="1:25" s="123" customFormat="1" x14ac:dyDescent="0.2">
      <c r="A686" s="496"/>
      <c r="B686" s="496"/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6"/>
      <c r="N686" s="496"/>
      <c r="O686" s="496"/>
      <c r="P686" s="496"/>
      <c r="Q686" s="496"/>
      <c r="R686" s="496"/>
      <c r="S686" s="496"/>
      <c r="T686" s="496"/>
      <c r="U686" s="496"/>
      <c r="V686" s="496"/>
      <c r="W686" s="496"/>
      <c r="X686" s="496"/>
      <c r="Y686" s="496"/>
    </row>
    <row r="687" spans="1:25" x14ac:dyDescent="0.2">
      <c r="A687" s="496"/>
      <c r="D687" s="496"/>
    </row>
    <row r="688" spans="1:25" x14ac:dyDescent="0.2">
      <c r="A688" s="496"/>
      <c r="D688" s="496"/>
    </row>
    <row r="689" spans="1:25" s="123" customFormat="1" x14ac:dyDescent="0.2">
      <c r="A689" s="496"/>
      <c r="B689" s="496"/>
      <c r="C689" s="496"/>
      <c r="D689" s="496"/>
      <c r="E689" s="496"/>
      <c r="F689" s="496"/>
      <c r="G689" s="496"/>
      <c r="H689" s="496"/>
      <c r="I689" s="496"/>
      <c r="J689" s="496"/>
      <c r="K689" s="496"/>
      <c r="L689" s="496"/>
      <c r="M689" s="496"/>
      <c r="N689" s="496"/>
      <c r="O689" s="496"/>
      <c r="P689" s="496"/>
      <c r="Q689" s="496"/>
      <c r="R689" s="496"/>
      <c r="S689" s="496"/>
      <c r="T689" s="496"/>
      <c r="U689" s="496"/>
      <c r="V689" s="496"/>
      <c r="W689" s="496"/>
      <c r="X689" s="496"/>
      <c r="Y689" s="496"/>
    </row>
    <row r="690" spans="1:25" x14ac:dyDescent="0.2">
      <c r="A690" s="496"/>
      <c r="D690" s="496"/>
    </row>
    <row r="691" spans="1:25" x14ac:dyDescent="0.2">
      <c r="A691" s="496"/>
      <c r="D691" s="496"/>
    </row>
    <row r="692" spans="1:25" s="123" customFormat="1" x14ac:dyDescent="0.2">
      <c r="A692" s="496"/>
      <c r="B692" s="496"/>
      <c r="C692" s="496"/>
      <c r="D692" s="496"/>
      <c r="E692" s="496"/>
      <c r="F692" s="496"/>
      <c r="G692" s="496"/>
      <c r="H692" s="496"/>
      <c r="I692" s="496"/>
      <c r="J692" s="496"/>
      <c r="K692" s="496"/>
      <c r="L692" s="496"/>
      <c r="M692" s="496"/>
      <c r="N692" s="496"/>
      <c r="O692" s="496"/>
      <c r="P692" s="496"/>
      <c r="Q692" s="496"/>
      <c r="R692" s="496"/>
      <c r="S692" s="496"/>
      <c r="T692" s="496"/>
      <c r="U692" s="496"/>
      <c r="V692" s="496"/>
      <c r="W692" s="496"/>
      <c r="X692" s="496"/>
      <c r="Y692" s="496"/>
    </row>
    <row r="693" spans="1:25" x14ac:dyDescent="0.2">
      <c r="A693" s="496"/>
      <c r="D693" s="496"/>
    </row>
    <row r="694" spans="1:25" x14ac:dyDescent="0.2">
      <c r="A694" s="496"/>
      <c r="D694" s="496"/>
    </row>
    <row r="695" spans="1:25" s="123" customFormat="1" x14ac:dyDescent="0.2">
      <c r="A695" s="496"/>
      <c r="B695" s="496"/>
      <c r="C695" s="496"/>
      <c r="D695" s="496"/>
      <c r="E695" s="496"/>
      <c r="F695" s="496"/>
      <c r="G695" s="496"/>
      <c r="H695" s="496"/>
      <c r="I695" s="496"/>
      <c r="J695" s="496"/>
      <c r="K695" s="496"/>
      <c r="L695" s="496"/>
      <c r="M695" s="496"/>
      <c r="N695" s="496"/>
      <c r="O695" s="496"/>
      <c r="P695" s="496"/>
      <c r="Q695" s="496"/>
      <c r="R695" s="496"/>
      <c r="S695" s="496"/>
      <c r="T695" s="496"/>
      <c r="U695" s="496"/>
      <c r="V695" s="496"/>
      <c r="W695" s="496"/>
      <c r="X695" s="496"/>
      <c r="Y695" s="496"/>
    </row>
    <row r="696" spans="1:25" x14ac:dyDescent="0.2">
      <c r="A696" s="496"/>
      <c r="D696" s="496"/>
    </row>
    <row r="697" spans="1:25" x14ac:dyDescent="0.2">
      <c r="A697" s="496"/>
      <c r="D697" s="496"/>
    </row>
    <row r="698" spans="1:25" s="123" customFormat="1" x14ac:dyDescent="0.2">
      <c r="A698" s="496"/>
      <c r="B698" s="496"/>
      <c r="C698" s="496"/>
      <c r="D698" s="496"/>
      <c r="E698" s="496"/>
      <c r="F698" s="496"/>
      <c r="G698" s="496"/>
      <c r="H698" s="496"/>
      <c r="I698" s="496"/>
      <c r="J698" s="496"/>
      <c r="K698" s="496"/>
      <c r="L698" s="496"/>
      <c r="M698" s="496"/>
      <c r="N698" s="496"/>
      <c r="O698" s="496"/>
      <c r="P698" s="496"/>
      <c r="Q698" s="496"/>
      <c r="R698" s="496"/>
      <c r="S698" s="496"/>
      <c r="T698" s="496"/>
      <c r="U698" s="496"/>
      <c r="V698" s="496"/>
      <c r="W698" s="496"/>
      <c r="X698" s="496"/>
      <c r="Y698" s="496"/>
    </row>
    <row r="699" spans="1:25" x14ac:dyDescent="0.2">
      <c r="A699" s="496"/>
      <c r="D699" s="496"/>
    </row>
    <row r="700" spans="1:25" x14ac:dyDescent="0.2">
      <c r="A700" s="496"/>
      <c r="D700" s="496"/>
    </row>
    <row r="701" spans="1:25" s="123" customFormat="1" x14ac:dyDescent="0.2">
      <c r="A701" s="496"/>
      <c r="B701" s="496"/>
      <c r="C701" s="496"/>
      <c r="D701" s="496"/>
      <c r="E701" s="496"/>
      <c r="F701" s="496"/>
      <c r="G701" s="496"/>
      <c r="H701" s="496"/>
      <c r="I701" s="496"/>
      <c r="J701" s="496"/>
      <c r="K701" s="496"/>
      <c r="L701" s="496"/>
      <c r="M701" s="496"/>
      <c r="N701" s="496"/>
      <c r="O701" s="496"/>
      <c r="P701" s="496"/>
      <c r="Q701" s="496"/>
      <c r="R701" s="496"/>
      <c r="S701" s="496"/>
      <c r="T701" s="496"/>
      <c r="U701" s="496"/>
      <c r="V701" s="496"/>
      <c r="W701" s="496"/>
      <c r="X701" s="496"/>
      <c r="Y701" s="496"/>
    </row>
    <row r="702" spans="1:25" x14ac:dyDescent="0.2">
      <c r="A702" s="496"/>
      <c r="D702" s="496"/>
    </row>
    <row r="703" spans="1:25" x14ac:dyDescent="0.2">
      <c r="A703" s="496"/>
      <c r="D703" s="496"/>
    </row>
    <row r="704" spans="1:25" s="123" customFormat="1" x14ac:dyDescent="0.2">
      <c r="A704" s="496"/>
      <c r="B704" s="496"/>
      <c r="C704" s="496"/>
      <c r="D704" s="496"/>
      <c r="E704" s="496"/>
      <c r="F704" s="496"/>
      <c r="G704" s="496"/>
      <c r="H704" s="496"/>
      <c r="I704" s="496"/>
      <c r="J704" s="496"/>
      <c r="K704" s="496"/>
      <c r="L704" s="496"/>
      <c r="M704" s="496"/>
      <c r="N704" s="496"/>
      <c r="O704" s="496"/>
      <c r="P704" s="496"/>
      <c r="Q704" s="496"/>
      <c r="R704" s="496"/>
      <c r="S704" s="496"/>
      <c r="T704" s="496"/>
      <c r="U704" s="496"/>
      <c r="V704" s="496"/>
      <c r="W704" s="496"/>
      <c r="X704" s="496"/>
      <c r="Y704" s="496"/>
    </row>
    <row r="705" spans="1:25" x14ac:dyDescent="0.2">
      <c r="A705" s="496"/>
      <c r="D705" s="496"/>
    </row>
    <row r="706" spans="1:25" x14ac:dyDescent="0.2">
      <c r="A706" s="496"/>
      <c r="D706" s="496"/>
    </row>
    <row r="707" spans="1:25" s="123" customFormat="1" x14ac:dyDescent="0.2">
      <c r="A707" s="496"/>
      <c r="B707" s="496"/>
      <c r="C707" s="496"/>
      <c r="D707" s="496"/>
      <c r="E707" s="496"/>
      <c r="F707" s="496"/>
      <c r="G707" s="496"/>
      <c r="H707" s="496"/>
      <c r="I707" s="496"/>
      <c r="J707" s="496"/>
      <c r="K707" s="496"/>
      <c r="L707" s="496"/>
      <c r="M707" s="496"/>
      <c r="N707" s="496"/>
      <c r="O707" s="496"/>
      <c r="P707" s="496"/>
      <c r="Q707" s="496"/>
      <c r="R707" s="496"/>
      <c r="S707" s="496"/>
      <c r="T707" s="496"/>
      <c r="U707" s="496"/>
      <c r="V707" s="496"/>
      <c r="W707" s="496"/>
      <c r="X707" s="496"/>
      <c r="Y707" s="496"/>
    </row>
    <row r="708" spans="1:25" x14ac:dyDescent="0.2">
      <c r="A708" s="496"/>
      <c r="D708" s="496"/>
    </row>
    <row r="709" spans="1:25" x14ac:dyDescent="0.2">
      <c r="A709" s="496"/>
      <c r="D709" s="496"/>
    </row>
    <row r="710" spans="1:25" s="123" customFormat="1" x14ac:dyDescent="0.2">
      <c r="A710" s="496"/>
      <c r="B710" s="496"/>
      <c r="C710" s="496"/>
      <c r="D710" s="496"/>
      <c r="E710" s="496"/>
      <c r="F710" s="496"/>
      <c r="G710" s="496"/>
      <c r="H710" s="496"/>
      <c r="I710" s="496"/>
      <c r="J710" s="496"/>
      <c r="K710" s="496"/>
      <c r="L710" s="496"/>
      <c r="M710" s="496"/>
      <c r="N710" s="496"/>
      <c r="O710" s="496"/>
      <c r="P710" s="496"/>
      <c r="Q710" s="496"/>
      <c r="R710" s="496"/>
      <c r="S710" s="496"/>
      <c r="T710" s="496"/>
      <c r="U710" s="496"/>
      <c r="V710" s="496"/>
      <c r="W710" s="496"/>
      <c r="X710" s="496"/>
      <c r="Y710" s="496"/>
    </row>
    <row r="711" spans="1:25" x14ac:dyDescent="0.2">
      <c r="A711" s="496"/>
      <c r="D711" s="496"/>
    </row>
    <row r="712" spans="1:25" x14ac:dyDescent="0.2">
      <c r="A712" s="496"/>
      <c r="D712" s="496"/>
    </row>
    <row r="713" spans="1:25" s="123" customFormat="1" x14ac:dyDescent="0.2">
      <c r="A713" s="496"/>
      <c r="B713" s="496"/>
      <c r="C713" s="496"/>
      <c r="D713" s="496"/>
      <c r="E713" s="496"/>
      <c r="F713" s="496"/>
      <c r="G713" s="496"/>
      <c r="H713" s="496"/>
      <c r="I713" s="496"/>
      <c r="J713" s="496"/>
      <c r="K713" s="496"/>
      <c r="L713" s="496"/>
      <c r="M713" s="496"/>
      <c r="N713" s="496"/>
      <c r="O713" s="496"/>
      <c r="P713" s="496"/>
      <c r="Q713" s="496"/>
      <c r="R713" s="496"/>
      <c r="S713" s="496"/>
      <c r="T713" s="496"/>
      <c r="U713" s="496"/>
      <c r="V713" s="496"/>
      <c r="W713" s="496"/>
      <c r="X713" s="496"/>
      <c r="Y713" s="496"/>
    </row>
    <row r="714" spans="1:25" x14ac:dyDescent="0.2">
      <c r="A714" s="496"/>
      <c r="D714" s="496"/>
    </row>
    <row r="715" spans="1:25" x14ac:dyDescent="0.2">
      <c r="A715" s="496"/>
      <c r="D715" s="496"/>
    </row>
    <row r="716" spans="1:25" s="123" customFormat="1" x14ac:dyDescent="0.2">
      <c r="A716" s="496"/>
      <c r="B716" s="496"/>
      <c r="C716" s="496"/>
      <c r="D716" s="496"/>
      <c r="E716" s="496"/>
      <c r="F716" s="496"/>
      <c r="G716" s="496"/>
      <c r="H716" s="496"/>
      <c r="I716" s="496"/>
      <c r="J716" s="496"/>
      <c r="K716" s="496"/>
      <c r="L716" s="496"/>
      <c r="M716" s="496"/>
      <c r="N716" s="496"/>
      <c r="O716" s="496"/>
      <c r="P716" s="496"/>
      <c r="Q716" s="496"/>
      <c r="R716" s="496"/>
      <c r="S716" s="496"/>
      <c r="T716" s="496"/>
      <c r="U716" s="496"/>
      <c r="V716" s="496"/>
      <c r="W716" s="496"/>
      <c r="X716" s="496"/>
      <c r="Y716" s="496"/>
    </row>
    <row r="717" spans="1:25" x14ac:dyDescent="0.2">
      <c r="A717" s="496"/>
      <c r="D717" s="496"/>
    </row>
    <row r="718" spans="1:25" x14ac:dyDescent="0.2">
      <c r="A718" s="496"/>
      <c r="D718" s="496"/>
    </row>
    <row r="719" spans="1:25" s="123" customFormat="1" x14ac:dyDescent="0.2">
      <c r="A719" s="496"/>
      <c r="B719" s="496"/>
      <c r="C719" s="496"/>
      <c r="D719" s="496"/>
      <c r="E719" s="496"/>
      <c r="F719" s="496"/>
      <c r="G719" s="496"/>
      <c r="H719" s="496"/>
      <c r="I719" s="496"/>
      <c r="J719" s="496"/>
      <c r="K719" s="496"/>
      <c r="L719" s="496"/>
      <c r="M719" s="496"/>
      <c r="N719" s="496"/>
      <c r="O719" s="496"/>
      <c r="P719" s="496"/>
      <c r="Q719" s="496"/>
      <c r="R719" s="496"/>
      <c r="S719" s="496"/>
      <c r="T719" s="496"/>
      <c r="U719" s="496"/>
      <c r="V719" s="496"/>
      <c r="W719" s="496"/>
      <c r="X719" s="496"/>
      <c r="Y719" s="496"/>
    </row>
    <row r="720" spans="1:25" x14ac:dyDescent="0.2">
      <c r="A720" s="496"/>
      <c r="D720" s="496"/>
    </row>
    <row r="721" spans="1:25" x14ac:dyDescent="0.2">
      <c r="A721" s="496"/>
      <c r="D721" s="496"/>
    </row>
    <row r="722" spans="1:25" s="123" customFormat="1" x14ac:dyDescent="0.2">
      <c r="A722" s="496"/>
      <c r="B722" s="496"/>
      <c r="C722" s="496"/>
      <c r="D722" s="496"/>
      <c r="E722" s="496"/>
      <c r="F722" s="496"/>
      <c r="G722" s="496"/>
      <c r="H722" s="496"/>
      <c r="I722" s="496"/>
      <c r="J722" s="496"/>
      <c r="K722" s="496"/>
      <c r="L722" s="496"/>
      <c r="M722" s="496"/>
      <c r="N722" s="496"/>
      <c r="O722" s="496"/>
      <c r="P722" s="496"/>
      <c r="Q722" s="496"/>
      <c r="R722" s="496"/>
      <c r="S722" s="496"/>
      <c r="T722" s="496"/>
      <c r="U722" s="496"/>
      <c r="V722" s="496"/>
      <c r="W722" s="496"/>
      <c r="X722" s="496"/>
      <c r="Y722" s="496"/>
    </row>
    <row r="723" spans="1:25" x14ac:dyDescent="0.2">
      <c r="A723" s="496"/>
      <c r="D723" s="496"/>
    </row>
    <row r="724" spans="1:25" x14ac:dyDescent="0.2">
      <c r="A724" s="496"/>
      <c r="D724" s="496"/>
    </row>
    <row r="725" spans="1:25" s="123" customFormat="1" x14ac:dyDescent="0.2">
      <c r="A725" s="496"/>
      <c r="B725" s="496"/>
      <c r="C725" s="496"/>
      <c r="D725" s="496"/>
      <c r="E725" s="496"/>
      <c r="F725" s="496"/>
      <c r="G725" s="496"/>
      <c r="H725" s="496"/>
      <c r="I725" s="496"/>
      <c r="J725" s="496"/>
      <c r="K725" s="496"/>
      <c r="L725" s="496"/>
      <c r="M725" s="496"/>
      <c r="N725" s="496"/>
      <c r="O725" s="496"/>
      <c r="P725" s="496"/>
      <c r="Q725" s="496"/>
      <c r="R725" s="496"/>
      <c r="S725" s="496"/>
      <c r="T725" s="496"/>
      <c r="U725" s="496"/>
      <c r="V725" s="496"/>
      <c r="W725" s="496"/>
      <c r="X725" s="496"/>
      <c r="Y725" s="496"/>
    </row>
    <row r="726" spans="1:25" x14ac:dyDescent="0.2">
      <c r="A726" s="496"/>
      <c r="D726" s="496"/>
    </row>
    <row r="727" spans="1:25" x14ac:dyDescent="0.2">
      <c r="A727" s="496"/>
      <c r="D727" s="496"/>
    </row>
    <row r="728" spans="1:25" s="123" customFormat="1" x14ac:dyDescent="0.2">
      <c r="A728" s="496"/>
      <c r="B728" s="496"/>
      <c r="C728" s="496"/>
      <c r="D728" s="496"/>
      <c r="E728" s="496"/>
      <c r="F728" s="496"/>
      <c r="G728" s="496"/>
      <c r="H728" s="496"/>
      <c r="I728" s="496"/>
      <c r="J728" s="496"/>
      <c r="K728" s="496"/>
      <c r="L728" s="496"/>
      <c r="M728" s="496"/>
      <c r="N728" s="496"/>
      <c r="O728" s="496"/>
      <c r="P728" s="496"/>
      <c r="Q728" s="496"/>
      <c r="R728" s="496"/>
      <c r="S728" s="496"/>
      <c r="T728" s="496"/>
      <c r="U728" s="496"/>
      <c r="V728" s="496"/>
      <c r="W728" s="496"/>
      <c r="X728" s="496"/>
      <c r="Y728" s="496"/>
    </row>
    <row r="729" spans="1:25" x14ac:dyDescent="0.2">
      <c r="A729" s="496"/>
      <c r="D729" s="496"/>
    </row>
    <row r="730" spans="1:25" x14ac:dyDescent="0.2">
      <c r="A730" s="496"/>
      <c r="D730" s="496"/>
    </row>
    <row r="731" spans="1:25" s="123" customFormat="1" x14ac:dyDescent="0.2">
      <c r="A731" s="496"/>
      <c r="B731" s="496"/>
      <c r="C731" s="496"/>
      <c r="D731" s="496"/>
      <c r="E731" s="496"/>
      <c r="F731" s="496"/>
      <c r="G731" s="496"/>
      <c r="H731" s="496"/>
      <c r="I731" s="496"/>
      <c r="J731" s="496"/>
      <c r="K731" s="496"/>
      <c r="L731" s="496"/>
      <c r="M731" s="496"/>
      <c r="N731" s="496"/>
      <c r="O731" s="496"/>
      <c r="P731" s="496"/>
      <c r="Q731" s="496"/>
      <c r="R731" s="496"/>
      <c r="S731" s="496"/>
      <c r="T731" s="496"/>
      <c r="U731" s="496"/>
      <c r="V731" s="496"/>
      <c r="W731" s="496"/>
      <c r="X731" s="496"/>
      <c r="Y731" s="496"/>
    </row>
    <row r="732" spans="1:25" x14ac:dyDescent="0.2">
      <c r="A732" s="496"/>
      <c r="D732" s="496"/>
    </row>
    <row r="733" spans="1:25" x14ac:dyDescent="0.2">
      <c r="A733" s="496"/>
      <c r="D733" s="496"/>
    </row>
    <row r="734" spans="1:25" s="123" customFormat="1" x14ac:dyDescent="0.2">
      <c r="A734" s="496"/>
      <c r="B734" s="496"/>
      <c r="C734" s="496"/>
      <c r="D734" s="496"/>
      <c r="E734" s="496"/>
      <c r="F734" s="496"/>
      <c r="G734" s="496"/>
      <c r="H734" s="496"/>
      <c r="I734" s="496"/>
      <c r="J734" s="496"/>
      <c r="K734" s="496"/>
      <c r="L734" s="496"/>
      <c r="M734" s="496"/>
      <c r="N734" s="496"/>
      <c r="O734" s="496"/>
      <c r="P734" s="496"/>
      <c r="Q734" s="496"/>
      <c r="R734" s="496"/>
      <c r="S734" s="496"/>
      <c r="T734" s="496"/>
      <c r="U734" s="496"/>
      <c r="V734" s="496"/>
      <c r="W734" s="496"/>
      <c r="X734" s="496"/>
      <c r="Y734" s="496"/>
    </row>
    <row r="735" spans="1:25" x14ac:dyDescent="0.2">
      <c r="A735" s="496"/>
      <c r="D735" s="496"/>
    </row>
    <row r="736" spans="1:25" x14ac:dyDescent="0.2">
      <c r="A736" s="496"/>
      <c r="D736" s="496"/>
    </row>
    <row r="737" spans="1:25" s="123" customFormat="1" x14ac:dyDescent="0.2">
      <c r="A737" s="496"/>
      <c r="B737" s="496"/>
      <c r="C737" s="496"/>
      <c r="D737" s="496"/>
      <c r="E737" s="496"/>
      <c r="F737" s="496"/>
      <c r="G737" s="496"/>
      <c r="H737" s="496"/>
      <c r="I737" s="496"/>
      <c r="J737" s="496"/>
      <c r="K737" s="496"/>
      <c r="L737" s="496"/>
      <c r="M737" s="496"/>
      <c r="N737" s="496"/>
      <c r="O737" s="496"/>
      <c r="P737" s="496"/>
      <c r="Q737" s="496"/>
      <c r="R737" s="496"/>
      <c r="S737" s="496"/>
      <c r="T737" s="496"/>
      <c r="U737" s="496"/>
      <c r="V737" s="496"/>
      <c r="W737" s="496"/>
      <c r="X737" s="496"/>
      <c r="Y737" s="496"/>
    </row>
    <row r="738" spans="1:25" x14ac:dyDescent="0.2">
      <c r="A738" s="496"/>
      <c r="D738" s="496"/>
    </row>
    <row r="739" spans="1:25" x14ac:dyDescent="0.2">
      <c r="A739" s="496"/>
      <c r="D739" s="496"/>
    </row>
    <row r="740" spans="1:25" s="123" customFormat="1" x14ac:dyDescent="0.2">
      <c r="A740" s="496"/>
      <c r="B740" s="496"/>
      <c r="C740" s="496"/>
      <c r="D740" s="496"/>
      <c r="E740" s="496"/>
      <c r="F740" s="496"/>
      <c r="G740" s="496"/>
      <c r="H740" s="496"/>
      <c r="I740" s="496"/>
      <c r="J740" s="496"/>
      <c r="K740" s="496"/>
      <c r="L740" s="496"/>
      <c r="M740" s="496"/>
      <c r="N740" s="496"/>
      <c r="O740" s="496"/>
      <c r="P740" s="496"/>
      <c r="Q740" s="496"/>
      <c r="R740" s="496"/>
      <c r="S740" s="496"/>
      <c r="T740" s="496"/>
      <c r="U740" s="496"/>
      <c r="V740" s="496"/>
      <c r="W740" s="496"/>
      <c r="X740" s="496"/>
      <c r="Y740" s="496"/>
    </row>
    <row r="741" spans="1:25" x14ac:dyDescent="0.2">
      <c r="A741" s="496"/>
      <c r="D741" s="496"/>
    </row>
    <row r="742" spans="1:25" x14ac:dyDescent="0.2">
      <c r="A742" s="496"/>
      <c r="D742" s="496"/>
    </row>
    <row r="743" spans="1:25" s="123" customFormat="1" x14ac:dyDescent="0.2">
      <c r="A743" s="496"/>
      <c r="B743" s="496"/>
      <c r="C743" s="496"/>
      <c r="D743" s="496"/>
      <c r="E743" s="496"/>
      <c r="F743" s="496"/>
      <c r="G743" s="496"/>
      <c r="H743" s="496"/>
      <c r="I743" s="496"/>
      <c r="J743" s="496"/>
      <c r="K743" s="496"/>
      <c r="L743" s="496"/>
      <c r="M743" s="496"/>
      <c r="N743" s="496"/>
      <c r="O743" s="496"/>
      <c r="P743" s="496"/>
      <c r="Q743" s="496"/>
      <c r="R743" s="496"/>
      <c r="S743" s="496"/>
      <c r="T743" s="496"/>
      <c r="U743" s="496"/>
      <c r="V743" s="496"/>
      <c r="W743" s="496"/>
      <c r="X743" s="496"/>
      <c r="Y743" s="496"/>
    </row>
    <row r="744" spans="1:25" x14ac:dyDescent="0.2">
      <c r="A744" s="496"/>
      <c r="D744" s="496"/>
    </row>
    <row r="745" spans="1:25" x14ac:dyDescent="0.2">
      <c r="A745" s="496"/>
      <c r="D745" s="496"/>
    </row>
    <row r="746" spans="1:25" s="123" customFormat="1" x14ac:dyDescent="0.2">
      <c r="A746" s="496"/>
      <c r="B746" s="496"/>
      <c r="C746" s="496"/>
      <c r="D746" s="496"/>
      <c r="E746" s="496"/>
      <c r="F746" s="496"/>
      <c r="G746" s="496"/>
      <c r="H746" s="496"/>
      <c r="I746" s="496"/>
      <c r="J746" s="496"/>
      <c r="K746" s="496"/>
      <c r="L746" s="496"/>
      <c r="M746" s="496"/>
      <c r="N746" s="496"/>
      <c r="O746" s="496"/>
      <c r="P746" s="496"/>
      <c r="Q746" s="496"/>
      <c r="R746" s="496"/>
      <c r="S746" s="496"/>
      <c r="T746" s="496"/>
      <c r="U746" s="496"/>
      <c r="V746" s="496"/>
      <c r="W746" s="496"/>
      <c r="X746" s="496"/>
      <c r="Y746" s="496"/>
    </row>
    <row r="747" spans="1:25" x14ac:dyDescent="0.2">
      <c r="A747" s="496"/>
      <c r="D747" s="496"/>
    </row>
    <row r="748" spans="1:25" x14ac:dyDescent="0.2">
      <c r="A748" s="496"/>
      <c r="D748" s="496"/>
    </row>
    <row r="749" spans="1:25" s="123" customFormat="1" x14ac:dyDescent="0.2">
      <c r="A749" s="496"/>
      <c r="B749" s="496"/>
      <c r="C749" s="496"/>
      <c r="D749" s="496"/>
      <c r="E749" s="496"/>
      <c r="F749" s="496"/>
      <c r="G749" s="496"/>
      <c r="H749" s="496"/>
      <c r="I749" s="496"/>
      <c r="J749" s="496"/>
      <c r="K749" s="496"/>
      <c r="L749" s="496"/>
      <c r="M749" s="496"/>
      <c r="N749" s="496"/>
      <c r="O749" s="496"/>
      <c r="P749" s="496"/>
      <c r="Q749" s="496"/>
      <c r="R749" s="496"/>
      <c r="S749" s="496"/>
      <c r="T749" s="496"/>
      <c r="U749" s="496"/>
      <c r="V749" s="496"/>
      <c r="W749" s="496"/>
      <c r="X749" s="496"/>
      <c r="Y749" s="496"/>
    </row>
    <row r="750" spans="1:25" x14ac:dyDescent="0.2">
      <c r="A750" s="496"/>
      <c r="D750" s="496"/>
    </row>
    <row r="751" spans="1:25" x14ac:dyDescent="0.2">
      <c r="A751" s="496"/>
      <c r="D751" s="496"/>
    </row>
    <row r="752" spans="1:25" s="123" customFormat="1" x14ac:dyDescent="0.2">
      <c r="A752" s="496"/>
      <c r="B752" s="496"/>
      <c r="C752" s="496"/>
      <c r="D752" s="496"/>
      <c r="E752" s="496"/>
      <c r="F752" s="496"/>
      <c r="G752" s="496"/>
      <c r="H752" s="496"/>
      <c r="I752" s="496"/>
      <c r="J752" s="496"/>
      <c r="K752" s="496"/>
      <c r="L752" s="496"/>
      <c r="M752" s="496"/>
      <c r="N752" s="496"/>
      <c r="O752" s="496"/>
      <c r="P752" s="496"/>
      <c r="Q752" s="496"/>
      <c r="R752" s="496"/>
      <c r="S752" s="496"/>
      <c r="T752" s="496"/>
      <c r="U752" s="496"/>
      <c r="V752" s="496"/>
      <c r="W752" s="496"/>
      <c r="X752" s="496"/>
      <c r="Y752" s="496"/>
    </row>
    <row r="753" spans="1:25" x14ac:dyDescent="0.2">
      <c r="A753" s="496"/>
      <c r="D753" s="496"/>
    </row>
    <row r="754" spans="1:25" x14ac:dyDescent="0.2">
      <c r="A754" s="496"/>
      <c r="D754" s="496"/>
    </row>
    <row r="755" spans="1:25" s="123" customFormat="1" x14ac:dyDescent="0.2">
      <c r="A755" s="496"/>
      <c r="B755" s="496"/>
      <c r="C755" s="496"/>
      <c r="D755" s="496"/>
      <c r="E755" s="496"/>
      <c r="F755" s="496"/>
      <c r="G755" s="496"/>
      <c r="H755" s="496"/>
      <c r="I755" s="496"/>
      <c r="J755" s="496"/>
      <c r="K755" s="496"/>
      <c r="L755" s="496"/>
      <c r="M755" s="496"/>
      <c r="N755" s="496"/>
      <c r="O755" s="496"/>
      <c r="P755" s="496"/>
      <c r="Q755" s="496"/>
      <c r="R755" s="496"/>
      <c r="S755" s="496"/>
      <c r="T755" s="496"/>
      <c r="U755" s="496"/>
      <c r="V755" s="496"/>
      <c r="W755" s="496"/>
      <c r="X755" s="496"/>
      <c r="Y755" s="496"/>
    </row>
    <row r="756" spans="1:25" x14ac:dyDescent="0.2">
      <c r="A756" s="496"/>
      <c r="D756" s="496"/>
    </row>
    <row r="757" spans="1:25" x14ac:dyDescent="0.2">
      <c r="A757" s="496"/>
      <c r="D757" s="496"/>
    </row>
    <row r="758" spans="1:25" s="123" customFormat="1" x14ac:dyDescent="0.2">
      <c r="A758" s="496"/>
      <c r="B758" s="496"/>
      <c r="C758" s="496"/>
      <c r="D758" s="496"/>
      <c r="E758" s="496"/>
      <c r="F758" s="496"/>
      <c r="G758" s="496"/>
      <c r="H758" s="496"/>
      <c r="I758" s="496"/>
      <c r="J758" s="496"/>
      <c r="K758" s="496"/>
      <c r="L758" s="496"/>
      <c r="M758" s="496"/>
      <c r="N758" s="496"/>
      <c r="O758" s="496"/>
      <c r="P758" s="496"/>
      <c r="Q758" s="496"/>
      <c r="R758" s="496"/>
      <c r="S758" s="496"/>
      <c r="T758" s="496"/>
      <c r="U758" s="496"/>
      <c r="V758" s="496"/>
      <c r="W758" s="496"/>
      <c r="X758" s="496"/>
      <c r="Y758" s="496"/>
    </row>
    <row r="759" spans="1:25" x14ac:dyDescent="0.2">
      <c r="A759" s="496"/>
      <c r="D759" s="496"/>
    </row>
    <row r="760" spans="1:25" x14ac:dyDescent="0.2">
      <c r="A760" s="496"/>
      <c r="D760" s="496"/>
    </row>
    <row r="761" spans="1:25" s="123" customFormat="1" x14ac:dyDescent="0.2">
      <c r="A761" s="496"/>
      <c r="B761" s="496"/>
      <c r="C761" s="496"/>
      <c r="D761" s="496"/>
      <c r="E761" s="496"/>
      <c r="F761" s="496"/>
      <c r="G761" s="496"/>
      <c r="H761" s="496"/>
      <c r="I761" s="496"/>
      <c r="J761" s="496"/>
      <c r="K761" s="496"/>
      <c r="L761" s="496"/>
      <c r="M761" s="496"/>
      <c r="N761" s="496"/>
      <c r="O761" s="496"/>
      <c r="P761" s="496"/>
      <c r="Q761" s="496"/>
      <c r="R761" s="496"/>
      <c r="S761" s="496"/>
      <c r="T761" s="496"/>
      <c r="U761" s="496"/>
      <c r="V761" s="496"/>
      <c r="W761" s="496"/>
      <c r="X761" s="496"/>
      <c r="Y761" s="496"/>
    </row>
    <row r="762" spans="1:25" x14ac:dyDescent="0.2">
      <c r="A762" s="496"/>
      <c r="D762" s="496"/>
    </row>
    <row r="763" spans="1:25" x14ac:dyDescent="0.2">
      <c r="A763" s="496"/>
      <c r="D763" s="496"/>
    </row>
    <row r="764" spans="1:25" s="123" customFormat="1" x14ac:dyDescent="0.2">
      <c r="A764" s="496"/>
      <c r="B764" s="496"/>
      <c r="C764" s="496"/>
      <c r="D764" s="496"/>
      <c r="E764" s="496"/>
      <c r="F764" s="496"/>
      <c r="G764" s="496"/>
      <c r="H764" s="496"/>
      <c r="I764" s="496"/>
      <c r="J764" s="496"/>
      <c r="K764" s="496"/>
      <c r="L764" s="496"/>
      <c r="M764" s="496"/>
      <c r="N764" s="496"/>
      <c r="O764" s="496"/>
      <c r="P764" s="496"/>
      <c r="Q764" s="496"/>
      <c r="R764" s="496"/>
      <c r="S764" s="496"/>
      <c r="T764" s="496"/>
      <c r="U764" s="496"/>
      <c r="V764" s="496"/>
      <c r="W764" s="496"/>
      <c r="X764" s="496"/>
      <c r="Y764" s="496"/>
    </row>
    <row r="765" spans="1:25" x14ac:dyDescent="0.2">
      <c r="A765" s="496"/>
      <c r="D765" s="496"/>
    </row>
    <row r="766" spans="1:25" x14ac:dyDescent="0.2">
      <c r="A766" s="496"/>
      <c r="D766" s="496"/>
    </row>
    <row r="767" spans="1:25" s="123" customFormat="1" x14ac:dyDescent="0.2">
      <c r="A767" s="496"/>
      <c r="B767" s="496"/>
      <c r="C767" s="496"/>
      <c r="D767" s="496"/>
      <c r="E767" s="496"/>
      <c r="F767" s="496"/>
      <c r="G767" s="496"/>
      <c r="H767" s="496"/>
      <c r="I767" s="496"/>
      <c r="J767" s="496"/>
      <c r="K767" s="496"/>
      <c r="L767" s="496"/>
      <c r="M767" s="496"/>
      <c r="N767" s="496"/>
      <c r="O767" s="496"/>
      <c r="P767" s="496"/>
      <c r="Q767" s="496"/>
      <c r="R767" s="496"/>
      <c r="S767" s="496"/>
      <c r="T767" s="496"/>
      <c r="U767" s="496"/>
      <c r="V767" s="496"/>
      <c r="W767" s="496"/>
      <c r="X767" s="496"/>
      <c r="Y767" s="496"/>
    </row>
    <row r="768" spans="1:25" x14ac:dyDescent="0.2">
      <c r="A768" s="496"/>
      <c r="D768" s="496"/>
    </row>
    <row r="769" spans="1:25" x14ac:dyDescent="0.2">
      <c r="A769" s="496"/>
      <c r="D769" s="496"/>
    </row>
    <row r="770" spans="1:25" s="123" customFormat="1" x14ac:dyDescent="0.2">
      <c r="A770" s="496"/>
      <c r="B770" s="496"/>
      <c r="C770" s="496"/>
      <c r="D770" s="496"/>
      <c r="E770" s="496"/>
      <c r="F770" s="496"/>
      <c r="G770" s="496"/>
      <c r="H770" s="496"/>
      <c r="I770" s="496"/>
      <c r="J770" s="496"/>
      <c r="K770" s="496"/>
      <c r="L770" s="496"/>
      <c r="M770" s="496"/>
      <c r="N770" s="496"/>
      <c r="O770" s="496"/>
      <c r="P770" s="496"/>
      <c r="Q770" s="496"/>
      <c r="R770" s="496"/>
      <c r="S770" s="496"/>
      <c r="T770" s="496"/>
      <c r="U770" s="496"/>
      <c r="V770" s="496"/>
      <c r="W770" s="496"/>
      <c r="X770" s="496"/>
      <c r="Y770" s="496"/>
    </row>
    <row r="771" spans="1:25" x14ac:dyDescent="0.2">
      <c r="A771" s="496"/>
      <c r="D771" s="496"/>
    </row>
    <row r="772" spans="1:25" x14ac:dyDescent="0.2">
      <c r="A772" s="496"/>
      <c r="D772" s="496"/>
    </row>
    <row r="773" spans="1:25" s="123" customFormat="1" x14ac:dyDescent="0.2">
      <c r="A773" s="496"/>
      <c r="B773" s="496"/>
      <c r="C773" s="496"/>
      <c r="D773" s="496"/>
      <c r="E773" s="496"/>
      <c r="F773" s="496"/>
      <c r="G773" s="496"/>
      <c r="H773" s="496"/>
      <c r="I773" s="496"/>
      <c r="J773" s="496"/>
      <c r="K773" s="496"/>
      <c r="L773" s="496"/>
      <c r="M773" s="496"/>
      <c r="N773" s="496"/>
      <c r="O773" s="496"/>
      <c r="P773" s="496"/>
      <c r="Q773" s="496"/>
      <c r="R773" s="496"/>
      <c r="S773" s="496"/>
      <c r="T773" s="496"/>
      <c r="U773" s="496"/>
      <c r="V773" s="496"/>
      <c r="W773" s="496"/>
      <c r="X773" s="496"/>
      <c r="Y773" s="496"/>
    </row>
    <row r="774" spans="1:25" x14ac:dyDescent="0.2">
      <c r="A774" s="496"/>
      <c r="D774" s="496"/>
    </row>
    <row r="775" spans="1:25" x14ac:dyDescent="0.2">
      <c r="A775" s="496"/>
      <c r="D775" s="496"/>
    </row>
    <row r="776" spans="1:25" s="123" customFormat="1" x14ac:dyDescent="0.2">
      <c r="A776" s="496"/>
      <c r="B776" s="496"/>
      <c r="C776" s="496"/>
      <c r="D776" s="496"/>
      <c r="E776" s="496"/>
      <c r="F776" s="496"/>
      <c r="G776" s="496"/>
      <c r="H776" s="496"/>
      <c r="I776" s="496"/>
      <c r="J776" s="496"/>
      <c r="K776" s="496"/>
      <c r="L776" s="496"/>
      <c r="M776" s="496"/>
      <c r="N776" s="496"/>
      <c r="O776" s="496"/>
      <c r="P776" s="496"/>
      <c r="Q776" s="496"/>
      <c r="R776" s="496"/>
      <c r="S776" s="496"/>
      <c r="T776" s="496"/>
      <c r="U776" s="496"/>
      <c r="V776" s="496"/>
      <c r="W776" s="496"/>
      <c r="X776" s="496"/>
      <c r="Y776" s="496"/>
    </row>
    <row r="777" spans="1:25" x14ac:dyDescent="0.2">
      <c r="A777" s="496"/>
      <c r="D777" s="496"/>
    </row>
    <row r="778" spans="1:25" x14ac:dyDescent="0.2">
      <c r="A778" s="496"/>
      <c r="D778" s="496"/>
    </row>
    <row r="779" spans="1:25" s="123" customFormat="1" x14ac:dyDescent="0.2">
      <c r="A779" s="496"/>
      <c r="B779" s="496"/>
      <c r="C779" s="496"/>
      <c r="D779" s="496"/>
      <c r="E779" s="496"/>
      <c r="F779" s="496"/>
      <c r="G779" s="496"/>
      <c r="H779" s="496"/>
      <c r="I779" s="496"/>
      <c r="J779" s="496"/>
      <c r="K779" s="496"/>
      <c r="L779" s="496"/>
      <c r="M779" s="496"/>
      <c r="N779" s="496"/>
      <c r="O779" s="496"/>
      <c r="P779" s="496"/>
      <c r="Q779" s="496"/>
      <c r="R779" s="496"/>
      <c r="S779" s="496"/>
      <c r="T779" s="496"/>
      <c r="U779" s="496"/>
      <c r="V779" s="496"/>
      <c r="W779" s="496"/>
      <c r="X779" s="496"/>
      <c r="Y779" s="496"/>
    </row>
    <row r="780" spans="1:25" x14ac:dyDescent="0.2">
      <c r="A780" s="496"/>
      <c r="D780" s="496"/>
    </row>
    <row r="781" spans="1:25" x14ac:dyDescent="0.2">
      <c r="A781" s="496"/>
      <c r="D781" s="496"/>
    </row>
    <row r="782" spans="1:25" s="123" customFormat="1" x14ac:dyDescent="0.2">
      <c r="A782" s="496"/>
      <c r="B782" s="496"/>
      <c r="C782" s="496"/>
      <c r="D782" s="496"/>
      <c r="E782" s="496"/>
      <c r="F782" s="496"/>
      <c r="G782" s="496"/>
      <c r="H782" s="496"/>
      <c r="I782" s="496"/>
      <c r="J782" s="496"/>
      <c r="K782" s="496"/>
      <c r="L782" s="496"/>
      <c r="M782" s="496"/>
      <c r="N782" s="496"/>
      <c r="O782" s="496"/>
      <c r="P782" s="496"/>
      <c r="Q782" s="496"/>
      <c r="R782" s="496"/>
      <c r="S782" s="496"/>
      <c r="T782" s="496"/>
      <c r="U782" s="496"/>
      <c r="V782" s="496"/>
      <c r="W782" s="496"/>
      <c r="X782" s="496"/>
      <c r="Y782" s="496"/>
    </row>
    <row r="783" spans="1:25" x14ac:dyDescent="0.2">
      <c r="A783" s="496"/>
      <c r="D783" s="496"/>
    </row>
    <row r="784" spans="1:25" x14ac:dyDescent="0.2">
      <c r="A784" s="496"/>
      <c r="D784" s="496"/>
    </row>
    <row r="785" spans="1:25" s="123" customFormat="1" x14ac:dyDescent="0.2">
      <c r="A785" s="496"/>
      <c r="B785" s="496"/>
      <c r="C785" s="496"/>
      <c r="D785" s="496"/>
      <c r="E785" s="496"/>
      <c r="F785" s="496"/>
      <c r="G785" s="496"/>
      <c r="H785" s="496"/>
      <c r="I785" s="496"/>
      <c r="J785" s="496"/>
      <c r="K785" s="496"/>
      <c r="L785" s="496"/>
      <c r="M785" s="496"/>
      <c r="N785" s="496"/>
      <c r="O785" s="496"/>
      <c r="P785" s="496"/>
      <c r="Q785" s="496"/>
      <c r="R785" s="496"/>
      <c r="S785" s="496"/>
      <c r="T785" s="496"/>
      <c r="U785" s="496"/>
      <c r="V785" s="496"/>
      <c r="W785" s="496"/>
      <c r="X785" s="496"/>
      <c r="Y785" s="496"/>
    </row>
    <row r="786" spans="1:25" x14ac:dyDescent="0.2">
      <c r="A786" s="496"/>
      <c r="D786" s="496"/>
    </row>
    <row r="787" spans="1:25" x14ac:dyDescent="0.2">
      <c r="A787" s="496"/>
      <c r="D787" s="496"/>
    </row>
    <row r="788" spans="1:25" s="123" customFormat="1" x14ac:dyDescent="0.2">
      <c r="A788" s="496"/>
      <c r="B788" s="496"/>
      <c r="C788" s="496"/>
      <c r="D788" s="496"/>
      <c r="E788" s="496"/>
      <c r="F788" s="496"/>
      <c r="G788" s="496"/>
      <c r="H788" s="496"/>
      <c r="I788" s="496"/>
      <c r="J788" s="496"/>
      <c r="K788" s="496"/>
      <c r="L788" s="496"/>
      <c r="M788" s="496"/>
      <c r="N788" s="496"/>
      <c r="O788" s="496"/>
      <c r="P788" s="496"/>
      <c r="Q788" s="496"/>
      <c r="R788" s="496"/>
      <c r="S788" s="496"/>
      <c r="T788" s="496"/>
      <c r="U788" s="496"/>
      <c r="V788" s="496"/>
      <c r="W788" s="496"/>
      <c r="X788" s="496"/>
      <c r="Y788" s="496"/>
    </row>
    <row r="789" spans="1:25" x14ac:dyDescent="0.2">
      <c r="A789" s="496"/>
      <c r="D789" s="496"/>
    </row>
    <row r="790" spans="1:25" x14ac:dyDescent="0.2">
      <c r="A790" s="496"/>
      <c r="D790" s="496"/>
    </row>
    <row r="791" spans="1:25" s="123" customFormat="1" x14ac:dyDescent="0.2">
      <c r="A791" s="496"/>
      <c r="B791" s="496"/>
      <c r="C791" s="496"/>
      <c r="D791" s="496"/>
      <c r="E791" s="496"/>
      <c r="F791" s="496"/>
      <c r="G791" s="496"/>
      <c r="H791" s="496"/>
      <c r="I791" s="496"/>
      <c r="J791" s="496"/>
      <c r="K791" s="496"/>
      <c r="L791" s="496"/>
      <c r="M791" s="496"/>
      <c r="N791" s="496"/>
      <c r="O791" s="496"/>
      <c r="P791" s="496"/>
      <c r="Q791" s="496"/>
      <c r="R791" s="496"/>
      <c r="S791" s="496"/>
      <c r="T791" s="496"/>
      <c r="U791" s="496"/>
      <c r="V791" s="496"/>
      <c r="W791" s="496"/>
      <c r="X791" s="496"/>
      <c r="Y791" s="496"/>
    </row>
    <row r="792" spans="1:25" x14ac:dyDescent="0.2">
      <c r="A792" s="496"/>
      <c r="D792" s="496"/>
    </row>
    <row r="793" spans="1:25" x14ac:dyDescent="0.2">
      <c r="A793" s="496"/>
      <c r="D793" s="496"/>
    </row>
    <row r="794" spans="1:25" s="123" customFormat="1" x14ac:dyDescent="0.2">
      <c r="A794" s="496"/>
      <c r="B794" s="496"/>
      <c r="C794" s="496"/>
      <c r="D794" s="496"/>
      <c r="E794" s="496"/>
      <c r="F794" s="496"/>
      <c r="G794" s="496"/>
      <c r="H794" s="496"/>
      <c r="I794" s="496"/>
      <c r="J794" s="496"/>
      <c r="K794" s="496"/>
      <c r="L794" s="496"/>
      <c r="M794" s="496"/>
      <c r="N794" s="496"/>
      <c r="O794" s="496"/>
      <c r="P794" s="496"/>
      <c r="Q794" s="496"/>
      <c r="R794" s="496"/>
      <c r="S794" s="496"/>
      <c r="T794" s="496"/>
      <c r="U794" s="496"/>
      <c r="V794" s="496"/>
      <c r="W794" s="496"/>
      <c r="X794" s="496"/>
      <c r="Y794" s="496"/>
    </row>
    <row r="795" spans="1:25" x14ac:dyDescent="0.2">
      <c r="A795" s="496"/>
      <c r="D795" s="496"/>
    </row>
    <row r="796" spans="1:25" x14ac:dyDescent="0.2">
      <c r="A796" s="496"/>
      <c r="D796" s="496"/>
    </row>
    <row r="797" spans="1:25" s="123" customFormat="1" x14ac:dyDescent="0.2">
      <c r="A797" s="496"/>
      <c r="B797" s="496"/>
      <c r="C797" s="496"/>
      <c r="D797" s="496"/>
      <c r="E797" s="496"/>
      <c r="F797" s="496"/>
      <c r="G797" s="496"/>
      <c r="H797" s="496"/>
      <c r="I797" s="496"/>
      <c r="J797" s="496"/>
      <c r="K797" s="496"/>
      <c r="L797" s="496"/>
      <c r="M797" s="496"/>
      <c r="N797" s="496"/>
      <c r="O797" s="496"/>
      <c r="P797" s="496"/>
      <c r="Q797" s="496"/>
      <c r="R797" s="496"/>
      <c r="S797" s="496"/>
      <c r="T797" s="496"/>
      <c r="U797" s="496"/>
      <c r="V797" s="496"/>
      <c r="W797" s="496"/>
      <c r="X797" s="496"/>
      <c r="Y797" s="496"/>
    </row>
    <row r="798" spans="1:25" x14ac:dyDescent="0.2">
      <c r="A798" s="496"/>
      <c r="D798" s="496"/>
    </row>
    <row r="799" spans="1:25" x14ac:dyDescent="0.2">
      <c r="A799" s="496"/>
      <c r="D799" s="496"/>
    </row>
    <row r="800" spans="1:25" s="123" customFormat="1" x14ac:dyDescent="0.2">
      <c r="A800" s="496"/>
      <c r="B800" s="496"/>
      <c r="C800" s="496"/>
      <c r="D800" s="496"/>
      <c r="E800" s="496"/>
      <c r="F800" s="496"/>
      <c r="G800" s="496"/>
      <c r="H800" s="496"/>
      <c r="I800" s="496"/>
      <c r="J800" s="496"/>
      <c r="K800" s="496"/>
      <c r="L800" s="496"/>
      <c r="M800" s="496"/>
      <c r="N800" s="496"/>
      <c r="O800" s="496"/>
      <c r="P800" s="496"/>
      <c r="Q800" s="496"/>
      <c r="R800" s="496"/>
      <c r="S800" s="496"/>
      <c r="T800" s="496"/>
      <c r="U800" s="496"/>
      <c r="V800" s="496"/>
      <c r="W800" s="496"/>
      <c r="X800" s="496"/>
      <c r="Y800" s="496"/>
    </row>
    <row r="801" spans="1:25" x14ac:dyDescent="0.2">
      <c r="A801" s="496"/>
      <c r="D801" s="496"/>
    </row>
    <row r="802" spans="1:25" x14ac:dyDescent="0.2">
      <c r="A802" s="496"/>
      <c r="D802" s="496"/>
    </row>
    <row r="803" spans="1:25" s="123" customFormat="1" x14ac:dyDescent="0.2">
      <c r="A803" s="496"/>
      <c r="B803" s="496"/>
      <c r="C803" s="496"/>
      <c r="D803" s="496"/>
      <c r="E803" s="496"/>
      <c r="F803" s="496"/>
      <c r="G803" s="496"/>
      <c r="H803" s="496"/>
      <c r="I803" s="496"/>
      <c r="J803" s="496"/>
      <c r="K803" s="496"/>
      <c r="L803" s="496"/>
      <c r="M803" s="496"/>
      <c r="N803" s="496"/>
      <c r="O803" s="496"/>
      <c r="P803" s="496"/>
      <c r="Q803" s="496"/>
      <c r="R803" s="496"/>
      <c r="S803" s="496"/>
      <c r="T803" s="496"/>
      <c r="U803" s="496"/>
      <c r="V803" s="496"/>
      <c r="W803" s="496"/>
      <c r="X803" s="496"/>
      <c r="Y803" s="496"/>
    </row>
    <row r="804" spans="1:25" x14ac:dyDescent="0.2">
      <c r="A804" s="496"/>
      <c r="D804" s="496"/>
    </row>
    <row r="805" spans="1:25" x14ac:dyDescent="0.2">
      <c r="A805" s="496"/>
      <c r="D805" s="496"/>
    </row>
    <row r="806" spans="1:25" s="123" customFormat="1" x14ac:dyDescent="0.2">
      <c r="A806" s="496"/>
      <c r="B806" s="496"/>
      <c r="C806" s="496"/>
      <c r="D806" s="496"/>
      <c r="E806" s="496"/>
      <c r="F806" s="496"/>
      <c r="G806" s="496"/>
      <c r="H806" s="496"/>
      <c r="I806" s="496"/>
      <c r="J806" s="496"/>
      <c r="K806" s="496"/>
      <c r="L806" s="496"/>
      <c r="M806" s="496"/>
      <c r="N806" s="496"/>
      <c r="O806" s="496"/>
      <c r="P806" s="496"/>
      <c r="Q806" s="496"/>
      <c r="R806" s="496"/>
      <c r="S806" s="496"/>
      <c r="T806" s="496"/>
      <c r="U806" s="496"/>
      <c r="V806" s="496"/>
      <c r="W806" s="496"/>
      <c r="X806" s="496"/>
      <c r="Y806" s="496"/>
    </row>
    <row r="807" spans="1:25" x14ac:dyDescent="0.2">
      <c r="A807" s="496"/>
      <c r="D807" s="496"/>
    </row>
    <row r="808" spans="1:25" x14ac:dyDescent="0.2">
      <c r="A808" s="496"/>
      <c r="D808" s="496"/>
    </row>
    <row r="809" spans="1:25" s="123" customFormat="1" x14ac:dyDescent="0.2">
      <c r="A809" s="496"/>
      <c r="B809" s="496"/>
      <c r="C809" s="496"/>
      <c r="D809" s="496"/>
      <c r="E809" s="496"/>
      <c r="F809" s="496"/>
      <c r="G809" s="496"/>
      <c r="H809" s="496"/>
      <c r="I809" s="496"/>
      <c r="J809" s="496"/>
      <c r="K809" s="496"/>
      <c r="L809" s="496"/>
      <c r="M809" s="496"/>
      <c r="N809" s="496"/>
      <c r="O809" s="496"/>
      <c r="P809" s="496"/>
      <c r="Q809" s="496"/>
      <c r="R809" s="496"/>
      <c r="S809" s="496"/>
      <c r="T809" s="496"/>
      <c r="U809" s="496"/>
      <c r="V809" s="496"/>
      <c r="W809" s="496"/>
      <c r="X809" s="496"/>
      <c r="Y809" s="496"/>
    </row>
    <row r="810" spans="1:25" x14ac:dyDescent="0.2">
      <c r="A810" s="496"/>
      <c r="D810" s="496"/>
    </row>
    <row r="811" spans="1:25" x14ac:dyDescent="0.2">
      <c r="A811" s="496"/>
      <c r="D811" s="496"/>
    </row>
    <row r="812" spans="1:25" s="123" customFormat="1" x14ac:dyDescent="0.2">
      <c r="A812" s="496"/>
      <c r="B812" s="496"/>
      <c r="C812" s="496"/>
      <c r="D812" s="496"/>
      <c r="E812" s="496"/>
      <c r="F812" s="496"/>
      <c r="G812" s="496"/>
      <c r="H812" s="496"/>
      <c r="I812" s="496"/>
      <c r="J812" s="496"/>
      <c r="K812" s="496"/>
      <c r="L812" s="496"/>
      <c r="M812" s="496"/>
      <c r="N812" s="496"/>
      <c r="O812" s="496"/>
      <c r="P812" s="496"/>
      <c r="Q812" s="496"/>
      <c r="R812" s="496"/>
      <c r="S812" s="496"/>
      <c r="T812" s="496"/>
      <c r="U812" s="496"/>
      <c r="V812" s="496"/>
      <c r="W812" s="496"/>
      <c r="X812" s="496"/>
      <c r="Y812" s="496"/>
    </row>
    <row r="813" spans="1:25" x14ac:dyDescent="0.2">
      <c r="A813" s="496"/>
      <c r="D813" s="496"/>
    </row>
    <row r="814" spans="1:25" x14ac:dyDescent="0.2">
      <c r="A814" s="496"/>
      <c r="D814" s="496"/>
    </row>
    <row r="815" spans="1:25" s="123" customFormat="1" x14ac:dyDescent="0.2">
      <c r="A815" s="496"/>
      <c r="B815" s="496"/>
      <c r="C815" s="496"/>
      <c r="D815" s="496"/>
      <c r="E815" s="496"/>
      <c r="F815" s="496"/>
      <c r="G815" s="496"/>
      <c r="H815" s="496"/>
      <c r="I815" s="496"/>
      <c r="J815" s="496"/>
      <c r="K815" s="496"/>
      <c r="L815" s="496"/>
      <c r="M815" s="496"/>
      <c r="N815" s="496"/>
      <c r="O815" s="496"/>
      <c r="P815" s="496"/>
      <c r="Q815" s="496"/>
      <c r="R815" s="496"/>
      <c r="S815" s="496"/>
      <c r="T815" s="496"/>
      <c r="U815" s="496"/>
      <c r="V815" s="496"/>
      <c r="W815" s="496"/>
      <c r="X815" s="496"/>
      <c r="Y815" s="496"/>
    </row>
    <row r="816" spans="1:25" x14ac:dyDescent="0.2">
      <c r="A816" s="496"/>
      <c r="D816" s="496"/>
    </row>
    <row r="817" spans="1:25" x14ac:dyDescent="0.2">
      <c r="A817" s="496"/>
      <c r="D817" s="496"/>
    </row>
    <row r="818" spans="1:25" s="123" customFormat="1" x14ac:dyDescent="0.2">
      <c r="A818" s="496"/>
      <c r="B818" s="496"/>
      <c r="C818" s="496"/>
      <c r="D818" s="496"/>
      <c r="E818" s="496"/>
      <c r="F818" s="496"/>
      <c r="G818" s="496"/>
      <c r="H818" s="496"/>
      <c r="I818" s="496"/>
      <c r="J818" s="496"/>
      <c r="K818" s="496"/>
      <c r="L818" s="496"/>
      <c r="M818" s="496"/>
      <c r="N818" s="496"/>
      <c r="O818" s="496"/>
      <c r="P818" s="496"/>
      <c r="Q818" s="496"/>
      <c r="R818" s="496"/>
      <c r="S818" s="496"/>
      <c r="T818" s="496"/>
      <c r="U818" s="496"/>
      <c r="V818" s="496"/>
      <c r="W818" s="496"/>
      <c r="X818" s="496"/>
      <c r="Y818" s="496"/>
    </row>
    <row r="819" spans="1:25" x14ac:dyDescent="0.2">
      <c r="A819" s="496"/>
      <c r="D819" s="496"/>
    </row>
    <row r="820" spans="1:25" x14ac:dyDescent="0.2">
      <c r="A820" s="496"/>
      <c r="D820" s="496"/>
    </row>
    <row r="821" spans="1:25" s="123" customFormat="1" x14ac:dyDescent="0.2">
      <c r="A821" s="496"/>
      <c r="B821" s="496"/>
      <c r="C821" s="496"/>
      <c r="D821" s="496"/>
      <c r="E821" s="496"/>
      <c r="F821" s="496"/>
      <c r="G821" s="496"/>
      <c r="H821" s="496"/>
      <c r="I821" s="496"/>
      <c r="J821" s="496"/>
      <c r="K821" s="496"/>
      <c r="L821" s="496"/>
      <c r="M821" s="496"/>
      <c r="N821" s="496"/>
      <c r="O821" s="496"/>
      <c r="P821" s="496"/>
      <c r="Q821" s="496"/>
      <c r="R821" s="496"/>
      <c r="S821" s="496"/>
      <c r="T821" s="496"/>
      <c r="U821" s="496"/>
      <c r="V821" s="496"/>
      <c r="W821" s="496"/>
      <c r="X821" s="496"/>
      <c r="Y821" s="496"/>
    </row>
    <row r="822" spans="1:25" x14ac:dyDescent="0.2">
      <c r="A822" s="496"/>
      <c r="D822" s="496"/>
    </row>
    <row r="823" spans="1:25" x14ac:dyDescent="0.2">
      <c r="A823" s="496"/>
      <c r="D823" s="496"/>
    </row>
    <row r="824" spans="1:25" s="123" customFormat="1" x14ac:dyDescent="0.2">
      <c r="A824" s="496"/>
      <c r="B824" s="496"/>
      <c r="C824" s="496"/>
      <c r="D824" s="496"/>
      <c r="E824" s="496"/>
      <c r="F824" s="496"/>
      <c r="G824" s="496"/>
      <c r="H824" s="496"/>
      <c r="I824" s="496"/>
      <c r="J824" s="496"/>
      <c r="K824" s="496"/>
      <c r="L824" s="496"/>
      <c r="M824" s="496"/>
      <c r="N824" s="496"/>
      <c r="O824" s="496"/>
      <c r="P824" s="496"/>
      <c r="Q824" s="496"/>
      <c r="R824" s="496"/>
      <c r="S824" s="496"/>
      <c r="T824" s="496"/>
      <c r="U824" s="496"/>
      <c r="V824" s="496"/>
      <c r="W824" s="496"/>
      <c r="X824" s="496"/>
      <c r="Y824" s="496"/>
    </row>
    <row r="825" spans="1:25" x14ac:dyDescent="0.2">
      <c r="A825" s="496"/>
      <c r="D825" s="496"/>
    </row>
    <row r="826" spans="1:25" x14ac:dyDescent="0.2">
      <c r="A826" s="496"/>
      <c r="D826" s="496"/>
    </row>
    <row r="827" spans="1:25" s="123" customFormat="1" x14ac:dyDescent="0.2">
      <c r="A827" s="496"/>
      <c r="B827" s="496"/>
      <c r="C827" s="496"/>
      <c r="D827" s="496"/>
      <c r="E827" s="496"/>
      <c r="F827" s="496"/>
      <c r="G827" s="496"/>
      <c r="H827" s="496"/>
      <c r="I827" s="496"/>
      <c r="J827" s="496"/>
      <c r="K827" s="496"/>
      <c r="L827" s="496"/>
      <c r="M827" s="496"/>
      <c r="N827" s="496"/>
      <c r="O827" s="496"/>
      <c r="P827" s="496"/>
      <c r="Q827" s="496"/>
      <c r="R827" s="496"/>
      <c r="S827" s="496"/>
      <c r="T827" s="496"/>
      <c r="U827" s="496"/>
      <c r="V827" s="496"/>
      <c r="W827" s="496"/>
      <c r="X827" s="496"/>
      <c r="Y827" s="496"/>
    </row>
    <row r="828" spans="1:25" x14ac:dyDescent="0.2">
      <c r="A828" s="496"/>
      <c r="D828" s="496"/>
    </row>
    <row r="829" spans="1:25" x14ac:dyDescent="0.2">
      <c r="A829" s="496"/>
      <c r="D829" s="496"/>
    </row>
    <row r="830" spans="1:25" s="123" customFormat="1" x14ac:dyDescent="0.2">
      <c r="A830" s="496"/>
      <c r="B830" s="496"/>
      <c r="C830" s="496"/>
      <c r="D830" s="496"/>
      <c r="E830" s="496"/>
      <c r="F830" s="496"/>
      <c r="G830" s="496"/>
      <c r="H830" s="496"/>
      <c r="I830" s="496"/>
      <c r="J830" s="496"/>
      <c r="K830" s="496"/>
      <c r="L830" s="496"/>
      <c r="M830" s="496"/>
      <c r="N830" s="496"/>
      <c r="O830" s="496"/>
      <c r="P830" s="496"/>
      <c r="Q830" s="496"/>
      <c r="R830" s="496"/>
      <c r="S830" s="496"/>
      <c r="T830" s="496"/>
      <c r="U830" s="496"/>
      <c r="V830" s="496"/>
      <c r="W830" s="496"/>
      <c r="X830" s="496"/>
      <c r="Y830" s="496"/>
    </row>
    <row r="831" spans="1:25" x14ac:dyDescent="0.2">
      <c r="A831" s="496"/>
      <c r="D831" s="496"/>
    </row>
    <row r="832" spans="1:25" x14ac:dyDescent="0.2">
      <c r="A832" s="496"/>
      <c r="D832" s="496"/>
    </row>
    <row r="833" spans="1:25" s="123" customFormat="1" x14ac:dyDescent="0.2">
      <c r="A833" s="496"/>
      <c r="B833" s="496"/>
      <c r="C833" s="496"/>
      <c r="D833" s="496"/>
      <c r="E833" s="496"/>
      <c r="F833" s="496"/>
      <c r="G833" s="496"/>
      <c r="H833" s="496"/>
      <c r="I833" s="496"/>
      <c r="J833" s="496"/>
      <c r="K833" s="496"/>
      <c r="L833" s="496"/>
      <c r="M833" s="496"/>
      <c r="N833" s="496"/>
      <c r="O833" s="496"/>
      <c r="P833" s="496"/>
      <c r="Q833" s="496"/>
      <c r="R833" s="496"/>
      <c r="S833" s="496"/>
      <c r="T833" s="496"/>
      <c r="U833" s="496"/>
      <c r="V833" s="496"/>
      <c r="W833" s="496"/>
      <c r="X833" s="496"/>
      <c r="Y833" s="496"/>
    </row>
    <row r="834" spans="1:25" x14ac:dyDescent="0.2">
      <c r="A834" s="496"/>
      <c r="D834" s="496"/>
    </row>
    <row r="835" spans="1:25" x14ac:dyDescent="0.2">
      <c r="A835" s="496"/>
      <c r="D835" s="496"/>
    </row>
    <row r="836" spans="1:25" s="123" customFormat="1" x14ac:dyDescent="0.2">
      <c r="A836" s="496"/>
      <c r="B836" s="496"/>
      <c r="C836" s="496"/>
      <c r="D836" s="496"/>
      <c r="E836" s="496"/>
      <c r="F836" s="496"/>
      <c r="G836" s="496"/>
      <c r="H836" s="496"/>
      <c r="I836" s="496"/>
      <c r="J836" s="496"/>
      <c r="K836" s="496"/>
      <c r="L836" s="496"/>
      <c r="M836" s="496"/>
      <c r="N836" s="496"/>
      <c r="O836" s="496"/>
      <c r="P836" s="496"/>
      <c r="Q836" s="496"/>
      <c r="R836" s="496"/>
      <c r="S836" s="496"/>
      <c r="T836" s="496"/>
      <c r="U836" s="496"/>
      <c r="V836" s="496"/>
      <c r="W836" s="496"/>
      <c r="X836" s="496"/>
      <c r="Y836" s="496"/>
    </row>
    <row r="837" spans="1:25" x14ac:dyDescent="0.2">
      <c r="A837" s="496"/>
      <c r="D837" s="496"/>
    </row>
    <row r="838" spans="1:25" x14ac:dyDescent="0.2">
      <c r="A838" s="496"/>
      <c r="D838" s="496"/>
    </row>
    <row r="839" spans="1:25" s="123" customFormat="1" x14ac:dyDescent="0.2">
      <c r="A839" s="496"/>
      <c r="B839" s="496"/>
      <c r="C839" s="496"/>
      <c r="D839" s="496"/>
      <c r="E839" s="496"/>
      <c r="F839" s="496"/>
      <c r="G839" s="496"/>
      <c r="H839" s="496"/>
      <c r="I839" s="496"/>
      <c r="J839" s="496"/>
      <c r="K839" s="496"/>
      <c r="L839" s="496"/>
      <c r="M839" s="496"/>
      <c r="N839" s="496"/>
      <c r="O839" s="496"/>
      <c r="P839" s="496"/>
      <c r="Q839" s="496"/>
      <c r="R839" s="496"/>
      <c r="S839" s="496"/>
      <c r="T839" s="496"/>
      <c r="U839" s="496"/>
      <c r="V839" s="496"/>
      <c r="W839" s="496"/>
      <c r="X839" s="496"/>
      <c r="Y839" s="496"/>
    </row>
    <row r="840" spans="1:25" x14ac:dyDescent="0.2">
      <c r="A840" s="496"/>
      <c r="D840" s="496"/>
    </row>
    <row r="841" spans="1:25" x14ac:dyDescent="0.2">
      <c r="A841" s="496"/>
      <c r="D841" s="496"/>
    </row>
    <row r="842" spans="1:25" s="123" customFormat="1" x14ac:dyDescent="0.2">
      <c r="A842" s="496"/>
      <c r="B842" s="496"/>
      <c r="C842" s="496"/>
      <c r="D842" s="496"/>
      <c r="E842" s="496"/>
      <c r="F842" s="496"/>
      <c r="G842" s="496"/>
      <c r="H842" s="496"/>
      <c r="I842" s="496"/>
      <c r="J842" s="496"/>
      <c r="K842" s="496"/>
      <c r="L842" s="496"/>
      <c r="M842" s="496"/>
      <c r="N842" s="496"/>
      <c r="O842" s="496"/>
      <c r="P842" s="496"/>
      <c r="Q842" s="496"/>
      <c r="R842" s="496"/>
      <c r="S842" s="496"/>
      <c r="T842" s="496"/>
      <c r="U842" s="496"/>
      <c r="V842" s="496"/>
      <c r="W842" s="496"/>
      <c r="X842" s="496"/>
      <c r="Y842" s="496"/>
    </row>
    <row r="843" spans="1:25" x14ac:dyDescent="0.2">
      <c r="A843" s="496"/>
      <c r="D843" s="496"/>
    </row>
    <row r="844" spans="1:25" x14ac:dyDescent="0.2">
      <c r="A844" s="496"/>
      <c r="D844" s="496"/>
    </row>
    <row r="845" spans="1:25" s="123" customFormat="1" x14ac:dyDescent="0.2">
      <c r="A845" s="496"/>
      <c r="B845" s="496"/>
      <c r="C845" s="496"/>
      <c r="D845" s="496"/>
      <c r="E845" s="496"/>
      <c r="F845" s="496"/>
      <c r="G845" s="496"/>
      <c r="H845" s="496"/>
      <c r="I845" s="496"/>
      <c r="J845" s="496"/>
      <c r="K845" s="496"/>
      <c r="L845" s="496"/>
      <c r="M845" s="496"/>
      <c r="N845" s="496"/>
      <c r="O845" s="496"/>
      <c r="P845" s="496"/>
      <c r="Q845" s="496"/>
      <c r="R845" s="496"/>
      <c r="S845" s="496"/>
      <c r="T845" s="496"/>
      <c r="U845" s="496"/>
      <c r="V845" s="496"/>
      <c r="W845" s="496"/>
      <c r="X845" s="496"/>
      <c r="Y845" s="496"/>
    </row>
    <row r="846" spans="1:25" x14ac:dyDescent="0.2">
      <c r="A846" s="496"/>
      <c r="D846" s="496"/>
    </row>
    <row r="847" spans="1:25" x14ac:dyDescent="0.2">
      <c r="A847" s="496"/>
      <c r="D847" s="496"/>
    </row>
    <row r="848" spans="1:25" s="123" customFormat="1" x14ac:dyDescent="0.2">
      <c r="A848" s="496"/>
      <c r="B848" s="496"/>
      <c r="C848" s="496"/>
      <c r="D848" s="496"/>
      <c r="E848" s="496"/>
      <c r="F848" s="496"/>
      <c r="G848" s="496"/>
      <c r="H848" s="496"/>
      <c r="I848" s="496"/>
      <c r="J848" s="496"/>
      <c r="K848" s="496"/>
      <c r="L848" s="496"/>
      <c r="M848" s="496"/>
      <c r="N848" s="496"/>
      <c r="O848" s="496"/>
      <c r="P848" s="496"/>
      <c r="Q848" s="496"/>
      <c r="R848" s="496"/>
      <c r="S848" s="496"/>
      <c r="T848" s="496"/>
      <c r="U848" s="496"/>
      <c r="V848" s="496"/>
      <c r="W848" s="496"/>
      <c r="X848" s="496"/>
      <c r="Y848" s="496"/>
    </row>
    <row r="849" spans="1:25" x14ac:dyDescent="0.2">
      <c r="A849" s="496"/>
      <c r="D849" s="496"/>
    </row>
    <row r="850" spans="1:25" x14ac:dyDescent="0.2">
      <c r="A850" s="496"/>
      <c r="D850" s="496"/>
    </row>
    <row r="851" spans="1:25" s="123" customFormat="1" x14ac:dyDescent="0.2">
      <c r="A851" s="496"/>
      <c r="B851" s="496"/>
      <c r="C851" s="496"/>
      <c r="D851" s="496"/>
      <c r="E851" s="496"/>
      <c r="F851" s="496"/>
      <c r="G851" s="496"/>
      <c r="H851" s="496"/>
      <c r="I851" s="496"/>
      <c r="J851" s="496"/>
      <c r="K851" s="496"/>
      <c r="L851" s="496"/>
      <c r="M851" s="496"/>
      <c r="N851" s="496"/>
      <c r="O851" s="496"/>
      <c r="P851" s="496"/>
      <c r="Q851" s="496"/>
      <c r="R851" s="496"/>
      <c r="S851" s="496"/>
      <c r="T851" s="496"/>
      <c r="U851" s="496"/>
      <c r="V851" s="496"/>
      <c r="W851" s="496"/>
      <c r="X851" s="496"/>
      <c r="Y851" s="496"/>
    </row>
    <row r="852" spans="1:25" x14ac:dyDescent="0.2">
      <c r="A852" s="496"/>
      <c r="D852" s="496"/>
    </row>
    <row r="853" spans="1:25" x14ac:dyDescent="0.2">
      <c r="A853" s="496"/>
      <c r="D853" s="496"/>
    </row>
    <row r="854" spans="1:25" s="123" customFormat="1" x14ac:dyDescent="0.2">
      <c r="A854" s="496"/>
      <c r="B854" s="496"/>
      <c r="C854" s="496"/>
      <c r="D854" s="496"/>
      <c r="E854" s="496"/>
      <c r="F854" s="496"/>
      <c r="G854" s="496"/>
      <c r="H854" s="496"/>
      <c r="I854" s="496"/>
      <c r="J854" s="496"/>
      <c r="K854" s="496"/>
      <c r="L854" s="496"/>
      <c r="M854" s="496"/>
      <c r="N854" s="496"/>
      <c r="O854" s="496"/>
      <c r="P854" s="496"/>
      <c r="Q854" s="496"/>
      <c r="R854" s="496"/>
      <c r="S854" s="496"/>
      <c r="T854" s="496"/>
      <c r="U854" s="496"/>
      <c r="V854" s="496"/>
      <c r="W854" s="496"/>
      <c r="X854" s="496"/>
      <c r="Y854" s="496"/>
    </row>
    <row r="855" spans="1:25" x14ac:dyDescent="0.2">
      <c r="A855" s="496"/>
      <c r="D855" s="496"/>
    </row>
    <row r="856" spans="1:25" x14ac:dyDescent="0.2">
      <c r="A856" s="496"/>
      <c r="D856" s="496"/>
    </row>
    <row r="857" spans="1:25" s="123" customFormat="1" x14ac:dyDescent="0.2">
      <c r="A857" s="496"/>
      <c r="B857" s="496"/>
      <c r="C857" s="496"/>
      <c r="D857" s="496"/>
      <c r="E857" s="496"/>
      <c r="F857" s="496"/>
      <c r="G857" s="496"/>
      <c r="H857" s="496"/>
      <c r="I857" s="496"/>
      <c r="J857" s="496"/>
      <c r="K857" s="496"/>
      <c r="L857" s="496"/>
      <c r="M857" s="496"/>
      <c r="N857" s="496"/>
      <c r="O857" s="496"/>
      <c r="P857" s="496"/>
      <c r="Q857" s="496"/>
      <c r="R857" s="496"/>
      <c r="S857" s="496"/>
      <c r="T857" s="496"/>
      <c r="U857" s="496"/>
      <c r="V857" s="496"/>
      <c r="W857" s="496"/>
      <c r="X857" s="496"/>
      <c r="Y857" s="496"/>
    </row>
    <row r="858" spans="1:25" x14ac:dyDescent="0.2">
      <c r="A858" s="496"/>
      <c r="D858" s="496"/>
    </row>
    <row r="859" spans="1:25" x14ac:dyDescent="0.2">
      <c r="A859" s="496"/>
      <c r="D859" s="496"/>
    </row>
    <row r="860" spans="1:25" s="123" customFormat="1" x14ac:dyDescent="0.2">
      <c r="A860" s="496"/>
      <c r="B860" s="496"/>
      <c r="C860" s="496"/>
      <c r="D860" s="496"/>
      <c r="E860" s="496"/>
      <c r="F860" s="496"/>
      <c r="G860" s="496"/>
      <c r="H860" s="496"/>
      <c r="I860" s="496"/>
      <c r="J860" s="496"/>
      <c r="K860" s="496"/>
      <c r="L860" s="496"/>
      <c r="M860" s="496"/>
      <c r="N860" s="496"/>
      <c r="O860" s="496"/>
      <c r="P860" s="496"/>
      <c r="Q860" s="496"/>
      <c r="R860" s="496"/>
      <c r="S860" s="496"/>
      <c r="T860" s="496"/>
      <c r="U860" s="496"/>
      <c r="V860" s="496"/>
      <c r="W860" s="496"/>
      <c r="X860" s="496"/>
      <c r="Y860" s="496"/>
    </row>
    <row r="861" spans="1:25" x14ac:dyDescent="0.2">
      <c r="A861" s="496"/>
      <c r="D861" s="496"/>
    </row>
    <row r="862" spans="1:25" x14ac:dyDescent="0.2">
      <c r="A862" s="496"/>
      <c r="D862" s="496"/>
    </row>
    <row r="863" spans="1:25" s="123" customFormat="1" x14ac:dyDescent="0.2">
      <c r="A863" s="496"/>
      <c r="B863" s="496"/>
      <c r="C863" s="496"/>
      <c r="D863" s="496"/>
      <c r="E863" s="496"/>
      <c r="F863" s="496"/>
      <c r="G863" s="496"/>
      <c r="H863" s="496"/>
      <c r="I863" s="496"/>
      <c r="J863" s="496"/>
      <c r="K863" s="496"/>
      <c r="L863" s="496"/>
      <c r="M863" s="496"/>
      <c r="N863" s="496"/>
      <c r="O863" s="496"/>
      <c r="P863" s="496"/>
      <c r="Q863" s="496"/>
      <c r="R863" s="496"/>
      <c r="S863" s="496"/>
      <c r="T863" s="496"/>
      <c r="U863" s="496"/>
      <c r="V863" s="496"/>
      <c r="W863" s="496"/>
      <c r="X863" s="496"/>
      <c r="Y863" s="496"/>
    </row>
    <row r="864" spans="1:25" x14ac:dyDescent="0.2">
      <c r="A864" s="496"/>
      <c r="D864" s="496"/>
    </row>
    <row r="865" spans="1:25" x14ac:dyDescent="0.2">
      <c r="A865" s="496"/>
      <c r="D865" s="496"/>
    </row>
    <row r="866" spans="1:25" s="123" customFormat="1" x14ac:dyDescent="0.2">
      <c r="A866" s="496"/>
      <c r="B866" s="496"/>
      <c r="C866" s="496"/>
      <c r="D866" s="496"/>
      <c r="E866" s="496"/>
      <c r="F866" s="496"/>
      <c r="G866" s="496"/>
      <c r="H866" s="496"/>
      <c r="I866" s="496"/>
      <c r="J866" s="496"/>
      <c r="K866" s="496"/>
      <c r="L866" s="496"/>
      <c r="M866" s="496"/>
      <c r="N866" s="496"/>
      <c r="O866" s="496"/>
      <c r="P866" s="496"/>
      <c r="Q866" s="496"/>
      <c r="R866" s="496"/>
      <c r="S866" s="496"/>
      <c r="T866" s="496"/>
      <c r="U866" s="496"/>
      <c r="V866" s="496"/>
      <c r="W866" s="496"/>
      <c r="X866" s="496"/>
      <c r="Y866" s="496"/>
    </row>
    <row r="867" spans="1:25" x14ac:dyDescent="0.2">
      <c r="A867" s="496"/>
      <c r="D867" s="496"/>
    </row>
    <row r="868" spans="1:25" x14ac:dyDescent="0.2">
      <c r="A868" s="496"/>
      <c r="D868" s="496"/>
    </row>
    <row r="869" spans="1:25" s="123" customFormat="1" x14ac:dyDescent="0.2">
      <c r="A869" s="496"/>
      <c r="B869" s="496"/>
      <c r="C869" s="496"/>
      <c r="D869" s="496"/>
      <c r="E869" s="496"/>
      <c r="F869" s="496"/>
      <c r="G869" s="496"/>
      <c r="H869" s="496"/>
      <c r="I869" s="496"/>
      <c r="J869" s="496"/>
      <c r="K869" s="496"/>
      <c r="L869" s="496"/>
      <c r="M869" s="496"/>
      <c r="N869" s="496"/>
      <c r="O869" s="496"/>
      <c r="P869" s="496"/>
      <c r="Q869" s="496"/>
      <c r="R869" s="496"/>
      <c r="S869" s="496"/>
      <c r="T869" s="496"/>
      <c r="U869" s="496"/>
      <c r="V869" s="496"/>
      <c r="W869" s="496"/>
      <c r="X869" s="496"/>
      <c r="Y869" s="496"/>
    </row>
    <row r="870" spans="1:25" x14ac:dyDescent="0.2">
      <c r="A870" s="496"/>
      <c r="D870" s="496"/>
    </row>
    <row r="871" spans="1:25" x14ac:dyDescent="0.2">
      <c r="A871" s="496"/>
      <c r="D871" s="496"/>
    </row>
    <row r="872" spans="1:25" s="123" customFormat="1" x14ac:dyDescent="0.2">
      <c r="A872" s="496"/>
      <c r="B872" s="496"/>
      <c r="C872" s="496"/>
      <c r="D872" s="496"/>
      <c r="E872" s="496"/>
      <c r="F872" s="496"/>
      <c r="G872" s="496"/>
      <c r="H872" s="496"/>
      <c r="I872" s="496"/>
      <c r="J872" s="496"/>
      <c r="K872" s="496"/>
      <c r="L872" s="496"/>
      <c r="M872" s="496"/>
      <c r="N872" s="496"/>
      <c r="O872" s="496"/>
      <c r="P872" s="496"/>
      <c r="Q872" s="496"/>
      <c r="R872" s="496"/>
      <c r="S872" s="496"/>
      <c r="T872" s="496"/>
      <c r="U872" s="496"/>
      <c r="V872" s="496"/>
      <c r="W872" s="496"/>
      <c r="X872" s="496"/>
      <c r="Y872" s="496"/>
    </row>
    <row r="873" spans="1:25" x14ac:dyDescent="0.2">
      <c r="A873" s="496"/>
      <c r="D873" s="496"/>
    </row>
    <row r="874" spans="1:25" x14ac:dyDescent="0.2">
      <c r="A874" s="496"/>
      <c r="D874" s="496"/>
    </row>
    <row r="875" spans="1:25" x14ac:dyDescent="0.2">
      <c r="A875" s="496"/>
      <c r="D875" s="496"/>
    </row>
    <row r="876" spans="1:25" x14ac:dyDescent="0.2">
      <c r="A876" s="496"/>
      <c r="D876" s="496"/>
    </row>
    <row r="877" spans="1:25" x14ac:dyDescent="0.2">
      <c r="A877" s="496"/>
      <c r="D877" s="496"/>
    </row>
    <row r="878" spans="1:25" x14ac:dyDescent="0.2">
      <c r="A878" s="496"/>
      <c r="D878" s="496"/>
    </row>
    <row r="879" spans="1:25" x14ac:dyDescent="0.2">
      <c r="A879" s="496"/>
      <c r="D879" s="496"/>
    </row>
    <row r="880" spans="1:25" x14ac:dyDescent="0.2">
      <c r="A880" s="496"/>
      <c r="D880" s="496"/>
    </row>
    <row r="881" spans="1:4" x14ac:dyDescent="0.2">
      <c r="A881" s="496"/>
      <c r="D881" s="496"/>
    </row>
    <row r="882" spans="1:4" x14ac:dyDescent="0.2">
      <c r="A882" s="496"/>
      <c r="D882" s="496"/>
    </row>
    <row r="883" spans="1:4" x14ac:dyDescent="0.2">
      <c r="A883" s="496"/>
      <c r="D883" s="496"/>
    </row>
    <row r="884" spans="1:4" x14ac:dyDescent="0.2">
      <c r="A884" s="496"/>
      <c r="D884" s="496"/>
    </row>
    <row r="885" spans="1:4" x14ac:dyDescent="0.2">
      <c r="A885" s="496"/>
      <c r="D885" s="496"/>
    </row>
    <row r="886" spans="1:4" x14ac:dyDescent="0.2">
      <c r="A886" s="496"/>
      <c r="D886" s="496"/>
    </row>
    <row r="887" spans="1:4" x14ac:dyDescent="0.2">
      <c r="A887" s="496"/>
      <c r="D887" s="496"/>
    </row>
    <row r="888" spans="1:4" x14ac:dyDescent="0.2">
      <c r="A888" s="496"/>
      <c r="D888" s="496"/>
    </row>
    <row r="889" spans="1:4" x14ac:dyDescent="0.2">
      <c r="A889" s="496"/>
      <c r="D889" s="496"/>
    </row>
    <row r="890" spans="1:4" x14ac:dyDescent="0.2">
      <c r="A890" s="496"/>
      <c r="D890" s="496"/>
    </row>
    <row r="891" spans="1:4" x14ac:dyDescent="0.2">
      <c r="A891" s="496"/>
      <c r="D891" s="496"/>
    </row>
    <row r="892" spans="1:4" x14ac:dyDescent="0.2">
      <c r="A892" s="496"/>
      <c r="D892" s="496"/>
    </row>
    <row r="893" spans="1:4" x14ac:dyDescent="0.2">
      <c r="A893" s="496"/>
      <c r="D893" s="496"/>
    </row>
    <row r="894" spans="1:4" x14ac:dyDescent="0.2">
      <c r="A894" s="496"/>
      <c r="D894" s="496"/>
    </row>
    <row r="895" spans="1:4" x14ac:dyDescent="0.2">
      <c r="A895" s="496"/>
      <c r="D895" s="496"/>
    </row>
    <row r="896" spans="1:4" x14ac:dyDescent="0.2">
      <c r="A896" s="496"/>
      <c r="D896" s="496"/>
    </row>
    <row r="897" spans="1:4" x14ac:dyDescent="0.2">
      <c r="A897" s="496"/>
      <c r="D897" s="496"/>
    </row>
    <row r="898" spans="1:4" x14ac:dyDescent="0.2">
      <c r="A898" s="496"/>
      <c r="D898" s="496"/>
    </row>
    <row r="899" spans="1:4" x14ac:dyDescent="0.2">
      <c r="A899" s="496"/>
      <c r="D899" s="496"/>
    </row>
    <row r="900" spans="1:4" x14ac:dyDescent="0.2">
      <c r="A900" s="496"/>
      <c r="D900" s="496"/>
    </row>
    <row r="901" spans="1:4" x14ac:dyDescent="0.2">
      <c r="A901" s="496"/>
      <c r="D901" s="496"/>
    </row>
    <row r="902" spans="1:4" x14ac:dyDescent="0.2">
      <c r="A902" s="496"/>
      <c r="D902" s="496"/>
    </row>
    <row r="903" spans="1:4" x14ac:dyDescent="0.2">
      <c r="A903" s="496"/>
      <c r="D903" s="496"/>
    </row>
    <row r="904" spans="1:4" x14ac:dyDescent="0.2">
      <c r="A904" s="496"/>
      <c r="D904" s="496"/>
    </row>
    <row r="905" spans="1:4" x14ac:dyDescent="0.2">
      <c r="A905" s="496"/>
      <c r="D905" s="496"/>
    </row>
    <row r="906" spans="1:4" x14ac:dyDescent="0.2">
      <c r="A906" s="496"/>
      <c r="D906" s="496"/>
    </row>
    <row r="907" spans="1:4" x14ac:dyDescent="0.2">
      <c r="A907" s="496"/>
      <c r="D907" s="496"/>
    </row>
    <row r="908" spans="1:4" x14ac:dyDescent="0.2">
      <c r="A908" s="496"/>
      <c r="D908" s="496"/>
    </row>
    <row r="909" spans="1:4" x14ac:dyDescent="0.2">
      <c r="A909" s="496"/>
      <c r="D909" s="496"/>
    </row>
    <row r="910" spans="1:4" x14ac:dyDescent="0.2">
      <c r="A910" s="496"/>
      <c r="D910" s="496"/>
    </row>
    <row r="911" spans="1:4" x14ac:dyDescent="0.2">
      <c r="A911" s="496"/>
      <c r="D911" s="496"/>
    </row>
    <row r="912" spans="1:4" x14ac:dyDescent="0.2">
      <c r="A912" s="496"/>
      <c r="D912" s="496"/>
    </row>
    <row r="913" spans="1:4" x14ac:dyDescent="0.2">
      <c r="A913" s="496"/>
      <c r="D913" s="496"/>
    </row>
    <row r="914" spans="1:4" x14ac:dyDescent="0.2">
      <c r="A914" s="496"/>
      <c r="D914" s="496"/>
    </row>
    <row r="915" spans="1:4" x14ac:dyDescent="0.2">
      <c r="A915" s="496"/>
      <c r="D915" s="496"/>
    </row>
    <row r="916" spans="1:4" x14ac:dyDescent="0.2">
      <c r="A916" s="496"/>
      <c r="D916" s="496"/>
    </row>
    <row r="917" spans="1:4" x14ac:dyDescent="0.2">
      <c r="A917" s="496"/>
      <c r="D917" s="496"/>
    </row>
    <row r="918" spans="1:4" x14ac:dyDescent="0.2">
      <c r="A918" s="496"/>
      <c r="D918" s="496"/>
    </row>
    <row r="919" spans="1:4" x14ac:dyDescent="0.2">
      <c r="A919" s="496"/>
      <c r="D919" s="496"/>
    </row>
    <row r="920" spans="1:4" x14ac:dyDescent="0.2">
      <c r="A920" s="496"/>
      <c r="D920" s="496"/>
    </row>
    <row r="921" spans="1:4" x14ac:dyDescent="0.2">
      <c r="A921" s="496"/>
      <c r="D921" s="496"/>
    </row>
    <row r="922" spans="1:4" x14ac:dyDescent="0.2">
      <c r="A922" s="496"/>
      <c r="D922" s="496"/>
    </row>
    <row r="923" spans="1:4" x14ac:dyDescent="0.2">
      <c r="A923" s="496"/>
      <c r="D923" s="496"/>
    </row>
    <row r="924" spans="1:4" x14ac:dyDescent="0.2">
      <c r="A924" s="496"/>
      <c r="D924" s="496"/>
    </row>
    <row r="925" spans="1:4" x14ac:dyDescent="0.2">
      <c r="A925" s="496"/>
      <c r="D925" s="496"/>
    </row>
    <row r="926" spans="1:4" x14ac:dyDescent="0.2">
      <c r="A926" s="496"/>
      <c r="D926" s="496"/>
    </row>
    <row r="927" spans="1:4" x14ac:dyDescent="0.2">
      <c r="A927" s="496"/>
      <c r="D927" s="496"/>
    </row>
    <row r="928" spans="1:4" x14ac:dyDescent="0.2">
      <c r="A928" s="496"/>
      <c r="D928" s="496"/>
    </row>
    <row r="929" spans="1:4" x14ac:dyDescent="0.2">
      <c r="A929" s="496"/>
      <c r="D929" s="496"/>
    </row>
    <row r="930" spans="1:4" x14ac:dyDescent="0.2">
      <c r="A930" s="496"/>
      <c r="D930" s="496"/>
    </row>
    <row r="931" spans="1:4" x14ac:dyDescent="0.2">
      <c r="A931" s="496"/>
      <c r="D931" s="496"/>
    </row>
    <row r="932" spans="1:4" x14ac:dyDescent="0.2">
      <c r="A932" s="496"/>
      <c r="D932" s="496"/>
    </row>
    <row r="933" spans="1:4" x14ac:dyDescent="0.2">
      <c r="A933" s="496"/>
      <c r="D933" s="496"/>
    </row>
    <row r="934" spans="1:4" x14ac:dyDescent="0.2">
      <c r="A934" s="496"/>
      <c r="D934" s="496"/>
    </row>
    <row r="935" spans="1:4" x14ac:dyDescent="0.2">
      <c r="A935" s="496"/>
      <c r="D935" s="496"/>
    </row>
    <row r="936" spans="1:4" x14ac:dyDescent="0.2">
      <c r="A936" s="496"/>
      <c r="D936" s="496"/>
    </row>
    <row r="937" spans="1:4" x14ac:dyDescent="0.2">
      <c r="A937" s="496"/>
      <c r="D937" s="496"/>
    </row>
    <row r="938" spans="1:4" x14ac:dyDescent="0.2">
      <c r="A938" s="496"/>
      <c r="D938" s="496"/>
    </row>
    <row r="939" spans="1:4" x14ac:dyDescent="0.2">
      <c r="A939" s="496"/>
      <c r="D939" s="496"/>
    </row>
    <row r="940" spans="1:4" x14ac:dyDescent="0.2">
      <c r="A940" s="496"/>
      <c r="D940" s="496"/>
    </row>
    <row r="941" spans="1:4" x14ac:dyDescent="0.2">
      <c r="A941" s="496"/>
      <c r="D941" s="496"/>
    </row>
    <row r="942" spans="1:4" x14ac:dyDescent="0.2">
      <c r="A942" s="496"/>
      <c r="D942" s="496"/>
    </row>
    <row r="943" spans="1:4" x14ac:dyDescent="0.2">
      <c r="A943" s="496"/>
      <c r="D943" s="496"/>
    </row>
    <row r="944" spans="1:4" x14ac:dyDescent="0.2">
      <c r="A944" s="496"/>
      <c r="D944" s="496"/>
    </row>
    <row r="945" spans="1:4" x14ac:dyDescent="0.2">
      <c r="A945" s="496"/>
      <c r="D945" s="496"/>
    </row>
    <row r="946" spans="1:4" x14ac:dyDescent="0.2">
      <c r="A946" s="496"/>
      <c r="D946" s="496"/>
    </row>
    <row r="947" spans="1:4" x14ac:dyDescent="0.2">
      <c r="A947" s="496"/>
      <c r="D947" s="496"/>
    </row>
    <row r="948" spans="1:4" x14ac:dyDescent="0.2">
      <c r="A948" s="496"/>
      <c r="D948" s="496"/>
    </row>
    <row r="949" spans="1:4" x14ac:dyDescent="0.2">
      <c r="A949" s="496"/>
      <c r="D949" s="496"/>
    </row>
    <row r="950" spans="1:4" x14ac:dyDescent="0.2">
      <c r="A950" s="496"/>
      <c r="D950" s="496"/>
    </row>
    <row r="951" spans="1:4" x14ac:dyDescent="0.2">
      <c r="A951" s="496"/>
      <c r="D951" s="496"/>
    </row>
    <row r="952" spans="1:4" x14ac:dyDescent="0.2">
      <c r="A952" s="496"/>
      <c r="D952" s="496"/>
    </row>
    <row r="953" spans="1:4" x14ac:dyDescent="0.2">
      <c r="A953" s="496"/>
      <c r="D953" s="496"/>
    </row>
    <row r="954" spans="1:4" x14ac:dyDescent="0.2">
      <c r="A954" s="496"/>
      <c r="D954" s="496"/>
    </row>
    <row r="955" spans="1:4" x14ac:dyDescent="0.2">
      <c r="A955" s="496"/>
      <c r="D955" s="496"/>
    </row>
    <row r="956" spans="1:4" x14ac:dyDescent="0.2">
      <c r="A956" s="496"/>
      <c r="D956" s="496"/>
    </row>
    <row r="957" spans="1:4" x14ac:dyDescent="0.2">
      <c r="A957" s="496"/>
      <c r="D957" s="496"/>
    </row>
    <row r="958" spans="1:4" x14ac:dyDescent="0.2">
      <c r="A958" s="496"/>
      <c r="D958" s="496"/>
    </row>
    <row r="959" spans="1:4" x14ac:dyDescent="0.2">
      <c r="A959" s="496"/>
      <c r="D959" s="496"/>
    </row>
    <row r="960" spans="1:4" x14ac:dyDescent="0.2">
      <c r="A960" s="496"/>
      <c r="D960" s="496"/>
    </row>
    <row r="961" spans="1:4" x14ac:dyDescent="0.2">
      <c r="A961" s="496"/>
      <c r="D961" s="496"/>
    </row>
    <row r="962" spans="1:4" x14ac:dyDescent="0.2">
      <c r="A962" s="496"/>
      <c r="D962" s="496"/>
    </row>
    <row r="963" spans="1:4" x14ac:dyDescent="0.2">
      <c r="A963" s="496"/>
      <c r="D963" s="496"/>
    </row>
    <row r="964" spans="1:4" x14ac:dyDescent="0.2">
      <c r="A964" s="496"/>
      <c r="D964" s="496"/>
    </row>
    <row r="965" spans="1:4" x14ac:dyDescent="0.2">
      <c r="A965" s="496"/>
      <c r="D965" s="496"/>
    </row>
    <row r="966" spans="1:4" x14ac:dyDescent="0.2">
      <c r="A966" s="496"/>
      <c r="D966" s="496"/>
    </row>
    <row r="967" spans="1:4" x14ac:dyDescent="0.2">
      <c r="A967" s="496"/>
      <c r="D967" s="496"/>
    </row>
    <row r="968" spans="1:4" x14ac:dyDescent="0.2">
      <c r="A968" s="496"/>
      <c r="D968" s="496"/>
    </row>
    <row r="969" spans="1:4" x14ac:dyDescent="0.2">
      <c r="A969" s="496"/>
      <c r="D969" s="496"/>
    </row>
    <row r="970" spans="1:4" x14ac:dyDescent="0.2">
      <c r="A970" s="496"/>
      <c r="D970" s="496"/>
    </row>
    <row r="971" spans="1:4" x14ac:dyDescent="0.2">
      <c r="A971" s="496"/>
      <c r="D971" s="496"/>
    </row>
    <row r="972" spans="1:4" x14ac:dyDescent="0.2">
      <c r="A972" s="496"/>
      <c r="D972" s="496"/>
    </row>
    <row r="973" spans="1:4" x14ac:dyDescent="0.2">
      <c r="A973" s="496"/>
      <c r="D973" s="496"/>
    </row>
    <row r="974" spans="1:4" x14ac:dyDescent="0.2">
      <c r="A974" s="496"/>
      <c r="D974" s="496"/>
    </row>
    <row r="975" spans="1:4" x14ac:dyDescent="0.2">
      <c r="A975" s="496"/>
      <c r="D975" s="496"/>
    </row>
    <row r="976" spans="1:4" x14ac:dyDescent="0.2">
      <c r="A976" s="496"/>
      <c r="D976" s="496"/>
    </row>
    <row r="977" spans="1:4" x14ac:dyDescent="0.2">
      <c r="A977" s="496"/>
      <c r="D977" s="496"/>
    </row>
    <row r="978" spans="1:4" x14ac:dyDescent="0.2">
      <c r="A978" s="496"/>
      <c r="D978" s="496"/>
    </row>
    <row r="979" spans="1:4" x14ac:dyDescent="0.2">
      <c r="A979" s="496"/>
      <c r="D979" s="496"/>
    </row>
    <row r="980" spans="1:4" x14ac:dyDescent="0.2">
      <c r="A980" s="496"/>
      <c r="D980" s="496"/>
    </row>
    <row r="981" spans="1:4" x14ac:dyDescent="0.2">
      <c r="A981" s="496"/>
      <c r="D981" s="496"/>
    </row>
    <row r="982" spans="1:4" x14ac:dyDescent="0.2">
      <c r="A982" s="496"/>
      <c r="D982" s="496"/>
    </row>
    <row r="983" spans="1:4" x14ac:dyDescent="0.2">
      <c r="A983" s="496"/>
      <c r="D983" s="496"/>
    </row>
    <row r="984" spans="1:4" x14ac:dyDescent="0.2">
      <c r="A984" s="496"/>
      <c r="D984" s="496"/>
    </row>
    <row r="985" spans="1:4" x14ac:dyDescent="0.2">
      <c r="A985" s="496"/>
      <c r="D985" s="496"/>
    </row>
    <row r="986" spans="1:4" x14ac:dyDescent="0.2">
      <c r="A986" s="496"/>
      <c r="D986" s="496"/>
    </row>
    <row r="987" spans="1:4" x14ac:dyDescent="0.2">
      <c r="A987" s="496"/>
      <c r="D987" s="496"/>
    </row>
    <row r="988" spans="1:4" x14ac:dyDescent="0.2">
      <c r="A988" s="496"/>
      <c r="D988" s="496"/>
    </row>
    <row r="989" spans="1:4" x14ac:dyDescent="0.2">
      <c r="A989" s="496"/>
      <c r="D989" s="496"/>
    </row>
    <row r="990" spans="1:4" x14ac:dyDescent="0.2">
      <c r="A990" s="496"/>
      <c r="D990" s="496"/>
    </row>
    <row r="991" spans="1:4" x14ac:dyDescent="0.2">
      <c r="A991" s="496"/>
      <c r="D991" s="496"/>
    </row>
    <row r="992" spans="1:4" x14ac:dyDescent="0.2">
      <c r="A992" s="496"/>
      <c r="D992" s="496"/>
    </row>
    <row r="993" spans="1:4" x14ac:dyDescent="0.2">
      <c r="A993" s="496"/>
      <c r="D993" s="496"/>
    </row>
    <row r="994" spans="1:4" x14ac:dyDescent="0.2">
      <c r="A994" s="496"/>
      <c r="D994" s="496"/>
    </row>
    <row r="995" spans="1:4" x14ac:dyDescent="0.2">
      <c r="A995" s="496"/>
      <c r="D995" s="496"/>
    </row>
    <row r="996" spans="1:4" x14ac:dyDescent="0.2">
      <c r="A996" s="496"/>
      <c r="D996" s="496"/>
    </row>
    <row r="997" spans="1:4" x14ac:dyDescent="0.2">
      <c r="A997" s="496"/>
      <c r="D997" s="496"/>
    </row>
    <row r="998" spans="1:4" x14ac:dyDescent="0.2">
      <c r="A998" s="496"/>
      <c r="D998" s="496"/>
    </row>
    <row r="999" spans="1:4" x14ac:dyDescent="0.2">
      <c r="A999" s="496"/>
      <c r="D999" s="496"/>
    </row>
    <row r="1000" spans="1:4" x14ac:dyDescent="0.2">
      <c r="A1000" s="496"/>
      <c r="D1000" s="496"/>
    </row>
    <row r="1001" spans="1:4" x14ac:dyDescent="0.2">
      <c r="A1001" s="496"/>
      <c r="D1001" s="496"/>
    </row>
    <row r="1002" spans="1:4" x14ac:dyDescent="0.2">
      <c r="A1002" s="496"/>
      <c r="D1002" s="496"/>
    </row>
    <row r="1003" spans="1:4" x14ac:dyDescent="0.2">
      <c r="A1003" s="496"/>
      <c r="D1003" s="496"/>
    </row>
    <row r="1004" spans="1:4" x14ac:dyDescent="0.2">
      <c r="A1004" s="496"/>
      <c r="D1004" s="496"/>
    </row>
    <row r="1005" spans="1:4" x14ac:dyDescent="0.2">
      <c r="A1005" s="496"/>
      <c r="D1005" s="496"/>
    </row>
    <row r="1006" spans="1:4" x14ac:dyDescent="0.2">
      <c r="A1006" s="496"/>
      <c r="D1006" s="496"/>
    </row>
    <row r="1007" spans="1:4" x14ac:dyDescent="0.2">
      <c r="A1007" s="496"/>
      <c r="D1007" s="496"/>
    </row>
    <row r="1008" spans="1:4" x14ac:dyDescent="0.2">
      <c r="A1008" s="496"/>
      <c r="D1008" s="496"/>
    </row>
    <row r="1009" spans="1:4" x14ac:dyDescent="0.2">
      <c r="A1009" s="496"/>
      <c r="D1009" s="496"/>
    </row>
    <row r="1010" spans="1:4" x14ac:dyDescent="0.2">
      <c r="A1010" s="496"/>
      <c r="D1010" s="496"/>
    </row>
    <row r="1011" spans="1:4" x14ac:dyDescent="0.2">
      <c r="A1011" s="496"/>
      <c r="D1011" s="496"/>
    </row>
    <row r="1012" spans="1:4" x14ac:dyDescent="0.2">
      <c r="A1012" s="496"/>
      <c r="D1012" s="496"/>
    </row>
    <row r="1013" spans="1:4" x14ac:dyDescent="0.2">
      <c r="A1013" s="496"/>
      <c r="D1013" s="496"/>
    </row>
    <row r="1014" spans="1:4" x14ac:dyDescent="0.2">
      <c r="A1014" s="496"/>
      <c r="D1014" s="496"/>
    </row>
    <row r="1015" spans="1:4" x14ac:dyDescent="0.2">
      <c r="A1015" s="496"/>
      <c r="D1015" s="496"/>
    </row>
    <row r="1016" spans="1:4" x14ac:dyDescent="0.2">
      <c r="A1016" s="496"/>
      <c r="D1016" s="496"/>
    </row>
    <row r="1017" spans="1:4" x14ac:dyDescent="0.2">
      <c r="A1017" s="496"/>
      <c r="D1017" s="496"/>
    </row>
    <row r="1018" spans="1:4" x14ac:dyDescent="0.2">
      <c r="A1018" s="496"/>
      <c r="D1018" s="496"/>
    </row>
    <row r="1019" spans="1:4" x14ac:dyDescent="0.2">
      <c r="A1019" s="496"/>
      <c r="D1019" s="496"/>
    </row>
    <row r="1020" spans="1:4" x14ac:dyDescent="0.2">
      <c r="A1020" s="496"/>
      <c r="D1020" s="496"/>
    </row>
    <row r="1021" spans="1:4" x14ac:dyDescent="0.2">
      <c r="A1021" s="496"/>
      <c r="D1021" s="496"/>
    </row>
    <row r="1022" spans="1:4" x14ac:dyDescent="0.2">
      <c r="A1022" s="496"/>
      <c r="D1022" s="496"/>
    </row>
    <row r="1023" spans="1:4" x14ac:dyDescent="0.2">
      <c r="A1023" s="496"/>
      <c r="D1023" s="496"/>
    </row>
    <row r="1024" spans="1:4" x14ac:dyDescent="0.2">
      <c r="A1024" s="496"/>
      <c r="D1024" s="496"/>
    </row>
    <row r="1025" spans="1:4" x14ac:dyDescent="0.2">
      <c r="A1025" s="496"/>
      <c r="D1025" s="496"/>
    </row>
    <row r="1026" spans="1:4" x14ac:dyDescent="0.2">
      <c r="A1026" s="496"/>
      <c r="D1026" s="496"/>
    </row>
    <row r="1027" spans="1:4" x14ac:dyDescent="0.2">
      <c r="A1027" s="496"/>
      <c r="D1027" s="496"/>
    </row>
    <row r="1028" spans="1:4" x14ac:dyDescent="0.2">
      <c r="A1028" s="496"/>
      <c r="D1028" s="496"/>
    </row>
    <row r="1029" spans="1:4" x14ac:dyDescent="0.2">
      <c r="A1029" s="496"/>
      <c r="D1029" s="496"/>
    </row>
    <row r="1030" spans="1:4" x14ac:dyDescent="0.2">
      <c r="A1030" s="496"/>
      <c r="D1030" s="496"/>
    </row>
    <row r="1031" spans="1:4" x14ac:dyDescent="0.2">
      <c r="A1031" s="496"/>
      <c r="D1031" s="496"/>
    </row>
    <row r="1032" spans="1:4" x14ac:dyDescent="0.2">
      <c r="A1032" s="496"/>
      <c r="D1032" s="496"/>
    </row>
    <row r="1033" spans="1:4" x14ac:dyDescent="0.2">
      <c r="A1033" s="496"/>
      <c r="D1033" s="496"/>
    </row>
    <row r="1034" spans="1:4" x14ac:dyDescent="0.2">
      <c r="A1034" s="496"/>
      <c r="D1034" s="496"/>
    </row>
    <row r="1035" spans="1:4" x14ac:dyDescent="0.2">
      <c r="A1035" s="496"/>
      <c r="D1035" s="496"/>
    </row>
    <row r="1036" spans="1:4" x14ac:dyDescent="0.2">
      <c r="A1036" s="496"/>
      <c r="D1036" s="496"/>
    </row>
    <row r="1037" spans="1:4" x14ac:dyDescent="0.2">
      <c r="A1037" s="496"/>
      <c r="D1037" s="496"/>
    </row>
    <row r="1038" spans="1:4" x14ac:dyDescent="0.2">
      <c r="A1038" s="496"/>
      <c r="D1038" s="496"/>
    </row>
    <row r="1039" spans="1:4" x14ac:dyDescent="0.2">
      <c r="A1039" s="496"/>
      <c r="D1039" s="496"/>
    </row>
    <row r="1040" spans="1:4" x14ac:dyDescent="0.2">
      <c r="A1040" s="496"/>
      <c r="D1040" s="496"/>
    </row>
    <row r="1041" spans="1:4" x14ac:dyDescent="0.2">
      <c r="A1041" s="496"/>
      <c r="D1041" s="496"/>
    </row>
    <row r="1042" spans="1:4" x14ac:dyDescent="0.2">
      <c r="A1042" s="496"/>
      <c r="D1042" s="496"/>
    </row>
    <row r="1043" spans="1:4" x14ac:dyDescent="0.2">
      <c r="A1043" s="496"/>
      <c r="D1043" s="496"/>
    </row>
    <row r="1044" spans="1:4" x14ac:dyDescent="0.2">
      <c r="A1044" s="496"/>
      <c r="D1044" s="496"/>
    </row>
    <row r="1045" spans="1:4" x14ac:dyDescent="0.2">
      <c r="A1045" s="496"/>
      <c r="D1045" s="496"/>
    </row>
    <row r="1046" spans="1:4" x14ac:dyDescent="0.2">
      <c r="A1046" s="496"/>
      <c r="D1046" s="496"/>
    </row>
    <row r="1047" spans="1:4" x14ac:dyDescent="0.2">
      <c r="A1047" s="496"/>
      <c r="D1047" s="496"/>
    </row>
    <row r="1048" spans="1:4" x14ac:dyDescent="0.2">
      <c r="A1048" s="496"/>
      <c r="D1048" s="496"/>
    </row>
    <row r="1049" spans="1:4" x14ac:dyDescent="0.2">
      <c r="A1049" s="496"/>
      <c r="D1049" s="496"/>
    </row>
    <row r="1050" spans="1:4" x14ac:dyDescent="0.2">
      <c r="A1050" s="496"/>
      <c r="D1050" s="496"/>
    </row>
    <row r="1051" spans="1:4" x14ac:dyDescent="0.2">
      <c r="A1051" s="496"/>
      <c r="D1051" s="496"/>
    </row>
    <row r="1052" spans="1:4" x14ac:dyDescent="0.2">
      <c r="A1052" s="496"/>
      <c r="D1052" s="496"/>
    </row>
    <row r="1053" spans="1:4" x14ac:dyDescent="0.2">
      <c r="A1053" s="496"/>
      <c r="D1053" s="496"/>
    </row>
    <row r="1054" spans="1:4" x14ac:dyDescent="0.2">
      <c r="A1054" s="496"/>
      <c r="D1054" s="496"/>
    </row>
    <row r="1055" spans="1:4" x14ac:dyDescent="0.2">
      <c r="A1055" s="496"/>
      <c r="D1055" s="496"/>
    </row>
    <row r="1056" spans="1:4" x14ac:dyDescent="0.2">
      <c r="A1056" s="496"/>
      <c r="D1056" s="496"/>
    </row>
    <row r="1057" spans="1:4" x14ac:dyDescent="0.2">
      <c r="A1057" s="496"/>
      <c r="D1057" s="496"/>
    </row>
    <row r="1058" spans="1:4" x14ac:dyDescent="0.2">
      <c r="A1058" s="496"/>
      <c r="D1058" s="496"/>
    </row>
    <row r="1059" spans="1:4" x14ac:dyDescent="0.2">
      <c r="A1059" s="496"/>
      <c r="D1059" s="496"/>
    </row>
    <row r="1060" spans="1:4" x14ac:dyDescent="0.2">
      <c r="A1060" s="496"/>
      <c r="D1060" s="496"/>
    </row>
    <row r="1061" spans="1:4" x14ac:dyDescent="0.2">
      <c r="A1061" s="496"/>
      <c r="D1061" s="496"/>
    </row>
    <row r="1062" spans="1:4" x14ac:dyDescent="0.2">
      <c r="A1062" s="496"/>
      <c r="D1062" s="496"/>
    </row>
    <row r="1063" spans="1:4" x14ac:dyDescent="0.2">
      <c r="A1063" s="496"/>
      <c r="D1063" s="496"/>
    </row>
    <row r="1064" spans="1:4" x14ac:dyDescent="0.2">
      <c r="A1064" s="496"/>
      <c r="D1064" s="496"/>
    </row>
    <row r="1065" spans="1:4" x14ac:dyDescent="0.2">
      <c r="A1065" s="496"/>
      <c r="D1065" s="496"/>
    </row>
    <row r="1066" spans="1:4" x14ac:dyDescent="0.2">
      <c r="A1066" s="496"/>
      <c r="D1066" s="496"/>
    </row>
    <row r="1067" spans="1:4" x14ac:dyDescent="0.2">
      <c r="A1067" s="496"/>
      <c r="D1067" s="496"/>
    </row>
    <row r="1068" spans="1:4" x14ac:dyDescent="0.2">
      <c r="A1068" s="496"/>
      <c r="D1068" s="496"/>
    </row>
    <row r="1069" spans="1:4" x14ac:dyDescent="0.2">
      <c r="A1069" s="496"/>
      <c r="D1069" s="496"/>
    </row>
    <row r="1070" spans="1:4" x14ac:dyDescent="0.2">
      <c r="A1070" s="496"/>
      <c r="D1070" s="496"/>
    </row>
    <row r="1071" spans="1:4" x14ac:dyDescent="0.2">
      <c r="A1071" s="496"/>
      <c r="D1071" s="496"/>
    </row>
    <row r="1072" spans="1:4" x14ac:dyDescent="0.2">
      <c r="A1072" s="496"/>
      <c r="D1072" s="496"/>
    </row>
    <row r="1073" spans="1:4" x14ac:dyDescent="0.2">
      <c r="A1073" s="496"/>
      <c r="D1073" s="496"/>
    </row>
    <row r="1074" spans="1:4" x14ac:dyDescent="0.2">
      <c r="A1074" s="496"/>
      <c r="D1074" s="496"/>
    </row>
    <row r="1075" spans="1:4" x14ac:dyDescent="0.2">
      <c r="A1075" s="496"/>
      <c r="D1075" s="496"/>
    </row>
    <row r="1076" spans="1:4" x14ac:dyDescent="0.2">
      <c r="A1076" s="496"/>
      <c r="D1076" s="496"/>
    </row>
    <row r="1077" spans="1:4" x14ac:dyDescent="0.2">
      <c r="A1077" s="496"/>
      <c r="D1077" s="496"/>
    </row>
    <row r="1078" spans="1:4" x14ac:dyDescent="0.2">
      <c r="A1078" s="496"/>
      <c r="D1078" s="496"/>
    </row>
    <row r="1079" spans="1:4" x14ac:dyDescent="0.2">
      <c r="A1079" s="496"/>
      <c r="D1079" s="496"/>
    </row>
    <row r="1080" spans="1:4" x14ac:dyDescent="0.2">
      <c r="A1080" s="496"/>
      <c r="D1080" s="496"/>
    </row>
    <row r="1081" spans="1:4" x14ac:dyDescent="0.2">
      <c r="A1081" s="496"/>
      <c r="D1081" s="496"/>
    </row>
    <row r="1082" spans="1:4" x14ac:dyDescent="0.2">
      <c r="A1082" s="496"/>
      <c r="D1082" s="496"/>
    </row>
    <row r="1083" spans="1:4" x14ac:dyDescent="0.2">
      <c r="A1083" s="496"/>
      <c r="D1083" s="496"/>
    </row>
    <row r="1084" spans="1:4" x14ac:dyDescent="0.2">
      <c r="A1084" s="496"/>
      <c r="D1084" s="496"/>
    </row>
    <row r="1085" spans="1:4" x14ac:dyDescent="0.2">
      <c r="A1085" s="496"/>
      <c r="D1085" s="496"/>
    </row>
    <row r="1086" spans="1:4" x14ac:dyDescent="0.2">
      <c r="A1086" s="496"/>
      <c r="D1086" s="496"/>
    </row>
    <row r="1087" spans="1:4" x14ac:dyDescent="0.2">
      <c r="A1087" s="496"/>
      <c r="D1087" s="496"/>
    </row>
    <row r="1088" spans="1:4" x14ac:dyDescent="0.2">
      <c r="A1088" s="496"/>
      <c r="D1088" s="496"/>
    </row>
    <row r="1089" spans="1:4" x14ac:dyDescent="0.2">
      <c r="A1089" s="496"/>
      <c r="D1089" s="496"/>
    </row>
    <row r="1090" spans="1:4" x14ac:dyDescent="0.2">
      <c r="A1090" s="496"/>
      <c r="D1090" s="496"/>
    </row>
    <row r="1091" spans="1:4" x14ac:dyDescent="0.2">
      <c r="A1091" s="496"/>
      <c r="D1091" s="496"/>
    </row>
    <row r="1092" spans="1:4" x14ac:dyDescent="0.2">
      <c r="A1092" s="496"/>
      <c r="D1092" s="496"/>
    </row>
    <row r="1093" spans="1:4" x14ac:dyDescent="0.2">
      <c r="A1093" s="496"/>
      <c r="D1093" s="496"/>
    </row>
    <row r="1094" spans="1:4" x14ac:dyDescent="0.2">
      <c r="A1094" s="496"/>
      <c r="D1094" s="496"/>
    </row>
    <row r="1095" spans="1:4" x14ac:dyDescent="0.2">
      <c r="A1095" s="496"/>
      <c r="D1095" s="496"/>
    </row>
    <row r="1096" spans="1:4" x14ac:dyDescent="0.2">
      <c r="A1096" s="496"/>
      <c r="D1096" s="496"/>
    </row>
    <row r="1097" spans="1:4" x14ac:dyDescent="0.2">
      <c r="A1097" s="496"/>
      <c r="D1097" s="496"/>
    </row>
    <row r="1098" spans="1:4" x14ac:dyDescent="0.2">
      <c r="A1098" s="496"/>
      <c r="D1098" s="496"/>
    </row>
    <row r="1099" spans="1:4" x14ac:dyDescent="0.2">
      <c r="A1099" s="496"/>
      <c r="D1099" s="496"/>
    </row>
    <row r="1100" spans="1:4" x14ac:dyDescent="0.2">
      <c r="A1100" s="496"/>
      <c r="D1100" s="496"/>
    </row>
    <row r="1101" spans="1:4" x14ac:dyDescent="0.2">
      <c r="A1101" s="496"/>
      <c r="D1101" s="496"/>
    </row>
    <row r="1102" spans="1:4" x14ac:dyDescent="0.2">
      <c r="A1102" s="496"/>
      <c r="D1102" s="496"/>
    </row>
    <row r="1103" spans="1:4" x14ac:dyDescent="0.2">
      <c r="A1103" s="496"/>
      <c r="D1103" s="496"/>
    </row>
    <row r="1104" spans="1:4" x14ac:dyDescent="0.2">
      <c r="A1104" s="496"/>
      <c r="D1104" s="496"/>
    </row>
    <row r="1105" spans="1:4" x14ac:dyDescent="0.2">
      <c r="A1105" s="496"/>
      <c r="D1105" s="496"/>
    </row>
    <row r="1106" spans="1:4" x14ac:dyDescent="0.2">
      <c r="A1106" s="496"/>
      <c r="D1106" s="496"/>
    </row>
    <row r="1107" spans="1:4" x14ac:dyDescent="0.2">
      <c r="A1107" s="496"/>
      <c r="D1107" s="496"/>
    </row>
    <row r="1108" spans="1:4" x14ac:dyDescent="0.2">
      <c r="A1108" s="496"/>
      <c r="D1108" s="496"/>
    </row>
    <row r="1109" spans="1:4" x14ac:dyDescent="0.2">
      <c r="A1109" s="496"/>
      <c r="D1109" s="496"/>
    </row>
    <row r="1110" spans="1:4" x14ac:dyDescent="0.2">
      <c r="A1110" s="496"/>
      <c r="D1110" s="496"/>
    </row>
    <row r="1111" spans="1:4" x14ac:dyDescent="0.2">
      <c r="A1111" s="496"/>
      <c r="D1111" s="496"/>
    </row>
    <row r="1112" spans="1:4" x14ac:dyDescent="0.2">
      <c r="A1112" s="496"/>
      <c r="D1112" s="496"/>
    </row>
    <row r="1113" spans="1:4" x14ac:dyDescent="0.2">
      <c r="A1113" s="496"/>
      <c r="D1113" s="496"/>
    </row>
    <row r="1114" spans="1:4" x14ac:dyDescent="0.2">
      <c r="A1114" s="496"/>
      <c r="D1114" s="496"/>
    </row>
    <row r="1115" spans="1:4" x14ac:dyDescent="0.2">
      <c r="A1115" s="496"/>
      <c r="D1115" s="496"/>
    </row>
    <row r="1116" spans="1:4" x14ac:dyDescent="0.2">
      <c r="A1116" s="496"/>
      <c r="D1116" s="496"/>
    </row>
    <row r="1117" spans="1:4" x14ac:dyDescent="0.2">
      <c r="A1117" s="496"/>
      <c r="D1117" s="496"/>
    </row>
    <row r="1118" spans="1:4" x14ac:dyDescent="0.2">
      <c r="A1118" s="496"/>
      <c r="D1118" s="496"/>
    </row>
    <row r="1119" spans="1:4" x14ac:dyDescent="0.2">
      <c r="A1119" s="496"/>
      <c r="D1119" s="496"/>
    </row>
    <row r="1120" spans="1:4" x14ac:dyDescent="0.2">
      <c r="A1120" s="496"/>
      <c r="D1120" s="496"/>
    </row>
    <row r="1121" spans="1:4" x14ac:dyDescent="0.2">
      <c r="A1121" s="496"/>
      <c r="D1121" s="496"/>
    </row>
    <row r="1122" spans="1:4" x14ac:dyDescent="0.2">
      <c r="A1122" s="496"/>
      <c r="D1122" s="496"/>
    </row>
    <row r="1123" spans="1:4" x14ac:dyDescent="0.2">
      <c r="A1123" s="496"/>
      <c r="D1123" s="496"/>
    </row>
    <row r="1124" spans="1:4" x14ac:dyDescent="0.2">
      <c r="A1124" s="496"/>
      <c r="D1124" s="496"/>
    </row>
    <row r="1125" spans="1:4" x14ac:dyDescent="0.2">
      <c r="A1125" s="496"/>
      <c r="D1125" s="496"/>
    </row>
    <row r="1126" spans="1:4" x14ac:dyDescent="0.2">
      <c r="A1126" s="496"/>
      <c r="D1126" s="496"/>
    </row>
    <row r="1127" spans="1:4" x14ac:dyDescent="0.2">
      <c r="A1127" s="496"/>
      <c r="D1127" s="496"/>
    </row>
    <row r="1128" spans="1:4" x14ac:dyDescent="0.2">
      <c r="A1128" s="496"/>
      <c r="D1128" s="496"/>
    </row>
    <row r="1129" spans="1:4" x14ac:dyDescent="0.2">
      <c r="A1129" s="496"/>
      <c r="D1129" s="496"/>
    </row>
    <row r="1130" spans="1:4" x14ac:dyDescent="0.2">
      <c r="A1130" s="496"/>
      <c r="D1130" s="496"/>
    </row>
    <row r="1131" spans="1:4" x14ac:dyDescent="0.2">
      <c r="A1131" s="496"/>
      <c r="D1131" s="496"/>
    </row>
    <row r="1132" spans="1:4" x14ac:dyDescent="0.2">
      <c r="A1132" s="496"/>
      <c r="D1132" s="496"/>
    </row>
    <row r="1133" spans="1:4" x14ac:dyDescent="0.2">
      <c r="A1133" s="496"/>
      <c r="D1133" s="496"/>
    </row>
    <row r="1134" spans="1:4" x14ac:dyDescent="0.2">
      <c r="A1134" s="496"/>
      <c r="D1134" s="496"/>
    </row>
    <row r="1135" spans="1:4" x14ac:dyDescent="0.2">
      <c r="A1135" s="496"/>
      <c r="D1135" s="496"/>
    </row>
    <row r="1136" spans="1:4" x14ac:dyDescent="0.2">
      <c r="A1136" s="496"/>
      <c r="D1136" s="496"/>
    </row>
    <row r="1137" spans="1:4" x14ac:dyDescent="0.2">
      <c r="A1137" s="496"/>
      <c r="D1137" s="496"/>
    </row>
    <row r="1138" spans="1:4" x14ac:dyDescent="0.2">
      <c r="A1138" s="496"/>
      <c r="D1138" s="496"/>
    </row>
    <row r="1139" spans="1:4" x14ac:dyDescent="0.2">
      <c r="A1139" s="496"/>
      <c r="D1139" s="496"/>
    </row>
    <row r="1140" spans="1:4" x14ac:dyDescent="0.2">
      <c r="A1140" s="496"/>
      <c r="D1140" s="496"/>
    </row>
    <row r="1141" spans="1:4" x14ac:dyDescent="0.2">
      <c r="A1141" s="496"/>
      <c r="D1141" s="496"/>
    </row>
    <row r="1142" spans="1:4" x14ac:dyDescent="0.2">
      <c r="A1142" s="496"/>
      <c r="D1142" s="496"/>
    </row>
    <row r="1143" spans="1:4" x14ac:dyDescent="0.2">
      <c r="A1143" s="496"/>
      <c r="D1143" s="496"/>
    </row>
    <row r="1144" spans="1:4" x14ac:dyDescent="0.2">
      <c r="A1144" s="496"/>
      <c r="D1144" s="496"/>
    </row>
    <row r="1145" spans="1:4" x14ac:dyDescent="0.2">
      <c r="A1145" s="496"/>
      <c r="D1145" s="496"/>
    </row>
    <row r="1146" spans="1:4" x14ac:dyDescent="0.2">
      <c r="A1146" s="496"/>
      <c r="D1146" s="496"/>
    </row>
    <row r="1147" spans="1:4" x14ac:dyDescent="0.2">
      <c r="A1147" s="496"/>
      <c r="D1147" s="496"/>
    </row>
    <row r="1148" spans="1:4" x14ac:dyDescent="0.2">
      <c r="A1148" s="496"/>
      <c r="D1148" s="496"/>
    </row>
    <row r="1149" spans="1:4" x14ac:dyDescent="0.2">
      <c r="A1149" s="496"/>
      <c r="D1149" s="496"/>
    </row>
    <row r="1150" spans="1:4" x14ac:dyDescent="0.2">
      <c r="A1150" s="496"/>
      <c r="D1150" s="496"/>
    </row>
    <row r="1151" spans="1:4" x14ac:dyDescent="0.2">
      <c r="A1151" s="496"/>
      <c r="D1151" s="496"/>
    </row>
    <row r="1152" spans="1:4" x14ac:dyDescent="0.2">
      <c r="A1152" s="496"/>
      <c r="D1152" s="496"/>
    </row>
    <row r="1153" spans="1:4" x14ac:dyDescent="0.2">
      <c r="A1153" s="496"/>
      <c r="D1153" s="496"/>
    </row>
    <row r="1154" spans="1:4" x14ac:dyDescent="0.2">
      <c r="A1154" s="496"/>
      <c r="D1154" s="496"/>
    </row>
    <row r="1155" spans="1:4" x14ac:dyDescent="0.2">
      <c r="A1155" s="496"/>
      <c r="D1155" s="496"/>
    </row>
    <row r="1156" spans="1:4" x14ac:dyDescent="0.2">
      <c r="A1156" s="496"/>
      <c r="D1156" s="496"/>
    </row>
    <row r="1157" spans="1:4" x14ac:dyDescent="0.2">
      <c r="A1157" s="496"/>
      <c r="D1157" s="496"/>
    </row>
    <row r="1158" spans="1:4" x14ac:dyDescent="0.2">
      <c r="A1158" s="496"/>
      <c r="D1158" s="496"/>
    </row>
    <row r="1159" spans="1:4" x14ac:dyDescent="0.2">
      <c r="A1159" s="496"/>
      <c r="D1159" s="496"/>
    </row>
    <row r="1160" spans="1:4" x14ac:dyDescent="0.2">
      <c r="A1160" s="496"/>
      <c r="D1160" s="496"/>
    </row>
    <row r="1161" spans="1:4" x14ac:dyDescent="0.2">
      <c r="A1161" s="496"/>
      <c r="D1161" s="496"/>
    </row>
    <row r="1162" spans="1:4" x14ac:dyDescent="0.2">
      <c r="A1162" s="496"/>
      <c r="D1162" s="496"/>
    </row>
    <row r="1163" spans="1:4" x14ac:dyDescent="0.2">
      <c r="A1163" s="496"/>
      <c r="D1163" s="496"/>
    </row>
    <row r="1164" spans="1:4" x14ac:dyDescent="0.2">
      <c r="A1164" s="496"/>
      <c r="D1164" s="496"/>
    </row>
    <row r="1165" spans="1:4" x14ac:dyDescent="0.2">
      <c r="A1165" s="496"/>
      <c r="D1165" s="496"/>
    </row>
    <row r="1166" spans="1:4" x14ac:dyDescent="0.2">
      <c r="A1166" s="496"/>
      <c r="D1166" s="496"/>
    </row>
    <row r="1167" spans="1:4" x14ac:dyDescent="0.2">
      <c r="A1167" s="496"/>
      <c r="D1167" s="496"/>
    </row>
    <row r="1168" spans="1:4" x14ac:dyDescent="0.2">
      <c r="A1168" s="496"/>
      <c r="D1168" s="496"/>
    </row>
    <row r="1169" spans="1:4" x14ac:dyDescent="0.2">
      <c r="A1169" s="496"/>
      <c r="D1169" s="496"/>
    </row>
    <row r="1170" spans="1:4" x14ac:dyDescent="0.2">
      <c r="A1170" s="496"/>
      <c r="D1170" s="496"/>
    </row>
    <row r="1171" spans="1:4" x14ac:dyDescent="0.2">
      <c r="A1171" s="496"/>
      <c r="D1171" s="496"/>
    </row>
    <row r="1172" spans="1:4" x14ac:dyDescent="0.2">
      <c r="A1172" s="496"/>
      <c r="D1172" s="496"/>
    </row>
    <row r="1173" spans="1:4" x14ac:dyDescent="0.2">
      <c r="A1173" s="496"/>
      <c r="D1173" s="496"/>
    </row>
    <row r="1174" spans="1:4" x14ac:dyDescent="0.2">
      <c r="A1174" s="496"/>
      <c r="D1174" s="496"/>
    </row>
    <row r="1175" spans="1:4" x14ac:dyDescent="0.2">
      <c r="A1175" s="496"/>
      <c r="D1175" s="496"/>
    </row>
    <row r="1176" spans="1:4" x14ac:dyDescent="0.2">
      <c r="A1176" s="496"/>
      <c r="D1176" s="496"/>
    </row>
    <row r="1177" spans="1:4" x14ac:dyDescent="0.2">
      <c r="A1177" s="496"/>
      <c r="D1177" s="496"/>
    </row>
    <row r="1178" spans="1:4" x14ac:dyDescent="0.2">
      <c r="A1178" s="496"/>
      <c r="D1178" s="496"/>
    </row>
    <row r="1179" spans="1:4" x14ac:dyDescent="0.2">
      <c r="A1179" s="496"/>
      <c r="D1179" s="496"/>
    </row>
    <row r="1180" spans="1:4" x14ac:dyDescent="0.2">
      <c r="A1180" s="496"/>
      <c r="D1180" s="496"/>
    </row>
    <row r="1181" spans="1:4" x14ac:dyDescent="0.2">
      <c r="A1181" s="496"/>
      <c r="D1181" s="496"/>
    </row>
    <row r="1182" spans="1:4" x14ac:dyDescent="0.2">
      <c r="A1182" s="496"/>
      <c r="D1182" s="496"/>
    </row>
    <row r="1183" spans="1:4" x14ac:dyDescent="0.2">
      <c r="A1183" s="496"/>
      <c r="D1183" s="496"/>
    </row>
    <row r="1184" spans="1:4" x14ac:dyDescent="0.2">
      <c r="A1184" s="496"/>
      <c r="D1184" s="496"/>
    </row>
    <row r="1185" spans="1:4" x14ac:dyDescent="0.2">
      <c r="A1185" s="496"/>
      <c r="D1185" s="496"/>
    </row>
    <row r="1186" spans="1:4" x14ac:dyDescent="0.2">
      <c r="A1186" s="496"/>
      <c r="D1186" s="496"/>
    </row>
    <row r="1187" spans="1:4" x14ac:dyDescent="0.2">
      <c r="A1187" s="496"/>
      <c r="D1187" s="496"/>
    </row>
    <row r="1188" spans="1:4" x14ac:dyDescent="0.2">
      <c r="A1188" s="496"/>
      <c r="D1188" s="496"/>
    </row>
    <row r="1189" spans="1:4" x14ac:dyDescent="0.2">
      <c r="A1189" s="496"/>
      <c r="D1189" s="496"/>
    </row>
    <row r="1190" spans="1:4" x14ac:dyDescent="0.2">
      <c r="A1190" s="496"/>
      <c r="D1190" s="496"/>
    </row>
    <row r="1191" spans="1:4" x14ac:dyDescent="0.2">
      <c r="A1191" s="496"/>
      <c r="D1191" s="496"/>
    </row>
    <row r="1192" spans="1:4" x14ac:dyDescent="0.2">
      <c r="A1192" s="496"/>
      <c r="D1192" s="496"/>
    </row>
    <row r="1193" spans="1:4" x14ac:dyDescent="0.2">
      <c r="A1193" s="496"/>
      <c r="D1193" s="496"/>
    </row>
    <row r="1194" spans="1:4" x14ac:dyDescent="0.2">
      <c r="A1194" s="496"/>
      <c r="D1194" s="496"/>
    </row>
    <row r="1195" spans="1:4" x14ac:dyDescent="0.2">
      <c r="A1195" s="496"/>
      <c r="D1195" s="496"/>
    </row>
    <row r="1196" spans="1:4" x14ac:dyDescent="0.2">
      <c r="A1196" s="496"/>
      <c r="D1196" s="496"/>
    </row>
    <row r="1197" spans="1:4" x14ac:dyDescent="0.2">
      <c r="A1197" s="496"/>
      <c r="D1197" s="496"/>
    </row>
    <row r="1198" spans="1:4" x14ac:dyDescent="0.2">
      <c r="A1198" s="496"/>
      <c r="D1198" s="496"/>
    </row>
    <row r="1199" spans="1:4" x14ac:dyDescent="0.2">
      <c r="A1199" s="496"/>
      <c r="D1199" s="496"/>
    </row>
    <row r="1200" spans="1:4" x14ac:dyDescent="0.2">
      <c r="A1200" s="496"/>
      <c r="D1200" s="496"/>
    </row>
    <row r="1201" spans="1:4" x14ac:dyDescent="0.2">
      <c r="A1201" s="496"/>
      <c r="D1201" s="496"/>
    </row>
    <row r="1202" spans="1:4" x14ac:dyDescent="0.2">
      <c r="A1202" s="496"/>
      <c r="D1202" s="496"/>
    </row>
    <row r="1203" spans="1:4" x14ac:dyDescent="0.2">
      <c r="A1203" s="496"/>
      <c r="D1203" s="496"/>
    </row>
    <row r="1204" spans="1:4" x14ac:dyDescent="0.2">
      <c r="A1204" s="496"/>
      <c r="D1204" s="496"/>
    </row>
    <row r="1205" spans="1:4" x14ac:dyDescent="0.2">
      <c r="A1205" s="496"/>
      <c r="D1205" s="496"/>
    </row>
    <row r="1206" spans="1:4" x14ac:dyDescent="0.2">
      <c r="A1206" s="496"/>
      <c r="D1206" s="496"/>
    </row>
    <row r="1207" spans="1:4" x14ac:dyDescent="0.2">
      <c r="A1207" s="496"/>
      <c r="D1207" s="496"/>
    </row>
    <row r="1208" spans="1:4" x14ac:dyDescent="0.2">
      <c r="A1208" s="496"/>
      <c r="D1208" s="496"/>
    </row>
    <row r="1209" spans="1:4" x14ac:dyDescent="0.2">
      <c r="A1209" s="496"/>
      <c r="D1209" s="496"/>
    </row>
    <row r="1210" spans="1:4" x14ac:dyDescent="0.2">
      <c r="A1210" s="496"/>
      <c r="D1210" s="496"/>
    </row>
    <row r="1211" spans="1:4" x14ac:dyDescent="0.2">
      <c r="A1211" s="496"/>
      <c r="D1211" s="496"/>
    </row>
    <row r="1212" spans="1:4" x14ac:dyDescent="0.2">
      <c r="A1212" s="496"/>
      <c r="D1212" s="496"/>
    </row>
    <row r="1213" spans="1:4" x14ac:dyDescent="0.2">
      <c r="A1213" s="496"/>
      <c r="D1213" s="496"/>
    </row>
    <row r="1214" spans="1:4" x14ac:dyDescent="0.2">
      <c r="A1214" s="496"/>
      <c r="D1214" s="496"/>
    </row>
    <row r="1215" spans="1:4" x14ac:dyDescent="0.2">
      <c r="A1215" s="496"/>
      <c r="D1215" s="496"/>
    </row>
    <row r="1216" spans="1:4" x14ac:dyDescent="0.2">
      <c r="A1216" s="496"/>
      <c r="D1216" s="496"/>
    </row>
    <row r="1217" spans="1:4" x14ac:dyDescent="0.2">
      <c r="A1217" s="496"/>
      <c r="D1217" s="496"/>
    </row>
    <row r="1218" spans="1:4" x14ac:dyDescent="0.2">
      <c r="A1218" s="496"/>
      <c r="D1218" s="496"/>
    </row>
    <row r="1219" spans="1:4" x14ac:dyDescent="0.2">
      <c r="A1219" s="496"/>
      <c r="D1219" s="496"/>
    </row>
    <row r="1220" spans="1:4" x14ac:dyDescent="0.2">
      <c r="A1220" s="496"/>
      <c r="D1220" s="496"/>
    </row>
    <row r="1221" spans="1:4" x14ac:dyDescent="0.2">
      <c r="A1221" s="496"/>
      <c r="D1221" s="496"/>
    </row>
    <row r="1222" spans="1:4" x14ac:dyDescent="0.2">
      <c r="A1222" s="496"/>
      <c r="D1222" s="496"/>
    </row>
    <row r="1223" spans="1:4" x14ac:dyDescent="0.2">
      <c r="A1223" s="496"/>
      <c r="D1223" s="496"/>
    </row>
    <row r="1224" spans="1:4" x14ac:dyDescent="0.2">
      <c r="A1224" s="496"/>
      <c r="D1224" s="496"/>
    </row>
    <row r="1225" spans="1:4" x14ac:dyDescent="0.2">
      <c r="A1225" s="496"/>
      <c r="D1225" s="496"/>
    </row>
    <row r="1226" spans="1:4" x14ac:dyDescent="0.2">
      <c r="A1226" s="496"/>
      <c r="D1226" s="496"/>
    </row>
    <row r="1227" spans="1:4" x14ac:dyDescent="0.2">
      <c r="A1227" s="496"/>
      <c r="D1227" s="496"/>
    </row>
    <row r="1228" spans="1:4" x14ac:dyDescent="0.2">
      <c r="A1228" s="496"/>
      <c r="D1228" s="496"/>
    </row>
    <row r="1229" spans="1:4" x14ac:dyDescent="0.2">
      <c r="A1229" s="496"/>
      <c r="D1229" s="496"/>
    </row>
    <row r="1230" spans="1:4" x14ac:dyDescent="0.2">
      <c r="A1230" s="496"/>
      <c r="D1230" s="496"/>
    </row>
    <row r="1231" spans="1:4" x14ac:dyDescent="0.2">
      <c r="A1231" s="496"/>
      <c r="D1231" s="496"/>
    </row>
    <row r="1232" spans="1:4" x14ac:dyDescent="0.2">
      <c r="A1232" s="496"/>
      <c r="D1232" s="496"/>
    </row>
    <row r="1233" spans="1:4" x14ac:dyDescent="0.2">
      <c r="A1233" s="496"/>
      <c r="D1233" s="496"/>
    </row>
    <row r="1234" spans="1:4" x14ac:dyDescent="0.2">
      <c r="A1234" s="496"/>
      <c r="D1234" s="496"/>
    </row>
    <row r="1235" spans="1:4" x14ac:dyDescent="0.2">
      <c r="A1235" s="496"/>
      <c r="D1235" s="496"/>
    </row>
    <row r="1236" spans="1:4" x14ac:dyDescent="0.2">
      <c r="A1236" s="496"/>
      <c r="D1236" s="496"/>
    </row>
    <row r="1237" spans="1:4" x14ac:dyDescent="0.2">
      <c r="A1237" s="496"/>
      <c r="D1237" s="496"/>
    </row>
    <row r="1238" spans="1:4" x14ac:dyDescent="0.2">
      <c r="A1238" s="496"/>
      <c r="D1238" s="496"/>
    </row>
    <row r="1239" spans="1:4" x14ac:dyDescent="0.2">
      <c r="A1239" s="496"/>
      <c r="D1239" s="496"/>
    </row>
    <row r="1240" spans="1:4" x14ac:dyDescent="0.2">
      <c r="A1240" s="496"/>
      <c r="D1240" s="496"/>
    </row>
    <row r="1241" spans="1:4" x14ac:dyDescent="0.2">
      <c r="A1241" s="496"/>
      <c r="D1241" s="496"/>
    </row>
    <row r="1242" spans="1:4" x14ac:dyDescent="0.2">
      <c r="A1242" s="496"/>
      <c r="D1242" s="496"/>
    </row>
    <row r="1243" spans="1:4" x14ac:dyDescent="0.2">
      <c r="A1243" s="496"/>
      <c r="D1243" s="496"/>
    </row>
    <row r="1244" spans="1:4" x14ac:dyDescent="0.2">
      <c r="A1244" s="496"/>
      <c r="D1244" s="496"/>
    </row>
    <row r="1245" spans="1:4" x14ac:dyDescent="0.2">
      <c r="A1245" s="496"/>
      <c r="D1245" s="496"/>
    </row>
    <row r="1246" spans="1:4" x14ac:dyDescent="0.2">
      <c r="A1246" s="496"/>
      <c r="D1246" s="496"/>
    </row>
    <row r="1247" spans="1:4" x14ac:dyDescent="0.2">
      <c r="A1247" s="496"/>
      <c r="D1247" s="496"/>
    </row>
    <row r="1248" spans="1:4" x14ac:dyDescent="0.2">
      <c r="A1248" s="496"/>
      <c r="D1248" s="496"/>
    </row>
    <row r="1249" spans="1:4" x14ac:dyDescent="0.2">
      <c r="A1249" s="496"/>
      <c r="D1249" s="496"/>
    </row>
    <row r="1250" spans="1:4" x14ac:dyDescent="0.2">
      <c r="A1250" s="496"/>
      <c r="D1250" s="496"/>
    </row>
    <row r="1251" spans="1:4" x14ac:dyDescent="0.2">
      <c r="A1251" s="496"/>
      <c r="D1251" s="496"/>
    </row>
    <row r="1252" spans="1:4" x14ac:dyDescent="0.2">
      <c r="A1252" s="496"/>
      <c r="D1252" s="496"/>
    </row>
    <row r="1253" spans="1:4" x14ac:dyDescent="0.2">
      <c r="A1253" s="496"/>
      <c r="D1253" s="496"/>
    </row>
    <row r="1254" spans="1:4" x14ac:dyDescent="0.2">
      <c r="A1254" s="496"/>
      <c r="D1254" s="496"/>
    </row>
    <row r="1255" spans="1:4" x14ac:dyDescent="0.2">
      <c r="A1255" s="496"/>
      <c r="D1255" s="496"/>
    </row>
    <row r="1256" spans="1:4" x14ac:dyDescent="0.2">
      <c r="A1256" s="496"/>
      <c r="D1256" s="496"/>
    </row>
    <row r="1257" spans="1:4" x14ac:dyDescent="0.2">
      <c r="A1257" s="496"/>
      <c r="D1257" s="496"/>
    </row>
    <row r="1258" spans="1:4" x14ac:dyDescent="0.2">
      <c r="A1258" s="496"/>
      <c r="D1258" s="496"/>
    </row>
    <row r="1259" spans="1:4" x14ac:dyDescent="0.2">
      <c r="A1259" s="496"/>
      <c r="D1259" s="496"/>
    </row>
    <row r="1260" spans="1:4" x14ac:dyDescent="0.2">
      <c r="A1260" s="496"/>
      <c r="D1260" s="496"/>
    </row>
    <row r="1261" spans="1:4" x14ac:dyDescent="0.2">
      <c r="A1261" s="496"/>
      <c r="D1261" s="496"/>
    </row>
    <row r="1262" spans="1:4" x14ac:dyDescent="0.2">
      <c r="A1262" s="496"/>
      <c r="D1262" s="496"/>
    </row>
    <row r="1263" spans="1:4" x14ac:dyDescent="0.2">
      <c r="A1263" s="496"/>
      <c r="D1263" s="496"/>
    </row>
    <row r="1264" spans="1:4" x14ac:dyDescent="0.2">
      <c r="A1264" s="496"/>
      <c r="D1264" s="496"/>
    </row>
    <row r="1265" spans="1:4" x14ac:dyDescent="0.2">
      <c r="A1265" s="496"/>
      <c r="D1265" s="496"/>
    </row>
    <row r="1266" spans="1:4" x14ac:dyDescent="0.2">
      <c r="A1266" s="496"/>
      <c r="D1266" s="496"/>
    </row>
    <row r="1267" spans="1:4" x14ac:dyDescent="0.2">
      <c r="A1267" s="496"/>
      <c r="D1267" s="496"/>
    </row>
    <row r="1268" spans="1:4" x14ac:dyDescent="0.2">
      <c r="A1268" s="496"/>
      <c r="D1268" s="496"/>
    </row>
    <row r="1269" spans="1:4" x14ac:dyDescent="0.2">
      <c r="A1269" s="496"/>
      <c r="D1269" s="496"/>
    </row>
    <row r="1270" spans="1:4" x14ac:dyDescent="0.2">
      <c r="A1270" s="496"/>
      <c r="D1270" s="496"/>
    </row>
    <row r="1271" spans="1:4" x14ac:dyDescent="0.2">
      <c r="A1271" s="496"/>
      <c r="D1271" s="496"/>
    </row>
    <row r="1272" spans="1:4" x14ac:dyDescent="0.2">
      <c r="A1272" s="496"/>
      <c r="D1272" s="496"/>
    </row>
    <row r="1273" spans="1:4" x14ac:dyDescent="0.2">
      <c r="A1273" s="496"/>
      <c r="D1273" s="496"/>
    </row>
    <row r="1274" spans="1:4" x14ac:dyDescent="0.2">
      <c r="A1274" s="496"/>
      <c r="D1274" s="496"/>
    </row>
    <row r="1275" spans="1:4" x14ac:dyDescent="0.2">
      <c r="A1275" s="496"/>
      <c r="D1275" s="496"/>
    </row>
    <row r="1276" spans="1:4" x14ac:dyDescent="0.2">
      <c r="A1276" s="496"/>
      <c r="D1276" s="496"/>
    </row>
    <row r="1277" spans="1:4" x14ac:dyDescent="0.2">
      <c r="A1277" s="496"/>
      <c r="D1277" s="496"/>
    </row>
    <row r="1278" spans="1:4" x14ac:dyDescent="0.2">
      <c r="A1278" s="496"/>
      <c r="D1278" s="496"/>
    </row>
    <row r="1279" spans="1:4" x14ac:dyDescent="0.2">
      <c r="A1279" s="496"/>
      <c r="D1279" s="496"/>
    </row>
    <row r="1280" spans="1:4" x14ac:dyDescent="0.2">
      <c r="A1280" s="496"/>
      <c r="D1280" s="496"/>
    </row>
    <row r="1281" spans="1:4" x14ac:dyDescent="0.2">
      <c r="A1281" s="496"/>
      <c r="D1281" s="496"/>
    </row>
    <row r="1282" spans="1:4" x14ac:dyDescent="0.2">
      <c r="A1282" s="496"/>
      <c r="D1282" s="496"/>
    </row>
    <row r="1283" spans="1:4" x14ac:dyDescent="0.2">
      <c r="A1283" s="496"/>
      <c r="D1283" s="496"/>
    </row>
    <row r="1284" spans="1:4" x14ac:dyDescent="0.2">
      <c r="A1284" s="496"/>
      <c r="D1284" s="496"/>
    </row>
    <row r="1285" spans="1:4" x14ac:dyDescent="0.2">
      <c r="A1285" s="496"/>
      <c r="D1285" s="496"/>
    </row>
    <row r="1286" spans="1:4" x14ac:dyDescent="0.2">
      <c r="A1286" s="496"/>
      <c r="D1286" s="496"/>
    </row>
    <row r="1287" spans="1:4" x14ac:dyDescent="0.2">
      <c r="A1287" s="496"/>
      <c r="D1287" s="496"/>
    </row>
    <row r="1288" spans="1:4" x14ac:dyDescent="0.2">
      <c r="A1288" s="496"/>
      <c r="D1288" s="496"/>
    </row>
    <row r="1289" spans="1:4" x14ac:dyDescent="0.2">
      <c r="A1289" s="496"/>
      <c r="D1289" s="496"/>
    </row>
    <row r="1290" spans="1:4" x14ac:dyDescent="0.2">
      <c r="A1290" s="496"/>
      <c r="D1290" s="496"/>
    </row>
    <row r="1291" spans="1:4" x14ac:dyDescent="0.2">
      <c r="A1291" s="496"/>
      <c r="D1291" s="496"/>
    </row>
    <row r="1292" spans="1:4" x14ac:dyDescent="0.2">
      <c r="A1292" s="496"/>
      <c r="D1292" s="496"/>
    </row>
    <row r="1293" spans="1:4" x14ac:dyDescent="0.2">
      <c r="A1293" s="496"/>
      <c r="D1293" s="496"/>
    </row>
    <row r="1294" spans="1:4" x14ac:dyDescent="0.2">
      <c r="A1294" s="496"/>
      <c r="D1294" s="496"/>
    </row>
    <row r="1295" spans="1:4" x14ac:dyDescent="0.2">
      <c r="A1295" s="496"/>
      <c r="D1295" s="496"/>
    </row>
    <row r="1296" spans="1:4" x14ac:dyDescent="0.2">
      <c r="A1296" s="496"/>
      <c r="D1296" s="496"/>
    </row>
    <row r="1297" spans="1:4" x14ac:dyDescent="0.2">
      <c r="A1297" s="496"/>
      <c r="D1297" s="496"/>
    </row>
    <row r="1298" spans="1:4" x14ac:dyDescent="0.2">
      <c r="A1298" s="496"/>
      <c r="D1298" s="496"/>
    </row>
    <row r="1299" spans="1:4" x14ac:dyDescent="0.2">
      <c r="A1299" s="496"/>
      <c r="D1299" s="496"/>
    </row>
    <row r="1300" spans="1:4" x14ac:dyDescent="0.2">
      <c r="A1300" s="496"/>
      <c r="D1300" s="496"/>
    </row>
    <row r="1301" spans="1:4" x14ac:dyDescent="0.2">
      <c r="A1301" s="496"/>
      <c r="D1301" s="496"/>
    </row>
    <row r="1302" spans="1:4" x14ac:dyDescent="0.2">
      <c r="A1302" s="496"/>
      <c r="D1302" s="496"/>
    </row>
    <row r="1303" spans="1:4" x14ac:dyDescent="0.2">
      <c r="A1303" s="496"/>
      <c r="D1303" s="496"/>
    </row>
    <row r="1304" spans="1:4" x14ac:dyDescent="0.2">
      <c r="A1304" s="496"/>
      <c r="D1304" s="496"/>
    </row>
    <row r="1305" spans="1:4" x14ac:dyDescent="0.2">
      <c r="A1305" s="496"/>
      <c r="D1305" s="496"/>
    </row>
    <row r="1306" spans="1:4" x14ac:dyDescent="0.2">
      <c r="A1306" s="496"/>
      <c r="D1306" s="496"/>
    </row>
    <row r="1307" spans="1:4" x14ac:dyDescent="0.2">
      <c r="A1307" s="496"/>
      <c r="D1307" s="496"/>
    </row>
    <row r="1308" spans="1:4" x14ac:dyDescent="0.2">
      <c r="A1308" s="496"/>
      <c r="D1308" s="496"/>
    </row>
    <row r="1309" spans="1:4" x14ac:dyDescent="0.2">
      <c r="A1309" s="496"/>
      <c r="D1309" s="496"/>
    </row>
    <row r="1310" spans="1:4" x14ac:dyDescent="0.2">
      <c r="A1310" s="496"/>
      <c r="D1310" s="496"/>
    </row>
    <row r="1311" spans="1:4" x14ac:dyDescent="0.2">
      <c r="A1311" s="496"/>
      <c r="D1311" s="496"/>
    </row>
    <row r="1312" spans="1:4" x14ac:dyDescent="0.2">
      <c r="A1312" s="496"/>
      <c r="D1312" s="496"/>
    </row>
    <row r="1313" spans="1:4" x14ac:dyDescent="0.2">
      <c r="A1313" s="496"/>
      <c r="D1313" s="496"/>
    </row>
    <row r="1314" spans="1:4" x14ac:dyDescent="0.2">
      <c r="A1314" s="496"/>
      <c r="D1314" s="496"/>
    </row>
    <row r="1315" spans="1:4" x14ac:dyDescent="0.2">
      <c r="A1315" s="496"/>
      <c r="D1315" s="496"/>
    </row>
    <row r="1316" spans="1:4" x14ac:dyDescent="0.2">
      <c r="A1316" s="496"/>
      <c r="D1316" s="496"/>
    </row>
    <row r="1317" spans="1:4" x14ac:dyDescent="0.2">
      <c r="A1317" s="496"/>
      <c r="D1317" s="496"/>
    </row>
    <row r="1318" spans="1:4" x14ac:dyDescent="0.2">
      <c r="A1318" s="496"/>
      <c r="D1318" s="496"/>
    </row>
    <row r="1319" spans="1:4" x14ac:dyDescent="0.2">
      <c r="A1319" s="496"/>
      <c r="D1319" s="496"/>
    </row>
    <row r="1320" spans="1:4" x14ac:dyDescent="0.2">
      <c r="A1320" s="496"/>
      <c r="D1320" s="496"/>
    </row>
    <row r="1321" spans="1:4" x14ac:dyDescent="0.2">
      <c r="A1321" s="496"/>
      <c r="D1321" s="496"/>
    </row>
    <row r="1322" spans="1:4" x14ac:dyDescent="0.2">
      <c r="A1322" s="496"/>
      <c r="D1322" s="496"/>
    </row>
    <row r="1323" spans="1:4" x14ac:dyDescent="0.2">
      <c r="A1323" s="496"/>
      <c r="D1323" s="496"/>
    </row>
    <row r="1324" spans="1:4" x14ac:dyDescent="0.2">
      <c r="A1324" s="496"/>
      <c r="D1324" s="496"/>
    </row>
    <row r="1325" spans="1:4" x14ac:dyDescent="0.2">
      <c r="A1325" s="496"/>
      <c r="D1325" s="496"/>
    </row>
    <row r="1326" spans="1:4" x14ac:dyDescent="0.2">
      <c r="A1326" s="496"/>
      <c r="D1326" s="496"/>
    </row>
    <row r="1327" spans="1:4" x14ac:dyDescent="0.2">
      <c r="A1327" s="496"/>
      <c r="D1327" s="496"/>
    </row>
    <row r="1328" spans="1:4" x14ac:dyDescent="0.2">
      <c r="A1328" s="496"/>
      <c r="D1328" s="496"/>
    </row>
    <row r="1329" spans="1:4" x14ac:dyDescent="0.2">
      <c r="A1329" s="496"/>
      <c r="D1329" s="496"/>
    </row>
    <row r="1330" spans="1:4" x14ac:dyDescent="0.2">
      <c r="A1330" s="496"/>
      <c r="D1330" s="496"/>
    </row>
    <row r="1331" spans="1:4" x14ac:dyDescent="0.2">
      <c r="A1331" s="496"/>
      <c r="D1331" s="496"/>
    </row>
    <row r="1332" spans="1:4" x14ac:dyDescent="0.2">
      <c r="A1332" s="496"/>
      <c r="D1332" s="496"/>
    </row>
    <row r="1333" spans="1:4" x14ac:dyDescent="0.2">
      <c r="A1333" s="496"/>
      <c r="D1333" s="496"/>
    </row>
    <row r="1334" spans="1:4" x14ac:dyDescent="0.2">
      <c r="A1334" s="496"/>
      <c r="D1334" s="496"/>
    </row>
    <row r="1335" spans="1:4" x14ac:dyDescent="0.2">
      <c r="A1335" s="496"/>
      <c r="D1335" s="496"/>
    </row>
    <row r="1336" spans="1:4" x14ac:dyDescent="0.2">
      <c r="A1336" s="496"/>
      <c r="D1336" s="496"/>
    </row>
    <row r="1337" spans="1:4" x14ac:dyDescent="0.2">
      <c r="A1337" s="496"/>
      <c r="D1337" s="496"/>
    </row>
    <row r="1338" spans="1:4" x14ac:dyDescent="0.2">
      <c r="A1338" s="496"/>
      <c r="D1338" s="496"/>
    </row>
    <row r="1339" spans="1:4" x14ac:dyDescent="0.2">
      <c r="A1339" s="496"/>
      <c r="D1339" s="496"/>
    </row>
    <row r="1340" spans="1:4" x14ac:dyDescent="0.2">
      <c r="A1340" s="496"/>
      <c r="D1340" s="496"/>
    </row>
    <row r="1341" spans="1:4" x14ac:dyDescent="0.2">
      <c r="A1341" s="496"/>
      <c r="D1341" s="496"/>
    </row>
    <row r="1342" spans="1:4" x14ac:dyDescent="0.2">
      <c r="A1342" s="496"/>
      <c r="D1342" s="496"/>
    </row>
    <row r="1343" spans="1:4" x14ac:dyDescent="0.2">
      <c r="A1343" s="496"/>
      <c r="D1343" s="496"/>
    </row>
    <row r="1344" spans="1:4" x14ac:dyDescent="0.2">
      <c r="A1344" s="496"/>
      <c r="D1344" s="496"/>
    </row>
    <row r="1345" spans="1:4" x14ac:dyDescent="0.2">
      <c r="A1345" s="496"/>
      <c r="D1345" s="496"/>
    </row>
    <row r="1346" spans="1:4" x14ac:dyDescent="0.2">
      <c r="A1346" s="496"/>
      <c r="D1346" s="496"/>
    </row>
    <row r="1347" spans="1:4" x14ac:dyDescent="0.2">
      <c r="A1347" s="496"/>
      <c r="D1347" s="496"/>
    </row>
    <row r="1348" spans="1:4" x14ac:dyDescent="0.2">
      <c r="A1348" s="496"/>
      <c r="D1348" s="496"/>
    </row>
    <row r="1349" spans="1:4" x14ac:dyDescent="0.2">
      <c r="A1349" s="496"/>
      <c r="D1349" s="496"/>
    </row>
    <row r="1350" spans="1:4" x14ac:dyDescent="0.2">
      <c r="A1350" s="496"/>
      <c r="D1350" s="496"/>
    </row>
    <row r="1351" spans="1:4" x14ac:dyDescent="0.2">
      <c r="A1351" s="496"/>
      <c r="D1351" s="496"/>
    </row>
    <row r="1352" spans="1:4" x14ac:dyDescent="0.2">
      <c r="A1352" s="496"/>
      <c r="D1352" s="496"/>
    </row>
    <row r="1353" spans="1:4" x14ac:dyDescent="0.2">
      <c r="A1353" s="496"/>
      <c r="D1353" s="496"/>
    </row>
    <row r="1354" spans="1:4" x14ac:dyDescent="0.2">
      <c r="A1354" s="496"/>
      <c r="D1354" s="496"/>
    </row>
    <row r="1355" spans="1:4" x14ac:dyDescent="0.2">
      <c r="A1355" s="496"/>
      <c r="D1355" s="496"/>
    </row>
    <row r="1356" spans="1:4" x14ac:dyDescent="0.2">
      <c r="A1356" s="496"/>
      <c r="D1356" s="496"/>
    </row>
    <row r="1357" spans="1:4" x14ac:dyDescent="0.2">
      <c r="A1357" s="496"/>
      <c r="D1357" s="496"/>
    </row>
    <row r="1358" spans="1:4" x14ac:dyDescent="0.2">
      <c r="A1358" s="496"/>
      <c r="D1358" s="496"/>
    </row>
    <row r="1359" spans="1:4" x14ac:dyDescent="0.2">
      <c r="A1359" s="496"/>
      <c r="D1359" s="496"/>
    </row>
    <row r="1360" spans="1:4" x14ac:dyDescent="0.2">
      <c r="A1360" s="496"/>
      <c r="D1360" s="496"/>
    </row>
    <row r="1361" spans="1:4" x14ac:dyDescent="0.2">
      <c r="A1361" s="496"/>
      <c r="D1361" s="496"/>
    </row>
    <row r="1362" spans="1:4" x14ac:dyDescent="0.2">
      <c r="A1362" s="496"/>
      <c r="D1362" s="496"/>
    </row>
    <row r="1363" spans="1:4" x14ac:dyDescent="0.2">
      <c r="A1363" s="496"/>
      <c r="D1363" s="496"/>
    </row>
    <row r="1364" spans="1:4" x14ac:dyDescent="0.2">
      <c r="A1364" s="496"/>
      <c r="D1364" s="496"/>
    </row>
    <row r="1365" spans="1:4" x14ac:dyDescent="0.2">
      <c r="A1365" s="496"/>
      <c r="D1365" s="496"/>
    </row>
    <row r="1366" spans="1:4" x14ac:dyDescent="0.2">
      <c r="A1366" s="496"/>
      <c r="D1366" s="496"/>
    </row>
    <row r="1367" spans="1:4" x14ac:dyDescent="0.2">
      <c r="A1367" s="496"/>
      <c r="D1367" s="496"/>
    </row>
    <row r="1368" spans="1:4" x14ac:dyDescent="0.2">
      <c r="A1368" s="496"/>
      <c r="D1368" s="496"/>
    </row>
    <row r="1369" spans="1:4" x14ac:dyDescent="0.2">
      <c r="A1369" s="496"/>
      <c r="D1369" s="496"/>
    </row>
    <row r="1370" spans="1:4" x14ac:dyDescent="0.2">
      <c r="A1370" s="496"/>
      <c r="D1370" s="496"/>
    </row>
    <row r="1371" spans="1:4" x14ac:dyDescent="0.2">
      <c r="A1371" s="496"/>
      <c r="D1371" s="496"/>
    </row>
    <row r="1372" spans="1:4" x14ac:dyDescent="0.2">
      <c r="A1372" s="496"/>
      <c r="D1372" s="496"/>
    </row>
    <row r="1373" spans="1:4" x14ac:dyDescent="0.2">
      <c r="A1373" s="496"/>
      <c r="D1373" s="496"/>
    </row>
    <row r="1374" spans="1:4" x14ac:dyDescent="0.2">
      <c r="A1374" s="496"/>
      <c r="D1374" s="496"/>
    </row>
    <row r="1375" spans="1:4" x14ac:dyDescent="0.2">
      <c r="A1375" s="496"/>
      <c r="D1375" s="496"/>
    </row>
    <row r="1376" spans="1:4" x14ac:dyDescent="0.2">
      <c r="A1376" s="496"/>
      <c r="D1376" s="496"/>
    </row>
    <row r="1377" spans="1:4" x14ac:dyDescent="0.2">
      <c r="A1377" s="496"/>
      <c r="D1377" s="496"/>
    </row>
    <row r="1378" spans="1:4" x14ac:dyDescent="0.2">
      <c r="A1378" s="496"/>
      <c r="D1378" s="496"/>
    </row>
    <row r="1379" spans="1:4" x14ac:dyDescent="0.2">
      <c r="A1379" s="496"/>
      <c r="D1379" s="496"/>
    </row>
    <row r="1380" spans="1:4" x14ac:dyDescent="0.2">
      <c r="A1380" s="496"/>
      <c r="D1380" s="496"/>
    </row>
    <row r="1381" spans="1:4" x14ac:dyDescent="0.2">
      <c r="A1381" s="496"/>
      <c r="D1381" s="496"/>
    </row>
    <row r="1382" spans="1:4" x14ac:dyDescent="0.2">
      <c r="A1382" s="496"/>
      <c r="D1382" s="496"/>
    </row>
    <row r="1383" spans="1:4" x14ac:dyDescent="0.2">
      <c r="A1383" s="496"/>
      <c r="D1383" s="496"/>
    </row>
    <row r="1384" spans="1:4" x14ac:dyDescent="0.2">
      <c r="A1384" s="496"/>
      <c r="D1384" s="496"/>
    </row>
    <row r="1385" spans="1:4" x14ac:dyDescent="0.2">
      <c r="A1385" s="496"/>
      <c r="D1385" s="496"/>
    </row>
    <row r="1386" spans="1:4" x14ac:dyDescent="0.2">
      <c r="A1386" s="496"/>
      <c r="D1386" s="496"/>
    </row>
    <row r="1387" spans="1:4" x14ac:dyDescent="0.2">
      <c r="A1387" s="496"/>
      <c r="D1387" s="496"/>
    </row>
    <row r="1388" spans="1:4" x14ac:dyDescent="0.2">
      <c r="A1388" s="496"/>
      <c r="D1388" s="496"/>
    </row>
    <row r="1389" spans="1:4" x14ac:dyDescent="0.2">
      <c r="A1389" s="496"/>
      <c r="D1389" s="496"/>
    </row>
    <row r="1390" spans="1:4" x14ac:dyDescent="0.2">
      <c r="A1390" s="496"/>
      <c r="D1390" s="496"/>
    </row>
    <row r="1391" spans="1:4" x14ac:dyDescent="0.2">
      <c r="A1391" s="496"/>
      <c r="D1391" s="496"/>
    </row>
    <row r="1392" spans="1:4" x14ac:dyDescent="0.2">
      <c r="A1392" s="496"/>
      <c r="D1392" s="496"/>
    </row>
    <row r="1393" spans="1:4" x14ac:dyDescent="0.2">
      <c r="A1393" s="496"/>
      <c r="D1393" s="496"/>
    </row>
    <row r="1394" spans="1:4" x14ac:dyDescent="0.2">
      <c r="A1394" s="496"/>
      <c r="D1394" s="496"/>
    </row>
    <row r="1395" spans="1:4" x14ac:dyDescent="0.2">
      <c r="A1395" s="496"/>
      <c r="D1395" s="496"/>
    </row>
    <row r="1396" spans="1:4" x14ac:dyDescent="0.2">
      <c r="A1396" s="496"/>
      <c r="D1396" s="496"/>
    </row>
    <row r="1397" spans="1:4" x14ac:dyDescent="0.2">
      <c r="A1397" s="496"/>
      <c r="D1397" s="496"/>
    </row>
    <row r="1398" spans="1:4" x14ac:dyDescent="0.2">
      <c r="A1398" s="496"/>
      <c r="D1398" s="496"/>
    </row>
    <row r="1399" spans="1:4" x14ac:dyDescent="0.2">
      <c r="A1399" s="496"/>
      <c r="D1399" s="496"/>
    </row>
    <row r="1400" spans="1:4" x14ac:dyDescent="0.2">
      <c r="A1400" s="496"/>
      <c r="D1400" s="496"/>
    </row>
    <row r="1401" spans="1:4" x14ac:dyDescent="0.2">
      <c r="A1401" s="496"/>
      <c r="D1401" s="496"/>
    </row>
    <row r="1402" spans="1:4" x14ac:dyDescent="0.2">
      <c r="A1402" s="496"/>
      <c r="D1402" s="496"/>
    </row>
    <row r="1403" spans="1:4" x14ac:dyDescent="0.2">
      <c r="A1403" s="496"/>
      <c r="D1403" s="496"/>
    </row>
    <row r="1404" spans="1:4" x14ac:dyDescent="0.2">
      <c r="A1404" s="496"/>
      <c r="D1404" s="496"/>
    </row>
    <row r="1405" spans="1:4" x14ac:dyDescent="0.2">
      <c r="A1405" s="496"/>
      <c r="D1405" s="496"/>
    </row>
    <row r="1406" spans="1:4" x14ac:dyDescent="0.2">
      <c r="A1406" s="496"/>
      <c r="D1406" s="496"/>
    </row>
    <row r="1407" spans="1:4" x14ac:dyDescent="0.2">
      <c r="A1407" s="496"/>
      <c r="D1407" s="496"/>
    </row>
    <row r="1408" spans="1:4" x14ac:dyDescent="0.2">
      <c r="A1408" s="496"/>
      <c r="D1408" s="496"/>
    </row>
    <row r="1409" spans="1:4" x14ac:dyDescent="0.2">
      <c r="A1409" s="496"/>
      <c r="D1409" s="496"/>
    </row>
    <row r="1410" spans="1:4" x14ac:dyDescent="0.2">
      <c r="A1410" s="496"/>
      <c r="D1410" s="496"/>
    </row>
    <row r="1411" spans="1:4" x14ac:dyDescent="0.2">
      <c r="A1411" s="496"/>
      <c r="D1411" s="496"/>
    </row>
    <row r="1412" spans="1:4" x14ac:dyDescent="0.2">
      <c r="A1412" s="496"/>
      <c r="D1412" s="496"/>
    </row>
    <row r="1413" spans="1:4" x14ac:dyDescent="0.2">
      <c r="A1413" s="496"/>
      <c r="D1413" s="496"/>
    </row>
    <row r="1414" spans="1:4" x14ac:dyDescent="0.2">
      <c r="A1414" s="496"/>
      <c r="D1414" s="496"/>
    </row>
    <row r="1415" spans="1:4" x14ac:dyDescent="0.2">
      <c r="A1415" s="496"/>
      <c r="D1415" s="496"/>
    </row>
    <row r="1416" spans="1:4" x14ac:dyDescent="0.2">
      <c r="A1416" s="496"/>
      <c r="D1416" s="496"/>
    </row>
    <row r="1417" spans="1:4" x14ac:dyDescent="0.2">
      <c r="A1417" s="496"/>
      <c r="D1417" s="496"/>
    </row>
    <row r="1418" spans="1:4" x14ac:dyDescent="0.2">
      <c r="A1418" s="496"/>
      <c r="D1418" s="496"/>
    </row>
    <row r="1419" spans="1:4" x14ac:dyDescent="0.2">
      <c r="A1419" s="496"/>
      <c r="D1419" s="496"/>
    </row>
    <row r="1420" spans="1:4" x14ac:dyDescent="0.2">
      <c r="A1420" s="496"/>
      <c r="D1420" s="496"/>
    </row>
    <row r="1421" spans="1:4" x14ac:dyDescent="0.2">
      <c r="A1421" s="496"/>
      <c r="D1421" s="496"/>
    </row>
    <row r="1422" spans="1:4" x14ac:dyDescent="0.2">
      <c r="A1422" s="496"/>
      <c r="D1422" s="496"/>
    </row>
    <row r="1423" spans="1:4" x14ac:dyDescent="0.2">
      <c r="A1423" s="496"/>
      <c r="D1423" s="496"/>
    </row>
    <row r="1424" spans="1:4" x14ac:dyDescent="0.2">
      <c r="A1424" s="496"/>
      <c r="D1424" s="496"/>
    </row>
    <row r="1425" spans="1:4" x14ac:dyDescent="0.2">
      <c r="A1425" s="496"/>
      <c r="D1425" s="496"/>
    </row>
    <row r="1426" spans="1:4" x14ac:dyDescent="0.2">
      <c r="A1426" s="496"/>
      <c r="D1426" s="496"/>
    </row>
    <row r="1427" spans="1:4" x14ac:dyDescent="0.2">
      <c r="A1427" s="496"/>
      <c r="D1427" s="496"/>
    </row>
    <row r="1428" spans="1:4" x14ac:dyDescent="0.2">
      <c r="A1428" s="496"/>
      <c r="D1428" s="496"/>
    </row>
    <row r="1429" spans="1:4" x14ac:dyDescent="0.2">
      <c r="A1429" s="496"/>
      <c r="D1429" s="496"/>
    </row>
    <row r="1430" spans="1:4" x14ac:dyDescent="0.2">
      <c r="A1430" s="496"/>
      <c r="D1430" s="496"/>
    </row>
    <row r="1431" spans="1:4" x14ac:dyDescent="0.2">
      <c r="A1431" s="496"/>
      <c r="D1431" s="496"/>
    </row>
    <row r="1432" spans="1:4" x14ac:dyDescent="0.2">
      <c r="A1432" s="496"/>
      <c r="D1432" s="496"/>
    </row>
    <row r="1433" spans="1:4" x14ac:dyDescent="0.2">
      <c r="A1433" s="496"/>
      <c r="D1433" s="496"/>
    </row>
    <row r="1434" spans="1:4" x14ac:dyDescent="0.2">
      <c r="A1434" s="496"/>
      <c r="D1434" s="496"/>
    </row>
    <row r="1435" spans="1:4" x14ac:dyDescent="0.2">
      <c r="A1435" s="496"/>
      <c r="D1435" s="496"/>
    </row>
    <row r="1436" spans="1:4" x14ac:dyDescent="0.2">
      <c r="A1436" s="496"/>
      <c r="D1436" s="496"/>
    </row>
    <row r="1437" spans="1:4" x14ac:dyDescent="0.2">
      <c r="A1437" s="496"/>
      <c r="D1437" s="496"/>
    </row>
    <row r="1438" spans="1:4" x14ac:dyDescent="0.2">
      <c r="A1438" s="496"/>
      <c r="D1438" s="496"/>
    </row>
    <row r="1439" spans="1:4" x14ac:dyDescent="0.2">
      <c r="A1439" s="496"/>
      <c r="D1439" s="496"/>
    </row>
    <row r="1440" spans="1:4" x14ac:dyDescent="0.2">
      <c r="A1440" s="496"/>
      <c r="D1440" s="496"/>
    </row>
    <row r="1441" spans="1:4" x14ac:dyDescent="0.2">
      <c r="A1441" s="496"/>
      <c r="D1441" s="496"/>
    </row>
    <row r="1442" spans="1:4" x14ac:dyDescent="0.2">
      <c r="A1442" s="496"/>
      <c r="D1442" s="496"/>
    </row>
    <row r="1443" spans="1:4" x14ac:dyDescent="0.2">
      <c r="A1443" s="496"/>
      <c r="D1443" s="496"/>
    </row>
    <row r="1444" spans="1:4" x14ac:dyDescent="0.2">
      <c r="A1444" s="496"/>
      <c r="D1444" s="496"/>
    </row>
    <row r="1445" spans="1:4" x14ac:dyDescent="0.2">
      <c r="A1445" s="496"/>
      <c r="D1445" s="496"/>
    </row>
    <row r="1446" spans="1:4" x14ac:dyDescent="0.2">
      <c r="A1446" s="496"/>
      <c r="D1446" s="496"/>
    </row>
    <row r="1447" spans="1:4" x14ac:dyDescent="0.2">
      <c r="A1447" s="496"/>
      <c r="D1447" s="496"/>
    </row>
    <row r="1448" spans="1:4" x14ac:dyDescent="0.2">
      <c r="A1448" s="496"/>
      <c r="D1448" s="496"/>
    </row>
    <row r="1449" spans="1:4" x14ac:dyDescent="0.2">
      <c r="A1449" s="496"/>
      <c r="D1449" s="496"/>
    </row>
    <row r="1450" spans="1:4" x14ac:dyDescent="0.2">
      <c r="A1450" s="496"/>
      <c r="D1450" s="496"/>
    </row>
    <row r="1451" spans="1:4" x14ac:dyDescent="0.2">
      <c r="A1451" s="496"/>
      <c r="D1451" s="496"/>
    </row>
    <row r="1452" spans="1:4" x14ac:dyDescent="0.2">
      <c r="A1452" s="496"/>
      <c r="D1452" s="496"/>
    </row>
    <row r="1453" spans="1:4" x14ac:dyDescent="0.2">
      <c r="A1453" s="496"/>
      <c r="D1453" s="496"/>
    </row>
    <row r="1454" spans="1:4" x14ac:dyDescent="0.2">
      <c r="A1454" s="496"/>
      <c r="D1454" s="496"/>
    </row>
    <row r="1455" spans="1:4" x14ac:dyDescent="0.2">
      <c r="A1455" s="496"/>
      <c r="D1455" s="496"/>
    </row>
    <row r="1456" spans="1:4" x14ac:dyDescent="0.2">
      <c r="A1456" s="496"/>
      <c r="D1456" s="496"/>
    </row>
    <row r="1457" spans="1:4" x14ac:dyDescent="0.2">
      <c r="A1457" s="496"/>
      <c r="D1457" s="496"/>
    </row>
    <row r="1458" spans="1:4" x14ac:dyDescent="0.2">
      <c r="A1458" s="496"/>
      <c r="D1458" s="496"/>
    </row>
    <row r="1459" spans="1:4" x14ac:dyDescent="0.2">
      <c r="A1459" s="496"/>
      <c r="D1459" s="496"/>
    </row>
    <row r="1460" spans="1:4" x14ac:dyDescent="0.2">
      <c r="A1460" s="496"/>
      <c r="D1460" s="496"/>
    </row>
    <row r="1461" spans="1:4" x14ac:dyDescent="0.2">
      <c r="A1461" s="496"/>
      <c r="D1461" s="496"/>
    </row>
    <row r="1462" spans="1:4" x14ac:dyDescent="0.2">
      <c r="A1462" s="496"/>
      <c r="D1462" s="496"/>
    </row>
    <row r="1463" spans="1:4" x14ac:dyDescent="0.2">
      <c r="A1463" s="496"/>
      <c r="D1463" s="496"/>
    </row>
    <row r="1464" spans="1:4" x14ac:dyDescent="0.2">
      <c r="A1464" s="496"/>
      <c r="D1464" s="496"/>
    </row>
    <row r="1465" spans="1:4" x14ac:dyDescent="0.2">
      <c r="A1465" s="496"/>
      <c r="D1465" s="496"/>
    </row>
    <row r="1466" spans="1:4" x14ac:dyDescent="0.2">
      <c r="A1466" s="496"/>
      <c r="D1466" s="496"/>
    </row>
    <row r="1467" spans="1:4" x14ac:dyDescent="0.2">
      <c r="A1467" s="496"/>
      <c r="D1467" s="496"/>
    </row>
    <row r="1468" spans="1:4" x14ac:dyDescent="0.2">
      <c r="A1468" s="496"/>
      <c r="D1468" s="496"/>
    </row>
    <row r="1469" spans="1:4" x14ac:dyDescent="0.2">
      <c r="A1469" s="496"/>
      <c r="D1469" s="496"/>
    </row>
    <row r="1470" spans="1:4" x14ac:dyDescent="0.2">
      <c r="A1470" s="496"/>
      <c r="D1470" s="496"/>
    </row>
    <row r="1471" spans="1:4" x14ac:dyDescent="0.2">
      <c r="A1471" s="496"/>
      <c r="D1471" s="496"/>
    </row>
    <row r="1472" spans="1:4" x14ac:dyDescent="0.2">
      <c r="A1472" s="496"/>
      <c r="D1472" s="496"/>
    </row>
    <row r="1473" spans="1:4" x14ac:dyDescent="0.2">
      <c r="A1473" s="496"/>
      <c r="D1473" s="496"/>
    </row>
    <row r="1474" spans="1:4" x14ac:dyDescent="0.2">
      <c r="A1474" s="496"/>
      <c r="D1474" s="496"/>
    </row>
    <row r="1475" spans="1:4" x14ac:dyDescent="0.2">
      <c r="A1475" s="496"/>
      <c r="D1475" s="496"/>
    </row>
    <row r="1476" spans="1:4" x14ac:dyDescent="0.2">
      <c r="A1476" s="496"/>
      <c r="D1476" s="496"/>
    </row>
    <row r="1477" spans="1:4" x14ac:dyDescent="0.2">
      <c r="A1477" s="496"/>
      <c r="D1477" s="496"/>
    </row>
    <row r="1478" spans="1:4" x14ac:dyDescent="0.2">
      <c r="A1478" s="496"/>
      <c r="D1478" s="496"/>
    </row>
    <row r="1479" spans="1:4" x14ac:dyDescent="0.2">
      <c r="A1479" s="496"/>
      <c r="D1479" s="496"/>
    </row>
    <row r="1480" spans="1:4" x14ac:dyDescent="0.2">
      <c r="A1480" s="496"/>
      <c r="D1480" s="496"/>
    </row>
    <row r="1481" spans="1:4" x14ac:dyDescent="0.2">
      <c r="A1481" s="496"/>
      <c r="D1481" s="496"/>
    </row>
    <row r="1482" spans="1:4" x14ac:dyDescent="0.2">
      <c r="A1482" s="496"/>
      <c r="D1482" s="496"/>
    </row>
    <row r="1483" spans="1:4" x14ac:dyDescent="0.2">
      <c r="A1483" s="496"/>
      <c r="D1483" s="496"/>
    </row>
    <row r="1484" spans="1:4" x14ac:dyDescent="0.2">
      <c r="A1484" s="496"/>
      <c r="D1484" s="496"/>
    </row>
    <row r="1485" spans="1:4" x14ac:dyDescent="0.2">
      <c r="A1485" s="496"/>
      <c r="D1485" s="496"/>
    </row>
    <row r="1486" spans="1:4" x14ac:dyDescent="0.2">
      <c r="A1486" s="496"/>
      <c r="D1486" s="496"/>
    </row>
    <row r="1487" spans="1:4" x14ac:dyDescent="0.2">
      <c r="A1487" s="496"/>
      <c r="D1487" s="496"/>
    </row>
    <row r="1488" spans="1:4" x14ac:dyDescent="0.2">
      <c r="A1488" s="496"/>
      <c r="D1488" s="496"/>
    </row>
    <row r="1489" spans="1:4" x14ac:dyDescent="0.2">
      <c r="A1489" s="496"/>
      <c r="D1489" s="496"/>
    </row>
    <row r="1490" spans="1:4" x14ac:dyDescent="0.2">
      <c r="A1490" s="496"/>
      <c r="D1490" s="496"/>
    </row>
    <row r="1491" spans="1:4" x14ac:dyDescent="0.2">
      <c r="A1491" s="496"/>
      <c r="D1491" s="496"/>
    </row>
    <row r="1492" spans="1:4" x14ac:dyDescent="0.2">
      <c r="A1492" s="496"/>
      <c r="D1492" s="496"/>
    </row>
    <row r="1493" spans="1:4" x14ac:dyDescent="0.2">
      <c r="A1493" s="496"/>
      <c r="D1493" s="496"/>
    </row>
    <row r="1494" spans="1:4" x14ac:dyDescent="0.2">
      <c r="A1494" s="496"/>
      <c r="D1494" s="496"/>
    </row>
    <row r="1495" spans="1:4" x14ac:dyDescent="0.2">
      <c r="A1495" s="496"/>
      <c r="D1495" s="496"/>
    </row>
    <row r="1496" spans="1:4" x14ac:dyDescent="0.2">
      <c r="A1496" s="496"/>
      <c r="D1496" s="496"/>
    </row>
    <row r="1497" spans="1:4" x14ac:dyDescent="0.2">
      <c r="A1497" s="496"/>
      <c r="D1497" s="496"/>
    </row>
    <row r="1498" spans="1:4" x14ac:dyDescent="0.2">
      <c r="A1498" s="496"/>
      <c r="D1498" s="496"/>
    </row>
    <row r="1499" spans="1:4" x14ac:dyDescent="0.2">
      <c r="A1499" s="496"/>
      <c r="D1499" s="496"/>
    </row>
    <row r="1500" spans="1:4" x14ac:dyDescent="0.2">
      <c r="A1500" s="496"/>
      <c r="D1500" s="496"/>
    </row>
    <row r="1501" spans="1:4" x14ac:dyDescent="0.2">
      <c r="A1501" s="496"/>
      <c r="D1501" s="496"/>
    </row>
    <row r="1502" spans="1:4" x14ac:dyDescent="0.2">
      <c r="A1502" s="496"/>
      <c r="D1502" s="496"/>
    </row>
    <row r="1503" spans="1:4" x14ac:dyDescent="0.2">
      <c r="A1503" s="496"/>
      <c r="D1503" s="496"/>
    </row>
    <row r="1504" spans="1:4" x14ac:dyDescent="0.2">
      <c r="A1504" s="496"/>
      <c r="D1504" s="496"/>
    </row>
    <row r="1505" spans="1:4" x14ac:dyDescent="0.2">
      <c r="A1505" s="496"/>
      <c r="D1505" s="496"/>
    </row>
    <row r="1506" spans="1:4" x14ac:dyDescent="0.2">
      <c r="A1506" s="496"/>
      <c r="D1506" s="496"/>
    </row>
    <row r="1507" spans="1:4" x14ac:dyDescent="0.2">
      <c r="A1507" s="496"/>
      <c r="D1507" s="496"/>
    </row>
    <row r="1508" spans="1:4" x14ac:dyDescent="0.2">
      <c r="A1508" s="496"/>
      <c r="D1508" s="496"/>
    </row>
    <row r="1509" spans="1:4" x14ac:dyDescent="0.2">
      <c r="A1509" s="496"/>
      <c r="D1509" s="496"/>
    </row>
    <row r="1510" spans="1:4" x14ac:dyDescent="0.2">
      <c r="A1510" s="496"/>
      <c r="D1510" s="496"/>
    </row>
    <row r="1511" spans="1:4" x14ac:dyDescent="0.2">
      <c r="A1511" s="496"/>
      <c r="D1511" s="496"/>
    </row>
    <row r="1512" spans="1:4" x14ac:dyDescent="0.2">
      <c r="A1512" s="496"/>
      <c r="D1512" s="496"/>
    </row>
    <row r="1513" spans="1:4" x14ac:dyDescent="0.2">
      <c r="A1513" s="496"/>
      <c r="D1513" s="496"/>
    </row>
    <row r="1514" spans="1:4" x14ac:dyDescent="0.2">
      <c r="A1514" s="496"/>
      <c r="D1514" s="496"/>
    </row>
    <row r="1515" spans="1:4" x14ac:dyDescent="0.2">
      <c r="A1515" s="496"/>
      <c r="D1515" s="496"/>
    </row>
    <row r="1516" spans="1:4" x14ac:dyDescent="0.2">
      <c r="A1516" s="496"/>
      <c r="D1516" s="496"/>
    </row>
    <row r="1517" spans="1:4" x14ac:dyDescent="0.2">
      <c r="A1517" s="496"/>
      <c r="D1517" s="496"/>
    </row>
    <row r="1518" spans="1:4" x14ac:dyDescent="0.2">
      <c r="A1518" s="496"/>
      <c r="D1518" s="496"/>
    </row>
    <row r="1519" spans="1:4" x14ac:dyDescent="0.2">
      <c r="A1519" s="496"/>
      <c r="D1519" s="496"/>
    </row>
    <row r="1520" spans="1:4" x14ac:dyDescent="0.2">
      <c r="A1520" s="496"/>
      <c r="D1520" s="496"/>
    </row>
    <row r="1521" spans="1:4" x14ac:dyDescent="0.2">
      <c r="A1521" s="496"/>
      <c r="D1521" s="496"/>
    </row>
    <row r="1522" spans="1:4" x14ac:dyDescent="0.2">
      <c r="A1522" s="496"/>
      <c r="D1522" s="496"/>
    </row>
    <row r="1523" spans="1:4" x14ac:dyDescent="0.2">
      <c r="A1523" s="496"/>
      <c r="D1523" s="496"/>
    </row>
    <row r="1524" spans="1:4" x14ac:dyDescent="0.2">
      <c r="A1524" s="496"/>
      <c r="D1524" s="496"/>
    </row>
    <row r="1525" spans="1:4" x14ac:dyDescent="0.2">
      <c r="A1525" s="496"/>
      <c r="D1525" s="496"/>
    </row>
    <row r="1526" spans="1:4" x14ac:dyDescent="0.2">
      <c r="A1526" s="496"/>
      <c r="D1526" s="496"/>
    </row>
    <row r="1527" spans="1:4" x14ac:dyDescent="0.2">
      <c r="A1527" s="496"/>
      <c r="D1527" s="496"/>
    </row>
    <row r="1528" spans="1:4" x14ac:dyDescent="0.2">
      <c r="A1528" s="496"/>
      <c r="D1528" s="496"/>
    </row>
    <row r="1529" spans="1:4" x14ac:dyDescent="0.2">
      <c r="A1529" s="496"/>
      <c r="D1529" s="496"/>
    </row>
    <row r="1530" spans="1:4" x14ac:dyDescent="0.2">
      <c r="A1530" s="496"/>
      <c r="D1530" s="496"/>
    </row>
    <row r="1531" spans="1:4" x14ac:dyDescent="0.2">
      <c r="A1531" s="496"/>
      <c r="D1531" s="496"/>
    </row>
    <row r="1532" spans="1:4" x14ac:dyDescent="0.2">
      <c r="A1532" s="496"/>
      <c r="D1532" s="496"/>
    </row>
    <row r="1533" spans="1:4" x14ac:dyDescent="0.2">
      <c r="A1533" s="496"/>
      <c r="D1533" s="496"/>
    </row>
    <row r="1534" spans="1:4" x14ac:dyDescent="0.2">
      <c r="A1534" s="496"/>
      <c r="D1534" s="496"/>
    </row>
    <row r="1535" spans="1:4" x14ac:dyDescent="0.2">
      <c r="A1535" s="496"/>
      <c r="D1535" s="496"/>
    </row>
    <row r="1536" spans="1:4" x14ac:dyDescent="0.2">
      <c r="A1536" s="496"/>
      <c r="D1536" s="496"/>
    </row>
    <row r="1537" spans="1:4" x14ac:dyDescent="0.2">
      <c r="A1537" s="496"/>
      <c r="D1537" s="496"/>
    </row>
    <row r="1538" spans="1:4" x14ac:dyDescent="0.2">
      <c r="A1538" s="496"/>
      <c r="D1538" s="496"/>
    </row>
    <row r="1539" spans="1:4" x14ac:dyDescent="0.2">
      <c r="A1539" s="496"/>
      <c r="D1539" s="496"/>
    </row>
    <row r="1540" spans="1:4" x14ac:dyDescent="0.2">
      <c r="A1540" s="496"/>
      <c r="D1540" s="496"/>
    </row>
    <row r="1541" spans="1:4" x14ac:dyDescent="0.2">
      <c r="A1541" s="496"/>
      <c r="D1541" s="496"/>
    </row>
    <row r="1542" spans="1:4" x14ac:dyDescent="0.2">
      <c r="A1542" s="496"/>
      <c r="D1542" s="496"/>
    </row>
    <row r="1543" spans="1:4" x14ac:dyDescent="0.2">
      <c r="A1543" s="496"/>
      <c r="D1543" s="496"/>
    </row>
    <row r="1544" spans="1:4" x14ac:dyDescent="0.2">
      <c r="A1544" s="496"/>
      <c r="D1544" s="496"/>
    </row>
    <row r="1545" spans="1:4" x14ac:dyDescent="0.2">
      <c r="A1545" s="496"/>
      <c r="D1545" s="496"/>
    </row>
    <row r="1546" spans="1:4" x14ac:dyDescent="0.2">
      <c r="A1546" s="496"/>
      <c r="D1546" s="496"/>
    </row>
    <row r="1547" spans="1:4" x14ac:dyDescent="0.2">
      <c r="A1547" s="496"/>
      <c r="D1547" s="496"/>
    </row>
    <row r="1548" spans="1:4" x14ac:dyDescent="0.2">
      <c r="A1548" s="496"/>
      <c r="D1548" s="496"/>
    </row>
    <row r="1549" spans="1:4" x14ac:dyDescent="0.2">
      <c r="A1549" s="496"/>
      <c r="D1549" s="496"/>
    </row>
    <row r="1550" spans="1:4" x14ac:dyDescent="0.2">
      <c r="A1550" s="496"/>
      <c r="D1550" s="496"/>
    </row>
    <row r="1551" spans="1:4" x14ac:dyDescent="0.2">
      <c r="A1551" s="496"/>
      <c r="D1551" s="496"/>
    </row>
    <row r="1552" spans="1:4" x14ac:dyDescent="0.2">
      <c r="A1552" s="496"/>
      <c r="D1552" s="496"/>
    </row>
    <row r="1553" spans="1:4" x14ac:dyDescent="0.2">
      <c r="A1553" s="496"/>
      <c r="D1553" s="496"/>
    </row>
    <row r="1554" spans="1:4" x14ac:dyDescent="0.2">
      <c r="A1554" s="496"/>
      <c r="D1554" s="496"/>
    </row>
    <row r="1555" spans="1:4" x14ac:dyDescent="0.2">
      <c r="A1555" s="496"/>
      <c r="D1555" s="496"/>
    </row>
    <row r="1556" spans="1:4" x14ac:dyDescent="0.2">
      <c r="A1556" s="496"/>
      <c r="D1556" s="496"/>
    </row>
    <row r="1557" spans="1:4" x14ac:dyDescent="0.2">
      <c r="A1557" s="496"/>
      <c r="D1557" s="496"/>
    </row>
    <row r="1558" spans="1:4" x14ac:dyDescent="0.2">
      <c r="A1558" s="496"/>
      <c r="D1558" s="496"/>
    </row>
    <row r="1559" spans="1:4" x14ac:dyDescent="0.2">
      <c r="A1559" s="496"/>
      <c r="D1559" s="496"/>
    </row>
    <row r="1560" spans="1:4" x14ac:dyDescent="0.2">
      <c r="A1560" s="496"/>
      <c r="D1560" s="496"/>
    </row>
    <row r="1561" spans="1:4" x14ac:dyDescent="0.2">
      <c r="A1561" s="496"/>
      <c r="D1561" s="496"/>
    </row>
    <row r="1562" spans="1:4" x14ac:dyDescent="0.2">
      <c r="A1562" s="496"/>
      <c r="D1562" s="496"/>
    </row>
    <row r="1563" spans="1:4" x14ac:dyDescent="0.2">
      <c r="A1563" s="496"/>
      <c r="D1563" s="496"/>
    </row>
    <row r="1564" spans="1:4" x14ac:dyDescent="0.2">
      <c r="A1564" s="496"/>
      <c r="D1564" s="496"/>
    </row>
    <row r="1565" spans="1:4" x14ac:dyDescent="0.2">
      <c r="A1565" s="496"/>
      <c r="D1565" s="496"/>
    </row>
    <row r="1566" spans="1:4" x14ac:dyDescent="0.2">
      <c r="A1566" s="496"/>
      <c r="D1566" s="496"/>
    </row>
    <row r="1567" spans="1:4" x14ac:dyDescent="0.2">
      <c r="A1567" s="496"/>
      <c r="D1567" s="496"/>
    </row>
    <row r="1568" spans="1:4" x14ac:dyDescent="0.2">
      <c r="A1568" s="496"/>
      <c r="D1568" s="496"/>
    </row>
    <row r="1569" spans="1:4" x14ac:dyDescent="0.2">
      <c r="A1569" s="496"/>
      <c r="D1569" s="496"/>
    </row>
    <row r="1570" spans="1:4" x14ac:dyDescent="0.2">
      <c r="A1570" s="496"/>
      <c r="D1570" s="496"/>
    </row>
    <row r="1571" spans="1:4" x14ac:dyDescent="0.2">
      <c r="A1571" s="496"/>
      <c r="D1571" s="496"/>
    </row>
    <row r="1572" spans="1:4" x14ac:dyDescent="0.2">
      <c r="A1572" s="496"/>
      <c r="D1572" s="496"/>
    </row>
    <row r="1573" spans="1:4" x14ac:dyDescent="0.2">
      <c r="A1573" s="496"/>
      <c r="D1573" s="496"/>
    </row>
    <row r="1574" spans="1:4" x14ac:dyDescent="0.2">
      <c r="A1574" s="496"/>
      <c r="D1574" s="496"/>
    </row>
    <row r="1575" spans="1:4" x14ac:dyDescent="0.2">
      <c r="A1575" s="496"/>
      <c r="D1575" s="496"/>
    </row>
    <row r="1576" spans="1:4" x14ac:dyDescent="0.2">
      <c r="A1576" s="496"/>
      <c r="D1576" s="496"/>
    </row>
    <row r="1577" spans="1:4" x14ac:dyDescent="0.2">
      <c r="A1577" s="496"/>
      <c r="D1577" s="496"/>
    </row>
    <row r="1578" spans="1:4" x14ac:dyDescent="0.2">
      <c r="A1578" s="496"/>
      <c r="D1578" s="496"/>
    </row>
    <row r="1579" spans="1:4" x14ac:dyDescent="0.2">
      <c r="A1579" s="496"/>
      <c r="D1579" s="496"/>
    </row>
    <row r="1580" spans="1:4" x14ac:dyDescent="0.2">
      <c r="A1580" s="496"/>
      <c r="D1580" s="496"/>
    </row>
    <row r="1581" spans="1:4" x14ac:dyDescent="0.2">
      <c r="A1581" s="496"/>
      <c r="D1581" s="496"/>
    </row>
    <row r="1582" spans="1:4" x14ac:dyDescent="0.2">
      <c r="A1582" s="496"/>
      <c r="D1582" s="496"/>
    </row>
    <row r="1583" spans="1:4" x14ac:dyDescent="0.2">
      <c r="A1583" s="496"/>
      <c r="D1583" s="496"/>
    </row>
    <row r="1584" spans="1:4" x14ac:dyDescent="0.2">
      <c r="A1584" s="496"/>
      <c r="D1584" s="496"/>
    </row>
    <row r="1585" spans="1:4" x14ac:dyDescent="0.2">
      <c r="A1585" s="496"/>
      <c r="D1585" s="496"/>
    </row>
    <row r="1586" spans="1:4" x14ac:dyDescent="0.2">
      <c r="A1586" s="496"/>
      <c r="D1586" s="496"/>
    </row>
    <row r="1587" spans="1:4" x14ac:dyDescent="0.2">
      <c r="A1587" s="496"/>
      <c r="D1587" s="496"/>
    </row>
    <row r="1588" spans="1:4" x14ac:dyDescent="0.2">
      <c r="A1588" s="496"/>
      <c r="D1588" s="496"/>
    </row>
    <row r="1589" spans="1:4" x14ac:dyDescent="0.2">
      <c r="A1589" s="496"/>
      <c r="D1589" s="496"/>
    </row>
    <row r="1590" spans="1:4" x14ac:dyDescent="0.2">
      <c r="A1590" s="496"/>
      <c r="D1590" s="496"/>
    </row>
    <row r="1591" spans="1:4" x14ac:dyDescent="0.2">
      <c r="A1591" s="496"/>
      <c r="D1591" s="496"/>
    </row>
    <row r="1592" spans="1:4" x14ac:dyDescent="0.2">
      <c r="A1592" s="496"/>
      <c r="D1592" s="496"/>
    </row>
    <row r="1593" spans="1:4" x14ac:dyDescent="0.2">
      <c r="A1593" s="496"/>
      <c r="D1593" s="496"/>
    </row>
    <row r="1594" spans="1:4" x14ac:dyDescent="0.2">
      <c r="A1594" s="496"/>
      <c r="D1594" s="496"/>
    </row>
    <row r="1595" spans="1:4" x14ac:dyDescent="0.2">
      <c r="A1595" s="496"/>
      <c r="D1595" s="496"/>
    </row>
    <row r="1596" spans="1:4" x14ac:dyDescent="0.2">
      <c r="A1596" s="496"/>
      <c r="D1596" s="496"/>
    </row>
    <row r="1597" spans="1:4" x14ac:dyDescent="0.2">
      <c r="A1597" s="496"/>
      <c r="D1597" s="496"/>
    </row>
    <row r="1598" spans="1:4" x14ac:dyDescent="0.2">
      <c r="A1598" s="496"/>
      <c r="D1598" s="496"/>
    </row>
    <row r="1599" spans="1:4" x14ac:dyDescent="0.2">
      <c r="A1599" s="496"/>
      <c r="D1599" s="496"/>
    </row>
    <row r="1600" spans="1:4" x14ac:dyDescent="0.2">
      <c r="A1600" s="496"/>
      <c r="D1600" s="496"/>
    </row>
    <row r="1601" spans="1:4" x14ac:dyDescent="0.2">
      <c r="A1601" s="496"/>
      <c r="D1601" s="496"/>
    </row>
    <row r="1602" spans="1:4" x14ac:dyDescent="0.2">
      <c r="A1602" s="496"/>
      <c r="D1602" s="496"/>
    </row>
    <row r="1603" spans="1:4" x14ac:dyDescent="0.2">
      <c r="A1603" s="496"/>
      <c r="D1603" s="496"/>
    </row>
    <row r="1604" spans="1:4" x14ac:dyDescent="0.2">
      <c r="A1604" s="496"/>
      <c r="D1604" s="496"/>
    </row>
    <row r="1605" spans="1:4" x14ac:dyDescent="0.2">
      <c r="A1605" s="496"/>
      <c r="D1605" s="496"/>
    </row>
    <row r="1606" spans="1:4" x14ac:dyDescent="0.2">
      <c r="A1606" s="496"/>
      <c r="D1606" s="496"/>
    </row>
    <row r="1607" spans="1:4" x14ac:dyDescent="0.2">
      <c r="A1607" s="496"/>
      <c r="D1607" s="496"/>
    </row>
    <row r="1608" spans="1:4" x14ac:dyDescent="0.2">
      <c r="A1608" s="496"/>
      <c r="D1608" s="496"/>
    </row>
    <row r="1609" spans="1:4" x14ac:dyDescent="0.2">
      <c r="A1609" s="496"/>
      <c r="D1609" s="496"/>
    </row>
    <row r="1610" spans="1:4" x14ac:dyDescent="0.2">
      <c r="A1610" s="496"/>
      <c r="D1610" s="496"/>
    </row>
    <row r="1611" spans="1:4" x14ac:dyDescent="0.2">
      <c r="A1611" s="496"/>
      <c r="D1611" s="496"/>
    </row>
    <row r="1612" spans="1:4" x14ac:dyDescent="0.2">
      <c r="A1612" s="496"/>
      <c r="D1612" s="496"/>
    </row>
    <row r="1613" spans="1:4" x14ac:dyDescent="0.2">
      <c r="A1613" s="496"/>
      <c r="D1613" s="496"/>
    </row>
    <row r="1614" spans="1:4" x14ac:dyDescent="0.2">
      <c r="A1614" s="496"/>
      <c r="D1614" s="496"/>
    </row>
    <row r="1615" spans="1:4" x14ac:dyDescent="0.2">
      <c r="A1615" s="496"/>
      <c r="D1615" s="496"/>
    </row>
    <row r="1616" spans="1:4" x14ac:dyDescent="0.2">
      <c r="A1616" s="496"/>
      <c r="D1616" s="496"/>
    </row>
    <row r="1617" spans="1:4" x14ac:dyDescent="0.2">
      <c r="A1617" s="496"/>
      <c r="D1617" s="496"/>
    </row>
    <row r="1618" spans="1:4" x14ac:dyDescent="0.2">
      <c r="A1618" s="496"/>
      <c r="D1618" s="496"/>
    </row>
    <row r="1619" spans="1:4" x14ac:dyDescent="0.2">
      <c r="A1619" s="496"/>
      <c r="D1619" s="496"/>
    </row>
    <row r="1620" spans="1:4" x14ac:dyDescent="0.2">
      <c r="A1620" s="496"/>
      <c r="D1620" s="496"/>
    </row>
    <row r="1621" spans="1:4" x14ac:dyDescent="0.2">
      <c r="A1621" s="496"/>
      <c r="D1621" s="496"/>
    </row>
    <row r="1622" spans="1:4" x14ac:dyDescent="0.2">
      <c r="A1622" s="496"/>
      <c r="D1622" s="496"/>
    </row>
    <row r="1623" spans="1:4" x14ac:dyDescent="0.2">
      <c r="A1623" s="496"/>
      <c r="D1623" s="496"/>
    </row>
    <row r="1624" spans="1:4" x14ac:dyDescent="0.2">
      <c r="A1624" s="496"/>
      <c r="D1624" s="496"/>
    </row>
    <row r="1625" spans="1:4" x14ac:dyDescent="0.2">
      <c r="A1625" s="496"/>
      <c r="D1625" s="496"/>
    </row>
    <row r="1626" spans="1:4" x14ac:dyDescent="0.2">
      <c r="A1626" s="496"/>
      <c r="D1626" s="496"/>
    </row>
    <row r="1627" spans="1:4" x14ac:dyDescent="0.2">
      <c r="A1627" s="496"/>
      <c r="D1627" s="496"/>
    </row>
    <row r="1628" spans="1:4" x14ac:dyDescent="0.2">
      <c r="A1628" s="496"/>
      <c r="D1628" s="496"/>
    </row>
    <row r="1629" spans="1:4" x14ac:dyDescent="0.2">
      <c r="A1629" s="496"/>
      <c r="D1629" s="496"/>
    </row>
    <row r="1630" spans="1:4" x14ac:dyDescent="0.2">
      <c r="A1630" s="496"/>
      <c r="D1630" s="496"/>
    </row>
    <row r="1631" spans="1:4" x14ac:dyDescent="0.2">
      <c r="A1631" s="496"/>
      <c r="D1631" s="496"/>
    </row>
    <row r="1632" spans="1:4" x14ac:dyDescent="0.2">
      <c r="A1632" s="496"/>
      <c r="D1632" s="496"/>
    </row>
    <row r="1633" spans="1:4" x14ac:dyDescent="0.2">
      <c r="A1633" s="496"/>
      <c r="D1633" s="496"/>
    </row>
    <row r="1634" spans="1:4" x14ac:dyDescent="0.2">
      <c r="A1634" s="496"/>
      <c r="D1634" s="496"/>
    </row>
    <row r="1635" spans="1:4" x14ac:dyDescent="0.2">
      <c r="A1635" s="496"/>
      <c r="D1635" s="496"/>
    </row>
    <row r="1636" spans="1:4" x14ac:dyDescent="0.2">
      <c r="A1636" s="496"/>
      <c r="D1636" s="496"/>
    </row>
    <row r="1637" spans="1:4" x14ac:dyDescent="0.2">
      <c r="A1637" s="496"/>
      <c r="D1637" s="496"/>
    </row>
    <row r="1638" spans="1:4" x14ac:dyDescent="0.2">
      <c r="A1638" s="496"/>
      <c r="D1638" s="496"/>
    </row>
    <row r="1639" spans="1:4" x14ac:dyDescent="0.2">
      <c r="A1639" s="496"/>
      <c r="D1639" s="496"/>
    </row>
    <row r="1640" spans="1:4" x14ac:dyDescent="0.2">
      <c r="A1640" s="496"/>
      <c r="D1640" s="496"/>
    </row>
    <row r="1641" spans="1:4" x14ac:dyDescent="0.2">
      <c r="A1641" s="496"/>
      <c r="D1641" s="496"/>
    </row>
    <row r="1642" spans="1:4" x14ac:dyDescent="0.2">
      <c r="A1642" s="496"/>
      <c r="D1642" s="496"/>
    </row>
    <row r="1643" spans="1:4" x14ac:dyDescent="0.2">
      <c r="A1643" s="496"/>
      <c r="D1643" s="496"/>
    </row>
    <row r="1644" spans="1:4" x14ac:dyDescent="0.2">
      <c r="A1644" s="496"/>
      <c r="D1644" s="496"/>
    </row>
    <row r="1645" spans="1:4" x14ac:dyDescent="0.2">
      <c r="A1645" s="496"/>
      <c r="D1645" s="496"/>
    </row>
    <row r="1646" spans="1:4" x14ac:dyDescent="0.2">
      <c r="A1646" s="496"/>
      <c r="D1646" s="496"/>
    </row>
    <row r="1647" spans="1:4" x14ac:dyDescent="0.2">
      <c r="A1647" s="496"/>
      <c r="D1647" s="496"/>
    </row>
    <row r="1648" spans="1:4" x14ac:dyDescent="0.2">
      <c r="A1648" s="496"/>
      <c r="D1648" s="496"/>
    </row>
    <row r="1649" spans="1:4" x14ac:dyDescent="0.2">
      <c r="A1649" s="496"/>
      <c r="D1649" s="496"/>
    </row>
    <row r="1650" spans="1:4" x14ac:dyDescent="0.2">
      <c r="A1650" s="496"/>
      <c r="D1650" s="496"/>
    </row>
    <row r="1651" spans="1:4" x14ac:dyDescent="0.2">
      <c r="A1651" s="496"/>
      <c r="D1651" s="496"/>
    </row>
    <row r="1652" spans="1:4" x14ac:dyDescent="0.2">
      <c r="A1652" s="496"/>
      <c r="D1652" s="496"/>
    </row>
    <row r="1653" spans="1:4" x14ac:dyDescent="0.2">
      <c r="A1653" s="496"/>
      <c r="D1653" s="496"/>
    </row>
    <row r="1654" spans="1:4" x14ac:dyDescent="0.2">
      <c r="A1654" s="496"/>
      <c r="D1654" s="496"/>
    </row>
    <row r="1655" spans="1:4" x14ac:dyDescent="0.2">
      <c r="A1655" s="496"/>
      <c r="D1655" s="496"/>
    </row>
    <row r="1656" spans="1:4" x14ac:dyDescent="0.2">
      <c r="A1656" s="496"/>
      <c r="D1656" s="496"/>
    </row>
    <row r="1657" spans="1:4" x14ac:dyDescent="0.2">
      <c r="A1657" s="496"/>
      <c r="D1657" s="496"/>
    </row>
    <row r="1658" spans="1:4" x14ac:dyDescent="0.2">
      <c r="A1658" s="496"/>
      <c r="D1658" s="496"/>
    </row>
    <row r="1659" spans="1:4" x14ac:dyDescent="0.2">
      <c r="A1659" s="496"/>
      <c r="D1659" s="496"/>
    </row>
    <row r="1660" spans="1:4" x14ac:dyDescent="0.2">
      <c r="A1660" s="496"/>
      <c r="D1660" s="496"/>
    </row>
    <row r="1661" spans="1:4" x14ac:dyDescent="0.2">
      <c r="A1661" s="496"/>
      <c r="D1661" s="496"/>
    </row>
    <row r="1662" spans="1:4" x14ac:dyDescent="0.2">
      <c r="A1662" s="496"/>
      <c r="D1662" s="496"/>
    </row>
    <row r="1663" spans="1:4" x14ac:dyDescent="0.2">
      <c r="A1663" s="496"/>
      <c r="D1663" s="496"/>
    </row>
    <row r="1664" spans="1:4" x14ac:dyDescent="0.2">
      <c r="A1664" s="496"/>
      <c r="D1664" s="496"/>
    </row>
    <row r="1665" spans="1:4" x14ac:dyDescent="0.2">
      <c r="A1665" s="496"/>
      <c r="D1665" s="496"/>
    </row>
    <row r="1666" spans="1:4" x14ac:dyDescent="0.2">
      <c r="A1666" s="496"/>
      <c r="D1666" s="496"/>
    </row>
    <row r="1667" spans="1:4" x14ac:dyDescent="0.2">
      <c r="A1667" s="496"/>
      <c r="D1667" s="496"/>
    </row>
    <row r="1668" spans="1:4" x14ac:dyDescent="0.2">
      <c r="A1668" s="496"/>
      <c r="D1668" s="496"/>
    </row>
    <row r="1669" spans="1:4" x14ac:dyDescent="0.2">
      <c r="A1669" s="496"/>
      <c r="D1669" s="496"/>
    </row>
    <row r="1670" spans="1:4" x14ac:dyDescent="0.2">
      <c r="A1670" s="496"/>
      <c r="D1670" s="496"/>
    </row>
    <row r="1671" spans="1:4" x14ac:dyDescent="0.2">
      <c r="A1671" s="496"/>
      <c r="D1671" s="496"/>
    </row>
    <row r="1672" spans="1:4" x14ac:dyDescent="0.2">
      <c r="A1672" s="496"/>
      <c r="D1672" s="496"/>
    </row>
    <row r="1673" spans="1:4" x14ac:dyDescent="0.2">
      <c r="A1673" s="496"/>
      <c r="D1673" s="496"/>
    </row>
    <row r="1674" spans="1:4" x14ac:dyDescent="0.2">
      <c r="A1674" s="496"/>
      <c r="D1674" s="496"/>
    </row>
    <row r="1675" spans="1:4" x14ac:dyDescent="0.2">
      <c r="A1675" s="496"/>
      <c r="D1675" s="496"/>
    </row>
    <row r="1676" spans="1:4" x14ac:dyDescent="0.2">
      <c r="A1676" s="496"/>
      <c r="D1676" s="496"/>
    </row>
    <row r="1677" spans="1:4" x14ac:dyDescent="0.2">
      <c r="A1677" s="496"/>
      <c r="D1677" s="496"/>
    </row>
    <row r="1678" spans="1:4" x14ac:dyDescent="0.2">
      <c r="A1678" s="496"/>
      <c r="D1678" s="496"/>
    </row>
    <row r="1679" spans="1:4" x14ac:dyDescent="0.2">
      <c r="A1679" s="496"/>
      <c r="D1679" s="496"/>
    </row>
    <row r="1680" spans="1:4" x14ac:dyDescent="0.2">
      <c r="A1680" s="496"/>
      <c r="D1680" s="496"/>
    </row>
    <row r="1681" spans="1:4" x14ac:dyDescent="0.2">
      <c r="A1681" s="496"/>
      <c r="D1681" s="496"/>
    </row>
    <row r="1682" spans="1:4" x14ac:dyDescent="0.2">
      <c r="A1682" s="496"/>
      <c r="D1682" s="496"/>
    </row>
    <row r="1683" spans="1:4" x14ac:dyDescent="0.2">
      <c r="A1683" s="496"/>
      <c r="D1683" s="496"/>
    </row>
    <row r="1684" spans="1:4" x14ac:dyDescent="0.2">
      <c r="A1684" s="496"/>
      <c r="D1684" s="496"/>
    </row>
    <row r="1685" spans="1:4" x14ac:dyDescent="0.2">
      <c r="A1685" s="496"/>
      <c r="D1685" s="496"/>
    </row>
    <row r="1686" spans="1:4" x14ac:dyDescent="0.2">
      <c r="A1686" s="496"/>
      <c r="D1686" s="496"/>
    </row>
    <row r="1687" spans="1:4" x14ac:dyDescent="0.2">
      <c r="A1687" s="496"/>
      <c r="D1687" s="496"/>
    </row>
    <row r="1688" spans="1:4" x14ac:dyDescent="0.2">
      <c r="A1688" s="496"/>
      <c r="D1688" s="496"/>
    </row>
    <row r="1689" spans="1:4" x14ac:dyDescent="0.2">
      <c r="A1689" s="496"/>
      <c r="D1689" s="496"/>
    </row>
    <row r="1690" spans="1:4" x14ac:dyDescent="0.2">
      <c r="A1690" s="496"/>
      <c r="D1690" s="496"/>
    </row>
    <row r="1691" spans="1:4" x14ac:dyDescent="0.2">
      <c r="A1691" s="496"/>
      <c r="D1691" s="496"/>
    </row>
    <row r="1692" spans="1:4" x14ac:dyDescent="0.2">
      <c r="A1692" s="496"/>
      <c r="D1692" s="496"/>
    </row>
    <row r="1693" spans="1:4" x14ac:dyDescent="0.2">
      <c r="A1693" s="496"/>
      <c r="D1693" s="496"/>
    </row>
    <row r="1694" spans="1:4" x14ac:dyDescent="0.2">
      <c r="A1694" s="496"/>
      <c r="D1694" s="496"/>
    </row>
    <row r="1695" spans="1:4" x14ac:dyDescent="0.2">
      <c r="A1695" s="496"/>
      <c r="D1695" s="496"/>
    </row>
    <row r="1696" spans="1:4" x14ac:dyDescent="0.2">
      <c r="A1696" s="496"/>
      <c r="D1696" s="496"/>
    </row>
    <row r="1697" spans="1:4" x14ac:dyDescent="0.2">
      <c r="A1697" s="496"/>
      <c r="D1697" s="496"/>
    </row>
    <row r="1698" spans="1:4" x14ac:dyDescent="0.2">
      <c r="A1698" s="496"/>
      <c r="D1698" s="496"/>
    </row>
    <row r="1699" spans="1:4" x14ac:dyDescent="0.2">
      <c r="A1699" s="496"/>
      <c r="D1699" s="496"/>
    </row>
    <row r="1700" spans="1:4" x14ac:dyDescent="0.2">
      <c r="A1700" s="496"/>
      <c r="D1700" s="496"/>
    </row>
    <row r="1701" spans="1:4" x14ac:dyDescent="0.2">
      <c r="A1701" s="496"/>
      <c r="D1701" s="496"/>
    </row>
    <row r="1702" spans="1:4" x14ac:dyDescent="0.2">
      <c r="A1702" s="496"/>
      <c r="D1702" s="496"/>
    </row>
    <row r="1703" spans="1:4" x14ac:dyDescent="0.2">
      <c r="A1703" s="496"/>
      <c r="D1703" s="496"/>
    </row>
    <row r="1704" spans="1:4" x14ac:dyDescent="0.2">
      <c r="A1704" s="496"/>
      <c r="D1704" s="496"/>
    </row>
    <row r="1705" spans="1:4" x14ac:dyDescent="0.2">
      <c r="A1705" s="496"/>
      <c r="D1705" s="496"/>
    </row>
    <row r="1706" spans="1:4" x14ac:dyDescent="0.2">
      <c r="A1706" s="496"/>
      <c r="D1706" s="496"/>
    </row>
    <row r="1707" spans="1:4" x14ac:dyDescent="0.2">
      <c r="A1707" s="496"/>
      <c r="D1707" s="496"/>
    </row>
    <row r="1708" spans="1:4" x14ac:dyDescent="0.2">
      <c r="A1708" s="496"/>
      <c r="D1708" s="496"/>
    </row>
    <row r="1709" spans="1:4" x14ac:dyDescent="0.2">
      <c r="A1709" s="496"/>
      <c r="D1709" s="496"/>
    </row>
    <row r="1710" spans="1:4" x14ac:dyDescent="0.2">
      <c r="A1710" s="496"/>
      <c r="D1710" s="496"/>
    </row>
    <row r="1711" spans="1:4" x14ac:dyDescent="0.2">
      <c r="A1711" s="496"/>
      <c r="D1711" s="496"/>
    </row>
    <row r="1712" spans="1:4" x14ac:dyDescent="0.2">
      <c r="A1712" s="496"/>
      <c r="D1712" s="496"/>
    </row>
    <row r="1713" spans="1:4" x14ac:dyDescent="0.2">
      <c r="A1713" s="496"/>
      <c r="D1713" s="496"/>
    </row>
    <row r="1714" spans="1:4" x14ac:dyDescent="0.2">
      <c r="A1714" s="496"/>
      <c r="D1714" s="496"/>
    </row>
    <row r="1715" spans="1:4" x14ac:dyDescent="0.2">
      <c r="A1715" s="496"/>
      <c r="D1715" s="496"/>
    </row>
    <row r="1716" spans="1:4" x14ac:dyDescent="0.2">
      <c r="A1716" s="496"/>
      <c r="D1716" s="496"/>
    </row>
    <row r="1717" spans="1:4" x14ac:dyDescent="0.2">
      <c r="A1717" s="496"/>
      <c r="D1717" s="496"/>
    </row>
    <row r="1718" spans="1:4" x14ac:dyDescent="0.2">
      <c r="A1718" s="496"/>
      <c r="D1718" s="496"/>
    </row>
    <row r="1719" spans="1:4" x14ac:dyDescent="0.2">
      <c r="A1719" s="496"/>
      <c r="D1719" s="496"/>
    </row>
    <row r="1720" spans="1:4" x14ac:dyDescent="0.2">
      <c r="A1720" s="496"/>
      <c r="D1720" s="496"/>
    </row>
    <row r="1721" spans="1:4" x14ac:dyDescent="0.2">
      <c r="A1721" s="496"/>
      <c r="D1721" s="496"/>
    </row>
    <row r="1722" spans="1:4" x14ac:dyDescent="0.2">
      <c r="A1722" s="496"/>
      <c r="D1722" s="496"/>
    </row>
    <row r="1723" spans="1:4" x14ac:dyDescent="0.2">
      <c r="A1723" s="496"/>
      <c r="D1723" s="496"/>
    </row>
    <row r="1724" spans="1:4" x14ac:dyDescent="0.2">
      <c r="A1724" s="496"/>
      <c r="D1724" s="496"/>
    </row>
    <row r="1725" spans="1:4" x14ac:dyDescent="0.2">
      <c r="A1725" s="496"/>
      <c r="D1725" s="496"/>
    </row>
    <row r="1726" spans="1:4" x14ac:dyDescent="0.2">
      <c r="A1726" s="496"/>
      <c r="D1726" s="496"/>
    </row>
    <row r="1727" spans="1:4" x14ac:dyDescent="0.2">
      <c r="A1727" s="496"/>
      <c r="D1727" s="496"/>
    </row>
    <row r="1728" spans="1:4" x14ac:dyDescent="0.2">
      <c r="A1728" s="496"/>
      <c r="D1728" s="496"/>
    </row>
    <row r="1729" spans="1:4" x14ac:dyDescent="0.2">
      <c r="A1729" s="496"/>
      <c r="D1729" s="496"/>
    </row>
    <row r="1730" spans="1:4" x14ac:dyDescent="0.2">
      <c r="A1730" s="496"/>
      <c r="D1730" s="496"/>
    </row>
    <row r="1731" spans="1:4" x14ac:dyDescent="0.2">
      <c r="A1731" s="496"/>
      <c r="D1731" s="496"/>
    </row>
    <row r="1732" spans="1:4" x14ac:dyDescent="0.2">
      <c r="A1732" s="496"/>
      <c r="D1732" s="496"/>
    </row>
    <row r="1733" spans="1:4" x14ac:dyDescent="0.2">
      <c r="A1733" s="496"/>
      <c r="D1733" s="496"/>
    </row>
    <row r="1734" spans="1:4" x14ac:dyDescent="0.2">
      <c r="A1734" s="496"/>
      <c r="D1734" s="496"/>
    </row>
    <row r="1735" spans="1:4" x14ac:dyDescent="0.2">
      <c r="A1735" s="496"/>
      <c r="D1735" s="496"/>
    </row>
    <row r="1736" spans="1:4" x14ac:dyDescent="0.2">
      <c r="A1736" s="496"/>
      <c r="D1736" s="496"/>
    </row>
    <row r="1737" spans="1:4" x14ac:dyDescent="0.2">
      <c r="A1737" s="496"/>
      <c r="D1737" s="496"/>
    </row>
    <row r="1738" spans="1:4" x14ac:dyDescent="0.2">
      <c r="A1738" s="496"/>
      <c r="D1738" s="496"/>
    </row>
    <row r="1739" spans="1:4" x14ac:dyDescent="0.2">
      <c r="A1739" s="496"/>
      <c r="D1739" s="496"/>
    </row>
    <row r="1740" spans="1:4" x14ac:dyDescent="0.2">
      <c r="A1740" s="496"/>
      <c r="D1740" s="496"/>
    </row>
    <row r="1741" spans="1:4" x14ac:dyDescent="0.2">
      <c r="A1741" s="496"/>
      <c r="D1741" s="496"/>
    </row>
    <row r="1742" spans="1:4" x14ac:dyDescent="0.2">
      <c r="A1742" s="496"/>
      <c r="D1742" s="496"/>
    </row>
    <row r="1743" spans="1:4" x14ac:dyDescent="0.2">
      <c r="A1743" s="496"/>
      <c r="D1743" s="496"/>
    </row>
    <row r="1744" spans="1:4" x14ac:dyDescent="0.2">
      <c r="A1744" s="496"/>
      <c r="D1744" s="496"/>
    </row>
    <row r="1745" spans="1:4" x14ac:dyDescent="0.2">
      <c r="A1745" s="496"/>
      <c r="D1745" s="496"/>
    </row>
    <row r="1746" spans="1:4" x14ac:dyDescent="0.2">
      <c r="A1746" s="496"/>
      <c r="D1746" s="496"/>
    </row>
    <row r="1747" spans="1:4" x14ac:dyDescent="0.2">
      <c r="A1747" s="496"/>
      <c r="D1747" s="496"/>
    </row>
    <row r="1748" spans="1:4" x14ac:dyDescent="0.2">
      <c r="A1748" s="496"/>
      <c r="D1748" s="496"/>
    </row>
    <row r="1749" spans="1:4" x14ac:dyDescent="0.2">
      <c r="A1749" s="496"/>
      <c r="D1749" s="496"/>
    </row>
    <row r="1750" spans="1:4" x14ac:dyDescent="0.2">
      <c r="A1750" s="496"/>
      <c r="D1750" s="496"/>
    </row>
    <row r="1751" spans="1:4" x14ac:dyDescent="0.2">
      <c r="A1751" s="496"/>
      <c r="D1751" s="496"/>
    </row>
    <row r="1752" spans="1:4" x14ac:dyDescent="0.2">
      <c r="A1752" s="496"/>
      <c r="D1752" s="496"/>
    </row>
    <row r="1753" spans="1:4" x14ac:dyDescent="0.2">
      <c r="A1753" s="496"/>
      <c r="D1753" s="496"/>
    </row>
    <row r="1754" spans="1:4" x14ac:dyDescent="0.2">
      <c r="A1754" s="496"/>
      <c r="D1754" s="496"/>
    </row>
    <row r="1755" spans="1:4" x14ac:dyDescent="0.2">
      <c r="A1755" s="496"/>
      <c r="D1755" s="496"/>
    </row>
    <row r="1756" spans="1:4" x14ac:dyDescent="0.2">
      <c r="A1756" s="496"/>
      <c r="D1756" s="496"/>
    </row>
    <row r="1757" spans="1:4" x14ac:dyDescent="0.2">
      <c r="A1757" s="496"/>
      <c r="D1757" s="496"/>
    </row>
    <row r="1758" spans="1:4" x14ac:dyDescent="0.2">
      <c r="A1758" s="496"/>
      <c r="D1758" s="496"/>
    </row>
    <row r="1759" spans="1:4" x14ac:dyDescent="0.2">
      <c r="A1759" s="496"/>
      <c r="D1759" s="496"/>
    </row>
    <row r="1760" spans="1:4" x14ac:dyDescent="0.2">
      <c r="A1760" s="496"/>
      <c r="D1760" s="496"/>
    </row>
    <row r="1761" spans="1:4" x14ac:dyDescent="0.2">
      <c r="A1761" s="496"/>
      <c r="D1761" s="496"/>
    </row>
    <row r="1762" spans="1:4" x14ac:dyDescent="0.2">
      <c r="A1762" s="496"/>
      <c r="D1762" s="496"/>
    </row>
    <row r="1763" spans="1:4" x14ac:dyDescent="0.2">
      <c r="A1763" s="496"/>
      <c r="D1763" s="496"/>
    </row>
    <row r="1764" spans="1:4" x14ac:dyDescent="0.2">
      <c r="A1764" s="496"/>
      <c r="D1764" s="496"/>
    </row>
    <row r="1765" spans="1:4" x14ac:dyDescent="0.2">
      <c r="A1765" s="496"/>
      <c r="D1765" s="496"/>
    </row>
    <row r="1766" spans="1:4" x14ac:dyDescent="0.2">
      <c r="A1766" s="496"/>
      <c r="D1766" s="496"/>
    </row>
    <row r="1767" spans="1:4" x14ac:dyDescent="0.2">
      <c r="A1767" s="496"/>
      <c r="D1767" s="496"/>
    </row>
    <row r="1768" spans="1:4" x14ac:dyDescent="0.2">
      <c r="A1768" s="496"/>
      <c r="D1768" s="496"/>
    </row>
    <row r="1769" spans="1:4" x14ac:dyDescent="0.2">
      <c r="A1769" s="496"/>
      <c r="D1769" s="496"/>
    </row>
    <row r="1770" spans="1:4" x14ac:dyDescent="0.2">
      <c r="A1770" s="496"/>
      <c r="D1770" s="496"/>
    </row>
    <row r="1771" spans="1:4" x14ac:dyDescent="0.2">
      <c r="A1771" s="496"/>
      <c r="D1771" s="496"/>
    </row>
    <row r="1772" spans="1:4" x14ac:dyDescent="0.2">
      <c r="A1772" s="496"/>
      <c r="D1772" s="496"/>
    </row>
    <row r="1773" spans="1:4" x14ac:dyDescent="0.2">
      <c r="A1773" s="496"/>
      <c r="D1773" s="496"/>
    </row>
    <row r="1774" spans="1:4" x14ac:dyDescent="0.2">
      <c r="A1774" s="496"/>
      <c r="D1774" s="496"/>
    </row>
    <row r="1775" spans="1:4" x14ac:dyDescent="0.2">
      <c r="A1775" s="496"/>
      <c r="D1775" s="496"/>
    </row>
    <row r="1776" spans="1:4" x14ac:dyDescent="0.2">
      <c r="A1776" s="496"/>
      <c r="D1776" s="496"/>
    </row>
    <row r="1777" spans="1:4" x14ac:dyDescent="0.2">
      <c r="A1777" s="496"/>
      <c r="D1777" s="496"/>
    </row>
    <row r="1778" spans="1:4" x14ac:dyDescent="0.2">
      <c r="A1778" s="496"/>
      <c r="D1778" s="496"/>
    </row>
    <row r="1779" spans="1:4" x14ac:dyDescent="0.2">
      <c r="A1779" s="496"/>
      <c r="D1779" s="496"/>
    </row>
    <row r="1780" spans="1:4" x14ac:dyDescent="0.2">
      <c r="A1780" s="496"/>
      <c r="D1780" s="496"/>
    </row>
    <row r="1781" spans="1:4" x14ac:dyDescent="0.2">
      <c r="A1781" s="496"/>
      <c r="D1781" s="496"/>
    </row>
    <row r="1782" spans="1:4" x14ac:dyDescent="0.2">
      <c r="A1782" s="496"/>
      <c r="D1782" s="496"/>
    </row>
    <row r="1783" spans="1:4" x14ac:dyDescent="0.2">
      <c r="A1783" s="496"/>
      <c r="D1783" s="496"/>
    </row>
    <row r="1784" spans="1:4" x14ac:dyDescent="0.2">
      <c r="A1784" s="496"/>
      <c r="D1784" s="496"/>
    </row>
    <row r="1785" spans="1:4" x14ac:dyDescent="0.2">
      <c r="A1785" s="496"/>
      <c r="D1785" s="496"/>
    </row>
    <row r="1786" spans="1:4" x14ac:dyDescent="0.2">
      <c r="A1786" s="496"/>
      <c r="D1786" s="496"/>
    </row>
    <row r="1787" spans="1:4" x14ac:dyDescent="0.2">
      <c r="A1787" s="496"/>
      <c r="D1787" s="496"/>
    </row>
    <row r="1788" spans="1:4" x14ac:dyDescent="0.2">
      <c r="A1788" s="496"/>
      <c r="D1788" s="496"/>
    </row>
    <row r="1789" spans="1:4" x14ac:dyDescent="0.2">
      <c r="A1789" s="496"/>
      <c r="D1789" s="496"/>
    </row>
    <row r="1790" spans="1:4" x14ac:dyDescent="0.2">
      <c r="A1790" s="496"/>
      <c r="D1790" s="496"/>
    </row>
    <row r="1791" spans="1:4" x14ac:dyDescent="0.2">
      <c r="A1791" s="496"/>
      <c r="D1791" s="496"/>
    </row>
    <row r="1792" spans="1:4" x14ac:dyDescent="0.2">
      <c r="A1792" s="496"/>
      <c r="D1792" s="496"/>
    </row>
    <row r="1793" spans="1:4" x14ac:dyDescent="0.2">
      <c r="A1793" s="496"/>
      <c r="D1793" s="496"/>
    </row>
    <row r="1794" spans="1:4" x14ac:dyDescent="0.2">
      <c r="A1794" s="496"/>
      <c r="D1794" s="496"/>
    </row>
    <row r="1795" spans="1:4" x14ac:dyDescent="0.2">
      <c r="A1795" s="496"/>
      <c r="D1795" s="496"/>
    </row>
    <row r="1796" spans="1:4" x14ac:dyDescent="0.2">
      <c r="A1796" s="496"/>
      <c r="D1796" s="496"/>
    </row>
    <row r="1797" spans="1:4" x14ac:dyDescent="0.2">
      <c r="A1797" s="496"/>
      <c r="D1797" s="496"/>
    </row>
    <row r="1798" spans="1:4" x14ac:dyDescent="0.2">
      <c r="A1798" s="496"/>
      <c r="D1798" s="496"/>
    </row>
    <row r="1799" spans="1:4" x14ac:dyDescent="0.2">
      <c r="A1799" s="496"/>
      <c r="D1799" s="496"/>
    </row>
    <row r="1800" spans="1:4" x14ac:dyDescent="0.2">
      <c r="A1800" s="496"/>
      <c r="D1800" s="496"/>
    </row>
    <row r="1801" spans="1:4" x14ac:dyDescent="0.2">
      <c r="A1801" s="496"/>
      <c r="D1801" s="496"/>
    </row>
    <row r="1802" spans="1:4" x14ac:dyDescent="0.2">
      <c r="A1802" s="496"/>
      <c r="D1802" s="496"/>
    </row>
    <row r="1803" spans="1:4" x14ac:dyDescent="0.2">
      <c r="A1803" s="496"/>
      <c r="D1803" s="496"/>
    </row>
    <row r="1804" spans="1:4" x14ac:dyDescent="0.2">
      <c r="A1804" s="496"/>
      <c r="D1804" s="496"/>
    </row>
    <row r="1805" spans="1:4" x14ac:dyDescent="0.2">
      <c r="A1805" s="496"/>
      <c r="D1805" s="496"/>
    </row>
    <row r="1806" spans="1:4" x14ac:dyDescent="0.2">
      <c r="A1806" s="496"/>
      <c r="D1806" s="496"/>
    </row>
    <row r="1807" spans="1:4" x14ac:dyDescent="0.2">
      <c r="A1807" s="496"/>
      <c r="D1807" s="496"/>
    </row>
    <row r="1808" spans="1:4" x14ac:dyDescent="0.2">
      <c r="A1808" s="496"/>
      <c r="D1808" s="496"/>
    </row>
    <row r="1809" spans="1:4" x14ac:dyDescent="0.2">
      <c r="A1809" s="496"/>
      <c r="D1809" s="496"/>
    </row>
    <row r="1810" spans="1:4" x14ac:dyDescent="0.2">
      <c r="A1810" s="496"/>
      <c r="D1810" s="496"/>
    </row>
    <row r="1811" spans="1:4" x14ac:dyDescent="0.2">
      <c r="A1811" s="496"/>
      <c r="D1811" s="496"/>
    </row>
    <row r="1812" spans="1:4" x14ac:dyDescent="0.2">
      <c r="A1812" s="496"/>
      <c r="D1812" s="496"/>
    </row>
    <row r="1813" spans="1:4" x14ac:dyDescent="0.2">
      <c r="A1813" s="496"/>
      <c r="D1813" s="496"/>
    </row>
    <row r="1814" spans="1:4" x14ac:dyDescent="0.2">
      <c r="A1814" s="496"/>
      <c r="D1814" s="496"/>
    </row>
    <row r="1815" spans="1:4" x14ac:dyDescent="0.2">
      <c r="A1815" s="496"/>
      <c r="D1815" s="496"/>
    </row>
    <row r="1816" spans="1:4" x14ac:dyDescent="0.2">
      <c r="A1816" s="496"/>
      <c r="D1816" s="496"/>
    </row>
    <row r="1817" spans="1:4" x14ac:dyDescent="0.2">
      <c r="A1817" s="496"/>
      <c r="D1817" s="496"/>
    </row>
    <row r="1818" spans="1:4" x14ac:dyDescent="0.2">
      <c r="A1818" s="496"/>
      <c r="D1818" s="496"/>
    </row>
    <row r="1819" spans="1:4" x14ac:dyDescent="0.2">
      <c r="A1819" s="496"/>
      <c r="D1819" s="496"/>
    </row>
    <row r="1820" spans="1:4" x14ac:dyDescent="0.2">
      <c r="A1820" s="496"/>
      <c r="D1820" s="496"/>
    </row>
    <row r="1821" spans="1:4" x14ac:dyDescent="0.2">
      <c r="A1821" s="496"/>
      <c r="D1821" s="496"/>
    </row>
    <row r="1822" spans="1:4" x14ac:dyDescent="0.2">
      <c r="A1822" s="496"/>
      <c r="D1822" s="496"/>
    </row>
    <row r="1823" spans="1:4" x14ac:dyDescent="0.2">
      <c r="A1823" s="496"/>
      <c r="D1823" s="496"/>
    </row>
    <row r="1824" spans="1:4" x14ac:dyDescent="0.2">
      <c r="A1824" s="496"/>
      <c r="D1824" s="496"/>
    </row>
    <row r="1825" spans="1:4" x14ac:dyDescent="0.2">
      <c r="A1825" s="496"/>
      <c r="D1825" s="496"/>
    </row>
    <row r="1826" spans="1:4" x14ac:dyDescent="0.2">
      <c r="A1826" s="496"/>
      <c r="D1826" s="496"/>
    </row>
    <row r="1827" spans="1:4" x14ac:dyDescent="0.2">
      <c r="A1827" s="496"/>
      <c r="D1827" s="496"/>
    </row>
    <row r="1828" spans="1:4" x14ac:dyDescent="0.2">
      <c r="A1828" s="496"/>
      <c r="D1828" s="496"/>
    </row>
    <row r="1829" spans="1:4" x14ac:dyDescent="0.2">
      <c r="A1829" s="496"/>
      <c r="D1829" s="496"/>
    </row>
    <row r="1830" spans="1:4" x14ac:dyDescent="0.2">
      <c r="A1830" s="496"/>
      <c r="D1830" s="496"/>
    </row>
    <row r="1831" spans="1:4" x14ac:dyDescent="0.2">
      <c r="A1831" s="496"/>
      <c r="D1831" s="496"/>
    </row>
    <row r="1832" spans="1:4" x14ac:dyDescent="0.2">
      <c r="A1832" s="496"/>
      <c r="D1832" s="496"/>
    </row>
    <row r="1833" spans="1:4" x14ac:dyDescent="0.2">
      <c r="A1833" s="496"/>
      <c r="D1833" s="496"/>
    </row>
    <row r="1834" spans="1:4" x14ac:dyDescent="0.2">
      <c r="A1834" s="496"/>
      <c r="D1834" s="496"/>
    </row>
    <row r="1835" spans="1:4" x14ac:dyDescent="0.2">
      <c r="A1835" s="496"/>
      <c r="D1835" s="496"/>
    </row>
    <row r="1836" spans="1:4" x14ac:dyDescent="0.2">
      <c r="A1836" s="496"/>
      <c r="D1836" s="496"/>
    </row>
    <row r="1837" spans="1:4" x14ac:dyDescent="0.2">
      <c r="A1837" s="496"/>
      <c r="D1837" s="496"/>
    </row>
    <row r="1838" spans="1:4" x14ac:dyDescent="0.2">
      <c r="A1838" s="496"/>
      <c r="D1838" s="496"/>
    </row>
    <row r="1839" spans="1:4" x14ac:dyDescent="0.2">
      <c r="A1839" s="496"/>
      <c r="D1839" s="496"/>
    </row>
    <row r="1840" spans="1:4" x14ac:dyDescent="0.2">
      <c r="A1840" s="496"/>
      <c r="D1840" s="496"/>
    </row>
    <row r="1841" spans="1:4" x14ac:dyDescent="0.2">
      <c r="A1841" s="496"/>
      <c r="D1841" s="496"/>
    </row>
    <row r="1842" spans="1:4" x14ac:dyDescent="0.2">
      <c r="A1842" s="496"/>
      <c r="D1842" s="496"/>
    </row>
    <row r="1843" spans="1:4" x14ac:dyDescent="0.2">
      <c r="A1843" s="496"/>
      <c r="D1843" s="496"/>
    </row>
    <row r="1844" spans="1:4" x14ac:dyDescent="0.2">
      <c r="A1844" s="496"/>
      <c r="D1844" s="496"/>
    </row>
    <row r="1845" spans="1:4" x14ac:dyDescent="0.2">
      <c r="A1845" s="496"/>
      <c r="D1845" s="496"/>
    </row>
    <row r="1846" spans="1:4" x14ac:dyDescent="0.2">
      <c r="A1846" s="496"/>
      <c r="D1846" s="496"/>
    </row>
    <row r="1847" spans="1:4" x14ac:dyDescent="0.2">
      <c r="A1847" s="496"/>
      <c r="D1847" s="496"/>
    </row>
    <row r="1848" spans="1:4" x14ac:dyDescent="0.2">
      <c r="A1848" s="496"/>
      <c r="D1848" s="496"/>
    </row>
    <row r="1849" spans="1:4" x14ac:dyDescent="0.2">
      <c r="A1849" s="496"/>
      <c r="D1849" s="496"/>
    </row>
    <row r="1850" spans="1:4" x14ac:dyDescent="0.2">
      <c r="A1850" s="496"/>
      <c r="D1850" s="496"/>
    </row>
    <row r="1851" spans="1:4" x14ac:dyDescent="0.2">
      <c r="A1851" s="496"/>
      <c r="D1851" s="496"/>
    </row>
    <row r="1852" spans="1:4" x14ac:dyDescent="0.2">
      <c r="A1852" s="496"/>
      <c r="D1852" s="496"/>
    </row>
    <row r="1853" spans="1:4" x14ac:dyDescent="0.2">
      <c r="A1853" s="496"/>
      <c r="D1853" s="496"/>
    </row>
    <row r="1854" spans="1:4" x14ac:dyDescent="0.2">
      <c r="A1854" s="496"/>
      <c r="D1854" s="496"/>
    </row>
    <row r="1855" spans="1:4" x14ac:dyDescent="0.2">
      <c r="A1855" s="496"/>
      <c r="D1855" s="496"/>
    </row>
    <row r="1856" spans="1:4" x14ac:dyDescent="0.2">
      <c r="A1856" s="496"/>
      <c r="D1856" s="496"/>
    </row>
    <row r="1857" spans="1:4" x14ac:dyDescent="0.2">
      <c r="A1857" s="496"/>
      <c r="D1857" s="496"/>
    </row>
    <row r="1858" spans="1:4" x14ac:dyDescent="0.2">
      <c r="A1858" s="496"/>
      <c r="D1858" s="496"/>
    </row>
    <row r="1859" spans="1:4" x14ac:dyDescent="0.2">
      <c r="A1859" s="496"/>
      <c r="D1859" s="496"/>
    </row>
    <row r="1860" spans="1:4" x14ac:dyDescent="0.2">
      <c r="A1860" s="496"/>
      <c r="D1860" s="496"/>
    </row>
    <row r="1861" spans="1:4" x14ac:dyDescent="0.2">
      <c r="A1861" s="496"/>
      <c r="D1861" s="496"/>
    </row>
    <row r="1862" spans="1:4" x14ac:dyDescent="0.2">
      <c r="A1862" s="496"/>
      <c r="D1862" s="496"/>
    </row>
    <row r="1863" spans="1:4" x14ac:dyDescent="0.2">
      <c r="A1863" s="496"/>
      <c r="D1863" s="496"/>
    </row>
    <row r="1864" spans="1:4" x14ac:dyDescent="0.2">
      <c r="A1864" s="496"/>
      <c r="D1864" s="496"/>
    </row>
    <row r="1865" spans="1:4" x14ac:dyDescent="0.2">
      <c r="A1865" s="496"/>
      <c r="D1865" s="496"/>
    </row>
    <row r="1866" spans="1:4" x14ac:dyDescent="0.2">
      <c r="A1866" s="496"/>
      <c r="D1866" s="496"/>
    </row>
    <row r="1867" spans="1:4" x14ac:dyDescent="0.2">
      <c r="A1867" s="496"/>
      <c r="D1867" s="496"/>
    </row>
    <row r="1868" spans="1:4" x14ac:dyDescent="0.2">
      <c r="A1868" s="496"/>
      <c r="D1868" s="496"/>
    </row>
    <row r="1869" spans="1:4" x14ac:dyDescent="0.2">
      <c r="A1869" s="496"/>
      <c r="D1869" s="496"/>
    </row>
    <row r="1870" spans="1:4" x14ac:dyDescent="0.2">
      <c r="A1870" s="496"/>
      <c r="D1870" s="496"/>
    </row>
    <row r="1871" spans="1:4" x14ac:dyDescent="0.2">
      <c r="A1871" s="496"/>
      <c r="D1871" s="496"/>
    </row>
    <row r="1872" spans="1:4" x14ac:dyDescent="0.2">
      <c r="A1872" s="496"/>
      <c r="D1872" s="496"/>
    </row>
    <row r="1873" spans="1:4" x14ac:dyDescent="0.2">
      <c r="A1873" s="496"/>
      <c r="D1873" s="496"/>
    </row>
    <row r="1874" spans="1:4" x14ac:dyDescent="0.2">
      <c r="A1874" s="496"/>
      <c r="D1874" s="496"/>
    </row>
    <row r="1875" spans="1:4" x14ac:dyDescent="0.2">
      <c r="A1875" s="496"/>
      <c r="D1875" s="496"/>
    </row>
    <row r="1876" spans="1:4" x14ac:dyDescent="0.2">
      <c r="A1876" s="496"/>
      <c r="D1876" s="496"/>
    </row>
    <row r="1877" spans="1:4" x14ac:dyDescent="0.2">
      <c r="A1877" s="496"/>
      <c r="D1877" s="496"/>
    </row>
    <row r="1878" spans="1:4" x14ac:dyDescent="0.2">
      <c r="A1878" s="496"/>
      <c r="D1878" s="496"/>
    </row>
    <row r="1879" spans="1:4" x14ac:dyDescent="0.2">
      <c r="A1879" s="496"/>
      <c r="D1879" s="496"/>
    </row>
    <row r="1880" spans="1:4" x14ac:dyDescent="0.2">
      <c r="A1880" s="496"/>
      <c r="D1880" s="496"/>
    </row>
    <row r="1881" spans="1:4" x14ac:dyDescent="0.2">
      <c r="A1881" s="496"/>
      <c r="D1881" s="496"/>
    </row>
    <row r="1882" spans="1:4" x14ac:dyDescent="0.2">
      <c r="A1882" s="496"/>
      <c r="D1882" s="496"/>
    </row>
    <row r="1883" spans="1:4" x14ac:dyDescent="0.2">
      <c r="A1883" s="496"/>
      <c r="D1883" s="496"/>
    </row>
    <row r="1884" spans="1:4" x14ac:dyDescent="0.2">
      <c r="A1884" s="496"/>
      <c r="D1884" s="496"/>
    </row>
    <row r="1885" spans="1:4" x14ac:dyDescent="0.2">
      <c r="A1885" s="496"/>
      <c r="D1885" s="496"/>
    </row>
    <row r="1886" spans="1:4" x14ac:dyDescent="0.2">
      <c r="A1886" s="496"/>
      <c r="D1886" s="496"/>
    </row>
    <row r="1887" spans="1:4" x14ac:dyDescent="0.2">
      <c r="A1887" s="496"/>
      <c r="D1887" s="496"/>
    </row>
    <row r="1888" spans="1:4" x14ac:dyDescent="0.2">
      <c r="A1888" s="496"/>
      <c r="D1888" s="496"/>
    </row>
    <row r="1889" spans="1:4" x14ac:dyDescent="0.2">
      <c r="A1889" s="496"/>
      <c r="D1889" s="496"/>
    </row>
    <row r="1890" spans="1:4" x14ac:dyDescent="0.2">
      <c r="A1890" s="496"/>
      <c r="D1890" s="496"/>
    </row>
    <row r="1891" spans="1:4" x14ac:dyDescent="0.2">
      <c r="A1891" s="496"/>
      <c r="D1891" s="496"/>
    </row>
    <row r="1892" spans="1:4" x14ac:dyDescent="0.2">
      <c r="A1892" s="496"/>
      <c r="D1892" s="496"/>
    </row>
    <row r="1893" spans="1:4" x14ac:dyDescent="0.2">
      <c r="A1893" s="496"/>
      <c r="D1893" s="496"/>
    </row>
    <row r="1894" spans="1:4" x14ac:dyDescent="0.2">
      <c r="A1894" s="496"/>
      <c r="D1894" s="496"/>
    </row>
    <row r="1895" spans="1:4" x14ac:dyDescent="0.2">
      <c r="A1895" s="496"/>
      <c r="D1895" s="496"/>
    </row>
    <row r="1896" spans="1:4" x14ac:dyDescent="0.2">
      <c r="A1896" s="496"/>
      <c r="D1896" s="496"/>
    </row>
    <row r="1897" spans="1:4" x14ac:dyDescent="0.2">
      <c r="A1897" s="496"/>
      <c r="D1897" s="496"/>
    </row>
    <row r="1898" spans="1:4" x14ac:dyDescent="0.2">
      <c r="A1898" s="496"/>
      <c r="D1898" s="496"/>
    </row>
    <row r="1899" spans="1:4" x14ac:dyDescent="0.2">
      <c r="A1899" s="496"/>
      <c r="D1899" s="496"/>
    </row>
    <row r="1900" spans="1:4" x14ac:dyDescent="0.2">
      <c r="A1900" s="496"/>
      <c r="D1900" s="496"/>
    </row>
    <row r="1901" spans="1:4" x14ac:dyDescent="0.2">
      <c r="A1901" s="496"/>
      <c r="D1901" s="496"/>
    </row>
    <row r="1902" spans="1:4" x14ac:dyDescent="0.2">
      <c r="A1902" s="496"/>
      <c r="D1902" s="496"/>
    </row>
    <row r="1903" spans="1:4" x14ac:dyDescent="0.2">
      <c r="A1903" s="496"/>
      <c r="D1903" s="496"/>
    </row>
    <row r="1904" spans="1:4" x14ac:dyDescent="0.2">
      <c r="A1904" s="496"/>
      <c r="D1904" s="496"/>
    </row>
    <row r="1905" spans="1:4" x14ac:dyDescent="0.2">
      <c r="A1905" s="496"/>
      <c r="D1905" s="496"/>
    </row>
    <row r="1906" spans="1:4" x14ac:dyDescent="0.2">
      <c r="A1906" s="496"/>
      <c r="D1906" s="496"/>
    </row>
    <row r="1907" spans="1:4" x14ac:dyDescent="0.2">
      <c r="A1907" s="496"/>
      <c r="D1907" s="496"/>
    </row>
    <row r="1908" spans="1:4" x14ac:dyDescent="0.2">
      <c r="A1908" s="496"/>
      <c r="D1908" s="496"/>
    </row>
    <row r="1909" spans="1:4" x14ac:dyDescent="0.2">
      <c r="A1909" s="496"/>
      <c r="D1909" s="496"/>
    </row>
    <row r="1910" spans="1:4" x14ac:dyDescent="0.2">
      <c r="A1910" s="496"/>
      <c r="D1910" s="496"/>
    </row>
    <row r="1911" spans="1:4" x14ac:dyDescent="0.2">
      <c r="A1911" s="496"/>
      <c r="D1911" s="496"/>
    </row>
    <row r="1912" spans="1:4" x14ac:dyDescent="0.2">
      <c r="A1912" s="496"/>
      <c r="D1912" s="496"/>
    </row>
    <row r="1913" spans="1:4" x14ac:dyDescent="0.2">
      <c r="A1913" s="496"/>
      <c r="D1913" s="496"/>
    </row>
    <row r="1914" spans="1:4" x14ac:dyDescent="0.2">
      <c r="A1914" s="496"/>
      <c r="D1914" s="496"/>
    </row>
    <row r="1915" spans="1:4" x14ac:dyDescent="0.2">
      <c r="A1915" s="496"/>
      <c r="D1915" s="496"/>
    </row>
    <row r="1916" spans="1:4" x14ac:dyDescent="0.2">
      <c r="A1916" s="496"/>
      <c r="D1916" s="496"/>
    </row>
    <row r="1917" spans="1:4" x14ac:dyDescent="0.2">
      <c r="A1917" s="496"/>
      <c r="D1917" s="496"/>
    </row>
    <row r="1918" spans="1:4" x14ac:dyDescent="0.2">
      <c r="A1918" s="496"/>
      <c r="D1918" s="496"/>
    </row>
    <row r="1919" spans="1:4" x14ac:dyDescent="0.2">
      <c r="A1919" s="496"/>
      <c r="D1919" s="496"/>
    </row>
    <row r="1920" spans="1:4" x14ac:dyDescent="0.2">
      <c r="A1920" s="496"/>
      <c r="D1920" s="496"/>
    </row>
    <row r="1921" spans="1:4" x14ac:dyDescent="0.2">
      <c r="A1921" s="496"/>
      <c r="D1921" s="496"/>
    </row>
    <row r="1922" spans="1:4" x14ac:dyDescent="0.2">
      <c r="A1922" s="496"/>
      <c r="D1922" s="496"/>
    </row>
    <row r="1923" spans="1:4" x14ac:dyDescent="0.2">
      <c r="A1923" s="496"/>
      <c r="D1923" s="496"/>
    </row>
    <row r="1924" spans="1:4" x14ac:dyDescent="0.2">
      <c r="A1924" s="496"/>
      <c r="D1924" s="496"/>
    </row>
    <row r="1925" spans="1:4" x14ac:dyDescent="0.2">
      <c r="A1925" s="496"/>
      <c r="D1925" s="496"/>
    </row>
    <row r="1926" spans="1:4" x14ac:dyDescent="0.2">
      <c r="A1926" s="496"/>
      <c r="D1926" s="496"/>
    </row>
    <row r="1927" spans="1:4" x14ac:dyDescent="0.2">
      <c r="A1927" s="496"/>
      <c r="D1927" s="496"/>
    </row>
    <row r="1928" spans="1:4" x14ac:dyDescent="0.2">
      <c r="A1928" s="496"/>
      <c r="D1928" s="496"/>
    </row>
    <row r="1929" spans="1:4" x14ac:dyDescent="0.2">
      <c r="A1929" s="496"/>
      <c r="D1929" s="496"/>
    </row>
    <row r="1930" spans="1:4" x14ac:dyDescent="0.2">
      <c r="A1930" s="496"/>
      <c r="D1930" s="496"/>
    </row>
    <row r="1931" spans="1:4" x14ac:dyDescent="0.2">
      <c r="A1931" s="496"/>
      <c r="D1931" s="496"/>
    </row>
    <row r="1932" spans="1:4" x14ac:dyDescent="0.2">
      <c r="A1932" s="496"/>
      <c r="D1932" s="496"/>
    </row>
    <row r="1933" spans="1:4" x14ac:dyDescent="0.2">
      <c r="A1933" s="496"/>
      <c r="D1933" s="496"/>
    </row>
    <row r="1934" spans="1:4" x14ac:dyDescent="0.2">
      <c r="A1934" s="496"/>
      <c r="D1934" s="496"/>
    </row>
    <row r="1935" spans="1:4" x14ac:dyDescent="0.2">
      <c r="A1935" s="496"/>
      <c r="D1935" s="496"/>
    </row>
    <row r="1936" spans="1:4" x14ac:dyDescent="0.2">
      <c r="A1936" s="496"/>
      <c r="D1936" s="496"/>
    </row>
    <row r="1937" spans="1:4" x14ac:dyDescent="0.2">
      <c r="A1937" s="496"/>
      <c r="D1937" s="496"/>
    </row>
    <row r="1938" spans="1:4" x14ac:dyDescent="0.2">
      <c r="A1938" s="496"/>
      <c r="D1938" s="496"/>
    </row>
    <row r="1939" spans="1:4" x14ac:dyDescent="0.2">
      <c r="A1939" s="496"/>
      <c r="D1939" s="496"/>
    </row>
    <row r="1940" spans="1:4" x14ac:dyDescent="0.2">
      <c r="A1940" s="496"/>
      <c r="D1940" s="496"/>
    </row>
    <row r="1941" spans="1:4" x14ac:dyDescent="0.2">
      <c r="A1941" s="496"/>
      <c r="D1941" s="496"/>
    </row>
    <row r="1942" spans="1:4" x14ac:dyDescent="0.2">
      <c r="A1942" s="496"/>
      <c r="D1942" s="496"/>
    </row>
    <row r="1943" spans="1:4" x14ac:dyDescent="0.2">
      <c r="A1943" s="496"/>
      <c r="D1943" s="496"/>
    </row>
    <row r="1944" spans="1:4" x14ac:dyDescent="0.2">
      <c r="A1944" s="496"/>
      <c r="D1944" s="496"/>
    </row>
    <row r="1945" spans="1:4" x14ac:dyDescent="0.2">
      <c r="A1945" s="496"/>
      <c r="D1945" s="496"/>
    </row>
    <row r="1946" spans="1:4" x14ac:dyDescent="0.2">
      <c r="A1946" s="496"/>
      <c r="D1946" s="496"/>
    </row>
    <row r="1947" spans="1:4" x14ac:dyDescent="0.2">
      <c r="A1947" s="496"/>
      <c r="D1947" s="496"/>
    </row>
    <row r="1948" spans="1:4" x14ac:dyDescent="0.2">
      <c r="A1948" s="496"/>
      <c r="D1948" s="496"/>
    </row>
    <row r="1949" spans="1:4" x14ac:dyDescent="0.2">
      <c r="A1949" s="496"/>
      <c r="D1949" s="496"/>
    </row>
    <row r="1950" spans="1:4" x14ac:dyDescent="0.2">
      <c r="A1950" s="496"/>
      <c r="D1950" s="496"/>
    </row>
    <row r="1951" spans="1:4" x14ac:dyDescent="0.2">
      <c r="A1951" s="496"/>
      <c r="D1951" s="496"/>
    </row>
    <row r="1952" spans="1:4" x14ac:dyDescent="0.2">
      <c r="A1952" s="496"/>
      <c r="D1952" s="496"/>
    </row>
    <row r="1953" spans="1:4" x14ac:dyDescent="0.2">
      <c r="A1953" s="496"/>
      <c r="D1953" s="496"/>
    </row>
    <row r="1954" spans="1:4" x14ac:dyDescent="0.2">
      <c r="A1954" s="496"/>
      <c r="D1954" s="496"/>
    </row>
    <row r="1955" spans="1:4" x14ac:dyDescent="0.2">
      <c r="A1955" s="496"/>
      <c r="D1955" s="496"/>
    </row>
    <row r="1956" spans="1:4" x14ac:dyDescent="0.2">
      <c r="A1956" s="496"/>
      <c r="D1956" s="496"/>
    </row>
    <row r="1957" spans="1:4" x14ac:dyDescent="0.2">
      <c r="A1957" s="496"/>
      <c r="D1957" s="496"/>
    </row>
    <row r="1958" spans="1:4" x14ac:dyDescent="0.2">
      <c r="A1958" s="496"/>
      <c r="D1958" s="496"/>
    </row>
    <row r="1959" spans="1:4" x14ac:dyDescent="0.2">
      <c r="A1959" s="496"/>
      <c r="D1959" s="496"/>
    </row>
    <row r="1960" spans="1:4" x14ac:dyDescent="0.2">
      <c r="A1960" s="496"/>
      <c r="D1960" s="496"/>
    </row>
    <row r="1961" spans="1:4" x14ac:dyDescent="0.2">
      <c r="A1961" s="496"/>
      <c r="D1961" s="496"/>
    </row>
    <row r="1962" spans="1:4" x14ac:dyDescent="0.2">
      <c r="A1962" s="496"/>
      <c r="D1962" s="496"/>
    </row>
    <row r="1963" spans="1:4" x14ac:dyDescent="0.2">
      <c r="A1963" s="496"/>
      <c r="D1963" s="496"/>
    </row>
    <row r="1964" spans="1:4" x14ac:dyDescent="0.2">
      <c r="A1964" s="496"/>
      <c r="D1964" s="496"/>
    </row>
    <row r="1965" spans="1:4" x14ac:dyDescent="0.2">
      <c r="A1965" s="496"/>
      <c r="D1965" s="496"/>
    </row>
    <row r="1966" spans="1:4" x14ac:dyDescent="0.2">
      <c r="A1966" s="496"/>
      <c r="D1966" s="496"/>
    </row>
    <row r="1967" spans="1:4" x14ac:dyDescent="0.2">
      <c r="A1967" s="496"/>
      <c r="D1967" s="496"/>
    </row>
    <row r="1968" spans="1:4" x14ac:dyDescent="0.2">
      <c r="A1968" s="496"/>
      <c r="D1968" s="496"/>
    </row>
    <row r="1969" spans="1:4" x14ac:dyDescent="0.2">
      <c r="A1969" s="496"/>
      <c r="D1969" s="496"/>
    </row>
    <row r="1970" spans="1:4" x14ac:dyDescent="0.2">
      <c r="A1970" s="496"/>
      <c r="D1970" s="496"/>
    </row>
    <row r="1971" spans="1:4" x14ac:dyDescent="0.2">
      <c r="A1971" s="496"/>
      <c r="D1971" s="496"/>
    </row>
    <row r="1972" spans="1:4" x14ac:dyDescent="0.2">
      <c r="A1972" s="496"/>
      <c r="D1972" s="496"/>
    </row>
    <row r="1973" spans="1:4" x14ac:dyDescent="0.2">
      <c r="A1973" s="496"/>
      <c r="D1973" s="496"/>
    </row>
    <row r="1974" spans="1:4" x14ac:dyDescent="0.2">
      <c r="A1974" s="496"/>
      <c r="D1974" s="496"/>
    </row>
    <row r="1975" spans="1:4" x14ac:dyDescent="0.2">
      <c r="A1975" s="496"/>
      <c r="D1975" s="496"/>
    </row>
    <row r="1976" spans="1:4" x14ac:dyDescent="0.2">
      <c r="A1976" s="496"/>
      <c r="D1976" s="496"/>
    </row>
    <row r="1977" spans="1:4" x14ac:dyDescent="0.2">
      <c r="A1977" s="496"/>
      <c r="D1977" s="496"/>
    </row>
    <row r="1978" spans="1:4" x14ac:dyDescent="0.2">
      <c r="A1978" s="496"/>
      <c r="D1978" s="496"/>
    </row>
    <row r="1979" spans="1:4" x14ac:dyDescent="0.2">
      <c r="A1979" s="496"/>
      <c r="D1979" s="496"/>
    </row>
    <row r="1980" spans="1:4" x14ac:dyDescent="0.2">
      <c r="A1980" s="496"/>
      <c r="D1980" s="496"/>
    </row>
    <row r="1981" spans="1:4" x14ac:dyDescent="0.2">
      <c r="A1981" s="496"/>
      <c r="D1981" s="496"/>
    </row>
    <row r="1982" spans="1:4" x14ac:dyDescent="0.2">
      <c r="A1982" s="496"/>
      <c r="D1982" s="496"/>
    </row>
    <row r="1983" spans="1:4" x14ac:dyDescent="0.2">
      <c r="A1983" s="496"/>
      <c r="D1983" s="496"/>
    </row>
    <row r="1984" spans="1:4" x14ac:dyDescent="0.2">
      <c r="A1984" s="496"/>
      <c r="D1984" s="496"/>
    </row>
    <row r="1985" spans="1:4" x14ac:dyDescent="0.2">
      <c r="A1985" s="496"/>
      <c r="D1985" s="496"/>
    </row>
    <row r="1986" spans="1:4" x14ac:dyDescent="0.2">
      <c r="A1986" s="496"/>
      <c r="D1986" s="496"/>
    </row>
    <row r="1987" spans="1:4" x14ac:dyDescent="0.2">
      <c r="A1987" s="496"/>
      <c r="D1987" s="496"/>
    </row>
    <row r="1988" spans="1:4" x14ac:dyDescent="0.2">
      <c r="A1988" s="496"/>
      <c r="D1988" s="496"/>
    </row>
    <row r="1989" spans="1:4" x14ac:dyDescent="0.2">
      <c r="A1989" s="496"/>
      <c r="D1989" s="496"/>
    </row>
    <row r="1990" spans="1:4" x14ac:dyDescent="0.2">
      <c r="A1990" s="496"/>
      <c r="D1990" s="496"/>
    </row>
    <row r="1991" spans="1:4" x14ac:dyDescent="0.2">
      <c r="A1991" s="496"/>
      <c r="D1991" s="496"/>
    </row>
    <row r="1992" spans="1:4" x14ac:dyDescent="0.2">
      <c r="A1992" s="496"/>
      <c r="D1992" s="496"/>
    </row>
    <row r="1993" spans="1:4" x14ac:dyDescent="0.2">
      <c r="A1993" s="496"/>
      <c r="D1993" s="496"/>
    </row>
    <row r="1994" spans="1:4" x14ac:dyDescent="0.2">
      <c r="A1994" s="496"/>
      <c r="D1994" s="496"/>
    </row>
    <row r="1995" spans="1:4" x14ac:dyDescent="0.2">
      <c r="A1995" s="496"/>
      <c r="D1995" s="496"/>
    </row>
    <row r="1996" spans="1:4" x14ac:dyDescent="0.2">
      <c r="A1996" s="496"/>
      <c r="D1996" s="496"/>
    </row>
    <row r="1997" spans="1:4" x14ac:dyDescent="0.2">
      <c r="A1997" s="496"/>
      <c r="D1997" s="496"/>
    </row>
    <row r="1998" spans="1:4" x14ac:dyDescent="0.2">
      <c r="A1998" s="496"/>
      <c r="D1998" s="496"/>
    </row>
    <row r="1999" spans="1:4" x14ac:dyDescent="0.2">
      <c r="A1999" s="496"/>
      <c r="D1999" s="496"/>
    </row>
    <row r="2000" spans="1:4" x14ac:dyDescent="0.2">
      <c r="A2000" s="496"/>
      <c r="D2000" s="496"/>
    </row>
    <row r="2001" spans="1:4" x14ac:dyDescent="0.2">
      <c r="A2001" s="496"/>
      <c r="D2001" s="496"/>
    </row>
    <row r="2002" spans="1:4" x14ac:dyDescent="0.2">
      <c r="A2002" s="496"/>
      <c r="D2002" s="496"/>
    </row>
    <row r="2003" spans="1:4" x14ac:dyDescent="0.2">
      <c r="A2003" s="496"/>
      <c r="D2003" s="496"/>
    </row>
    <row r="2004" spans="1:4" x14ac:dyDescent="0.2">
      <c r="A2004" s="496"/>
      <c r="D2004" s="496"/>
    </row>
    <row r="2005" spans="1:4" x14ac:dyDescent="0.2">
      <c r="A2005" s="496"/>
      <c r="D2005" s="496"/>
    </row>
    <row r="2006" spans="1:4" x14ac:dyDescent="0.2">
      <c r="A2006" s="496"/>
      <c r="D2006" s="496"/>
    </row>
    <row r="2007" spans="1:4" x14ac:dyDescent="0.2">
      <c r="A2007" s="496"/>
      <c r="D2007" s="496"/>
    </row>
    <row r="2008" spans="1:4" x14ac:dyDescent="0.2">
      <c r="A2008" s="496"/>
      <c r="D2008" s="496"/>
    </row>
    <row r="2009" spans="1:4" x14ac:dyDescent="0.2">
      <c r="A2009" s="496"/>
      <c r="D2009" s="496"/>
    </row>
    <row r="2010" spans="1:4" x14ac:dyDescent="0.2">
      <c r="A2010" s="496"/>
      <c r="D2010" s="496"/>
    </row>
    <row r="2011" spans="1:4" x14ac:dyDescent="0.2">
      <c r="A2011" s="496"/>
      <c r="D2011" s="496"/>
    </row>
    <row r="2012" spans="1:4" x14ac:dyDescent="0.2">
      <c r="A2012" s="496"/>
      <c r="D2012" s="496"/>
    </row>
    <row r="2013" spans="1:4" x14ac:dyDescent="0.2">
      <c r="A2013" s="496"/>
      <c r="D2013" s="496"/>
    </row>
    <row r="2014" spans="1:4" x14ac:dyDescent="0.2">
      <c r="A2014" s="496"/>
      <c r="D2014" s="496"/>
    </row>
    <row r="2015" spans="1:4" x14ac:dyDescent="0.2">
      <c r="A2015" s="496"/>
      <c r="D2015" s="496"/>
    </row>
    <row r="2016" spans="1:4" x14ac:dyDescent="0.2">
      <c r="A2016" s="496"/>
      <c r="D2016" s="496"/>
    </row>
    <row r="2017" spans="1:4" x14ac:dyDescent="0.2">
      <c r="A2017" s="496"/>
      <c r="D2017" s="496"/>
    </row>
    <row r="2018" spans="1:4" x14ac:dyDescent="0.2">
      <c r="A2018" s="496"/>
      <c r="D2018" s="496"/>
    </row>
    <row r="2019" spans="1:4" x14ac:dyDescent="0.2">
      <c r="A2019" s="496"/>
      <c r="D2019" s="496"/>
    </row>
    <row r="2020" spans="1:4" x14ac:dyDescent="0.2">
      <c r="A2020" s="496"/>
      <c r="D2020" s="496"/>
    </row>
    <row r="2021" spans="1:4" x14ac:dyDescent="0.2">
      <c r="A2021" s="496"/>
      <c r="D2021" s="496"/>
    </row>
    <row r="2022" spans="1:4" x14ac:dyDescent="0.2">
      <c r="A2022" s="496"/>
      <c r="D2022" s="496"/>
    </row>
    <row r="2023" spans="1:4" x14ac:dyDescent="0.2">
      <c r="A2023" s="496"/>
      <c r="D2023" s="496"/>
    </row>
    <row r="2024" spans="1:4" x14ac:dyDescent="0.2">
      <c r="A2024" s="496"/>
      <c r="D2024" s="496"/>
    </row>
    <row r="2025" spans="1:4" x14ac:dyDescent="0.2">
      <c r="A2025" s="496"/>
      <c r="D2025" s="496"/>
    </row>
    <row r="2026" spans="1:4" x14ac:dyDescent="0.2">
      <c r="A2026" s="496"/>
      <c r="D2026" s="496"/>
    </row>
    <row r="2027" spans="1:4" x14ac:dyDescent="0.2">
      <c r="A2027" s="496"/>
      <c r="D2027" s="496"/>
    </row>
    <row r="2028" spans="1:4" x14ac:dyDescent="0.2">
      <c r="A2028" s="496"/>
      <c r="D2028" s="496"/>
    </row>
    <row r="2029" spans="1:4" x14ac:dyDescent="0.2">
      <c r="A2029" s="496"/>
      <c r="D2029" s="496"/>
    </row>
    <row r="2030" spans="1:4" x14ac:dyDescent="0.2">
      <c r="A2030" s="496"/>
      <c r="D2030" s="496"/>
    </row>
    <row r="2031" spans="1:4" x14ac:dyDescent="0.2">
      <c r="A2031" s="496"/>
      <c r="D2031" s="496"/>
    </row>
    <row r="2032" spans="1:4" x14ac:dyDescent="0.2">
      <c r="A2032" s="496"/>
      <c r="D2032" s="496"/>
    </row>
    <row r="2033" spans="1:4" x14ac:dyDescent="0.2">
      <c r="A2033" s="496"/>
      <c r="D2033" s="496"/>
    </row>
    <row r="2034" spans="1:4" x14ac:dyDescent="0.2">
      <c r="A2034" s="496"/>
      <c r="D2034" s="496"/>
    </row>
    <row r="2035" spans="1:4" x14ac:dyDescent="0.2">
      <c r="A2035" s="496"/>
      <c r="D2035" s="496"/>
    </row>
    <row r="2036" spans="1:4" x14ac:dyDescent="0.2">
      <c r="A2036" s="496"/>
      <c r="D2036" s="496"/>
    </row>
    <row r="2037" spans="1:4" x14ac:dyDescent="0.2">
      <c r="A2037" s="496"/>
      <c r="D2037" s="496"/>
    </row>
    <row r="2038" spans="1:4" x14ac:dyDescent="0.2">
      <c r="A2038" s="496"/>
      <c r="D2038" s="496"/>
    </row>
    <row r="2039" spans="1:4" x14ac:dyDescent="0.2">
      <c r="A2039" s="496"/>
      <c r="D2039" s="496"/>
    </row>
    <row r="2040" spans="1:4" x14ac:dyDescent="0.2">
      <c r="A2040" s="496"/>
      <c r="D2040" s="496"/>
    </row>
    <row r="2041" spans="1:4" x14ac:dyDescent="0.2">
      <c r="A2041" s="496"/>
      <c r="D2041" s="496"/>
    </row>
    <row r="2042" spans="1:4" x14ac:dyDescent="0.2">
      <c r="A2042" s="496"/>
      <c r="D2042" s="496"/>
    </row>
    <row r="2043" spans="1:4" x14ac:dyDescent="0.2">
      <c r="A2043" s="496"/>
      <c r="D2043" s="496"/>
    </row>
    <row r="2044" spans="1:4" x14ac:dyDescent="0.2">
      <c r="A2044" s="496"/>
      <c r="D2044" s="496"/>
    </row>
    <row r="2045" spans="1:4" x14ac:dyDescent="0.2">
      <c r="A2045" s="496"/>
      <c r="D2045" s="496"/>
    </row>
    <row r="2046" spans="1:4" x14ac:dyDescent="0.2">
      <c r="A2046" s="496"/>
      <c r="D2046" s="496"/>
    </row>
    <row r="2047" spans="1:4" x14ac:dyDescent="0.2">
      <c r="A2047" s="496"/>
      <c r="D2047" s="496"/>
    </row>
    <row r="2048" spans="1:4" x14ac:dyDescent="0.2">
      <c r="A2048" s="496"/>
      <c r="D2048" s="496"/>
    </row>
    <row r="2049" spans="1:4" x14ac:dyDescent="0.2">
      <c r="A2049" s="496"/>
      <c r="D2049" s="496"/>
    </row>
    <row r="2050" spans="1:4" x14ac:dyDescent="0.2">
      <c r="A2050" s="496"/>
      <c r="D2050" s="496"/>
    </row>
    <row r="2051" spans="1:4" x14ac:dyDescent="0.2">
      <c r="A2051" s="496"/>
      <c r="D2051" s="496"/>
    </row>
    <row r="2052" spans="1:4" x14ac:dyDescent="0.2">
      <c r="A2052" s="496"/>
      <c r="D2052" s="496"/>
    </row>
    <row r="2053" spans="1:4" x14ac:dyDescent="0.2">
      <c r="A2053" s="496"/>
      <c r="D2053" s="496"/>
    </row>
    <row r="2054" spans="1:4" x14ac:dyDescent="0.2">
      <c r="A2054" s="496"/>
      <c r="D2054" s="496"/>
    </row>
    <row r="2055" spans="1:4" x14ac:dyDescent="0.2">
      <c r="A2055" s="496"/>
      <c r="D2055" s="496"/>
    </row>
    <row r="2056" spans="1:4" x14ac:dyDescent="0.2">
      <c r="A2056" s="496"/>
      <c r="D2056" s="496"/>
    </row>
    <row r="2057" spans="1:4" x14ac:dyDescent="0.2">
      <c r="A2057" s="496"/>
      <c r="D2057" s="496"/>
    </row>
    <row r="2058" spans="1:4" x14ac:dyDescent="0.2">
      <c r="A2058" s="496"/>
      <c r="D2058" s="496"/>
    </row>
    <row r="2059" spans="1:4" x14ac:dyDescent="0.2">
      <c r="A2059" s="496"/>
      <c r="D2059" s="496"/>
    </row>
    <row r="2060" spans="1:4" x14ac:dyDescent="0.2">
      <c r="A2060" s="496"/>
      <c r="D2060" s="496"/>
    </row>
    <row r="2061" spans="1:4" x14ac:dyDescent="0.2">
      <c r="A2061" s="496"/>
      <c r="D2061" s="496"/>
    </row>
    <row r="2062" spans="1:4" x14ac:dyDescent="0.2">
      <c r="A2062" s="496"/>
      <c r="D2062" s="496"/>
    </row>
    <row r="2063" spans="1:4" x14ac:dyDescent="0.2">
      <c r="A2063" s="496"/>
      <c r="D2063" s="496"/>
    </row>
    <row r="2064" spans="1:4" x14ac:dyDescent="0.2">
      <c r="A2064" s="496"/>
      <c r="D2064" s="496"/>
    </row>
    <row r="2065" spans="1:4" x14ac:dyDescent="0.2">
      <c r="A2065" s="496"/>
      <c r="D2065" s="496"/>
    </row>
    <row r="2066" spans="1:4" x14ac:dyDescent="0.2">
      <c r="A2066" s="496"/>
      <c r="D2066" s="496"/>
    </row>
    <row r="2067" spans="1:4" x14ac:dyDescent="0.2">
      <c r="A2067" s="496"/>
      <c r="D2067" s="496"/>
    </row>
    <row r="2068" spans="1:4" x14ac:dyDescent="0.2">
      <c r="A2068" s="496"/>
      <c r="D2068" s="496"/>
    </row>
    <row r="2069" spans="1:4" x14ac:dyDescent="0.2">
      <c r="A2069" s="496"/>
      <c r="D2069" s="496"/>
    </row>
    <row r="2070" spans="1:4" x14ac:dyDescent="0.2">
      <c r="A2070" s="496"/>
      <c r="D2070" s="496"/>
    </row>
    <row r="2071" spans="1:4" x14ac:dyDescent="0.2">
      <c r="A2071" s="496"/>
      <c r="D2071" s="496"/>
    </row>
    <row r="2072" spans="1:4" x14ac:dyDescent="0.2">
      <c r="A2072" s="496"/>
      <c r="D2072" s="496"/>
    </row>
    <row r="2073" spans="1:4" x14ac:dyDescent="0.2">
      <c r="A2073" s="496"/>
      <c r="D2073" s="496"/>
    </row>
    <row r="2074" spans="1:4" x14ac:dyDescent="0.2">
      <c r="A2074" s="496"/>
      <c r="D2074" s="496"/>
    </row>
    <row r="2075" spans="1:4" x14ac:dyDescent="0.2">
      <c r="A2075" s="496"/>
      <c r="D2075" s="496"/>
    </row>
    <row r="2076" spans="1:4" x14ac:dyDescent="0.2">
      <c r="A2076" s="496"/>
      <c r="D2076" s="496"/>
    </row>
    <row r="2077" spans="1:4" x14ac:dyDescent="0.2">
      <c r="A2077" s="496"/>
      <c r="D2077" s="496"/>
    </row>
    <row r="2078" spans="1:4" x14ac:dyDescent="0.2">
      <c r="A2078" s="496"/>
      <c r="D2078" s="496"/>
    </row>
    <row r="2079" spans="1:4" x14ac:dyDescent="0.2">
      <c r="A2079" s="496"/>
      <c r="D2079" s="496"/>
    </row>
    <row r="2080" spans="1:4" x14ac:dyDescent="0.2">
      <c r="A2080" s="496"/>
      <c r="D2080" s="496"/>
    </row>
    <row r="2081" spans="1:4" x14ac:dyDescent="0.2">
      <c r="A2081" s="496"/>
      <c r="D2081" s="496"/>
    </row>
    <row r="2082" spans="1:4" x14ac:dyDescent="0.2">
      <c r="A2082" s="496"/>
      <c r="D2082" s="496"/>
    </row>
    <row r="2083" spans="1:4" x14ac:dyDescent="0.2">
      <c r="A2083" s="496"/>
      <c r="D2083" s="496"/>
    </row>
    <row r="2084" spans="1:4" x14ac:dyDescent="0.2">
      <c r="A2084" s="496"/>
      <c r="D2084" s="496"/>
    </row>
    <row r="2085" spans="1:4" x14ac:dyDescent="0.2">
      <c r="A2085" s="496"/>
      <c r="D2085" s="496"/>
    </row>
    <row r="2086" spans="1:4" x14ac:dyDescent="0.2">
      <c r="A2086" s="496"/>
      <c r="D2086" s="496"/>
    </row>
    <row r="2087" spans="1:4" x14ac:dyDescent="0.2">
      <c r="A2087" s="496"/>
      <c r="D2087" s="496"/>
    </row>
    <row r="2088" spans="1:4" x14ac:dyDescent="0.2">
      <c r="A2088" s="496"/>
      <c r="D2088" s="496"/>
    </row>
    <row r="2089" spans="1:4" x14ac:dyDescent="0.2">
      <c r="A2089" s="496"/>
      <c r="D2089" s="496"/>
    </row>
    <row r="2090" spans="1:4" x14ac:dyDescent="0.2">
      <c r="A2090" s="496"/>
      <c r="D2090" s="496"/>
    </row>
    <row r="2091" spans="1:4" x14ac:dyDescent="0.2">
      <c r="A2091" s="496"/>
      <c r="D2091" s="496"/>
    </row>
    <row r="2092" spans="1:4" x14ac:dyDescent="0.2">
      <c r="A2092" s="496"/>
      <c r="D2092" s="496"/>
    </row>
    <row r="2093" spans="1:4" x14ac:dyDescent="0.2">
      <c r="A2093" s="496"/>
      <c r="D2093" s="496"/>
    </row>
    <row r="2094" spans="1:4" x14ac:dyDescent="0.2">
      <c r="A2094" s="496"/>
      <c r="D2094" s="496"/>
    </row>
    <row r="2095" spans="1:4" x14ac:dyDescent="0.2">
      <c r="A2095" s="496"/>
      <c r="D2095" s="496"/>
    </row>
    <row r="2096" spans="1:4" x14ac:dyDescent="0.2">
      <c r="A2096" s="496"/>
      <c r="D2096" s="496"/>
    </row>
    <row r="2097" spans="1:4" x14ac:dyDescent="0.2">
      <c r="A2097" s="496"/>
      <c r="D2097" s="496"/>
    </row>
    <row r="2098" spans="1:4" x14ac:dyDescent="0.2">
      <c r="A2098" s="496"/>
      <c r="D2098" s="496"/>
    </row>
    <row r="2099" spans="1:4" x14ac:dyDescent="0.2">
      <c r="A2099" s="496"/>
      <c r="D2099" s="496"/>
    </row>
    <row r="2100" spans="1:4" x14ac:dyDescent="0.2">
      <c r="A2100" s="496"/>
      <c r="D2100" s="496"/>
    </row>
    <row r="2101" spans="1:4" x14ac:dyDescent="0.2">
      <c r="A2101" s="496"/>
      <c r="D2101" s="496"/>
    </row>
    <row r="2102" spans="1:4" x14ac:dyDescent="0.2">
      <c r="A2102" s="496"/>
      <c r="D2102" s="496"/>
    </row>
    <row r="2103" spans="1:4" x14ac:dyDescent="0.2">
      <c r="A2103" s="496"/>
      <c r="D2103" s="496"/>
    </row>
    <row r="2104" spans="1:4" x14ac:dyDescent="0.2">
      <c r="A2104" s="496"/>
      <c r="D2104" s="496"/>
    </row>
    <row r="2105" spans="1:4" x14ac:dyDescent="0.2">
      <c r="A2105" s="496"/>
      <c r="D2105" s="496"/>
    </row>
    <row r="2106" spans="1:4" x14ac:dyDescent="0.2">
      <c r="A2106" s="496"/>
      <c r="D2106" s="496"/>
    </row>
    <row r="2107" spans="1:4" x14ac:dyDescent="0.2">
      <c r="A2107" s="496"/>
      <c r="D2107" s="496"/>
    </row>
    <row r="2108" spans="1:4" x14ac:dyDescent="0.2">
      <c r="A2108" s="496"/>
      <c r="D2108" s="496"/>
    </row>
    <row r="2109" spans="1:4" x14ac:dyDescent="0.2">
      <c r="A2109" s="496"/>
      <c r="D2109" s="496"/>
    </row>
    <row r="2110" spans="1:4" x14ac:dyDescent="0.2">
      <c r="A2110" s="496"/>
      <c r="D2110" s="496"/>
    </row>
    <row r="2111" spans="1:4" x14ac:dyDescent="0.2">
      <c r="A2111" s="496"/>
      <c r="D2111" s="496"/>
    </row>
    <row r="2112" spans="1:4" x14ac:dyDescent="0.2">
      <c r="A2112" s="496"/>
      <c r="D2112" s="496"/>
    </row>
    <row r="2113" spans="1:4" x14ac:dyDescent="0.2">
      <c r="A2113" s="496"/>
      <c r="D2113" s="496"/>
    </row>
    <row r="2114" spans="1:4" x14ac:dyDescent="0.2">
      <c r="A2114" s="496"/>
      <c r="D2114" s="496"/>
    </row>
    <row r="2115" spans="1:4" x14ac:dyDescent="0.2">
      <c r="A2115" s="496"/>
      <c r="D2115" s="496"/>
    </row>
    <row r="2116" spans="1:4" x14ac:dyDescent="0.2">
      <c r="A2116" s="496"/>
      <c r="D2116" s="496"/>
    </row>
    <row r="2117" spans="1:4" x14ac:dyDescent="0.2">
      <c r="A2117" s="496"/>
      <c r="D2117" s="496"/>
    </row>
    <row r="2118" spans="1:4" x14ac:dyDescent="0.2">
      <c r="A2118" s="496"/>
      <c r="D2118" s="496"/>
    </row>
    <row r="2119" spans="1:4" x14ac:dyDescent="0.2">
      <c r="A2119" s="496"/>
      <c r="D2119" s="496"/>
    </row>
    <row r="2120" spans="1:4" x14ac:dyDescent="0.2">
      <c r="A2120" s="496"/>
      <c r="D2120" s="496"/>
    </row>
    <row r="2121" spans="1:4" x14ac:dyDescent="0.2">
      <c r="A2121" s="496"/>
      <c r="D2121" s="496"/>
    </row>
    <row r="2122" spans="1:4" x14ac:dyDescent="0.2">
      <c r="A2122" s="496"/>
      <c r="D2122" s="496"/>
    </row>
    <row r="2123" spans="1:4" x14ac:dyDescent="0.2">
      <c r="A2123" s="496"/>
      <c r="D2123" s="496"/>
    </row>
    <row r="2124" spans="1:4" x14ac:dyDescent="0.2">
      <c r="A2124" s="496"/>
      <c r="D2124" s="496"/>
    </row>
    <row r="2125" spans="1:4" x14ac:dyDescent="0.2">
      <c r="A2125" s="496"/>
      <c r="D2125" s="496"/>
    </row>
    <row r="2126" spans="1:4" x14ac:dyDescent="0.2">
      <c r="A2126" s="496"/>
      <c r="D2126" s="496"/>
    </row>
    <row r="2127" spans="1:4" x14ac:dyDescent="0.2">
      <c r="A2127" s="496"/>
      <c r="D2127" s="496"/>
    </row>
    <row r="2128" spans="1:4" x14ac:dyDescent="0.2">
      <c r="A2128" s="496"/>
      <c r="D2128" s="496"/>
    </row>
    <row r="2129" spans="1:4" x14ac:dyDescent="0.2">
      <c r="A2129" s="496"/>
      <c r="D2129" s="496"/>
    </row>
    <row r="2130" spans="1:4" x14ac:dyDescent="0.2">
      <c r="A2130" s="496"/>
      <c r="D2130" s="496"/>
    </row>
    <row r="2131" spans="1:4" x14ac:dyDescent="0.2">
      <c r="A2131" s="496"/>
      <c r="D2131" s="496"/>
    </row>
    <row r="2132" spans="1:4" x14ac:dyDescent="0.2">
      <c r="A2132" s="496"/>
      <c r="D2132" s="496"/>
    </row>
    <row r="2133" spans="1:4" x14ac:dyDescent="0.2">
      <c r="A2133" s="496"/>
      <c r="D2133" s="496"/>
    </row>
    <row r="2134" spans="1:4" x14ac:dyDescent="0.2">
      <c r="A2134" s="496"/>
      <c r="D2134" s="496"/>
    </row>
    <row r="2135" spans="1:4" x14ac:dyDescent="0.2">
      <c r="A2135" s="496"/>
      <c r="D2135" s="496"/>
    </row>
    <row r="2136" spans="1:4" x14ac:dyDescent="0.2">
      <c r="A2136" s="496"/>
      <c r="D2136" s="496"/>
    </row>
    <row r="2137" spans="1:4" x14ac:dyDescent="0.2">
      <c r="A2137" s="496"/>
      <c r="D2137" s="496"/>
    </row>
    <row r="2138" spans="1:4" x14ac:dyDescent="0.2">
      <c r="A2138" s="496"/>
      <c r="D2138" s="496"/>
    </row>
    <row r="2139" spans="1:4" x14ac:dyDescent="0.2">
      <c r="A2139" s="496"/>
      <c r="D2139" s="496"/>
    </row>
    <row r="2140" spans="1:4" x14ac:dyDescent="0.2">
      <c r="A2140" s="496"/>
      <c r="D2140" s="496"/>
    </row>
    <row r="2141" spans="1:4" x14ac:dyDescent="0.2">
      <c r="A2141" s="496"/>
      <c r="D2141" s="496"/>
    </row>
    <row r="2142" spans="1:4" x14ac:dyDescent="0.2">
      <c r="A2142" s="496"/>
      <c r="D2142" s="496"/>
    </row>
    <row r="2143" spans="1:4" x14ac:dyDescent="0.2">
      <c r="A2143" s="496"/>
      <c r="D2143" s="496"/>
    </row>
    <row r="2144" spans="1:4" x14ac:dyDescent="0.2">
      <c r="A2144" s="496"/>
      <c r="D2144" s="496"/>
    </row>
    <row r="2145" spans="1:4" x14ac:dyDescent="0.2">
      <c r="A2145" s="496"/>
      <c r="D2145" s="496"/>
    </row>
    <row r="2146" spans="1:4" x14ac:dyDescent="0.2">
      <c r="A2146" s="496"/>
      <c r="D2146" s="496"/>
    </row>
    <row r="2147" spans="1:4" x14ac:dyDescent="0.2">
      <c r="A2147" s="496"/>
      <c r="D2147" s="496"/>
    </row>
    <row r="2148" spans="1:4" x14ac:dyDescent="0.2">
      <c r="A2148" s="496"/>
      <c r="D2148" s="496"/>
    </row>
    <row r="2149" spans="1:4" x14ac:dyDescent="0.2">
      <c r="A2149" s="496"/>
      <c r="D2149" s="496"/>
    </row>
    <row r="2150" spans="1:4" x14ac:dyDescent="0.2">
      <c r="A2150" s="496"/>
      <c r="D2150" s="496"/>
    </row>
    <row r="2151" spans="1:4" x14ac:dyDescent="0.2">
      <c r="A2151" s="496"/>
      <c r="D2151" s="496"/>
    </row>
    <row r="2152" spans="1:4" x14ac:dyDescent="0.2">
      <c r="A2152" s="496"/>
      <c r="D2152" s="496"/>
    </row>
    <row r="2153" spans="1:4" x14ac:dyDescent="0.2">
      <c r="A2153" s="496"/>
      <c r="D2153" s="496"/>
    </row>
    <row r="2154" spans="1:4" x14ac:dyDescent="0.2">
      <c r="A2154" s="496"/>
      <c r="D2154" s="496"/>
    </row>
    <row r="2155" spans="1:4" x14ac:dyDescent="0.2">
      <c r="A2155" s="496"/>
      <c r="D2155" s="496"/>
    </row>
    <row r="2156" spans="1:4" x14ac:dyDescent="0.2">
      <c r="A2156" s="496"/>
      <c r="D2156" s="496"/>
    </row>
    <row r="2157" spans="1:4" x14ac:dyDescent="0.2">
      <c r="A2157" s="496"/>
      <c r="D2157" s="496"/>
    </row>
    <row r="2158" spans="1:4" x14ac:dyDescent="0.2">
      <c r="A2158" s="496"/>
      <c r="D2158" s="496"/>
    </row>
    <row r="2159" spans="1:4" x14ac:dyDescent="0.2">
      <c r="A2159" s="496"/>
      <c r="D2159" s="496"/>
    </row>
    <row r="2160" spans="1:4" x14ac:dyDescent="0.2">
      <c r="A2160" s="496"/>
      <c r="D2160" s="496"/>
    </row>
    <row r="2161" spans="1:4" x14ac:dyDescent="0.2">
      <c r="A2161" s="496"/>
      <c r="D2161" s="496"/>
    </row>
    <row r="2162" spans="1:4" x14ac:dyDescent="0.2">
      <c r="A2162" s="496"/>
      <c r="D2162" s="496"/>
    </row>
    <row r="2163" spans="1:4" x14ac:dyDescent="0.2">
      <c r="A2163" s="496"/>
      <c r="D2163" s="496"/>
    </row>
    <row r="2164" spans="1:4" x14ac:dyDescent="0.2">
      <c r="A2164" s="496"/>
      <c r="D2164" s="496"/>
    </row>
    <row r="2165" spans="1:4" x14ac:dyDescent="0.2">
      <c r="A2165" s="496"/>
      <c r="D2165" s="496"/>
    </row>
    <row r="2166" spans="1:4" x14ac:dyDescent="0.2">
      <c r="A2166" s="496"/>
      <c r="D2166" s="496"/>
    </row>
    <row r="2167" spans="1:4" x14ac:dyDescent="0.2">
      <c r="A2167" s="496"/>
      <c r="D2167" s="496"/>
    </row>
    <row r="2168" spans="1:4" x14ac:dyDescent="0.2">
      <c r="A2168" s="496"/>
      <c r="D2168" s="496"/>
    </row>
    <row r="2169" spans="1:4" x14ac:dyDescent="0.2">
      <c r="A2169" s="496"/>
      <c r="D2169" s="496"/>
    </row>
    <row r="2170" spans="1:4" x14ac:dyDescent="0.2">
      <c r="A2170" s="496"/>
      <c r="D2170" s="496"/>
    </row>
    <row r="2171" spans="1:4" x14ac:dyDescent="0.2">
      <c r="A2171" s="496"/>
      <c r="D2171" s="496"/>
    </row>
    <row r="2172" spans="1:4" x14ac:dyDescent="0.2">
      <c r="A2172" s="496"/>
      <c r="D2172" s="496"/>
    </row>
    <row r="2173" spans="1:4" x14ac:dyDescent="0.2">
      <c r="A2173" s="496"/>
      <c r="D2173" s="496"/>
    </row>
    <row r="2174" spans="1:4" x14ac:dyDescent="0.2">
      <c r="A2174" s="496"/>
      <c r="D2174" s="496"/>
    </row>
    <row r="2175" spans="1:4" x14ac:dyDescent="0.2">
      <c r="A2175" s="496"/>
      <c r="D2175" s="496"/>
    </row>
    <row r="2176" spans="1:4" x14ac:dyDescent="0.2">
      <c r="A2176" s="496"/>
      <c r="D2176" s="496"/>
    </row>
    <row r="2177" spans="1:4" x14ac:dyDescent="0.2">
      <c r="A2177" s="496"/>
      <c r="D2177" s="496"/>
    </row>
    <row r="2178" spans="1:4" x14ac:dyDescent="0.2">
      <c r="A2178" s="496"/>
      <c r="D2178" s="496"/>
    </row>
    <row r="2179" spans="1:4" x14ac:dyDescent="0.2">
      <c r="A2179" s="496"/>
      <c r="D2179" s="496"/>
    </row>
    <row r="2180" spans="1:4" x14ac:dyDescent="0.2">
      <c r="A2180" s="496"/>
      <c r="D2180" s="496"/>
    </row>
    <row r="2181" spans="1:4" x14ac:dyDescent="0.2">
      <c r="A2181" s="496"/>
      <c r="D2181" s="496"/>
    </row>
    <row r="2182" spans="1:4" x14ac:dyDescent="0.2">
      <c r="A2182" s="496"/>
      <c r="D2182" s="496"/>
    </row>
    <row r="2183" spans="1:4" x14ac:dyDescent="0.2">
      <c r="A2183" s="496"/>
      <c r="D2183" s="496"/>
    </row>
    <row r="2184" spans="1:4" x14ac:dyDescent="0.2">
      <c r="A2184" s="496"/>
      <c r="D2184" s="496"/>
    </row>
    <row r="2185" spans="1:4" x14ac:dyDescent="0.2">
      <c r="A2185" s="496"/>
      <c r="D2185" s="496"/>
    </row>
    <row r="2186" spans="1:4" x14ac:dyDescent="0.2">
      <c r="A2186" s="496"/>
      <c r="D2186" s="496"/>
    </row>
    <row r="2187" spans="1:4" x14ac:dyDescent="0.2">
      <c r="A2187" s="496"/>
      <c r="D2187" s="496"/>
    </row>
    <row r="2188" spans="1:4" x14ac:dyDescent="0.2">
      <c r="A2188" s="496"/>
      <c r="D2188" s="496"/>
    </row>
    <row r="2189" spans="1:4" x14ac:dyDescent="0.2">
      <c r="A2189" s="496"/>
      <c r="D2189" s="496"/>
    </row>
    <row r="2190" spans="1:4" x14ac:dyDescent="0.2">
      <c r="A2190" s="496"/>
      <c r="D2190" s="496"/>
    </row>
    <row r="2191" spans="1:4" x14ac:dyDescent="0.2">
      <c r="A2191" s="496"/>
      <c r="D2191" s="496"/>
    </row>
    <row r="2192" spans="1:4" x14ac:dyDescent="0.2">
      <c r="A2192" s="496"/>
      <c r="D2192" s="496"/>
    </row>
    <row r="2193" spans="1:4" x14ac:dyDescent="0.2">
      <c r="A2193" s="496"/>
      <c r="D2193" s="496"/>
    </row>
    <row r="2194" spans="1:4" x14ac:dyDescent="0.2">
      <c r="A2194" s="496"/>
      <c r="D2194" s="496"/>
    </row>
    <row r="2195" spans="1:4" x14ac:dyDescent="0.2">
      <c r="A2195" s="496"/>
      <c r="D2195" s="496"/>
    </row>
    <row r="2196" spans="1:4" x14ac:dyDescent="0.2">
      <c r="A2196" s="496"/>
      <c r="D2196" s="496"/>
    </row>
    <row r="2197" spans="1:4" x14ac:dyDescent="0.2">
      <c r="A2197" s="496"/>
      <c r="D2197" s="496"/>
    </row>
    <row r="2198" spans="1:4" x14ac:dyDescent="0.2">
      <c r="A2198" s="496"/>
      <c r="D2198" s="496"/>
    </row>
    <row r="2199" spans="1:4" x14ac:dyDescent="0.2">
      <c r="A2199" s="496"/>
      <c r="D2199" s="496"/>
    </row>
    <row r="2200" spans="1:4" x14ac:dyDescent="0.2">
      <c r="A2200" s="496"/>
      <c r="D2200" s="496"/>
    </row>
    <row r="2201" spans="1:4" x14ac:dyDescent="0.2">
      <c r="A2201" s="496"/>
      <c r="D2201" s="496"/>
    </row>
    <row r="2202" spans="1:4" x14ac:dyDescent="0.2">
      <c r="A2202" s="496"/>
      <c r="D2202" s="496"/>
    </row>
    <row r="2203" spans="1:4" x14ac:dyDescent="0.2">
      <c r="A2203" s="496"/>
      <c r="D2203" s="496"/>
    </row>
    <row r="2204" spans="1:4" x14ac:dyDescent="0.2">
      <c r="A2204" s="496"/>
      <c r="D2204" s="496"/>
    </row>
    <row r="2205" spans="1:4" x14ac:dyDescent="0.2">
      <c r="A2205" s="496"/>
      <c r="D2205" s="496"/>
    </row>
    <row r="2206" spans="1:4" x14ac:dyDescent="0.2">
      <c r="A2206" s="496"/>
      <c r="D2206" s="496"/>
    </row>
    <row r="2207" spans="1:4" x14ac:dyDescent="0.2">
      <c r="A2207" s="496"/>
      <c r="D2207" s="496"/>
    </row>
    <row r="2208" spans="1:4" x14ac:dyDescent="0.2">
      <c r="A2208" s="496"/>
      <c r="D2208" s="496"/>
    </row>
    <row r="2209" spans="1:4" x14ac:dyDescent="0.2">
      <c r="A2209" s="496"/>
      <c r="D2209" s="496"/>
    </row>
    <row r="2210" spans="1:4" x14ac:dyDescent="0.2">
      <c r="A2210" s="496"/>
      <c r="D2210" s="496"/>
    </row>
    <row r="2211" spans="1:4" x14ac:dyDescent="0.2">
      <c r="A2211" s="496"/>
      <c r="D2211" s="496"/>
    </row>
    <row r="2212" spans="1:4" x14ac:dyDescent="0.2">
      <c r="A2212" s="496"/>
      <c r="D2212" s="496"/>
    </row>
    <row r="2213" spans="1:4" x14ac:dyDescent="0.2">
      <c r="A2213" s="496"/>
      <c r="D2213" s="496"/>
    </row>
    <row r="2214" spans="1:4" x14ac:dyDescent="0.2">
      <c r="A2214" s="496"/>
      <c r="D2214" s="496"/>
    </row>
    <row r="2215" spans="1:4" x14ac:dyDescent="0.2">
      <c r="A2215" s="496"/>
      <c r="D2215" s="496"/>
    </row>
    <row r="2216" spans="1:4" x14ac:dyDescent="0.2">
      <c r="A2216" s="496"/>
      <c r="D2216" s="496"/>
    </row>
    <row r="2217" spans="1:4" x14ac:dyDescent="0.2">
      <c r="A2217" s="496"/>
      <c r="D2217" s="496"/>
    </row>
    <row r="2218" spans="1:4" x14ac:dyDescent="0.2">
      <c r="A2218" s="496"/>
      <c r="D2218" s="496"/>
    </row>
    <row r="2219" spans="1:4" x14ac:dyDescent="0.2">
      <c r="A2219" s="496"/>
      <c r="D2219" s="496"/>
    </row>
    <row r="2220" spans="1:4" x14ac:dyDescent="0.2">
      <c r="A2220" s="496"/>
      <c r="D2220" s="496"/>
    </row>
    <row r="2221" spans="1:4" x14ac:dyDescent="0.2">
      <c r="A2221" s="496"/>
      <c r="D2221" s="496"/>
    </row>
    <row r="2222" spans="1:4" x14ac:dyDescent="0.2">
      <c r="A2222" s="496"/>
      <c r="D2222" s="496"/>
    </row>
    <row r="2223" spans="1:4" x14ac:dyDescent="0.2">
      <c r="A2223" s="496"/>
      <c r="D2223" s="496"/>
    </row>
    <row r="2224" spans="1:4" x14ac:dyDescent="0.2">
      <c r="A2224" s="496"/>
      <c r="D2224" s="496"/>
    </row>
    <row r="2225" spans="1:4" x14ac:dyDescent="0.2">
      <c r="A2225" s="496"/>
      <c r="D2225" s="496"/>
    </row>
    <row r="2226" spans="1:4" x14ac:dyDescent="0.2">
      <c r="A2226" s="496"/>
      <c r="D2226" s="496"/>
    </row>
    <row r="2227" spans="1:4" x14ac:dyDescent="0.2">
      <c r="A2227" s="496"/>
      <c r="D2227" s="496"/>
    </row>
    <row r="2228" spans="1:4" x14ac:dyDescent="0.2">
      <c r="A2228" s="496"/>
      <c r="D2228" s="496"/>
    </row>
    <row r="2229" spans="1:4" x14ac:dyDescent="0.2">
      <c r="A2229" s="496"/>
      <c r="D2229" s="496"/>
    </row>
    <row r="2230" spans="1:4" x14ac:dyDescent="0.2">
      <c r="A2230" s="496"/>
      <c r="D2230" s="496"/>
    </row>
    <row r="2231" spans="1:4" x14ac:dyDescent="0.2">
      <c r="A2231" s="496"/>
      <c r="D2231" s="496"/>
    </row>
    <row r="2232" spans="1:4" x14ac:dyDescent="0.2">
      <c r="A2232" s="496"/>
      <c r="D2232" s="496"/>
    </row>
    <row r="2233" spans="1:4" x14ac:dyDescent="0.2">
      <c r="A2233" s="496"/>
      <c r="D2233" s="496"/>
    </row>
    <row r="2234" spans="1:4" x14ac:dyDescent="0.2">
      <c r="A2234" s="496"/>
      <c r="D2234" s="496"/>
    </row>
    <row r="2235" spans="1:4" x14ac:dyDescent="0.2">
      <c r="A2235" s="496"/>
      <c r="D2235" s="496"/>
    </row>
    <row r="2236" spans="1:4" x14ac:dyDescent="0.2">
      <c r="A2236" s="496"/>
      <c r="D2236" s="496"/>
    </row>
    <row r="2237" spans="1:4" x14ac:dyDescent="0.2">
      <c r="A2237" s="496"/>
      <c r="D2237" s="496"/>
    </row>
    <row r="2238" spans="1:4" x14ac:dyDescent="0.2">
      <c r="A2238" s="496"/>
      <c r="D2238" s="496"/>
    </row>
    <row r="2239" spans="1:4" x14ac:dyDescent="0.2">
      <c r="A2239" s="496"/>
      <c r="D2239" s="496"/>
    </row>
    <row r="2240" spans="1:4" x14ac:dyDescent="0.2">
      <c r="A2240" s="496"/>
      <c r="D2240" s="496"/>
    </row>
    <row r="2241" spans="1:4" x14ac:dyDescent="0.2">
      <c r="A2241" s="496"/>
      <c r="D2241" s="496"/>
    </row>
    <row r="2242" spans="1:4" x14ac:dyDescent="0.2">
      <c r="A2242" s="496"/>
      <c r="D2242" s="496"/>
    </row>
    <row r="2243" spans="1:4" x14ac:dyDescent="0.2">
      <c r="A2243" s="496"/>
      <c r="D2243" s="496"/>
    </row>
    <row r="2244" spans="1:4" x14ac:dyDescent="0.2">
      <c r="A2244" s="496"/>
      <c r="D2244" s="496"/>
    </row>
    <row r="2245" spans="1:4" x14ac:dyDescent="0.2">
      <c r="A2245" s="496"/>
      <c r="D2245" s="496"/>
    </row>
    <row r="2246" spans="1:4" x14ac:dyDescent="0.2">
      <c r="A2246" s="496"/>
      <c r="D2246" s="496"/>
    </row>
    <row r="2247" spans="1:4" x14ac:dyDescent="0.2">
      <c r="A2247" s="496"/>
      <c r="D2247" s="496"/>
    </row>
    <row r="2248" spans="1:4" x14ac:dyDescent="0.2">
      <c r="A2248" s="496"/>
      <c r="D2248" s="496"/>
    </row>
    <row r="2249" spans="1:4" x14ac:dyDescent="0.2">
      <c r="A2249" s="496"/>
      <c r="D2249" s="496"/>
    </row>
    <row r="2250" spans="1:4" x14ac:dyDescent="0.2">
      <c r="A2250" s="496"/>
      <c r="D2250" s="496"/>
    </row>
    <row r="2251" spans="1:4" x14ac:dyDescent="0.2">
      <c r="A2251" s="496"/>
      <c r="D2251" s="496"/>
    </row>
    <row r="2252" spans="1:4" x14ac:dyDescent="0.2">
      <c r="A2252" s="496"/>
      <c r="D2252" s="496"/>
    </row>
    <row r="2253" spans="1:4" x14ac:dyDescent="0.2">
      <c r="A2253" s="496"/>
      <c r="D2253" s="496"/>
    </row>
    <row r="2254" spans="1:4" x14ac:dyDescent="0.2">
      <c r="A2254" s="496"/>
      <c r="D2254" s="496"/>
    </row>
    <row r="2255" spans="1:4" x14ac:dyDescent="0.2">
      <c r="A2255" s="496"/>
      <c r="D2255" s="496"/>
    </row>
    <row r="2256" spans="1:4" x14ac:dyDescent="0.2">
      <c r="A2256" s="496"/>
      <c r="D2256" s="496"/>
    </row>
    <row r="2257" spans="1:4" x14ac:dyDescent="0.2">
      <c r="A2257" s="496"/>
      <c r="D2257" s="496"/>
    </row>
    <row r="2258" spans="1:4" x14ac:dyDescent="0.2">
      <c r="A2258" s="496"/>
      <c r="D2258" s="496"/>
    </row>
    <row r="2259" spans="1:4" x14ac:dyDescent="0.2">
      <c r="A2259" s="496"/>
      <c r="D2259" s="496"/>
    </row>
    <row r="2260" spans="1:4" x14ac:dyDescent="0.2">
      <c r="A2260" s="496"/>
      <c r="D2260" s="496"/>
    </row>
    <row r="2261" spans="1:4" x14ac:dyDescent="0.2">
      <c r="A2261" s="496"/>
      <c r="D2261" s="496"/>
    </row>
    <row r="2262" spans="1:4" x14ac:dyDescent="0.2">
      <c r="A2262" s="496"/>
      <c r="D2262" s="496"/>
    </row>
    <row r="2263" spans="1:4" x14ac:dyDescent="0.2">
      <c r="A2263" s="496"/>
      <c r="D2263" s="496"/>
    </row>
    <row r="2264" spans="1:4" x14ac:dyDescent="0.2">
      <c r="A2264" s="496"/>
      <c r="D2264" s="496"/>
    </row>
    <row r="2265" spans="1:4" x14ac:dyDescent="0.2">
      <c r="A2265" s="496"/>
      <c r="D2265" s="496"/>
    </row>
    <row r="2266" spans="1:4" x14ac:dyDescent="0.2">
      <c r="A2266" s="496"/>
      <c r="D2266" s="496"/>
    </row>
    <row r="2267" spans="1:4" x14ac:dyDescent="0.2">
      <c r="A2267" s="496"/>
      <c r="D2267" s="496"/>
    </row>
    <row r="2268" spans="1:4" x14ac:dyDescent="0.2">
      <c r="A2268" s="496"/>
      <c r="D2268" s="496"/>
    </row>
    <row r="2269" spans="1:4" x14ac:dyDescent="0.2">
      <c r="A2269" s="496"/>
      <c r="D2269" s="496"/>
    </row>
    <row r="2270" spans="1:4" x14ac:dyDescent="0.2">
      <c r="A2270" s="496"/>
      <c r="D2270" s="496"/>
    </row>
    <row r="2271" spans="1:4" x14ac:dyDescent="0.2">
      <c r="A2271" s="496"/>
      <c r="D2271" s="496"/>
    </row>
    <row r="2272" spans="1:4" x14ac:dyDescent="0.2">
      <c r="A2272" s="496"/>
      <c r="D2272" s="496"/>
    </row>
    <row r="2273" spans="1:4" x14ac:dyDescent="0.2">
      <c r="A2273" s="496"/>
      <c r="D2273" s="496"/>
    </row>
    <row r="2274" spans="1:4" x14ac:dyDescent="0.2">
      <c r="A2274" s="496"/>
      <c r="D2274" s="496"/>
    </row>
    <row r="2275" spans="1:4" x14ac:dyDescent="0.2">
      <c r="A2275" s="496"/>
      <c r="D2275" s="496"/>
    </row>
    <row r="2276" spans="1:4" x14ac:dyDescent="0.2">
      <c r="A2276" s="496"/>
      <c r="D2276" s="496"/>
    </row>
    <row r="2277" spans="1:4" x14ac:dyDescent="0.2">
      <c r="A2277" s="496"/>
      <c r="D2277" s="496"/>
    </row>
    <row r="2278" spans="1:4" x14ac:dyDescent="0.2">
      <c r="A2278" s="496"/>
      <c r="D2278" s="496"/>
    </row>
    <row r="2279" spans="1:4" x14ac:dyDescent="0.2">
      <c r="A2279" s="496"/>
      <c r="D2279" s="496"/>
    </row>
    <row r="2280" spans="1:4" x14ac:dyDescent="0.2">
      <c r="A2280" s="496"/>
      <c r="D2280" s="496"/>
    </row>
    <row r="2281" spans="1:4" x14ac:dyDescent="0.2">
      <c r="A2281" s="496"/>
      <c r="D2281" s="496"/>
    </row>
    <row r="2282" spans="1:4" x14ac:dyDescent="0.2">
      <c r="A2282" s="496"/>
      <c r="D2282" s="496"/>
    </row>
    <row r="2283" spans="1:4" x14ac:dyDescent="0.2">
      <c r="A2283" s="496"/>
      <c r="D2283" s="496"/>
    </row>
    <row r="2284" spans="1:4" x14ac:dyDescent="0.2">
      <c r="A2284" s="496"/>
      <c r="D2284" s="496"/>
    </row>
    <row r="2285" spans="1:4" x14ac:dyDescent="0.2">
      <c r="A2285" s="496"/>
      <c r="D2285" s="496"/>
    </row>
    <row r="2286" spans="1:4" x14ac:dyDescent="0.2">
      <c r="A2286" s="496"/>
      <c r="D2286" s="496"/>
    </row>
    <row r="2287" spans="1:4" x14ac:dyDescent="0.2">
      <c r="A2287" s="496"/>
      <c r="D2287" s="496"/>
    </row>
    <row r="2288" spans="1:4" x14ac:dyDescent="0.2">
      <c r="A2288" s="496"/>
      <c r="D2288" s="496"/>
    </row>
    <row r="2289" spans="1:4" x14ac:dyDescent="0.2">
      <c r="A2289" s="496"/>
      <c r="D2289" s="496"/>
    </row>
    <row r="2290" spans="1:4" x14ac:dyDescent="0.2">
      <c r="A2290" s="496"/>
      <c r="D2290" s="496"/>
    </row>
    <row r="2291" spans="1:4" x14ac:dyDescent="0.2">
      <c r="A2291" s="496"/>
      <c r="D2291" s="496"/>
    </row>
    <row r="2292" spans="1:4" x14ac:dyDescent="0.2">
      <c r="A2292" s="496"/>
      <c r="D2292" s="496"/>
    </row>
    <row r="2293" spans="1:4" x14ac:dyDescent="0.2">
      <c r="A2293" s="496"/>
      <c r="D2293" s="496"/>
    </row>
    <row r="2294" spans="1:4" x14ac:dyDescent="0.2">
      <c r="A2294" s="496"/>
      <c r="D2294" s="496"/>
    </row>
    <row r="2295" spans="1:4" x14ac:dyDescent="0.2">
      <c r="A2295" s="496"/>
      <c r="D2295" s="496"/>
    </row>
    <row r="2296" spans="1:4" x14ac:dyDescent="0.2">
      <c r="A2296" s="496"/>
      <c r="D2296" s="496"/>
    </row>
    <row r="2297" spans="1:4" x14ac:dyDescent="0.2">
      <c r="A2297" s="496"/>
      <c r="D2297" s="496"/>
    </row>
    <row r="2298" spans="1:4" x14ac:dyDescent="0.2">
      <c r="A2298" s="496"/>
      <c r="D2298" s="496"/>
    </row>
    <row r="2299" spans="1:4" x14ac:dyDescent="0.2">
      <c r="A2299" s="496"/>
      <c r="D2299" s="496"/>
    </row>
    <row r="2300" spans="1:4" x14ac:dyDescent="0.2">
      <c r="A2300" s="496"/>
      <c r="D2300" s="496"/>
    </row>
    <row r="2301" spans="1:4" x14ac:dyDescent="0.2">
      <c r="A2301" s="496"/>
      <c r="D2301" s="496"/>
    </row>
    <row r="2302" spans="1:4" x14ac:dyDescent="0.2">
      <c r="A2302" s="496"/>
      <c r="D2302" s="496"/>
    </row>
    <row r="2303" spans="1:4" x14ac:dyDescent="0.2">
      <c r="A2303" s="496"/>
      <c r="D2303" s="496"/>
    </row>
    <row r="2304" spans="1:4" x14ac:dyDescent="0.2">
      <c r="A2304" s="496"/>
      <c r="D2304" s="496"/>
    </row>
    <row r="2305" spans="1:4" x14ac:dyDescent="0.2">
      <c r="A2305" s="496"/>
      <c r="D2305" s="496"/>
    </row>
    <row r="2306" spans="1:4" x14ac:dyDescent="0.2">
      <c r="A2306" s="496"/>
      <c r="D2306" s="496"/>
    </row>
    <row r="2307" spans="1:4" x14ac:dyDescent="0.2">
      <c r="A2307" s="496"/>
      <c r="D2307" s="496"/>
    </row>
    <row r="2308" spans="1:4" x14ac:dyDescent="0.2">
      <c r="A2308" s="496"/>
      <c r="D2308" s="496"/>
    </row>
    <row r="2309" spans="1:4" x14ac:dyDescent="0.2">
      <c r="A2309" s="496"/>
      <c r="D2309" s="496"/>
    </row>
    <row r="2310" spans="1:4" x14ac:dyDescent="0.2">
      <c r="A2310" s="496"/>
      <c r="D2310" s="496"/>
    </row>
    <row r="2311" spans="1:4" x14ac:dyDescent="0.2">
      <c r="A2311" s="496"/>
      <c r="D2311" s="496"/>
    </row>
    <row r="2312" spans="1:4" x14ac:dyDescent="0.2">
      <c r="A2312" s="496"/>
      <c r="D2312" s="496"/>
    </row>
    <row r="2313" spans="1:4" x14ac:dyDescent="0.2">
      <c r="A2313" s="496"/>
      <c r="D2313" s="496"/>
    </row>
    <row r="2314" spans="1:4" x14ac:dyDescent="0.2">
      <c r="A2314" s="496"/>
      <c r="D2314" s="496"/>
    </row>
    <row r="2315" spans="1:4" x14ac:dyDescent="0.2">
      <c r="A2315" s="496"/>
      <c r="D2315" s="496"/>
    </row>
    <row r="2316" spans="1:4" x14ac:dyDescent="0.2">
      <c r="A2316" s="496"/>
      <c r="D2316" s="496"/>
    </row>
    <row r="2317" spans="1:4" x14ac:dyDescent="0.2">
      <c r="A2317" s="496"/>
      <c r="D2317" s="496"/>
    </row>
    <row r="2318" spans="1:4" x14ac:dyDescent="0.2">
      <c r="A2318" s="496"/>
      <c r="D2318" s="496"/>
    </row>
    <row r="2319" spans="1:4" x14ac:dyDescent="0.2">
      <c r="A2319" s="496"/>
      <c r="D2319" s="496"/>
    </row>
    <row r="2320" spans="1:4" x14ac:dyDescent="0.2">
      <c r="A2320" s="496"/>
      <c r="D2320" s="496"/>
    </row>
    <row r="2321" spans="1:4" x14ac:dyDescent="0.2">
      <c r="A2321" s="496"/>
      <c r="D2321" s="496"/>
    </row>
    <row r="2322" spans="1:4" x14ac:dyDescent="0.2">
      <c r="A2322" s="496"/>
      <c r="D2322" s="496"/>
    </row>
    <row r="2323" spans="1:4" x14ac:dyDescent="0.2">
      <c r="A2323" s="496"/>
      <c r="D2323" s="496"/>
    </row>
    <row r="2324" spans="1:4" x14ac:dyDescent="0.2">
      <c r="A2324" s="496"/>
      <c r="D2324" s="496"/>
    </row>
    <row r="2325" spans="1:4" x14ac:dyDescent="0.2">
      <c r="A2325" s="496"/>
      <c r="D2325" s="496"/>
    </row>
    <row r="2326" spans="1:4" x14ac:dyDescent="0.2">
      <c r="A2326" s="496"/>
      <c r="D2326" s="496"/>
    </row>
    <row r="2327" spans="1:4" x14ac:dyDescent="0.2">
      <c r="A2327" s="496"/>
      <c r="D2327" s="496"/>
    </row>
    <row r="2328" spans="1:4" x14ac:dyDescent="0.2">
      <c r="A2328" s="496"/>
      <c r="D2328" s="496"/>
    </row>
    <row r="2329" spans="1:4" x14ac:dyDescent="0.2">
      <c r="A2329" s="496"/>
      <c r="D2329" s="496"/>
    </row>
    <row r="2330" spans="1:4" x14ac:dyDescent="0.2">
      <c r="A2330" s="496"/>
      <c r="D2330" s="496"/>
    </row>
    <row r="2331" spans="1:4" x14ac:dyDescent="0.2">
      <c r="A2331" s="496"/>
      <c r="D2331" s="496"/>
    </row>
    <row r="2332" spans="1:4" x14ac:dyDescent="0.2">
      <c r="A2332" s="496"/>
      <c r="D2332" s="496"/>
    </row>
    <row r="2333" spans="1:4" x14ac:dyDescent="0.2">
      <c r="A2333" s="496"/>
      <c r="D2333" s="496"/>
    </row>
    <row r="2334" spans="1:4" x14ac:dyDescent="0.2">
      <c r="A2334" s="496"/>
      <c r="D2334" s="496"/>
    </row>
    <row r="2335" spans="1:4" x14ac:dyDescent="0.2">
      <c r="A2335" s="496"/>
      <c r="D2335" s="496"/>
    </row>
    <row r="2336" spans="1:4" x14ac:dyDescent="0.2">
      <c r="A2336" s="496"/>
      <c r="D2336" s="496"/>
    </row>
    <row r="2337" spans="1:4" x14ac:dyDescent="0.2">
      <c r="A2337" s="496"/>
      <c r="D2337" s="496"/>
    </row>
    <row r="2338" spans="1:4" x14ac:dyDescent="0.2">
      <c r="A2338" s="496"/>
      <c r="D2338" s="496"/>
    </row>
    <row r="2339" spans="1:4" x14ac:dyDescent="0.2">
      <c r="A2339" s="496"/>
      <c r="D2339" s="496"/>
    </row>
    <row r="2340" spans="1:4" x14ac:dyDescent="0.2">
      <c r="A2340" s="496"/>
      <c r="D2340" s="496"/>
    </row>
    <row r="2341" spans="1:4" x14ac:dyDescent="0.2">
      <c r="A2341" s="496"/>
      <c r="D2341" s="496"/>
    </row>
    <row r="2342" spans="1:4" x14ac:dyDescent="0.2">
      <c r="A2342" s="496"/>
      <c r="D2342" s="496"/>
    </row>
    <row r="2343" spans="1:4" x14ac:dyDescent="0.2">
      <c r="A2343" s="496"/>
      <c r="D2343" s="496"/>
    </row>
    <row r="2344" spans="1:4" x14ac:dyDescent="0.2">
      <c r="A2344" s="496"/>
      <c r="D2344" s="496"/>
    </row>
    <row r="2345" spans="1:4" x14ac:dyDescent="0.2">
      <c r="A2345" s="496"/>
      <c r="D2345" s="496"/>
    </row>
    <row r="2346" spans="1:4" x14ac:dyDescent="0.2">
      <c r="A2346" s="496"/>
      <c r="D2346" s="496"/>
    </row>
    <row r="2347" spans="1:4" x14ac:dyDescent="0.2">
      <c r="A2347" s="496"/>
      <c r="D2347" s="496"/>
    </row>
    <row r="2348" spans="1:4" x14ac:dyDescent="0.2">
      <c r="A2348" s="496"/>
      <c r="D2348" s="496"/>
    </row>
    <row r="2349" spans="1:4" x14ac:dyDescent="0.2">
      <c r="A2349" s="496"/>
      <c r="D2349" s="496"/>
    </row>
    <row r="2350" spans="1:4" x14ac:dyDescent="0.2">
      <c r="A2350" s="496"/>
      <c r="D2350" s="496"/>
    </row>
    <row r="2351" spans="1:4" x14ac:dyDescent="0.2">
      <c r="A2351" s="496"/>
      <c r="D2351" s="496"/>
    </row>
    <row r="2352" spans="1:4" x14ac:dyDescent="0.2">
      <c r="A2352" s="496"/>
      <c r="D2352" s="496"/>
    </row>
    <row r="2353" spans="1:4" x14ac:dyDescent="0.2">
      <c r="A2353" s="496"/>
      <c r="D2353" s="496"/>
    </row>
    <row r="2354" spans="1:4" x14ac:dyDescent="0.2">
      <c r="A2354" s="496"/>
      <c r="D2354" s="496"/>
    </row>
    <row r="2355" spans="1:4" x14ac:dyDescent="0.2">
      <c r="A2355" s="496"/>
      <c r="D2355" s="496"/>
    </row>
    <row r="2356" spans="1:4" x14ac:dyDescent="0.2">
      <c r="A2356" s="496"/>
      <c r="D2356" s="496"/>
    </row>
    <row r="2357" spans="1:4" x14ac:dyDescent="0.2">
      <c r="A2357" s="496"/>
      <c r="D2357" s="496"/>
    </row>
    <row r="2358" spans="1:4" x14ac:dyDescent="0.2">
      <c r="A2358" s="496"/>
      <c r="D2358" s="496"/>
    </row>
    <row r="2359" spans="1:4" x14ac:dyDescent="0.2">
      <c r="A2359" s="496"/>
      <c r="D2359" s="496"/>
    </row>
    <row r="2360" spans="1:4" x14ac:dyDescent="0.2">
      <c r="A2360" s="496"/>
      <c r="D2360" s="496"/>
    </row>
    <row r="2361" spans="1:4" x14ac:dyDescent="0.2">
      <c r="A2361" s="496"/>
      <c r="D2361" s="496"/>
    </row>
    <row r="2362" spans="1:4" x14ac:dyDescent="0.2">
      <c r="A2362" s="496"/>
      <c r="D2362" s="496"/>
    </row>
    <row r="2363" spans="1:4" x14ac:dyDescent="0.2">
      <c r="A2363" s="496"/>
      <c r="D2363" s="496"/>
    </row>
    <row r="2364" spans="1:4" x14ac:dyDescent="0.2">
      <c r="A2364" s="496"/>
      <c r="D2364" s="496"/>
    </row>
    <row r="2365" spans="1:4" x14ac:dyDescent="0.2">
      <c r="A2365" s="496"/>
      <c r="D2365" s="496"/>
    </row>
    <row r="2366" spans="1:4" x14ac:dyDescent="0.2">
      <c r="A2366" s="496"/>
      <c r="D2366" s="496"/>
    </row>
    <row r="2367" spans="1:4" x14ac:dyDescent="0.2">
      <c r="A2367" s="496"/>
      <c r="D2367" s="496"/>
    </row>
    <row r="2368" spans="1:4" x14ac:dyDescent="0.2">
      <c r="A2368" s="496"/>
      <c r="D2368" s="496"/>
    </row>
    <row r="2369" spans="1:4" x14ac:dyDescent="0.2">
      <c r="A2369" s="496"/>
      <c r="D2369" s="496"/>
    </row>
    <row r="2370" spans="1:4" x14ac:dyDescent="0.2">
      <c r="A2370" s="496"/>
      <c r="D2370" s="496"/>
    </row>
    <row r="2371" spans="1:4" x14ac:dyDescent="0.2">
      <c r="A2371" s="496"/>
      <c r="D2371" s="496"/>
    </row>
    <row r="2372" spans="1:4" x14ac:dyDescent="0.2">
      <c r="A2372" s="496"/>
      <c r="D2372" s="496"/>
    </row>
    <row r="2373" spans="1:4" x14ac:dyDescent="0.2">
      <c r="A2373" s="496"/>
      <c r="D2373" s="496"/>
    </row>
    <row r="2374" spans="1:4" x14ac:dyDescent="0.2">
      <c r="A2374" s="496"/>
      <c r="D2374" s="496"/>
    </row>
    <row r="2375" spans="1:4" x14ac:dyDescent="0.2">
      <c r="A2375" s="496"/>
      <c r="D2375" s="496"/>
    </row>
    <row r="2376" spans="1:4" x14ac:dyDescent="0.2">
      <c r="A2376" s="496"/>
      <c r="D2376" s="496"/>
    </row>
    <row r="2377" spans="1:4" x14ac:dyDescent="0.2">
      <c r="A2377" s="496"/>
      <c r="D2377" s="496"/>
    </row>
    <row r="2378" spans="1:4" x14ac:dyDescent="0.2">
      <c r="A2378" s="496"/>
      <c r="D2378" s="496"/>
    </row>
    <row r="2379" spans="1:4" x14ac:dyDescent="0.2">
      <c r="A2379" s="496"/>
      <c r="D2379" s="496"/>
    </row>
    <row r="2380" spans="1:4" x14ac:dyDescent="0.2">
      <c r="A2380" s="496"/>
      <c r="D2380" s="496"/>
    </row>
    <row r="2381" spans="1:4" x14ac:dyDescent="0.2">
      <c r="A2381" s="496"/>
      <c r="D2381" s="496"/>
    </row>
    <row r="2382" spans="1:4" x14ac:dyDescent="0.2">
      <c r="A2382" s="496"/>
      <c r="D2382" s="496"/>
    </row>
    <row r="2383" spans="1:4" x14ac:dyDescent="0.2">
      <c r="A2383" s="496"/>
      <c r="D2383" s="496"/>
    </row>
    <row r="2384" spans="1:4" x14ac:dyDescent="0.2">
      <c r="A2384" s="496"/>
      <c r="D2384" s="496"/>
    </row>
    <row r="2385" spans="1:4" x14ac:dyDescent="0.2">
      <c r="A2385" s="496"/>
      <c r="D2385" s="496"/>
    </row>
    <row r="2386" spans="1:4" x14ac:dyDescent="0.2">
      <c r="A2386" s="496"/>
      <c r="D2386" s="496"/>
    </row>
    <row r="2387" spans="1:4" x14ac:dyDescent="0.2">
      <c r="A2387" s="496"/>
      <c r="D2387" s="496"/>
    </row>
    <row r="2388" spans="1:4" x14ac:dyDescent="0.2">
      <c r="A2388" s="496"/>
      <c r="D2388" s="496"/>
    </row>
    <row r="2389" spans="1:4" x14ac:dyDescent="0.2">
      <c r="A2389" s="496"/>
      <c r="D2389" s="496"/>
    </row>
    <row r="2390" spans="1:4" x14ac:dyDescent="0.2">
      <c r="A2390" s="496"/>
      <c r="D2390" s="496"/>
    </row>
    <row r="2391" spans="1:4" x14ac:dyDescent="0.2">
      <c r="A2391" s="496"/>
      <c r="D2391" s="496"/>
    </row>
    <row r="2392" spans="1:4" x14ac:dyDescent="0.2">
      <c r="A2392" s="496"/>
      <c r="D2392" s="496"/>
    </row>
    <row r="2393" spans="1:4" x14ac:dyDescent="0.2">
      <c r="A2393" s="496"/>
      <c r="D2393" s="496"/>
    </row>
    <row r="2394" spans="1:4" x14ac:dyDescent="0.2">
      <c r="A2394" s="496"/>
      <c r="D2394" s="496"/>
    </row>
    <row r="2395" spans="1:4" x14ac:dyDescent="0.2">
      <c r="A2395" s="496"/>
      <c r="D2395" s="496"/>
    </row>
    <row r="2396" spans="1:4" x14ac:dyDescent="0.2">
      <c r="A2396" s="496"/>
      <c r="D2396" s="496"/>
    </row>
    <row r="2397" spans="1:4" x14ac:dyDescent="0.2">
      <c r="A2397" s="496"/>
      <c r="D2397" s="496"/>
    </row>
    <row r="2398" spans="1:4" x14ac:dyDescent="0.2">
      <c r="A2398" s="496"/>
      <c r="D2398" s="496"/>
    </row>
    <row r="2399" spans="1:4" x14ac:dyDescent="0.2">
      <c r="A2399" s="496"/>
      <c r="D2399" s="496"/>
    </row>
    <row r="2400" spans="1:4" x14ac:dyDescent="0.2">
      <c r="A2400" s="496"/>
      <c r="D2400" s="496"/>
    </row>
    <row r="2401" spans="1:4" x14ac:dyDescent="0.2">
      <c r="A2401" s="496"/>
      <c r="D2401" s="496"/>
    </row>
    <row r="2402" spans="1:4" x14ac:dyDescent="0.2">
      <c r="A2402" s="496"/>
      <c r="D2402" s="496"/>
    </row>
    <row r="2403" spans="1:4" x14ac:dyDescent="0.2">
      <c r="A2403" s="496"/>
      <c r="D2403" s="496"/>
    </row>
    <row r="2404" spans="1:4" x14ac:dyDescent="0.2">
      <c r="A2404" s="496"/>
      <c r="D2404" s="496"/>
    </row>
    <row r="2405" spans="1:4" x14ac:dyDescent="0.2">
      <c r="A2405" s="496"/>
      <c r="D2405" s="496"/>
    </row>
    <row r="2406" spans="1:4" x14ac:dyDescent="0.2">
      <c r="A2406" s="496"/>
      <c r="D2406" s="496"/>
    </row>
    <row r="2407" spans="1:4" x14ac:dyDescent="0.2">
      <c r="A2407" s="496"/>
      <c r="D2407" s="496"/>
    </row>
    <row r="2408" spans="1:4" x14ac:dyDescent="0.2">
      <c r="A2408" s="496"/>
      <c r="D2408" s="496"/>
    </row>
    <row r="2409" spans="1:4" x14ac:dyDescent="0.2">
      <c r="A2409" s="496"/>
      <c r="D2409" s="496"/>
    </row>
    <row r="2410" spans="1:4" x14ac:dyDescent="0.2">
      <c r="A2410" s="496"/>
      <c r="D2410" s="496"/>
    </row>
    <row r="2411" spans="1:4" x14ac:dyDescent="0.2">
      <c r="A2411" s="496"/>
      <c r="D2411" s="496"/>
    </row>
    <row r="2412" spans="1:4" x14ac:dyDescent="0.2">
      <c r="A2412" s="496"/>
      <c r="D2412" s="496"/>
    </row>
    <row r="2413" spans="1:4" x14ac:dyDescent="0.2">
      <c r="A2413" s="496"/>
      <c r="D2413" s="496"/>
    </row>
    <row r="2414" spans="1:4" x14ac:dyDescent="0.2">
      <c r="A2414" s="496"/>
      <c r="D2414" s="496"/>
    </row>
    <row r="2415" spans="1:4" x14ac:dyDescent="0.2">
      <c r="A2415" s="496"/>
      <c r="D2415" s="496"/>
    </row>
    <row r="2416" spans="1:4" x14ac:dyDescent="0.2">
      <c r="A2416" s="496"/>
      <c r="D2416" s="496"/>
    </row>
    <row r="2417" spans="1:4" x14ac:dyDescent="0.2">
      <c r="A2417" s="496"/>
      <c r="D2417" s="496"/>
    </row>
    <row r="2418" spans="1:4" x14ac:dyDescent="0.2">
      <c r="A2418" s="496"/>
      <c r="D2418" s="496"/>
    </row>
    <row r="2419" spans="1:4" x14ac:dyDescent="0.2">
      <c r="A2419" s="496"/>
      <c r="D2419" s="496"/>
    </row>
    <row r="2420" spans="1:4" x14ac:dyDescent="0.2">
      <c r="A2420" s="496"/>
      <c r="D2420" s="496"/>
    </row>
    <row r="2421" spans="1:4" x14ac:dyDescent="0.2">
      <c r="A2421" s="496"/>
      <c r="D2421" s="496"/>
    </row>
    <row r="2422" spans="1:4" x14ac:dyDescent="0.2">
      <c r="A2422" s="496"/>
      <c r="D2422" s="496"/>
    </row>
    <row r="2423" spans="1:4" x14ac:dyDescent="0.2">
      <c r="A2423" s="496"/>
      <c r="D2423" s="496"/>
    </row>
    <row r="2424" spans="1:4" x14ac:dyDescent="0.2">
      <c r="A2424" s="496"/>
      <c r="D2424" s="496"/>
    </row>
    <row r="2425" spans="1:4" x14ac:dyDescent="0.2">
      <c r="A2425" s="496"/>
      <c r="D2425" s="496"/>
    </row>
    <row r="2426" spans="1:4" x14ac:dyDescent="0.2">
      <c r="A2426" s="496"/>
      <c r="D2426" s="496"/>
    </row>
    <row r="2427" spans="1:4" x14ac:dyDescent="0.2">
      <c r="A2427" s="496"/>
      <c r="D2427" s="496"/>
    </row>
    <row r="2428" spans="1:4" x14ac:dyDescent="0.2">
      <c r="A2428" s="496"/>
      <c r="D2428" s="496"/>
    </row>
    <row r="2429" spans="1:4" x14ac:dyDescent="0.2">
      <c r="A2429" s="496"/>
      <c r="D2429" s="496"/>
    </row>
    <row r="2430" spans="1:4" x14ac:dyDescent="0.2">
      <c r="A2430" s="496"/>
      <c r="D2430" s="496"/>
    </row>
    <row r="2431" spans="1:4" x14ac:dyDescent="0.2">
      <c r="A2431" s="496"/>
      <c r="D2431" s="496"/>
    </row>
    <row r="2432" spans="1:4" x14ac:dyDescent="0.2">
      <c r="A2432" s="496"/>
      <c r="D2432" s="496"/>
    </row>
    <row r="2433" spans="1:4" x14ac:dyDescent="0.2">
      <c r="A2433" s="496"/>
      <c r="D2433" s="496"/>
    </row>
    <row r="2434" spans="1:4" x14ac:dyDescent="0.2">
      <c r="A2434" s="496"/>
      <c r="D2434" s="496"/>
    </row>
    <row r="2435" spans="1:4" x14ac:dyDescent="0.2">
      <c r="A2435" s="496"/>
      <c r="D2435" s="496"/>
    </row>
    <row r="2436" spans="1:4" x14ac:dyDescent="0.2">
      <c r="A2436" s="496"/>
      <c r="D2436" s="496"/>
    </row>
    <row r="2437" spans="1:4" x14ac:dyDescent="0.2">
      <c r="A2437" s="496"/>
      <c r="D2437" s="496"/>
    </row>
    <row r="2438" spans="1:4" x14ac:dyDescent="0.2">
      <c r="A2438" s="496"/>
      <c r="D2438" s="496"/>
    </row>
    <row r="2439" spans="1:4" x14ac:dyDescent="0.2">
      <c r="A2439" s="496"/>
      <c r="D2439" s="496"/>
    </row>
    <row r="2440" spans="1:4" x14ac:dyDescent="0.2">
      <c r="A2440" s="496"/>
      <c r="D2440" s="496"/>
    </row>
    <row r="2441" spans="1:4" x14ac:dyDescent="0.2">
      <c r="A2441" s="496"/>
      <c r="D2441" s="496"/>
    </row>
    <row r="2442" spans="1:4" x14ac:dyDescent="0.2">
      <c r="A2442" s="496"/>
      <c r="D2442" s="496"/>
    </row>
    <row r="2443" spans="1:4" x14ac:dyDescent="0.2">
      <c r="A2443" s="496"/>
      <c r="D2443" s="496"/>
    </row>
    <row r="2444" spans="1:4" x14ac:dyDescent="0.2">
      <c r="A2444" s="496"/>
      <c r="D2444" s="496"/>
    </row>
    <row r="2445" spans="1:4" x14ac:dyDescent="0.2">
      <c r="A2445" s="496"/>
      <c r="D2445" s="496"/>
    </row>
    <row r="2446" spans="1:4" x14ac:dyDescent="0.2">
      <c r="A2446" s="496"/>
      <c r="D2446" s="496"/>
    </row>
    <row r="2447" spans="1:4" x14ac:dyDescent="0.2">
      <c r="A2447" s="496"/>
      <c r="D2447" s="496"/>
    </row>
    <row r="2448" spans="1:4" x14ac:dyDescent="0.2">
      <c r="A2448" s="496"/>
      <c r="D2448" s="496"/>
    </row>
    <row r="2449" spans="1:4" x14ac:dyDescent="0.2">
      <c r="A2449" s="496"/>
      <c r="D2449" s="496"/>
    </row>
    <row r="2450" spans="1:4" x14ac:dyDescent="0.2">
      <c r="A2450" s="496"/>
      <c r="D2450" s="496"/>
    </row>
    <row r="2451" spans="1:4" x14ac:dyDescent="0.2">
      <c r="A2451" s="496"/>
      <c r="D2451" s="496"/>
    </row>
    <row r="2452" spans="1:4" x14ac:dyDescent="0.2">
      <c r="A2452" s="496"/>
      <c r="D2452" s="496"/>
    </row>
    <row r="2453" spans="1:4" x14ac:dyDescent="0.2">
      <c r="A2453" s="496"/>
      <c r="D2453" s="496"/>
    </row>
    <row r="2454" spans="1:4" x14ac:dyDescent="0.2">
      <c r="A2454" s="496"/>
      <c r="D2454" s="496"/>
    </row>
    <row r="2455" spans="1:4" x14ac:dyDescent="0.2">
      <c r="A2455" s="496"/>
      <c r="D2455" s="496"/>
    </row>
    <row r="2456" spans="1:4" x14ac:dyDescent="0.2">
      <c r="A2456" s="496"/>
      <c r="D2456" s="496"/>
    </row>
    <row r="2457" spans="1:4" x14ac:dyDescent="0.2">
      <c r="A2457" s="496"/>
      <c r="D2457" s="496"/>
    </row>
    <row r="2458" spans="1:4" x14ac:dyDescent="0.2">
      <c r="A2458" s="496"/>
      <c r="D2458" s="496"/>
    </row>
    <row r="2459" spans="1:4" x14ac:dyDescent="0.2">
      <c r="A2459" s="496"/>
      <c r="D2459" s="496"/>
    </row>
    <row r="2460" spans="1:4" x14ac:dyDescent="0.2">
      <c r="A2460" s="496"/>
      <c r="D2460" s="496"/>
    </row>
    <row r="2461" spans="1:4" x14ac:dyDescent="0.2">
      <c r="A2461" s="496"/>
      <c r="D2461" s="496"/>
    </row>
    <row r="2462" spans="1:4" x14ac:dyDescent="0.2">
      <c r="A2462" s="496"/>
      <c r="D2462" s="496"/>
    </row>
    <row r="2463" spans="1:4" x14ac:dyDescent="0.2">
      <c r="A2463" s="496"/>
      <c r="D2463" s="496"/>
    </row>
    <row r="2464" spans="1:4" x14ac:dyDescent="0.2">
      <c r="A2464" s="496"/>
      <c r="D2464" s="496"/>
    </row>
    <row r="2465" spans="1:4" x14ac:dyDescent="0.2">
      <c r="A2465" s="496"/>
      <c r="D2465" s="496"/>
    </row>
    <row r="2466" spans="1:4" x14ac:dyDescent="0.2">
      <c r="A2466" s="496"/>
      <c r="D2466" s="496"/>
    </row>
    <row r="2467" spans="1:4" x14ac:dyDescent="0.2">
      <c r="A2467" s="496"/>
      <c r="D2467" s="496"/>
    </row>
    <row r="2468" spans="1:4" x14ac:dyDescent="0.2">
      <c r="A2468" s="496"/>
      <c r="D2468" s="496"/>
    </row>
    <row r="2469" spans="1:4" x14ac:dyDescent="0.2">
      <c r="A2469" s="496"/>
      <c r="D2469" s="496"/>
    </row>
    <row r="2470" spans="1:4" x14ac:dyDescent="0.2">
      <c r="A2470" s="496"/>
      <c r="D2470" s="496"/>
    </row>
    <row r="2471" spans="1:4" x14ac:dyDescent="0.2">
      <c r="A2471" s="496"/>
      <c r="D2471" s="496"/>
    </row>
    <row r="2472" spans="1:4" x14ac:dyDescent="0.2">
      <c r="A2472" s="496"/>
      <c r="D2472" s="496"/>
    </row>
    <row r="2473" spans="1:4" x14ac:dyDescent="0.2">
      <c r="A2473" s="496"/>
      <c r="D2473" s="496"/>
    </row>
    <row r="2474" spans="1:4" x14ac:dyDescent="0.2">
      <c r="A2474" s="496"/>
      <c r="D2474" s="496"/>
    </row>
    <row r="2475" spans="1:4" x14ac:dyDescent="0.2">
      <c r="A2475" s="496"/>
      <c r="D2475" s="496"/>
    </row>
    <row r="2476" spans="1:4" x14ac:dyDescent="0.2">
      <c r="A2476" s="496"/>
      <c r="D2476" s="496"/>
    </row>
    <row r="2477" spans="1:4" x14ac:dyDescent="0.2">
      <c r="A2477" s="496"/>
      <c r="D2477" s="496"/>
    </row>
    <row r="2478" spans="1:4" x14ac:dyDescent="0.2">
      <c r="A2478" s="496"/>
      <c r="D2478" s="496"/>
    </row>
    <row r="2479" spans="1:4" x14ac:dyDescent="0.2">
      <c r="A2479" s="496"/>
      <c r="D2479" s="496"/>
    </row>
    <row r="2480" spans="1:4" x14ac:dyDescent="0.2">
      <c r="A2480" s="496"/>
      <c r="D2480" s="496"/>
    </row>
    <row r="2481" spans="1:4" x14ac:dyDescent="0.2">
      <c r="A2481" s="496"/>
      <c r="D2481" s="496"/>
    </row>
    <row r="2482" spans="1:4" x14ac:dyDescent="0.2">
      <c r="A2482" s="496"/>
      <c r="D2482" s="496"/>
    </row>
    <row r="2483" spans="1:4" x14ac:dyDescent="0.2">
      <c r="A2483" s="496"/>
      <c r="D2483" s="496"/>
    </row>
    <row r="2484" spans="1:4" x14ac:dyDescent="0.2">
      <c r="A2484" s="496"/>
      <c r="D2484" s="496"/>
    </row>
    <row r="2485" spans="1:4" x14ac:dyDescent="0.2">
      <c r="A2485" s="496"/>
      <c r="D2485" s="496"/>
    </row>
    <row r="2486" spans="1:4" x14ac:dyDescent="0.2">
      <c r="A2486" s="496"/>
      <c r="D2486" s="496"/>
    </row>
    <row r="2487" spans="1:4" x14ac:dyDescent="0.2">
      <c r="A2487" s="496"/>
      <c r="D2487" s="496"/>
    </row>
    <row r="2488" spans="1:4" x14ac:dyDescent="0.2">
      <c r="A2488" s="496"/>
      <c r="D2488" s="496"/>
    </row>
    <row r="2489" spans="1:4" x14ac:dyDescent="0.2">
      <c r="A2489" s="496"/>
      <c r="D2489" s="496"/>
    </row>
    <row r="2490" spans="1:4" x14ac:dyDescent="0.2">
      <c r="A2490" s="496"/>
      <c r="D2490" s="496"/>
    </row>
    <row r="2491" spans="1:4" x14ac:dyDescent="0.2">
      <c r="A2491" s="496"/>
      <c r="D2491" s="496"/>
    </row>
    <row r="2492" spans="1:4" x14ac:dyDescent="0.2">
      <c r="A2492" s="496"/>
      <c r="D2492" s="496"/>
    </row>
    <row r="2493" spans="1:4" x14ac:dyDescent="0.2">
      <c r="A2493" s="496"/>
      <c r="D2493" s="496"/>
    </row>
    <row r="2494" spans="1:4" x14ac:dyDescent="0.2">
      <c r="A2494" s="496"/>
      <c r="D2494" s="496"/>
    </row>
    <row r="2495" spans="1:4" x14ac:dyDescent="0.2">
      <c r="A2495" s="496"/>
      <c r="D2495" s="496"/>
    </row>
    <row r="2496" spans="1:4" x14ac:dyDescent="0.2">
      <c r="A2496" s="496"/>
      <c r="D2496" s="496"/>
    </row>
    <row r="2497" spans="1:4" x14ac:dyDescent="0.2">
      <c r="A2497" s="496"/>
      <c r="D2497" s="496"/>
    </row>
    <row r="2498" spans="1:4" x14ac:dyDescent="0.2">
      <c r="A2498" s="496"/>
      <c r="D2498" s="496"/>
    </row>
    <row r="2499" spans="1:4" x14ac:dyDescent="0.2">
      <c r="A2499" s="496"/>
      <c r="D2499" s="496"/>
    </row>
    <row r="2500" spans="1:4" x14ac:dyDescent="0.2">
      <c r="A2500" s="496"/>
      <c r="D2500" s="496"/>
    </row>
    <row r="2501" spans="1:4" x14ac:dyDescent="0.2">
      <c r="A2501" s="496"/>
      <c r="D2501" s="496"/>
    </row>
    <row r="2502" spans="1:4" x14ac:dyDescent="0.2">
      <c r="A2502" s="496"/>
      <c r="D2502" s="496"/>
    </row>
    <row r="2503" spans="1:4" x14ac:dyDescent="0.2">
      <c r="A2503" s="496"/>
      <c r="D2503" s="496"/>
    </row>
    <row r="2504" spans="1:4" x14ac:dyDescent="0.2">
      <c r="A2504" s="496"/>
      <c r="D2504" s="496"/>
    </row>
    <row r="2505" spans="1:4" x14ac:dyDescent="0.2">
      <c r="A2505" s="496"/>
      <c r="D2505" s="496"/>
    </row>
    <row r="2506" spans="1:4" x14ac:dyDescent="0.2">
      <c r="A2506" s="496"/>
      <c r="D2506" s="496"/>
    </row>
    <row r="2507" spans="1:4" x14ac:dyDescent="0.2">
      <c r="A2507" s="496"/>
      <c r="D2507" s="496"/>
    </row>
    <row r="2508" spans="1:4" x14ac:dyDescent="0.2">
      <c r="A2508" s="496"/>
      <c r="D2508" s="496"/>
    </row>
    <row r="2509" spans="1:4" x14ac:dyDescent="0.2">
      <c r="A2509" s="496"/>
      <c r="D2509" s="496"/>
    </row>
    <row r="2510" spans="1:4" x14ac:dyDescent="0.2">
      <c r="A2510" s="496"/>
      <c r="D2510" s="496"/>
    </row>
    <row r="2511" spans="1:4" x14ac:dyDescent="0.2">
      <c r="A2511" s="496"/>
      <c r="D2511" s="496"/>
    </row>
    <row r="2512" spans="1:4" x14ac:dyDescent="0.2">
      <c r="A2512" s="496"/>
      <c r="D2512" s="496"/>
    </row>
    <row r="2513" spans="1:4" x14ac:dyDescent="0.2">
      <c r="A2513" s="496"/>
      <c r="D2513" s="496"/>
    </row>
    <row r="2514" spans="1:4" x14ac:dyDescent="0.2">
      <c r="A2514" s="496"/>
      <c r="D2514" s="496"/>
    </row>
    <row r="2515" spans="1:4" x14ac:dyDescent="0.2">
      <c r="A2515" s="496"/>
      <c r="D2515" s="496"/>
    </row>
    <row r="2516" spans="1:4" x14ac:dyDescent="0.2">
      <c r="A2516" s="496"/>
      <c r="D2516" s="496"/>
    </row>
    <row r="2517" spans="1:4" x14ac:dyDescent="0.2">
      <c r="A2517" s="496"/>
      <c r="D2517" s="496"/>
    </row>
    <row r="2518" spans="1:4" x14ac:dyDescent="0.2">
      <c r="A2518" s="496"/>
      <c r="D2518" s="496"/>
    </row>
    <row r="2519" spans="1:4" x14ac:dyDescent="0.2">
      <c r="A2519" s="496"/>
      <c r="D2519" s="496"/>
    </row>
    <row r="2520" spans="1:4" x14ac:dyDescent="0.2">
      <c r="A2520" s="496"/>
      <c r="D2520" s="496"/>
    </row>
    <row r="2521" spans="1:4" x14ac:dyDescent="0.2">
      <c r="A2521" s="496"/>
      <c r="D2521" s="496"/>
    </row>
    <row r="2522" spans="1:4" x14ac:dyDescent="0.2">
      <c r="A2522" s="496"/>
      <c r="D2522" s="496"/>
    </row>
    <row r="2523" spans="1:4" x14ac:dyDescent="0.2">
      <c r="A2523" s="496"/>
      <c r="D2523" s="496"/>
    </row>
    <row r="2524" spans="1:4" x14ac:dyDescent="0.2">
      <c r="A2524" s="496"/>
      <c r="D2524" s="496"/>
    </row>
    <row r="2525" spans="1:4" x14ac:dyDescent="0.2">
      <c r="A2525" s="496"/>
      <c r="D2525" s="496"/>
    </row>
    <row r="2526" spans="1:4" x14ac:dyDescent="0.2">
      <c r="A2526" s="496"/>
      <c r="D2526" s="496"/>
    </row>
    <row r="2527" spans="1:4" x14ac:dyDescent="0.2">
      <c r="A2527" s="496"/>
      <c r="D2527" s="496"/>
    </row>
    <row r="2528" spans="1:4" x14ac:dyDescent="0.2">
      <c r="A2528" s="496"/>
      <c r="D2528" s="496"/>
    </row>
    <row r="2529" spans="1:4" x14ac:dyDescent="0.2">
      <c r="A2529" s="496"/>
      <c r="D2529" s="496"/>
    </row>
    <row r="2530" spans="1:4" x14ac:dyDescent="0.2">
      <c r="A2530" s="496"/>
      <c r="D2530" s="496"/>
    </row>
    <row r="2531" spans="1:4" x14ac:dyDescent="0.2">
      <c r="A2531" s="496"/>
      <c r="D2531" s="496"/>
    </row>
    <row r="2532" spans="1:4" x14ac:dyDescent="0.2">
      <c r="A2532" s="496"/>
      <c r="D2532" s="496"/>
    </row>
    <row r="2533" spans="1:4" x14ac:dyDescent="0.2">
      <c r="A2533" s="496"/>
      <c r="D2533" s="496"/>
    </row>
    <row r="2534" spans="1:4" x14ac:dyDescent="0.2">
      <c r="A2534" s="496"/>
      <c r="D2534" s="496"/>
    </row>
    <row r="2535" spans="1:4" x14ac:dyDescent="0.2">
      <c r="A2535" s="496"/>
      <c r="D2535" s="496"/>
    </row>
    <row r="2536" spans="1:4" x14ac:dyDescent="0.2">
      <c r="A2536" s="496"/>
      <c r="D2536" s="496"/>
    </row>
    <row r="2537" spans="1:4" x14ac:dyDescent="0.2">
      <c r="A2537" s="496"/>
      <c r="D2537" s="496"/>
    </row>
    <row r="2538" spans="1:4" x14ac:dyDescent="0.2">
      <c r="A2538" s="496"/>
      <c r="D2538" s="496"/>
    </row>
    <row r="2539" spans="1:4" x14ac:dyDescent="0.2">
      <c r="A2539" s="496"/>
      <c r="D2539" s="496"/>
    </row>
    <row r="2540" spans="1:4" x14ac:dyDescent="0.2">
      <c r="A2540" s="496"/>
      <c r="D2540" s="496"/>
    </row>
    <row r="2541" spans="1:4" x14ac:dyDescent="0.2">
      <c r="A2541" s="496"/>
      <c r="D2541" s="496"/>
    </row>
    <row r="2542" spans="1:4" x14ac:dyDescent="0.2">
      <c r="A2542" s="496"/>
      <c r="D2542" s="496"/>
    </row>
    <row r="2543" spans="1:4" x14ac:dyDescent="0.2">
      <c r="A2543" s="496"/>
      <c r="D2543" s="496"/>
    </row>
    <row r="2544" spans="1:4" x14ac:dyDescent="0.2">
      <c r="A2544" s="496"/>
      <c r="D2544" s="496"/>
    </row>
    <row r="2545" spans="1:4" x14ac:dyDescent="0.2">
      <c r="A2545" s="496"/>
      <c r="D2545" s="496"/>
    </row>
    <row r="2546" spans="1:4" x14ac:dyDescent="0.2">
      <c r="A2546" s="496"/>
      <c r="D2546" s="496"/>
    </row>
    <row r="2547" spans="1:4" x14ac:dyDescent="0.2">
      <c r="A2547" s="496"/>
      <c r="D2547" s="496"/>
    </row>
    <row r="2548" spans="1:4" x14ac:dyDescent="0.2">
      <c r="A2548" s="496"/>
      <c r="D2548" s="496"/>
    </row>
    <row r="2549" spans="1:4" x14ac:dyDescent="0.2">
      <c r="A2549" s="496"/>
      <c r="D2549" s="496"/>
    </row>
    <row r="2550" spans="1:4" x14ac:dyDescent="0.2">
      <c r="A2550" s="496"/>
      <c r="D2550" s="496"/>
    </row>
    <row r="2551" spans="1:4" x14ac:dyDescent="0.2">
      <c r="A2551" s="496"/>
      <c r="D2551" s="496"/>
    </row>
    <row r="2552" spans="1:4" x14ac:dyDescent="0.2">
      <c r="A2552" s="496"/>
      <c r="D2552" s="496"/>
    </row>
    <row r="2553" spans="1:4" x14ac:dyDescent="0.2">
      <c r="A2553" s="496"/>
      <c r="D2553" s="496"/>
    </row>
    <row r="2554" spans="1:4" x14ac:dyDescent="0.2">
      <c r="A2554" s="496"/>
      <c r="D2554" s="496"/>
    </row>
    <row r="2555" spans="1:4" x14ac:dyDescent="0.2">
      <c r="A2555" s="496"/>
      <c r="D2555" s="496"/>
    </row>
    <row r="2556" spans="1:4" x14ac:dyDescent="0.2">
      <c r="A2556" s="496"/>
      <c r="D2556" s="496"/>
    </row>
    <row r="2557" spans="1:4" x14ac:dyDescent="0.2">
      <c r="A2557" s="496"/>
      <c r="D2557" s="496"/>
    </row>
    <row r="2558" spans="1:4" x14ac:dyDescent="0.2">
      <c r="A2558" s="496"/>
      <c r="D2558" s="496"/>
    </row>
    <row r="2559" spans="1:4" x14ac:dyDescent="0.2">
      <c r="A2559" s="496"/>
      <c r="D2559" s="496"/>
    </row>
    <row r="2560" spans="1:4" x14ac:dyDescent="0.2">
      <c r="A2560" s="496"/>
      <c r="D2560" s="496"/>
    </row>
    <row r="2561" spans="1:4" x14ac:dyDescent="0.2">
      <c r="A2561" s="496"/>
      <c r="D2561" s="496"/>
    </row>
    <row r="2562" spans="1:4" x14ac:dyDescent="0.2">
      <c r="A2562" s="496"/>
      <c r="D2562" s="496"/>
    </row>
    <row r="2563" spans="1:4" x14ac:dyDescent="0.2">
      <c r="A2563" s="496"/>
      <c r="D2563" s="496"/>
    </row>
    <row r="2564" spans="1:4" x14ac:dyDescent="0.2">
      <c r="A2564" s="496"/>
      <c r="D2564" s="496"/>
    </row>
    <row r="2565" spans="1:4" x14ac:dyDescent="0.2">
      <c r="A2565" s="496"/>
      <c r="D2565" s="496"/>
    </row>
    <row r="2566" spans="1:4" x14ac:dyDescent="0.2">
      <c r="A2566" s="496"/>
      <c r="D2566" s="496"/>
    </row>
    <row r="2567" spans="1:4" x14ac:dyDescent="0.2">
      <c r="A2567" s="496"/>
      <c r="D2567" s="496"/>
    </row>
    <row r="2568" spans="1:4" x14ac:dyDescent="0.2">
      <c r="A2568" s="496"/>
      <c r="D2568" s="496"/>
    </row>
    <row r="2569" spans="1:4" x14ac:dyDescent="0.2">
      <c r="A2569" s="496"/>
      <c r="D2569" s="496"/>
    </row>
    <row r="2570" spans="1:4" x14ac:dyDescent="0.2">
      <c r="A2570" s="496"/>
      <c r="D2570" s="496"/>
    </row>
    <row r="2571" spans="1:4" x14ac:dyDescent="0.2">
      <c r="A2571" s="496"/>
      <c r="D2571" s="496"/>
    </row>
    <row r="2572" spans="1:4" x14ac:dyDescent="0.2">
      <c r="A2572" s="496"/>
      <c r="D2572" s="496"/>
    </row>
    <row r="2573" spans="1:4" x14ac:dyDescent="0.2">
      <c r="A2573" s="496"/>
      <c r="D2573" s="496"/>
    </row>
    <row r="2574" spans="1:4" x14ac:dyDescent="0.2">
      <c r="A2574" s="496"/>
      <c r="D2574" s="496"/>
    </row>
    <row r="2575" spans="1:4" x14ac:dyDescent="0.2">
      <c r="A2575" s="496"/>
      <c r="D2575" s="496"/>
    </row>
    <row r="2576" spans="1:4" x14ac:dyDescent="0.2">
      <c r="A2576" s="496"/>
      <c r="D2576" s="496"/>
    </row>
    <row r="2577" spans="1:4" x14ac:dyDescent="0.2">
      <c r="A2577" s="496"/>
      <c r="D2577" s="496"/>
    </row>
    <row r="2578" spans="1:4" x14ac:dyDescent="0.2">
      <c r="A2578" s="496"/>
      <c r="D2578" s="496"/>
    </row>
    <row r="2579" spans="1:4" x14ac:dyDescent="0.2">
      <c r="A2579" s="496"/>
      <c r="D2579" s="496"/>
    </row>
    <row r="2580" spans="1:4" x14ac:dyDescent="0.2">
      <c r="A2580" s="496"/>
      <c r="D2580" s="496"/>
    </row>
    <row r="2581" spans="1:4" x14ac:dyDescent="0.2">
      <c r="A2581" s="496"/>
      <c r="D2581" s="496"/>
    </row>
    <row r="2582" spans="1:4" x14ac:dyDescent="0.2">
      <c r="A2582" s="496"/>
      <c r="D2582" s="496"/>
    </row>
    <row r="2583" spans="1:4" x14ac:dyDescent="0.2">
      <c r="A2583" s="496"/>
      <c r="D2583" s="496"/>
    </row>
    <row r="2584" spans="1:4" x14ac:dyDescent="0.2">
      <c r="A2584" s="496"/>
      <c r="D2584" s="496"/>
    </row>
    <row r="2585" spans="1:4" x14ac:dyDescent="0.2">
      <c r="A2585" s="496"/>
      <c r="D2585" s="496"/>
    </row>
    <row r="2586" spans="1:4" x14ac:dyDescent="0.2">
      <c r="A2586" s="496"/>
      <c r="D2586" s="496"/>
    </row>
    <row r="2587" spans="1:4" x14ac:dyDescent="0.2">
      <c r="A2587" s="496"/>
      <c r="D2587" s="496"/>
    </row>
    <row r="2588" spans="1:4" x14ac:dyDescent="0.2">
      <c r="A2588" s="496"/>
      <c r="D2588" s="496"/>
    </row>
    <row r="2589" spans="1:4" x14ac:dyDescent="0.2">
      <c r="A2589" s="496"/>
      <c r="D2589" s="496"/>
    </row>
    <row r="2590" spans="1:4" x14ac:dyDescent="0.2">
      <c r="A2590" s="496"/>
      <c r="D2590" s="496"/>
    </row>
    <row r="2591" spans="1:4" x14ac:dyDescent="0.2">
      <c r="A2591" s="496"/>
      <c r="D2591" s="496"/>
    </row>
    <row r="2592" spans="1:4" x14ac:dyDescent="0.2">
      <c r="A2592" s="496"/>
      <c r="D2592" s="496"/>
    </row>
    <row r="2593" spans="1:4" x14ac:dyDescent="0.2">
      <c r="A2593" s="496"/>
      <c r="D2593" s="496"/>
    </row>
    <row r="2594" spans="1:4" x14ac:dyDescent="0.2">
      <c r="A2594" s="496"/>
      <c r="D2594" s="496"/>
    </row>
    <row r="2595" spans="1:4" x14ac:dyDescent="0.2">
      <c r="A2595" s="496"/>
      <c r="D2595" s="496"/>
    </row>
    <row r="2596" spans="1:4" x14ac:dyDescent="0.2">
      <c r="A2596" s="496"/>
      <c r="D2596" s="496"/>
    </row>
    <row r="2597" spans="1:4" x14ac:dyDescent="0.2">
      <c r="A2597" s="496"/>
      <c r="D2597" s="496"/>
    </row>
    <row r="2598" spans="1:4" x14ac:dyDescent="0.2">
      <c r="A2598" s="496"/>
      <c r="D2598" s="496"/>
    </row>
    <row r="2599" spans="1:4" x14ac:dyDescent="0.2">
      <c r="A2599" s="496"/>
      <c r="D2599" s="496"/>
    </row>
    <row r="2600" spans="1:4" x14ac:dyDescent="0.2">
      <c r="A2600" s="496"/>
      <c r="D2600" s="496"/>
    </row>
    <row r="2601" spans="1:4" x14ac:dyDescent="0.2">
      <c r="A2601" s="496"/>
      <c r="D2601" s="496"/>
    </row>
    <row r="2602" spans="1:4" x14ac:dyDescent="0.2">
      <c r="A2602" s="496"/>
      <c r="D2602" s="496"/>
    </row>
    <row r="2603" spans="1:4" x14ac:dyDescent="0.2">
      <c r="A2603" s="496"/>
      <c r="D2603" s="496"/>
    </row>
    <row r="2604" spans="1:4" x14ac:dyDescent="0.2">
      <c r="A2604" s="496"/>
      <c r="D2604" s="496"/>
    </row>
    <row r="2605" spans="1:4" x14ac:dyDescent="0.2">
      <c r="A2605" s="496"/>
      <c r="D2605" s="496"/>
    </row>
    <row r="2606" spans="1:4" x14ac:dyDescent="0.2">
      <c r="A2606" s="496"/>
      <c r="D2606" s="496"/>
    </row>
    <row r="2607" spans="1:4" x14ac:dyDescent="0.2">
      <c r="A2607" s="496"/>
      <c r="D2607" s="496"/>
    </row>
    <row r="2608" spans="1:4" x14ac:dyDescent="0.2">
      <c r="A2608" s="496"/>
      <c r="D2608" s="496"/>
    </row>
    <row r="2609" spans="1:4" x14ac:dyDescent="0.2">
      <c r="A2609" s="496"/>
      <c r="D2609" s="496"/>
    </row>
    <row r="2610" spans="1:4" x14ac:dyDescent="0.2">
      <c r="A2610" s="496"/>
      <c r="D2610" s="496"/>
    </row>
    <row r="2611" spans="1:4" x14ac:dyDescent="0.2">
      <c r="A2611" s="496"/>
      <c r="D2611" s="496"/>
    </row>
    <row r="2612" spans="1:4" x14ac:dyDescent="0.2">
      <c r="A2612" s="496"/>
      <c r="D2612" s="496"/>
    </row>
    <row r="2613" spans="1:4" x14ac:dyDescent="0.2">
      <c r="A2613" s="496"/>
      <c r="D2613" s="496"/>
    </row>
    <row r="2614" spans="1:4" x14ac:dyDescent="0.2">
      <c r="A2614" s="496"/>
      <c r="D2614" s="496"/>
    </row>
    <row r="2615" spans="1:4" x14ac:dyDescent="0.2">
      <c r="A2615" s="496"/>
      <c r="D2615" s="496"/>
    </row>
    <row r="2616" spans="1:4" x14ac:dyDescent="0.2">
      <c r="A2616" s="496"/>
      <c r="D2616" s="496"/>
    </row>
    <row r="2617" spans="1:4" x14ac:dyDescent="0.2">
      <c r="A2617" s="496"/>
      <c r="D2617" s="496"/>
    </row>
    <row r="2618" spans="1:4" x14ac:dyDescent="0.2">
      <c r="A2618" s="496"/>
      <c r="D2618" s="496"/>
    </row>
    <row r="2619" spans="1:4" x14ac:dyDescent="0.2">
      <c r="A2619" s="496"/>
      <c r="D2619" s="496"/>
    </row>
    <row r="2620" spans="1:4" x14ac:dyDescent="0.2">
      <c r="A2620" s="496"/>
      <c r="D2620" s="496"/>
    </row>
    <row r="2621" spans="1:4" x14ac:dyDescent="0.2">
      <c r="A2621" s="496"/>
      <c r="D2621" s="496"/>
    </row>
    <row r="2622" spans="1:4" x14ac:dyDescent="0.2">
      <c r="A2622" s="496"/>
      <c r="D2622" s="496"/>
    </row>
    <row r="2623" spans="1:4" x14ac:dyDescent="0.2">
      <c r="A2623" s="496"/>
      <c r="D2623" s="496"/>
    </row>
    <row r="2624" spans="1:4" x14ac:dyDescent="0.2">
      <c r="A2624" s="496"/>
      <c r="D2624" s="496"/>
    </row>
    <row r="2625" spans="1:4" x14ac:dyDescent="0.2">
      <c r="A2625" s="496"/>
      <c r="D2625" s="496"/>
    </row>
    <row r="2626" spans="1:4" x14ac:dyDescent="0.2">
      <c r="A2626" s="496"/>
      <c r="D2626" s="496"/>
    </row>
    <row r="2627" spans="1:4" x14ac:dyDescent="0.2">
      <c r="A2627" s="496"/>
      <c r="D2627" s="496"/>
    </row>
    <row r="2628" spans="1:4" x14ac:dyDescent="0.2">
      <c r="A2628" s="496"/>
      <c r="D2628" s="496"/>
    </row>
    <row r="2629" spans="1:4" x14ac:dyDescent="0.2">
      <c r="A2629" s="496"/>
      <c r="D2629" s="496"/>
    </row>
    <row r="2630" spans="1:4" x14ac:dyDescent="0.2">
      <c r="A2630" s="496"/>
      <c r="D2630" s="496"/>
    </row>
    <row r="2631" spans="1:4" x14ac:dyDescent="0.2">
      <c r="A2631" s="496"/>
      <c r="D2631" s="496"/>
    </row>
    <row r="2632" spans="1:4" x14ac:dyDescent="0.2">
      <c r="A2632" s="496"/>
      <c r="D2632" s="496"/>
    </row>
    <row r="2633" spans="1:4" x14ac:dyDescent="0.2">
      <c r="A2633" s="496"/>
      <c r="D2633" s="496"/>
    </row>
    <row r="2634" spans="1:4" x14ac:dyDescent="0.2">
      <c r="A2634" s="496"/>
      <c r="D2634" s="496"/>
    </row>
    <row r="2635" spans="1:4" x14ac:dyDescent="0.2">
      <c r="A2635" s="496"/>
      <c r="D2635" s="496"/>
    </row>
    <row r="2636" spans="1:4" x14ac:dyDescent="0.2">
      <c r="A2636" s="496"/>
      <c r="D2636" s="496"/>
    </row>
    <row r="2637" spans="1:4" x14ac:dyDescent="0.2">
      <c r="A2637" s="496"/>
      <c r="D2637" s="496"/>
    </row>
    <row r="2638" spans="1:4" x14ac:dyDescent="0.2">
      <c r="A2638" s="496"/>
      <c r="D2638" s="496"/>
    </row>
    <row r="2639" spans="1:4" x14ac:dyDescent="0.2">
      <c r="A2639" s="496"/>
      <c r="D2639" s="496"/>
    </row>
    <row r="2640" spans="1:4" x14ac:dyDescent="0.2">
      <c r="A2640" s="496"/>
      <c r="D2640" s="496"/>
    </row>
    <row r="2641" spans="1:4" x14ac:dyDescent="0.2">
      <c r="A2641" s="496"/>
      <c r="D2641" s="496"/>
    </row>
    <row r="2642" spans="1:4" x14ac:dyDescent="0.2">
      <c r="A2642" s="496"/>
      <c r="D2642" s="496"/>
    </row>
    <row r="2643" spans="1:4" x14ac:dyDescent="0.2">
      <c r="A2643" s="496"/>
      <c r="D2643" s="496"/>
    </row>
    <row r="2644" spans="1:4" x14ac:dyDescent="0.2">
      <c r="A2644" s="496"/>
      <c r="D2644" s="496"/>
    </row>
    <row r="2645" spans="1:4" x14ac:dyDescent="0.2">
      <c r="A2645" s="496"/>
      <c r="D2645" s="496"/>
    </row>
    <row r="2646" spans="1:4" x14ac:dyDescent="0.2">
      <c r="A2646" s="496"/>
      <c r="D2646" s="496"/>
    </row>
    <row r="2647" spans="1:4" x14ac:dyDescent="0.2">
      <c r="A2647" s="496"/>
      <c r="D2647" s="496"/>
    </row>
    <row r="2648" spans="1:4" x14ac:dyDescent="0.2">
      <c r="A2648" s="496"/>
      <c r="D2648" s="496"/>
    </row>
    <row r="2649" spans="1:4" x14ac:dyDescent="0.2">
      <c r="A2649" s="496"/>
      <c r="D2649" s="496"/>
    </row>
    <row r="2650" spans="1:4" x14ac:dyDescent="0.2">
      <c r="A2650" s="496"/>
      <c r="D2650" s="496"/>
    </row>
    <row r="2651" spans="1:4" x14ac:dyDescent="0.2">
      <c r="A2651" s="496"/>
      <c r="D2651" s="496"/>
    </row>
    <row r="2652" spans="1:4" x14ac:dyDescent="0.2">
      <c r="A2652" s="496"/>
      <c r="D2652" s="496"/>
    </row>
    <row r="2653" spans="1:4" x14ac:dyDescent="0.2">
      <c r="A2653" s="496"/>
      <c r="D2653" s="496"/>
    </row>
    <row r="2654" spans="1:4" x14ac:dyDescent="0.2">
      <c r="A2654" s="496"/>
      <c r="D2654" s="496"/>
    </row>
    <row r="2655" spans="1:4" x14ac:dyDescent="0.2">
      <c r="A2655" s="496"/>
      <c r="D2655" s="496"/>
    </row>
    <row r="2656" spans="1:4" x14ac:dyDescent="0.2">
      <c r="A2656" s="496"/>
      <c r="D2656" s="496"/>
    </row>
    <row r="2657" spans="1:4" x14ac:dyDescent="0.2">
      <c r="A2657" s="496"/>
      <c r="D2657" s="496"/>
    </row>
    <row r="2658" spans="1:4" x14ac:dyDescent="0.2">
      <c r="A2658" s="496"/>
      <c r="D2658" s="496"/>
    </row>
    <row r="2659" spans="1:4" x14ac:dyDescent="0.2">
      <c r="A2659" s="496"/>
      <c r="D2659" s="496"/>
    </row>
    <row r="2660" spans="1:4" x14ac:dyDescent="0.2">
      <c r="A2660" s="496"/>
      <c r="D2660" s="496"/>
    </row>
    <row r="2661" spans="1:4" x14ac:dyDescent="0.2">
      <c r="A2661" s="496"/>
      <c r="D2661" s="496"/>
    </row>
    <row r="2662" spans="1:4" x14ac:dyDescent="0.2">
      <c r="A2662" s="496"/>
      <c r="D2662" s="496"/>
    </row>
    <row r="2663" spans="1:4" x14ac:dyDescent="0.2">
      <c r="A2663" s="496"/>
      <c r="D2663" s="496"/>
    </row>
    <row r="2664" spans="1:4" x14ac:dyDescent="0.2">
      <c r="A2664" s="496"/>
      <c r="D2664" s="496"/>
    </row>
    <row r="2665" spans="1:4" x14ac:dyDescent="0.2">
      <c r="A2665" s="496"/>
      <c r="D2665" s="496"/>
    </row>
    <row r="2666" spans="1:4" x14ac:dyDescent="0.2">
      <c r="A2666" s="496"/>
      <c r="D2666" s="496"/>
    </row>
    <row r="2667" spans="1:4" x14ac:dyDescent="0.2">
      <c r="A2667" s="496"/>
      <c r="D2667" s="496"/>
    </row>
    <row r="2668" spans="1:4" x14ac:dyDescent="0.2">
      <c r="A2668" s="496"/>
      <c r="D2668" s="496"/>
    </row>
    <row r="2669" spans="1:4" x14ac:dyDescent="0.2">
      <c r="A2669" s="496"/>
      <c r="D2669" s="496"/>
    </row>
    <row r="2670" spans="1:4" x14ac:dyDescent="0.2">
      <c r="A2670" s="496"/>
      <c r="D2670" s="496"/>
    </row>
    <row r="2671" spans="1:4" x14ac:dyDescent="0.2">
      <c r="A2671" s="496"/>
      <c r="D2671" s="496"/>
    </row>
    <row r="2672" spans="1:4" x14ac:dyDescent="0.2">
      <c r="A2672" s="496"/>
      <c r="D2672" s="496"/>
    </row>
    <row r="2673" spans="1:4" x14ac:dyDescent="0.2">
      <c r="A2673" s="496"/>
      <c r="D2673" s="496"/>
    </row>
    <row r="2674" spans="1:4" x14ac:dyDescent="0.2">
      <c r="A2674" s="496"/>
      <c r="D2674" s="496"/>
    </row>
    <row r="2675" spans="1:4" x14ac:dyDescent="0.2">
      <c r="A2675" s="496"/>
      <c r="D2675" s="496"/>
    </row>
    <row r="2676" spans="1:4" x14ac:dyDescent="0.2">
      <c r="A2676" s="496"/>
      <c r="D2676" s="496"/>
    </row>
    <row r="2677" spans="1:4" x14ac:dyDescent="0.2">
      <c r="A2677" s="496"/>
      <c r="D2677" s="496"/>
    </row>
    <row r="2678" spans="1:4" x14ac:dyDescent="0.2">
      <c r="A2678" s="496"/>
      <c r="D2678" s="496"/>
    </row>
    <row r="2679" spans="1:4" x14ac:dyDescent="0.2">
      <c r="A2679" s="496"/>
      <c r="D2679" s="496"/>
    </row>
    <row r="2680" spans="1:4" x14ac:dyDescent="0.2">
      <c r="A2680" s="496"/>
      <c r="D2680" s="496"/>
    </row>
    <row r="2681" spans="1:4" x14ac:dyDescent="0.2">
      <c r="A2681" s="496"/>
      <c r="D2681" s="496"/>
    </row>
    <row r="2682" spans="1:4" x14ac:dyDescent="0.2">
      <c r="A2682" s="496"/>
      <c r="D2682" s="496"/>
    </row>
    <row r="2683" spans="1:4" x14ac:dyDescent="0.2">
      <c r="A2683" s="496"/>
      <c r="D2683" s="496"/>
    </row>
    <row r="2684" spans="1:4" x14ac:dyDescent="0.2">
      <c r="A2684" s="496"/>
      <c r="D2684" s="496"/>
    </row>
    <row r="2685" spans="1:4" x14ac:dyDescent="0.2">
      <c r="A2685" s="496"/>
      <c r="D2685" s="496"/>
    </row>
    <row r="2686" spans="1:4" x14ac:dyDescent="0.2">
      <c r="A2686" s="496"/>
      <c r="D2686" s="496"/>
    </row>
    <row r="2687" spans="1:4" x14ac:dyDescent="0.2">
      <c r="A2687" s="496"/>
      <c r="D2687" s="496"/>
    </row>
    <row r="2688" spans="1:4" x14ac:dyDescent="0.2">
      <c r="A2688" s="496"/>
      <c r="D2688" s="496"/>
    </row>
    <row r="2689" spans="1:4" x14ac:dyDescent="0.2">
      <c r="A2689" s="496"/>
      <c r="D2689" s="496"/>
    </row>
    <row r="2690" spans="1:4" x14ac:dyDescent="0.2">
      <c r="A2690" s="496"/>
      <c r="D2690" s="496"/>
    </row>
    <row r="2691" spans="1:4" x14ac:dyDescent="0.2">
      <c r="A2691" s="496"/>
      <c r="D2691" s="496"/>
    </row>
    <row r="2692" spans="1:4" x14ac:dyDescent="0.2">
      <c r="A2692" s="496"/>
      <c r="D2692" s="496"/>
    </row>
    <row r="2693" spans="1:4" x14ac:dyDescent="0.2">
      <c r="A2693" s="496"/>
      <c r="D2693" s="496"/>
    </row>
    <row r="2694" spans="1:4" x14ac:dyDescent="0.2">
      <c r="A2694" s="496"/>
      <c r="D2694" s="496"/>
    </row>
    <row r="2695" spans="1:4" x14ac:dyDescent="0.2">
      <c r="A2695" s="496"/>
      <c r="D2695" s="496"/>
    </row>
    <row r="2696" spans="1:4" x14ac:dyDescent="0.2">
      <c r="A2696" s="496"/>
      <c r="D2696" s="496"/>
    </row>
    <row r="2697" spans="1:4" x14ac:dyDescent="0.2">
      <c r="A2697" s="496"/>
      <c r="D2697" s="496"/>
    </row>
    <row r="2698" spans="1:4" x14ac:dyDescent="0.2">
      <c r="A2698" s="496"/>
      <c r="D2698" s="496"/>
    </row>
    <row r="2699" spans="1:4" x14ac:dyDescent="0.2">
      <c r="A2699" s="496"/>
      <c r="D2699" s="496"/>
    </row>
    <row r="2700" spans="1:4" x14ac:dyDescent="0.2">
      <c r="A2700" s="496"/>
      <c r="D2700" s="496"/>
    </row>
    <row r="2701" spans="1:4" x14ac:dyDescent="0.2">
      <c r="A2701" s="496"/>
      <c r="D2701" s="496"/>
    </row>
    <row r="2702" spans="1:4" x14ac:dyDescent="0.2">
      <c r="A2702" s="496"/>
      <c r="D2702" s="496"/>
    </row>
    <row r="2703" spans="1:4" x14ac:dyDescent="0.2">
      <c r="A2703" s="496"/>
      <c r="D2703" s="496"/>
    </row>
    <row r="2704" spans="1:4" x14ac:dyDescent="0.2">
      <c r="A2704" s="496"/>
      <c r="D2704" s="496"/>
    </row>
    <row r="2705" spans="1:4" x14ac:dyDescent="0.2">
      <c r="A2705" s="496"/>
      <c r="D2705" s="496"/>
    </row>
    <row r="2706" spans="1:4" x14ac:dyDescent="0.2">
      <c r="A2706" s="496"/>
      <c r="D2706" s="496"/>
    </row>
    <row r="2707" spans="1:4" x14ac:dyDescent="0.2">
      <c r="A2707" s="496"/>
      <c r="D2707" s="496"/>
    </row>
    <row r="2708" spans="1:4" x14ac:dyDescent="0.2">
      <c r="A2708" s="496"/>
      <c r="D2708" s="496"/>
    </row>
    <row r="2709" spans="1:4" x14ac:dyDescent="0.2">
      <c r="A2709" s="496"/>
      <c r="D2709" s="496"/>
    </row>
    <row r="2710" spans="1:4" x14ac:dyDescent="0.2">
      <c r="A2710" s="496"/>
      <c r="D2710" s="496"/>
    </row>
    <row r="2711" spans="1:4" x14ac:dyDescent="0.2">
      <c r="A2711" s="496"/>
      <c r="D2711" s="496"/>
    </row>
    <row r="2712" spans="1:4" x14ac:dyDescent="0.2">
      <c r="A2712" s="496"/>
      <c r="D2712" s="496"/>
    </row>
    <row r="2713" spans="1:4" x14ac:dyDescent="0.2">
      <c r="A2713" s="496"/>
      <c r="D2713" s="496"/>
    </row>
    <row r="2714" spans="1:4" x14ac:dyDescent="0.2">
      <c r="A2714" s="496"/>
      <c r="D2714" s="496"/>
    </row>
    <row r="2715" spans="1:4" x14ac:dyDescent="0.2">
      <c r="A2715" s="496"/>
      <c r="D2715" s="496"/>
    </row>
    <row r="2716" spans="1:4" x14ac:dyDescent="0.2">
      <c r="A2716" s="496"/>
      <c r="D2716" s="496"/>
    </row>
    <row r="2717" spans="1:4" x14ac:dyDescent="0.2">
      <c r="A2717" s="496"/>
      <c r="D2717" s="496"/>
    </row>
    <row r="2718" spans="1:4" x14ac:dyDescent="0.2">
      <c r="A2718" s="496"/>
      <c r="D2718" s="496"/>
    </row>
    <row r="2719" spans="1:4" x14ac:dyDescent="0.2">
      <c r="A2719" s="496"/>
      <c r="D2719" s="496"/>
    </row>
    <row r="2720" spans="1:4" x14ac:dyDescent="0.2">
      <c r="A2720" s="496"/>
      <c r="D2720" s="496"/>
    </row>
    <row r="2721" spans="1:4" x14ac:dyDescent="0.2">
      <c r="A2721" s="496"/>
      <c r="D2721" s="496"/>
    </row>
    <row r="2722" spans="1:4" x14ac:dyDescent="0.2">
      <c r="A2722" s="496"/>
      <c r="D2722" s="496"/>
    </row>
    <row r="2723" spans="1:4" x14ac:dyDescent="0.2">
      <c r="A2723" s="496"/>
      <c r="D2723" s="496"/>
    </row>
    <row r="2724" spans="1:4" x14ac:dyDescent="0.2">
      <c r="A2724" s="496"/>
      <c r="D2724" s="496"/>
    </row>
    <row r="2725" spans="1:4" x14ac:dyDescent="0.2">
      <c r="A2725" s="496"/>
      <c r="D2725" s="496"/>
    </row>
    <row r="2726" spans="1:4" x14ac:dyDescent="0.2">
      <c r="A2726" s="496"/>
      <c r="D2726" s="496"/>
    </row>
    <row r="2727" spans="1:4" x14ac:dyDescent="0.2">
      <c r="A2727" s="496"/>
      <c r="D2727" s="496"/>
    </row>
    <row r="2728" spans="1:4" x14ac:dyDescent="0.2">
      <c r="A2728" s="496"/>
      <c r="D2728" s="496"/>
    </row>
    <row r="2729" spans="1:4" x14ac:dyDescent="0.2">
      <c r="A2729" s="496"/>
      <c r="D2729" s="496"/>
    </row>
    <row r="2730" spans="1:4" x14ac:dyDescent="0.2">
      <c r="A2730" s="496"/>
      <c r="D2730" s="496"/>
    </row>
    <row r="2731" spans="1:4" x14ac:dyDescent="0.2">
      <c r="A2731" s="496"/>
      <c r="D2731" s="496"/>
    </row>
    <row r="2732" spans="1:4" x14ac:dyDescent="0.2">
      <c r="A2732" s="496"/>
      <c r="D2732" s="496"/>
    </row>
    <row r="2733" spans="1:4" x14ac:dyDescent="0.2">
      <c r="A2733" s="496"/>
      <c r="D2733" s="496"/>
    </row>
    <row r="2734" spans="1:4" x14ac:dyDescent="0.2">
      <c r="A2734" s="496"/>
      <c r="D2734" s="496"/>
    </row>
    <row r="2735" spans="1:4" x14ac:dyDescent="0.2">
      <c r="A2735" s="496"/>
      <c r="D2735" s="496"/>
    </row>
    <row r="2736" spans="1:4" x14ac:dyDescent="0.2">
      <c r="A2736" s="496"/>
      <c r="D2736" s="496"/>
    </row>
    <row r="2737" spans="1:4" x14ac:dyDescent="0.2">
      <c r="A2737" s="496"/>
      <c r="D2737" s="496"/>
    </row>
    <row r="2738" spans="1:4" x14ac:dyDescent="0.2">
      <c r="A2738" s="496"/>
      <c r="D2738" s="496"/>
    </row>
    <row r="2739" spans="1:4" x14ac:dyDescent="0.2">
      <c r="A2739" s="496"/>
      <c r="D2739" s="496"/>
    </row>
    <row r="2740" spans="1:4" x14ac:dyDescent="0.2">
      <c r="A2740" s="496"/>
      <c r="D2740" s="496"/>
    </row>
    <row r="2741" spans="1:4" x14ac:dyDescent="0.2">
      <c r="A2741" s="496"/>
      <c r="D2741" s="496"/>
    </row>
    <row r="2742" spans="1:4" x14ac:dyDescent="0.2">
      <c r="A2742" s="496"/>
      <c r="D2742" s="496"/>
    </row>
    <row r="2743" spans="1:4" x14ac:dyDescent="0.2">
      <c r="A2743" s="496"/>
      <c r="D2743" s="496"/>
    </row>
    <row r="2744" spans="1:4" x14ac:dyDescent="0.2">
      <c r="A2744" s="496"/>
      <c r="D2744" s="496"/>
    </row>
    <row r="2745" spans="1:4" x14ac:dyDescent="0.2">
      <c r="A2745" s="496"/>
      <c r="D2745" s="496"/>
    </row>
    <row r="2746" spans="1:4" x14ac:dyDescent="0.2">
      <c r="A2746" s="496"/>
      <c r="D2746" s="496"/>
    </row>
    <row r="2747" spans="1:4" x14ac:dyDescent="0.2">
      <c r="A2747" s="496"/>
      <c r="D2747" s="496"/>
    </row>
    <row r="2748" spans="1:4" x14ac:dyDescent="0.2">
      <c r="A2748" s="496"/>
      <c r="D2748" s="496"/>
    </row>
    <row r="2749" spans="1:4" x14ac:dyDescent="0.2">
      <c r="A2749" s="496"/>
      <c r="D2749" s="496"/>
    </row>
    <row r="2750" spans="1:4" x14ac:dyDescent="0.2">
      <c r="A2750" s="496"/>
      <c r="D2750" s="496"/>
    </row>
    <row r="2751" spans="1:4" x14ac:dyDescent="0.2">
      <c r="A2751" s="496"/>
      <c r="D2751" s="496"/>
    </row>
    <row r="2752" spans="1:4" x14ac:dyDescent="0.2">
      <c r="A2752" s="496"/>
      <c r="D2752" s="496"/>
    </row>
    <row r="2753" spans="1:4" x14ac:dyDescent="0.2">
      <c r="A2753" s="496"/>
      <c r="D2753" s="496"/>
    </row>
    <row r="2754" spans="1:4" x14ac:dyDescent="0.2">
      <c r="A2754" s="496"/>
      <c r="D2754" s="496"/>
    </row>
    <row r="2755" spans="1:4" x14ac:dyDescent="0.2">
      <c r="A2755" s="496"/>
      <c r="D2755" s="496"/>
    </row>
    <row r="2756" spans="1:4" x14ac:dyDescent="0.2">
      <c r="A2756" s="496"/>
      <c r="D2756" s="496"/>
    </row>
    <row r="2757" spans="1:4" x14ac:dyDescent="0.2">
      <c r="A2757" s="496"/>
      <c r="D2757" s="496"/>
    </row>
    <row r="2758" spans="1:4" x14ac:dyDescent="0.2">
      <c r="A2758" s="496"/>
      <c r="D2758" s="496"/>
    </row>
    <row r="2759" spans="1:4" x14ac:dyDescent="0.2">
      <c r="A2759" s="496"/>
      <c r="D2759" s="496"/>
    </row>
    <row r="2760" spans="1:4" x14ac:dyDescent="0.2">
      <c r="A2760" s="496"/>
      <c r="D2760" s="496"/>
    </row>
    <row r="2761" spans="1:4" x14ac:dyDescent="0.2">
      <c r="A2761" s="496"/>
      <c r="D2761" s="496"/>
    </row>
    <row r="2762" spans="1:4" x14ac:dyDescent="0.2">
      <c r="A2762" s="496"/>
      <c r="D2762" s="496"/>
    </row>
    <row r="2763" spans="1:4" x14ac:dyDescent="0.2">
      <c r="A2763" s="496"/>
      <c r="D2763" s="496"/>
    </row>
    <row r="2764" spans="1:4" x14ac:dyDescent="0.2">
      <c r="A2764" s="496"/>
      <c r="D2764" s="496"/>
    </row>
    <row r="2765" spans="1:4" x14ac:dyDescent="0.2">
      <c r="A2765" s="496"/>
      <c r="D2765" s="496"/>
    </row>
    <row r="2766" spans="1:4" x14ac:dyDescent="0.2">
      <c r="A2766" s="496"/>
      <c r="D2766" s="496"/>
    </row>
    <row r="2767" spans="1:4" x14ac:dyDescent="0.2">
      <c r="A2767" s="496"/>
      <c r="D2767" s="496"/>
    </row>
    <row r="2768" spans="1:4" x14ac:dyDescent="0.2">
      <c r="A2768" s="496"/>
      <c r="D2768" s="496"/>
    </row>
    <row r="2769" spans="1:4" x14ac:dyDescent="0.2">
      <c r="A2769" s="496"/>
      <c r="D2769" s="496"/>
    </row>
    <row r="2770" spans="1:4" x14ac:dyDescent="0.2">
      <c r="A2770" s="496"/>
      <c r="D2770" s="496"/>
    </row>
    <row r="2771" spans="1:4" x14ac:dyDescent="0.2">
      <c r="A2771" s="496"/>
      <c r="D2771" s="496"/>
    </row>
    <row r="2772" spans="1:4" x14ac:dyDescent="0.2">
      <c r="A2772" s="496"/>
      <c r="D2772" s="496"/>
    </row>
    <row r="2773" spans="1:4" x14ac:dyDescent="0.2">
      <c r="A2773" s="496"/>
      <c r="D2773" s="496"/>
    </row>
    <row r="2774" spans="1:4" x14ac:dyDescent="0.2">
      <c r="A2774" s="496"/>
      <c r="D2774" s="496"/>
    </row>
    <row r="2775" spans="1:4" x14ac:dyDescent="0.2">
      <c r="A2775" s="496"/>
      <c r="D2775" s="496"/>
    </row>
    <row r="2776" spans="1:4" x14ac:dyDescent="0.2">
      <c r="A2776" s="496"/>
      <c r="D2776" s="496"/>
    </row>
    <row r="2777" spans="1:4" x14ac:dyDescent="0.2">
      <c r="A2777" s="496"/>
      <c r="D2777" s="496"/>
    </row>
    <row r="2778" spans="1:4" x14ac:dyDescent="0.2">
      <c r="A2778" s="496"/>
      <c r="D2778" s="496"/>
    </row>
    <row r="2779" spans="1:4" x14ac:dyDescent="0.2">
      <c r="A2779" s="496"/>
      <c r="D2779" s="496"/>
    </row>
    <row r="2780" spans="1:4" x14ac:dyDescent="0.2">
      <c r="A2780" s="496"/>
      <c r="D2780" s="496"/>
    </row>
    <row r="2781" spans="1:4" x14ac:dyDescent="0.2">
      <c r="A2781" s="496"/>
      <c r="D2781" s="496"/>
    </row>
    <row r="2782" spans="1:4" x14ac:dyDescent="0.2">
      <c r="A2782" s="496"/>
      <c r="D2782" s="496"/>
    </row>
    <row r="2783" spans="1:4" x14ac:dyDescent="0.2">
      <c r="A2783" s="496"/>
      <c r="D2783" s="496"/>
    </row>
    <row r="2784" spans="1:4" x14ac:dyDescent="0.2">
      <c r="A2784" s="496"/>
      <c r="D2784" s="496"/>
    </row>
    <row r="2785" spans="1:4" x14ac:dyDescent="0.2">
      <c r="A2785" s="496"/>
      <c r="D2785" s="496"/>
    </row>
    <row r="2786" spans="1:4" x14ac:dyDescent="0.2">
      <c r="A2786" s="496"/>
      <c r="D2786" s="496"/>
    </row>
    <row r="2787" spans="1:4" x14ac:dyDescent="0.2">
      <c r="A2787" s="496"/>
      <c r="D2787" s="496"/>
    </row>
    <row r="2788" spans="1:4" x14ac:dyDescent="0.2">
      <c r="A2788" s="496"/>
      <c r="D2788" s="496"/>
    </row>
    <row r="2789" spans="1:4" x14ac:dyDescent="0.2">
      <c r="A2789" s="496"/>
      <c r="D2789" s="496"/>
    </row>
    <row r="2790" spans="1:4" x14ac:dyDescent="0.2">
      <c r="A2790" s="496"/>
      <c r="D2790" s="496"/>
    </row>
    <row r="2791" spans="1:4" x14ac:dyDescent="0.2">
      <c r="A2791" s="496"/>
      <c r="D2791" s="496"/>
    </row>
    <row r="2792" spans="1:4" x14ac:dyDescent="0.2">
      <c r="A2792" s="496"/>
      <c r="D2792" s="496"/>
    </row>
    <row r="2793" spans="1:4" x14ac:dyDescent="0.2">
      <c r="A2793" s="496"/>
      <c r="D2793" s="496"/>
    </row>
    <row r="2794" spans="1:4" x14ac:dyDescent="0.2">
      <c r="A2794" s="496"/>
      <c r="D2794" s="496"/>
    </row>
    <row r="2795" spans="1:4" x14ac:dyDescent="0.2">
      <c r="A2795" s="496"/>
      <c r="D2795" s="496"/>
    </row>
    <row r="2796" spans="1:4" x14ac:dyDescent="0.2">
      <c r="A2796" s="496"/>
      <c r="D2796" s="496"/>
    </row>
    <row r="2797" spans="1:4" x14ac:dyDescent="0.2">
      <c r="A2797" s="496"/>
      <c r="D2797" s="496"/>
    </row>
    <row r="2798" spans="1:4" x14ac:dyDescent="0.2">
      <c r="A2798" s="496"/>
      <c r="D2798" s="496"/>
    </row>
    <row r="2799" spans="1:4" x14ac:dyDescent="0.2">
      <c r="A2799" s="496"/>
      <c r="D2799" s="496"/>
    </row>
    <row r="2800" spans="1:4" x14ac:dyDescent="0.2">
      <c r="A2800" s="496"/>
      <c r="D2800" s="496"/>
    </row>
    <row r="2801" spans="1:4" x14ac:dyDescent="0.2">
      <c r="A2801" s="496"/>
      <c r="D2801" s="496"/>
    </row>
    <row r="2802" spans="1:4" x14ac:dyDescent="0.2">
      <c r="A2802" s="496"/>
      <c r="D2802" s="496"/>
    </row>
    <row r="2803" spans="1:4" x14ac:dyDescent="0.2">
      <c r="A2803" s="496"/>
      <c r="D2803" s="496"/>
    </row>
    <row r="2804" spans="1:4" x14ac:dyDescent="0.2">
      <c r="A2804" s="496"/>
      <c r="D2804" s="496"/>
    </row>
    <row r="2805" spans="1:4" x14ac:dyDescent="0.2">
      <c r="A2805" s="496"/>
      <c r="D2805" s="496"/>
    </row>
    <row r="2806" spans="1:4" x14ac:dyDescent="0.2">
      <c r="A2806" s="496"/>
      <c r="D2806" s="496"/>
    </row>
    <row r="2807" spans="1:4" x14ac:dyDescent="0.2">
      <c r="A2807" s="496"/>
      <c r="D2807" s="496"/>
    </row>
    <row r="2808" spans="1:4" x14ac:dyDescent="0.2">
      <c r="A2808" s="496"/>
      <c r="D2808" s="496"/>
    </row>
    <row r="2809" spans="1:4" x14ac:dyDescent="0.2">
      <c r="A2809" s="496"/>
      <c r="D2809" s="496"/>
    </row>
    <row r="2810" spans="1:4" x14ac:dyDescent="0.2">
      <c r="A2810" s="496"/>
      <c r="D2810" s="496"/>
    </row>
    <row r="2811" spans="1:4" x14ac:dyDescent="0.2">
      <c r="A2811" s="496"/>
      <c r="D2811" s="496"/>
    </row>
    <row r="2812" spans="1:4" x14ac:dyDescent="0.2">
      <c r="A2812" s="496"/>
      <c r="D2812" s="496"/>
    </row>
    <row r="2813" spans="1:4" x14ac:dyDescent="0.2">
      <c r="A2813" s="496"/>
      <c r="D2813" s="496"/>
    </row>
    <row r="2814" spans="1:4" x14ac:dyDescent="0.2">
      <c r="A2814" s="496"/>
      <c r="D2814" s="496"/>
    </row>
    <row r="2815" spans="1:4" x14ac:dyDescent="0.2">
      <c r="A2815" s="496"/>
      <c r="D2815" s="496"/>
    </row>
    <row r="2816" spans="1:4" x14ac:dyDescent="0.2">
      <c r="A2816" s="496"/>
      <c r="D2816" s="496"/>
    </row>
    <row r="2817" spans="1:4" x14ac:dyDescent="0.2">
      <c r="A2817" s="496"/>
      <c r="D2817" s="496"/>
    </row>
    <row r="2818" spans="1:4" x14ac:dyDescent="0.2">
      <c r="A2818" s="496"/>
      <c r="D2818" s="496"/>
    </row>
    <row r="2819" spans="1:4" x14ac:dyDescent="0.2">
      <c r="A2819" s="496"/>
      <c r="D2819" s="496"/>
    </row>
    <row r="2820" spans="1:4" x14ac:dyDescent="0.2">
      <c r="A2820" s="496"/>
      <c r="D2820" s="496"/>
    </row>
    <row r="2821" spans="1:4" x14ac:dyDescent="0.2">
      <c r="A2821" s="496"/>
      <c r="D2821" s="496"/>
    </row>
    <row r="2822" spans="1:4" x14ac:dyDescent="0.2">
      <c r="A2822" s="496"/>
      <c r="D2822" s="496"/>
    </row>
    <row r="2823" spans="1:4" x14ac:dyDescent="0.2">
      <c r="A2823" s="496"/>
      <c r="D2823" s="496"/>
    </row>
    <row r="2824" spans="1:4" x14ac:dyDescent="0.2">
      <c r="A2824" s="496"/>
      <c r="D2824" s="496"/>
    </row>
    <row r="2825" spans="1:4" x14ac:dyDescent="0.2">
      <c r="A2825" s="496"/>
      <c r="D2825" s="496"/>
    </row>
    <row r="2826" spans="1:4" x14ac:dyDescent="0.2">
      <c r="A2826" s="496"/>
      <c r="D2826" s="496"/>
    </row>
    <row r="2827" spans="1:4" x14ac:dyDescent="0.2">
      <c r="A2827" s="496"/>
      <c r="D2827" s="496"/>
    </row>
    <row r="2828" spans="1:4" x14ac:dyDescent="0.2">
      <c r="A2828" s="496"/>
      <c r="D2828" s="496"/>
    </row>
    <row r="2829" spans="1:4" x14ac:dyDescent="0.2">
      <c r="A2829" s="496"/>
      <c r="D2829" s="496"/>
    </row>
    <row r="2830" spans="1:4" x14ac:dyDescent="0.2">
      <c r="A2830" s="496"/>
      <c r="D2830" s="496"/>
    </row>
    <row r="2831" spans="1:4" x14ac:dyDescent="0.2">
      <c r="A2831" s="496"/>
      <c r="D2831" s="496"/>
    </row>
    <row r="2832" spans="1:4" x14ac:dyDescent="0.2">
      <c r="A2832" s="496"/>
      <c r="D2832" s="496"/>
    </row>
    <row r="2833" spans="1:4" x14ac:dyDescent="0.2">
      <c r="A2833" s="496"/>
      <c r="D2833" s="496"/>
    </row>
    <row r="2834" spans="1:4" x14ac:dyDescent="0.2">
      <c r="A2834" s="496"/>
      <c r="D2834" s="496"/>
    </row>
    <row r="2835" spans="1:4" x14ac:dyDescent="0.2">
      <c r="A2835" s="496"/>
      <c r="D2835" s="496"/>
    </row>
    <row r="2836" spans="1:4" x14ac:dyDescent="0.2">
      <c r="A2836" s="496"/>
      <c r="D2836" s="496"/>
    </row>
    <row r="2837" spans="1:4" x14ac:dyDescent="0.2">
      <c r="A2837" s="496"/>
      <c r="D2837" s="496"/>
    </row>
    <row r="2838" spans="1:4" x14ac:dyDescent="0.2">
      <c r="A2838" s="496"/>
      <c r="D2838" s="496"/>
    </row>
    <row r="2839" spans="1:4" x14ac:dyDescent="0.2">
      <c r="A2839" s="496"/>
      <c r="D2839" s="496"/>
    </row>
    <row r="2840" spans="1:4" x14ac:dyDescent="0.2">
      <c r="A2840" s="496"/>
      <c r="D2840" s="496"/>
    </row>
    <row r="2841" spans="1:4" x14ac:dyDescent="0.2">
      <c r="A2841" s="496"/>
      <c r="D2841" s="496"/>
    </row>
    <row r="2842" spans="1:4" x14ac:dyDescent="0.2">
      <c r="A2842" s="496"/>
      <c r="D2842" s="496"/>
    </row>
    <row r="2843" spans="1:4" x14ac:dyDescent="0.2">
      <c r="A2843" s="496"/>
      <c r="D2843" s="496"/>
    </row>
    <row r="2844" spans="1:4" x14ac:dyDescent="0.2">
      <c r="A2844" s="496"/>
      <c r="D2844" s="496"/>
    </row>
    <row r="2845" spans="1:4" x14ac:dyDescent="0.2">
      <c r="A2845" s="496"/>
      <c r="D2845" s="496"/>
    </row>
    <row r="2846" spans="1:4" x14ac:dyDescent="0.2">
      <c r="A2846" s="496"/>
      <c r="D2846" s="496"/>
    </row>
    <row r="2847" spans="1:4" x14ac:dyDescent="0.2">
      <c r="A2847" s="496"/>
      <c r="D2847" s="496"/>
    </row>
    <row r="2848" spans="1:4" x14ac:dyDescent="0.2">
      <c r="A2848" s="496"/>
      <c r="D2848" s="496"/>
    </row>
    <row r="2849" spans="1:4" x14ac:dyDescent="0.2">
      <c r="A2849" s="496"/>
      <c r="D2849" s="496"/>
    </row>
    <row r="2850" spans="1:4" x14ac:dyDescent="0.2">
      <c r="A2850" s="496"/>
      <c r="D2850" s="496"/>
    </row>
    <row r="2851" spans="1:4" x14ac:dyDescent="0.2">
      <c r="A2851" s="496"/>
      <c r="D2851" s="496"/>
    </row>
    <row r="2852" spans="1:4" x14ac:dyDescent="0.2">
      <c r="A2852" s="496"/>
      <c r="D2852" s="496"/>
    </row>
    <row r="2853" spans="1:4" x14ac:dyDescent="0.2">
      <c r="A2853" s="496"/>
      <c r="D2853" s="496"/>
    </row>
    <row r="2854" spans="1:4" x14ac:dyDescent="0.2">
      <c r="A2854" s="496"/>
      <c r="D2854" s="496"/>
    </row>
    <row r="2855" spans="1:4" x14ac:dyDescent="0.2">
      <c r="A2855" s="496"/>
      <c r="D2855" s="496"/>
    </row>
    <row r="2856" spans="1:4" x14ac:dyDescent="0.2">
      <c r="A2856" s="496"/>
      <c r="D2856" s="496"/>
    </row>
    <row r="2857" spans="1:4" x14ac:dyDescent="0.2">
      <c r="A2857" s="496"/>
      <c r="D2857" s="496"/>
    </row>
    <row r="2858" spans="1:4" x14ac:dyDescent="0.2">
      <c r="A2858" s="496"/>
      <c r="D2858" s="496"/>
    </row>
    <row r="2859" spans="1:4" x14ac:dyDescent="0.2">
      <c r="A2859" s="496"/>
      <c r="D2859" s="496"/>
    </row>
    <row r="2860" spans="1:4" x14ac:dyDescent="0.2">
      <c r="A2860" s="496"/>
      <c r="D2860" s="496"/>
    </row>
    <row r="2861" spans="1:4" x14ac:dyDescent="0.2">
      <c r="A2861" s="496"/>
      <c r="D2861" s="496"/>
    </row>
    <row r="2862" spans="1:4" x14ac:dyDescent="0.2">
      <c r="A2862" s="496"/>
      <c r="D2862" s="496"/>
    </row>
    <row r="2863" spans="1:4" x14ac:dyDescent="0.2">
      <c r="A2863" s="496"/>
      <c r="D2863" s="496"/>
    </row>
    <row r="2864" spans="1:4" x14ac:dyDescent="0.2">
      <c r="A2864" s="496"/>
      <c r="D2864" s="496"/>
    </row>
    <row r="2865" spans="1:4" x14ac:dyDescent="0.2">
      <c r="A2865" s="496"/>
      <c r="D2865" s="496"/>
    </row>
    <row r="2866" spans="1:4" x14ac:dyDescent="0.2">
      <c r="A2866" s="496"/>
      <c r="D2866" s="496"/>
    </row>
    <row r="2867" spans="1:4" x14ac:dyDescent="0.2">
      <c r="A2867" s="496"/>
      <c r="D2867" s="496"/>
    </row>
    <row r="2868" spans="1:4" x14ac:dyDescent="0.2">
      <c r="A2868" s="496"/>
      <c r="D2868" s="496"/>
    </row>
    <row r="2869" spans="1:4" x14ac:dyDescent="0.2">
      <c r="A2869" s="496"/>
      <c r="D2869" s="496"/>
    </row>
    <row r="2870" spans="1:4" x14ac:dyDescent="0.2">
      <c r="A2870" s="496"/>
      <c r="D2870" s="496"/>
    </row>
    <row r="2871" spans="1:4" x14ac:dyDescent="0.2">
      <c r="A2871" s="496"/>
      <c r="D2871" s="496"/>
    </row>
    <row r="2872" spans="1:4" x14ac:dyDescent="0.2">
      <c r="A2872" s="496"/>
      <c r="D2872" s="496"/>
    </row>
    <row r="2873" spans="1:4" x14ac:dyDescent="0.2">
      <c r="A2873" s="496"/>
      <c r="D2873" s="496"/>
    </row>
    <row r="2874" spans="1:4" x14ac:dyDescent="0.2">
      <c r="A2874" s="496"/>
      <c r="D2874" s="496"/>
    </row>
    <row r="2875" spans="1:4" x14ac:dyDescent="0.2">
      <c r="A2875" s="496"/>
      <c r="D2875" s="496"/>
    </row>
    <row r="2876" spans="1:4" x14ac:dyDescent="0.2">
      <c r="A2876" s="496"/>
      <c r="D2876" s="496"/>
    </row>
    <row r="2877" spans="1:4" x14ac:dyDescent="0.2">
      <c r="A2877" s="496"/>
      <c r="D2877" s="496"/>
    </row>
    <row r="2878" spans="1:4" x14ac:dyDescent="0.2">
      <c r="A2878" s="496"/>
      <c r="D2878" s="496"/>
    </row>
    <row r="2879" spans="1:4" x14ac:dyDescent="0.2">
      <c r="A2879" s="496"/>
      <c r="D2879" s="496"/>
    </row>
    <row r="2880" spans="1:4" x14ac:dyDescent="0.2">
      <c r="A2880" s="496"/>
      <c r="D2880" s="496"/>
    </row>
    <row r="2881" spans="1:4" x14ac:dyDescent="0.2">
      <c r="A2881" s="496"/>
      <c r="D2881" s="496"/>
    </row>
    <row r="2882" spans="1:4" x14ac:dyDescent="0.2">
      <c r="A2882" s="496"/>
      <c r="D2882" s="496"/>
    </row>
    <row r="2883" spans="1:4" x14ac:dyDescent="0.2">
      <c r="A2883" s="496"/>
      <c r="D2883" s="496"/>
    </row>
    <row r="2884" spans="1:4" x14ac:dyDescent="0.2">
      <c r="A2884" s="496"/>
      <c r="D2884" s="496"/>
    </row>
    <row r="2885" spans="1:4" x14ac:dyDescent="0.2">
      <c r="A2885" s="496"/>
      <c r="D2885" s="496"/>
    </row>
    <row r="2886" spans="1:4" x14ac:dyDescent="0.2">
      <c r="A2886" s="496"/>
      <c r="D2886" s="496"/>
    </row>
    <row r="2887" spans="1:4" x14ac:dyDescent="0.2">
      <c r="A2887" s="496"/>
      <c r="D2887" s="496"/>
    </row>
    <row r="2888" spans="1:4" x14ac:dyDescent="0.2">
      <c r="A2888" s="496"/>
      <c r="D2888" s="496"/>
    </row>
    <row r="2889" spans="1:4" x14ac:dyDescent="0.2">
      <c r="A2889" s="496"/>
      <c r="D2889" s="496"/>
    </row>
    <row r="2890" spans="1:4" x14ac:dyDescent="0.2">
      <c r="A2890" s="496"/>
      <c r="D2890" s="496"/>
    </row>
    <row r="2891" spans="1:4" x14ac:dyDescent="0.2">
      <c r="A2891" s="496"/>
      <c r="D2891" s="496"/>
    </row>
    <row r="2892" spans="1:4" x14ac:dyDescent="0.2">
      <c r="A2892" s="496"/>
      <c r="D2892" s="496"/>
    </row>
    <row r="2893" spans="1:4" x14ac:dyDescent="0.2">
      <c r="A2893" s="496"/>
      <c r="D2893" s="496"/>
    </row>
    <row r="2894" spans="1:4" x14ac:dyDescent="0.2">
      <c r="A2894" s="496"/>
      <c r="D2894" s="496"/>
    </row>
    <row r="2895" spans="1:4" x14ac:dyDescent="0.2">
      <c r="A2895" s="496"/>
      <c r="D2895" s="496"/>
    </row>
    <row r="2896" spans="1:4" x14ac:dyDescent="0.2">
      <c r="A2896" s="496"/>
      <c r="D2896" s="496"/>
    </row>
    <row r="2897" spans="1:4" x14ac:dyDescent="0.2">
      <c r="A2897" s="496"/>
      <c r="D2897" s="496"/>
    </row>
    <row r="2898" spans="1:4" x14ac:dyDescent="0.2">
      <c r="A2898" s="496"/>
      <c r="D2898" s="496"/>
    </row>
    <row r="2899" spans="1:4" x14ac:dyDescent="0.2">
      <c r="A2899" s="496"/>
      <c r="D2899" s="496"/>
    </row>
    <row r="2900" spans="1:4" x14ac:dyDescent="0.2">
      <c r="A2900" s="496"/>
      <c r="D2900" s="496"/>
    </row>
    <row r="2901" spans="1:4" x14ac:dyDescent="0.2">
      <c r="A2901" s="496"/>
      <c r="D2901" s="496"/>
    </row>
    <row r="2902" spans="1:4" x14ac:dyDescent="0.2">
      <c r="A2902" s="496"/>
      <c r="D2902" s="496"/>
    </row>
    <row r="2903" spans="1:4" x14ac:dyDescent="0.2">
      <c r="A2903" s="496"/>
      <c r="D2903" s="496"/>
    </row>
    <row r="2904" spans="1:4" x14ac:dyDescent="0.2">
      <c r="A2904" s="496"/>
      <c r="D2904" s="496"/>
    </row>
    <row r="2905" spans="1:4" x14ac:dyDescent="0.2">
      <c r="A2905" s="496"/>
      <c r="D2905" s="496"/>
    </row>
    <row r="2906" spans="1:4" x14ac:dyDescent="0.2">
      <c r="A2906" s="496"/>
      <c r="D2906" s="496"/>
    </row>
    <row r="2907" spans="1:4" x14ac:dyDescent="0.2">
      <c r="A2907" s="496"/>
      <c r="D2907" s="496"/>
    </row>
    <row r="2908" spans="1:4" x14ac:dyDescent="0.2">
      <c r="A2908" s="496"/>
      <c r="D2908" s="496"/>
    </row>
    <row r="2909" spans="1:4" x14ac:dyDescent="0.2">
      <c r="A2909" s="496"/>
      <c r="D2909" s="496"/>
    </row>
    <row r="2910" spans="1:4" x14ac:dyDescent="0.2">
      <c r="A2910" s="496"/>
      <c r="D2910" s="496"/>
    </row>
    <row r="2911" spans="1:4" x14ac:dyDescent="0.2">
      <c r="A2911" s="496"/>
      <c r="D2911" s="496"/>
    </row>
    <row r="2912" spans="1:4" x14ac:dyDescent="0.2">
      <c r="A2912" s="496"/>
      <c r="D2912" s="496"/>
    </row>
    <row r="2913" spans="1:4" x14ac:dyDescent="0.2">
      <c r="A2913" s="496"/>
      <c r="D2913" s="496"/>
    </row>
    <row r="2914" spans="1:4" x14ac:dyDescent="0.2">
      <c r="A2914" s="496"/>
      <c r="D2914" s="496"/>
    </row>
    <row r="2915" spans="1:4" x14ac:dyDescent="0.2">
      <c r="A2915" s="496"/>
      <c r="D2915" s="496"/>
    </row>
    <row r="2916" spans="1:4" x14ac:dyDescent="0.2">
      <c r="A2916" s="496"/>
      <c r="D2916" s="496"/>
    </row>
    <row r="2917" spans="1:4" x14ac:dyDescent="0.2">
      <c r="A2917" s="496"/>
      <c r="D2917" s="496"/>
    </row>
    <row r="2918" spans="1:4" x14ac:dyDescent="0.2">
      <c r="A2918" s="496"/>
      <c r="D2918" s="496"/>
    </row>
    <row r="2919" spans="1:4" x14ac:dyDescent="0.2">
      <c r="A2919" s="496"/>
      <c r="D2919" s="496"/>
    </row>
    <row r="2920" spans="1:4" x14ac:dyDescent="0.2">
      <c r="A2920" s="496"/>
      <c r="D2920" s="496"/>
    </row>
    <row r="2921" spans="1:4" x14ac:dyDescent="0.2">
      <c r="A2921" s="496"/>
      <c r="D2921" s="496"/>
    </row>
    <row r="2922" spans="1:4" x14ac:dyDescent="0.2">
      <c r="A2922" s="496"/>
      <c r="D2922" s="496"/>
    </row>
    <row r="2923" spans="1:4" x14ac:dyDescent="0.2">
      <c r="A2923" s="496"/>
      <c r="D2923" s="496"/>
    </row>
    <row r="2924" spans="1:4" x14ac:dyDescent="0.2">
      <c r="A2924" s="496"/>
      <c r="D2924" s="496"/>
    </row>
    <row r="2925" spans="1:4" x14ac:dyDescent="0.2">
      <c r="A2925" s="496"/>
      <c r="D2925" s="496"/>
    </row>
    <row r="2926" spans="1:4" x14ac:dyDescent="0.2">
      <c r="A2926" s="496"/>
      <c r="D2926" s="496"/>
    </row>
    <row r="2927" spans="1:4" x14ac:dyDescent="0.2">
      <c r="A2927" s="496"/>
      <c r="D2927" s="496"/>
    </row>
    <row r="2928" spans="1:4" x14ac:dyDescent="0.2">
      <c r="A2928" s="496"/>
      <c r="D2928" s="496"/>
    </row>
    <row r="2929" spans="1:4" x14ac:dyDescent="0.2">
      <c r="A2929" s="496"/>
      <c r="D2929" s="496"/>
    </row>
    <row r="2930" spans="1:4" x14ac:dyDescent="0.2">
      <c r="A2930" s="496"/>
      <c r="D2930" s="496"/>
    </row>
    <row r="2931" spans="1:4" x14ac:dyDescent="0.2">
      <c r="A2931" s="496"/>
      <c r="D2931" s="496"/>
    </row>
    <row r="2932" spans="1:4" x14ac:dyDescent="0.2">
      <c r="A2932" s="496"/>
      <c r="D2932" s="496"/>
    </row>
    <row r="2933" spans="1:4" x14ac:dyDescent="0.2">
      <c r="A2933" s="496"/>
      <c r="D2933" s="496"/>
    </row>
    <row r="2934" spans="1:4" x14ac:dyDescent="0.2">
      <c r="A2934" s="496"/>
      <c r="D2934" s="496"/>
    </row>
    <row r="2935" spans="1:4" x14ac:dyDescent="0.2">
      <c r="A2935" s="496"/>
      <c r="D2935" s="496"/>
    </row>
    <row r="2936" spans="1:4" x14ac:dyDescent="0.2">
      <c r="A2936" s="496"/>
      <c r="D2936" s="496"/>
    </row>
    <row r="2937" spans="1:4" x14ac:dyDescent="0.2">
      <c r="A2937" s="496"/>
      <c r="D2937" s="496"/>
    </row>
    <row r="2938" spans="1:4" x14ac:dyDescent="0.2">
      <c r="A2938" s="496"/>
      <c r="D2938" s="496"/>
    </row>
    <row r="2939" spans="1:4" x14ac:dyDescent="0.2">
      <c r="A2939" s="496"/>
      <c r="D2939" s="496"/>
    </row>
    <row r="2940" spans="1:4" x14ac:dyDescent="0.2">
      <c r="A2940" s="496"/>
      <c r="D2940" s="496"/>
    </row>
    <row r="2941" spans="1:4" x14ac:dyDescent="0.2">
      <c r="A2941" s="496"/>
      <c r="D2941" s="496"/>
    </row>
    <row r="2942" spans="1:4" x14ac:dyDescent="0.2">
      <c r="A2942" s="496"/>
      <c r="D2942" s="496"/>
    </row>
    <row r="2943" spans="1:4" x14ac:dyDescent="0.2">
      <c r="A2943" s="496"/>
      <c r="D2943" s="496"/>
    </row>
    <row r="2944" spans="1:4" x14ac:dyDescent="0.2">
      <c r="A2944" s="496"/>
      <c r="D2944" s="496"/>
    </row>
    <row r="2945" spans="1:4" x14ac:dyDescent="0.2">
      <c r="A2945" s="496"/>
      <c r="D2945" s="496"/>
    </row>
    <row r="2946" spans="1:4" x14ac:dyDescent="0.2">
      <c r="A2946" s="496"/>
      <c r="D2946" s="496"/>
    </row>
    <row r="2947" spans="1:4" x14ac:dyDescent="0.2">
      <c r="A2947" s="496"/>
      <c r="D2947" s="496"/>
    </row>
    <row r="2948" spans="1:4" x14ac:dyDescent="0.2">
      <c r="A2948" s="496"/>
      <c r="D2948" s="496"/>
    </row>
    <row r="2949" spans="1:4" x14ac:dyDescent="0.2">
      <c r="A2949" s="496"/>
      <c r="D2949" s="496"/>
    </row>
    <row r="2950" spans="1:4" x14ac:dyDescent="0.2">
      <c r="A2950" s="496"/>
      <c r="D2950" s="496"/>
    </row>
    <row r="2951" spans="1:4" x14ac:dyDescent="0.2">
      <c r="A2951" s="496"/>
      <c r="D2951" s="496"/>
    </row>
    <row r="2952" spans="1:4" x14ac:dyDescent="0.2">
      <c r="A2952" s="496"/>
      <c r="D2952" s="496"/>
    </row>
    <row r="2953" spans="1:4" x14ac:dyDescent="0.2">
      <c r="A2953" s="496"/>
      <c r="D2953" s="496"/>
    </row>
    <row r="2954" spans="1:4" x14ac:dyDescent="0.2">
      <c r="A2954" s="496"/>
      <c r="D2954" s="496"/>
    </row>
    <row r="2955" spans="1:4" x14ac:dyDescent="0.2">
      <c r="A2955" s="496"/>
      <c r="D2955" s="496"/>
    </row>
    <row r="2956" spans="1:4" x14ac:dyDescent="0.2">
      <c r="A2956" s="496"/>
      <c r="D2956" s="496"/>
    </row>
    <row r="2957" spans="1:4" x14ac:dyDescent="0.2">
      <c r="A2957" s="496"/>
      <c r="D2957" s="496"/>
    </row>
    <row r="2958" spans="1:4" x14ac:dyDescent="0.2">
      <c r="A2958" s="496"/>
      <c r="D2958" s="496"/>
    </row>
    <row r="2959" spans="1:4" x14ac:dyDescent="0.2">
      <c r="A2959" s="496"/>
      <c r="D2959" s="496"/>
    </row>
    <row r="2960" spans="1:4" x14ac:dyDescent="0.2">
      <c r="A2960" s="496"/>
      <c r="D2960" s="496"/>
    </row>
    <row r="2961" spans="1:4" x14ac:dyDescent="0.2">
      <c r="A2961" s="496"/>
      <c r="D2961" s="496"/>
    </row>
    <row r="2962" spans="1:4" x14ac:dyDescent="0.2">
      <c r="A2962" s="496"/>
      <c r="D2962" s="496"/>
    </row>
    <row r="2963" spans="1:4" x14ac:dyDescent="0.2">
      <c r="A2963" s="496"/>
      <c r="D2963" s="496"/>
    </row>
    <row r="2964" spans="1:4" x14ac:dyDescent="0.2">
      <c r="A2964" s="496"/>
      <c r="D2964" s="496"/>
    </row>
    <row r="2965" spans="1:4" x14ac:dyDescent="0.2">
      <c r="A2965" s="496"/>
      <c r="D2965" s="496"/>
    </row>
    <row r="2966" spans="1:4" x14ac:dyDescent="0.2">
      <c r="A2966" s="496"/>
      <c r="D2966" s="496"/>
    </row>
    <row r="2967" spans="1:4" x14ac:dyDescent="0.2">
      <c r="A2967" s="496"/>
      <c r="D2967" s="496"/>
    </row>
    <row r="2968" spans="1:4" x14ac:dyDescent="0.2">
      <c r="A2968" s="496"/>
      <c r="D2968" s="496"/>
    </row>
    <row r="2969" spans="1:4" x14ac:dyDescent="0.2">
      <c r="A2969" s="496"/>
      <c r="D2969" s="496"/>
    </row>
    <row r="2970" spans="1:4" x14ac:dyDescent="0.2">
      <c r="A2970" s="496"/>
      <c r="D2970" s="496"/>
    </row>
    <row r="2971" spans="1:4" x14ac:dyDescent="0.2">
      <c r="A2971" s="496"/>
      <c r="D2971" s="496"/>
    </row>
    <row r="2972" spans="1:4" x14ac:dyDescent="0.2">
      <c r="A2972" s="496"/>
      <c r="D2972" s="496"/>
    </row>
    <row r="2973" spans="1:4" x14ac:dyDescent="0.2">
      <c r="A2973" s="496"/>
      <c r="D2973" s="496"/>
    </row>
    <row r="2974" spans="1:4" x14ac:dyDescent="0.2">
      <c r="A2974" s="496"/>
      <c r="D2974" s="496"/>
    </row>
    <row r="2975" spans="1:4" x14ac:dyDescent="0.2">
      <c r="A2975" s="496"/>
      <c r="D2975" s="496"/>
    </row>
    <row r="2976" spans="1:4" x14ac:dyDescent="0.2">
      <c r="A2976" s="496"/>
      <c r="D2976" s="496"/>
    </row>
    <row r="2977" spans="1:4" x14ac:dyDescent="0.2">
      <c r="A2977" s="496"/>
      <c r="D2977" s="496"/>
    </row>
    <row r="2978" spans="1:4" x14ac:dyDescent="0.2">
      <c r="A2978" s="496"/>
      <c r="D2978" s="496"/>
    </row>
    <row r="2979" spans="1:4" x14ac:dyDescent="0.2">
      <c r="A2979" s="496"/>
      <c r="D2979" s="496"/>
    </row>
    <row r="2980" spans="1:4" x14ac:dyDescent="0.2">
      <c r="A2980" s="496"/>
      <c r="D2980" s="496"/>
    </row>
    <row r="2981" spans="1:4" x14ac:dyDescent="0.2">
      <c r="A2981" s="496"/>
      <c r="D2981" s="496"/>
    </row>
    <row r="2982" spans="1:4" x14ac:dyDescent="0.2">
      <c r="A2982" s="496"/>
      <c r="D2982" s="496"/>
    </row>
    <row r="2983" spans="1:4" x14ac:dyDescent="0.2">
      <c r="A2983" s="496"/>
      <c r="D2983" s="496"/>
    </row>
    <row r="2984" spans="1:4" x14ac:dyDescent="0.2">
      <c r="A2984" s="496"/>
      <c r="D2984" s="496"/>
    </row>
    <row r="2985" spans="1:4" x14ac:dyDescent="0.2">
      <c r="A2985" s="496"/>
      <c r="D2985" s="496"/>
    </row>
    <row r="2986" spans="1:4" x14ac:dyDescent="0.2">
      <c r="A2986" s="496"/>
      <c r="D2986" s="496"/>
    </row>
    <row r="2987" spans="1:4" x14ac:dyDescent="0.2">
      <c r="A2987" s="496"/>
      <c r="D2987" s="496"/>
    </row>
    <row r="2988" spans="1:4" x14ac:dyDescent="0.2">
      <c r="A2988" s="496"/>
      <c r="D2988" s="496"/>
    </row>
    <row r="2989" spans="1:4" x14ac:dyDescent="0.2">
      <c r="A2989" s="496"/>
      <c r="D2989" s="496"/>
    </row>
    <row r="2990" spans="1:4" x14ac:dyDescent="0.2">
      <c r="A2990" s="496"/>
      <c r="D2990" s="496"/>
    </row>
    <row r="2991" spans="1:4" x14ac:dyDescent="0.2">
      <c r="A2991" s="496"/>
      <c r="D2991" s="496"/>
    </row>
    <row r="2992" spans="1:4" x14ac:dyDescent="0.2">
      <c r="A2992" s="496"/>
      <c r="D2992" s="496"/>
    </row>
    <row r="2993" spans="1:4" x14ac:dyDescent="0.2">
      <c r="A2993" s="496"/>
      <c r="D2993" s="496"/>
    </row>
    <row r="2994" spans="1:4" x14ac:dyDescent="0.2">
      <c r="A2994" s="496"/>
      <c r="D2994" s="496"/>
    </row>
    <row r="2995" spans="1:4" x14ac:dyDescent="0.2">
      <c r="A2995" s="496"/>
      <c r="D2995" s="496"/>
    </row>
    <row r="2996" spans="1:4" x14ac:dyDescent="0.2">
      <c r="A2996" s="496"/>
      <c r="D2996" s="496"/>
    </row>
    <row r="2997" spans="1:4" x14ac:dyDescent="0.2">
      <c r="A2997" s="496"/>
      <c r="D2997" s="496"/>
    </row>
    <row r="2998" spans="1:4" x14ac:dyDescent="0.2">
      <c r="A2998" s="496"/>
      <c r="D2998" s="496"/>
    </row>
    <row r="2999" spans="1:4" x14ac:dyDescent="0.2">
      <c r="A2999" s="496"/>
      <c r="D2999" s="496"/>
    </row>
    <row r="3000" spans="1:4" x14ac:dyDescent="0.2">
      <c r="A3000" s="496"/>
      <c r="D3000" s="496"/>
    </row>
    <row r="3001" spans="1:4" x14ac:dyDescent="0.2">
      <c r="A3001" s="496"/>
      <c r="D3001" s="496"/>
    </row>
    <row r="3002" spans="1:4" x14ac:dyDescent="0.2">
      <c r="A3002" s="496"/>
      <c r="D3002" s="496"/>
    </row>
    <row r="3003" spans="1:4" x14ac:dyDescent="0.2">
      <c r="A3003" s="496"/>
      <c r="D3003" s="496"/>
    </row>
    <row r="3004" spans="1:4" x14ac:dyDescent="0.2">
      <c r="A3004" s="496"/>
      <c r="D3004" s="496"/>
    </row>
    <row r="3005" spans="1:4" x14ac:dyDescent="0.2">
      <c r="A3005" s="496"/>
      <c r="D3005" s="496"/>
    </row>
    <row r="3006" spans="1:4" x14ac:dyDescent="0.2">
      <c r="A3006" s="496"/>
      <c r="D3006" s="496"/>
    </row>
    <row r="3007" spans="1:4" x14ac:dyDescent="0.2">
      <c r="A3007" s="496"/>
      <c r="D3007" s="496"/>
    </row>
    <row r="3008" spans="1:4" x14ac:dyDescent="0.2">
      <c r="A3008" s="496"/>
      <c r="D3008" s="496"/>
    </row>
    <row r="3009" spans="1:4" x14ac:dyDescent="0.2">
      <c r="A3009" s="496"/>
      <c r="D3009" s="496"/>
    </row>
    <row r="3010" spans="1:4" x14ac:dyDescent="0.2">
      <c r="A3010" s="496"/>
      <c r="D3010" s="496"/>
    </row>
    <row r="3011" spans="1:4" x14ac:dyDescent="0.2">
      <c r="A3011" s="496"/>
      <c r="D3011" s="496"/>
    </row>
    <row r="3012" spans="1:4" x14ac:dyDescent="0.2">
      <c r="A3012" s="496"/>
      <c r="D3012" s="496"/>
    </row>
    <row r="3013" spans="1:4" x14ac:dyDescent="0.2">
      <c r="A3013" s="496"/>
      <c r="D3013" s="496"/>
    </row>
    <row r="3014" spans="1:4" x14ac:dyDescent="0.2">
      <c r="A3014" s="496"/>
      <c r="D3014" s="496"/>
    </row>
    <row r="3015" spans="1:4" x14ac:dyDescent="0.2">
      <c r="A3015" s="496"/>
      <c r="D3015" s="496"/>
    </row>
    <row r="3016" spans="1:4" x14ac:dyDescent="0.2">
      <c r="A3016" s="496"/>
      <c r="D3016" s="496"/>
    </row>
    <row r="3017" spans="1:4" x14ac:dyDescent="0.2">
      <c r="A3017" s="496"/>
      <c r="D3017" s="496"/>
    </row>
    <row r="3018" spans="1:4" x14ac:dyDescent="0.2">
      <c r="A3018" s="496"/>
      <c r="D3018" s="496"/>
    </row>
    <row r="3019" spans="1:4" x14ac:dyDescent="0.2">
      <c r="A3019" s="496"/>
      <c r="D3019" s="496"/>
    </row>
    <row r="3020" spans="1:4" x14ac:dyDescent="0.2">
      <c r="A3020" s="496"/>
      <c r="D3020" s="496"/>
    </row>
    <row r="3021" spans="1:4" x14ac:dyDescent="0.2">
      <c r="A3021" s="496"/>
      <c r="D3021" s="496"/>
    </row>
    <row r="3022" spans="1:4" x14ac:dyDescent="0.2">
      <c r="A3022" s="496"/>
      <c r="D3022" s="496"/>
    </row>
    <row r="3023" spans="1:4" x14ac:dyDescent="0.2">
      <c r="A3023" s="496"/>
      <c r="D3023" s="496"/>
    </row>
    <row r="3024" spans="1:4" x14ac:dyDescent="0.2">
      <c r="A3024" s="496"/>
      <c r="D3024" s="496"/>
    </row>
    <row r="3025" spans="1:4" x14ac:dyDescent="0.2">
      <c r="A3025" s="496"/>
      <c r="D3025" s="496"/>
    </row>
    <row r="3026" spans="1:4" x14ac:dyDescent="0.2">
      <c r="A3026" s="496"/>
      <c r="D3026" s="496"/>
    </row>
    <row r="3027" spans="1:4" x14ac:dyDescent="0.2">
      <c r="A3027" s="496"/>
      <c r="D3027" s="496"/>
    </row>
    <row r="3028" spans="1:4" x14ac:dyDescent="0.2">
      <c r="A3028" s="496"/>
      <c r="D3028" s="496"/>
    </row>
    <row r="3029" spans="1:4" x14ac:dyDescent="0.2">
      <c r="A3029" s="496"/>
      <c r="D3029" s="496"/>
    </row>
    <row r="3030" spans="1:4" x14ac:dyDescent="0.2">
      <c r="A3030" s="496"/>
      <c r="D3030" s="496"/>
    </row>
    <row r="3031" spans="1:4" x14ac:dyDescent="0.2">
      <c r="A3031" s="496"/>
      <c r="D3031" s="496"/>
    </row>
    <row r="3032" spans="1:4" x14ac:dyDescent="0.2">
      <c r="A3032" s="496"/>
      <c r="D3032" s="496"/>
    </row>
    <row r="3033" spans="1:4" x14ac:dyDescent="0.2">
      <c r="A3033" s="496"/>
      <c r="D3033" s="496"/>
    </row>
    <row r="3034" spans="1:4" x14ac:dyDescent="0.2">
      <c r="A3034" s="496"/>
      <c r="D3034" s="496"/>
    </row>
    <row r="3035" spans="1:4" x14ac:dyDescent="0.2">
      <c r="A3035" s="496"/>
      <c r="D3035" s="496"/>
    </row>
    <row r="3036" spans="1:4" x14ac:dyDescent="0.2">
      <c r="A3036" s="496"/>
      <c r="D3036" s="496"/>
    </row>
    <row r="3037" spans="1:4" x14ac:dyDescent="0.2">
      <c r="A3037" s="496"/>
      <c r="D3037" s="496"/>
    </row>
    <row r="3038" spans="1:4" x14ac:dyDescent="0.2">
      <c r="A3038" s="496"/>
      <c r="D3038" s="496"/>
    </row>
    <row r="3039" spans="1:4" x14ac:dyDescent="0.2">
      <c r="A3039" s="496"/>
      <c r="D3039" s="496"/>
    </row>
    <row r="3040" spans="1:4" x14ac:dyDescent="0.2">
      <c r="A3040" s="496"/>
      <c r="D3040" s="496"/>
    </row>
    <row r="3041" spans="1:4" x14ac:dyDescent="0.2">
      <c r="A3041" s="496"/>
      <c r="D3041" s="496"/>
    </row>
    <row r="3042" spans="1:4" x14ac:dyDescent="0.2">
      <c r="A3042" s="496"/>
      <c r="D3042" s="496"/>
    </row>
    <row r="3043" spans="1:4" x14ac:dyDescent="0.2">
      <c r="A3043" s="496"/>
      <c r="D3043" s="496"/>
    </row>
    <row r="3044" spans="1:4" x14ac:dyDescent="0.2">
      <c r="A3044" s="496"/>
      <c r="D3044" s="496"/>
    </row>
    <row r="3045" spans="1:4" x14ac:dyDescent="0.2">
      <c r="A3045" s="496"/>
      <c r="D3045" s="496"/>
    </row>
    <row r="3046" spans="1:4" x14ac:dyDescent="0.2">
      <c r="A3046" s="496"/>
      <c r="D3046" s="496"/>
    </row>
    <row r="3047" spans="1:4" x14ac:dyDescent="0.2">
      <c r="A3047" s="496"/>
      <c r="D3047" s="496"/>
    </row>
    <row r="3048" spans="1:4" x14ac:dyDescent="0.2">
      <c r="A3048" s="496"/>
      <c r="D3048" s="496"/>
    </row>
    <row r="3049" spans="1:4" x14ac:dyDescent="0.2">
      <c r="A3049" s="496"/>
      <c r="D3049" s="496"/>
    </row>
    <row r="3050" spans="1:4" x14ac:dyDescent="0.2">
      <c r="A3050" s="496"/>
      <c r="D3050" s="496"/>
    </row>
    <row r="3051" spans="1:4" x14ac:dyDescent="0.2">
      <c r="A3051" s="496"/>
      <c r="D3051" s="496"/>
    </row>
    <row r="3052" spans="1:4" x14ac:dyDescent="0.2">
      <c r="A3052" s="496"/>
      <c r="D3052" s="496"/>
    </row>
    <row r="3053" spans="1:4" x14ac:dyDescent="0.2">
      <c r="A3053" s="496"/>
      <c r="D3053" s="496"/>
    </row>
    <row r="3054" spans="1:4" x14ac:dyDescent="0.2">
      <c r="A3054" s="496"/>
      <c r="D3054" s="496"/>
    </row>
    <row r="3055" spans="1:4" x14ac:dyDescent="0.2">
      <c r="A3055" s="496"/>
      <c r="D3055" s="496"/>
    </row>
    <row r="3056" spans="1:4" x14ac:dyDescent="0.2">
      <c r="A3056" s="496"/>
      <c r="D3056" s="496"/>
    </row>
    <row r="3057" spans="1:4" x14ac:dyDescent="0.2">
      <c r="A3057" s="496"/>
      <c r="D3057" s="496"/>
    </row>
    <row r="3058" spans="1:4" x14ac:dyDescent="0.2">
      <c r="A3058" s="496"/>
      <c r="D3058" s="496"/>
    </row>
    <row r="3059" spans="1:4" x14ac:dyDescent="0.2">
      <c r="A3059" s="496"/>
      <c r="D3059" s="496"/>
    </row>
    <row r="3060" spans="1:4" x14ac:dyDescent="0.2">
      <c r="A3060" s="496"/>
      <c r="D3060" s="496"/>
    </row>
    <row r="3061" spans="1:4" x14ac:dyDescent="0.2">
      <c r="A3061" s="496"/>
      <c r="D3061" s="496"/>
    </row>
    <row r="3062" spans="1:4" x14ac:dyDescent="0.2">
      <c r="A3062" s="496"/>
      <c r="D3062" s="496"/>
    </row>
    <row r="3063" spans="1:4" x14ac:dyDescent="0.2">
      <c r="A3063" s="496"/>
      <c r="D3063" s="496"/>
    </row>
    <row r="3064" spans="1:4" x14ac:dyDescent="0.2">
      <c r="A3064" s="496"/>
      <c r="D3064" s="496"/>
    </row>
    <row r="3065" spans="1:4" x14ac:dyDescent="0.2">
      <c r="A3065" s="496"/>
      <c r="D3065" s="496"/>
    </row>
    <row r="3066" spans="1:4" x14ac:dyDescent="0.2">
      <c r="A3066" s="496"/>
      <c r="D3066" s="496"/>
    </row>
    <row r="3067" spans="1:4" x14ac:dyDescent="0.2">
      <c r="A3067" s="496"/>
      <c r="D3067" s="496"/>
    </row>
    <row r="3068" spans="1:4" x14ac:dyDescent="0.2">
      <c r="A3068" s="496"/>
      <c r="D3068" s="496"/>
    </row>
    <row r="3069" spans="1:4" x14ac:dyDescent="0.2">
      <c r="A3069" s="496"/>
      <c r="D3069" s="496"/>
    </row>
    <row r="3070" spans="1:4" x14ac:dyDescent="0.2">
      <c r="A3070" s="496"/>
      <c r="D3070" s="496"/>
    </row>
    <row r="3071" spans="1:4" x14ac:dyDescent="0.2">
      <c r="A3071" s="496"/>
      <c r="D3071" s="496"/>
    </row>
    <row r="3072" spans="1:4" x14ac:dyDescent="0.2">
      <c r="A3072" s="496"/>
      <c r="D3072" s="496"/>
    </row>
    <row r="3073" spans="1:4" x14ac:dyDescent="0.2">
      <c r="A3073" s="496"/>
      <c r="D3073" s="496"/>
    </row>
    <row r="3074" spans="1:4" x14ac:dyDescent="0.2">
      <c r="A3074" s="496"/>
      <c r="D3074" s="496"/>
    </row>
    <row r="3075" spans="1:4" x14ac:dyDescent="0.2">
      <c r="A3075" s="496"/>
      <c r="D3075" s="496"/>
    </row>
    <row r="3076" spans="1:4" x14ac:dyDescent="0.2">
      <c r="A3076" s="496"/>
      <c r="D3076" s="496"/>
    </row>
    <row r="3077" spans="1:4" x14ac:dyDescent="0.2">
      <c r="A3077" s="496"/>
      <c r="D3077" s="496"/>
    </row>
    <row r="3078" spans="1:4" x14ac:dyDescent="0.2">
      <c r="A3078" s="496"/>
      <c r="D3078" s="496"/>
    </row>
    <row r="3079" spans="1:4" x14ac:dyDescent="0.2">
      <c r="A3079" s="496"/>
      <c r="D3079" s="496"/>
    </row>
    <row r="3080" spans="1:4" x14ac:dyDescent="0.2">
      <c r="A3080" s="496"/>
      <c r="D3080" s="496"/>
    </row>
    <row r="3081" spans="1:4" x14ac:dyDescent="0.2">
      <c r="A3081" s="496"/>
      <c r="D3081" s="496"/>
    </row>
    <row r="3082" spans="1:4" x14ac:dyDescent="0.2">
      <c r="A3082" s="496"/>
      <c r="D3082" s="496"/>
    </row>
    <row r="3083" spans="1:4" x14ac:dyDescent="0.2">
      <c r="A3083" s="496"/>
      <c r="D3083" s="496"/>
    </row>
    <row r="3084" spans="1:4" x14ac:dyDescent="0.2">
      <c r="A3084" s="496"/>
      <c r="D3084" s="496"/>
    </row>
    <row r="3085" spans="1:4" x14ac:dyDescent="0.2">
      <c r="A3085" s="496"/>
      <c r="D3085" s="496"/>
    </row>
    <row r="3086" spans="1:4" x14ac:dyDescent="0.2">
      <c r="A3086" s="496"/>
      <c r="D3086" s="496"/>
    </row>
    <row r="3087" spans="1:4" x14ac:dyDescent="0.2">
      <c r="A3087" s="496"/>
      <c r="D3087" s="496"/>
    </row>
    <row r="3088" spans="1:4" x14ac:dyDescent="0.2">
      <c r="A3088" s="496"/>
      <c r="D3088" s="496"/>
    </row>
    <row r="3089" spans="1:4" x14ac:dyDescent="0.2">
      <c r="A3089" s="496"/>
      <c r="D3089" s="496"/>
    </row>
    <row r="3090" spans="1:4" x14ac:dyDescent="0.2">
      <c r="A3090" s="496"/>
      <c r="D3090" s="496"/>
    </row>
    <row r="3091" spans="1:4" x14ac:dyDescent="0.2">
      <c r="A3091" s="496"/>
      <c r="D3091" s="496"/>
    </row>
    <row r="3092" spans="1:4" x14ac:dyDescent="0.2">
      <c r="A3092" s="496"/>
      <c r="D3092" s="496"/>
    </row>
    <row r="3093" spans="1:4" x14ac:dyDescent="0.2">
      <c r="A3093" s="496"/>
      <c r="D3093" s="496"/>
    </row>
    <row r="3094" spans="1:4" x14ac:dyDescent="0.2">
      <c r="A3094" s="496"/>
      <c r="D3094" s="496"/>
    </row>
    <row r="3095" spans="1:4" x14ac:dyDescent="0.2">
      <c r="A3095" s="496"/>
      <c r="D3095" s="496"/>
    </row>
    <row r="3096" spans="1:4" x14ac:dyDescent="0.2">
      <c r="A3096" s="496"/>
      <c r="D3096" s="496"/>
    </row>
    <row r="3097" spans="1:4" x14ac:dyDescent="0.2">
      <c r="A3097" s="496"/>
      <c r="D3097" s="496"/>
    </row>
    <row r="3098" spans="1:4" x14ac:dyDescent="0.2">
      <c r="A3098" s="496"/>
      <c r="D3098" s="496"/>
    </row>
    <row r="3099" spans="1:4" x14ac:dyDescent="0.2">
      <c r="A3099" s="496"/>
      <c r="D3099" s="496"/>
    </row>
    <row r="3100" spans="1:4" x14ac:dyDescent="0.2">
      <c r="A3100" s="496"/>
      <c r="D3100" s="496"/>
    </row>
    <row r="3101" spans="1:4" x14ac:dyDescent="0.2">
      <c r="A3101" s="496"/>
      <c r="D3101" s="496"/>
    </row>
    <row r="3102" spans="1:4" x14ac:dyDescent="0.2">
      <c r="A3102" s="496"/>
      <c r="D3102" s="496"/>
    </row>
    <row r="3103" spans="1:4" x14ac:dyDescent="0.2">
      <c r="A3103" s="496"/>
      <c r="D3103" s="496"/>
    </row>
    <row r="3104" spans="1:4" x14ac:dyDescent="0.2">
      <c r="A3104" s="496"/>
      <c r="D3104" s="496"/>
    </row>
    <row r="3105" spans="1:4" x14ac:dyDescent="0.2">
      <c r="A3105" s="496"/>
      <c r="D3105" s="496"/>
    </row>
    <row r="3106" spans="1:4" x14ac:dyDescent="0.2">
      <c r="A3106" s="496"/>
      <c r="D3106" s="496"/>
    </row>
    <row r="3107" spans="1:4" x14ac:dyDescent="0.2">
      <c r="A3107" s="496"/>
      <c r="D3107" s="496"/>
    </row>
    <row r="3108" spans="1:4" x14ac:dyDescent="0.2">
      <c r="A3108" s="496"/>
      <c r="D3108" s="496"/>
    </row>
    <row r="3109" spans="1:4" x14ac:dyDescent="0.2">
      <c r="A3109" s="496"/>
      <c r="D3109" s="496"/>
    </row>
    <row r="3110" spans="1:4" x14ac:dyDescent="0.2">
      <c r="A3110" s="496"/>
      <c r="D3110" s="496"/>
    </row>
    <row r="3111" spans="1:4" x14ac:dyDescent="0.2">
      <c r="A3111" s="496"/>
      <c r="D3111" s="496"/>
    </row>
    <row r="3112" spans="1:4" x14ac:dyDescent="0.2">
      <c r="A3112" s="496"/>
      <c r="D3112" s="496"/>
    </row>
    <row r="3113" spans="1:4" x14ac:dyDescent="0.2">
      <c r="A3113" s="496"/>
      <c r="D3113" s="496"/>
    </row>
    <row r="3114" spans="1:4" x14ac:dyDescent="0.2">
      <c r="A3114" s="496"/>
      <c r="D3114" s="496"/>
    </row>
    <row r="3115" spans="1:4" x14ac:dyDescent="0.2">
      <c r="A3115" s="496"/>
      <c r="D3115" s="496"/>
    </row>
    <row r="3116" spans="1:4" x14ac:dyDescent="0.2">
      <c r="A3116" s="496"/>
      <c r="D3116" s="496"/>
    </row>
    <row r="3117" spans="1:4" x14ac:dyDescent="0.2">
      <c r="A3117" s="496"/>
      <c r="D3117" s="496"/>
    </row>
    <row r="3118" spans="1:4" x14ac:dyDescent="0.2">
      <c r="A3118" s="496"/>
      <c r="D3118" s="496"/>
    </row>
    <row r="3119" spans="1:4" x14ac:dyDescent="0.2">
      <c r="A3119" s="496"/>
      <c r="D3119" s="496"/>
    </row>
    <row r="3120" spans="1:4" x14ac:dyDescent="0.2">
      <c r="A3120" s="496"/>
      <c r="D3120" s="496"/>
    </row>
    <row r="3121" spans="1:4" x14ac:dyDescent="0.2">
      <c r="A3121" s="496"/>
      <c r="D3121" s="496"/>
    </row>
    <row r="3122" spans="1:4" x14ac:dyDescent="0.2">
      <c r="A3122" s="496"/>
      <c r="D3122" s="496"/>
    </row>
    <row r="3123" spans="1:4" x14ac:dyDescent="0.2">
      <c r="A3123" s="496"/>
      <c r="D3123" s="496"/>
    </row>
    <row r="3124" spans="1:4" x14ac:dyDescent="0.2">
      <c r="A3124" s="496"/>
      <c r="D3124" s="496"/>
    </row>
    <row r="3125" spans="1:4" x14ac:dyDescent="0.2">
      <c r="A3125" s="496"/>
      <c r="D3125" s="496"/>
    </row>
    <row r="3126" spans="1:4" x14ac:dyDescent="0.2">
      <c r="A3126" s="496"/>
      <c r="D3126" s="496"/>
    </row>
    <row r="3127" spans="1:4" x14ac:dyDescent="0.2">
      <c r="A3127" s="496"/>
      <c r="D3127" s="496"/>
    </row>
    <row r="3128" spans="1:4" x14ac:dyDescent="0.2">
      <c r="A3128" s="496"/>
      <c r="D3128" s="496"/>
    </row>
    <row r="3129" spans="1:4" x14ac:dyDescent="0.2">
      <c r="A3129" s="496"/>
      <c r="D3129" s="496"/>
    </row>
    <row r="3130" spans="1:4" x14ac:dyDescent="0.2">
      <c r="A3130" s="496"/>
      <c r="D3130" s="496"/>
    </row>
    <row r="3131" spans="1:4" x14ac:dyDescent="0.2">
      <c r="A3131" s="496"/>
      <c r="D3131" s="496"/>
    </row>
    <row r="3132" spans="1:4" x14ac:dyDescent="0.2">
      <c r="A3132" s="496"/>
      <c r="D3132" s="496"/>
    </row>
    <row r="3133" spans="1:4" x14ac:dyDescent="0.2">
      <c r="A3133" s="496"/>
      <c r="D3133" s="496"/>
    </row>
    <row r="3134" spans="1:4" x14ac:dyDescent="0.2">
      <c r="A3134" s="496"/>
      <c r="D3134" s="496"/>
    </row>
    <row r="3135" spans="1:4" x14ac:dyDescent="0.2">
      <c r="A3135" s="496"/>
      <c r="D3135" s="496"/>
    </row>
    <row r="3136" spans="1:4" x14ac:dyDescent="0.2">
      <c r="A3136" s="496"/>
      <c r="D3136" s="496"/>
    </row>
    <row r="3137" spans="1:4" x14ac:dyDescent="0.2">
      <c r="A3137" s="496"/>
      <c r="D3137" s="496"/>
    </row>
    <row r="3138" spans="1:4" x14ac:dyDescent="0.2">
      <c r="A3138" s="496"/>
      <c r="D3138" s="496"/>
    </row>
    <row r="3139" spans="1:4" x14ac:dyDescent="0.2">
      <c r="A3139" s="496"/>
      <c r="D3139" s="496"/>
    </row>
    <row r="3140" spans="1:4" x14ac:dyDescent="0.2">
      <c r="A3140" s="496"/>
      <c r="D3140" s="496"/>
    </row>
    <row r="3141" spans="1:4" x14ac:dyDescent="0.2">
      <c r="A3141" s="496"/>
      <c r="D3141" s="496"/>
    </row>
    <row r="3142" spans="1:4" x14ac:dyDescent="0.2">
      <c r="A3142" s="496"/>
      <c r="D3142" s="496"/>
    </row>
    <row r="3143" spans="1:4" x14ac:dyDescent="0.2">
      <c r="A3143" s="496"/>
      <c r="D3143" s="496"/>
    </row>
    <row r="3144" spans="1:4" x14ac:dyDescent="0.2">
      <c r="A3144" s="496"/>
      <c r="D3144" s="496"/>
    </row>
    <row r="3145" spans="1:4" x14ac:dyDescent="0.2">
      <c r="A3145" s="496"/>
      <c r="D3145" s="496"/>
    </row>
    <row r="3146" spans="1:4" x14ac:dyDescent="0.2">
      <c r="A3146" s="496"/>
      <c r="D3146" s="496"/>
    </row>
    <row r="3147" spans="1:4" x14ac:dyDescent="0.2">
      <c r="A3147" s="496"/>
      <c r="D3147" s="496"/>
    </row>
    <row r="3148" spans="1:4" x14ac:dyDescent="0.2">
      <c r="A3148" s="496"/>
      <c r="D3148" s="496"/>
    </row>
    <row r="3149" spans="1:4" x14ac:dyDescent="0.2">
      <c r="A3149" s="496"/>
      <c r="D3149" s="496"/>
    </row>
    <row r="3150" spans="1:4" x14ac:dyDescent="0.2">
      <c r="A3150" s="496"/>
      <c r="D3150" s="496"/>
    </row>
    <row r="3151" spans="1:4" x14ac:dyDescent="0.2">
      <c r="A3151" s="496"/>
      <c r="D3151" s="496"/>
    </row>
    <row r="3152" spans="1:4" x14ac:dyDescent="0.2">
      <c r="A3152" s="496"/>
      <c r="D3152" s="496"/>
    </row>
    <row r="3153" spans="1:4" x14ac:dyDescent="0.2">
      <c r="A3153" s="496"/>
      <c r="D3153" s="496"/>
    </row>
    <row r="3154" spans="1:4" x14ac:dyDescent="0.2">
      <c r="A3154" s="496"/>
      <c r="D3154" s="496"/>
    </row>
    <row r="3155" spans="1:4" x14ac:dyDescent="0.2">
      <c r="A3155" s="496"/>
      <c r="D3155" s="496"/>
    </row>
    <row r="3156" spans="1:4" x14ac:dyDescent="0.2">
      <c r="A3156" s="496"/>
      <c r="D3156" s="496"/>
    </row>
    <row r="3157" spans="1:4" x14ac:dyDescent="0.2">
      <c r="A3157" s="496"/>
      <c r="D3157" s="496"/>
    </row>
    <row r="3158" spans="1:4" x14ac:dyDescent="0.2">
      <c r="A3158" s="496"/>
      <c r="D3158" s="496"/>
    </row>
    <row r="3159" spans="1:4" x14ac:dyDescent="0.2">
      <c r="A3159" s="496"/>
      <c r="D3159" s="496"/>
    </row>
    <row r="3160" spans="1:4" x14ac:dyDescent="0.2">
      <c r="A3160" s="496"/>
      <c r="D3160" s="496"/>
    </row>
    <row r="3161" spans="1:4" x14ac:dyDescent="0.2">
      <c r="A3161" s="496"/>
      <c r="D3161" s="496"/>
    </row>
    <row r="3162" spans="1:4" x14ac:dyDescent="0.2">
      <c r="A3162" s="496"/>
      <c r="D3162" s="496"/>
    </row>
    <row r="3163" spans="1:4" x14ac:dyDescent="0.2">
      <c r="A3163" s="496"/>
      <c r="D3163" s="496"/>
    </row>
    <row r="3164" spans="1:4" x14ac:dyDescent="0.2">
      <c r="A3164" s="496"/>
      <c r="D3164" s="496"/>
    </row>
    <row r="3165" spans="1:4" x14ac:dyDescent="0.2">
      <c r="A3165" s="496"/>
      <c r="D3165" s="496"/>
    </row>
    <row r="3166" spans="1:4" x14ac:dyDescent="0.2">
      <c r="A3166" s="496"/>
      <c r="D3166" s="496"/>
    </row>
    <row r="3167" spans="1:4" x14ac:dyDescent="0.2">
      <c r="A3167" s="496"/>
      <c r="D3167" s="496"/>
    </row>
    <row r="3168" spans="1:4" x14ac:dyDescent="0.2">
      <c r="A3168" s="496"/>
      <c r="D3168" s="496"/>
    </row>
    <row r="3169" spans="1:4" x14ac:dyDescent="0.2">
      <c r="A3169" s="496"/>
      <c r="D3169" s="496"/>
    </row>
    <row r="3170" spans="1:4" x14ac:dyDescent="0.2">
      <c r="A3170" s="496"/>
      <c r="D3170" s="496"/>
    </row>
    <row r="3171" spans="1:4" x14ac:dyDescent="0.2">
      <c r="A3171" s="496"/>
      <c r="D3171" s="496"/>
    </row>
    <row r="3172" spans="1:4" x14ac:dyDescent="0.2">
      <c r="A3172" s="496"/>
      <c r="D3172" s="496"/>
    </row>
    <row r="3173" spans="1:4" x14ac:dyDescent="0.2">
      <c r="A3173" s="496"/>
      <c r="D3173" s="496"/>
    </row>
    <row r="3174" spans="1:4" x14ac:dyDescent="0.2">
      <c r="A3174" s="496"/>
      <c r="D3174" s="496"/>
    </row>
    <row r="3175" spans="1:4" x14ac:dyDescent="0.2">
      <c r="A3175" s="496"/>
      <c r="D3175" s="496"/>
    </row>
    <row r="3176" spans="1:4" x14ac:dyDescent="0.2">
      <c r="A3176" s="496"/>
      <c r="D3176" s="496"/>
    </row>
    <row r="3177" spans="1:4" x14ac:dyDescent="0.2">
      <c r="A3177" s="496"/>
      <c r="D3177" s="496"/>
    </row>
    <row r="3178" spans="1:4" x14ac:dyDescent="0.2">
      <c r="A3178" s="496"/>
      <c r="D3178" s="496"/>
    </row>
    <row r="3179" spans="1:4" x14ac:dyDescent="0.2">
      <c r="A3179" s="496"/>
      <c r="D3179" s="496"/>
    </row>
    <row r="3180" spans="1:4" x14ac:dyDescent="0.2">
      <c r="A3180" s="496"/>
      <c r="D3180" s="496"/>
    </row>
    <row r="3181" spans="1:4" x14ac:dyDescent="0.2">
      <c r="A3181" s="496"/>
      <c r="D3181" s="496"/>
    </row>
    <row r="3182" spans="1:4" x14ac:dyDescent="0.2">
      <c r="A3182" s="496"/>
      <c r="D3182" s="496"/>
    </row>
    <row r="3183" spans="1:4" x14ac:dyDescent="0.2">
      <c r="A3183" s="496"/>
      <c r="D3183" s="496"/>
    </row>
    <row r="3184" spans="1:4" x14ac:dyDescent="0.2">
      <c r="A3184" s="496"/>
      <c r="D3184" s="496"/>
    </row>
    <row r="3185" spans="1:4" x14ac:dyDescent="0.2">
      <c r="A3185" s="496"/>
      <c r="D3185" s="496"/>
    </row>
    <row r="3186" spans="1:4" x14ac:dyDescent="0.2">
      <c r="A3186" s="496"/>
      <c r="D3186" s="496"/>
    </row>
    <row r="3187" spans="1:4" x14ac:dyDescent="0.2">
      <c r="A3187" s="496"/>
      <c r="D3187" s="496"/>
    </row>
    <row r="3188" spans="1:4" x14ac:dyDescent="0.2">
      <c r="A3188" s="496"/>
      <c r="D3188" s="496"/>
    </row>
    <row r="3189" spans="1:4" x14ac:dyDescent="0.2">
      <c r="A3189" s="496"/>
      <c r="D3189" s="496"/>
    </row>
    <row r="3190" spans="1:4" x14ac:dyDescent="0.2">
      <c r="A3190" s="496"/>
      <c r="D3190" s="496"/>
    </row>
    <row r="3191" spans="1:4" x14ac:dyDescent="0.2">
      <c r="A3191" s="496"/>
      <c r="D3191" s="496"/>
    </row>
    <row r="3192" spans="1:4" x14ac:dyDescent="0.2">
      <c r="A3192" s="496"/>
      <c r="D3192" s="496"/>
    </row>
    <row r="3193" spans="1:4" x14ac:dyDescent="0.2">
      <c r="A3193" s="496"/>
      <c r="D3193" s="496"/>
    </row>
    <row r="3194" spans="1:4" x14ac:dyDescent="0.2">
      <c r="A3194" s="496"/>
      <c r="D3194" s="496"/>
    </row>
    <row r="3195" spans="1:4" x14ac:dyDescent="0.2">
      <c r="A3195" s="496"/>
      <c r="D3195" s="496"/>
    </row>
    <row r="3196" spans="1:4" x14ac:dyDescent="0.2">
      <c r="A3196" s="496"/>
      <c r="D3196" s="496"/>
    </row>
    <row r="3197" spans="1:4" x14ac:dyDescent="0.2">
      <c r="A3197" s="496"/>
      <c r="D3197" s="496"/>
    </row>
    <row r="3198" spans="1:4" x14ac:dyDescent="0.2">
      <c r="A3198" s="496"/>
      <c r="D3198" s="496"/>
    </row>
    <row r="3199" spans="1:4" x14ac:dyDescent="0.2">
      <c r="A3199" s="496"/>
      <c r="D3199" s="496"/>
    </row>
    <row r="3200" spans="1:4" x14ac:dyDescent="0.2">
      <c r="A3200" s="496"/>
      <c r="D3200" s="496"/>
    </row>
    <row r="3201" spans="1:4" x14ac:dyDescent="0.2">
      <c r="A3201" s="496"/>
      <c r="D3201" s="496"/>
    </row>
    <row r="3202" spans="1:4" x14ac:dyDescent="0.2">
      <c r="A3202" s="496"/>
      <c r="D3202" s="496"/>
    </row>
    <row r="3203" spans="1:4" x14ac:dyDescent="0.2">
      <c r="A3203" s="496"/>
      <c r="D3203" s="496"/>
    </row>
    <row r="3204" spans="1:4" x14ac:dyDescent="0.2">
      <c r="A3204" s="496"/>
      <c r="D3204" s="496"/>
    </row>
    <row r="3205" spans="1:4" x14ac:dyDescent="0.2">
      <c r="A3205" s="496"/>
      <c r="D3205" s="496"/>
    </row>
    <row r="3206" spans="1:4" x14ac:dyDescent="0.2">
      <c r="A3206" s="496"/>
      <c r="D3206" s="496"/>
    </row>
    <row r="3207" spans="1:4" x14ac:dyDescent="0.2">
      <c r="A3207" s="496"/>
      <c r="D3207" s="496"/>
    </row>
    <row r="3208" spans="1:4" x14ac:dyDescent="0.2">
      <c r="A3208" s="496"/>
      <c r="D3208" s="496"/>
    </row>
    <row r="3209" spans="1:4" x14ac:dyDescent="0.2">
      <c r="A3209" s="496"/>
      <c r="D3209" s="496"/>
    </row>
    <row r="3210" spans="1:4" x14ac:dyDescent="0.2">
      <c r="A3210" s="496"/>
      <c r="D3210" s="496"/>
    </row>
    <row r="3211" spans="1:4" x14ac:dyDescent="0.2">
      <c r="A3211" s="496"/>
      <c r="D3211" s="496"/>
    </row>
    <row r="3212" spans="1:4" x14ac:dyDescent="0.2">
      <c r="A3212" s="496"/>
      <c r="D3212" s="496"/>
    </row>
    <row r="3213" spans="1:4" x14ac:dyDescent="0.2">
      <c r="A3213" s="496"/>
      <c r="D3213" s="496"/>
    </row>
    <row r="3214" spans="1:4" x14ac:dyDescent="0.2">
      <c r="A3214" s="496"/>
      <c r="D3214" s="496"/>
    </row>
    <row r="3215" spans="1:4" x14ac:dyDescent="0.2">
      <c r="A3215" s="496"/>
      <c r="D3215" s="496"/>
    </row>
    <row r="3216" spans="1:4" x14ac:dyDescent="0.2">
      <c r="A3216" s="496"/>
      <c r="D3216" s="496"/>
    </row>
    <row r="3217" spans="1:4" x14ac:dyDescent="0.2">
      <c r="A3217" s="496"/>
      <c r="D3217" s="496"/>
    </row>
    <row r="3218" spans="1:4" x14ac:dyDescent="0.2">
      <c r="A3218" s="496"/>
      <c r="D3218" s="496"/>
    </row>
    <row r="3219" spans="1:4" x14ac:dyDescent="0.2">
      <c r="A3219" s="496"/>
      <c r="D3219" s="496"/>
    </row>
    <row r="3220" spans="1:4" x14ac:dyDescent="0.2">
      <c r="A3220" s="496"/>
      <c r="D3220" s="496"/>
    </row>
    <row r="3221" spans="1:4" x14ac:dyDescent="0.2">
      <c r="A3221" s="496"/>
      <c r="D3221" s="496"/>
    </row>
    <row r="3222" spans="1:4" x14ac:dyDescent="0.2">
      <c r="A3222" s="496"/>
      <c r="D3222" s="496"/>
    </row>
    <row r="3223" spans="1:4" x14ac:dyDescent="0.2">
      <c r="A3223" s="496"/>
      <c r="D3223" s="496"/>
    </row>
    <row r="3224" spans="1:4" x14ac:dyDescent="0.2">
      <c r="A3224" s="496"/>
      <c r="D3224" s="496"/>
    </row>
    <row r="3225" spans="1:4" x14ac:dyDescent="0.2">
      <c r="A3225" s="496"/>
      <c r="D3225" s="496"/>
    </row>
    <row r="3226" spans="1:4" x14ac:dyDescent="0.2">
      <c r="A3226" s="496"/>
      <c r="D3226" s="496"/>
    </row>
    <row r="3227" spans="1:4" x14ac:dyDescent="0.2">
      <c r="A3227" s="496"/>
      <c r="D3227" s="496"/>
    </row>
    <row r="3228" spans="1:4" x14ac:dyDescent="0.2">
      <c r="A3228" s="496"/>
      <c r="D3228" s="496"/>
    </row>
    <row r="3229" spans="1:4" x14ac:dyDescent="0.2">
      <c r="A3229" s="496"/>
      <c r="D3229" s="496"/>
    </row>
    <row r="3230" spans="1:4" x14ac:dyDescent="0.2">
      <c r="A3230" s="496"/>
      <c r="D3230" s="496"/>
    </row>
    <row r="3231" spans="1:4" x14ac:dyDescent="0.2">
      <c r="A3231" s="496"/>
      <c r="D3231" s="496"/>
    </row>
    <row r="3232" spans="1:4" x14ac:dyDescent="0.2">
      <c r="A3232" s="496"/>
      <c r="D3232" s="496"/>
    </row>
    <row r="3233" spans="1:4" x14ac:dyDescent="0.2">
      <c r="A3233" s="496"/>
      <c r="D3233" s="496"/>
    </row>
    <row r="3234" spans="1:4" x14ac:dyDescent="0.2">
      <c r="A3234" s="496"/>
      <c r="D3234" s="496"/>
    </row>
    <row r="3235" spans="1:4" x14ac:dyDescent="0.2">
      <c r="A3235" s="496"/>
      <c r="D3235" s="496"/>
    </row>
    <row r="3236" spans="1:4" x14ac:dyDescent="0.2">
      <c r="A3236" s="496"/>
      <c r="D3236" s="496"/>
    </row>
    <row r="3237" spans="1:4" x14ac:dyDescent="0.2">
      <c r="A3237" s="496"/>
      <c r="D3237" s="496"/>
    </row>
    <row r="3238" spans="1:4" x14ac:dyDescent="0.2">
      <c r="A3238" s="496"/>
      <c r="D3238" s="496"/>
    </row>
    <row r="3239" spans="1:4" x14ac:dyDescent="0.2">
      <c r="A3239" s="496"/>
      <c r="D3239" s="496"/>
    </row>
    <row r="3240" spans="1:4" x14ac:dyDescent="0.2">
      <c r="A3240" s="496"/>
      <c r="D3240" s="496"/>
    </row>
    <row r="3241" spans="1:4" x14ac:dyDescent="0.2">
      <c r="A3241" s="496"/>
      <c r="D3241" s="496"/>
    </row>
    <row r="3242" spans="1:4" x14ac:dyDescent="0.2">
      <c r="A3242" s="496"/>
      <c r="D3242" s="496"/>
    </row>
    <row r="3243" spans="1:4" x14ac:dyDescent="0.2">
      <c r="A3243" s="496"/>
      <c r="D3243" s="496"/>
    </row>
    <row r="3244" spans="1:4" x14ac:dyDescent="0.2">
      <c r="A3244" s="496"/>
      <c r="D3244" s="496"/>
    </row>
    <row r="3245" spans="1:4" x14ac:dyDescent="0.2">
      <c r="A3245" s="496"/>
      <c r="D3245" s="496"/>
    </row>
    <row r="3246" spans="1:4" x14ac:dyDescent="0.2">
      <c r="A3246" s="496"/>
      <c r="D3246" s="496"/>
    </row>
    <row r="3247" spans="1:4" x14ac:dyDescent="0.2">
      <c r="A3247" s="496"/>
      <c r="D3247" s="496"/>
    </row>
    <row r="3248" spans="1:4" x14ac:dyDescent="0.2">
      <c r="A3248" s="496"/>
      <c r="D3248" s="496"/>
    </row>
    <row r="3249" spans="1:4" x14ac:dyDescent="0.2">
      <c r="A3249" s="496"/>
      <c r="D3249" s="496"/>
    </row>
    <row r="3250" spans="1:4" x14ac:dyDescent="0.2">
      <c r="A3250" s="496"/>
      <c r="D3250" s="496"/>
    </row>
    <row r="3251" spans="1:4" x14ac:dyDescent="0.2">
      <c r="A3251" s="496"/>
      <c r="D3251" s="496"/>
    </row>
    <row r="3252" spans="1:4" x14ac:dyDescent="0.2">
      <c r="A3252" s="496"/>
      <c r="D3252" s="496"/>
    </row>
    <row r="3253" spans="1:4" x14ac:dyDescent="0.2">
      <c r="A3253" s="496"/>
      <c r="D3253" s="496"/>
    </row>
    <row r="3254" spans="1:4" x14ac:dyDescent="0.2">
      <c r="A3254" s="496"/>
      <c r="D3254" s="496"/>
    </row>
    <row r="3255" spans="1:4" x14ac:dyDescent="0.2">
      <c r="A3255" s="496"/>
      <c r="D3255" s="496"/>
    </row>
    <row r="3256" spans="1:4" x14ac:dyDescent="0.2">
      <c r="A3256" s="496"/>
      <c r="D3256" s="496"/>
    </row>
    <row r="3257" spans="1:4" x14ac:dyDescent="0.2">
      <c r="A3257" s="496"/>
      <c r="D3257" s="496"/>
    </row>
    <row r="3258" spans="1:4" x14ac:dyDescent="0.2">
      <c r="A3258" s="496"/>
      <c r="D3258" s="496"/>
    </row>
    <row r="3259" spans="1:4" x14ac:dyDescent="0.2">
      <c r="A3259" s="496"/>
      <c r="D3259" s="496"/>
    </row>
    <row r="3260" spans="1:4" x14ac:dyDescent="0.2">
      <c r="A3260" s="496"/>
      <c r="D3260" s="496"/>
    </row>
    <row r="3261" spans="1:4" x14ac:dyDescent="0.2">
      <c r="A3261" s="496"/>
      <c r="D3261" s="496"/>
    </row>
    <row r="3262" spans="1:4" x14ac:dyDescent="0.2">
      <c r="A3262" s="496"/>
      <c r="D3262" s="496"/>
    </row>
    <row r="3263" spans="1:4" x14ac:dyDescent="0.2">
      <c r="A3263" s="496"/>
      <c r="D3263" s="496"/>
    </row>
    <row r="3264" spans="1:4" x14ac:dyDescent="0.2">
      <c r="A3264" s="496"/>
      <c r="D3264" s="496"/>
    </row>
    <row r="3265" spans="1:4" x14ac:dyDescent="0.2">
      <c r="A3265" s="496"/>
      <c r="D3265" s="496"/>
    </row>
    <row r="3266" spans="1:4" x14ac:dyDescent="0.2">
      <c r="A3266" s="496"/>
      <c r="D3266" s="496"/>
    </row>
    <row r="3267" spans="1:4" x14ac:dyDescent="0.2">
      <c r="A3267" s="496"/>
      <c r="D3267" s="496"/>
    </row>
    <row r="3268" spans="1:4" x14ac:dyDescent="0.2">
      <c r="A3268" s="496"/>
      <c r="D3268" s="496"/>
    </row>
    <row r="3269" spans="1:4" x14ac:dyDescent="0.2">
      <c r="A3269" s="496"/>
      <c r="D3269" s="496"/>
    </row>
    <row r="3270" spans="1:4" x14ac:dyDescent="0.2">
      <c r="A3270" s="496"/>
      <c r="D3270" s="496"/>
    </row>
    <row r="3271" spans="1:4" x14ac:dyDescent="0.2">
      <c r="A3271" s="496"/>
      <c r="D3271" s="496"/>
    </row>
    <row r="3272" spans="1:4" x14ac:dyDescent="0.2">
      <c r="A3272" s="496"/>
      <c r="D3272" s="496"/>
    </row>
    <row r="3273" spans="1:4" x14ac:dyDescent="0.2">
      <c r="A3273" s="496"/>
      <c r="D3273" s="496"/>
    </row>
    <row r="3274" spans="1:4" x14ac:dyDescent="0.2">
      <c r="A3274" s="496"/>
      <c r="D3274" s="496"/>
    </row>
    <row r="3275" spans="1:4" x14ac:dyDescent="0.2">
      <c r="A3275" s="496"/>
      <c r="D3275" s="496"/>
    </row>
    <row r="3276" spans="1:4" x14ac:dyDescent="0.2">
      <c r="A3276" s="496"/>
      <c r="D3276" s="496"/>
    </row>
    <row r="3277" spans="1:4" x14ac:dyDescent="0.2">
      <c r="A3277" s="496"/>
      <c r="D3277" s="496"/>
    </row>
    <row r="3278" spans="1:4" x14ac:dyDescent="0.2">
      <c r="A3278" s="496"/>
      <c r="D3278" s="496"/>
    </row>
    <row r="3279" spans="1:4" x14ac:dyDescent="0.2">
      <c r="A3279" s="496"/>
      <c r="D3279" s="496"/>
    </row>
    <row r="3280" spans="1:4" x14ac:dyDescent="0.2">
      <c r="A3280" s="496"/>
      <c r="D3280" s="496"/>
    </row>
    <row r="3281" spans="1:4" x14ac:dyDescent="0.2">
      <c r="A3281" s="496"/>
      <c r="D3281" s="496"/>
    </row>
    <row r="3282" spans="1:4" x14ac:dyDescent="0.2">
      <c r="A3282" s="496"/>
      <c r="D3282" s="496"/>
    </row>
    <row r="3283" spans="1:4" x14ac:dyDescent="0.2">
      <c r="A3283" s="496"/>
      <c r="D3283" s="496"/>
    </row>
    <row r="3284" spans="1:4" x14ac:dyDescent="0.2">
      <c r="A3284" s="496"/>
      <c r="D3284" s="496"/>
    </row>
    <row r="3285" spans="1:4" x14ac:dyDescent="0.2">
      <c r="A3285" s="496"/>
      <c r="D3285" s="496"/>
    </row>
    <row r="3286" spans="1:4" x14ac:dyDescent="0.2">
      <c r="A3286" s="496"/>
      <c r="D3286" s="496"/>
    </row>
    <row r="3287" spans="1:4" x14ac:dyDescent="0.2">
      <c r="A3287" s="496"/>
      <c r="D3287" s="496"/>
    </row>
    <row r="3288" spans="1:4" x14ac:dyDescent="0.2">
      <c r="A3288" s="496"/>
      <c r="D3288" s="496"/>
    </row>
    <row r="3289" spans="1:4" x14ac:dyDescent="0.2">
      <c r="A3289" s="496"/>
      <c r="D3289" s="496"/>
    </row>
    <row r="3290" spans="1:4" x14ac:dyDescent="0.2">
      <c r="A3290" s="496"/>
      <c r="D3290" s="496"/>
    </row>
    <row r="3291" spans="1:4" x14ac:dyDescent="0.2">
      <c r="A3291" s="496"/>
      <c r="D3291" s="496"/>
    </row>
    <row r="3292" spans="1:4" x14ac:dyDescent="0.2">
      <c r="A3292" s="496"/>
      <c r="D3292" s="496"/>
    </row>
    <row r="3293" spans="1:4" x14ac:dyDescent="0.2">
      <c r="A3293" s="496"/>
      <c r="D3293" s="496"/>
    </row>
    <row r="3294" spans="1:4" x14ac:dyDescent="0.2">
      <c r="A3294" s="496"/>
      <c r="D3294" s="496"/>
    </row>
    <row r="3295" spans="1:4" x14ac:dyDescent="0.2">
      <c r="A3295" s="496"/>
      <c r="D3295" s="496"/>
    </row>
    <row r="3296" spans="1:4" x14ac:dyDescent="0.2">
      <c r="A3296" s="496"/>
      <c r="D3296" s="496"/>
    </row>
    <row r="3297" spans="1:4" x14ac:dyDescent="0.2">
      <c r="A3297" s="496"/>
      <c r="D3297" s="496"/>
    </row>
    <row r="3298" spans="1:4" x14ac:dyDescent="0.2">
      <c r="A3298" s="496"/>
      <c r="D3298" s="496"/>
    </row>
    <row r="3299" spans="1:4" x14ac:dyDescent="0.2">
      <c r="A3299" s="496"/>
      <c r="D3299" s="496"/>
    </row>
    <row r="3300" spans="1:4" x14ac:dyDescent="0.2">
      <c r="A3300" s="496"/>
      <c r="D3300" s="496"/>
    </row>
    <row r="3301" spans="1:4" x14ac:dyDescent="0.2">
      <c r="A3301" s="496"/>
      <c r="D3301" s="496"/>
    </row>
    <row r="3302" spans="1:4" x14ac:dyDescent="0.2">
      <c r="A3302" s="496"/>
      <c r="D3302" s="496"/>
    </row>
    <row r="3303" spans="1:4" x14ac:dyDescent="0.2">
      <c r="A3303" s="496"/>
      <c r="D3303" s="496"/>
    </row>
    <row r="3304" spans="1:4" x14ac:dyDescent="0.2">
      <c r="A3304" s="496"/>
      <c r="D3304" s="496"/>
    </row>
    <row r="3305" spans="1:4" x14ac:dyDescent="0.2">
      <c r="A3305" s="496"/>
      <c r="D3305" s="496"/>
    </row>
    <row r="3306" spans="1:4" x14ac:dyDescent="0.2">
      <c r="A3306" s="496"/>
      <c r="D3306" s="496"/>
    </row>
    <row r="3307" spans="1:4" x14ac:dyDescent="0.2">
      <c r="A3307" s="496"/>
      <c r="D3307" s="496"/>
    </row>
    <row r="3308" spans="1:4" x14ac:dyDescent="0.2">
      <c r="A3308" s="496"/>
      <c r="D3308" s="496"/>
    </row>
    <row r="3309" spans="1:4" x14ac:dyDescent="0.2">
      <c r="A3309" s="496"/>
      <c r="D3309" s="496"/>
    </row>
    <row r="3310" spans="1:4" x14ac:dyDescent="0.2">
      <c r="A3310" s="496"/>
      <c r="D3310" s="496"/>
    </row>
    <row r="3311" spans="1:4" x14ac:dyDescent="0.2">
      <c r="A3311" s="496"/>
      <c r="D3311" s="496"/>
    </row>
    <row r="3312" spans="1:4" x14ac:dyDescent="0.2">
      <c r="A3312" s="496"/>
      <c r="D3312" s="496"/>
    </row>
    <row r="3313" spans="1:4" x14ac:dyDescent="0.2">
      <c r="A3313" s="496"/>
      <c r="D3313" s="496"/>
    </row>
    <row r="3314" spans="1:4" x14ac:dyDescent="0.2">
      <c r="A3314" s="496"/>
      <c r="D3314" s="496"/>
    </row>
    <row r="3315" spans="1:4" x14ac:dyDescent="0.2">
      <c r="A3315" s="496"/>
      <c r="D3315" s="496"/>
    </row>
    <row r="3316" spans="1:4" x14ac:dyDescent="0.2">
      <c r="A3316" s="496"/>
      <c r="D3316" s="496"/>
    </row>
    <row r="3317" spans="1:4" x14ac:dyDescent="0.2">
      <c r="A3317" s="496"/>
      <c r="D3317" s="496"/>
    </row>
    <row r="3318" spans="1:4" x14ac:dyDescent="0.2">
      <c r="A3318" s="496"/>
      <c r="D3318" s="496"/>
    </row>
    <row r="3319" spans="1:4" x14ac:dyDescent="0.2">
      <c r="A3319" s="496"/>
      <c r="D3319" s="496"/>
    </row>
    <row r="3320" spans="1:4" x14ac:dyDescent="0.2">
      <c r="A3320" s="496"/>
      <c r="D3320" s="496"/>
    </row>
    <row r="3321" spans="1:4" x14ac:dyDescent="0.2">
      <c r="A3321" s="496"/>
      <c r="D3321" s="496"/>
    </row>
    <row r="3322" spans="1:4" x14ac:dyDescent="0.2">
      <c r="A3322" s="496"/>
      <c r="D3322" s="496"/>
    </row>
    <row r="3323" spans="1:4" x14ac:dyDescent="0.2">
      <c r="A3323" s="496"/>
      <c r="D3323" s="496"/>
    </row>
    <row r="3324" spans="1:4" x14ac:dyDescent="0.2">
      <c r="A3324" s="496"/>
      <c r="D3324" s="496"/>
    </row>
    <row r="3325" spans="1:4" x14ac:dyDescent="0.2">
      <c r="A3325" s="496"/>
      <c r="D3325" s="496"/>
    </row>
    <row r="3326" spans="1:4" x14ac:dyDescent="0.2">
      <c r="A3326" s="496"/>
      <c r="D3326" s="496"/>
    </row>
    <row r="3327" spans="1:4" x14ac:dyDescent="0.2">
      <c r="A3327" s="496"/>
      <c r="D3327" s="496"/>
    </row>
    <row r="3328" spans="1:4" x14ac:dyDescent="0.2">
      <c r="A3328" s="496"/>
      <c r="D3328" s="496"/>
    </row>
    <row r="3329" spans="1:4" x14ac:dyDescent="0.2">
      <c r="A3329" s="496"/>
      <c r="D3329" s="496"/>
    </row>
    <row r="3330" spans="1:4" x14ac:dyDescent="0.2">
      <c r="A3330" s="496"/>
      <c r="D3330" s="496"/>
    </row>
    <row r="3331" spans="1:4" x14ac:dyDescent="0.2">
      <c r="A3331" s="496"/>
      <c r="D3331" s="496"/>
    </row>
    <row r="3332" spans="1:4" x14ac:dyDescent="0.2">
      <c r="A3332" s="496"/>
      <c r="D3332" s="496"/>
    </row>
    <row r="3333" spans="1:4" x14ac:dyDescent="0.2">
      <c r="A3333" s="496"/>
      <c r="D3333" s="496"/>
    </row>
    <row r="3334" spans="1:4" x14ac:dyDescent="0.2">
      <c r="A3334" s="496"/>
      <c r="D3334" s="496"/>
    </row>
    <row r="3335" spans="1:4" x14ac:dyDescent="0.2">
      <c r="A3335" s="496"/>
      <c r="D3335" s="496"/>
    </row>
    <row r="3336" spans="1:4" x14ac:dyDescent="0.2">
      <c r="A3336" s="496"/>
      <c r="D3336" s="496"/>
    </row>
    <row r="3337" spans="1:4" x14ac:dyDescent="0.2">
      <c r="A3337" s="496"/>
      <c r="D3337" s="496"/>
    </row>
    <row r="3338" spans="1:4" x14ac:dyDescent="0.2">
      <c r="A3338" s="496"/>
      <c r="D3338" s="496"/>
    </row>
    <row r="3339" spans="1:4" x14ac:dyDescent="0.2">
      <c r="A3339" s="496"/>
      <c r="D3339" s="496"/>
    </row>
    <row r="3340" spans="1:4" x14ac:dyDescent="0.2">
      <c r="A3340" s="496"/>
      <c r="D3340" s="496"/>
    </row>
    <row r="3341" spans="1:4" x14ac:dyDescent="0.2">
      <c r="A3341" s="496"/>
      <c r="D3341" s="496"/>
    </row>
    <row r="3342" spans="1:4" x14ac:dyDescent="0.2">
      <c r="A3342" s="496"/>
      <c r="D3342" s="496"/>
    </row>
    <row r="3343" spans="1:4" x14ac:dyDescent="0.2">
      <c r="A3343" s="496"/>
      <c r="D3343" s="496"/>
    </row>
    <row r="3344" spans="1:4" x14ac:dyDescent="0.2">
      <c r="A3344" s="496"/>
      <c r="D3344" s="496"/>
    </row>
    <row r="3345" spans="1:4" x14ac:dyDescent="0.2">
      <c r="A3345" s="496"/>
      <c r="D3345" s="496"/>
    </row>
    <row r="3346" spans="1:4" x14ac:dyDescent="0.2">
      <c r="A3346" s="496"/>
      <c r="D3346" s="496"/>
    </row>
    <row r="3347" spans="1:4" x14ac:dyDescent="0.2">
      <c r="A3347" s="496"/>
      <c r="D3347" s="496"/>
    </row>
    <row r="3348" spans="1:4" x14ac:dyDescent="0.2">
      <c r="A3348" s="496"/>
      <c r="D3348" s="496"/>
    </row>
    <row r="3349" spans="1:4" x14ac:dyDescent="0.2">
      <c r="A3349" s="496"/>
      <c r="D3349" s="496"/>
    </row>
    <row r="3350" spans="1:4" x14ac:dyDescent="0.2">
      <c r="A3350" s="496"/>
      <c r="D3350" s="496"/>
    </row>
    <row r="3351" spans="1:4" x14ac:dyDescent="0.2">
      <c r="A3351" s="496"/>
      <c r="D3351" s="496"/>
    </row>
    <row r="3352" spans="1:4" x14ac:dyDescent="0.2">
      <c r="A3352" s="496"/>
      <c r="D3352" s="496"/>
    </row>
    <row r="3353" spans="1:4" x14ac:dyDescent="0.2">
      <c r="A3353" s="496"/>
      <c r="D3353" s="496"/>
    </row>
    <row r="3354" spans="1:4" x14ac:dyDescent="0.2">
      <c r="A3354" s="496"/>
      <c r="D3354" s="496"/>
    </row>
    <row r="3355" spans="1:4" x14ac:dyDescent="0.2">
      <c r="A3355" s="496"/>
      <c r="D3355" s="496"/>
    </row>
    <row r="3356" spans="1:4" x14ac:dyDescent="0.2">
      <c r="A3356" s="496"/>
      <c r="D3356" s="496"/>
    </row>
    <row r="3357" spans="1:4" x14ac:dyDescent="0.2">
      <c r="A3357" s="496"/>
      <c r="D3357" s="496"/>
    </row>
    <row r="3358" spans="1:4" x14ac:dyDescent="0.2">
      <c r="A3358" s="496"/>
      <c r="D3358" s="496"/>
    </row>
    <row r="3359" spans="1:4" x14ac:dyDescent="0.2">
      <c r="A3359" s="496"/>
      <c r="D3359" s="496"/>
    </row>
    <row r="3360" spans="1:4" x14ac:dyDescent="0.2">
      <c r="A3360" s="496"/>
      <c r="D3360" s="496"/>
    </row>
    <row r="3361" spans="1:4" x14ac:dyDescent="0.2">
      <c r="A3361" s="496"/>
      <c r="D3361" s="496"/>
    </row>
    <row r="3362" spans="1:4" x14ac:dyDescent="0.2">
      <c r="A3362" s="496"/>
      <c r="D3362" s="496"/>
    </row>
    <row r="3363" spans="1:4" x14ac:dyDescent="0.2">
      <c r="A3363" s="496"/>
      <c r="D3363" s="496"/>
    </row>
    <row r="3364" spans="1:4" x14ac:dyDescent="0.2">
      <c r="A3364" s="496"/>
      <c r="D3364" s="496"/>
    </row>
    <row r="3365" spans="1:4" x14ac:dyDescent="0.2">
      <c r="A3365" s="496"/>
      <c r="D3365" s="496"/>
    </row>
    <row r="3366" spans="1:4" x14ac:dyDescent="0.2">
      <c r="A3366" s="496"/>
      <c r="D3366" s="496"/>
    </row>
    <row r="3367" spans="1:4" x14ac:dyDescent="0.2">
      <c r="A3367" s="496"/>
      <c r="D3367" s="496"/>
    </row>
    <row r="3368" spans="1:4" x14ac:dyDescent="0.2">
      <c r="A3368" s="496"/>
      <c r="D3368" s="496"/>
    </row>
    <row r="3369" spans="1:4" x14ac:dyDescent="0.2">
      <c r="A3369" s="496"/>
      <c r="D3369" s="496"/>
    </row>
    <row r="3370" spans="1:4" x14ac:dyDescent="0.2">
      <c r="A3370" s="496"/>
      <c r="D3370" s="496"/>
    </row>
    <row r="3371" spans="1:4" x14ac:dyDescent="0.2">
      <c r="A3371" s="496"/>
      <c r="D3371" s="496"/>
    </row>
    <row r="3372" spans="1:4" x14ac:dyDescent="0.2">
      <c r="A3372" s="496"/>
      <c r="D3372" s="496"/>
    </row>
    <row r="3373" spans="1:4" x14ac:dyDescent="0.2">
      <c r="A3373" s="496"/>
      <c r="D3373" s="496"/>
    </row>
    <row r="3374" spans="1:4" x14ac:dyDescent="0.2">
      <c r="A3374" s="496"/>
      <c r="D3374" s="496"/>
    </row>
    <row r="3375" spans="1:4" x14ac:dyDescent="0.2">
      <c r="A3375" s="496"/>
      <c r="D3375" s="496"/>
    </row>
    <row r="3376" spans="1:4" x14ac:dyDescent="0.2">
      <c r="A3376" s="496"/>
      <c r="D3376" s="496"/>
    </row>
    <row r="3377" spans="1:4" x14ac:dyDescent="0.2">
      <c r="A3377" s="496"/>
      <c r="D3377" s="496"/>
    </row>
    <row r="3378" spans="1:4" x14ac:dyDescent="0.2">
      <c r="A3378" s="496"/>
      <c r="D3378" s="496"/>
    </row>
    <row r="3379" spans="1:4" x14ac:dyDescent="0.2">
      <c r="A3379" s="496"/>
      <c r="D3379" s="496"/>
    </row>
    <row r="3380" spans="1:4" x14ac:dyDescent="0.2">
      <c r="A3380" s="496"/>
      <c r="D3380" s="496"/>
    </row>
    <row r="3381" spans="1:4" x14ac:dyDescent="0.2">
      <c r="A3381" s="496"/>
      <c r="D3381" s="496"/>
    </row>
    <row r="3382" spans="1:4" x14ac:dyDescent="0.2">
      <c r="A3382" s="496"/>
      <c r="D3382" s="496"/>
    </row>
    <row r="3383" spans="1:4" x14ac:dyDescent="0.2">
      <c r="A3383" s="496"/>
      <c r="D3383" s="496"/>
    </row>
    <row r="3384" spans="1:4" x14ac:dyDescent="0.2">
      <c r="A3384" s="496"/>
      <c r="D3384" s="496"/>
    </row>
    <row r="3385" spans="1:4" x14ac:dyDescent="0.2">
      <c r="A3385" s="496"/>
      <c r="D3385" s="496"/>
    </row>
    <row r="3386" spans="1:4" x14ac:dyDescent="0.2">
      <c r="A3386" s="496"/>
      <c r="D3386" s="496"/>
    </row>
    <row r="3387" spans="1:4" x14ac:dyDescent="0.2">
      <c r="A3387" s="496"/>
      <c r="D3387" s="496"/>
    </row>
    <row r="3388" spans="1:4" x14ac:dyDescent="0.2">
      <c r="A3388" s="496"/>
      <c r="D3388" s="496"/>
    </row>
    <row r="3389" spans="1:4" x14ac:dyDescent="0.2">
      <c r="A3389" s="496"/>
      <c r="D3389" s="496"/>
    </row>
    <row r="3390" spans="1:4" x14ac:dyDescent="0.2">
      <c r="A3390" s="496"/>
      <c r="D3390" s="496"/>
    </row>
    <row r="3391" spans="1:4" x14ac:dyDescent="0.2">
      <c r="A3391" s="496"/>
      <c r="D3391" s="496"/>
    </row>
    <row r="3392" spans="1:4" x14ac:dyDescent="0.2">
      <c r="A3392" s="496"/>
      <c r="D3392" s="496"/>
    </row>
    <row r="3393" spans="1:4" x14ac:dyDescent="0.2">
      <c r="A3393" s="496"/>
      <c r="D3393" s="496"/>
    </row>
    <row r="3394" spans="1:4" x14ac:dyDescent="0.2">
      <c r="A3394" s="496"/>
      <c r="D3394" s="496"/>
    </row>
    <row r="3395" spans="1:4" x14ac:dyDescent="0.2">
      <c r="A3395" s="496"/>
      <c r="D3395" s="496"/>
    </row>
    <row r="3396" spans="1:4" x14ac:dyDescent="0.2">
      <c r="A3396" s="496"/>
      <c r="D3396" s="496"/>
    </row>
    <row r="3397" spans="1:4" x14ac:dyDescent="0.2">
      <c r="A3397" s="496"/>
      <c r="D3397" s="496"/>
    </row>
    <row r="3398" spans="1:4" x14ac:dyDescent="0.2">
      <c r="A3398" s="496"/>
      <c r="D3398" s="496"/>
    </row>
    <row r="3399" spans="1:4" x14ac:dyDescent="0.2">
      <c r="A3399" s="496"/>
      <c r="D3399" s="496"/>
    </row>
    <row r="3400" spans="1:4" x14ac:dyDescent="0.2">
      <c r="A3400" s="496"/>
      <c r="D3400" s="496"/>
    </row>
    <row r="3401" spans="1:4" x14ac:dyDescent="0.2">
      <c r="A3401" s="496"/>
      <c r="D3401" s="496"/>
    </row>
    <row r="3402" spans="1:4" x14ac:dyDescent="0.2">
      <c r="A3402" s="496"/>
      <c r="D3402" s="496"/>
    </row>
    <row r="3403" spans="1:4" x14ac:dyDescent="0.2">
      <c r="A3403" s="496"/>
      <c r="D3403" s="496"/>
    </row>
    <row r="3404" spans="1:4" x14ac:dyDescent="0.2">
      <c r="A3404" s="496"/>
      <c r="D3404" s="496"/>
    </row>
    <row r="3405" spans="1:4" x14ac:dyDescent="0.2">
      <c r="A3405" s="496"/>
      <c r="D3405" s="496"/>
    </row>
    <row r="3406" spans="1:4" x14ac:dyDescent="0.2">
      <c r="A3406" s="496"/>
      <c r="D3406" s="496"/>
    </row>
    <row r="3407" spans="1:4" x14ac:dyDescent="0.2">
      <c r="A3407" s="496"/>
      <c r="D3407" s="496"/>
    </row>
    <row r="3408" spans="1:4" x14ac:dyDescent="0.2">
      <c r="A3408" s="496"/>
      <c r="D3408" s="496"/>
    </row>
    <row r="3409" spans="1:4" x14ac:dyDescent="0.2">
      <c r="A3409" s="496"/>
      <c r="D3409" s="496"/>
    </row>
    <row r="3410" spans="1:4" x14ac:dyDescent="0.2">
      <c r="A3410" s="496"/>
      <c r="D3410" s="496"/>
    </row>
    <row r="3411" spans="1:4" x14ac:dyDescent="0.2">
      <c r="A3411" s="496"/>
      <c r="D3411" s="496"/>
    </row>
    <row r="3412" spans="1:4" x14ac:dyDescent="0.2">
      <c r="A3412" s="496"/>
      <c r="D3412" s="496"/>
    </row>
    <row r="3413" spans="1:4" x14ac:dyDescent="0.2">
      <c r="A3413" s="496"/>
      <c r="D3413" s="496"/>
    </row>
    <row r="3414" spans="1:4" x14ac:dyDescent="0.2">
      <c r="A3414" s="496"/>
      <c r="D3414" s="496"/>
    </row>
    <row r="3415" spans="1:4" x14ac:dyDescent="0.2">
      <c r="A3415" s="496"/>
      <c r="D3415" s="496"/>
    </row>
    <row r="3416" spans="1:4" x14ac:dyDescent="0.2">
      <c r="A3416" s="496"/>
      <c r="D3416" s="496"/>
    </row>
    <row r="3417" spans="1:4" x14ac:dyDescent="0.2">
      <c r="A3417" s="496"/>
      <c r="D3417" s="496"/>
    </row>
    <row r="3418" spans="1:4" x14ac:dyDescent="0.2">
      <c r="A3418" s="496"/>
      <c r="D3418" s="496"/>
    </row>
    <row r="3419" spans="1:4" x14ac:dyDescent="0.2">
      <c r="A3419" s="496"/>
      <c r="D3419" s="496"/>
    </row>
    <row r="3420" spans="1:4" x14ac:dyDescent="0.2">
      <c r="A3420" s="496"/>
      <c r="D3420" s="496"/>
    </row>
    <row r="3421" spans="1:4" x14ac:dyDescent="0.2">
      <c r="A3421" s="496"/>
      <c r="D3421" s="496"/>
    </row>
    <row r="3422" spans="1:4" x14ac:dyDescent="0.2">
      <c r="A3422" s="496"/>
      <c r="D3422" s="496"/>
    </row>
    <row r="3423" spans="1:4" x14ac:dyDescent="0.2">
      <c r="A3423" s="496"/>
      <c r="D3423" s="496"/>
    </row>
    <row r="3424" spans="1:4" x14ac:dyDescent="0.2">
      <c r="A3424" s="496"/>
      <c r="D3424" s="496"/>
    </row>
    <row r="3425" spans="1:4" x14ac:dyDescent="0.2">
      <c r="A3425" s="496"/>
      <c r="D3425" s="496"/>
    </row>
    <row r="3426" spans="1:4" x14ac:dyDescent="0.2">
      <c r="A3426" s="496"/>
      <c r="D3426" s="496"/>
    </row>
    <row r="3427" spans="1:4" x14ac:dyDescent="0.2">
      <c r="A3427" s="496"/>
      <c r="D3427" s="496"/>
    </row>
    <row r="3428" spans="1:4" x14ac:dyDescent="0.2">
      <c r="A3428" s="496"/>
      <c r="D3428" s="496"/>
    </row>
    <row r="3429" spans="1:4" x14ac:dyDescent="0.2">
      <c r="A3429" s="496"/>
      <c r="D3429" s="496"/>
    </row>
    <row r="3430" spans="1:4" x14ac:dyDescent="0.2">
      <c r="A3430" s="496"/>
      <c r="D3430" s="496"/>
    </row>
    <row r="3431" spans="1:4" x14ac:dyDescent="0.2">
      <c r="A3431" s="496"/>
      <c r="D3431" s="496"/>
    </row>
    <row r="3432" spans="1:4" x14ac:dyDescent="0.2">
      <c r="A3432" s="496"/>
      <c r="D3432" s="496"/>
    </row>
    <row r="3433" spans="1:4" x14ac:dyDescent="0.2">
      <c r="A3433" s="496"/>
      <c r="D3433" s="496"/>
    </row>
    <row r="3434" spans="1:4" x14ac:dyDescent="0.2">
      <c r="A3434" s="496"/>
      <c r="D3434" s="496"/>
    </row>
    <row r="3435" spans="1:4" x14ac:dyDescent="0.2">
      <c r="A3435" s="496"/>
      <c r="D3435" s="496"/>
    </row>
    <row r="3436" spans="1:4" x14ac:dyDescent="0.2">
      <c r="A3436" s="496"/>
      <c r="D3436" s="496"/>
    </row>
    <row r="3437" spans="1:4" x14ac:dyDescent="0.2">
      <c r="A3437" s="496"/>
      <c r="D3437" s="496"/>
    </row>
    <row r="3438" spans="1:4" x14ac:dyDescent="0.2">
      <c r="A3438" s="496"/>
      <c r="D3438" s="496"/>
    </row>
    <row r="3439" spans="1:4" x14ac:dyDescent="0.2">
      <c r="A3439" s="496"/>
      <c r="D3439" s="496"/>
    </row>
    <row r="3440" spans="1:4" x14ac:dyDescent="0.2">
      <c r="A3440" s="496"/>
      <c r="D3440" s="496"/>
    </row>
    <row r="3441" spans="1:4" x14ac:dyDescent="0.2">
      <c r="A3441" s="496"/>
      <c r="D3441" s="496"/>
    </row>
    <row r="3442" spans="1:4" x14ac:dyDescent="0.2">
      <c r="A3442" s="496"/>
      <c r="D3442" s="496"/>
    </row>
    <row r="3443" spans="1:4" x14ac:dyDescent="0.2">
      <c r="A3443" s="496"/>
      <c r="D3443" s="496"/>
    </row>
    <row r="3444" spans="1:4" x14ac:dyDescent="0.2">
      <c r="A3444" s="496"/>
      <c r="D3444" s="496"/>
    </row>
    <row r="3445" spans="1:4" x14ac:dyDescent="0.2">
      <c r="A3445" s="496"/>
      <c r="D3445" s="496"/>
    </row>
    <row r="3446" spans="1:4" x14ac:dyDescent="0.2">
      <c r="A3446" s="496"/>
      <c r="D3446" s="496"/>
    </row>
    <row r="3447" spans="1:4" x14ac:dyDescent="0.2">
      <c r="A3447" s="496"/>
      <c r="D3447" s="496"/>
    </row>
    <row r="3448" spans="1:4" x14ac:dyDescent="0.2">
      <c r="A3448" s="496"/>
      <c r="D3448" s="496"/>
    </row>
    <row r="3449" spans="1:4" x14ac:dyDescent="0.2">
      <c r="A3449" s="496"/>
      <c r="D3449" s="496"/>
    </row>
    <row r="3450" spans="1:4" x14ac:dyDescent="0.2">
      <c r="A3450" s="496"/>
      <c r="D3450" s="496"/>
    </row>
    <row r="3451" spans="1:4" x14ac:dyDescent="0.2">
      <c r="A3451" s="496"/>
      <c r="D3451" s="496"/>
    </row>
    <row r="3452" spans="1:4" x14ac:dyDescent="0.2">
      <c r="A3452" s="496"/>
      <c r="D3452" s="496"/>
    </row>
    <row r="3453" spans="1:4" x14ac:dyDescent="0.2">
      <c r="A3453" s="496"/>
      <c r="D3453" s="496"/>
    </row>
    <row r="3454" spans="1:4" x14ac:dyDescent="0.2">
      <c r="A3454" s="496"/>
      <c r="D3454" s="496"/>
    </row>
    <row r="3455" spans="1:4" x14ac:dyDescent="0.2">
      <c r="A3455" s="496"/>
      <c r="D3455" s="496"/>
    </row>
    <row r="3456" spans="1:4" x14ac:dyDescent="0.2">
      <c r="A3456" s="496"/>
      <c r="D3456" s="496"/>
    </row>
    <row r="3457" spans="1:4" x14ac:dyDescent="0.2">
      <c r="A3457" s="496"/>
      <c r="D3457" s="496"/>
    </row>
    <row r="3458" spans="1:4" x14ac:dyDescent="0.2">
      <c r="A3458" s="496"/>
      <c r="D3458" s="496"/>
    </row>
    <row r="3459" spans="1:4" x14ac:dyDescent="0.2">
      <c r="A3459" s="496"/>
      <c r="D3459" s="496"/>
    </row>
    <row r="3460" spans="1:4" x14ac:dyDescent="0.2">
      <c r="A3460" s="496"/>
      <c r="D3460" s="496"/>
    </row>
    <row r="3461" spans="1:4" x14ac:dyDescent="0.2">
      <c r="A3461" s="496"/>
      <c r="D3461" s="496"/>
    </row>
    <row r="3462" spans="1:4" x14ac:dyDescent="0.2">
      <c r="A3462" s="496"/>
      <c r="D3462" s="496"/>
    </row>
    <row r="3463" spans="1:4" x14ac:dyDescent="0.2">
      <c r="A3463" s="496"/>
      <c r="D3463" s="496"/>
    </row>
    <row r="3464" spans="1:4" x14ac:dyDescent="0.2">
      <c r="A3464" s="496"/>
      <c r="D3464" s="496"/>
    </row>
    <row r="3465" spans="1:4" x14ac:dyDescent="0.2">
      <c r="A3465" s="496"/>
      <c r="D3465" s="496"/>
    </row>
    <row r="3466" spans="1:4" x14ac:dyDescent="0.2">
      <c r="A3466" s="496"/>
      <c r="D3466" s="496"/>
    </row>
    <row r="3467" spans="1:4" x14ac:dyDescent="0.2">
      <c r="A3467" s="496"/>
      <c r="D3467" s="496"/>
    </row>
    <row r="3468" spans="1:4" x14ac:dyDescent="0.2">
      <c r="A3468" s="496"/>
      <c r="D3468" s="496"/>
    </row>
    <row r="3469" spans="1:4" x14ac:dyDescent="0.2">
      <c r="A3469" s="496"/>
      <c r="D3469" s="496"/>
    </row>
    <row r="3470" spans="1:4" x14ac:dyDescent="0.2">
      <c r="A3470" s="496"/>
      <c r="D3470" s="496"/>
    </row>
    <row r="3471" spans="1:4" x14ac:dyDescent="0.2">
      <c r="A3471" s="496"/>
      <c r="D3471" s="496"/>
    </row>
    <row r="3472" spans="1:4" x14ac:dyDescent="0.2">
      <c r="A3472" s="496"/>
      <c r="D3472" s="496"/>
    </row>
    <row r="3473" spans="1:4" x14ac:dyDescent="0.2">
      <c r="A3473" s="496"/>
      <c r="D3473" s="496"/>
    </row>
    <row r="3474" spans="1:4" x14ac:dyDescent="0.2">
      <c r="A3474" s="496"/>
      <c r="D3474" s="496"/>
    </row>
    <row r="3475" spans="1:4" x14ac:dyDescent="0.2">
      <c r="A3475" s="496"/>
      <c r="D3475" s="496"/>
    </row>
    <row r="3476" spans="1:4" x14ac:dyDescent="0.2">
      <c r="A3476" s="496"/>
      <c r="D3476" s="496"/>
    </row>
    <row r="3477" spans="1:4" x14ac:dyDescent="0.2">
      <c r="A3477" s="496"/>
      <c r="D3477" s="496"/>
    </row>
    <row r="3478" spans="1:4" x14ac:dyDescent="0.2">
      <c r="A3478" s="496"/>
      <c r="D3478" s="496"/>
    </row>
    <row r="3479" spans="1:4" x14ac:dyDescent="0.2">
      <c r="A3479" s="496"/>
      <c r="D3479" s="496"/>
    </row>
    <row r="3480" spans="1:4" x14ac:dyDescent="0.2">
      <c r="A3480" s="496"/>
      <c r="D3480" s="496"/>
    </row>
    <row r="3481" spans="1:4" x14ac:dyDescent="0.2">
      <c r="A3481" s="496"/>
      <c r="D3481" s="496"/>
    </row>
    <row r="3482" spans="1:4" x14ac:dyDescent="0.2">
      <c r="A3482" s="496"/>
      <c r="D3482" s="496"/>
    </row>
    <row r="3483" spans="1:4" x14ac:dyDescent="0.2">
      <c r="A3483" s="496"/>
      <c r="D3483" s="496"/>
    </row>
    <row r="3484" spans="1:4" x14ac:dyDescent="0.2">
      <c r="A3484" s="496"/>
      <c r="D3484" s="496"/>
    </row>
    <row r="3485" spans="1:4" x14ac:dyDescent="0.2">
      <c r="A3485" s="496"/>
      <c r="D3485" s="496"/>
    </row>
    <row r="3486" spans="1:4" x14ac:dyDescent="0.2">
      <c r="A3486" s="496"/>
      <c r="D3486" s="496"/>
    </row>
    <row r="3487" spans="1:4" x14ac:dyDescent="0.2">
      <c r="A3487" s="496"/>
      <c r="D3487" s="496"/>
    </row>
    <row r="3488" spans="1:4" x14ac:dyDescent="0.2">
      <c r="A3488" s="496"/>
      <c r="D3488" s="496"/>
    </row>
    <row r="3489" spans="1:4" x14ac:dyDescent="0.2">
      <c r="A3489" s="496"/>
      <c r="D3489" s="496"/>
    </row>
    <row r="3490" spans="1:4" x14ac:dyDescent="0.2">
      <c r="A3490" s="496"/>
      <c r="D3490" s="496"/>
    </row>
    <row r="3491" spans="1:4" x14ac:dyDescent="0.2">
      <c r="A3491" s="496"/>
      <c r="D3491" s="496"/>
    </row>
    <row r="3492" spans="1:4" x14ac:dyDescent="0.2">
      <c r="A3492" s="496"/>
      <c r="D3492" s="496"/>
    </row>
    <row r="3493" spans="1:4" x14ac:dyDescent="0.2">
      <c r="A3493" s="496"/>
      <c r="D3493" s="496"/>
    </row>
    <row r="3494" spans="1:4" x14ac:dyDescent="0.2">
      <c r="A3494" s="496"/>
      <c r="D3494" s="496"/>
    </row>
    <row r="3495" spans="1:4" x14ac:dyDescent="0.2">
      <c r="A3495" s="496"/>
      <c r="D3495" s="496"/>
    </row>
    <row r="3496" spans="1:4" x14ac:dyDescent="0.2">
      <c r="A3496" s="496"/>
      <c r="D3496" s="496"/>
    </row>
    <row r="3497" spans="1:4" x14ac:dyDescent="0.2">
      <c r="A3497" s="496"/>
      <c r="D3497" s="496"/>
    </row>
    <row r="3498" spans="1:4" x14ac:dyDescent="0.2">
      <c r="A3498" s="496"/>
      <c r="D3498" s="496"/>
    </row>
    <row r="3499" spans="1:4" x14ac:dyDescent="0.2">
      <c r="A3499" s="496"/>
      <c r="D3499" s="496"/>
    </row>
    <row r="3500" spans="1:4" x14ac:dyDescent="0.2">
      <c r="A3500" s="496"/>
      <c r="D3500" s="496"/>
    </row>
    <row r="3501" spans="1:4" x14ac:dyDescent="0.2">
      <c r="A3501" s="496"/>
      <c r="D3501" s="496"/>
    </row>
    <row r="3502" spans="1:4" x14ac:dyDescent="0.2">
      <c r="A3502" s="496"/>
      <c r="D3502" s="496"/>
    </row>
    <row r="3503" spans="1:4" x14ac:dyDescent="0.2">
      <c r="A3503" s="496"/>
      <c r="D3503" s="496"/>
    </row>
    <row r="3504" spans="1:4" x14ac:dyDescent="0.2">
      <c r="A3504" s="496"/>
      <c r="D3504" s="496"/>
    </row>
    <row r="3505" spans="1:4" x14ac:dyDescent="0.2">
      <c r="A3505" s="496"/>
      <c r="D3505" s="496"/>
    </row>
    <row r="3506" spans="1:4" x14ac:dyDescent="0.2">
      <c r="A3506" s="496"/>
      <c r="D3506" s="496"/>
    </row>
    <row r="3507" spans="1:4" x14ac:dyDescent="0.2">
      <c r="A3507" s="496"/>
      <c r="D3507" s="496"/>
    </row>
    <row r="3508" spans="1:4" x14ac:dyDescent="0.2">
      <c r="A3508" s="496"/>
      <c r="D3508" s="496"/>
    </row>
    <row r="3509" spans="1:4" x14ac:dyDescent="0.2">
      <c r="A3509" s="496"/>
      <c r="D3509" s="496"/>
    </row>
    <row r="3510" spans="1:4" x14ac:dyDescent="0.2">
      <c r="A3510" s="496"/>
      <c r="D3510" s="496"/>
    </row>
    <row r="3511" spans="1:4" x14ac:dyDescent="0.2">
      <c r="A3511" s="496"/>
      <c r="D3511" s="496"/>
    </row>
    <row r="3512" spans="1:4" x14ac:dyDescent="0.2">
      <c r="A3512" s="496"/>
      <c r="D3512" s="496"/>
    </row>
    <row r="3513" spans="1:4" x14ac:dyDescent="0.2">
      <c r="A3513" s="496"/>
      <c r="D3513" s="496"/>
    </row>
    <row r="3514" spans="1:4" x14ac:dyDescent="0.2">
      <c r="A3514" s="496"/>
      <c r="D3514" s="496"/>
    </row>
    <row r="3515" spans="1:4" x14ac:dyDescent="0.2">
      <c r="A3515" s="496"/>
      <c r="D3515" s="496"/>
    </row>
    <row r="3516" spans="1:4" x14ac:dyDescent="0.2">
      <c r="A3516" s="496"/>
      <c r="D3516" s="496"/>
    </row>
    <row r="3517" spans="1:4" x14ac:dyDescent="0.2">
      <c r="A3517" s="496"/>
      <c r="D3517" s="496"/>
    </row>
    <row r="3518" spans="1:4" x14ac:dyDescent="0.2">
      <c r="A3518" s="496"/>
      <c r="D3518" s="496"/>
    </row>
    <row r="3519" spans="1:4" x14ac:dyDescent="0.2">
      <c r="A3519" s="496"/>
      <c r="D3519" s="496"/>
    </row>
    <row r="3520" spans="1:4" x14ac:dyDescent="0.2">
      <c r="A3520" s="496"/>
      <c r="D3520" s="496"/>
    </row>
    <row r="3521" spans="1:4" x14ac:dyDescent="0.2">
      <c r="A3521" s="496"/>
      <c r="D3521" s="496"/>
    </row>
    <row r="3522" spans="1:4" x14ac:dyDescent="0.2">
      <c r="A3522" s="496"/>
      <c r="D3522" s="496"/>
    </row>
    <row r="3523" spans="1:4" x14ac:dyDescent="0.2">
      <c r="A3523" s="496"/>
      <c r="D3523" s="496"/>
    </row>
    <row r="3524" spans="1:4" x14ac:dyDescent="0.2">
      <c r="A3524" s="496"/>
      <c r="D3524" s="496"/>
    </row>
    <row r="3525" spans="1:4" x14ac:dyDescent="0.2">
      <c r="A3525" s="496"/>
      <c r="D3525" s="496"/>
    </row>
    <row r="3526" spans="1:4" x14ac:dyDescent="0.2">
      <c r="A3526" s="496"/>
      <c r="D3526" s="496"/>
    </row>
    <row r="3527" spans="1:4" x14ac:dyDescent="0.2">
      <c r="A3527" s="496"/>
      <c r="D3527" s="496"/>
    </row>
    <row r="3528" spans="1:4" x14ac:dyDescent="0.2">
      <c r="A3528" s="496"/>
      <c r="D3528" s="496"/>
    </row>
    <row r="3529" spans="1:4" x14ac:dyDescent="0.2">
      <c r="A3529" s="496"/>
      <c r="D3529" s="496"/>
    </row>
    <row r="3530" spans="1:4" x14ac:dyDescent="0.2">
      <c r="A3530" s="496"/>
      <c r="D3530" s="496"/>
    </row>
    <row r="3531" spans="1:4" x14ac:dyDescent="0.2">
      <c r="A3531" s="496"/>
      <c r="D3531" s="496"/>
    </row>
    <row r="3532" spans="1:4" x14ac:dyDescent="0.2">
      <c r="A3532" s="496"/>
      <c r="D3532" s="496"/>
    </row>
    <row r="3533" spans="1:4" x14ac:dyDescent="0.2">
      <c r="A3533" s="496"/>
      <c r="D3533" s="496"/>
    </row>
    <row r="3534" spans="1:4" x14ac:dyDescent="0.2">
      <c r="A3534" s="496"/>
      <c r="D3534" s="496"/>
    </row>
    <row r="3535" spans="1:4" x14ac:dyDescent="0.2">
      <c r="A3535" s="496"/>
      <c r="D3535" s="496"/>
    </row>
    <row r="3536" spans="1:4" x14ac:dyDescent="0.2">
      <c r="A3536" s="496"/>
      <c r="D3536" s="496"/>
    </row>
    <row r="3537" spans="1:4" x14ac:dyDescent="0.2">
      <c r="A3537" s="496"/>
      <c r="D3537" s="496"/>
    </row>
    <row r="3538" spans="1:4" x14ac:dyDescent="0.2">
      <c r="A3538" s="496"/>
      <c r="D3538" s="496"/>
    </row>
    <row r="3539" spans="1:4" x14ac:dyDescent="0.2">
      <c r="A3539" s="496"/>
      <c r="D3539" s="496"/>
    </row>
    <row r="3540" spans="1:4" x14ac:dyDescent="0.2">
      <c r="A3540" s="496"/>
      <c r="D3540" s="496"/>
    </row>
    <row r="3541" spans="1:4" x14ac:dyDescent="0.2">
      <c r="A3541" s="496"/>
      <c r="D3541" s="496"/>
    </row>
    <row r="3542" spans="1:4" x14ac:dyDescent="0.2">
      <c r="A3542" s="496"/>
      <c r="D3542" s="496"/>
    </row>
    <row r="3543" spans="1:4" x14ac:dyDescent="0.2">
      <c r="A3543" s="496"/>
      <c r="D3543" s="496"/>
    </row>
    <row r="3544" spans="1:4" x14ac:dyDescent="0.2">
      <c r="A3544" s="496"/>
      <c r="D3544" s="496"/>
    </row>
    <row r="3545" spans="1:4" x14ac:dyDescent="0.2">
      <c r="A3545" s="496"/>
      <c r="D3545" s="496"/>
    </row>
    <row r="3546" spans="1:4" x14ac:dyDescent="0.2">
      <c r="A3546" s="496"/>
      <c r="D3546" s="496"/>
    </row>
    <row r="3547" spans="1:4" x14ac:dyDescent="0.2">
      <c r="A3547" s="496"/>
      <c r="D3547" s="496"/>
    </row>
    <row r="3548" spans="1:4" x14ac:dyDescent="0.2">
      <c r="A3548" s="496"/>
      <c r="D3548" s="496"/>
    </row>
    <row r="3549" spans="1:4" x14ac:dyDescent="0.2">
      <c r="A3549" s="496"/>
      <c r="D3549" s="496"/>
    </row>
    <row r="3550" spans="1:4" x14ac:dyDescent="0.2">
      <c r="A3550" s="496"/>
      <c r="D3550" s="496"/>
    </row>
    <row r="3551" spans="1:4" x14ac:dyDescent="0.2">
      <c r="A3551" s="496"/>
      <c r="D3551" s="496"/>
    </row>
    <row r="3552" spans="1:4" x14ac:dyDescent="0.2">
      <c r="A3552" s="496"/>
      <c r="D3552" s="496"/>
    </row>
    <row r="3553" spans="1:4" x14ac:dyDescent="0.2">
      <c r="A3553" s="496"/>
      <c r="D3553" s="496"/>
    </row>
    <row r="3554" spans="1:4" x14ac:dyDescent="0.2">
      <c r="A3554" s="496"/>
      <c r="D3554" s="496"/>
    </row>
    <row r="3555" spans="1:4" x14ac:dyDescent="0.2">
      <c r="A3555" s="496"/>
      <c r="D3555" s="496"/>
    </row>
    <row r="3556" spans="1:4" x14ac:dyDescent="0.2">
      <c r="A3556" s="496"/>
      <c r="D3556" s="496"/>
    </row>
    <row r="3557" spans="1:4" x14ac:dyDescent="0.2">
      <c r="A3557" s="496"/>
      <c r="D3557" s="496"/>
    </row>
    <row r="3558" spans="1:4" x14ac:dyDescent="0.2">
      <c r="A3558" s="496"/>
      <c r="D3558" s="496"/>
    </row>
    <row r="3559" spans="1:4" x14ac:dyDescent="0.2">
      <c r="A3559" s="496"/>
      <c r="D3559" s="496"/>
    </row>
    <row r="3560" spans="1:4" x14ac:dyDescent="0.2">
      <c r="A3560" s="496"/>
      <c r="D3560" s="496"/>
    </row>
    <row r="3561" spans="1:4" x14ac:dyDescent="0.2">
      <c r="A3561" s="496"/>
      <c r="D3561" s="496"/>
    </row>
    <row r="3562" spans="1:4" x14ac:dyDescent="0.2">
      <c r="A3562" s="496"/>
      <c r="D3562" s="496"/>
    </row>
    <row r="3563" spans="1:4" x14ac:dyDescent="0.2">
      <c r="A3563" s="496"/>
      <c r="D3563" s="496"/>
    </row>
    <row r="3564" spans="1:4" x14ac:dyDescent="0.2">
      <c r="A3564" s="496"/>
      <c r="D3564" s="496"/>
    </row>
    <row r="3565" spans="1:4" x14ac:dyDescent="0.2">
      <c r="A3565" s="496"/>
      <c r="D3565" s="496"/>
    </row>
    <row r="3566" spans="1:4" x14ac:dyDescent="0.2">
      <c r="A3566" s="496"/>
      <c r="D3566" s="496"/>
    </row>
    <row r="3567" spans="1:4" x14ac:dyDescent="0.2">
      <c r="A3567" s="496"/>
      <c r="D3567" s="496"/>
    </row>
    <row r="3568" spans="1:4" x14ac:dyDescent="0.2">
      <c r="A3568" s="496"/>
      <c r="D3568" s="496"/>
    </row>
    <row r="3569" spans="1:4" x14ac:dyDescent="0.2">
      <c r="A3569" s="496"/>
      <c r="D3569" s="496"/>
    </row>
    <row r="3570" spans="1:4" x14ac:dyDescent="0.2">
      <c r="A3570" s="496"/>
      <c r="D3570" s="496"/>
    </row>
    <row r="3571" spans="1:4" x14ac:dyDescent="0.2">
      <c r="A3571" s="496"/>
      <c r="D3571" s="496"/>
    </row>
    <row r="3572" spans="1:4" x14ac:dyDescent="0.2">
      <c r="A3572" s="496"/>
      <c r="D3572" s="496"/>
    </row>
    <row r="3573" spans="1:4" x14ac:dyDescent="0.2">
      <c r="A3573" s="496"/>
      <c r="D3573" s="496"/>
    </row>
    <row r="3574" spans="1:4" x14ac:dyDescent="0.2">
      <c r="A3574" s="496"/>
      <c r="D3574" s="496"/>
    </row>
    <row r="3575" spans="1:4" x14ac:dyDescent="0.2">
      <c r="A3575" s="496"/>
      <c r="D3575" s="496"/>
    </row>
    <row r="3576" spans="1:4" x14ac:dyDescent="0.2">
      <c r="A3576" s="496"/>
      <c r="D3576" s="496"/>
    </row>
    <row r="3577" spans="1:4" x14ac:dyDescent="0.2">
      <c r="A3577" s="496"/>
      <c r="D3577" s="496"/>
    </row>
    <row r="3578" spans="1:4" x14ac:dyDescent="0.2">
      <c r="A3578" s="496"/>
      <c r="D3578" s="496"/>
    </row>
    <row r="3579" spans="1:4" x14ac:dyDescent="0.2">
      <c r="A3579" s="496"/>
      <c r="D3579" s="496"/>
    </row>
    <row r="3580" spans="1:4" x14ac:dyDescent="0.2">
      <c r="A3580" s="496"/>
      <c r="D3580" s="496"/>
    </row>
    <row r="3581" spans="1:4" x14ac:dyDescent="0.2">
      <c r="A3581" s="496"/>
      <c r="D3581" s="496"/>
    </row>
    <row r="3582" spans="1:4" x14ac:dyDescent="0.2">
      <c r="A3582" s="496"/>
      <c r="D3582" s="496"/>
    </row>
    <row r="3583" spans="1:4" x14ac:dyDescent="0.2">
      <c r="A3583" s="496"/>
      <c r="D3583" s="496"/>
    </row>
    <row r="3584" spans="1:4" x14ac:dyDescent="0.2">
      <c r="A3584" s="496"/>
      <c r="D3584" s="496"/>
    </row>
    <row r="3585" spans="1:4" x14ac:dyDescent="0.2">
      <c r="A3585" s="496"/>
      <c r="D3585" s="496"/>
    </row>
    <row r="3586" spans="1:4" x14ac:dyDescent="0.2">
      <c r="A3586" s="496"/>
      <c r="D3586" s="496"/>
    </row>
    <row r="3587" spans="1:4" x14ac:dyDescent="0.2">
      <c r="A3587" s="496"/>
      <c r="D3587" s="496"/>
    </row>
    <row r="3588" spans="1:4" x14ac:dyDescent="0.2">
      <c r="A3588" s="496"/>
      <c r="D3588" s="496"/>
    </row>
    <row r="3589" spans="1:4" x14ac:dyDescent="0.2">
      <c r="A3589" s="496"/>
      <c r="D3589" s="496"/>
    </row>
    <row r="3590" spans="1:4" x14ac:dyDescent="0.2">
      <c r="A3590" s="496"/>
      <c r="D3590" s="496"/>
    </row>
    <row r="3591" spans="1:4" x14ac:dyDescent="0.2">
      <c r="A3591" s="496"/>
      <c r="D3591" s="496"/>
    </row>
    <row r="3592" spans="1:4" x14ac:dyDescent="0.2">
      <c r="A3592" s="496"/>
      <c r="D3592" s="496"/>
    </row>
    <row r="3593" spans="1:4" x14ac:dyDescent="0.2">
      <c r="A3593" s="496"/>
      <c r="D3593" s="496"/>
    </row>
    <row r="3594" spans="1:4" x14ac:dyDescent="0.2">
      <c r="A3594" s="496"/>
      <c r="D3594" s="496"/>
    </row>
    <row r="3595" spans="1:4" x14ac:dyDescent="0.2">
      <c r="A3595" s="496"/>
      <c r="D3595" s="496"/>
    </row>
    <row r="3596" spans="1:4" x14ac:dyDescent="0.2">
      <c r="A3596" s="496"/>
      <c r="D3596" s="496"/>
    </row>
    <row r="3597" spans="1:4" x14ac:dyDescent="0.2">
      <c r="A3597" s="496"/>
      <c r="D3597" s="496"/>
    </row>
    <row r="3598" spans="1:4" x14ac:dyDescent="0.2">
      <c r="A3598" s="496"/>
      <c r="D3598" s="496"/>
    </row>
    <row r="3599" spans="1:4" x14ac:dyDescent="0.2">
      <c r="A3599" s="496"/>
      <c r="D3599" s="496"/>
    </row>
    <row r="3600" spans="1:4" x14ac:dyDescent="0.2">
      <c r="A3600" s="496"/>
      <c r="D3600" s="496"/>
    </row>
    <row r="3601" spans="1:4" x14ac:dyDescent="0.2">
      <c r="A3601" s="496"/>
      <c r="D3601" s="496"/>
    </row>
    <row r="3602" spans="1:4" x14ac:dyDescent="0.2">
      <c r="A3602" s="496"/>
      <c r="D3602" s="496"/>
    </row>
    <row r="3603" spans="1:4" x14ac:dyDescent="0.2">
      <c r="A3603" s="496"/>
      <c r="D3603" s="496"/>
    </row>
    <row r="3604" spans="1:4" x14ac:dyDescent="0.2">
      <c r="A3604" s="496"/>
      <c r="D3604" s="496"/>
    </row>
    <row r="3605" spans="1:4" x14ac:dyDescent="0.2">
      <c r="A3605" s="496"/>
      <c r="D3605" s="496"/>
    </row>
    <row r="3606" spans="1:4" x14ac:dyDescent="0.2">
      <c r="A3606" s="496"/>
      <c r="D3606" s="496"/>
    </row>
    <row r="3607" spans="1:4" x14ac:dyDescent="0.2">
      <c r="A3607" s="496"/>
      <c r="D3607" s="496"/>
    </row>
    <row r="3608" spans="1:4" x14ac:dyDescent="0.2">
      <c r="A3608" s="496"/>
      <c r="D3608" s="496"/>
    </row>
    <row r="3609" spans="1:4" x14ac:dyDescent="0.2">
      <c r="A3609" s="496"/>
      <c r="D3609" s="496"/>
    </row>
    <row r="3610" spans="1:4" x14ac:dyDescent="0.2">
      <c r="A3610" s="496"/>
      <c r="D3610" s="496"/>
    </row>
    <row r="3611" spans="1:4" x14ac:dyDescent="0.2">
      <c r="A3611" s="496"/>
      <c r="D3611" s="496"/>
    </row>
    <row r="3612" spans="1:4" x14ac:dyDescent="0.2">
      <c r="A3612" s="496"/>
      <c r="D3612" s="496"/>
    </row>
    <row r="3613" spans="1:4" x14ac:dyDescent="0.2">
      <c r="A3613" s="496"/>
      <c r="D3613" s="496"/>
    </row>
    <row r="3614" spans="1:4" x14ac:dyDescent="0.2">
      <c r="A3614" s="496"/>
      <c r="D3614" s="496"/>
    </row>
    <row r="3615" spans="1:4" x14ac:dyDescent="0.2">
      <c r="A3615" s="496"/>
      <c r="D3615" s="496"/>
    </row>
    <row r="3616" spans="1:4" x14ac:dyDescent="0.2">
      <c r="A3616" s="496"/>
      <c r="D3616" s="496"/>
    </row>
    <row r="3617" spans="1:4" x14ac:dyDescent="0.2">
      <c r="A3617" s="496"/>
      <c r="D3617" s="496"/>
    </row>
    <row r="3618" spans="1:4" x14ac:dyDescent="0.2">
      <c r="A3618" s="496"/>
      <c r="D3618" s="496"/>
    </row>
    <row r="3619" spans="1:4" x14ac:dyDescent="0.2">
      <c r="A3619" s="496"/>
      <c r="D3619" s="496"/>
    </row>
    <row r="3620" spans="1:4" x14ac:dyDescent="0.2">
      <c r="A3620" s="496"/>
      <c r="D3620" s="496"/>
    </row>
    <row r="3621" spans="1:4" x14ac:dyDescent="0.2">
      <c r="A3621" s="496"/>
      <c r="D3621" s="496"/>
    </row>
    <row r="3622" spans="1:4" x14ac:dyDescent="0.2">
      <c r="A3622" s="496"/>
      <c r="D3622" s="496"/>
    </row>
    <row r="3623" spans="1:4" x14ac:dyDescent="0.2">
      <c r="A3623" s="496"/>
      <c r="D3623" s="496"/>
    </row>
    <row r="3624" spans="1:4" x14ac:dyDescent="0.2">
      <c r="A3624" s="496"/>
      <c r="D3624" s="496"/>
    </row>
    <row r="3625" spans="1:4" x14ac:dyDescent="0.2">
      <c r="A3625" s="496"/>
      <c r="D3625" s="496"/>
    </row>
    <row r="3626" spans="1:4" x14ac:dyDescent="0.2">
      <c r="A3626" s="496"/>
      <c r="D3626" s="496"/>
    </row>
    <row r="3627" spans="1:4" x14ac:dyDescent="0.2">
      <c r="A3627" s="496"/>
      <c r="D3627" s="496"/>
    </row>
    <row r="3628" spans="1:4" x14ac:dyDescent="0.2">
      <c r="A3628" s="496"/>
      <c r="D3628" s="496"/>
    </row>
    <row r="3629" spans="1:4" x14ac:dyDescent="0.2">
      <c r="A3629" s="496"/>
      <c r="D3629" s="496"/>
    </row>
    <row r="3630" spans="1:4" x14ac:dyDescent="0.2">
      <c r="A3630" s="496"/>
      <c r="D3630" s="496"/>
    </row>
    <row r="3631" spans="1:4" x14ac:dyDescent="0.2">
      <c r="A3631" s="496"/>
      <c r="D3631" s="496"/>
    </row>
    <row r="3632" spans="1:4" x14ac:dyDescent="0.2">
      <c r="A3632" s="496"/>
      <c r="D3632" s="496"/>
    </row>
    <row r="3633" spans="1:4" x14ac:dyDescent="0.2">
      <c r="A3633" s="496"/>
      <c r="D3633" s="496"/>
    </row>
    <row r="3634" spans="1:4" x14ac:dyDescent="0.2">
      <c r="A3634" s="496"/>
      <c r="D3634" s="496"/>
    </row>
    <row r="3635" spans="1:4" x14ac:dyDescent="0.2">
      <c r="A3635" s="496"/>
      <c r="D3635" s="496"/>
    </row>
    <row r="3636" spans="1:4" x14ac:dyDescent="0.2">
      <c r="A3636" s="496"/>
      <c r="D3636" s="496"/>
    </row>
    <row r="3637" spans="1:4" x14ac:dyDescent="0.2">
      <c r="A3637" s="496"/>
      <c r="D3637" s="496"/>
    </row>
    <row r="3638" spans="1:4" x14ac:dyDescent="0.2">
      <c r="A3638" s="496"/>
      <c r="D3638" s="496"/>
    </row>
    <row r="3639" spans="1:4" x14ac:dyDescent="0.2">
      <c r="A3639" s="496"/>
      <c r="D3639" s="496"/>
    </row>
    <row r="3640" spans="1:4" x14ac:dyDescent="0.2">
      <c r="A3640" s="496"/>
      <c r="D3640" s="496"/>
    </row>
    <row r="3641" spans="1:4" x14ac:dyDescent="0.2">
      <c r="A3641" s="496"/>
      <c r="D3641" s="496"/>
    </row>
    <row r="3642" spans="1:4" x14ac:dyDescent="0.2">
      <c r="A3642" s="496"/>
      <c r="D3642" s="496"/>
    </row>
    <row r="3643" spans="1:4" x14ac:dyDescent="0.2">
      <c r="A3643" s="496"/>
      <c r="D3643" s="496"/>
    </row>
    <row r="3644" spans="1:4" x14ac:dyDescent="0.2">
      <c r="A3644" s="496"/>
      <c r="D3644" s="496"/>
    </row>
    <row r="3645" spans="1:4" x14ac:dyDescent="0.2">
      <c r="A3645" s="496"/>
      <c r="D3645" s="496"/>
    </row>
    <row r="3646" spans="1:4" x14ac:dyDescent="0.2">
      <c r="A3646" s="496"/>
      <c r="D3646" s="496"/>
    </row>
    <row r="3647" spans="1:4" x14ac:dyDescent="0.2">
      <c r="A3647" s="496"/>
      <c r="D3647" s="496"/>
    </row>
    <row r="3648" spans="1:4" x14ac:dyDescent="0.2">
      <c r="A3648" s="496"/>
      <c r="D3648" s="496"/>
    </row>
    <row r="3649" spans="1:4" x14ac:dyDescent="0.2">
      <c r="A3649" s="496"/>
      <c r="D3649" s="496"/>
    </row>
    <row r="3650" spans="1:4" x14ac:dyDescent="0.2">
      <c r="A3650" s="496"/>
      <c r="D3650" s="496"/>
    </row>
    <row r="3651" spans="1:4" x14ac:dyDescent="0.2">
      <c r="A3651" s="496"/>
      <c r="D3651" s="496"/>
    </row>
    <row r="3652" spans="1:4" x14ac:dyDescent="0.2">
      <c r="A3652" s="496"/>
      <c r="D3652" s="496"/>
    </row>
    <row r="3653" spans="1:4" x14ac:dyDescent="0.2">
      <c r="A3653" s="496"/>
      <c r="D3653" s="496"/>
    </row>
    <row r="3654" spans="1:4" x14ac:dyDescent="0.2">
      <c r="A3654" s="496"/>
      <c r="D3654" s="496"/>
    </row>
    <row r="3655" spans="1:4" x14ac:dyDescent="0.2">
      <c r="A3655" s="496"/>
      <c r="D3655" s="496"/>
    </row>
    <row r="3656" spans="1:4" x14ac:dyDescent="0.2">
      <c r="A3656" s="496"/>
      <c r="D3656" s="496"/>
    </row>
    <row r="3657" spans="1:4" x14ac:dyDescent="0.2">
      <c r="A3657" s="496"/>
      <c r="D3657" s="496"/>
    </row>
    <row r="3658" spans="1:4" x14ac:dyDescent="0.2">
      <c r="A3658" s="496"/>
      <c r="D3658" s="496"/>
    </row>
    <row r="3659" spans="1:4" x14ac:dyDescent="0.2">
      <c r="A3659" s="496"/>
      <c r="D3659" s="496"/>
    </row>
    <row r="3660" spans="1:4" x14ac:dyDescent="0.2">
      <c r="A3660" s="496"/>
      <c r="D3660" s="496"/>
    </row>
    <row r="3661" spans="1:4" x14ac:dyDescent="0.2">
      <c r="A3661" s="496"/>
      <c r="D3661" s="496"/>
    </row>
    <row r="3662" spans="1:4" x14ac:dyDescent="0.2">
      <c r="A3662" s="496"/>
      <c r="D3662" s="496"/>
    </row>
    <row r="3663" spans="1:4" x14ac:dyDescent="0.2">
      <c r="A3663" s="496"/>
      <c r="D3663" s="496"/>
    </row>
    <row r="3664" spans="1:4" x14ac:dyDescent="0.2">
      <c r="A3664" s="496"/>
      <c r="D3664" s="496"/>
    </row>
    <row r="3665" spans="1:4" x14ac:dyDescent="0.2">
      <c r="A3665" s="496"/>
      <c r="D3665" s="496"/>
    </row>
    <row r="3666" spans="1:4" x14ac:dyDescent="0.2">
      <c r="A3666" s="496"/>
      <c r="D3666" s="496"/>
    </row>
    <row r="3667" spans="1:4" x14ac:dyDescent="0.2">
      <c r="A3667" s="496"/>
      <c r="D3667" s="496"/>
    </row>
    <row r="3668" spans="1:4" x14ac:dyDescent="0.2">
      <c r="A3668" s="496"/>
      <c r="D3668" s="496"/>
    </row>
    <row r="3669" spans="1:4" x14ac:dyDescent="0.2">
      <c r="A3669" s="496"/>
      <c r="D3669" s="496"/>
    </row>
    <row r="3670" spans="1:4" x14ac:dyDescent="0.2">
      <c r="A3670" s="496"/>
      <c r="D3670" s="496"/>
    </row>
    <row r="3671" spans="1:4" x14ac:dyDescent="0.2">
      <c r="A3671" s="496"/>
      <c r="D3671" s="496"/>
    </row>
    <row r="3672" spans="1:4" x14ac:dyDescent="0.2">
      <c r="A3672" s="496"/>
      <c r="D3672" s="496"/>
    </row>
    <row r="3673" spans="1:4" x14ac:dyDescent="0.2">
      <c r="A3673" s="496"/>
      <c r="D3673" s="496"/>
    </row>
    <row r="3674" spans="1:4" x14ac:dyDescent="0.2">
      <c r="A3674" s="496"/>
      <c r="D3674" s="496"/>
    </row>
    <row r="3675" spans="1:4" x14ac:dyDescent="0.2">
      <c r="A3675" s="496"/>
      <c r="D3675" s="496"/>
    </row>
    <row r="3676" spans="1:4" x14ac:dyDescent="0.2">
      <c r="A3676" s="496"/>
      <c r="D3676" s="496"/>
    </row>
    <row r="3677" spans="1:4" x14ac:dyDescent="0.2">
      <c r="A3677" s="496"/>
      <c r="D3677" s="496"/>
    </row>
    <row r="3678" spans="1:4" x14ac:dyDescent="0.2">
      <c r="A3678" s="496"/>
      <c r="D3678" s="496"/>
    </row>
    <row r="3679" spans="1:4" x14ac:dyDescent="0.2">
      <c r="A3679" s="496"/>
      <c r="D3679" s="496"/>
    </row>
    <row r="3680" spans="1:4" x14ac:dyDescent="0.2">
      <c r="A3680" s="496"/>
      <c r="D3680" s="496"/>
    </row>
    <row r="3681" spans="1:4" x14ac:dyDescent="0.2">
      <c r="A3681" s="496"/>
      <c r="D3681" s="496"/>
    </row>
    <row r="3682" spans="1:4" x14ac:dyDescent="0.2">
      <c r="A3682" s="496"/>
      <c r="D3682" s="496"/>
    </row>
    <row r="3683" spans="1:4" x14ac:dyDescent="0.2">
      <c r="A3683" s="496"/>
      <c r="D3683" s="496"/>
    </row>
    <row r="3684" spans="1:4" x14ac:dyDescent="0.2">
      <c r="A3684" s="496"/>
      <c r="D3684" s="496"/>
    </row>
    <row r="3685" spans="1:4" x14ac:dyDescent="0.2">
      <c r="A3685" s="496"/>
      <c r="D3685" s="496"/>
    </row>
    <row r="3686" spans="1:4" x14ac:dyDescent="0.2">
      <c r="A3686" s="496"/>
      <c r="D3686" s="496"/>
    </row>
    <row r="3687" spans="1:4" x14ac:dyDescent="0.2">
      <c r="A3687" s="496"/>
      <c r="D3687" s="496"/>
    </row>
    <row r="3688" spans="1:4" x14ac:dyDescent="0.2">
      <c r="A3688" s="496"/>
      <c r="D3688" s="496"/>
    </row>
    <row r="3689" spans="1:4" x14ac:dyDescent="0.2">
      <c r="A3689" s="496"/>
      <c r="D3689" s="496"/>
    </row>
    <row r="3690" spans="1:4" x14ac:dyDescent="0.2">
      <c r="A3690" s="496"/>
      <c r="D3690" s="496"/>
    </row>
    <row r="3691" spans="1:4" x14ac:dyDescent="0.2">
      <c r="A3691" s="496"/>
      <c r="D3691" s="496"/>
    </row>
    <row r="3692" spans="1:4" x14ac:dyDescent="0.2">
      <c r="A3692" s="496"/>
      <c r="D3692" s="496"/>
    </row>
    <row r="3693" spans="1:4" x14ac:dyDescent="0.2">
      <c r="A3693" s="496"/>
      <c r="D3693" s="496"/>
    </row>
    <row r="3694" spans="1:4" x14ac:dyDescent="0.2">
      <c r="A3694" s="496"/>
      <c r="D3694" s="496"/>
    </row>
    <row r="3695" spans="1:4" x14ac:dyDescent="0.2">
      <c r="A3695" s="496"/>
      <c r="D3695" s="496"/>
    </row>
    <row r="3696" spans="1:4" x14ac:dyDescent="0.2">
      <c r="A3696" s="496"/>
      <c r="D3696" s="496"/>
    </row>
    <row r="3697" spans="1:4" x14ac:dyDescent="0.2">
      <c r="A3697" s="496"/>
      <c r="D3697" s="496"/>
    </row>
    <row r="3698" spans="1:4" x14ac:dyDescent="0.2">
      <c r="A3698" s="496"/>
      <c r="D3698" s="496"/>
    </row>
    <row r="3699" spans="1:4" x14ac:dyDescent="0.2">
      <c r="A3699" s="496"/>
      <c r="D3699" s="496"/>
    </row>
    <row r="3700" spans="1:4" x14ac:dyDescent="0.2">
      <c r="A3700" s="496"/>
      <c r="D3700" s="496"/>
    </row>
    <row r="3701" spans="1:4" x14ac:dyDescent="0.2">
      <c r="A3701" s="496"/>
      <c r="D3701" s="496"/>
    </row>
    <row r="3702" spans="1:4" x14ac:dyDescent="0.2">
      <c r="A3702" s="496"/>
      <c r="D3702" s="496"/>
    </row>
    <row r="3703" spans="1:4" x14ac:dyDescent="0.2">
      <c r="A3703" s="496"/>
      <c r="D3703" s="496"/>
    </row>
    <row r="3704" spans="1:4" x14ac:dyDescent="0.2">
      <c r="A3704" s="496"/>
      <c r="D3704" s="496"/>
    </row>
    <row r="3705" spans="1:4" x14ac:dyDescent="0.2">
      <c r="A3705" s="496"/>
      <c r="D3705" s="496"/>
    </row>
    <row r="3706" spans="1:4" x14ac:dyDescent="0.2">
      <c r="A3706" s="496"/>
      <c r="D3706" s="496"/>
    </row>
    <row r="3707" spans="1:4" x14ac:dyDescent="0.2">
      <c r="A3707" s="496"/>
      <c r="D3707" s="496"/>
    </row>
    <row r="3708" spans="1:4" x14ac:dyDescent="0.2">
      <c r="A3708" s="496"/>
      <c r="D3708" s="496"/>
    </row>
    <row r="3709" spans="1:4" x14ac:dyDescent="0.2">
      <c r="A3709" s="496"/>
      <c r="D3709" s="496"/>
    </row>
    <row r="3710" spans="1:4" x14ac:dyDescent="0.2">
      <c r="A3710" s="496"/>
      <c r="D3710" s="496"/>
    </row>
    <row r="3711" spans="1:4" x14ac:dyDescent="0.2">
      <c r="A3711" s="496"/>
      <c r="D3711" s="496"/>
    </row>
    <row r="3712" spans="1:4" x14ac:dyDescent="0.2">
      <c r="A3712" s="496"/>
      <c r="D3712" s="496"/>
    </row>
    <row r="3713" spans="1:4" x14ac:dyDescent="0.2">
      <c r="A3713" s="496"/>
      <c r="D3713" s="496"/>
    </row>
    <row r="3714" spans="1:4" x14ac:dyDescent="0.2">
      <c r="A3714" s="496"/>
      <c r="D3714" s="496"/>
    </row>
    <row r="3715" spans="1:4" x14ac:dyDescent="0.2">
      <c r="A3715" s="496"/>
      <c r="D3715" s="496"/>
    </row>
    <row r="3716" spans="1:4" x14ac:dyDescent="0.2">
      <c r="A3716" s="496"/>
      <c r="D3716" s="496"/>
    </row>
    <row r="3717" spans="1:4" x14ac:dyDescent="0.2">
      <c r="A3717" s="496"/>
      <c r="D3717" s="496"/>
    </row>
    <row r="3718" spans="1:4" x14ac:dyDescent="0.2">
      <c r="A3718" s="496"/>
      <c r="D3718" s="496"/>
    </row>
    <row r="3719" spans="1:4" x14ac:dyDescent="0.2">
      <c r="A3719" s="496"/>
      <c r="D3719" s="496"/>
    </row>
    <row r="3720" spans="1:4" x14ac:dyDescent="0.2">
      <c r="A3720" s="496"/>
      <c r="D3720" s="496"/>
    </row>
    <row r="3721" spans="1:4" x14ac:dyDescent="0.2">
      <c r="A3721" s="496"/>
      <c r="D3721" s="496"/>
    </row>
    <row r="3722" spans="1:4" x14ac:dyDescent="0.2">
      <c r="A3722" s="496"/>
      <c r="D3722" s="496"/>
    </row>
    <row r="3723" spans="1:4" x14ac:dyDescent="0.2">
      <c r="A3723" s="496"/>
      <c r="D3723" s="496"/>
    </row>
    <row r="3724" spans="1:4" x14ac:dyDescent="0.2">
      <c r="A3724" s="496"/>
      <c r="D3724" s="496"/>
    </row>
    <row r="3725" spans="1:4" x14ac:dyDescent="0.2">
      <c r="A3725" s="496"/>
      <c r="D3725" s="496"/>
    </row>
    <row r="3726" spans="1:4" x14ac:dyDescent="0.2">
      <c r="A3726" s="496"/>
      <c r="D3726" s="496"/>
    </row>
    <row r="3727" spans="1:4" x14ac:dyDescent="0.2">
      <c r="A3727" s="496"/>
      <c r="D3727" s="496"/>
    </row>
    <row r="3728" spans="1:4" x14ac:dyDescent="0.2">
      <c r="A3728" s="496"/>
      <c r="D3728" s="496"/>
    </row>
    <row r="3729" spans="1:4" x14ac:dyDescent="0.2">
      <c r="A3729" s="496"/>
      <c r="D3729" s="496"/>
    </row>
    <row r="3730" spans="1:4" x14ac:dyDescent="0.2">
      <c r="A3730" s="496"/>
      <c r="D3730" s="496"/>
    </row>
    <row r="3731" spans="1:4" x14ac:dyDescent="0.2">
      <c r="A3731" s="496"/>
      <c r="D3731" s="496"/>
    </row>
    <row r="3732" spans="1:4" x14ac:dyDescent="0.2">
      <c r="A3732" s="496"/>
      <c r="D3732" s="496"/>
    </row>
    <row r="3733" spans="1:4" x14ac:dyDescent="0.2">
      <c r="A3733" s="496"/>
      <c r="D3733" s="496"/>
    </row>
    <row r="3734" spans="1:4" x14ac:dyDescent="0.2">
      <c r="A3734" s="496"/>
      <c r="D3734" s="496"/>
    </row>
    <row r="3735" spans="1:4" x14ac:dyDescent="0.2">
      <c r="A3735" s="496"/>
      <c r="D3735" s="496"/>
    </row>
    <row r="3736" spans="1:4" x14ac:dyDescent="0.2">
      <c r="A3736" s="496"/>
      <c r="D3736" s="496"/>
    </row>
    <row r="3737" spans="1:4" x14ac:dyDescent="0.2">
      <c r="A3737" s="496"/>
      <c r="D3737" s="496"/>
    </row>
    <row r="3738" spans="1:4" x14ac:dyDescent="0.2">
      <c r="A3738" s="496"/>
      <c r="D3738" s="496"/>
    </row>
    <row r="3739" spans="1:4" x14ac:dyDescent="0.2">
      <c r="A3739" s="496"/>
      <c r="D3739" s="496"/>
    </row>
    <row r="3740" spans="1:4" x14ac:dyDescent="0.2">
      <c r="A3740" s="496"/>
      <c r="D3740" s="496"/>
    </row>
    <row r="3741" spans="1:4" x14ac:dyDescent="0.2">
      <c r="A3741" s="496"/>
      <c r="D3741" s="496"/>
    </row>
    <row r="3742" spans="1:4" x14ac:dyDescent="0.2">
      <c r="A3742" s="496"/>
      <c r="D3742" s="496"/>
    </row>
    <row r="3743" spans="1:4" x14ac:dyDescent="0.2">
      <c r="A3743" s="496"/>
      <c r="D3743" s="496"/>
    </row>
    <row r="3744" spans="1:4" x14ac:dyDescent="0.2">
      <c r="A3744" s="496"/>
      <c r="D3744" s="496"/>
    </row>
    <row r="3745" spans="1:4" x14ac:dyDescent="0.2">
      <c r="A3745" s="496"/>
      <c r="D3745" s="496"/>
    </row>
    <row r="3746" spans="1:4" x14ac:dyDescent="0.2">
      <c r="A3746" s="496"/>
      <c r="D3746" s="496"/>
    </row>
    <row r="3747" spans="1:4" x14ac:dyDescent="0.2">
      <c r="A3747" s="496"/>
      <c r="D3747" s="496"/>
    </row>
    <row r="3748" spans="1:4" x14ac:dyDescent="0.2">
      <c r="A3748" s="496"/>
      <c r="D3748" s="496"/>
    </row>
    <row r="3749" spans="1:4" x14ac:dyDescent="0.2">
      <c r="A3749" s="496"/>
      <c r="D3749" s="496"/>
    </row>
    <row r="3750" spans="1:4" x14ac:dyDescent="0.2">
      <c r="A3750" s="496"/>
      <c r="D3750" s="496"/>
    </row>
    <row r="3751" spans="1:4" x14ac:dyDescent="0.2">
      <c r="A3751" s="496"/>
      <c r="D3751" s="496"/>
    </row>
    <row r="3752" spans="1:4" x14ac:dyDescent="0.2">
      <c r="A3752" s="496"/>
      <c r="D3752" s="496"/>
    </row>
    <row r="3753" spans="1:4" x14ac:dyDescent="0.2">
      <c r="A3753" s="496"/>
      <c r="D3753" s="496"/>
    </row>
    <row r="3754" spans="1:4" x14ac:dyDescent="0.2">
      <c r="A3754" s="496"/>
      <c r="D3754" s="496"/>
    </row>
    <row r="3755" spans="1:4" x14ac:dyDescent="0.2">
      <c r="A3755" s="496"/>
      <c r="D3755" s="496"/>
    </row>
    <row r="3756" spans="1:4" x14ac:dyDescent="0.2">
      <c r="A3756" s="496"/>
      <c r="D3756" s="496"/>
    </row>
    <row r="3757" spans="1:4" x14ac:dyDescent="0.2">
      <c r="A3757" s="496"/>
      <c r="D3757" s="496"/>
    </row>
    <row r="3758" spans="1:4" x14ac:dyDescent="0.2">
      <c r="A3758" s="496"/>
      <c r="D3758" s="496"/>
    </row>
    <row r="3759" spans="1:4" x14ac:dyDescent="0.2">
      <c r="A3759" s="496"/>
      <c r="D3759" s="496"/>
    </row>
    <row r="3760" spans="1:4" x14ac:dyDescent="0.2">
      <c r="A3760" s="496"/>
      <c r="D3760" s="496"/>
    </row>
    <row r="3761" spans="1:4" x14ac:dyDescent="0.2">
      <c r="A3761" s="496"/>
      <c r="D3761" s="496"/>
    </row>
    <row r="3762" spans="1:4" x14ac:dyDescent="0.2">
      <c r="A3762" s="496"/>
      <c r="D3762" s="496"/>
    </row>
    <row r="3763" spans="1:4" x14ac:dyDescent="0.2">
      <c r="A3763" s="496"/>
      <c r="D3763" s="496"/>
    </row>
    <row r="3764" spans="1:4" x14ac:dyDescent="0.2">
      <c r="A3764" s="496"/>
      <c r="D3764" s="496"/>
    </row>
    <row r="3765" spans="1:4" x14ac:dyDescent="0.2">
      <c r="A3765" s="496"/>
      <c r="D3765" s="496"/>
    </row>
    <row r="3766" spans="1:4" x14ac:dyDescent="0.2">
      <c r="A3766" s="496"/>
      <c r="D3766" s="496"/>
    </row>
    <row r="3767" spans="1:4" x14ac:dyDescent="0.2">
      <c r="A3767" s="496"/>
      <c r="D3767" s="496"/>
    </row>
    <row r="3768" spans="1:4" x14ac:dyDescent="0.2">
      <c r="A3768" s="496"/>
      <c r="D3768" s="496"/>
    </row>
    <row r="3769" spans="1:4" x14ac:dyDescent="0.2">
      <c r="A3769" s="496"/>
      <c r="D3769" s="496"/>
    </row>
    <row r="3770" spans="1:4" x14ac:dyDescent="0.2">
      <c r="A3770" s="496"/>
      <c r="D3770" s="496"/>
    </row>
    <row r="3771" spans="1:4" x14ac:dyDescent="0.2">
      <c r="A3771" s="496"/>
      <c r="D3771" s="496"/>
    </row>
    <row r="3772" spans="1:4" x14ac:dyDescent="0.2">
      <c r="A3772" s="496"/>
      <c r="D3772" s="496"/>
    </row>
    <row r="3773" spans="1:4" x14ac:dyDescent="0.2">
      <c r="A3773" s="496"/>
      <c r="D3773" s="496"/>
    </row>
    <row r="3774" spans="1:4" x14ac:dyDescent="0.2">
      <c r="A3774" s="496"/>
      <c r="D3774" s="496"/>
    </row>
    <row r="3775" spans="1:4" x14ac:dyDescent="0.2">
      <c r="A3775" s="496"/>
      <c r="D3775" s="496"/>
    </row>
    <row r="3776" spans="1:4" x14ac:dyDescent="0.2">
      <c r="A3776" s="496"/>
      <c r="D3776" s="496"/>
    </row>
    <row r="3777" spans="1:4" x14ac:dyDescent="0.2">
      <c r="A3777" s="496"/>
      <c r="D3777" s="496"/>
    </row>
    <row r="3778" spans="1:4" x14ac:dyDescent="0.2">
      <c r="A3778" s="496"/>
      <c r="D3778" s="496"/>
    </row>
    <row r="3779" spans="1:4" x14ac:dyDescent="0.2">
      <c r="A3779" s="496"/>
      <c r="D3779" s="496"/>
    </row>
    <row r="3780" spans="1:4" x14ac:dyDescent="0.2">
      <c r="A3780" s="496"/>
      <c r="D3780" s="496"/>
    </row>
    <row r="3781" spans="1:4" x14ac:dyDescent="0.2">
      <c r="A3781" s="496"/>
      <c r="D3781" s="496"/>
    </row>
    <row r="3782" spans="1:4" x14ac:dyDescent="0.2">
      <c r="A3782" s="496"/>
      <c r="D3782" s="496"/>
    </row>
    <row r="3783" spans="1:4" x14ac:dyDescent="0.2">
      <c r="A3783" s="496"/>
      <c r="D3783" s="496"/>
    </row>
    <row r="3784" spans="1:4" x14ac:dyDescent="0.2">
      <c r="A3784" s="496"/>
      <c r="D3784" s="496"/>
    </row>
    <row r="3785" spans="1:4" x14ac:dyDescent="0.2">
      <c r="A3785" s="496"/>
      <c r="D3785" s="496"/>
    </row>
    <row r="3786" spans="1:4" x14ac:dyDescent="0.2">
      <c r="A3786" s="496"/>
      <c r="D3786" s="496"/>
    </row>
    <row r="3787" spans="1:4" x14ac:dyDescent="0.2">
      <c r="A3787" s="496"/>
      <c r="D3787" s="496"/>
    </row>
    <row r="3788" spans="1:4" x14ac:dyDescent="0.2">
      <c r="A3788" s="496"/>
      <c r="D3788" s="496"/>
    </row>
    <row r="3789" spans="1:4" x14ac:dyDescent="0.2">
      <c r="A3789" s="496"/>
      <c r="D3789" s="496"/>
    </row>
    <row r="3790" spans="1:4" x14ac:dyDescent="0.2">
      <c r="A3790" s="496"/>
      <c r="D3790" s="496"/>
    </row>
    <row r="3791" spans="1:4" x14ac:dyDescent="0.2">
      <c r="A3791" s="496"/>
      <c r="D3791" s="496"/>
    </row>
    <row r="3792" spans="1:4" x14ac:dyDescent="0.2">
      <c r="A3792" s="496"/>
      <c r="D3792" s="496"/>
    </row>
    <row r="3793" spans="1:4" x14ac:dyDescent="0.2">
      <c r="A3793" s="496"/>
      <c r="D3793" s="496"/>
    </row>
    <row r="3794" spans="1:4" x14ac:dyDescent="0.2">
      <c r="A3794" s="496"/>
      <c r="D3794" s="496"/>
    </row>
    <row r="3795" spans="1:4" x14ac:dyDescent="0.2">
      <c r="A3795" s="496"/>
      <c r="D3795" s="496"/>
    </row>
    <row r="3796" spans="1:4" x14ac:dyDescent="0.2">
      <c r="A3796" s="496"/>
      <c r="D3796" s="496"/>
    </row>
    <row r="3797" spans="1:4" x14ac:dyDescent="0.2">
      <c r="A3797" s="496"/>
      <c r="D3797" s="496"/>
    </row>
    <row r="3798" spans="1:4" x14ac:dyDescent="0.2">
      <c r="A3798" s="496"/>
      <c r="D3798" s="496"/>
    </row>
    <row r="3799" spans="1:4" x14ac:dyDescent="0.2">
      <c r="A3799" s="496"/>
      <c r="D3799" s="496"/>
    </row>
    <row r="3800" spans="1:4" x14ac:dyDescent="0.2">
      <c r="A3800" s="496"/>
      <c r="D3800" s="496"/>
    </row>
    <row r="3801" spans="1:4" x14ac:dyDescent="0.2">
      <c r="A3801" s="496"/>
      <c r="D3801" s="496"/>
    </row>
    <row r="3802" spans="1:4" x14ac:dyDescent="0.2">
      <c r="A3802" s="496"/>
      <c r="D3802" s="496"/>
    </row>
    <row r="3803" spans="1:4" x14ac:dyDescent="0.2">
      <c r="A3803" s="496"/>
      <c r="D3803" s="496"/>
    </row>
    <row r="3804" spans="1:4" x14ac:dyDescent="0.2">
      <c r="A3804" s="496"/>
      <c r="D3804" s="496"/>
    </row>
    <row r="3805" spans="1:4" x14ac:dyDescent="0.2">
      <c r="A3805" s="496"/>
      <c r="D3805" s="496"/>
    </row>
    <row r="3806" spans="1:4" x14ac:dyDescent="0.2">
      <c r="A3806" s="496"/>
      <c r="D3806" s="496"/>
    </row>
    <row r="3807" spans="1:4" x14ac:dyDescent="0.2">
      <c r="A3807" s="496"/>
      <c r="D3807" s="496"/>
    </row>
    <row r="3808" spans="1:4" x14ac:dyDescent="0.2">
      <c r="A3808" s="496"/>
      <c r="D3808" s="496"/>
    </row>
    <row r="3809" spans="1:4" x14ac:dyDescent="0.2">
      <c r="A3809" s="496"/>
      <c r="D3809" s="496"/>
    </row>
    <row r="3810" spans="1:4" x14ac:dyDescent="0.2">
      <c r="A3810" s="496"/>
      <c r="D3810" s="496"/>
    </row>
    <row r="3811" spans="1:4" x14ac:dyDescent="0.2">
      <c r="A3811" s="496"/>
      <c r="D3811" s="496"/>
    </row>
    <row r="3812" spans="1:4" x14ac:dyDescent="0.2">
      <c r="A3812" s="496"/>
      <c r="D3812" s="496"/>
    </row>
    <row r="3813" spans="1:4" x14ac:dyDescent="0.2">
      <c r="A3813" s="496"/>
      <c r="D3813" s="496"/>
    </row>
    <row r="3814" spans="1:4" x14ac:dyDescent="0.2">
      <c r="A3814" s="496"/>
      <c r="D3814" s="496"/>
    </row>
    <row r="3815" spans="1:4" x14ac:dyDescent="0.2">
      <c r="A3815" s="496"/>
      <c r="D3815" s="496"/>
    </row>
    <row r="3816" spans="1:4" x14ac:dyDescent="0.2">
      <c r="A3816" s="496"/>
      <c r="D3816" s="496"/>
    </row>
    <row r="3817" spans="1:4" x14ac:dyDescent="0.2">
      <c r="A3817" s="496"/>
      <c r="D3817" s="496"/>
    </row>
    <row r="3818" spans="1:4" x14ac:dyDescent="0.2">
      <c r="A3818" s="496"/>
      <c r="D3818" s="496"/>
    </row>
    <row r="3819" spans="1:4" x14ac:dyDescent="0.2">
      <c r="A3819" s="496"/>
      <c r="D3819" s="496"/>
    </row>
    <row r="3820" spans="1:4" x14ac:dyDescent="0.2">
      <c r="A3820" s="496"/>
      <c r="D3820" s="496"/>
    </row>
    <row r="3821" spans="1:4" x14ac:dyDescent="0.2">
      <c r="A3821" s="496"/>
      <c r="D3821" s="496"/>
    </row>
    <row r="3822" spans="1:4" x14ac:dyDescent="0.2">
      <c r="A3822" s="496"/>
      <c r="D3822" s="496"/>
    </row>
    <row r="3823" spans="1:4" x14ac:dyDescent="0.2">
      <c r="A3823" s="496"/>
      <c r="D3823" s="496"/>
    </row>
    <row r="3824" spans="1:4" x14ac:dyDescent="0.2">
      <c r="A3824" s="496"/>
      <c r="D3824" s="496"/>
    </row>
    <row r="3825" spans="1:4" x14ac:dyDescent="0.2">
      <c r="A3825" s="496"/>
      <c r="D3825" s="496"/>
    </row>
    <row r="3826" spans="1:4" x14ac:dyDescent="0.2">
      <c r="A3826" s="496"/>
      <c r="D3826" s="496"/>
    </row>
    <row r="3827" spans="1:4" x14ac:dyDescent="0.2">
      <c r="A3827" s="496"/>
      <c r="D3827" s="496"/>
    </row>
    <row r="3828" spans="1:4" x14ac:dyDescent="0.2">
      <c r="A3828" s="496"/>
      <c r="D3828" s="496"/>
    </row>
    <row r="3829" spans="1:4" x14ac:dyDescent="0.2">
      <c r="A3829" s="496"/>
      <c r="D3829" s="496"/>
    </row>
    <row r="3830" spans="1:4" x14ac:dyDescent="0.2">
      <c r="A3830" s="496"/>
      <c r="D3830" s="496"/>
    </row>
    <row r="3831" spans="1:4" x14ac:dyDescent="0.2">
      <c r="A3831" s="496"/>
      <c r="D3831" s="496"/>
    </row>
    <row r="3832" spans="1:4" x14ac:dyDescent="0.2">
      <c r="A3832" s="496"/>
      <c r="D3832" s="496"/>
    </row>
    <row r="3833" spans="1:4" x14ac:dyDescent="0.2">
      <c r="A3833" s="496"/>
      <c r="D3833" s="496"/>
    </row>
    <row r="3834" spans="1:4" x14ac:dyDescent="0.2">
      <c r="A3834" s="496"/>
      <c r="D3834" s="496"/>
    </row>
    <row r="3835" spans="1:4" x14ac:dyDescent="0.2">
      <c r="A3835" s="496"/>
      <c r="D3835" s="496"/>
    </row>
    <row r="3836" spans="1:4" x14ac:dyDescent="0.2">
      <c r="A3836" s="496"/>
      <c r="D3836" s="496"/>
    </row>
    <row r="3837" spans="1:4" x14ac:dyDescent="0.2">
      <c r="A3837" s="496"/>
      <c r="D3837" s="496"/>
    </row>
    <row r="3838" spans="1:4" x14ac:dyDescent="0.2">
      <c r="A3838" s="496"/>
      <c r="D3838" s="496"/>
    </row>
    <row r="3839" spans="1:4" x14ac:dyDescent="0.2">
      <c r="A3839" s="496"/>
      <c r="D3839" s="496"/>
    </row>
    <row r="3840" spans="1:4" x14ac:dyDescent="0.2">
      <c r="A3840" s="496"/>
      <c r="D3840" s="496"/>
    </row>
    <row r="3841" spans="1:4" x14ac:dyDescent="0.2">
      <c r="A3841" s="496"/>
      <c r="D3841" s="496"/>
    </row>
    <row r="3842" spans="1:4" x14ac:dyDescent="0.2">
      <c r="A3842" s="496"/>
      <c r="D3842" s="496"/>
    </row>
    <row r="3843" spans="1:4" x14ac:dyDescent="0.2">
      <c r="A3843" s="496"/>
      <c r="D3843" s="496"/>
    </row>
    <row r="3844" spans="1:4" x14ac:dyDescent="0.2">
      <c r="A3844" s="496"/>
      <c r="D3844" s="496"/>
    </row>
    <row r="3845" spans="1:4" x14ac:dyDescent="0.2">
      <c r="A3845" s="496"/>
      <c r="D3845" s="496"/>
    </row>
    <row r="3846" spans="1:4" x14ac:dyDescent="0.2">
      <c r="A3846" s="496"/>
      <c r="D3846" s="496"/>
    </row>
    <row r="3847" spans="1:4" x14ac:dyDescent="0.2">
      <c r="A3847" s="496"/>
      <c r="D3847" s="496"/>
    </row>
    <row r="3848" spans="1:4" x14ac:dyDescent="0.2">
      <c r="A3848" s="496"/>
      <c r="D3848" s="496"/>
    </row>
    <row r="3849" spans="1:4" x14ac:dyDescent="0.2">
      <c r="A3849" s="496"/>
      <c r="D3849" s="496"/>
    </row>
    <row r="3850" spans="1:4" x14ac:dyDescent="0.2">
      <c r="A3850" s="496"/>
      <c r="D3850" s="496"/>
    </row>
    <row r="3851" spans="1:4" x14ac:dyDescent="0.2">
      <c r="A3851" s="496"/>
      <c r="D3851" s="496"/>
    </row>
    <row r="3852" spans="1:4" x14ac:dyDescent="0.2">
      <c r="A3852" s="496"/>
      <c r="D3852" s="496"/>
    </row>
    <row r="3853" spans="1:4" x14ac:dyDescent="0.2">
      <c r="A3853" s="496"/>
      <c r="D3853" s="496"/>
    </row>
    <row r="3854" spans="1:4" x14ac:dyDescent="0.2">
      <c r="A3854" s="496"/>
      <c r="D3854" s="496"/>
    </row>
    <row r="3855" spans="1:4" x14ac:dyDescent="0.2">
      <c r="A3855" s="496"/>
      <c r="D3855" s="496"/>
    </row>
    <row r="3856" spans="1:4" x14ac:dyDescent="0.2">
      <c r="A3856" s="496"/>
      <c r="D3856" s="496"/>
    </row>
    <row r="3857" spans="1:4" x14ac:dyDescent="0.2">
      <c r="A3857" s="496"/>
      <c r="D3857" s="496"/>
    </row>
    <row r="3858" spans="1:4" x14ac:dyDescent="0.2">
      <c r="A3858" s="496"/>
      <c r="D3858" s="496"/>
    </row>
    <row r="3859" spans="1:4" x14ac:dyDescent="0.2">
      <c r="A3859" s="496"/>
      <c r="D3859" s="496"/>
    </row>
    <row r="3860" spans="1:4" x14ac:dyDescent="0.2">
      <c r="A3860" s="496"/>
      <c r="D3860" s="496"/>
    </row>
    <row r="3861" spans="1:4" x14ac:dyDescent="0.2">
      <c r="A3861" s="496"/>
      <c r="D3861" s="496"/>
    </row>
    <row r="3862" spans="1:4" x14ac:dyDescent="0.2">
      <c r="A3862" s="496"/>
      <c r="D3862" s="496"/>
    </row>
    <row r="3863" spans="1:4" x14ac:dyDescent="0.2">
      <c r="A3863" s="496"/>
      <c r="D3863" s="496"/>
    </row>
    <row r="3864" spans="1:4" x14ac:dyDescent="0.2">
      <c r="A3864" s="496"/>
      <c r="D3864" s="496"/>
    </row>
    <row r="3865" spans="1:4" x14ac:dyDescent="0.2">
      <c r="A3865" s="496"/>
      <c r="D3865" s="496"/>
    </row>
    <row r="3866" spans="1:4" x14ac:dyDescent="0.2">
      <c r="A3866" s="496"/>
      <c r="D3866" s="496"/>
    </row>
    <row r="3867" spans="1:4" x14ac:dyDescent="0.2">
      <c r="A3867" s="496"/>
      <c r="D3867" s="496"/>
    </row>
    <row r="3868" spans="1:4" x14ac:dyDescent="0.2">
      <c r="A3868" s="496"/>
      <c r="D3868" s="496"/>
    </row>
    <row r="3869" spans="1:4" x14ac:dyDescent="0.2">
      <c r="A3869" s="496"/>
      <c r="D3869" s="496"/>
    </row>
    <row r="3870" spans="1:4" x14ac:dyDescent="0.2">
      <c r="A3870" s="496"/>
      <c r="D3870" s="496"/>
    </row>
    <row r="3871" spans="1:4" x14ac:dyDescent="0.2">
      <c r="A3871" s="496"/>
      <c r="D3871" s="496"/>
    </row>
    <row r="3872" spans="1:4" x14ac:dyDescent="0.2">
      <c r="A3872" s="496"/>
      <c r="D3872" s="496"/>
    </row>
    <row r="3873" spans="1:4" x14ac:dyDescent="0.2">
      <c r="A3873" s="496"/>
      <c r="D3873" s="496"/>
    </row>
    <row r="3874" spans="1:4" x14ac:dyDescent="0.2">
      <c r="A3874" s="496"/>
      <c r="D3874" s="496"/>
    </row>
    <row r="3875" spans="1:4" x14ac:dyDescent="0.2">
      <c r="A3875" s="496"/>
      <c r="D3875" s="496"/>
    </row>
    <row r="3876" spans="1:4" x14ac:dyDescent="0.2">
      <c r="A3876" s="496"/>
      <c r="D3876" s="496"/>
    </row>
    <row r="3877" spans="1:4" x14ac:dyDescent="0.2">
      <c r="A3877" s="496"/>
      <c r="D3877" s="496"/>
    </row>
    <row r="3878" spans="1:4" x14ac:dyDescent="0.2">
      <c r="A3878" s="496"/>
      <c r="D3878" s="496"/>
    </row>
    <row r="3879" spans="1:4" x14ac:dyDescent="0.2">
      <c r="A3879" s="496"/>
      <c r="D3879" s="496"/>
    </row>
    <row r="3880" spans="1:4" x14ac:dyDescent="0.2">
      <c r="A3880" s="496"/>
      <c r="D3880" s="496"/>
    </row>
    <row r="3881" spans="1:4" x14ac:dyDescent="0.2">
      <c r="A3881" s="496"/>
      <c r="D3881" s="496"/>
    </row>
    <row r="3882" spans="1:4" x14ac:dyDescent="0.2">
      <c r="A3882" s="496"/>
      <c r="D3882" s="496"/>
    </row>
    <row r="3883" spans="1:4" x14ac:dyDescent="0.2">
      <c r="A3883" s="496"/>
      <c r="D3883" s="496"/>
    </row>
    <row r="3884" spans="1:4" x14ac:dyDescent="0.2">
      <c r="A3884" s="496"/>
      <c r="D3884" s="496"/>
    </row>
    <row r="3885" spans="1:4" x14ac:dyDescent="0.2">
      <c r="A3885" s="496"/>
      <c r="D3885" s="496"/>
    </row>
    <row r="3886" spans="1:4" x14ac:dyDescent="0.2">
      <c r="A3886" s="496"/>
      <c r="D3886" s="496"/>
    </row>
    <row r="3887" spans="1:4" x14ac:dyDescent="0.2">
      <c r="A3887" s="496"/>
      <c r="D3887" s="496"/>
    </row>
    <row r="3888" spans="1:4" x14ac:dyDescent="0.2">
      <c r="A3888" s="496"/>
      <c r="D3888" s="496"/>
    </row>
    <row r="3889" spans="1:4" x14ac:dyDescent="0.2">
      <c r="A3889" s="496"/>
      <c r="D3889" s="496"/>
    </row>
    <row r="3890" spans="1:4" x14ac:dyDescent="0.2">
      <c r="A3890" s="496"/>
      <c r="D3890" s="496"/>
    </row>
    <row r="3891" spans="1:4" x14ac:dyDescent="0.2">
      <c r="A3891" s="496"/>
      <c r="D3891" s="496"/>
    </row>
    <row r="3892" spans="1:4" x14ac:dyDescent="0.2">
      <c r="A3892" s="496"/>
      <c r="D3892" s="496"/>
    </row>
    <row r="3893" spans="1:4" x14ac:dyDescent="0.2">
      <c r="A3893" s="496"/>
      <c r="D3893" s="496"/>
    </row>
    <row r="3894" spans="1:4" x14ac:dyDescent="0.2">
      <c r="A3894" s="496"/>
      <c r="D3894" s="496"/>
    </row>
    <row r="3895" spans="1:4" x14ac:dyDescent="0.2">
      <c r="A3895" s="496"/>
      <c r="D3895" s="496"/>
    </row>
    <row r="3896" spans="1:4" x14ac:dyDescent="0.2">
      <c r="A3896" s="496"/>
      <c r="D3896" s="496"/>
    </row>
    <row r="3897" spans="1:4" x14ac:dyDescent="0.2">
      <c r="A3897" s="496"/>
      <c r="D3897" s="496"/>
    </row>
    <row r="3898" spans="1:4" x14ac:dyDescent="0.2">
      <c r="A3898" s="496"/>
      <c r="D3898" s="496"/>
    </row>
    <row r="3899" spans="1:4" x14ac:dyDescent="0.2">
      <c r="A3899" s="496"/>
      <c r="D3899" s="496"/>
    </row>
    <row r="3900" spans="1:4" x14ac:dyDescent="0.2">
      <c r="A3900" s="496"/>
      <c r="D3900" s="496"/>
    </row>
    <row r="3901" spans="1:4" x14ac:dyDescent="0.2">
      <c r="A3901" s="496"/>
      <c r="D3901" s="496"/>
    </row>
    <row r="3902" spans="1:4" x14ac:dyDescent="0.2">
      <c r="A3902" s="496"/>
      <c r="D3902" s="496"/>
    </row>
    <row r="3903" spans="1:4" x14ac:dyDescent="0.2">
      <c r="A3903" s="496"/>
      <c r="D3903" s="496"/>
    </row>
    <row r="3904" spans="1:4" x14ac:dyDescent="0.2">
      <c r="A3904" s="496"/>
      <c r="D3904" s="496"/>
    </row>
    <row r="3905" spans="1:4" x14ac:dyDescent="0.2">
      <c r="A3905" s="496"/>
      <c r="D3905" s="496"/>
    </row>
    <row r="3906" spans="1:4" x14ac:dyDescent="0.2">
      <c r="A3906" s="496"/>
      <c r="D3906" s="496"/>
    </row>
    <row r="3907" spans="1:4" x14ac:dyDescent="0.2">
      <c r="A3907" s="496"/>
      <c r="D3907" s="496"/>
    </row>
    <row r="3908" spans="1:4" x14ac:dyDescent="0.2">
      <c r="A3908" s="496"/>
      <c r="D3908" s="496"/>
    </row>
    <row r="3909" spans="1:4" x14ac:dyDescent="0.2">
      <c r="A3909" s="496"/>
      <c r="D3909" s="496"/>
    </row>
    <row r="3910" spans="1:4" x14ac:dyDescent="0.2">
      <c r="A3910" s="496"/>
      <c r="D3910" s="496"/>
    </row>
    <row r="3911" spans="1:4" x14ac:dyDescent="0.2">
      <c r="A3911" s="496"/>
      <c r="D3911" s="496"/>
    </row>
    <row r="3912" spans="1:4" x14ac:dyDescent="0.2">
      <c r="A3912" s="496"/>
      <c r="D3912" s="496"/>
    </row>
    <row r="3913" spans="1:4" x14ac:dyDescent="0.2">
      <c r="A3913" s="496"/>
      <c r="D3913" s="496"/>
    </row>
    <row r="3914" spans="1:4" x14ac:dyDescent="0.2">
      <c r="A3914" s="496"/>
      <c r="D3914" s="496"/>
    </row>
    <row r="3915" spans="1:4" x14ac:dyDescent="0.2">
      <c r="A3915" s="496"/>
      <c r="D3915" s="496"/>
    </row>
    <row r="3916" spans="1:4" x14ac:dyDescent="0.2">
      <c r="A3916" s="496"/>
      <c r="D3916" s="496"/>
    </row>
    <row r="3917" spans="1:4" x14ac:dyDescent="0.2">
      <c r="A3917" s="496"/>
      <c r="D3917" s="496"/>
    </row>
    <row r="3918" spans="1:4" x14ac:dyDescent="0.2">
      <c r="A3918" s="496"/>
      <c r="D3918" s="496"/>
    </row>
    <row r="3919" spans="1:4" x14ac:dyDescent="0.2">
      <c r="A3919" s="496"/>
      <c r="D3919" s="496"/>
    </row>
    <row r="3920" spans="1:4" x14ac:dyDescent="0.2">
      <c r="A3920" s="496"/>
      <c r="D3920" s="496"/>
    </row>
    <row r="3921" spans="1:4" x14ac:dyDescent="0.2">
      <c r="A3921" s="496"/>
      <c r="D3921" s="496"/>
    </row>
    <row r="3922" spans="1:4" x14ac:dyDescent="0.2">
      <c r="A3922" s="496"/>
      <c r="D3922" s="496"/>
    </row>
    <row r="3923" spans="1:4" x14ac:dyDescent="0.2">
      <c r="A3923" s="496"/>
      <c r="D3923" s="496"/>
    </row>
    <row r="3924" spans="1:4" x14ac:dyDescent="0.2">
      <c r="A3924" s="496"/>
      <c r="D3924" s="496"/>
    </row>
    <row r="3925" spans="1:4" x14ac:dyDescent="0.2">
      <c r="A3925" s="496"/>
      <c r="D3925" s="496"/>
    </row>
    <row r="3926" spans="1:4" x14ac:dyDescent="0.2">
      <c r="A3926" s="496"/>
      <c r="D3926" s="496"/>
    </row>
    <row r="3927" spans="1:4" x14ac:dyDescent="0.2">
      <c r="A3927" s="496"/>
      <c r="D3927" s="496"/>
    </row>
    <row r="3928" spans="1:4" x14ac:dyDescent="0.2">
      <c r="A3928" s="496"/>
      <c r="D3928" s="496"/>
    </row>
    <row r="3929" spans="1:4" x14ac:dyDescent="0.2">
      <c r="A3929" s="496"/>
      <c r="D3929" s="496"/>
    </row>
    <row r="3930" spans="1:4" x14ac:dyDescent="0.2">
      <c r="A3930" s="496"/>
      <c r="D3930" s="496"/>
    </row>
    <row r="3931" spans="1:4" x14ac:dyDescent="0.2">
      <c r="A3931" s="496"/>
      <c r="D3931" s="496"/>
    </row>
    <row r="3932" spans="1:4" x14ac:dyDescent="0.2">
      <c r="A3932" s="496"/>
      <c r="D3932" s="496"/>
    </row>
    <row r="3933" spans="1:4" x14ac:dyDescent="0.2">
      <c r="A3933" s="496"/>
      <c r="D3933" s="496"/>
    </row>
    <row r="3934" spans="1:4" x14ac:dyDescent="0.2">
      <c r="A3934" s="496"/>
      <c r="D3934" s="496"/>
    </row>
    <row r="3935" spans="1:4" x14ac:dyDescent="0.2">
      <c r="A3935" s="496"/>
      <c r="D3935" s="496"/>
    </row>
    <row r="3936" spans="1:4" x14ac:dyDescent="0.2">
      <c r="A3936" s="496"/>
      <c r="D3936" s="496"/>
    </row>
    <row r="3937" spans="1:4" x14ac:dyDescent="0.2">
      <c r="A3937" s="496"/>
      <c r="D3937" s="496"/>
    </row>
    <row r="3938" spans="1:4" x14ac:dyDescent="0.2">
      <c r="A3938" s="496"/>
      <c r="D3938" s="496"/>
    </row>
    <row r="3939" spans="1:4" x14ac:dyDescent="0.2">
      <c r="A3939" s="496"/>
      <c r="D3939" s="496"/>
    </row>
    <row r="3940" spans="1:4" x14ac:dyDescent="0.2">
      <c r="A3940" s="496"/>
      <c r="D3940" s="496"/>
    </row>
    <row r="3941" spans="1:4" x14ac:dyDescent="0.2">
      <c r="A3941" s="496"/>
      <c r="D3941" s="496"/>
    </row>
    <row r="3942" spans="1:4" x14ac:dyDescent="0.2">
      <c r="A3942" s="496"/>
      <c r="D3942" s="496"/>
    </row>
    <row r="3943" spans="1:4" x14ac:dyDescent="0.2">
      <c r="A3943" s="496"/>
      <c r="D3943" s="496"/>
    </row>
    <row r="3944" spans="1:4" x14ac:dyDescent="0.2">
      <c r="A3944" s="496"/>
      <c r="D3944" s="496"/>
    </row>
    <row r="3945" spans="1:4" x14ac:dyDescent="0.2">
      <c r="A3945" s="496"/>
      <c r="D3945" s="496"/>
    </row>
    <row r="3946" spans="1:4" x14ac:dyDescent="0.2">
      <c r="A3946" s="496"/>
      <c r="D3946" s="496"/>
    </row>
    <row r="3947" spans="1:4" x14ac:dyDescent="0.2">
      <c r="A3947" s="496"/>
      <c r="D3947" s="496"/>
    </row>
    <row r="3948" spans="1:4" x14ac:dyDescent="0.2">
      <c r="A3948" s="496"/>
      <c r="D3948" s="496"/>
    </row>
    <row r="3949" spans="1:4" x14ac:dyDescent="0.2">
      <c r="A3949" s="496"/>
      <c r="D3949" s="496"/>
    </row>
    <row r="3950" spans="1:4" x14ac:dyDescent="0.2">
      <c r="A3950" s="496"/>
      <c r="D3950" s="496"/>
    </row>
    <row r="3951" spans="1:4" x14ac:dyDescent="0.2">
      <c r="A3951" s="496"/>
      <c r="D3951" s="496"/>
    </row>
    <row r="3952" spans="1:4" x14ac:dyDescent="0.2">
      <c r="A3952" s="496"/>
      <c r="D3952" s="496"/>
    </row>
    <row r="3953" spans="1:4" x14ac:dyDescent="0.2">
      <c r="A3953" s="496"/>
      <c r="D3953" s="496"/>
    </row>
    <row r="3954" spans="1:4" x14ac:dyDescent="0.2">
      <c r="A3954" s="496"/>
      <c r="D3954" s="496"/>
    </row>
    <row r="3955" spans="1:4" x14ac:dyDescent="0.2">
      <c r="A3955" s="496"/>
      <c r="D3955" s="496"/>
    </row>
    <row r="3956" spans="1:4" x14ac:dyDescent="0.2">
      <c r="A3956" s="496"/>
      <c r="D3956" s="496"/>
    </row>
    <row r="3957" spans="1:4" x14ac:dyDescent="0.2">
      <c r="A3957" s="496"/>
      <c r="D3957" s="496"/>
    </row>
    <row r="3958" spans="1:4" x14ac:dyDescent="0.2">
      <c r="A3958" s="496"/>
      <c r="D3958" s="496"/>
    </row>
    <row r="3959" spans="1:4" x14ac:dyDescent="0.2">
      <c r="A3959" s="496"/>
      <c r="D3959" s="496"/>
    </row>
    <row r="3960" spans="1:4" x14ac:dyDescent="0.2">
      <c r="A3960" s="496"/>
      <c r="D3960" s="496"/>
    </row>
    <row r="3961" spans="1:4" x14ac:dyDescent="0.2">
      <c r="A3961" s="496"/>
      <c r="D3961" s="496"/>
    </row>
    <row r="3962" spans="1:4" x14ac:dyDescent="0.2">
      <c r="A3962" s="496"/>
      <c r="D3962" s="496"/>
    </row>
    <row r="3963" spans="1:4" x14ac:dyDescent="0.2">
      <c r="A3963" s="496"/>
      <c r="D3963" s="496"/>
    </row>
    <row r="3964" spans="1:4" x14ac:dyDescent="0.2">
      <c r="A3964" s="496"/>
      <c r="D3964" s="496"/>
    </row>
    <row r="3965" spans="1:4" x14ac:dyDescent="0.2">
      <c r="A3965" s="496"/>
      <c r="D3965" s="496"/>
    </row>
    <row r="3966" spans="1:4" x14ac:dyDescent="0.2">
      <c r="A3966" s="496"/>
      <c r="D3966" s="496"/>
    </row>
    <row r="3967" spans="1:4" x14ac:dyDescent="0.2">
      <c r="A3967" s="496"/>
      <c r="D3967" s="496"/>
    </row>
    <row r="3968" spans="1:4" x14ac:dyDescent="0.2">
      <c r="A3968" s="496"/>
      <c r="D3968" s="496"/>
    </row>
    <row r="3969" spans="1:4" x14ac:dyDescent="0.2">
      <c r="A3969" s="496"/>
      <c r="D3969" s="496"/>
    </row>
    <row r="3970" spans="1:4" x14ac:dyDescent="0.2">
      <c r="A3970" s="496"/>
      <c r="D3970" s="496"/>
    </row>
    <row r="3971" spans="1:4" x14ac:dyDescent="0.2">
      <c r="A3971" s="496"/>
      <c r="D3971" s="496"/>
    </row>
    <row r="3972" spans="1:4" x14ac:dyDescent="0.2">
      <c r="A3972" s="496"/>
      <c r="D3972" s="496"/>
    </row>
    <row r="3973" spans="1:4" x14ac:dyDescent="0.2">
      <c r="A3973" s="496"/>
      <c r="D3973" s="496"/>
    </row>
    <row r="3974" spans="1:4" x14ac:dyDescent="0.2">
      <c r="A3974" s="496"/>
      <c r="D3974" s="496"/>
    </row>
    <row r="3975" spans="1:4" x14ac:dyDescent="0.2">
      <c r="A3975" s="496"/>
      <c r="D3975" s="496"/>
    </row>
    <row r="3976" spans="1:4" x14ac:dyDescent="0.2">
      <c r="A3976" s="496"/>
      <c r="D3976" s="496"/>
    </row>
    <row r="3977" spans="1:4" x14ac:dyDescent="0.2">
      <c r="A3977" s="496"/>
      <c r="D3977" s="496"/>
    </row>
    <row r="3978" spans="1:4" x14ac:dyDescent="0.2">
      <c r="A3978" s="496"/>
      <c r="D3978" s="496"/>
    </row>
    <row r="3979" spans="1:4" x14ac:dyDescent="0.2">
      <c r="A3979" s="496"/>
      <c r="D3979" s="496"/>
    </row>
    <row r="3980" spans="1:4" x14ac:dyDescent="0.2">
      <c r="A3980" s="496"/>
      <c r="D3980" s="496"/>
    </row>
    <row r="3981" spans="1:4" x14ac:dyDescent="0.2">
      <c r="A3981" s="496"/>
      <c r="D3981" s="496"/>
    </row>
    <row r="3982" spans="1:4" x14ac:dyDescent="0.2">
      <c r="A3982" s="496"/>
      <c r="D3982" s="496"/>
    </row>
    <row r="3983" spans="1:4" x14ac:dyDescent="0.2">
      <c r="A3983" s="496"/>
      <c r="D3983" s="496"/>
    </row>
    <row r="3984" spans="1:4" x14ac:dyDescent="0.2">
      <c r="A3984" s="496"/>
      <c r="D3984" s="496"/>
    </row>
    <row r="3985" spans="1:4" x14ac:dyDescent="0.2">
      <c r="A3985" s="496"/>
      <c r="D3985" s="496"/>
    </row>
    <row r="3986" spans="1:4" x14ac:dyDescent="0.2">
      <c r="A3986" s="496"/>
      <c r="D3986" s="496"/>
    </row>
    <row r="3987" spans="1:4" x14ac:dyDescent="0.2">
      <c r="A3987" s="496"/>
      <c r="D3987" s="496"/>
    </row>
    <row r="3988" spans="1:4" x14ac:dyDescent="0.2">
      <c r="A3988" s="496"/>
      <c r="D3988" s="496"/>
    </row>
    <row r="3989" spans="1:4" x14ac:dyDescent="0.2">
      <c r="A3989" s="496"/>
      <c r="D3989" s="496"/>
    </row>
    <row r="3990" spans="1:4" x14ac:dyDescent="0.2">
      <c r="A3990" s="496"/>
      <c r="D3990" s="496"/>
    </row>
    <row r="3991" spans="1:4" x14ac:dyDescent="0.2">
      <c r="A3991" s="496"/>
      <c r="D3991" s="496"/>
    </row>
    <row r="3992" spans="1:4" x14ac:dyDescent="0.2">
      <c r="A3992" s="496"/>
      <c r="D3992" s="496"/>
    </row>
    <row r="3993" spans="1:4" x14ac:dyDescent="0.2">
      <c r="A3993" s="496"/>
      <c r="D3993" s="496"/>
    </row>
    <row r="3994" spans="1:4" x14ac:dyDescent="0.2">
      <c r="A3994" s="496"/>
      <c r="D3994" s="496"/>
    </row>
    <row r="3995" spans="1:4" x14ac:dyDescent="0.2">
      <c r="A3995" s="496"/>
      <c r="D3995" s="496"/>
    </row>
    <row r="3996" spans="1:4" x14ac:dyDescent="0.2">
      <c r="A3996" s="496"/>
      <c r="D3996" s="496"/>
    </row>
    <row r="3997" spans="1:4" x14ac:dyDescent="0.2">
      <c r="A3997" s="496"/>
      <c r="D3997" s="496"/>
    </row>
    <row r="3998" spans="1:4" x14ac:dyDescent="0.2">
      <c r="A3998" s="496"/>
      <c r="D3998" s="496"/>
    </row>
    <row r="3999" spans="1:4" x14ac:dyDescent="0.2">
      <c r="A3999" s="496"/>
      <c r="D3999" s="496"/>
    </row>
    <row r="4000" spans="1:4" x14ac:dyDescent="0.2">
      <c r="A4000" s="496"/>
      <c r="D4000" s="496"/>
    </row>
    <row r="4001" spans="1:4" x14ac:dyDescent="0.2">
      <c r="A4001" s="496"/>
      <c r="D4001" s="496"/>
    </row>
    <row r="4002" spans="1:4" x14ac:dyDescent="0.2">
      <c r="A4002" s="496"/>
      <c r="D4002" s="496"/>
    </row>
    <row r="4003" spans="1:4" x14ac:dyDescent="0.2">
      <c r="A4003" s="496"/>
      <c r="D4003" s="496"/>
    </row>
    <row r="4004" spans="1:4" x14ac:dyDescent="0.2">
      <c r="A4004" s="496"/>
      <c r="D4004" s="496"/>
    </row>
    <row r="4005" spans="1:4" x14ac:dyDescent="0.2">
      <c r="A4005" s="496"/>
      <c r="D4005" s="496"/>
    </row>
    <row r="4006" spans="1:4" x14ac:dyDescent="0.2">
      <c r="A4006" s="496"/>
      <c r="D4006" s="496"/>
    </row>
    <row r="4007" spans="1:4" x14ac:dyDescent="0.2">
      <c r="A4007" s="496"/>
      <c r="D4007" s="496"/>
    </row>
    <row r="4008" spans="1:4" x14ac:dyDescent="0.2">
      <c r="A4008" s="496"/>
      <c r="D4008" s="496"/>
    </row>
    <row r="4009" spans="1:4" x14ac:dyDescent="0.2">
      <c r="A4009" s="496"/>
      <c r="D4009" s="496"/>
    </row>
    <row r="4010" spans="1:4" x14ac:dyDescent="0.2">
      <c r="A4010" s="496"/>
      <c r="D4010" s="496"/>
    </row>
    <row r="4011" spans="1:4" x14ac:dyDescent="0.2">
      <c r="A4011" s="496"/>
      <c r="D4011" s="496"/>
    </row>
    <row r="4012" spans="1:4" x14ac:dyDescent="0.2">
      <c r="A4012" s="496"/>
      <c r="D4012" s="496"/>
    </row>
    <row r="4013" spans="1:4" x14ac:dyDescent="0.2">
      <c r="A4013" s="496"/>
      <c r="D4013" s="496"/>
    </row>
    <row r="4014" spans="1:4" x14ac:dyDescent="0.2">
      <c r="A4014" s="496"/>
      <c r="D4014" s="496"/>
    </row>
    <row r="4015" spans="1:4" x14ac:dyDescent="0.2">
      <c r="A4015" s="496"/>
      <c r="D4015" s="496"/>
    </row>
    <row r="4016" spans="1:4" x14ac:dyDescent="0.2">
      <c r="A4016" s="496"/>
      <c r="D4016" s="496"/>
    </row>
    <row r="4017" spans="1:4" x14ac:dyDescent="0.2">
      <c r="A4017" s="496"/>
      <c r="D4017" s="496"/>
    </row>
    <row r="4018" spans="1:4" x14ac:dyDescent="0.2">
      <c r="A4018" s="496"/>
      <c r="D4018" s="496"/>
    </row>
    <row r="4019" spans="1:4" x14ac:dyDescent="0.2">
      <c r="A4019" s="496"/>
      <c r="D4019" s="496"/>
    </row>
    <row r="4020" spans="1:4" x14ac:dyDescent="0.2">
      <c r="A4020" s="496"/>
      <c r="D4020" s="496"/>
    </row>
    <row r="4021" spans="1:4" x14ac:dyDescent="0.2">
      <c r="A4021" s="496"/>
      <c r="D4021" s="496"/>
    </row>
    <row r="4022" spans="1:4" x14ac:dyDescent="0.2">
      <c r="A4022" s="496"/>
      <c r="D4022" s="496"/>
    </row>
    <row r="4023" spans="1:4" x14ac:dyDescent="0.2">
      <c r="A4023" s="496"/>
      <c r="D4023" s="496"/>
    </row>
    <row r="4024" spans="1:4" x14ac:dyDescent="0.2">
      <c r="A4024" s="496"/>
      <c r="D4024" s="496"/>
    </row>
    <row r="4025" spans="1:4" x14ac:dyDescent="0.2">
      <c r="A4025" s="496"/>
      <c r="D4025" s="496"/>
    </row>
    <row r="4026" spans="1:4" x14ac:dyDescent="0.2">
      <c r="A4026" s="496"/>
      <c r="D4026" s="496"/>
    </row>
    <row r="4027" spans="1:4" x14ac:dyDescent="0.2">
      <c r="A4027" s="496"/>
      <c r="D4027" s="496"/>
    </row>
    <row r="4028" spans="1:4" x14ac:dyDescent="0.2">
      <c r="A4028" s="496"/>
      <c r="D4028" s="496"/>
    </row>
    <row r="4029" spans="1:4" x14ac:dyDescent="0.2">
      <c r="A4029" s="496"/>
      <c r="D4029" s="496"/>
    </row>
    <row r="4030" spans="1:4" x14ac:dyDescent="0.2">
      <c r="A4030" s="496"/>
      <c r="D4030" s="496"/>
    </row>
    <row r="4031" spans="1:4" x14ac:dyDescent="0.2">
      <c r="A4031" s="496"/>
      <c r="D4031" s="496"/>
    </row>
    <row r="4032" spans="1:4" x14ac:dyDescent="0.2">
      <c r="A4032" s="496"/>
      <c r="D4032" s="496"/>
    </row>
    <row r="4033" spans="1:4" x14ac:dyDescent="0.2">
      <c r="A4033" s="496"/>
      <c r="D4033" s="496"/>
    </row>
    <row r="4034" spans="1:4" x14ac:dyDescent="0.2">
      <c r="A4034" s="496"/>
      <c r="D4034" s="496"/>
    </row>
    <row r="4035" spans="1:4" x14ac:dyDescent="0.2">
      <c r="A4035" s="496"/>
      <c r="D4035" s="496"/>
    </row>
    <row r="4036" spans="1:4" x14ac:dyDescent="0.2">
      <c r="A4036" s="496"/>
      <c r="D4036" s="496"/>
    </row>
    <row r="4037" spans="1:4" x14ac:dyDescent="0.2">
      <c r="A4037" s="496"/>
      <c r="D4037" s="496"/>
    </row>
    <row r="4038" spans="1:4" x14ac:dyDescent="0.2">
      <c r="A4038" s="496"/>
      <c r="D4038" s="496"/>
    </row>
    <row r="4039" spans="1:4" x14ac:dyDescent="0.2">
      <c r="A4039" s="496"/>
      <c r="D4039" s="496"/>
    </row>
    <row r="4040" spans="1:4" x14ac:dyDescent="0.2">
      <c r="A4040" s="496"/>
      <c r="D4040" s="496"/>
    </row>
    <row r="4041" spans="1:4" x14ac:dyDescent="0.2">
      <c r="A4041" s="496"/>
      <c r="D4041" s="496"/>
    </row>
    <row r="4042" spans="1:4" x14ac:dyDescent="0.2">
      <c r="A4042" s="496"/>
      <c r="D4042" s="496"/>
    </row>
    <row r="4043" spans="1:4" x14ac:dyDescent="0.2">
      <c r="A4043" s="496"/>
      <c r="D4043" s="496"/>
    </row>
    <row r="4044" spans="1:4" x14ac:dyDescent="0.2">
      <c r="A4044" s="496"/>
      <c r="D4044" s="496"/>
    </row>
    <row r="4045" spans="1:4" x14ac:dyDescent="0.2">
      <c r="A4045" s="496"/>
      <c r="D4045" s="496"/>
    </row>
    <row r="4046" spans="1:4" x14ac:dyDescent="0.2">
      <c r="A4046" s="496"/>
      <c r="D4046" s="496"/>
    </row>
    <row r="4047" spans="1:4" x14ac:dyDescent="0.2">
      <c r="A4047" s="496"/>
      <c r="D4047" s="496"/>
    </row>
    <row r="4048" spans="1:4" x14ac:dyDescent="0.2">
      <c r="A4048" s="496"/>
      <c r="D4048" s="496"/>
    </row>
    <row r="4049" spans="1:4" x14ac:dyDescent="0.2">
      <c r="A4049" s="496"/>
      <c r="D4049" s="496"/>
    </row>
    <row r="4050" spans="1:4" x14ac:dyDescent="0.2">
      <c r="A4050" s="496"/>
      <c r="D4050" s="496"/>
    </row>
    <row r="4051" spans="1:4" x14ac:dyDescent="0.2">
      <c r="A4051" s="496"/>
      <c r="D4051" s="496"/>
    </row>
    <row r="4052" spans="1:4" x14ac:dyDescent="0.2">
      <c r="A4052" s="496"/>
      <c r="D4052" s="496"/>
    </row>
    <row r="4053" spans="1:4" x14ac:dyDescent="0.2">
      <c r="A4053" s="496"/>
      <c r="D4053" s="496"/>
    </row>
    <row r="4054" spans="1:4" x14ac:dyDescent="0.2">
      <c r="A4054" s="496"/>
      <c r="D4054" s="496"/>
    </row>
    <row r="4055" spans="1:4" x14ac:dyDescent="0.2">
      <c r="A4055" s="496"/>
      <c r="D4055" s="496"/>
    </row>
    <row r="4056" spans="1:4" x14ac:dyDescent="0.2">
      <c r="A4056" s="496"/>
      <c r="D4056" s="496"/>
    </row>
    <row r="4057" spans="1:4" x14ac:dyDescent="0.2">
      <c r="A4057" s="496"/>
      <c r="D4057" s="496"/>
    </row>
    <row r="4058" spans="1:4" x14ac:dyDescent="0.2">
      <c r="A4058" s="496"/>
      <c r="D4058" s="496"/>
    </row>
    <row r="4059" spans="1:4" x14ac:dyDescent="0.2">
      <c r="A4059" s="496"/>
      <c r="D4059" s="496"/>
    </row>
    <row r="4060" spans="1:4" x14ac:dyDescent="0.2">
      <c r="A4060" s="496"/>
      <c r="D4060" s="496"/>
    </row>
    <row r="4061" spans="1:4" x14ac:dyDescent="0.2">
      <c r="A4061" s="496"/>
      <c r="D4061" s="496"/>
    </row>
    <row r="4062" spans="1:4" x14ac:dyDescent="0.2">
      <c r="A4062" s="496"/>
      <c r="D4062" s="496"/>
    </row>
    <row r="4063" spans="1:4" x14ac:dyDescent="0.2">
      <c r="A4063" s="496"/>
      <c r="D4063" s="496"/>
    </row>
    <row r="4064" spans="1:4" x14ac:dyDescent="0.2">
      <c r="A4064" s="496"/>
      <c r="D4064" s="496"/>
    </row>
    <row r="4065" spans="1:4" x14ac:dyDescent="0.2">
      <c r="A4065" s="496"/>
      <c r="D4065" s="496"/>
    </row>
    <row r="4066" spans="1:4" x14ac:dyDescent="0.2">
      <c r="A4066" s="496"/>
      <c r="D4066" s="496"/>
    </row>
    <row r="4067" spans="1:4" x14ac:dyDescent="0.2">
      <c r="A4067" s="496"/>
      <c r="D4067" s="496"/>
    </row>
    <row r="4068" spans="1:4" x14ac:dyDescent="0.2">
      <c r="A4068" s="496"/>
      <c r="D4068" s="496"/>
    </row>
    <row r="4069" spans="1:4" x14ac:dyDescent="0.2">
      <c r="A4069" s="496"/>
      <c r="D4069" s="496"/>
    </row>
    <row r="4070" spans="1:4" x14ac:dyDescent="0.2">
      <c r="A4070" s="496"/>
      <c r="D4070" s="496"/>
    </row>
    <row r="4071" spans="1:4" x14ac:dyDescent="0.2">
      <c r="A4071" s="496"/>
      <c r="D4071" s="496"/>
    </row>
    <row r="4072" spans="1:4" x14ac:dyDescent="0.2">
      <c r="A4072" s="496"/>
      <c r="D4072" s="496"/>
    </row>
    <row r="4073" spans="1:4" x14ac:dyDescent="0.2">
      <c r="A4073" s="496"/>
      <c r="D4073" s="496"/>
    </row>
    <row r="4074" spans="1:4" x14ac:dyDescent="0.2">
      <c r="A4074" s="496"/>
      <c r="D4074" s="496"/>
    </row>
    <row r="4075" spans="1:4" x14ac:dyDescent="0.2">
      <c r="A4075" s="496"/>
      <c r="D4075" s="496"/>
    </row>
    <row r="4076" spans="1:4" x14ac:dyDescent="0.2">
      <c r="A4076" s="496"/>
      <c r="D4076" s="496"/>
    </row>
    <row r="4077" spans="1:4" x14ac:dyDescent="0.2">
      <c r="A4077" s="496"/>
      <c r="D4077" s="496"/>
    </row>
    <row r="4078" spans="1:4" x14ac:dyDescent="0.2">
      <c r="A4078" s="496"/>
      <c r="D4078" s="496"/>
    </row>
    <row r="4079" spans="1:4" x14ac:dyDescent="0.2">
      <c r="A4079" s="496"/>
      <c r="D4079" s="496"/>
    </row>
    <row r="4080" spans="1:4" x14ac:dyDescent="0.2">
      <c r="A4080" s="496"/>
      <c r="D4080" s="496"/>
    </row>
    <row r="4081" spans="1:4" x14ac:dyDescent="0.2">
      <c r="A4081" s="496"/>
      <c r="D4081" s="496"/>
    </row>
    <row r="4082" spans="1:4" x14ac:dyDescent="0.2">
      <c r="A4082" s="496"/>
      <c r="D4082" s="496"/>
    </row>
    <row r="4083" spans="1:4" x14ac:dyDescent="0.2">
      <c r="A4083" s="496"/>
      <c r="D4083" s="496"/>
    </row>
    <row r="4084" spans="1:4" x14ac:dyDescent="0.2">
      <c r="A4084" s="496"/>
      <c r="D4084" s="496"/>
    </row>
    <row r="4085" spans="1:4" x14ac:dyDescent="0.2">
      <c r="A4085" s="496"/>
      <c r="D4085" s="496"/>
    </row>
    <row r="4086" spans="1:4" x14ac:dyDescent="0.2">
      <c r="A4086" s="496"/>
      <c r="D4086" s="496"/>
    </row>
    <row r="4087" spans="1:4" x14ac:dyDescent="0.2">
      <c r="A4087" s="496"/>
      <c r="D4087" s="496"/>
    </row>
    <row r="4088" spans="1:4" x14ac:dyDescent="0.2">
      <c r="A4088" s="496"/>
      <c r="D4088" s="496"/>
    </row>
    <row r="4089" spans="1:4" x14ac:dyDescent="0.2">
      <c r="A4089" s="496"/>
      <c r="D4089" s="496"/>
    </row>
    <row r="4090" spans="1:4" x14ac:dyDescent="0.2">
      <c r="A4090" s="496"/>
      <c r="D4090" s="496"/>
    </row>
    <row r="4091" spans="1:4" x14ac:dyDescent="0.2">
      <c r="A4091" s="496"/>
      <c r="D4091" s="496"/>
    </row>
    <row r="4092" spans="1:4" x14ac:dyDescent="0.2">
      <c r="A4092" s="496"/>
      <c r="D4092" s="496"/>
    </row>
    <row r="4093" spans="1:4" x14ac:dyDescent="0.2">
      <c r="A4093" s="496"/>
      <c r="D4093" s="496"/>
    </row>
    <row r="4094" spans="1:4" x14ac:dyDescent="0.2">
      <c r="A4094" s="496"/>
      <c r="D4094" s="496"/>
    </row>
    <row r="4095" spans="1:4" x14ac:dyDescent="0.2">
      <c r="A4095" s="496"/>
      <c r="D4095" s="496"/>
    </row>
    <row r="4096" spans="1:4" x14ac:dyDescent="0.2">
      <c r="A4096" s="496"/>
      <c r="D4096" s="496"/>
    </row>
    <row r="4097" spans="1:4" x14ac:dyDescent="0.2">
      <c r="A4097" s="496"/>
      <c r="D4097" s="496"/>
    </row>
    <row r="4098" spans="1:4" x14ac:dyDescent="0.2">
      <c r="A4098" s="496"/>
      <c r="D4098" s="496"/>
    </row>
    <row r="4099" spans="1:4" x14ac:dyDescent="0.2">
      <c r="A4099" s="496"/>
      <c r="D4099" s="496"/>
    </row>
    <row r="4100" spans="1:4" x14ac:dyDescent="0.2">
      <c r="A4100" s="496"/>
      <c r="D4100" s="496"/>
    </row>
    <row r="4101" spans="1:4" x14ac:dyDescent="0.2">
      <c r="A4101" s="496"/>
      <c r="D4101" s="496"/>
    </row>
    <row r="4102" spans="1:4" x14ac:dyDescent="0.2">
      <c r="A4102" s="496"/>
      <c r="D4102" s="496"/>
    </row>
    <row r="4103" spans="1:4" x14ac:dyDescent="0.2">
      <c r="A4103" s="496"/>
      <c r="D4103" s="496"/>
    </row>
    <row r="4104" spans="1:4" x14ac:dyDescent="0.2">
      <c r="A4104" s="496"/>
      <c r="D4104" s="496"/>
    </row>
    <row r="4105" spans="1:4" x14ac:dyDescent="0.2">
      <c r="A4105" s="496"/>
      <c r="D4105" s="496"/>
    </row>
    <row r="4106" spans="1:4" x14ac:dyDescent="0.2">
      <c r="A4106" s="496"/>
      <c r="D4106" s="496"/>
    </row>
    <row r="4107" spans="1:4" x14ac:dyDescent="0.2">
      <c r="A4107" s="496"/>
      <c r="D4107" s="496"/>
    </row>
    <row r="4108" spans="1:4" x14ac:dyDescent="0.2">
      <c r="A4108" s="496"/>
      <c r="D4108" s="496"/>
    </row>
    <row r="4109" spans="1:4" x14ac:dyDescent="0.2">
      <c r="A4109" s="496"/>
      <c r="D4109" s="496"/>
    </row>
    <row r="4110" spans="1:4" x14ac:dyDescent="0.2">
      <c r="A4110" s="496"/>
      <c r="D4110" s="496"/>
    </row>
    <row r="4111" spans="1:4" x14ac:dyDescent="0.2">
      <c r="A4111" s="496"/>
      <c r="D4111" s="496"/>
    </row>
    <row r="4112" spans="1:4" x14ac:dyDescent="0.2">
      <c r="A4112" s="496"/>
      <c r="D4112" s="496"/>
    </row>
    <row r="4113" spans="1:4" x14ac:dyDescent="0.2">
      <c r="A4113" s="496"/>
      <c r="D4113" s="496"/>
    </row>
    <row r="4114" spans="1:4" x14ac:dyDescent="0.2">
      <c r="A4114" s="496"/>
      <c r="D4114" s="496"/>
    </row>
    <row r="4115" spans="1:4" x14ac:dyDescent="0.2">
      <c r="A4115" s="496"/>
      <c r="D4115" s="496"/>
    </row>
    <row r="4116" spans="1:4" x14ac:dyDescent="0.2">
      <c r="A4116" s="496"/>
      <c r="D4116" s="496"/>
    </row>
    <row r="4117" spans="1:4" x14ac:dyDescent="0.2">
      <c r="A4117" s="496"/>
      <c r="D4117" s="496"/>
    </row>
    <row r="4118" spans="1:4" x14ac:dyDescent="0.2">
      <c r="A4118" s="496"/>
      <c r="D4118" s="496"/>
    </row>
    <row r="4119" spans="1:4" x14ac:dyDescent="0.2">
      <c r="A4119" s="496"/>
      <c r="D4119" s="496"/>
    </row>
    <row r="4120" spans="1:4" x14ac:dyDescent="0.2">
      <c r="A4120" s="496"/>
      <c r="D4120" s="496"/>
    </row>
    <row r="4121" spans="1:4" x14ac:dyDescent="0.2">
      <c r="A4121" s="496"/>
      <c r="D4121" s="496"/>
    </row>
    <row r="4122" spans="1:4" x14ac:dyDescent="0.2">
      <c r="A4122" s="496"/>
      <c r="D4122" s="496"/>
    </row>
    <row r="4123" spans="1:4" x14ac:dyDescent="0.2">
      <c r="A4123" s="496"/>
      <c r="D4123" s="496"/>
    </row>
    <row r="4124" spans="1:4" x14ac:dyDescent="0.2">
      <c r="A4124" s="496"/>
      <c r="D4124" s="496"/>
    </row>
    <row r="4125" spans="1:4" x14ac:dyDescent="0.2">
      <c r="A4125" s="496"/>
      <c r="D4125" s="496"/>
    </row>
    <row r="4126" spans="1:4" x14ac:dyDescent="0.2">
      <c r="A4126" s="496"/>
      <c r="D4126" s="496"/>
    </row>
    <row r="4127" spans="1:4" x14ac:dyDescent="0.2">
      <c r="A4127" s="496"/>
      <c r="D4127" s="496"/>
    </row>
    <row r="4128" spans="1:4" x14ac:dyDescent="0.2">
      <c r="A4128" s="496"/>
      <c r="D4128" s="496"/>
    </row>
    <row r="4129" spans="1:4" x14ac:dyDescent="0.2">
      <c r="A4129" s="496"/>
      <c r="D4129" s="496"/>
    </row>
    <row r="4130" spans="1:4" x14ac:dyDescent="0.2">
      <c r="A4130" s="496"/>
      <c r="D4130" s="496"/>
    </row>
    <row r="4131" spans="1:4" x14ac:dyDescent="0.2">
      <c r="A4131" s="496"/>
      <c r="D4131" s="496"/>
    </row>
    <row r="4132" spans="1:4" x14ac:dyDescent="0.2">
      <c r="A4132" s="496"/>
      <c r="D4132" s="496"/>
    </row>
    <row r="4133" spans="1:4" x14ac:dyDescent="0.2">
      <c r="A4133" s="496"/>
      <c r="D4133" s="496"/>
    </row>
    <row r="4134" spans="1:4" x14ac:dyDescent="0.2">
      <c r="A4134" s="496"/>
      <c r="D4134" s="496"/>
    </row>
    <row r="4135" spans="1:4" x14ac:dyDescent="0.2">
      <c r="A4135" s="496"/>
      <c r="D4135" s="496"/>
    </row>
    <row r="4136" spans="1:4" x14ac:dyDescent="0.2">
      <c r="A4136" s="496"/>
      <c r="D4136" s="496"/>
    </row>
    <row r="4137" spans="1:4" x14ac:dyDescent="0.2">
      <c r="A4137" s="496"/>
      <c r="D4137" s="496"/>
    </row>
    <row r="4138" spans="1:4" x14ac:dyDescent="0.2">
      <c r="A4138" s="496"/>
      <c r="D4138" s="496"/>
    </row>
    <row r="4139" spans="1:4" x14ac:dyDescent="0.2">
      <c r="A4139" s="496"/>
      <c r="D4139" s="496"/>
    </row>
    <row r="4140" spans="1:4" x14ac:dyDescent="0.2">
      <c r="A4140" s="496"/>
      <c r="D4140" s="496"/>
    </row>
    <row r="4141" spans="1:4" x14ac:dyDescent="0.2">
      <c r="A4141" s="496"/>
      <c r="D4141" s="496"/>
    </row>
    <row r="4142" spans="1:4" x14ac:dyDescent="0.2">
      <c r="A4142" s="496"/>
      <c r="D4142" s="496"/>
    </row>
    <row r="4143" spans="1:4" x14ac:dyDescent="0.2">
      <c r="A4143" s="496"/>
      <c r="D4143" s="496"/>
    </row>
    <row r="4144" spans="1:4" x14ac:dyDescent="0.2">
      <c r="A4144" s="496"/>
      <c r="D4144" s="496"/>
    </row>
    <row r="4145" spans="1:4" x14ac:dyDescent="0.2">
      <c r="A4145" s="496"/>
      <c r="D4145" s="496"/>
    </row>
    <row r="4146" spans="1:4" x14ac:dyDescent="0.2">
      <c r="A4146" s="496"/>
      <c r="D4146" s="496"/>
    </row>
    <row r="4147" spans="1:4" x14ac:dyDescent="0.2">
      <c r="A4147" s="496"/>
      <c r="D4147" s="496"/>
    </row>
    <row r="4148" spans="1:4" x14ac:dyDescent="0.2">
      <c r="A4148" s="496"/>
      <c r="D4148" s="496"/>
    </row>
    <row r="4149" spans="1:4" x14ac:dyDescent="0.2">
      <c r="A4149" s="496"/>
      <c r="D4149" s="496"/>
    </row>
    <row r="4150" spans="1:4" x14ac:dyDescent="0.2">
      <c r="A4150" s="496"/>
      <c r="D4150" s="496"/>
    </row>
    <row r="4151" spans="1:4" x14ac:dyDescent="0.2">
      <c r="A4151" s="496"/>
      <c r="D4151" s="496"/>
    </row>
    <row r="4152" spans="1:4" x14ac:dyDescent="0.2">
      <c r="A4152" s="496"/>
      <c r="D4152" s="496"/>
    </row>
    <row r="4153" spans="1:4" x14ac:dyDescent="0.2">
      <c r="A4153" s="496"/>
      <c r="D4153" s="496"/>
    </row>
    <row r="4154" spans="1:4" x14ac:dyDescent="0.2">
      <c r="A4154" s="496"/>
      <c r="D4154" s="496"/>
    </row>
    <row r="4155" spans="1:4" x14ac:dyDescent="0.2">
      <c r="A4155" s="496"/>
      <c r="D4155" s="496"/>
    </row>
    <row r="4156" spans="1:4" x14ac:dyDescent="0.2">
      <c r="A4156" s="496"/>
      <c r="D4156" s="496"/>
    </row>
    <row r="4157" spans="1:4" x14ac:dyDescent="0.2">
      <c r="A4157" s="496"/>
      <c r="D4157" s="496"/>
    </row>
    <row r="4158" spans="1:4" x14ac:dyDescent="0.2">
      <c r="A4158" s="496"/>
      <c r="D4158" s="496"/>
    </row>
    <row r="4159" spans="1:4" x14ac:dyDescent="0.2">
      <c r="A4159" s="496"/>
      <c r="D4159" s="496"/>
    </row>
    <row r="4160" spans="1:4" x14ac:dyDescent="0.2">
      <c r="A4160" s="496"/>
      <c r="D4160" s="496"/>
    </row>
    <row r="4161" spans="1:4" x14ac:dyDescent="0.2">
      <c r="A4161" s="496"/>
      <c r="D4161" s="496"/>
    </row>
    <row r="4162" spans="1:4" x14ac:dyDescent="0.2">
      <c r="A4162" s="496"/>
      <c r="D4162" s="496"/>
    </row>
    <row r="4163" spans="1:4" x14ac:dyDescent="0.2">
      <c r="A4163" s="496"/>
      <c r="D4163" s="496"/>
    </row>
    <row r="4164" spans="1:4" x14ac:dyDescent="0.2">
      <c r="A4164" s="496"/>
      <c r="D4164" s="496"/>
    </row>
    <row r="4165" spans="1:4" x14ac:dyDescent="0.2">
      <c r="A4165" s="496"/>
      <c r="D4165" s="496"/>
    </row>
    <row r="4166" spans="1:4" x14ac:dyDescent="0.2">
      <c r="A4166" s="496"/>
      <c r="D4166" s="496"/>
    </row>
    <row r="4167" spans="1:4" x14ac:dyDescent="0.2">
      <c r="A4167" s="496"/>
      <c r="D4167" s="496"/>
    </row>
    <row r="4168" spans="1:4" x14ac:dyDescent="0.2">
      <c r="A4168" s="496"/>
      <c r="D4168" s="496"/>
    </row>
    <row r="4169" spans="1:4" x14ac:dyDescent="0.2">
      <c r="A4169" s="496"/>
      <c r="D4169" s="496"/>
    </row>
    <row r="4170" spans="1:4" x14ac:dyDescent="0.2">
      <c r="A4170" s="496"/>
      <c r="D4170" s="496"/>
    </row>
    <row r="4171" spans="1:4" x14ac:dyDescent="0.2">
      <c r="A4171" s="496"/>
      <c r="D4171" s="496"/>
    </row>
    <row r="4172" spans="1:4" x14ac:dyDescent="0.2">
      <c r="A4172" s="496"/>
      <c r="D4172" s="496"/>
    </row>
    <row r="4173" spans="1:4" x14ac:dyDescent="0.2">
      <c r="A4173" s="496"/>
      <c r="D4173" s="496"/>
    </row>
    <row r="4174" spans="1:4" x14ac:dyDescent="0.2">
      <c r="A4174" s="496"/>
      <c r="D4174" s="496"/>
    </row>
    <row r="4175" spans="1:4" x14ac:dyDescent="0.2">
      <c r="A4175" s="496"/>
      <c r="D4175" s="496"/>
    </row>
    <row r="4176" spans="1:4" x14ac:dyDescent="0.2">
      <c r="A4176" s="496"/>
      <c r="D4176" s="496"/>
    </row>
    <row r="4177" spans="1:4" x14ac:dyDescent="0.2">
      <c r="A4177" s="496"/>
      <c r="D4177" s="496"/>
    </row>
    <row r="4178" spans="1:4" x14ac:dyDescent="0.2">
      <c r="A4178" s="496"/>
      <c r="D4178" s="496"/>
    </row>
    <row r="4179" spans="1:4" x14ac:dyDescent="0.2">
      <c r="A4179" s="496"/>
      <c r="D4179" s="496"/>
    </row>
    <row r="4180" spans="1:4" x14ac:dyDescent="0.2">
      <c r="A4180" s="496"/>
      <c r="D4180" s="496"/>
    </row>
    <row r="4181" spans="1:4" x14ac:dyDescent="0.2">
      <c r="A4181" s="496"/>
      <c r="D4181" s="496"/>
    </row>
    <row r="4182" spans="1:4" x14ac:dyDescent="0.2">
      <c r="A4182" s="496"/>
      <c r="D4182" s="496"/>
    </row>
    <row r="4183" spans="1:4" x14ac:dyDescent="0.2">
      <c r="A4183" s="496"/>
      <c r="D4183" s="496"/>
    </row>
    <row r="4184" spans="1:4" x14ac:dyDescent="0.2">
      <c r="A4184" s="496"/>
      <c r="D4184" s="496"/>
    </row>
    <row r="4185" spans="1:4" x14ac:dyDescent="0.2">
      <c r="A4185" s="496"/>
      <c r="D4185" s="496"/>
    </row>
    <row r="4186" spans="1:4" x14ac:dyDescent="0.2">
      <c r="A4186" s="496"/>
      <c r="D4186" s="496"/>
    </row>
    <row r="4187" spans="1:4" x14ac:dyDescent="0.2">
      <c r="A4187" s="496"/>
      <c r="D4187" s="496"/>
    </row>
    <row r="4188" spans="1:4" x14ac:dyDescent="0.2">
      <c r="A4188" s="496"/>
      <c r="D4188" s="496"/>
    </row>
    <row r="4189" spans="1:4" x14ac:dyDescent="0.2">
      <c r="A4189" s="496"/>
      <c r="D4189" s="496"/>
    </row>
    <row r="4190" spans="1:4" x14ac:dyDescent="0.2">
      <c r="A4190" s="496"/>
      <c r="D4190" s="496"/>
    </row>
    <row r="4191" spans="1:4" x14ac:dyDescent="0.2">
      <c r="A4191" s="496"/>
      <c r="D4191" s="496"/>
    </row>
    <row r="4192" spans="1:4" x14ac:dyDescent="0.2">
      <c r="A4192" s="496"/>
      <c r="D4192" s="496"/>
    </row>
    <row r="4193" spans="1:4" x14ac:dyDescent="0.2">
      <c r="A4193" s="496"/>
      <c r="D4193" s="496"/>
    </row>
    <row r="4194" spans="1:4" x14ac:dyDescent="0.2">
      <c r="A4194" s="496"/>
      <c r="D4194" s="496"/>
    </row>
    <row r="4195" spans="1:4" x14ac:dyDescent="0.2">
      <c r="A4195" s="496"/>
      <c r="D4195" s="496"/>
    </row>
    <row r="4196" spans="1:4" x14ac:dyDescent="0.2">
      <c r="A4196" s="496"/>
      <c r="D4196" s="496"/>
    </row>
    <row r="4197" spans="1:4" x14ac:dyDescent="0.2">
      <c r="A4197" s="496"/>
      <c r="D4197" s="496"/>
    </row>
    <row r="4198" spans="1:4" x14ac:dyDescent="0.2">
      <c r="A4198" s="496"/>
      <c r="D4198" s="496"/>
    </row>
    <row r="4199" spans="1:4" x14ac:dyDescent="0.2">
      <c r="A4199" s="496"/>
      <c r="D4199" s="496"/>
    </row>
    <row r="4200" spans="1:4" x14ac:dyDescent="0.2">
      <c r="A4200" s="496"/>
      <c r="D4200" s="496"/>
    </row>
    <row r="4201" spans="1:4" x14ac:dyDescent="0.2">
      <c r="A4201" s="496"/>
      <c r="D4201" s="496"/>
    </row>
    <row r="4202" spans="1:4" x14ac:dyDescent="0.2">
      <c r="A4202" s="496"/>
      <c r="D4202" s="496"/>
    </row>
    <row r="4203" spans="1:4" x14ac:dyDescent="0.2">
      <c r="A4203" s="496"/>
      <c r="D4203" s="496"/>
    </row>
    <row r="4204" spans="1:4" x14ac:dyDescent="0.2">
      <c r="A4204" s="496"/>
      <c r="D4204" s="496"/>
    </row>
    <row r="4205" spans="1:4" x14ac:dyDescent="0.2">
      <c r="A4205" s="496"/>
      <c r="D4205" s="496"/>
    </row>
    <row r="4206" spans="1:4" x14ac:dyDescent="0.2">
      <c r="A4206" s="496"/>
      <c r="D4206" s="496"/>
    </row>
    <row r="4207" spans="1:4" x14ac:dyDescent="0.2">
      <c r="A4207" s="496"/>
      <c r="D4207" s="496"/>
    </row>
    <row r="4208" spans="1:4" x14ac:dyDescent="0.2">
      <c r="A4208" s="496"/>
      <c r="D4208" s="496"/>
    </row>
    <row r="4209" spans="1:4" x14ac:dyDescent="0.2">
      <c r="A4209" s="496"/>
      <c r="D4209" s="496"/>
    </row>
    <row r="4210" spans="1:4" x14ac:dyDescent="0.2">
      <c r="A4210" s="496"/>
      <c r="D4210" s="496"/>
    </row>
    <row r="4211" spans="1:4" x14ac:dyDescent="0.2">
      <c r="A4211" s="496"/>
      <c r="D4211" s="496"/>
    </row>
    <row r="4212" spans="1:4" x14ac:dyDescent="0.2">
      <c r="A4212" s="496"/>
      <c r="D4212" s="496"/>
    </row>
    <row r="4213" spans="1:4" x14ac:dyDescent="0.2">
      <c r="A4213" s="496"/>
      <c r="D4213" s="496"/>
    </row>
    <row r="4214" spans="1:4" x14ac:dyDescent="0.2">
      <c r="A4214" s="496"/>
      <c r="D4214" s="496"/>
    </row>
    <row r="4215" spans="1:4" x14ac:dyDescent="0.2">
      <c r="A4215" s="496"/>
      <c r="D4215" s="496"/>
    </row>
    <row r="4216" spans="1:4" x14ac:dyDescent="0.2">
      <c r="A4216" s="496"/>
      <c r="D4216" s="496"/>
    </row>
    <row r="4217" spans="1:4" x14ac:dyDescent="0.2">
      <c r="A4217" s="496"/>
      <c r="D4217" s="496"/>
    </row>
    <row r="4218" spans="1:4" x14ac:dyDescent="0.2">
      <c r="A4218" s="496"/>
      <c r="D4218" s="496"/>
    </row>
    <row r="4219" spans="1:4" x14ac:dyDescent="0.2">
      <c r="A4219" s="496"/>
      <c r="D4219" s="496"/>
    </row>
    <row r="4220" spans="1:4" x14ac:dyDescent="0.2">
      <c r="A4220" s="496"/>
      <c r="D4220" s="496"/>
    </row>
    <row r="4221" spans="1:4" x14ac:dyDescent="0.2">
      <c r="A4221" s="496"/>
      <c r="D4221" s="496"/>
    </row>
    <row r="4222" spans="1:4" x14ac:dyDescent="0.2">
      <c r="A4222" s="496"/>
      <c r="D4222" s="496"/>
    </row>
    <row r="4223" spans="1:4" x14ac:dyDescent="0.2">
      <c r="A4223" s="496"/>
      <c r="D4223" s="496"/>
    </row>
    <row r="4224" spans="1:4" x14ac:dyDescent="0.2">
      <c r="A4224" s="496"/>
      <c r="D4224" s="496"/>
    </row>
    <row r="4225" spans="1:4" x14ac:dyDescent="0.2">
      <c r="A4225" s="496"/>
      <c r="D4225" s="496"/>
    </row>
    <row r="4226" spans="1:4" x14ac:dyDescent="0.2">
      <c r="A4226" s="496"/>
      <c r="D4226" s="496"/>
    </row>
    <row r="4227" spans="1:4" x14ac:dyDescent="0.2">
      <c r="A4227" s="496"/>
      <c r="D4227" s="496"/>
    </row>
    <row r="4228" spans="1:4" x14ac:dyDescent="0.2">
      <c r="A4228" s="496"/>
      <c r="D4228" s="496"/>
    </row>
    <row r="4229" spans="1:4" x14ac:dyDescent="0.2">
      <c r="A4229" s="496"/>
      <c r="D4229" s="496"/>
    </row>
    <row r="4230" spans="1:4" x14ac:dyDescent="0.2">
      <c r="A4230" s="496"/>
      <c r="D4230" s="496"/>
    </row>
    <row r="4231" spans="1:4" x14ac:dyDescent="0.2">
      <c r="A4231" s="496"/>
      <c r="D4231" s="496"/>
    </row>
    <row r="4232" spans="1:4" x14ac:dyDescent="0.2">
      <c r="A4232" s="496"/>
      <c r="D4232" s="496"/>
    </row>
    <row r="4233" spans="1:4" x14ac:dyDescent="0.2">
      <c r="A4233" s="496"/>
      <c r="D4233" s="496"/>
    </row>
    <row r="4234" spans="1:4" x14ac:dyDescent="0.2">
      <c r="A4234" s="496"/>
      <c r="D4234" s="496"/>
    </row>
    <row r="4235" spans="1:4" x14ac:dyDescent="0.2">
      <c r="A4235" s="496"/>
      <c r="D4235" s="496"/>
    </row>
    <row r="4236" spans="1:4" x14ac:dyDescent="0.2">
      <c r="A4236" s="496"/>
      <c r="D4236" s="496"/>
    </row>
    <row r="4237" spans="1:4" x14ac:dyDescent="0.2">
      <c r="A4237" s="496"/>
      <c r="D4237" s="496"/>
    </row>
    <row r="4238" spans="1:4" x14ac:dyDescent="0.2">
      <c r="A4238" s="496"/>
      <c r="D4238" s="496"/>
    </row>
    <row r="4239" spans="1:4" x14ac:dyDescent="0.2">
      <c r="A4239" s="496"/>
      <c r="D4239" s="496"/>
    </row>
    <row r="4240" spans="1:4" x14ac:dyDescent="0.2">
      <c r="A4240" s="496"/>
      <c r="D4240" s="496"/>
    </row>
    <row r="4241" spans="1:4" x14ac:dyDescent="0.2">
      <c r="A4241" s="496"/>
      <c r="D4241" s="496"/>
    </row>
    <row r="4242" spans="1:4" x14ac:dyDescent="0.2">
      <c r="A4242" s="496"/>
      <c r="D4242" s="496"/>
    </row>
    <row r="4243" spans="1:4" x14ac:dyDescent="0.2">
      <c r="A4243" s="496"/>
      <c r="D4243" s="496"/>
    </row>
    <row r="4244" spans="1:4" x14ac:dyDescent="0.2">
      <c r="A4244" s="496"/>
      <c r="D4244" s="496"/>
    </row>
    <row r="4245" spans="1:4" x14ac:dyDescent="0.2">
      <c r="A4245" s="496"/>
      <c r="D4245" s="496"/>
    </row>
    <row r="4246" spans="1:4" x14ac:dyDescent="0.2">
      <c r="A4246" s="496"/>
      <c r="D4246" s="496"/>
    </row>
    <row r="4247" spans="1:4" x14ac:dyDescent="0.2">
      <c r="A4247" s="496"/>
      <c r="D4247" s="496"/>
    </row>
    <row r="4248" spans="1:4" x14ac:dyDescent="0.2">
      <c r="A4248" s="496"/>
      <c r="D4248" s="496"/>
    </row>
    <row r="4249" spans="1:4" x14ac:dyDescent="0.2">
      <c r="A4249" s="496"/>
      <c r="D4249" s="496"/>
    </row>
    <row r="4250" spans="1:4" x14ac:dyDescent="0.2">
      <c r="A4250" s="496"/>
      <c r="D4250" s="496"/>
    </row>
    <row r="4251" spans="1:4" x14ac:dyDescent="0.2">
      <c r="A4251" s="496"/>
      <c r="D4251" s="496"/>
    </row>
    <row r="4252" spans="1:4" x14ac:dyDescent="0.2">
      <c r="A4252" s="496"/>
      <c r="D4252" s="496"/>
    </row>
    <row r="4253" spans="1:4" x14ac:dyDescent="0.2">
      <c r="A4253" s="496"/>
      <c r="D4253" s="496"/>
    </row>
    <row r="4254" spans="1:4" x14ac:dyDescent="0.2">
      <c r="A4254" s="496"/>
      <c r="D4254" s="496"/>
    </row>
    <row r="4255" spans="1:4" x14ac:dyDescent="0.2">
      <c r="A4255" s="496"/>
      <c r="D4255" s="496"/>
    </row>
    <row r="4256" spans="1:4" x14ac:dyDescent="0.2">
      <c r="A4256" s="496"/>
      <c r="D4256" s="496"/>
    </row>
    <row r="4257" spans="1:4" x14ac:dyDescent="0.2">
      <c r="A4257" s="496"/>
      <c r="D4257" s="496"/>
    </row>
    <row r="4258" spans="1:4" x14ac:dyDescent="0.2">
      <c r="A4258" s="496"/>
      <c r="D4258" s="496"/>
    </row>
    <row r="4259" spans="1:4" x14ac:dyDescent="0.2">
      <c r="A4259" s="496"/>
      <c r="D4259" s="496"/>
    </row>
    <row r="4260" spans="1:4" x14ac:dyDescent="0.2">
      <c r="A4260" s="496"/>
      <c r="D4260" s="496"/>
    </row>
    <row r="4261" spans="1:4" x14ac:dyDescent="0.2">
      <c r="A4261" s="496"/>
      <c r="D4261" s="496"/>
    </row>
    <row r="4262" spans="1:4" x14ac:dyDescent="0.2">
      <c r="A4262" s="496"/>
      <c r="D4262" s="496"/>
    </row>
    <row r="4263" spans="1:4" x14ac:dyDescent="0.2">
      <c r="A4263" s="496"/>
      <c r="D4263" s="496"/>
    </row>
    <row r="4264" spans="1:4" x14ac:dyDescent="0.2">
      <c r="A4264" s="496"/>
      <c r="D4264" s="496"/>
    </row>
    <row r="4265" spans="1:4" x14ac:dyDescent="0.2">
      <c r="A4265" s="496"/>
      <c r="D4265" s="496"/>
    </row>
    <row r="4266" spans="1:4" x14ac:dyDescent="0.2">
      <c r="A4266" s="496"/>
      <c r="D4266" s="496"/>
    </row>
    <row r="4267" spans="1:4" x14ac:dyDescent="0.2">
      <c r="A4267" s="496"/>
      <c r="D4267" s="496"/>
    </row>
    <row r="4268" spans="1:4" x14ac:dyDescent="0.2">
      <c r="A4268" s="496"/>
      <c r="D4268" s="496"/>
    </row>
    <row r="4269" spans="1:4" x14ac:dyDescent="0.2">
      <c r="A4269" s="496"/>
      <c r="D4269" s="496"/>
    </row>
    <row r="4270" spans="1:4" x14ac:dyDescent="0.2">
      <c r="A4270" s="496"/>
      <c r="D4270" s="496"/>
    </row>
    <row r="4271" spans="1:4" x14ac:dyDescent="0.2">
      <c r="A4271" s="496"/>
      <c r="D4271" s="496"/>
    </row>
    <row r="4272" spans="1:4" x14ac:dyDescent="0.2">
      <c r="A4272" s="496"/>
      <c r="D4272" s="496"/>
    </row>
    <row r="4273" spans="1:4" x14ac:dyDescent="0.2">
      <c r="A4273" s="496"/>
      <c r="D4273" s="496"/>
    </row>
    <row r="4274" spans="1:4" x14ac:dyDescent="0.2">
      <c r="A4274" s="496"/>
      <c r="D4274" s="496"/>
    </row>
    <row r="4275" spans="1:4" x14ac:dyDescent="0.2">
      <c r="A4275" s="496"/>
      <c r="D4275" s="496"/>
    </row>
    <row r="4276" spans="1:4" x14ac:dyDescent="0.2">
      <c r="A4276" s="496"/>
      <c r="D4276" s="496"/>
    </row>
    <row r="4277" spans="1:4" x14ac:dyDescent="0.2">
      <c r="A4277" s="496"/>
      <c r="D4277" s="496"/>
    </row>
    <row r="4278" spans="1:4" x14ac:dyDescent="0.2">
      <c r="A4278" s="496"/>
      <c r="D4278" s="496"/>
    </row>
    <row r="4279" spans="1:4" x14ac:dyDescent="0.2">
      <c r="A4279" s="496"/>
      <c r="D4279" s="496"/>
    </row>
    <row r="4280" spans="1:4" x14ac:dyDescent="0.2">
      <c r="A4280" s="496"/>
      <c r="D4280" s="496"/>
    </row>
    <row r="4281" spans="1:4" x14ac:dyDescent="0.2">
      <c r="A4281" s="496"/>
      <c r="D4281" s="496"/>
    </row>
    <row r="4282" spans="1:4" x14ac:dyDescent="0.2">
      <c r="A4282" s="496"/>
      <c r="D4282" s="496"/>
    </row>
    <row r="4283" spans="1:4" x14ac:dyDescent="0.2">
      <c r="A4283" s="496"/>
      <c r="D4283" s="496"/>
    </row>
    <row r="4284" spans="1:4" x14ac:dyDescent="0.2">
      <c r="A4284" s="496"/>
      <c r="D4284" s="496"/>
    </row>
    <row r="4285" spans="1:4" x14ac:dyDescent="0.2">
      <c r="A4285" s="496"/>
      <c r="D4285" s="496"/>
    </row>
    <row r="4286" spans="1:4" x14ac:dyDescent="0.2">
      <c r="A4286" s="496"/>
      <c r="D4286" s="496"/>
    </row>
    <row r="4287" spans="1:4" x14ac:dyDescent="0.2">
      <c r="A4287" s="496"/>
      <c r="D4287" s="496"/>
    </row>
    <row r="4288" spans="1:4" x14ac:dyDescent="0.2">
      <c r="A4288" s="496"/>
      <c r="D4288" s="496"/>
    </row>
    <row r="4289" spans="1:4" x14ac:dyDescent="0.2">
      <c r="A4289" s="496"/>
      <c r="D4289" s="496"/>
    </row>
    <row r="4290" spans="1:4" x14ac:dyDescent="0.2">
      <c r="A4290" s="496"/>
      <c r="D4290" s="496"/>
    </row>
    <row r="4291" spans="1:4" x14ac:dyDescent="0.2">
      <c r="A4291" s="496"/>
      <c r="D4291" s="496"/>
    </row>
    <row r="4292" spans="1:4" x14ac:dyDescent="0.2">
      <c r="A4292" s="496"/>
      <c r="D4292" s="496"/>
    </row>
    <row r="4293" spans="1:4" x14ac:dyDescent="0.2">
      <c r="A4293" s="496"/>
      <c r="D4293" s="496"/>
    </row>
    <row r="4294" spans="1:4" x14ac:dyDescent="0.2">
      <c r="A4294" s="496"/>
      <c r="D4294" s="496"/>
    </row>
    <row r="4295" spans="1:4" x14ac:dyDescent="0.2">
      <c r="A4295" s="496"/>
      <c r="D4295" s="496"/>
    </row>
    <row r="4296" spans="1:4" x14ac:dyDescent="0.2">
      <c r="A4296" s="496"/>
      <c r="D4296" s="496"/>
    </row>
    <row r="4297" spans="1:4" x14ac:dyDescent="0.2">
      <c r="A4297" s="496"/>
      <c r="D4297" s="496"/>
    </row>
    <row r="4298" spans="1:4" x14ac:dyDescent="0.2">
      <c r="A4298" s="496"/>
      <c r="D4298" s="496"/>
    </row>
    <row r="4299" spans="1:4" x14ac:dyDescent="0.2">
      <c r="A4299" s="496"/>
      <c r="D4299" s="496"/>
    </row>
    <row r="4300" spans="1:4" x14ac:dyDescent="0.2">
      <c r="A4300" s="496"/>
      <c r="D4300" s="496"/>
    </row>
    <row r="4301" spans="1:4" x14ac:dyDescent="0.2">
      <c r="A4301" s="496"/>
      <c r="D4301" s="496"/>
    </row>
    <row r="4302" spans="1:4" x14ac:dyDescent="0.2">
      <c r="A4302" s="496"/>
      <c r="D4302" s="496"/>
    </row>
    <row r="4303" spans="1:4" x14ac:dyDescent="0.2">
      <c r="A4303" s="496"/>
      <c r="D4303" s="496"/>
    </row>
    <row r="4304" spans="1:4" x14ac:dyDescent="0.2">
      <c r="A4304" s="496"/>
      <c r="D4304" s="496"/>
    </row>
    <row r="4305" spans="1:4" x14ac:dyDescent="0.2">
      <c r="A4305" s="496"/>
      <c r="D4305" s="496"/>
    </row>
    <row r="4306" spans="1:4" x14ac:dyDescent="0.2">
      <c r="A4306" s="496"/>
      <c r="D4306" s="496"/>
    </row>
    <row r="4307" spans="1:4" x14ac:dyDescent="0.2">
      <c r="A4307" s="496"/>
      <c r="D4307" s="496"/>
    </row>
    <row r="4308" spans="1:4" x14ac:dyDescent="0.2">
      <c r="A4308" s="496"/>
      <c r="D4308" s="496"/>
    </row>
    <row r="4309" spans="1:4" x14ac:dyDescent="0.2">
      <c r="A4309" s="496"/>
      <c r="D4309" s="496"/>
    </row>
    <row r="4310" spans="1:4" x14ac:dyDescent="0.2">
      <c r="A4310" s="496"/>
      <c r="D4310" s="496"/>
    </row>
    <row r="4311" spans="1:4" x14ac:dyDescent="0.2">
      <c r="A4311" s="496"/>
      <c r="D4311" s="496"/>
    </row>
    <row r="4312" spans="1:4" x14ac:dyDescent="0.2">
      <c r="A4312" s="496"/>
      <c r="D4312" s="496"/>
    </row>
    <row r="4313" spans="1:4" x14ac:dyDescent="0.2">
      <c r="A4313" s="496"/>
      <c r="D4313" s="496"/>
    </row>
    <row r="4314" spans="1:4" x14ac:dyDescent="0.2">
      <c r="A4314" s="496"/>
      <c r="D4314" s="496"/>
    </row>
    <row r="4315" spans="1:4" x14ac:dyDescent="0.2">
      <c r="A4315" s="496"/>
      <c r="D4315" s="496"/>
    </row>
    <row r="4316" spans="1:4" x14ac:dyDescent="0.2">
      <c r="A4316" s="496"/>
      <c r="D4316" s="496"/>
    </row>
    <row r="4317" spans="1:4" x14ac:dyDescent="0.2">
      <c r="A4317" s="496"/>
      <c r="D4317" s="496"/>
    </row>
    <row r="4318" spans="1:4" x14ac:dyDescent="0.2">
      <c r="A4318" s="496"/>
      <c r="D4318" s="496"/>
    </row>
    <row r="4319" spans="1:4" x14ac:dyDescent="0.2">
      <c r="A4319" s="496"/>
      <c r="D4319" s="496"/>
    </row>
    <row r="4320" spans="1:4" x14ac:dyDescent="0.2">
      <c r="A4320" s="496"/>
      <c r="D4320" s="496"/>
    </row>
    <row r="4321" spans="1:4" x14ac:dyDescent="0.2">
      <c r="A4321" s="496"/>
      <c r="D4321" s="496"/>
    </row>
    <row r="4322" spans="1:4" x14ac:dyDescent="0.2">
      <c r="A4322" s="496"/>
      <c r="D4322" s="496"/>
    </row>
    <row r="4323" spans="1:4" x14ac:dyDescent="0.2">
      <c r="A4323" s="496"/>
      <c r="D4323" s="496"/>
    </row>
    <row r="4324" spans="1:4" x14ac:dyDescent="0.2">
      <c r="A4324" s="496"/>
      <c r="D4324" s="496"/>
    </row>
    <row r="4325" spans="1:4" x14ac:dyDescent="0.2">
      <c r="A4325" s="496"/>
      <c r="D4325" s="496"/>
    </row>
    <row r="4326" spans="1:4" x14ac:dyDescent="0.2">
      <c r="A4326" s="496"/>
      <c r="D4326" s="496"/>
    </row>
    <row r="4327" spans="1:4" x14ac:dyDescent="0.2">
      <c r="A4327" s="496"/>
      <c r="D4327" s="496"/>
    </row>
    <row r="4328" spans="1:4" x14ac:dyDescent="0.2">
      <c r="A4328" s="496"/>
      <c r="D4328" s="496"/>
    </row>
    <row r="4329" spans="1:4" x14ac:dyDescent="0.2">
      <c r="A4329" s="496"/>
      <c r="D4329" s="496"/>
    </row>
    <row r="4330" spans="1:4" x14ac:dyDescent="0.2">
      <c r="A4330" s="496"/>
      <c r="D4330" s="496"/>
    </row>
    <row r="4331" spans="1:4" x14ac:dyDescent="0.2">
      <c r="A4331" s="496"/>
      <c r="D4331" s="496"/>
    </row>
    <row r="4332" spans="1:4" x14ac:dyDescent="0.2">
      <c r="A4332" s="496"/>
      <c r="D4332" s="496"/>
    </row>
    <row r="4333" spans="1:4" x14ac:dyDescent="0.2">
      <c r="A4333" s="496"/>
      <c r="D4333" s="496"/>
    </row>
    <row r="4334" spans="1:4" x14ac:dyDescent="0.2">
      <c r="A4334" s="496"/>
      <c r="D4334" s="496"/>
    </row>
    <row r="4335" spans="1:4" x14ac:dyDescent="0.2">
      <c r="A4335" s="496"/>
      <c r="D4335" s="496"/>
    </row>
    <row r="4336" spans="1:4" x14ac:dyDescent="0.2">
      <c r="A4336" s="496"/>
      <c r="D4336" s="496"/>
    </row>
    <row r="4337" spans="1:4" x14ac:dyDescent="0.2">
      <c r="A4337" s="496"/>
      <c r="D4337" s="496"/>
    </row>
    <row r="4338" spans="1:4" x14ac:dyDescent="0.2">
      <c r="A4338" s="496"/>
      <c r="D4338" s="496"/>
    </row>
    <row r="4339" spans="1:4" x14ac:dyDescent="0.2">
      <c r="A4339" s="496"/>
      <c r="D4339" s="496"/>
    </row>
    <row r="4340" spans="1:4" x14ac:dyDescent="0.2">
      <c r="A4340" s="496"/>
      <c r="D4340" s="496"/>
    </row>
    <row r="4341" spans="1:4" x14ac:dyDescent="0.2">
      <c r="A4341" s="496"/>
      <c r="D4341" s="496"/>
    </row>
    <row r="4342" spans="1:4" x14ac:dyDescent="0.2">
      <c r="A4342" s="496"/>
      <c r="D4342" s="496"/>
    </row>
    <row r="4343" spans="1:4" x14ac:dyDescent="0.2">
      <c r="A4343" s="496"/>
      <c r="D4343" s="496"/>
    </row>
    <row r="4344" spans="1:4" x14ac:dyDescent="0.2">
      <c r="A4344" s="496"/>
      <c r="D4344" s="496"/>
    </row>
    <row r="4345" spans="1:4" x14ac:dyDescent="0.2">
      <c r="A4345" s="496"/>
      <c r="D4345" s="496"/>
    </row>
    <row r="4346" spans="1:4" x14ac:dyDescent="0.2">
      <c r="A4346" s="496"/>
      <c r="D4346" s="496"/>
    </row>
    <row r="4347" spans="1:4" x14ac:dyDescent="0.2">
      <c r="A4347" s="496"/>
      <c r="D4347" s="496"/>
    </row>
    <row r="4348" spans="1:4" x14ac:dyDescent="0.2">
      <c r="A4348" s="496"/>
      <c r="D4348" s="496"/>
    </row>
    <row r="4349" spans="1:4" x14ac:dyDescent="0.2">
      <c r="A4349" s="496"/>
      <c r="D4349" s="496"/>
    </row>
    <row r="4350" spans="1:4" x14ac:dyDescent="0.2">
      <c r="A4350" s="496"/>
      <c r="D4350" s="496"/>
    </row>
    <row r="4351" spans="1:4" x14ac:dyDescent="0.2">
      <c r="A4351" s="496"/>
      <c r="D4351" s="496"/>
    </row>
    <row r="4352" spans="1:4" x14ac:dyDescent="0.2">
      <c r="A4352" s="496"/>
      <c r="D4352" s="496"/>
    </row>
    <row r="4353" spans="1:4" x14ac:dyDescent="0.2">
      <c r="A4353" s="496"/>
      <c r="D4353" s="496"/>
    </row>
    <row r="4354" spans="1:4" x14ac:dyDescent="0.2">
      <c r="A4354" s="496"/>
      <c r="D4354" s="496"/>
    </row>
    <row r="4355" spans="1:4" x14ac:dyDescent="0.2">
      <c r="A4355" s="496"/>
      <c r="D4355" s="496"/>
    </row>
    <row r="4356" spans="1:4" x14ac:dyDescent="0.2">
      <c r="A4356" s="496"/>
      <c r="D4356" s="496"/>
    </row>
    <row r="4357" spans="1:4" x14ac:dyDescent="0.2">
      <c r="A4357" s="496"/>
      <c r="D4357" s="496"/>
    </row>
    <row r="4358" spans="1:4" x14ac:dyDescent="0.2">
      <c r="A4358" s="496"/>
      <c r="D4358" s="496"/>
    </row>
    <row r="4359" spans="1:4" x14ac:dyDescent="0.2">
      <c r="A4359" s="496"/>
      <c r="D4359" s="496"/>
    </row>
    <row r="4360" spans="1:4" x14ac:dyDescent="0.2">
      <c r="A4360" s="496"/>
      <c r="D4360" s="496"/>
    </row>
    <row r="4361" spans="1:4" x14ac:dyDescent="0.2">
      <c r="A4361" s="496"/>
      <c r="D4361" s="496"/>
    </row>
    <row r="4362" spans="1:4" x14ac:dyDescent="0.2">
      <c r="A4362" s="496"/>
      <c r="D4362" s="496"/>
    </row>
    <row r="4363" spans="1:4" x14ac:dyDescent="0.2">
      <c r="A4363" s="496"/>
      <c r="D4363" s="496"/>
    </row>
    <row r="4364" spans="1:4" x14ac:dyDescent="0.2">
      <c r="A4364" s="496"/>
      <c r="D4364" s="496"/>
    </row>
    <row r="4365" spans="1:4" x14ac:dyDescent="0.2">
      <c r="A4365" s="496"/>
      <c r="D4365" s="496"/>
    </row>
    <row r="4366" spans="1:4" x14ac:dyDescent="0.2">
      <c r="A4366" s="496"/>
      <c r="D4366" s="496"/>
    </row>
    <row r="4367" spans="1:4" x14ac:dyDescent="0.2">
      <c r="A4367" s="496"/>
      <c r="D4367" s="496"/>
    </row>
    <row r="4368" spans="1:4" x14ac:dyDescent="0.2">
      <c r="A4368" s="496"/>
      <c r="D4368" s="496"/>
    </row>
    <row r="4369" spans="1:4" x14ac:dyDescent="0.2">
      <c r="A4369" s="496"/>
      <c r="D4369" s="496"/>
    </row>
    <row r="4370" spans="1:4" x14ac:dyDescent="0.2">
      <c r="A4370" s="496"/>
      <c r="D4370" s="496"/>
    </row>
    <row r="4371" spans="1:4" x14ac:dyDescent="0.2">
      <c r="A4371" s="496"/>
      <c r="D4371" s="496"/>
    </row>
    <row r="4372" spans="1:4" x14ac:dyDescent="0.2">
      <c r="A4372" s="496"/>
      <c r="D4372" s="496"/>
    </row>
    <row r="4373" spans="1:4" x14ac:dyDescent="0.2">
      <c r="A4373" s="496"/>
      <c r="D4373" s="496"/>
    </row>
    <row r="4374" spans="1:4" x14ac:dyDescent="0.2">
      <c r="A4374" s="496"/>
      <c r="D4374" s="496"/>
    </row>
    <row r="4375" spans="1:4" x14ac:dyDescent="0.2">
      <c r="A4375" s="496"/>
      <c r="D4375" s="496"/>
    </row>
    <row r="4376" spans="1:4" x14ac:dyDescent="0.2">
      <c r="A4376" s="496"/>
      <c r="D4376" s="496"/>
    </row>
    <row r="4377" spans="1:4" x14ac:dyDescent="0.2">
      <c r="A4377" s="496"/>
      <c r="D4377" s="496"/>
    </row>
    <row r="4378" spans="1:4" x14ac:dyDescent="0.2">
      <c r="A4378" s="496"/>
      <c r="D4378" s="496"/>
    </row>
    <row r="4379" spans="1:4" x14ac:dyDescent="0.2">
      <c r="A4379" s="496"/>
      <c r="D4379" s="496"/>
    </row>
    <row r="4380" spans="1:4" x14ac:dyDescent="0.2">
      <c r="A4380" s="496"/>
      <c r="D4380" s="496"/>
    </row>
    <row r="4381" spans="1:4" x14ac:dyDescent="0.2">
      <c r="A4381" s="496"/>
      <c r="D4381" s="496"/>
    </row>
    <row r="4382" spans="1:4" x14ac:dyDescent="0.2">
      <c r="A4382" s="496"/>
      <c r="D4382" s="496"/>
    </row>
    <row r="4383" spans="1:4" x14ac:dyDescent="0.2">
      <c r="A4383" s="496"/>
      <c r="D4383" s="496"/>
    </row>
    <row r="4384" spans="1:4" x14ac:dyDescent="0.2">
      <c r="A4384" s="496"/>
      <c r="D4384" s="496"/>
    </row>
    <row r="4385" spans="1:4" x14ac:dyDescent="0.2">
      <c r="A4385" s="496"/>
      <c r="D4385" s="496"/>
    </row>
    <row r="4386" spans="1:4" x14ac:dyDescent="0.2">
      <c r="A4386" s="496"/>
      <c r="D4386" s="496"/>
    </row>
    <row r="4387" spans="1:4" x14ac:dyDescent="0.2">
      <c r="A4387" s="496"/>
      <c r="D4387" s="496"/>
    </row>
    <row r="4388" spans="1:4" x14ac:dyDescent="0.2">
      <c r="A4388" s="496"/>
      <c r="D4388" s="496"/>
    </row>
    <row r="4389" spans="1:4" x14ac:dyDescent="0.2">
      <c r="A4389" s="496"/>
      <c r="D4389" s="496"/>
    </row>
    <row r="4390" spans="1:4" x14ac:dyDescent="0.2">
      <c r="A4390" s="496"/>
      <c r="D4390" s="496"/>
    </row>
    <row r="4391" spans="1:4" x14ac:dyDescent="0.2">
      <c r="A4391" s="496"/>
      <c r="D4391" s="496"/>
    </row>
    <row r="4392" spans="1:4" x14ac:dyDescent="0.2">
      <c r="A4392" s="496"/>
      <c r="D4392" s="496"/>
    </row>
    <row r="4393" spans="1:4" x14ac:dyDescent="0.2">
      <c r="A4393" s="496"/>
      <c r="D4393" s="496"/>
    </row>
    <row r="4394" spans="1:4" x14ac:dyDescent="0.2">
      <c r="A4394" s="496"/>
      <c r="D4394" s="496"/>
    </row>
    <row r="4395" spans="1:4" x14ac:dyDescent="0.2">
      <c r="A4395" s="496"/>
      <c r="D4395" s="496"/>
    </row>
    <row r="4396" spans="1:4" x14ac:dyDescent="0.2">
      <c r="A4396" s="496"/>
      <c r="D4396" s="496"/>
    </row>
    <row r="4397" spans="1:4" x14ac:dyDescent="0.2">
      <c r="A4397" s="496"/>
      <c r="D4397" s="496"/>
    </row>
    <row r="4398" spans="1:4" x14ac:dyDescent="0.2">
      <c r="A4398" s="496"/>
      <c r="D4398" s="496"/>
    </row>
    <row r="4399" spans="1:4" x14ac:dyDescent="0.2">
      <c r="A4399" s="496"/>
      <c r="D4399" s="496"/>
    </row>
    <row r="4400" spans="1:4" x14ac:dyDescent="0.2">
      <c r="A4400" s="496"/>
      <c r="D4400" s="496"/>
    </row>
    <row r="4401" spans="1:4" x14ac:dyDescent="0.2">
      <c r="A4401" s="496"/>
      <c r="D4401" s="496"/>
    </row>
    <row r="4402" spans="1:4" x14ac:dyDescent="0.2">
      <c r="A4402" s="496"/>
      <c r="D4402" s="496"/>
    </row>
    <row r="4403" spans="1:4" x14ac:dyDescent="0.2">
      <c r="A4403" s="496"/>
      <c r="D4403" s="496"/>
    </row>
    <row r="4404" spans="1:4" x14ac:dyDescent="0.2">
      <c r="A4404" s="496"/>
      <c r="D4404" s="496"/>
    </row>
    <row r="4405" spans="1:4" x14ac:dyDescent="0.2">
      <c r="A4405" s="496"/>
      <c r="D4405" s="496"/>
    </row>
    <row r="4406" spans="1:4" x14ac:dyDescent="0.2">
      <c r="A4406" s="496"/>
      <c r="D4406" s="496"/>
    </row>
    <row r="4407" spans="1:4" x14ac:dyDescent="0.2">
      <c r="A4407" s="496"/>
      <c r="D4407" s="496"/>
    </row>
    <row r="4408" spans="1:4" x14ac:dyDescent="0.2">
      <c r="A4408" s="496"/>
      <c r="D4408" s="496"/>
    </row>
    <row r="4409" spans="1:4" x14ac:dyDescent="0.2">
      <c r="A4409" s="496"/>
      <c r="D4409" s="496"/>
    </row>
    <row r="4410" spans="1:4" x14ac:dyDescent="0.2">
      <c r="A4410" s="496"/>
      <c r="D4410" s="496"/>
    </row>
    <row r="4411" spans="1:4" x14ac:dyDescent="0.2">
      <c r="A4411" s="496"/>
      <c r="D4411" s="496"/>
    </row>
    <row r="4412" spans="1:4" x14ac:dyDescent="0.2">
      <c r="A4412" s="496"/>
      <c r="D4412" s="496"/>
    </row>
    <row r="4413" spans="1:4" x14ac:dyDescent="0.2">
      <c r="A4413" s="496"/>
      <c r="D4413" s="496"/>
    </row>
    <row r="4414" spans="1:4" x14ac:dyDescent="0.2">
      <c r="A4414" s="496"/>
      <c r="D4414" s="496"/>
    </row>
    <row r="4415" spans="1:4" x14ac:dyDescent="0.2">
      <c r="A4415" s="496"/>
      <c r="D4415" s="496"/>
    </row>
    <row r="4416" spans="1:4" x14ac:dyDescent="0.2">
      <c r="A4416" s="496"/>
      <c r="D4416" s="496"/>
    </row>
    <row r="4417" spans="1:4" x14ac:dyDescent="0.2">
      <c r="A4417" s="496"/>
      <c r="D4417" s="496"/>
    </row>
    <row r="4418" spans="1:4" x14ac:dyDescent="0.2">
      <c r="A4418" s="496"/>
      <c r="D4418" s="496"/>
    </row>
    <row r="4419" spans="1:4" x14ac:dyDescent="0.2">
      <c r="A4419" s="496"/>
      <c r="D4419" s="496"/>
    </row>
    <row r="4420" spans="1:4" x14ac:dyDescent="0.2">
      <c r="A4420" s="496"/>
      <c r="D4420" s="496"/>
    </row>
    <row r="4421" spans="1:4" x14ac:dyDescent="0.2">
      <c r="A4421" s="496"/>
      <c r="D4421" s="496"/>
    </row>
    <row r="4422" spans="1:4" x14ac:dyDescent="0.2">
      <c r="A4422" s="496"/>
      <c r="D4422" s="496"/>
    </row>
    <row r="4423" spans="1:4" x14ac:dyDescent="0.2">
      <c r="A4423" s="496"/>
      <c r="D4423" s="496"/>
    </row>
    <row r="4424" spans="1:4" x14ac:dyDescent="0.2">
      <c r="A4424" s="496"/>
      <c r="D4424" s="496"/>
    </row>
    <row r="4425" spans="1:4" x14ac:dyDescent="0.2">
      <c r="A4425" s="496"/>
      <c r="D4425" s="496"/>
    </row>
    <row r="4426" spans="1:4" x14ac:dyDescent="0.2">
      <c r="A4426" s="496"/>
      <c r="D4426" s="496"/>
    </row>
    <row r="4427" spans="1:4" x14ac:dyDescent="0.2">
      <c r="A4427" s="496"/>
      <c r="D4427" s="496"/>
    </row>
    <row r="4428" spans="1:4" x14ac:dyDescent="0.2">
      <c r="A4428" s="496"/>
      <c r="D4428" s="496"/>
    </row>
    <row r="4429" spans="1:4" x14ac:dyDescent="0.2">
      <c r="A4429" s="496"/>
      <c r="D4429" s="496"/>
    </row>
    <row r="4430" spans="1:4" x14ac:dyDescent="0.2">
      <c r="A4430" s="496"/>
      <c r="D4430" s="496"/>
    </row>
    <row r="4431" spans="1:4" x14ac:dyDescent="0.2">
      <c r="A4431" s="496"/>
      <c r="D4431" s="496"/>
    </row>
    <row r="4432" spans="1:4" x14ac:dyDescent="0.2">
      <c r="A4432" s="496"/>
      <c r="D4432" s="496"/>
    </row>
    <row r="4433" spans="1:4" x14ac:dyDescent="0.2">
      <c r="A4433" s="496"/>
      <c r="D4433" s="496"/>
    </row>
    <row r="4434" spans="1:4" x14ac:dyDescent="0.2">
      <c r="A4434" s="496"/>
      <c r="D4434" s="496"/>
    </row>
    <row r="4435" spans="1:4" x14ac:dyDescent="0.2">
      <c r="A4435" s="496"/>
      <c r="D4435" s="496"/>
    </row>
    <row r="4436" spans="1:4" x14ac:dyDescent="0.2">
      <c r="A4436" s="496"/>
      <c r="D4436" s="496"/>
    </row>
    <row r="4437" spans="1:4" x14ac:dyDescent="0.2">
      <c r="A4437" s="496"/>
      <c r="D4437" s="496"/>
    </row>
    <row r="4438" spans="1:4" x14ac:dyDescent="0.2">
      <c r="A4438" s="496"/>
      <c r="D4438" s="496"/>
    </row>
    <row r="4439" spans="1:4" x14ac:dyDescent="0.2">
      <c r="A4439" s="496"/>
      <c r="D4439" s="496"/>
    </row>
    <row r="4440" spans="1:4" x14ac:dyDescent="0.2">
      <c r="A4440" s="496"/>
      <c r="D4440" s="496"/>
    </row>
    <row r="4441" spans="1:4" x14ac:dyDescent="0.2">
      <c r="A4441" s="496"/>
      <c r="D4441" s="496"/>
    </row>
    <row r="4442" spans="1:4" x14ac:dyDescent="0.2">
      <c r="A4442" s="496"/>
      <c r="D4442" s="496"/>
    </row>
    <row r="4443" spans="1:4" x14ac:dyDescent="0.2">
      <c r="A4443" s="496"/>
      <c r="D4443" s="496"/>
    </row>
    <row r="4444" spans="1:4" x14ac:dyDescent="0.2">
      <c r="A4444" s="496"/>
      <c r="D4444" s="496"/>
    </row>
    <row r="4445" spans="1:4" x14ac:dyDescent="0.2">
      <c r="A4445" s="496"/>
      <c r="D4445" s="496"/>
    </row>
    <row r="4446" spans="1:4" x14ac:dyDescent="0.2">
      <c r="A4446" s="496"/>
      <c r="D4446" s="496"/>
    </row>
    <row r="4447" spans="1:4" x14ac:dyDescent="0.2">
      <c r="A4447" s="496"/>
      <c r="D4447" s="496"/>
    </row>
    <row r="4448" spans="1:4" x14ac:dyDescent="0.2">
      <c r="A4448" s="496"/>
      <c r="D4448" s="496"/>
    </row>
    <row r="4449" spans="1:4" x14ac:dyDescent="0.2">
      <c r="A4449" s="496"/>
      <c r="D4449" s="496"/>
    </row>
    <row r="4450" spans="1:4" x14ac:dyDescent="0.2">
      <c r="A4450" s="496"/>
      <c r="D4450" s="496"/>
    </row>
    <row r="4451" spans="1:4" x14ac:dyDescent="0.2">
      <c r="A4451" s="496"/>
      <c r="D4451" s="496"/>
    </row>
    <row r="4452" spans="1:4" x14ac:dyDescent="0.2">
      <c r="A4452" s="496"/>
      <c r="D4452" s="496"/>
    </row>
    <row r="4453" spans="1:4" x14ac:dyDescent="0.2">
      <c r="A4453" s="496"/>
      <c r="D4453" s="496"/>
    </row>
    <row r="4454" spans="1:4" x14ac:dyDescent="0.2">
      <c r="A4454" s="496"/>
      <c r="D4454" s="496"/>
    </row>
    <row r="4455" spans="1:4" x14ac:dyDescent="0.2">
      <c r="A4455" s="496"/>
      <c r="D4455" s="496"/>
    </row>
    <row r="4456" spans="1:4" x14ac:dyDescent="0.2">
      <c r="A4456" s="496"/>
      <c r="D4456" s="496"/>
    </row>
    <row r="4457" spans="1:4" x14ac:dyDescent="0.2">
      <c r="A4457" s="496"/>
      <c r="D4457" s="496"/>
    </row>
    <row r="4458" spans="1:4" x14ac:dyDescent="0.2">
      <c r="A4458" s="496"/>
      <c r="D4458" s="496"/>
    </row>
    <row r="4459" spans="1:4" x14ac:dyDescent="0.2">
      <c r="A4459" s="496"/>
      <c r="D4459" s="496"/>
    </row>
    <row r="4460" spans="1:4" x14ac:dyDescent="0.2">
      <c r="A4460" s="496"/>
      <c r="D4460" s="496"/>
    </row>
    <row r="4461" spans="1:4" x14ac:dyDescent="0.2">
      <c r="A4461" s="496"/>
      <c r="D4461" s="496"/>
    </row>
    <row r="4462" spans="1:4" x14ac:dyDescent="0.2">
      <c r="A4462" s="496"/>
      <c r="D4462" s="496"/>
    </row>
    <row r="4463" spans="1:4" x14ac:dyDescent="0.2">
      <c r="A4463" s="496"/>
      <c r="D4463" s="496"/>
    </row>
    <row r="4464" spans="1:4" x14ac:dyDescent="0.2">
      <c r="A4464" s="496"/>
      <c r="D4464" s="496"/>
    </row>
    <row r="4465" spans="1:4" x14ac:dyDescent="0.2">
      <c r="A4465" s="496"/>
      <c r="D4465" s="496"/>
    </row>
    <row r="4466" spans="1:4" x14ac:dyDescent="0.2">
      <c r="A4466" s="496"/>
      <c r="D4466" s="496"/>
    </row>
    <row r="4467" spans="1:4" x14ac:dyDescent="0.2">
      <c r="A4467" s="496"/>
      <c r="D4467" s="496"/>
    </row>
    <row r="4468" spans="1:4" x14ac:dyDescent="0.2">
      <c r="A4468" s="496"/>
      <c r="D4468" s="496"/>
    </row>
    <row r="4469" spans="1:4" x14ac:dyDescent="0.2">
      <c r="A4469" s="496"/>
      <c r="D4469" s="496"/>
    </row>
    <row r="4470" spans="1:4" x14ac:dyDescent="0.2">
      <c r="A4470" s="496"/>
      <c r="D4470" s="496"/>
    </row>
    <row r="4471" spans="1:4" x14ac:dyDescent="0.2">
      <c r="A4471" s="496"/>
      <c r="D4471" s="496"/>
    </row>
    <row r="4472" spans="1:4" x14ac:dyDescent="0.2">
      <c r="A4472" s="496"/>
      <c r="D4472" s="496"/>
    </row>
    <row r="4473" spans="1:4" x14ac:dyDescent="0.2">
      <c r="A4473" s="496"/>
      <c r="D4473" s="496"/>
    </row>
    <row r="4474" spans="1:4" x14ac:dyDescent="0.2">
      <c r="A4474" s="496"/>
      <c r="D4474" s="496"/>
    </row>
    <row r="4475" spans="1:4" x14ac:dyDescent="0.2">
      <c r="A4475" s="496"/>
      <c r="D4475" s="496"/>
    </row>
    <row r="4476" spans="1:4" x14ac:dyDescent="0.2">
      <c r="A4476" s="496"/>
      <c r="D4476" s="496"/>
    </row>
    <row r="4477" spans="1:4" x14ac:dyDescent="0.2">
      <c r="A4477" s="496"/>
      <c r="D4477" s="496"/>
    </row>
    <row r="4478" spans="1:4" x14ac:dyDescent="0.2">
      <c r="A4478" s="496"/>
      <c r="D4478" s="496"/>
    </row>
    <row r="4479" spans="1:4" x14ac:dyDescent="0.2">
      <c r="A4479" s="496"/>
      <c r="D4479" s="496"/>
    </row>
    <row r="4480" spans="1:4" x14ac:dyDescent="0.2">
      <c r="A4480" s="496"/>
      <c r="D4480" s="496"/>
    </row>
    <row r="4481" spans="1:4" x14ac:dyDescent="0.2">
      <c r="A4481" s="496"/>
      <c r="D4481" s="496"/>
    </row>
    <row r="4482" spans="1:4" x14ac:dyDescent="0.2">
      <c r="A4482" s="496"/>
      <c r="D4482" s="496"/>
    </row>
    <row r="4483" spans="1:4" x14ac:dyDescent="0.2">
      <c r="A4483" s="496"/>
      <c r="D4483" s="496"/>
    </row>
    <row r="4484" spans="1:4" x14ac:dyDescent="0.2">
      <c r="A4484" s="496"/>
      <c r="D4484" s="496"/>
    </row>
    <row r="4485" spans="1:4" x14ac:dyDescent="0.2">
      <c r="A4485" s="496"/>
      <c r="D4485" s="496"/>
    </row>
    <row r="4486" spans="1:4" x14ac:dyDescent="0.2">
      <c r="A4486" s="496"/>
      <c r="D4486" s="496"/>
    </row>
    <row r="4487" spans="1:4" x14ac:dyDescent="0.2">
      <c r="A4487" s="496"/>
      <c r="D4487" s="496"/>
    </row>
    <row r="4488" spans="1:4" x14ac:dyDescent="0.2">
      <c r="A4488" s="496"/>
      <c r="D4488" s="496"/>
    </row>
    <row r="4489" spans="1:4" x14ac:dyDescent="0.2">
      <c r="A4489" s="496"/>
      <c r="D4489" s="496"/>
    </row>
    <row r="4490" spans="1:4" x14ac:dyDescent="0.2">
      <c r="A4490" s="496"/>
      <c r="D4490" s="496"/>
    </row>
    <row r="4491" spans="1:4" x14ac:dyDescent="0.2">
      <c r="A4491" s="496"/>
      <c r="D4491" s="496"/>
    </row>
    <row r="4492" spans="1:4" x14ac:dyDescent="0.2">
      <c r="A4492" s="496"/>
      <c r="D4492" s="496"/>
    </row>
    <row r="4493" spans="1:4" x14ac:dyDescent="0.2">
      <c r="A4493" s="496"/>
      <c r="D4493" s="496"/>
    </row>
    <row r="4494" spans="1:4" x14ac:dyDescent="0.2">
      <c r="A4494" s="496"/>
      <c r="D4494" s="496"/>
    </row>
    <row r="4495" spans="1:4" x14ac:dyDescent="0.2">
      <c r="A4495" s="496"/>
      <c r="D4495" s="496"/>
    </row>
    <row r="4496" spans="1:4" x14ac:dyDescent="0.2">
      <c r="A4496" s="496"/>
      <c r="D4496" s="496"/>
    </row>
    <row r="4497" spans="1:4" x14ac:dyDescent="0.2">
      <c r="A4497" s="496"/>
      <c r="D4497" s="496"/>
    </row>
    <row r="4498" spans="1:4" x14ac:dyDescent="0.2">
      <c r="A4498" s="496"/>
      <c r="D4498" s="496"/>
    </row>
    <row r="4499" spans="1:4" x14ac:dyDescent="0.2">
      <c r="A4499" s="496"/>
      <c r="D4499" s="496"/>
    </row>
    <row r="4500" spans="1:4" x14ac:dyDescent="0.2">
      <c r="A4500" s="496"/>
      <c r="D4500" s="496"/>
    </row>
    <row r="4501" spans="1:4" x14ac:dyDescent="0.2">
      <c r="A4501" s="496"/>
      <c r="D4501" s="496"/>
    </row>
    <row r="4502" spans="1:4" x14ac:dyDescent="0.2">
      <c r="A4502" s="496"/>
      <c r="D4502" s="496"/>
    </row>
    <row r="4503" spans="1:4" x14ac:dyDescent="0.2">
      <c r="A4503" s="496"/>
      <c r="D4503" s="496"/>
    </row>
    <row r="4504" spans="1:4" x14ac:dyDescent="0.2">
      <c r="A4504" s="496"/>
      <c r="D4504" s="496"/>
    </row>
    <row r="4505" spans="1:4" x14ac:dyDescent="0.2">
      <c r="A4505" s="496"/>
      <c r="D4505" s="496"/>
    </row>
    <row r="4506" spans="1:4" x14ac:dyDescent="0.2">
      <c r="A4506" s="496"/>
      <c r="D4506" s="496"/>
    </row>
    <row r="4507" spans="1:4" x14ac:dyDescent="0.2">
      <c r="A4507" s="496"/>
      <c r="D4507" s="496"/>
    </row>
    <row r="4508" spans="1:4" x14ac:dyDescent="0.2">
      <c r="A4508" s="496"/>
      <c r="D4508" s="496"/>
    </row>
    <row r="4509" spans="1:4" x14ac:dyDescent="0.2">
      <c r="A4509" s="496"/>
      <c r="D4509" s="496"/>
    </row>
    <row r="4510" spans="1:4" x14ac:dyDescent="0.2">
      <c r="A4510" s="496"/>
      <c r="D4510" s="496"/>
    </row>
    <row r="4511" spans="1:4" x14ac:dyDescent="0.2">
      <c r="A4511" s="496"/>
      <c r="D4511" s="496"/>
    </row>
    <row r="4512" spans="1:4" x14ac:dyDescent="0.2">
      <c r="A4512" s="496"/>
      <c r="D4512" s="496"/>
    </row>
    <row r="4513" spans="1:4" x14ac:dyDescent="0.2">
      <c r="A4513" s="496"/>
      <c r="D4513" s="496"/>
    </row>
    <row r="4514" spans="1:4" x14ac:dyDescent="0.2">
      <c r="A4514" s="496"/>
      <c r="D4514" s="496"/>
    </row>
    <row r="4515" spans="1:4" x14ac:dyDescent="0.2">
      <c r="A4515" s="496"/>
      <c r="D4515" s="496"/>
    </row>
    <row r="4516" spans="1:4" x14ac:dyDescent="0.2">
      <c r="A4516" s="496"/>
      <c r="D4516" s="496"/>
    </row>
    <row r="4517" spans="1:4" x14ac:dyDescent="0.2">
      <c r="A4517" s="496"/>
      <c r="D4517" s="496"/>
    </row>
    <row r="4518" spans="1:4" x14ac:dyDescent="0.2">
      <c r="A4518" s="496"/>
      <c r="D4518" s="496"/>
    </row>
    <row r="4519" spans="1:4" x14ac:dyDescent="0.2">
      <c r="A4519" s="496"/>
      <c r="D4519" s="496"/>
    </row>
    <row r="4520" spans="1:4" x14ac:dyDescent="0.2">
      <c r="A4520" s="496"/>
      <c r="D4520" s="496"/>
    </row>
    <row r="4521" spans="1:4" x14ac:dyDescent="0.2">
      <c r="A4521" s="496"/>
      <c r="D4521" s="496"/>
    </row>
    <row r="4522" spans="1:4" x14ac:dyDescent="0.2">
      <c r="A4522" s="496"/>
      <c r="D4522" s="496"/>
    </row>
    <row r="4523" spans="1:4" x14ac:dyDescent="0.2">
      <c r="A4523" s="496"/>
      <c r="D4523" s="496"/>
    </row>
    <row r="4524" spans="1:4" x14ac:dyDescent="0.2">
      <c r="A4524" s="496"/>
      <c r="D4524" s="496"/>
    </row>
    <row r="4525" spans="1:4" x14ac:dyDescent="0.2">
      <c r="A4525" s="496"/>
      <c r="D4525" s="496"/>
    </row>
    <row r="4526" spans="1:4" x14ac:dyDescent="0.2">
      <c r="A4526" s="496"/>
      <c r="D4526" s="496"/>
    </row>
    <row r="4527" spans="1:4" x14ac:dyDescent="0.2">
      <c r="A4527" s="496"/>
      <c r="D4527" s="496"/>
    </row>
    <row r="4528" spans="1:4" x14ac:dyDescent="0.2">
      <c r="A4528" s="496"/>
      <c r="D4528" s="496"/>
    </row>
    <row r="4529" spans="1:4" x14ac:dyDescent="0.2">
      <c r="A4529" s="496"/>
      <c r="D4529" s="496"/>
    </row>
    <row r="4530" spans="1:4" x14ac:dyDescent="0.2">
      <c r="A4530" s="496"/>
      <c r="D4530" s="496"/>
    </row>
    <row r="4531" spans="1:4" x14ac:dyDescent="0.2">
      <c r="A4531" s="496"/>
      <c r="D4531" s="496"/>
    </row>
    <row r="4532" spans="1:4" x14ac:dyDescent="0.2">
      <c r="A4532" s="496"/>
      <c r="D4532" s="496"/>
    </row>
    <row r="4533" spans="1:4" x14ac:dyDescent="0.2">
      <c r="A4533" s="496"/>
      <c r="D4533" s="496"/>
    </row>
    <row r="4534" spans="1:4" x14ac:dyDescent="0.2">
      <c r="A4534" s="496"/>
      <c r="D4534" s="496"/>
    </row>
    <row r="4535" spans="1:4" x14ac:dyDescent="0.2">
      <c r="A4535" s="496"/>
      <c r="D4535" s="496"/>
    </row>
    <row r="4536" spans="1:4" x14ac:dyDescent="0.2">
      <c r="A4536" s="496"/>
      <c r="D4536" s="496"/>
    </row>
    <row r="4537" spans="1:4" x14ac:dyDescent="0.2">
      <c r="A4537" s="496"/>
      <c r="D4537" s="496"/>
    </row>
    <row r="4538" spans="1:4" x14ac:dyDescent="0.2">
      <c r="A4538" s="496"/>
      <c r="D4538" s="496"/>
    </row>
    <row r="4539" spans="1:4" x14ac:dyDescent="0.2">
      <c r="A4539" s="496"/>
      <c r="D4539" s="496"/>
    </row>
    <row r="4540" spans="1:4" x14ac:dyDescent="0.2">
      <c r="A4540" s="496"/>
      <c r="D4540" s="496"/>
    </row>
    <row r="4541" spans="1:4" x14ac:dyDescent="0.2">
      <c r="A4541" s="496"/>
      <c r="D4541" s="496"/>
    </row>
    <row r="4542" spans="1:4" x14ac:dyDescent="0.2">
      <c r="A4542" s="496"/>
      <c r="D4542" s="496"/>
    </row>
    <row r="4543" spans="1:4" x14ac:dyDescent="0.2">
      <c r="A4543" s="496"/>
      <c r="D4543" s="496"/>
    </row>
    <row r="4544" spans="1:4" x14ac:dyDescent="0.2">
      <c r="A4544" s="496"/>
      <c r="D4544" s="496"/>
    </row>
    <row r="4545" spans="1:4" x14ac:dyDescent="0.2">
      <c r="A4545" s="496"/>
      <c r="D4545" s="496"/>
    </row>
    <row r="4546" spans="1:4" x14ac:dyDescent="0.2">
      <c r="A4546" s="496"/>
      <c r="D4546" s="496"/>
    </row>
    <row r="4547" spans="1:4" x14ac:dyDescent="0.2">
      <c r="A4547" s="496"/>
      <c r="D4547" s="496"/>
    </row>
    <row r="4548" spans="1:4" x14ac:dyDescent="0.2">
      <c r="A4548" s="496"/>
      <c r="D4548" s="496"/>
    </row>
    <row r="4549" spans="1:4" x14ac:dyDescent="0.2">
      <c r="A4549" s="496"/>
      <c r="D4549" s="496"/>
    </row>
    <row r="4550" spans="1:4" x14ac:dyDescent="0.2">
      <c r="A4550" s="496"/>
      <c r="D4550" s="496"/>
    </row>
    <row r="4551" spans="1:4" x14ac:dyDescent="0.2">
      <c r="A4551" s="496"/>
      <c r="D4551" s="496"/>
    </row>
    <row r="4552" spans="1:4" x14ac:dyDescent="0.2">
      <c r="A4552" s="496"/>
      <c r="D4552" s="496"/>
    </row>
    <row r="4553" spans="1:4" x14ac:dyDescent="0.2">
      <c r="A4553" s="496"/>
      <c r="D4553" s="496"/>
    </row>
    <row r="4554" spans="1:4" x14ac:dyDescent="0.2">
      <c r="A4554" s="496"/>
      <c r="D4554" s="496"/>
    </row>
    <row r="4555" spans="1:4" x14ac:dyDescent="0.2">
      <c r="A4555" s="496"/>
      <c r="D4555" s="496"/>
    </row>
    <row r="4556" spans="1:4" x14ac:dyDescent="0.2">
      <c r="A4556" s="496"/>
      <c r="D4556" s="496"/>
    </row>
    <row r="4557" spans="1:4" x14ac:dyDescent="0.2">
      <c r="A4557" s="496"/>
      <c r="D4557" s="496"/>
    </row>
    <row r="4558" spans="1:4" x14ac:dyDescent="0.2">
      <c r="A4558" s="496"/>
      <c r="D4558" s="496"/>
    </row>
    <row r="4559" spans="1:4" x14ac:dyDescent="0.2">
      <c r="A4559" s="496"/>
      <c r="D4559" s="496"/>
    </row>
    <row r="4560" spans="1:4" x14ac:dyDescent="0.2">
      <c r="A4560" s="496"/>
      <c r="D4560" s="496"/>
    </row>
    <row r="4561" spans="1:4" x14ac:dyDescent="0.2">
      <c r="A4561" s="496"/>
      <c r="D4561" s="496"/>
    </row>
    <row r="4562" spans="1:4" x14ac:dyDescent="0.2">
      <c r="A4562" s="496"/>
      <c r="D4562" s="496"/>
    </row>
    <row r="4563" spans="1:4" x14ac:dyDescent="0.2">
      <c r="A4563" s="496"/>
      <c r="D4563" s="496"/>
    </row>
    <row r="4564" spans="1:4" x14ac:dyDescent="0.2">
      <c r="A4564" s="496"/>
      <c r="D4564" s="496"/>
    </row>
    <row r="4565" spans="1:4" x14ac:dyDescent="0.2">
      <c r="A4565" s="496"/>
      <c r="D4565" s="496"/>
    </row>
    <row r="4566" spans="1:4" x14ac:dyDescent="0.2">
      <c r="A4566" s="496"/>
      <c r="D4566" s="496"/>
    </row>
    <row r="4567" spans="1:4" x14ac:dyDescent="0.2">
      <c r="A4567" s="496"/>
      <c r="D4567" s="496"/>
    </row>
    <row r="4568" spans="1:4" x14ac:dyDescent="0.2">
      <c r="A4568" s="496"/>
      <c r="D4568" s="496"/>
    </row>
    <row r="4569" spans="1:4" x14ac:dyDescent="0.2">
      <c r="A4569" s="496"/>
      <c r="D4569" s="496"/>
    </row>
    <row r="4570" spans="1:4" x14ac:dyDescent="0.2">
      <c r="A4570" s="496"/>
      <c r="D4570" s="496"/>
    </row>
    <row r="4571" spans="1:4" x14ac:dyDescent="0.2">
      <c r="A4571" s="496"/>
      <c r="D4571" s="496"/>
    </row>
    <row r="4572" spans="1:4" x14ac:dyDescent="0.2">
      <c r="A4572" s="496"/>
      <c r="D4572" s="496"/>
    </row>
    <row r="4573" spans="1:4" x14ac:dyDescent="0.2">
      <c r="A4573" s="496"/>
      <c r="D4573" s="496"/>
    </row>
    <row r="4574" spans="1:4" x14ac:dyDescent="0.2">
      <c r="A4574" s="496"/>
      <c r="D4574" s="496"/>
    </row>
    <row r="4575" spans="1:4" x14ac:dyDescent="0.2">
      <c r="A4575" s="496"/>
      <c r="D4575" s="496"/>
    </row>
    <row r="4576" spans="1:4" x14ac:dyDescent="0.2">
      <c r="A4576" s="496"/>
      <c r="D4576" s="496"/>
    </row>
    <row r="4577" spans="1:4" x14ac:dyDescent="0.2">
      <c r="A4577" s="496"/>
      <c r="D4577" s="496"/>
    </row>
    <row r="4578" spans="1:4" x14ac:dyDescent="0.2">
      <c r="A4578" s="496"/>
      <c r="D4578" s="496"/>
    </row>
    <row r="4579" spans="1:4" x14ac:dyDescent="0.2">
      <c r="A4579" s="496"/>
      <c r="D4579" s="496"/>
    </row>
    <row r="4580" spans="1:4" x14ac:dyDescent="0.2">
      <c r="A4580" s="496"/>
      <c r="D4580" s="496"/>
    </row>
    <row r="4581" spans="1:4" x14ac:dyDescent="0.2">
      <c r="A4581" s="496"/>
      <c r="D4581" s="496"/>
    </row>
    <row r="4582" spans="1:4" x14ac:dyDescent="0.2">
      <c r="A4582" s="496"/>
      <c r="D4582" s="496"/>
    </row>
    <row r="4583" spans="1:4" x14ac:dyDescent="0.2">
      <c r="A4583" s="496"/>
      <c r="D4583" s="496"/>
    </row>
    <row r="4584" spans="1:4" x14ac:dyDescent="0.2">
      <c r="A4584" s="496"/>
      <c r="D4584" s="496"/>
    </row>
    <row r="4585" spans="1:4" x14ac:dyDescent="0.2">
      <c r="A4585" s="496"/>
      <c r="D4585" s="496"/>
    </row>
    <row r="4586" spans="1:4" x14ac:dyDescent="0.2">
      <c r="A4586" s="496"/>
      <c r="D4586" s="496"/>
    </row>
    <row r="4587" spans="1:4" x14ac:dyDescent="0.2">
      <c r="A4587" s="496"/>
      <c r="D4587" s="496"/>
    </row>
    <row r="4588" spans="1:4" x14ac:dyDescent="0.2">
      <c r="A4588" s="496"/>
      <c r="D4588" s="496"/>
    </row>
    <row r="4589" spans="1:4" x14ac:dyDescent="0.2">
      <c r="A4589" s="496"/>
      <c r="D4589" s="496"/>
    </row>
    <row r="4590" spans="1:4" x14ac:dyDescent="0.2">
      <c r="A4590" s="496"/>
      <c r="D4590" s="496"/>
    </row>
    <row r="4591" spans="1:4" x14ac:dyDescent="0.2">
      <c r="A4591" s="496"/>
      <c r="D4591" s="496"/>
    </row>
    <row r="4592" spans="1:4" x14ac:dyDescent="0.2">
      <c r="A4592" s="496"/>
      <c r="D4592" s="496"/>
    </row>
    <row r="4593" spans="1:4" x14ac:dyDescent="0.2">
      <c r="A4593" s="496"/>
      <c r="D4593" s="496"/>
    </row>
    <row r="4594" spans="1:4" x14ac:dyDescent="0.2">
      <c r="A4594" s="496"/>
      <c r="D4594" s="496"/>
    </row>
    <row r="4595" spans="1:4" x14ac:dyDescent="0.2">
      <c r="A4595" s="496"/>
      <c r="D4595" s="496"/>
    </row>
    <row r="4596" spans="1:4" x14ac:dyDescent="0.2">
      <c r="A4596" s="496"/>
      <c r="D4596" s="496"/>
    </row>
    <row r="4597" spans="1:4" x14ac:dyDescent="0.2">
      <c r="A4597" s="496"/>
      <c r="D4597" s="496"/>
    </row>
    <row r="4598" spans="1:4" x14ac:dyDescent="0.2">
      <c r="A4598" s="496"/>
      <c r="D4598" s="496"/>
    </row>
    <row r="4599" spans="1:4" x14ac:dyDescent="0.2">
      <c r="A4599" s="496"/>
      <c r="D4599" s="496"/>
    </row>
    <row r="4600" spans="1:4" x14ac:dyDescent="0.2">
      <c r="A4600" s="496"/>
      <c r="D4600" s="496"/>
    </row>
    <row r="4601" spans="1:4" x14ac:dyDescent="0.2">
      <c r="A4601" s="496"/>
      <c r="D4601" s="496"/>
    </row>
    <row r="4602" spans="1:4" x14ac:dyDescent="0.2">
      <c r="A4602" s="496"/>
      <c r="D4602" s="496"/>
    </row>
    <row r="4603" spans="1:4" x14ac:dyDescent="0.2">
      <c r="A4603" s="496"/>
      <c r="D4603" s="496"/>
    </row>
    <row r="4604" spans="1:4" x14ac:dyDescent="0.2">
      <c r="A4604" s="496"/>
      <c r="D4604" s="496"/>
    </row>
    <row r="4605" spans="1:4" x14ac:dyDescent="0.2">
      <c r="A4605" s="496"/>
      <c r="D4605" s="496"/>
    </row>
    <row r="4606" spans="1:4" x14ac:dyDescent="0.2">
      <c r="A4606" s="496"/>
      <c r="D4606" s="496"/>
    </row>
    <row r="4607" spans="1:4" x14ac:dyDescent="0.2">
      <c r="A4607" s="496"/>
      <c r="D4607" s="496"/>
    </row>
    <row r="4608" spans="1:4" x14ac:dyDescent="0.2">
      <c r="A4608" s="496"/>
      <c r="D4608" s="496"/>
    </row>
    <row r="4609" spans="1:4" x14ac:dyDescent="0.2">
      <c r="A4609" s="496"/>
      <c r="D4609" s="496"/>
    </row>
    <row r="4610" spans="1:4" x14ac:dyDescent="0.2">
      <c r="A4610" s="496"/>
      <c r="D4610" s="496"/>
    </row>
    <row r="4611" spans="1:4" x14ac:dyDescent="0.2">
      <c r="A4611" s="496"/>
      <c r="D4611" s="496"/>
    </row>
    <row r="4612" spans="1:4" x14ac:dyDescent="0.2">
      <c r="A4612" s="496"/>
      <c r="D4612" s="496"/>
    </row>
    <row r="4613" spans="1:4" x14ac:dyDescent="0.2">
      <c r="A4613" s="496"/>
      <c r="D4613" s="496"/>
    </row>
    <row r="4614" spans="1:4" x14ac:dyDescent="0.2">
      <c r="A4614" s="496"/>
      <c r="D4614" s="496"/>
    </row>
    <row r="4615" spans="1:4" x14ac:dyDescent="0.2">
      <c r="A4615" s="496"/>
      <c r="D4615" s="496"/>
    </row>
    <row r="4616" spans="1:4" x14ac:dyDescent="0.2">
      <c r="A4616" s="496"/>
      <c r="D4616" s="496"/>
    </row>
    <row r="4617" spans="1:4" x14ac:dyDescent="0.2">
      <c r="A4617" s="496"/>
      <c r="D4617" s="496"/>
    </row>
    <row r="4618" spans="1:4" x14ac:dyDescent="0.2">
      <c r="A4618" s="496"/>
      <c r="D4618" s="496"/>
    </row>
    <row r="4619" spans="1:4" x14ac:dyDescent="0.2">
      <c r="A4619" s="496"/>
      <c r="D4619" s="496"/>
    </row>
    <row r="4620" spans="1:4" x14ac:dyDescent="0.2">
      <c r="A4620" s="496"/>
      <c r="D4620" s="496"/>
    </row>
    <row r="4621" spans="1:4" x14ac:dyDescent="0.2">
      <c r="A4621" s="496"/>
      <c r="D4621" s="496"/>
    </row>
    <row r="4622" spans="1:4" x14ac:dyDescent="0.2">
      <c r="A4622" s="496"/>
      <c r="D4622" s="496"/>
    </row>
    <row r="4623" spans="1:4" x14ac:dyDescent="0.2">
      <c r="A4623" s="496"/>
      <c r="D4623" s="496"/>
    </row>
    <row r="4624" spans="1:4" x14ac:dyDescent="0.2">
      <c r="A4624" s="496"/>
      <c r="D4624" s="496"/>
    </row>
    <row r="4625" spans="1:4" x14ac:dyDescent="0.2">
      <c r="A4625" s="496"/>
      <c r="D4625" s="496"/>
    </row>
    <row r="4626" spans="1:4" x14ac:dyDescent="0.2">
      <c r="A4626" s="496"/>
      <c r="D4626" s="496"/>
    </row>
    <row r="4627" spans="1:4" x14ac:dyDescent="0.2">
      <c r="A4627" s="496"/>
      <c r="D4627" s="496"/>
    </row>
    <row r="4628" spans="1:4" x14ac:dyDescent="0.2">
      <c r="A4628" s="496"/>
      <c r="D4628" s="496"/>
    </row>
    <row r="4629" spans="1:4" x14ac:dyDescent="0.2">
      <c r="A4629" s="496"/>
      <c r="D4629" s="496"/>
    </row>
    <row r="4630" spans="1:4" x14ac:dyDescent="0.2">
      <c r="A4630" s="496"/>
      <c r="D4630" s="496"/>
    </row>
    <row r="4631" spans="1:4" x14ac:dyDescent="0.2">
      <c r="A4631" s="496"/>
      <c r="D4631" s="496"/>
    </row>
    <row r="4632" spans="1:4" x14ac:dyDescent="0.2">
      <c r="A4632" s="496"/>
      <c r="D4632" s="496"/>
    </row>
    <row r="4633" spans="1:4" x14ac:dyDescent="0.2">
      <c r="A4633" s="496"/>
      <c r="D4633" s="496"/>
    </row>
    <row r="4634" spans="1:4" x14ac:dyDescent="0.2">
      <c r="A4634" s="496"/>
      <c r="D4634" s="496"/>
    </row>
    <row r="4635" spans="1:4" x14ac:dyDescent="0.2">
      <c r="A4635" s="496"/>
      <c r="D4635" s="496"/>
    </row>
    <row r="4636" spans="1:4" x14ac:dyDescent="0.2">
      <c r="A4636" s="496"/>
      <c r="D4636" s="496"/>
    </row>
    <row r="4637" spans="1:4" x14ac:dyDescent="0.2">
      <c r="A4637" s="496"/>
      <c r="D4637" s="496"/>
    </row>
    <row r="4638" spans="1:4" x14ac:dyDescent="0.2">
      <c r="A4638" s="496"/>
      <c r="D4638" s="496"/>
    </row>
    <row r="4639" spans="1:4" x14ac:dyDescent="0.2">
      <c r="A4639" s="496"/>
      <c r="D4639" s="496"/>
    </row>
    <row r="4640" spans="1:4" x14ac:dyDescent="0.2">
      <c r="A4640" s="496"/>
      <c r="D4640" s="496"/>
    </row>
    <row r="4641" spans="1:4" x14ac:dyDescent="0.2">
      <c r="A4641" s="496"/>
      <c r="D4641" s="496"/>
    </row>
    <row r="4642" spans="1:4" x14ac:dyDescent="0.2">
      <c r="A4642" s="496"/>
      <c r="D4642" s="496"/>
    </row>
    <row r="4643" spans="1:4" x14ac:dyDescent="0.2">
      <c r="A4643" s="496"/>
      <c r="D4643" s="496"/>
    </row>
    <row r="4644" spans="1:4" x14ac:dyDescent="0.2">
      <c r="A4644" s="496"/>
      <c r="D4644" s="496"/>
    </row>
    <row r="4645" spans="1:4" x14ac:dyDescent="0.2">
      <c r="A4645" s="496"/>
      <c r="D4645" s="496"/>
    </row>
    <row r="4646" spans="1:4" x14ac:dyDescent="0.2">
      <c r="A4646" s="496"/>
      <c r="D4646" s="496"/>
    </row>
    <row r="4647" spans="1:4" x14ac:dyDescent="0.2">
      <c r="A4647" s="496"/>
      <c r="D4647" s="496"/>
    </row>
    <row r="4648" spans="1:4" x14ac:dyDescent="0.2">
      <c r="A4648" s="496"/>
      <c r="D4648" s="496"/>
    </row>
    <row r="4649" spans="1:4" x14ac:dyDescent="0.2">
      <c r="A4649" s="496"/>
      <c r="D4649" s="496"/>
    </row>
    <row r="4650" spans="1:4" x14ac:dyDescent="0.2">
      <c r="A4650" s="496"/>
      <c r="D4650" s="496"/>
    </row>
    <row r="4651" spans="1:4" x14ac:dyDescent="0.2">
      <c r="A4651" s="496"/>
      <c r="D4651" s="496"/>
    </row>
    <row r="4652" spans="1:4" x14ac:dyDescent="0.2">
      <c r="A4652" s="496"/>
      <c r="D4652" s="496"/>
    </row>
    <row r="4653" spans="1:4" x14ac:dyDescent="0.2">
      <c r="A4653" s="496"/>
      <c r="D4653" s="496"/>
    </row>
    <row r="4654" spans="1:4" x14ac:dyDescent="0.2">
      <c r="A4654" s="496"/>
      <c r="D4654" s="496"/>
    </row>
    <row r="4655" spans="1:4" x14ac:dyDescent="0.2">
      <c r="A4655" s="496"/>
      <c r="D4655" s="496"/>
    </row>
    <row r="4656" spans="1:4" x14ac:dyDescent="0.2">
      <c r="A4656" s="496"/>
      <c r="D4656" s="496"/>
    </row>
    <row r="4657" spans="1:4" x14ac:dyDescent="0.2">
      <c r="A4657" s="496"/>
      <c r="D4657" s="496"/>
    </row>
    <row r="4658" spans="1:4" x14ac:dyDescent="0.2">
      <c r="A4658" s="496"/>
      <c r="D4658" s="496"/>
    </row>
    <row r="4659" spans="1:4" x14ac:dyDescent="0.2">
      <c r="A4659" s="496"/>
      <c r="D4659" s="496"/>
    </row>
    <row r="4660" spans="1:4" x14ac:dyDescent="0.2">
      <c r="A4660" s="496"/>
      <c r="D4660" s="496"/>
    </row>
    <row r="4661" spans="1:4" x14ac:dyDescent="0.2">
      <c r="A4661" s="496"/>
      <c r="D4661" s="496"/>
    </row>
    <row r="4662" spans="1:4" x14ac:dyDescent="0.2">
      <c r="A4662" s="496"/>
      <c r="D4662" s="496"/>
    </row>
    <row r="4663" spans="1:4" x14ac:dyDescent="0.2">
      <c r="A4663" s="496"/>
      <c r="D4663" s="496"/>
    </row>
    <row r="4664" spans="1:4" x14ac:dyDescent="0.2">
      <c r="A4664" s="496"/>
      <c r="D4664" s="496"/>
    </row>
    <row r="4665" spans="1:4" x14ac:dyDescent="0.2">
      <c r="A4665" s="496"/>
      <c r="D4665" s="496"/>
    </row>
    <row r="4666" spans="1:4" x14ac:dyDescent="0.2">
      <c r="A4666" s="496"/>
      <c r="D4666" s="496"/>
    </row>
    <row r="4667" spans="1:4" x14ac:dyDescent="0.2">
      <c r="A4667" s="496"/>
      <c r="D4667" s="496"/>
    </row>
    <row r="4668" spans="1:4" x14ac:dyDescent="0.2">
      <c r="A4668" s="496"/>
      <c r="D4668" s="496"/>
    </row>
    <row r="4669" spans="1:4" x14ac:dyDescent="0.2">
      <c r="A4669" s="496"/>
      <c r="D4669" s="496"/>
    </row>
    <row r="4670" spans="1:4" x14ac:dyDescent="0.2">
      <c r="A4670" s="496"/>
      <c r="D4670" s="496"/>
    </row>
    <row r="4671" spans="1:4" x14ac:dyDescent="0.2">
      <c r="A4671" s="496"/>
      <c r="D4671" s="496"/>
    </row>
    <row r="4672" spans="1:4" x14ac:dyDescent="0.2">
      <c r="A4672" s="496"/>
      <c r="D4672" s="496"/>
    </row>
    <row r="4673" spans="1:4" x14ac:dyDescent="0.2">
      <c r="A4673" s="496"/>
      <c r="D4673" s="496"/>
    </row>
    <row r="4674" spans="1:4" x14ac:dyDescent="0.2">
      <c r="A4674" s="496"/>
      <c r="D4674" s="496"/>
    </row>
    <row r="4675" spans="1:4" x14ac:dyDescent="0.2">
      <c r="A4675" s="496"/>
      <c r="D4675" s="496"/>
    </row>
    <row r="4676" spans="1:4" x14ac:dyDescent="0.2">
      <c r="A4676" s="496"/>
      <c r="D4676" s="496"/>
    </row>
    <row r="4677" spans="1:4" x14ac:dyDescent="0.2">
      <c r="A4677" s="496"/>
      <c r="D4677" s="496"/>
    </row>
    <row r="4678" spans="1:4" x14ac:dyDescent="0.2">
      <c r="A4678" s="496"/>
      <c r="D4678" s="496"/>
    </row>
    <row r="4679" spans="1:4" x14ac:dyDescent="0.2">
      <c r="A4679" s="496"/>
      <c r="D4679" s="496"/>
    </row>
    <row r="4680" spans="1:4" x14ac:dyDescent="0.2">
      <c r="A4680" s="496"/>
      <c r="D4680" s="496"/>
    </row>
    <row r="4681" spans="1:4" x14ac:dyDescent="0.2">
      <c r="A4681" s="496"/>
      <c r="D4681" s="496"/>
    </row>
    <row r="4682" spans="1:4" x14ac:dyDescent="0.2">
      <c r="A4682" s="496"/>
      <c r="D4682" s="496"/>
    </row>
    <row r="4683" spans="1:4" x14ac:dyDescent="0.2">
      <c r="A4683" s="496"/>
      <c r="D4683" s="496"/>
    </row>
    <row r="4684" spans="1:4" x14ac:dyDescent="0.2">
      <c r="A4684" s="496"/>
      <c r="D4684" s="496"/>
    </row>
    <row r="4685" spans="1:4" x14ac:dyDescent="0.2">
      <c r="A4685" s="496"/>
      <c r="D4685" s="496"/>
    </row>
    <row r="4686" spans="1:4" x14ac:dyDescent="0.2">
      <c r="A4686" s="496"/>
      <c r="D4686" s="496"/>
    </row>
    <row r="4687" spans="1:4" x14ac:dyDescent="0.2">
      <c r="A4687" s="496"/>
      <c r="D4687" s="496"/>
    </row>
    <row r="4688" spans="1:4" x14ac:dyDescent="0.2">
      <c r="A4688" s="496"/>
      <c r="D4688" s="496"/>
    </row>
    <row r="4689" spans="1:4" x14ac:dyDescent="0.2">
      <c r="A4689" s="496"/>
      <c r="D4689" s="496"/>
    </row>
    <row r="4690" spans="1:4" x14ac:dyDescent="0.2">
      <c r="A4690" s="496"/>
      <c r="D4690" s="496"/>
    </row>
    <row r="4691" spans="1:4" x14ac:dyDescent="0.2">
      <c r="A4691" s="496"/>
      <c r="D4691" s="496"/>
    </row>
    <row r="4692" spans="1:4" x14ac:dyDescent="0.2">
      <c r="A4692" s="496"/>
      <c r="D4692" s="496"/>
    </row>
    <row r="4693" spans="1:4" x14ac:dyDescent="0.2">
      <c r="A4693" s="496"/>
      <c r="D4693" s="496"/>
    </row>
    <row r="4694" spans="1:4" x14ac:dyDescent="0.2">
      <c r="A4694" s="496"/>
      <c r="D4694" s="496"/>
    </row>
    <row r="4695" spans="1:4" x14ac:dyDescent="0.2">
      <c r="A4695" s="496"/>
      <c r="D4695" s="496"/>
    </row>
    <row r="4696" spans="1:4" x14ac:dyDescent="0.2">
      <c r="A4696" s="496"/>
      <c r="D4696" s="496"/>
    </row>
    <row r="4697" spans="1:4" x14ac:dyDescent="0.2">
      <c r="A4697" s="496"/>
      <c r="D4697" s="496"/>
    </row>
    <row r="4698" spans="1:4" x14ac:dyDescent="0.2">
      <c r="A4698" s="496"/>
      <c r="D4698" s="496"/>
    </row>
    <row r="4699" spans="1:4" x14ac:dyDescent="0.2">
      <c r="A4699" s="496"/>
      <c r="D4699" s="496"/>
    </row>
    <row r="4700" spans="1:4" x14ac:dyDescent="0.2">
      <c r="A4700" s="496"/>
      <c r="D4700" s="496"/>
    </row>
    <row r="4701" spans="1:4" x14ac:dyDescent="0.2">
      <c r="A4701" s="496"/>
      <c r="D4701" s="496"/>
    </row>
    <row r="4702" spans="1:4" x14ac:dyDescent="0.2">
      <c r="A4702" s="496"/>
      <c r="D4702" s="496"/>
    </row>
    <row r="4703" spans="1:4" x14ac:dyDescent="0.2">
      <c r="A4703" s="496"/>
      <c r="D4703" s="496"/>
    </row>
    <row r="4704" spans="1:4" x14ac:dyDescent="0.2">
      <c r="A4704" s="496"/>
      <c r="D4704" s="496"/>
    </row>
    <row r="4705" spans="1:4" x14ac:dyDescent="0.2">
      <c r="A4705" s="496"/>
      <c r="D4705" s="496"/>
    </row>
    <row r="4706" spans="1:4" x14ac:dyDescent="0.2">
      <c r="A4706" s="496"/>
      <c r="D4706" s="496"/>
    </row>
    <row r="4707" spans="1:4" x14ac:dyDescent="0.2">
      <c r="A4707" s="496"/>
      <c r="D4707" s="496"/>
    </row>
    <row r="4708" spans="1:4" x14ac:dyDescent="0.2">
      <c r="A4708" s="496"/>
      <c r="D4708" s="496"/>
    </row>
    <row r="4709" spans="1:4" x14ac:dyDescent="0.2">
      <c r="A4709" s="496"/>
      <c r="D4709" s="496"/>
    </row>
    <row r="4710" spans="1:4" x14ac:dyDescent="0.2">
      <c r="A4710" s="496"/>
      <c r="D4710" s="496"/>
    </row>
    <row r="4711" spans="1:4" x14ac:dyDescent="0.2">
      <c r="A4711" s="496"/>
      <c r="D4711" s="496"/>
    </row>
    <row r="4712" spans="1:4" x14ac:dyDescent="0.2">
      <c r="A4712" s="496"/>
      <c r="D4712" s="496"/>
    </row>
    <row r="4713" spans="1:4" x14ac:dyDescent="0.2">
      <c r="A4713" s="496"/>
      <c r="D4713" s="496"/>
    </row>
    <row r="4714" spans="1:4" x14ac:dyDescent="0.2">
      <c r="A4714" s="496"/>
      <c r="D4714" s="496"/>
    </row>
    <row r="4715" spans="1:4" x14ac:dyDescent="0.2">
      <c r="A4715" s="496"/>
      <c r="D4715" s="496"/>
    </row>
    <row r="4716" spans="1:4" x14ac:dyDescent="0.2">
      <c r="A4716" s="496"/>
      <c r="D4716" s="496"/>
    </row>
    <row r="4717" spans="1:4" x14ac:dyDescent="0.2">
      <c r="A4717" s="496"/>
      <c r="D4717" s="496"/>
    </row>
    <row r="4718" spans="1:4" x14ac:dyDescent="0.2">
      <c r="A4718" s="496"/>
      <c r="D4718" s="496"/>
    </row>
    <row r="4719" spans="1:4" x14ac:dyDescent="0.2">
      <c r="A4719" s="496"/>
      <c r="D4719" s="496"/>
    </row>
    <row r="4720" spans="1:4" x14ac:dyDescent="0.2">
      <c r="A4720" s="496"/>
      <c r="D4720" s="496"/>
    </row>
    <row r="4721" spans="1:4" x14ac:dyDescent="0.2">
      <c r="A4721" s="496"/>
      <c r="D4721" s="496"/>
    </row>
    <row r="4722" spans="1:4" x14ac:dyDescent="0.2">
      <c r="A4722" s="496"/>
      <c r="D4722" s="496"/>
    </row>
    <row r="4723" spans="1:4" x14ac:dyDescent="0.2">
      <c r="A4723" s="496"/>
      <c r="D4723" s="496"/>
    </row>
    <row r="4724" spans="1:4" x14ac:dyDescent="0.2">
      <c r="A4724" s="496"/>
      <c r="D4724" s="496"/>
    </row>
    <row r="4725" spans="1:4" x14ac:dyDescent="0.2">
      <c r="A4725" s="496"/>
      <c r="D4725" s="496"/>
    </row>
    <row r="4726" spans="1:4" x14ac:dyDescent="0.2">
      <c r="A4726" s="496"/>
      <c r="D4726" s="496"/>
    </row>
    <row r="4727" spans="1:4" x14ac:dyDescent="0.2">
      <c r="A4727" s="496"/>
      <c r="D4727" s="496"/>
    </row>
    <row r="4728" spans="1:4" x14ac:dyDescent="0.2">
      <c r="A4728" s="496"/>
      <c r="D4728" s="496"/>
    </row>
    <row r="4729" spans="1:4" x14ac:dyDescent="0.2">
      <c r="A4729" s="496"/>
      <c r="D4729" s="496"/>
    </row>
    <row r="4730" spans="1:4" x14ac:dyDescent="0.2">
      <c r="A4730" s="496"/>
      <c r="D4730" s="496"/>
    </row>
    <row r="4731" spans="1:4" x14ac:dyDescent="0.2">
      <c r="A4731" s="496"/>
      <c r="D4731" s="496"/>
    </row>
    <row r="4732" spans="1:4" x14ac:dyDescent="0.2">
      <c r="A4732" s="496"/>
      <c r="D4732" s="496"/>
    </row>
    <row r="4733" spans="1:4" x14ac:dyDescent="0.2">
      <c r="A4733" s="496"/>
      <c r="D4733" s="496"/>
    </row>
    <row r="4734" spans="1:4" x14ac:dyDescent="0.2">
      <c r="A4734" s="496"/>
      <c r="D4734" s="496"/>
    </row>
    <row r="4735" spans="1:4" x14ac:dyDescent="0.2">
      <c r="A4735" s="496"/>
      <c r="D4735" s="496"/>
    </row>
    <row r="4736" spans="1:4" x14ac:dyDescent="0.2">
      <c r="A4736" s="496"/>
      <c r="D4736" s="496"/>
    </row>
    <row r="4737" spans="1:4" x14ac:dyDescent="0.2">
      <c r="A4737" s="496"/>
      <c r="D4737" s="496"/>
    </row>
    <row r="4738" spans="1:4" x14ac:dyDescent="0.2">
      <c r="A4738" s="496"/>
      <c r="D4738" s="496"/>
    </row>
    <row r="4739" spans="1:4" x14ac:dyDescent="0.2">
      <c r="A4739" s="496"/>
      <c r="D4739" s="496"/>
    </row>
    <row r="4740" spans="1:4" x14ac:dyDescent="0.2">
      <c r="A4740" s="496"/>
      <c r="D4740" s="496"/>
    </row>
    <row r="4741" spans="1:4" x14ac:dyDescent="0.2">
      <c r="A4741" s="496"/>
      <c r="D4741" s="496"/>
    </row>
    <row r="4742" spans="1:4" x14ac:dyDescent="0.2">
      <c r="A4742" s="496"/>
      <c r="D4742" s="496"/>
    </row>
    <row r="4743" spans="1:4" x14ac:dyDescent="0.2">
      <c r="A4743" s="496"/>
      <c r="D4743" s="496"/>
    </row>
    <row r="4744" spans="1:4" x14ac:dyDescent="0.2">
      <c r="A4744" s="496"/>
      <c r="D4744" s="496"/>
    </row>
    <row r="4745" spans="1:4" x14ac:dyDescent="0.2">
      <c r="A4745" s="496"/>
      <c r="D4745" s="496"/>
    </row>
    <row r="4746" spans="1:4" x14ac:dyDescent="0.2">
      <c r="A4746" s="496"/>
      <c r="D4746" s="496"/>
    </row>
    <row r="4747" spans="1:4" x14ac:dyDescent="0.2">
      <c r="A4747" s="496"/>
      <c r="D4747" s="496"/>
    </row>
    <row r="4748" spans="1:4" x14ac:dyDescent="0.2">
      <c r="A4748" s="496"/>
      <c r="D4748" s="496"/>
    </row>
    <row r="4749" spans="1:4" x14ac:dyDescent="0.2">
      <c r="A4749" s="496"/>
      <c r="D4749" s="496"/>
    </row>
    <row r="4750" spans="1:4" x14ac:dyDescent="0.2">
      <c r="A4750" s="496"/>
      <c r="D4750" s="496"/>
    </row>
    <row r="4751" spans="1:4" x14ac:dyDescent="0.2">
      <c r="A4751" s="496"/>
      <c r="D4751" s="496"/>
    </row>
    <row r="4752" spans="1:4" x14ac:dyDescent="0.2">
      <c r="A4752" s="496"/>
      <c r="D4752" s="496"/>
    </row>
    <row r="4753" spans="1:4" x14ac:dyDescent="0.2">
      <c r="A4753" s="496"/>
      <c r="D4753" s="496"/>
    </row>
    <row r="4754" spans="1:4" x14ac:dyDescent="0.2">
      <c r="A4754" s="496"/>
      <c r="D4754" s="496"/>
    </row>
    <row r="4755" spans="1:4" x14ac:dyDescent="0.2">
      <c r="A4755" s="496"/>
      <c r="D4755" s="496"/>
    </row>
    <row r="4756" spans="1:4" x14ac:dyDescent="0.2">
      <c r="A4756" s="496"/>
      <c r="D4756" s="496"/>
    </row>
    <row r="4757" spans="1:4" x14ac:dyDescent="0.2">
      <c r="A4757" s="496"/>
      <c r="D4757" s="496"/>
    </row>
    <row r="4758" spans="1:4" x14ac:dyDescent="0.2">
      <c r="A4758" s="496"/>
      <c r="D4758" s="496"/>
    </row>
    <row r="4759" spans="1:4" x14ac:dyDescent="0.2">
      <c r="A4759" s="496"/>
      <c r="D4759" s="496"/>
    </row>
    <row r="4760" spans="1:4" x14ac:dyDescent="0.2">
      <c r="A4760" s="496"/>
      <c r="D4760" s="496"/>
    </row>
    <row r="4761" spans="1:4" x14ac:dyDescent="0.2">
      <c r="A4761" s="496"/>
      <c r="D4761" s="496"/>
    </row>
    <row r="4762" spans="1:4" x14ac:dyDescent="0.2">
      <c r="A4762" s="496"/>
      <c r="D4762" s="496"/>
    </row>
    <row r="4763" spans="1:4" x14ac:dyDescent="0.2">
      <c r="A4763" s="496"/>
      <c r="D4763" s="496"/>
    </row>
    <row r="4764" spans="1:4" x14ac:dyDescent="0.2">
      <c r="A4764" s="496"/>
      <c r="D4764" s="496"/>
    </row>
    <row r="4765" spans="1:4" x14ac:dyDescent="0.2">
      <c r="A4765" s="496"/>
      <c r="D4765" s="496"/>
    </row>
    <row r="4766" spans="1:4" x14ac:dyDescent="0.2">
      <c r="A4766" s="496"/>
      <c r="D4766" s="496"/>
    </row>
    <row r="4767" spans="1:4" x14ac:dyDescent="0.2">
      <c r="A4767" s="496"/>
      <c r="D4767" s="496"/>
    </row>
    <row r="4768" spans="1:4" x14ac:dyDescent="0.2">
      <c r="A4768" s="496"/>
      <c r="D4768" s="496"/>
    </row>
    <row r="4769" spans="1:4" x14ac:dyDescent="0.2">
      <c r="A4769" s="496"/>
      <c r="D4769" s="496"/>
    </row>
    <row r="4770" spans="1:4" x14ac:dyDescent="0.2">
      <c r="A4770" s="496"/>
      <c r="D4770" s="496"/>
    </row>
    <row r="4771" spans="1:4" x14ac:dyDescent="0.2">
      <c r="A4771" s="496"/>
      <c r="D4771" s="496"/>
    </row>
    <row r="4772" spans="1:4" x14ac:dyDescent="0.2">
      <c r="A4772" s="496"/>
      <c r="D4772" s="496"/>
    </row>
    <row r="4773" spans="1:4" x14ac:dyDescent="0.2">
      <c r="A4773" s="496"/>
      <c r="D4773" s="496"/>
    </row>
    <row r="4774" spans="1:4" x14ac:dyDescent="0.2">
      <c r="A4774" s="496"/>
      <c r="D4774" s="496"/>
    </row>
    <row r="4775" spans="1:4" x14ac:dyDescent="0.2">
      <c r="A4775" s="496"/>
      <c r="D4775" s="496"/>
    </row>
    <row r="4776" spans="1:4" x14ac:dyDescent="0.2">
      <c r="A4776" s="496"/>
      <c r="D4776" s="496"/>
    </row>
    <row r="4777" spans="1:4" x14ac:dyDescent="0.2">
      <c r="A4777" s="496"/>
      <c r="D4777" s="496"/>
    </row>
    <row r="4778" spans="1:4" x14ac:dyDescent="0.2">
      <c r="A4778" s="496"/>
      <c r="D4778" s="496"/>
    </row>
    <row r="4779" spans="1:4" x14ac:dyDescent="0.2">
      <c r="A4779" s="496"/>
      <c r="D4779" s="496"/>
    </row>
    <row r="4780" spans="1:4" x14ac:dyDescent="0.2">
      <c r="A4780" s="496"/>
      <c r="D4780" s="496"/>
    </row>
    <row r="4781" spans="1:4" x14ac:dyDescent="0.2">
      <c r="A4781" s="496"/>
      <c r="D4781" s="496"/>
    </row>
    <row r="4782" spans="1:4" x14ac:dyDescent="0.2">
      <c r="A4782" s="496"/>
      <c r="D4782" s="496"/>
    </row>
    <row r="4783" spans="1:4" x14ac:dyDescent="0.2">
      <c r="A4783" s="496"/>
      <c r="D4783" s="496"/>
    </row>
    <row r="4784" spans="1:4" x14ac:dyDescent="0.2">
      <c r="A4784" s="496"/>
      <c r="D4784" s="496"/>
    </row>
    <row r="4785" spans="1:4" x14ac:dyDescent="0.2">
      <c r="A4785" s="496"/>
      <c r="D4785" s="496"/>
    </row>
    <row r="4786" spans="1:4" x14ac:dyDescent="0.2">
      <c r="A4786" s="496"/>
      <c r="D4786" s="496"/>
    </row>
    <row r="4787" spans="1:4" x14ac:dyDescent="0.2">
      <c r="A4787" s="496"/>
      <c r="D4787" s="496"/>
    </row>
    <row r="4788" spans="1:4" x14ac:dyDescent="0.2">
      <c r="A4788" s="496"/>
      <c r="D4788" s="496"/>
    </row>
    <row r="4789" spans="1:4" x14ac:dyDescent="0.2">
      <c r="A4789" s="496"/>
      <c r="D4789" s="496"/>
    </row>
    <row r="4790" spans="1:4" x14ac:dyDescent="0.2">
      <c r="A4790" s="496"/>
      <c r="D4790" s="496"/>
    </row>
    <row r="4791" spans="1:4" x14ac:dyDescent="0.2">
      <c r="A4791" s="496"/>
      <c r="D4791" s="496"/>
    </row>
    <row r="4792" spans="1:4" x14ac:dyDescent="0.2">
      <c r="A4792" s="496"/>
      <c r="D4792" s="496"/>
    </row>
    <row r="4793" spans="1:4" x14ac:dyDescent="0.2">
      <c r="A4793" s="496"/>
      <c r="D4793" s="496"/>
    </row>
    <row r="4794" spans="1:4" x14ac:dyDescent="0.2">
      <c r="A4794" s="496"/>
      <c r="D4794" s="496"/>
    </row>
    <row r="4795" spans="1:4" x14ac:dyDescent="0.2">
      <c r="A4795" s="496"/>
      <c r="D4795" s="496"/>
    </row>
    <row r="4796" spans="1:4" x14ac:dyDescent="0.2">
      <c r="A4796" s="496"/>
      <c r="D4796" s="496"/>
    </row>
    <row r="4797" spans="1:4" x14ac:dyDescent="0.2">
      <c r="A4797" s="496"/>
      <c r="D4797" s="496"/>
    </row>
    <row r="4798" spans="1:4" x14ac:dyDescent="0.2">
      <c r="A4798" s="496"/>
      <c r="D4798" s="496"/>
    </row>
    <row r="4799" spans="1:4" x14ac:dyDescent="0.2">
      <c r="A4799" s="496"/>
      <c r="D4799" s="496"/>
    </row>
    <row r="4800" spans="1:4" x14ac:dyDescent="0.2">
      <c r="A4800" s="496"/>
      <c r="D4800" s="496"/>
    </row>
    <row r="4801" spans="1:4" x14ac:dyDescent="0.2">
      <c r="A4801" s="496"/>
      <c r="D4801" s="496"/>
    </row>
    <row r="4802" spans="1:4" x14ac:dyDescent="0.2">
      <c r="A4802" s="496"/>
      <c r="D4802" s="496"/>
    </row>
    <row r="4803" spans="1:4" x14ac:dyDescent="0.2">
      <c r="A4803" s="496"/>
      <c r="D4803" s="496"/>
    </row>
    <row r="4804" spans="1:4" x14ac:dyDescent="0.2">
      <c r="A4804" s="496"/>
      <c r="D4804" s="496"/>
    </row>
    <row r="4805" spans="1:4" x14ac:dyDescent="0.2">
      <c r="A4805" s="496"/>
      <c r="D4805" s="496"/>
    </row>
    <row r="4806" spans="1:4" x14ac:dyDescent="0.2">
      <c r="A4806" s="496"/>
      <c r="D4806" s="496"/>
    </row>
    <row r="4807" spans="1:4" x14ac:dyDescent="0.2">
      <c r="A4807" s="496"/>
      <c r="D4807" s="496"/>
    </row>
    <row r="4808" spans="1:4" x14ac:dyDescent="0.2">
      <c r="A4808" s="496"/>
      <c r="D4808" s="496"/>
    </row>
    <row r="4809" spans="1:4" x14ac:dyDescent="0.2">
      <c r="A4809" s="496"/>
      <c r="D4809" s="496"/>
    </row>
    <row r="4810" spans="1:4" x14ac:dyDescent="0.2">
      <c r="A4810" s="496"/>
      <c r="D4810" s="496"/>
    </row>
    <row r="4811" spans="1:4" x14ac:dyDescent="0.2">
      <c r="A4811" s="496"/>
      <c r="D4811" s="496"/>
    </row>
    <row r="4812" spans="1:4" x14ac:dyDescent="0.2">
      <c r="A4812" s="496"/>
      <c r="D4812" s="496"/>
    </row>
    <row r="4813" spans="1:4" x14ac:dyDescent="0.2">
      <c r="A4813" s="496"/>
      <c r="D4813" s="496"/>
    </row>
    <row r="4814" spans="1:4" x14ac:dyDescent="0.2">
      <c r="A4814" s="496"/>
      <c r="D4814" s="496"/>
    </row>
    <row r="4815" spans="1:4" x14ac:dyDescent="0.2">
      <c r="A4815" s="496"/>
      <c r="D4815" s="496"/>
    </row>
    <row r="4816" spans="1:4" x14ac:dyDescent="0.2">
      <c r="A4816" s="496"/>
      <c r="D4816" s="496"/>
    </row>
    <row r="4817" spans="1:4" x14ac:dyDescent="0.2">
      <c r="A4817" s="496"/>
      <c r="D4817" s="496"/>
    </row>
    <row r="4818" spans="1:4" x14ac:dyDescent="0.2">
      <c r="A4818" s="496"/>
      <c r="D4818" s="496"/>
    </row>
    <row r="4819" spans="1:4" x14ac:dyDescent="0.2">
      <c r="A4819" s="496"/>
      <c r="D4819" s="496"/>
    </row>
    <row r="4820" spans="1:4" x14ac:dyDescent="0.2">
      <c r="A4820" s="496"/>
      <c r="D4820" s="496"/>
    </row>
    <row r="4821" spans="1:4" x14ac:dyDescent="0.2">
      <c r="A4821" s="496"/>
      <c r="D4821" s="496"/>
    </row>
    <row r="4822" spans="1:4" x14ac:dyDescent="0.2">
      <c r="A4822" s="496"/>
      <c r="D4822" s="496"/>
    </row>
    <row r="4823" spans="1:4" x14ac:dyDescent="0.2">
      <c r="A4823" s="496"/>
      <c r="D4823" s="496"/>
    </row>
    <row r="4824" spans="1:4" x14ac:dyDescent="0.2">
      <c r="A4824" s="496"/>
      <c r="D4824" s="496"/>
    </row>
    <row r="4825" spans="1:4" x14ac:dyDescent="0.2">
      <c r="A4825" s="496"/>
      <c r="D4825" s="496"/>
    </row>
    <row r="4826" spans="1:4" x14ac:dyDescent="0.2">
      <c r="A4826" s="496"/>
      <c r="D4826" s="496"/>
    </row>
    <row r="4827" spans="1:4" x14ac:dyDescent="0.2">
      <c r="A4827" s="496"/>
      <c r="D4827" s="496"/>
    </row>
    <row r="4828" spans="1:4" x14ac:dyDescent="0.2">
      <c r="A4828" s="496"/>
      <c r="D4828" s="496"/>
    </row>
    <row r="4829" spans="1:4" x14ac:dyDescent="0.2">
      <c r="A4829" s="496"/>
      <c r="D4829" s="496"/>
    </row>
    <row r="4830" spans="1:4" x14ac:dyDescent="0.2">
      <c r="A4830" s="496"/>
      <c r="D4830" s="496"/>
    </row>
    <row r="4831" spans="1:4" x14ac:dyDescent="0.2">
      <c r="A4831" s="496"/>
      <c r="D4831" s="496"/>
    </row>
    <row r="4832" spans="1:4" x14ac:dyDescent="0.2">
      <c r="A4832" s="496"/>
      <c r="D4832" s="496"/>
    </row>
    <row r="4833" spans="1:4" x14ac:dyDescent="0.2">
      <c r="A4833" s="496"/>
      <c r="D4833" s="496"/>
    </row>
    <row r="4834" spans="1:4" x14ac:dyDescent="0.2">
      <c r="A4834" s="496"/>
      <c r="D4834" s="496"/>
    </row>
    <row r="4835" spans="1:4" x14ac:dyDescent="0.2">
      <c r="A4835" s="496"/>
      <c r="D4835" s="496"/>
    </row>
    <row r="4836" spans="1:4" x14ac:dyDescent="0.2">
      <c r="A4836" s="496"/>
      <c r="D4836" s="496"/>
    </row>
    <row r="4837" spans="1:4" x14ac:dyDescent="0.2">
      <c r="A4837" s="496"/>
      <c r="D4837" s="496"/>
    </row>
    <row r="4838" spans="1:4" x14ac:dyDescent="0.2">
      <c r="A4838" s="496"/>
      <c r="D4838" s="496"/>
    </row>
    <row r="4839" spans="1:4" x14ac:dyDescent="0.2">
      <c r="A4839" s="496"/>
      <c r="D4839" s="496"/>
    </row>
    <row r="4840" spans="1:4" x14ac:dyDescent="0.2">
      <c r="A4840" s="496"/>
      <c r="D4840" s="496"/>
    </row>
    <row r="4841" spans="1:4" x14ac:dyDescent="0.2">
      <c r="A4841" s="496"/>
      <c r="D4841" s="496"/>
    </row>
    <row r="4842" spans="1:4" x14ac:dyDescent="0.2">
      <c r="A4842" s="496"/>
      <c r="D4842" s="496"/>
    </row>
    <row r="4843" spans="1:4" x14ac:dyDescent="0.2">
      <c r="A4843" s="496"/>
      <c r="D4843" s="496"/>
    </row>
    <row r="4844" spans="1:4" x14ac:dyDescent="0.2">
      <c r="A4844" s="496"/>
      <c r="D4844" s="496"/>
    </row>
    <row r="4845" spans="1:4" x14ac:dyDescent="0.2">
      <c r="A4845" s="496"/>
      <c r="D4845" s="496"/>
    </row>
    <row r="4846" spans="1:4" x14ac:dyDescent="0.2">
      <c r="A4846" s="496"/>
      <c r="D4846" s="496"/>
    </row>
    <row r="4847" spans="1:4" x14ac:dyDescent="0.2">
      <c r="A4847" s="496"/>
      <c r="D4847" s="496"/>
    </row>
    <row r="4848" spans="1:4" x14ac:dyDescent="0.2">
      <c r="A4848" s="496"/>
      <c r="D4848" s="496"/>
    </row>
    <row r="4849" spans="1:4" x14ac:dyDescent="0.2">
      <c r="A4849" s="496"/>
      <c r="D4849" s="496"/>
    </row>
    <row r="4850" spans="1:4" x14ac:dyDescent="0.2">
      <c r="A4850" s="496"/>
      <c r="D4850" s="496"/>
    </row>
    <row r="4851" spans="1:4" x14ac:dyDescent="0.2">
      <c r="A4851" s="496"/>
      <c r="D4851" s="496"/>
    </row>
    <row r="4852" spans="1:4" x14ac:dyDescent="0.2">
      <c r="A4852" s="496"/>
      <c r="D4852" s="496"/>
    </row>
    <row r="4853" spans="1:4" x14ac:dyDescent="0.2">
      <c r="A4853" s="496"/>
      <c r="D4853" s="496"/>
    </row>
    <row r="4854" spans="1:4" x14ac:dyDescent="0.2">
      <c r="A4854" s="496"/>
      <c r="D4854" s="496"/>
    </row>
    <row r="4855" spans="1:4" x14ac:dyDescent="0.2">
      <c r="A4855" s="496"/>
      <c r="D4855" s="496"/>
    </row>
    <row r="4856" spans="1:4" x14ac:dyDescent="0.2">
      <c r="A4856" s="496"/>
      <c r="D4856" s="496"/>
    </row>
    <row r="4857" spans="1:4" x14ac:dyDescent="0.2">
      <c r="A4857" s="496"/>
      <c r="D4857" s="496"/>
    </row>
    <row r="4858" spans="1:4" x14ac:dyDescent="0.2">
      <c r="A4858" s="496"/>
      <c r="D4858" s="496"/>
    </row>
    <row r="4859" spans="1:4" x14ac:dyDescent="0.2">
      <c r="A4859" s="496"/>
      <c r="D4859" s="496"/>
    </row>
    <row r="4860" spans="1:4" x14ac:dyDescent="0.2">
      <c r="A4860" s="496"/>
      <c r="D4860" s="496"/>
    </row>
    <row r="4861" spans="1:4" x14ac:dyDescent="0.2">
      <c r="A4861" s="496"/>
      <c r="D4861" s="496"/>
    </row>
    <row r="4862" spans="1:4" x14ac:dyDescent="0.2">
      <c r="A4862" s="496"/>
      <c r="D4862" s="496"/>
    </row>
    <row r="4863" spans="1:4" x14ac:dyDescent="0.2">
      <c r="A4863" s="496"/>
      <c r="D4863" s="496"/>
    </row>
    <row r="4864" spans="1:4" x14ac:dyDescent="0.2">
      <c r="A4864" s="496"/>
      <c r="D4864" s="496"/>
    </row>
    <row r="4865" spans="1:4" x14ac:dyDescent="0.2">
      <c r="A4865" s="496"/>
      <c r="D4865" s="496"/>
    </row>
    <row r="4866" spans="1:4" x14ac:dyDescent="0.2">
      <c r="A4866" s="496"/>
      <c r="D4866" s="496"/>
    </row>
    <row r="4867" spans="1:4" x14ac:dyDescent="0.2">
      <c r="A4867" s="496"/>
      <c r="D4867" s="496"/>
    </row>
    <row r="4868" spans="1:4" x14ac:dyDescent="0.2">
      <c r="A4868" s="496"/>
      <c r="D4868" s="496"/>
    </row>
    <row r="4869" spans="1:4" x14ac:dyDescent="0.2">
      <c r="A4869" s="496"/>
      <c r="D4869" s="496"/>
    </row>
    <row r="4870" spans="1:4" x14ac:dyDescent="0.2">
      <c r="A4870" s="496"/>
      <c r="D4870" s="496"/>
    </row>
    <row r="4871" spans="1:4" x14ac:dyDescent="0.2">
      <c r="A4871" s="496"/>
      <c r="D4871" s="496"/>
    </row>
    <row r="4872" spans="1:4" x14ac:dyDescent="0.2">
      <c r="A4872" s="496"/>
      <c r="D4872" s="496"/>
    </row>
    <row r="4873" spans="1:4" x14ac:dyDescent="0.2">
      <c r="A4873" s="496"/>
      <c r="D4873" s="496"/>
    </row>
    <row r="4874" spans="1:4" x14ac:dyDescent="0.2">
      <c r="A4874" s="496"/>
      <c r="D4874" s="496"/>
    </row>
    <row r="4875" spans="1:4" x14ac:dyDescent="0.2">
      <c r="A4875" s="496"/>
      <c r="D4875" s="496"/>
    </row>
    <row r="4876" spans="1:4" x14ac:dyDescent="0.2">
      <c r="A4876" s="496"/>
      <c r="D4876" s="496"/>
    </row>
    <row r="4877" spans="1:4" x14ac:dyDescent="0.2">
      <c r="A4877" s="496"/>
      <c r="D4877" s="496"/>
    </row>
    <row r="4878" spans="1:4" x14ac:dyDescent="0.2">
      <c r="A4878" s="496"/>
      <c r="D4878" s="496"/>
    </row>
    <row r="4879" spans="1:4" x14ac:dyDescent="0.2">
      <c r="A4879" s="496"/>
      <c r="D4879" s="496"/>
    </row>
    <row r="4880" spans="1:4" x14ac:dyDescent="0.2">
      <c r="A4880" s="496"/>
      <c r="D4880" s="496"/>
    </row>
    <row r="4881" spans="1:4" x14ac:dyDescent="0.2">
      <c r="A4881" s="496"/>
      <c r="D4881" s="496"/>
    </row>
    <row r="4882" spans="1:4" x14ac:dyDescent="0.2">
      <c r="A4882" s="496"/>
      <c r="D4882" s="496"/>
    </row>
    <row r="4883" spans="1:4" x14ac:dyDescent="0.2">
      <c r="A4883" s="496"/>
      <c r="D4883" s="496"/>
    </row>
    <row r="4884" spans="1:4" x14ac:dyDescent="0.2">
      <c r="A4884" s="496"/>
      <c r="D4884" s="496"/>
    </row>
    <row r="4885" spans="1:4" x14ac:dyDescent="0.2">
      <c r="A4885" s="496"/>
      <c r="D4885" s="496"/>
    </row>
    <row r="4886" spans="1:4" x14ac:dyDescent="0.2">
      <c r="A4886" s="496"/>
      <c r="D4886" s="496"/>
    </row>
    <row r="4887" spans="1:4" x14ac:dyDescent="0.2">
      <c r="A4887" s="496"/>
      <c r="D4887" s="496"/>
    </row>
    <row r="4888" spans="1:4" x14ac:dyDescent="0.2">
      <c r="A4888" s="496"/>
      <c r="D4888" s="496"/>
    </row>
    <row r="4889" spans="1:4" x14ac:dyDescent="0.2">
      <c r="A4889" s="496"/>
      <c r="D4889" s="496"/>
    </row>
    <row r="4890" spans="1:4" x14ac:dyDescent="0.2">
      <c r="A4890" s="496"/>
      <c r="D4890" s="496"/>
    </row>
    <row r="4891" spans="1:4" x14ac:dyDescent="0.2">
      <c r="A4891" s="496"/>
      <c r="D4891" s="496"/>
    </row>
    <row r="4892" spans="1:4" x14ac:dyDescent="0.2">
      <c r="A4892" s="496"/>
      <c r="D4892" s="496"/>
    </row>
    <row r="4893" spans="1:4" x14ac:dyDescent="0.2">
      <c r="A4893" s="496"/>
      <c r="D4893" s="496"/>
    </row>
    <row r="4894" spans="1:4" x14ac:dyDescent="0.2">
      <c r="A4894" s="496"/>
      <c r="D4894" s="496"/>
    </row>
    <row r="4895" spans="1:4" x14ac:dyDescent="0.2">
      <c r="A4895" s="496"/>
      <c r="D4895" s="496"/>
    </row>
    <row r="4896" spans="1:4" x14ac:dyDescent="0.2">
      <c r="A4896" s="496"/>
      <c r="D4896" s="496"/>
    </row>
    <row r="4897" spans="1:4" x14ac:dyDescent="0.2">
      <c r="A4897" s="496"/>
      <c r="D4897" s="496"/>
    </row>
    <row r="4898" spans="1:4" x14ac:dyDescent="0.2">
      <c r="A4898" s="496"/>
      <c r="D4898" s="496"/>
    </row>
    <row r="4899" spans="1:4" x14ac:dyDescent="0.2">
      <c r="A4899" s="496"/>
      <c r="D4899" s="496"/>
    </row>
    <row r="4900" spans="1:4" x14ac:dyDescent="0.2">
      <c r="A4900" s="496"/>
      <c r="D4900" s="496"/>
    </row>
    <row r="4901" spans="1:4" x14ac:dyDescent="0.2">
      <c r="A4901" s="496"/>
      <c r="D4901" s="496"/>
    </row>
    <row r="4902" spans="1:4" x14ac:dyDescent="0.2">
      <c r="A4902" s="496"/>
      <c r="D4902" s="496"/>
    </row>
    <row r="4903" spans="1:4" x14ac:dyDescent="0.2">
      <c r="A4903" s="496"/>
      <c r="D4903" s="496"/>
    </row>
    <row r="4904" spans="1:4" x14ac:dyDescent="0.2">
      <c r="A4904" s="496"/>
      <c r="D4904" s="496"/>
    </row>
    <row r="4905" spans="1:4" x14ac:dyDescent="0.2">
      <c r="A4905" s="496"/>
      <c r="D4905" s="496"/>
    </row>
    <row r="4906" spans="1:4" x14ac:dyDescent="0.2">
      <c r="A4906" s="496"/>
      <c r="D4906" s="496"/>
    </row>
    <row r="4907" spans="1:4" x14ac:dyDescent="0.2">
      <c r="A4907" s="496"/>
      <c r="D4907" s="496"/>
    </row>
    <row r="4908" spans="1:4" x14ac:dyDescent="0.2">
      <c r="A4908" s="496"/>
      <c r="D4908" s="496"/>
    </row>
    <row r="4909" spans="1:4" x14ac:dyDescent="0.2">
      <c r="A4909" s="496"/>
      <c r="D4909" s="496"/>
    </row>
    <row r="4910" spans="1:4" x14ac:dyDescent="0.2">
      <c r="A4910" s="496"/>
      <c r="D4910" s="496"/>
    </row>
    <row r="4911" spans="1:4" x14ac:dyDescent="0.2">
      <c r="A4911" s="496"/>
      <c r="D4911" s="496"/>
    </row>
    <row r="4912" spans="1:4" x14ac:dyDescent="0.2">
      <c r="A4912" s="496"/>
      <c r="D4912" s="496"/>
    </row>
    <row r="4913" spans="1:4" x14ac:dyDescent="0.2">
      <c r="A4913" s="496"/>
      <c r="D4913" s="496"/>
    </row>
    <row r="4914" spans="1:4" x14ac:dyDescent="0.2">
      <c r="A4914" s="496"/>
      <c r="D4914" s="496"/>
    </row>
    <row r="4915" spans="1:4" x14ac:dyDescent="0.2">
      <c r="A4915" s="496"/>
      <c r="D4915" s="496"/>
    </row>
    <row r="4916" spans="1:4" x14ac:dyDescent="0.2">
      <c r="A4916" s="496"/>
      <c r="D4916" s="496"/>
    </row>
    <row r="4917" spans="1:4" x14ac:dyDescent="0.2">
      <c r="A4917" s="496"/>
      <c r="D4917" s="496"/>
    </row>
    <row r="4918" spans="1:4" x14ac:dyDescent="0.2">
      <c r="A4918" s="496"/>
      <c r="D4918" s="496"/>
    </row>
    <row r="4919" spans="1:4" x14ac:dyDescent="0.2">
      <c r="A4919" s="496"/>
      <c r="D4919" s="496"/>
    </row>
    <row r="4920" spans="1:4" x14ac:dyDescent="0.2">
      <c r="A4920" s="496"/>
      <c r="D4920" s="496"/>
    </row>
    <row r="4921" spans="1:4" x14ac:dyDescent="0.2">
      <c r="A4921" s="496"/>
      <c r="D4921" s="496"/>
    </row>
    <row r="4922" spans="1:4" x14ac:dyDescent="0.2">
      <c r="A4922" s="496"/>
      <c r="D4922" s="496"/>
    </row>
    <row r="4923" spans="1:4" x14ac:dyDescent="0.2">
      <c r="A4923" s="496"/>
      <c r="D4923" s="496"/>
    </row>
    <row r="4924" spans="1:4" x14ac:dyDescent="0.2">
      <c r="A4924" s="496"/>
      <c r="D4924" s="496"/>
    </row>
    <row r="4925" spans="1:4" x14ac:dyDescent="0.2">
      <c r="A4925" s="496"/>
      <c r="D4925" s="496"/>
    </row>
    <row r="4926" spans="1:4" x14ac:dyDescent="0.2">
      <c r="A4926" s="496"/>
      <c r="D4926" s="496"/>
    </row>
    <row r="4927" spans="1:4" x14ac:dyDescent="0.2">
      <c r="A4927" s="496"/>
      <c r="D4927" s="496"/>
    </row>
    <row r="4928" spans="1:4" x14ac:dyDescent="0.2">
      <c r="A4928" s="496"/>
      <c r="D4928" s="496"/>
    </row>
    <row r="4929" spans="1:4" x14ac:dyDescent="0.2">
      <c r="A4929" s="496"/>
      <c r="D4929" s="496"/>
    </row>
    <row r="4930" spans="1:4" x14ac:dyDescent="0.2">
      <c r="A4930" s="496"/>
      <c r="D4930" s="496"/>
    </row>
    <row r="4931" spans="1:4" x14ac:dyDescent="0.2">
      <c r="A4931" s="496"/>
      <c r="D4931" s="496"/>
    </row>
    <row r="4932" spans="1:4" x14ac:dyDescent="0.2">
      <c r="A4932" s="496"/>
      <c r="D4932" s="496"/>
    </row>
    <row r="4933" spans="1:4" x14ac:dyDescent="0.2">
      <c r="A4933" s="496"/>
      <c r="D4933" s="496"/>
    </row>
    <row r="4934" spans="1:4" x14ac:dyDescent="0.2">
      <c r="A4934" s="496"/>
      <c r="D4934" s="496"/>
    </row>
    <row r="4935" spans="1:4" x14ac:dyDescent="0.2">
      <c r="A4935" s="496"/>
      <c r="D4935" s="496"/>
    </row>
    <row r="4936" spans="1:4" x14ac:dyDescent="0.2">
      <c r="A4936" s="496"/>
      <c r="D4936" s="496"/>
    </row>
    <row r="4937" spans="1:4" x14ac:dyDescent="0.2">
      <c r="A4937" s="496"/>
      <c r="D4937" s="496"/>
    </row>
    <row r="4938" spans="1:4" x14ac:dyDescent="0.2">
      <c r="A4938" s="496"/>
      <c r="D4938" s="496"/>
    </row>
    <row r="4939" spans="1:4" x14ac:dyDescent="0.2">
      <c r="A4939" s="496"/>
      <c r="D4939" s="496"/>
    </row>
    <row r="4940" spans="1:4" x14ac:dyDescent="0.2">
      <c r="A4940" s="496"/>
      <c r="D4940" s="496"/>
    </row>
    <row r="4941" spans="1:4" x14ac:dyDescent="0.2">
      <c r="A4941" s="496"/>
      <c r="D4941" s="496"/>
    </row>
    <row r="4942" spans="1:4" x14ac:dyDescent="0.2">
      <c r="A4942" s="496"/>
      <c r="D4942" s="496"/>
    </row>
    <row r="4943" spans="1:4" x14ac:dyDescent="0.2">
      <c r="A4943" s="496"/>
      <c r="D4943" s="496"/>
    </row>
    <row r="4944" spans="1:4" x14ac:dyDescent="0.2">
      <c r="A4944" s="496"/>
      <c r="D4944" s="496"/>
    </row>
    <row r="4945" spans="1:4" x14ac:dyDescent="0.2">
      <c r="A4945" s="496"/>
      <c r="D4945" s="496"/>
    </row>
    <row r="4946" spans="1:4" x14ac:dyDescent="0.2">
      <c r="A4946" s="496"/>
      <c r="D4946" s="496"/>
    </row>
    <row r="4947" spans="1:4" x14ac:dyDescent="0.2">
      <c r="A4947" s="496"/>
      <c r="D4947" s="496"/>
    </row>
    <row r="4948" spans="1:4" x14ac:dyDescent="0.2">
      <c r="A4948" s="496"/>
      <c r="D4948" s="496"/>
    </row>
    <row r="4949" spans="1:4" x14ac:dyDescent="0.2">
      <c r="A4949" s="496"/>
      <c r="D4949" s="496"/>
    </row>
    <row r="4950" spans="1:4" x14ac:dyDescent="0.2">
      <c r="A4950" s="496"/>
      <c r="D4950" s="496"/>
    </row>
    <row r="4951" spans="1:4" x14ac:dyDescent="0.2">
      <c r="A4951" s="496"/>
      <c r="D4951" s="496"/>
    </row>
    <row r="4952" spans="1:4" x14ac:dyDescent="0.2">
      <c r="A4952" s="496"/>
      <c r="D4952" s="496"/>
    </row>
    <row r="4953" spans="1:4" x14ac:dyDescent="0.2">
      <c r="A4953" s="496"/>
      <c r="D4953" s="496"/>
    </row>
    <row r="4954" spans="1:4" x14ac:dyDescent="0.2">
      <c r="A4954" s="496"/>
      <c r="D4954" s="496"/>
    </row>
    <row r="4955" spans="1:4" x14ac:dyDescent="0.2">
      <c r="A4955" s="496"/>
      <c r="D4955" s="496"/>
    </row>
    <row r="4956" spans="1:4" x14ac:dyDescent="0.2">
      <c r="A4956" s="496"/>
      <c r="D4956" s="496"/>
    </row>
    <row r="4957" spans="1:4" x14ac:dyDescent="0.2">
      <c r="A4957" s="496"/>
      <c r="D4957" s="496"/>
    </row>
    <row r="4958" spans="1:4" x14ac:dyDescent="0.2">
      <c r="A4958" s="496"/>
      <c r="D4958" s="496"/>
    </row>
    <row r="4959" spans="1:4" x14ac:dyDescent="0.2">
      <c r="A4959" s="496"/>
      <c r="D4959" s="496"/>
    </row>
    <row r="4960" spans="1:4" x14ac:dyDescent="0.2">
      <c r="A4960" s="496"/>
      <c r="D4960" s="496"/>
    </row>
    <row r="4961" spans="1:4" x14ac:dyDescent="0.2">
      <c r="A4961" s="496"/>
      <c r="D4961" s="496"/>
    </row>
    <row r="4962" spans="1:4" x14ac:dyDescent="0.2">
      <c r="A4962" s="496"/>
      <c r="D4962" s="496"/>
    </row>
    <row r="4963" spans="1:4" x14ac:dyDescent="0.2">
      <c r="A4963" s="496"/>
      <c r="D4963" s="496"/>
    </row>
    <row r="4964" spans="1:4" x14ac:dyDescent="0.2">
      <c r="A4964" s="496"/>
      <c r="D4964" s="496"/>
    </row>
    <row r="4965" spans="1:4" x14ac:dyDescent="0.2">
      <c r="A4965" s="496"/>
      <c r="D4965" s="496"/>
    </row>
    <row r="4966" spans="1:4" x14ac:dyDescent="0.2">
      <c r="A4966" s="496"/>
      <c r="D4966" s="496"/>
    </row>
    <row r="4967" spans="1:4" x14ac:dyDescent="0.2">
      <c r="A4967" s="496"/>
      <c r="D4967" s="496"/>
    </row>
    <row r="4968" spans="1:4" x14ac:dyDescent="0.2">
      <c r="A4968" s="496"/>
      <c r="D4968" s="496"/>
    </row>
    <row r="4969" spans="1:4" x14ac:dyDescent="0.2">
      <c r="A4969" s="496"/>
      <c r="D4969" s="496"/>
    </row>
    <row r="4970" spans="1:4" x14ac:dyDescent="0.2">
      <c r="A4970" s="496"/>
      <c r="D4970" s="496"/>
    </row>
    <row r="4971" spans="1:4" x14ac:dyDescent="0.2">
      <c r="A4971" s="496"/>
      <c r="D4971" s="496"/>
    </row>
    <row r="4972" spans="1:4" x14ac:dyDescent="0.2">
      <c r="A4972" s="496"/>
      <c r="D4972" s="496"/>
    </row>
    <row r="4973" spans="1:4" x14ac:dyDescent="0.2">
      <c r="A4973" s="496"/>
      <c r="D4973" s="496"/>
    </row>
    <row r="4974" spans="1:4" x14ac:dyDescent="0.2">
      <c r="A4974" s="496"/>
      <c r="D4974" s="496"/>
    </row>
    <row r="4975" spans="1:4" x14ac:dyDescent="0.2">
      <c r="A4975" s="496"/>
      <c r="D4975" s="496"/>
    </row>
    <row r="4976" spans="1:4" x14ac:dyDescent="0.2">
      <c r="A4976" s="496"/>
      <c r="D4976" s="496"/>
    </row>
    <row r="4977" spans="1:4" x14ac:dyDescent="0.2">
      <c r="A4977" s="496"/>
      <c r="D4977" s="496"/>
    </row>
    <row r="4978" spans="1:4" x14ac:dyDescent="0.2">
      <c r="A4978" s="496"/>
      <c r="D4978" s="496"/>
    </row>
    <row r="4979" spans="1:4" x14ac:dyDescent="0.2">
      <c r="A4979" s="496"/>
      <c r="D4979" s="496"/>
    </row>
    <row r="4980" spans="1:4" x14ac:dyDescent="0.2">
      <c r="A4980" s="496"/>
      <c r="D4980" s="496"/>
    </row>
    <row r="4981" spans="1:4" x14ac:dyDescent="0.2">
      <c r="A4981" s="496"/>
      <c r="D4981" s="496"/>
    </row>
    <row r="4982" spans="1:4" x14ac:dyDescent="0.2">
      <c r="A4982" s="496"/>
      <c r="D4982" s="496"/>
    </row>
    <row r="4983" spans="1:4" x14ac:dyDescent="0.2">
      <c r="A4983" s="496"/>
      <c r="D4983" s="496"/>
    </row>
    <row r="4984" spans="1:4" x14ac:dyDescent="0.2">
      <c r="A4984" s="496"/>
      <c r="D4984" s="496"/>
    </row>
    <row r="4985" spans="1:4" x14ac:dyDescent="0.2">
      <c r="A4985" s="496"/>
      <c r="D4985" s="496"/>
    </row>
    <row r="4986" spans="1:4" x14ac:dyDescent="0.2">
      <c r="A4986" s="496"/>
      <c r="D4986" s="496"/>
    </row>
    <row r="4987" spans="1:4" x14ac:dyDescent="0.2">
      <c r="A4987" s="496"/>
      <c r="D4987" s="496"/>
    </row>
    <row r="4988" spans="1:4" x14ac:dyDescent="0.2">
      <c r="A4988" s="496"/>
      <c r="D4988" s="496"/>
    </row>
    <row r="4989" spans="1:4" x14ac:dyDescent="0.2">
      <c r="A4989" s="496"/>
      <c r="D4989" s="496"/>
    </row>
    <row r="4990" spans="1:4" x14ac:dyDescent="0.2">
      <c r="A4990" s="496"/>
      <c r="D4990" s="496"/>
    </row>
    <row r="4991" spans="1:4" x14ac:dyDescent="0.2">
      <c r="A4991" s="496"/>
      <c r="D4991" s="496"/>
    </row>
    <row r="4992" spans="1:4" x14ac:dyDescent="0.2">
      <c r="A4992" s="496"/>
      <c r="D4992" s="496"/>
    </row>
    <row r="4993" spans="1:4" x14ac:dyDescent="0.2">
      <c r="A4993" s="496"/>
      <c r="D4993" s="496"/>
    </row>
    <row r="4994" spans="1:4" x14ac:dyDescent="0.2">
      <c r="A4994" s="496"/>
      <c r="D4994" s="496"/>
    </row>
    <row r="4995" spans="1:4" x14ac:dyDescent="0.2">
      <c r="A4995" s="496"/>
      <c r="D4995" s="496"/>
    </row>
    <row r="4996" spans="1:4" x14ac:dyDescent="0.2">
      <c r="A4996" s="496"/>
      <c r="D4996" s="496"/>
    </row>
    <row r="4997" spans="1:4" x14ac:dyDescent="0.2">
      <c r="A4997" s="496"/>
      <c r="D4997" s="496"/>
    </row>
    <row r="4998" spans="1:4" x14ac:dyDescent="0.2">
      <c r="A4998" s="496"/>
      <c r="D4998" s="496"/>
    </row>
    <row r="4999" spans="1:4" x14ac:dyDescent="0.2">
      <c r="A4999" s="496"/>
      <c r="D4999" s="496"/>
    </row>
    <row r="5000" spans="1:4" x14ac:dyDescent="0.2">
      <c r="A5000" s="496"/>
      <c r="D5000" s="496"/>
    </row>
    <row r="5001" spans="1:4" x14ac:dyDescent="0.2">
      <c r="A5001" s="496"/>
      <c r="D5001" s="496"/>
    </row>
    <row r="5002" spans="1:4" x14ac:dyDescent="0.2">
      <c r="A5002" s="496"/>
      <c r="D5002" s="496"/>
    </row>
    <row r="5003" spans="1:4" x14ac:dyDescent="0.2">
      <c r="A5003" s="496"/>
      <c r="D5003" s="496"/>
    </row>
    <row r="5004" spans="1:4" x14ac:dyDescent="0.2">
      <c r="A5004" s="496"/>
      <c r="D5004" s="496"/>
    </row>
    <row r="5005" spans="1:4" x14ac:dyDescent="0.2">
      <c r="A5005" s="496"/>
      <c r="D5005" s="496"/>
    </row>
    <row r="5006" spans="1:4" x14ac:dyDescent="0.2">
      <c r="A5006" s="496"/>
      <c r="D5006" s="496"/>
    </row>
    <row r="5007" spans="1:4" x14ac:dyDescent="0.2">
      <c r="A5007" s="496"/>
      <c r="D5007" s="496"/>
    </row>
    <row r="5008" spans="1:4" x14ac:dyDescent="0.2">
      <c r="A5008" s="496"/>
      <c r="D5008" s="496"/>
    </row>
    <row r="5009" spans="1:4" x14ac:dyDescent="0.2">
      <c r="A5009" s="496"/>
      <c r="D5009" s="496"/>
    </row>
    <row r="5010" spans="1:4" x14ac:dyDescent="0.2">
      <c r="A5010" s="496"/>
      <c r="D5010" s="496"/>
    </row>
    <row r="5011" spans="1:4" x14ac:dyDescent="0.2">
      <c r="A5011" s="496"/>
      <c r="D5011" s="496"/>
    </row>
    <row r="5012" spans="1:4" x14ac:dyDescent="0.2">
      <c r="A5012" s="496"/>
      <c r="D5012" s="496"/>
    </row>
    <row r="5013" spans="1:4" x14ac:dyDescent="0.2">
      <c r="A5013" s="496"/>
      <c r="D5013" s="496"/>
    </row>
    <row r="5014" spans="1:4" x14ac:dyDescent="0.2">
      <c r="A5014" s="496"/>
      <c r="D5014" s="496"/>
    </row>
    <row r="5015" spans="1:4" x14ac:dyDescent="0.2">
      <c r="A5015" s="496"/>
      <c r="D5015" s="496"/>
    </row>
    <row r="5016" spans="1:4" x14ac:dyDescent="0.2">
      <c r="A5016" s="496"/>
      <c r="D5016" s="496"/>
    </row>
    <row r="5017" spans="1:4" x14ac:dyDescent="0.2">
      <c r="A5017" s="496"/>
      <c r="D5017" s="496"/>
    </row>
    <row r="5018" spans="1:4" x14ac:dyDescent="0.2">
      <c r="A5018" s="496"/>
      <c r="D5018" s="496"/>
    </row>
    <row r="5019" spans="1:4" x14ac:dyDescent="0.2">
      <c r="A5019" s="496"/>
      <c r="D5019" s="496"/>
    </row>
    <row r="5020" spans="1:4" x14ac:dyDescent="0.2">
      <c r="A5020" s="496"/>
      <c r="D5020" s="496"/>
    </row>
    <row r="5021" spans="1:4" x14ac:dyDescent="0.2">
      <c r="A5021" s="496"/>
      <c r="D5021" s="496"/>
    </row>
    <row r="5022" spans="1:4" x14ac:dyDescent="0.2">
      <c r="A5022" s="496"/>
      <c r="D5022" s="496"/>
    </row>
    <row r="5023" spans="1:4" x14ac:dyDescent="0.2">
      <c r="A5023" s="496"/>
      <c r="D5023" s="496"/>
    </row>
    <row r="5024" spans="1:4" x14ac:dyDescent="0.2">
      <c r="A5024" s="496"/>
      <c r="D5024" s="496"/>
    </row>
    <row r="5025" spans="1:4" x14ac:dyDescent="0.2">
      <c r="A5025" s="496"/>
      <c r="D5025" s="496"/>
    </row>
    <row r="5026" spans="1:4" x14ac:dyDescent="0.2">
      <c r="A5026" s="496"/>
      <c r="D5026" s="496"/>
    </row>
    <row r="5027" spans="1:4" x14ac:dyDescent="0.2">
      <c r="A5027" s="496"/>
      <c r="D5027" s="496"/>
    </row>
    <row r="5028" spans="1:4" x14ac:dyDescent="0.2">
      <c r="A5028" s="496"/>
      <c r="D5028" s="496"/>
    </row>
    <row r="5029" spans="1:4" x14ac:dyDescent="0.2">
      <c r="A5029" s="496"/>
      <c r="D5029" s="496"/>
    </row>
    <row r="5030" spans="1:4" x14ac:dyDescent="0.2">
      <c r="A5030" s="496"/>
      <c r="D5030" s="496"/>
    </row>
    <row r="5031" spans="1:4" x14ac:dyDescent="0.2">
      <c r="A5031" s="496"/>
      <c r="D5031" s="496"/>
    </row>
    <row r="5032" spans="1:4" x14ac:dyDescent="0.2">
      <c r="A5032" s="496"/>
      <c r="D5032" s="496"/>
    </row>
    <row r="5033" spans="1:4" x14ac:dyDescent="0.2">
      <c r="A5033" s="496"/>
      <c r="D5033" s="496"/>
    </row>
    <row r="5034" spans="1:4" x14ac:dyDescent="0.2">
      <c r="A5034" s="496"/>
      <c r="D5034" s="496"/>
    </row>
    <row r="5035" spans="1:4" x14ac:dyDescent="0.2">
      <c r="A5035" s="496"/>
      <c r="D5035" s="496"/>
    </row>
    <row r="5036" spans="1:4" x14ac:dyDescent="0.2">
      <c r="A5036" s="496"/>
      <c r="D5036" s="496"/>
    </row>
    <row r="5037" spans="1:4" x14ac:dyDescent="0.2">
      <c r="A5037" s="496"/>
      <c r="D5037" s="496"/>
    </row>
    <row r="5038" spans="1:4" x14ac:dyDescent="0.2">
      <c r="A5038" s="496"/>
      <c r="D5038" s="496"/>
    </row>
    <row r="5039" spans="1:4" x14ac:dyDescent="0.2">
      <c r="A5039" s="496"/>
      <c r="D5039" s="496"/>
    </row>
    <row r="5040" spans="1:4" x14ac:dyDescent="0.2">
      <c r="A5040" s="496"/>
      <c r="D5040" s="496"/>
    </row>
    <row r="5041" spans="1:4" x14ac:dyDescent="0.2">
      <c r="A5041" s="496"/>
      <c r="D5041" s="496"/>
    </row>
    <row r="5042" spans="1:4" x14ac:dyDescent="0.2">
      <c r="A5042" s="496"/>
      <c r="D5042" s="496"/>
    </row>
    <row r="5043" spans="1:4" x14ac:dyDescent="0.2">
      <c r="A5043" s="496"/>
      <c r="D5043" s="496"/>
    </row>
    <row r="5044" spans="1:4" x14ac:dyDescent="0.2">
      <c r="A5044" s="496"/>
      <c r="D5044" s="496"/>
    </row>
    <row r="5045" spans="1:4" x14ac:dyDescent="0.2">
      <c r="A5045" s="496"/>
      <c r="D5045" s="496"/>
    </row>
    <row r="5046" spans="1:4" x14ac:dyDescent="0.2">
      <c r="A5046" s="496"/>
      <c r="D5046" s="496"/>
    </row>
    <row r="5047" spans="1:4" x14ac:dyDescent="0.2">
      <c r="A5047" s="496"/>
      <c r="D5047" s="496"/>
    </row>
    <row r="5048" spans="1:4" x14ac:dyDescent="0.2">
      <c r="A5048" s="496"/>
      <c r="D5048" s="496"/>
    </row>
    <row r="5049" spans="1:4" x14ac:dyDescent="0.2">
      <c r="A5049" s="496"/>
      <c r="D5049" s="496"/>
    </row>
    <row r="5050" spans="1:4" x14ac:dyDescent="0.2">
      <c r="A5050" s="496"/>
      <c r="D5050" s="496"/>
    </row>
    <row r="5051" spans="1:4" x14ac:dyDescent="0.2">
      <c r="A5051" s="496"/>
      <c r="D5051" s="496"/>
    </row>
    <row r="5052" spans="1:4" x14ac:dyDescent="0.2">
      <c r="A5052" s="496"/>
      <c r="D5052" s="496"/>
    </row>
    <row r="5053" spans="1:4" x14ac:dyDescent="0.2">
      <c r="A5053" s="496"/>
      <c r="D5053" s="496"/>
    </row>
    <row r="5054" spans="1:4" x14ac:dyDescent="0.2">
      <c r="A5054" s="496"/>
      <c r="D5054" s="496"/>
    </row>
    <row r="5055" spans="1:4" x14ac:dyDescent="0.2">
      <c r="A5055" s="496"/>
      <c r="D5055" s="496"/>
    </row>
    <row r="5056" spans="1:4" x14ac:dyDescent="0.2">
      <c r="A5056" s="496"/>
      <c r="D5056" s="496"/>
    </row>
    <row r="5057" spans="1:4" x14ac:dyDescent="0.2">
      <c r="A5057" s="496"/>
      <c r="D5057" s="496"/>
    </row>
    <row r="5058" spans="1:4" x14ac:dyDescent="0.2">
      <c r="A5058" s="496"/>
      <c r="D5058" s="496"/>
    </row>
    <row r="5059" spans="1:4" x14ac:dyDescent="0.2">
      <c r="A5059" s="496"/>
      <c r="D5059" s="496"/>
    </row>
    <row r="5060" spans="1:4" x14ac:dyDescent="0.2">
      <c r="A5060" s="496"/>
      <c r="D5060" s="496"/>
    </row>
    <row r="5061" spans="1:4" x14ac:dyDescent="0.2">
      <c r="A5061" s="496"/>
      <c r="D5061" s="496"/>
    </row>
    <row r="5062" spans="1:4" x14ac:dyDescent="0.2">
      <c r="A5062" s="496"/>
      <c r="D5062" s="496"/>
    </row>
    <row r="5063" spans="1:4" x14ac:dyDescent="0.2">
      <c r="A5063" s="496"/>
      <c r="D5063" s="496"/>
    </row>
    <row r="5064" spans="1:4" x14ac:dyDescent="0.2">
      <c r="A5064" s="496"/>
      <c r="D5064" s="496"/>
    </row>
    <row r="5065" spans="1:4" x14ac:dyDescent="0.2">
      <c r="A5065" s="496"/>
      <c r="D5065" s="496"/>
    </row>
    <row r="5066" spans="1:4" x14ac:dyDescent="0.2">
      <c r="A5066" s="496"/>
      <c r="D5066" s="496"/>
    </row>
    <row r="5067" spans="1:4" x14ac:dyDescent="0.2">
      <c r="A5067" s="496"/>
      <c r="D5067" s="496"/>
    </row>
    <row r="5068" spans="1:4" x14ac:dyDescent="0.2">
      <c r="A5068" s="496"/>
      <c r="D5068" s="496"/>
    </row>
    <row r="5069" spans="1:4" x14ac:dyDescent="0.2">
      <c r="A5069" s="496"/>
      <c r="D5069" s="496"/>
    </row>
    <row r="5070" spans="1:4" x14ac:dyDescent="0.2">
      <c r="A5070" s="496"/>
      <c r="D5070" s="496"/>
    </row>
    <row r="5071" spans="1:4" x14ac:dyDescent="0.2">
      <c r="A5071" s="496"/>
      <c r="D5071" s="496"/>
    </row>
    <row r="5072" spans="1:4" x14ac:dyDescent="0.2">
      <c r="A5072" s="496"/>
      <c r="D5072" s="496"/>
    </row>
    <row r="5073" spans="1:4" x14ac:dyDescent="0.2">
      <c r="A5073" s="496"/>
      <c r="D5073" s="496"/>
    </row>
    <row r="5074" spans="1:4" x14ac:dyDescent="0.2">
      <c r="A5074" s="496"/>
      <c r="D5074" s="496"/>
    </row>
    <row r="5075" spans="1:4" x14ac:dyDescent="0.2">
      <c r="A5075" s="496"/>
      <c r="D5075" s="496"/>
    </row>
    <row r="5076" spans="1:4" x14ac:dyDescent="0.2">
      <c r="A5076" s="496"/>
      <c r="D5076" s="496"/>
    </row>
    <row r="5077" spans="1:4" x14ac:dyDescent="0.2">
      <c r="A5077" s="496"/>
      <c r="D5077" s="496"/>
    </row>
    <row r="5078" spans="1:4" x14ac:dyDescent="0.2">
      <c r="A5078" s="496"/>
      <c r="D5078" s="496"/>
    </row>
    <row r="5079" spans="1:4" x14ac:dyDescent="0.2">
      <c r="A5079" s="496"/>
      <c r="D5079" s="496"/>
    </row>
    <row r="5080" spans="1:4" x14ac:dyDescent="0.2">
      <c r="A5080" s="496"/>
      <c r="D5080" s="496"/>
    </row>
    <row r="5081" spans="1:4" x14ac:dyDescent="0.2">
      <c r="A5081" s="496"/>
      <c r="D5081" s="496"/>
    </row>
    <row r="5082" spans="1:4" x14ac:dyDescent="0.2">
      <c r="A5082" s="496"/>
      <c r="D5082" s="496"/>
    </row>
    <row r="5083" spans="1:4" x14ac:dyDescent="0.2">
      <c r="A5083" s="496"/>
      <c r="D5083" s="496"/>
    </row>
    <row r="5084" spans="1:4" x14ac:dyDescent="0.2">
      <c r="A5084" s="496"/>
      <c r="D5084" s="496"/>
    </row>
    <row r="5085" spans="1:4" x14ac:dyDescent="0.2">
      <c r="A5085" s="496"/>
      <c r="D5085" s="496"/>
    </row>
    <row r="5086" spans="1:4" x14ac:dyDescent="0.2">
      <c r="A5086" s="496"/>
      <c r="D5086" s="496"/>
    </row>
    <row r="5087" spans="1:4" x14ac:dyDescent="0.2">
      <c r="A5087" s="496"/>
      <c r="D5087" s="496"/>
    </row>
    <row r="5088" spans="1:4" x14ac:dyDescent="0.2">
      <c r="A5088" s="496"/>
      <c r="D5088" s="496"/>
    </row>
    <row r="5089" spans="1:4" x14ac:dyDescent="0.2">
      <c r="A5089" s="496"/>
      <c r="D5089" s="496"/>
    </row>
    <row r="5090" spans="1:4" x14ac:dyDescent="0.2">
      <c r="A5090" s="496"/>
      <c r="D5090" s="496"/>
    </row>
    <row r="5091" spans="1:4" x14ac:dyDescent="0.2">
      <c r="A5091" s="496"/>
      <c r="D5091" s="496"/>
    </row>
    <row r="5092" spans="1:4" x14ac:dyDescent="0.2">
      <c r="A5092" s="496"/>
      <c r="D5092" s="496"/>
    </row>
    <row r="5093" spans="1:4" x14ac:dyDescent="0.2">
      <c r="A5093" s="496"/>
      <c r="D5093" s="496"/>
    </row>
    <row r="5094" spans="1:4" x14ac:dyDescent="0.2">
      <c r="A5094" s="496"/>
      <c r="D5094" s="496"/>
    </row>
    <row r="5095" spans="1:4" x14ac:dyDescent="0.2">
      <c r="A5095" s="496"/>
      <c r="D5095" s="496"/>
    </row>
    <row r="5096" spans="1:4" x14ac:dyDescent="0.2">
      <c r="A5096" s="496"/>
      <c r="D5096" s="496"/>
    </row>
    <row r="5097" spans="1:4" x14ac:dyDescent="0.2">
      <c r="A5097" s="496"/>
      <c r="D5097" s="496"/>
    </row>
    <row r="5098" spans="1:4" x14ac:dyDescent="0.2">
      <c r="A5098" s="496"/>
      <c r="D5098" s="496"/>
    </row>
    <row r="5099" spans="1:4" x14ac:dyDescent="0.2">
      <c r="A5099" s="496"/>
      <c r="D5099" s="496"/>
    </row>
    <row r="5100" spans="1:4" x14ac:dyDescent="0.2">
      <c r="A5100" s="496"/>
      <c r="D5100" s="496"/>
    </row>
    <row r="5101" spans="1:4" x14ac:dyDescent="0.2">
      <c r="A5101" s="496"/>
      <c r="D5101" s="496"/>
    </row>
    <row r="5102" spans="1:4" x14ac:dyDescent="0.2">
      <c r="A5102" s="496"/>
      <c r="D5102" s="496"/>
    </row>
    <row r="5103" spans="1:4" x14ac:dyDescent="0.2">
      <c r="A5103" s="496"/>
      <c r="D5103" s="496"/>
    </row>
    <row r="5104" spans="1:4" x14ac:dyDescent="0.2">
      <c r="A5104" s="496"/>
      <c r="D5104" s="496"/>
    </row>
    <row r="5105" spans="1:4" x14ac:dyDescent="0.2">
      <c r="A5105" s="496"/>
      <c r="D5105" s="496"/>
    </row>
    <row r="5106" spans="1:4" x14ac:dyDescent="0.2">
      <c r="A5106" s="496"/>
      <c r="D5106" s="496"/>
    </row>
    <row r="5107" spans="1:4" x14ac:dyDescent="0.2">
      <c r="A5107" s="496"/>
      <c r="D5107" s="496"/>
    </row>
    <row r="5108" spans="1:4" x14ac:dyDescent="0.2">
      <c r="A5108" s="496"/>
      <c r="D5108" s="496"/>
    </row>
    <row r="5109" spans="1:4" x14ac:dyDescent="0.2">
      <c r="A5109" s="496"/>
      <c r="D5109" s="496"/>
    </row>
    <row r="5110" spans="1:4" x14ac:dyDescent="0.2">
      <c r="A5110" s="496"/>
      <c r="D5110" s="496"/>
    </row>
    <row r="5111" spans="1:4" x14ac:dyDescent="0.2">
      <c r="A5111" s="496"/>
      <c r="D5111" s="496"/>
    </row>
    <row r="5112" spans="1:4" x14ac:dyDescent="0.2">
      <c r="A5112" s="496"/>
      <c r="D5112" s="496"/>
    </row>
    <row r="5113" spans="1:4" x14ac:dyDescent="0.2">
      <c r="A5113" s="496"/>
      <c r="D5113" s="496"/>
    </row>
    <row r="5114" spans="1:4" x14ac:dyDescent="0.2">
      <c r="A5114" s="496"/>
      <c r="D5114" s="496"/>
    </row>
    <row r="5115" spans="1:4" x14ac:dyDescent="0.2">
      <c r="A5115" s="496"/>
      <c r="D5115" s="496"/>
    </row>
    <row r="5116" spans="1:4" x14ac:dyDescent="0.2">
      <c r="A5116" s="496"/>
      <c r="D5116" s="496"/>
    </row>
    <row r="5117" spans="1:4" x14ac:dyDescent="0.2">
      <c r="A5117" s="496"/>
      <c r="D5117" s="496"/>
    </row>
    <row r="5118" spans="1:4" x14ac:dyDescent="0.2">
      <c r="A5118" s="496"/>
      <c r="D5118" s="496"/>
    </row>
    <row r="5119" spans="1:4" x14ac:dyDescent="0.2">
      <c r="A5119" s="496"/>
      <c r="D5119" s="496"/>
    </row>
    <row r="5120" spans="1:4" x14ac:dyDescent="0.2">
      <c r="A5120" s="496"/>
      <c r="D5120" s="496"/>
    </row>
    <row r="5121" spans="1:4" x14ac:dyDescent="0.2">
      <c r="A5121" s="496"/>
      <c r="D5121" s="496"/>
    </row>
    <row r="5122" spans="1:4" x14ac:dyDescent="0.2">
      <c r="A5122" s="496"/>
      <c r="D5122" s="496"/>
    </row>
    <row r="5123" spans="1:4" x14ac:dyDescent="0.2">
      <c r="A5123" s="496"/>
      <c r="D5123" s="496"/>
    </row>
    <row r="5124" spans="1:4" x14ac:dyDescent="0.2">
      <c r="A5124" s="496"/>
      <c r="D5124" s="496"/>
    </row>
    <row r="5125" spans="1:4" x14ac:dyDescent="0.2">
      <c r="A5125" s="496"/>
      <c r="D5125" s="496"/>
    </row>
    <row r="5126" spans="1:4" x14ac:dyDescent="0.2">
      <c r="A5126" s="496"/>
      <c r="D5126" s="496"/>
    </row>
    <row r="5127" spans="1:4" x14ac:dyDescent="0.2">
      <c r="A5127" s="496"/>
      <c r="D5127" s="496"/>
    </row>
    <row r="5128" spans="1:4" x14ac:dyDescent="0.2">
      <c r="A5128" s="496"/>
      <c r="D5128" s="496"/>
    </row>
    <row r="5129" spans="1:4" x14ac:dyDescent="0.2">
      <c r="A5129" s="496"/>
      <c r="D5129" s="496"/>
    </row>
    <row r="5130" spans="1:4" x14ac:dyDescent="0.2">
      <c r="A5130" s="496"/>
      <c r="D5130" s="496"/>
    </row>
    <row r="5131" spans="1:4" x14ac:dyDescent="0.2">
      <c r="A5131" s="496"/>
      <c r="D5131" s="496"/>
    </row>
    <row r="5132" spans="1:4" x14ac:dyDescent="0.2">
      <c r="A5132" s="496"/>
      <c r="D5132" s="496"/>
    </row>
    <row r="5133" spans="1:4" x14ac:dyDescent="0.2">
      <c r="A5133" s="496"/>
      <c r="D5133" s="496"/>
    </row>
    <row r="5134" spans="1:4" x14ac:dyDescent="0.2">
      <c r="A5134" s="496"/>
      <c r="D5134" s="496"/>
    </row>
    <row r="5135" spans="1:4" x14ac:dyDescent="0.2">
      <c r="A5135" s="496"/>
      <c r="D5135" s="496"/>
    </row>
    <row r="5136" spans="1:4" x14ac:dyDescent="0.2">
      <c r="A5136" s="496"/>
      <c r="D5136" s="496"/>
    </row>
    <row r="5137" spans="1:4" x14ac:dyDescent="0.2">
      <c r="A5137" s="496"/>
      <c r="D5137" s="496"/>
    </row>
    <row r="5138" spans="1:4" x14ac:dyDescent="0.2">
      <c r="A5138" s="496"/>
      <c r="D5138" s="496"/>
    </row>
    <row r="5139" spans="1:4" x14ac:dyDescent="0.2">
      <c r="A5139" s="496"/>
      <c r="D5139" s="496"/>
    </row>
    <row r="5140" spans="1:4" x14ac:dyDescent="0.2">
      <c r="A5140" s="496"/>
      <c r="D5140" s="496"/>
    </row>
    <row r="5141" spans="1:4" x14ac:dyDescent="0.2">
      <c r="A5141" s="496"/>
      <c r="D5141" s="496"/>
    </row>
    <row r="5142" spans="1:4" x14ac:dyDescent="0.2">
      <c r="A5142" s="496"/>
      <c r="D5142" s="496"/>
    </row>
    <row r="5143" spans="1:4" x14ac:dyDescent="0.2">
      <c r="A5143" s="496"/>
      <c r="D5143" s="496"/>
    </row>
    <row r="5144" spans="1:4" x14ac:dyDescent="0.2">
      <c r="A5144" s="496"/>
      <c r="D5144" s="496"/>
    </row>
    <row r="5145" spans="1:4" x14ac:dyDescent="0.2">
      <c r="A5145" s="496"/>
      <c r="D5145" s="496"/>
    </row>
    <row r="5146" spans="1:4" x14ac:dyDescent="0.2">
      <c r="A5146" s="496"/>
      <c r="D5146" s="496"/>
    </row>
    <row r="5147" spans="1:4" x14ac:dyDescent="0.2">
      <c r="A5147" s="496"/>
      <c r="D5147" s="496"/>
    </row>
    <row r="5148" spans="1:4" x14ac:dyDescent="0.2">
      <c r="A5148" s="496"/>
      <c r="D5148" s="496"/>
    </row>
    <row r="5149" spans="1:4" x14ac:dyDescent="0.2">
      <c r="A5149" s="496"/>
      <c r="D5149" s="496"/>
    </row>
    <row r="5150" spans="1:4" x14ac:dyDescent="0.2">
      <c r="A5150" s="496"/>
      <c r="D5150" s="496"/>
    </row>
    <row r="5151" spans="1:4" x14ac:dyDescent="0.2">
      <c r="A5151" s="496"/>
      <c r="D5151" s="496"/>
    </row>
    <row r="5152" spans="1:4" x14ac:dyDescent="0.2">
      <c r="A5152" s="496"/>
      <c r="D5152" s="496"/>
    </row>
    <row r="5153" spans="1:4" x14ac:dyDescent="0.2">
      <c r="A5153" s="496"/>
      <c r="D5153" s="496"/>
    </row>
    <row r="5154" spans="1:4" x14ac:dyDescent="0.2">
      <c r="A5154" s="496"/>
      <c r="D5154" s="496"/>
    </row>
    <row r="5155" spans="1:4" x14ac:dyDescent="0.2">
      <c r="A5155" s="496"/>
      <c r="D5155" s="496"/>
    </row>
    <row r="5156" spans="1:4" x14ac:dyDescent="0.2">
      <c r="A5156" s="496"/>
      <c r="D5156" s="496"/>
    </row>
    <row r="5157" spans="1:4" x14ac:dyDescent="0.2">
      <c r="A5157" s="496"/>
      <c r="D5157" s="496"/>
    </row>
    <row r="5158" spans="1:4" x14ac:dyDescent="0.2">
      <c r="A5158" s="496"/>
      <c r="D5158" s="496"/>
    </row>
    <row r="5159" spans="1:4" x14ac:dyDescent="0.2">
      <c r="A5159" s="496"/>
      <c r="D5159" s="496"/>
    </row>
    <row r="5160" spans="1:4" x14ac:dyDescent="0.2">
      <c r="A5160" s="496"/>
      <c r="D5160" s="496"/>
    </row>
    <row r="5161" spans="1:4" x14ac:dyDescent="0.2">
      <c r="A5161" s="496"/>
      <c r="D5161" s="496"/>
    </row>
    <row r="5162" spans="1:4" x14ac:dyDescent="0.2">
      <c r="A5162" s="496"/>
      <c r="D5162" s="496"/>
    </row>
    <row r="5163" spans="1:4" x14ac:dyDescent="0.2">
      <c r="A5163" s="496"/>
      <c r="D5163" s="496"/>
    </row>
    <row r="5164" spans="1:4" x14ac:dyDescent="0.2">
      <c r="A5164" s="496"/>
      <c r="D5164" s="496"/>
    </row>
    <row r="5165" spans="1:4" x14ac:dyDescent="0.2">
      <c r="A5165" s="496"/>
      <c r="D5165" s="496"/>
    </row>
    <row r="5166" spans="1:4" x14ac:dyDescent="0.2">
      <c r="A5166" s="496"/>
      <c r="D5166" s="496"/>
    </row>
    <row r="5167" spans="1:4" x14ac:dyDescent="0.2">
      <c r="A5167" s="496"/>
      <c r="D5167" s="496"/>
    </row>
    <row r="5168" spans="1:4" x14ac:dyDescent="0.2">
      <c r="A5168" s="496"/>
      <c r="D5168" s="496"/>
    </row>
    <row r="5169" spans="1:4" x14ac:dyDescent="0.2">
      <c r="A5169" s="496"/>
      <c r="D5169" s="496"/>
    </row>
    <row r="5170" spans="1:4" x14ac:dyDescent="0.2">
      <c r="A5170" s="496"/>
      <c r="D5170" s="496"/>
    </row>
    <row r="5171" spans="1:4" x14ac:dyDescent="0.2">
      <c r="A5171" s="496"/>
      <c r="D5171" s="496"/>
    </row>
    <row r="5172" spans="1:4" x14ac:dyDescent="0.2">
      <c r="A5172" s="496"/>
      <c r="D5172" s="496"/>
    </row>
    <row r="5173" spans="1:4" x14ac:dyDescent="0.2">
      <c r="A5173" s="496"/>
      <c r="D5173" s="496"/>
    </row>
    <row r="5174" spans="1:4" x14ac:dyDescent="0.2">
      <c r="A5174" s="496"/>
      <c r="D5174" s="496"/>
    </row>
    <row r="5175" spans="1:4" x14ac:dyDescent="0.2">
      <c r="A5175" s="496"/>
      <c r="D5175" s="496"/>
    </row>
    <row r="5176" spans="1:4" x14ac:dyDescent="0.2">
      <c r="A5176" s="496"/>
      <c r="D5176" s="496"/>
    </row>
    <row r="5177" spans="1:4" x14ac:dyDescent="0.2">
      <c r="A5177" s="496"/>
      <c r="D5177" s="496"/>
    </row>
    <row r="5178" spans="1:4" x14ac:dyDescent="0.2">
      <c r="A5178" s="496"/>
      <c r="D5178" s="496"/>
    </row>
    <row r="5179" spans="1:4" x14ac:dyDescent="0.2">
      <c r="A5179" s="496"/>
      <c r="D5179" s="496"/>
    </row>
    <row r="5180" spans="1:4" x14ac:dyDescent="0.2">
      <c r="A5180" s="496"/>
      <c r="D5180" s="496"/>
    </row>
    <row r="5181" spans="1:4" x14ac:dyDescent="0.2">
      <c r="A5181" s="496"/>
      <c r="D5181" s="496"/>
    </row>
    <row r="5182" spans="1:4" x14ac:dyDescent="0.2">
      <c r="A5182" s="496"/>
      <c r="D5182" s="496"/>
    </row>
    <row r="5183" spans="1:4" x14ac:dyDescent="0.2">
      <c r="A5183" s="496"/>
      <c r="D5183" s="496"/>
    </row>
    <row r="5184" spans="1:4" x14ac:dyDescent="0.2">
      <c r="A5184" s="496"/>
      <c r="D5184" s="496"/>
    </row>
    <row r="5185" spans="1:4" x14ac:dyDescent="0.2">
      <c r="A5185" s="496"/>
      <c r="D5185" s="496"/>
    </row>
    <row r="5186" spans="1:4" x14ac:dyDescent="0.2">
      <c r="A5186" s="496"/>
      <c r="D5186" s="496"/>
    </row>
    <row r="5187" spans="1:4" x14ac:dyDescent="0.2">
      <c r="A5187" s="496"/>
      <c r="D5187" s="496"/>
    </row>
    <row r="5188" spans="1:4" x14ac:dyDescent="0.2">
      <c r="A5188" s="496"/>
      <c r="D5188" s="496"/>
    </row>
    <row r="5189" spans="1:4" x14ac:dyDescent="0.2">
      <c r="A5189" s="496"/>
      <c r="D5189" s="496"/>
    </row>
    <row r="5190" spans="1:4" x14ac:dyDescent="0.2">
      <c r="A5190" s="496"/>
      <c r="D5190" s="496"/>
    </row>
    <row r="5191" spans="1:4" x14ac:dyDescent="0.2">
      <c r="A5191" s="496"/>
      <c r="D5191" s="496"/>
    </row>
    <row r="5192" spans="1:4" x14ac:dyDescent="0.2">
      <c r="A5192" s="496"/>
      <c r="D5192" s="496"/>
    </row>
    <row r="5193" spans="1:4" x14ac:dyDescent="0.2">
      <c r="A5193" s="496"/>
      <c r="D5193" s="496"/>
    </row>
    <row r="5194" spans="1:4" x14ac:dyDescent="0.2">
      <c r="A5194" s="496"/>
      <c r="D5194" s="496"/>
    </row>
    <row r="5195" spans="1:4" x14ac:dyDescent="0.2">
      <c r="A5195" s="496"/>
      <c r="D5195" s="496"/>
    </row>
    <row r="5196" spans="1:4" x14ac:dyDescent="0.2">
      <c r="A5196" s="496"/>
      <c r="D5196" s="496"/>
    </row>
    <row r="5197" spans="1:4" x14ac:dyDescent="0.2">
      <c r="A5197" s="496"/>
      <c r="D5197" s="496"/>
    </row>
    <row r="5198" spans="1:4" x14ac:dyDescent="0.2">
      <c r="A5198" s="496"/>
      <c r="D5198" s="496"/>
    </row>
    <row r="5199" spans="1:4" x14ac:dyDescent="0.2">
      <c r="A5199" s="496"/>
      <c r="D5199" s="496"/>
    </row>
    <row r="5200" spans="1:4" x14ac:dyDescent="0.2">
      <c r="A5200" s="496"/>
      <c r="D5200" s="496"/>
    </row>
    <row r="5201" spans="1:4" x14ac:dyDescent="0.2">
      <c r="A5201" s="496"/>
      <c r="D5201" s="496"/>
    </row>
    <row r="5202" spans="1:4" x14ac:dyDescent="0.2">
      <c r="A5202" s="496"/>
      <c r="D5202" s="496"/>
    </row>
    <row r="5203" spans="1:4" x14ac:dyDescent="0.2">
      <c r="A5203" s="496"/>
      <c r="D5203" s="496"/>
    </row>
    <row r="5204" spans="1:4" x14ac:dyDescent="0.2">
      <c r="A5204" s="496"/>
      <c r="D5204" s="496"/>
    </row>
    <row r="5205" spans="1:4" x14ac:dyDescent="0.2">
      <c r="A5205" s="496"/>
      <c r="D5205" s="496"/>
    </row>
    <row r="5206" spans="1:4" x14ac:dyDescent="0.2">
      <c r="A5206" s="496"/>
      <c r="D5206" s="496"/>
    </row>
    <row r="5207" spans="1:4" x14ac:dyDescent="0.2">
      <c r="A5207" s="496"/>
      <c r="D5207" s="496"/>
    </row>
    <row r="5208" spans="1:4" x14ac:dyDescent="0.2">
      <c r="A5208" s="496"/>
      <c r="D5208" s="496"/>
    </row>
    <row r="5209" spans="1:4" x14ac:dyDescent="0.2">
      <c r="A5209" s="496"/>
      <c r="D5209" s="496"/>
    </row>
    <row r="5210" spans="1:4" x14ac:dyDescent="0.2">
      <c r="A5210" s="496"/>
      <c r="D5210" s="496"/>
    </row>
    <row r="5211" spans="1:4" x14ac:dyDescent="0.2">
      <c r="A5211" s="496"/>
      <c r="D5211" s="496"/>
    </row>
    <row r="5212" spans="1:4" x14ac:dyDescent="0.2">
      <c r="A5212" s="496"/>
      <c r="D5212" s="496"/>
    </row>
    <row r="5213" spans="1:4" x14ac:dyDescent="0.2">
      <c r="A5213" s="496"/>
      <c r="D5213" s="496"/>
    </row>
    <row r="5214" spans="1:4" x14ac:dyDescent="0.2">
      <c r="A5214" s="496"/>
      <c r="D5214" s="496"/>
    </row>
    <row r="5215" spans="1:4" x14ac:dyDescent="0.2">
      <c r="A5215" s="496"/>
      <c r="D5215" s="496"/>
    </row>
    <row r="5216" spans="1:4" x14ac:dyDescent="0.2">
      <c r="A5216" s="496"/>
      <c r="D5216" s="496"/>
    </row>
    <row r="5217" spans="1:4" x14ac:dyDescent="0.2">
      <c r="A5217" s="496"/>
      <c r="D5217" s="496"/>
    </row>
    <row r="5218" spans="1:4" x14ac:dyDescent="0.2">
      <c r="A5218" s="496"/>
      <c r="D5218" s="496"/>
    </row>
    <row r="5219" spans="1:4" x14ac:dyDescent="0.2">
      <c r="A5219" s="496"/>
      <c r="D5219" s="496"/>
    </row>
    <row r="5220" spans="1:4" x14ac:dyDescent="0.2">
      <c r="A5220" s="496"/>
      <c r="D5220" s="496"/>
    </row>
    <row r="5221" spans="1:4" x14ac:dyDescent="0.2">
      <c r="A5221" s="496"/>
      <c r="D5221" s="496"/>
    </row>
    <row r="5222" spans="1:4" x14ac:dyDescent="0.2">
      <c r="A5222" s="496"/>
      <c r="D5222" s="496"/>
    </row>
    <row r="5223" spans="1:4" x14ac:dyDescent="0.2">
      <c r="A5223" s="496"/>
      <c r="D5223" s="496"/>
    </row>
    <row r="5224" spans="1:4" x14ac:dyDescent="0.2">
      <c r="A5224" s="496"/>
      <c r="D5224" s="496"/>
    </row>
    <row r="5225" spans="1:4" x14ac:dyDescent="0.2">
      <c r="A5225" s="496"/>
      <c r="D5225" s="496"/>
    </row>
    <row r="5226" spans="1:4" x14ac:dyDescent="0.2">
      <c r="A5226" s="496"/>
      <c r="D5226" s="496"/>
    </row>
    <row r="5227" spans="1:4" x14ac:dyDescent="0.2">
      <c r="A5227" s="496"/>
      <c r="D5227" s="496"/>
    </row>
    <row r="5228" spans="1:4" x14ac:dyDescent="0.2">
      <c r="A5228" s="496"/>
      <c r="D5228" s="496"/>
    </row>
    <row r="5229" spans="1:4" x14ac:dyDescent="0.2">
      <c r="A5229" s="496"/>
      <c r="D5229" s="496"/>
    </row>
    <row r="5230" spans="1:4" x14ac:dyDescent="0.2">
      <c r="A5230" s="496"/>
      <c r="D5230" s="496"/>
    </row>
    <row r="5231" spans="1:4" x14ac:dyDescent="0.2">
      <c r="A5231" s="496"/>
      <c r="D5231" s="496"/>
    </row>
    <row r="5232" spans="1:4" x14ac:dyDescent="0.2">
      <c r="A5232" s="496"/>
      <c r="D5232" s="496"/>
    </row>
    <row r="5233" spans="1:4" x14ac:dyDescent="0.2">
      <c r="A5233" s="496"/>
      <c r="D5233" s="496"/>
    </row>
    <row r="5234" spans="1:4" x14ac:dyDescent="0.2">
      <c r="A5234" s="496"/>
      <c r="D5234" s="496"/>
    </row>
    <row r="5235" spans="1:4" x14ac:dyDescent="0.2">
      <c r="A5235" s="496"/>
      <c r="D5235" s="496"/>
    </row>
    <row r="5236" spans="1:4" x14ac:dyDescent="0.2">
      <c r="A5236" s="496"/>
      <c r="D5236" s="496"/>
    </row>
    <row r="5237" spans="1:4" x14ac:dyDescent="0.2">
      <c r="A5237" s="496"/>
      <c r="D5237" s="496"/>
    </row>
    <row r="5238" spans="1:4" x14ac:dyDescent="0.2">
      <c r="A5238" s="496"/>
      <c r="D5238" s="496"/>
    </row>
    <row r="5239" spans="1:4" x14ac:dyDescent="0.2">
      <c r="A5239" s="496"/>
      <c r="D5239" s="496"/>
    </row>
    <row r="5240" spans="1:4" x14ac:dyDescent="0.2">
      <c r="A5240" s="496"/>
      <c r="D5240" s="496"/>
    </row>
    <row r="5241" spans="1:4" x14ac:dyDescent="0.2">
      <c r="A5241" s="496"/>
      <c r="D5241" s="496"/>
    </row>
    <row r="5242" spans="1:4" x14ac:dyDescent="0.2">
      <c r="A5242" s="496"/>
      <c r="D5242" s="496"/>
    </row>
    <row r="5243" spans="1:4" x14ac:dyDescent="0.2">
      <c r="A5243" s="496"/>
      <c r="D5243" s="496"/>
    </row>
    <row r="5244" spans="1:4" x14ac:dyDescent="0.2">
      <c r="A5244" s="496"/>
      <c r="D5244" s="496"/>
    </row>
    <row r="5245" spans="1:4" x14ac:dyDescent="0.2">
      <c r="A5245" s="496"/>
      <c r="D5245" s="496"/>
    </row>
    <row r="5246" spans="1:4" x14ac:dyDescent="0.2">
      <c r="A5246" s="496"/>
      <c r="D5246" s="496"/>
    </row>
    <row r="5247" spans="1:4" x14ac:dyDescent="0.2">
      <c r="A5247" s="496"/>
      <c r="D5247" s="496"/>
    </row>
    <row r="5248" spans="1:4" x14ac:dyDescent="0.2">
      <c r="A5248" s="496"/>
      <c r="D5248" s="496"/>
    </row>
    <row r="5249" spans="1:4" x14ac:dyDescent="0.2">
      <c r="A5249" s="496"/>
      <c r="D5249" s="496"/>
    </row>
    <row r="5250" spans="1:4" x14ac:dyDescent="0.2">
      <c r="A5250" s="496"/>
      <c r="D5250" s="496"/>
    </row>
    <row r="5251" spans="1:4" x14ac:dyDescent="0.2">
      <c r="A5251" s="496"/>
      <c r="D5251" s="496"/>
    </row>
    <row r="5252" spans="1:4" x14ac:dyDescent="0.2">
      <c r="A5252" s="496"/>
      <c r="D5252" s="496"/>
    </row>
    <row r="5253" spans="1:4" x14ac:dyDescent="0.2">
      <c r="A5253" s="496"/>
      <c r="D5253" s="496"/>
    </row>
    <row r="5254" spans="1:4" x14ac:dyDescent="0.2">
      <c r="A5254" s="496"/>
      <c r="D5254" s="496"/>
    </row>
    <row r="5255" spans="1:4" x14ac:dyDescent="0.2">
      <c r="A5255" s="496"/>
      <c r="D5255" s="496"/>
    </row>
    <row r="5256" spans="1:4" x14ac:dyDescent="0.2">
      <c r="A5256" s="496"/>
      <c r="D5256" s="496"/>
    </row>
    <row r="5257" spans="1:4" x14ac:dyDescent="0.2">
      <c r="A5257" s="496"/>
      <c r="D5257" s="496"/>
    </row>
    <row r="5258" spans="1:4" x14ac:dyDescent="0.2">
      <c r="A5258" s="496"/>
      <c r="D5258" s="496"/>
    </row>
    <row r="5259" spans="1:4" x14ac:dyDescent="0.2">
      <c r="A5259" s="496"/>
      <c r="D5259" s="496"/>
    </row>
    <row r="5260" spans="1:4" x14ac:dyDescent="0.2">
      <c r="A5260" s="496"/>
      <c r="D5260" s="496"/>
    </row>
    <row r="5261" spans="1:4" x14ac:dyDescent="0.2">
      <c r="A5261" s="496"/>
      <c r="D5261" s="496"/>
    </row>
    <row r="5262" spans="1:4" x14ac:dyDescent="0.2">
      <c r="A5262" s="496"/>
      <c r="D5262" s="496"/>
    </row>
    <row r="5263" spans="1:4" x14ac:dyDescent="0.2">
      <c r="A5263" s="496"/>
      <c r="D5263" s="496"/>
    </row>
    <row r="5264" spans="1:4" x14ac:dyDescent="0.2">
      <c r="A5264" s="496"/>
      <c r="D5264" s="496"/>
    </row>
    <row r="5265" spans="1:4" x14ac:dyDescent="0.2">
      <c r="A5265" s="496"/>
      <c r="D5265" s="496"/>
    </row>
    <row r="5266" spans="1:4" x14ac:dyDescent="0.2">
      <c r="A5266" s="496"/>
      <c r="D5266" s="496"/>
    </row>
    <row r="5267" spans="1:4" x14ac:dyDescent="0.2">
      <c r="A5267" s="496"/>
      <c r="D5267" s="496"/>
    </row>
    <row r="5268" spans="1:4" x14ac:dyDescent="0.2">
      <c r="A5268" s="496"/>
      <c r="D5268" s="496"/>
    </row>
    <row r="5269" spans="1:4" x14ac:dyDescent="0.2">
      <c r="A5269" s="496"/>
      <c r="D5269" s="496"/>
    </row>
    <row r="5270" spans="1:4" x14ac:dyDescent="0.2">
      <c r="A5270" s="496"/>
      <c r="D5270" s="496"/>
    </row>
    <row r="5271" spans="1:4" x14ac:dyDescent="0.2">
      <c r="A5271" s="496"/>
      <c r="D5271" s="496"/>
    </row>
    <row r="5272" spans="1:4" x14ac:dyDescent="0.2">
      <c r="A5272" s="496"/>
      <c r="D5272" s="496"/>
    </row>
    <row r="5273" spans="1:4" x14ac:dyDescent="0.2">
      <c r="A5273" s="496"/>
      <c r="D5273" s="496"/>
    </row>
    <row r="5274" spans="1:4" x14ac:dyDescent="0.2">
      <c r="A5274" s="496"/>
      <c r="D5274" s="496"/>
    </row>
    <row r="5275" spans="1:4" x14ac:dyDescent="0.2">
      <c r="A5275" s="496"/>
      <c r="D5275" s="496"/>
    </row>
    <row r="5276" spans="1:4" x14ac:dyDescent="0.2">
      <c r="A5276" s="496"/>
      <c r="D5276" s="496"/>
    </row>
    <row r="5277" spans="1:4" x14ac:dyDescent="0.2">
      <c r="A5277" s="496"/>
      <c r="D5277" s="496"/>
    </row>
    <row r="5278" spans="1:4" x14ac:dyDescent="0.2">
      <c r="A5278" s="496"/>
      <c r="D5278" s="496"/>
    </row>
    <row r="5279" spans="1:4" x14ac:dyDescent="0.2">
      <c r="A5279" s="496"/>
      <c r="D5279" s="496"/>
    </row>
    <row r="5280" spans="1:4" x14ac:dyDescent="0.2">
      <c r="A5280" s="496"/>
      <c r="D5280" s="496"/>
    </row>
    <row r="5281" spans="1:4" x14ac:dyDescent="0.2">
      <c r="A5281" s="496"/>
      <c r="D5281" s="496"/>
    </row>
    <row r="5282" spans="1:4" x14ac:dyDescent="0.2">
      <c r="A5282" s="496"/>
      <c r="D5282" s="496"/>
    </row>
    <row r="5283" spans="1:4" x14ac:dyDescent="0.2">
      <c r="A5283" s="496"/>
      <c r="D5283" s="496"/>
    </row>
    <row r="5284" spans="1:4" x14ac:dyDescent="0.2">
      <c r="A5284" s="496"/>
      <c r="D5284" s="496"/>
    </row>
    <row r="5285" spans="1:4" x14ac:dyDescent="0.2">
      <c r="A5285" s="496"/>
      <c r="D5285" s="496"/>
    </row>
    <row r="5286" spans="1:4" x14ac:dyDescent="0.2">
      <c r="A5286" s="496"/>
      <c r="D5286" s="496"/>
    </row>
    <row r="5287" spans="1:4" x14ac:dyDescent="0.2">
      <c r="A5287" s="496"/>
      <c r="D5287" s="496"/>
    </row>
    <row r="5288" spans="1:4" x14ac:dyDescent="0.2">
      <c r="A5288" s="496"/>
      <c r="D5288" s="496"/>
    </row>
    <row r="5289" spans="1:4" x14ac:dyDescent="0.2">
      <c r="A5289" s="496"/>
      <c r="D5289" s="496"/>
    </row>
    <row r="5290" spans="1:4" x14ac:dyDescent="0.2">
      <c r="A5290" s="496"/>
      <c r="D5290" s="496"/>
    </row>
    <row r="5291" spans="1:4" x14ac:dyDescent="0.2">
      <c r="A5291" s="496"/>
      <c r="D5291" s="496"/>
    </row>
    <row r="5292" spans="1:4" x14ac:dyDescent="0.2">
      <c r="A5292" s="496"/>
      <c r="D5292" s="496"/>
    </row>
    <row r="5293" spans="1:4" x14ac:dyDescent="0.2">
      <c r="A5293" s="496"/>
      <c r="D5293" s="496"/>
    </row>
    <row r="5294" spans="1:4" x14ac:dyDescent="0.2">
      <c r="A5294" s="496"/>
      <c r="D5294" s="496"/>
    </row>
    <row r="5295" spans="1:4" x14ac:dyDescent="0.2">
      <c r="A5295" s="496"/>
      <c r="D5295" s="496"/>
    </row>
    <row r="5296" spans="1:4" x14ac:dyDescent="0.2">
      <c r="A5296" s="496"/>
      <c r="D5296" s="496"/>
    </row>
    <row r="5297" spans="1:4" x14ac:dyDescent="0.2">
      <c r="A5297" s="496"/>
      <c r="D5297" s="496"/>
    </row>
    <row r="5298" spans="1:4" x14ac:dyDescent="0.2">
      <c r="A5298" s="496"/>
      <c r="D5298" s="496"/>
    </row>
    <row r="5299" spans="1:4" x14ac:dyDescent="0.2">
      <c r="A5299" s="496"/>
      <c r="D5299" s="496"/>
    </row>
    <row r="5300" spans="1:4" x14ac:dyDescent="0.2">
      <c r="A5300" s="496"/>
      <c r="D5300" s="496"/>
    </row>
    <row r="5301" spans="1:4" x14ac:dyDescent="0.2">
      <c r="A5301" s="496"/>
      <c r="D5301" s="496"/>
    </row>
    <row r="5302" spans="1:4" x14ac:dyDescent="0.2">
      <c r="A5302" s="496"/>
      <c r="D5302" s="496"/>
    </row>
    <row r="5303" spans="1:4" x14ac:dyDescent="0.2">
      <c r="A5303" s="496"/>
      <c r="D5303" s="496"/>
    </row>
    <row r="5304" spans="1:4" x14ac:dyDescent="0.2">
      <c r="A5304" s="496"/>
      <c r="D5304" s="496"/>
    </row>
    <row r="5305" spans="1:4" x14ac:dyDescent="0.2">
      <c r="A5305" s="496"/>
      <c r="D5305" s="496"/>
    </row>
    <row r="5306" spans="1:4" x14ac:dyDescent="0.2">
      <c r="A5306" s="496"/>
      <c r="D5306" s="496"/>
    </row>
    <row r="5307" spans="1:4" x14ac:dyDescent="0.2">
      <c r="A5307" s="496"/>
      <c r="D5307" s="496"/>
    </row>
    <row r="5308" spans="1:4" x14ac:dyDescent="0.2">
      <c r="A5308" s="496"/>
      <c r="D5308" s="496"/>
    </row>
    <row r="5309" spans="1:4" x14ac:dyDescent="0.2">
      <c r="A5309" s="496"/>
      <c r="D5309" s="496"/>
    </row>
    <row r="5310" spans="1:4" x14ac:dyDescent="0.2">
      <c r="A5310" s="496"/>
      <c r="D5310" s="496"/>
    </row>
    <row r="5311" spans="1:4" x14ac:dyDescent="0.2">
      <c r="A5311" s="496"/>
      <c r="D5311" s="496"/>
    </row>
    <row r="5312" spans="1:4" x14ac:dyDescent="0.2">
      <c r="A5312" s="496"/>
      <c r="D5312" s="496"/>
    </row>
    <row r="5313" spans="1:4" x14ac:dyDescent="0.2">
      <c r="A5313" s="496"/>
      <c r="D5313" s="496"/>
    </row>
    <row r="5314" spans="1:4" x14ac:dyDescent="0.2">
      <c r="A5314" s="496"/>
      <c r="D5314" s="496"/>
    </row>
    <row r="5315" spans="1:4" x14ac:dyDescent="0.2">
      <c r="A5315" s="496"/>
      <c r="D5315" s="496"/>
    </row>
    <row r="5316" spans="1:4" x14ac:dyDescent="0.2">
      <c r="A5316" s="496"/>
      <c r="D5316" s="496"/>
    </row>
    <row r="5317" spans="1:4" x14ac:dyDescent="0.2">
      <c r="A5317" s="496"/>
      <c r="D5317" s="496"/>
    </row>
    <row r="5318" spans="1:4" x14ac:dyDescent="0.2">
      <c r="A5318" s="496"/>
      <c r="D5318" s="496"/>
    </row>
    <row r="5319" spans="1:4" x14ac:dyDescent="0.2">
      <c r="A5319" s="496"/>
      <c r="D5319" s="496"/>
    </row>
    <row r="5320" spans="1:4" x14ac:dyDescent="0.2">
      <c r="A5320" s="496"/>
      <c r="D5320" s="496"/>
    </row>
    <row r="5321" spans="1:4" x14ac:dyDescent="0.2">
      <c r="A5321" s="496"/>
      <c r="D5321" s="496"/>
    </row>
    <row r="5322" spans="1:4" x14ac:dyDescent="0.2">
      <c r="A5322" s="496"/>
      <c r="D5322" s="496"/>
    </row>
    <row r="5323" spans="1:4" x14ac:dyDescent="0.2">
      <c r="A5323" s="496"/>
      <c r="D5323" s="496"/>
    </row>
    <row r="5324" spans="1:4" x14ac:dyDescent="0.2">
      <c r="A5324" s="496"/>
      <c r="D5324" s="496"/>
    </row>
    <row r="5325" spans="1:4" x14ac:dyDescent="0.2">
      <c r="A5325" s="496"/>
      <c r="D5325" s="496"/>
    </row>
    <row r="5326" spans="1:4" x14ac:dyDescent="0.2">
      <c r="A5326" s="496"/>
      <c r="D5326" s="496"/>
    </row>
    <row r="5327" spans="1:4" x14ac:dyDescent="0.2">
      <c r="A5327" s="496"/>
      <c r="D5327" s="496"/>
    </row>
    <row r="5328" spans="1:4" x14ac:dyDescent="0.2">
      <c r="A5328" s="496"/>
      <c r="D5328" s="496"/>
    </row>
    <row r="5329" spans="1:4" x14ac:dyDescent="0.2">
      <c r="A5329" s="496"/>
      <c r="D5329" s="496"/>
    </row>
    <row r="5330" spans="1:4" x14ac:dyDescent="0.2">
      <c r="A5330" s="496"/>
      <c r="D5330" s="496"/>
    </row>
    <row r="5331" spans="1:4" x14ac:dyDescent="0.2">
      <c r="A5331" s="496"/>
      <c r="D5331" s="496"/>
    </row>
    <row r="5332" spans="1:4" x14ac:dyDescent="0.2">
      <c r="A5332" s="496"/>
      <c r="D5332" s="496"/>
    </row>
    <row r="5333" spans="1:4" x14ac:dyDescent="0.2">
      <c r="A5333" s="496"/>
      <c r="D5333" s="496"/>
    </row>
    <row r="5334" spans="1:4" x14ac:dyDescent="0.2">
      <c r="A5334" s="496"/>
      <c r="D5334" s="496"/>
    </row>
    <row r="5335" spans="1:4" x14ac:dyDescent="0.2">
      <c r="A5335" s="496"/>
      <c r="D5335" s="496"/>
    </row>
    <row r="5336" spans="1:4" x14ac:dyDescent="0.2">
      <c r="A5336" s="496"/>
      <c r="D5336" s="496"/>
    </row>
    <row r="5337" spans="1:4" x14ac:dyDescent="0.2">
      <c r="A5337" s="496"/>
      <c r="D5337" s="496"/>
    </row>
    <row r="5338" spans="1:4" x14ac:dyDescent="0.2">
      <c r="A5338" s="496"/>
      <c r="D5338" s="496"/>
    </row>
    <row r="5339" spans="1:4" x14ac:dyDescent="0.2">
      <c r="A5339" s="496"/>
      <c r="D5339" s="496"/>
    </row>
    <row r="5340" spans="1:4" x14ac:dyDescent="0.2">
      <c r="A5340" s="496"/>
      <c r="D5340" s="496"/>
    </row>
    <row r="5341" spans="1:4" x14ac:dyDescent="0.2">
      <c r="A5341" s="496"/>
      <c r="D5341" s="496"/>
    </row>
    <row r="5342" spans="1:4" x14ac:dyDescent="0.2">
      <c r="A5342" s="496"/>
      <c r="D5342" s="496"/>
    </row>
    <row r="5343" spans="1:4" x14ac:dyDescent="0.2">
      <c r="A5343" s="496"/>
      <c r="D5343" s="496"/>
    </row>
    <row r="5344" spans="1:4" x14ac:dyDescent="0.2">
      <c r="A5344" s="496"/>
      <c r="D5344" s="496"/>
    </row>
    <row r="5345" spans="1:4" x14ac:dyDescent="0.2">
      <c r="A5345" s="496"/>
      <c r="D5345" s="496"/>
    </row>
    <row r="5346" spans="1:4" x14ac:dyDescent="0.2">
      <c r="A5346" s="496"/>
      <c r="D5346" s="496"/>
    </row>
    <row r="5347" spans="1:4" x14ac:dyDescent="0.2">
      <c r="A5347" s="496"/>
      <c r="D5347" s="496"/>
    </row>
    <row r="5348" spans="1:4" x14ac:dyDescent="0.2">
      <c r="A5348" s="496"/>
      <c r="D5348" s="496"/>
    </row>
    <row r="5349" spans="1:4" x14ac:dyDescent="0.2">
      <c r="A5349" s="496"/>
      <c r="D5349" s="496"/>
    </row>
    <row r="5350" spans="1:4" x14ac:dyDescent="0.2">
      <c r="A5350" s="496"/>
      <c r="D5350" s="496"/>
    </row>
    <row r="5351" spans="1:4" x14ac:dyDescent="0.2">
      <c r="A5351" s="496"/>
      <c r="D5351" s="496"/>
    </row>
    <row r="5352" spans="1:4" x14ac:dyDescent="0.2">
      <c r="A5352" s="496"/>
      <c r="D5352" s="496"/>
    </row>
    <row r="5353" spans="1:4" x14ac:dyDescent="0.2">
      <c r="A5353" s="496"/>
      <c r="D5353" s="496"/>
    </row>
    <row r="5354" spans="1:4" x14ac:dyDescent="0.2">
      <c r="A5354" s="496"/>
      <c r="D5354" s="496"/>
    </row>
    <row r="5355" spans="1:4" x14ac:dyDescent="0.2">
      <c r="A5355" s="496"/>
      <c r="D5355" s="496"/>
    </row>
    <row r="5356" spans="1:4" x14ac:dyDescent="0.2">
      <c r="A5356" s="496"/>
      <c r="D5356" s="496"/>
    </row>
    <row r="5357" spans="1:4" x14ac:dyDescent="0.2">
      <c r="A5357" s="496"/>
      <c r="D5357" s="496"/>
    </row>
    <row r="5358" spans="1:4" x14ac:dyDescent="0.2">
      <c r="A5358" s="496"/>
      <c r="D5358" s="496"/>
    </row>
    <row r="5359" spans="1:4" x14ac:dyDescent="0.2">
      <c r="A5359" s="496"/>
      <c r="D5359" s="496"/>
    </row>
    <row r="5360" spans="1:4" x14ac:dyDescent="0.2">
      <c r="A5360" s="496"/>
      <c r="D5360" s="496"/>
    </row>
    <row r="5361" spans="1:4" x14ac:dyDescent="0.2">
      <c r="A5361" s="496"/>
      <c r="D5361" s="496"/>
    </row>
    <row r="5362" spans="1:4" x14ac:dyDescent="0.2">
      <c r="A5362" s="496"/>
      <c r="D5362" s="496"/>
    </row>
    <row r="5363" spans="1:4" x14ac:dyDescent="0.2">
      <c r="A5363" s="496"/>
      <c r="D5363" s="496"/>
    </row>
    <row r="5364" spans="1:4" x14ac:dyDescent="0.2">
      <c r="A5364" s="496"/>
      <c r="D5364" s="496"/>
    </row>
    <row r="5365" spans="1:4" x14ac:dyDescent="0.2">
      <c r="A5365" s="496"/>
      <c r="D5365" s="496"/>
    </row>
    <row r="5366" spans="1:4" x14ac:dyDescent="0.2">
      <c r="A5366" s="496"/>
      <c r="D5366" s="496"/>
    </row>
    <row r="5367" spans="1:4" x14ac:dyDescent="0.2">
      <c r="A5367" s="496"/>
      <c r="D5367" s="496"/>
    </row>
    <row r="5368" spans="1:4" x14ac:dyDescent="0.2">
      <c r="A5368" s="496"/>
      <c r="D5368" s="496"/>
    </row>
    <row r="5369" spans="1:4" x14ac:dyDescent="0.2">
      <c r="A5369" s="496"/>
      <c r="D5369" s="496"/>
    </row>
    <row r="5370" spans="1:4" x14ac:dyDescent="0.2">
      <c r="A5370" s="496"/>
      <c r="D5370" s="496"/>
    </row>
    <row r="5371" spans="1:4" x14ac:dyDescent="0.2">
      <c r="A5371" s="496"/>
      <c r="D5371" s="496"/>
    </row>
    <row r="5372" spans="1:4" x14ac:dyDescent="0.2">
      <c r="A5372" s="496"/>
      <c r="D5372" s="496"/>
    </row>
    <row r="5373" spans="1:4" x14ac:dyDescent="0.2">
      <c r="A5373" s="496"/>
      <c r="D5373" s="496"/>
    </row>
    <row r="5374" spans="1:4" x14ac:dyDescent="0.2">
      <c r="A5374" s="496"/>
      <c r="D5374" s="496"/>
    </row>
    <row r="5375" spans="1:4" x14ac:dyDescent="0.2">
      <c r="A5375" s="496"/>
      <c r="D5375" s="496"/>
    </row>
    <row r="5376" spans="1:4" x14ac:dyDescent="0.2">
      <c r="A5376" s="496"/>
      <c r="D5376" s="496"/>
    </row>
    <row r="5377" spans="1:4" x14ac:dyDescent="0.2">
      <c r="A5377" s="496"/>
      <c r="D5377" s="496"/>
    </row>
    <row r="5378" spans="1:4" x14ac:dyDescent="0.2">
      <c r="A5378" s="496"/>
      <c r="D5378" s="496"/>
    </row>
    <row r="5379" spans="1:4" x14ac:dyDescent="0.2">
      <c r="A5379" s="496"/>
      <c r="D5379" s="496"/>
    </row>
    <row r="5380" spans="1:4" x14ac:dyDescent="0.2">
      <c r="A5380" s="496"/>
      <c r="D5380" s="496"/>
    </row>
    <row r="5381" spans="1:4" x14ac:dyDescent="0.2">
      <c r="A5381" s="496"/>
      <c r="D5381" s="496"/>
    </row>
    <row r="5382" spans="1:4" x14ac:dyDescent="0.2">
      <c r="A5382" s="496"/>
      <c r="D5382" s="496"/>
    </row>
    <row r="5383" spans="1:4" x14ac:dyDescent="0.2">
      <c r="A5383" s="496"/>
      <c r="D5383" s="496"/>
    </row>
    <row r="5384" spans="1:4" x14ac:dyDescent="0.2">
      <c r="A5384" s="496"/>
      <c r="D5384" s="496"/>
    </row>
    <row r="5385" spans="1:4" x14ac:dyDescent="0.2">
      <c r="A5385" s="496"/>
      <c r="D5385" s="496"/>
    </row>
    <row r="5386" spans="1:4" x14ac:dyDescent="0.2">
      <c r="A5386" s="496"/>
      <c r="D5386" s="496"/>
    </row>
    <row r="5387" spans="1:4" x14ac:dyDescent="0.2">
      <c r="A5387" s="496"/>
      <c r="D5387" s="496"/>
    </row>
    <row r="5388" spans="1:4" x14ac:dyDescent="0.2">
      <c r="A5388" s="496"/>
      <c r="D5388" s="496"/>
    </row>
    <row r="5389" spans="1:4" x14ac:dyDescent="0.2">
      <c r="A5389" s="496"/>
      <c r="D5389" s="496"/>
    </row>
    <row r="5390" spans="1:4" x14ac:dyDescent="0.2">
      <c r="A5390" s="496"/>
      <c r="D5390" s="496"/>
    </row>
    <row r="5391" spans="1:4" x14ac:dyDescent="0.2">
      <c r="A5391" s="496"/>
      <c r="D5391" s="496"/>
    </row>
    <row r="5392" spans="1:4" x14ac:dyDescent="0.2">
      <c r="A5392" s="496"/>
      <c r="D5392" s="496"/>
    </row>
    <row r="5393" spans="1:4" x14ac:dyDescent="0.2">
      <c r="A5393" s="496"/>
      <c r="D5393" s="496"/>
    </row>
    <row r="5394" spans="1:4" x14ac:dyDescent="0.2">
      <c r="A5394" s="496"/>
      <c r="D5394" s="496"/>
    </row>
    <row r="5395" spans="1:4" x14ac:dyDescent="0.2">
      <c r="A5395" s="496"/>
      <c r="D5395" s="496"/>
    </row>
    <row r="5396" spans="1:4" x14ac:dyDescent="0.2">
      <c r="A5396" s="496"/>
      <c r="D5396" s="496"/>
    </row>
    <row r="5397" spans="1:4" x14ac:dyDescent="0.2">
      <c r="A5397" s="496"/>
      <c r="D5397" s="496"/>
    </row>
    <row r="5398" spans="1:4" x14ac:dyDescent="0.2">
      <c r="A5398" s="496"/>
      <c r="D5398" s="496"/>
    </row>
    <row r="5399" spans="1:4" x14ac:dyDescent="0.2">
      <c r="A5399" s="496"/>
      <c r="D5399" s="496"/>
    </row>
    <row r="5400" spans="1:4" x14ac:dyDescent="0.2">
      <c r="A5400" s="496"/>
      <c r="D5400" s="496"/>
    </row>
    <row r="5401" spans="1:4" x14ac:dyDescent="0.2">
      <c r="A5401" s="496"/>
      <c r="D5401" s="496"/>
    </row>
    <row r="5402" spans="1:4" x14ac:dyDescent="0.2">
      <c r="A5402" s="496"/>
      <c r="D5402" s="496"/>
    </row>
    <row r="5403" spans="1:4" x14ac:dyDescent="0.2">
      <c r="A5403" s="496"/>
      <c r="D5403" s="496"/>
    </row>
    <row r="5404" spans="1:4" x14ac:dyDescent="0.2">
      <c r="A5404" s="496"/>
      <c r="D5404" s="496"/>
    </row>
    <row r="5405" spans="1:4" x14ac:dyDescent="0.2">
      <c r="A5405" s="496"/>
      <c r="D5405" s="496"/>
    </row>
    <row r="5406" spans="1:4" x14ac:dyDescent="0.2">
      <c r="A5406" s="496"/>
      <c r="D5406" s="496"/>
    </row>
    <row r="5407" spans="1:4" x14ac:dyDescent="0.2">
      <c r="A5407" s="496"/>
      <c r="D5407" s="496"/>
    </row>
    <row r="5408" spans="1:4" x14ac:dyDescent="0.2">
      <c r="A5408" s="496"/>
      <c r="D5408" s="496"/>
    </row>
    <row r="5409" spans="1:4" x14ac:dyDescent="0.2">
      <c r="A5409" s="496"/>
      <c r="D5409" s="496"/>
    </row>
    <row r="5410" spans="1:4" x14ac:dyDescent="0.2">
      <c r="A5410" s="496"/>
      <c r="D5410" s="496"/>
    </row>
    <row r="5411" spans="1:4" x14ac:dyDescent="0.2">
      <c r="A5411" s="496"/>
      <c r="D5411" s="496"/>
    </row>
    <row r="5412" spans="1:4" x14ac:dyDescent="0.2">
      <c r="A5412" s="496"/>
      <c r="D5412" s="496"/>
    </row>
    <row r="5413" spans="1:4" x14ac:dyDescent="0.2">
      <c r="A5413" s="496"/>
      <c r="D5413" s="496"/>
    </row>
    <row r="5414" spans="1:4" x14ac:dyDescent="0.2">
      <c r="A5414" s="496"/>
      <c r="D5414" s="496"/>
    </row>
    <row r="5415" spans="1:4" x14ac:dyDescent="0.2">
      <c r="A5415" s="496"/>
      <c r="D5415" s="496"/>
    </row>
    <row r="5416" spans="1:4" x14ac:dyDescent="0.2">
      <c r="A5416" s="496"/>
      <c r="D5416" s="496"/>
    </row>
    <row r="5417" spans="1:4" x14ac:dyDescent="0.2">
      <c r="A5417" s="496"/>
      <c r="D5417" s="496"/>
    </row>
    <row r="5418" spans="1:4" x14ac:dyDescent="0.2">
      <c r="A5418" s="496"/>
      <c r="D5418" s="496"/>
    </row>
    <row r="5419" spans="1:4" x14ac:dyDescent="0.2">
      <c r="A5419" s="496"/>
      <c r="D5419" s="496"/>
    </row>
    <row r="5420" spans="1:4" x14ac:dyDescent="0.2">
      <c r="A5420" s="496"/>
      <c r="D5420" s="496"/>
    </row>
    <row r="5421" spans="1:4" x14ac:dyDescent="0.2">
      <c r="A5421" s="496"/>
      <c r="D5421" s="496"/>
    </row>
    <row r="5422" spans="1:4" x14ac:dyDescent="0.2">
      <c r="A5422" s="496"/>
      <c r="D5422" s="496"/>
    </row>
    <row r="5423" spans="1:4" x14ac:dyDescent="0.2">
      <c r="A5423" s="496"/>
      <c r="D5423" s="496"/>
    </row>
    <row r="5424" spans="1:4" x14ac:dyDescent="0.2">
      <c r="A5424" s="496"/>
      <c r="D5424" s="496"/>
    </row>
    <row r="5425" spans="1:4" x14ac:dyDescent="0.2">
      <c r="A5425" s="496"/>
      <c r="D5425" s="496"/>
    </row>
    <row r="5426" spans="1:4" x14ac:dyDescent="0.2">
      <c r="A5426" s="496"/>
      <c r="D5426" s="496"/>
    </row>
    <row r="5427" spans="1:4" x14ac:dyDescent="0.2">
      <c r="A5427" s="496"/>
      <c r="D5427" s="496"/>
    </row>
    <row r="5428" spans="1:4" x14ac:dyDescent="0.2">
      <c r="A5428" s="496"/>
      <c r="D5428" s="496"/>
    </row>
    <row r="5429" spans="1:4" x14ac:dyDescent="0.2">
      <c r="A5429" s="496"/>
      <c r="D5429" s="496"/>
    </row>
    <row r="5430" spans="1:4" x14ac:dyDescent="0.2">
      <c r="A5430" s="496"/>
      <c r="D5430" s="496"/>
    </row>
    <row r="5431" spans="1:4" x14ac:dyDescent="0.2">
      <c r="A5431" s="496"/>
      <c r="D5431" s="496"/>
    </row>
    <row r="5432" spans="1:4" x14ac:dyDescent="0.2">
      <c r="A5432" s="496"/>
      <c r="D5432" s="496"/>
    </row>
    <row r="5433" spans="1:4" x14ac:dyDescent="0.2">
      <c r="A5433" s="496"/>
      <c r="D5433" s="496"/>
    </row>
    <row r="5434" spans="1:4" x14ac:dyDescent="0.2">
      <c r="A5434" s="496"/>
      <c r="D5434" s="496"/>
    </row>
    <row r="5435" spans="1:4" x14ac:dyDescent="0.2">
      <c r="A5435" s="496"/>
      <c r="D5435" s="496"/>
    </row>
    <row r="5436" spans="1:4" x14ac:dyDescent="0.2">
      <c r="A5436" s="496"/>
      <c r="D5436" s="496"/>
    </row>
    <row r="5437" spans="1:4" x14ac:dyDescent="0.2">
      <c r="A5437" s="496"/>
      <c r="D5437" s="496"/>
    </row>
    <row r="5438" spans="1:4" x14ac:dyDescent="0.2">
      <c r="A5438" s="496"/>
      <c r="D5438" s="496"/>
    </row>
    <row r="5439" spans="1:4" x14ac:dyDescent="0.2">
      <c r="A5439" s="496"/>
      <c r="D5439" s="496"/>
    </row>
    <row r="5440" spans="1:4" x14ac:dyDescent="0.2">
      <c r="A5440" s="496"/>
      <c r="D5440" s="496"/>
    </row>
    <row r="5441" spans="1:4" x14ac:dyDescent="0.2">
      <c r="A5441" s="496"/>
      <c r="D5441" s="496"/>
    </row>
    <row r="5442" spans="1:4" x14ac:dyDescent="0.2">
      <c r="A5442" s="496"/>
      <c r="D5442" s="496"/>
    </row>
    <row r="5443" spans="1:4" x14ac:dyDescent="0.2">
      <c r="A5443" s="496"/>
      <c r="D5443" s="496"/>
    </row>
    <row r="5444" spans="1:4" x14ac:dyDescent="0.2">
      <c r="A5444" s="496"/>
      <c r="D5444" s="496"/>
    </row>
    <row r="5445" spans="1:4" x14ac:dyDescent="0.2">
      <c r="A5445" s="496"/>
      <c r="D5445" s="496"/>
    </row>
    <row r="5446" spans="1:4" x14ac:dyDescent="0.2">
      <c r="A5446" s="496"/>
      <c r="D5446" s="496"/>
    </row>
    <row r="5447" spans="1:4" x14ac:dyDescent="0.2">
      <c r="A5447" s="496"/>
      <c r="D5447" s="496"/>
    </row>
    <row r="5448" spans="1:4" x14ac:dyDescent="0.2">
      <c r="A5448" s="496"/>
      <c r="D5448" s="496"/>
    </row>
    <row r="5449" spans="1:4" x14ac:dyDescent="0.2">
      <c r="A5449" s="496"/>
      <c r="D5449" s="496"/>
    </row>
    <row r="5450" spans="1:4" x14ac:dyDescent="0.2">
      <c r="A5450" s="496"/>
      <c r="D5450" s="496"/>
    </row>
    <row r="5451" spans="1:4" x14ac:dyDescent="0.2">
      <c r="A5451" s="496"/>
      <c r="D5451" s="496"/>
    </row>
    <row r="5452" spans="1:4" x14ac:dyDescent="0.2">
      <c r="A5452" s="496"/>
      <c r="D5452" s="496"/>
    </row>
    <row r="5453" spans="1:4" x14ac:dyDescent="0.2">
      <c r="A5453" s="496"/>
      <c r="D5453" s="496"/>
    </row>
    <row r="5454" spans="1:4" x14ac:dyDescent="0.2">
      <c r="A5454" s="496"/>
      <c r="D5454" s="496"/>
    </row>
    <row r="5455" spans="1:4" x14ac:dyDescent="0.2">
      <c r="A5455" s="496"/>
      <c r="D5455" s="496"/>
    </row>
    <row r="5456" spans="1:4" x14ac:dyDescent="0.2">
      <c r="A5456" s="496"/>
      <c r="D5456" s="496"/>
    </row>
    <row r="5457" spans="1:4" x14ac:dyDescent="0.2">
      <c r="A5457" s="496"/>
      <c r="D5457" s="496"/>
    </row>
    <row r="5458" spans="1:4" x14ac:dyDescent="0.2">
      <c r="A5458" s="496"/>
      <c r="D5458" s="496"/>
    </row>
    <row r="5459" spans="1:4" x14ac:dyDescent="0.2">
      <c r="A5459" s="496"/>
      <c r="D5459" s="496"/>
    </row>
    <row r="5460" spans="1:4" x14ac:dyDescent="0.2">
      <c r="A5460" s="496"/>
      <c r="D5460" s="496"/>
    </row>
    <row r="5461" spans="1:4" x14ac:dyDescent="0.2">
      <c r="A5461" s="496"/>
      <c r="D5461" s="496"/>
    </row>
    <row r="5462" spans="1:4" x14ac:dyDescent="0.2">
      <c r="A5462" s="496"/>
      <c r="D5462" s="496"/>
    </row>
    <row r="5463" spans="1:4" x14ac:dyDescent="0.2">
      <c r="A5463" s="496"/>
      <c r="D5463" s="496"/>
    </row>
    <row r="5464" spans="1:4" x14ac:dyDescent="0.2">
      <c r="A5464" s="496"/>
      <c r="D5464" s="496"/>
    </row>
    <row r="5465" spans="1:4" x14ac:dyDescent="0.2">
      <c r="A5465" s="496"/>
      <c r="D5465" s="496"/>
    </row>
    <row r="5466" spans="1:4" x14ac:dyDescent="0.2">
      <c r="A5466" s="496"/>
      <c r="D5466" s="496"/>
    </row>
    <row r="5467" spans="1:4" x14ac:dyDescent="0.2">
      <c r="A5467" s="496"/>
      <c r="D5467" s="496"/>
    </row>
    <row r="5468" spans="1:4" x14ac:dyDescent="0.2">
      <c r="A5468" s="496"/>
      <c r="D5468" s="496"/>
    </row>
    <row r="5469" spans="1:4" x14ac:dyDescent="0.2">
      <c r="A5469" s="496"/>
      <c r="D5469" s="496"/>
    </row>
    <row r="5470" spans="1:4" x14ac:dyDescent="0.2">
      <c r="A5470" s="496"/>
      <c r="D5470" s="496"/>
    </row>
    <row r="5471" spans="1:4" x14ac:dyDescent="0.2">
      <c r="A5471" s="496"/>
      <c r="D5471" s="496"/>
    </row>
    <row r="5472" spans="1:4" x14ac:dyDescent="0.2">
      <c r="A5472" s="496"/>
      <c r="D5472" s="496"/>
    </row>
    <row r="5473" spans="1:4" x14ac:dyDescent="0.2">
      <c r="A5473" s="496"/>
      <c r="D5473" s="496"/>
    </row>
    <row r="5474" spans="1:4" x14ac:dyDescent="0.2">
      <c r="A5474" s="496"/>
      <c r="D5474" s="496"/>
    </row>
    <row r="5475" spans="1:4" x14ac:dyDescent="0.2">
      <c r="A5475" s="496"/>
      <c r="D5475" s="496"/>
    </row>
    <row r="5476" spans="1:4" x14ac:dyDescent="0.2">
      <c r="A5476" s="496"/>
      <c r="D5476" s="496"/>
    </row>
    <row r="5477" spans="1:4" x14ac:dyDescent="0.2">
      <c r="A5477" s="496"/>
      <c r="D5477" s="496"/>
    </row>
    <row r="5478" spans="1:4" x14ac:dyDescent="0.2">
      <c r="A5478" s="496"/>
      <c r="D5478" s="496"/>
    </row>
    <row r="5479" spans="1:4" x14ac:dyDescent="0.2">
      <c r="A5479" s="496"/>
      <c r="D5479" s="496"/>
    </row>
    <row r="5480" spans="1:4" x14ac:dyDescent="0.2">
      <c r="A5480" s="496"/>
      <c r="D5480" s="496"/>
    </row>
    <row r="5481" spans="1:4" x14ac:dyDescent="0.2">
      <c r="A5481" s="496"/>
      <c r="D5481" s="496"/>
    </row>
    <row r="5482" spans="1:4" x14ac:dyDescent="0.2">
      <c r="A5482" s="496"/>
      <c r="D5482" s="496"/>
    </row>
    <row r="5483" spans="1:4" x14ac:dyDescent="0.2">
      <c r="A5483" s="496"/>
      <c r="D5483" s="496"/>
    </row>
    <row r="5484" spans="1:4" x14ac:dyDescent="0.2">
      <c r="A5484" s="496"/>
      <c r="D5484" s="496"/>
    </row>
    <row r="5485" spans="1:4" x14ac:dyDescent="0.2">
      <c r="A5485" s="496"/>
      <c r="D5485" s="496"/>
    </row>
    <row r="5486" spans="1:4" x14ac:dyDescent="0.2">
      <c r="A5486" s="496"/>
      <c r="D5486" s="496"/>
    </row>
    <row r="5487" spans="1:4" x14ac:dyDescent="0.2">
      <c r="A5487" s="496"/>
      <c r="D5487" s="496"/>
    </row>
    <row r="5488" spans="1:4" x14ac:dyDescent="0.2">
      <c r="A5488" s="496"/>
      <c r="D5488" s="496"/>
    </row>
    <row r="5489" spans="1:4" x14ac:dyDescent="0.2">
      <c r="A5489" s="496"/>
      <c r="D5489" s="496"/>
    </row>
    <row r="5490" spans="1:4" x14ac:dyDescent="0.2">
      <c r="A5490" s="496"/>
      <c r="D5490" s="496"/>
    </row>
    <row r="5491" spans="1:4" x14ac:dyDescent="0.2">
      <c r="A5491" s="496"/>
      <c r="D5491" s="496"/>
    </row>
    <row r="5492" spans="1:4" x14ac:dyDescent="0.2">
      <c r="A5492" s="496"/>
      <c r="D5492" s="496"/>
    </row>
    <row r="5493" spans="1:4" x14ac:dyDescent="0.2">
      <c r="A5493" s="496"/>
      <c r="D5493" s="496"/>
    </row>
    <row r="5494" spans="1:4" x14ac:dyDescent="0.2">
      <c r="A5494" s="496"/>
      <c r="D5494" s="496"/>
    </row>
    <row r="5495" spans="1:4" x14ac:dyDescent="0.2">
      <c r="A5495" s="496"/>
      <c r="D5495" s="496"/>
    </row>
    <row r="5496" spans="1:4" x14ac:dyDescent="0.2">
      <c r="A5496" s="496"/>
      <c r="D5496" s="496"/>
    </row>
    <row r="5497" spans="1:4" x14ac:dyDescent="0.2">
      <c r="A5497" s="496"/>
      <c r="D5497" s="496"/>
    </row>
    <row r="5498" spans="1:4" x14ac:dyDescent="0.2">
      <c r="A5498" s="496"/>
      <c r="D5498" s="496"/>
    </row>
    <row r="5499" spans="1:4" x14ac:dyDescent="0.2">
      <c r="A5499" s="496"/>
      <c r="D5499" s="496"/>
    </row>
    <row r="5500" spans="1:4" x14ac:dyDescent="0.2">
      <c r="A5500" s="496"/>
      <c r="D5500" s="496"/>
    </row>
    <row r="5501" spans="1:4" x14ac:dyDescent="0.2">
      <c r="A5501" s="496"/>
      <c r="D5501" s="496"/>
    </row>
    <row r="5502" spans="1:4" x14ac:dyDescent="0.2">
      <c r="A5502" s="496"/>
      <c r="D5502" s="496"/>
    </row>
    <row r="5503" spans="1:4" x14ac:dyDescent="0.2">
      <c r="A5503" s="496"/>
      <c r="D5503" s="496"/>
    </row>
    <row r="5504" spans="1:4" x14ac:dyDescent="0.2">
      <c r="A5504" s="496"/>
      <c r="D5504" s="496"/>
    </row>
    <row r="5505" spans="1:4" x14ac:dyDescent="0.2">
      <c r="A5505" s="496"/>
      <c r="D5505" s="496"/>
    </row>
    <row r="5506" spans="1:4" x14ac:dyDescent="0.2">
      <c r="A5506" s="496"/>
      <c r="D5506" s="496"/>
    </row>
    <row r="5507" spans="1:4" x14ac:dyDescent="0.2">
      <c r="A5507" s="496"/>
      <c r="D5507" s="496"/>
    </row>
    <row r="5508" spans="1:4" x14ac:dyDescent="0.2">
      <c r="A5508" s="496"/>
      <c r="D5508" s="496"/>
    </row>
    <row r="5509" spans="1:4" x14ac:dyDescent="0.2">
      <c r="A5509" s="496"/>
      <c r="D5509" s="496"/>
    </row>
    <row r="5510" spans="1:4" x14ac:dyDescent="0.2">
      <c r="A5510" s="496"/>
      <c r="D5510" s="496"/>
    </row>
    <row r="5511" spans="1:4" x14ac:dyDescent="0.2">
      <c r="A5511" s="496"/>
      <c r="D5511" s="496"/>
    </row>
    <row r="5512" spans="1:4" x14ac:dyDescent="0.2">
      <c r="A5512" s="496"/>
      <c r="D5512" s="496"/>
    </row>
    <row r="5513" spans="1:4" x14ac:dyDescent="0.2">
      <c r="A5513" s="496"/>
      <c r="D5513" s="496"/>
    </row>
    <row r="5514" spans="1:4" x14ac:dyDescent="0.2">
      <c r="A5514" s="496"/>
      <c r="D5514" s="496"/>
    </row>
    <row r="5515" spans="1:4" x14ac:dyDescent="0.2">
      <c r="A5515" s="496"/>
      <c r="D5515" s="496"/>
    </row>
    <row r="5516" spans="1:4" x14ac:dyDescent="0.2">
      <c r="A5516" s="496"/>
      <c r="D5516" s="496"/>
    </row>
    <row r="5517" spans="1:4" x14ac:dyDescent="0.2">
      <c r="A5517" s="496"/>
      <c r="D5517" s="496"/>
    </row>
    <row r="5518" spans="1:4" x14ac:dyDescent="0.2">
      <c r="A5518" s="496"/>
      <c r="D5518" s="496"/>
    </row>
    <row r="5519" spans="1:4" x14ac:dyDescent="0.2">
      <c r="A5519" s="496"/>
      <c r="D5519" s="496"/>
    </row>
    <row r="5520" spans="1:4" x14ac:dyDescent="0.2">
      <c r="A5520" s="496"/>
      <c r="D5520" s="496"/>
    </row>
    <row r="5521" spans="1:4" x14ac:dyDescent="0.2">
      <c r="A5521" s="496"/>
      <c r="D5521" s="496"/>
    </row>
    <row r="5522" spans="1:4" x14ac:dyDescent="0.2">
      <c r="A5522" s="496"/>
      <c r="D5522" s="496"/>
    </row>
    <row r="5523" spans="1:4" x14ac:dyDescent="0.2">
      <c r="A5523" s="496"/>
      <c r="D5523" s="496"/>
    </row>
    <row r="5524" spans="1:4" x14ac:dyDescent="0.2">
      <c r="A5524" s="496"/>
      <c r="D5524" s="496"/>
    </row>
    <row r="5525" spans="1:4" x14ac:dyDescent="0.2">
      <c r="A5525" s="496"/>
      <c r="D5525" s="496"/>
    </row>
    <row r="5526" spans="1:4" x14ac:dyDescent="0.2">
      <c r="A5526" s="496"/>
      <c r="D5526" s="496"/>
    </row>
    <row r="5527" spans="1:4" x14ac:dyDescent="0.2">
      <c r="A5527" s="496"/>
      <c r="D5527" s="496"/>
    </row>
    <row r="5528" spans="1:4" x14ac:dyDescent="0.2">
      <c r="A5528" s="496"/>
      <c r="D5528" s="496"/>
    </row>
    <row r="5529" spans="1:4" x14ac:dyDescent="0.2">
      <c r="A5529" s="496"/>
      <c r="D5529" s="496"/>
    </row>
    <row r="5530" spans="1:4" x14ac:dyDescent="0.2">
      <c r="A5530" s="496"/>
      <c r="D5530" s="496"/>
    </row>
    <row r="5531" spans="1:4" x14ac:dyDescent="0.2">
      <c r="A5531" s="496"/>
      <c r="D5531" s="496"/>
    </row>
    <row r="5532" spans="1:4" x14ac:dyDescent="0.2">
      <c r="A5532" s="496"/>
      <c r="D5532" s="496"/>
    </row>
    <row r="5533" spans="1:4" x14ac:dyDescent="0.2">
      <c r="A5533" s="496"/>
      <c r="D5533" s="496"/>
    </row>
    <row r="5534" spans="1:4" x14ac:dyDescent="0.2">
      <c r="A5534" s="496"/>
      <c r="D5534" s="496"/>
    </row>
    <row r="5535" spans="1:4" x14ac:dyDescent="0.2">
      <c r="A5535" s="496"/>
      <c r="D5535" s="496"/>
    </row>
    <row r="5536" spans="1:4" x14ac:dyDescent="0.2">
      <c r="A5536" s="496"/>
      <c r="D5536" s="496"/>
    </row>
    <row r="5537" spans="1:4" x14ac:dyDescent="0.2">
      <c r="A5537" s="496"/>
      <c r="D5537" s="496"/>
    </row>
    <row r="5538" spans="1:4" x14ac:dyDescent="0.2">
      <c r="A5538" s="496"/>
      <c r="D5538" s="496"/>
    </row>
    <row r="5539" spans="1:4" x14ac:dyDescent="0.2">
      <c r="A5539" s="496"/>
      <c r="D5539" s="496"/>
    </row>
    <row r="5540" spans="1:4" x14ac:dyDescent="0.2">
      <c r="A5540" s="496"/>
      <c r="D5540" s="496"/>
    </row>
    <row r="5541" spans="1:4" x14ac:dyDescent="0.2">
      <c r="A5541" s="496"/>
      <c r="D5541" s="496"/>
    </row>
    <row r="5542" spans="1:4" x14ac:dyDescent="0.2">
      <c r="A5542" s="496"/>
      <c r="D5542" s="496"/>
    </row>
    <row r="5543" spans="1:4" x14ac:dyDescent="0.2">
      <c r="A5543" s="496"/>
      <c r="D5543" s="496"/>
    </row>
    <row r="5544" spans="1:4" x14ac:dyDescent="0.2">
      <c r="A5544" s="496"/>
      <c r="D5544" s="496"/>
    </row>
    <row r="5545" spans="1:4" x14ac:dyDescent="0.2">
      <c r="A5545" s="496"/>
      <c r="D5545" s="496"/>
    </row>
    <row r="5546" spans="1:4" x14ac:dyDescent="0.2">
      <c r="A5546" s="496"/>
      <c r="D5546" s="496"/>
    </row>
    <row r="5547" spans="1:4" x14ac:dyDescent="0.2">
      <c r="A5547" s="496"/>
      <c r="D5547" s="496"/>
    </row>
    <row r="5548" spans="1:4" x14ac:dyDescent="0.2">
      <c r="A5548" s="496"/>
      <c r="D5548" s="496"/>
    </row>
    <row r="5549" spans="1:4" x14ac:dyDescent="0.2">
      <c r="A5549" s="496"/>
      <c r="D5549" s="496"/>
    </row>
    <row r="5550" spans="1:4" x14ac:dyDescent="0.2">
      <c r="A5550" s="496"/>
      <c r="D5550" s="496"/>
    </row>
    <row r="5551" spans="1:4" x14ac:dyDescent="0.2">
      <c r="A5551" s="496"/>
      <c r="D5551" s="496"/>
    </row>
    <row r="5552" spans="1:4" x14ac:dyDescent="0.2">
      <c r="A5552" s="496"/>
      <c r="D5552" s="496"/>
    </row>
    <row r="5553" spans="1:4" x14ac:dyDescent="0.2">
      <c r="A5553" s="496"/>
      <c r="D5553" s="496"/>
    </row>
    <row r="5554" spans="1:4" x14ac:dyDescent="0.2">
      <c r="A5554" s="496"/>
      <c r="D5554" s="496"/>
    </row>
    <row r="5555" spans="1:4" x14ac:dyDescent="0.2">
      <c r="A5555" s="496"/>
      <c r="D5555" s="496"/>
    </row>
    <row r="5556" spans="1:4" x14ac:dyDescent="0.2">
      <c r="A5556" s="496"/>
      <c r="D5556" s="496"/>
    </row>
    <row r="5557" spans="1:4" x14ac:dyDescent="0.2">
      <c r="A5557" s="496"/>
      <c r="D5557" s="496"/>
    </row>
    <row r="5558" spans="1:4" x14ac:dyDescent="0.2">
      <c r="A5558" s="496"/>
      <c r="D5558" s="496"/>
    </row>
    <row r="5559" spans="1:4" x14ac:dyDescent="0.2">
      <c r="A5559" s="496"/>
      <c r="D5559" s="496"/>
    </row>
    <row r="5560" spans="1:4" x14ac:dyDescent="0.2">
      <c r="A5560" s="496"/>
      <c r="D5560" s="496"/>
    </row>
    <row r="5561" spans="1:4" x14ac:dyDescent="0.2">
      <c r="A5561" s="496"/>
      <c r="D5561" s="496"/>
    </row>
    <row r="5562" spans="1:4" x14ac:dyDescent="0.2">
      <c r="A5562" s="496"/>
      <c r="D5562" s="496"/>
    </row>
    <row r="5563" spans="1:4" x14ac:dyDescent="0.2">
      <c r="A5563" s="496"/>
      <c r="D5563" s="496"/>
    </row>
    <row r="5564" spans="1:4" x14ac:dyDescent="0.2">
      <c r="A5564" s="496"/>
      <c r="D5564" s="496"/>
    </row>
    <row r="5565" spans="1:4" x14ac:dyDescent="0.2">
      <c r="A5565" s="496"/>
      <c r="D5565" s="496"/>
    </row>
    <row r="5566" spans="1:4" x14ac:dyDescent="0.2">
      <c r="A5566" s="496"/>
      <c r="D5566" s="496"/>
    </row>
    <row r="5567" spans="1:4" x14ac:dyDescent="0.2">
      <c r="A5567" s="496"/>
      <c r="D5567" s="496"/>
    </row>
    <row r="5568" spans="1:4" x14ac:dyDescent="0.2">
      <c r="A5568" s="496"/>
      <c r="D5568" s="496"/>
    </row>
    <row r="5569" spans="1:4" x14ac:dyDescent="0.2">
      <c r="A5569" s="496"/>
      <c r="D5569" s="496"/>
    </row>
    <row r="5570" spans="1:4" x14ac:dyDescent="0.2">
      <c r="A5570" s="496"/>
      <c r="D5570" s="496"/>
    </row>
    <row r="5571" spans="1:4" x14ac:dyDescent="0.2">
      <c r="A5571" s="496"/>
      <c r="D5571" s="496"/>
    </row>
    <row r="5572" spans="1:4" x14ac:dyDescent="0.2">
      <c r="A5572" s="496"/>
      <c r="D5572" s="496"/>
    </row>
    <row r="5573" spans="1:4" x14ac:dyDescent="0.2">
      <c r="A5573" s="496"/>
      <c r="D5573" s="496"/>
    </row>
    <row r="5574" spans="1:4" x14ac:dyDescent="0.2">
      <c r="A5574" s="496"/>
      <c r="D5574" s="496"/>
    </row>
    <row r="5575" spans="1:4" x14ac:dyDescent="0.2">
      <c r="A5575" s="496"/>
      <c r="D5575" s="496"/>
    </row>
    <row r="5576" spans="1:4" x14ac:dyDescent="0.2">
      <c r="A5576" s="496"/>
      <c r="D5576" s="496"/>
    </row>
    <row r="5577" spans="1:4" x14ac:dyDescent="0.2">
      <c r="A5577" s="496"/>
      <c r="D5577" s="496"/>
    </row>
    <row r="5578" spans="1:4" x14ac:dyDescent="0.2">
      <c r="A5578" s="496"/>
      <c r="D5578" s="496"/>
    </row>
    <row r="5579" spans="1:4" x14ac:dyDescent="0.2">
      <c r="A5579" s="496"/>
      <c r="D5579" s="496"/>
    </row>
    <row r="5580" spans="1:4" x14ac:dyDescent="0.2">
      <c r="A5580" s="496"/>
      <c r="D5580" s="496"/>
    </row>
    <row r="5581" spans="1:4" x14ac:dyDescent="0.2">
      <c r="A5581" s="496"/>
      <c r="D5581" s="496"/>
    </row>
    <row r="5582" spans="1:4" x14ac:dyDescent="0.2">
      <c r="A5582" s="496"/>
      <c r="D5582" s="496"/>
    </row>
    <row r="5583" spans="1:4" x14ac:dyDescent="0.2">
      <c r="A5583" s="496"/>
      <c r="D5583" s="496"/>
    </row>
    <row r="5584" spans="1:4" x14ac:dyDescent="0.2">
      <c r="A5584" s="496"/>
      <c r="D5584" s="496"/>
    </row>
    <row r="5585" spans="1:4" x14ac:dyDescent="0.2">
      <c r="A5585" s="496"/>
      <c r="D5585" s="496"/>
    </row>
    <row r="5586" spans="1:4" x14ac:dyDescent="0.2">
      <c r="A5586" s="496"/>
      <c r="D5586" s="496"/>
    </row>
    <row r="5587" spans="1:4" x14ac:dyDescent="0.2">
      <c r="A5587" s="496"/>
      <c r="D5587" s="496"/>
    </row>
    <row r="5588" spans="1:4" x14ac:dyDescent="0.2">
      <c r="A5588" s="496"/>
      <c r="D5588" s="496"/>
    </row>
    <row r="5589" spans="1:4" x14ac:dyDescent="0.2">
      <c r="A5589" s="496"/>
      <c r="D5589" s="496"/>
    </row>
    <row r="5590" spans="1:4" x14ac:dyDescent="0.2">
      <c r="A5590" s="496"/>
      <c r="D5590" s="496"/>
    </row>
    <row r="5591" spans="1:4" x14ac:dyDescent="0.2">
      <c r="A5591" s="496"/>
      <c r="D5591" s="496"/>
    </row>
    <row r="5592" spans="1:4" x14ac:dyDescent="0.2">
      <c r="A5592" s="496"/>
      <c r="D5592" s="496"/>
    </row>
    <row r="5593" spans="1:4" x14ac:dyDescent="0.2">
      <c r="A5593" s="496"/>
      <c r="D5593" s="496"/>
    </row>
    <row r="5594" spans="1:4" x14ac:dyDescent="0.2">
      <c r="A5594" s="496"/>
      <c r="D5594" s="496"/>
    </row>
    <row r="5595" spans="1:4" x14ac:dyDescent="0.2">
      <c r="A5595" s="496"/>
      <c r="D5595" s="496"/>
    </row>
    <row r="5596" spans="1:4" x14ac:dyDescent="0.2">
      <c r="A5596" s="496"/>
      <c r="D5596" s="496"/>
    </row>
    <row r="5597" spans="1:4" x14ac:dyDescent="0.2">
      <c r="A5597" s="496"/>
      <c r="D5597" s="496"/>
    </row>
    <row r="5598" spans="1:4" x14ac:dyDescent="0.2">
      <c r="A5598" s="496"/>
      <c r="D5598" s="496"/>
    </row>
    <row r="5599" spans="1:4" x14ac:dyDescent="0.2">
      <c r="A5599" s="496"/>
      <c r="D5599" s="496"/>
    </row>
    <row r="5600" spans="1:4" x14ac:dyDescent="0.2">
      <c r="A5600" s="496"/>
      <c r="D5600" s="496"/>
    </row>
    <row r="5601" spans="1:4" x14ac:dyDescent="0.2">
      <c r="A5601" s="496"/>
      <c r="D5601" s="496"/>
    </row>
    <row r="5602" spans="1:4" x14ac:dyDescent="0.2">
      <c r="A5602" s="496"/>
      <c r="D5602" s="496"/>
    </row>
    <row r="5603" spans="1:4" x14ac:dyDescent="0.2">
      <c r="A5603" s="496"/>
      <c r="D5603" s="496"/>
    </row>
    <row r="5604" spans="1:4" x14ac:dyDescent="0.2">
      <c r="A5604" s="496"/>
      <c r="D5604" s="496"/>
    </row>
    <row r="5605" spans="1:4" x14ac:dyDescent="0.2">
      <c r="A5605" s="496"/>
      <c r="D5605" s="496"/>
    </row>
    <row r="5606" spans="1:4" x14ac:dyDescent="0.2">
      <c r="A5606" s="496"/>
      <c r="D5606" s="496"/>
    </row>
    <row r="5607" spans="1:4" x14ac:dyDescent="0.2">
      <c r="A5607" s="496"/>
      <c r="D5607" s="496"/>
    </row>
    <row r="5608" spans="1:4" x14ac:dyDescent="0.2">
      <c r="A5608" s="496"/>
      <c r="D5608" s="496"/>
    </row>
    <row r="5609" spans="1:4" x14ac:dyDescent="0.2">
      <c r="A5609" s="496"/>
      <c r="D5609" s="496"/>
    </row>
    <row r="5610" spans="1:4" x14ac:dyDescent="0.2">
      <c r="A5610" s="496"/>
      <c r="D5610" s="496"/>
    </row>
    <row r="5611" spans="1:4" x14ac:dyDescent="0.2">
      <c r="A5611" s="496"/>
      <c r="D5611" s="496"/>
    </row>
    <row r="5612" spans="1:4" x14ac:dyDescent="0.2">
      <c r="A5612" s="496"/>
      <c r="D5612" s="496"/>
    </row>
    <row r="5613" spans="1:4" x14ac:dyDescent="0.2">
      <c r="A5613" s="496"/>
      <c r="D5613" s="496"/>
    </row>
    <row r="5614" spans="1:4" x14ac:dyDescent="0.2">
      <c r="A5614" s="496"/>
      <c r="D5614" s="496"/>
    </row>
    <row r="5615" spans="1:4" x14ac:dyDescent="0.2">
      <c r="A5615" s="496"/>
      <c r="D5615" s="496"/>
    </row>
    <row r="5616" spans="1:4" x14ac:dyDescent="0.2">
      <c r="A5616" s="496"/>
      <c r="D5616" s="496"/>
    </row>
    <row r="5617" spans="1:4" x14ac:dyDescent="0.2">
      <c r="A5617" s="496"/>
      <c r="D5617" s="496"/>
    </row>
    <row r="5618" spans="1:4" x14ac:dyDescent="0.2">
      <c r="A5618" s="496"/>
      <c r="D5618" s="496"/>
    </row>
    <row r="5619" spans="1:4" x14ac:dyDescent="0.2">
      <c r="A5619" s="496"/>
      <c r="D5619" s="496"/>
    </row>
    <row r="5620" spans="1:4" x14ac:dyDescent="0.2">
      <c r="A5620" s="496"/>
      <c r="D5620" s="496"/>
    </row>
    <row r="5621" spans="1:4" x14ac:dyDescent="0.2">
      <c r="A5621" s="496"/>
      <c r="D5621" s="496"/>
    </row>
    <row r="5622" spans="1:4" x14ac:dyDescent="0.2">
      <c r="A5622" s="496"/>
      <c r="D5622" s="496"/>
    </row>
    <row r="5623" spans="1:4" x14ac:dyDescent="0.2">
      <c r="A5623" s="496"/>
      <c r="D5623" s="496"/>
    </row>
    <row r="5624" spans="1:4" x14ac:dyDescent="0.2">
      <c r="A5624" s="496"/>
      <c r="D5624" s="496"/>
    </row>
    <row r="5625" spans="1:4" x14ac:dyDescent="0.2">
      <c r="A5625" s="496"/>
      <c r="D5625" s="496"/>
    </row>
    <row r="5626" spans="1:4" x14ac:dyDescent="0.2">
      <c r="A5626" s="496"/>
      <c r="D5626" s="496"/>
    </row>
    <row r="5627" spans="1:4" x14ac:dyDescent="0.2">
      <c r="A5627" s="496"/>
      <c r="D5627" s="496"/>
    </row>
    <row r="5628" spans="1:4" x14ac:dyDescent="0.2">
      <c r="A5628" s="496"/>
      <c r="D5628" s="496"/>
    </row>
    <row r="5629" spans="1:4" x14ac:dyDescent="0.2">
      <c r="A5629" s="496"/>
      <c r="D5629" s="496"/>
    </row>
    <row r="5630" spans="1:4" x14ac:dyDescent="0.2">
      <c r="A5630" s="496"/>
      <c r="D5630" s="496"/>
    </row>
    <row r="5631" spans="1:4" x14ac:dyDescent="0.2">
      <c r="A5631" s="496"/>
      <c r="D5631" s="496"/>
    </row>
    <row r="5632" spans="1:4" x14ac:dyDescent="0.2">
      <c r="A5632" s="496"/>
      <c r="D5632" s="496"/>
    </row>
    <row r="5633" spans="1:4" x14ac:dyDescent="0.2">
      <c r="A5633" s="496"/>
      <c r="D5633" s="496"/>
    </row>
    <row r="5634" spans="1:4" x14ac:dyDescent="0.2">
      <c r="A5634" s="496"/>
      <c r="D5634" s="496"/>
    </row>
    <row r="5635" spans="1:4" x14ac:dyDescent="0.2">
      <c r="A5635" s="496"/>
      <c r="D5635" s="496"/>
    </row>
    <row r="5636" spans="1:4" x14ac:dyDescent="0.2">
      <c r="A5636" s="496"/>
      <c r="D5636" s="496"/>
    </row>
    <row r="5637" spans="1:4" x14ac:dyDescent="0.2">
      <c r="A5637" s="496"/>
      <c r="D5637" s="496"/>
    </row>
    <row r="5638" spans="1:4" x14ac:dyDescent="0.2">
      <c r="A5638" s="496"/>
      <c r="D5638" s="496"/>
    </row>
    <row r="5639" spans="1:4" x14ac:dyDescent="0.2">
      <c r="A5639" s="496"/>
      <c r="D5639" s="496"/>
    </row>
    <row r="5640" spans="1:4" x14ac:dyDescent="0.2">
      <c r="A5640" s="496"/>
      <c r="D5640" s="496"/>
    </row>
    <row r="5641" spans="1:4" x14ac:dyDescent="0.2">
      <c r="A5641" s="496"/>
      <c r="D5641" s="496"/>
    </row>
    <row r="5642" spans="1:4" x14ac:dyDescent="0.2">
      <c r="A5642" s="496"/>
      <c r="D5642" s="496"/>
    </row>
    <row r="5643" spans="1:4" x14ac:dyDescent="0.2">
      <c r="A5643" s="496"/>
      <c r="D5643" s="496"/>
    </row>
    <row r="5644" spans="1:4" x14ac:dyDescent="0.2">
      <c r="A5644" s="496"/>
      <c r="D5644" s="496"/>
    </row>
    <row r="5645" spans="1:4" x14ac:dyDescent="0.2">
      <c r="A5645" s="496"/>
      <c r="D5645" s="496"/>
    </row>
    <row r="5646" spans="1:4" x14ac:dyDescent="0.2">
      <c r="A5646" s="496"/>
      <c r="D5646" s="496"/>
    </row>
    <row r="5647" spans="1:4" x14ac:dyDescent="0.2">
      <c r="A5647" s="496"/>
      <c r="D5647" s="496"/>
    </row>
    <row r="5648" spans="1:4" x14ac:dyDescent="0.2">
      <c r="A5648" s="496"/>
      <c r="D5648" s="496"/>
    </row>
    <row r="5649" spans="1:4" x14ac:dyDescent="0.2">
      <c r="A5649" s="496"/>
      <c r="D5649" s="496"/>
    </row>
    <row r="5650" spans="1:4" x14ac:dyDescent="0.2">
      <c r="A5650" s="496"/>
      <c r="D5650" s="496"/>
    </row>
    <row r="5651" spans="1:4" x14ac:dyDescent="0.2">
      <c r="A5651" s="496"/>
      <c r="D5651" s="496"/>
    </row>
    <row r="5652" spans="1:4" x14ac:dyDescent="0.2">
      <c r="A5652" s="496"/>
      <c r="D5652" s="496"/>
    </row>
    <row r="5653" spans="1:4" x14ac:dyDescent="0.2">
      <c r="A5653" s="496"/>
      <c r="D5653" s="496"/>
    </row>
    <row r="5654" spans="1:4" x14ac:dyDescent="0.2">
      <c r="A5654" s="496"/>
      <c r="D5654" s="496"/>
    </row>
    <row r="5655" spans="1:4" x14ac:dyDescent="0.2">
      <c r="A5655" s="496"/>
      <c r="D5655" s="496"/>
    </row>
    <row r="5656" spans="1:4" x14ac:dyDescent="0.2">
      <c r="A5656" s="496"/>
      <c r="D5656" s="496"/>
    </row>
    <row r="5657" spans="1:4" x14ac:dyDescent="0.2">
      <c r="A5657" s="496"/>
      <c r="D5657" s="496"/>
    </row>
    <row r="5658" spans="1:4" x14ac:dyDescent="0.2">
      <c r="A5658" s="496"/>
      <c r="D5658" s="496"/>
    </row>
    <row r="5659" spans="1:4" x14ac:dyDescent="0.2">
      <c r="A5659" s="496"/>
      <c r="D5659" s="496"/>
    </row>
    <row r="5660" spans="1:4" x14ac:dyDescent="0.2">
      <c r="A5660" s="496"/>
      <c r="D5660" s="496"/>
    </row>
    <row r="5661" spans="1:4" x14ac:dyDescent="0.2">
      <c r="A5661" s="496"/>
      <c r="D5661" s="496"/>
    </row>
    <row r="5662" spans="1:4" x14ac:dyDescent="0.2">
      <c r="A5662" s="496"/>
      <c r="D5662" s="496"/>
    </row>
    <row r="5663" spans="1:4" x14ac:dyDescent="0.2">
      <c r="A5663" s="496"/>
      <c r="D5663" s="496"/>
    </row>
    <row r="5664" spans="1:4" x14ac:dyDescent="0.2">
      <c r="A5664" s="496"/>
      <c r="D5664" s="496"/>
    </row>
    <row r="5665" spans="1:4" x14ac:dyDescent="0.2">
      <c r="A5665" s="496"/>
      <c r="D5665" s="496"/>
    </row>
    <row r="5666" spans="1:4" x14ac:dyDescent="0.2">
      <c r="A5666" s="496"/>
      <c r="D5666" s="496"/>
    </row>
    <row r="5667" spans="1:4" x14ac:dyDescent="0.2">
      <c r="A5667" s="496"/>
      <c r="D5667" s="496"/>
    </row>
    <row r="5668" spans="1:4" x14ac:dyDescent="0.2">
      <c r="A5668" s="496"/>
      <c r="D5668" s="496"/>
    </row>
    <row r="5669" spans="1:4" x14ac:dyDescent="0.2">
      <c r="A5669" s="496"/>
      <c r="D5669" s="496"/>
    </row>
    <row r="5670" spans="1:4" x14ac:dyDescent="0.2">
      <c r="A5670" s="496"/>
      <c r="D5670" s="496"/>
    </row>
    <row r="5671" spans="1:4" x14ac:dyDescent="0.2">
      <c r="A5671" s="496"/>
      <c r="D5671" s="496"/>
    </row>
    <row r="5672" spans="1:4" x14ac:dyDescent="0.2">
      <c r="A5672" s="496"/>
      <c r="D5672" s="496"/>
    </row>
    <row r="5673" spans="1:4" x14ac:dyDescent="0.2">
      <c r="A5673" s="496"/>
      <c r="D5673" s="496"/>
    </row>
    <row r="5674" spans="1:4" x14ac:dyDescent="0.2">
      <c r="A5674" s="496"/>
      <c r="D5674" s="496"/>
    </row>
    <row r="5675" spans="1:4" x14ac:dyDescent="0.2">
      <c r="A5675" s="496"/>
      <c r="D5675" s="496"/>
    </row>
    <row r="5676" spans="1:4" x14ac:dyDescent="0.2">
      <c r="A5676" s="496"/>
      <c r="D5676" s="496"/>
    </row>
    <row r="5677" spans="1:4" x14ac:dyDescent="0.2">
      <c r="A5677" s="496"/>
      <c r="D5677" s="496"/>
    </row>
    <row r="5678" spans="1:4" x14ac:dyDescent="0.2">
      <c r="A5678" s="496"/>
      <c r="D5678" s="496"/>
    </row>
    <row r="5679" spans="1:4" x14ac:dyDescent="0.2">
      <c r="A5679" s="496"/>
      <c r="D5679" s="496"/>
    </row>
    <row r="5680" spans="1:4" x14ac:dyDescent="0.2">
      <c r="A5680" s="496"/>
      <c r="D5680" s="496"/>
    </row>
    <row r="5681" spans="1:4" x14ac:dyDescent="0.2">
      <c r="A5681" s="496"/>
      <c r="D5681" s="496"/>
    </row>
    <row r="5682" spans="1:4" x14ac:dyDescent="0.2">
      <c r="A5682" s="496"/>
      <c r="D5682" s="496"/>
    </row>
    <row r="5683" spans="1:4" x14ac:dyDescent="0.2">
      <c r="A5683" s="496"/>
      <c r="D5683" s="496"/>
    </row>
    <row r="5684" spans="1:4" x14ac:dyDescent="0.2">
      <c r="A5684" s="496"/>
      <c r="D5684" s="496"/>
    </row>
    <row r="5685" spans="1:4" x14ac:dyDescent="0.2">
      <c r="A5685" s="496"/>
      <c r="D5685" s="496"/>
    </row>
    <row r="5686" spans="1:4" x14ac:dyDescent="0.2">
      <c r="A5686" s="496"/>
      <c r="D5686" s="496"/>
    </row>
    <row r="5687" spans="1:4" x14ac:dyDescent="0.2">
      <c r="A5687" s="496"/>
      <c r="D5687" s="496"/>
    </row>
    <row r="5688" spans="1:4" x14ac:dyDescent="0.2">
      <c r="A5688" s="496"/>
      <c r="D5688" s="496"/>
    </row>
    <row r="5689" spans="1:4" x14ac:dyDescent="0.2">
      <c r="A5689" s="496"/>
      <c r="D5689" s="496"/>
    </row>
    <row r="5690" spans="1:4" x14ac:dyDescent="0.2">
      <c r="A5690" s="496"/>
      <c r="D5690" s="496"/>
    </row>
    <row r="5691" spans="1:4" x14ac:dyDescent="0.2">
      <c r="A5691" s="496"/>
      <c r="D5691" s="496"/>
    </row>
    <row r="5692" spans="1:4" x14ac:dyDescent="0.2">
      <c r="A5692" s="496"/>
      <c r="D5692" s="496"/>
    </row>
    <row r="5693" spans="1:4" x14ac:dyDescent="0.2">
      <c r="A5693" s="496"/>
      <c r="D5693" s="496"/>
    </row>
    <row r="5694" spans="1:4" x14ac:dyDescent="0.2">
      <c r="A5694" s="496"/>
      <c r="D5694" s="496"/>
    </row>
    <row r="5695" spans="1:4" x14ac:dyDescent="0.2">
      <c r="A5695" s="496"/>
      <c r="D5695" s="496"/>
    </row>
    <row r="5696" spans="1:4" x14ac:dyDescent="0.2">
      <c r="A5696" s="496"/>
      <c r="D5696" s="496"/>
    </row>
    <row r="5697" spans="1:4" x14ac:dyDescent="0.2">
      <c r="A5697" s="496"/>
      <c r="D5697" s="496"/>
    </row>
    <row r="5698" spans="1:4" x14ac:dyDescent="0.2">
      <c r="A5698" s="496"/>
      <c r="D5698" s="496"/>
    </row>
    <row r="5699" spans="1:4" x14ac:dyDescent="0.2">
      <c r="A5699" s="496"/>
      <c r="D5699" s="496"/>
    </row>
    <row r="5700" spans="1:4" x14ac:dyDescent="0.2">
      <c r="A5700" s="496"/>
      <c r="D5700" s="496"/>
    </row>
    <row r="5701" spans="1:4" x14ac:dyDescent="0.2">
      <c r="A5701" s="496"/>
      <c r="D5701" s="496"/>
    </row>
    <row r="5702" spans="1:4" x14ac:dyDescent="0.2">
      <c r="A5702" s="496"/>
      <c r="D5702" s="496"/>
    </row>
    <row r="5703" spans="1:4" x14ac:dyDescent="0.2">
      <c r="A5703" s="496"/>
      <c r="D5703" s="496"/>
    </row>
    <row r="5704" spans="1:4" x14ac:dyDescent="0.2">
      <c r="A5704" s="496"/>
      <c r="D5704" s="496"/>
    </row>
    <row r="5705" spans="1:4" x14ac:dyDescent="0.2">
      <c r="A5705" s="496"/>
      <c r="D5705" s="496"/>
    </row>
    <row r="5706" spans="1:4" x14ac:dyDescent="0.2">
      <c r="A5706" s="496"/>
      <c r="D5706" s="496"/>
    </row>
    <row r="5707" spans="1:4" x14ac:dyDescent="0.2">
      <c r="A5707" s="496"/>
      <c r="D5707" s="496"/>
    </row>
    <row r="5708" spans="1:4" x14ac:dyDescent="0.2">
      <c r="A5708" s="496"/>
      <c r="D5708" s="496"/>
    </row>
    <row r="5709" spans="1:4" x14ac:dyDescent="0.2">
      <c r="A5709" s="496"/>
      <c r="D5709" s="496"/>
    </row>
    <row r="5710" spans="1:4" x14ac:dyDescent="0.2">
      <c r="A5710" s="496"/>
      <c r="D5710" s="496"/>
    </row>
    <row r="5711" spans="1:4" x14ac:dyDescent="0.2">
      <c r="A5711" s="496"/>
      <c r="D5711" s="496"/>
    </row>
    <row r="5712" spans="1:4" x14ac:dyDescent="0.2">
      <c r="A5712" s="496"/>
      <c r="D5712" s="496"/>
    </row>
    <row r="5713" spans="1:4" x14ac:dyDescent="0.2">
      <c r="A5713" s="496"/>
      <c r="D5713" s="496"/>
    </row>
    <row r="5714" spans="1:4" x14ac:dyDescent="0.2">
      <c r="A5714" s="496"/>
      <c r="D5714" s="496"/>
    </row>
    <row r="5715" spans="1:4" x14ac:dyDescent="0.2">
      <c r="A5715" s="496"/>
      <c r="D5715" s="496"/>
    </row>
    <row r="5716" spans="1:4" x14ac:dyDescent="0.2">
      <c r="A5716" s="496"/>
      <c r="D5716" s="496"/>
    </row>
    <row r="5717" spans="1:4" x14ac:dyDescent="0.2">
      <c r="A5717" s="496"/>
      <c r="D5717" s="496"/>
    </row>
    <row r="5718" spans="1:4" x14ac:dyDescent="0.2">
      <c r="A5718" s="496"/>
      <c r="D5718" s="496"/>
    </row>
    <row r="5719" spans="1:4" x14ac:dyDescent="0.2">
      <c r="A5719" s="496"/>
      <c r="D5719" s="496"/>
    </row>
    <row r="5720" spans="1:4" x14ac:dyDescent="0.2">
      <c r="A5720" s="496"/>
      <c r="D5720" s="496"/>
    </row>
    <row r="5721" spans="1:4" x14ac:dyDescent="0.2">
      <c r="A5721" s="496"/>
      <c r="D5721" s="496"/>
    </row>
    <row r="5722" spans="1:4" x14ac:dyDescent="0.2">
      <c r="A5722" s="496"/>
      <c r="D5722" s="496"/>
    </row>
    <row r="5723" spans="1:4" x14ac:dyDescent="0.2">
      <c r="A5723" s="496"/>
      <c r="D5723" s="496"/>
    </row>
    <row r="5724" spans="1:4" x14ac:dyDescent="0.2">
      <c r="A5724" s="496"/>
      <c r="D5724" s="496"/>
    </row>
    <row r="5725" spans="1:4" x14ac:dyDescent="0.2">
      <c r="A5725" s="496"/>
      <c r="D5725" s="496"/>
    </row>
    <row r="5726" spans="1:4" x14ac:dyDescent="0.2">
      <c r="A5726" s="496"/>
      <c r="D5726" s="496"/>
    </row>
    <row r="5727" spans="1:4" x14ac:dyDescent="0.2">
      <c r="A5727" s="496"/>
      <c r="D5727" s="496"/>
    </row>
    <row r="5728" spans="1:4" x14ac:dyDescent="0.2">
      <c r="A5728" s="496"/>
      <c r="D5728" s="496"/>
    </row>
    <row r="5729" spans="1:4" x14ac:dyDescent="0.2">
      <c r="A5729" s="496"/>
      <c r="D5729" s="496"/>
    </row>
    <row r="5730" spans="1:4" x14ac:dyDescent="0.2">
      <c r="A5730" s="496"/>
      <c r="D5730" s="496"/>
    </row>
    <row r="5731" spans="1:4" x14ac:dyDescent="0.2">
      <c r="A5731" s="496"/>
      <c r="D5731" s="496"/>
    </row>
    <row r="5732" spans="1:4" x14ac:dyDescent="0.2">
      <c r="A5732" s="496"/>
      <c r="D5732" s="496"/>
    </row>
    <row r="5733" spans="1:4" x14ac:dyDescent="0.2">
      <c r="A5733" s="496"/>
      <c r="D5733" s="496"/>
    </row>
    <row r="5734" spans="1:4" x14ac:dyDescent="0.2">
      <c r="A5734" s="496"/>
      <c r="D5734" s="496"/>
    </row>
    <row r="5735" spans="1:4" x14ac:dyDescent="0.2">
      <c r="A5735" s="496"/>
      <c r="D5735" s="496"/>
    </row>
    <row r="5736" spans="1:4" x14ac:dyDescent="0.2">
      <c r="A5736" s="496"/>
      <c r="D5736" s="496"/>
    </row>
    <row r="5737" spans="1:4" x14ac:dyDescent="0.2">
      <c r="A5737" s="496"/>
      <c r="D5737" s="496"/>
    </row>
    <row r="5738" spans="1:4" x14ac:dyDescent="0.2">
      <c r="A5738" s="496"/>
      <c r="D5738" s="496"/>
    </row>
    <row r="5739" spans="1:4" x14ac:dyDescent="0.2">
      <c r="A5739" s="496"/>
      <c r="D5739" s="496"/>
    </row>
    <row r="5740" spans="1:4" x14ac:dyDescent="0.2">
      <c r="A5740" s="496"/>
      <c r="D5740" s="496"/>
    </row>
    <row r="5741" spans="1:4" x14ac:dyDescent="0.2">
      <c r="A5741" s="496"/>
      <c r="D5741" s="496"/>
    </row>
    <row r="5742" spans="1:4" x14ac:dyDescent="0.2">
      <c r="A5742" s="496"/>
      <c r="D5742" s="496"/>
    </row>
    <row r="5743" spans="1:4" x14ac:dyDescent="0.2">
      <c r="A5743" s="496"/>
      <c r="D5743" s="496"/>
    </row>
    <row r="5744" spans="1:4" x14ac:dyDescent="0.2">
      <c r="A5744" s="496"/>
      <c r="D5744" s="496"/>
    </row>
    <row r="5745" spans="1:4" x14ac:dyDescent="0.2">
      <c r="A5745" s="496"/>
      <c r="D5745" s="496"/>
    </row>
    <row r="5746" spans="1:4" x14ac:dyDescent="0.2">
      <c r="A5746" s="496"/>
      <c r="D5746" s="496"/>
    </row>
    <row r="5747" spans="1:4" x14ac:dyDescent="0.2">
      <c r="A5747" s="496"/>
      <c r="D5747" s="496"/>
    </row>
    <row r="5748" spans="1:4" x14ac:dyDescent="0.2">
      <c r="A5748" s="496"/>
      <c r="D5748" s="496"/>
    </row>
    <row r="5749" spans="1:4" x14ac:dyDescent="0.2">
      <c r="A5749" s="496"/>
      <c r="D5749" s="496"/>
    </row>
    <row r="5750" spans="1:4" x14ac:dyDescent="0.2">
      <c r="A5750" s="496"/>
      <c r="D5750" s="496"/>
    </row>
    <row r="5751" spans="1:4" x14ac:dyDescent="0.2">
      <c r="A5751" s="496"/>
      <c r="D5751" s="496"/>
    </row>
    <row r="5752" spans="1:4" x14ac:dyDescent="0.2">
      <c r="A5752" s="496"/>
      <c r="D5752" s="496"/>
    </row>
    <row r="5753" spans="1:4" x14ac:dyDescent="0.2">
      <c r="A5753" s="496"/>
      <c r="D5753" s="496"/>
    </row>
    <row r="5754" spans="1:4" x14ac:dyDescent="0.2">
      <c r="A5754" s="496"/>
      <c r="D5754" s="496"/>
    </row>
    <row r="5755" spans="1:4" x14ac:dyDescent="0.2">
      <c r="A5755" s="496"/>
      <c r="D5755" s="496"/>
    </row>
    <row r="5756" spans="1:4" x14ac:dyDescent="0.2">
      <c r="A5756" s="496"/>
      <c r="D5756" s="496"/>
    </row>
    <row r="5757" spans="1:4" x14ac:dyDescent="0.2">
      <c r="A5757" s="496"/>
      <c r="D5757" s="496"/>
    </row>
    <row r="5758" spans="1:4" x14ac:dyDescent="0.2">
      <c r="A5758" s="496"/>
      <c r="D5758" s="496"/>
    </row>
    <row r="5759" spans="1:4" x14ac:dyDescent="0.2">
      <c r="A5759" s="496"/>
      <c r="D5759" s="496"/>
    </row>
    <row r="5760" spans="1:4" x14ac:dyDescent="0.2">
      <c r="A5760" s="496"/>
      <c r="D5760" s="496"/>
    </row>
    <row r="5761" spans="1:4" x14ac:dyDescent="0.2">
      <c r="A5761" s="496"/>
      <c r="D5761" s="496"/>
    </row>
    <row r="5762" spans="1:4" x14ac:dyDescent="0.2">
      <c r="A5762" s="496"/>
      <c r="D5762" s="496"/>
    </row>
    <row r="5763" spans="1:4" x14ac:dyDescent="0.2">
      <c r="A5763" s="496"/>
      <c r="D5763" s="496"/>
    </row>
    <row r="5764" spans="1:4" x14ac:dyDescent="0.2">
      <c r="A5764" s="496"/>
      <c r="D5764" s="496"/>
    </row>
    <row r="5765" spans="1:4" x14ac:dyDescent="0.2">
      <c r="A5765" s="496"/>
      <c r="D5765" s="496"/>
    </row>
    <row r="5766" spans="1:4" x14ac:dyDescent="0.2">
      <c r="A5766" s="496"/>
      <c r="D5766" s="496"/>
    </row>
    <row r="5767" spans="1:4" x14ac:dyDescent="0.2">
      <c r="A5767" s="496"/>
      <c r="D5767" s="496"/>
    </row>
    <row r="5768" spans="1:4" x14ac:dyDescent="0.2">
      <c r="A5768" s="496"/>
      <c r="D5768" s="496"/>
    </row>
    <row r="5769" spans="1:4" x14ac:dyDescent="0.2">
      <c r="A5769" s="496"/>
      <c r="D5769" s="496"/>
    </row>
    <row r="5770" spans="1:4" x14ac:dyDescent="0.2">
      <c r="A5770" s="496"/>
      <c r="D5770" s="496"/>
    </row>
    <row r="5771" spans="1:4" x14ac:dyDescent="0.2">
      <c r="A5771" s="496"/>
      <c r="D5771" s="496"/>
    </row>
    <row r="5772" spans="1:4" x14ac:dyDescent="0.2">
      <c r="A5772" s="496"/>
      <c r="D5772" s="496"/>
    </row>
    <row r="5773" spans="1:4" x14ac:dyDescent="0.2">
      <c r="A5773" s="496"/>
      <c r="D5773" s="496"/>
    </row>
    <row r="5774" spans="1:4" x14ac:dyDescent="0.2">
      <c r="A5774" s="496"/>
      <c r="D5774" s="496"/>
    </row>
    <row r="5775" spans="1:4" x14ac:dyDescent="0.2">
      <c r="A5775" s="496"/>
      <c r="D5775" s="496"/>
    </row>
    <row r="5776" spans="1:4" x14ac:dyDescent="0.2">
      <c r="A5776" s="496"/>
      <c r="D5776" s="496"/>
    </row>
    <row r="5777" spans="1:4" x14ac:dyDescent="0.2">
      <c r="A5777" s="496"/>
      <c r="D5777" s="496"/>
    </row>
    <row r="5778" spans="1:4" x14ac:dyDescent="0.2">
      <c r="A5778" s="496"/>
      <c r="D5778" s="496"/>
    </row>
    <row r="5779" spans="1:4" x14ac:dyDescent="0.2">
      <c r="A5779" s="496"/>
      <c r="D5779" s="496"/>
    </row>
    <row r="5780" spans="1:4" x14ac:dyDescent="0.2">
      <c r="A5780" s="496"/>
      <c r="D5780" s="496"/>
    </row>
    <row r="5781" spans="1:4" x14ac:dyDescent="0.2">
      <c r="A5781" s="496"/>
      <c r="D5781" s="496"/>
    </row>
    <row r="5782" spans="1:4" x14ac:dyDescent="0.2">
      <c r="A5782" s="496"/>
      <c r="D5782" s="496"/>
    </row>
    <row r="5783" spans="1:4" x14ac:dyDescent="0.2">
      <c r="A5783" s="496"/>
      <c r="D5783" s="496"/>
    </row>
    <row r="5784" spans="1:4" x14ac:dyDescent="0.2">
      <c r="A5784" s="496"/>
      <c r="D5784" s="496"/>
    </row>
    <row r="5785" spans="1:4" x14ac:dyDescent="0.2">
      <c r="A5785" s="496"/>
      <c r="D5785" s="496"/>
    </row>
    <row r="5786" spans="1:4" x14ac:dyDescent="0.2">
      <c r="A5786" s="496"/>
      <c r="D5786" s="496"/>
    </row>
    <row r="5787" spans="1:4" x14ac:dyDescent="0.2">
      <c r="A5787" s="496"/>
      <c r="D5787" s="496"/>
    </row>
    <row r="5788" spans="1:4" x14ac:dyDescent="0.2">
      <c r="A5788" s="496"/>
      <c r="D5788" s="496"/>
    </row>
    <row r="5789" spans="1:4" x14ac:dyDescent="0.2">
      <c r="A5789" s="496"/>
      <c r="D5789" s="496"/>
    </row>
    <row r="5790" spans="1:4" x14ac:dyDescent="0.2">
      <c r="A5790" s="496"/>
      <c r="D5790" s="496"/>
    </row>
    <row r="5791" spans="1:4" x14ac:dyDescent="0.2">
      <c r="A5791" s="496"/>
      <c r="D5791" s="496"/>
    </row>
    <row r="5792" spans="1:4" x14ac:dyDescent="0.2">
      <c r="A5792" s="496"/>
      <c r="D5792" s="496"/>
    </row>
    <row r="5793" spans="1:4" x14ac:dyDescent="0.2">
      <c r="A5793" s="496"/>
      <c r="D5793" s="496"/>
    </row>
    <row r="5794" spans="1:4" x14ac:dyDescent="0.2">
      <c r="A5794" s="496"/>
      <c r="D5794" s="496"/>
    </row>
    <row r="5795" spans="1:4" x14ac:dyDescent="0.2">
      <c r="A5795" s="496"/>
      <c r="D5795" s="496"/>
    </row>
    <row r="5796" spans="1:4" x14ac:dyDescent="0.2">
      <c r="A5796" s="496"/>
      <c r="D5796" s="496"/>
    </row>
    <row r="5797" spans="1:4" x14ac:dyDescent="0.2">
      <c r="A5797" s="496"/>
      <c r="D5797" s="496"/>
    </row>
    <row r="5798" spans="1:4" x14ac:dyDescent="0.2">
      <c r="A5798" s="496"/>
      <c r="D5798" s="496"/>
    </row>
    <row r="5799" spans="1:4" x14ac:dyDescent="0.2">
      <c r="A5799" s="496"/>
      <c r="D5799" s="496"/>
    </row>
    <row r="5800" spans="1:4" x14ac:dyDescent="0.2">
      <c r="A5800" s="496"/>
      <c r="D5800" s="496"/>
    </row>
    <row r="5801" spans="1:4" x14ac:dyDescent="0.2">
      <c r="A5801" s="496"/>
      <c r="D5801" s="496"/>
    </row>
    <row r="5802" spans="1:4" x14ac:dyDescent="0.2">
      <c r="A5802" s="496"/>
      <c r="D5802" s="496"/>
    </row>
    <row r="5803" spans="1:4" x14ac:dyDescent="0.2">
      <c r="A5803" s="496"/>
      <c r="D5803" s="496"/>
    </row>
    <row r="5804" spans="1:4" x14ac:dyDescent="0.2">
      <c r="A5804" s="496"/>
      <c r="D5804" s="496"/>
    </row>
    <row r="5805" spans="1:4" x14ac:dyDescent="0.2">
      <c r="A5805" s="496"/>
      <c r="D5805" s="496"/>
    </row>
    <row r="5806" spans="1:4" x14ac:dyDescent="0.2">
      <c r="A5806" s="496"/>
      <c r="D5806" s="496"/>
    </row>
    <row r="5807" spans="1:4" x14ac:dyDescent="0.2">
      <c r="A5807" s="496"/>
      <c r="D5807" s="496"/>
    </row>
    <row r="5808" spans="1:4" x14ac:dyDescent="0.2">
      <c r="A5808" s="496"/>
      <c r="D5808" s="496"/>
    </row>
    <row r="5809" spans="1:4" x14ac:dyDescent="0.2">
      <c r="A5809" s="496"/>
      <c r="D5809" s="496"/>
    </row>
    <row r="5810" spans="1:4" x14ac:dyDescent="0.2">
      <c r="A5810" s="496"/>
      <c r="D5810" s="496"/>
    </row>
    <row r="5811" spans="1:4" x14ac:dyDescent="0.2">
      <c r="A5811" s="496"/>
      <c r="D5811" s="496"/>
    </row>
    <row r="5812" spans="1:4" x14ac:dyDescent="0.2">
      <c r="A5812" s="496"/>
      <c r="D5812" s="496"/>
    </row>
    <row r="5813" spans="1:4" x14ac:dyDescent="0.2">
      <c r="A5813" s="496"/>
      <c r="D5813" s="496"/>
    </row>
    <row r="5814" spans="1:4" x14ac:dyDescent="0.2">
      <c r="A5814" s="496"/>
      <c r="D5814" s="496"/>
    </row>
    <row r="5815" spans="1:4" x14ac:dyDescent="0.2">
      <c r="A5815" s="496"/>
      <c r="D5815" s="496"/>
    </row>
    <row r="5816" spans="1:4" x14ac:dyDescent="0.2">
      <c r="A5816" s="496"/>
      <c r="D5816" s="496"/>
    </row>
    <row r="5817" spans="1:4" x14ac:dyDescent="0.2">
      <c r="A5817" s="496"/>
      <c r="D5817" s="496"/>
    </row>
    <row r="5818" spans="1:4" x14ac:dyDescent="0.2">
      <c r="A5818" s="496"/>
      <c r="D5818" s="496"/>
    </row>
    <row r="5819" spans="1:4" x14ac:dyDescent="0.2">
      <c r="A5819" s="496"/>
      <c r="D5819" s="496"/>
    </row>
    <row r="5820" spans="1:4" x14ac:dyDescent="0.2">
      <c r="A5820" s="496"/>
      <c r="D5820" s="496"/>
    </row>
    <row r="5821" spans="1:4" x14ac:dyDescent="0.2">
      <c r="A5821" s="496"/>
      <c r="D5821" s="496"/>
    </row>
    <row r="5822" spans="1:4" x14ac:dyDescent="0.2">
      <c r="A5822" s="496"/>
      <c r="D5822" s="496"/>
    </row>
    <row r="5823" spans="1:4" x14ac:dyDescent="0.2">
      <c r="A5823" s="496"/>
      <c r="D5823" s="496"/>
    </row>
    <row r="5824" spans="1:4" x14ac:dyDescent="0.2">
      <c r="A5824" s="496"/>
      <c r="D5824" s="496"/>
    </row>
    <row r="5825" spans="1:4" x14ac:dyDescent="0.2">
      <c r="A5825" s="496"/>
      <c r="D5825" s="496"/>
    </row>
    <row r="5826" spans="1:4" x14ac:dyDescent="0.2">
      <c r="A5826" s="496"/>
      <c r="D5826" s="496"/>
    </row>
    <row r="5827" spans="1:4" x14ac:dyDescent="0.2">
      <c r="A5827" s="496"/>
      <c r="D5827" s="496"/>
    </row>
    <row r="5828" spans="1:4" x14ac:dyDescent="0.2">
      <c r="A5828" s="496"/>
      <c r="D5828" s="496"/>
    </row>
    <row r="5829" spans="1:4" x14ac:dyDescent="0.2">
      <c r="A5829" s="496"/>
      <c r="D5829" s="496"/>
    </row>
    <row r="5830" spans="1:4" x14ac:dyDescent="0.2">
      <c r="A5830" s="496"/>
      <c r="D5830" s="496"/>
    </row>
    <row r="5831" spans="1:4" x14ac:dyDescent="0.2">
      <c r="A5831" s="496"/>
      <c r="D5831" s="496"/>
    </row>
    <row r="5832" spans="1:4" x14ac:dyDescent="0.2">
      <c r="A5832" s="496"/>
      <c r="D5832" s="496"/>
    </row>
    <row r="5833" spans="1:4" x14ac:dyDescent="0.2">
      <c r="A5833" s="496"/>
      <c r="D5833" s="496"/>
    </row>
    <row r="5834" spans="1:4" x14ac:dyDescent="0.2">
      <c r="A5834" s="496"/>
      <c r="D5834" s="496"/>
    </row>
    <row r="5835" spans="1:4" x14ac:dyDescent="0.2">
      <c r="A5835" s="496"/>
      <c r="D5835" s="496"/>
    </row>
    <row r="5836" spans="1:4" x14ac:dyDescent="0.2">
      <c r="A5836" s="496"/>
      <c r="D5836" s="496"/>
    </row>
    <row r="5837" spans="1:4" x14ac:dyDescent="0.2">
      <c r="A5837" s="496"/>
      <c r="D5837" s="496"/>
    </row>
    <row r="5838" spans="1:4" x14ac:dyDescent="0.2">
      <c r="A5838" s="496"/>
      <c r="D5838" s="496"/>
    </row>
    <row r="5839" spans="1:4" x14ac:dyDescent="0.2">
      <c r="A5839" s="496"/>
      <c r="D5839" s="496"/>
    </row>
    <row r="5840" spans="1:4" x14ac:dyDescent="0.2">
      <c r="A5840" s="496"/>
      <c r="D5840" s="496"/>
    </row>
    <row r="5841" spans="1:4" x14ac:dyDescent="0.2">
      <c r="A5841" s="496"/>
      <c r="D5841" s="496"/>
    </row>
    <row r="5842" spans="1:4" x14ac:dyDescent="0.2">
      <c r="A5842" s="496"/>
      <c r="D5842" s="496"/>
    </row>
    <row r="5843" spans="1:4" x14ac:dyDescent="0.2">
      <c r="A5843" s="496"/>
      <c r="D5843" s="496"/>
    </row>
    <row r="5844" spans="1:4" x14ac:dyDescent="0.2">
      <c r="A5844" s="496"/>
      <c r="D5844" s="496"/>
    </row>
    <row r="5845" spans="1:4" x14ac:dyDescent="0.2">
      <c r="A5845" s="496"/>
      <c r="D5845" s="496"/>
    </row>
    <row r="5846" spans="1:4" x14ac:dyDescent="0.2">
      <c r="A5846" s="496"/>
      <c r="D5846" s="496"/>
    </row>
    <row r="5847" spans="1:4" x14ac:dyDescent="0.2">
      <c r="A5847" s="496"/>
      <c r="D5847" s="496"/>
    </row>
    <row r="5848" spans="1:4" x14ac:dyDescent="0.2">
      <c r="A5848" s="496"/>
      <c r="D5848" s="496"/>
    </row>
    <row r="5849" spans="1:4" x14ac:dyDescent="0.2">
      <c r="A5849" s="496"/>
      <c r="D5849" s="496"/>
    </row>
    <row r="5850" spans="1:4" x14ac:dyDescent="0.2">
      <c r="A5850" s="496"/>
      <c r="D5850" s="496"/>
    </row>
    <row r="5851" spans="1:4" x14ac:dyDescent="0.2">
      <c r="A5851" s="496"/>
      <c r="D5851" s="496"/>
    </row>
    <row r="5852" spans="1:4" x14ac:dyDescent="0.2">
      <c r="A5852" s="496"/>
      <c r="D5852" s="496"/>
    </row>
    <row r="5853" spans="1:4" x14ac:dyDescent="0.2">
      <c r="A5853" s="496"/>
      <c r="D5853" s="496"/>
    </row>
    <row r="5854" spans="1:4" x14ac:dyDescent="0.2">
      <c r="A5854" s="496"/>
      <c r="D5854" s="496"/>
    </row>
    <row r="5855" spans="1:4" x14ac:dyDescent="0.2">
      <c r="A5855" s="496"/>
      <c r="D5855" s="496"/>
    </row>
    <row r="5856" spans="1:4" x14ac:dyDescent="0.2">
      <c r="A5856" s="496"/>
      <c r="D5856" s="496"/>
    </row>
    <row r="5857" spans="1:4" x14ac:dyDescent="0.2">
      <c r="A5857" s="496"/>
      <c r="D5857" s="496"/>
    </row>
    <row r="5858" spans="1:4" x14ac:dyDescent="0.2">
      <c r="A5858" s="496"/>
      <c r="D5858" s="496"/>
    </row>
    <row r="5859" spans="1:4" x14ac:dyDescent="0.2">
      <c r="A5859" s="496"/>
      <c r="D5859" s="496"/>
    </row>
    <row r="5860" spans="1:4" x14ac:dyDescent="0.2">
      <c r="A5860" s="496"/>
      <c r="D5860" s="496"/>
    </row>
    <row r="5861" spans="1:4" x14ac:dyDescent="0.2">
      <c r="A5861" s="496"/>
      <c r="D5861" s="496"/>
    </row>
    <row r="5862" spans="1:4" x14ac:dyDescent="0.2">
      <c r="A5862" s="496"/>
      <c r="D5862" s="496"/>
    </row>
    <row r="5863" spans="1:4" x14ac:dyDescent="0.2">
      <c r="A5863" s="496"/>
      <c r="D5863" s="496"/>
    </row>
    <row r="5864" spans="1:4" x14ac:dyDescent="0.2">
      <c r="A5864" s="496"/>
      <c r="D5864" s="496"/>
    </row>
    <row r="5865" spans="1:4" x14ac:dyDescent="0.2">
      <c r="A5865" s="496"/>
      <c r="D5865" s="496"/>
    </row>
    <row r="5866" spans="1:4" x14ac:dyDescent="0.2">
      <c r="A5866" s="496"/>
      <c r="D5866" s="496"/>
    </row>
    <row r="5867" spans="1:4" x14ac:dyDescent="0.2">
      <c r="A5867" s="496"/>
      <c r="D5867" s="496"/>
    </row>
    <row r="5868" spans="1:4" x14ac:dyDescent="0.2">
      <c r="A5868" s="496"/>
      <c r="D5868" s="496"/>
    </row>
    <row r="5869" spans="1:4" x14ac:dyDescent="0.2">
      <c r="A5869" s="496"/>
      <c r="D5869" s="496"/>
    </row>
    <row r="5870" spans="1:4" x14ac:dyDescent="0.2">
      <c r="A5870" s="496"/>
      <c r="D5870" s="496"/>
    </row>
    <row r="5871" spans="1:4" x14ac:dyDescent="0.2">
      <c r="A5871" s="496"/>
      <c r="D5871" s="496"/>
    </row>
    <row r="5872" spans="1:4" x14ac:dyDescent="0.2">
      <c r="A5872" s="496"/>
      <c r="D5872" s="496"/>
    </row>
    <row r="5873" spans="1:4" x14ac:dyDescent="0.2">
      <c r="A5873" s="496"/>
      <c r="D5873" s="496"/>
    </row>
    <row r="5874" spans="1:4" x14ac:dyDescent="0.2">
      <c r="A5874" s="496"/>
      <c r="D5874" s="496"/>
    </row>
    <row r="5875" spans="1:4" x14ac:dyDescent="0.2">
      <c r="A5875" s="496"/>
      <c r="D5875" s="496"/>
    </row>
    <row r="5876" spans="1:4" x14ac:dyDescent="0.2">
      <c r="A5876" s="496"/>
      <c r="D5876" s="496"/>
    </row>
    <row r="5877" spans="1:4" x14ac:dyDescent="0.2">
      <c r="A5877" s="496"/>
      <c r="D5877" s="496"/>
    </row>
    <row r="5878" spans="1:4" x14ac:dyDescent="0.2">
      <c r="A5878" s="496"/>
      <c r="D5878" s="496"/>
    </row>
    <row r="5879" spans="1:4" x14ac:dyDescent="0.2">
      <c r="A5879" s="496"/>
      <c r="D5879" s="496"/>
    </row>
    <row r="5880" spans="1:4" x14ac:dyDescent="0.2">
      <c r="A5880" s="496"/>
      <c r="D5880" s="496"/>
    </row>
    <row r="5881" spans="1:4" x14ac:dyDescent="0.2">
      <c r="A5881" s="496"/>
      <c r="D5881" s="496"/>
    </row>
    <row r="5882" spans="1:4" x14ac:dyDescent="0.2">
      <c r="A5882" s="496"/>
      <c r="D5882" s="496"/>
    </row>
    <row r="5883" spans="1:4" x14ac:dyDescent="0.2">
      <c r="A5883" s="496"/>
      <c r="D5883" s="496"/>
    </row>
    <row r="5884" spans="1:4" x14ac:dyDescent="0.2">
      <c r="A5884" s="496"/>
      <c r="D5884" s="496"/>
    </row>
    <row r="5885" spans="1:4" x14ac:dyDescent="0.2">
      <c r="A5885" s="496"/>
      <c r="D5885" s="496"/>
    </row>
    <row r="5886" spans="1:4" x14ac:dyDescent="0.2">
      <c r="A5886" s="496"/>
      <c r="D5886" s="496"/>
    </row>
    <row r="5887" spans="1:4" x14ac:dyDescent="0.2">
      <c r="A5887" s="496"/>
      <c r="D5887" s="496"/>
    </row>
    <row r="5888" spans="1:4" x14ac:dyDescent="0.2">
      <c r="A5888" s="496"/>
      <c r="D5888" s="496"/>
    </row>
    <row r="5889" spans="1:4" x14ac:dyDescent="0.2">
      <c r="A5889" s="496"/>
      <c r="D5889" s="496"/>
    </row>
    <row r="5890" spans="1:4" x14ac:dyDescent="0.2">
      <c r="A5890" s="496"/>
      <c r="D5890" s="496"/>
    </row>
    <row r="5891" spans="1:4" x14ac:dyDescent="0.2">
      <c r="A5891" s="496"/>
      <c r="D5891" s="496"/>
    </row>
    <row r="5892" spans="1:4" x14ac:dyDescent="0.2">
      <c r="A5892" s="496"/>
      <c r="D5892" s="496"/>
    </row>
    <row r="5893" spans="1:4" x14ac:dyDescent="0.2">
      <c r="A5893" s="496"/>
      <c r="D5893" s="496"/>
    </row>
    <row r="5894" spans="1:4" x14ac:dyDescent="0.2">
      <c r="A5894" s="496"/>
      <c r="D5894" s="496"/>
    </row>
    <row r="5895" spans="1:4" x14ac:dyDescent="0.2">
      <c r="A5895" s="496"/>
      <c r="D5895" s="496"/>
    </row>
    <row r="5896" spans="1:4" x14ac:dyDescent="0.2">
      <c r="A5896" s="496"/>
      <c r="D5896" s="496"/>
    </row>
    <row r="5897" spans="1:4" x14ac:dyDescent="0.2">
      <c r="A5897" s="496"/>
      <c r="D5897" s="496"/>
    </row>
    <row r="5898" spans="1:4" x14ac:dyDescent="0.2">
      <c r="A5898" s="496"/>
      <c r="D5898" s="496"/>
    </row>
    <row r="5899" spans="1:4" x14ac:dyDescent="0.2">
      <c r="A5899" s="496"/>
      <c r="D5899" s="496"/>
    </row>
    <row r="5900" spans="1:4" x14ac:dyDescent="0.2">
      <c r="A5900" s="496"/>
      <c r="D5900" s="496"/>
    </row>
    <row r="5901" spans="1:4" x14ac:dyDescent="0.2">
      <c r="A5901" s="496"/>
      <c r="D5901" s="496"/>
    </row>
    <row r="5902" spans="1:4" x14ac:dyDescent="0.2">
      <c r="A5902" s="496"/>
      <c r="D5902" s="496"/>
    </row>
    <row r="5903" spans="1:4" x14ac:dyDescent="0.2">
      <c r="A5903" s="496"/>
      <c r="D5903" s="496"/>
    </row>
    <row r="5904" spans="1:4" x14ac:dyDescent="0.2">
      <c r="A5904" s="496"/>
      <c r="D5904" s="496"/>
    </row>
    <row r="5905" spans="1:4" x14ac:dyDescent="0.2">
      <c r="A5905" s="496"/>
      <c r="D5905" s="496"/>
    </row>
    <row r="5906" spans="1:4" x14ac:dyDescent="0.2">
      <c r="A5906" s="496"/>
      <c r="D5906" s="496"/>
    </row>
    <row r="5907" spans="1:4" x14ac:dyDescent="0.2">
      <c r="A5907" s="496"/>
      <c r="D5907" s="496"/>
    </row>
    <row r="5908" spans="1:4" x14ac:dyDescent="0.2">
      <c r="A5908" s="496"/>
      <c r="D5908" s="496"/>
    </row>
    <row r="5909" spans="1:4" x14ac:dyDescent="0.2">
      <c r="A5909" s="496"/>
      <c r="D5909" s="496"/>
    </row>
    <row r="5910" spans="1:4" x14ac:dyDescent="0.2">
      <c r="A5910" s="496"/>
      <c r="D5910" s="496"/>
    </row>
    <row r="5911" spans="1:4" x14ac:dyDescent="0.2">
      <c r="A5911" s="496"/>
      <c r="D5911" s="496"/>
    </row>
    <row r="5912" spans="1:4" x14ac:dyDescent="0.2">
      <c r="A5912" s="496"/>
      <c r="D5912" s="496"/>
    </row>
    <row r="5913" spans="1:4" x14ac:dyDescent="0.2">
      <c r="A5913" s="496"/>
      <c r="D5913" s="496"/>
    </row>
    <row r="5914" spans="1:4" x14ac:dyDescent="0.2">
      <c r="A5914" s="496"/>
      <c r="D5914" s="496"/>
    </row>
    <row r="5915" spans="1:4" x14ac:dyDescent="0.2">
      <c r="A5915" s="496"/>
      <c r="D5915" s="496"/>
    </row>
    <row r="5916" spans="1:4" x14ac:dyDescent="0.2">
      <c r="A5916" s="496"/>
      <c r="D5916" s="496"/>
    </row>
    <row r="5917" spans="1:4" x14ac:dyDescent="0.2">
      <c r="A5917" s="496"/>
      <c r="D5917" s="496"/>
    </row>
    <row r="5918" spans="1:4" x14ac:dyDescent="0.2">
      <c r="A5918" s="496"/>
      <c r="D5918" s="496"/>
    </row>
    <row r="5919" spans="1:4" x14ac:dyDescent="0.2">
      <c r="A5919" s="496"/>
      <c r="D5919" s="496"/>
    </row>
    <row r="5920" spans="1:4" x14ac:dyDescent="0.2">
      <c r="A5920" s="496"/>
      <c r="D5920" s="496"/>
    </row>
    <row r="5921" spans="1:4" x14ac:dyDescent="0.2">
      <c r="A5921" s="496"/>
      <c r="D5921" s="496"/>
    </row>
    <row r="5922" spans="1:4" x14ac:dyDescent="0.2">
      <c r="A5922" s="496"/>
      <c r="D5922" s="496"/>
    </row>
    <row r="5923" spans="1:4" x14ac:dyDescent="0.2">
      <c r="A5923" s="496"/>
      <c r="D5923" s="496"/>
    </row>
    <row r="5924" spans="1:4" x14ac:dyDescent="0.2">
      <c r="A5924" s="496"/>
      <c r="D5924" s="496"/>
    </row>
    <row r="5925" spans="1:4" x14ac:dyDescent="0.2">
      <c r="A5925" s="496"/>
      <c r="D5925" s="496"/>
    </row>
    <row r="5926" spans="1:4" x14ac:dyDescent="0.2">
      <c r="A5926" s="496"/>
      <c r="D5926" s="496"/>
    </row>
    <row r="5927" spans="1:4" x14ac:dyDescent="0.2">
      <c r="A5927" s="496"/>
      <c r="D5927" s="496"/>
    </row>
    <row r="5928" spans="1:4" x14ac:dyDescent="0.2">
      <c r="A5928" s="496"/>
      <c r="D5928" s="496"/>
    </row>
    <row r="5929" spans="1:4" x14ac:dyDescent="0.2">
      <c r="A5929" s="496"/>
      <c r="D5929" s="496"/>
    </row>
    <row r="5930" spans="1:4" x14ac:dyDescent="0.2">
      <c r="A5930" s="496"/>
      <c r="D5930" s="496"/>
    </row>
    <row r="5931" spans="1:4" x14ac:dyDescent="0.2">
      <c r="A5931" s="496"/>
      <c r="D5931" s="496"/>
    </row>
    <row r="5932" spans="1:4" x14ac:dyDescent="0.2">
      <c r="A5932" s="496"/>
      <c r="D5932" s="496"/>
    </row>
    <row r="5933" spans="1:4" x14ac:dyDescent="0.2">
      <c r="A5933" s="496"/>
      <c r="D5933" s="496"/>
    </row>
    <row r="5934" spans="1:4" x14ac:dyDescent="0.2">
      <c r="A5934" s="496"/>
      <c r="D5934" s="496"/>
    </row>
    <row r="5935" spans="1:4" x14ac:dyDescent="0.2">
      <c r="A5935" s="496"/>
      <c r="D5935" s="496"/>
    </row>
    <row r="5936" spans="1:4" x14ac:dyDescent="0.2">
      <c r="A5936" s="496"/>
      <c r="D5936" s="496"/>
    </row>
    <row r="5937" spans="1:4" x14ac:dyDescent="0.2">
      <c r="A5937" s="496"/>
      <c r="D5937" s="496"/>
    </row>
    <row r="5938" spans="1:4" x14ac:dyDescent="0.2">
      <c r="A5938" s="496"/>
      <c r="D5938" s="496"/>
    </row>
    <row r="5939" spans="1:4" x14ac:dyDescent="0.2">
      <c r="A5939" s="496"/>
      <c r="D5939" s="496"/>
    </row>
    <row r="5940" spans="1:4" x14ac:dyDescent="0.2">
      <c r="A5940" s="496"/>
      <c r="D5940" s="496"/>
    </row>
    <row r="5941" spans="1:4" x14ac:dyDescent="0.2">
      <c r="A5941" s="496"/>
      <c r="D5941" s="496"/>
    </row>
    <row r="5942" spans="1:4" x14ac:dyDescent="0.2">
      <c r="A5942" s="496"/>
      <c r="D5942" s="496"/>
    </row>
    <row r="5943" spans="1:4" x14ac:dyDescent="0.2">
      <c r="A5943" s="496"/>
      <c r="D5943" s="496"/>
    </row>
    <row r="5944" spans="1:4" x14ac:dyDescent="0.2">
      <c r="A5944" s="496"/>
      <c r="D5944" s="496"/>
    </row>
    <row r="5945" spans="1:4" x14ac:dyDescent="0.2">
      <c r="A5945" s="496"/>
      <c r="D5945" s="496"/>
    </row>
    <row r="5946" spans="1:4" x14ac:dyDescent="0.2">
      <c r="A5946" s="496"/>
      <c r="D5946" s="496"/>
    </row>
    <row r="5947" spans="1:4" x14ac:dyDescent="0.2">
      <c r="A5947" s="496"/>
      <c r="D5947" s="496"/>
    </row>
    <row r="5948" spans="1:4" x14ac:dyDescent="0.2">
      <c r="A5948" s="496"/>
      <c r="D5948" s="496"/>
    </row>
    <row r="5949" spans="1:4" x14ac:dyDescent="0.2">
      <c r="A5949" s="496"/>
      <c r="D5949" s="496"/>
    </row>
    <row r="5950" spans="1:4" x14ac:dyDescent="0.2">
      <c r="A5950" s="496"/>
      <c r="D5950" s="496"/>
    </row>
    <row r="5951" spans="1:4" x14ac:dyDescent="0.2">
      <c r="A5951" s="496"/>
      <c r="D5951" s="496"/>
    </row>
    <row r="5952" spans="1:4" x14ac:dyDescent="0.2">
      <c r="A5952" s="496"/>
      <c r="D5952" s="496"/>
    </row>
    <row r="5953" spans="1:4" x14ac:dyDescent="0.2">
      <c r="A5953" s="496"/>
      <c r="D5953" s="496"/>
    </row>
    <row r="5954" spans="1:4" x14ac:dyDescent="0.2">
      <c r="A5954" s="496"/>
      <c r="D5954" s="496"/>
    </row>
    <row r="5955" spans="1:4" x14ac:dyDescent="0.2">
      <c r="A5955" s="496"/>
      <c r="D5955" s="496"/>
    </row>
    <row r="5956" spans="1:4" x14ac:dyDescent="0.2">
      <c r="A5956" s="496"/>
      <c r="D5956" s="496"/>
    </row>
    <row r="5957" spans="1:4" x14ac:dyDescent="0.2">
      <c r="A5957" s="496"/>
      <c r="D5957" s="496"/>
    </row>
    <row r="5958" spans="1:4" x14ac:dyDescent="0.2">
      <c r="A5958" s="496"/>
      <c r="D5958" s="496"/>
    </row>
    <row r="5959" spans="1:4" x14ac:dyDescent="0.2">
      <c r="A5959" s="496"/>
      <c r="D5959" s="496"/>
    </row>
    <row r="5960" spans="1:4" x14ac:dyDescent="0.2">
      <c r="A5960" s="496"/>
      <c r="D5960" s="496"/>
    </row>
    <row r="5961" spans="1:4" x14ac:dyDescent="0.2">
      <c r="A5961" s="496"/>
      <c r="D5961" s="496"/>
    </row>
    <row r="5962" spans="1:4" x14ac:dyDescent="0.2">
      <c r="A5962" s="496"/>
      <c r="D5962" s="496"/>
    </row>
    <row r="5963" spans="1:4" x14ac:dyDescent="0.2">
      <c r="A5963" s="496"/>
      <c r="D5963" s="496"/>
    </row>
    <row r="5964" spans="1:4" x14ac:dyDescent="0.2">
      <c r="A5964" s="496"/>
      <c r="D5964" s="496"/>
    </row>
    <row r="5965" spans="1:4" x14ac:dyDescent="0.2">
      <c r="A5965" s="496"/>
      <c r="D5965" s="496"/>
    </row>
    <row r="5966" spans="1:4" x14ac:dyDescent="0.2">
      <c r="A5966" s="496"/>
      <c r="D5966" s="496"/>
    </row>
    <row r="5967" spans="1:4" x14ac:dyDescent="0.2">
      <c r="A5967" s="496"/>
      <c r="D5967" s="496"/>
    </row>
    <row r="5968" spans="1:4" x14ac:dyDescent="0.2">
      <c r="A5968" s="496"/>
      <c r="D5968" s="496"/>
    </row>
    <row r="5969" spans="1:4" x14ac:dyDescent="0.2">
      <c r="A5969" s="496"/>
      <c r="D5969" s="496"/>
    </row>
    <row r="5970" spans="1:4" x14ac:dyDescent="0.2">
      <c r="A5970" s="496"/>
      <c r="D5970" s="496"/>
    </row>
    <row r="5971" spans="1:4" x14ac:dyDescent="0.2">
      <c r="A5971" s="496"/>
      <c r="D5971" s="496"/>
    </row>
    <row r="5972" spans="1:4" x14ac:dyDescent="0.2">
      <c r="A5972" s="496"/>
      <c r="D5972" s="496"/>
    </row>
    <row r="5973" spans="1:4" x14ac:dyDescent="0.2">
      <c r="A5973" s="496"/>
      <c r="D5973" s="496"/>
    </row>
    <row r="5974" spans="1:4" x14ac:dyDescent="0.2">
      <c r="A5974" s="496"/>
      <c r="D5974" s="496"/>
    </row>
    <row r="5975" spans="1:4" x14ac:dyDescent="0.2">
      <c r="A5975" s="496"/>
      <c r="D5975" s="496"/>
    </row>
    <row r="5976" spans="1:4" x14ac:dyDescent="0.2">
      <c r="A5976" s="496"/>
      <c r="D5976" s="496"/>
    </row>
    <row r="5977" spans="1:4" x14ac:dyDescent="0.2">
      <c r="A5977" s="496"/>
      <c r="D5977" s="496"/>
    </row>
    <row r="5978" spans="1:4" x14ac:dyDescent="0.2">
      <c r="A5978" s="496"/>
      <c r="D5978" s="496"/>
    </row>
    <row r="5979" spans="1:4" x14ac:dyDescent="0.2">
      <c r="A5979" s="496"/>
      <c r="D5979" s="496"/>
    </row>
    <row r="5980" spans="1:4" x14ac:dyDescent="0.2">
      <c r="A5980" s="496"/>
      <c r="D5980" s="496"/>
    </row>
    <row r="5981" spans="1:4" x14ac:dyDescent="0.2">
      <c r="A5981" s="496"/>
      <c r="D5981" s="496"/>
    </row>
    <row r="5982" spans="1:4" x14ac:dyDescent="0.2">
      <c r="A5982" s="496"/>
      <c r="D5982" s="496"/>
    </row>
    <row r="5983" spans="1:4" x14ac:dyDescent="0.2">
      <c r="A5983" s="496"/>
      <c r="D5983" s="496"/>
    </row>
    <row r="5984" spans="1:4" x14ac:dyDescent="0.2">
      <c r="A5984" s="496"/>
      <c r="D5984" s="496"/>
    </row>
    <row r="5985" spans="1:4" x14ac:dyDescent="0.2">
      <c r="A5985" s="496"/>
      <c r="D5985" s="496"/>
    </row>
    <row r="5986" spans="1:4" x14ac:dyDescent="0.2">
      <c r="A5986" s="496"/>
      <c r="D5986" s="496"/>
    </row>
    <row r="5987" spans="1:4" x14ac:dyDescent="0.2">
      <c r="A5987" s="496"/>
      <c r="D5987" s="496"/>
    </row>
    <row r="5988" spans="1:4" x14ac:dyDescent="0.2">
      <c r="A5988" s="496"/>
      <c r="D5988" s="496"/>
    </row>
    <row r="5989" spans="1:4" x14ac:dyDescent="0.2">
      <c r="A5989" s="496"/>
      <c r="D5989" s="496"/>
    </row>
    <row r="5990" spans="1:4" x14ac:dyDescent="0.2">
      <c r="A5990" s="496"/>
      <c r="D5990" s="496"/>
    </row>
    <row r="5991" spans="1:4" x14ac:dyDescent="0.2">
      <c r="A5991" s="496"/>
      <c r="D5991" s="496"/>
    </row>
    <row r="5992" spans="1:4" x14ac:dyDescent="0.2">
      <c r="A5992" s="496"/>
      <c r="D5992" s="496"/>
    </row>
    <row r="5993" spans="1:4" x14ac:dyDescent="0.2">
      <c r="A5993" s="496"/>
      <c r="D5993" s="496"/>
    </row>
    <row r="5994" spans="1:4" x14ac:dyDescent="0.2">
      <c r="A5994" s="496"/>
      <c r="D5994" s="496"/>
    </row>
    <row r="5995" spans="1:4" x14ac:dyDescent="0.2">
      <c r="A5995" s="496"/>
      <c r="D5995" s="496"/>
    </row>
    <row r="5996" spans="1:4" x14ac:dyDescent="0.2">
      <c r="A5996" s="496"/>
      <c r="D5996" s="496"/>
    </row>
    <row r="5997" spans="1:4" x14ac:dyDescent="0.2">
      <c r="A5997" s="496"/>
      <c r="D5997" s="496"/>
    </row>
    <row r="5998" spans="1:4" x14ac:dyDescent="0.2">
      <c r="A5998" s="496"/>
      <c r="D5998" s="496"/>
    </row>
    <row r="5999" spans="1:4" x14ac:dyDescent="0.2">
      <c r="A5999" s="496"/>
      <c r="D5999" s="496"/>
    </row>
    <row r="6000" spans="1:4" x14ac:dyDescent="0.2">
      <c r="A6000" s="496"/>
      <c r="D6000" s="496"/>
    </row>
    <row r="6001" spans="1:4" x14ac:dyDescent="0.2">
      <c r="A6001" s="496"/>
      <c r="D6001" s="496"/>
    </row>
    <row r="6002" spans="1:4" x14ac:dyDescent="0.2">
      <c r="A6002" s="496"/>
      <c r="D6002" s="496"/>
    </row>
    <row r="6003" spans="1:4" x14ac:dyDescent="0.2">
      <c r="A6003" s="496"/>
      <c r="D6003" s="496"/>
    </row>
    <row r="6004" spans="1:4" x14ac:dyDescent="0.2">
      <c r="A6004" s="496"/>
      <c r="D6004" s="496"/>
    </row>
    <row r="6005" spans="1:4" x14ac:dyDescent="0.2">
      <c r="A6005" s="496"/>
      <c r="D6005" s="496"/>
    </row>
    <row r="6006" spans="1:4" x14ac:dyDescent="0.2">
      <c r="A6006" s="496"/>
      <c r="D6006" s="496"/>
    </row>
    <row r="6007" spans="1:4" x14ac:dyDescent="0.2">
      <c r="A6007" s="496"/>
      <c r="D6007" s="496"/>
    </row>
    <row r="6008" spans="1:4" x14ac:dyDescent="0.2">
      <c r="A6008" s="496"/>
      <c r="D6008" s="496"/>
    </row>
    <row r="6009" spans="1:4" x14ac:dyDescent="0.2">
      <c r="A6009" s="496"/>
      <c r="D6009" s="496"/>
    </row>
    <row r="6010" spans="1:4" x14ac:dyDescent="0.2">
      <c r="A6010" s="496"/>
      <c r="D6010" s="496"/>
    </row>
    <row r="6011" spans="1:4" x14ac:dyDescent="0.2">
      <c r="A6011" s="496"/>
      <c r="D6011" s="496"/>
    </row>
    <row r="6012" spans="1:4" x14ac:dyDescent="0.2">
      <c r="A6012" s="496"/>
      <c r="D6012" s="496"/>
    </row>
    <row r="6013" spans="1:4" x14ac:dyDescent="0.2">
      <c r="A6013" s="496"/>
      <c r="D6013" s="496"/>
    </row>
    <row r="6014" spans="1:4" x14ac:dyDescent="0.2">
      <c r="A6014" s="496"/>
      <c r="D6014" s="496"/>
    </row>
    <row r="6015" spans="1:4" x14ac:dyDescent="0.2">
      <c r="A6015" s="496"/>
      <c r="D6015" s="496"/>
    </row>
    <row r="6016" spans="1:4" x14ac:dyDescent="0.2">
      <c r="A6016" s="496"/>
      <c r="D6016" s="496"/>
    </row>
    <row r="6017" spans="1:4" x14ac:dyDescent="0.2">
      <c r="A6017" s="496"/>
      <c r="D6017" s="496"/>
    </row>
    <row r="6018" spans="1:4" x14ac:dyDescent="0.2">
      <c r="A6018" s="496"/>
      <c r="D6018" s="496"/>
    </row>
    <row r="6019" spans="1:4" x14ac:dyDescent="0.2">
      <c r="A6019" s="496"/>
      <c r="D6019" s="496"/>
    </row>
    <row r="6020" spans="1:4" x14ac:dyDescent="0.2">
      <c r="A6020" s="496"/>
      <c r="D6020" s="496"/>
    </row>
    <row r="6021" spans="1:4" x14ac:dyDescent="0.2">
      <c r="A6021" s="496"/>
      <c r="D6021" s="496"/>
    </row>
    <row r="6022" spans="1:4" x14ac:dyDescent="0.2">
      <c r="A6022" s="496"/>
      <c r="D6022" s="496"/>
    </row>
    <row r="6023" spans="1:4" x14ac:dyDescent="0.2">
      <c r="A6023" s="496"/>
      <c r="D6023" s="496"/>
    </row>
    <row r="6024" spans="1:4" x14ac:dyDescent="0.2">
      <c r="A6024" s="496"/>
      <c r="D6024" s="496"/>
    </row>
    <row r="6025" spans="1:4" x14ac:dyDescent="0.2">
      <c r="A6025" s="496"/>
      <c r="D6025" s="496"/>
    </row>
    <row r="6026" spans="1:4" x14ac:dyDescent="0.2">
      <c r="A6026" s="496"/>
      <c r="D6026" s="496"/>
    </row>
    <row r="6027" spans="1:4" x14ac:dyDescent="0.2">
      <c r="A6027" s="496"/>
      <c r="D6027" s="496"/>
    </row>
    <row r="6028" spans="1:4" x14ac:dyDescent="0.2">
      <c r="A6028" s="496"/>
      <c r="D6028" s="496"/>
    </row>
    <row r="6029" spans="1:4" x14ac:dyDescent="0.2">
      <c r="A6029" s="496"/>
      <c r="D6029" s="496"/>
    </row>
    <row r="6030" spans="1:4" x14ac:dyDescent="0.2">
      <c r="A6030" s="496"/>
      <c r="D6030" s="496"/>
    </row>
    <row r="6031" spans="1:4" x14ac:dyDescent="0.2">
      <c r="A6031" s="496"/>
      <c r="D6031" s="496"/>
    </row>
    <row r="6032" spans="1:4" x14ac:dyDescent="0.2">
      <c r="A6032" s="496"/>
      <c r="D6032" s="496"/>
    </row>
    <row r="6033" spans="1:4" x14ac:dyDescent="0.2">
      <c r="A6033" s="496"/>
      <c r="D6033" s="496"/>
    </row>
    <row r="6034" spans="1:4" x14ac:dyDescent="0.2">
      <c r="A6034" s="496"/>
      <c r="D6034" s="496"/>
    </row>
    <row r="6035" spans="1:4" x14ac:dyDescent="0.2">
      <c r="A6035" s="496"/>
      <c r="D6035" s="496"/>
    </row>
    <row r="6036" spans="1:4" x14ac:dyDescent="0.2">
      <c r="A6036" s="496"/>
      <c r="D6036" s="496"/>
    </row>
    <row r="6037" spans="1:4" x14ac:dyDescent="0.2">
      <c r="A6037" s="496"/>
      <c r="D6037" s="496"/>
    </row>
    <row r="6038" spans="1:4" x14ac:dyDescent="0.2">
      <c r="A6038" s="496"/>
      <c r="D6038" s="496"/>
    </row>
    <row r="6039" spans="1:4" x14ac:dyDescent="0.2">
      <c r="A6039" s="496"/>
      <c r="D6039" s="496"/>
    </row>
    <row r="6040" spans="1:4" x14ac:dyDescent="0.2">
      <c r="A6040" s="496"/>
      <c r="D6040" s="496"/>
    </row>
    <row r="6041" spans="1:4" x14ac:dyDescent="0.2">
      <c r="A6041" s="496"/>
      <c r="D6041" s="496"/>
    </row>
    <row r="6042" spans="1:4" x14ac:dyDescent="0.2">
      <c r="A6042" s="496"/>
      <c r="D6042" s="496"/>
    </row>
    <row r="6043" spans="1:4" x14ac:dyDescent="0.2">
      <c r="A6043" s="496"/>
      <c r="D6043" s="496"/>
    </row>
    <row r="6044" spans="1:4" x14ac:dyDescent="0.2">
      <c r="A6044" s="496"/>
      <c r="D6044" s="496"/>
    </row>
    <row r="6045" spans="1:4" x14ac:dyDescent="0.2">
      <c r="A6045" s="496"/>
      <c r="D6045" s="496"/>
    </row>
    <row r="6046" spans="1:4" x14ac:dyDescent="0.2">
      <c r="A6046" s="496"/>
      <c r="D6046" s="496"/>
    </row>
    <row r="6047" spans="1:4" x14ac:dyDescent="0.2">
      <c r="A6047" s="496"/>
      <c r="D6047" s="496"/>
    </row>
    <row r="6048" spans="1:4" x14ac:dyDescent="0.2">
      <c r="A6048" s="496"/>
      <c r="D6048" s="496"/>
    </row>
    <row r="6049" spans="1:4" x14ac:dyDescent="0.2">
      <c r="A6049" s="496"/>
      <c r="D6049" s="496"/>
    </row>
    <row r="6050" spans="1:4" x14ac:dyDescent="0.2">
      <c r="A6050" s="496"/>
      <c r="D6050" s="496"/>
    </row>
    <row r="6051" spans="1:4" x14ac:dyDescent="0.2">
      <c r="A6051" s="496"/>
      <c r="D6051" s="496"/>
    </row>
    <row r="6052" spans="1:4" x14ac:dyDescent="0.2">
      <c r="A6052" s="496"/>
      <c r="D6052" s="496"/>
    </row>
    <row r="6053" spans="1:4" x14ac:dyDescent="0.2">
      <c r="A6053" s="496"/>
      <c r="D6053" s="496"/>
    </row>
    <row r="6054" spans="1:4" x14ac:dyDescent="0.2">
      <c r="A6054" s="496"/>
      <c r="D6054" s="496"/>
    </row>
    <row r="6055" spans="1:4" x14ac:dyDescent="0.2">
      <c r="A6055" s="496"/>
      <c r="D6055" s="496"/>
    </row>
    <row r="6056" spans="1:4" x14ac:dyDescent="0.2">
      <c r="A6056" s="496"/>
      <c r="D6056" s="496"/>
    </row>
    <row r="6057" spans="1:4" x14ac:dyDescent="0.2">
      <c r="A6057" s="496"/>
      <c r="D6057" s="496"/>
    </row>
    <row r="6058" spans="1:4" x14ac:dyDescent="0.2">
      <c r="A6058" s="496"/>
      <c r="D6058" s="496"/>
    </row>
    <row r="6059" spans="1:4" x14ac:dyDescent="0.2">
      <c r="A6059" s="496"/>
      <c r="D6059" s="496"/>
    </row>
    <row r="6060" spans="1:4" x14ac:dyDescent="0.2">
      <c r="A6060" s="496"/>
      <c r="D6060" s="496"/>
    </row>
    <row r="6061" spans="1:4" x14ac:dyDescent="0.2">
      <c r="A6061" s="496"/>
      <c r="D6061" s="496"/>
    </row>
    <row r="6062" spans="1:4" x14ac:dyDescent="0.2">
      <c r="A6062" s="496"/>
      <c r="D6062" s="496"/>
    </row>
    <row r="6063" spans="1:4" x14ac:dyDescent="0.2">
      <c r="A6063" s="496"/>
      <c r="D6063" s="496"/>
    </row>
    <row r="6064" spans="1:4" x14ac:dyDescent="0.2">
      <c r="A6064" s="496"/>
      <c r="D6064" s="496"/>
    </row>
    <row r="6065" spans="1:4" x14ac:dyDescent="0.2">
      <c r="A6065" s="496"/>
      <c r="D6065" s="496"/>
    </row>
    <row r="6066" spans="1:4" x14ac:dyDescent="0.2">
      <c r="A6066" s="496"/>
      <c r="D6066" s="496"/>
    </row>
    <row r="6067" spans="1:4" x14ac:dyDescent="0.2">
      <c r="A6067" s="496"/>
      <c r="D6067" s="496"/>
    </row>
    <row r="6068" spans="1:4" x14ac:dyDescent="0.2">
      <c r="A6068" s="496"/>
      <c r="D6068" s="496"/>
    </row>
    <row r="6069" spans="1:4" x14ac:dyDescent="0.2">
      <c r="A6069" s="496"/>
      <c r="D6069" s="496"/>
    </row>
    <row r="6070" spans="1:4" x14ac:dyDescent="0.2">
      <c r="A6070" s="496"/>
      <c r="D6070" s="496"/>
    </row>
    <row r="6071" spans="1:4" x14ac:dyDescent="0.2">
      <c r="A6071" s="496"/>
      <c r="D6071" s="496"/>
    </row>
    <row r="6072" spans="1:4" x14ac:dyDescent="0.2">
      <c r="A6072" s="496"/>
      <c r="D6072" s="496"/>
    </row>
    <row r="6073" spans="1:4" x14ac:dyDescent="0.2">
      <c r="A6073" s="496"/>
      <c r="D6073" s="496"/>
    </row>
    <row r="6074" spans="1:4" x14ac:dyDescent="0.2">
      <c r="A6074" s="496"/>
      <c r="D6074" s="496"/>
    </row>
    <row r="6075" spans="1:4" x14ac:dyDescent="0.2">
      <c r="A6075" s="496"/>
      <c r="D6075" s="496"/>
    </row>
    <row r="6076" spans="1:4" x14ac:dyDescent="0.2">
      <c r="A6076" s="496"/>
      <c r="D6076" s="496"/>
    </row>
    <row r="6077" spans="1:4" x14ac:dyDescent="0.2">
      <c r="A6077" s="496"/>
      <c r="D6077" s="496"/>
    </row>
    <row r="6078" spans="1:4" x14ac:dyDescent="0.2">
      <c r="A6078" s="496"/>
      <c r="D6078" s="496"/>
    </row>
    <row r="6079" spans="1:4" x14ac:dyDescent="0.2">
      <c r="A6079" s="496"/>
      <c r="D6079" s="496"/>
    </row>
    <row r="6080" spans="1:4" x14ac:dyDescent="0.2">
      <c r="A6080" s="496"/>
      <c r="D6080" s="496"/>
    </row>
    <row r="6081" spans="1:4" x14ac:dyDescent="0.2">
      <c r="A6081" s="496"/>
      <c r="D6081" s="496"/>
    </row>
    <row r="6082" spans="1:4" x14ac:dyDescent="0.2">
      <c r="A6082" s="496"/>
      <c r="D6082" s="496"/>
    </row>
    <row r="6083" spans="1:4" x14ac:dyDescent="0.2">
      <c r="A6083" s="496"/>
      <c r="D6083" s="496"/>
    </row>
    <row r="6084" spans="1:4" x14ac:dyDescent="0.2">
      <c r="A6084" s="496"/>
      <c r="D6084" s="496"/>
    </row>
    <row r="6085" spans="1:4" x14ac:dyDescent="0.2">
      <c r="A6085" s="496"/>
      <c r="D6085" s="496"/>
    </row>
    <row r="6086" spans="1:4" x14ac:dyDescent="0.2">
      <c r="A6086" s="496"/>
      <c r="D6086" s="496"/>
    </row>
    <row r="6087" spans="1:4" x14ac:dyDescent="0.2">
      <c r="A6087" s="496"/>
      <c r="D6087" s="496"/>
    </row>
    <row r="6088" spans="1:4" x14ac:dyDescent="0.2">
      <c r="A6088" s="496"/>
      <c r="D6088" s="496"/>
    </row>
    <row r="6089" spans="1:4" x14ac:dyDescent="0.2">
      <c r="A6089" s="496"/>
      <c r="D6089" s="496"/>
    </row>
    <row r="6090" spans="1:4" x14ac:dyDescent="0.2">
      <c r="A6090" s="496"/>
      <c r="D6090" s="496"/>
    </row>
    <row r="6091" spans="1:4" x14ac:dyDescent="0.2">
      <c r="A6091" s="496"/>
      <c r="D6091" s="496"/>
    </row>
    <row r="6092" spans="1:4" x14ac:dyDescent="0.2">
      <c r="A6092" s="496"/>
      <c r="D6092" s="496"/>
    </row>
    <row r="6093" spans="1:4" x14ac:dyDescent="0.2">
      <c r="A6093" s="496"/>
      <c r="D6093" s="496"/>
    </row>
    <row r="6094" spans="1:4" x14ac:dyDescent="0.2">
      <c r="A6094" s="496"/>
      <c r="D6094" s="496"/>
    </row>
    <row r="6095" spans="1:4" x14ac:dyDescent="0.2">
      <c r="A6095" s="496"/>
      <c r="D6095" s="496"/>
    </row>
    <row r="6096" spans="1:4" x14ac:dyDescent="0.2">
      <c r="A6096" s="496"/>
      <c r="D6096" s="496"/>
    </row>
    <row r="6097" spans="1:4" x14ac:dyDescent="0.2">
      <c r="A6097" s="496"/>
      <c r="D6097" s="496"/>
    </row>
    <row r="6098" spans="1:4" x14ac:dyDescent="0.2">
      <c r="A6098" s="496"/>
      <c r="D6098" s="496"/>
    </row>
    <row r="6099" spans="1:4" x14ac:dyDescent="0.2">
      <c r="A6099" s="496"/>
      <c r="D6099" s="496"/>
    </row>
    <row r="6100" spans="1:4" x14ac:dyDescent="0.2">
      <c r="A6100" s="496"/>
      <c r="D6100" s="496"/>
    </row>
    <row r="6101" spans="1:4" x14ac:dyDescent="0.2">
      <c r="A6101" s="496"/>
      <c r="D6101" s="496"/>
    </row>
    <row r="6102" spans="1:4" x14ac:dyDescent="0.2">
      <c r="A6102" s="496"/>
      <c r="D6102" s="496"/>
    </row>
    <row r="6103" spans="1:4" x14ac:dyDescent="0.2">
      <c r="A6103" s="496"/>
      <c r="D6103" s="496"/>
    </row>
    <row r="6104" spans="1:4" x14ac:dyDescent="0.2">
      <c r="A6104" s="496"/>
      <c r="D6104" s="496"/>
    </row>
    <row r="6105" spans="1:4" x14ac:dyDescent="0.2">
      <c r="A6105" s="496"/>
      <c r="D6105" s="496"/>
    </row>
    <row r="6106" spans="1:4" x14ac:dyDescent="0.2">
      <c r="A6106" s="496"/>
      <c r="D6106" s="496"/>
    </row>
    <row r="6107" spans="1:4" x14ac:dyDescent="0.2">
      <c r="A6107" s="496"/>
      <c r="D6107" s="496"/>
    </row>
    <row r="6108" spans="1:4" x14ac:dyDescent="0.2">
      <c r="A6108" s="496"/>
      <c r="D6108" s="496"/>
    </row>
    <row r="6109" spans="1:4" x14ac:dyDescent="0.2">
      <c r="A6109" s="496"/>
      <c r="D6109" s="496"/>
    </row>
    <row r="6110" spans="1:4" x14ac:dyDescent="0.2">
      <c r="A6110" s="496"/>
      <c r="D6110" s="496"/>
    </row>
    <row r="6111" spans="1:4" x14ac:dyDescent="0.2">
      <c r="A6111" s="496"/>
      <c r="D6111" s="496"/>
    </row>
    <row r="6112" spans="1:4" x14ac:dyDescent="0.2">
      <c r="A6112" s="496"/>
      <c r="D6112" s="496"/>
    </row>
    <row r="6113" spans="1:4" x14ac:dyDescent="0.2">
      <c r="A6113" s="496"/>
      <c r="D6113" s="496"/>
    </row>
    <row r="6114" spans="1:4" x14ac:dyDescent="0.2">
      <c r="A6114" s="496"/>
      <c r="D6114" s="496"/>
    </row>
    <row r="6115" spans="1:4" x14ac:dyDescent="0.2">
      <c r="A6115" s="496"/>
      <c r="D6115" s="496"/>
    </row>
    <row r="6116" spans="1:4" x14ac:dyDescent="0.2">
      <c r="A6116" s="496"/>
      <c r="D6116" s="496"/>
    </row>
    <row r="6117" spans="1:4" x14ac:dyDescent="0.2">
      <c r="A6117" s="496"/>
      <c r="D6117" s="496"/>
    </row>
    <row r="6118" spans="1:4" x14ac:dyDescent="0.2">
      <c r="A6118" s="496"/>
      <c r="D6118" s="496"/>
    </row>
    <row r="6119" spans="1:4" x14ac:dyDescent="0.2">
      <c r="A6119" s="496"/>
      <c r="D6119" s="496"/>
    </row>
    <row r="6120" spans="1:4" x14ac:dyDescent="0.2">
      <c r="A6120" s="496"/>
      <c r="D6120" s="496"/>
    </row>
    <row r="6121" spans="1:4" x14ac:dyDescent="0.2">
      <c r="A6121" s="496"/>
      <c r="D6121" s="496"/>
    </row>
    <row r="6122" spans="1:4" x14ac:dyDescent="0.2">
      <c r="A6122" s="496"/>
      <c r="D6122" s="496"/>
    </row>
    <row r="6123" spans="1:4" x14ac:dyDescent="0.2">
      <c r="A6123" s="496"/>
      <c r="D6123" s="496"/>
    </row>
    <row r="6124" spans="1:4" x14ac:dyDescent="0.2">
      <c r="A6124" s="496"/>
      <c r="D6124" s="496"/>
    </row>
    <row r="6125" spans="1:4" x14ac:dyDescent="0.2">
      <c r="A6125" s="496"/>
      <c r="D6125" s="496"/>
    </row>
    <row r="6126" spans="1:4" x14ac:dyDescent="0.2">
      <c r="A6126" s="496"/>
      <c r="D6126" s="496"/>
    </row>
    <row r="6127" spans="1:4" x14ac:dyDescent="0.2">
      <c r="A6127" s="496"/>
      <c r="D6127" s="496"/>
    </row>
    <row r="6128" spans="1:4" x14ac:dyDescent="0.2">
      <c r="A6128" s="496"/>
      <c r="D6128" s="496"/>
    </row>
    <row r="6129" spans="1:4" x14ac:dyDescent="0.2">
      <c r="A6129" s="496"/>
      <c r="D6129" s="496"/>
    </row>
    <row r="6130" spans="1:4" x14ac:dyDescent="0.2">
      <c r="A6130" s="496"/>
      <c r="D6130" s="496"/>
    </row>
    <row r="6131" spans="1:4" x14ac:dyDescent="0.2">
      <c r="A6131" s="496"/>
      <c r="D6131" s="496"/>
    </row>
    <row r="6132" spans="1:4" x14ac:dyDescent="0.2">
      <c r="A6132" s="496"/>
      <c r="D6132" s="496"/>
    </row>
    <row r="6133" spans="1:4" x14ac:dyDescent="0.2">
      <c r="A6133" s="496"/>
      <c r="D6133" s="496"/>
    </row>
    <row r="6134" spans="1:4" x14ac:dyDescent="0.2">
      <c r="A6134" s="496"/>
      <c r="D6134" s="496"/>
    </row>
    <row r="6135" spans="1:4" x14ac:dyDescent="0.2">
      <c r="A6135" s="496"/>
      <c r="D6135" s="496"/>
    </row>
    <row r="6136" spans="1:4" x14ac:dyDescent="0.2">
      <c r="A6136" s="496"/>
      <c r="D6136" s="496"/>
    </row>
    <row r="6137" spans="1:4" x14ac:dyDescent="0.2">
      <c r="A6137" s="496"/>
      <c r="D6137" s="496"/>
    </row>
    <row r="6138" spans="1:4" x14ac:dyDescent="0.2">
      <c r="A6138" s="496"/>
      <c r="D6138" s="496"/>
    </row>
    <row r="6139" spans="1:4" x14ac:dyDescent="0.2">
      <c r="A6139" s="496"/>
      <c r="D6139" s="496"/>
    </row>
    <row r="6140" spans="1:4" x14ac:dyDescent="0.2">
      <c r="A6140" s="496"/>
      <c r="D6140" s="496"/>
    </row>
    <row r="6141" spans="1:4" x14ac:dyDescent="0.2">
      <c r="A6141" s="496"/>
      <c r="D6141" s="496"/>
    </row>
    <row r="6142" spans="1:4" x14ac:dyDescent="0.2">
      <c r="A6142" s="496"/>
      <c r="D6142" s="496"/>
    </row>
    <row r="6143" spans="1:4" x14ac:dyDescent="0.2">
      <c r="A6143" s="496"/>
      <c r="D6143" s="496"/>
    </row>
    <row r="6144" spans="1:4" x14ac:dyDescent="0.2">
      <c r="A6144" s="496"/>
      <c r="D6144" s="496"/>
    </row>
    <row r="6145" spans="1:4" x14ac:dyDescent="0.2">
      <c r="A6145" s="496"/>
      <c r="D6145" s="496"/>
    </row>
    <row r="6146" spans="1:4" x14ac:dyDescent="0.2">
      <c r="A6146" s="496"/>
      <c r="D6146" s="496"/>
    </row>
    <row r="6147" spans="1:4" x14ac:dyDescent="0.2">
      <c r="A6147" s="496"/>
      <c r="D6147" s="496"/>
    </row>
    <row r="6148" spans="1:4" x14ac:dyDescent="0.2">
      <c r="A6148" s="496"/>
      <c r="D6148" s="496"/>
    </row>
    <row r="6149" spans="1:4" x14ac:dyDescent="0.2">
      <c r="A6149" s="496"/>
      <c r="D6149" s="496"/>
    </row>
    <row r="6150" spans="1:4" x14ac:dyDescent="0.2">
      <c r="A6150" s="496"/>
      <c r="D6150" s="496"/>
    </row>
    <row r="6151" spans="1:4" x14ac:dyDescent="0.2">
      <c r="A6151" s="496"/>
      <c r="D6151" s="496"/>
    </row>
    <row r="6152" spans="1:4" x14ac:dyDescent="0.2">
      <c r="A6152" s="496"/>
      <c r="D6152" s="496"/>
    </row>
    <row r="6153" spans="1:4" x14ac:dyDescent="0.2">
      <c r="A6153" s="496"/>
      <c r="D6153" s="496"/>
    </row>
    <row r="6154" spans="1:4" x14ac:dyDescent="0.2">
      <c r="A6154" s="496"/>
      <c r="D6154" s="496"/>
    </row>
    <row r="6155" spans="1:4" x14ac:dyDescent="0.2">
      <c r="A6155" s="496"/>
      <c r="D6155" s="496"/>
    </row>
    <row r="6156" spans="1:4" x14ac:dyDescent="0.2">
      <c r="A6156" s="496"/>
      <c r="D6156" s="496"/>
    </row>
    <row r="6157" spans="1:4" x14ac:dyDescent="0.2">
      <c r="A6157" s="496"/>
      <c r="D6157" s="496"/>
    </row>
    <row r="6158" spans="1:4" x14ac:dyDescent="0.2">
      <c r="A6158" s="496"/>
      <c r="D6158" s="496"/>
    </row>
    <row r="6159" spans="1:4" x14ac:dyDescent="0.2">
      <c r="A6159" s="496"/>
      <c r="D6159" s="496"/>
    </row>
    <row r="6160" spans="1:4" x14ac:dyDescent="0.2">
      <c r="A6160" s="496"/>
      <c r="D6160" s="496"/>
    </row>
    <row r="6161" spans="1:4" x14ac:dyDescent="0.2">
      <c r="A6161" s="496"/>
      <c r="D6161" s="496"/>
    </row>
    <row r="6162" spans="1:4" x14ac:dyDescent="0.2">
      <c r="A6162" s="496"/>
      <c r="D6162" s="496"/>
    </row>
    <row r="6163" spans="1:4" x14ac:dyDescent="0.2">
      <c r="A6163" s="496"/>
      <c r="D6163" s="496"/>
    </row>
    <row r="6164" spans="1:4" x14ac:dyDescent="0.2">
      <c r="A6164" s="496"/>
      <c r="D6164" s="496"/>
    </row>
    <row r="6165" spans="1:4" x14ac:dyDescent="0.2">
      <c r="A6165" s="496"/>
      <c r="D6165" s="496"/>
    </row>
    <row r="6166" spans="1:4" x14ac:dyDescent="0.2">
      <c r="A6166" s="496"/>
      <c r="D6166" s="496"/>
    </row>
    <row r="6167" spans="1:4" x14ac:dyDescent="0.2">
      <c r="A6167" s="496"/>
      <c r="D6167" s="496"/>
    </row>
    <row r="6168" spans="1:4" x14ac:dyDescent="0.2">
      <c r="A6168" s="496"/>
      <c r="D6168" s="496"/>
    </row>
    <row r="6169" spans="1:4" x14ac:dyDescent="0.2">
      <c r="A6169" s="496"/>
      <c r="D6169" s="496"/>
    </row>
    <row r="6170" spans="1:4" x14ac:dyDescent="0.2">
      <c r="A6170" s="496"/>
      <c r="D6170" s="496"/>
    </row>
    <row r="6171" spans="1:4" x14ac:dyDescent="0.2">
      <c r="A6171" s="496"/>
      <c r="D6171" s="496"/>
    </row>
    <row r="6172" spans="1:4" x14ac:dyDescent="0.2">
      <c r="A6172" s="496"/>
      <c r="D6172" s="496"/>
    </row>
    <row r="6173" spans="1:4" x14ac:dyDescent="0.2">
      <c r="A6173" s="496"/>
      <c r="D6173" s="496"/>
    </row>
    <row r="6174" spans="1:4" x14ac:dyDescent="0.2">
      <c r="A6174" s="496"/>
      <c r="D6174" s="496"/>
    </row>
    <row r="6175" spans="1:4" x14ac:dyDescent="0.2">
      <c r="A6175" s="496"/>
      <c r="D6175" s="496"/>
    </row>
    <row r="6176" spans="1:4" x14ac:dyDescent="0.2">
      <c r="A6176" s="496"/>
      <c r="D6176" s="496"/>
    </row>
    <row r="6177" spans="1:4" x14ac:dyDescent="0.2">
      <c r="A6177" s="496"/>
      <c r="D6177" s="496"/>
    </row>
    <row r="6178" spans="1:4" x14ac:dyDescent="0.2">
      <c r="A6178" s="496"/>
      <c r="D6178" s="496"/>
    </row>
    <row r="6179" spans="1:4" x14ac:dyDescent="0.2">
      <c r="A6179" s="496"/>
      <c r="D6179" s="496"/>
    </row>
    <row r="6180" spans="1:4" x14ac:dyDescent="0.2">
      <c r="A6180" s="496"/>
      <c r="D6180" s="496"/>
    </row>
    <row r="6181" spans="1:4" x14ac:dyDescent="0.2">
      <c r="A6181" s="496"/>
      <c r="D6181" s="496"/>
    </row>
    <row r="6182" spans="1:4" x14ac:dyDescent="0.2">
      <c r="A6182" s="496"/>
      <c r="D6182" s="496"/>
    </row>
    <row r="6183" spans="1:4" x14ac:dyDescent="0.2">
      <c r="A6183" s="496"/>
      <c r="D6183" s="496"/>
    </row>
    <row r="6184" spans="1:4" x14ac:dyDescent="0.2">
      <c r="A6184" s="496"/>
      <c r="D6184" s="496"/>
    </row>
    <row r="6185" spans="1:4" x14ac:dyDescent="0.2">
      <c r="A6185" s="496"/>
      <c r="D6185" s="496"/>
    </row>
    <row r="6186" spans="1:4" x14ac:dyDescent="0.2">
      <c r="A6186" s="496"/>
      <c r="D6186" s="496"/>
    </row>
    <row r="6187" spans="1:4" x14ac:dyDescent="0.2">
      <c r="A6187" s="496"/>
      <c r="D6187" s="496"/>
    </row>
    <row r="6188" spans="1:4" x14ac:dyDescent="0.2">
      <c r="A6188" s="496"/>
      <c r="D6188" s="496"/>
    </row>
    <row r="6189" spans="1:4" x14ac:dyDescent="0.2">
      <c r="A6189" s="496"/>
      <c r="D6189" s="496"/>
    </row>
    <row r="6190" spans="1:4" x14ac:dyDescent="0.2">
      <c r="A6190" s="496"/>
      <c r="D6190" s="496"/>
    </row>
    <row r="6191" spans="1:4" x14ac:dyDescent="0.2">
      <c r="A6191" s="496"/>
      <c r="D6191" s="496"/>
    </row>
    <row r="6192" spans="1:4" x14ac:dyDescent="0.2">
      <c r="A6192" s="496"/>
      <c r="D6192" s="496"/>
    </row>
    <row r="6193" spans="1:4" x14ac:dyDescent="0.2">
      <c r="A6193" s="496"/>
      <c r="D6193" s="496"/>
    </row>
    <row r="6194" spans="1:4" x14ac:dyDescent="0.2">
      <c r="A6194" s="496"/>
      <c r="D6194" s="496"/>
    </row>
    <row r="6195" spans="1:4" x14ac:dyDescent="0.2">
      <c r="A6195" s="496"/>
      <c r="D6195" s="496"/>
    </row>
    <row r="6196" spans="1:4" x14ac:dyDescent="0.2">
      <c r="A6196" s="496"/>
      <c r="D6196" s="496"/>
    </row>
    <row r="6197" spans="1:4" x14ac:dyDescent="0.2">
      <c r="A6197" s="496"/>
      <c r="D6197" s="496"/>
    </row>
    <row r="6198" spans="1:4" x14ac:dyDescent="0.2">
      <c r="A6198" s="496"/>
      <c r="D6198" s="496"/>
    </row>
    <row r="6199" spans="1:4" x14ac:dyDescent="0.2">
      <c r="A6199" s="496"/>
      <c r="D6199" s="496"/>
    </row>
    <row r="6200" spans="1:4" x14ac:dyDescent="0.2">
      <c r="A6200" s="496"/>
      <c r="D6200" s="496"/>
    </row>
    <row r="6201" spans="1:4" x14ac:dyDescent="0.2">
      <c r="A6201" s="496"/>
      <c r="D6201" s="496"/>
    </row>
    <row r="6202" spans="1:4" x14ac:dyDescent="0.2">
      <c r="A6202" s="496"/>
      <c r="D6202" s="496"/>
    </row>
    <row r="6203" spans="1:4" x14ac:dyDescent="0.2">
      <c r="A6203" s="496"/>
      <c r="D6203" s="496"/>
    </row>
    <row r="6204" spans="1:4" x14ac:dyDescent="0.2">
      <c r="A6204" s="496"/>
      <c r="D6204" s="496"/>
    </row>
    <row r="6205" spans="1:4" x14ac:dyDescent="0.2">
      <c r="A6205" s="496"/>
      <c r="D6205" s="496"/>
    </row>
    <row r="6206" spans="1:4" x14ac:dyDescent="0.2">
      <c r="A6206" s="496"/>
      <c r="D6206" s="496"/>
    </row>
    <row r="6207" spans="1:4" x14ac:dyDescent="0.2">
      <c r="A6207" s="496"/>
      <c r="D6207" s="496"/>
    </row>
    <row r="6208" spans="1:4" x14ac:dyDescent="0.2">
      <c r="A6208" s="496"/>
      <c r="D6208" s="496"/>
    </row>
    <row r="6209" spans="1:4" x14ac:dyDescent="0.2">
      <c r="A6209" s="496"/>
      <c r="D6209" s="496"/>
    </row>
    <row r="6210" spans="1:4" x14ac:dyDescent="0.2">
      <c r="A6210" s="496"/>
      <c r="D6210" s="496"/>
    </row>
    <row r="6211" spans="1:4" x14ac:dyDescent="0.2">
      <c r="A6211" s="496"/>
      <c r="D6211" s="496"/>
    </row>
    <row r="6212" spans="1:4" x14ac:dyDescent="0.2">
      <c r="A6212" s="496"/>
      <c r="D6212" s="496"/>
    </row>
    <row r="6213" spans="1:4" x14ac:dyDescent="0.2">
      <c r="A6213" s="496"/>
      <c r="D6213" s="496"/>
    </row>
    <row r="6214" spans="1:4" x14ac:dyDescent="0.2">
      <c r="A6214" s="496"/>
      <c r="D6214" s="496"/>
    </row>
    <row r="6215" spans="1:4" x14ac:dyDescent="0.2">
      <c r="A6215" s="496"/>
      <c r="D6215" s="496"/>
    </row>
    <row r="6216" spans="1:4" x14ac:dyDescent="0.2">
      <c r="A6216" s="496"/>
      <c r="D6216" s="496"/>
    </row>
    <row r="6217" spans="1:4" x14ac:dyDescent="0.2">
      <c r="A6217" s="496"/>
      <c r="D6217" s="496"/>
    </row>
    <row r="6218" spans="1:4" x14ac:dyDescent="0.2">
      <c r="A6218" s="496"/>
      <c r="D6218" s="496"/>
    </row>
    <row r="6219" spans="1:4" x14ac:dyDescent="0.2">
      <c r="A6219" s="496"/>
      <c r="D6219" s="496"/>
    </row>
    <row r="6220" spans="1:4" x14ac:dyDescent="0.2">
      <c r="A6220" s="496"/>
      <c r="D6220" s="496"/>
    </row>
    <row r="6221" spans="1:4" x14ac:dyDescent="0.2">
      <c r="A6221" s="496"/>
      <c r="D6221" s="496"/>
    </row>
    <row r="6222" spans="1:4" x14ac:dyDescent="0.2">
      <c r="A6222" s="496"/>
      <c r="D6222" s="496"/>
    </row>
    <row r="6223" spans="1:4" x14ac:dyDescent="0.2">
      <c r="A6223" s="496"/>
      <c r="D6223" s="496"/>
    </row>
    <row r="6224" spans="1:4" x14ac:dyDescent="0.2">
      <c r="A6224" s="496"/>
      <c r="D6224" s="496"/>
    </row>
    <row r="6225" spans="1:4" x14ac:dyDescent="0.2">
      <c r="A6225" s="496"/>
      <c r="D6225" s="496"/>
    </row>
    <row r="6226" spans="1:4" x14ac:dyDescent="0.2">
      <c r="A6226" s="496"/>
      <c r="D6226" s="496"/>
    </row>
    <row r="6227" spans="1:4" x14ac:dyDescent="0.2">
      <c r="A6227" s="496"/>
      <c r="D6227" s="496"/>
    </row>
    <row r="6228" spans="1:4" x14ac:dyDescent="0.2">
      <c r="A6228" s="496"/>
      <c r="D6228" s="496"/>
    </row>
    <row r="6229" spans="1:4" x14ac:dyDescent="0.2">
      <c r="A6229" s="496"/>
      <c r="D6229" s="496"/>
    </row>
    <row r="6230" spans="1:4" x14ac:dyDescent="0.2">
      <c r="A6230" s="496"/>
      <c r="D6230" s="496"/>
    </row>
    <row r="6231" spans="1:4" x14ac:dyDescent="0.2">
      <c r="A6231" s="496"/>
      <c r="D6231" s="496"/>
    </row>
    <row r="6232" spans="1:4" x14ac:dyDescent="0.2">
      <c r="A6232" s="496"/>
      <c r="D6232" s="496"/>
    </row>
    <row r="6233" spans="1:4" x14ac:dyDescent="0.2">
      <c r="A6233" s="496"/>
      <c r="D6233" s="496"/>
    </row>
    <row r="6234" spans="1:4" x14ac:dyDescent="0.2">
      <c r="A6234" s="496"/>
      <c r="D6234" s="496"/>
    </row>
    <row r="6235" spans="1:4" x14ac:dyDescent="0.2">
      <c r="A6235" s="496"/>
      <c r="D6235" s="496"/>
    </row>
    <row r="6236" spans="1:4" x14ac:dyDescent="0.2">
      <c r="A6236" s="496"/>
      <c r="D6236" s="496"/>
    </row>
    <row r="6237" spans="1:4" x14ac:dyDescent="0.2">
      <c r="A6237" s="496"/>
      <c r="D6237" s="496"/>
    </row>
    <row r="6238" spans="1:4" x14ac:dyDescent="0.2">
      <c r="A6238" s="496"/>
      <c r="D6238" s="496"/>
    </row>
    <row r="6239" spans="1:4" x14ac:dyDescent="0.2">
      <c r="A6239" s="496"/>
      <c r="D6239" s="496"/>
    </row>
    <row r="6240" spans="1:4" x14ac:dyDescent="0.2">
      <c r="A6240" s="496"/>
      <c r="D6240" s="496"/>
    </row>
    <row r="6241" spans="1:4" x14ac:dyDescent="0.2">
      <c r="A6241" s="496"/>
      <c r="D6241" s="496"/>
    </row>
    <row r="6242" spans="1:4" x14ac:dyDescent="0.2">
      <c r="A6242" s="496"/>
      <c r="D6242" s="496"/>
    </row>
    <row r="6243" spans="1:4" x14ac:dyDescent="0.2">
      <c r="A6243" s="496"/>
      <c r="D6243" s="496"/>
    </row>
    <row r="6244" spans="1:4" x14ac:dyDescent="0.2">
      <c r="A6244" s="496"/>
      <c r="D6244" s="496"/>
    </row>
    <row r="6245" spans="1:4" x14ac:dyDescent="0.2">
      <c r="A6245" s="496"/>
      <c r="D6245" s="496"/>
    </row>
    <row r="6246" spans="1:4" x14ac:dyDescent="0.2">
      <c r="A6246" s="496"/>
      <c r="D6246" s="496"/>
    </row>
    <row r="6247" spans="1:4" x14ac:dyDescent="0.2">
      <c r="A6247" s="496"/>
      <c r="D6247" s="496"/>
    </row>
    <row r="6248" spans="1:4" x14ac:dyDescent="0.2">
      <c r="A6248" s="496"/>
      <c r="D6248" s="496"/>
    </row>
    <row r="6249" spans="1:4" x14ac:dyDescent="0.2">
      <c r="A6249" s="496"/>
      <c r="D6249" s="496"/>
    </row>
    <row r="6250" spans="1:4" x14ac:dyDescent="0.2">
      <c r="A6250" s="496"/>
      <c r="D6250" s="496"/>
    </row>
    <row r="6251" spans="1:4" x14ac:dyDescent="0.2">
      <c r="A6251" s="496"/>
      <c r="D6251" s="496"/>
    </row>
    <row r="6252" spans="1:4" x14ac:dyDescent="0.2">
      <c r="A6252" s="496"/>
      <c r="D6252" s="496"/>
    </row>
    <row r="6253" spans="1:4" x14ac:dyDescent="0.2">
      <c r="A6253" s="496"/>
      <c r="D6253" s="496"/>
    </row>
    <row r="6254" spans="1:4" x14ac:dyDescent="0.2">
      <c r="A6254" s="496"/>
      <c r="D6254" s="496"/>
    </row>
    <row r="6255" spans="1:4" x14ac:dyDescent="0.2">
      <c r="A6255" s="496"/>
      <c r="D6255" s="496"/>
    </row>
    <row r="6256" spans="1:4" x14ac:dyDescent="0.2">
      <c r="A6256" s="496"/>
      <c r="D6256" s="496"/>
    </row>
    <row r="6257" spans="1:4" x14ac:dyDescent="0.2">
      <c r="A6257" s="496"/>
      <c r="D6257" s="496"/>
    </row>
    <row r="6258" spans="1:4" x14ac:dyDescent="0.2">
      <c r="A6258" s="496"/>
      <c r="D6258" s="496"/>
    </row>
    <row r="6259" spans="1:4" x14ac:dyDescent="0.2">
      <c r="A6259" s="496"/>
      <c r="D6259" s="496"/>
    </row>
    <row r="6260" spans="1:4" x14ac:dyDescent="0.2">
      <c r="A6260" s="496"/>
      <c r="D6260" s="496"/>
    </row>
    <row r="6261" spans="1:4" x14ac:dyDescent="0.2">
      <c r="A6261" s="496"/>
      <c r="D6261" s="496"/>
    </row>
    <row r="6262" spans="1:4" x14ac:dyDescent="0.2">
      <c r="A6262" s="496"/>
      <c r="D6262" s="496"/>
    </row>
    <row r="6263" spans="1:4" x14ac:dyDescent="0.2">
      <c r="A6263" s="496"/>
      <c r="D6263" s="496"/>
    </row>
    <row r="6264" spans="1:4" x14ac:dyDescent="0.2">
      <c r="A6264" s="496"/>
      <c r="D6264" s="496"/>
    </row>
    <row r="6265" spans="1:4" x14ac:dyDescent="0.2">
      <c r="A6265" s="496"/>
      <c r="D6265" s="496"/>
    </row>
    <row r="6266" spans="1:4" x14ac:dyDescent="0.2">
      <c r="A6266" s="496"/>
      <c r="D6266" s="496"/>
    </row>
    <row r="6267" spans="1:4" x14ac:dyDescent="0.2">
      <c r="A6267" s="496"/>
      <c r="D6267" s="496"/>
    </row>
    <row r="6268" spans="1:4" x14ac:dyDescent="0.2">
      <c r="A6268" s="496"/>
      <c r="D6268" s="496"/>
    </row>
    <row r="6269" spans="1:4" x14ac:dyDescent="0.2">
      <c r="A6269" s="496"/>
      <c r="D6269" s="496"/>
    </row>
    <row r="6270" spans="1:4" x14ac:dyDescent="0.2">
      <c r="A6270" s="496"/>
      <c r="D6270" s="496"/>
    </row>
    <row r="6271" spans="1:4" x14ac:dyDescent="0.2">
      <c r="A6271" s="496"/>
      <c r="D6271" s="496"/>
    </row>
    <row r="6272" spans="1:4" x14ac:dyDescent="0.2">
      <c r="A6272" s="496"/>
      <c r="D6272" s="496"/>
    </row>
    <row r="6273" spans="1:4" x14ac:dyDescent="0.2">
      <c r="A6273" s="496"/>
      <c r="D6273" s="496"/>
    </row>
    <row r="6274" spans="1:4" x14ac:dyDescent="0.2">
      <c r="A6274" s="496"/>
      <c r="D6274" s="496"/>
    </row>
    <row r="6275" spans="1:4" x14ac:dyDescent="0.2">
      <c r="A6275" s="496"/>
      <c r="D6275" s="496"/>
    </row>
    <row r="6276" spans="1:4" x14ac:dyDescent="0.2">
      <c r="A6276" s="496"/>
      <c r="D6276" s="496"/>
    </row>
    <row r="6277" spans="1:4" x14ac:dyDescent="0.2">
      <c r="A6277" s="496"/>
      <c r="D6277" s="496"/>
    </row>
    <row r="6278" spans="1:4" x14ac:dyDescent="0.2">
      <c r="A6278" s="496"/>
      <c r="D6278" s="496"/>
    </row>
    <row r="6279" spans="1:4" x14ac:dyDescent="0.2">
      <c r="A6279" s="496"/>
      <c r="D6279" s="496"/>
    </row>
    <row r="6280" spans="1:4" x14ac:dyDescent="0.2">
      <c r="A6280" s="496"/>
      <c r="D6280" s="496"/>
    </row>
    <row r="6281" spans="1:4" x14ac:dyDescent="0.2">
      <c r="A6281" s="496"/>
      <c r="D6281" s="496"/>
    </row>
    <row r="6282" spans="1:4" x14ac:dyDescent="0.2">
      <c r="A6282" s="496"/>
      <c r="D6282" s="496"/>
    </row>
    <row r="6283" spans="1:4" x14ac:dyDescent="0.2">
      <c r="A6283" s="496"/>
      <c r="D6283" s="496"/>
    </row>
    <row r="6284" spans="1:4" x14ac:dyDescent="0.2">
      <c r="A6284" s="496"/>
      <c r="D6284" s="496"/>
    </row>
    <row r="6285" spans="1:4" x14ac:dyDescent="0.2">
      <c r="A6285" s="496"/>
      <c r="D6285" s="496"/>
    </row>
    <row r="6286" spans="1:4" x14ac:dyDescent="0.2">
      <c r="A6286" s="496"/>
      <c r="D6286" s="496"/>
    </row>
    <row r="6287" spans="1:4" x14ac:dyDescent="0.2">
      <c r="A6287" s="496"/>
      <c r="D6287" s="496"/>
    </row>
    <row r="6288" spans="1:4" x14ac:dyDescent="0.2">
      <c r="A6288" s="496"/>
      <c r="D6288" s="496"/>
    </row>
    <row r="6289" spans="1:4" x14ac:dyDescent="0.2">
      <c r="A6289" s="496"/>
      <c r="D6289" s="496"/>
    </row>
    <row r="6290" spans="1:4" x14ac:dyDescent="0.2">
      <c r="A6290" s="496"/>
      <c r="D6290" s="496"/>
    </row>
    <row r="6291" spans="1:4" x14ac:dyDescent="0.2">
      <c r="A6291" s="496"/>
      <c r="D6291" s="496"/>
    </row>
    <row r="6292" spans="1:4" x14ac:dyDescent="0.2">
      <c r="A6292" s="496"/>
      <c r="D6292" s="496"/>
    </row>
    <row r="6293" spans="1:4" x14ac:dyDescent="0.2">
      <c r="A6293" s="496"/>
      <c r="D6293" s="496"/>
    </row>
    <row r="6294" spans="1:4" x14ac:dyDescent="0.2">
      <c r="A6294" s="496"/>
      <c r="D6294" s="496"/>
    </row>
    <row r="6295" spans="1:4" x14ac:dyDescent="0.2">
      <c r="A6295" s="496"/>
      <c r="D6295" s="496"/>
    </row>
    <row r="6296" spans="1:4" x14ac:dyDescent="0.2">
      <c r="A6296" s="496"/>
      <c r="D6296" s="496"/>
    </row>
    <row r="6297" spans="1:4" x14ac:dyDescent="0.2">
      <c r="A6297" s="496"/>
      <c r="D6297" s="496"/>
    </row>
    <row r="6298" spans="1:4" x14ac:dyDescent="0.2">
      <c r="A6298" s="496"/>
      <c r="D6298" s="496"/>
    </row>
    <row r="6299" spans="1:4" x14ac:dyDescent="0.2">
      <c r="A6299" s="496"/>
      <c r="D6299" s="496"/>
    </row>
    <row r="6300" spans="1:4" x14ac:dyDescent="0.2">
      <c r="A6300" s="496"/>
      <c r="D6300" s="496"/>
    </row>
    <row r="6301" spans="1:4" x14ac:dyDescent="0.2">
      <c r="A6301" s="496"/>
      <c r="D6301" s="496"/>
    </row>
    <row r="6302" spans="1:4" x14ac:dyDescent="0.2">
      <c r="A6302" s="496"/>
      <c r="D6302" s="496"/>
    </row>
    <row r="6303" spans="1:4" x14ac:dyDescent="0.2">
      <c r="A6303" s="496"/>
      <c r="D6303" s="496"/>
    </row>
    <row r="6304" spans="1:4" x14ac:dyDescent="0.2">
      <c r="A6304" s="496"/>
      <c r="D6304" s="496"/>
    </row>
    <row r="6305" spans="1:4" x14ac:dyDescent="0.2">
      <c r="A6305" s="496"/>
      <c r="D6305" s="496"/>
    </row>
    <row r="6306" spans="1:4" x14ac:dyDescent="0.2">
      <c r="A6306" s="496"/>
      <c r="D6306" s="496"/>
    </row>
    <row r="6307" spans="1:4" x14ac:dyDescent="0.2">
      <c r="A6307" s="496"/>
      <c r="D6307" s="496"/>
    </row>
    <row r="6308" spans="1:4" x14ac:dyDescent="0.2">
      <c r="A6308" s="496"/>
      <c r="D6308" s="496"/>
    </row>
    <row r="6309" spans="1:4" x14ac:dyDescent="0.2">
      <c r="A6309" s="496"/>
      <c r="D6309" s="496"/>
    </row>
    <row r="6310" spans="1:4" x14ac:dyDescent="0.2">
      <c r="A6310" s="496"/>
      <c r="D6310" s="496"/>
    </row>
    <row r="6311" spans="1:4" x14ac:dyDescent="0.2">
      <c r="A6311" s="496"/>
      <c r="D6311" s="496"/>
    </row>
    <row r="6312" spans="1:4" x14ac:dyDescent="0.2">
      <c r="A6312" s="496"/>
      <c r="D6312" s="496"/>
    </row>
    <row r="6313" spans="1:4" x14ac:dyDescent="0.2">
      <c r="A6313" s="496"/>
      <c r="D6313" s="496"/>
    </row>
    <row r="6314" spans="1:4" x14ac:dyDescent="0.2">
      <c r="A6314" s="496"/>
      <c r="D6314" s="496"/>
    </row>
    <row r="6315" spans="1:4" x14ac:dyDescent="0.2">
      <c r="A6315" s="496"/>
      <c r="D6315" s="496"/>
    </row>
    <row r="6316" spans="1:4" x14ac:dyDescent="0.2">
      <c r="A6316" s="496"/>
      <c r="D6316" s="496"/>
    </row>
    <row r="6317" spans="1:4" x14ac:dyDescent="0.2">
      <c r="A6317" s="496"/>
      <c r="D6317" s="496"/>
    </row>
    <row r="6318" spans="1:4" x14ac:dyDescent="0.2">
      <c r="A6318" s="496"/>
      <c r="D6318" s="496"/>
    </row>
    <row r="6319" spans="1:4" x14ac:dyDescent="0.2">
      <c r="A6319" s="496"/>
      <c r="D6319" s="496"/>
    </row>
    <row r="6320" spans="1:4" x14ac:dyDescent="0.2">
      <c r="A6320" s="496"/>
      <c r="D6320" s="496"/>
    </row>
    <row r="6321" spans="1:4" x14ac:dyDescent="0.2">
      <c r="A6321" s="496"/>
      <c r="D6321" s="496"/>
    </row>
    <row r="6322" spans="1:4" x14ac:dyDescent="0.2">
      <c r="A6322" s="496"/>
      <c r="D6322" s="496"/>
    </row>
    <row r="6323" spans="1:4" x14ac:dyDescent="0.2">
      <c r="A6323" s="496"/>
      <c r="D6323" s="496"/>
    </row>
    <row r="6324" spans="1:4" x14ac:dyDescent="0.2">
      <c r="A6324" s="496"/>
      <c r="D6324" s="496"/>
    </row>
    <row r="6325" spans="1:4" x14ac:dyDescent="0.2">
      <c r="A6325" s="496"/>
      <c r="D6325" s="496"/>
    </row>
    <row r="6326" spans="1:4" x14ac:dyDescent="0.2">
      <c r="A6326" s="496"/>
      <c r="D6326" s="496"/>
    </row>
    <row r="6327" spans="1:4" x14ac:dyDescent="0.2">
      <c r="A6327" s="496"/>
      <c r="D6327" s="496"/>
    </row>
    <row r="6328" spans="1:4" x14ac:dyDescent="0.2">
      <c r="A6328" s="496"/>
      <c r="D6328" s="496"/>
    </row>
    <row r="6329" spans="1:4" x14ac:dyDescent="0.2">
      <c r="A6329" s="496"/>
      <c r="D6329" s="496"/>
    </row>
    <row r="6330" spans="1:4" x14ac:dyDescent="0.2">
      <c r="A6330" s="496"/>
      <c r="D6330" s="496"/>
    </row>
    <row r="6331" spans="1:4" x14ac:dyDescent="0.2">
      <c r="A6331" s="496"/>
      <c r="D6331" s="496"/>
    </row>
    <row r="6332" spans="1:4" x14ac:dyDescent="0.2">
      <c r="A6332" s="496"/>
      <c r="D6332" s="496"/>
    </row>
    <row r="6333" spans="1:4" x14ac:dyDescent="0.2">
      <c r="A6333" s="496"/>
      <c r="D6333" s="496"/>
    </row>
    <row r="6334" spans="1:4" x14ac:dyDescent="0.2">
      <c r="A6334" s="496"/>
      <c r="D6334" s="496"/>
    </row>
    <row r="6335" spans="1:4" x14ac:dyDescent="0.2">
      <c r="A6335" s="496"/>
      <c r="D6335" s="496"/>
    </row>
    <row r="6336" spans="1:4" x14ac:dyDescent="0.2">
      <c r="A6336" s="496"/>
      <c r="D6336" s="496"/>
    </row>
    <row r="6337" spans="1:4" x14ac:dyDescent="0.2">
      <c r="A6337" s="496"/>
      <c r="D6337" s="496"/>
    </row>
    <row r="6338" spans="1:4" x14ac:dyDescent="0.2">
      <c r="A6338" s="496"/>
      <c r="D6338" s="496"/>
    </row>
    <row r="6339" spans="1:4" x14ac:dyDescent="0.2">
      <c r="A6339" s="496"/>
      <c r="D6339" s="496"/>
    </row>
    <row r="6340" spans="1:4" x14ac:dyDescent="0.2">
      <c r="A6340" s="496"/>
      <c r="D6340" s="496"/>
    </row>
    <row r="6341" spans="1:4" x14ac:dyDescent="0.2">
      <c r="A6341" s="496"/>
      <c r="D6341" s="496"/>
    </row>
    <row r="6342" spans="1:4" x14ac:dyDescent="0.2">
      <c r="A6342" s="496"/>
      <c r="D6342" s="496"/>
    </row>
    <row r="6343" spans="1:4" x14ac:dyDescent="0.2">
      <c r="A6343" s="496"/>
      <c r="D6343" s="496"/>
    </row>
    <row r="6344" spans="1:4" x14ac:dyDescent="0.2">
      <c r="A6344" s="496"/>
      <c r="D6344" s="496"/>
    </row>
    <row r="6345" spans="1:4" x14ac:dyDescent="0.2">
      <c r="A6345" s="496"/>
      <c r="D6345" s="496"/>
    </row>
    <row r="6346" spans="1:4" x14ac:dyDescent="0.2">
      <c r="A6346" s="496"/>
      <c r="D6346" s="496"/>
    </row>
    <row r="6347" spans="1:4" x14ac:dyDescent="0.2">
      <c r="A6347" s="496"/>
      <c r="D6347" s="496"/>
    </row>
    <row r="6348" spans="1:4" x14ac:dyDescent="0.2">
      <c r="A6348" s="496"/>
      <c r="D6348" s="496"/>
    </row>
    <row r="6349" spans="1:4" x14ac:dyDescent="0.2">
      <c r="A6349" s="496"/>
      <c r="D6349" s="496"/>
    </row>
    <row r="6350" spans="1:4" x14ac:dyDescent="0.2">
      <c r="A6350" s="496"/>
      <c r="D6350" s="496"/>
    </row>
    <row r="6351" spans="1:4" x14ac:dyDescent="0.2">
      <c r="A6351" s="496"/>
      <c r="D6351" s="496"/>
    </row>
    <row r="6352" spans="1:4" x14ac:dyDescent="0.2">
      <c r="A6352" s="496"/>
      <c r="D6352" s="496"/>
    </row>
    <row r="6353" spans="1:4" x14ac:dyDescent="0.2">
      <c r="A6353" s="496"/>
      <c r="D6353" s="496"/>
    </row>
    <row r="6354" spans="1:4" x14ac:dyDescent="0.2">
      <c r="A6354" s="496"/>
      <c r="D6354" s="496"/>
    </row>
    <row r="6355" spans="1:4" x14ac:dyDescent="0.2">
      <c r="A6355" s="496"/>
      <c r="D6355" s="496"/>
    </row>
    <row r="6356" spans="1:4" x14ac:dyDescent="0.2">
      <c r="A6356" s="496"/>
      <c r="D6356" s="496"/>
    </row>
    <row r="6357" spans="1:4" x14ac:dyDescent="0.2">
      <c r="A6357" s="496"/>
      <c r="D6357" s="496"/>
    </row>
    <row r="6358" spans="1:4" x14ac:dyDescent="0.2">
      <c r="A6358" s="496"/>
      <c r="D6358" s="496"/>
    </row>
    <row r="6359" spans="1:4" x14ac:dyDescent="0.2">
      <c r="A6359" s="496"/>
      <c r="D6359" s="496"/>
    </row>
    <row r="6360" spans="1:4" x14ac:dyDescent="0.2">
      <c r="A6360" s="496"/>
      <c r="D6360" s="496"/>
    </row>
    <row r="6361" spans="1:4" x14ac:dyDescent="0.2">
      <c r="A6361" s="496"/>
      <c r="D6361" s="496"/>
    </row>
    <row r="6362" spans="1:4" x14ac:dyDescent="0.2">
      <c r="A6362" s="496"/>
      <c r="D6362" s="496"/>
    </row>
    <row r="6363" spans="1:4" x14ac:dyDescent="0.2">
      <c r="A6363" s="496"/>
      <c r="D6363" s="496"/>
    </row>
    <row r="6364" spans="1:4" x14ac:dyDescent="0.2">
      <c r="A6364" s="496"/>
      <c r="D6364" s="496"/>
    </row>
    <row r="6365" spans="1:4" x14ac:dyDescent="0.2">
      <c r="A6365" s="496"/>
      <c r="D6365" s="496"/>
    </row>
    <row r="6366" spans="1:4" x14ac:dyDescent="0.2">
      <c r="A6366" s="496"/>
      <c r="D6366" s="496"/>
    </row>
    <row r="6367" spans="1:4" x14ac:dyDescent="0.2">
      <c r="A6367" s="496"/>
      <c r="D6367" s="496"/>
    </row>
    <row r="6368" spans="1:4" x14ac:dyDescent="0.2">
      <c r="A6368" s="496"/>
      <c r="D6368" s="496"/>
    </row>
    <row r="6369" spans="1:4" x14ac:dyDescent="0.2">
      <c r="A6369" s="496"/>
      <c r="D6369" s="496"/>
    </row>
    <row r="6370" spans="1:4" x14ac:dyDescent="0.2">
      <c r="A6370" s="496"/>
      <c r="D6370" s="496"/>
    </row>
    <row r="6371" spans="1:4" x14ac:dyDescent="0.2">
      <c r="A6371" s="496"/>
      <c r="D6371" s="496"/>
    </row>
    <row r="6372" spans="1:4" x14ac:dyDescent="0.2">
      <c r="A6372" s="496"/>
      <c r="D6372" s="496"/>
    </row>
    <row r="6373" spans="1:4" x14ac:dyDescent="0.2">
      <c r="A6373" s="496"/>
      <c r="D6373" s="496"/>
    </row>
    <row r="6374" spans="1:4" x14ac:dyDescent="0.2">
      <c r="A6374" s="496"/>
      <c r="D6374" s="496"/>
    </row>
    <row r="6375" spans="1:4" x14ac:dyDescent="0.2">
      <c r="A6375" s="496"/>
      <c r="D6375" s="496"/>
    </row>
    <row r="6376" spans="1:4" x14ac:dyDescent="0.2">
      <c r="A6376" s="496"/>
      <c r="D6376" s="496"/>
    </row>
    <row r="6377" spans="1:4" x14ac:dyDescent="0.2">
      <c r="A6377" s="496"/>
      <c r="D6377" s="496"/>
    </row>
    <row r="6378" spans="1:4" x14ac:dyDescent="0.2">
      <c r="A6378" s="496"/>
      <c r="D6378" s="496"/>
    </row>
    <row r="6379" spans="1:4" x14ac:dyDescent="0.2">
      <c r="A6379" s="496"/>
      <c r="D6379" s="496"/>
    </row>
    <row r="6380" spans="1:4" x14ac:dyDescent="0.2">
      <c r="A6380" s="496"/>
      <c r="D6380" s="496"/>
    </row>
    <row r="6381" spans="1:4" x14ac:dyDescent="0.2">
      <c r="A6381" s="496"/>
      <c r="D6381" s="496"/>
    </row>
    <row r="6382" spans="1:4" x14ac:dyDescent="0.2">
      <c r="A6382" s="496"/>
      <c r="D6382" s="496"/>
    </row>
    <row r="6383" spans="1:4" x14ac:dyDescent="0.2">
      <c r="A6383" s="496"/>
      <c r="D6383" s="496"/>
    </row>
    <row r="6384" spans="1:4" x14ac:dyDescent="0.2">
      <c r="A6384" s="496"/>
      <c r="D6384" s="496"/>
    </row>
    <row r="6385" spans="1:4" x14ac:dyDescent="0.2">
      <c r="A6385" s="496"/>
      <c r="D6385" s="496"/>
    </row>
    <row r="6386" spans="1:4" x14ac:dyDescent="0.2">
      <c r="A6386" s="496"/>
      <c r="D6386" s="496"/>
    </row>
    <row r="6387" spans="1:4" x14ac:dyDescent="0.2">
      <c r="A6387" s="496"/>
      <c r="D6387" s="496"/>
    </row>
    <row r="6388" spans="1:4" x14ac:dyDescent="0.2">
      <c r="A6388" s="496"/>
      <c r="D6388" s="496"/>
    </row>
    <row r="6389" spans="1:4" x14ac:dyDescent="0.2">
      <c r="A6389" s="496"/>
      <c r="D6389" s="496"/>
    </row>
    <row r="6390" spans="1:4" x14ac:dyDescent="0.2">
      <c r="A6390" s="496"/>
      <c r="D6390" s="496"/>
    </row>
    <row r="6391" spans="1:4" x14ac:dyDescent="0.2">
      <c r="A6391" s="496"/>
      <c r="D6391" s="496"/>
    </row>
    <row r="6392" spans="1:4" x14ac:dyDescent="0.2">
      <c r="A6392" s="496"/>
      <c r="D6392" s="496"/>
    </row>
    <row r="6393" spans="1:4" x14ac:dyDescent="0.2">
      <c r="A6393" s="496"/>
      <c r="D6393" s="496"/>
    </row>
    <row r="6394" spans="1:4" x14ac:dyDescent="0.2">
      <c r="A6394" s="496"/>
      <c r="D6394" s="496"/>
    </row>
    <row r="6395" spans="1:4" x14ac:dyDescent="0.2">
      <c r="A6395" s="496"/>
      <c r="D6395" s="496"/>
    </row>
    <row r="6396" spans="1:4" x14ac:dyDescent="0.2">
      <c r="A6396" s="496"/>
      <c r="D6396" s="496"/>
    </row>
    <row r="6397" spans="1:4" x14ac:dyDescent="0.2">
      <c r="A6397" s="496"/>
      <c r="D6397" s="496"/>
    </row>
    <row r="6398" spans="1:4" x14ac:dyDescent="0.2">
      <c r="A6398" s="496"/>
      <c r="D6398" s="496"/>
    </row>
    <row r="6399" spans="1:4" x14ac:dyDescent="0.2">
      <c r="A6399" s="496"/>
      <c r="D6399" s="496"/>
    </row>
    <row r="6400" spans="1:4" x14ac:dyDescent="0.2">
      <c r="A6400" s="496"/>
      <c r="D6400" s="496"/>
    </row>
    <row r="6401" spans="1:4" x14ac:dyDescent="0.2">
      <c r="A6401" s="496"/>
      <c r="D6401" s="496"/>
    </row>
    <row r="6402" spans="1:4" x14ac:dyDescent="0.2">
      <c r="A6402" s="496"/>
      <c r="D6402" s="496"/>
    </row>
    <row r="6403" spans="1:4" x14ac:dyDescent="0.2">
      <c r="A6403" s="496"/>
      <c r="D6403" s="496"/>
    </row>
    <row r="6404" spans="1:4" x14ac:dyDescent="0.2">
      <c r="A6404" s="496"/>
      <c r="D6404" s="496"/>
    </row>
    <row r="6405" spans="1:4" x14ac:dyDescent="0.2">
      <c r="A6405" s="496"/>
      <c r="D6405" s="496"/>
    </row>
    <row r="6406" spans="1:4" x14ac:dyDescent="0.2">
      <c r="A6406" s="496"/>
      <c r="D6406" s="496"/>
    </row>
    <row r="6407" spans="1:4" x14ac:dyDescent="0.2">
      <c r="A6407" s="496"/>
      <c r="D6407" s="496"/>
    </row>
    <row r="6408" spans="1:4" x14ac:dyDescent="0.2">
      <c r="A6408" s="496"/>
      <c r="D6408" s="496"/>
    </row>
    <row r="6409" spans="1:4" x14ac:dyDescent="0.2">
      <c r="A6409" s="496"/>
      <c r="D6409" s="496"/>
    </row>
    <row r="6410" spans="1:4" x14ac:dyDescent="0.2">
      <c r="A6410" s="496"/>
      <c r="D6410" s="496"/>
    </row>
    <row r="6411" spans="1:4" x14ac:dyDescent="0.2">
      <c r="A6411" s="496"/>
      <c r="D6411" s="496"/>
    </row>
    <row r="6412" spans="1:4" x14ac:dyDescent="0.2">
      <c r="A6412" s="496"/>
      <c r="D6412" s="496"/>
    </row>
    <row r="6413" spans="1:4" x14ac:dyDescent="0.2">
      <c r="A6413" s="496"/>
      <c r="D6413" s="496"/>
    </row>
    <row r="6414" spans="1:4" x14ac:dyDescent="0.2">
      <c r="A6414" s="496"/>
      <c r="D6414" s="496"/>
    </row>
    <row r="6415" spans="1:4" x14ac:dyDescent="0.2">
      <c r="A6415" s="496"/>
      <c r="D6415" s="496"/>
    </row>
    <row r="6416" spans="1:4" x14ac:dyDescent="0.2">
      <c r="A6416" s="496"/>
      <c r="D6416" s="496"/>
    </row>
    <row r="6417" spans="1:4" x14ac:dyDescent="0.2">
      <c r="A6417" s="496"/>
      <c r="D6417" s="496"/>
    </row>
    <row r="6418" spans="1:4" x14ac:dyDescent="0.2">
      <c r="A6418" s="496"/>
      <c r="D6418" s="496"/>
    </row>
    <row r="6419" spans="1:4" x14ac:dyDescent="0.2">
      <c r="A6419" s="496"/>
      <c r="D6419" s="496"/>
    </row>
    <row r="6420" spans="1:4" x14ac:dyDescent="0.2">
      <c r="A6420" s="496"/>
      <c r="D6420" s="496"/>
    </row>
    <row r="6421" spans="1:4" x14ac:dyDescent="0.2">
      <c r="A6421" s="496"/>
      <c r="D6421" s="496"/>
    </row>
    <row r="6422" spans="1:4" x14ac:dyDescent="0.2">
      <c r="A6422" s="496"/>
      <c r="D6422" s="496"/>
    </row>
    <row r="6423" spans="1:4" x14ac:dyDescent="0.2">
      <c r="A6423" s="496"/>
      <c r="D6423" s="496"/>
    </row>
    <row r="6424" spans="1:4" x14ac:dyDescent="0.2">
      <c r="A6424" s="496"/>
      <c r="D6424" s="496"/>
    </row>
    <row r="6425" spans="1:4" x14ac:dyDescent="0.2">
      <c r="A6425" s="496"/>
      <c r="D6425" s="496"/>
    </row>
    <row r="6426" spans="1:4" x14ac:dyDescent="0.2">
      <c r="A6426" s="496"/>
      <c r="D6426" s="496"/>
    </row>
    <row r="6427" spans="1:4" x14ac:dyDescent="0.2">
      <c r="A6427" s="496"/>
      <c r="D6427" s="496"/>
    </row>
    <row r="6428" spans="1:4" x14ac:dyDescent="0.2">
      <c r="A6428" s="496"/>
      <c r="D6428" s="496"/>
    </row>
    <row r="6429" spans="1:4" x14ac:dyDescent="0.2">
      <c r="A6429" s="496"/>
      <c r="D6429" s="496"/>
    </row>
    <row r="6430" spans="1:4" x14ac:dyDescent="0.2">
      <c r="A6430" s="496"/>
      <c r="D6430" s="496"/>
    </row>
    <row r="6431" spans="1:4" x14ac:dyDescent="0.2">
      <c r="A6431" s="496"/>
      <c r="D6431" s="496"/>
    </row>
    <row r="6432" spans="1:4" x14ac:dyDescent="0.2">
      <c r="A6432" s="496"/>
      <c r="D6432" s="496"/>
    </row>
    <row r="6433" spans="1:4" x14ac:dyDescent="0.2">
      <c r="A6433" s="496"/>
      <c r="D6433" s="496"/>
    </row>
    <row r="6434" spans="1:4" x14ac:dyDescent="0.2">
      <c r="A6434" s="496"/>
      <c r="D6434" s="496"/>
    </row>
    <row r="6435" spans="1:4" x14ac:dyDescent="0.2">
      <c r="A6435" s="496"/>
      <c r="D6435" s="496"/>
    </row>
    <row r="6436" spans="1:4" x14ac:dyDescent="0.2">
      <c r="A6436" s="496"/>
      <c r="D6436" s="496"/>
    </row>
    <row r="6437" spans="1:4" x14ac:dyDescent="0.2">
      <c r="A6437" s="496"/>
      <c r="D6437" s="496"/>
    </row>
    <row r="6438" spans="1:4" x14ac:dyDescent="0.2">
      <c r="A6438" s="496"/>
      <c r="D6438" s="496"/>
    </row>
    <row r="6439" spans="1:4" x14ac:dyDescent="0.2">
      <c r="A6439" s="496"/>
      <c r="D6439" s="496"/>
    </row>
    <row r="6440" spans="1:4" x14ac:dyDescent="0.2">
      <c r="A6440" s="496"/>
      <c r="D6440" s="496"/>
    </row>
    <row r="6441" spans="1:4" x14ac:dyDescent="0.2">
      <c r="A6441" s="496"/>
      <c r="D6441" s="496"/>
    </row>
    <row r="6442" spans="1:4" x14ac:dyDescent="0.2">
      <c r="A6442" s="496"/>
      <c r="D6442" s="496"/>
    </row>
    <row r="6443" spans="1:4" x14ac:dyDescent="0.2">
      <c r="A6443" s="496"/>
      <c r="D6443" s="496"/>
    </row>
    <row r="6444" spans="1:4" x14ac:dyDescent="0.2">
      <c r="A6444" s="496"/>
      <c r="D6444" s="496"/>
    </row>
    <row r="6445" spans="1:4" x14ac:dyDescent="0.2">
      <c r="A6445" s="496"/>
      <c r="D6445" s="496"/>
    </row>
    <row r="6446" spans="1:4" x14ac:dyDescent="0.2">
      <c r="A6446" s="496"/>
      <c r="D6446" s="496"/>
    </row>
    <row r="6447" spans="1:4" x14ac:dyDescent="0.2">
      <c r="A6447" s="496"/>
      <c r="D6447" s="496"/>
    </row>
    <row r="6448" spans="1:4" x14ac:dyDescent="0.2">
      <c r="A6448" s="496"/>
      <c r="D6448" s="496"/>
    </row>
    <row r="6449" spans="1:4" x14ac:dyDescent="0.2">
      <c r="A6449" s="496"/>
      <c r="D6449" s="496"/>
    </row>
    <row r="6450" spans="1:4" x14ac:dyDescent="0.2">
      <c r="A6450" s="496"/>
      <c r="D6450" s="496"/>
    </row>
    <row r="6451" spans="1:4" x14ac:dyDescent="0.2">
      <c r="A6451" s="496"/>
      <c r="D6451" s="496"/>
    </row>
    <row r="6452" spans="1:4" x14ac:dyDescent="0.2">
      <c r="A6452" s="496"/>
      <c r="D6452" s="496"/>
    </row>
    <row r="6453" spans="1:4" x14ac:dyDescent="0.2">
      <c r="A6453" s="496"/>
      <c r="D6453" s="496"/>
    </row>
    <row r="6454" spans="1:4" x14ac:dyDescent="0.2">
      <c r="A6454" s="496"/>
      <c r="D6454" s="496"/>
    </row>
    <row r="6455" spans="1:4" x14ac:dyDescent="0.2">
      <c r="A6455" s="496"/>
      <c r="D6455" s="496"/>
    </row>
    <row r="6456" spans="1:4" x14ac:dyDescent="0.2">
      <c r="A6456" s="496"/>
      <c r="D6456" s="496"/>
    </row>
    <row r="6457" spans="1:4" x14ac:dyDescent="0.2">
      <c r="A6457" s="496"/>
      <c r="D6457" s="496"/>
    </row>
    <row r="6458" spans="1:4" x14ac:dyDescent="0.2">
      <c r="A6458" s="496"/>
      <c r="D6458" s="496"/>
    </row>
    <row r="6459" spans="1:4" x14ac:dyDescent="0.2">
      <c r="A6459" s="496"/>
      <c r="D6459" s="496"/>
    </row>
    <row r="6460" spans="1:4" x14ac:dyDescent="0.2">
      <c r="A6460" s="496"/>
      <c r="D6460" s="496"/>
    </row>
    <row r="6461" spans="1:4" x14ac:dyDescent="0.2">
      <c r="A6461" s="496"/>
      <c r="D6461" s="496"/>
    </row>
    <row r="6462" spans="1:4" x14ac:dyDescent="0.2">
      <c r="A6462" s="496"/>
      <c r="D6462" s="496"/>
    </row>
    <row r="6463" spans="1:4" x14ac:dyDescent="0.2">
      <c r="A6463" s="496"/>
      <c r="D6463" s="496"/>
    </row>
    <row r="6464" spans="1:4" x14ac:dyDescent="0.2">
      <c r="A6464" s="496"/>
      <c r="D6464" s="496"/>
    </row>
    <row r="6465" spans="1:4" x14ac:dyDescent="0.2">
      <c r="A6465" s="496"/>
      <c r="D6465" s="496"/>
    </row>
    <row r="6466" spans="1:4" x14ac:dyDescent="0.2">
      <c r="A6466" s="496"/>
      <c r="D6466" s="496"/>
    </row>
    <row r="6467" spans="1:4" x14ac:dyDescent="0.2">
      <c r="A6467" s="496"/>
      <c r="D6467" s="496"/>
    </row>
    <row r="6468" spans="1:4" x14ac:dyDescent="0.2">
      <c r="A6468" s="496"/>
      <c r="D6468" s="496"/>
    </row>
    <row r="6469" spans="1:4" x14ac:dyDescent="0.2">
      <c r="A6469" s="496"/>
      <c r="D6469" s="496"/>
    </row>
    <row r="6470" spans="1:4" x14ac:dyDescent="0.2">
      <c r="A6470" s="496"/>
      <c r="D6470" s="496"/>
    </row>
    <row r="6471" spans="1:4" x14ac:dyDescent="0.2">
      <c r="A6471" s="496"/>
      <c r="D6471" s="496"/>
    </row>
    <row r="6472" spans="1:4" x14ac:dyDescent="0.2">
      <c r="A6472" s="496"/>
      <c r="D6472" s="496"/>
    </row>
    <row r="6473" spans="1:4" x14ac:dyDescent="0.2">
      <c r="A6473" s="496"/>
      <c r="D6473" s="496"/>
    </row>
    <row r="6474" spans="1:4" x14ac:dyDescent="0.2">
      <c r="A6474" s="496"/>
      <c r="D6474" s="496"/>
    </row>
    <row r="6475" spans="1:4" x14ac:dyDescent="0.2">
      <c r="A6475" s="496"/>
      <c r="D6475" s="496"/>
    </row>
    <row r="6476" spans="1:4" x14ac:dyDescent="0.2">
      <c r="A6476" s="496"/>
      <c r="D6476" s="496"/>
    </row>
    <row r="6477" spans="1:4" x14ac:dyDescent="0.2">
      <c r="A6477" s="496"/>
      <c r="D6477" s="496"/>
    </row>
    <row r="6478" spans="1:4" x14ac:dyDescent="0.2">
      <c r="A6478" s="496"/>
      <c r="D6478" s="496"/>
    </row>
    <row r="6479" spans="1:4" x14ac:dyDescent="0.2">
      <c r="A6479" s="496"/>
      <c r="D6479" s="496"/>
    </row>
    <row r="6480" spans="1:4" x14ac:dyDescent="0.2">
      <c r="A6480" s="496"/>
      <c r="D6480" s="496"/>
    </row>
    <row r="6481" spans="1:4" x14ac:dyDescent="0.2">
      <c r="A6481" s="496"/>
      <c r="D6481" s="496"/>
    </row>
    <row r="6482" spans="1:4" x14ac:dyDescent="0.2">
      <c r="A6482" s="496"/>
      <c r="D6482" s="496"/>
    </row>
    <row r="6483" spans="1:4" x14ac:dyDescent="0.2">
      <c r="A6483" s="496"/>
      <c r="D6483" s="496"/>
    </row>
    <row r="6484" spans="1:4" x14ac:dyDescent="0.2">
      <c r="A6484" s="496"/>
      <c r="D6484" s="496"/>
    </row>
    <row r="6485" spans="1:4" x14ac:dyDescent="0.2">
      <c r="A6485" s="496"/>
      <c r="D6485" s="496"/>
    </row>
    <row r="6486" spans="1:4" x14ac:dyDescent="0.2">
      <c r="A6486" s="496"/>
      <c r="D6486" s="496"/>
    </row>
    <row r="6487" spans="1:4" x14ac:dyDescent="0.2">
      <c r="A6487" s="496"/>
      <c r="D6487" s="496"/>
    </row>
    <row r="6488" spans="1:4" x14ac:dyDescent="0.2">
      <c r="A6488" s="496"/>
      <c r="D6488" s="496"/>
    </row>
    <row r="6489" spans="1:4" x14ac:dyDescent="0.2">
      <c r="A6489" s="496"/>
      <c r="D6489" s="496"/>
    </row>
    <row r="6490" spans="1:4" x14ac:dyDescent="0.2">
      <c r="A6490" s="496"/>
      <c r="D6490" s="496"/>
    </row>
    <row r="6491" spans="1:4" x14ac:dyDescent="0.2">
      <c r="A6491" s="496"/>
      <c r="D6491" s="496"/>
    </row>
    <row r="6492" spans="1:4" x14ac:dyDescent="0.2">
      <c r="A6492" s="496"/>
      <c r="D6492" s="496"/>
    </row>
    <row r="6493" spans="1:4" x14ac:dyDescent="0.2">
      <c r="A6493" s="496"/>
      <c r="D6493" s="496"/>
    </row>
    <row r="6494" spans="1:4" x14ac:dyDescent="0.2">
      <c r="A6494" s="496"/>
      <c r="D6494" s="496"/>
    </row>
    <row r="6495" spans="1:4" x14ac:dyDescent="0.2">
      <c r="A6495" s="496"/>
      <c r="D6495" s="496"/>
    </row>
    <row r="6496" spans="1:4" x14ac:dyDescent="0.2">
      <c r="A6496" s="496"/>
      <c r="D6496" s="496"/>
    </row>
    <row r="6497" spans="1:4" x14ac:dyDescent="0.2">
      <c r="A6497" s="496"/>
      <c r="D6497" s="496"/>
    </row>
    <row r="6498" spans="1:4" x14ac:dyDescent="0.2">
      <c r="A6498" s="496"/>
      <c r="D6498" s="496"/>
    </row>
    <row r="6499" spans="1:4" x14ac:dyDescent="0.2">
      <c r="A6499" s="496"/>
      <c r="D6499" s="496"/>
    </row>
    <row r="6500" spans="1:4" x14ac:dyDescent="0.2">
      <c r="A6500" s="496"/>
      <c r="D6500" s="496"/>
    </row>
    <row r="6501" spans="1:4" x14ac:dyDescent="0.2">
      <c r="A6501" s="496"/>
      <c r="D6501" s="496"/>
    </row>
    <row r="6502" spans="1:4" x14ac:dyDescent="0.2">
      <c r="A6502" s="496"/>
      <c r="D6502" s="496"/>
    </row>
    <row r="6503" spans="1:4" x14ac:dyDescent="0.2">
      <c r="A6503" s="496"/>
      <c r="D6503" s="496"/>
    </row>
    <row r="6504" spans="1:4" x14ac:dyDescent="0.2">
      <c r="A6504" s="496"/>
      <c r="D6504" s="496"/>
    </row>
    <row r="6505" spans="1:4" x14ac:dyDescent="0.2">
      <c r="A6505" s="496"/>
      <c r="D6505" s="496"/>
    </row>
    <row r="6506" spans="1:4" x14ac:dyDescent="0.2">
      <c r="A6506" s="496"/>
      <c r="D6506" s="496"/>
    </row>
    <row r="6507" spans="1:4" x14ac:dyDescent="0.2">
      <c r="A6507" s="496"/>
      <c r="D6507" s="496"/>
    </row>
    <row r="6508" spans="1:4" x14ac:dyDescent="0.2">
      <c r="A6508" s="496"/>
      <c r="D6508" s="496"/>
    </row>
    <row r="6509" spans="1:4" x14ac:dyDescent="0.2">
      <c r="A6509" s="496"/>
      <c r="D6509" s="496"/>
    </row>
    <row r="6510" spans="1:4" x14ac:dyDescent="0.2">
      <c r="A6510" s="496"/>
      <c r="D6510" s="496"/>
    </row>
    <row r="6511" spans="1:4" x14ac:dyDescent="0.2">
      <c r="A6511" s="496"/>
      <c r="D6511" s="496"/>
    </row>
    <row r="6512" spans="1:4" x14ac:dyDescent="0.2">
      <c r="A6512" s="496"/>
      <c r="D6512" s="496"/>
    </row>
    <row r="6513" spans="1:4" x14ac:dyDescent="0.2">
      <c r="A6513" s="496"/>
      <c r="D6513" s="496"/>
    </row>
    <row r="6514" spans="1:4" x14ac:dyDescent="0.2">
      <c r="A6514" s="496"/>
      <c r="D6514" s="496"/>
    </row>
    <row r="6515" spans="1:4" x14ac:dyDescent="0.2">
      <c r="A6515" s="496"/>
      <c r="D6515" s="496"/>
    </row>
    <row r="6516" spans="1:4" x14ac:dyDescent="0.2">
      <c r="A6516" s="496"/>
      <c r="D6516" s="496"/>
    </row>
    <row r="6517" spans="1:4" x14ac:dyDescent="0.2">
      <c r="A6517" s="496"/>
      <c r="D6517" s="496"/>
    </row>
    <row r="6518" spans="1:4" x14ac:dyDescent="0.2">
      <c r="A6518" s="496"/>
      <c r="D6518" s="496"/>
    </row>
    <row r="6519" spans="1:4" x14ac:dyDescent="0.2">
      <c r="A6519" s="496"/>
      <c r="D6519" s="496"/>
    </row>
    <row r="6520" spans="1:4" x14ac:dyDescent="0.2">
      <c r="A6520" s="496"/>
      <c r="D6520" s="496"/>
    </row>
    <row r="6521" spans="1:4" x14ac:dyDescent="0.2">
      <c r="A6521" s="496"/>
      <c r="D6521" s="496"/>
    </row>
    <row r="6522" spans="1:4" x14ac:dyDescent="0.2">
      <c r="A6522" s="496"/>
      <c r="D6522" s="496"/>
    </row>
    <row r="6523" spans="1:4" x14ac:dyDescent="0.2">
      <c r="A6523" s="496"/>
      <c r="D6523" s="496"/>
    </row>
    <row r="6524" spans="1:4" x14ac:dyDescent="0.2">
      <c r="A6524" s="496"/>
      <c r="D6524" s="496"/>
    </row>
    <row r="6525" spans="1:4" x14ac:dyDescent="0.2">
      <c r="A6525" s="496"/>
      <c r="D6525" s="496"/>
    </row>
    <row r="6526" spans="1:4" x14ac:dyDescent="0.2">
      <c r="A6526" s="496"/>
      <c r="D6526" s="496"/>
    </row>
    <row r="6527" spans="1:4" x14ac:dyDescent="0.2">
      <c r="A6527" s="496"/>
      <c r="D6527" s="496"/>
    </row>
    <row r="6528" spans="1:4" x14ac:dyDescent="0.2">
      <c r="A6528" s="496"/>
      <c r="D6528" s="496"/>
    </row>
    <row r="6529" spans="1:4" x14ac:dyDescent="0.2">
      <c r="A6529" s="496"/>
      <c r="D6529" s="496"/>
    </row>
    <row r="6530" spans="1:4" x14ac:dyDescent="0.2">
      <c r="A6530" s="496"/>
      <c r="D6530" s="496"/>
    </row>
    <row r="6531" spans="1:4" x14ac:dyDescent="0.2">
      <c r="A6531" s="496"/>
      <c r="D6531" s="496"/>
    </row>
    <row r="6532" spans="1:4" x14ac:dyDescent="0.2">
      <c r="A6532" s="496"/>
      <c r="D6532" s="496"/>
    </row>
    <row r="6533" spans="1:4" x14ac:dyDescent="0.2">
      <c r="A6533" s="496"/>
      <c r="D6533" s="496"/>
    </row>
    <row r="6534" spans="1:4" x14ac:dyDescent="0.2">
      <c r="A6534" s="496"/>
      <c r="D6534" s="496"/>
    </row>
    <row r="6535" spans="1:4" x14ac:dyDescent="0.2">
      <c r="A6535" s="496"/>
      <c r="D6535" s="496"/>
    </row>
    <row r="6536" spans="1:4" x14ac:dyDescent="0.2">
      <c r="A6536" s="496"/>
      <c r="D6536" s="496"/>
    </row>
    <row r="6537" spans="1:4" x14ac:dyDescent="0.2">
      <c r="A6537" s="496"/>
      <c r="D6537" s="496"/>
    </row>
    <row r="6538" spans="1:4" x14ac:dyDescent="0.2">
      <c r="A6538" s="496"/>
      <c r="D6538" s="496"/>
    </row>
    <row r="6539" spans="1:4" x14ac:dyDescent="0.2">
      <c r="A6539" s="496"/>
      <c r="D6539" s="496"/>
    </row>
    <row r="6540" spans="1:4" x14ac:dyDescent="0.2">
      <c r="A6540" s="496"/>
      <c r="D6540" s="496"/>
    </row>
    <row r="6541" spans="1:4" x14ac:dyDescent="0.2">
      <c r="A6541" s="496"/>
      <c r="D6541" s="496"/>
    </row>
    <row r="6542" spans="1:4" x14ac:dyDescent="0.2">
      <c r="A6542" s="496"/>
      <c r="D6542" s="496"/>
    </row>
    <row r="6543" spans="1:4" x14ac:dyDescent="0.2">
      <c r="A6543" s="496"/>
      <c r="D6543" s="496"/>
    </row>
    <row r="6544" spans="1:4" x14ac:dyDescent="0.2">
      <c r="A6544" s="496"/>
      <c r="D6544" s="496"/>
    </row>
    <row r="6545" spans="1:4" x14ac:dyDescent="0.2">
      <c r="A6545" s="496"/>
      <c r="D6545" s="496"/>
    </row>
    <row r="6546" spans="1:4" x14ac:dyDescent="0.2">
      <c r="A6546" s="496"/>
      <c r="D6546" s="496"/>
    </row>
    <row r="6547" spans="1:4" x14ac:dyDescent="0.2">
      <c r="A6547" s="496"/>
      <c r="D6547" s="496"/>
    </row>
    <row r="6548" spans="1:4" x14ac:dyDescent="0.2">
      <c r="A6548" s="496"/>
      <c r="D6548" s="496"/>
    </row>
    <row r="6549" spans="1:4" x14ac:dyDescent="0.2">
      <c r="A6549" s="496"/>
      <c r="D6549" s="496"/>
    </row>
    <row r="6550" spans="1:4" x14ac:dyDescent="0.2">
      <c r="A6550" s="496"/>
      <c r="D6550" s="496"/>
    </row>
    <row r="6551" spans="1:4" x14ac:dyDescent="0.2">
      <c r="A6551" s="496"/>
      <c r="D6551" s="496"/>
    </row>
    <row r="6552" spans="1:4" x14ac:dyDescent="0.2">
      <c r="A6552" s="496"/>
      <c r="D6552" s="496"/>
    </row>
    <row r="6553" spans="1:4" x14ac:dyDescent="0.2">
      <c r="A6553" s="496"/>
      <c r="D6553" s="496"/>
    </row>
    <row r="6554" spans="1:4" x14ac:dyDescent="0.2">
      <c r="A6554" s="496"/>
      <c r="D6554" s="496"/>
    </row>
    <row r="6555" spans="1:4" x14ac:dyDescent="0.2">
      <c r="A6555" s="496"/>
      <c r="D6555" s="496"/>
    </row>
    <row r="6556" spans="1:4" x14ac:dyDescent="0.2">
      <c r="A6556" s="496"/>
      <c r="D6556" s="496"/>
    </row>
    <row r="6557" spans="1:4" x14ac:dyDescent="0.2">
      <c r="A6557" s="496"/>
      <c r="D6557" s="496"/>
    </row>
    <row r="6558" spans="1:4" x14ac:dyDescent="0.2">
      <c r="A6558" s="496"/>
      <c r="D6558" s="496"/>
    </row>
    <row r="6559" spans="1:4" x14ac:dyDescent="0.2">
      <c r="A6559" s="496"/>
      <c r="D6559" s="496"/>
    </row>
    <row r="6560" spans="1:4" x14ac:dyDescent="0.2">
      <c r="A6560" s="496"/>
      <c r="D6560" s="496"/>
    </row>
    <row r="6561" spans="1:4" x14ac:dyDescent="0.2">
      <c r="A6561" s="496"/>
      <c r="D6561" s="496"/>
    </row>
    <row r="6562" spans="1:4" x14ac:dyDescent="0.2">
      <c r="A6562" s="496"/>
      <c r="D6562" s="496"/>
    </row>
    <row r="6563" spans="1:4" x14ac:dyDescent="0.2">
      <c r="A6563" s="496"/>
      <c r="D6563" s="496"/>
    </row>
    <row r="6564" spans="1:4" x14ac:dyDescent="0.2">
      <c r="A6564" s="496"/>
      <c r="D6564" s="496"/>
    </row>
    <row r="6565" spans="1:4" x14ac:dyDescent="0.2">
      <c r="A6565" s="496"/>
      <c r="D6565" s="496"/>
    </row>
    <row r="6566" spans="1:4" x14ac:dyDescent="0.2">
      <c r="A6566" s="496"/>
      <c r="D6566" s="496"/>
    </row>
    <row r="6567" spans="1:4" x14ac:dyDescent="0.2">
      <c r="A6567" s="496"/>
      <c r="D6567" s="496"/>
    </row>
    <row r="6568" spans="1:4" x14ac:dyDescent="0.2">
      <c r="A6568" s="496"/>
      <c r="D6568" s="496"/>
    </row>
    <row r="6569" spans="1:4" x14ac:dyDescent="0.2">
      <c r="A6569" s="496"/>
      <c r="D6569" s="496"/>
    </row>
    <row r="6570" spans="1:4" x14ac:dyDescent="0.2">
      <c r="A6570" s="496"/>
      <c r="D6570" s="496"/>
    </row>
    <row r="6571" spans="1:4" x14ac:dyDescent="0.2">
      <c r="A6571" s="496"/>
      <c r="D6571" s="496"/>
    </row>
    <row r="6572" spans="1:4" x14ac:dyDescent="0.2">
      <c r="A6572" s="496"/>
      <c r="D6572" s="496"/>
    </row>
    <row r="6573" spans="1:4" x14ac:dyDescent="0.2">
      <c r="A6573" s="496"/>
      <c r="D6573" s="496"/>
    </row>
    <row r="6574" spans="1:4" x14ac:dyDescent="0.2">
      <c r="A6574" s="496"/>
      <c r="D6574" s="496"/>
    </row>
    <row r="6575" spans="1:4" x14ac:dyDescent="0.2">
      <c r="A6575" s="496"/>
      <c r="D6575" s="496"/>
    </row>
    <row r="6576" spans="1:4" x14ac:dyDescent="0.2">
      <c r="A6576" s="496"/>
      <c r="D6576" s="496"/>
    </row>
    <row r="6577" spans="1:4" x14ac:dyDescent="0.2">
      <c r="A6577" s="496"/>
      <c r="D6577" s="496"/>
    </row>
    <row r="6578" spans="1:4" x14ac:dyDescent="0.2">
      <c r="A6578" s="496"/>
      <c r="D6578" s="496"/>
    </row>
    <row r="6579" spans="1:4" x14ac:dyDescent="0.2">
      <c r="A6579" s="496"/>
      <c r="D6579" s="496"/>
    </row>
    <row r="6580" spans="1:4" x14ac:dyDescent="0.2">
      <c r="A6580" s="496"/>
      <c r="D6580" s="496"/>
    </row>
    <row r="6581" spans="1:4" x14ac:dyDescent="0.2">
      <c r="A6581" s="496"/>
      <c r="D6581" s="496"/>
    </row>
    <row r="6582" spans="1:4" x14ac:dyDescent="0.2">
      <c r="A6582" s="496"/>
      <c r="D6582" s="496"/>
    </row>
    <row r="6583" spans="1:4" x14ac:dyDescent="0.2">
      <c r="A6583" s="496"/>
      <c r="D6583" s="496"/>
    </row>
    <row r="6584" spans="1:4" x14ac:dyDescent="0.2">
      <c r="A6584" s="496"/>
      <c r="D6584" s="496"/>
    </row>
    <row r="6585" spans="1:4" x14ac:dyDescent="0.2">
      <c r="A6585" s="496"/>
      <c r="D6585" s="496"/>
    </row>
    <row r="6586" spans="1:4" x14ac:dyDescent="0.2">
      <c r="A6586" s="496"/>
      <c r="D6586" s="496"/>
    </row>
    <row r="6587" spans="1:4" x14ac:dyDescent="0.2">
      <c r="A6587" s="496"/>
      <c r="D6587" s="496"/>
    </row>
    <row r="6588" spans="1:4" x14ac:dyDescent="0.2">
      <c r="A6588" s="496"/>
      <c r="D6588" s="496"/>
    </row>
    <row r="6589" spans="1:4" x14ac:dyDescent="0.2">
      <c r="A6589" s="496"/>
      <c r="D6589" s="496"/>
    </row>
    <row r="6590" spans="1:4" x14ac:dyDescent="0.2">
      <c r="A6590" s="496"/>
      <c r="D6590" s="496"/>
    </row>
    <row r="6591" spans="1:4" x14ac:dyDescent="0.2">
      <c r="A6591" s="496"/>
      <c r="D6591" s="496"/>
    </row>
    <row r="6592" spans="1:4" x14ac:dyDescent="0.2">
      <c r="A6592" s="496"/>
      <c r="D6592" s="496"/>
    </row>
    <row r="6593" spans="1:4" x14ac:dyDescent="0.2">
      <c r="A6593" s="496"/>
      <c r="D6593" s="496"/>
    </row>
    <row r="6594" spans="1:4" x14ac:dyDescent="0.2">
      <c r="A6594" s="496"/>
      <c r="D6594" s="496"/>
    </row>
    <row r="6595" spans="1:4" x14ac:dyDescent="0.2">
      <c r="A6595" s="496"/>
      <c r="D6595" s="496"/>
    </row>
    <row r="6596" spans="1:4" x14ac:dyDescent="0.2">
      <c r="A6596" s="496"/>
      <c r="D6596" s="496"/>
    </row>
    <row r="6597" spans="1:4" x14ac:dyDescent="0.2">
      <c r="A6597" s="496"/>
      <c r="D6597" s="496"/>
    </row>
    <row r="6598" spans="1:4" x14ac:dyDescent="0.2">
      <c r="A6598" s="496"/>
      <c r="D6598" s="496"/>
    </row>
    <row r="6599" spans="1:4" x14ac:dyDescent="0.2">
      <c r="A6599" s="496"/>
      <c r="D6599" s="496"/>
    </row>
    <row r="6600" spans="1:4" x14ac:dyDescent="0.2">
      <c r="A6600" s="496"/>
      <c r="D6600" s="496"/>
    </row>
    <row r="6601" spans="1:4" x14ac:dyDescent="0.2">
      <c r="A6601" s="496"/>
      <c r="D6601" s="496"/>
    </row>
    <row r="6602" spans="1:4" x14ac:dyDescent="0.2">
      <c r="A6602" s="496"/>
      <c r="D6602" s="496"/>
    </row>
    <row r="6603" spans="1:4" x14ac:dyDescent="0.2">
      <c r="A6603" s="496"/>
      <c r="D6603" s="496"/>
    </row>
    <row r="6604" spans="1:4" x14ac:dyDescent="0.2">
      <c r="A6604" s="496"/>
      <c r="D6604" s="496"/>
    </row>
    <row r="6605" spans="1:4" x14ac:dyDescent="0.2">
      <c r="A6605" s="496"/>
      <c r="D6605" s="496"/>
    </row>
    <row r="6606" spans="1:4" x14ac:dyDescent="0.2">
      <c r="A6606" s="496"/>
      <c r="D6606" s="496"/>
    </row>
    <row r="6607" spans="1:4" x14ac:dyDescent="0.2">
      <c r="A6607" s="496"/>
      <c r="D6607" s="496"/>
    </row>
    <row r="6608" spans="1:4" x14ac:dyDescent="0.2">
      <c r="A6608" s="496"/>
      <c r="D6608" s="496"/>
    </row>
    <row r="6609" spans="1:4" x14ac:dyDescent="0.2">
      <c r="A6609" s="496"/>
      <c r="D6609" s="496"/>
    </row>
    <row r="6610" spans="1:4" x14ac:dyDescent="0.2">
      <c r="A6610" s="496"/>
      <c r="D6610" s="496"/>
    </row>
    <row r="6611" spans="1:4" x14ac:dyDescent="0.2">
      <c r="A6611" s="496"/>
      <c r="D6611" s="496"/>
    </row>
    <row r="6612" spans="1:4" x14ac:dyDescent="0.2">
      <c r="A6612" s="496"/>
      <c r="D6612" s="496"/>
    </row>
    <row r="6613" spans="1:4" x14ac:dyDescent="0.2">
      <c r="A6613" s="496"/>
      <c r="D6613" s="496"/>
    </row>
    <row r="6614" spans="1:4" x14ac:dyDescent="0.2">
      <c r="A6614" s="496"/>
      <c r="D6614" s="496"/>
    </row>
    <row r="6615" spans="1:4" x14ac:dyDescent="0.2">
      <c r="A6615" s="496"/>
      <c r="D6615" s="496"/>
    </row>
    <row r="6616" spans="1:4" x14ac:dyDescent="0.2">
      <c r="A6616" s="496"/>
      <c r="D6616" s="496"/>
    </row>
    <row r="6617" spans="1:4" x14ac:dyDescent="0.2">
      <c r="A6617" s="496"/>
      <c r="D6617" s="496"/>
    </row>
    <row r="6618" spans="1:4" x14ac:dyDescent="0.2">
      <c r="A6618" s="496"/>
      <c r="D6618" s="496"/>
    </row>
    <row r="6619" spans="1:4" x14ac:dyDescent="0.2">
      <c r="A6619" s="496"/>
      <c r="D6619" s="496"/>
    </row>
    <row r="6620" spans="1:4" x14ac:dyDescent="0.2">
      <c r="A6620" s="496"/>
      <c r="D6620" s="496"/>
    </row>
    <row r="6621" spans="1:4" x14ac:dyDescent="0.2">
      <c r="A6621" s="496"/>
      <c r="D6621" s="496"/>
    </row>
    <row r="6622" spans="1:4" x14ac:dyDescent="0.2">
      <c r="A6622" s="496"/>
      <c r="D6622" s="496"/>
    </row>
    <row r="6623" spans="1:4" x14ac:dyDescent="0.2">
      <c r="A6623" s="496"/>
      <c r="D6623" s="496"/>
    </row>
    <row r="6624" spans="1:4" x14ac:dyDescent="0.2">
      <c r="A6624" s="496"/>
      <c r="D6624" s="496"/>
    </row>
    <row r="6625" spans="1:4" x14ac:dyDescent="0.2">
      <c r="A6625" s="496"/>
      <c r="D6625" s="496"/>
    </row>
    <row r="6626" spans="1:4" x14ac:dyDescent="0.2">
      <c r="A6626" s="496"/>
      <c r="D6626" s="496"/>
    </row>
    <row r="6627" spans="1:4" x14ac:dyDescent="0.2">
      <c r="A6627" s="496"/>
      <c r="D6627" s="496"/>
    </row>
    <row r="6628" spans="1:4" x14ac:dyDescent="0.2">
      <c r="A6628" s="496"/>
      <c r="D6628" s="496"/>
    </row>
    <row r="6629" spans="1:4" x14ac:dyDescent="0.2">
      <c r="A6629" s="496"/>
      <c r="D6629" s="496"/>
    </row>
    <row r="6630" spans="1:4" x14ac:dyDescent="0.2">
      <c r="A6630" s="496"/>
      <c r="D6630" s="496"/>
    </row>
    <row r="6631" spans="1:4" x14ac:dyDescent="0.2">
      <c r="A6631" s="496"/>
      <c r="D6631" s="496"/>
    </row>
    <row r="6632" spans="1:4" x14ac:dyDescent="0.2">
      <c r="A6632" s="496"/>
      <c r="D6632" s="496"/>
    </row>
    <row r="6633" spans="1:4" x14ac:dyDescent="0.2">
      <c r="A6633" s="496"/>
      <c r="D6633" s="496"/>
    </row>
    <row r="6634" spans="1:4" x14ac:dyDescent="0.2">
      <c r="A6634" s="496"/>
      <c r="D6634" s="496"/>
    </row>
    <row r="6635" spans="1:4" x14ac:dyDescent="0.2">
      <c r="A6635" s="496"/>
      <c r="D6635" s="496"/>
    </row>
    <row r="6636" spans="1:4" x14ac:dyDescent="0.2">
      <c r="A6636" s="496"/>
      <c r="D6636" s="496"/>
    </row>
    <row r="6637" spans="1:4" x14ac:dyDescent="0.2">
      <c r="A6637" s="496"/>
      <c r="D6637" s="496"/>
    </row>
    <row r="6638" spans="1:4" x14ac:dyDescent="0.2">
      <c r="A6638" s="496"/>
      <c r="D6638" s="496"/>
    </row>
    <row r="6639" spans="1:4" x14ac:dyDescent="0.2">
      <c r="A6639" s="496"/>
      <c r="D6639" s="496"/>
    </row>
    <row r="6640" spans="1:4" x14ac:dyDescent="0.2">
      <c r="A6640" s="496"/>
      <c r="D6640" s="496"/>
    </row>
    <row r="6641" spans="1:4" x14ac:dyDescent="0.2">
      <c r="A6641" s="496"/>
      <c r="D6641" s="496"/>
    </row>
    <row r="6642" spans="1:4" x14ac:dyDescent="0.2">
      <c r="A6642" s="496"/>
      <c r="D6642" s="496"/>
    </row>
    <row r="6643" spans="1:4" x14ac:dyDescent="0.2">
      <c r="A6643" s="496"/>
      <c r="D6643" s="496"/>
    </row>
    <row r="6644" spans="1:4" x14ac:dyDescent="0.2">
      <c r="A6644" s="496"/>
      <c r="D6644" s="496"/>
    </row>
    <row r="6645" spans="1:4" x14ac:dyDescent="0.2">
      <c r="A6645" s="496"/>
      <c r="D6645" s="496"/>
    </row>
    <row r="6646" spans="1:4" x14ac:dyDescent="0.2">
      <c r="A6646" s="496"/>
      <c r="D6646" s="496"/>
    </row>
    <row r="6647" spans="1:4" x14ac:dyDescent="0.2">
      <c r="A6647" s="496"/>
      <c r="D6647" s="496"/>
    </row>
    <row r="6648" spans="1:4" x14ac:dyDescent="0.2">
      <c r="A6648" s="496"/>
      <c r="D6648" s="496"/>
    </row>
    <row r="6649" spans="1:4" x14ac:dyDescent="0.2">
      <c r="A6649" s="496"/>
      <c r="D6649" s="496"/>
    </row>
    <row r="6650" spans="1:4" x14ac:dyDescent="0.2">
      <c r="A6650" s="496"/>
      <c r="D6650" s="496"/>
    </row>
    <row r="6651" spans="1:4" x14ac:dyDescent="0.2">
      <c r="A6651" s="496"/>
      <c r="D6651" s="496"/>
    </row>
    <row r="6652" spans="1:4" x14ac:dyDescent="0.2">
      <c r="A6652" s="496"/>
      <c r="D6652" s="496"/>
    </row>
    <row r="6653" spans="1:4" x14ac:dyDescent="0.2">
      <c r="A6653" s="496"/>
      <c r="D6653" s="496"/>
    </row>
    <row r="6654" spans="1:4" x14ac:dyDescent="0.2">
      <c r="A6654" s="496"/>
      <c r="D6654" s="496"/>
    </row>
    <row r="6655" spans="1:4" x14ac:dyDescent="0.2">
      <c r="A6655" s="496"/>
      <c r="D6655" s="496"/>
    </row>
    <row r="6656" spans="1:4" x14ac:dyDescent="0.2">
      <c r="A6656" s="496"/>
      <c r="D6656" s="496"/>
    </row>
    <row r="6657" spans="1:4" x14ac:dyDescent="0.2">
      <c r="A6657" s="496"/>
      <c r="D6657" s="496"/>
    </row>
    <row r="6658" spans="1:4" x14ac:dyDescent="0.2">
      <c r="A6658" s="496"/>
      <c r="D6658" s="496"/>
    </row>
    <row r="6659" spans="1:4" x14ac:dyDescent="0.2">
      <c r="A6659" s="496"/>
      <c r="D6659" s="496"/>
    </row>
    <row r="6660" spans="1:4" x14ac:dyDescent="0.2">
      <c r="A6660" s="496"/>
      <c r="D6660" s="496"/>
    </row>
    <row r="6661" spans="1:4" x14ac:dyDescent="0.2">
      <c r="A6661" s="496"/>
      <c r="D6661" s="496"/>
    </row>
    <row r="6662" spans="1:4" x14ac:dyDescent="0.2">
      <c r="A6662" s="496"/>
      <c r="D6662" s="496"/>
    </row>
    <row r="6663" spans="1:4" x14ac:dyDescent="0.2">
      <c r="A6663" s="496"/>
      <c r="D6663" s="496"/>
    </row>
    <row r="6664" spans="1:4" x14ac:dyDescent="0.2">
      <c r="A6664" s="496"/>
      <c r="D6664" s="496"/>
    </row>
    <row r="6665" spans="1:4" x14ac:dyDescent="0.2">
      <c r="A6665" s="496"/>
      <c r="D6665" s="496"/>
    </row>
    <row r="6666" spans="1:4" x14ac:dyDescent="0.2">
      <c r="A6666" s="496"/>
      <c r="D6666" s="496"/>
    </row>
    <row r="6667" spans="1:4" x14ac:dyDescent="0.2">
      <c r="A6667" s="496"/>
      <c r="D6667" s="496"/>
    </row>
    <row r="6668" spans="1:4" x14ac:dyDescent="0.2">
      <c r="A6668" s="496"/>
      <c r="D6668" s="496"/>
    </row>
    <row r="6669" spans="1:4" x14ac:dyDescent="0.2">
      <c r="A6669" s="496"/>
      <c r="D6669" s="496"/>
    </row>
    <row r="6670" spans="1:4" x14ac:dyDescent="0.2">
      <c r="A6670" s="496"/>
      <c r="D6670" s="496"/>
    </row>
    <row r="6671" spans="1:4" x14ac:dyDescent="0.2">
      <c r="A6671" s="496"/>
      <c r="D6671" s="496"/>
    </row>
    <row r="6672" spans="1:4" x14ac:dyDescent="0.2">
      <c r="A6672" s="496"/>
      <c r="D6672" s="496"/>
    </row>
    <row r="6673" spans="1:4" x14ac:dyDescent="0.2">
      <c r="A6673" s="496"/>
      <c r="D6673" s="496"/>
    </row>
    <row r="6674" spans="1:4" x14ac:dyDescent="0.2">
      <c r="A6674" s="496"/>
      <c r="D6674" s="496"/>
    </row>
    <row r="6675" spans="1:4" x14ac:dyDescent="0.2">
      <c r="A6675" s="496"/>
      <c r="D6675" s="496"/>
    </row>
    <row r="6676" spans="1:4" x14ac:dyDescent="0.2">
      <c r="A6676" s="496"/>
      <c r="D6676" s="496"/>
    </row>
    <row r="6677" spans="1:4" x14ac:dyDescent="0.2">
      <c r="A6677" s="496"/>
      <c r="D6677" s="496"/>
    </row>
    <row r="6678" spans="1:4" x14ac:dyDescent="0.2">
      <c r="A6678" s="496"/>
      <c r="D6678" s="496"/>
    </row>
    <row r="6679" spans="1:4" x14ac:dyDescent="0.2">
      <c r="A6679" s="496"/>
      <c r="D6679" s="496"/>
    </row>
    <row r="6680" spans="1:4" x14ac:dyDescent="0.2">
      <c r="A6680" s="496"/>
      <c r="D6680" s="496"/>
    </row>
    <row r="6681" spans="1:4" x14ac:dyDescent="0.2">
      <c r="A6681" s="496"/>
      <c r="D6681" s="496"/>
    </row>
    <row r="6682" spans="1:4" x14ac:dyDescent="0.2">
      <c r="A6682" s="496"/>
      <c r="D6682" s="496"/>
    </row>
    <row r="6683" spans="1:4" x14ac:dyDescent="0.2">
      <c r="A6683" s="496"/>
      <c r="D6683" s="496"/>
    </row>
    <row r="6684" spans="1:4" x14ac:dyDescent="0.2">
      <c r="A6684" s="496"/>
      <c r="D6684" s="496"/>
    </row>
    <row r="6685" spans="1:4" x14ac:dyDescent="0.2">
      <c r="A6685" s="496"/>
      <c r="D6685" s="496"/>
    </row>
    <row r="6686" spans="1:4" x14ac:dyDescent="0.2">
      <c r="A6686" s="496"/>
      <c r="D6686" s="496"/>
    </row>
    <row r="6687" spans="1:4" x14ac:dyDescent="0.2">
      <c r="A6687" s="496"/>
      <c r="D6687" s="496"/>
    </row>
    <row r="6688" spans="1:4" x14ac:dyDescent="0.2">
      <c r="A6688" s="496"/>
      <c r="D6688" s="496"/>
    </row>
    <row r="6689" spans="1:4" x14ac:dyDescent="0.2">
      <c r="A6689" s="496"/>
      <c r="D6689" s="496"/>
    </row>
    <row r="6690" spans="1:4" x14ac:dyDescent="0.2">
      <c r="A6690" s="496"/>
      <c r="D6690" s="496"/>
    </row>
    <row r="6691" spans="1:4" x14ac:dyDescent="0.2">
      <c r="A6691" s="496"/>
      <c r="D6691" s="496"/>
    </row>
    <row r="6692" spans="1:4" x14ac:dyDescent="0.2">
      <c r="A6692" s="496"/>
      <c r="D6692" s="496"/>
    </row>
    <row r="6693" spans="1:4" x14ac:dyDescent="0.2">
      <c r="A6693" s="496"/>
      <c r="D6693" s="496"/>
    </row>
    <row r="6694" spans="1:4" x14ac:dyDescent="0.2">
      <c r="A6694" s="496"/>
      <c r="D6694" s="496"/>
    </row>
    <row r="6695" spans="1:4" x14ac:dyDescent="0.2">
      <c r="A6695" s="496"/>
      <c r="D6695" s="496"/>
    </row>
    <row r="6696" spans="1:4" x14ac:dyDescent="0.2">
      <c r="A6696" s="496"/>
      <c r="D6696" s="496"/>
    </row>
    <row r="6697" spans="1:4" x14ac:dyDescent="0.2">
      <c r="A6697" s="496"/>
      <c r="D6697" s="496"/>
    </row>
    <row r="6698" spans="1:4" x14ac:dyDescent="0.2">
      <c r="A6698" s="496"/>
      <c r="D6698" s="496"/>
    </row>
    <row r="6699" spans="1:4" x14ac:dyDescent="0.2">
      <c r="A6699" s="496"/>
      <c r="D6699" s="496"/>
    </row>
    <row r="6700" spans="1:4" x14ac:dyDescent="0.2">
      <c r="A6700" s="496"/>
      <c r="D6700" s="496"/>
    </row>
    <row r="6701" spans="1:4" x14ac:dyDescent="0.2">
      <c r="A6701" s="496"/>
      <c r="D6701" s="496"/>
    </row>
    <row r="6702" spans="1:4" x14ac:dyDescent="0.2">
      <c r="A6702" s="496"/>
      <c r="D6702" s="496"/>
    </row>
    <row r="6703" spans="1:4" x14ac:dyDescent="0.2">
      <c r="A6703" s="496"/>
      <c r="D6703" s="496"/>
    </row>
    <row r="6704" spans="1:4" x14ac:dyDescent="0.2">
      <c r="A6704" s="496"/>
      <c r="D6704" s="496"/>
    </row>
    <row r="6705" spans="1:4" x14ac:dyDescent="0.2">
      <c r="A6705" s="496"/>
      <c r="D6705" s="496"/>
    </row>
    <row r="6706" spans="1:4" x14ac:dyDescent="0.2">
      <c r="A6706" s="496"/>
      <c r="D6706" s="496"/>
    </row>
    <row r="6707" spans="1:4" x14ac:dyDescent="0.2">
      <c r="A6707" s="496"/>
      <c r="D6707" s="496"/>
    </row>
    <row r="6708" spans="1:4" x14ac:dyDescent="0.2">
      <c r="A6708" s="496"/>
      <c r="D6708" s="496"/>
    </row>
    <row r="6709" spans="1:4" x14ac:dyDescent="0.2">
      <c r="A6709" s="496"/>
      <c r="D6709" s="496"/>
    </row>
    <row r="6710" spans="1:4" x14ac:dyDescent="0.2">
      <c r="A6710" s="496"/>
      <c r="D6710" s="496"/>
    </row>
    <row r="6711" spans="1:4" x14ac:dyDescent="0.2">
      <c r="A6711" s="496"/>
      <c r="D6711" s="496"/>
    </row>
    <row r="6712" spans="1:4" x14ac:dyDescent="0.2">
      <c r="A6712" s="496"/>
      <c r="D6712" s="496"/>
    </row>
    <row r="6713" spans="1:4" x14ac:dyDescent="0.2">
      <c r="A6713" s="496"/>
      <c r="D6713" s="496"/>
    </row>
    <row r="6714" spans="1:4" x14ac:dyDescent="0.2">
      <c r="A6714" s="496"/>
      <c r="D6714" s="496"/>
    </row>
    <row r="6715" spans="1:4" x14ac:dyDescent="0.2">
      <c r="A6715" s="496"/>
      <c r="D6715" s="496"/>
    </row>
    <row r="6716" spans="1:4" x14ac:dyDescent="0.2">
      <c r="A6716" s="496"/>
      <c r="D6716" s="496"/>
    </row>
    <row r="6717" spans="1:4" x14ac:dyDescent="0.2">
      <c r="A6717" s="496"/>
      <c r="D6717" s="496"/>
    </row>
    <row r="6718" spans="1:4" x14ac:dyDescent="0.2">
      <c r="A6718" s="496"/>
      <c r="D6718" s="496"/>
    </row>
    <row r="6719" spans="1:4" x14ac:dyDescent="0.2">
      <c r="A6719" s="496"/>
      <c r="D6719" s="496"/>
    </row>
    <row r="6720" spans="1:4" x14ac:dyDescent="0.2">
      <c r="A6720" s="496"/>
      <c r="D6720" s="496"/>
    </row>
    <row r="6721" spans="1:4" x14ac:dyDescent="0.2">
      <c r="A6721" s="496"/>
      <c r="D6721" s="496"/>
    </row>
    <row r="6722" spans="1:4" x14ac:dyDescent="0.2">
      <c r="A6722" s="496"/>
      <c r="D6722" s="496"/>
    </row>
    <row r="6723" spans="1:4" x14ac:dyDescent="0.2">
      <c r="A6723" s="496"/>
      <c r="D6723" s="496"/>
    </row>
    <row r="6724" spans="1:4" x14ac:dyDescent="0.2">
      <c r="A6724" s="496"/>
      <c r="D6724" s="496"/>
    </row>
    <row r="6725" spans="1:4" x14ac:dyDescent="0.2">
      <c r="A6725" s="496"/>
      <c r="D6725" s="496"/>
    </row>
    <row r="6726" spans="1:4" x14ac:dyDescent="0.2">
      <c r="A6726" s="496"/>
      <c r="D6726" s="496"/>
    </row>
    <row r="6727" spans="1:4" x14ac:dyDescent="0.2">
      <c r="A6727" s="496"/>
      <c r="D6727" s="496"/>
    </row>
    <row r="6728" spans="1:4" x14ac:dyDescent="0.2">
      <c r="A6728" s="496"/>
      <c r="D6728" s="496"/>
    </row>
    <row r="6729" spans="1:4" x14ac:dyDescent="0.2">
      <c r="A6729" s="496"/>
      <c r="D6729" s="496"/>
    </row>
    <row r="6730" spans="1:4" x14ac:dyDescent="0.2">
      <c r="A6730" s="496"/>
      <c r="D6730" s="496"/>
    </row>
    <row r="6731" spans="1:4" x14ac:dyDescent="0.2">
      <c r="A6731" s="496"/>
      <c r="D6731" s="496"/>
    </row>
    <row r="6732" spans="1:4" x14ac:dyDescent="0.2">
      <c r="A6732" s="496"/>
      <c r="D6732" s="496"/>
    </row>
    <row r="6733" spans="1:4" x14ac:dyDescent="0.2">
      <c r="A6733" s="496"/>
      <c r="D6733" s="496"/>
    </row>
    <row r="6734" spans="1:4" x14ac:dyDescent="0.2">
      <c r="A6734" s="496"/>
      <c r="D6734" s="496"/>
    </row>
    <row r="6735" spans="1:4" x14ac:dyDescent="0.2">
      <c r="A6735" s="496"/>
      <c r="D6735" s="496"/>
    </row>
    <row r="6736" spans="1:4" x14ac:dyDescent="0.2">
      <c r="A6736" s="496"/>
      <c r="D6736" s="496"/>
    </row>
    <row r="6737" spans="1:4" x14ac:dyDescent="0.2">
      <c r="A6737" s="496"/>
      <c r="D6737" s="496"/>
    </row>
    <row r="6738" spans="1:4" x14ac:dyDescent="0.2">
      <c r="A6738" s="496"/>
      <c r="D6738" s="496"/>
    </row>
    <row r="6739" spans="1:4" x14ac:dyDescent="0.2">
      <c r="A6739" s="496"/>
      <c r="D6739" s="496"/>
    </row>
    <row r="6740" spans="1:4" x14ac:dyDescent="0.2">
      <c r="A6740" s="496"/>
      <c r="D6740" s="496"/>
    </row>
    <row r="6741" spans="1:4" x14ac:dyDescent="0.2">
      <c r="A6741" s="496"/>
      <c r="D6741" s="496"/>
    </row>
    <row r="6742" spans="1:4" x14ac:dyDescent="0.2">
      <c r="A6742" s="496"/>
      <c r="D6742" s="496"/>
    </row>
    <row r="6743" spans="1:4" x14ac:dyDescent="0.2">
      <c r="A6743" s="496"/>
      <c r="D6743" s="496"/>
    </row>
    <row r="6744" spans="1:4" x14ac:dyDescent="0.2">
      <c r="A6744" s="496"/>
      <c r="D6744" s="496"/>
    </row>
    <row r="6745" spans="1:4" x14ac:dyDescent="0.2">
      <c r="A6745" s="496"/>
      <c r="D6745" s="496"/>
    </row>
    <row r="6746" spans="1:4" x14ac:dyDescent="0.2">
      <c r="A6746" s="496"/>
      <c r="D6746" s="496"/>
    </row>
    <row r="6747" spans="1:4" x14ac:dyDescent="0.2">
      <c r="A6747" s="496"/>
      <c r="D6747" s="496"/>
    </row>
    <row r="6748" spans="1:4" x14ac:dyDescent="0.2">
      <c r="A6748" s="496"/>
      <c r="D6748" s="496"/>
    </row>
    <row r="6749" spans="1:4" x14ac:dyDescent="0.2">
      <c r="A6749" s="496"/>
      <c r="D6749" s="496"/>
    </row>
    <row r="6750" spans="1:4" x14ac:dyDescent="0.2">
      <c r="A6750" s="496"/>
      <c r="D6750" s="496"/>
    </row>
    <row r="6751" spans="1:4" x14ac:dyDescent="0.2">
      <c r="A6751" s="496"/>
      <c r="D6751" s="496"/>
    </row>
    <row r="6752" spans="1:4" x14ac:dyDescent="0.2">
      <c r="A6752" s="496"/>
      <c r="D6752" s="496"/>
    </row>
    <row r="6753" spans="1:4" x14ac:dyDescent="0.2">
      <c r="A6753" s="496"/>
      <c r="D6753" s="496"/>
    </row>
    <row r="6754" spans="1:4" x14ac:dyDescent="0.2">
      <c r="A6754" s="496"/>
      <c r="D6754" s="496"/>
    </row>
    <row r="6755" spans="1:4" x14ac:dyDescent="0.2">
      <c r="A6755" s="496"/>
      <c r="D6755" s="496"/>
    </row>
    <row r="6756" spans="1:4" x14ac:dyDescent="0.2">
      <c r="A6756" s="496"/>
      <c r="D6756" s="496"/>
    </row>
    <row r="6757" spans="1:4" x14ac:dyDescent="0.2">
      <c r="A6757" s="496"/>
      <c r="D6757" s="496"/>
    </row>
    <row r="6758" spans="1:4" x14ac:dyDescent="0.2">
      <c r="A6758" s="496"/>
      <c r="D6758" s="496"/>
    </row>
    <row r="6759" spans="1:4" x14ac:dyDescent="0.2">
      <c r="A6759" s="496"/>
      <c r="D6759" s="496"/>
    </row>
    <row r="6760" spans="1:4" x14ac:dyDescent="0.2">
      <c r="A6760" s="496"/>
      <c r="D6760" s="496"/>
    </row>
    <row r="6761" spans="1:4" x14ac:dyDescent="0.2">
      <c r="A6761" s="496"/>
      <c r="D6761" s="496"/>
    </row>
    <row r="6762" spans="1:4" x14ac:dyDescent="0.2">
      <c r="A6762" s="496"/>
      <c r="D6762" s="496"/>
    </row>
    <row r="6763" spans="1:4" x14ac:dyDescent="0.2">
      <c r="A6763" s="496"/>
      <c r="D6763" s="496"/>
    </row>
    <row r="6764" spans="1:4" x14ac:dyDescent="0.2">
      <c r="A6764" s="496"/>
      <c r="D6764" s="496"/>
    </row>
    <row r="6765" spans="1:4" x14ac:dyDescent="0.2">
      <c r="A6765" s="496"/>
      <c r="D6765" s="496"/>
    </row>
    <row r="6766" spans="1:4" x14ac:dyDescent="0.2">
      <c r="A6766" s="496"/>
      <c r="D6766" s="496"/>
    </row>
    <row r="6767" spans="1:4" x14ac:dyDescent="0.2">
      <c r="A6767" s="496"/>
      <c r="D6767" s="496"/>
    </row>
    <row r="6768" spans="1:4" x14ac:dyDescent="0.2">
      <c r="A6768" s="496"/>
      <c r="D6768" s="496"/>
    </row>
    <row r="6769" spans="1:4" x14ac:dyDescent="0.2">
      <c r="A6769" s="496"/>
      <c r="D6769" s="496"/>
    </row>
    <row r="6770" spans="1:4" x14ac:dyDescent="0.2">
      <c r="A6770" s="496"/>
      <c r="D6770" s="496"/>
    </row>
    <row r="6771" spans="1:4" x14ac:dyDescent="0.2">
      <c r="A6771" s="496"/>
      <c r="D6771" s="496"/>
    </row>
    <row r="6772" spans="1:4" x14ac:dyDescent="0.2">
      <c r="A6772" s="496"/>
      <c r="D6772" s="496"/>
    </row>
    <row r="6773" spans="1:4" x14ac:dyDescent="0.2">
      <c r="A6773" s="496"/>
      <c r="D6773" s="496"/>
    </row>
    <row r="6774" spans="1:4" x14ac:dyDescent="0.2">
      <c r="A6774" s="496"/>
      <c r="D6774" s="496"/>
    </row>
    <row r="6775" spans="1:4" x14ac:dyDescent="0.2">
      <c r="A6775" s="496"/>
      <c r="D6775" s="496"/>
    </row>
    <row r="6776" spans="1:4" x14ac:dyDescent="0.2">
      <c r="A6776" s="496"/>
      <c r="D6776" s="496"/>
    </row>
    <row r="6777" spans="1:4" x14ac:dyDescent="0.2">
      <c r="A6777" s="496"/>
      <c r="D6777" s="496"/>
    </row>
    <row r="6778" spans="1:4" x14ac:dyDescent="0.2">
      <c r="A6778" s="496"/>
      <c r="D6778" s="496"/>
    </row>
    <row r="6779" spans="1:4" x14ac:dyDescent="0.2">
      <c r="A6779" s="496"/>
      <c r="D6779" s="496"/>
    </row>
    <row r="6780" spans="1:4" x14ac:dyDescent="0.2">
      <c r="A6780" s="496"/>
      <c r="D6780" s="496"/>
    </row>
    <row r="6781" spans="1:4" x14ac:dyDescent="0.2">
      <c r="A6781" s="496"/>
      <c r="D6781" s="496"/>
    </row>
    <row r="6782" spans="1:4" x14ac:dyDescent="0.2">
      <c r="A6782" s="496"/>
      <c r="D6782" s="496"/>
    </row>
    <row r="6783" spans="1:4" x14ac:dyDescent="0.2">
      <c r="A6783" s="496"/>
      <c r="D6783" s="496"/>
    </row>
    <row r="6784" spans="1:4" x14ac:dyDescent="0.2">
      <c r="A6784" s="496"/>
      <c r="D6784" s="496"/>
    </row>
    <row r="6785" spans="1:4" x14ac:dyDescent="0.2">
      <c r="A6785" s="496"/>
      <c r="D6785" s="496"/>
    </row>
    <row r="6786" spans="1:4" x14ac:dyDescent="0.2">
      <c r="A6786" s="496"/>
      <c r="D6786" s="496"/>
    </row>
    <row r="6787" spans="1:4" x14ac:dyDescent="0.2">
      <c r="A6787" s="496"/>
      <c r="D6787" s="496"/>
    </row>
    <row r="6788" spans="1:4" x14ac:dyDescent="0.2">
      <c r="A6788" s="496"/>
      <c r="D6788" s="496"/>
    </row>
    <row r="6789" spans="1:4" x14ac:dyDescent="0.2">
      <c r="A6789" s="496"/>
      <c r="D6789" s="496"/>
    </row>
    <row r="6790" spans="1:4" x14ac:dyDescent="0.2">
      <c r="A6790" s="496"/>
      <c r="D6790" s="496"/>
    </row>
    <row r="6791" spans="1:4" x14ac:dyDescent="0.2">
      <c r="A6791" s="496"/>
      <c r="D6791" s="496"/>
    </row>
    <row r="6792" spans="1:4" x14ac:dyDescent="0.2">
      <c r="A6792" s="496"/>
      <c r="D6792" s="496"/>
    </row>
    <row r="6793" spans="1:4" x14ac:dyDescent="0.2">
      <c r="A6793" s="496"/>
      <c r="D6793" s="496"/>
    </row>
    <row r="6794" spans="1:4" x14ac:dyDescent="0.2">
      <c r="A6794" s="496"/>
      <c r="D6794" s="496"/>
    </row>
    <row r="6795" spans="1:4" x14ac:dyDescent="0.2">
      <c r="A6795" s="496"/>
      <c r="D6795" s="496"/>
    </row>
    <row r="6796" spans="1:4" x14ac:dyDescent="0.2">
      <c r="A6796" s="496"/>
      <c r="D6796" s="496"/>
    </row>
    <row r="6797" spans="1:4" x14ac:dyDescent="0.2">
      <c r="A6797" s="496"/>
      <c r="D6797" s="496"/>
    </row>
    <row r="6798" spans="1:4" x14ac:dyDescent="0.2">
      <c r="A6798" s="496"/>
      <c r="D6798" s="496"/>
    </row>
    <row r="6799" spans="1:4" x14ac:dyDescent="0.2">
      <c r="A6799" s="496"/>
      <c r="D6799" s="496"/>
    </row>
    <row r="6800" spans="1:4" x14ac:dyDescent="0.2">
      <c r="A6800" s="496"/>
      <c r="D6800" s="496"/>
    </row>
    <row r="6801" spans="1:4" x14ac:dyDescent="0.2">
      <c r="A6801" s="496"/>
      <c r="D6801" s="496"/>
    </row>
    <row r="6802" spans="1:4" x14ac:dyDescent="0.2">
      <c r="A6802" s="496"/>
      <c r="D6802" s="496"/>
    </row>
    <row r="6803" spans="1:4" x14ac:dyDescent="0.2">
      <c r="A6803" s="496"/>
      <c r="D6803" s="496"/>
    </row>
    <row r="6804" spans="1:4" x14ac:dyDescent="0.2">
      <c r="A6804" s="496"/>
      <c r="D6804" s="496"/>
    </row>
    <row r="6805" spans="1:4" x14ac:dyDescent="0.2">
      <c r="A6805" s="496"/>
      <c r="D6805" s="496"/>
    </row>
    <row r="6806" spans="1:4" x14ac:dyDescent="0.2">
      <c r="A6806" s="496"/>
      <c r="D6806" s="496"/>
    </row>
    <row r="6807" spans="1:4" x14ac:dyDescent="0.2">
      <c r="A6807" s="496"/>
      <c r="D6807" s="496"/>
    </row>
    <row r="6808" spans="1:4" x14ac:dyDescent="0.2">
      <c r="A6808" s="496"/>
      <c r="D6808" s="496"/>
    </row>
    <row r="6809" spans="1:4" x14ac:dyDescent="0.2">
      <c r="A6809" s="496"/>
      <c r="D6809" s="496"/>
    </row>
    <row r="6810" spans="1:4" x14ac:dyDescent="0.2">
      <c r="A6810" s="496"/>
      <c r="D6810" s="496"/>
    </row>
    <row r="6811" spans="1:4" x14ac:dyDescent="0.2">
      <c r="A6811" s="496"/>
      <c r="D6811" s="496"/>
    </row>
    <row r="6812" spans="1:4" x14ac:dyDescent="0.2">
      <c r="A6812" s="496"/>
      <c r="D6812" s="496"/>
    </row>
    <row r="6813" spans="1:4" x14ac:dyDescent="0.2">
      <c r="A6813" s="496"/>
      <c r="D6813" s="496"/>
    </row>
    <row r="6814" spans="1:4" x14ac:dyDescent="0.2">
      <c r="A6814" s="496"/>
      <c r="D6814" s="496"/>
    </row>
    <row r="6815" spans="1:4" x14ac:dyDescent="0.2">
      <c r="A6815" s="496"/>
      <c r="D6815" s="496"/>
    </row>
    <row r="6816" spans="1:4" x14ac:dyDescent="0.2">
      <c r="A6816" s="496"/>
      <c r="D6816" s="496"/>
    </row>
    <row r="6817" spans="1:4" x14ac:dyDescent="0.2">
      <c r="A6817" s="496"/>
      <c r="D6817" s="496"/>
    </row>
    <row r="6818" spans="1:4" x14ac:dyDescent="0.2">
      <c r="A6818" s="496"/>
      <c r="D6818" s="496"/>
    </row>
    <row r="6819" spans="1:4" x14ac:dyDescent="0.2">
      <c r="A6819" s="496"/>
      <c r="D6819" s="496"/>
    </row>
    <row r="6820" spans="1:4" x14ac:dyDescent="0.2">
      <c r="A6820" s="496"/>
      <c r="D6820" s="496"/>
    </row>
    <row r="6821" spans="1:4" x14ac:dyDescent="0.2">
      <c r="A6821" s="496"/>
      <c r="D6821" s="496"/>
    </row>
    <row r="6822" spans="1:4" x14ac:dyDescent="0.2">
      <c r="A6822" s="496"/>
      <c r="D6822" s="496"/>
    </row>
    <row r="6823" spans="1:4" x14ac:dyDescent="0.2">
      <c r="A6823" s="496"/>
      <c r="D6823" s="496"/>
    </row>
    <row r="6824" spans="1:4" x14ac:dyDescent="0.2">
      <c r="A6824" s="496"/>
      <c r="D6824" s="496"/>
    </row>
    <row r="6825" spans="1:4" x14ac:dyDescent="0.2">
      <c r="A6825" s="496"/>
      <c r="D6825" s="496"/>
    </row>
    <row r="6826" spans="1:4" x14ac:dyDescent="0.2">
      <c r="A6826" s="496"/>
      <c r="D6826" s="496"/>
    </row>
    <row r="6827" spans="1:4" x14ac:dyDescent="0.2">
      <c r="A6827" s="496"/>
      <c r="D6827" s="496"/>
    </row>
    <row r="6828" spans="1:4" x14ac:dyDescent="0.2">
      <c r="A6828" s="496"/>
      <c r="D6828" s="496"/>
    </row>
    <row r="6829" spans="1:4" x14ac:dyDescent="0.2">
      <c r="A6829" s="496"/>
      <c r="D6829" s="496"/>
    </row>
    <row r="6830" spans="1:4" x14ac:dyDescent="0.2">
      <c r="A6830" s="496"/>
      <c r="D6830" s="496"/>
    </row>
    <row r="6831" spans="1:4" x14ac:dyDescent="0.2">
      <c r="A6831" s="496"/>
      <c r="D6831" s="496"/>
    </row>
    <row r="6832" spans="1:4" x14ac:dyDescent="0.2">
      <c r="A6832" s="496"/>
      <c r="D6832" s="496"/>
    </row>
    <row r="6833" spans="1:4" x14ac:dyDescent="0.2">
      <c r="A6833" s="496"/>
      <c r="D6833" s="496"/>
    </row>
    <row r="6834" spans="1:4" x14ac:dyDescent="0.2">
      <c r="A6834" s="496"/>
      <c r="D6834" s="496"/>
    </row>
    <row r="6835" spans="1:4" x14ac:dyDescent="0.2">
      <c r="A6835" s="496"/>
      <c r="D6835" s="496"/>
    </row>
    <row r="6836" spans="1:4" x14ac:dyDescent="0.2">
      <c r="A6836" s="496"/>
      <c r="D6836" s="496"/>
    </row>
    <row r="6837" spans="1:4" x14ac:dyDescent="0.2">
      <c r="A6837" s="496"/>
      <c r="D6837" s="496"/>
    </row>
    <row r="6838" spans="1:4" x14ac:dyDescent="0.2">
      <c r="A6838" s="496"/>
      <c r="D6838" s="496"/>
    </row>
    <row r="6839" spans="1:4" x14ac:dyDescent="0.2">
      <c r="A6839" s="496"/>
      <c r="D6839" s="496"/>
    </row>
    <row r="6840" spans="1:4" x14ac:dyDescent="0.2">
      <c r="A6840" s="496"/>
      <c r="D6840" s="496"/>
    </row>
    <row r="6841" spans="1:4" x14ac:dyDescent="0.2">
      <c r="A6841" s="496"/>
      <c r="D6841" s="496"/>
    </row>
    <row r="6842" spans="1:4" x14ac:dyDescent="0.2">
      <c r="A6842" s="496"/>
      <c r="D6842" s="496"/>
    </row>
    <row r="6843" spans="1:4" x14ac:dyDescent="0.2">
      <c r="A6843" s="496"/>
      <c r="D6843" s="496"/>
    </row>
    <row r="6844" spans="1:4" x14ac:dyDescent="0.2">
      <c r="A6844" s="496"/>
      <c r="D6844" s="496"/>
    </row>
    <row r="6845" spans="1:4" x14ac:dyDescent="0.2">
      <c r="A6845" s="496"/>
      <c r="D6845" s="496"/>
    </row>
    <row r="6846" spans="1:4" x14ac:dyDescent="0.2">
      <c r="A6846" s="496"/>
      <c r="D6846" s="496"/>
    </row>
    <row r="6847" spans="1:4" x14ac:dyDescent="0.2">
      <c r="A6847" s="496"/>
      <c r="D6847" s="496"/>
    </row>
    <row r="6848" spans="1:4" x14ac:dyDescent="0.2">
      <c r="A6848" s="496"/>
      <c r="D6848" s="496"/>
    </row>
    <row r="6849" spans="1:4" x14ac:dyDescent="0.2">
      <c r="A6849" s="496"/>
      <c r="D6849" s="496"/>
    </row>
    <row r="6850" spans="1:4" x14ac:dyDescent="0.2">
      <c r="A6850" s="496"/>
      <c r="D6850" s="496"/>
    </row>
    <row r="6851" spans="1:4" x14ac:dyDescent="0.2">
      <c r="A6851" s="496"/>
      <c r="D6851" s="496"/>
    </row>
    <row r="6852" spans="1:4" x14ac:dyDescent="0.2">
      <c r="A6852" s="496"/>
      <c r="D6852" s="496"/>
    </row>
    <row r="6853" spans="1:4" x14ac:dyDescent="0.2">
      <c r="A6853" s="496"/>
      <c r="D6853" s="496"/>
    </row>
    <row r="6854" spans="1:4" x14ac:dyDescent="0.2">
      <c r="A6854" s="496"/>
      <c r="D6854" s="496"/>
    </row>
    <row r="6855" spans="1:4" x14ac:dyDescent="0.2">
      <c r="A6855" s="496"/>
      <c r="D6855" s="496"/>
    </row>
    <row r="6856" spans="1:4" x14ac:dyDescent="0.2">
      <c r="A6856" s="496"/>
      <c r="D6856" s="496"/>
    </row>
    <row r="6857" spans="1:4" x14ac:dyDescent="0.2">
      <c r="A6857" s="496"/>
      <c r="D6857" s="496"/>
    </row>
    <row r="6858" spans="1:4" x14ac:dyDescent="0.2">
      <c r="A6858" s="496"/>
      <c r="D6858" s="496"/>
    </row>
    <row r="6859" spans="1:4" x14ac:dyDescent="0.2">
      <c r="A6859" s="496"/>
      <c r="D6859" s="496"/>
    </row>
    <row r="6860" spans="1:4" x14ac:dyDescent="0.2">
      <c r="A6860" s="496"/>
      <c r="D6860" s="496"/>
    </row>
    <row r="6861" spans="1:4" x14ac:dyDescent="0.2">
      <c r="A6861" s="496"/>
      <c r="D6861" s="496"/>
    </row>
    <row r="6862" spans="1:4" x14ac:dyDescent="0.2">
      <c r="A6862" s="496"/>
      <c r="D6862" s="496"/>
    </row>
    <row r="6863" spans="1:4" x14ac:dyDescent="0.2">
      <c r="A6863" s="496"/>
      <c r="D6863" s="496"/>
    </row>
    <row r="6864" spans="1:4" x14ac:dyDescent="0.2">
      <c r="A6864" s="496"/>
      <c r="D6864" s="496"/>
    </row>
    <row r="6865" spans="1:4" x14ac:dyDescent="0.2">
      <c r="A6865" s="496"/>
      <c r="D6865" s="496"/>
    </row>
    <row r="6866" spans="1:4" x14ac:dyDescent="0.2">
      <c r="A6866" s="496"/>
      <c r="D6866" s="496"/>
    </row>
    <row r="6867" spans="1:4" x14ac:dyDescent="0.2">
      <c r="A6867" s="496"/>
      <c r="D6867" s="496"/>
    </row>
    <row r="6868" spans="1:4" x14ac:dyDescent="0.2">
      <c r="A6868" s="496"/>
      <c r="D6868" s="496"/>
    </row>
    <row r="6869" spans="1:4" x14ac:dyDescent="0.2">
      <c r="A6869" s="496"/>
      <c r="D6869" s="496"/>
    </row>
    <row r="6870" spans="1:4" x14ac:dyDescent="0.2">
      <c r="A6870" s="496"/>
      <c r="D6870" s="496"/>
    </row>
    <row r="6871" spans="1:4" x14ac:dyDescent="0.2">
      <c r="A6871" s="496"/>
      <c r="D6871" s="496"/>
    </row>
    <row r="6872" spans="1:4" x14ac:dyDescent="0.2">
      <c r="A6872" s="496"/>
      <c r="D6872" s="496"/>
    </row>
    <row r="6873" spans="1:4" x14ac:dyDescent="0.2">
      <c r="A6873" s="496"/>
      <c r="D6873" s="496"/>
    </row>
    <row r="6874" spans="1:4" x14ac:dyDescent="0.2">
      <c r="A6874" s="496"/>
      <c r="D6874" s="496"/>
    </row>
    <row r="6875" spans="1:4" x14ac:dyDescent="0.2">
      <c r="A6875" s="496"/>
      <c r="D6875" s="496"/>
    </row>
    <row r="6876" spans="1:4" x14ac:dyDescent="0.2">
      <c r="A6876" s="496"/>
      <c r="D6876" s="496"/>
    </row>
    <row r="6877" spans="1:4" x14ac:dyDescent="0.2">
      <c r="A6877" s="496"/>
      <c r="D6877" s="496"/>
    </row>
    <row r="6878" spans="1:4" x14ac:dyDescent="0.2">
      <c r="A6878" s="496"/>
      <c r="D6878" s="496"/>
    </row>
    <row r="6879" spans="1:4" x14ac:dyDescent="0.2">
      <c r="A6879" s="496"/>
      <c r="D6879" s="496"/>
    </row>
    <row r="6880" spans="1:4" x14ac:dyDescent="0.2">
      <c r="A6880" s="496"/>
      <c r="D6880" s="496"/>
    </row>
    <row r="6881" spans="1:4" x14ac:dyDescent="0.2">
      <c r="A6881" s="496"/>
      <c r="D6881" s="496"/>
    </row>
    <row r="6882" spans="1:4" x14ac:dyDescent="0.2">
      <c r="A6882" s="496"/>
      <c r="D6882" s="496"/>
    </row>
    <row r="6883" spans="1:4" x14ac:dyDescent="0.2">
      <c r="A6883" s="496"/>
      <c r="D6883" s="496"/>
    </row>
    <row r="6884" spans="1:4" x14ac:dyDescent="0.2">
      <c r="A6884" s="496"/>
      <c r="D6884" s="496"/>
    </row>
    <row r="6885" spans="1:4" x14ac:dyDescent="0.2">
      <c r="A6885" s="496"/>
      <c r="D6885" s="496"/>
    </row>
    <row r="6886" spans="1:4" x14ac:dyDescent="0.2">
      <c r="A6886" s="496"/>
      <c r="D6886" s="496"/>
    </row>
    <row r="6887" spans="1:4" x14ac:dyDescent="0.2">
      <c r="A6887" s="496"/>
      <c r="D6887" s="496"/>
    </row>
    <row r="6888" spans="1:4" x14ac:dyDescent="0.2">
      <c r="A6888" s="496"/>
      <c r="D6888" s="496"/>
    </row>
    <row r="6889" spans="1:4" x14ac:dyDescent="0.2">
      <c r="A6889" s="496"/>
      <c r="D6889" s="496"/>
    </row>
    <row r="6890" spans="1:4" x14ac:dyDescent="0.2">
      <c r="A6890" s="496"/>
      <c r="D6890" s="496"/>
    </row>
    <row r="6891" spans="1:4" x14ac:dyDescent="0.2">
      <c r="A6891" s="496"/>
      <c r="D6891" s="496"/>
    </row>
    <row r="6892" spans="1:4" x14ac:dyDescent="0.2">
      <c r="A6892" s="496"/>
      <c r="D6892" s="496"/>
    </row>
    <row r="6893" spans="1:4" x14ac:dyDescent="0.2">
      <c r="A6893" s="496"/>
      <c r="D6893" s="496"/>
    </row>
    <row r="6894" spans="1:4" x14ac:dyDescent="0.2">
      <c r="A6894" s="496"/>
      <c r="D6894" s="496"/>
    </row>
    <row r="6895" spans="1:4" x14ac:dyDescent="0.2">
      <c r="A6895" s="496"/>
      <c r="D6895" s="496"/>
    </row>
    <row r="6896" spans="1:4" x14ac:dyDescent="0.2">
      <c r="A6896" s="496"/>
      <c r="D6896" s="496"/>
    </row>
    <row r="6897" spans="1:4" x14ac:dyDescent="0.2">
      <c r="A6897" s="496"/>
      <c r="D6897" s="496"/>
    </row>
    <row r="6898" spans="1:4" x14ac:dyDescent="0.2">
      <c r="A6898" s="496"/>
      <c r="D6898" s="496"/>
    </row>
    <row r="6899" spans="1:4" x14ac:dyDescent="0.2">
      <c r="A6899" s="496"/>
      <c r="D6899" s="496"/>
    </row>
    <row r="6900" spans="1:4" x14ac:dyDescent="0.2">
      <c r="A6900" s="496"/>
      <c r="D6900" s="496"/>
    </row>
    <row r="6901" spans="1:4" x14ac:dyDescent="0.2">
      <c r="A6901" s="496"/>
      <c r="D6901" s="496"/>
    </row>
    <row r="6902" spans="1:4" x14ac:dyDescent="0.2">
      <c r="A6902" s="496"/>
      <c r="D6902" s="496"/>
    </row>
    <row r="6903" spans="1:4" x14ac:dyDescent="0.2">
      <c r="A6903" s="496"/>
      <c r="D6903" s="496"/>
    </row>
    <row r="6904" spans="1:4" x14ac:dyDescent="0.2">
      <c r="A6904" s="496"/>
      <c r="D6904" s="496"/>
    </row>
    <row r="6905" spans="1:4" x14ac:dyDescent="0.2">
      <c r="A6905" s="496"/>
      <c r="D6905" s="496"/>
    </row>
    <row r="6906" spans="1:4" x14ac:dyDescent="0.2">
      <c r="A6906" s="496"/>
      <c r="D6906" s="496"/>
    </row>
    <row r="6907" spans="1:4" x14ac:dyDescent="0.2">
      <c r="A6907" s="496"/>
      <c r="D6907" s="496"/>
    </row>
    <row r="6908" spans="1:4" x14ac:dyDescent="0.2">
      <c r="A6908" s="496"/>
      <c r="D6908" s="496"/>
    </row>
    <row r="6909" spans="1:4" x14ac:dyDescent="0.2">
      <c r="A6909" s="496"/>
      <c r="D6909" s="496"/>
    </row>
    <row r="6910" spans="1:4" x14ac:dyDescent="0.2">
      <c r="A6910" s="496"/>
      <c r="D6910" s="496"/>
    </row>
    <row r="6911" spans="1:4" x14ac:dyDescent="0.2">
      <c r="A6911" s="496"/>
      <c r="D6911" s="496"/>
    </row>
    <row r="6912" spans="1:4" x14ac:dyDescent="0.2">
      <c r="A6912" s="496"/>
      <c r="D6912" s="496"/>
    </row>
    <row r="6913" spans="1:4" x14ac:dyDescent="0.2">
      <c r="A6913" s="496"/>
      <c r="D6913" s="496"/>
    </row>
    <row r="6914" spans="1:4" x14ac:dyDescent="0.2">
      <c r="A6914" s="496"/>
      <c r="D6914" s="496"/>
    </row>
    <row r="6915" spans="1:4" x14ac:dyDescent="0.2">
      <c r="A6915" s="496"/>
      <c r="D6915" s="496"/>
    </row>
    <row r="6916" spans="1:4" x14ac:dyDescent="0.2">
      <c r="A6916" s="496"/>
      <c r="D6916" s="496"/>
    </row>
    <row r="6917" spans="1:4" x14ac:dyDescent="0.2">
      <c r="A6917" s="496"/>
      <c r="D6917" s="496"/>
    </row>
    <row r="6918" spans="1:4" x14ac:dyDescent="0.2">
      <c r="A6918" s="496"/>
      <c r="D6918" s="496"/>
    </row>
    <row r="6919" spans="1:4" x14ac:dyDescent="0.2">
      <c r="A6919" s="496"/>
      <c r="D6919" s="496"/>
    </row>
    <row r="6920" spans="1:4" x14ac:dyDescent="0.2">
      <c r="A6920" s="496"/>
      <c r="D6920" s="496"/>
    </row>
    <row r="6921" spans="1:4" x14ac:dyDescent="0.2">
      <c r="A6921" s="496"/>
      <c r="D6921" s="496"/>
    </row>
    <row r="6922" spans="1:4" x14ac:dyDescent="0.2">
      <c r="A6922" s="496"/>
      <c r="D6922" s="496"/>
    </row>
    <row r="6923" spans="1:4" x14ac:dyDescent="0.2">
      <c r="A6923" s="496"/>
      <c r="D6923" s="496"/>
    </row>
    <row r="6924" spans="1:4" x14ac:dyDescent="0.2">
      <c r="A6924" s="496"/>
      <c r="D6924" s="496"/>
    </row>
    <row r="6925" spans="1:4" x14ac:dyDescent="0.2">
      <c r="A6925" s="496"/>
      <c r="D6925" s="496"/>
    </row>
    <row r="6926" spans="1:4" x14ac:dyDescent="0.2">
      <c r="A6926" s="496"/>
      <c r="D6926" s="496"/>
    </row>
    <row r="6927" spans="1:4" x14ac:dyDescent="0.2">
      <c r="A6927" s="496"/>
      <c r="D6927" s="496"/>
    </row>
    <row r="6928" spans="1:4" x14ac:dyDescent="0.2">
      <c r="A6928" s="496"/>
      <c r="D6928" s="496"/>
    </row>
    <row r="6929" spans="1:4" x14ac:dyDescent="0.2">
      <c r="A6929" s="496"/>
      <c r="D6929" s="496"/>
    </row>
    <row r="6930" spans="1:4" x14ac:dyDescent="0.2">
      <c r="A6930" s="496"/>
      <c r="D6930" s="496"/>
    </row>
    <row r="6931" spans="1:4" x14ac:dyDescent="0.2">
      <c r="A6931" s="496"/>
      <c r="D6931" s="496"/>
    </row>
    <row r="6932" spans="1:4" x14ac:dyDescent="0.2">
      <c r="A6932" s="496"/>
      <c r="D6932" s="496"/>
    </row>
    <row r="6933" spans="1:4" x14ac:dyDescent="0.2">
      <c r="A6933" s="496"/>
      <c r="D6933" s="496"/>
    </row>
    <row r="6934" spans="1:4" x14ac:dyDescent="0.2">
      <c r="A6934" s="496"/>
      <c r="D6934" s="496"/>
    </row>
    <row r="6935" spans="1:4" x14ac:dyDescent="0.2">
      <c r="A6935" s="496"/>
      <c r="D6935" s="496"/>
    </row>
    <row r="6936" spans="1:4" x14ac:dyDescent="0.2">
      <c r="A6936" s="496"/>
      <c r="D6936" s="496"/>
    </row>
    <row r="6937" spans="1:4" x14ac:dyDescent="0.2">
      <c r="A6937" s="496"/>
      <c r="D6937" s="496"/>
    </row>
    <row r="6938" spans="1:4" x14ac:dyDescent="0.2">
      <c r="A6938" s="496"/>
      <c r="D6938" s="496"/>
    </row>
    <row r="6939" spans="1:4" x14ac:dyDescent="0.2">
      <c r="A6939" s="496"/>
      <c r="D6939" s="496"/>
    </row>
    <row r="6940" spans="1:4" x14ac:dyDescent="0.2">
      <c r="A6940" s="496"/>
      <c r="D6940" s="496"/>
    </row>
    <row r="6941" spans="1:4" x14ac:dyDescent="0.2">
      <c r="A6941" s="496"/>
      <c r="D6941" s="496"/>
    </row>
    <row r="6942" spans="1:4" x14ac:dyDescent="0.2">
      <c r="A6942" s="496"/>
      <c r="D6942" s="496"/>
    </row>
    <row r="6943" spans="1:4" x14ac:dyDescent="0.2">
      <c r="A6943" s="496"/>
      <c r="D6943" s="496"/>
    </row>
    <row r="6944" spans="1:4" x14ac:dyDescent="0.2">
      <c r="A6944" s="496"/>
      <c r="D6944" s="496"/>
    </row>
    <row r="6945" spans="1:4" x14ac:dyDescent="0.2">
      <c r="A6945" s="496"/>
      <c r="D6945" s="496"/>
    </row>
    <row r="6946" spans="1:4" x14ac:dyDescent="0.2">
      <c r="A6946" s="496"/>
      <c r="D6946" s="496"/>
    </row>
    <row r="6947" spans="1:4" x14ac:dyDescent="0.2">
      <c r="A6947" s="496"/>
      <c r="D6947" s="496"/>
    </row>
    <row r="6948" spans="1:4" x14ac:dyDescent="0.2">
      <c r="A6948" s="496"/>
      <c r="D6948" s="496"/>
    </row>
    <row r="6949" spans="1:4" x14ac:dyDescent="0.2">
      <c r="A6949" s="496"/>
      <c r="D6949" s="496"/>
    </row>
    <row r="6950" spans="1:4" x14ac:dyDescent="0.2">
      <c r="A6950" s="496"/>
      <c r="D6950" s="496"/>
    </row>
    <row r="6951" spans="1:4" x14ac:dyDescent="0.2">
      <c r="A6951" s="496"/>
      <c r="D6951" s="496"/>
    </row>
    <row r="6952" spans="1:4" x14ac:dyDescent="0.2">
      <c r="A6952" s="496"/>
      <c r="D6952" s="496"/>
    </row>
    <row r="6953" spans="1:4" x14ac:dyDescent="0.2">
      <c r="A6953" s="496"/>
      <c r="D6953" s="496"/>
    </row>
    <row r="6954" spans="1:4" x14ac:dyDescent="0.2">
      <c r="A6954" s="496"/>
      <c r="D6954" s="496"/>
    </row>
    <row r="6955" spans="1:4" x14ac:dyDescent="0.2">
      <c r="A6955" s="496"/>
      <c r="D6955" s="496"/>
    </row>
    <row r="6956" spans="1:4" x14ac:dyDescent="0.2">
      <c r="A6956" s="496"/>
      <c r="D6956" s="496"/>
    </row>
    <row r="6957" spans="1:4" x14ac:dyDescent="0.2">
      <c r="A6957" s="496"/>
      <c r="D6957" s="496"/>
    </row>
    <row r="6958" spans="1:4" x14ac:dyDescent="0.2">
      <c r="A6958" s="496"/>
      <c r="D6958" s="496"/>
    </row>
    <row r="6959" spans="1:4" x14ac:dyDescent="0.2">
      <c r="A6959" s="496"/>
      <c r="D6959" s="496"/>
    </row>
    <row r="6960" spans="1:4" x14ac:dyDescent="0.2">
      <c r="A6960" s="496"/>
      <c r="D6960" s="496"/>
    </row>
    <row r="6961" spans="1:4" x14ac:dyDescent="0.2">
      <c r="A6961" s="496"/>
      <c r="D6961" s="496"/>
    </row>
    <row r="6962" spans="1:4" x14ac:dyDescent="0.2">
      <c r="A6962" s="496"/>
      <c r="D6962" s="496"/>
    </row>
    <row r="6963" spans="1:4" x14ac:dyDescent="0.2">
      <c r="A6963" s="496"/>
      <c r="D6963" s="496"/>
    </row>
    <row r="6964" spans="1:4" x14ac:dyDescent="0.2">
      <c r="A6964" s="496"/>
      <c r="D6964" s="496"/>
    </row>
    <row r="6965" spans="1:4" x14ac:dyDescent="0.2">
      <c r="A6965" s="496"/>
      <c r="D6965" s="496"/>
    </row>
    <row r="6966" spans="1:4" x14ac:dyDescent="0.2">
      <c r="A6966" s="496"/>
      <c r="D6966" s="496"/>
    </row>
    <row r="6967" spans="1:4" x14ac:dyDescent="0.2">
      <c r="A6967" s="496"/>
      <c r="D6967" s="496"/>
    </row>
    <row r="6968" spans="1:4" x14ac:dyDescent="0.2">
      <c r="A6968" s="496"/>
      <c r="D6968" s="496"/>
    </row>
    <row r="6969" spans="1:4" x14ac:dyDescent="0.2">
      <c r="A6969" s="496"/>
      <c r="D6969" s="496"/>
    </row>
    <row r="6970" spans="1:4" x14ac:dyDescent="0.2">
      <c r="A6970" s="496"/>
      <c r="D6970" s="496"/>
    </row>
    <row r="6971" spans="1:4" x14ac:dyDescent="0.2">
      <c r="A6971" s="496"/>
      <c r="D6971" s="496"/>
    </row>
    <row r="6972" spans="1:4" x14ac:dyDescent="0.2">
      <c r="A6972" s="496"/>
      <c r="D6972" s="496"/>
    </row>
    <row r="6973" spans="1:4" x14ac:dyDescent="0.2">
      <c r="A6973" s="496"/>
      <c r="D6973" s="496"/>
    </row>
    <row r="6974" spans="1:4" x14ac:dyDescent="0.2">
      <c r="A6974" s="496"/>
      <c r="D6974" s="496"/>
    </row>
    <row r="6975" spans="1:4" x14ac:dyDescent="0.2">
      <c r="A6975" s="496"/>
      <c r="D6975" s="496"/>
    </row>
    <row r="6976" spans="1:4" x14ac:dyDescent="0.2">
      <c r="A6976" s="496"/>
      <c r="D6976" s="496"/>
    </row>
    <row r="6977" spans="1:4" x14ac:dyDescent="0.2">
      <c r="A6977" s="496"/>
      <c r="D6977" s="496"/>
    </row>
    <row r="6978" spans="1:4" x14ac:dyDescent="0.2">
      <c r="A6978" s="496"/>
      <c r="D6978" s="496"/>
    </row>
    <row r="6979" spans="1:4" x14ac:dyDescent="0.2">
      <c r="A6979" s="496"/>
      <c r="D6979" s="496"/>
    </row>
    <row r="6980" spans="1:4" x14ac:dyDescent="0.2">
      <c r="A6980" s="496"/>
      <c r="D6980" s="496"/>
    </row>
    <row r="6981" spans="1:4" x14ac:dyDescent="0.2">
      <c r="A6981" s="496"/>
      <c r="D6981" s="496"/>
    </row>
    <row r="6982" spans="1:4" x14ac:dyDescent="0.2">
      <c r="A6982" s="496"/>
      <c r="D6982" s="496"/>
    </row>
    <row r="6983" spans="1:4" x14ac:dyDescent="0.2">
      <c r="A6983" s="496"/>
      <c r="D6983" s="496"/>
    </row>
    <row r="6984" spans="1:4" x14ac:dyDescent="0.2">
      <c r="A6984" s="496"/>
      <c r="D6984" s="496"/>
    </row>
    <row r="6985" spans="1:4" x14ac:dyDescent="0.2">
      <c r="A6985" s="496"/>
      <c r="D6985" s="496"/>
    </row>
    <row r="6986" spans="1:4" x14ac:dyDescent="0.2">
      <c r="A6986" s="496"/>
      <c r="D6986" s="496"/>
    </row>
    <row r="6987" spans="1:4" x14ac:dyDescent="0.2">
      <c r="A6987" s="496"/>
      <c r="D6987" s="496"/>
    </row>
    <row r="6988" spans="1:4" x14ac:dyDescent="0.2">
      <c r="A6988" s="496"/>
      <c r="D6988" s="496"/>
    </row>
    <row r="6989" spans="1:4" x14ac:dyDescent="0.2">
      <c r="A6989" s="496"/>
      <c r="D6989" s="496"/>
    </row>
    <row r="6990" spans="1:4" x14ac:dyDescent="0.2">
      <c r="A6990" s="496"/>
      <c r="D6990" s="496"/>
    </row>
    <row r="6991" spans="1:4" x14ac:dyDescent="0.2">
      <c r="A6991" s="496"/>
      <c r="D6991" s="496"/>
    </row>
    <row r="6992" spans="1:4" x14ac:dyDescent="0.2">
      <c r="A6992" s="496"/>
      <c r="D6992" s="496"/>
    </row>
    <row r="6993" spans="1:4" x14ac:dyDescent="0.2">
      <c r="A6993" s="496"/>
      <c r="D6993" s="496"/>
    </row>
    <row r="6994" spans="1:4" x14ac:dyDescent="0.2">
      <c r="A6994" s="496"/>
      <c r="D6994" s="496"/>
    </row>
    <row r="6995" spans="1:4" x14ac:dyDescent="0.2">
      <c r="A6995" s="496"/>
      <c r="D6995" s="496"/>
    </row>
    <row r="6996" spans="1:4" x14ac:dyDescent="0.2">
      <c r="A6996" s="496"/>
      <c r="D6996" s="496"/>
    </row>
    <row r="6997" spans="1:4" x14ac:dyDescent="0.2">
      <c r="A6997" s="496"/>
      <c r="D6997" s="496"/>
    </row>
    <row r="6998" spans="1:4" x14ac:dyDescent="0.2">
      <c r="A6998" s="496"/>
      <c r="D6998" s="496"/>
    </row>
    <row r="6999" spans="1:4" x14ac:dyDescent="0.2">
      <c r="A6999" s="496"/>
      <c r="D6999" s="496"/>
    </row>
    <row r="7000" spans="1:4" x14ac:dyDescent="0.2">
      <c r="A7000" s="496"/>
      <c r="D7000" s="496"/>
    </row>
    <row r="7001" spans="1:4" x14ac:dyDescent="0.2">
      <c r="A7001" s="496"/>
      <c r="D7001" s="496"/>
    </row>
    <row r="7002" spans="1:4" x14ac:dyDescent="0.2">
      <c r="A7002" s="496"/>
      <c r="D7002" s="496"/>
    </row>
    <row r="7003" spans="1:4" x14ac:dyDescent="0.2">
      <c r="A7003" s="496"/>
      <c r="D7003" s="496"/>
    </row>
    <row r="7004" spans="1:4" x14ac:dyDescent="0.2">
      <c r="A7004" s="496"/>
      <c r="D7004" s="496"/>
    </row>
    <row r="7005" spans="1:4" x14ac:dyDescent="0.2">
      <c r="A7005" s="496"/>
      <c r="D7005" s="496"/>
    </row>
    <row r="7006" spans="1:4" x14ac:dyDescent="0.2">
      <c r="A7006" s="496"/>
      <c r="D7006" s="496"/>
    </row>
    <row r="7007" spans="1:4" x14ac:dyDescent="0.2">
      <c r="A7007" s="496"/>
      <c r="D7007" s="496"/>
    </row>
    <row r="7008" spans="1:4" x14ac:dyDescent="0.2">
      <c r="A7008" s="496"/>
      <c r="D7008" s="496"/>
    </row>
    <row r="7009" spans="1:4" x14ac:dyDescent="0.2">
      <c r="A7009" s="496"/>
      <c r="D7009" s="496"/>
    </row>
    <row r="7010" spans="1:4" x14ac:dyDescent="0.2">
      <c r="A7010" s="496"/>
      <c r="D7010" s="496"/>
    </row>
    <row r="7011" spans="1:4" x14ac:dyDescent="0.2">
      <c r="A7011" s="496"/>
      <c r="D7011" s="496"/>
    </row>
    <row r="7012" spans="1:4" x14ac:dyDescent="0.2">
      <c r="A7012" s="496"/>
      <c r="D7012" s="496"/>
    </row>
    <row r="7013" spans="1:4" x14ac:dyDescent="0.2">
      <c r="A7013" s="496"/>
      <c r="D7013" s="496"/>
    </row>
    <row r="7014" spans="1:4" x14ac:dyDescent="0.2">
      <c r="A7014" s="496"/>
      <c r="D7014" s="496"/>
    </row>
    <row r="7015" spans="1:4" x14ac:dyDescent="0.2">
      <c r="A7015" s="496"/>
      <c r="D7015" s="496"/>
    </row>
    <row r="7016" spans="1:4" x14ac:dyDescent="0.2">
      <c r="A7016" s="496"/>
      <c r="D7016" s="496"/>
    </row>
    <row r="7017" spans="1:4" x14ac:dyDescent="0.2">
      <c r="A7017" s="496"/>
      <c r="D7017" s="496"/>
    </row>
    <row r="7018" spans="1:4" x14ac:dyDescent="0.2">
      <c r="A7018" s="496"/>
      <c r="D7018" s="496"/>
    </row>
    <row r="7019" spans="1:4" x14ac:dyDescent="0.2">
      <c r="A7019" s="496"/>
      <c r="D7019" s="496"/>
    </row>
    <row r="7020" spans="1:4" x14ac:dyDescent="0.2">
      <c r="A7020" s="496"/>
      <c r="D7020" s="496"/>
    </row>
    <row r="7021" spans="1:4" x14ac:dyDescent="0.2">
      <c r="A7021" s="496"/>
      <c r="D7021" s="496"/>
    </row>
    <row r="7022" spans="1:4" x14ac:dyDescent="0.2">
      <c r="A7022" s="496"/>
      <c r="D7022" s="496"/>
    </row>
    <row r="7023" spans="1:4" x14ac:dyDescent="0.2">
      <c r="A7023" s="496"/>
      <c r="D7023" s="496"/>
    </row>
    <row r="7024" spans="1:4" x14ac:dyDescent="0.2">
      <c r="A7024" s="496"/>
      <c r="D7024" s="496"/>
    </row>
    <row r="7025" spans="1:4" x14ac:dyDescent="0.2">
      <c r="A7025" s="496"/>
      <c r="D7025" s="496"/>
    </row>
    <row r="7026" spans="1:4" x14ac:dyDescent="0.2">
      <c r="A7026" s="496"/>
      <c r="D7026" s="496"/>
    </row>
    <row r="7027" spans="1:4" x14ac:dyDescent="0.2">
      <c r="A7027" s="496"/>
      <c r="D7027" s="496"/>
    </row>
    <row r="7028" spans="1:4" x14ac:dyDescent="0.2">
      <c r="A7028" s="496"/>
      <c r="D7028" s="496"/>
    </row>
    <row r="7029" spans="1:4" x14ac:dyDescent="0.2">
      <c r="A7029" s="496"/>
      <c r="D7029" s="496"/>
    </row>
    <row r="7030" spans="1:4" x14ac:dyDescent="0.2">
      <c r="A7030" s="496"/>
      <c r="D7030" s="496"/>
    </row>
    <row r="7031" spans="1:4" x14ac:dyDescent="0.2">
      <c r="A7031" s="496"/>
      <c r="D7031" s="496"/>
    </row>
    <row r="7032" spans="1:4" x14ac:dyDescent="0.2">
      <c r="A7032" s="496"/>
      <c r="D7032" s="496"/>
    </row>
    <row r="7033" spans="1:4" x14ac:dyDescent="0.2">
      <c r="A7033" s="496"/>
      <c r="D7033" s="496"/>
    </row>
    <row r="7034" spans="1:4" x14ac:dyDescent="0.2">
      <c r="A7034" s="496"/>
      <c r="D7034" s="496"/>
    </row>
    <row r="7035" spans="1:4" x14ac:dyDescent="0.2">
      <c r="A7035" s="496"/>
      <c r="D7035" s="496"/>
    </row>
    <row r="7036" spans="1:4" x14ac:dyDescent="0.2">
      <c r="A7036" s="496"/>
      <c r="D7036" s="496"/>
    </row>
    <row r="7037" spans="1:4" x14ac:dyDescent="0.2">
      <c r="A7037" s="496"/>
      <c r="D7037" s="496"/>
    </row>
    <row r="7038" spans="1:4" x14ac:dyDescent="0.2">
      <c r="A7038" s="496"/>
      <c r="D7038" s="496"/>
    </row>
    <row r="7039" spans="1:4" x14ac:dyDescent="0.2">
      <c r="A7039" s="496"/>
      <c r="D7039" s="496"/>
    </row>
    <row r="7040" spans="1:4" x14ac:dyDescent="0.2">
      <c r="A7040" s="496"/>
      <c r="D7040" s="496"/>
    </row>
    <row r="7041" spans="1:4" x14ac:dyDescent="0.2">
      <c r="A7041" s="496"/>
      <c r="D7041" s="496"/>
    </row>
    <row r="7042" spans="1:4" x14ac:dyDescent="0.2">
      <c r="A7042" s="496"/>
      <c r="D7042" s="496"/>
    </row>
    <row r="7043" spans="1:4" x14ac:dyDescent="0.2">
      <c r="A7043" s="496"/>
      <c r="D7043" s="496"/>
    </row>
    <row r="7044" spans="1:4" x14ac:dyDescent="0.2">
      <c r="A7044" s="496"/>
      <c r="D7044" s="496"/>
    </row>
    <row r="7045" spans="1:4" x14ac:dyDescent="0.2">
      <c r="A7045" s="496"/>
      <c r="D7045" s="496"/>
    </row>
    <row r="7046" spans="1:4" x14ac:dyDescent="0.2">
      <c r="A7046" s="496"/>
      <c r="D7046" s="496"/>
    </row>
    <row r="7047" spans="1:4" x14ac:dyDescent="0.2">
      <c r="A7047" s="496"/>
      <c r="D7047" s="496"/>
    </row>
    <row r="7048" spans="1:4" x14ac:dyDescent="0.2">
      <c r="A7048" s="496"/>
      <c r="D7048" s="496"/>
    </row>
    <row r="7049" spans="1:4" x14ac:dyDescent="0.2">
      <c r="A7049" s="496"/>
      <c r="D7049" s="496"/>
    </row>
    <row r="7050" spans="1:4" x14ac:dyDescent="0.2">
      <c r="A7050" s="496"/>
      <c r="D7050" s="496"/>
    </row>
    <row r="7051" spans="1:4" x14ac:dyDescent="0.2">
      <c r="A7051" s="496"/>
      <c r="D7051" s="496"/>
    </row>
    <row r="7052" spans="1:4" x14ac:dyDescent="0.2">
      <c r="A7052" s="496"/>
      <c r="D7052" s="496"/>
    </row>
    <row r="7053" spans="1:4" x14ac:dyDescent="0.2">
      <c r="A7053" s="496"/>
      <c r="D7053" s="496"/>
    </row>
    <row r="7054" spans="1:4" x14ac:dyDescent="0.2">
      <c r="A7054" s="496"/>
      <c r="D7054" s="496"/>
    </row>
    <row r="7055" spans="1:4" x14ac:dyDescent="0.2">
      <c r="A7055" s="496"/>
      <c r="D7055" s="496"/>
    </row>
    <row r="7056" spans="1:4" x14ac:dyDescent="0.2">
      <c r="A7056" s="496"/>
      <c r="D7056" s="496"/>
    </row>
    <row r="7057" spans="1:4" x14ac:dyDescent="0.2">
      <c r="A7057" s="496"/>
      <c r="D7057" s="496"/>
    </row>
    <row r="7058" spans="1:4" x14ac:dyDescent="0.2">
      <c r="A7058" s="496"/>
      <c r="D7058" s="496"/>
    </row>
    <row r="7059" spans="1:4" x14ac:dyDescent="0.2">
      <c r="A7059" s="496"/>
      <c r="D7059" s="496"/>
    </row>
    <row r="7060" spans="1:4" x14ac:dyDescent="0.2">
      <c r="A7060" s="496"/>
      <c r="D7060" s="496"/>
    </row>
    <row r="7061" spans="1:4" x14ac:dyDescent="0.2">
      <c r="A7061" s="496"/>
      <c r="D7061" s="496"/>
    </row>
    <row r="7062" spans="1:4" x14ac:dyDescent="0.2">
      <c r="A7062" s="496"/>
      <c r="D7062" s="496"/>
    </row>
    <row r="7063" spans="1:4" x14ac:dyDescent="0.2">
      <c r="A7063" s="496"/>
      <c r="D7063" s="496"/>
    </row>
    <row r="7064" spans="1:4" x14ac:dyDescent="0.2">
      <c r="A7064" s="496"/>
      <c r="D7064" s="496"/>
    </row>
    <row r="7065" spans="1:4" x14ac:dyDescent="0.2">
      <c r="A7065" s="496"/>
      <c r="D7065" s="496"/>
    </row>
    <row r="7066" spans="1:4" x14ac:dyDescent="0.2">
      <c r="A7066" s="496"/>
      <c r="D7066" s="496"/>
    </row>
    <row r="7067" spans="1:4" x14ac:dyDescent="0.2">
      <c r="A7067" s="496"/>
      <c r="D7067" s="496"/>
    </row>
    <row r="7068" spans="1:4" x14ac:dyDescent="0.2">
      <c r="A7068" s="496"/>
      <c r="D7068" s="496"/>
    </row>
    <row r="7069" spans="1:4" x14ac:dyDescent="0.2">
      <c r="A7069" s="496"/>
      <c r="D7069" s="496"/>
    </row>
    <row r="7070" spans="1:4" x14ac:dyDescent="0.2">
      <c r="A7070" s="496"/>
      <c r="D7070" s="496"/>
    </row>
    <row r="7071" spans="1:4" x14ac:dyDescent="0.2">
      <c r="A7071" s="496"/>
      <c r="D7071" s="496"/>
    </row>
    <row r="7072" spans="1:4" x14ac:dyDescent="0.2">
      <c r="A7072" s="496"/>
      <c r="D7072" s="496"/>
    </row>
    <row r="7073" spans="1:4" x14ac:dyDescent="0.2">
      <c r="A7073" s="496"/>
      <c r="D7073" s="496"/>
    </row>
    <row r="7074" spans="1:4" x14ac:dyDescent="0.2">
      <c r="A7074" s="496"/>
      <c r="D7074" s="496"/>
    </row>
    <row r="7075" spans="1:4" x14ac:dyDescent="0.2">
      <c r="A7075" s="496"/>
      <c r="D7075" s="496"/>
    </row>
    <row r="7076" spans="1:4" x14ac:dyDescent="0.2">
      <c r="A7076" s="496"/>
      <c r="D7076" s="496"/>
    </row>
    <row r="7077" spans="1:4" x14ac:dyDescent="0.2">
      <c r="A7077" s="496"/>
      <c r="D7077" s="496"/>
    </row>
    <row r="7078" spans="1:4" x14ac:dyDescent="0.2">
      <c r="A7078" s="496"/>
      <c r="D7078" s="496"/>
    </row>
    <row r="7079" spans="1:4" x14ac:dyDescent="0.2">
      <c r="A7079" s="496"/>
      <c r="D7079" s="496"/>
    </row>
    <row r="7080" spans="1:4" x14ac:dyDescent="0.2">
      <c r="A7080" s="496"/>
      <c r="D7080" s="496"/>
    </row>
    <row r="7081" spans="1:4" x14ac:dyDescent="0.2">
      <c r="A7081" s="496"/>
      <c r="D7081" s="496"/>
    </row>
    <row r="7082" spans="1:4" x14ac:dyDescent="0.2">
      <c r="A7082" s="496"/>
      <c r="D7082" s="496"/>
    </row>
    <row r="7083" spans="1:4" x14ac:dyDescent="0.2">
      <c r="A7083" s="496"/>
      <c r="D7083" s="496"/>
    </row>
    <row r="7084" spans="1:4" x14ac:dyDescent="0.2">
      <c r="A7084" s="496"/>
      <c r="D7084" s="496"/>
    </row>
    <row r="7085" spans="1:4" x14ac:dyDescent="0.2">
      <c r="A7085" s="496"/>
      <c r="D7085" s="496"/>
    </row>
    <row r="7086" spans="1:4" x14ac:dyDescent="0.2">
      <c r="A7086" s="496"/>
      <c r="D7086" s="496"/>
    </row>
    <row r="7087" spans="1:4" x14ac:dyDescent="0.2">
      <c r="A7087" s="496"/>
      <c r="D7087" s="496"/>
    </row>
    <row r="7088" spans="1:4" x14ac:dyDescent="0.2">
      <c r="A7088" s="496"/>
      <c r="D7088" s="496"/>
    </row>
    <row r="7089" spans="1:4" x14ac:dyDescent="0.2">
      <c r="A7089" s="496"/>
      <c r="D7089" s="496"/>
    </row>
    <row r="7090" spans="1:4" x14ac:dyDescent="0.2">
      <c r="A7090" s="496"/>
      <c r="D7090" s="496"/>
    </row>
    <row r="7091" spans="1:4" x14ac:dyDescent="0.2">
      <c r="A7091" s="496"/>
      <c r="D7091" s="496"/>
    </row>
    <row r="7092" spans="1:4" x14ac:dyDescent="0.2">
      <c r="A7092" s="496"/>
      <c r="D7092" s="496"/>
    </row>
    <row r="7093" spans="1:4" x14ac:dyDescent="0.2">
      <c r="A7093" s="496"/>
      <c r="D7093" s="496"/>
    </row>
    <row r="7094" spans="1:4" x14ac:dyDescent="0.2">
      <c r="A7094" s="496"/>
      <c r="D7094" s="496"/>
    </row>
    <row r="7095" spans="1:4" x14ac:dyDescent="0.2">
      <c r="A7095" s="496"/>
      <c r="D7095" s="496"/>
    </row>
    <row r="7096" spans="1:4" x14ac:dyDescent="0.2">
      <c r="A7096" s="496"/>
      <c r="D7096" s="496"/>
    </row>
    <row r="7097" spans="1:4" x14ac:dyDescent="0.2">
      <c r="A7097" s="496"/>
      <c r="D7097" s="496"/>
    </row>
    <row r="7098" spans="1:4" x14ac:dyDescent="0.2">
      <c r="A7098" s="496"/>
      <c r="D7098" s="496"/>
    </row>
    <row r="7099" spans="1:4" x14ac:dyDescent="0.2">
      <c r="A7099" s="496"/>
      <c r="D7099" s="496"/>
    </row>
    <row r="7100" spans="1:4" x14ac:dyDescent="0.2">
      <c r="A7100" s="496"/>
      <c r="D7100" s="496"/>
    </row>
    <row r="7101" spans="1:4" x14ac:dyDescent="0.2">
      <c r="A7101" s="496"/>
      <c r="D7101" s="496"/>
    </row>
    <row r="7102" spans="1:4" x14ac:dyDescent="0.2">
      <c r="A7102" s="496"/>
      <c r="D7102" s="496"/>
    </row>
    <row r="7103" spans="1:4" x14ac:dyDescent="0.2">
      <c r="A7103" s="496"/>
      <c r="D7103" s="496"/>
    </row>
    <row r="7104" spans="1:4" x14ac:dyDescent="0.2">
      <c r="A7104" s="496"/>
      <c r="D7104" s="496"/>
    </row>
    <row r="7105" spans="1:4" x14ac:dyDescent="0.2">
      <c r="A7105" s="496"/>
      <c r="D7105" s="496"/>
    </row>
    <row r="7106" spans="1:4" x14ac:dyDescent="0.2">
      <c r="A7106" s="496"/>
      <c r="D7106" s="496"/>
    </row>
    <row r="7107" spans="1:4" x14ac:dyDescent="0.2">
      <c r="A7107" s="496"/>
      <c r="D7107" s="496"/>
    </row>
    <row r="7108" spans="1:4" x14ac:dyDescent="0.2">
      <c r="A7108" s="496"/>
      <c r="D7108" s="496"/>
    </row>
    <row r="7109" spans="1:4" x14ac:dyDescent="0.2">
      <c r="A7109" s="496"/>
      <c r="D7109" s="496"/>
    </row>
    <row r="7110" spans="1:4" x14ac:dyDescent="0.2">
      <c r="A7110" s="496"/>
      <c r="D7110" s="496"/>
    </row>
    <row r="7111" spans="1:4" x14ac:dyDescent="0.2">
      <c r="A7111" s="496"/>
      <c r="D7111" s="496"/>
    </row>
    <row r="7112" spans="1:4" x14ac:dyDescent="0.2">
      <c r="A7112" s="496"/>
      <c r="D7112" s="496"/>
    </row>
    <row r="7113" spans="1:4" x14ac:dyDescent="0.2">
      <c r="A7113" s="496"/>
      <c r="D7113" s="496"/>
    </row>
    <row r="7114" spans="1:4" x14ac:dyDescent="0.2">
      <c r="A7114" s="496"/>
      <c r="D7114" s="496"/>
    </row>
    <row r="7115" spans="1:4" x14ac:dyDescent="0.2">
      <c r="A7115" s="496"/>
      <c r="D7115" s="496"/>
    </row>
    <row r="7116" spans="1:4" x14ac:dyDescent="0.2">
      <c r="A7116" s="496"/>
      <c r="D7116" s="496"/>
    </row>
    <row r="7117" spans="1:4" x14ac:dyDescent="0.2">
      <c r="A7117" s="496"/>
      <c r="D7117" s="496"/>
    </row>
    <row r="7118" spans="1:4" x14ac:dyDescent="0.2">
      <c r="A7118" s="496"/>
      <c r="D7118" s="496"/>
    </row>
    <row r="7119" spans="1:4" x14ac:dyDescent="0.2">
      <c r="A7119" s="496"/>
      <c r="D7119" s="496"/>
    </row>
    <row r="7120" spans="1:4" x14ac:dyDescent="0.2">
      <c r="A7120" s="496"/>
      <c r="D7120" s="496"/>
    </row>
    <row r="7121" spans="1:4" x14ac:dyDescent="0.2">
      <c r="A7121" s="496"/>
      <c r="D7121" s="496"/>
    </row>
    <row r="7122" spans="1:4" x14ac:dyDescent="0.2">
      <c r="A7122" s="496"/>
      <c r="D7122" s="496"/>
    </row>
    <row r="7123" spans="1:4" x14ac:dyDescent="0.2">
      <c r="A7123" s="496"/>
      <c r="D7123" s="496"/>
    </row>
    <row r="7124" spans="1:4" x14ac:dyDescent="0.2">
      <c r="A7124" s="496"/>
      <c r="D7124" s="496"/>
    </row>
    <row r="7125" spans="1:4" x14ac:dyDescent="0.2">
      <c r="A7125" s="496"/>
      <c r="D7125" s="496"/>
    </row>
    <row r="7126" spans="1:4" x14ac:dyDescent="0.2">
      <c r="A7126" s="496"/>
      <c r="D7126" s="496"/>
    </row>
    <row r="7127" spans="1:4" x14ac:dyDescent="0.2">
      <c r="A7127" s="496"/>
      <c r="D7127" s="496"/>
    </row>
    <row r="7128" spans="1:4" x14ac:dyDescent="0.2">
      <c r="A7128" s="496"/>
      <c r="D7128" s="496"/>
    </row>
    <row r="7129" spans="1:4" x14ac:dyDescent="0.2">
      <c r="A7129" s="496"/>
      <c r="D7129" s="496"/>
    </row>
    <row r="7130" spans="1:4" x14ac:dyDescent="0.2">
      <c r="A7130" s="496"/>
      <c r="D7130" s="496"/>
    </row>
    <row r="7131" spans="1:4" x14ac:dyDescent="0.2">
      <c r="A7131" s="496"/>
      <c r="D7131" s="496"/>
    </row>
    <row r="7132" spans="1:4" x14ac:dyDescent="0.2">
      <c r="A7132" s="496"/>
      <c r="D7132" s="496"/>
    </row>
    <row r="7133" spans="1:4" x14ac:dyDescent="0.2">
      <c r="A7133" s="496"/>
      <c r="D7133" s="496"/>
    </row>
    <row r="7134" spans="1:4" x14ac:dyDescent="0.2">
      <c r="A7134" s="496"/>
      <c r="D7134" s="496"/>
    </row>
    <row r="7135" spans="1:4" x14ac:dyDescent="0.2">
      <c r="A7135" s="496"/>
      <c r="D7135" s="496"/>
    </row>
    <row r="7136" spans="1:4" x14ac:dyDescent="0.2">
      <c r="A7136" s="496"/>
      <c r="D7136" s="496"/>
    </row>
    <row r="7137" spans="1:4" x14ac:dyDescent="0.2">
      <c r="A7137" s="496"/>
      <c r="D7137" s="496"/>
    </row>
    <row r="7138" spans="1:4" x14ac:dyDescent="0.2">
      <c r="A7138" s="496"/>
      <c r="D7138" s="496"/>
    </row>
    <row r="7139" spans="1:4" x14ac:dyDescent="0.2">
      <c r="A7139" s="496"/>
      <c r="D7139" s="496"/>
    </row>
    <row r="7140" spans="1:4" x14ac:dyDescent="0.2">
      <c r="A7140" s="496"/>
      <c r="D7140" s="496"/>
    </row>
    <row r="7141" spans="1:4" x14ac:dyDescent="0.2">
      <c r="A7141" s="496"/>
      <c r="D7141" s="496"/>
    </row>
    <row r="7142" spans="1:4" x14ac:dyDescent="0.2">
      <c r="A7142" s="496"/>
      <c r="D7142" s="496"/>
    </row>
    <row r="7143" spans="1:4" x14ac:dyDescent="0.2">
      <c r="A7143" s="496"/>
      <c r="D7143" s="496"/>
    </row>
    <row r="7144" spans="1:4" x14ac:dyDescent="0.2">
      <c r="A7144" s="496"/>
      <c r="D7144" s="496"/>
    </row>
    <row r="7145" spans="1:4" x14ac:dyDescent="0.2">
      <c r="A7145" s="496"/>
      <c r="D7145" s="496"/>
    </row>
    <row r="7146" spans="1:4" x14ac:dyDescent="0.2">
      <c r="A7146" s="496"/>
      <c r="D7146" s="496"/>
    </row>
    <row r="7147" spans="1:4" x14ac:dyDescent="0.2">
      <c r="A7147" s="496"/>
      <c r="D7147" s="496"/>
    </row>
    <row r="7148" spans="1:4" x14ac:dyDescent="0.2">
      <c r="A7148" s="496"/>
      <c r="D7148" s="496"/>
    </row>
    <row r="7149" spans="1:4" x14ac:dyDescent="0.2">
      <c r="A7149" s="496"/>
      <c r="D7149" s="496"/>
    </row>
    <row r="7150" spans="1:4" x14ac:dyDescent="0.2">
      <c r="A7150" s="496"/>
      <c r="D7150" s="496"/>
    </row>
    <row r="7151" spans="1:4" x14ac:dyDescent="0.2">
      <c r="A7151" s="496"/>
      <c r="D7151" s="496"/>
    </row>
    <row r="7152" spans="1:4" x14ac:dyDescent="0.2">
      <c r="A7152" s="496"/>
      <c r="D7152" s="496"/>
    </row>
    <row r="7153" spans="1:4" x14ac:dyDescent="0.2">
      <c r="A7153" s="496"/>
      <c r="D7153" s="496"/>
    </row>
    <row r="7154" spans="1:4" x14ac:dyDescent="0.2">
      <c r="A7154" s="496"/>
      <c r="D7154" s="496"/>
    </row>
    <row r="7155" spans="1:4" x14ac:dyDescent="0.2">
      <c r="A7155" s="496"/>
      <c r="D7155" s="496"/>
    </row>
    <row r="7156" spans="1:4" x14ac:dyDescent="0.2">
      <c r="A7156" s="496"/>
      <c r="D7156" s="496"/>
    </row>
    <row r="7157" spans="1:4" x14ac:dyDescent="0.2">
      <c r="A7157" s="496"/>
      <c r="D7157" s="496"/>
    </row>
    <row r="7158" spans="1:4" x14ac:dyDescent="0.2">
      <c r="A7158" s="496"/>
      <c r="D7158" s="496"/>
    </row>
    <row r="7159" spans="1:4" x14ac:dyDescent="0.2">
      <c r="A7159" s="496"/>
      <c r="D7159" s="496"/>
    </row>
    <row r="7160" spans="1:4" x14ac:dyDescent="0.2">
      <c r="A7160" s="496"/>
      <c r="D7160" s="496"/>
    </row>
    <row r="7161" spans="1:4" x14ac:dyDescent="0.2">
      <c r="A7161" s="496"/>
      <c r="D7161" s="496"/>
    </row>
    <row r="7162" spans="1:4" x14ac:dyDescent="0.2">
      <c r="A7162" s="496"/>
      <c r="D7162" s="496"/>
    </row>
    <row r="7163" spans="1:4" x14ac:dyDescent="0.2">
      <c r="A7163" s="496"/>
      <c r="D7163" s="496"/>
    </row>
    <row r="7164" spans="1:4" x14ac:dyDescent="0.2">
      <c r="A7164" s="496"/>
      <c r="D7164" s="496"/>
    </row>
    <row r="7165" spans="1:4" x14ac:dyDescent="0.2">
      <c r="A7165" s="496"/>
      <c r="D7165" s="496"/>
    </row>
    <row r="7166" spans="1:4" x14ac:dyDescent="0.2">
      <c r="A7166" s="496"/>
      <c r="D7166" s="496"/>
    </row>
    <row r="7167" spans="1:4" x14ac:dyDescent="0.2">
      <c r="A7167" s="496"/>
      <c r="D7167" s="496"/>
    </row>
    <row r="7168" spans="1:4" x14ac:dyDescent="0.2">
      <c r="A7168" s="496"/>
      <c r="D7168" s="496"/>
    </row>
    <row r="7169" spans="1:4" x14ac:dyDescent="0.2">
      <c r="A7169" s="496"/>
      <c r="D7169" s="496"/>
    </row>
    <row r="7170" spans="1:4" x14ac:dyDescent="0.2">
      <c r="A7170" s="496"/>
      <c r="D7170" s="496"/>
    </row>
    <row r="7171" spans="1:4" x14ac:dyDescent="0.2">
      <c r="A7171" s="496"/>
      <c r="D7171" s="496"/>
    </row>
    <row r="7172" spans="1:4" x14ac:dyDescent="0.2">
      <c r="A7172" s="496"/>
      <c r="D7172" s="496"/>
    </row>
    <row r="7173" spans="1:4" x14ac:dyDescent="0.2">
      <c r="A7173" s="496"/>
      <c r="D7173" s="496"/>
    </row>
    <row r="7174" spans="1:4" x14ac:dyDescent="0.2">
      <c r="A7174" s="496"/>
      <c r="D7174" s="496"/>
    </row>
    <row r="7175" spans="1:4" x14ac:dyDescent="0.2">
      <c r="A7175" s="496"/>
      <c r="D7175" s="496"/>
    </row>
    <row r="7176" spans="1:4" x14ac:dyDescent="0.2">
      <c r="A7176" s="496"/>
      <c r="D7176" s="496"/>
    </row>
    <row r="7177" spans="1:4" x14ac:dyDescent="0.2">
      <c r="A7177" s="496"/>
      <c r="D7177" s="496"/>
    </row>
    <row r="7178" spans="1:4" x14ac:dyDescent="0.2">
      <c r="A7178" s="496"/>
      <c r="D7178" s="496"/>
    </row>
    <row r="7179" spans="1:4" x14ac:dyDescent="0.2">
      <c r="A7179" s="496"/>
      <c r="D7179" s="496"/>
    </row>
    <row r="7180" spans="1:4" x14ac:dyDescent="0.2">
      <c r="A7180" s="496"/>
      <c r="D7180" s="496"/>
    </row>
    <row r="7181" spans="1:4" x14ac:dyDescent="0.2">
      <c r="A7181" s="496"/>
      <c r="D7181" s="496"/>
    </row>
    <row r="7182" spans="1:4" x14ac:dyDescent="0.2">
      <c r="A7182" s="496"/>
      <c r="D7182" s="496"/>
    </row>
    <row r="7183" spans="1:4" x14ac:dyDescent="0.2">
      <c r="A7183" s="496"/>
      <c r="D7183" s="496"/>
    </row>
    <row r="7184" spans="1:4" x14ac:dyDescent="0.2">
      <c r="A7184" s="496"/>
      <c r="D7184" s="496"/>
    </row>
    <row r="7185" spans="1:4" x14ac:dyDescent="0.2">
      <c r="A7185" s="496"/>
      <c r="D7185" s="496"/>
    </row>
    <row r="7186" spans="1:4" x14ac:dyDescent="0.2">
      <c r="A7186" s="496"/>
      <c r="D7186" s="496"/>
    </row>
    <row r="7187" spans="1:4" x14ac:dyDescent="0.2">
      <c r="A7187" s="496"/>
      <c r="D7187" s="496"/>
    </row>
    <row r="7188" spans="1:4" x14ac:dyDescent="0.2">
      <c r="A7188" s="496"/>
      <c r="D7188" s="496"/>
    </row>
    <row r="7189" spans="1:4" x14ac:dyDescent="0.2">
      <c r="A7189" s="496"/>
      <c r="D7189" s="496"/>
    </row>
    <row r="7190" spans="1:4" x14ac:dyDescent="0.2">
      <c r="A7190" s="496"/>
      <c r="D7190" s="496"/>
    </row>
    <row r="7191" spans="1:4" x14ac:dyDescent="0.2">
      <c r="A7191" s="496"/>
      <c r="D7191" s="496"/>
    </row>
    <row r="7192" spans="1:4" x14ac:dyDescent="0.2">
      <c r="A7192" s="496"/>
      <c r="D7192" s="496"/>
    </row>
    <row r="7193" spans="1:4" x14ac:dyDescent="0.2">
      <c r="A7193" s="496"/>
      <c r="D7193" s="496"/>
    </row>
    <row r="7194" spans="1:4" x14ac:dyDescent="0.2">
      <c r="A7194" s="496"/>
      <c r="D7194" s="496"/>
    </row>
    <row r="7195" spans="1:4" x14ac:dyDescent="0.2">
      <c r="A7195" s="496"/>
      <c r="D7195" s="496"/>
    </row>
    <row r="7196" spans="1:4" x14ac:dyDescent="0.2">
      <c r="A7196" s="496"/>
      <c r="D7196" s="496"/>
    </row>
    <row r="7197" spans="1:4" x14ac:dyDescent="0.2">
      <c r="A7197" s="496"/>
      <c r="D7197" s="496"/>
    </row>
    <row r="7198" spans="1:4" x14ac:dyDescent="0.2">
      <c r="A7198" s="496"/>
      <c r="D7198" s="496"/>
    </row>
    <row r="7199" spans="1:4" x14ac:dyDescent="0.2">
      <c r="A7199" s="496"/>
      <c r="D7199" s="496"/>
    </row>
    <row r="7200" spans="1:4" x14ac:dyDescent="0.2">
      <c r="A7200" s="496"/>
      <c r="D7200" s="496"/>
    </row>
    <row r="7201" spans="1:4" x14ac:dyDescent="0.2">
      <c r="A7201" s="496"/>
      <c r="D7201" s="496"/>
    </row>
    <row r="7202" spans="1:4" x14ac:dyDescent="0.2">
      <c r="A7202" s="496"/>
      <c r="D7202" s="496"/>
    </row>
    <row r="7203" spans="1:4" x14ac:dyDescent="0.2">
      <c r="A7203" s="496"/>
      <c r="D7203" s="496"/>
    </row>
    <row r="7204" spans="1:4" x14ac:dyDescent="0.2">
      <c r="A7204" s="496"/>
      <c r="D7204" s="496"/>
    </row>
    <row r="7205" spans="1:4" x14ac:dyDescent="0.2">
      <c r="A7205" s="496"/>
      <c r="D7205" s="496"/>
    </row>
    <row r="7206" spans="1:4" x14ac:dyDescent="0.2">
      <c r="A7206" s="496"/>
      <c r="D7206" s="496"/>
    </row>
    <row r="7207" spans="1:4" x14ac:dyDescent="0.2">
      <c r="A7207" s="496"/>
      <c r="D7207" s="496"/>
    </row>
    <row r="7208" spans="1:4" x14ac:dyDescent="0.2">
      <c r="A7208" s="496"/>
      <c r="D7208" s="496"/>
    </row>
    <row r="7209" spans="1:4" x14ac:dyDescent="0.2">
      <c r="A7209" s="496"/>
      <c r="D7209" s="496"/>
    </row>
    <row r="7210" spans="1:4" x14ac:dyDescent="0.2">
      <c r="A7210" s="496"/>
      <c r="D7210" s="496"/>
    </row>
    <row r="7211" spans="1:4" x14ac:dyDescent="0.2">
      <c r="A7211" s="496"/>
      <c r="D7211" s="496"/>
    </row>
    <row r="7212" spans="1:4" x14ac:dyDescent="0.2">
      <c r="A7212" s="496"/>
      <c r="D7212" s="496"/>
    </row>
    <row r="7213" spans="1:4" x14ac:dyDescent="0.2">
      <c r="A7213" s="496"/>
      <c r="D7213" s="496"/>
    </row>
    <row r="7214" spans="1:4" x14ac:dyDescent="0.2">
      <c r="A7214" s="496"/>
      <c r="D7214" s="496"/>
    </row>
    <row r="7215" spans="1:4" x14ac:dyDescent="0.2">
      <c r="A7215" s="496"/>
      <c r="D7215" s="496"/>
    </row>
    <row r="7216" spans="1:4" x14ac:dyDescent="0.2">
      <c r="A7216" s="496"/>
      <c r="D7216" s="496"/>
    </row>
    <row r="7217" spans="1:4" x14ac:dyDescent="0.2">
      <c r="A7217" s="496"/>
      <c r="D7217" s="496"/>
    </row>
    <row r="7218" spans="1:4" x14ac:dyDescent="0.2">
      <c r="A7218" s="496"/>
      <c r="D7218" s="496"/>
    </row>
    <row r="7219" spans="1:4" x14ac:dyDescent="0.2">
      <c r="A7219" s="496"/>
      <c r="D7219" s="496"/>
    </row>
    <row r="7220" spans="1:4" x14ac:dyDescent="0.2">
      <c r="A7220" s="496"/>
      <c r="D7220" s="496"/>
    </row>
    <row r="7221" spans="1:4" x14ac:dyDescent="0.2">
      <c r="A7221" s="496"/>
      <c r="D7221" s="496"/>
    </row>
    <row r="7222" spans="1:4" x14ac:dyDescent="0.2">
      <c r="A7222" s="496"/>
      <c r="D7222" s="496"/>
    </row>
    <row r="7223" spans="1:4" x14ac:dyDescent="0.2">
      <c r="A7223" s="496"/>
      <c r="D7223" s="496"/>
    </row>
    <row r="7224" spans="1:4" x14ac:dyDescent="0.2">
      <c r="A7224" s="496"/>
      <c r="D7224" s="496"/>
    </row>
    <row r="7225" spans="1:4" x14ac:dyDescent="0.2">
      <c r="A7225" s="496"/>
      <c r="D7225" s="496"/>
    </row>
    <row r="7226" spans="1:4" x14ac:dyDescent="0.2">
      <c r="A7226" s="496"/>
      <c r="D7226" s="496"/>
    </row>
    <row r="7227" spans="1:4" x14ac:dyDescent="0.2">
      <c r="A7227" s="496"/>
      <c r="D7227" s="496"/>
    </row>
    <row r="7228" spans="1:4" x14ac:dyDescent="0.2">
      <c r="A7228" s="496"/>
      <c r="D7228" s="496"/>
    </row>
    <row r="7229" spans="1:4" x14ac:dyDescent="0.2">
      <c r="A7229" s="496"/>
      <c r="D7229" s="496"/>
    </row>
    <row r="7230" spans="1:4" x14ac:dyDescent="0.2">
      <c r="A7230" s="496"/>
      <c r="D7230" s="496"/>
    </row>
    <row r="7231" spans="1:4" x14ac:dyDescent="0.2">
      <c r="A7231" s="496"/>
      <c r="D7231" s="496"/>
    </row>
    <row r="7232" spans="1:4" x14ac:dyDescent="0.2">
      <c r="A7232" s="496"/>
      <c r="D7232" s="496"/>
    </row>
    <row r="7233" spans="1:4" x14ac:dyDescent="0.2">
      <c r="A7233" s="496"/>
      <c r="D7233" s="496"/>
    </row>
    <row r="7234" spans="1:4" x14ac:dyDescent="0.2">
      <c r="A7234" s="496"/>
      <c r="D7234" s="496"/>
    </row>
    <row r="7235" spans="1:4" x14ac:dyDescent="0.2">
      <c r="A7235" s="496"/>
      <c r="D7235" s="496"/>
    </row>
    <row r="7236" spans="1:4" x14ac:dyDescent="0.2">
      <c r="A7236" s="496"/>
      <c r="D7236" s="496"/>
    </row>
    <row r="7237" spans="1:4" x14ac:dyDescent="0.2">
      <c r="A7237" s="496"/>
      <c r="D7237" s="496"/>
    </row>
    <row r="7238" spans="1:4" x14ac:dyDescent="0.2">
      <c r="A7238" s="496"/>
      <c r="D7238" s="496"/>
    </row>
    <row r="7239" spans="1:4" x14ac:dyDescent="0.2">
      <c r="A7239" s="496"/>
      <c r="D7239" s="496"/>
    </row>
    <row r="7240" spans="1:4" x14ac:dyDescent="0.2">
      <c r="A7240" s="496"/>
      <c r="D7240" s="496"/>
    </row>
    <row r="7241" spans="1:4" x14ac:dyDescent="0.2">
      <c r="A7241" s="496"/>
      <c r="D7241" s="496"/>
    </row>
    <row r="7242" spans="1:4" x14ac:dyDescent="0.2">
      <c r="A7242" s="496"/>
      <c r="D7242" s="496"/>
    </row>
    <row r="7243" spans="1:4" x14ac:dyDescent="0.2">
      <c r="A7243" s="496"/>
      <c r="D7243" s="496"/>
    </row>
    <row r="7244" spans="1:4" x14ac:dyDescent="0.2">
      <c r="A7244" s="496"/>
      <c r="D7244" s="496"/>
    </row>
    <row r="7245" spans="1:4" x14ac:dyDescent="0.2">
      <c r="A7245" s="496"/>
      <c r="D7245" s="496"/>
    </row>
    <row r="7246" spans="1:4" x14ac:dyDescent="0.2">
      <c r="A7246" s="496"/>
      <c r="D7246" s="496"/>
    </row>
    <row r="7247" spans="1:4" x14ac:dyDescent="0.2">
      <c r="A7247" s="496"/>
      <c r="D7247" s="496"/>
    </row>
    <row r="7248" spans="1:4" x14ac:dyDescent="0.2">
      <c r="A7248" s="496"/>
      <c r="D7248" s="496"/>
    </row>
    <row r="7249" spans="1:4" x14ac:dyDescent="0.2">
      <c r="A7249" s="496"/>
      <c r="D7249" s="496"/>
    </row>
    <row r="7250" spans="1:4" x14ac:dyDescent="0.2">
      <c r="A7250" s="496"/>
      <c r="D7250" s="496"/>
    </row>
    <row r="7251" spans="1:4" x14ac:dyDescent="0.2">
      <c r="A7251" s="496"/>
      <c r="D7251" s="496"/>
    </row>
    <row r="7252" spans="1:4" x14ac:dyDescent="0.2">
      <c r="A7252" s="496"/>
      <c r="D7252" s="496"/>
    </row>
    <row r="7253" spans="1:4" x14ac:dyDescent="0.2">
      <c r="A7253" s="496"/>
      <c r="D7253" s="496"/>
    </row>
    <row r="7254" spans="1:4" x14ac:dyDescent="0.2">
      <c r="A7254" s="496"/>
      <c r="D7254" s="496"/>
    </row>
    <row r="7255" spans="1:4" x14ac:dyDescent="0.2">
      <c r="A7255" s="496"/>
      <c r="D7255" s="496"/>
    </row>
    <row r="7256" spans="1:4" x14ac:dyDescent="0.2">
      <c r="A7256" s="496"/>
      <c r="D7256" s="496"/>
    </row>
    <row r="7257" spans="1:4" x14ac:dyDescent="0.2">
      <c r="A7257" s="496"/>
      <c r="D7257" s="496"/>
    </row>
    <row r="7258" spans="1:4" x14ac:dyDescent="0.2">
      <c r="A7258" s="496"/>
      <c r="D7258" s="496"/>
    </row>
    <row r="7259" spans="1:4" x14ac:dyDescent="0.2">
      <c r="A7259" s="496"/>
      <c r="D7259" s="496"/>
    </row>
    <row r="7260" spans="1:4" x14ac:dyDescent="0.2">
      <c r="A7260" s="496"/>
      <c r="D7260" s="496"/>
    </row>
    <row r="7261" spans="1:4" x14ac:dyDescent="0.2">
      <c r="A7261" s="496"/>
      <c r="D7261" s="496"/>
    </row>
    <row r="7262" spans="1:4" x14ac:dyDescent="0.2">
      <c r="A7262" s="496"/>
      <c r="D7262" s="496"/>
    </row>
    <row r="7263" spans="1:4" x14ac:dyDescent="0.2">
      <c r="A7263" s="496"/>
      <c r="D7263" s="496"/>
    </row>
    <row r="7264" spans="1:4" x14ac:dyDescent="0.2">
      <c r="A7264" s="496"/>
      <c r="D7264" s="496"/>
    </row>
    <row r="7265" spans="1:4" x14ac:dyDescent="0.2">
      <c r="A7265" s="496"/>
      <c r="D7265" s="496"/>
    </row>
    <row r="7266" spans="1:4" x14ac:dyDescent="0.2">
      <c r="A7266" s="496"/>
      <c r="D7266" s="496"/>
    </row>
    <row r="7267" spans="1:4" x14ac:dyDescent="0.2">
      <c r="A7267" s="496"/>
      <c r="D7267" s="496"/>
    </row>
    <row r="7268" spans="1:4" x14ac:dyDescent="0.2">
      <c r="A7268" s="496"/>
      <c r="D7268" s="496"/>
    </row>
    <row r="7269" spans="1:4" x14ac:dyDescent="0.2">
      <c r="A7269" s="496"/>
      <c r="D7269" s="496"/>
    </row>
    <row r="7270" spans="1:4" x14ac:dyDescent="0.2">
      <c r="A7270" s="496"/>
      <c r="D7270" s="496"/>
    </row>
    <row r="7271" spans="1:4" x14ac:dyDescent="0.2">
      <c r="A7271" s="496"/>
      <c r="D7271" s="496"/>
    </row>
    <row r="7272" spans="1:4" x14ac:dyDescent="0.2">
      <c r="A7272" s="496"/>
      <c r="D7272" s="496"/>
    </row>
    <row r="7273" spans="1:4" x14ac:dyDescent="0.2">
      <c r="A7273" s="496"/>
      <c r="D7273" s="496"/>
    </row>
    <row r="7274" spans="1:4" x14ac:dyDescent="0.2">
      <c r="A7274" s="496"/>
      <c r="D7274" s="496"/>
    </row>
    <row r="7275" spans="1:4" x14ac:dyDescent="0.2">
      <c r="A7275" s="496"/>
      <c r="D7275" s="496"/>
    </row>
    <row r="7276" spans="1:4" x14ac:dyDescent="0.2">
      <c r="A7276" s="496"/>
      <c r="D7276" s="496"/>
    </row>
    <row r="7277" spans="1:4" x14ac:dyDescent="0.2">
      <c r="A7277" s="496"/>
      <c r="D7277" s="496"/>
    </row>
    <row r="7278" spans="1:4" x14ac:dyDescent="0.2">
      <c r="A7278" s="496"/>
      <c r="D7278" s="496"/>
    </row>
    <row r="7279" spans="1:4" x14ac:dyDescent="0.2">
      <c r="A7279" s="496"/>
      <c r="D7279" s="496"/>
    </row>
    <row r="7280" spans="1:4" x14ac:dyDescent="0.2">
      <c r="A7280" s="496"/>
      <c r="D7280" s="496"/>
    </row>
    <row r="7281" spans="1:4" x14ac:dyDescent="0.2">
      <c r="A7281" s="496"/>
      <c r="D7281" s="496"/>
    </row>
    <row r="7282" spans="1:4" x14ac:dyDescent="0.2">
      <c r="A7282" s="496"/>
      <c r="D7282" s="496"/>
    </row>
    <row r="7283" spans="1:4" x14ac:dyDescent="0.2">
      <c r="A7283" s="496"/>
      <c r="D7283" s="496"/>
    </row>
    <row r="7284" spans="1:4" x14ac:dyDescent="0.2">
      <c r="A7284" s="496"/>
      <c r="D7284" s="496"/>
    </row>
    <row r="7285" spans="1:4" x14ac:dyDescent="0.2">
      <c r="A7285" s="496"/>
      <c r="D7285" s="496"/>
    </row>
    <row r="7286" spans="1:4" x14ac:dyDescent="0.2">
      <c r="A7286" s="496"/>
      <c r="D7286" s="496"/>
    </row>
    <row r="7287" spans="1:4" x14ac:dyDescent="0.2">
      <c r="A7287" s="496"/>
      <c r="D7287" s="496"/>
    </row>
    <row r="7288" spans="1:4" x14ac:dyDescent="0.2">
      <c r="A7288" s="496"/>
      <c r="D7288" s="496"/>
    </row>
    <row r="7289" spans="1:4" x14ac:dyDescent="0.2">
      <c r="A7289" s="496"/>
      <c r="D7289" s="496"/>
    </row>
    <row r="7290" spans="1:4" x14ac:dyDescent="0.2">
      <c r="A7290" s="496"/>
      <c r="D7290" s="496"/>
    </row>
    <row r="7291" spans="1:4" x14ac:dyDescent="0.2">
      <c r="A7291" s="496"/>
      <c r="D7291" s="496"/>
    </row>
    <row r="7292" spans="1:4" x14ac:dyDescent="0.2">
      <c r="A7292" s="496"/>
      <c r="D7292" s="496"/>
    </row>
    <row r="7293" spans="1:4" x14ac:dyDescent="0.2">
      <c r="A7293" s="496"/>
      <c r="D7293" s="496"/>
    </row>
    <row r="7294" spans="1:4" x14ac:dyDescent="0.2">
      <c r="A7294" s="496"/>
      <c r="D7294" s="496"/>
    </row>
    <row r="7295" spans="1:4" x14ac:dyDescent="0.2">
      <c r="A7295" s="496"/>
      <c r="D7295" s="496"/>
    </row>
    <row r="7296" spans="1:4" x14ac:dyDescent="0.2">
      <c r="A7296" s="496"/>
      <c r="D7296" s="496"/>
    </row>
    <row r="7297" spans="1:4" x14ac:dyDescent="0.2">
      <c r="A7297" s="496"/>
      <c r="D7297" s="496"/>
    </row>
    <row r="7298" spans="1:4" x14ac:dyDescent="0.2">
      <c r="A7298" s="496"/>
      <c r="D7298" s="496"/>
    </row>
    <row r="7299" spans="1:4" x14ac:dyDescent="0.2">
      <c r="A7299" s="496"/>
      <c r="D7299" s="496"/>
    </row>
    <row r="7300" spans="1:4" x14ac:dyDescent="0.2">
      <c r="A7300" s="496"/>
      <c r="D7300" s="496"/>
    </row>
    <row r="7301" spans="1:4" x14ac:dyDescent="0.2">
      <c r="A7301" s="496"/>
      <c r="D7301" s="496"/>
    </row>
    <row r="7302" spans="1:4" x14ac:dyDescent="0.2">
      <c r="A7302" s="496"/>
      <c r="D7302" s="496"/>
    </row>
    <row r="7303" spans="1:4" x14ac:dyDescent="0.2">
      <c r="A7303" s="496"/>
      <c r="D7303" s="496"/>
    </row>
    <row r="7304" spans="1:4" x14ac:dyDescent="0.2">
      <c r="A7304" s="496"/>
      <c r="D7304" s="496"/>
    </row>
    <row r="7305" spans="1:4" x14ac:dyDescent="0.2">
      <c r="A7305" s="496"/>
      <c r="D7305" s="496"/>
    </row>
    <row r="7306" spans="1:4" x14ac:dyDescent="0.2">
      <c r="A7306" s="496"/>
      <c r="D7306" s="496"/>
    </row>
    <row r="7307" spans="1:4" x14ac:dyDescent="0.2">
      <c r="A7307" s="496"/>
      <c r="D7307" s="496"/>
    </row>
    <row r="7308" spans="1:4" x14ac:dyDescent="0.2">
      <c r="A7308" s="496"/>
      <c r="D7308" s="496"/>
    </row>
    <row r="7309" spans="1:4" x14ac:dyDescent="0.2">
      <c r="A7309" s="496"/>
      <c r="D7309" s="496"/>
    </row>
    <row r="7310" spans="1:4" x14ac:dyDescent="0.2">
      <c r="A7310" s="496"/>
      <c r="D7310" s="496"/>
    </row>
    <row r="7311" spans="1:4" x14ac:dyDescent="0.2">
      <c r="A7311" s="496"/>
      <c r="D7311" s="496"/>
    </row>
    <row r="7312" spans="1:4" x14ac:dyDescent="0.2">
      <c r="A7312" s="496"/>
      <c r="D7312" s="496"/>
    </row>
    <row r="7313" spans="1:4" x14ac:dyDescent="0.2">
      <c r="A7313" s="496"/>
      <c r="D7313" s="496"/>
    </row>
    <row r="7314" spans="1:4" x14ac:dyDescent="0.2">
      <c r="A7314" s="496"/>
      <c r="D7314" s="496"/>
    </row>
    <row r="7315" spans="1:4" x14ac:dyDescent="0.2">
      <c r="A7315" s="496"/>
      <c r="D7315" s="496"/>
    </row>
    <row r="7316" spans="1:4" x14ac:dyDescent="0.2">
      <c r="A7316" s="496"/>
      <c r="D7316" s="496"/>
    </row>
    <row r="7317" spans="1:4" x14ac:dyDescent="0.2">
      <c r="A7317" s="496"/>
      <c r="D7317" s="496"/>
    </row>
    <row r="7318" spans="1:4" x14ac:dyDescent="0.2">
      <c r="A7318" s="496"/>
      <c r="D7318" s="496"/>
    </row>
    <row r="7319" spans="1:4" x14ac:dyDescent="0.2">
      <c r="A7319" s="496"/>
      <c r="D7319" s="496"/>
    </row>
    <row r="7320" spans="1:4" x14ac:dyDescent="0.2">
      <c r="A7320" s="496"/>
      <c r="D7320" s="496"/>
    </row>
    <row r="7321" spans="1:4" x14ac:dyDescent="0.2">
      <c r="A7321" s="496"/>
      <c r="D7321" s="496"/>
    </row>
    <row r="7322" spans="1:4" x14ac:dyDescent="0.2">
      <c r="A7322" s="496"/>
      <c r="D7322" s="496"/>
    </row>
    <row r="7323" spans="1:4" x14ac:dyDescent="0.2">
      <c r="A7323" s="496"/>
      <c r="D7323" s="496"/>
    </row>
    <row r="7324" spans="1:4" x14ac:dyDescent="0.2">
      <c r="A7324" s="496"/>
      <c r="D7324" s="496"/>
    </row>
    <row r="7325" spans="1:4" x14ac:dyDescent="0.2">
      <c r="A7325" s="496"/>
      <c r="D7325" s="496"/>
    </row>
    <row r="7326" spans="1:4" x14ac:dyDescent="0.2">
      <c r="A7326" s="496"/>
      <c r="D7326" s="496"/>
    </row>
    <row r="7327" spans="1:4" x14ac:dyDescent="0.2">
      <c r="A7327" s="496"/>
      <c r="D7327" s="496"/>
    </row>
    <row r="7328" spans="1:4" x14ac:dyDescent="0.2">
      <c r="A7328" s="496"/>
      <c r="D7328" s="496"/>
    </row>
    <row r="7329" spans="1:4" x14ac:dyDescent="0.2">
      <c r="A7329" s="496"/>
      <c r="D7329" s="496"/>
    </row>
    <row r="7330" spans="1:4" x14ac:dyDescent="0.2">
      <c r="A7330" s="496"/>
      <c r="D7330" s="496"/>
    </row>
    <row r="7331" spans="1:4" x14ac:dyDescent="0.2">
      <c r="A7331" s="496"/>
      <c r="D7331" s="496"/>
    </row>
    <row r="7332" spans="1:4" x14ac:dyDescent="0.2">
      <c r="A7332" s="496"/>
      <c r="D7332" s="496"/>
    </row>
    <row r="7333" spans="1:4" x14ac:dyDescent="0.2">
      <c r="A7333" s="496"/>
      <c r="D7333" s="496"/>
    </row>
    <row r="7334" spans="1:4" x14ac:dyDescent="0.2">
      <c r="A7334" s="496"/>
      <c r="D7334" s="496"/>
    </row>
    <row r="7335" spans="1:4" x14ac:dyDescent="0.2">
      <c r="A7335" s="496"/>
      <c r="D7335" s="496"/>
    </row>
    <row r="7336" spans="1:4" x14ac:dyDescent="0.2">
      <c r="A7336" s="496"/>
      <c r="D7336" s="496"/>
    </row>
    <row r="7337" spans="1:4" x14ac:dyDescent="0.2">
      <c r="A7337" s="496"/>
      <c r="D7337" s="496"/>
    </row>
    <row r="7338" spans="1:4" x14ac:dyDescent="0.2">
      <c r="A7338" s="496"/>
      <c r="D7338" s="496"/>
    </row>
    <row r="7339" spans="1:4" x14ac:dyDescent="0.2">
      <c r="A7339" s="496"/>
      <c r="D7339" s="496"/>
    </row>
    <row r="7340" spans="1:4" x14ac:dyDescent="0.2">
      <c r="A7340" s="496"/>
      <c r="D7340" s="496"/>
    </row>
    <row r="7341" spans="1:4" x14ac:dyDescent="0.2">
      <c r="A7341" s="496"/>
      <c r="D7341" s="496"/>
    </row>
    <row r="7342" spans="1:4" x14ac:dyDescent="0.2">
      <c r="A7342" s="496"/>
      <c r="D7342" s="496"/>
    </row>
    <row r="7343" spans="1:4" x14ac:dyDescent="0.2">
      <c r="A7343" s="496"/>
      <c r="D7343" s="496"/>
    </row>
    <row r="7344" spans="1:4" x14ac:dyDescent="0.2">
      <c r="A7344" s="496"/>
      <c r="D7344" s="496"/>
    </row>
    <row r="7345" spans="1:4" x14ac:dyDescent="0.2">
      <c r="A7345" s="496"/>
      <c r="D7345" s="496"/>
    </row>
    <row r="7346" spans="1:4" x14ac:dyDescent="0.2">
      <c r="A7346" s="496"/>
      <c r="D7346" s="496"/>
    </row>
    <row r="7347" spans="1:4" x14ac:dyDescent="0.2">
      <c r="A7347" s="496"/>
      <c r="D7347" s="496"/>
    </row>
    <row r="7348" spans="1:4" x14ac:dyDescent="0.2">
      <c r="A7348" s="496"/>
      <c r="D7348" s="496"/>
    </row>
    <row r="7349" spans="1:4" x14ac:dyDescent="0.2">
      <c r="A7349" s="496"/>
      <c r="D7349" s="496"/>
    </row>
    <row r="7350" spans="1:4" x14ac:dyDescent="0.2">
      <c r="A7350" s="496"/>
      <c r="D7350" s="496"/>
    </row>
    <row r="7351" spans="1:4" x14ac:dyDescent="0.2">
      <c r="A7351" s="496"/>
      <c r="D7351" s="496"/>
    </row>
    <row r="7352" spans="1:4" x14ac:dyDescent="0.2">
      <c r="A7352" s="496"/>
      <c r="D7352" s="496"/>
    </row>
    <row r="7353" spans="1:4" x14ac:dyDescent="0.2">
      <c r="A7353" s="496"/>
      <c r="D7353" s="496"/>
    </row>
    <row r="7354" spans="1:4" x14ac:dyDescent="0.2">
      <c r="A7354" s="496"/>
      <c r="D7354" s="496"/>
    </row>
    <row r="7355" spans="1:4" x14ac:dyDescent="0.2">
      <c r="A7355" s="496"/>
      <c r="D7355" s="496"/>
    </row>
    <row r="7356" spans="1:4" x14ac:dyDescent="0.2">
      <c r="A7356" s="496"/>
      <c r="D7356" s="496"/>
    </row>
    <row r="7357" spans="1:4" x14ac:dyDescent="0.2">
      <c r="A7357" s="496"/>
      <c r="D7357" s="496"/>
    </row>
    <row r="7358" spans="1:4" x14ac:dyDescent="0.2">
      <c r="A7358" s="496"/>
      <c r="D7358" s="496"/>
    </row>
    <row r="7359" spans="1:4" x14ac:dyDescent="0.2">
      <c r="A7359" s="496"/>
      <c r="D7359" s="496"/>
    </row>
    <row r="7360" spans="1:4" x14ac:dyDescent="0.2">
      <c r="A7360" s="496"/>
      <c r="D7360" s="496"/>
    </row>
    <row r="7361" spans="1:4" x14ac:dyDescent="0.2">
      <c r="A7361" s="496"/>
      <c r="D7361" s="496"/>
    </row>
    <row r="7362" spans="1:4" x14ac:dyDescent="0.2">
      <c r="A7362" s="496"/>
      <c r="D7362" s="496"/>
    </row>
    <row r="7363" spans="1:4" x14ac:dyDescent="0.2">
      <c r="A7363" s="496"/>
      <c r="D7363" s="496"/>
    </row>
    <row r="7364" spans="1:4" x14ac:dyDescent="0.2">
      <c r="A7364" s="496"/>
      <c r="D7364" s="496"/>
    </row>
    <row r="7365" spans="1:4" x14ac:dyDescent="0.2">
      <c r="A7365" s="496"/>
      <c r="D7365" s="496"/>
    </row>
    <row r="7366" spans="1:4" x14ac:dyDescent="0.2">
      <c r="A7366" s="496"/>
      <c r="D7366" s="496"/>
    </row>
    <row r="7367" spans="1:4" x14ac:dyDescent="0.2">
      <c r="A7367" s="496"/>
      <c r="D7367" s="496"/>
    </row>
    <row r="7368" spans="1:4" x14ac:dyDescent="0.2">
      <c r="A7368" s="496"/>
      <c r="D7368" s="496"/>
    </row>
    <row r="7369" spans="1:4" x14ac:dyDescent="0.2">
      <c r="A7369" s="496"/>
      <c r="D7369" s="496"/>
    </row>
    <row r="7370" spans="1:4" x14ac:dyDescent="0.2">
      <c r="A7370" s="496"/>
      <c r="D7370" s="496"/>
    </row>
    <row r="7371" spans="1:4" x14ac:dyDescent="0.2">
      <c r="A7371" s="496"/>
      <c r="D7371" s="496"/>
    </row>
    <row r="7372" spans="1:4" x14ac:dyDescent="0.2">
      <c r="A7372" s="496"/>
      <c r="D7372" s="496"/>
    </row>
    <row r="7373" spans="1:4" x14ac:dyDescent="0.2">
      <c r="A7373" s="496"/>
      <c r="D7373" s="496"/>
    </row>
    <row r="7374" spans="1:4" x14ac:dyDescent="0.2">
      <c r="A7374" s="496"/>
      <c r="D7374" s="496"/>
    </row>
    <row r="7375" spans="1:4" x14ac:dyDescent="0.2">
      <c r="A7375" s="496"/>
      <c r="D7375" s="496"/>
    </row>
    <row r="7376" spans="1:4" x14ac:dyDescent="0.2">
      <c r="A7376" s="496"/>
      <c r="D7376" s="496"/>
    </row>
    <row r="7377" spans="1:4" x14ac:dyDescent="0.2">
      <c r="A7377" s="496"/>
      <c r="D7377" s="496"/>
    </row>
    <row r="7378" spans="1:4" x14ac:dyDescent="0.2">
      <c r="A7378" s="496"/>
      <c r="D7378" s="496"/>
    </row>
    <row r="7379" spans="1:4" x14ac:dyDescent="0.2">
      <c r="A7379" s="496"/>
      <c r="D7379" s="496"/>
    </row>
    <row r="7380" spans="1:4" x14ac:dyDescent="0.2">
      <c r="A7380" s="496"/>
      <c r="D7380" s="496"/>
    </row>
    <row r="7381" spans="1:4" x14ac:dyDescent="0.2">
      <c r="A7381" s="496"/>
      <c r="D7381" s="496"/>
    </row>
    <row r="7382" spans="1:4" x14ac:dyDescent="0.2">
      <c r="A7382" s="496"/>
      <c r="D7382" s="496"/>
    </row>
    <row r="7383" spans="1:4" x14ac:dyDescent="0.2">
      <c r="A7383" s="496"/>
      <c r="D7383" s="496"/>
    </row>
    <row r="7384" spans="1:4" x14ac:dyDescent="0.2">
      <c r="A7384" s="496"/>
      <c r="D7384" s="496"/>
    </row>
    <row r="7385" spans="1:4" x14ac:dyDescent="0.2">
      <c r="A7385" s="496"/>
      <c r="D7385" s="496"/>
    </row>
    <row r="7386" spans="1:4" x14ac:dyDescent="0.2">
      <c r="A7386" s="496"/>
      <c r="D7386" s="496"/>
    </row>
    <row r="7387" spans="1:4" x14ac:dyDescent="0.2">
      <c r="A7387" s="496"/>
      <c r="D7387" s="496"/>
    </row>
    <row r="7388" spans="1:4" x14ac:dyDescent="0.2">
      <c r="A7388" s="496"/>
      <c r="D7388" s="496"/>
    </row>
    <row r="7389" spans="1:4" x14ac:dyDescent="0.2">
      <c r="A7389" s="496"/>
      <c r="D7389" s="496"/>
    </row>
    <row r="7390" spans="1:4" x14ac:dyDescent="0.2">
      <c r="A7390" s="496"/>
      <c r="D7390" s="496"/>
    </row>
    <row r="7391" spans="1:4" x14ac:dyDescent="0.2">
      <c r="A7391" s="496"/>
      <c r="D7391" s="496"/>
    </row>
    <row r="7392" spans="1:4" x14ac:dyDescent="0.2">
      <c r="A7392" s="496"/>
      <c r="D7392" s="496"/>
    </row>
    <row r="7393" spans="1:4" x14ac:dyDescent="0.2">
      <c r="A7393" s="496"/>
      <c r="D7393" s="496"/>
    </row>
    <row r="7394" spans="1:4" x14ac:dyDescent="0.2">
      <c r="A7394" s="496"/>
      <c r="D7394" s="496"/>
    </row>
    <row r="7395" spans="1:4" x14ac:dyDescent="0.2">
      <c r="A7395" s="496"/>
      <c r="D7395" s="496"/>
    </row>
    <row r="7396" spans="1:4" x14ac:dyDescent="0.2">
      <c r="A7396" s="496"/>
      <c r="D7396" s="496"/>
    </row>
    <row r="7397" spans="1:4" x14ac:dyDescent="0.2">
      <c r="A7397" s="496"/>
      <c r="D7397" s="496"/>
    </row>
    <row r="7398" spans="1:4" x14ac:dyDescent="0.2">
      <c r="A7398" s="496"/>
      <c r="D7398" s="496"/>
    </row>
    <row r="7399" spans="1:4" x14ac:dyDescent="0.2">
      <c r="A7399" s="496"/>
      <c r="D7399" s="496"/>
    </row>
    <row r="7400" spans="1:4" x14ac:dyDescent="0.2">
      <c r="A7400" s="496"/>
      <c r="D7400" s="496"/>
    </row>
    <row r="7401" spans="1:4" x14ac:dyDescent="0.2">
      <c r="A7401" s="496"/>
      <c r="D7401" s="496"/>
    </row>
    <row r="7402" spans="1:4" x14ac:dyDescent="0.2">
      <c r="A7402" s="496"/>
      <c r="D7402" s="496"/>
    </row>
    <row r="7403" spans="1:4" x14ac:dyDescent="0.2">
      <c r="A7403" s="496"/>
      <c r="D7403" s="496"/>
    </row>
    <row r="7404" spans="1:4" x14ac:dyDescent="0.2">
      <c r="A7404" s="496"/>
      <c r="D7404" s="496"/>
    </row>
    <row r="7405" spans="1:4" x14ac:dyDescent="0.2">
      <c r="A7405" s="496"/>
      <c r="D7405" s="496"/>
    </row>
    <row r="7406" spans="1:4" x14ac:dyDescent="0.2">
      <c r="A7406" s="496"/>
      <c r="D7406" s="496"/>
    </row>
    <row r="7407" spans="1:4" x14ac:dyDescent="0.2">
      <c r="A7407" s="496"/>
      <c r="D7407" s="496"/>
    </row>
    <row r="7408" spans="1:4" x14ac:dyDescent="0.2">
      <c r="A7408" s="496"/>
      <c r="D7408" s="496"/>
    </row>
    <row r="7409" spans="1:4" x14ac:dyDescent="0.2">
      <c r="A7409" s="496"/>
      <c r="D7409" s="496"/>
    </row>
    <row r="7410" spans="1:4" x14ac:dyDescent="0.2">
      <c r="A7410" s="496"/>
      <c r="D7410" s="496"/>
    </row>
    <row r="7411" spans="1:4" x14ac:dyDescent="0.2">
      <c r="A7411" s="496"/>
      <c r="D7411" s="496"/>
    </row>
    <row r="7412" spans="1:4" x14ac:dyDescent="0.2">
      <c r="A7412" s="496"/>
      <c r="D7412" s="496"/>
    </row>
    <row r="7413" spans="1:4" x14ac:dyDescent="0.2">
      <c r="A7413" s="496"/>
      <c r="D7413" s="496"/>
    </row>
    <row r="7414" spans="1:4" x14ac:dyDescent="0.2">
      <c r="A7414" s="496"/>
      <c r="D7414" s="496"/>
    </row>
    <row r="7415" spans="1:4" x14ac:dyDescent="0.2">
      <c r="A7415" s="496"/>
      <c r="D7415" s="496"/>
    </row>
    <row r="7416" spans="1:4" x14ac:dyDescent="0.2">
      <c r="A7416" s="496"/>
      <c r="D7416" s="496"/>
    </row>
    <row r="7417" spans="1:4" x14ac:dyDescent="0.2">
      <c r="A7417" s="496"/>
      <c r="D7417" s="496"/>
    </row>
    <row r="7418" spans="1:4" x14ac:dyDescent="0.2">
      <c r="A7418" s="496"/>
      <c r="D7418" s="496"/>
    </row>
    <row r="7419" spans="1:4" x14ac:dyDescent="0.2">
      <c r="A7419" s="496"/>
      <c r="D7419" s="496"/>
    </row>
    <row r="7420" spans="1:4" x14ac:dyDescent="0.2">
      <c r="A7420" s="496"/>
      <c r="D7420" s="496"/>
    </row>
    <row r="7421" spans="1:4" x14ac:dyDescent="0.2">
      <c r="A7421" s="496"/>
      <c r="D7421" s="496"/>
    </row>
    <row r="7422" spans="1:4" x14ac:dyDescent="0.2">
      <c r="A7422" s="496"/>
      <c r="D7422" s="496"/>
    </row>
    <row r="7423" spans="1:4" x14ac:dyDescent="0.2">
      <c r="A7423" s="496"/>
      <c r="D7423" s="496"/>
    </row>
    <row r="7424" spans="1:4" x14ac:dyDescent="0.2">
      <c r="A7424" s="496"/>
      <c r="D7424" s="496"/>
    </row>
    <row r="7425" spans="1:4" x14ac:dyDescent="0.2">
      <c r="A7425" s="496"/>
      <c r="D7425" s="496"/>
    </row>
    <row r="7426" spans="1:4" x14ac:dyDescent="0.2">
      <c r="A7426" s="496"/>
      <c r="D7426" s="496"/>
    </row>
    <row r="7427" spans="1:4" x14ac:dyDescent="0.2">
      <c r="A7427" s="496"/>
      <c r="D7427" s="496"/>
    </row>
    <row r="7428" spans="1:4" x14ac:dyDescent="0.2">
      <c r="A7428" s="496"/>
      <c r="D7428" s="496"/>
    </row>
    <row r="7429" spans="1:4" x14ac:dyDescent="0.2">
      <c r="A7429" s="496"/>
      <c r="D7429" s="496"/>
    </row>
    <row r="7430" spans="1:4" x14ac:dyDescent="0.2">
      <c r="A7430" s="496"/>
      <c r="D7430" s="496"/>
    </row>
    <row r="7431" spans="1:4" x14ac:dyDescent="0.2">
      <c r="A7431" s="496"/>
      <c r="D7431" s="496"/>
    </row>
    <row r="7432" spans="1:4" x14ac:dyDescent="0.2">
      <c r="A7432" s="496"/>
      <c r="D7432" s="496"/>
    </row>
    <row r="7433" spans="1:4" x14ac:dyDescent="0.2">
      <c r="A7433" s="496"/>
      <c r="D7433" s="496"/>
    </row>
    <row r="7434" spans="1:4" x14ac:dyDescent="0.2">
      <c r="A7434" s="496"/>
      <c r="D7434" s="496"/>
    </row>
    <row r="7435" spans="1:4" x14ac:dyDescent="0.2">
      <c r="A7435" s="496"/>
      <c r="D7435" s="496"/>
    </row>
    <row r="7436" spans="1:4" x14ac:dyDescent="0.2">
      <c r="A7436" s="496"/>
      <c r="D7436" s="496"/>
    </row>
    <row r="7437" spans="1:4" x14ac:dyDescent="0.2">
      <c r="A7437" s="496"/>
      <c r="D7437" s="496"/>
    </row>
    <row r="7438" spans="1:4" x14ac:dyDescent="0.2">
      <c r="A7438" s="496"/>
      <c r="D7438" s="496"/>
    </row>
    <row r="7439" spans="1:4" x14ac:dyDescent="0.2">
      <c r="A7439" s="496"/>
      <c r="D7439" s="496"/>
    </row>
    <row r="7440" spans="1:4" x14ac:dyDescent="0.2">
      <c r="A7440" s="496"/>
      <c r="D7440" s="496"/>
    </row>
    <row r="7441" spans="1:4" x14ac:dyDescent="0.2">
      <c r="A7441" s="496"/>
      <c r="D7441" s="496"/>
    </row>
    <row r="7442" spans="1:4" x14ac:dyDescent="0.2">
      <c r="A7442" s="496"/>
      <c r="D7442" s="496"/>
    </row>
    <row r="7443" spans="1:4" x14ac:dyDescent="0.2">
      <c r="A7443" s="496"/>
      <c r="D7443" s="496"/>
    </row>
    <row r="7444" spans="1:4" x14ac:dyDescent="0.2">
      <c r="A7444" s="496"/>
      <c r="D7444" s="496"/>
    </row>
    <row r="7445" spans="1:4" x14ac:dyDescent="0.2">
      <c r="A7445" s="496"/>
      <c r="D7445" s="496"/>
    </row>
    <row r="7446" spans="1:4" x14ac:dyDescent="0.2">
      <c r="A7446" s="496"/>
      <c r="D7446" s="496"/>
    </row>
    <row r="7447" spans="1:4" x14ac:dyDescent="0.2">
      <c r="A7447" s="496"/>
      <c r="D7447" s="496"/>
    </row>
    <row r="7448" spans="1:4" x14ac:dyDescent="0.2">
      <c r="A7448" s="496"/>
      <c r="D7448" s="496"/>
    </row>
    <row r="7449" spans="1:4" x14ac:dyDescent="0.2">
      <c r="A7449" s="496"/>
      <c r="D7449" s="496"/>
    </row>
    <row r="7450" spans="1:4" x14ac:dyDescent="0.2">
      <c r="A7450" s="496"/>
      <c r="D7450" s="496"/>
    </row>
    <row r="7451" spans="1:4" x14ac:dyDescent="0.2">
      <c r="A7451" s="496"/>
      <c r="D7451" s="496"/>
    </row>
    <row r="7452" spans="1:4" x14ac:dyDescent="0.2">
      <c r="A7452" s="496"/>
      <c r="D7452" s="496"/>
    </row>
    <row r="7453" spans="1:4" x14ac:dyDescent="0.2">
      <c r="A7453" s="496"/>
      <c r="D7453" s="496"/>
    </row>
    <row r="7454" spans="1:4" x14ac:dyDescent="0.2">
      <c r="A7454" s="496"/>
      <c r="D7454" s="496"/>
    </row>
    <row r="7455" spans="1:4" x14ac:dyDescent="0.2">
      <c r="A7455" s="496"/>
      <c r="D7455" s="496"/>
    </row>
    <row r="7456" spans="1:4" x14ac:dyDescent="0.2">
      <c r="A7456" s="496"/>
      <c r="D7456" s="496"/>
    </row>
    <row r="7457" spans="1:4" x14ac:dyDescent="0.2">
      <c r="A7457" s="496"/>
      <c r="D7457" s="496"/>
    </row>
    <row r="7458" spans="1:4" x14ac:dyDescent="0.2">
      <c r="A7458" s="496"/>
      <c r="D7458" s="496"/>
    </row>
    <row r="7459" spans="1:4" x14ac:dyDescent="0.2">
      <c r="A7459" s="496"/>
      <c r="D7459" s="496"/>
    </row>
    <row r="7460" spans="1:4" x14ac:dyDescent="0.2">
      <c r="A7460" s="496"/>
      <c r="D7460" s="496"/>
    </row>
    <row r="7461" spans="1:4" x14ac:dyDescent="0.2">
      <c r="A7461" s="496"/>
      <c r="D7461" s="496"/>
    </row>
    <row r="7462" spans="1:4" x14ac:dyDescent="0.2">
      <c r="A7462" s="496"/>
      <c r="D7462" s="496"/>
    </row>
    <row r="7463" spans="1:4" x14ac:dyDescent="0.2">
      <c r="A7463" s="496"/>
      <c r="D7463" s="496"/>
    </row>
    <row r="7464" spans="1:4" x14ac:dyDescent="0.2">
      <c r="A7464" s="496"/>
      <c r="D7464" s="496"/>
    </row>
    <row r="7465" spans="1:4" x14ac:dyDescent="0.2">
      <c r="A7465" s="496"/>
      <c r="D7465" s="496"/>
    </row>
    <row r="7466" spans="1:4" x14ac:dyDescent="0.2">
      <c r="A7466" s="496"/>
      <c r="D7466" s="496"/>
    </row>
    <row r="7467" spans="1:4" x14ac:dyDescent="0.2">
      <c r="A7467" s="496"/>
      <c r="D7467" s="496"/>
    </row>
    <row r="7468" spans="1:4" x14ac:dyDescent="0.2">
      <c r="A7468" s="496"/>
      <c r="D7468" s="496"/>
    </row>
    <row r="7469" spans="1:4" x14ac:dyDescent="0.2">
      <c r="A7469" s="496"/>
      <c r="D7469" s="496"/>
    </row>
    <row r="7470" spans="1:4" x14ac:dyDescent="0.2">
      <c r="A7470" s="496"/>
      <c r="D7470" s="496"/>
    </row>
    <row r="7471" spans="1:4" x14ac:dyDescent="0.2">
      <c r="A7471" s="496"/>
      <c r="D7471" s="496"/>
    </row>
    <row r="7472" spans="1:4" x14ac:dyDescent="0.2">
      <c r="A7472" s="496"/>
      <c r="D7472" s="496"/>
    </row>
    <row r="7473" spans="1:4" x14ac:dyDescent="0.2">
      <c r="A7473" s="496"/>
      <c r="D7473" s="496"/>
    </row>
    <row r="7474" spans="1:4" x14ac:dyDescent="0.2">
      <c r="A7474" s="496"/>
      <c r="D7474" s="496"/>
    </row>
    <row r="7475" spans="1:4" x14ac:dyDescent="0.2">
      <c r="A7475" s="496"/>
      <c r="D7475" s="496"/>
    </row>
    <row r="7476" spans="1:4" x14ac:dyDescent="0.2">
      <c r="A7476" s="496"/>
      <c r="D7476" s="496"/>
    </row>
    <row r="7477" spans="1:4" x14ac:dyDescent="0.2">
      <c r="A7477" s="496"/>
      <c r="D7477" s="496"/>
    </row>
    <row r="7478" spans="1:4" x14ac:dyDescent="0.2">
      <c r="A7478" s="496"/>
      <c r="D7478" s="496"/>
    </row>
    <row r="7479" spans="1:4" x14ac:dyDescent="0.2">
      <c r="A7479" s="496"/>
      <c r="D7479" s="496"/>
    </row>
    <row r="7480" spans="1:4" x14ac:dyDescent="0.2">
      <c r="A7480" s="496"/>
      <c r="D7480" s="496"/>
    </row>
    <row r="7481" spans="1:4" x14ac:dyDescent="0.2">
      <c r="A7481" s="496"/>
      <c r="D7481" s="496"/>
    </row>
    <row r="7482" spans="1:4" x14ac:dyDescent="0.2">
      <c r="A7482" s="496"/>
      <c r="D7482" s="496"/>
    </row>
    <row r="7483" spans="1:4" x14ac:dyDescent="0.2">
      <c r="A7483" s="496"/>
      <c r="D7483" s="496"/>
    </row>
    <row r="7484" spans="1:4" x14ac:dyDescent="0.2">
      <c r="A7484" s="496"/>
      <c r="D7484" s="496"/>
    </row>
    <row r="7485" spans="1:4" x14ac:dyDescent="0.2">
      <c r="A7485" s="496"/>
      <c r="D7485" s="496"/>
    </row>
    <row r="7486" spans="1:4" x14ac:dyDescent="0.2">
      <c r="A7486" s="496"/>
      <c r="D7486" s="496"/>
    </row>
    <row r="7487" spans="1:4" x14ac:dyDescent="0.2">
      <c r="A7487" s="496"/>
      <c r="D7487" s="496"/>
    </row>
    <row r="7488" spans="1:4" x14ac:dyDescent="0.2">
      <c r="A7488" s="496"/>
      <c r="D7488" s="496"/>
    </row>
    <row r="7489" spans="1:4" x14ac:dyDescent="0.2">
      <c r="A7489" s="496"/>
      <c r="D7489" s="496"/>
    </row>
    <row r="7490" spans="1:4" x14ac:dyDescent="0.2">
      <c r="A7490" s="496"/>
      <c r="D7490" s="496"/>
    </row>
    <row r="7491" spans="1:4" x14ac:dyDescent="0.2">
      <c r="A7491" s="496"/>
      <c r="D7491" s="496"/>
    </row>
    <row r="7492" spans="1:4" x14ac:dyDescent="0.2">
      <c r="A7492" s="496"/>
      <c r="D7492" s="496"/>
    </row>
    <row r="7493" spans="1:4" x14ac:dyDescent="0.2">
      <c r="A7493" s="496"/>
      <c r="D7493" s="496"/>
    </row>
    <row r="7494" spans="1:4" x14ac:dyDescent="0.2">
      <c r="A7494" s="496"/>
      <c r="D7494" s="496"/>
    </row>
    <row r="7495" spans="1:4" x14ac:dyDescent="0.2">
      <c r="A7495" s="496"/>
      <c r="D7495" s="496"/>
    </row>
    <row r="7496" spans="1:4" x14ac:dyDescent="0.2">
      <c r="A7496" s="496"/>
      <c r="D7496" s="496"/>
    </row>
    <row r="7497" spans="1:4" x14ac:dyDescent="0.2">
      <c r="A7497" s="496"/>
      <c r="D7497" s="496"/>
    </row>
    <row r="7498" spans="1:4" x14ac:dyDescent="0.2">
      <c r="A7498" s="496"/>
      <c r="D7498" s="496"/>
    </row>
    <row r="7499" spans="1:4" x14ac:dyDescent="0.2">
      <c r="A7499" s="496"/>
      <c r="D7499" s="496"/>
    </row>
    <row r="7500" spans="1:4" x14ac:dyDescent="0.2">
      <c r="A7500" s="496"/>
      <c r="D7500" s="496"/>
    </row>
    <row r="7501" spans="1:4" x14ac:dyDescent="0.2">
      <c r="A7501" s="496"/>
      <c r="D7501" s="496"/>
    </row>
    <row r="7502" spans="1:4" x14ac:dyDescent="0.2">
      <c r="A7502" s="496"/>
      <c r="D7502" s="496"/>
    </row>
    <row r="7503" spans="1:4" x14ac:dyDescent="0.2">
      <c r="A7503" s="496"/>
      <c r="D7503" s="496"/>
    </row>
    <row r="7504" spans="1:4" x14ac:dyDescent="0.2">
      <c r="A7504" s="496"/>
      <c r="D7504" s="496"/>
    </row>
    <row r="7505" spans="1:4" x14ac:dyDescent="0.2">
      <c r="A7505" s="496"/>
      <c r="D7505" s="496"/>
    </row>
    <row r="7506" spans="1:4" x14ac:dyDescent="0.2">
      <c r="A7506" s="496"/>
      <c r="D7506" s="496"/>
    </row>
    <row r="7507" spans="1:4" x14ac:dyDescent="0.2">
      <c r="A7507" s="496"/>
      <c r="D7507" s="496"/>
    </row>
    <row r="7508" spans="1:4" x14ac:dyDescent="0.2">
      <c r="A7508" s="496"/>
      <c r="D7508" s="496"/>
    </row>
    <row r="7509" spans="1:4" x14ac:dyDescent="0.2">
      <c r="A7509" s="496"/>
      <c r="D7509" s="496"/>
    </row>
    <row r="7510" spans="1:4" x14ac:dyDescent="0.2">
      <c r="A7510" s="496"/>
      <c r="D7510" s="496"/>
    </row>
    <row r="7511" spans="1:4" x14ac:dyDescent="0.2">
      <c r="A7511" s="496"/>
      <c r="D7511" s="496"/>
    </row>
    <row r="7512" spans="1:4" x14ac:dyDescent="0.2">
      <c r="A7512" s="496"/>
      <c r="D7512" s="496"/>
    </row>
    <row r="7513" spans="1:4" x14ac:dyDescent="0.2">
      <c r="A7513" s="496"/>
      <c r="D7513" s="496"/>
    </row>
    <row r="7514" spans="1:4" x14ac:dyDescent="0.2">
      <c r="A7514" s="496"/>
      <c r="D7514" s="496"/>
    </row>
    <row r="7515" spans="1:4" x14ac:dyDescent="0.2">
      <c r="A7515" s="496"/>
      <c r="D7515" s="496"/>
    </row>
    <row r="7516" spans="1:4" x14ac:dyDescent="0.2">
      <c r="A7516" s="496"/>
      <c r="D7516" s="496"/>
    </row>
    <row r="7517" spans="1:4" x14ac:dyDescent="0.2">
      <c r="A7517" s="496"/>
      <c r="D7517" s="496"/>
    </row>
    <row r="7518" spans="1:4" x14ac:dyDescent="0.2">
      <c r="A7518" s="496"/>
      <c r="D7518" s="496"/>
    </row>
    <row r="7519" spans="1:4" x14ac:dyDescent="0.2">
      <c r="A7519" s="496"/>
      <c r="D7519" s="496"/>
    </row>
    <row r="7520" spans="1:4" x14ac:dyDescent="0.2">
      <c r="A7520" s="496"/>
      <c r="D7520" s="496"/>
    </row>
    <row r="7521" spans="1:4" x14ac:dyDescent="0.2">
      <c r="A7521" s="496"/>
      <c r="D7521" s="496"/>
    </row>
    <row r="7522" spans="1:4" x14ac:dyDescent="0.2">
      <c r="A7522" s="496"/>
      <c r="D7522" s="496"/>
    </row>
    <row r="7523" spans="1:4" x14ac:dyDescent="0.2">
      <c r="A7523" s="496"/>
      <c r="D7523" s="496"/>
    </row>
    <row r="7524" spans="1:4" x14ac:dyDescent="0.2">
      <c r="A7524" s="496"/>
      <c r="D7524" s="496"/>
    </row>
    <row r="7525" spans="1:4" x14ac:dyDescent="0.2">
      <c r="A7525" s="496"/>
      <c r="D7525" s="496"/>
    </row>
    <row r="7526" spans="1:4" x14ac:dyDescent="0.2">
      <c r="A7526" s="496"/>
      <c r="D7526" s="496"/>
    </row>
    <row r="7527" spans="1:4" x14ac:dyDescent="0.2">
      <c r="A7527" s="496"/>
      <c r="D7527" s="496"/>
    </row>
    <row r="7528" spans="1:4" x14ac:dyDescent="0.2">
      <c r="A7528" s="496"/>
      <c r="D7528" s="496"/>
    </row>
    <row r="7529" spans="1:4" x14ac:dyDescent="0.2">
      <c r="A7529" s="496"/>
      <c r="D7529" s="496"/>
    </row>
    <row r="7530" spans="1:4" x14ac:dyDescent="0.2">
      <c r="A7530" s="496"/>
      <c r="D7530" s="496"/>
    </row>
    <row r="7531" spans="1:4" x14ac:dyDescent="0.2">
      <c r="A7531" s="496"/>
      <c r="D7531" s="496"/>
    </row>
    <row r="7532" spans="1:4" x14ac:dyDescent="0.2">
      <c r="A7532" s="496"/>
      <c r="D7532" s="496"/>
    </row>
    <row r="7533" spans="1:4" x14ac:dyDescent="0.2">
      <c r="A7533" s="496"/>
      <c r="D7533" s="496"/>
    </row>
    <row r="7534" spans="1:4" x14ac:dyDescent="0.2">
      <c r="A7534" s="496"/>
      <c r="D7534" s="496"/>
    </row>
    <row r="7535" spans="1:4" x14ac:dyDescent="0.2">
      <c r="A7535" s="496"/>
      <c r="D7535" s="496"/>
    </row>
    <row r="7536" spans="1:4" x14ac:dyDescent="0.2">
      <c r="A7536" s="496"/>
      <c r="D7536" s="496"/>
    </row>
    <row r="7537" spans="1:4" x14ac:dyDescent="0.2">
      <c r="A7537" s="496"/>
      <c r="D7537" s="496"/>
    </row>
    <row r="7538" spans="1:4" x14ac:dyDescent="0.2">
      <c r="A7538" s="496"/>
      <c r="D7538" s="496"/>
    </row>
    <row r="7539" spans="1:4" x14ac:dyDescent="0.2">
      <c r="A7539" s="496"/>
      <c r="D7539" s="496"/>
    </row>
    <row r="7540" spans="1:4" x14ac:dyDescent="0.2">
      <c r="A7540" s="496"/>
      <c r="D7540" s="496"/>
    </row>
    <row r="7541" spans="1:4" x14ac:dyDescent="0.2">
      <c r="A7541" s="496"/>
      <c r="D7541" s="496"/>
    </row>
    <row r="7542" spans="1:4" x14ac:dyDescent="0.2">
      <c r="A7542" s="496"/>
      <c r="D7542" s="496"/>
    </row>
    <row r="7543" spans="1:4" x14ac:dyDescent="0.2">
      <c r="A7543" s="496"/>
      <c r="D7543" s="496"/>
    </row>
    <row r="7544" spans="1:4" x14ac:dyDescent="0.2">
      <c r="A7544" s="496"/>
      <c r="D7544" s="496"/>
    </row>
    <row r="7545" spans="1:4" x14ac:dyDescent="0.2">
      <c r="A7545" s="496"/>
      <c r="D7545" s="496"/>
    </row>
    <row r="7546" spans="1:4" x14ac:dyDescent="0.2">
      <c r="A7546" s="496"/>
      <c r="D7546" s="496"/>
    </row>
    <row r="7547" spans="1:4" x14ac:dyDescent="0.2">
      <c r="A7547" s="496"/>
      <c r="D7547" s="496"/>
    </row>
    <row r="7548" spans="1:4" x14ac:dyDescent="0.2">
      <c r="A7548" s="496"/>
      <c r="D7548" s="496"/>
    </row>
    <row r="7549" spans="1:4" x14ac:dyDescent="0.2">
      <c r="A7549" s="496"/>
      <c r="D7549" s="496"/>
    </row>
    <row r="7550" spans="1:4" x14ac:dyDescent="0.2">
      <c r="A7550" s="496"/>
      <c r="D7550" s="496"/>
    </row>
    <row r="7551" spans="1:4" x14ac:dyDescent="0.2">
      <c r="A7551" s="496"/>
      <c r="D7551" s="496"/>
    </row>
    <row r="7552" spans="1:4" x14ac:dyDescent="0.2">
      <c r="A7552" s="496"/>
      <c r="D7552" s="496"/>
    </row>
    <row r="7553" spans="1:4" x14ac:dyDescent="0.2">
      <c r="A7553" s="496"/>
      <c r="D7553" s="496"/>
    </row>
    <row r="7554" spans="1:4" x14ac:dyDescent="0.2">
      <c r="A7554" s="496"/>
      <c r="D7554" s="496"/>
    </row>
    <row r="7555" spans="1:4" x14ac:dyDescent="0.2">
      <c r="A7555" s="496"/>
      <c r="D7555" s="496"/>
    </row>
    <row r="7556" spans="1:4" x14ac:dyDescent="0.2">
      <c r="A7556" s="496"/>
      <c r="D7556" s="496"/>
    </row>
    <row r="7557" spans="1:4" x14ac:dyDescent="0.2">
      <c r="A7557" s="496"/>
      <c r="D7557" s="496"/>
    </row>
    <row r="7558" spans="1:4" x14ac:dyDescent="0.2">
      <c r="A7558" s="496"/>
      <c r="D7558" s="496"/>
    </row>
    <row r="7559" spans="1:4" x14ac:dyDescent="0.2">
      <c r="A7559" s="496"/>
      <c r="D7559" s="496"/>
    </row>
    <row r="7560" spans="1:4" x14ac:dyDescent="0.2">
      <c r="A7560" s="496"/>
      <c r="D7560" s="496"/>
    </row>
    <row r="7561" spans="1:4" x14ac:dyDescent="0.2">
      <c r="A7561" s="496"/>
      <c r="D7561" s="496"/>
    </row>
    <row r="7562" spans="1:4" x14ac:dyDescent="0.2">
      <c r="A7562" s="496"/>
      <c r="D7562" s="496"/>
    </row>
    <row r="7563" spans="1:4" x14ac:dyDescent="0.2">
      <c r="A7563" s="496"/>
      <c r="D7563" s="496"/>
    </row>
    <row r="7564" spans="1:4" x14ac:dyDescent="0.2">
      <c r="A7564" s="496"/>
      <c r="D7564" s="496"/>
    </row>
    <row r="7565" spans="1:4" x14ac:dyDescent="0.2">
      <c r="A7565" s="496"/>
      <c r="D7565" s="496"/>
    </row>
    <row r="7566" spans="1:4" x14ac:dyDescent="0.2">
      <c r="A7566" s="496"/>
      <c r="D7566" s="496"/>
    </row>
    <row r="7567" spans="1:4" x14ac:dyDescent="0.2">
      <c r="A7567" s="496"/>
      <c r="D7567" s="496"/>
    </row>
    <row r="7568" spans="1:4" x14ac:dyDescent="0.2">
      <c r="A7568" s="496"/>
      <c r="D7568" s="496"/>
    </row>
    <row r="7569" spans="1:4" x14ac:dyDescent="0.2">
      <c r="A7569" s="496"/>
      <c r="D7569" s="496"/>
    </row>
    <row r="7570" spans="1:4" x14ac:dyDescent="0.2">
      <c r="A7570" s="496"/>
      <c r="D7570" s="496"/>
    </row>
    <row r="7571" spans="1:4" x14ac:dyDescent="0.2">
      <c r="A7571" s="496"/>
      <c r="D7571" s="496"/>
    </row>
    <row r="7572" spans="1:4" x14ac:dyDescent="0.2">
      <c r="A7572" s="496"/>
      <c r="D7572" s="496"/>
    </row>
    <row r="7573" spans="1:4" x14ac:dyDescent="0.2">
      <c r="A7573" s="496"/>
      <c r="D7573" s="496"/>
    </row>
    <row r="7574" spans="1:4" x14ac:dyDescent="0.2">
      <c r="A7574" s="496"/>
      <c r="D7574" s="496"/>
    </row>
    <row r="7575" spans="1:4" x14ac:dyDescent="0.2">
      <c r="A7575" s="496"/>
      <c r="D7575" s="496"/>
    </row>
    <row r="7576" spans="1:4" x14ac:dyDescent="0.2">
      <c r="A7576" s="496"/>
      <c r="D7576" s="496"/>
    </row>
    <row r="7577" spans="1:4" x14ac:dyDescent="0.2">
      <c r="A7577" s="496"/>
      <c r="D7577" s="496"/>
    </row>
    <row r="7578" spans="1:4" x14ac:dyDescent="0.2">
      <c r="A7578" s="496"/>
      <c r="D7578" s="496"/>
    </row>
    <row r="7579" spans="1:4" x14ac:dyDescent="0.2">
      <c r="A7579" s="496"/>
      <c r="D7579" s="496"/>
    </row>
    <row r="7580" spans="1:4" x14ac:dyDescent="0.2">
      <c r="A7580" s="496"/>
      <c r="D7580" s="496"/>
    </row>
    <row r="7581" spans="1:4" x14ac:dyDescent="0.2">
      <c r="A7581" s="496"/>
      <c r="D7581" s="496"/>
    </row>
    <row r="7582" spans="1:4" x14ac:dyDescent="0.2">
      <c r="A7582" s="496"/>
      <c r="D7582" s="496"/>
    </row>
    <row r="7583" spans="1:4" x14ac:dyDescent="0.2">
      <c r="A7583" s="496"/>
      <c r="D7583" s="496"/>
    </row>
    <row r="7584" spans="1:4" x14ac:dyDescent="0.2">
      <c r="A7584" s="496"/>
      <c r="D7584" s="496"/>
    </row>
    <row r="7585" spans="1:4" x14ac:dyDescent="0.2">
      <c r="A7585" s="496"/>
      <c r="D7585" s="496"/>
    </row>
    <row r="7586" spans="1:4" x14ac:dyDescent="0.2">
      <c r="A7586" s="496"/>
      <c r="D7586" s="496"/>
    </row>
    <row r="7587" spans="1:4" x14ac:dyDescent="0.2">
      <c r="A7587" s="496"/>
      <c r="D7587" s="496"/>
    </row>
    <row r="7588" spans="1:4" x14ac:dyDescent="0.2">
      <c r="A7588" s="496"/>
      <c r="D7588" s="496"/>
    </row>
    <row r="7589" spans="1:4" x14ac:dyDescent="0.2">
      <c r="A7589" s="496"/>
      <c r="D7589" s="496"/>
    </row>
    <row r="7590" spans="1:4" x14ac:dyDescent="0.2">
      <c r="A7590" s="496"/>
      <c r="D7590" s="496"/>
    </row>
    <row r="7591" spans="1:4" x14ac:dyDescent="0.2">
      <c r="A7591" s="496"/>
      <c r="D7591" s="496"/>
    </row>
    <row r="7592" spans="1:4" x14ac:dyDescent="0.2">
      <c r="A7592" s="496"/>
      <c r="D7592" s="496"/>
    </row>
    <row r="7593" spans="1:4" x14ac:dyDescent="0.2">
      <c r="A7593" s="496"/>
      <c r="D7593" s="496"/>
    </row>
    <row r="7594" spans="1:4" x14ac:dyDescent="0.2">
      <c r="A7594" s="496"/>
      <c r="D7594" s="496"/>
    </row>
    <row r="7595" spans="1:4" x14ac:dyDescent="0.2">
      <c r="A7595" s="496"/>
      <c r="D7595" s="496"/>
    </row>
    <row r="7596" spans="1:4" x14ac:dyDescent="0.2">
      <c r="A7596" s="496"/>
      <c r="D7596" s="496"/>
    </row>
    <row r="7597" spans="1:4" x14ac:dyDescent="0.2">
      <c r="A7597" s="496"/>
      <c r="D7597" s="496"/>
    </row>
    <row r="7598" spans="1:4" x14ac:dyDescent="0.2">
      <c r="A7598" s="496"/>
      <c r="D7598" s="496"/>
    </row>
    <row r="7599" spans="1:4" x14ac:dyDescent="0.2">
      <c r="A7599" s="496"/>
      <c r="D7599" s="496"/>
    </row>
    <row r="7600" spans="1:4" x14ac:dyDescent="0.2">
      <c r="A7600" s="496"/>
      <c r="D7600" s="496"/>
    </row>
    <row r="7601" spans="1:4" x14ac:dyDescent="0.2">
      <c r="A7601" s="496"/>
      <c r="D7601" s="496"/>
    </row>
    <row r="7602" spans="1:4" x14ac:dyDescent="0.2">
      <c r="A7602" s="496"/>
      <c r="D7602" s="496"/>
    </row>
    <row r="7603" spans="1:4" x14ac:dyDescent="0.2">
      <c r="A7603" s="496"/>
      <c r="D7603" s="496"/>
    </row>
    <row r="7604" spans="1:4" x14ac:dyDescent="0.2">
      <c r="A7604" s="496"/>
      <c r="D7604" s="496"/>
    </row>
    <row r="7605" spans="1:4" x14ac:dyDescent="0.2">
      <c r="A7605" s="496"/>
      <c r="D7605" s="496"/>
    </row>
    <row r="7606" spans="1:4" x14ac:dyDescent="0.2">
      <c r="A7606" s="496"/>
      <c r="D7606" s="496"/>
    </row>
    <row r="7607" spans="1:4" x14ac:dyDescent="0.2">
      <c r="A7607" s="496"/>
      <c r="D7607" s="496"/>
    </row>
    <row r="7608" spans="1:4" x14ac:dyDescent="0.2">
      <c r="A7608" s="496"/>
      <c r="D7608" s="496"/>
    </row>
    <row r="7609" spans="1:4" x14ac:dyDescent="0.2">
      <c r="A7609" s="496"/>
      <c r="D7609" s="496"/>
    </row>
    <row r="7610" spans="1:4" x14ac:dyDescent="0.2">
      <c r="A7610" s="496"/>
      <c r="D7610" s="496"/>
    </row>
    <row r="7611" spans="1:4" x14ac:dyDescent="0.2">
      <c r="A7611" s="496"/>
      <c r="D7611" s="496"/>
    </row>
    <row r="7612" spans="1:4" x14ac:dyDescent="0.2">
      <c r="A7612" s="496"/>
      <c r="D7612" s="496"/>
    </row>
    <row r="7613" spans="1:4" x14ac:dyDescent="0.2">
      <c r="A7613" s="496"/>
      <c r="D7613" s="496"/>
    </row>
    <row r="7614" spans="1:4" x14ac:dyDescent="0.2">
      <c r="A7614" s="496"/>
      <c r="D7614" s="496"/>
    </row>
    <row r="7615" spans="1:4" x14ac:dyDescent="0.2">
      <c r="A7615" s="496"/>
      <c r="D7615" s="496"/>
    </row>
    <row r="7616" spans="1:4" x14ac:dyDescent="0.2">
      <c r="A7616" s="496"/>
      <c r="D7616" s="496"/>
    </row>
    <row r="7617" spans="1:4" x14ac:dyDescent="0.2">
      <c r="A7617" s="496"/>
      <c r="D7617" s="496"/>
    </row>
    <row r="7618" spans="1:4" x14ac:dyDescent="0.2">
      <c r="A7618" s="496"/>
      <c r="D7618" s="496"/>
    </row>
    <row r="7619" spans="1:4" x14ac:dyDescent="0.2">
      <c r="A7619" s="496"/>
      <c r="D7619" s="496"/>
    </row>
    <row r="7620" spans="1:4" x14ac:dyDescent="0.2">
      <c r="A7620" s="496"/>
      <c r="D7620" s="496"/>
    </row>
    <row r="7621" spans="1:4" x14ac:dyDescent="0.2">
      <c r="A7621" s="496"/>
      <c r="D7621" s="496"/>
    </row>
    <row r="7622" spans="1:4" x14ac:dyDescent="0.2">
      <c r="A7622" s="496"/>
      <c r="D7622" s="496"/>
    </row>
    <row r="7623" spans="1:4" x14ac:dyDescent="0.2">
      <c r="A7623" s="496"/>
      <c r="D7623" s="496"/>
    </row>
    <row r="7624" spans="1:4" x14ac:dyDescent="0.2">
      <c r="A7624" s="496"/>
      <c r="D7624" s="496"/>
    </row>
    <row r="7625" spans="1:4" x14ac:dyDescent="0.2">
      <c r="A7625" s="496"/>
      <c r="D7625" s="496"/>
    </row>
    <row r="7626" spans="1:4" x14ac:dyDescent="0.2">
      <c r="A7626" s="496"/>
      <c r="D7626" s="496"/>
    </row>
    <row r="7627" spans="1:4" x14ac:dyDescent="0.2">
      <c r="A7627" s="496"/>
      <c r="D7627" s="496"/>
    </row>
    <row r="7628" spans="1:4" x14ac:dyDescent="0.2">
      <c r="A7628" s="496"/>
      <c r="D7628" s="496"/>
    </row>
    <row r="7629" spans="1:4" x14ac:dyDescent="0.2">
      <c r="A7629" s="496"/>
      <c r="D7629" s="496"/>
    </row>
    <row r="7630" spans="1:4" x14ac:dyDescent="0.2">
      <c r="A7630" s="496"/>
      <c r="D7630" s="496"/>
    </row>
    <row r="7631" spans="1:4" x14ac:dyDescent="0.2">
      <c r="A7631" s="496"/>
      <c r="D7631" s="496"/>
    </row>
    <row r="7632" spans="1:4" x14ac:dyDescent="0.2">
      <c r="A7632" s="496"/>
      <c r="D7632" s="496"/>
    </row>
    <row r="7633" spans="1:4" x14ac:dyDescent="0.2">
      <c r="A7633" s="496"/>
      <c r="D7633" s="496"/>
    </row>
    <row r="7634" spans="1:4" x14ac:dyDescent="0.2">
      <c r="A7634" s="496"/>
      <c r="D7634" s="496"/>
    </row>
    <row r="7635" spans="1:4" x14ac:dyDescent="0.2">
      <c r="A7635" s="496"/>
      <c r="D7635" s="496"/>
    </row>
    <row r="7636" spans="1:4" x14ac:dyDescent="0.2">
      <c r="A7636" s="496"/>
      <c r="D7636" s="496"/>
    </row>
    <row r="7637" spans="1:4" x14ac:dyDescent="0.2">
      <c r="A7637" s="496"/>
      <c r="D7637" s="496"/>
    </row>
    <row r="7638" spans="1:4" x14ac:dyDescent="0.2">
      <c r="A7638" s="496"/>
      <c r="D7638" s="496"/>
    </row>
    <row r="7639" spans="1:4" x14ac:dyDescent="0.2">
      <c r="A7639" s="496"/>
      <c r="D7639" s="496"/>
    </row>
    <row r="7640" spans="1:4" x14ac:dyDescent="0.2">
      <c r="A7640" s="496"/>
      <c r="D7640" s="496"/>
    </row>
    <row r="7641" spans="1:4" x14ac:dyDescent="0.2">
      <c r="A7641" s="496"/>
      <c r="D7641" s="496"/>
    </row>
    <row r="7642" spans="1:4" x14ac:dyDescent="0.2">
      <c r="A7642" s="496"/>
      <c r="D7642" s="496"/>
    </row>
    <row r="7643" spans="1:4" x14ac:dyDescent="0.2">
      <c r="A7643" s="496"/>
      <c r="D7643" s="496"/>
    </row>
    <row r="7644" spans="1:4" x14ac:dyDescent="0.2">
      <c r="A7644" s="496"/>
      <c r="D7644" s="496"/>
    </row>
    <row r="7645" spans="1:4" x14ac:dyDescent="0.2">
      <c r="A7645" s="496"/>
      <c r="D7645" s="496"/>
    </row>
    <row r="7646" spans="1:4" x14ac:dyDescent="0.2">
      <c r="A7646" s="496"/>
      <c r="D7646" s="496"/>
    </row>
    <row r="7647" spans="1:4" x14ac:dyDescent="0.2">
      <c r="A7647" s="496"/>
      <c r="D7647" s="496"/>
    </row>
    <row r="7648" spans="1:4" x14ac:dyDescent="0.2">
      <c r="A7648" s="496"/>
      <c r="D7648" s="496"/>
    </row>
    <row r="7649" spans="1:4" x14ac:dyDescent="0.2">
      <c r="A7649" s="496"/>
      <c r="D7649" s="496"/>
    </row>
    <row r="7650" spans="1:4" x14ac:dyDescent="0.2">
      <c r="A7650" s="496"/>
      <c r="D7650" s="496"/>
    </row>
    <row r="7651" spans="1:4" x14ac:dyDescent="0.2">
      <c r="A7651" s="496"/>
      <c r="D7651" s="496"/>
    </row>
    <row r="7652" spans="1:4" x14ac:dyDescent="0.2">
      <c r="A7652" s="496"/>
      <c r="D7652" s="496"/>
    </row>
    <row r="7653" spans="1:4" x14ac:dyDescent="0.2">
      <c r="A7653" s="496"/>
      <c r="D7653" s="496"/>
    </row>
    <row r="7654" spans="1:4" x14ac:dyDescent="0.2">
      <c r="A7654" s="496"/>
      <c r="D7654" s="496"/>
    </row>
    <row r="7655" spans="1:4" x14ac:dyDescent="0.2">
      <c r="A7655" s="496"/>
      <c r="D7655" s="496"/>
    </row>
    <row r="7656" spans="1:4" x14ac:dyDescent="0.2">
      <c r="A7656" s="496"/>
      <c r="D7656" s="496"/>
    </row>
    <row r="7657" spans="1:4" x14ac:dyDescent="0.2">
      <c r="A7657" s="496"/>
      <c r="D7657" s="496"/>
    </row>
    <row r="7658" spans="1:4" x14ac:dyDescent="0.2">
      <c r="A7658" s="496"/>
      <c r="D7658" s="496"/>
    </row>
    <row r="7659" spans="1:4" x14ac:dyDescent="0.2">
      <c r="A7659" s="496"/>
      <c r="D7659" s="496"/>
    </row>
    <row r="7660" spans="1:4" x14ac:dyDescent="0.2">
      <c r="A7660" s="496"/>
      <c r="D7660" s="496"/>
    </row>
    <row r="7661" spans="1:4" x14ac:dyDescent="0.2">
      <c r="A7661" s="496"/>
      <c r="D7661" s="496"/>
    </row>
    <row r="7662" spans="1:4" x14ac:dyDescent="0.2">
      <c r="A7662" s="496"/>
      <c r="D7662" s="496"/>
    </row>
    <row r="7663" spans="1:4" x14ac:dyDescent="0.2">
      <c r="A7663" s="496"/>
      <c r="D7663" s="496"/>
    </row>
    <row r="7664" spans="1:4" x14ac:dyDescent="0.2">
      <c r="A7664" s="496"/>
      <c r="D7664" s="496"/>
    </row>
    <row r="7665" spans="1:4" x14ac:dyDescent="0.2">
      <c r="A7665" s="496"/>
      <c r="D7665" s="496"/>
    </row>
    <row r="7666" spans="1:4" x14ac:dyDescent="0.2">
      <c r="A7666" s="496"/>
      <c r="D7666" s="496"/>
    </row>
    <row r="7667" spans="1:4" x14ac:dyDescent="0.2">
      <c r="A7667" s="496"/>
      <c r="D7667" s="496"/>
    </row>
    <row r="7668" spans="1:4" x14ac:dyDescent="0.2">
      <c r="A7668" s="496"/>
      <c r="D7668" s="496"/>
    </row>
    <row r="7669" spans="1:4" x14ac:dyDescent="0.2">
      <c r="A7669" s="496"/>
      <c r="D7669" s="496"/>
    </row>
    <row r="7670" spans="1:4" x14ac:dyDescent="0.2">
      <c r="A7670" s="496"/>
      <c r="D7670" s="496"/>
    </row>
    <row r="7671" spans="1:4" x14ac:dyDescent="0.2">
      <c r="A7671" s="496"/>
      <c r="D7671" s="496"/>
    </row>
    <row r="7672" spans="1:4" x14ac:dyDescent="0.2">
      <c r="A7672" s="496"/>
      <c r="D7672" s="496"/>
    </row>
    <row r="7673" spans="1:4" x14ac:dyDescent="0.2">
      <c r="A7673" s="496"/>
      <c r="D7673" s="496"/>
    </row>
    <row r="7674" spans="1:4" x14ac:dyDescent="0.2">
      <c r="A7674" s="496"/>
      <c r="D7674" s="496"/>
    </row>
    <row r="7675" spans="1:4" x14ac:dyDescent="0.2">
      <c r="A7675" s="496"/>
      <c r="D7675" s="496"/>
    </row>
    <row r="7676" spans="1:4" x14ac:dyDescent="0.2">
      <c r="A7676" s="496"/>
      <c r="D7676" s="496"/>
    </row>
    <row r="7677" spans="1:4" x14ac:dyDescent="0.2">
      <c r="A7677" s="496"/>
      <c r="D7677" s="496"/>
    </row>
    <row r="7678" spans="1:4" x14ac:dyDescent="0.2">
      <c r="A7678" s="496"/>
      <c r="D7678" s="496"/>
    </row>
    <row r="7679" spans="1:4" x14ac:dyDescent="0.2">
      <c r="A7679" s="496"/>
      <c r="D7679" s="496"/>
    </row>
    <row r="7680" spans="1:4" x14ac:dyDescent="0.2">
      <c r="A7680" s="496"/>
      <c r="D7680" s="496"/>
    </row>
    <row r="7681" spans="1:4" x14ac:dyDescent="0.2">
      <c r="A7681" s="496"/>
      <c r="D7681" s="496"/>
    </row>
    <row r="7682" spans="1:4" x14ac:dyDescent="0.2">
      <c r="A7682" s="496"/>
      <c r="D7682" s="496"/>
    </row>
    <row r="7683" spans="1:4" x14ac:dyDescent="0.2">
      <c r="A7683" s="496"/>
      <c r="D7683" s="496"/>
    </row>
    <row r="7684" spans="1:4" x14ac:dyDescent="0.2">
      <c r="A7684" s="496"/>
      <c r="D7684" s="496"/>
    </row>
    <row r="7685" spans="1:4" x14ac:dyDescent="0.2">
      <c r="A7685" s="496"/>
      <c r="D7685" s="496"/>
    </row>
    <row r="7686" spans="1:4" x14ac:dyDescent="0.2">
      <c r="A7686" s="496"/>
      <c r="D7686" s="496"/>
    </row>
    <row r="7687" spans="1:4" x14ac:dyDescent="0.2">
      <c r="A7687" s="496"/>
      <c r="D7687" s="496"/>
    </row>
    <row r="7688" spans="1:4" x14ac:dyDescent="0.2">
      <c r="A7688" s="496"/>
      <c r="D7688" s="496"/>
    </row>
    <row r="7689" spans="1:4" x14ac:dyDescent="0.2">
      <c r="A7689" s="496"/>
      <c r="D7689" s="496"/>
    </row>
    <row r="7690" spans="1:4" x14ac:dyDescent="0.2">
      <c r="A7690" s="496"/>
      <c r="D7690" s="496"/>
    </row>
    <row r="7691" spans="1:4" x14ac:dyDescent="0.2">
      <c r="A7691" s="496"/>
      <c r="D7691" s="496"/>
    </row>
    <row r="7692" spans="1:4" x14ac:dyDescent="0.2">
      <c r="A7692" s="496"/>
      <c r="D7692" s="496"/>
    </row>
    <row r="7693" spans="1:4" x14ac:dyDescent="0.2">
      <c r="A7693" s="496"/>
      <c r="D7693" s="496"/>
    </row>
    <row r="7694" spans="1:4" x14ac:dyDescent="0.2">
      <c r="A7694" s="496"/>
      <c r="D7694" s="496"/>
    </row>
    <row r="7695" spans="1:4" x14ac:dyDescent="0.2">
      <c r="A7695" s="496"/>
      <c r="D7695" s="496"/>
    </row>
    <row r="7696" spans="1:4" x14ac:dyDescent="0.2">
      <c r="A7696" s="496"/>
      <c r="D7696" s="496"/>
    </row>
    <row r="7697" spans="1:4" x14ac:dyDescent="0.2">
      <c r="A7697" s="496"/>
      <c r="D7697" s="496"/>
    </row>
    <row r="7698" spans="1:4" x14ac:dyDescent="0.2">
      <c r="A7698" s="496"/>
      <c r="D7698" s="496"/>
    </row>
    <row r="7699" spans="1:4" x14ac:dyDescent="0.2">
      <c r="A7699" s="496"/>
      <c r="D7699" s="496"/>
    </row>
    <row r="7700" spans="1:4" x14ac:dyDescent="0.2">
      <c r="A7700" s="496"/>
      <c r="D7700" s="496"/>
    </row>
    <row r="7701" spans="1:4" x14ac:dyDescent="0.2">
      <c r="A7701" s="496"/>
      <c r="D7701" s="496"/>
    </row>
    <row r="7702" spans="1:4" x14ac:dyDescent="0.2">
      <c r="A7702" s="496"/>
      <c r="D7702" s="496"/>
    </row>
    <row r="7703" spans="1:4" x14ac:dyDescent="0.2">
      <c r="A7703" s="496"/>
      <c r="D7703" s="496"/>
    </row>
    <row r="7704" spans="1:4" x14ac:dyDescent="0.2">
      <c r="A7704" s="496"/>
      <c r="D7704" s="496"/>
    </row>
    <row r="7705" spans="1:4" x14ac:dyDescent="0.2">
      <c r="A7705" s="496"/>
      <c r="D7705" s="496"/>
    </row>
    <row r="7706" spans="1:4" x14ac:dyDescent="0.2">
      <c r="A7706" s="496"/>
      <c r="D7706" s="496"/>
    </row>
    <row r="7707" spans="1:4" x14ac:dyDescent="0.2">
      <c r="A7707" s="496"/>
      <c r="D7707" s="496"/>
    </row>
    <row r="7708" spans="1:4" x14ac:dyDescent="0.2">
      <c r="A7708" s="496"/>
      <c r="D7708" s="496"/>
    </row>
    <row r="7709" spans="1:4" x14ac:dyDescent="0.2">
      <c r="A7709" s="496"/>
      <c r="D7709" s="496"/>
    </row>
    <row r="7710" spans="1:4" x14ac:dyDescent="0.2">
      <c r="A7710" s="496"/>
      <c r="D7710" s="496"/>
    </row>
    <row r="7711" spans="1:4" x14ac:dyDescent="0.2">
      <c r="A7711" s="496"/>
      <c r="D7711" s="496"/>
    </row>
    <row r="7712" spans="1:4" x14ac:dyDescent="0.2">
      <c r="A7712" s="496"/>
      <c r="D7712" s="496"/>
    </row>
    <row r="7713" spans="1:4" x14ac:dyDescent="0.2">
      <c r="A7713" s="496"/>
      <c r="D7713" s="496"/>
    </row>
    <row r="7714" spans="1:4" x14ac:dyDescent="0.2">
      <c r="A7714" s="496"/>
      <c r="D7714" s="496"/>
    </row>
    <row r="7715" spans="1:4" x14ac:dyDescent="0.2">
      <c r="A7715" s="496"/>
      <c r="D7715" s="496"/>
    </row>
    <row r="7716" spans="1:4" x14ac:dyDescent="0.2">
      <c r="A7716" s="496"/>
      <c r="D7716" s="496"/>
    </row>
    <row r="7717" spans="1:4" x14ac:dyDescent="0.2">
      <c r="A7717" s="496"/>
      <c r="D7717" s="496"/>
    </row>
    <row r="7718" spans="1:4" x14ac:dyDescent="0.2">
      <c r="A7718" s="496"/>
      <c r="D7718" s="496"/>
    </row>
    <row r="7719" spans="1:4" x14ac:dyDescent="0.2">
      <c r="A7719" s="496"/>
      <c r="D7719" s="496"/>
    </row>
    <row r="7720" spans="1:4" x14ac:dyDescent="0.2">
      <c r="A7720" s="496"/>
      <c r="D7720" s="496"/>
    </row>
    <row r="7721" spans="1:4" x14ac:dyDescent="0.2">
      <c r="A7721" s="496"/>
      <c r="D7721" s="496"/>
    </row>
    <row r="7722" spans="1:4" x14ac:dyDescent="0.2">
      <c r="A7722" s="496"/>
      <c r="D7722" s="496"/>
    </row>
    <row r="7723" spans="1:4" x14ac:dyDescent="0.2">
      <c r="A7723" s="496"/>
      <c r="D7723" s="496"/>
    </row>
    <row r="7724" spans="1:4" x14ac:dyDescent="0.2">
      <c r="A7724" s="496"/>
      <c r="D7724" s="496"/>
    </row>
    <row r="7725" spans="1:4" x14ac:dyDescent="0.2">
      <c r="A7725" s="496"/>
      <c r="D7725" s="496"/>
    </row>
    <row r="7726" spans="1:4" x14ac:dyDescent="0.2">
      <c r="A7726" s="496"/>
      <c r="D7726" s="496"/>
    </row>
    <row r="7727" spans="1:4" x14ac:dyDescent="0.2">
      <c r="A7727" s="496"/>
      <c r="D7727" s="496"/>
    </row>
    <row r="7728" spans="1:4" x14ac:dyDescent="0.2">
      <c r="A7728" s="496"/>
      <c r="D7728" s="496"/>
    </row>
    <row r="7729" spans="1:4" x14ac:dyDescent="0.2">
      <c r="A7729" s="496"/>
      <c r="D7729" s="496"/>
    </row>
    <row r="7730" spans="1:4" x14ac:dyDescent="0.2">
      <c r="A7730" s="496"/>
      <c r="D7730" s="496"/>
    </row>
    <row r="7731" spans="1:4" x14ac:dyDescent="0.2">
      <c r="A7731" s="496"/>
      <c r="D7731" s="496"/>
    </row>
    <row r="7732" spans="1:4" x14ac:dyDescent="0.2">
      <c r="A7732" s="496"/>
      <c r="D7732" s="496"/>
    </row>
    <row r="7733" spans="1:4" x14ac:dyDescent="0.2">
      <c r="A7733" s="496"/>
      <c r="D7733" s="496"/>
    </row>
    <row r="7734" spans="1:4" x14ac:dyDescent="0.2">
      <c r="A7734" s="496"/>
      <c r="D7734" s="496"/>
    </row>
    <row r="7735" spans="1:4" x14ac:dyDescent="0.2">
      <c r="A7735" s="496"/>
      <c r="D7735" s="496"/>
    </row>
    <row r="7736" spans="1:4" x14ac:dyDescent="0.2">
      <c r="A7736" s="496"/>
      <c r="D7736" s="496"/>
    </row>
    <row r="7737" spans="1:4" x14ac:dyDescent="0.2">
      <c r="A7737" s="496"/>
      <c r="D7737" s="496"/>
    </row>
    <row r="7738" spans="1:4" x14ac:dyDescent="0.2">
      <c r="A7738" s="496"/>
      <c r="D7738" s="496"/>
    </row>
    <row r="7739" spans="1:4" x14ac:dyDescent="0.2">
      <c r="A7739" s="496"/>
      <c r="D7739" s="496"/>
    </row>
    <row r="7740" spans="1:4" x14ac:dyDescent="0.2">
      <c r="A7740" s="496"/>
      <c r="D7740" s="496"/>
    </row>
    <row r="7741" spans="1:4" x14ac:dyDescent="0.2">
      <c r="A7741" s="496"/>
      <c r="D7741" s="496"/>
    </row>
    <row r="7742" spans="1:4" x14ac:dyDescent="0.2">
      <c r="A7742" s="496"/>
      <c r="D7742" s="496"/>
    </row>
    <row r="7743" spans="1:4" x14ac:dyDescent="0.2">
      <c r="A7743" s="496"/>
      <c r="D7743" s="496"/>
    </row>
    <row r="7744" spans="1:4" x14ac:dyDescent="0.2">
      <c r="A7744" s="496"/>
      <c r="D7744" s="496"/>
    </row>
    <row r="7745" spans="1:4" x14ac:dyDescent="0.2">
      <c r="A7745" s="496"/>
      <c r="D7745" s="496"/>
    </row>
    <row r="7746" spans="1:4" x14ac:dyDescent="0.2">
      <c r="A7746" s="496"/>
      <c r="D7746" s="496"/>
    </row>
    <row r="7747" spans="1:4" x14ac:dyDescent="0.2">
      <c r="A7747" s="496"/>
      <c r="D7747" s="496"/>
    </row>
    <row r="7748" spans="1:4" x14ac:dyDescent="0.2">
      <c r="A7748" s="496"/>
      <c r="D7748" s="496"/>
    </row>
    <row r="7749" spans="1:4" x14ac:dyDescent="0.2">
      <c r="A7749" s="496"/>
      <c r="D7749" s="496"/>
    </row>
    <row r="7750" spans="1:4" x14ac:dyDescent="0.2">
      <c r="A7750" s="496"/>
      <c r="D7750" s="496"/>
    </row>
    <row r="7751" spans="1:4" x14ac:dyDescent="0.2">
      <c r="A7751" s="496"/>
      <c r="D7751" s="496"/>
    </row>
    <row r="7752" spans="1:4" x14ac:dyDescent="0.2">
      <c r="A7752" s="496"/>
      <c r="D7752" s="496"/>
    </row>
    <row r="7753" spans="1:4" x14ac:dyDescent="0.2">
      <c r="A7753" s="496"/>
      <c r="D7753" s="496"/>
    </row>
    <row r="7754" spans="1:4" x14ac:dyDescent="0.2">
      <c r="A7754" s="496"/>
      <c r="D7754" s="496"/>
    </row>
    <row r="7755" spans="1:4" x14ac:dyDescent="0.2">
      <c r="A7755" s="496"/>
      <c r="D7755" s="496"/>
    </row>
    <row r="7756" spans="1:4" x14ac:dyDescent="0.2">
      <c r="A7756" s="496"/>
      <c r="D7756" s="496"/>
    </row>
    <row r="7757" spans="1:4" x14ac:dyDescent="0.2">
      <c r="A7757" s="496"/>
      <c r="D7757" s="496"/>
    </row>
    <row r="7758" spans="1:4" x14ac:dyDescent="0.2">
      <c r="A7758" s="496"/>
      <c r="D7758" s="496"/>
    </row>
    <row r="7759" spans="1:4" x14ac:dyDescent="0.2">
      <c r="A7759" s="496"/>
      <c r="D7759" s="496"/>
    </row>
    <row r="7760" spans="1:4" x14ac:dyDescent="0.2">
      <c r="A7760" s="496"/>
      <c r="D7760" s="496"/>
    </row>
    <row r="7761" spans="1:4" x14ac:dyDescent="0.2">
      <c r="A7761" s="496"/>
      <c r="D7761" s="496"/>
    </row>
    <row r="7762" spans="1:4" x14ac:dyDescent="0.2">
      <c r="A7762" s="496"/>
      <c r="D7762" s="496"/>
    </row>
    <row r="7763" spans="1:4" x14ac:dyDescent="0.2">
      <c r="A7763" s="496"/>
      <c r="D7763" s="496"/>
    </row>
    <row r="7764" spans="1:4" x14ac:dyDescent="0.2">
      <c r="A7764" s="496"/>
      <c r="D7764" s="496"/>
    </row>
    <row r="7765" spans="1:4" x14ac:dyDescent="0.2">
      <c r="A7765" s="496"/>
      <c r="D7765" s="496"/>
    </row>
    <row r="7766" spans="1:4" x14ac:dyDescent="0.2">
      <c r="A7766" s="496"/>
      <c r="D7766" s="496"/>
    </row>
    <row r="7767" spans="1:4" x14ac:dyDescent="0.2">
      <c r="A7767" s="496"/>
      <c r="D7767" s="496"/>
    </row>
    <row r="7768" spans="1:4" x14ac:dyDescent="0.2">
      <c r="A7768" s="496"/>
      <c r="D7768" s="496"/>
    </row>
    <row r="7769" spans="1:4" x14ac:dyDescent="0.2">
      <c r="A7769" s="496"/>
      <c r="D7769" s="496"/>
    </row>
    <row r="7770" spans="1:4" x14ac:dyDescent="0.2">
      <c r="A7770" s="496"/>
      <c r="D7770" s="496"/>
    </row>
    <row r="7771" spans="1:4" x14ac:dyDescent="0.2">
      <c r="A7771" s="496"/>
      <c r="D7771" s="496"/>
    </row>
    <row r="7772" spans="1:4" x14ac:dyDescent="0.2">
      <c r="A7772" s="496"/>
      <c r="D7772" s="496"/>
    </row>
    <row r="7773" spans="1:4" x14ac:dyDescent="0.2">
      <c r="A7773" s="496"/>
      <c r="D7773" s="496"/>
    </row>
    <row r="7774" spans="1:4" x14ac:dyDescent="0.2">
      <c r="A7774" s="496"/>
      <c r="D7774" s="496"/>
    </row>
    <row r="7775" spans="1:4" x14ac:dyDescent="0.2">
      <c r="A7775" s="496"/>
      <c r="D7775" s="496"/>
    </row>
    <row r="7776" spans="1:4" x14ac:dyDescent="0.2">
      <c r="A7776" s="496"/>
      <c r="D7776" s="496"/>
    </row>
    <row r="7777" spans="1:4" x14ac:dyDescent="0.2">
      <c r="A7777" s="496"/>
      <c r="D7777" s="496"/>
    </row>
    <row r="7778" spans="1:4" x14ac:dyDescent="0.2">
      <c r="A7778" s="496"/>
      <c r="D7778" s="496"/>
    </row>
    <row r="7779" spans="1:4" x14ac:dyDescent="0.2">
      <c r="A7779" s="496"/>
      <c r="D7779" s="496"/>
    </row>
    <row r="7780" spans="1:4" x14ac:dyDescent="0.2">
      <c r="A7780" s="496"/>
      <c r="D7780" s="496"/>
    </row>
    <row r="7781" spans="1:4" x14ac:dyDescent="0.2">
      <c r="A7781" s="496"/>
      <c r="D7781" s="496"/>
    </row>
    <row r="7782" spans="1:4" x14ac:dyDescent="0.2">
      <c r="A7782" s="496"/>
      <c r="D7782" s="496"/>
    </row>
    <row r="7783" spans="1:4" x14ac:dyDescent="0.2">
      <c r="A7783" s="496"/>
      <c r="D7783" s="496"/>
    </row>
    <row r="7784" spans="1:4" x14ac:dyDescent="0.2">
      <c r="A7784" s="496"/>
      <c r="D7784" s="496"/>
    </row>
    <row r="7785" spans="1:4" x14ac:dyDescent="0.2">
      <c r="A7785" s="496"/>
      <c r="D7785" s="496"/>
    </row>
    <row r="7786" spans="1:4" x14ac:dyDescent="0.2">
      <c r="A7786" s="496"/>
      <c r="D7786" s="496"/>
    </row>
    <row r="7787" spans="1:4" x14ac:dyDescent="0.2">
      <c r="A7787" s="496"/>
      <c r="D7787" s="496"/>
    </row>
    <row r="7788" spans="1:4" x14ac:dyDescent="0.2">
      <c r="A7788" s="496"/>
      <c r="D7788" s="496"/>
    </row>
    <row r="7789" spans="1:4" x14ac:dyDescent="0.2">
      <c r="A7789" s="496"/>
      <c r="D7789" s="496"/>
    </row>
    <row r="7790" spans="1:4" x14ac:dyDescent="0.2">
      <c r="A7790" s="496"/>
      <c r="D7790" s="496"/>
    </row>
    <row r="7791" spans="1:4" x14ac:dyDescent="0.2">
      <c r="A7791" s="496"/>
      <c r="D7791" s="496"/>
    </row>
    <row r="7792" spans="1:4" x14ac:dyDescent="0.2">
      <c r="A7792" s="496"/>
      <c r="D7792" s="496"/>
    </row>
    <row r="7793" spans="1:4" x14ac:dyDescent="0.2">
      <c r="A7793" s="496"/>
      <c r="D7793" s="496"/>
    </row>
    <row r="7794" spans="1:4" x14ac:dyDescent="0.2">
      <c r="A7794" s="496"/>
      <c r="D7794" s="496"/>
    </row>
    <row r="7795" spans="1:4" x14ac:dyDescent="0.2">
      <c r="A7795" s="496"/>
      <c r="D7795" s="496"/>
    </row>
    <row r="7796" spans="1:4" x14ac:dyDescent="0.2">
      <c r="A7796" s="496"/>
      <c r="D7796" s="496"/>
    </row>
    <row r="7797" spans="1:4" x14ac:dyDescent="0.2">
      <c r="A7797" s="496"/>
      <c r="D7797" s="496"/>
    </row>
    <row r="7798" spans="1:4" x14ac:dyDescent="0.2">
      <c r="A7798" s="496"/>
      <c r="D7798" s="496"/>
    </row>
    <row r="7799" spans="1:4" x14ac:dyDescent="0.2">
      <c r="A7799" s="496"/>
      <c r="D7799" s="496"/>
    </row>
    <row r="7800" spans="1:4" x14ac:dyDescent="0.2">
      <c r="A7800" s="496"/>
      <c r="D7800" s="496"/>
    </row>
    <row r="7801" spans="1:4" x14ac:dyDescent="0.2">
      <c r="A7801" s="496"/>
      <c r="D7801" s="496"/>
    </row>
    <row r="7802" spans="1:4" x14ac:dyDescent="0.2">
      <c r="A7802" s="496"/>
      <c r="D7802" s="496"/>
    </row>
    <row r="7803" spans="1:4" x14ac:dyDescent="0.2">
      <c r="A7803" s="496"/>
      <c r="D7803" s="496"/>
    </row>
    <row r="7804" spans="1:4" x14ac:dyDescent="0.2">
      <c r="A7804" s="496"/>
      <c r="D7804" s="496"/>
    </row>
    <row r="7805" spans="1:4" x14ac:dyDescent="0.2">
      <c r="A7805" s="496"/>
      <c r="D7805" s="496"/>
    </row>
    <row r="7806" spans="1:4" x14ac:dyDescent="0.2">
      <c r="A7806" s="496"/>
      <c r="D7806" s="496"/>
    </row>
    <row r="7807" spans="1:4" x14ac:dyDescent="0.2">
      <c r="A7807" s="496"/>
      <c r="D7807" s="496"/>
    </row>
    <row r="7808" spans="1:4" x14ac:dyDescent="0.2">
      <c r="A7808" s="496"/>
      <c r="D7808" s="496"/>
    </row>
    <row r="7809" spans="1:4" x14ac:dyDescent="0.2">
      <c r="A7809" s="496"/>
      <c r="D7809" s="496"/>
    </row>
    <row r="7810" spans="1:4" x14ac:dyDescent="0.2">
      <c r="A7810" s="496"/>
      <c r="D7810" s="496"/>
    </row>
    <row r="7811" spans="1:4" x14ac:dyDescent="0.2">
      <c r="A7811" s="496"/>
      <c r="D7811" s="496"/>
    </row>
    <row r="7812" spans="1:4" x14ac:dyDescent="0.2">
      <c r="A7812" s="496"/>
      <c r="D7812" s="496"/>
    </row>
    <row r="7813" spans="1:4" x14ac:dyDescent="0.2">
      <c r="A7813" s="496"/>
      <c r="D7813" s="496"/>
    </row>
    <row r="7814" spans="1:4" x14ac:dyDescent="0.2">
      <c r="A7814" s="496"/>
      <c r="D7814" s="496"/>
    </row>
    <row r="7815" spans="1:4" x14ac:dyDescent="0.2">
      <c r="A7815" s="496"/>
      <c r="D7815" s="496"/>
    </row>
    <row r="7816" spans="1:4" x14ac:dyDescent="0.2">
      <c r="A7816" s="496"/>
      <c r="D7816" s="496"/>
    </row>
    <row r="7817" spans="1:4" x14ac:dyDescent="0.2">
      <c r="A7817" s="496"/>
      <c r="D7817" s="496"/>
    </row>
    <row r="7818" spans="1:4" x14ac:dyDescent="0.2">
      <c r="A7818" s="496"/>
      <c r="D7818" s="496"/>
    </row>
    <row r="7819" spans="1:4" x14ac:dyDescent="0.2">
      <c r="A7819" s="496"/>
      <c r="D7819" s="496"/>
    </row>
    <row r="7820" spans="1:4" x14ac:dyDescent="0.2">
      <c r="A7820" s="496"/>
      <c r="D7820" s="496"/>
    </row>
    <row r="7821" spans="1:4" x14ac:dyDescent="0.2">
      <c r="A7821" s="496"/>
      <c r="D7821" s="496"/>
    </row>
    <row r="7822" spans="1:4" x14ac:dyDescent="0.2">
      <c r="A7822" s="496"/>
      <c r="D7822" s="496"/>
    </row>
    <row r="7823" spans="1:4" x14ac:dyDescent="0.2">
      <c r="A7823" s="496"/>
      <c r="D7823" s="496"/>
    </row>
    <row r="7824" spans="1:4" x14ac:dyDescent="0.2">
      <c r="A7824" s="496"/>
      <c r="D7824" s="496"/>
    </row>
    <row r="7825" spans="1:4" x14ac:dyDescent="0.2">
      <c r="A7825" s="496"/>
      <c r="D7825" s="496"/>
    </row>
    <row r="7826" spans="1:4" x14ac:dyDescent="0.2">
      <c r="A7826" s="496"/>
      <c r="D7826" s="496"/>
    </row>
    <row r="7827" spans="1:4" x14ac:dyDescent="0.2">
      <c r="A7827" s="496"/>
      <c r="D7827" s="496"/>
    </row>
    <row r="7828" spans="1:4" x14ac:dyDescent="0.2">
      <c r="A7828" s="496"/>
      <c r="D7828" s="496"/>
    </row>
    <row r="7829" spans="1:4" x14ac:dyDescent="0.2">
      <c r="A7829" s="496"/>
      <c r="D7829" s="496"/>
    </row>
    <row r="7830" spans="1:4" x14ac:dyDescent="0.2">
      <c r="A7830" s="496"/>
      <c r="D7830" s="496"/>
    </row>
    <row r="7831" spans="1:4" x14ac:dyDescent="0.2">
      <c r="A7831" s="496"/>
      <c r="D7831" s="496"/>
    </row>
    <row r="7832" spans="1:4" x14ac:dyDescent="0.2">
      <c r="A7832" s="496"/>
      <c r="D7832" s="496"/>
    </row>
    <row r="7833" spans="1:4" x14ac:dyDescent="0.2">
      <c r="A7833" s="496"/>
      <c r="D7833" s="496"/>
    </row>
    <row r="7834" spans="1:4" x14ac:dyDescent="0.2">
      <c r="A7834" s="496"/>
      <c r="D7834" s="496"/>
    </row>
    <row r="7835" spans="1:4" x14ac:dyDescent="0.2">
      <c r="A7835" s="496"/>
      <c r="D7835" s="496"/>
    </row>
    <row r="7836" spans="1:4" x14ac:dyDescent="0.2">
      <c r="A7836" s="496"/>
      <c r="D7836" s="496"/>
    </row>
    <row r="7837" spans="1:4" x14ac:dyDescent="0.2">
      <c r="A7837" s="496"/>
      <c r="D7837" s="496"/>
    </row>
    <row r="7838" spans="1:4" x14ac:dyDescent="0.2">
      <c r="A7838" s="496"/>
      <c r="D7838" s="496"/>
    </row>
    <row r="7839" spans="1:4" x14ac:dyDescent="0.2">
      <c r="A7839" s="496"/>
      <c r="D7839" s="496"/>
    </row>
    <row r="7840" spans="1:4" x14ac:dyDescent="0.2">
      <c r="A7840" s="496"/>
      <c r="D7840" s="496"/>
    </row>
    <row r="7841" spans="1:4" x14ac:dyDescent="0.2">
      <c r="A7841" s="496"/>
      <c r="D7841" s="496"/>
    </row>
    <row r="7842" spans="1:4" x14ac:dyDescent="0.2">
      <c r="A7842" s="496"/>
      <c r="D7842" s="496"/>
    </row>
    <row r="7843" spans="1:4" x14ac:dyDescent="0.2">
      <c r="A7843" s="496"/>
      <c r="D7843" s="496"/>
    </row>
    <row r="7844" spans="1:4" x14ac:dyDescent="0.2">
      <c r="A7844" s="496"/>
      <c r="D7844" s="496"/>
    </row>
    <row r="7845" spans="1:4" x14ac:dyDescent="0.2">
      <c r="A7845" s="496"/>
      <c r="D7845" s="496"/>
    </row>
    <row r="7846" spans="1:4" x14ac:dyDescent="0.2">
      <c r="A7846" s="496"/>
      <c r="D7846" s="496"/>
    </row>
    <row r="7847" spans="1:4" x14ac:dyDescent="0.2">
      <c r="A7847" s="496"/>
      <c r="D7847" s="496"/>
    </row>
    <row r="7848" spans="1:4" x14ac:dyDescent="0.2">
      <c r="A7848" s="496"/>
      <c r="D7848" s="496"/>
    </row>
    <row r="7849" spans="1:4" x14ac:dyDescent="0.2">
      <c r="A7849" s="496"/>
      <c r="D7849" s="496"/>
    </row>
    <row r="7850" spans="1:4" x14ac:dyDescent="0.2">
      <c r="A7850" s="496"/>
      <c r="D7850" s="496"/>
    </row>
    <row r="7851" spans="1:4" x14ac:dyDescent="0.2">
      <c r="A7851" s="496"/>
      <c r="D7851" s="496"/>
    </row>
    <row r="7852" spans="1:4" x14ac:dyDescent="0.2">
      <c r="A7852" s="496"/>
      <c r="D7852" s="496"/>
    </row>
    <row r="7853" spans="1:4" x14ac:dyDescent="0.2">
      <c r="A7853" s="496"/>
      <c r="D7853" s="496"/>
    </row>
    <row r="7854" spans="1:4" x14ac:dyDescent="0.2">
      <c r="A7854" s="496"/>
      <c r="D7854" s="496"/>
    </row>
    <row r="7855" spans="1:4" x14ac:dyDescent="0.2">
      <c r="A7855" s="496"/>
      <c r="D7855" s="496"/>
    </row>
    <row r="7856" spans="1:4" x14ac:dyDescent="0.2">
      <c r="A7856" s="496"/>
      <c r="D7856" s="496"/>
    </row>
    <row r="7857" spans="1:4" x14ac:dyDescent="0.2">
      <c r="A7857" s="496"/>
      <c r="D7857" s="496"/>
    </row>
    <row r="7858" spans="1:4" x14ac:dyDescent="0.2">
      <c r="A7858" s="496"/>
      <c r="D7858" s="496"/>
    </row>
    <row r="7859" spans="1:4" x14ac:dyDescent="0.2">
      <c r="A7859" s="496"/>
      <c r="D7859" s="496"/>
    </row>
    <row r="7860" spans="1:4" x14ac:dyDescent="0.2">
      <c r="A7860" s="496"/>
      <c r="D7860" s="496"/>
    </row>
    <row r="7861" spans="1:4" x14ac:dyDescent="0.2">
      <c r="A7861" s="496"/>
      <c r="D7861" s="496"/>
    </row>
    <row r="7862" spans="1:4" x14ac:dyDescent="0.2">
      <c r="A7862" s="496"/>
      <c r="D7862" s="496"/>
    </row>
    <row r="7863" spans="1:4" x14ac:dyDescent="0.2">
      <c r="A7863" s="496"/>
      <c r="D7863" s="496"/>
    </row>
    <row r="7864" spans="1:4" x14ac:dyDescent="0.2">
      <c r="A7864" s="496"/>
      <c r="D7864" s="496"/>
    </row>
    <row r="7865" spans="1:4" x14ac:dyDescent="0.2">
      <c r="A7865" s="496"/>
      <c r="D7865" s="496"/>
    </row>
    <row r="7866" spans="1:4" x14ac:dyDescent="0.2">
      <c r="A7866" s="496"/>
      <c r="D7866" s="496"/>
    </row>
    <row r="7867" spans="1:4" x14ac:dyDescent="0.2">
      <c r="A7867" s="496"/>
      <c r="D7867" s="496"/>
    </row>
    <row r="7868" spans="1:4" x14ac:dyDescent="0.2">
      <c r="A7868" s="496"/>
      <c r="D7868" s="496"/>
    </row>
    <row r="7869" spans="1:4" x14ac:dyDescent="0.2">
      <c r="A7869" s="496"/>
      <c r="D7869" s="496"/>
    </row>
    <row r="7870" spans="1:4" x14ac:dyDescent="0.2">
      <c r="A7870" s="496"/>
      <c r="D7870" s="496"/>
    </row>
    <row r="7871" spans="1:4" x14ac:dyDescent="0.2">
      <c r="A7871" s="496"/>
      <c r="D7871" s="496"/>
    </row>
    <row r="7872" spans="1:4" x14ac:dyDescent="0.2">
      <c r="A7872" s="496"/>
      <c r="D7872" s="496"/>
    </row>
    <row r="7873" spans="1:4" x14ac:dyDescent="0.2">
      <c r="A7873" s="496"/>
      <c r="D7873" s="496"/>
    </row>
    <row r="7874" spans="1:4" x14ac:dyDescent="0.2">
      <c r="A7874" s="496"/>
      <c r="D7874" s="496"/>
    </row>
    <row r="7875" spans="1:4" x14ac:dyDescent="0.2">
      <c r="A7875" s="496"/>
      <c r="D7875" s="496"/>
    </row>
    <row r="7876" spans="1:4" x14ac:dyDescent="0.2">
      <c r="A7876" s="496"/>
      <c r="D7876" s="496"/>
    </row>
    <row r="7877" spans="1:4" x14ac:dyDescent="0.2">
      <c r="A7877" s="496"/>
      <c r="D7877" s="496"/>
    </row>
    <row r="7878" spans="1:4" x14ac:dyDescent="0.2">
      <c r="A7878" s="496"/>
      <c r="D7878" s="496"/>
    </row>
    <row r="7879" spans="1:4" x14ac:dyDescent="0.2">
      <c r="A7879" s="496"/>
      <c r="D7879" s="496"/>
    </row>
    <row r="7880" spans="1:4" x14ac:dyDescent="0.2">
      <c r="A7880" s="496"/>
      <c r="D7880" s="496"/>
    </row>
    <row r="7881" spans="1:4" x14ac:dyDescent="0.2">
      <c r="A7881" s="496"/>
      <c r="D7881" s="496"/>
    </row>
    <row r="7882" spans="1:4" x14ac:dyDescent="0.2">
      <c r="A7882" s="496"/>
      <c r="D7882" s="496"/>
    </row>
    <row r="7883" spans="1:4" x14ac:dyDescent="0.2">
      <c r="A7883" s="496"/>
      <c r="D7883" s="496"/>
    </row>
    <row r="7884" spans="1:4" x14ac:dyDescent="0.2">
      <c r="A7884" s="496"/>
      <c r="D7884" s="496"/>
    </row>
    <row r="7885" spans="1:4" x14ac:dyDescent="0.2">
      <c r="A7885" s="496"/>
      <c r="D7885" s="496"/>
    </row>
    <row r="7886" spans="1:4" x14ac:dyDescent="0.2">
      <c r="A7886" s="496"/>
      <c r="D7886" s="496"/>
    </row>
    <row r="7887" spans="1:4" x14ac:dyDescent="0.2">
      <c r="A7887" s="496"/>
      <c r="D7887" s="496"/>
    </row>
    <row r="7888" spans="1:4" x14ac:dyDescent="0.2">
      <c r="A7888" s="496"/>
      <c r="D7888" s="496"/>
    </row>
    <row r="7889" spans="1:4" x14ac:dyDescent="0.2">
      <c r="A7889" s="496"/>
      <c r="D7889" s="496"/>
    </row>
    <row r="7890" spans="1:4" x14ac:dyDescent="0.2">
      <c r="A7890" s="496"/>
      <c r="D7890" s="496"/>
    </row>
    <row r="7891" spans="1:4" x14ac:dyDescent="0.2">
      <c r="A7891" s="496"/>
      <c r="D7891" s="496"/>
    </row>
    <row r="7892" spans="1:4" x14ac:dyDescent="0.2">
      <c r="A7892" s="496"/>
      <c r="D7892" s="496"/>
    </row>
    <row r="7893" spans="1:4" x14ac:dyDescent="0.2">
      <c r="A7893" s="496"/>
      <c r="D7893" s="496"/>
    </row>
    <row r="7894" spans="1:4" x14ac:dyDescent="0.2">
      <c r="A7894" s="496"/>
      <c r="D7894" s="496"/>
    </row>
    <row r="7895" spans="1:4" x14ac:dyDescent="0.2">
      <c r="A7895" s="496"/>
      <c r="D7895" s="496"/>
    </row>
    <row r="7896" spans="1:4" x14ac:dyDescent="0.2">
      <c r="A7896" s="496"/>
      <c r="D7896" s="496"/>
    </row>
    <row r="7897" spans="1:4" x14ac:dyDescent="0.2">
      <c r="A7897" s="496"/>
      <c r="D7897" s="496"/>
    </row>
    <row r="7898" spans="1:4" x14ac:dyDescent="0.2">
      <c r="A7898" s="496"/>
      <c r="D7898" s="496"/>
    </row>
    <row r="7899" spans="1:4" x14ac:dyDescent="0.2">
      <c r="A7899" s="496"/>
      <c r="D7899" s="496"/>
    </row>
    <row r="7900" spans="1:4" x14ac:dyDescent="0.2">
      <c r="A7900" s="496"/>
      <c r="D7900" s="496"/>
    </row>
    <row r="7901" spans="1:4" x14ac:dyDescent="0.2">
      <c r="A7901" s="496"/>
      <c r="D7901" s="496"/>
    </row>
    <row r="7902" spans="1:4" x14ac:dyDescent="0.2">
      <c r="A7902" s="496"/>
      <c r="D7902" s="496"/>
    </row>
    <row r="7903" spans="1:4" x14ac:dyDescent="0.2">
      <c r="A7903" s="496"/>
      <c r="D7903" s="496"/>
    </row>
    <row r="7904" spans="1:4" x14ac:dyDescent="0.2">
      <c r="A7904" s="496"/>
      <c r="D7904" s="496"/>
    </row>
    <row r="7905" spans="1:4" x14ac:dyDescent="0.2">
      <c r="A7905" s="496"/>
      <c r="D7905" s="496"/>
    </row>
    <row r="7906" spans="1:4" x14ac:dyDescent="0.2">
      <c r="A7906" s="496"/>
      <c r="D7906" s="496"/>
    </row>
    <row r="7907" spans="1:4" x14ac:dyDescent="0.2">
      <c r="A7907" s="496"/>
      <c r="D7907" s="496"/>
    </row>
    <row r="7908" spans="1:4" x14ac:dyDescent="0.2">
      <c r="A7908" s="496"/>
      <c r="D7908" s="496"/>
    </row>
    <row r="7909" spans="1:4" x14ac:dyDescent="0.2">
      <c r="A7909" s="496"/>
      <c r="D7909" s="496"/>
    </row>
    <row r="7910" spans="1:4" x14ac:dyDescent="0.2">
      <c r="A7910" s="496"/>
      <c r="D7910" s="496"/>
    </row>
    <row r="7911" spans="1:4" x14ac:dyDescent="0.2">
      <c r="A7911" s="496"/>
      <c r="D7911" s="496"/>
    </row>
    <row r="7912" spans="1:4" x14ac:dyDescent="0.2">
      <c r="A7912" s="496"/>
      <c r="D7912" s="496"/>
    </row>
    <row r="7913" spans="1:4" x14ac:dyDescent="0.2">
      <c r="A7913" s="496"/>
      <c r="D7913" s="496"/>
    </row>
    <row r="7914" spans="1:4" x14ac:dyDescent="0.2">
      <c r="A7914" s="496"/>
      <c r="D7914" s="496"/>
    </row>
    <row r="7915" spans="1:4" x14ac:dyDescent="0.2">
      <c r="A7915" s="496"/>
      <c r="D7915" s="496"/>
    </row>
    <row r="7916" spans="1:4" x14ac:dyDescent="0.2">
      <c r="A7916" s="496"/>
      <c r="D7916" s="496"/>
    </row>
    <row r="7917" spans="1:4" x14ac:dyDescent="0.2">
      <c r="A7917" s="496"/>
      <c r="D7917" s="496"/>
    </row>
    <row r="7918" spans="1:4" x14ac:dyDescent="0.2">
      <c r="A7918" s="496"/>
      <c r="D7918" s="496"/>
    </row>
    <row r="7919" spans="1:4" x14ac:dyDescent="0.2">
      <c r="A7919" s="496"/>
      <c r="D7919" s="496"/>
    </row>
    <row r="7920" spans="1:4" x14ac:dyDescent="0.2">
      <c r="A7920" s="496"/>
      <c r="D7920" s="496"/>
    </row>
    <row r="7921" spans="1:4" x14ac:dyDescent="0.2">
      <c r="A7921" s="496"/>
      <c r="D7921" s="496"/>
    </row>
    <row r="7922" spans="1:4" x14ac:dyDescent="0.2">
      <c r="A7922" s="496"/>
      <c r="D7922" s="496"/>
    </row>
    <row r="7923" spans="1:4" x14ac:dyDescent="0.2">
      <c r="A7923" s="496"/>
      <c r="D7923" s="496"/>
    </row>
    <row r="7924" spans="1:4" x14ac:dyDescent="0.2">
      <c r="A7924" s="496"/>
      <c r="D7924" s="496"/>
    </row>
    <row r="7925" spans="1:4" x14ac:dyDescent="0.2">
      <c r="A7925" s="496"/>
      <c r="D7925" s="496"/>
    </row>
    <row r="7926" spans="1:4" x14ac:dyDescent="0.2">
      <c r="A7926" s="496"/>
      <c r="D7926" s="496"/>
    </row>
    <row r="7927" spans="1:4" x14ac:dyDescent="0.2">
      <c r="A7927" s="496"/>
      <c r="D7927" s="496"/>
    </row>
    <row r="7928" spans="1:4" x14ac:dyDescent="0.2">
      <c r="A7928" s="496"/>
      <c r="D7928" s="496"/>
    </row>
    <row r="7929" spans="1:4" x14ac:dyDescent="0.2">
      <c r="A7929" s="496"/>
      <c r="D7929" s="496"/>
    </row>
    <row r="7930" spans="1:4" x14ac:dyDescent="0.2">
      <c r="A7930" s="496"/>
      <c r="D7930" s="496"/>
    </row>
    <row r="7931" spans="1:4" x14ac:dyDescent="0.2">
      <c r="A7931" s="496"/>
      <c r="D7931" s="496"/>
    </row>
    <row r="7932" spans="1:4" x14ac:dyDescent="0.2">
      <c r="A7932" s="496"/>
      <c r="D7932" s="496"/>
    </row>
    <row r="7933" spans="1:4" x14ac:dyDescent="0.2">
      <c r="A7933" s="496"/>
      <c r="D7933" s="496"/>
    </row>
    <row r="7934" spans="1:4" x14ac:dyDescent="0.2">
      <c r="A7934" s="496"/>
      <c r="D7934" s="496"/>
    </row>
    <row r="7935" spans="1:4" x14ac:dyDescent="0.2">
      <c r="A7935" s="496"/>
      <c r="D7935" s="496"/>
    </row>
    <row r="7936" spans="1:4" x14ac:dyDescent="0.2">
      <c r="A7936" s="496"/>
      <c r="D7936" s="496"/>
    </row>
    <row r="7937" spans="1:4" x14ac:dyDescent="0.2">
      <c r="A7937" s="496"/>
      <c r="D7937" s="496"/>
    </row>
    <row r="7938" spans="1:4" x14ac:dyDescent="0.2">
      <c r="A7938" s="496"/>
      <c r="D7938" s="496"/>
    </row>
    <row r="7939" spans="1:4" x14ac:dyDescent="0.2">
      <c r="A7939" s="496"/>
      <c r="D7939" s="496"/>
    </row>
    <row r="7940" spans="1:4" x14ac:dyDescent="0.2">
      <c r="A7940" s="496"/>
      <c r="D7940" s="496"/>
    </row>
    <row r="7941" spans="1:4" x14ac:dyDescent="0.2">
      <c r="A7941" s="496"/>
      <c r="D7941" s="496"/>
    </row>
    <row r="7942" spans="1:4" x14ac:dyDescent="0.2">
      <c r="A7942" s="496"/>
      <c r="D7942" s="496"/>
    </row>
    <row r="7943" spans="1:4" x14ac:dyDescent="0.2">
      <c r="A7943" s="496"/>
      <c r="D7943" s="496"/>
    </row>
    <row r="7944" spans="1:4" x14ac:dyDescent="0.2">
      <c r="A7944" s="496"/>
      <c r="D7944" s="496"/>
    </row>
    <row r="7945" spans="1:4" x14ac:dyDescent="0.2">
      <c r="A7945" s="496"/>
      <c r="D7945" s="496"/>
    </row>
    <row r="7946" spans="1:4" x14ac:dyDescent="0.2">
      <c r="A7946" s="496"/>
      <c r="D7946" s="496"/>
    </row>
    <row r="7947" spans="1:4" x14ac:dyDescent="0.2">
      <c r="A7947" s="496"/>
      <c r="D7947" s="496"/>
    </row>
    <row r="7948" spans="1:4" x14ac:dyDescent="0.2">
      <c r="A7948" s="496"/>
      <c r="D7948" s="496"/>
    </row>
    <row r="7949" spans="1:4" x14ac:dyDescent="0.2">
      <c r="A7949" s="496"/>
      <c r="D7949" s="496"/>
    </row>
    <row r="7950" spans="1:4" x14ac:dyDescent="0.2">
      <c r="A7950" s="496"/>
      <c r="D7950" s="496"/>
    </row>
    <row r="7951" spans="1:4" x14ac:dyDescent="0.2">
      <c r="A7951" s="496"/>
      <c r="D7951" s="496"/>
    </row>
    <row r="7952" spans="1:4" x14ac:dyDescent="0.2">
      <c r="A7952" s="496"/>
      <c r="D7952" s="496"/>
    </row>
    <row r="7953" spans="1:4" x14ac:dyDescent="0.2">
      <c r="A7953" s="496"/>
      <c r="D7953" s="496"/>
    </row>
    <row r="7954" spans="1:4" x14ac:dyDescent="0.2">
      <c r="A7954" s="496"/>
      <c r="D7954" s="496"/>
    </row>
    <row r="7955" spans="1:4" x14ac:dyDescent="0.2">
      <c r="A7955" s="496"/>
      <c r="D7955" s="496"/>
    </row>
    <row r="7956" spans="1:4" x14ac:dyDescent="0.2">
      <c r="A7956" s="496"/>
      <c r="D7956" s="496"/>
    </row>
    <row r="7957" spans="1:4" x14ac:dyDescent="0.2">
      <c r="A7957" s="496"/>
      <c r="D7957" s="496"/>
    </row>
    <row r="7958" spans="1:4" x14ac:dyDescent="0.2">
      <c r="A7958" s="496"/>
      <c r="D7958" s="496"/>
    </row>
    <row r="7959" spans="1:4" x14ac:dyDescent="0.2">
      <c r="A7959" s="496"/>
      <c r="D7959" s="496"/>
    </row>
    <row r="7960" spans="1:4" x14ac:dyDescent="0.2">
      <c r="A7960" s="496"/>
      <c r="D7960" s="496"/>
    </row>
    <row r="7961" spans="1:4" x14ac:dyDescent="0.2">
      <c r="A7961" s="496"/>
      <c r="D7961" s="496"/>
    </row>
    <row r="7962" spans="1:4" x14ac:dyDescent="0.2">
      <c r="A7962" s="496"/>
      <c r="D7962" s="496"/>
    </row>
    <row r="7963" spans="1:4" x14ac:dyDescent="0.2">
      <c r="A7963" s="496"/>
      <c r="D7963" s="496"/>
    </row>
    <row r="7964" spans="1:4" x14ac:dyDescent="0.2">
      <c r="A7964" s="496"/>
      <c r="D7964" s="496"/>
    </row>
    <row r="7965" spans="1:4" x14ac:dyDescent="0.2">
      <c r="A7965" s="496"/>
      <c r="D7965" s="496"/>
    </row>
    <row r="7966" spans="1:4" x14ac:dyDescent="0.2">
      <c r="A7966" s="496"/>
      <c r="D7966" s="496"/>
    </row>
    <row r="7967" spans="1:4" x14ac:dyDescent="0.2">
      <c r="A7967" s="496"/>
      <c r="D7967" s="496"/>
    </row>
    <row r="7968" spans="1:4" x14ac:dyDescent="0.2">
      <c r="A7968" s="496"/>
      <c r="D7968" s="496"/>
    </row>
    <row r="7969" spans="1:4" x14ac:dyDescent="0.2">
      <c r="A7969" s="496"/>
      <c r="D7969" s="496"/>
    </row>
    <row r="7970" spans="1:4" x14ac:dyDescent="0.2">
      <c r="A7970" s="496"/>
      <c r="D7970" s="496"/>
    </row>
    <row r="7971" spans="1:4" x14ac:dyDescent="0.2">
      <c r="A7971" s="496"/>
      <c r="D7971" s="496"/>
    </row>
    <row r="7972" spans="1:4" x14ac:dyDescent="0.2">
      <c r="A7972" s="496"/>
      <c r="D7972" s="496"/>
    </row>
    <row r="7973" spans="1:4" x14ac:dyDescent="0.2">
      <c r="A7973" s="496"/>
      <c r="D7973" s="496"/>
    </row>
    <row r="7974" spans="1:4" x14ac:dyDescent="0.2">
      <c r="A7974" s="496"/>
      <c r="D7974" s="496"/>
    </row>
    <row r="7975" spans="1:4" x14ac:dyDescent="0.2">
      <c r="A7975" s="496"/>
      <c r="D7975" s="496"/>
    </row>
    <row r="7976" spans="1:4" x14ac:dyDescent="0.2">
      <c r="A7976" s="496"/>
      <c r="D7976" s="496"/>
    </row>
    <row r="7977" spans="1:4" x14ac:dyDescent="0.2">
      <c r="A7977" s="496"/>
      <c r="D7977" s="496"/>
    </row>
    <row r="7978" spans="1:4" x14ac:dyDescent="0.2">
      <c r="A7978" s="496"/>
      <c r="D7978" s="496"/>
    </row>
    <row r="7979" spans="1:4" x14ac:dyDescent="0.2">
      <c r="A7979" s="496"/>
      <c r="D7979" s="496"/>
    </row>
    <row r="7980" spans="1:4" x14ac:dyDescent="0.2">
      <c r="A7980" s="496"/>
      <c r="D7980" s="496"/>
    </row>
    <row r="7981" spans="1:4" x14ac:dyDescent="0.2">
      <c r="A7981" s="496"/>
      <c r="D7981" s="496"/>
    </row>
    <row r="7982" spans="1:4" x14ac:dyDescent="0.2">
      <c r="A7982" s="496"/>
      <c r="D7982" s="496"/>
    </row>
    <row r="7983" spans="1:4" x14ac:dyDescent="0.2">
      <c r="A7983" s="496"/>
      <c r="D7983" s="496"/>
    </row>
    <row r="7984" spans="1:4" x14ac:dyDescent="0.2">
      <c r="A7984" s="496"/>
      <c r="D7984" s="496"/>
    </row>
    <row r="7985" spans="1:4" x14ac:dyDescent="0.2">
      <c r="A7985" s="496"/>
      <c r="D7985" s="496"/>
    </row>
    <row r="7986" spans="1:4" x14ac:dyDescent="0.2">
      <c r="A7986" s="496"/>
      <c r="D7986" s="496"/>
    </row>
    <row r="7987" spans="1:4" x14ac:dyDescent="0.2">
      <c r="A7987" s="496"/>
      <c r="D7987" s="496"/>
    </row>
    <row r="7988" spans="1:4" x14ac:dyDescent="0.2">
      <c r="A7988" s="496"/>
      <c r="D7988" s="496"/>
    </row>
    <row r="7989" spans="1:4" x14ac:dyDescent="0.2">
      <c r="A7989" s="496"/>
      <c r="D7989" s="496"/>
    </row>
    <row r="7990" spans="1:4" x14ac:dyDescent="0.2">
      <c r="A7990" s="496"/>
      <c r="D7990" s="496"/>
    </row>
    <row r="7991" spans="1:4" x14ac:dyDescent="0.2">
      <c r="A7991" s="496"/>
      <c r="D7991" s="496"/>
    </row>
    <row r="7992" spans="1:4" x14ac:dyDescent="0.2">
      <c r="A7992" s="496"/>
      <c r="D7992" s="496"/>
    </row>
    <row r="7993" spans="1:4" x14ac:dyDescent="0.2">
      <c r="A7993" s="496"/>
      <c r="D7993" s="496"/>
    </row>
    <row r="7994" spans="1:4" x14ac:dyDescent="0.2">
      <c r="A7994" s="496"/>
      <c r="D7994" s="496"/>
    </row>
    <row r="7995" spans="1:4" x14ac:dyDescent="0.2">
      <c r="A7995" s="496"/>
      <c r="D7995" s="496"/>
    </row>
    <row r="7996" spans="1:4" x14ac:dyDescent="0.2">
      <c r="A7996" s="496"/>
      <c r="D7996" s="496"/>
    </row>
    <row r="7997" spans="1:4" x14ac:dyDescent="0.2">
      <c r="A7997" s="496"/>
      <c r="D7997" s="496"/>
    </row>
    <row r="7998" spans="1:4" x14ac:dyDescent="0.2">
      <c r="A7998" s="496"/>
      <c r="D7998" s="496"/>
    </row>
    <row r="7999" spans="1:4" x14ac:dyDescent="0.2">
      <c r="A7999" s="496"/>
      <c r="D7999" s="496"/>
    </row>
    <row r="8000" spans="1:4" x14ac:dyDescent="0.2">
      <c r="A8000" s="496"/>
      <c r="D8000" s="496"/>
    </row>
    <row r="8001" spans="1:4" x14ac:dyDescent="0.2">
      <c r="A8001" s="496"/>
      <c r="D8001" s="496"/>
    </row>
    <row r="8002" spans="1:4" x14ac:dyDescent="0.2">
      <c r="A8002" s="496"/>
      <c r="D8002" s="496"/>
    </row>
    <row r="8003" spans="1:4" x14ac:dyDescent="0.2">
      <c r="A8003" s="496"/>
      <c r="D8003" s="496"/>
    </row>
    <row r="8004" spans="1:4" x14ac:dyDescent="0.2">
      <c r="A8004" s="496"/>
      <c r="D8004" s="496"/>
    </row>
    <row r="8005" spans="1:4" x14ac:dyDescent="0.2">
      <c r="A8005" s="496"/>
      <c r="D8005" s="496"/>
    </row>
    <row r="8006" spans="1:4" x14ac:dyDescent="0.2">
      <c r="A8006" s="496"/>
      <c r="D8006" s="496"/>
    </row>
    <row r="8007" spans="1:4" x14ac:dyDescent="0.2">
      <c r="A8007" s="496"/>
      <c r="D8007" s="496"/>
    </row>
    <row r="8008" spans="1:4" x14ac:dyDescent="0.2">
      <c r="A8008" s="496"/>
      <c r="D8008" s="496"/>
    </row>
    <row r="8009" spans="1:4" x14ac:dyDescent="0.2">
      <c r="A8009" s="496"/>
      <c r="D8009" s="496"/>
    </row>
    <row r="8010" spans="1:4" x14ac:dyDescent="0.2">
      <c r="A8010" s="496"/>
      <c r="D8010" s="496"/>
    </row>
    <row r="8011" spans="1:4" x14ac:dyDescent="0.2">
      <c r="A8011" s="496"/>
      <c r="D8011" s="496"/>
    </row>
    <row r="8012" spans="1:4" x14ac:dyDescent="0.2">
      <c r="A8012" s="496"/>
      <c r="D8012" s="496"/>
    </row>
    <row r="8013" spans="1:4" x14ac:dyDescent="0.2">
      <c r="A8013" s="496"/>
      <c r="D8013" s="496"/>
    </row>
    <row r="8014" spans="1:4" x14ac:dyDescent="0.2">
      <c r="A8014" s="496"/>
      <c r="D8014" s="496"/>
    </row>
    <row r="8015" spans="1:4" x14ac:dyDescent="0.2">
      <c r="A8015" s="496"/>
      <c r="D8015" s="496"/>
    </row>
    <row r="8016" spans="1:4" x14ac:dyDescent="0.2">
      <c r="A8016" s="496"/>
      <c r="D8016" s="496"/>
    </row>
    <row r="8017" spans="1:4" x14ac:dyDescent="0.2">
      <c r="A8017" s="496"/>
      <c r="D8017" s="496"/>
    </row>
    <row r="8018" spans="1:4" x14ac:dyDescent="0.2">
      <c r="A8018" s="496"/>
      <c r="D8018" s="496"/>
    </row>
    <row r="8019" spans="1:4" x14ac:dyDescent="0.2">
      <c r="A8019" s="496"/>
      <c r="D8019" s="496"/>
    </row>
    <row r="8020" spans="1:4" x14ac:dyDescent="0.2">
      <c r="A8020" s="496"/>
      <c r="D8020" s="496"/>
    </row>
    <row r="8021" spans="1:4" x14ac:dyDescent="0.2">
      <c r="A8021" s="496"/>
      <c r="D8021" s="496"/>
    </row>
    <row r="8022" spans="1:4" x14ac:dyDescent="0.2">
      <c r="A8022" s="496"/>
      <c r="D8022" s="496"/>
    </row>
    <row r="8023" spans="1:4" x14ac:dyDescent="0.2">
      <c r="A8023" s="496"/>
      <c r="D8023" s="496"/>
    </row>
    <row r="8024" spans="1:4" x14ac:dyDescent="0.2">
      <c r="A8024" s="496"/>
      <c r="D8024" s="496"/>
    </row>
    <row r="8025" spans="1:4" x14ac:dyDescent="0.2">
      <c r="A8025" s="496"/>
      <c r="D8025" s="496"/>
    </row>
    <row r="8026" spans="1:4" x14ac:dyDescent="0.2">
      <c r="A8026" s="496"/>
      <c r="D8026" s="496"/>
    </row>
    <row r="8027" spans="1:4" x14ac:dyDescent="0.2">
      <c r="A8027" s="496"/>
      <c r="D8027" s="496"/>
    </row>
    <row r="8028" spans="1:4" x14ac:dyDescent="0.2">
      <c r="A8028" s="496"/>
      <c r="D8028" s="496"/>
    </row>
    <row r="8029" spans="1:4" x14ac:dyDescent="0.2">
      <c r="A8029" s="496"/>
      <c r="D8029" s="496"/>
    </row>
    <row r="8030" spans="1:4" x14ac:dyDescent="0.2">
      <c r="A8030" s="496"/>
      <c r="D8030" s="496"/>
    </row>
    <row r="8031" spans="1:4" x14ac:dyDescent="0.2">
      <c r="A8031" s="496"/>
      <c r="D8031" s="496"/>
    </row>
    <row r="8032" spans="1:4" x14ac:dyDescent="0.2">
      <c r="A8032" s="496"/>
      <c r="D8032" s="496"/>
    </row>
    <row r="8033" spans="1:4" x14ac:dyDescent="0.2">
      <c r="A8033" s="496"/>
      <c r="D8033" s="496"/>
    </row>
    <row r="8034" spans="1:4" x14ac:dyDescent="0.2">
      <c r="A8034" s="496"/>
      <c r="D8034" s="496"/>
    </row>
    <row r="8035" spans="1:4" x14ac:dyDescent="0.2">
      <c r="A8035" s="496"/>
      <c r="D8035" s="496"/>
    </row>
    <row r="8036" spans="1:4" x14ac:dyDescent="0.2">
      <c r="A8036" s="496"/>
      <c r="D8036" s="496"/>
    </row>
    <row r="8037" spans="1:4" x14ac:dyDescent="0.2">
      <c r="A8037" s="496"/>
      <c r="D8037" s="496"/>
    </row>
    <row r="8038" spans="1:4" x14ac:dyDescent="0.2">
      <c r="A8038" s="496"/>
      <c r="D8038" s="496"/>
    </row>
    <row r="8039" spans="1:4" x14ac:dyDescent="0.2">
      <c r="A8039" s="496"/>
      <c r="D8039" s="496"/>
    </row>
    <row r="8040" spans="1:4" x14ac:dyDescent="0.2">
      <c r="A8040" s="496"/>
      <c r="D8040" s="496"/>
    </row>
    <row r="8041" spans="1:4" x14ac:dyDescent="0.2">
      <c r="A8041" s="496"/>
      <c r="D8041" s="496"/>
    </row>
    <row r="8042" spans="1:4" x14ac:dyDescent="0.2">
      <c r="A8042" s="496"/>
      <c r="D8042" s="496"/>
    </row>
    <row r="8043" spans="1:4" x14ac:dyDescent="0.2">
      <c r="A8043" s="496"/>
      <c r="D8043" s="496"/>
    </row>
    <row r="8044" spans="1:4" x14ac:dyDescent="0.2">
      <c r="A8044" s="496"/>
      <c r="D8044" s="496"/>
    </row>
    <row r="8045" spans="1:4" x14ac:dyDescent="0.2">
      <c r="A8045" s="496"/>
      <c r="D8045" s="496"/>
    </row>
    <row r="8046" spans="1:4" x14ac:dyDescent="0.2">
      <c r="A8046" s="496"/>
      <c r="D8046" s="496"/>
    </row>
    <row r="8047" spans="1:4" x14ac:dyDescent="0.2">
      <c r="A8047" s="496"/>
      <c r="D8047" s="496"/>
    </row>
    <row r="8048" spans="1:4" x14ac:dyDescent="0.2">
      <c r="A8048" s="496"/>
      <c r="D8048" s="496"/>
    </row>
    <row r="8049" spans="1:4" x14ac:dyDescent="0.2">
      <c r="A8049" s="496"/>
      <c r="D8049" s="496"/>
    </row>
    <row r="8050" spans="1:4" x14ac:dyDescent="0.2">
      <c r="A8050" s="496"/>
      <c r="D8050" s="496"/>
    </row>
    <row r="8051" spans="1:4" x14ac:dyDescent="0.2">
      <c r="A8051" s="496"/>
      <c r="D8051" s="496"/>
    </row>
    <row r="8052" spans="1:4" x14ac:dyDescent="0.2">
      <c r="A8052" s="496"/>
      <c r="D8052" s="496"/>
    </row>
    <row r="8053" spans="1:4" x14ac:dyDescent="0.2">
      <c r="A8053" s="496"/>
      <c r="D8053" s="496"/>
    </row>
    <row r="8054" spans="1:4" x14ac:dyDescent="0.2">
      <c r="A8054" s="496"/>
      <c r="D8054" s="496"/>
    </row>
    <row r="8055" spans="1:4" x14ac:dyDescent="0.2">
      <c r="A8055" s="496"/>
      <c r="D8055" s="496"/>
    </row>
    <row r="8056" spans="1:4" x14ac:dyDescent="0.2">
      <c r="A8056" s="496"/>
      <c r="D8056" s="496"/>
    </row>
    <row r="8057" spans="1:4" x14ac:dyDescent="0.2">
      <c r="A8057" s="496"/>
      <c r="D8057" s="496"/>
    </row>
    <row r="8058" spans="1:4" x14ac:dyDescent="0.2">
      <c r="A8058" s="496"/>
      <c r="D8058" s="496"/>
    </row>
    <row r="8059" spans="1:4" x14ac:dyDescent="0.2">
      <c r="A8059" s="496"/>
      <c r="D8059" s="496"/>
    </row>
    <row r="8060" spans="1:4" x14ac:dyDescent="0.2">
      <c r="A8060" s="496"/>
      <c r="D8060" s="496"/>
    </row>
    <row r="8061" spans="1:4" x14ac:dyDescent="0.2">
      <c r="A8061" s="496"/>
      <c r="D8061" s="496"/>
    </row>
    <row r="8062" spans="1:4" x14ac:dyDescent="0.2">
      <c r="A8062" s="496"/>
      <c r="D8062" s="496"/>
    </row>
    <row r="8063" spans="1:4" x14ac:dyDescent="0.2">
      <c r="A8063" s="496"/>
      <c r="D8063" s="496"/>
    </row>
    <row r="8064" spans="1:4" x14ac:dyDescent="0.2">
      <c r="A8064" s="496"/>
      <c r="D8064" s="496"/>
    </row>
    <row r="8065" spans="1:4" x14ac:dyDescent="0.2">
      <c r="A8065" s="496"/>
      <c r="D8065" s="496"/>
    </row>
    <row r="8066" spans="1:4" x14ac:dyDescent="0.2">
      <c r="A8066" s="496"/>
      <c r="D8066" s="496"/>
    </row>
    <row r="8067" spans="1:4" x14ac:dyDescent="0.2">
      <c r="A8067" s="496"/>
      <c r="D8067" s="496"/>
    </row>
    <row r="8068" spans="1:4" x14ac:dyDescent="0.2">
      <c r="A8068" s="496"/>
      <c r="D8068" s="496"/>
    </row>
    <row r="8069" spans="1:4" x14ac:dyDescent="0.2">
      <c r="A8069" s="496"/>
      <c r="D8069" s="496"/>
    </row>
    <row r="8070" spans="1:4" x14ac:dyDescent="0.2">
      <c r="A8070" s="496"/>
      <c r="D8070" s="496"/>
    </row>
    <row r="8071" spans="1:4" x14ac:dyDescent="0.2">
      <c r="A8071" s="496"/>
      <c r="D8071" s="496"/>
    </row>
    <row r="8072" spans="1:4" x14ac:dyDescent="0.2">
      <c r="A8072" s="496"/>
      <c r="D8072" s="496"/>
    </row>
    <row r="8073" spans="1:4" x14ac:dyDescent="0.2">
      <c r="A8073" s="496"/>
      <c r="D8073" s="496"/>
    </row>
    <row r="8074" spans="1:4" x14ac:dyDescent="0.2">
      <c r="A8074" s="496"/>
      <c r="D8074" s="496"/>
    </row>
    <row r="8075" spans="1:4" x14ac:dyDescent="0.2">
      <c r="A8075" s="496"/>
      <c r="D8075" s="496"/>
    </row>
    <row r="8076" spans="1:4" x14ac:dyDescent="0.2">
      <c r="A8076" s="496"/>
      <c r="D8076" s="496"/>
    </row>
    <row r="8077" spans="1:4" x14ac:dyDescent="0.2">
      <c r="A8077" s="496"/>
      <c r="D8077" s="496"/>
    </row>
    <row r="8078" spans="1:4" x14ac:dyDescent="0.2">
      <c r="A8078" s="496"/>
      <c r="D8078" s="496"/>
    </row>
    <row r="8079" spans="1:4" x14ac:dyDescent="0.2">
      <c r="A8079" s="496"/>
      <c r="D8079" s="496"/>
    </row>
    <row r="8080" spans="1:4" x14ac:dyDescent="0.2">
      <c r="A8080" s="496"/>
      <c r="D8080" s="496"/>
    </row>
    <row r="8081" spans="1:4" x14ac:dyDescent="0.2">
      <c r="A8081" s="496"/>
      <c r="D8081" s="496"/>
    </row>
    <row r="8082" spans="1:4" x14ac:dyDescent="0.2">
      <c r="A8082" s="496"/>
      <c r="D8082" s="496"/>
    </row>
    <row r="8083" spans="1:4" x14ac:dyDescent="0.2">
      <c r="A8083" s="496"/>
      <c r="D8083" s="496"/>
    </row>
    <row r="8084" spans="1:4" x14ac:dyDescent="0.2">
      <c r="A8084" s="496"/>
      <c r="D8084" s="496"/>
    </row>
    <row r="8085" spans="1:4" x14ac:dyDescent="0.2">
      <c r="A8085" s="496"/>
      <c r="D8085" s="496"/>
    </row>
    <row r="8086" spans="1:4" x14ac:dyDescent="0.2">
      <c r="A8086" s="496"/>
      <c r="D8086" s="496"/>
    </row>
    <row r="8087" spans="1:4" x14ac:dyDescent="0.2">
      <c r="A8087" s="496"/>
      <c r="D8087" s="496"/>
    </row>
    <row r="8088" spans="1:4" x14ac:dyDescent="0.2">
      <c r="A8088" s="496"/>
      <c r="D8088" s="496"/>
    </row>
    <row r="8089" spans="1:4" x14ac:dyDescent="0.2">
      <c r="A8089" s="496"/>
      <c r="D8089" s="496"/>
    </row>
    <row r="8090" spans="1:4" x14ac:dyDescent="0.2">
      <c r="A8090" s="496"/>
      <c r="D8090" s="496"/>
    </row>
    <row r="8091" spans="1:4" x14ac:dyDescent="0.2">
      <c r="A8091" s="496"/>
      <c r="D8091" s="496"/>
    </row>
    <row r="8092" spans="1:4" x14ac:dyDescent="0.2">
      <c r="A8092" s="496"/>
      <c r="D8092" s="496"/>
    </row>
    <row r="8093" spans="1:4" x14ac:dyDescent="0.2">
      <c r="A8093" s="496"/>
      <c r="D8093" s="496"/>
    </row>
    <row r="8094" spans="1:4" x14ac:dyDescent="0.2">
      <c r="A8094" s="496"/>
      <c r="D8094" s="496"/>
    </row>
    <row r="8095" spans="1:4" x14ac:dyDescent="0.2">
      <c r="A8095" s="496"/>
      <c r="D8095" s="496"/>
    </row>
    <row r="8096" spans="1:4" x14ac:dyDescent="0.2">
      <c r="A8096" s="496"/>
      <c r="D8096" s="496"/>
    </row>
    <row r="8097" spans="1:4" x14ac:dyDescent="0.2">
      <c r="A8097" s="496"/>
      <c r="D8097" s="496"/>
    </row>
    <row r="8098" spans="1:4" x14ac:dyDescent="0.2">
      <c r="A8098" s="496"/>
      <c r="D8098" s="496"/>
    </row>
    <row r="8099" spans="1:4" x14ac:dyDescent="0.2">
      <c r="A8099" s="496"/>
      <c r="D8099" s="496"/>
    </row>
    <row r="8100" spans="1:4" x14ac:dyDescent="0.2">
      <c r="A8100" s="496"/>
      <c r="D8100" s="496"/>
    </row>
    <row r="8101" spans="1:4" x14ac:dyDescent="0.2">
      <c r="A8101" s="496"/>
      <c r="D8101" s="496"/>
    </row>
    <row r="8102" spans="1:4" x14ac:dyDescent="0.2">
      <c r="A8102" s="496"/>
      <c r="D8102" s="496"/>
    </row>
    <row r="8103" spans="1:4" x14ac:dyDescent="0.2">
      <c r="A8103" s="496"/>
      <c r="D8103" s="496"/>
    </row>
    <row r="8104" spans="1:4" x14ac:dyDescent="0.2">
      <c r="A8104" s="496"/>
      <c r="D8104" s="496"/>
    </row>
    <row r="8105" spans="1:4" x14ac:dyDescent="0.2">
      <c r="A8105" s="496"/>
      <c r="D8105" s="496"/>
    </row>
    <row r="8106" spans="1:4" x14ac:dyDescent="0.2">
      <c r="A8106" s="496"/>
      <c r="D8106" s="496"/>
    </row>
    <row r="8107" spans="1:4" x14ac:dyDescent="0.2">
      <c r="A8107" s="496"/>
      <c r="D8107" s="496"/>
    </row>
    <row r="8108" spans="1:4" x14ac:dyDescent="0.2">
      <c r="A8108" s="496"/>
      <c r="D8108" s="496"/>
    </row>
    <row r="8109" spans="1:4" x14ac:dyDescent="0.2">
      <c r="A8109" s="496"/>
      <c r="D8109" s="496"/>
    </row>
    <row r="8110" spans="1:4" x14ac:dyDescent="0.2">
      <c r="A8110" s="496"/>
      <c r="D8110" s="496"/>
    </row>
    <row r="8111" spans="1:4" x14ac:dyDescent="0.2">
      <c r="A8111" s="496"/>
      <c r="D8111" s="496"/>
    </row>
    <row r="8112" spans="1:4" x14ac:dyDescent="0.2">
      <c r="A8112" s="496"/>
      <c r="D8112" s="496"/>
    </row>
    <row r="8113" spans="1:4" x14ac:dyDescent="0.2">
      <c r="A8113" s="496"/>
      <c r="D8113" s="496"/>
    </row>
    <row r="8114" spans="1:4" x14ac:dyDescent="0.2">
      <c r="A8114" s="496"/>
      <c r="D8114" s="496"/>
    </row>
    <row r="8115" spans="1:4" x14ac:dyDescent="0.2">
      <c r="A8115" s="496"/>
      <c r="D8115" s="496"/>
    </row>
    <row r="8116" spans="1:4" x14ac:dyDescent="0.2">
      <c r="A8116" s="496"/>
      <c r="D8116" s="496"/>
    </row>
    <row r="8117" spans="1:4" x14ac:dyDescent="0.2">
      <c r="A8117" s="496"/>
      <c r="D8117" s="496"/>
    </row>
    <row r="8118" spans="1:4" x14ac:dyDescent="0.2">
      <c r="A8118" s="496"/>
      <c r="D8118" s="496"/>
    </row>
    <row r="8119" spans="1:4" x14ac:dyDescent="0.2">
      <c r="A8119" s="496"/>
      <c r="D8119" s="496"/>
    </row>
    <row r="8120" spans="1:4" x14ac:dyDescent="0.2">
      <c r="A8120" s="496"/>
      <c r="D8120" s="496"/>
    </row>
    <row r="8121" spans="1:4" x14ac:dyDescent="0.2">
      <c r="A8121" s="496"/>
      <c r="D8121" s="496"/>
    </row>
    <row r="8122" spans="1:4" x14ac:dyDescent="0.2">
      <c r="A8122" s="496"/>
      <c r="D8122" s="496"/>
    </row>
    <row r="8123" spans="1:4" x14ac:dyDescent="0.2">
      <c r="A8123" s="496"/>
      <c r="D8123" s="496"/>
    </row>
    <row r="8124" spans="1:4" x14ac:dyDescent="0.2">
      <c r="A8124" s="496"/>
      <c r="D8124" s="496"/>
    </row>
    <row r="8125" spans="1:4" x14ac:dyDescent="0.2">
      <c r="A8125" s="496"/>
      <c r="D8125" s="496"/>
    </row>
    <row r="8126" spans="1:4" x14ac:dyDescent="0.2">
      <c r="A8126" s="496"/>
      <c r="D8126" s="496"/>
    </row>
    <row r="8127" spans="1:4" x14ac:dyDescent="0.2">
      <c r="A8127" s="496"/>
      <c r="D8127" s="496"/>
    </row>
    <row r="8128" spans="1:4" x14ac:dyDescent="0.2">
      <c r="A8128" s="496"/>
      <c r="D8128" s="496"/>
    </row>
    <row r="8129" spans="1:4" x14ac:dyDescent="0.2">
      <c r="A8129" s="496"/>
      <c r="D8129" s="496"/>
    </row>
    <row r="8130" spans="1:4" x14ac:dyDescent="0.2">
      <c r="A8130" s="496"/>
      <c r="D8130" s="496"/>
    </row>
    <row r="8131" spans="1:4" x14ac:dyDescent="0.2">
      <c r="A8131" s="496"/>
      <c r="D8131" s="496"/>
    </row>
    <row r="8132" spans="1:4" x14ac:dyDescent="0.2">
      <c r="A8132" s="496"/>
      <c r="D8132" s="496"/>
    </row>
    <row r="8133" spans="1:4" x14ac:dyDescent="0.2">
      <c r="A8133" s="496"/>
      <c r="D8133" s="496"/>
    </row>
    <row r="8134" spans="1:4" x14ac:dyDescent="0.2">
      <c r="A8134" s="496"/>
      <c r="D8134" s="496"/>
    </row>
    <row r="8135" spans="1:4" x14ac:dyDescent="0.2">
      <c r="A8135" s="496"/>
      <c r="D8135" s="496"/>
    </row>
    <row r="8136" spans="1:4" x14ac:dyDescent="0.2">
      <c r="A8136" s="496"/>
      <c r="D8136" s="496"/>
    </row>
    <row r="8137" spans="1:4" x14ac:dyDescent="0.2">
      <c r="A8137" s="496"/>
      <c r="D8137" s="496"/>
    </row>
    <row r="8138" spans="1:4" x14ac:dyDescent="0.2">
      <c r="A8138" s="496"/>
      <c r="D8138" s="496"/>
    </row>
    <row r="8139" spans="1:4" x14ac:dyDescent="0.2">
      <c r="A8139" s="496"/>
      <c r="D8139" s="496"/>
    </row>
    <row r="8140" spans="1:4" x14ac:dyDescent="0.2">
      <c r="A8140" s="496"/>
      <c r="D8140" s="496"/>
    </row>
    <row r="8141" spans="1:4" x14ac:dyDescent="0.2">
      <c r="A8141" s="496"/>
      <c r="D8141" s="496"/>
    </row>
    <row r="8142" spans="1:4" x14ac:dyDescent="0.2">
      <c r="A8142" s="496"/>
      <c r="D8142" s="496"/>
    </row>
    <row r="8143" spans="1:4" x14ac:dyDescent="0.2">
      <c r="A8143" s="496"/>
      <c r="D8143" s="496"/>
    </row>
    <row r="8144" spans="1:4" x14ac:dyDescent="0.2">
      <c r="A8144" s="496"/>
      <c r="D8144" s="496"/>
    </row>
    <row r="8145" spans="1:4" x14ac:dyDescent="0.2">
      <c r="A8145" s="496"/>
      <c r="D8145" s="496"/>
    </row>
    <row r="8146" spans="1:4" x14ac:dyDescent="0.2">
      <c r="A8146" s="496"/>
      <c r="D8146" s="496"/>
    </row>
    <row r="8147" spans="1:4" x14ac:dyDescent="0.2">
      <c r="A8147" s="496"/>
      <c r="D8147" s="496"/>
    </row>
    <row r="8148" spans="1:4" x14ac:dyDescent="0.2">
      <c r="A8148" s="496"/>
      <c r="D8148" s="496"/>
    </row>
    <row r="8149" spans="1:4" x14ac:dyDescent="0.2">
      <c r="A8149" s="496"/>
      <c r="D8149" s="496"/>
    </row>
    <row r="8150" spans="1:4" x14ac:dyDescent="0.2">
      <c r="A8150" s="496"/>
      <c r="D8150" s="496"/>
    </row>
    <row r="8151" spans="1:4" x14ac:dyDescent="0.2">
      <c r="A8151" s="496"/>
      <c r="D8151" s="496"/>
    </row>
    <row r="8152" spans="1:4" x14ac:dyDescent="0.2">
      <c r="A8152" s="496"/>
      <c r="D8152" s="496"/>
    </row>
    <row r="8153" spans="1:4" x14ac:dyDescent="0.2">
      <c r="A8153" s="496"/>
      <c r="D8153" s="496"/>
    </row>
    <row r="8154" spans="1:4" x14ac:dyDescent="0.2">
      <c r="A8154" s="496"/>
      <c r="D8154" s="496"/>
    </row>
    <row r="8155" spans="1:4" x14ac:dyDescent="0.2">
      <c r="A8155" s="496"/>
      <c r="D8155" s="496"/>
    </row>
    <row r="8156" spans="1:4" x14ac:dyDescent="0.2">
      <c r="A8156" s="496"/>
      <c r="D8156" s="496"/>
    </row>
    <row r="8157" spans="1:4" x14ac:dyDescent="0.2">
      <c r="A8157" s="496"/>
      <c r="D8157" s="496"/>
    </row>
    <row r="8158" spans="1:4" x14ac:dyDescent="0.2">
      <c r="A8158" s="496"/>
      <c r="D8158" s="496"/>
    </row>
    <row r="8159" spans="1:4" x14ac:dyDescent="0.2">
      <c r="A8159" s="496"/>
      <c r="D8159" s="496"/>
    </row>
    <row r="8160" spans="1:4" x14ac:dyDescent="0.2">
      <c r="A8160" s="496"/>
      <c r="D8160" s="496"/>
    </row>
    <row r="8161" spans="1:4" x14ac:dyDescent="0.2">
      <c r="A8161" s="496"/>
      <c r="D8161" s="496"/>
    </row>
    <row r="8162" spans="1:4" x14ac:dyDescent="0.2">
      <c r="A8162" s="496"/>
      <c r="D8162" s="496"/>
    </row>
    <row r="8163" spans="1:4" x14ac:dyDescent="0.2">
      <c r="A8163" s="496"/>
      <c r="D8163" s="496"/>
    </row>
    <row r="8164" spans="1:4" x14ac:dyDescent="0.2">
      <c r="A8164" s="496"/>
      <c r="D8164" s="496"/>
    </row>
    <row r="8165" spans="1:4" x14ac:dyDescent="0.2">
      <c r="A8165" s="496"/>
      <c r="D8165" s="496"/>
    </row>
    <row r="8166" spans="1:4" x14ac:dyDescent="0.2">
      <c r="A8166" s="496"/>
      <c r="D8166" s="496"/>
    </row>
    <row r="8167" spans="1:4" x14ac:dyDescent="0.2">
      <c r="A8167" s="496"/>
      <c r="D8167" s="496"/>
    </row>
    <row r="8168" spans="1:4" x14ac:dyDescent="0.2">
      <c r="A8168" s="496"/>
      <c r="D8168" s="496"/>
    </row>
    <row r="8169" spans="1:4" x14ac:dyDescent="0.2">
      <c r="A8169" s="496"/>
      <c r="D8169" s="496"/>
    </row>
    <row r="8170" spans="1:4" x14ac:dyDescent="0.2">
      <c r="A8170" s="496"/>
      <c r="D8170" s="496"/>
    </row>
    <row r="8171" spans="1:4" x14ac:dyDescent="0.2">
      <c r="A8171" s="496"/>
      <c r="D8171" s="496"/>
    </row>
    <row r="8172" spans="1:4" x14ac:dyDescent="0.2">
      <c r="A8172" s="496"/>
      <c r="D8172" s="496"/>
    </row>
    <row r="8173" spans="1:4" x14ac:dyDescent="0.2">
      <c r="A8173" s="496"/>
      <c r="D8173" s="496"/>
    </row>
    <row r="8174" spans="1:4" x14ac:dyDescent="0.2">
      <c r="A8174" s="496"/>
      <c r="D8174" s="496"/>
    </row>
    <row r="8175" spans="1:4" x14ac:dyDescent="0.2">
      <c r="A8175" s="496"/>
      <c r="D8175" s="496"/>
    </row>
    <row r="8176" spans="1:4" x14ac:dyDescent="0.2">
      <c r="A8176" s="496"/>
      <c r="D8176" s="496"/>
    </row>
    <row r="8177" spans="1:4" x14ac:dyDescent="0.2">
      <c r="A8177" s="496"/>
      <c r="D8177" s="496"/>
    </row>
    <row r="8178" spans="1:4" x14ac:dyDescent="0.2">
      <c r="A8178" s="496"/>
      <c r="D8178" s="496"/>
    </row>
    <row r="8179" spans="1:4" x14ac:dyDescent="0.2">
      <c r="A8179" s="496"/>
      <c r="D8179" s="496"/>
    </row>
    <row r="8180" spans="1:4" x14ac:dyDescent="0.2">
      <c r="A8180" s="496"/>
      <c r="D8180" s="496"/>
    </row>
    <row r="8181" spans="1:4" x14ac:dyDescent="0.2">
      <c r="A8181" s="496"/>
      <c r="D8181" s="496"/>
    </row>
    <row r="8182" spans="1:4" x14ac:dyDescent="0.2">
      <c r="A8182" s="496"/>
      <c r="D8182" s="496"/>
    </row>
    <row r="8183" spans="1:4" x14ac:dyDescent="0.2">
      <c r="A8183" s="496"/>
      <c r="D8183" s="496"/>
    </row>
    <row r="8184" spans="1:4" x14ac:dyDescent="0.2">
      <c r="A8184" s="496"/>
      <c r="D8184" s="496"/>
    </row>
    <row r="8185" spans="1:4" x14ac:dyDescent="0.2">
      <c r="A8185" s="496"/>
      <c r="D8185" s="496"/>
    </row>
    <row r="8186" spans="1:4" x14ac:dyDescent="0.2">
      <c r="A8186" s="496"/>
      <c r="D8186" s="496"/>
    </row>
    <row r="8187" spans="1:4" x14ac:dyDescent="0.2">
      <c r="A8187" s="496"/>
      <c r="D8187" s="496"/>
    </row>
    <row r="8188" spans="1:4" x14ac:dyDescent="0.2">
      <c r="A8188" s="496"/>
      <c r="D8188" s="496"/>
    </row>
    <row r="8189" spans="1:4" x14ac:dyDescent="0.2">
      <c r="A8189" s="496"/>
      <c r="D8189" s="496"/>
    </row>
    <row r="8190" spans="1:4" x14ac:dyDescent="0.2">
      <c r="A8190" s="496"/>
      <c r="D8190" s="496"/>
    </row>
    <row r="8191" spans="1:4" x14ac:dyDescent="0.2">
      <c r="A8191" s="496"/>
      <c r="D8191" s="496"/>
    </row>
    <row r="8192" spans="1:4" x14ac:dyDescent="0.2">
      <c r="A8192" s="496"/>
      <c r="D8192" s="496"/>
    </row>
    <row r="8193" spans="1:4" x14ac:dyDescent="0.2">
      <c r="A8193" s="496"/>
      <c r="D8193" s="496"/>
    </row>
    <row r="8194" spans="1:4" x14ac:dyDescent="0.2">
      <c r="A8194" s="496"/>
      <c r="D8194" s="496"/>
    </row>
    <row r="8195" spans="1:4" x14ac:dyDescent="0.2">
      <c r="A8195" s="496"/>
      <c r="D8195" s="496"/>
    </row>
    <row r="8196" spans="1:4" x14ac:dyDescent="0.2">
      <c r="A8196" s="496"/>
      <c r="D8196" s="496"/>
    </row>
    <row r="8197" spans="1:4" x14ac:dyDescent="0.2">
      <c r="A8197" s="496"/>
      <c r="D8197" s="496"/>
    </row>
    <row r="8198" spans="1:4" x14ac:dyDescent="0.2">
      <c r="A8198" s="496"/>
      <c r="D8198" s="496"/>
    </row>
    <row r="8199" spans="1:4" x14ac:dyDescent="0.2">
      <c r="A8199" s="496"/>
      <c r="D8199" s="496"/>
    </row>
    <row r="8200" spans="1:4" x14ac:dyDescent="0.2">
      <c r="A8200" s="496"/>
      <c r="D8200" s="496"/>
    </row>
    <row r="8201" spans="1:4" x14ac:dyDescent="0.2">
      <c r="A8201" s="496"/>
      <c r="D8201" s="496"/>
    </row>
    <row r="8202" spans="1:4" x14ac:dyDescent="0.2">
      <c r="A8202" s="496"/>
      <c r="D8202" s="496"/>
    </row>
    <row r="8203" spans="1:4" x14ac:dyDescent="0.2">
      <c r="A8203" s="496"/>
      <c r="D8203" s="496"/>
    </row>
    <row r="8204" spans="1:4" x14ac:dyDescent="0.2">
      <c r="A8204" s="496"/>
      <c r="D8204" s="496"/>
    </row>
    <row r="8205" spans="1:4" x14ac:dyDescent="0.2">
      <c r="A8205" s="496"/>
      <c r="D8205" s="496"/>
    </row>
    <row r="8206" spans="1:4" x14ac:dyDescent="0.2">
      <c r="A8206" s="496"/>
      <c r="D8206" s="496"/>
    </row>
    <row r="8207" spans="1:4" x14ac:dyDescent="0.2">
      <c r="A8207" s="496"/>
      <c r="D8207" s="496"/>
    </row>
    <row r="8208" spans="1:4" x14ac:dyDescent="0.2">
      <c r="A8208" s="496"/>
      <c r="D8208" s="496"/>
    </row>
    <row r="8209" spans="1:4" x14ac:dyDescent="0.2">
      <c r="A8209" s="496"/>
      <c r="D8209" s="496"/>
    </row>
    <row r="8210" spans="1:4" x14ac:dyDescent="0.2">
      <c r="A8210" s="496"/>
      <c r="D8210" s="496"/>
    </row>
    <row r="8211" spans="1:4" x14ac:dyDescent="0.2">
      <c r="A8211" s="496"/>
      <c r="D8211" s="496"/>
    </row>
    <row r="8212" spans="1:4" x14ac:dyDescent="0.2">
      <c r="A8212" s="496"/>
      <c r="D8212" s="496"/>
    </row>
    <row r="8213" spans="1:4" x14ac:dyDescent="0.2">
      <c r="A8213" s="496"/>
      <c r="D8213" s="496"/>
    </row>
    <row r="8214" spans="1:4" x14ac:dyDescent="0.2">
      <c r="A8214" s="496"/>
      <c r="D8214" s="496"/>
    </row>
    <row r="8215" spans="1:4" x14ac:dyDescent="0.2">
      <c r="A8215" s="496"/>
      <c r="D8215" s="496"/>
    </row>
    <row r="8216" spans="1:4" x14ac:dyDescent="0.2">
      <c r="A8216" s="496"/>
      <c r="D8216" s="496"/>
    </row>
    <row r="8217" spans="1:4" x14ac:dyDescent="0.2">
      <c r="A8217" s="496"/>
      <c r="D8217" s="496"/>
    </row>
    <row r="8218" spans="1:4" x14ac:dyDescent="0.2">
      <c r="A8218" s="496"/>
      <c r="D8218" s="496"/>
    </row>
    <row r="8219" spans="1:4" x14ac:dyDescent="0.2">
      <c r="A8219" s="496"/>
      <c r="D8219" s="496"/>
    </row>
    <row r="8220" spans="1:4" x14ac:dyDescent="0.2">
      <c r="A8220" s="496"/>
      <c r="D8220" s="496"/>
    </row>
    <row r="8221" spans="1:4" x14ac:dyDescent="0.2">
      <c r="A8221" s="496"/>
      <c r="D8221" s="496"/>
    </row>
    <row r="8222" spans="1:4" x14ac:dyDescent="0.2">
      <c r="A8222" s="496"/>
      <c r="D8222" s="496"/>
    </row>
    <row r="8223" spans="1:4" x14ac:dyDescent="0.2">
      <c r="A8223" s="496"/>
      <c r="D8223" s="496"/>
    </row>
    <row r="8224" spans="1:4" x14ac:dyDescent="0.2">
      <c r="A8224" s="496"/>
      <c r="D8224" s="496"/>
    </row>
    <row r="8225" spans="1:4" x14ac:dyDescent="0.2">
      <c r="A8225" s="496"/>
      <c r="D8225" s="496"/>
    </row>
    <row r="8226" spans="1:4" x14ac:dyDescent="0.2">
      <c r="A8226" s="496"/>
      <c r="D8226" s="496"/>
    </row>
    <row r="8227" spans="1:4" x14ac:dyDescent="0.2">
      <c r="A8227" s="496"/>
      <c r="D8227" s="496"/>
    </row>
    <row r="8228" spans="1:4" x14ac:dyDescent="0.2">
      <c r="A8228" s="496"/>
      <c r="D8228" s="496"/>
    </row>
    <row r="8229" spans="1:4" x14ac:dyDescent="0.2">
      <c r="A8229" s="496"/>
      <c r="D8229" s="496"/>
    </row>
    <row r="8230" spans="1:4" x14ac:dyDescent="0.2">
      <c r="A8230" s="496"/>
      <c r="D8230" s="496"/>
    </row>
    <row r="8231" spans="1:4" x14ac:dyDescent="0.2">
      <c r="A8231" s="496"/>
      <c r="D8231" s="496"/>
    </row>
    <row r="8232" spans="1:4" x14ac:dyDescent="0.2">
      <c r="A8232" s="496"/>
      <c r="D8232" s="496"/>
    </row>
    <row r="8233" spans="1:4" x14ac:dyDescent="0.2">
      <c r="A8233" s="496"/>
      <c r="D8233" s="496"/>
    </row>
    <row r="8234" spans="1:4" x14ac:dyDescent="0.2">
      <c r="A8234" s="496"/>
      <c r="D8234" s="496"/>
    </row>
    <row r="8235" spans="1:4" x14ac:dyDescent="0.2">
      <c r="A8235" s="496"/>
      <c r="D8235" s="496"/>
    </row>
    <row r="8236" spans="1:4" x14ac:dyDescent="0.2">
      <c r="A8236" s="496"/>
      <c r="D8236" s="496"/>
    </row>
    <row r="8237" spans="1:4" x14ac:dyDescent="0.2">
      <c r="A8237" s="496"/>
      <c r="D8237" s="496"/>
    </row>
    <row r="8238" spans="1:4" x14ac:dyDescent="0.2">
      <c r="A8238" s="496"/>
      <c r="D8238" s="496"/>
    </row>
    <row r="8239" spans="1:4" x14ac:dyDescent="0.2">
      <c r="A8239" s="496"/>
      <c r="D8239" s="496"/>
    </row>
    <row r="8240" spans="1:4" x14ac:dyDescent="0.2">
      <c r="A8240" s="496"/>
      <c r="D8240" s="496"/>
    </row>
    <row r="8241" spans="1:4" x14ac:dyDescent="0.2">
      <c r="A8241" s="496"/>
      <c r="D8241" s="496"/>
    </row>
    <row r="8242" spans="1:4" x14ac:dyDescent="0.2">
      <c r="A8242" s="496"/>
      <c r="D8242" s="496"/>
    </row>
    <row r="8243" spans="1:4" x14ac:dyDescent="0.2">
      <c r="A8243" s="496"/>
      <c r="D8243" s="496"/>
    </row>
    <row r="8244" spans="1:4" x14ac:dyDescent="0.2">
      <c r="A8244" s="496"/>
      <c r="D8244" s="496"/>
    </row>
    <row r="8245" spans="1:4" x14ac:dyDescent="0.2">
      <c r="A8245" s="496"/>
      <c r="D8245" s="496"/>
    </row>
    <row r="8246" spans="1:4" x14ac:dyDescent="0.2">
      <c r="A8246" s="496"/>
      <c r="D8246" s="496"/>
    </row>
    <row r="8247" spans="1:4" x14ac:dyDescent="0.2">
      <c r="A8247" s="496"/>
      <c r="D8247" s="496"/>
    </row>
    <row r="8248" spans="1:4" x14ac:dyDescent="0.2">
      <c r="A8248" s="496"/>
      <c r="D8248" s="496"/>
    </row>
    <row r="8249" spans="1:4" x14ac:dyDescent="0.2">
      <c r="A8249" s="496"/>
      <c r="D8249" s="496"/>
    </row>
    <row r="8250" spans="1:4" x14ac:dyDescent="0.2">
      <c r="A8250" s="496"/>
      <c r="D8250" s="496"/>
    </row>
    <row r="8251" spans="1:4" x14ac:dyDescent="0.2">
      <c r="A8251" s="496"/>
      <c r="D8251" s="496"/>
    </row>
    <row r="8252" spans="1:4" x14ac:dyDescent="0.2">
      <c r="A8252" s="496"/>
      <c r="D8252" s="496"/>
    </row>
    <row r="8253" spans="1:4" x14ac:dyDescent="0.2">
      <c r="A8253" s="496"/>
      <c r="D8253" s="496"/>
    </row>
    <row r="8254" spans="1:4" x14ac:dyDescent="0.2">
      <c r="A8254" s="496"/>
      <c r="D8254" s="496"/>
    </row>
    <row r="8255" spans="1:4" x14ac:dyDescent="0.2">
      <c r="A8255" s="496"/>
      <c r="D8255" s="496"/>
    </row>
    <row r="8256" spans="1:4" x14ac:dyDescent="0.2">
      <c r="A8256" s="496"/>
      <c r="D8256" s="496"/>
    </row>
    <row r="8257" spans="1:4" x14ac:dyDescent="0.2">
      <c r="A8257" s="496"/>
      <c r="D8257" s="496"/>
    </row>
    <row r="8258" spans="1:4" x14ac:dyDescent="0.2">
      <c r="A8258" s="496"/>
      <c r="D8258" s="496"/>
    </row>
    <row r="8259" spans="1:4" x14ac:dyDescent="0.2">
      <c r="A8259" s="496"/>
      <c r="D8259" s="496"/>
    </row>
    <row r="8260" spans="1:4" x14ac:dyDescent="0.2">
      <c r="A8260" s="496"/>
      <c r="D8260" s="496"/>
    </row>
    <row r="8261" spans="1:4" x14ac:dyDescent="0.2">
      <c r="A8261" s="496"/>
      <c r="D8261" s="496"/>
    </row>
    <row r="8262" spans="1:4" x14ac:dyDescent="0.2">
      <c r="A8262" s="496"/>
      <c r="D8262" s="496"/>
    </row>
    <row r="8263" spans="1:4" x14ac:dyDescent="0.2">
      <c r="A8263" s="496"/>
      <c r="D8263" s="496"/>
    </row>
    <row r="8264" spans="1:4" x14ac:dyDescent="0.2">
      <c r="A8264" s="496"/>
      <c r="D8264" s="496"/>
    </row>
    <row r="8265" spans="1:4" x14ac:dyDescent="0.2">
      <c r="A8265" s="496"/>
      <c r="D8265" s="496"/>
    </row>
    <row r="8266" spans="1:4" x14ac:dyDescent="0.2">
      <c r="A8266" s="496"/>
      <c r="D8266" s="496"/>
    </row>
    <row r="8267" spans="1:4" x14ac:dyDescent="0.2">
      <c r="A8267" s="496"/>
      <c r="D8267" s="496"/>
    </row>
    <row r="8268" spans="1:4" x14ac:dyDescent="0.2">
      <c r="A8268" s="496"/>
      <c r="D8268" s="496"/>
    </row>
    <row r="8269" spans="1:4" x14ac:dyDescent="0.2">
      <c r="A8269" s="496"/>
      <c r="D8269" s="496"/>
    </row>
    <row r="8270" spans="1:4" x14ac:dyDescent="0.2">
      <c r="A8270" s="496"/>
      <c r="D8270" s="496"/>
    </row>
    <row r="8271" spans="1:4" x14ac:dyDescent="0.2">
      <c r="A8271" s="496"/>
      <c r="D8271" s="496"/>
    </row>
    <row r="8272" spans="1:4" x14ac:dyDescent="0.2">
      <c r="A8272" s="496"/>
      <c r="D8272" s="496"/>
    </row>
    <row r="8273" spans="1:4" x14ac:dyDescent="0.2">
      <c r="A8273" s="496"/>
      <c r="D8273" s="496"/>
    </row>
    <row r="8274" spans="1:4" x14ac:dyDescent="0.2">
      <c r="A8274" s="496"/>
      <c r="D8274" s="496"/>
    </row>
    <row r="8275" spans="1:4" x14ac:dyDescent="0.2">
      <c r="A8275" s="496"/>
      <c r="D8275" s="496"/>
    </row>
    <row r="8276" spans="1:4" x14ac:dyDescent="0.2">
      <c r="A8276" s="496"/>
      <c r="D8276" s="496"/>
    </row>
    <row r="8277" spans="1:4" x14ac:dyDescent="0.2">
      <c r="A8277" s="496"/>
      <c r="D8277" s="496"/>
    </row>
    <row r="8278" spans="1:4" x14ac:dyDescent="0.2">
      <c r="A8278" s="496"/>
      <c r="D8278" s="496"/>
    </row>
    <row r="8279" spans="1:4" x14ac:dyDescent="0.2">
      <c r="A8279" s="496"/>
      <c r="D8279" s="496"/>
    </row>
    <row r="8280" spans="1:4" x14ac:dyDescent="0.2">
      <c r="A8280" s="496"/>
      <c r="D8280" s="496"/>
    </row>
    <row r="8281" spans="1:4" x14ac:dyDescent="0.2">
      <c r="A8281" s="496"/>
      <c r="D8281" s="496"/>
    </row>
    <row r="8282" spans="1:4" x14ac:dyDescent="0.2">
      <c r="A8282" s="496"/>
      <c r="D8282" s="496"/>
    </row>
    <row r="8283" spans="1:4" x14ac:dyDescent="0.2">
      <c r="A8283" s="496"/>
      <c r="D8283" s="496"/>
    </row>
    <row r="8284" spans="1:4" x14ac:dyDescent="0.2">
      <c r="A8284" s="496"/>
      <c r="D8284" s="496"/>
    </row>
    <row r="8285" spans="1:4" x14ac:dyDescent="0.2">
      <c r="A8285" s="496"/>
      <c r="D8285" s="496"/>
    </row>
    <row r="8286" spans="1:4" x14ac:dyDescent="0.2">
      <c r="A8286" s="496"/>
      <c r="D8286" s="496"/>
    </row>
    <row r="8287" spans="1:4" x14ac:dyDescent="0.2">
      <c r="A8287" s="496"/>
      <c r="D8287" s="496"/>
    </row>
    <row r="8288" spans="1:4" x14ac:dyDescent="0.2">
      <c r="A8288" s="496"/>
      <c r="D8288" s="496"/>
    </row>
    <row r="8289" spans="1:4" x14ac:dyDescent="0.2">
      <c r="A8289" s="496"/>
      <c r="D8289" s="496"/>
    </row>
    <row r="8290" spans="1:4" x14ac:dyDescent="0.2">
      <c r="A8290" s="496"/>
      <c r="D8290" s="496"/>
    </row>
    <row r="8291" spans="1:4" x14ac:dyDescent="0.2">
      <c r="A8291" s="496"/>
      <c r="D8291" s="496"/>
    </row>
    <row r="8292" spans="1:4" x14ac:dyDescent="0.2">
      <c r="A8292" s="496"/>
      <c r="D8292" s="496"/>
    </row>
    <row r="8293" spans="1:4" x14ac:dyDescent="0.2">
      <c r="A8293" s="496"/>
      <c r="D8293" s="496"/>
    </row>
    <row r="8294" spans="1:4" x14ac:dyDescent="0.2">
      <c r="A8294" s="496"/>
      <c r="D8294" s="496"/>
    </row>
    <row r="8295" spans="1:4" x14ac:dyDescent="0.2">
      <c r="A8295" s="496"/>
      <c r="D8295" s="496"/>
    </row>
    <row r="8296" spans="1:4" x14ac:dyDescent="0.2">
      <c r="A8296" s="496"/>
      <c r="D8296" s="496"/>
    </row>
    <row r="8297" spans="1:4" x14ac:dyDescent="0.2">
      <c r="A8297" s="496"/>
      <c r="D8297" s="496"/>
    </row>
    <row r="8298" spans="1:4" x14ac:dyDescent="0.2">
      <c r="A8298" s="496"/>
      <c r="D8298" s="496"/>
    </row>
    <row r="8299" spans="1:4" x14ac:dyDescent="0.2">
      <c r="A8299" s="496"/>
      <c r="D8299" s="496"/>
    </row>
    <row r="8300" spans="1:4" x14ac:dyDescent="0.2">
      <c r="A8300" s="496"/>
      <c r="D8300" s="496"/>
    </row>
    <row r="8301" spans="1:4" x14ac:dyDescent="0.2">
      <c r="A8301" s="496"/>
      <c r="D8301" s="496"/>
    </row>
    <row r="8302" spans="1:4" x14ac:dyDescent="0.2">
      <c r="A8302" s="496"/>
      <c r="D8302" s="496"/>
    </row>
    <row r="8303" spans="1:4" x14ac:dyDescent="0.2">
      <c r="A8303" s="496"/>
      <c r="D8303" s="496"/>
    </row>
    <row r="8304" spans="1:4" x14ac:dyDescent="0.2">
      <c r="A8304" s="496"/>
      <c r="D8304" s="496"/>
    </row>
    <row r="8305" spans="1:4" x14ac:dyDescent="0.2">
      <c r="A8305" s="496"/>
      <c r="D8305" s="496"/>
    </row>
    <row r="8306" spans="1:4" x14ac:dyDescent="0.2">
      <c r="A8306" s="496"/>
      <c r="D8306" s="496"/>
    </row>
    <row r="8307" spans="1:4" x14ac:dyDescent="0.2">
      <c r="A8307" s="496"/>
      <c r="D8307" s="496"/>
    </row>
    <row r="8308" spans="1:4" x14ac:dyDescent="0.2">
      <c r="A8308" s="496"/>
      <c r="D8308" s="496"/>
    </row>
    <row r="8309" spans="1:4" x14ac:dyDescent="0.2">
      <c r="A8309" s="496"/>
      <c r="D8309" s="496"/>
    </row>
    <row r="8310" spans="1:4" x14ac:dyDescent="0.2">
      <c r="A8310" s="496"/>
      <c r="D8310" s="496"/>
    </row>
    <row r="8311" spans="1:4" x14ac:dyDescent="0.2">
      <c r="A8311" s="496"/>
      <c r="D8311" s="496"/>
    </row>
    <row r="8312" spans="1:4" x14ac:dyDescent="0.2">
      <c r="A8312" s="496"/>
      <c r="D8312" s="496"/>
    </row>
    <row r="8313" spans="1:4" x14ac:dyDescent="0.2">
      <c r="A8313" s="496"/>
      <c r="D8313" s="496"/>
    </row>
    <row r="8314" spans="1:4" x14ac:dyDescent="0.2">
      <c r="A8314" s="496"/>
      <c r="D8314" s="496"/>
    </row>
    <row r="8315" spans="1:4" x14ac:dyDescent="0.2">
      <c r="A8315" s="496"/>
      <c r="D8315" s="496"/>
    </row>
    <row r="8316" spans="1:4" x14ac:dyDescent="0.2">
      <c r="A8316" s="496"/>
      <c r="D8316" s="496"/>
    </row>
    <row r="8317" spans="1:4" x14ac:dyDescent="0.2">
      <c r="A8317" s="496"/>
      <c r="D8317" s="496"/>
    </row>
    <row r="8318" spans="1:4" x14ac:dyDescent="0.2">
      <c r="A8318" s="496"/>
      <c r="D8318" s="496"/>
    </row>
    <row r="8319" spans="1:4" x14ac:dyDescent="0.2">
      <c r="A8319" s="496"/>
      <c r="D8319" s="496"/>
    </row>
    <row r="8320" spans="1:4" x14ac:dyDescent="0.2">
      <c r="A8320" s="496"/>
      <c r="D8320" s="496"/>
    </row>
    <row r="8321" spans="1:4" x14ac:dyDescent="0.2">
      <c r="A8321" s="496"/>
      <c r="D8321" s="496"/>
    </row>
    <row r="8322" spans="1:4" x14ac:dyDescent="0.2">
      <c r="A8322" s="496"/>
      <c r="D8322" s="496"/>
    </row>
    <row r="8323" spans="1:4" x14ac:dyDescent="0.2">
      <c r="A8323" s="496"/>
      <c r="D8323" s="496"/>
    </row>
    <row r="8324" spans="1:4" x14ac:dyDescent="0.2">
      <c r="A8324" s="496"/>
      <c r="D8324" s="496"/>
    </row>
    <row r="8325" spans="1:4" x14ac:dyDescent="0.2">
      <c r="A8325" s="496"/>
      <c r="D8325" s="496"/>
    </row>
    <row r="8326" spans="1:4" x14ac:dyDescent="0.2">
      <c r="A8326" s="496"/>
      <c r="D8326" s="496"/>
    </row>
    <row r="8327" spans="1:4" x14ac:dyDescent="0.2">
      <c r="A8327" s="496"/>
      <c r="D8327" s="496"/>
    </row>
    <row r="8328" spans="1:4" x14ac:dyDescent="0.2">
      <c r="A8328" s="496"/>
      <c r="D8328" s="496"/>
    </row>
    <row r="8329" spans="1:4" x14ac:dyDescent="0.2">
      <c r="A8329" s="496"/>
      <c r="D8329" s="496"/>
    </row>
    <row r="8330" spans="1:4" x14ac:dyDescent="0.2">
      <c r="A8330" s="496"/>
      <c r="D8330" s="496"/>
    </row>
    <row r="8331" spans="1:4" x14ac:dyDescent="0.2">
      <c r="A8331" s="496"/>
      <c r="D8331" s="496"/>
    </row>
    <row r="8332" spans="1:4" x14ac:dyDescent="0.2">
      <c r="A8332" s="496"/>
      <c r="D8332" s="496"/>
    </row>
    <row r="8333" spans="1:4" x14ac:dyDescent="0.2">
      <c r="A8333" s="496"/>
      <c r="D8333" s="496"/>
    </row>
    <row r="8334" spans="1:4" x14ac:dyDescent="0.2">
      <c r="A8334" s="496"/>
      <c r="D8334" s="496"/>
    </row>
    <row r="8335" spans="1:4" x14ac:dyDescent="0.2">
      <c r="A8335" s="496"/>
      <c r="D8335" s="496"/>
    </row>
    <row r="8336" spans="1:4" x14ac:dyDescent="0.2">
      <c r="A8336" s="496"/>
      <c r="D8336" s="496"/>
    </row>
    <row r="8337" spans="1:4" x14ac:dyDescent="0.2">
      <c r="A8337" s="496"/>
      <c r="D8337" s="496"/>
    </row>
    <row r="8338" spans="1:4" x14ac:dyDescent="0.2">
      <c r="A8338" s="496"/>
      <c r="D8338" s="496"/>
    </row>
    <row r="8339" spans="1:4" x14ac:dyDescent="0.2">
      <c r="A8339" s="496"/>
      <c r="D8339" s="496"/>
    </row>
    <row r="8340" spans="1:4" x14ac:dyDescent="0.2">
      <c r="A8340" s="496"/>
      <c r="D8340" s="496"/>
    </row>
    <row r="8341" spans="1:4" x14ac:dyDescent="0.2">
      <c r="A8341" s="496"/>
      <c r="D8341" s="496"/>
    </row>
    <row r="8342" spans="1:4" x14ac:dyDescent="0.2">
      <c r="A8342" s="496"/>
      <c r="D8342" s="496"/>
    </row>
    <row r="8343" spans="1:4" x14ac:dyDescent="0.2">
      <c r="A8343" s="496"/>
      <c r="D8343" s="496"/>
    </row>
    <row r="8344" spans="1:4" x14ac:dyDescent="0.2">
      <c r="A8344" s="496"/>
      <c r="D8344" s="496"/>
    </row>
    <row r="8345" spans="1:4" x14ac:dyDescent="0.2">
      <c r="A8345" s="496"/>
      <c r="D8345" s="496"/>
    </row>
    <row r="8346" spans="1:4" x14ac:dyDescent="0.2">
      <c r="A8346" s="496"/>
      <c r="D8346" s="496"/>
    </row>
    <row r="8347" spans="1:4" x14ac:dyDescent="0.2">
      <c r="A8347" s="496"/>
      <c r="D8347" s="496"/>
    </row>
    <row r="8348" spans="1:4" x14ac:dyDescent="0.2">
      <c r="A8348" s="496"/>
      <c r="D8348" s="496"/>
    </row>
    <row r="8349" spans="1:4" x14ac:dyDescent="0.2">
      <c r="A8349" s="496"/>
      <c r="D8349" s="496"/>
    </row>
    <row r="8350" spans="1:4" x14ac:dyDescent="0.2">
      <c r="A8350" s="496"/>
      <c r="D8350" s="496"/>
    </row>
    <row r="8351" spans="1:4" x14ac:dyDescent="0.2">
      <c r="A8351" s="496"/>
      <c r="D8351" s="496"/>
    </row>
    <row r="8352" spans="1:4" x14ac:dyDescent="0.2">
      <c r="A8352" s="496"/>
      <c r="D8352" s="496"/>
    </row>
    <row r="8353" spans="1:4" x14ac:dyDescent="0.2">
      <c r="A8353" s="496"/>
      <c r="D8353" s="496"/>
    </row>
    <row r="8354" spans="1:4" x14ac:dyDescent="0.2">
      <c r="A8354" s="496"/>
      <c r="D8354" s="496"/>
    </row>
    <row r="8355" spans="1:4" x14ac:dyDescent="0.2">
      <c r="A8355" s="496"/>
      <c r="D8355" s="496"/>
    </row>
    <row r="8356" spans="1:4" x14ac:dyDescent="0.2">
      <c r="A8356" s="496"/>
      <c r="D8356" s="496"/>
    </row>
    <row r="8357" spans="1:4" x14ac:dyDescent="0.2">
      <c r="A8357" s="496"/>
      <c r="D8357" s="496"/>
    </row>
    <row r="8358" spans="1:4" x14ac:dyDescent="0.2">
      <c r="A8358" s="496"/>
      <c r="D8358" s="496"/>
    </row>
    <row r="8359" spans="1:4" x14ac:dyDescent="0.2">
      <c r="A8359" s="496"/>
      <c r="D8359" s="496"/>
    </row>
    <row r="8360" spans="1:4" x14ac:dyDescent="0.2">
      <c r="A8360" s="496"/>
      <c r="D8360" s="496"/>
    </row>
    <row r="8361" spans="1:4" x14ac:dyDescent="0.2">
      <c r="A8361" s="496"/>
      <c r="D8361" s="496"/>
    </row>
    <row r="8362" spans="1:4" x14ac:dyDescent="0.2">
      <c r="A8362" s="496"/>
      <c r="D8362" s="496"/>
    </row>
    <row r="8363" spans="1:4" x14ac:dyDescent="0.2">
      <c r="A8363" s="496"/>
      <c r="D8363" s="496"/>
    </row>
    <row r="8364" spans="1:4" x14ac:dyDescent="0.2">
      <c r="A8364" s="496"/>
      <c r="D8364" s="496"/>
    </row>
    <row r="8365" spans="1:4" x14ac:dyDescent="0.2">
      <c r="A8365" s="496"/>
      <c r="D8365" s="496"/>
    </row>
    <row r="8366" spans="1:4" x14ac:dyDescent="0.2">
      <c r="A8366" s="496"/>
      <c r="D8366" s="496"/>
    </row>
    <row r="8367" spans="1:4" x14ac:dyDescent="0.2">
      <c r="A8367" s="496"/>
      <c r="D8367" s="496"/>
    </row>
    <row r="8368" spans="1:4" x14ac:dyDescent="0.2">
      <c r="A8368" s="496"/>
      <c r="D8368" s="496"/>
    </row>
    <row r="8369" spans="1:4" x14ac:dyDescent="0.2">
      <c r="A8369" s="496"/>
      <c r="D8369" s="496"/>
    </row>
    <row r="8370" spans="1:4" x14ac:dyDescent="0.2">
      <c r="A8370" s="496"/>
      <c r="D8370" s="496"/>
    </row>
    <row r="8371" spans="1:4" x14ac:dyDescent="0.2">
      <c r="A8371" s="496"/>
      <c r="D8371" s="496"/>
    </row>
    <row r="8372" spans="1:4" x14ac:dyDescent="0.2">
      <c r="A8372" s="496"/>
      <c r="D8372" s="496"/>
    </row>
    <row r="8373" spans="1:4" x14ac:dyDescent="0.2">
      <c r="A8373" s="496"/>
      <c r="D8373" s="496"/>
    </row>
    <row r="8374" spans="1:4" x14ac:dyDescent="0.2">
      <c r="A8374" s="496"/>
      <c r="D8374" s="496"/>
    </row>
    <row r="8375" spans="1:4" x14ac:dyDescent="0.2">
      <c r="A8375" s="496"/>
      <c r="D8375" s="496"/>
    </row>
    <row r="8376" spans="1:4" x14ac:dyDescent="0.2">
      <c r="A8376" s="496"/>
      <c r="D8376" s="496"/>
    </row>
    <row r="8377" spans="1:4" x14ac:dyDescent="0.2">
      <c r="A8377" s="496"/>
      <c r="D8377" s="496"/>
    </row>
    <row r="8378" spans="1:4" x14ac:dyDescent="0.2">
      <c r="A8378" s="496"/>
      <c r="D8378" s="496"/>
    </row>
    <row r="8379" spans="1:4" x14ac:dyDescent="0.2">
      <c r="A8379" s="496"/>
      <c r="D8379" s="496"/>
    </row>
    <row r="8380" spans="1:4" x14ac:dyDescent="0.2">
      <c r="A8380" s="496"/>
      <c r="D8380" s="496"/>
    </row>
    <row r="8381" spans="1:4" x14ac:dyDescent="0.2">
      <c r="A8381" s="496"/>
      <c r="D8381" s="496"/>
    </row>
    <row r="8382" spans="1:4" x14ac:dyDescent="0.2">
      <c r="A8382" s="496"/>
      <c r="D8382" s="496"/>
    </row>
    <row r="8383" spans="1:4" x14ac:dyDescent="0.2">
      <c r="A8383" s="496"/>
      <c r="D8383" s="496"/>
    </row>
    <row r="8384" spans="1:4" x14ac:dyDescent="0.2">
      <c r="A8384" s="496"/>
      <c r="D8384" s="496"/>
    </row>
    <row r="8385" spans="1:4" x14ac:dyDescent="0.2">
      <c r="A8385" s="496"/>
      <c r="D8385" s="496"/>
    </row>
    <row r="8386" spans="1:4" x14ac:dyDescent="0.2">
      <c r="A8386" s="496"/>
      <c r="D8386" s="496"/>
    </row>
    <row r="8387" spans="1:4" x14ac:dyDescent="0.2">
      <c r="A8387" s="496"/>
      <c r="D8387" s="496"/>
    </row>
    <row r="8388" spans="1:4" x14ac:dyDescent="0.2">
      <c r="A8388" s="496"/>
      <c r="D8388" s="496"/>
    </row>
    <row r="8389" spans="1:4" x14ac:dyDescent="0.2">
      <c r="A8389" s="496"/>
      <c r="D8389" s="496"/>
    </row>
    <row r="8390" spans="1:4" x14ac:dyDescent="0.2">
      <c r="A8390" s="496"/>
      <c r="D8390" s="496"/>
    </row>
    <row r="8391" spans="1:4" x14ac:dyDescent="0.2">
      <c r="A8391" s="496"/>
      <c r="D8391" s="496"/>
    </row>
    <row r="8392" spans="1:4" x14ac:dyDescent="0.2">
      <c r="A8392" s="496"/>
      <c r="D8392" s="496"/>
    </row>
    <row r="8393" spans="1:4" x14ac:dyDescent="0.2">
      <c r="A8393" s="496"/>
      <c r="D8393" s="496"/>
    </row>
    <row r="8394" spans="1:4" x14ac:dyDescent="0.2">
      <c r="A8394" s="496"/>
      <c r="D8394" s="496"/>
    </row>
    <row r="8395" spans="1:4" x14ac:dyDescent="0.2">
      <c r="A8395" s="496"/>
      <c r="D8395" s="496"/>
    </row>
    <row r="8396" spans="1:4" x14ac:dyDescent="0.2">
      <c r="A8396" s="496"/>
      <c r="D8396" s="496"/>
    </row>
    <row r="8397" spans="1:4" x14ac:dyDescent="0.2">
      <c r="A8397" s="496"/>
      <c r="D8397" s="496"/>
    </row>
    <row r="8398" spans="1:4" x14ac:dyDescent="0.2">
      <c r="A8398" s="496"/>
      <c r="D8398" s="496"/>
    </row>
    <row r="8399" spans="1:4" x14ac:dyDescent="0.2">
      <c r="A8399" s="496"/>
      <c r="D8399" s="496"/>
    </row>
    <row r="8400" spans="1:4" x14ac:dyDescent="0.2">
      <c r="A8400" s="496"/>
      <c r="D8400" s="496"/>
    </row>
    <row r="8401" spans="1:4" x14ac:dyDescent="0.2">
      <c r="A8401" s="496"/>
      <c r="D8401" s="496"/>
    </row>
    <row r="8402" spans="1:4" x14ac:dyDescent="0.2">
      <c r="A8402" s="496"/>
      <c r="D8402" s="496"/>
    </row>
    <row r="8403" spans="1:4" x14ac:dyDescent="0.2">
      <c r="A8403" s="496"/>
      <c r="D8403" s="496"/>
    </row>
    <row r="8404" spans="1:4" x14ac:dyDescent="0.2">
      <c r="A8404" s="496"/>
      <c r="D8404" s="496"/>
    </row>
    <row r="8405" spans="1:4" x14ac:dyDescent="0.2">
      <c r="A8405" s="496"/>
      <c r="D8405" s="496"/>
    </row>
    <row r="8406" spans="1:4" x14ac:dyDescent="0.2">
      <c r="A8406" s="496"/>
      <c r="D8406" s="496"/>
    </row>
    <row r="8407" spans="1:4" x14ac:dyDescent="0.2">
      <c r="A8407" s="496"/>
      <c r="D8407" s="496"/>
    </row>
    <row r="8408" spans="1:4" x14ac:dyDescent="0.2">
      <c r="A8408" s="496"/>
      <c r="D8408" s="496"/>
    </row>
    <row r="8409" spans="1:4" x14ac:dyDescent="0.2">
      <c r="A8409" s="496"/>
      <c r="D8409" s="496"/>
    </row>
    <row r="8410" spans="1:4" x14ac:dyDescent="0.2">
      <c r="A8410" s="496"/>
      <c r="D8410" s="496"/>
    </row>
    <row r="8411" spans="1:4" x14ac:dyDescent="0.2">
      <c r="A8411" s="496"/>
      <c r="D8411" s="496"/>
    </row>
    <row r="8412" spans="1:4" x14ac:dyDescent="0.2">
      <c r="A8412" s="496"/>
      <c r="D8412" s="496"/>
    </row>
    <row r="8413" spans="1:4" x14ac:dyDescent="0.2">
      <c r="A8413" s="496"/>
      <c r="D8413" s="496"/>
    </row>
    <row r="8414" spans="1:4" x14ac:dyDescent="0.2">
      <c r="A8414" s="496"/>
      <c r="D8414" s="496"/>
    </row>
    <row r="8415" spans="1:4" x14ac:dyDescent="0.2">
      <c r="A8415" s="496"/>
      <c r="D8415" s="496"/>
    </row>
    <row r="8416" spans="1:4" x14ac:dyDescent="0.2">
      <c r="A8416" s="496"/>
      <c r="D8416" s="496"/>
    </row>
    <row r="8417" spans="1:4" x14ac:dyDescent="0.2">
      <c r="A8417" s="496"/>
      <c r="D8417" s="496"/>
    </row>
    <row r="8418" spans="1:4" x14ac:dyDescent="0.2">
      <c r="A8418" s="496"/>
      <c r="D8418" s="496"/>
    </row>
    <row r="8419" spans="1:4" x14ac:dyDescent="0.2">
      <c r="A8419" s="496"/>
      <c r="D8419" s="496"/>
    </row>
    <row r="8420" spans="1:4" x14ac:dyDescent="0.2">
      <c r="A8420" s="496"/>
      <c r="D8420" s="496"/>
    </row>
    <row r="8421" spans="1:4" x14ac:dyDescent="0.2">
      <c r="A8421" s="496"/>
      <c r="D8421" s="496"/>
    </row>
    <row r="8422" spans="1:4" x14ac:dyDescent="0.2">
      <c r="A8422" s="496"/>
      <c r="D8422" s="496"/>
    </row>
    <row r="8423" spans="1:4" x14ac:dyDescent="0.2">
      <c r="A8423" s="496"/>
      <c r="D8423" s="496"/>
    </row>
    <row r="8424" spans="1:4" x14ac:dyDescent="0.2">
      <c r="A8424" s="496"/>
      <c r="D8424" s="496"/>
    </row>
    <row r="8425" spans="1:4" x14ac:dyDescent="0.2">
      <c r="A8425" s="496"/>
      <c r="D8425" s="496"/>
    </row>
    <row r="8426" spans="1:4" x14ac:dyDescent="0.2">
      <c r="A8426" s="496"/>
      <c r="D8426" s="496"/>
    </row>
    <row r="8427" spans="1:4" x14ac:dyDescent="0.2">
      <c r="A8427" s="496"/>
      <c r="D8427" s="496"/>
    </row>
    <row r="8428" spans="1:4" x14ac:dyDescent="0.2">
      <c r="A8428" s="496"/>
      <c r="D8428" s="496"/>
    </row>
    <row r="8429" spans="1:4" x14ac:dyDescent="0.2">
      <c r="A8429" s="496"/>
      <c r="D8429" s="496"/>
    </row>
    <row r="8430" spans="1:4" x14ac:dyDescent="0.2">
      <c r="A8430" s="496"/>
      <c r="D8430" s="496"/>
    </row>
    <row r="8431" spans="1:4" x14ac:dyDescent="0.2">
      <c r="A8431" s="496"/>
      <c r="D8431" s="496"/>
    </row>
    <row r="8432" spans="1:4" x14ac:dyDescent="0.2">
      <c r="A8432" s="496"/>
      <c r="D8432" s="496"/>
    </row>
    <row r="8433" spans="1:4" x14ac:dyDescent="0.2">
      <c r="A8433" s="496"/>
      <c r="D8433" s="496"/>
    </row>
    <row r="8434" spans="1:4" x14ac:dyDescent="0.2">
      <c r="A8434" s="496"/>
      <c r="D8434" s="496"/>
    </row>
    <row r="8435" spans="1:4" x14ac:dyDescent="0.2">
      <c r="A8435" s="496"/>
      <c r="D8435" s="496"/>
    </row>
    <row r="8436" spans="1:4" x14ac:dyDescent="0.2">
      <c r="A8436" s="496"/>
      <c r="D8436" s="496"/>
    </row>
    <row r="8437" spans="1:4" x14ac:dyDescent="0.2">
      <c r="A8437" s="496"/>
      <c r="D8437" s="496"/>
    </row>
    <row r="8438" spans="1:4" x14ac:dyDescent="0.2">
      <c r="A8438" s="496"/>
      <c r="D8438" s="496"/>
    </row>
    <row r="8439" spans="1:4" x14ac:dyDescent="0.2">
      <c r="A8439" s="496"/>
      <c r="D8439" s="496"/>
    </row>
    <row r="8440" spans="1:4" x14ac:dyDescent="0.2">
      <c r="A8440" s="496"/>
      <c r="D8440" s="496"/>
    </row>
    <row r="8441" spans="1:4" x14ac:dyDescent="0.2">
      <c r="A8441" s="496"/>
      <c r="D8441" s="496"/>
    </row>
    <row r="8442" spans="1:4" x14ac:dyDescent="0.2">
      <c r="A8442" s="496"/>
      <c r="D8442" s="496"/>
    </row>
    <row r="8443" spans="1:4" x14ac:dyDescent="0.2">
      <c r="A8443" s="496"/>
      <c r="D8443" s="496"/>
    </row>
    <row r="8444" spans="1:4" x14ac:dyDescent="0.2">
      <c r="A8444" s="496"/>
      <c r="D8444" s="496"/>
    </row>
    <row r="8445" spans="1:4" x14ac:dyDescent="0.2">
      <c r="A8445" s="496"/>
      <c r="D8445" s="496"/>
    </row>
    <row r="8446" spans="1:4" x14ac:dyDescent="0.2">
      <c r="A8446" s="496"/>
      <c r="D8446" s="496"/>
    </row>
    <row r="8447" spans="1:4" x14ac:dyDescent="0.2">
      <c r="A8447" s="496"/>
      <c r="D8447" s="496"/>
    </row>
    <row r="8448" spans="1:4" x14ac:dyDescent="0.2">
      <c r="A8448" s="496"/>
      <c r="D8448" s="496"/>
    </row>
    <row r="8449" spans="1:4" x14ac:dyDescent="0.2">
      <c r="A8449" s="496"/>
      <c r="D8449" s="496"/>
    </row>
    <row r="8450" spans="1:4" x14ac:dyDescent="0.2">
      <c r="A8450" s="496"/>
      <c r="D8450" s="496"/>
    </row>
    <row r="8451" spans="1:4" x14ac:dyDescent="0.2">
      <c r="A8451" s="496"/>
      <c r="D8451" s="496"/>
    </row>
    <row r="8452" spans="1:4" x14ac:dyDescent="0.2">
      <c r="A8452" s="496"/>
      <c r="D8452" s="496"/>
    </row>
    <row r="8453" spans="1:4" x14ac:dyDescent="0.2">
      <c r="A8453" s="496"/>
      <c r="D8453" s="496"/>
    </row>
    <row r="8454" spans="1:4" x14ac:dyDescent="0.2">
      <c r="A8454" s="496"/>
      <c r="D8454" s="496"/>
    </row>
    <row r="8455" spans="1:4" x14ac:dyDescent="0.2">
      <c r="A8455" s="496"/>
      <c r="D8455" s="496"/>
    </row>
    <row r="8456" spans="1:4" x14ac:dyDescent="0.2">
      <c r="A8456" s="496"/>
      <c r="D8456" s="496"/>
    </row>
    <row r="8457" spans="1:4" x14ac:dyDescent="0.2">
      <c r="A8457" s="496"/>
      <c r="D8457" s="496"/>
    </row>
    <row r="8458" spans="1:4" x14ac:dyDescent="0.2">
      <c r="A8458" s="496"/>
      <c r="D8458" s="496"/>
    </row>
    <row r="8459" spans="1:4" x14ac:dyDescent="0.2">
      <c r="A8459" s="496"/>
      <c r="D8459" s="496"/>
    </row>
    <row r="8460" spans="1:4" x14ac:dyDescent="0.2">
      <c r="A8460" s="496"/>
      <c r="D8460" s="496"/>
    </row>
    <row r="8461" spans="1:4" x14ac:dyDescent="0.2">
      <c r="A8461" s="496"/>
      <c r="D8461" s="496"/>
    </row>
    <row r="8462" spans="1:4" x14ac:dyDescent="0.2">
      <c r="A8462" s="496"/>
      <c r="D8462" s="496"/>
    </row>
    <row r="8463" spans="1:4" x14ac:dyDescent="0.2">
      <c r="A8463" s="496"/>
      <c r="D8463" s="496"/>
    </row>
    <row r="8464" spans="1:4" x14ac:dyDescent="0.2">
      <c r="A8464" s="496"/>
      <c r="D8464" s="496"/>
    </row>
    <row r="8465" spans="1:4" x14ac:dyDescent="0.2">
      <c r="A8465" s="496"/>
      <c r="D8465" s="496"/>
    </row>
    <row r="8466" spans="1:4" x14ac:dyDescent="0.2">
      <c r="A8466" s="496"/>
      <c r="D8466" s="496"/>
    </row>
    <row r="8467" spans="1:4" x14ac:dyDescent="0.2">
      <c r="A8467" s="496"/>
      <c r="D8467" s="496"/>
    </row>
    <row r="8468" spans="1:4" x14ac:dyDescent="0.2">
      <c r="A8468" s="496"/>
      <c r="D8468" s="496"/>
    </row>
    <row r="8469" spans="1:4" x14ac:dyDescent="0.2">
      <c r="A8469" s="496"/>
      <c r="D8469" s="496"/>
    </row>
    <row r="8470" spans="1:4" x14ac:dyDescent="0.2">
      <c r="A8470" s="496"/>
      <c r="D8470" s="496"/>
    </row>
    <row r="8471" spans="1:4" x14ac:dyDescent="0.2">
      <c r="A8471" s="496"/>
      <c r="D8471" s="496"/>
    </row>
    <row r="8472" spans="1:4" x14ac:dyDescent="0.2">
      <c r="A8472" s="496"/>
      <c r="D8472" s="496"/>
    </row>
    <row r="8473" spans="1:4" x14ac:dyDescent="0.2">
      <c r="A8473" s="496"/>
      <c r="D8473" s="496"/>
    </row>
    <row r="8474" spans="1:4" x14ac:dyDescent="0.2">
      <c r="A8474" s="496"/>
      <c r="D8474" s="496"/>
    </row>
    <row r="8475" spans="1:4" x14ac:dyDescent="0.2">
      <c r="A8475" s="496"/>
      <c r="D8475" s="496"/>
    </row>
    <row r="8476" spans="1:4" x14ac:dyDescent="0.2">
      <c r="A8476" s="496"/>
      <c r="D8476" s="496"/>
    </row>
    <row r="8477" spans="1:4" x14ac:dyDescent="0.2">
      <c r="A8477" s="496"/>
      <c r="D8477" s="496"/>
    </row>
    <row r="8478" spans="1:4" x14ac:dyDescent="0.2">
      <c r="A8478" s="496"/>
      <c r="D8478" s="496"/>
    </row>
    <row r="8479" spans="1:4" x14ac:dyDescent="0.2">
      <c r="A8479" s="496"/>
      <c r="D8479" s="496"/>
    </row>
    <row r="8480" spans="1:4" x14ac:dyDescent="0.2">
      <c r="A8480" s="496"/>
      <c r="D8480" s="496"/>
    </row>
    <row r="8481" spans="1:4" x14ac:dyDescent="0.2">
      <c r="A8481" s="496"/>
      <c r="D8481" s="496"/>
    </row>
    <row r="8482" spans="1:4" x14ac:dyDescent="0.2">
      <c r="A8482" s="496"/>
      <c r="D8482" s="496"/>
    </row>
    <row r="8483" spans="1:4" x14ac:dyDescent="0.2">
      <c r="A8483" s="496"/>
      <c r="D8483" s="496"/>
    </row>
    <row r="8484" spans="1:4" x14ac:dyDescent="0.2">
      <c r="A8484" s="496"/>
      <c r="D8484" s="496"/>
    </row>
    <row r="8485" spans="1:4" x14ac:dyDescent="0.2">
      <c r="A8485" s="496"/>
      <c r="D8485" s="496"/>
    </row>
    <row r="8486" spans="1:4" x14ac:dyDescent="0.2">
      <c r="A8486" s="496"/>
      <c r="D8486" s="496"/>
    </row>
    <row r="8487" spans="1:4" x14ac:dyDescent="0.2">
      <c r="A8487" s="496"/>
      <c r="D8487" s="496"/>
    </row>
    <row r="8488" spans="1:4" x14ac:dyDescent="0.2">
      <c r="A8488" s="496"/>
      <c r="D8488" s="496"/>
    </row>
    <row r="8489" spans="1:4" x14ac:dyDescent="0.2">
      <c r="A8489" s="496"/>
      <c r="D8489" s="496"/>
    </row>
    <row r="8490" spans="1:4" x14ac:dyDescent="0.2">
      <c r="A8490" s="496"/>
      <c r="D8490" s="496"/>
    </row>
    <row r="8491" spans="1:4" x14ac:dyDescent="0.2">
      <c r="A8491" s="496"/>
      <c r="D8491" s="496"/>
    </row>
    <row r="8492" spans="1:4" x14ac:dyDescent="0.2">
      <c r="A8492" s="496"/>
      <c r="D8492" s="496"/>
    </row>
    <row r="8493" spans="1:4" x14ac:dyDescent="0.2">
      <c r="A8493" s="496"/>
      <c r="D8493" s="496"/>
    </row>
    <row r="8494" spans="1:4" x14ac:dyDescent="0.2">
      <c r="A8494" s="496"/>
      <c r="D8494" s="496"/>
    </row>
    <row r="8495" spans="1:4" x14ac:dyDescent="0.2">
      <c r="A8495" s="496"/>
      <c r="D8495" s="496"/>
    </row>
    <row r="8496" spans="1:4" x14ac:dyDescent="0.2">
      <c r="A8496" s="496"/>
      <c r="D8496" s="496"/>
    </row>
    <row r="8497" spans="1:4" x14ac:dyDescent="0.2">
      <c r="A8497" s="496"/>
      <c r="D8497" s="496"/>
    </row>
    <row r="8498" spans="1:4" x14ac:dyDescent="0.2">
      <c r="A8498" s="496"/>
      <c r="D8498" s="496"/>
    </row>
    <row r="8499" spans="1:4" x14ac:dyDescent="0.2">
      <c r="A8499" s="496"/>
      <c r="D8499" s="496"/>
    </row>
    <row r="8500" spans="1:4" x14ac:dyDescent="0.2">
      <c r="A8500" s="496"/>
      <c r="D8500" s="496"/>
    </row>
    <row r="8501" spans="1:4" x14ac:dyDescent="0.2">
      <c r="A8501" s="496"/>
      <c r="D8501" s="496"/>
    </row>
    <row r="8502" spans="1:4" x14ac:dyDescent="0.2">
      <c r="A8502" s="496"/>
      <c r="D8502" s="496"/>
    </row>
    <row r="8503" spans="1:4" x14ac:dyDescent="0.2">
      <c r="A8503" s="496"/>
      <c r="D8503" s="496"/>
    </row>
    <row r="8504" spans="1:4" x14ac:dyDescent="0.2">
      <c r="A8504" s="496"/>
      <c r="D8504" s="496"/>
    </row>
    <row r="8505" spans="1:4" x14ac:dyDescent="0.2">
      <c r="A8505" s="496"/>
      <c r="D8505" s="496"/>
    </row>
    <row r="8506" spans="1:4" x14ac:dyDescent="0.2">
      <c r="A8506" s="496"/>
      <c r="D8506" s="496"/>
    </row>
    <row r="8507" spans="1:4" x14ac:dyDescent="0.2">
      <c r="A8507" s="496"/>
      <c r="D8507" s="496"/>
    </row>
    <row r="8508" spans="1:4" x14ac:dyDescent="0.2">
      <c r="A8508" s="496"/>
      <c r="D8508" s="496"/>
    </row>
    <row r="8509" spans="1:4" x14ac:dyDescent="0.2">
      <c r="A8509" s="496"/>
      <c r="D8509" s="496"/>
    </row>
    <row r="8510" spans="1:4" x14ac:dyDescent="0.2">
      <c r="A8510" s="496"/>
      <c r="D8510" s="496"/>
    </row>
    <row r="8511" spans="1:4" x14ac:dyDescent="0.2">
      <c r="A8511" s="496"/>
      <c r="D8511" s="496"/>
    </row>
    <row r="8512" spans="1:4" x14ac:dyDescent="0.2">
      <c r="A8512" s="496"/>
      <c r="D8512" s="496"/>
    </row>
    <row r="8513" spans="1:4" x14ac:dyDescent="0.2">
      <c r="A8513" s="496"/>
      <c r="D8513" s="496"/>
    </row>
    <row r="8514" spans="1:4" x14ac:dyDescent="0.2">
      <c r="A8514" s="496"/>
      <c r="D8514" s="496"/>
    </row>
    <row r="8515" spans="1:4" x14ac:dyDescent="0.2">
      <c r="A8515" s="496"/>
      <c r="D8515" s="496"/>
    </row>
    <row r="8516" spans="1:4" x14ac:dyDescent="0.2">
      <c r="A8516" s="496"/>
      <c r="D8516" s="496"/>
    </row>
    <row r="8517" spans="1:4" x14ac:dyDescent="0.2">
      <c r="A8517" s="496"/>
      <c r="D8517" s="496"/>
    </row>
    <row r="8518" spans="1:4" x14ac:dyDescent="0.2">
      <c r="A8518" s="496"/>
      <c r="D8518" s="496"/>
    </row>
    <row r="8519" spans="1:4" x14ac:dyDescent="0.2">
      <c r="A8519" s="496"/>
      <c r="D8519" s="496"/>
    </row>
    <row r="8520" spans="1:4" x14ac:dyDescent="0.2">
      <c r="A8520" s="496"/>
      <c r="D8520" s="496"/>
    </row>
    <row r="8521" spans="1:4" x14ac:dyDescent="0.2">
      <c r="A8521" s="496"/>
      <c r="D8521" s="496"/>
    </row>
    <row r="8522" spans="1:4" x14ac:dyDescent="0.2">
      <c r="A8522" s="496"/>
      <c r="D8522" s="496"/>
    </row>
    <row r="8523" spans="1:4" x14ac:dyDescent="0.2">
      <c r="A8523" s="496"/>
      <c r="D8523" s="496"/>
    </row>
    <row r="8524" spans="1:4" x14ac:dyDescent="0.2">
      <c r="A8524" s="496"/>
      <c r="D8524" s="496"/>
    </row>
    <row r="8525" spans="1:4" x14ac:dyDescent="0.2">
      <c r="A8525" s="496"/>
      <c r="D8525" s="496"/>
    </row>
    <row r="8526" spans="1:4" x14ac:dyDescent="0.2">
      <c r="A8526" s="496"/>
      <c r="D8526" s="496"/>
    </row>
    <row r="8527" spans="1:4" x14ac:dyDescent="0.2">
      <c r="A8527" s="496"/>
      <c r="D8527" s="496"/>
    </row>
    <row r="8528" spans="1:4" x14ac:dyDescent="0.2">
      <c r="A8528" s="496"/>
      <c r="D8528" s="496"/>
    </row>
    <row r="8529" spans="1:4" x14ac:dyDescent="0.2">
      <c r="A8529" s="496"/>
      <c r="D8529" s="496"/>
    </row>
    <row r="8530" spans="1:4" x14ac:dyDescent="0.2">
      <c r="A8530" s="496"/>
      <c r="D8530" s="496"/>
    </row>
    <row r="8531" spans="1:4" x14ac:dyDescent="0.2">
      <c r="A8531" s="496"/>
      <c r="D8531" s="496"/>
    </row>
    <row r="8532" spans="1:4" x14ac:dyDescent="0.2">
      <c r="A8532" s="496"/>
      <c r="D8532" s="496"/>
    </row>
    <row r="8533" spans="1:4" x14ac:dyDescent="0.2">
      <c r="A8533" s="496"/>
      <c r="D8533" s="496"/>
    </row>
    <row r="8534" spans="1:4" x14ac:dyDescent="0.2">
      <c r="A8534" s="496"/>
      <c r="D8534" s="496"/>
    </row>
    <row r="8535" spans="1:4" x14ac:dyDescent="0.2">
      <c r="A8535" s="496"/>
      <c r="D8535" s="496"/>
    </row>
    <row r="8536" spans="1:4" x14ac:dyDescent="0.2">
      <c r="A8536" s="496"/>
      <c r="D8536" s="496"/>
    </row>
    <row r="8537" spans="1:4" x14ac:dyDescent="0.2">
      <c r="A8537" s="496"/>
      <c r="D8537" s="496"/>
    </row>
    <row r="8538" spans="1:4" x14ac:dyDescent="0.2">
      <c r="A8538" s="496"/>
      <c r="D8538" s="496"/>
    </row>
    <row r="8539" spans="1:4" x14ac:dyDescent="0.2">
      <c r="A8539" s="496"/>
      <c r="D8539" s="496"/>
    </row>
    <row r="8540" spans="1:4" x14ac:dyDescent="0.2">
      <c r="A8540" s="496"/>
      <c r="D8540" s="496"/>
    </row>
    <row r="8541" spans="1:4" x14ac:dyDescent="0.2">
      <c r="A8541" s="496"/>
      <c r="D8541" s="496"/>
    </row>
    <row r="8542" spans="1:4" x14ac:dyDescent="0.2">
      <c r="A8542" s="496"/>
      <c r="D8542" s="496"/>
    </row>
    <row r="8543" spans="1:4" x14ac:dyDescent="0.2">
      <c r="A8543" s="496"/>
      <c r="D8543" s="496"/>
    </row>
    <row r="8544" spans="1:4" x14ac:dyDescent="0.2">
      <c r="A8544" s="496"/>
      <c r="D8544" s="496"/>
    </row>
    <row r="8545" spans="1:4" x14ac:dyDescent="0.2">
      <c r="A8545" s="496"/>
      <c r="D8545" s="496"/>
    </row>
    <row r="8546" spans="1:4" x14ac:dyDescent="0.2">
      <c r="A8546" s="496"/>
      <c r="D8546" s="496"/>
    </row>
    <row r="8547" spans="1:4" x14ac:dyDescent="0.2">
      <c r="A8547" s="496"/>
      <c r="D8547" s="496"/>
    </row>
    <row r="8548" spans="1:4" x14ac:dyDescent="0.2">
      <c r="A8548" s="496"/>
      <c r="D8548" s="496"/>
    </row>
    <row r="8549" spans="1:4" x14ac:dyDescent="0.2">
      <c r="A8549" s="496"/>
      <c r="D8549" s="496"/>
    </row>
    <row r="8550" spans="1:4" x14ac:dyDescent="0.2">
      <c r="A8550" s="496"/>
      <c r="D8550" s="496"/>
    </row>
    <row r="8551" spans="1:4" x14ac:dyDescent="0.2">
      <c r="A8551" s="496"/>
      <c r="D8551" s="496"/>
    </row>
    <row r="8552" spans="1:4" x14ac:dyDescent="0.2">
      <c r="A8552" s="496"/>
      <c r="D8552" s="496"/>
    </row>
    <row r="8553" spans="1:4" x14ac:dyDescent="0.2">
      <c r="A8553" s="496"/>
      <c r="D8553" s="496"/>
    </row>
    <row r="8554" spans="1:4" x14ac:dyDescent="0.2">
      <c r="A8554" s="496"/>
      <c r="D8554" s="496"/>
    </row>
    <row r="8555" spans="1:4" x14ac:dyDescent="0.2">
      <c r="A8555" s="496"/>
      <c r="D8555" s="496"/>
    </row>
    <row r="8556" spans="1:4" x14ac:dyDescent="0.2">
      <c r="A8556" s="496"/>
      <c r="D8556" s="496"/>
    </row>
    <row r="8557" spans="1:4" x14ac:dyDescent="0.2">
      <c r="A8557" s="496"/>
      <c r="D8557" s="496"/>
    </row>
    <row r="8558" spans="1:4" x14ac:dyDescent="0.2">
      <c r="A8558" s="496"/>
      <c r="D8558" s="496"/>
    </row>
    <row r="8559" spans="1:4" x14ac:dyDescent="0.2">
      <c r="A8559" s="496"/>
      <c r="D8559" s="496"/>
    </row>
    <row r="8560" spans="1:4" x14ac:dyDescent="0.2">
      <c r="A8560" s="496"/>
      <c r="D8560" s="496"/>
    </row>
    <row r="8561" spans="1:4" x14ac:dyDescent="0.2">
      <c r="A8561" s="496"/>
      <c r="D8561" s="496"/>
    </row>
    <row r="8562" spans="1:4" x14ac:dyDescent="0.2">
      <c r="A8562" s="496"/>
      <c r="D8562" s="496"/>
    </row>
    <row r="8563" spans="1:4" x14ac:dyDescent="0.2">
      <c r="A8563" s="496"/>
      <c r="D8563" s="496"/>
    </row>
    <row r="8564" spans="1:4" x14ac:dyDescent="0.2">
      <c r="A8564" s="496"/>
      <c r="D8564" s="496"/>
    </row>
    <row r="8565" spans="1:4" x14ac:dyDescent="0.2">
      <c r="A8565" s="496"/>
      <c r="D8565" s="496"/>
    </row>
    <row r="8566" spans="1:4" x14ac:dyDescent="0.2">
      <c r="A8566" s="496"/>
      <c r="D8566" s="496"/>
    </row>
    <row r="8567" spans="1:4" x14ac:dyDescent="0.2">
      <c r="A8567" s="496"/>
      <c r="D8567" s="496"/>
    </row>
    <row r="8568" spans="1:4" x14ac:dyDescent="0.2">
      <c r="A8568" s="496"/>
      <c r="D8568" s="496"/>
    </row>
    <row r="8569" spans="1:4" x14ac:dyDescent="0.2">
      <c r="A8569" s="496"/>
      <c r="D8569" s="496"/>
    </row>
    <row r="8570" spans="1:4" x14ac:dyDescent="0.2">
      <c r="A8570" s="496"/>
      <c r="D8570" s="496"/>
    </row>
    <row r="8571" spans="1:4" x14ac:dyDescent="0.2">
      <c r="A8571" s="496"/>
      <c r="D8571" s="496"/>
    </row>
    <row r="8572" spans="1:4" x14ac:dyDescent="0.2">
      <c r="A8572" s="496"/>
      <c r="D8572" s="496"/>
    </row>
    <row r="8573" spans="1:4" x14ac:dyDescent="0.2">
      <c r="A8573" s="496"/>
      <c r="D8573" s="496"/>
    </row>
    <row r="8574" spans="1:4" x14ac:dyDescent="0.2">
      <c r="A8574" s="496"/>
      <c r="D8574" s="496"/>
    </row>
    <row r="8575" spans="1:4" x14ac:dyDescent="0.2">
      <c r="A8575" s="496"/>
      <c r="D8575" s="496"/>
    </row>
    <row r="8576" spans="1:4" x14ac:dyDescent="0.2">
      <c r="A8576" s="496"/>
      <c r="D8576" s="496"/>
    </row>
    <row r="8577" spans="1:4" x14ac:dyDescent="0.2">
      <c r="A8577" s="496"/>
      <c r="D8577" s="496"/>
    </row>
    <row r="8578" spans="1:4" x14ac:dyDescent="0.2">
      <c r="A8578" s="496"/>
      <c r="D8578" s="496"/>
    </row>
    <row r="8579" spans="1:4" x14ac:dyDescent="0.2">
      <c r="A8579" s="496"/>
      <c r="D8579" s="496"/>
    </row>
    <row r="8580" spans="1:4" x14ac:dyDescent="0.2">
      <c r="A8580" s="496"/>
      <c r="D8580" s="496"/>
    </row>
    <row r="8581" spans="1:4" x14ac:dyDescent="0.2">
      <c r="A8581" s="496"/>
      <c r="D8581" s="496"/>
    </row>
    <row r="8582" spans="1:4" x14ac:dyDescent="0.2">
      <c r="A8582" s="496"/>
      <c r="D8582" s="496"/>
    </row>
    <row r="8583" spans="1:4" x14ac:dyDescent="0.2">
      <c r="A8583" s="496"/>
      <c r="D8583" s="496"/>
    </row>
    <row r="8584" spans="1:4" x14ac:dyDescent="0.2">
      <c r="A8584" s="496"/>
      <c r="D8584" s="496"/>
    </row>
    <row r="8585" spans="1:4" x14ac:dyDescent="0.2">
      <c r="A8585" s="496"/>
      <c r="D8585" s="496"/>
    </row>
    <row r="8586" spans="1:4" x14ac:dyDescent="0.2">
      <c r="A8586" s="496"/>
      <c r="D8586" s="496"/>
    </row>
    <row r="8587" spans="1:4" x14ac:dyDescent="0.2">
      <c r="A8587" s="496"/>
      <c r="D8587" s="496"/>
    </row>
    <row r="8588" spans="1:4" x14ac:dyDescent="0.2">
      <c r="A8588" s="496"/>
      <c r="D8588" s="496"/>
    </row>
    <row r="8589" spans="1:4" x14ac:dyDescent="0.2">
      <c r="A8589" s="496"/>
      <c r="D8589" s="496"/>
    </row>
    <row r="8590" spans="1:4" x14ac:dyDescent="0.2">
      <c r="A8590" s="496"/>
      <c r="D8590" s="496"/>
    </row>
    <row r="8591" spans="1:4" x14ac:dyDescent="0.2">
      <c r="A8591" s="496"/>
      <c r="D8591" s="496"/>
    </row>
    <row r="8592" spans="1:4" x14ac:dyDescent="0.2">
      <c r="A8592" s="496"/>
      <c r="D8592" s="496"/>
    </row>
    <row r="8593" spans="1:4" x14ac:dyDescent="0.2">
      <c r="A8593" s="496"/>
      <c r="D8593" s="496"/>
    </row>
    <row r="8594" spans="1:4" x14ac:dyDescent="0.2">
      <c r="A8594" s="496"/>
      <c r="D8594" s="496"/>
    </row>
    <row r="8595" spans="1:4" x14ac:dyDescent="0.2">
      <c r="A8595" s="496"/>
      <c r="D8595" s="496"/>
    </row>
    <row r="8596" spans="1:4" x14ac:dyDescent="0.2">
      <c r="A8596" s="496"/>
      <c r="D8596" s="496"/>
    </row>
    <row r="8597" spans="1:4" x14ac:dyDescent="0.2">
      <c r="A8597" s="496"/>
      <c r="D8597" s="496"/>
    </row>
    <row r="8598" spans="1:4" x14ac:dyDescent="0.2">
      <c r="A8598" s="496"/>
      <c r="D8598" s="496"/>
    </row>
    <row r="8599" spans="1:4" x14ac:dyDescent="0.2">
      <c r="A8599" s="496"/>
      <c r="D8599" s="496"/>
    </row>
    <row r="8600" spans="1:4" x14ac:dyDescent="0.2">
      <c r="A8600" s="496"/>
      <c r="D8600" s="496"/>
    </row>
    <row r="8601" spans="1:4" x14ac:dyDescent="0.2">
      <c r="A8601" s="496"/>
      <c r="D8601" s="496"/>
    </row>
    <row r="8602" spans="1:4" x14ac:dyDescent="0.2">
      <c r="A8602" s="496"/>
      <c r="D8602" s="496"/>
    </row>
    <row r="8603" spans="1:4" x14ac:dyDescent="0.2">
      <c r="A8603" s="496"/>
      <c r="D8603" s="496"/>
    </row>
    <row r="8604" spans="1:4" x14ac:dyDescent="0.2">
      <c r="A8604" s="496"/>
      <c r="D8604" s="496"/>
    </row>
    <row r="8605" spans="1:4" x14ac:dyDescent="0.2">
      <c r="A8605" s="496"/>
      <c r="D8605" s="496"/>
    </row>
    <row r="8606" spans="1:4" x14ac:dyDescent="0.2">
      <c r="A8606" s="496"/>
      <c r="D8606" s="496"/>
    </row>
    <row r="8607" spans="1:4" x14ac:dyDescent="0.2">
      <c r="A8607" s="496"/>
      <c r="D8607" s="496"/>
    </row>
    <row r="8608" spans="1:4" x14ac:dyDescent="0.2">
      <c r="A8608" s="496"/>
      <c r="D8608" s="496"/>
    </row>
    <row r="8609" spans="1:4" x14ac:dyDescent="0.2">
      <c r="A8609" s="496"/>
      <c r="D8609" s="496"/>
    </row>
    <row r="8610" spans="1:4" x14ac:dyDescent="0.2">
      <c r="A8610" s="496"/>
      <c r="D8610" s="496"/>
    </row>
    <row r="8611" spans="1:4" x14ac:dyDescent="0.2">
      <c r="A8611" s="496"/>
      <c r="D8611" s="496"/>
    </row>
    <row r="8612" spans="1:4" x14ac:dyDescent="0.2">
      <c r="A8612" s="496"/>
      <c r="D8612" s="496"/>
    </row>
    <row r="8613" spans="1:4" x14ac:dyDescent="0.2">
      <c r="A8613" s="496"/>
      <c r="D8613" s="496"/>
    </row>
    <row r="8614" spans="1:4" x14ac:dyDescent="0.2">
      <c r="A8614" s="496"/>
      <c r="D8614" s="496"/>
    </row>
    <row r="8615" spans="1:4" x14ac:dyDescent="0.2">
      <c r="A8615" s="496"/>
      <c r="D8615" s="496"/>
    </row>
    <row r="8616" spans="1:4" x14ac:dyDescent="0.2">
      <c r="A8616" s="496"/>
      <c r="D8616" s="496"/>
    </row>
    <row r="8617" spans="1:4" x14ac:dyDescent="0.2">
      <c r="A8617" s="496"/>
      <c r="D8617" s="496"/>
    </row>
    <row r="8618" spans="1:4" x14ac:dyDescent="0.2">
      <c r="A8618" s="496"/>
      <c r="D8618" s="496"/>
    </row>
    <row r="8619" spans="1:4" x14ac:dyDescent="0.2">
      <c r="A8619" s="496"/>
      <c r="D8619" s="496"/>
    </row>
    <row r="8620" spans="1:4" x14ac:dyDescent="0.2">
      <c r="A8620" s="496"/>
      <c r="D8620" s="496"/>
    </row>
    <row r="8621" spans="1:4" x14ac:dyDescent="0.2">
      <c r="A8621" s="496"/>
      <c r="D8621" s="496"/>
    </row>
    <row r="8622" spans="1:4" x14ac:dyDescent="0.2">
      <c r="A8622" s="496"/>
      <c r="D8622" s="496"/>
    </row>
    <row r="8623" spans="1:4" x14ac:dyDescent="0.2">
      <c r="A8623" s="496"/>
      <c r="D8623" s="496"/>
    </row>
    <row r="8624" spans="1:4" x14ac:dyDescent="0.2">
      <c r="A8624" s="496"/>
      <c r="D8624" s="496"/>
    </row>
    <row r="8625" spans="1:4" x14ac:dyDescent="0.2">
      <c r="A8625" s="496"/>
      <c r="D8625" s="496"/>
    </row>
    <row r="8626" spans="1:4" x14ac:dyDescent="0.2">
      <c r="A8626" s="496"/>
      <c r="D8626" s="496"/>
    </row>
    <row r="8627" spans="1:4" x14ac:dyDescent="0.2">
      <c r="A8627" s="496"/>
      <c r="D8627" s="496"/>
    </row>
    <row r="8628" spans="1:4" x14ac:dyDescent="0.2">
      <c r="A8628" s="496"/>
      <c r="D8628" s="496"/>
    </row>
    <row r="8629" spans="1:4" x14ac:dyDescent="0.2">
      <c r="A8629" s="496"/>
      <c r="D8629" s="496"/>
    </row>
    <row r="8630" spans="1:4" x14ac:dyDescent="0.2">
      <c r="A8630" s="496"/>
      <c r="D8630" s="496"/>
    </row>
    <row r="8631" spans="1:4" x14ac:dyDescent="0.2">
      <c r="A8631" s="496"/>
      <c r="D8631" s="496"/>
    </row>
    <row r="8632" spans="1:4" x14ac:dyDescent="0.2">
      <c r="A8632" s="496"/>
      <c r="D8632" s="496"/>
    </row>
    <row r="8633" spans="1:4" x14ac:dyDescent="0.2">
      <c r="A8633" s="496"/>
      <c r="D8633" s="496"/>
    </row>
    <row r="8634" spans="1:4" x14ac:dyDescent="0.2">
      <c r="A8634" s="496"/>
      <c r="D8634" s="496"/>
    </row>
    <row r="8635" spans="1:4" x14ac:dyDescent="0.2">
      <c r="A8635" s="496"/>
      <c r="D8635" s="496"/>
    </row>
    <row r="8636" spans="1:4" x14ac:dyDescent="0.2">
      <c r="A8636" s="496"/>
      <c r="D8636" s="496"/>
    </row>
    <row r="8637" spans="1:4" x14ac:dyDescent="0.2">
      <c r="A8637" s="496"/>
      <c r="D8637" s="496"/>
    </row>
    <row r="8638" spans="1:4" x14ac:dyDescent="0.2">
      <c r="A8638" s="496"/>
      <c r="D8638" s="496"/>
    </row>
    <row r="8639" spans="1:4" x14ac:dyDescent="0.2">
      <c r="A8639" s="496"/>
      <c r="D8639" s="496"/>
    </row>
    <row r="8640" spans="1:4" x14ac:dyDescent="0.2">
      <c r="A8640" s="496"/>
      <c r="D8640" s="496"/>
    </row>
    <row r="8641" spans="1:4" x14ac:dyDescent="0.2">
      <c r="A8641" s="496"/>
      <c r="D8641" s="496"/>
    </row>
    <row r="8642" spans="1:4" x14ac:dyDescent="0.2">
      <c r="A8642" s="496"/>
      <c r="D8642" s="496"/>
    </row>
    <row r="8643" spans="1:4" x14ac:dyDescent="0.2">
      <c r="A8643" s="496"/>
      <c r="D8643" s="496"/>
    </row>
    <row r="8644" spans="1:4" x14ac:dyDescent="0.2">
      <c r="A8644" s="496"/>
      <c r="D8644" s="496"/>
    </row>
    <row r="8645" spans="1:4" x14ac:dyDescent="0.2">
      <c r="A8645" s="496"/>
      <c r="D8645" s="496"/>
    </row>
    <row r="8646" spans="1:4" x14ac:dyDescent="0.2">
      <c r="A8646" s="496"/>
      <c r="D8646" s="496"/>
    </row>
    <row r="8647" spans="1:4" x14ac:dyDescent="0.2">
      <c r="A8647" s="496"/>
      <c r="D8647" s="496"/>
    </row>
    <row r="8648" spans="1:4" x14ac:dyDescent="0.2">
      <c r="A8648" s="496"/>
      <c r="D8648" s="496"/>
    </row>
    <row r="8649" spans="1:4" x14ac:dyDescent="0.2">
      <c r="A8649" s="496"/>
      <c r="D8649" s="496"/>
    </row>
    <row r="8650" spans="1:4" x14ac:dyDescent="0.2">
      <c r="A8650" s="496"/>
      <c r="D8650" s="496"/>
    </row>
    <row r="8651" spans="1:4" x14ac:dyDescent="0.2">
      <c r="A8651" s="496"/>
      <c r="D8651" s="496"/>
    </row>
    <row r="8652" spans="1:4" x14ac:dyDescent="0.2">
      <c r="A8652" s="496"/>
      <c r="D8652" s="496"/>
    </row>
    <row r="8653" spans="1:4" x14ac:dyDescent="0.2">
      <c r="A8653" s="496"/>
      <c r="D8653" s="496"/>
    </row>
    <row r="8654" spans="1:4" x14ac:dyDescent="0.2">
      <c r="A8654" s="496"/>
      <c r="D8654" s="496"/>
    </row>
    <row r="8655" spans="1:4" x14ac:dyDescent="0.2">
      <c r="A8655" s="496"/>
      <c r="D8655" s="496"/>
    </row>
    <row r="8656" spans="1:4" x14ac:dyDescent="0.2">
      <c r="A8656" s="496"/>
      <c r="D8656" s="496"/>
    </row>
    <row r="8657" spans="1:4" x14ac:dyDescent="0.2">
      <c r="A8657" s="496"/>
      <c r="D8657" s="496"/>
    </row>
    <row r="8658" spans="1:4" x14ac:dyDescent="0.2">
      <c r="A8658" s="496"/>
      <c r="D8658" s="496"/>
    </row>
    <row r="8659" spans="1:4" x14ac:dyDescent="0.2">
      <c r="A8659" s="496"/>
      <c r="D8659" s="496"/>
    </row>
    <row r="8660" spans="1:4" x14ac:dyDescent="0.2">
      <c r="A8660" s="496"/>
      <c r="D8660" s="496"/>
    </row>
    <row r="8661" spans="1:4" x14ac:dyDescent="0.2">
      <c r="A8661" s="496"/>
      <c r="D8661" s="496"/>
    </row>
    <row r="8662" spans="1:4" x14ac:dyDescent="0.2">
      <c r="A8662" s="496"/>
      <c r="D8662" s="496"/>
    </row>
    <row r="8663" spans="1:4" x14ac:dyDescent="0.2">
      <c r="A8663" s="496"/>
      <c r="D8663" s="496"/>
    </row>
    <row r="8664" spans="1:4" x14ac:dyDescent="0.2">
      <c r="A8664" s="496"/>
      <c r="D8664" s="496"/>
    </row>
    <row r="8665" spans="1:4" x14ac:dyDescent="0.2">
      <c r="A8665" s="496"/>
      <c r="D8665" s="496"/>
    </row>
    <row r="8666" spans="1:4" x14ac:dyDescent="0.2">
      <c r="A8666" s="496"/>
      <c r="D8666" s="496"/>
    </row>
    <row r="8667" spans="1:4" x14ac:dyDescent="0.2">
      <c r="A8667" s="496"/>
      <c r="D8667" s="496"/>
    </row>
    <row r="8668" spans="1:4" x14ac:dyDescent="0.2">
      <c r="A8668" s="496"/>
      <c r="D8668" s="496"/>
    </row>
    <row r="8669" spans="1:4" x14ac:dyDescent="0.2">
      <c r="A8669" s="496"/>
      <c r="D8669" s="496"/>
    </row>
    <row r="8670" spans="1:4" x14ac:dyDescent="0.2">
      <c r="A8670" s="496"/>
      <c r="D8670" s="496"/>
    </row>
    <row r="8671" spans="1:4" x14ac:dyDescent="0.2">
      <c r="A8671" s="496"/>
      <c r="D8671" s="496"/>
    </row>
    <row r="8672" spans="1:4" x14ac:dyDescent="0.2">
      <c r="A8672" s="496"/>
      <c r="D8672" s="496"/>
    </row>
    <row r="8673" spans="1:4" x14ac:dyDescent="0.2">
      <c r="A8673" s="496"/>
      <c r="D8673" s="496"/>
    </row>
    <row r="8674" spans="1:4" x14ac:dyDescent="0.2">
      <c r="A8674" s="496"/>
      <c r="D8674" s="496"/>
    </row>
    <row r="8675" spans="1:4" x14ac:dyDescent="0.2">
      <c r="A8675" s="496"/>
      <c r="D8675" s="496"/>
    </row>
    <row r="8676" spans="1:4" x14ac:dyDescent="0.2">
      <c r="A8676" s="496"/>
      <c r="D8676" s="496"/>
    </row>
    <row r="8677" spans="1:4" x14ac:dyDescent="0.2">
      <c r="A8677" s="496"/>
      <c r="D8677" s="496"/>
    </row>
    <row r="8678" spans="1:4" x14ac:dyDescent="0.2">
      <c r="A8678" s="496"/>
      <c r="D8678" s="496"/>
    </row>
    <row r="8679" spans="1:4" x14ac:dyDescent="0.2">
      <c r="A8679" s="496"/>
      <c r="D8679" s="496"/>
    </row>
    <row r="8680" spans="1:4" x14ac:dyDescent="0.2">
      <c r="A8680" s="496"/>
      <c r="D8680" s="496"/>
    </row>
    <row r="8681" spans="1:4" x14ac:dyDescent="0.2">
      <c r="A8681" s="496"/>
      <c r="D8681" s="496"/>
    </row>
    <row r="8682" spans="1:4" x14ac:dyDescent="0.2">
      <c r="A8682" s="496"/>
      <c r="D8682" s="496"/>
    </row>
    <row r="8683" spans="1:4" x14ac:dyDescent="0.2">
      <c r="A8683" s="496"/>
      <c r="D8683" s="496"/>
    </row>
    <row r="8684" spans="1:4" x14ac:dyDescent="0.2">
      <c r="A8684" s="496"/>
      <c r="D8684" s="496"/>
    </row>
    <row r="8685" spans="1:4" x14ac:dyDescent="0.2">
      <c r="A8685" s="496"/>
      <c r="D8685" s="496"/>
    </row>
    <row r="8686" spans="1:4" x14ac:dyDescent="0.2">
      <c r="A8686" s="496"/>
      <c r="D8686" s="496"/>
    </row>
    <row r="8687" spans="1:4" x14ac:dyDescent="0.2">
      <c r="A8687" s="496"/>
      <c r="D8687" s="496"/>
    </row>
    <row r="8688" spans="1:4" x14ac:dyDescent="0.2">
      <c r="A8688" s="496"/>
      <c r="D8688" s="496"/>
    </row>
    <row r="8689" spans="1:4" x14ac:dyDescent="0.2">
      <c r="A8689" s="496"/>
      <c r="D8689" s="496"/>
    </row>
    <row r="8690" spans="1:4" x14ac:dyDescent="0.2">
      <c r="A8690" s="496"/>
      <c r="D8690" s="496"/>
    </row>
    <row r="8691" spans="1:4" x14ac:dyDescent="0.2">
      <c r="A8691" s="496"/>
      <c r="D8691" s="496"/>
    </row>
    <row r="8692" spans="1:4" x14ac:dyDescent="0.2">
      <c r="A8692" s="496"/>
      <c r="D8692" s="496"/>
    </row>
    <row r="8693" spans="1:4" x14ac:dyDescent="0.2">
      <c r="A8693" s="496"/>
      <c r="D8693" s="496"/>
    </row>
    <row r="8694" spans="1:4" x14ac:dyDescent="0.2">
      <c r="A8694" s="496"/>
      <c r="D8694" s="496"/>
    </row>
    <row r="8695" spans="1:4" x14ac:dyDescent="0.2">
      <c r="A8695" s="496"/>
      <c r="D8695" s="496"/>
    </row>
    <row r="8696" spans="1:4" x14ac:dyDescent="0.2">
      <c r="A8696" s="496"/>
      <c r="D8696" s="496"/>
    </row>
    <row r="8697" spans="1:4" x14ac:dyDescent="0.2">
      <c r="A8697" s="496"/>
      <c r="D8697" s="496"/>
    </row>
    <row r="8698" spans="1:4" x14ac:dyDescent="0.2">
      <c r="A8698" s="496"/>
      <c r="D8698" s="496"/>
    </row>
    <row r="8699" spans="1:4" x14ac:dyDescent="0.2">
      <c r="A8699" s="496"/>
      <c r="D8699" s="496"/>
    </row>
    <row r="8700" spans="1:4" x14ac:dyDescent="0.2">
      <c r="A8700" s="496"/>
      <c r="D8700" s="496"/>
    </row>
    <row r="8701" spans="1:4" x14ac:dyDescent="0.2">
      <c r="A8701" s="496"/>
      <c r="D8701" s="496"/>
    </row>
    <row r="8702" spans="1:4" x14ac:dyDescent="0.2">
      <c r="A8702" s="496"/>
      <c r="D8702" s="496"/>
    </row>
    <row r="8703" spans="1:4" x14ac:dyDescent="0.2">
      <c r="A8703" s="496"/>
      <c r="D8703" s="496"/>
    </row>
    <row r="8704" spans="1:4" x14ac:dyDescent="0.2">
      <c r="A8704" s="496"/>
      <c r="D8704" s="496"/>
    </row>
    <row r="8705" spans="1:4" x14ac:dyDescent="0.2">
      <c r="A8705" s="496"/>
      <c r="D8705" s="496"/>
    </row>
    <row r="8706" spans="1:4" x14ac:dyDescent="0.2">
      <c r="A8706" s="496"/>
      <c r="D8706" s="496"/>
    </row>
    <row r="8707" spans="1:4" x14ac:dyDescent="0.2">
      <c r="A8707" s="496"/>
      <c r="D8707" s="496"/>
    </row>
    <row r="8708" spans="1:4" x14ac:dyDescent="0.2">
      <c r="A8708" s="496"/>
      <c r="D8708" s="496"/>
    </row>
    <row r="8709" spans="1:4" x14ac:dyDescent="0.2">
      <c r="A8709" s="496"/>
      <c r="D8709" s="496"/>
    </row>
    <row r="8710" spans="1:4" x14ac:dyDescent="0.2">
      <c r="A8710" s="496"/>
      <c r="D8710" s="496"/>
    </row>
    <row r="8711" spans="1:4" x14ac:dyDescent="0.2">
      <c r="A8711" s="496"/>
      <c r="D8711" s="496"/>
    </row>
    <row r="8712" spans="1:4" x14ac:dyDescent="0.2">
      <c r="A8712" s="496"/>
      <c r="D8712" s="496"/>
    </row>
    <row r="8713" spans="1:4" x14ac:dyDescent="0.2">
      <c r="A8713" s="496"/>
      <c r="D8713" s="496"/>
    </row>
    <row r="8714" spans="1:4" x14ac:dyDescent="0.2">
      <c r="A8714" s="496"/>
      <c r="D8714" s="496"/>
    </row>
    <row r="8715" spans="1:4" x14ac:dyDescent="0.2">
      <c r="A8715" s="496"/>
      <c r="D8715" s="496"/>
    </row>
    <row r="8716" spans="1:4" x14ac:dyDescent="0.2">
      <c r="A8716" s="496"/>
      <c r="D8716" s="496"/>
    </row>
    <row r="8717" spans="1:4" x14ac:dyDescent="0.2">
      <c r="A8717" s="496"/>
      <c r="D8717" s="496"/>
    </row>
    <row r="8718" spans="1:4" x14ac:dyDescent="0.2">
      <c r="A8718" s="496"/>
      <c r="D8718" s="496"/>
    </row>
    <row r="8719" spans="1:4" x14ac:dyDescent="0.2">
      <c r="A8719" s="496"/>
      <c r="D8719" s="496"/>
    </row>
    <row r="8720" spans="1:4" x14ac:dyDescent="0.2">
      <c r="A8720" s="496"/>
      <c r="D8720" s="496"/>
    </row>
    <row r="8721" spans="1:4" x14ac:dyDescent="0.2">
      <c r="A8721" s="496"/>
      <c r="D8721" s="496"/>
    </row>
    <row r="8722" spans="1:4" x14ac:dyDescent="0.2">
      <c r="A8722" s="496"/>
      <c r="D8722" s="496"/>
    </row>
    <row r="8723" spans="1:4" x14ac:dyDescent="0.2">
      <c r="A8723" s="496"/>
      <c r="D8723" s="496"/>
    </row>
    <row r="8724" spans="1:4" x14ac:dyDescent="0.2">
      <c r="A8724" s="496"/>
      <c r="D8724" s="496"/>
    </row>
    <row r="8725" spans="1:4" x14ac:dyDescent="0.2">
      <c r="A8725" s="496"/>
      <c r="D8725" s="496"/>
    </row>
    <row r="8726" spans="1:4" x14ac:dyDescent="0.2">
      <c r="A8726" s="496"/>
      <c r="D8726" s="496"/>
    </row>
    <row r="8727" spans="1:4" x14ac:dyDescent="0.2">
      <c r="A8727" s="496"/>
      <c r="D8727" s="496"/>
    </row>
    <row r="8728" spans="1:4" x14ac:dyDescent="0.2">
      <c r="A8728" s="496"/>
      <c r="D8728" s="496"/>
    </row>
    <row r="8729" spans="1:4" x14ac:dyDescent="0.2">
      <c r="A8729" s="496"/>
      <c r="D8729" s="496"/>
    </row>
    <row r="8730" spans="1:4" x14ac:dyDescent="0.2">
      <c r="A8730" s="496"/>
      <c r="D8730" s="496"/>
    </row>
    <row r="8731" spans="1:4" x14ac:dyDescent="0.2">
      <c r="A8731" s="496"/>
      <c r="D8731" s="496"/>
    </row>
    <row r="8732" spans="1:4" x14ac:dyDescent="0.2">
      <c r="A8732" s="496"/>
      <c r="D8732" s="496"/>
    </row>
    <row r="8733" spans="1:4" x14ac:dyDescent="0.2">
      <c r="A8733" s="496"/>
      <c r="D8733" s="496"/>
    </row>
    <row r="8734" spans="1:4" x14ac:dyDescent="0.2">
      <c r="A8734" s="496"/>
      <c r="D8734" s="496"/>
    </row>
    <row r="8735" spans="1:4" x14ac:dyDescent="0.2">
      <c r="A8735" s="496"/>
      <c r="D8735" s="496"/>
    </row>
    <row r="8736" spans="1:4" x14ac:dyDescent="0.2">
      <c r="A8736" s="496"/>
      <c r="D8736" s="496"/>
    </row>
    <row r="8737" spans="1:4" x14ac:dyDescent="0.2">
      <c r="A8737" s="496"/>
      <c r="D8737" s="496"/>
    </row>
    <row r="8738" spans="1:4" x14ac:dyDescent="0.2">
      <c r="A8738" s="496"/>
      <c r="D8738" s="496"/>
    </row>
    <row r="8739" spans="1:4" x14ac:dyDescent="0.2">
      <c r="A8739" s="496"/>
      <c r="D8739" s="496"/>
    </row>
    <row r="8740" spans="1:4" x14ac:dyDescent="0.2">
      <c r="A8740" s="496"/>
      <c r="D8740" s="496"/>
    </row>
    <row r="8741" spans="1:4" x14ac:dyDescent="0.2">
      <c r="A8741" s="496"/>
      <c r="D8741" s="496"/>
    </row>
    <row r="8742" spans="1:4" x14ac:dyDescent="0.2">
      <c r="A8742" s="496"/>
      <c r="D8742" s="496"/>
    </row>
    <row r="8743" spans="1:4" x14ac:dyDescent="0.2">
      <c r="A8743" s="496"/>
      <c r="D8743" s="496"/>
    </row>
    <row r="8744" spans="1:4" x14ac:dyDescent="0.2">
      <c r="A8744" s="496"/>
      <c r="D8744" s="496"/>
    </row>
    <row r="8745" spans="1:4" x14ac:dyDescent="0.2">
      <c r="A8745" s="496"/>
      <c r="D8745" s="496"/>
    </row>
    <row r="8746" spans="1:4" x14ac:dyDescent="0.2">
      <c r="A8746" s="496"/>
      <c r="D8746" s="496"/>
    </row>
    <row r="8747" spans="1:4" x14ac:dyDescent="0.2">
      <c r="A8747" s="496"/>
      <c r="D8747" s="496"/>
    </row>
    <row r="8748" spans="1:4" x14ac:dyDescent="0.2">
      <c r="A8748" s="496"/>
      <c r="D8748" s="496"/>
    </row>
    <row r="8749" spans="1:4" x14ac:dyDescent="0.2">
      <c r="A8749" s="496"/>
      <c r="D8749" s="496"/>
    </row>
    <row r="8750" spans="1:4" x14ac:dyDescent="0.2">
      <c r="A8750" s="496"/>
      <c r="D8750" s="496"/>
    </row>
    <row r="8751" spans="1:4" x14ac:dyDescent="0.2">
      <c r="A8751" s="496"/>
      <c r="D8751" s="496"/>
    </row>
    <row r="8752" spans="1:4" x14ac:dyDescent="0.2">
      <c r="A8752" s="496"/>
      <c r="D8752" s="496"/>
    </row>
    <row r="8753" spans="1:4" x14ac:dyDescent="0.2">
      <c r="A8753" s="496"/>
      <c r="D8753" s="496"/>
    </row>
    <row r="8754" spans="1:4" x14ac:dyDescent="0.2">
      <c r="A8754" s="496"/>
      <c r="D8754" s="496"/>
    </row>
    <row r="8755" spans="1:4" x14ac:dyDescent="0.2">
      <c r="A8755" s="496"/>
      <c r="D8755" s="496"/>
    </row>
    <row r="8756" spans="1:4" x14ac:dyDescent="0.2">
      <c r="A8756" s="496"/>
      <c r="D8756" s="496"/>
    </row>
    <row r="8757" spans="1:4" x14ac:dyDescent="0.2">
      <c r="A8757" s="496"/>
      <c r="D8757" s="496"/>
    </row>
    <row r="8758" spans="1:4" x14ac:dyDescent="0.2">
      <c r="A8758" s="496"/>
      <c r="D8758" s="496"/>
    </row>
    <row r="8759" spans="1:4" x14ac:dyDescent="0.2">
      <c r="A8759" s="496"/>
      <c r="D8759" s="496"/>
    </row>
    <row r="8760" spans="1:4" x14ac:dyDescent="0.2">
      <c r="A8760" s="496"/>
      <c r="D8760" s="496"/>
    </row>
    <row r="8761" spans="1:4" x14ac:dyDescent="0.2">
      <c r="A8761" s="496"/>
      <c r="D8761" s="496"/>
    </row>
    <row r="8762" spans="1:4" x14ac:dyDescent="0.2">
      <c r="A8762" s="496"/>
      <c r="D8762" s="496"/>
    </row>
    <row r="8763" spans="1:4" x14ac:dyDescent="0.2">
      <c r="A8763" s="496"/>
      <c r="D8763" s="496"/>
    </row>
    <row r="8764" spans="1:4" x14ac:dyDescent="0.2">
      <c r="A8764" s="496"/>
      <c r="D8764" s="496"/>
    </row>
    <row r="8765" spans="1:4" x14ac:dyDescent="0.2">
      <c r="A8765" s="496"/>
      <c r="D8765" s="496"/>
    </row>
    <row r="8766" spans="1:4" x14ac:dyDescent="0.2">
      <c r="A8766" s="496"/>
      <c r="D8766" s="496"/>
    </row>
    <row r="8767" spans="1:4" x14ac:dyDescent="0.2">
      <c r="A8767" s="496"/>
      <c r="D8767" s="496"/>
    </row>
    <row r="8768" spans="1:4" x14ac:dyDescent="0.2">
      <c r="A8768" s="496"/>
      <c r="D8768" s="496"/>
    </row>
    <row r="8769" spans="1:4" x14ac:dyDescent="0.2">
      <c r="A8769" s="496"/>
      <c r="D8769" s="496"/>
    </row>
    <row r="8770" spans="1:4" x14ac:dyDescent="0.2">
      <c r="A8770" s="496"/>
      <c r="D8770" s="496"/>
    </row>
    <row r="8771" spans="1:4" x14ac:dyDescent="0.2">
      <c r="A8771" s="496"/>
      <c r="D8771" s="496"/>
    </row>
    <row r="8772" spans="1:4" x14ac:dyDescent="0.2">
      <c r="A8772" s="496"/>
      <c r="D8772" s="496"/>
    </row>
    <row r="8773" spans="1:4" x14ac:dyDescent="0.2">
      <c r="A8773" s="496"/>
      <c r="D8773" s="496"/>
    </row>
    <row r="8774" spans="1:4" x14ac:dyDescent="0.2">
      <c r="A8774" s="496"/>
      <c r="D8774" s="496"/>
    </row>
    <row r="8775" spans="1:4" x14ac:dyDescent="0.2">
      <c r="A8775" s="496"/>
      <c r="D8775" s="496"/>
    </row>
    <row r="8776" spans="1:4" x14ac:dyDescent="0.2">
      <c r="A8776" s="496"/>
      <c r="D8776" s="496"/>
    </row>
    <row r="8777" spans="1:4" x14ac:dyDescent="0.2">
      <c r="A8777" s="496"/>
      <c r="D8777" s="496"/>
    </row>
    <row r="8778" spans="1:4" x14ac:dyDescent="0.2">
      <c r="A8778" s="496"/>
      <c r="D8778" s="496"/>
    </row>
    <row r="8779" spans="1:4" x14ac:dyDescent="0.2">
      <c r="A8779" s="496"/>
      <c r="D8779" s="496"/>
    </row>
    <row r="8780" spans="1:4" x14ac:dyDescent="0.2">
      <c r="A8780" s="496"/>
      <c r="D8780" s="496"/>
    </row>
    <row r="8781" spans="1:4" x14ac:dyDescent="0.2">
      <c r="A8781" s="496"/>
      <c r="D8781" s="496"/>
    </row>
    <row r="8782" spans="1:4" x14ac:dyDescent="0.2">
      <c r="A8782" s="496"/>
      <c r="D8782" s="496"/>
    </row>
    <row r="8783" spans="1:4" x14ac:dyDescent="0.2">
      <c r="A8783" s="496"/>
      <c r="D8783" s="496"/>
    </row>
    <row r="8784" spans="1:4" x14ac:dyDescent="0.2">
      <c r="A8784" s="496"/>
      <c r="D8784" s="496"/>
    </row>
    <row r="8785" spans="1:4" x14ac:dyDescent="0.2">
      <c r="A8785" s="496"/>
      <c r="D8785" s="496"/>
    </row>
    <row r="8786" spans="1:4" x14ac:dyDescent="0.2">
      <c r="A8786" s="496"/>
      <c r="D8786" s="496"/>
    </row>
    <row r="8787" spans="1:4" x14ac:dyDescent="0.2">
      <c r="A8787" s="496"/>
      <c r="D8787" s="496"/>
    </row>
    <row r="8788" spans="1:4" x14ac:dyDescent="0.2">
      <c r="A8788" s="496"/>
      <c r="D8788" s="496"/>
    </row>
    <row r="8789" spans="1:4" x14ac:dyDescent="0.2">
      <c r="A8789" s="496"/>
      <c r="D8789" s="496"/>
    </row>
    <row r="8790" spans="1:4" x14ac:dyDescent="0.2">
      <c r="A8790" s="496"/>
      <c r="D8790" s="496"/>
    </row>
    <row r="8791" spans="1:4" x14ac:dyDescent="0.2">
      <c r="A8791" s="496"/>
      <c r="D8791" s="496"/>
    </row>
    <row r="8792" spans="1:4" x14ac:dyDescent="0.2">
      <c r="A8792" s="496"/>
      <c r="D8792" s="496"/>
    </row>
    <row r="8793" spans="1:4" x14ac:dyDescent="0.2">
      <c r="A8793" s="496"/>
      <c r="D8793" s="496"/>
    </row>
    <row r="8794" spans="1:4" x14ac:dyDescent="0.2">
      <c r="A8794" s="496"/>
      <c r="D8794" s="496"/>
    </row>
    <row r="8795" spans="1:4" x14ac:dyDescent="0.2">
      <c r="A8795" s="496"/>
      <c r="D8795" s="496"/>
    </row>
    <row r="8796" spans="1:4" x14ac:dyDescent="0.2">
      <c r="A8796" s="496"/>
      <c r="D8796" s="496"/>
    </row>
    <row r="8797" spans="1:4" x14ac:dyDescent="0.2">
      <c r="A8797" s="496"/>
      <c r="D8797" s="496"/>
    </row>
    <row r="8798" spans="1:4" x14ac:dyDescent="0.2">
      <c r="A8798" s="496"/>
      <c r="D8798" s="496"/>
    </row>
    <row r="8799" spans="1:4" x14ac:dyDescent="0.2">
      <c r="A8799" s="496"/>
      <c r="D8799" s="496"/>
    </row>
    <row r="8800" spans="1:4" x14ac:dyDescent="0.2">
      <c r="A8800" s="496"/>
      <c r="D8800" s="496"/>
    </row>
    <row r="8801" spans="1:4" x14ac:dyDescent="0.2">
      <c r="A8801" s="496"/>
      <c r="D8801" s="496"/>
    </row>
    <row r="8802" spans="1:4" x14ac:dyDescent="0.2">
      <c r="A8802" s="496"/>
      <c r="D8802" s="496"/>
    </row>
    <row r="8803" spans="1:4" x14ac:dyDescent="0.2">
      <c r="A8803" s="496"/>
      <c r="D8803" s="496"/>
    </row>
    <row r="8804" spans="1:4" x14ac:dyDescent="0.2">
      <c r="A8804" s="496"/>
      <c r="D8804" s="496"/>
    </row>
    <row r="8805" spans="1:4" x14ac:dyDescent="0.2">
      <c r="A8805" s="496"/>
      <c r="D8805" s="496"/>
    </row>
    <row r="8806" spans="1:4" x14ac:dyDescent="0.2">
      <c r="A8806" s="496"/>
      <c r="D8806" s="496"/>
    </row>
    <row r="8807" spans="1:4" x14ac:dyDescent="0.2">
      <c r="A8807" s="496"/>
      <c r="D8807" s="496"/>
    </row>
    <row r="8808" spans="1:4" x14ac:dyDescent="0.2">
      <c r="A8808" s="496"/>
      <c r="D8808" s="496"/>
    </row>
    <row r="8809" spans="1:4" x14ac:dyDescent="0.2">
      <c r="A8809" s="496"/>
      <c r="D8809" s="496"/>
    </row>
    <row r="8810" spans="1:4" x14ac:dyDescent="0.2">
      <c r="A8810" s="496"/>
      <c r="D8810" s="496"/>
    </row>
    <row r="8811" spans="1:4" x14ac:dyDescent="0.2">
      <c r="A8811" s="496"/>
      <c r="D8811" s="496"/>
    </row>
    <row r="8812" spans="1:4" x14ac:dyDescent="0.2">
      <c r="A8812" s="496"/>
      <c r="D8812" s="496"/>
    </row>
    <row r="8813" spans="1:4" x14ac:dyDescent="0.2">
      <c r="A8813" s="496"/>
      <c r="D8813" s="496"/>
    </row>
    <row r="8814" spans="1:4" x14ac:dyDescent="0.2">
      <c r="A8814" s="496"/>
      <c r="D8814" s="496"/>
    </row>
    <row r="8815" spans="1:4" x14ac:dyDescent="0.2">
      <c r="A8815" s="496"/>
      <c r="D8815" s="496"/>
    </row>
    <row r="8816" spans="1:4" x14ac:dyDescent="0.2">
      <c r="A8816" s="496"/>
      <c r="D8816" s="496"/>
    </row>
    <row r="8817" spans="1:4" x14ac:dyDescent="0.2">
      <c r="A8817" s="496"/>
      <c r="D8817" s="496"/>
    </row>
    <row r="8818" spans="1:4" x14ac:dyDescent="0.2">
      <c r="A8818" s="496"/>
      <c r="D8818" s="496"/>
    </row>
    <row r="8819" spans="1:4" x14ac:dyDescent="0.2">
      <c r="A8819" s="496"/>
      <c r="D8819" s="496"/>
    </row>
    <row r="8820" spans="1:4" x14ac:dyDescent="0.2">
      <c r="A8820" s="496"/>
      <c r="D8820" s="496"/>
    </row>
    <row r="8821" spans="1:4" x14ac:dyDescent="0.2">
      <c r="A8821" s="496"/>
      <c r="D8821" s="496"/>
    </row>
    <row r="8822" spans="1:4" x14ac:dyDescent="0.2">
      <c r="A8822" s="496"/>
      <c r="D8822" s="496"/>
    </row>
    <row r="8823" spans="1:4" x14ac:dyDescent="0.2">
      <c r="A8823" s="496"/>
      <c r="D8823" s="496"/>
    </row>
    <row r="8824" spans="1:4" x14ac:dyDescent="0.2">
      <c r="A8824" s="496"/>
      <c r="D8824" s="496"/>
    </row>
    <row r="8825" spans="1:4" x14ac:dyDescent="0.2">
      <c r="A8825" s="496"/>
      <c r="D8825" s="496"/>
    </row>
    <row r="8826" spans="1:4" x14ac:dyDescent="0.2">
      <c r="A8826" s="496"/>
      <c r="D8826" s="496"/>
    </row>
    <row r="8827" spans="1:4" x14ac:dyDescent="0.2">
      <c r="A8827" s="496"/>
      <c r="D8827" s="496"/>
    </row>
    <row r="8828" spans="1:4" x14ac:dyDescent="0.2">
      <c r="A8828" s="496"/>
      <c r="D8828" s="496"/>
    </row>
    <row r="8829" spans="1:4" x14ac:dyDescent="0.2">
      <c r="A8829" s="496"/>
      <c r="D8829" s="496"/>
    </row>
    <row r="8830" spans="1:4" x14ac:dyDescent="0.2">
      <c r="A8830" s="496"/>
      <c r="D8830" s="496"/>
    </row>
    <row r="8831" spans="1:4" x14ac:dyDescent="0.2">
      <c r="A8831" s="496"/>
      <c r="D8831" s="496"/>
    </row>
    <row r="8832" spans="1:4" x14ac:dyDescent="0.2">
      <c r="A8832" s="496"/>
      <c r="D8832" s="496"/>
    </row>
    <row r="8833" spans="1:4" x14ac:dyDescent="0.2">
      <c r="A8833" s="496"/>
      <c r="D8833" s="496"/>
    </row>
    <row r="8834" spans="1:4" x14ac:dyDescent="0.2">
      <c r="A8834" s="496"/>
      <c r="D8834" s="496"/>
    </row>
    <row r="8835" spans="1:4" x14ac:dyDescent="0.2">
      <c r="A8835" s="496"/>
      <c r="D8835" s="496"/>
    </row>
    <row r="8836" spans="1:4" x14ac:dyDescent="0.2">
      <c r="A8836" s="496"/>
      <c r="D8836" s="496"/>
    </row>
    <row r="8837" spans="1:4" x14ac:dyDescent="0.2">
      <c r="A8837" s="496"/>
      <c r="D8837" s="496"/>
    </row>
    <row r="8838" spans="1:4" x14ac:dyDescent="0.2">
      <c r="A8838" s="496"/>
      <c r="D8838" s="496"/>
    </row>
    <row r="8839" spans="1:4" x14ac:dyDescent="0.2">
      <c r="A8839" s="496"/>
      <c r="D8839" s="496"/>
    </row>
    <row r="8840" spans="1:4" x14ac:dyDescent="0.2">
      <c r="A8840" s="496"/>
      <c r="D8840" s="496"/>
    </row>
    <row r="8841" spans="1:4" x14ac:dyDescent="0.2">
      <c r="A8841" s="496"/>
      <c r="D8841" s="496"/>
    </row>
    <row r="8842" spans="1:4" x14ac:dyDescent="0.2">
      <c r="A8842" s="496"/>
      <c r="D8842" s="496"/>
    </row>
    <row r="8843" spans="1:4" x14ac:dyDescent="0.2">
      <c r="A8843" s="496"/>
      <c r="D8843" s="496"/>
    </row>
    <row r="8844" spans="1:4" x14ac:dyDescent="0.2">
      <c r="A8844" s="496"/>
      <c r="D8844" s="496"/>
    </row>
    <row r="8845" spans="1:4" x14ac:dyDescent="0.2">
      <c r="A8845" s="496"/>
      <c r="D8845" s="496"/>
    </row>
    <row r="8846" spans="1:4" x14ac:dyDescent="0.2">
      <c r="A8846" s="496"/>
      <c r="D8846" s="496"/>
    </row>
    <row r="8847" spans="1:4" x14ac:dyDescent="0.2">
      <c r="A8847" s="496"/>
      <c r="D8847" s="496"/>
    </row>
    <row r="8848" spans="1:4" x14ac:dyDescent="0.2">
      <c r="A8848" s="496"/>
      <c r="D8848" s="496"/>
    </row>
    <row r="8849" spans="1:4" x14ac:dyDescent="0.2">
      <c r="A8849" s="496"/>
      <c r="D8849" s="496"/>
    </row>
    <row r="8850" spans="1:4" x14ac:dyDescent="0.2">
      <c r="A8850" s="496"/>
      <c r="D8850" s="496"/>
    </row>
    <row r="8851" spans="1:4" x14ac:dyDescent="0.2">
      <c r="A8851" s="496"/>
      <c r="D8851" s="496"/>
    </row>
    <row r="8852" spans="1:4" x14ac:dyDescent="0.2">
      <c r="A8852" s="496"/>
      <c r="D8852" s="496"/>
    </row>
    <row r="8853" spans="1:4" x14ac:dyDescent="0.2">
      <c r="A8853" s="496"/>
      <c r="D8853" s="496"/>
    </row>
    <row r="8854" spans="1:4" x14ac:dyDescent="0.2">
      <c r="A8854" s="496"/>
      <c r="D8854" s="496"/>
    </row>
    <row r="8855" spans="1:4" x14ac:dyDescent="0.2">
      <c r="A8855" s="496"/>
      <c r="D8855" s="496"/>
    </row>
    <row r="8856" spans="1:4" x14ac:dyDescent="0.2">
      <c r="A8856" s="496"/>
      <c r="D8856" s="496"/>
    </row>
    <row r="8857" spans="1:4" x14ac:dyDescent="0.2">
      <c r="A8857" s="496"/>
      <c r="D8857" s="496"/>
    </row>
    <row r="8858" spans="1:4" x14ac:dyDescent="0.2">
      <c r="A8858" s="496"/>
      <c r="D8858" s="496"/>
    </row>
    <row r="8859" spans="1:4" x14ac:dyDescent="0.2">
      <c r="A8859" s="496"/>
      <c r="D8859" s="496"/>
    </row>
    <row r="8860" spans="1:4" x14ac:dyDescent="0.2">
      <c r="A8860" s="496"/>
      <c r="D8860" s="496"/>
    </row>
    <row r="8861" spans="1:4" x14ac:dyDescent="0.2">
      <c r="A8861" s="496"/>
      <c r="D8861" s="496"/>
    </row>
    <row r="8862" spans="1:4" x14ac:dyDescent="0.2">
      <c r="A8862" s="496"/>
      <c r="D8862" s="496"/>
    </row>
    <row r="8863" spans="1:4" x14ac:dyDescent="0.2">
      <c r="A8863" s="496"/>
      <c r="D8863" s="496"/>
    </row>
    <row r="8864" spans="1:4" x14ac:dyDescent="0.2">
      <c r="A8864" s="496"/>
      <c r="D8864" s="496"/>
    </row>
    <row r="8865" spans="1:4" x14ac:dyDescent="0.2">
      <c r="A8865" s="496"/>
      <c r="D8865" s="496"/>
    </row>
    <row r="8866" spans="1:4" x14ac:dyDescent="0.2">
      <c r="A8866" s="496"/>
      <c r="D8866" s="496"/>
    </row>
    <row r="8867" spans="1:4" x14ac:dyDescent="0.2">
      <c r="A8867" s="496"/>
      <c r="D8867" s="496"/>
    </row>
    <row r="8868" spans="1:4" x14ac:dyDescent="0.2">
      <c r="A8868" s="496"/>
      <c r="D8868" s="496"/>
    </row>
    <row r="8869" spans="1:4" x14ac:dyDescent="0.2">
      <c r="A8869" s="496"/>
      <c r="D8869" s="496"/>
    </row>
    <row r="8870" spans="1:4" x14ac:dyDescent="0.2">
      <c r="A8870" s="496"/>
      <c r="D8870" s="496"/>
    </row>
    <row r="8871" spans="1:4" x14ac:dyDescent="0.2">
      <c r="A8871" s="496"/>
      <c r="D8871" s="496"/>
    </row>
    <row r="8872" spans="1:4" x14ac:dyDescent="0.2">
      <c r="A8872" s="496"/>
      <c r="D8872" s="496"/>
    </row>
    <row r="8873" spans="1:4" x14ac:dyDescent="0.2">
      <c r="A8873" s="496"/>
      <c r="D8873" s="496"/>
    </row>
    <row r="8874" spans="1:4" x14ac:dyDescent="0.2">
      <c r="A8874" s="496"/>
      <c r="D8874" s="496"/>
    </row>
    <row r="8875" spans="1:4" x14ac:dyDescent="0.2">
      <c r="A8875" s="496"/>
      <c r="D8875" s="496"/>
    </row>
    <row r="8876" spans="1:4" x14ac:dyDescent="0.2">
      <c r="A8876" s="496"/>
      <c r="D8876" s="496"/>
    </row>
    <row r="8877" spans="1:4" x14ac:dyDescent="0.2">
      <c r="A8877" s="496"/>
      <c r="D8877" s="496"/>
    </row>
    <row r="8878" spans="1:4" x14ac:dyDescent="0.2">
      <c r="A8878" s="496"/>
      <c r="D8878" s="496"/>
    </row>
    <row r="8879" spans="1:4" x14ac:dyDescent="0.2">
      <c r="A8879" s="496"/>
      <c r="D8879" s="496"/>
    </row>
    <row r="8880" spans="1:4" x14ac:dyDescent="0.2">
      <c r="A8880" s="496"/>
      <c r="D8880" s="496"/>
    </row>
    <row r="8881" spans="1:4" x14ac:dyDescent="0.2">
      <c r="A8881" s="496"/>
      <c r="D8881" s="496"/>
    </row>
    <row r="8882" spans="1:4" x14ac:dyDescent="0.2">
      <c r="A8882" s="496"/>
      <c r="D8882" s="496"/>
    </row>
    <row r="8883" spans="1:4" x14ac:dyDescent="0.2">
      <c r="A8883" s="496"/>
      <c r="D8883" s="496"/>
    </row>
    <row r="8884" spans="1:4" x14ac:dyDescent="0.2">
      <c r="A8884" s="496"/>
      <c r="D8884" s="496"/>
    </row>
    <row r="8885" spans="1:4" x14ac:dyDescent="0.2">
      <c r="A8885" s="496"/>
      <c r="D8885" s="496"/>
    </row>
    <row r="8886" spans="1:4" x14ac:dyDescent="0.2">
      <c r="A8886" s="496"/>
      <c r="D8886" s="496"/>
    </row>
    <row r="8887" spans="1:4" x14ac:dyDescent="0.2">
      <c r="A8887" s="496"/>
      <c r="D8887" s="496"/>
    </row>
    <row r="8888" spans="1:4" x14ac:dyDescent="0.2">
      <c r="A8888" s="496"/>
      <c r="D8888" s="496"/>
    </row>
    <row r="8889" spans="1:4" x14ac:dyDescent="0.2">
      <c r="A8889" s="496"/>
      <c r="D8889" s="496"/>
    </row>
    <row r="8890" spans="1:4" x14ac:dyDescent="0.2">
      <c r="A8890" s="496"/>
      <c r="D8890" s="496"/>
    </row>
    <row r="8891" spans="1:4" x14ac:dyDescent="0.2">
      <c r="A8891" s="496"/>
      <c r="D8891" s="496"/>
    </row>
    <row r="8892" spans="1:4" x14ac:dyDescent="0.2">
      <c r="A8892" s="496"/>
      <c r="D8892" s="496"/>
    </row>
    <row r="8893" spans="1:4" x14ac:dyDescent="0.2">
      <c r="A8893" s="496"/>
      <c r="D8893" s="496"/>
    </row>
    <row r="8894" spans="1:4" x14ac:dyDescent="0.2">
      <c r="A8894" s="496"/>
      <c r="D8894" s="496"/>
    </row>
    <row r="8895" spans="1:4" x14ac:dyDescent="0.2">
      <c r="A8895" s="496"/>
      <c r="D8895" s="496"/>
    </row>
    <row r="8896" spans="1:4" x14ac:dyDescent="0.2">
      <c r="A8896" s="496"/>
      <c r="D8896" s="496"/>
    </row>
    <row r="8897" spans="1:4" x14ac:dyDescent="0.2">
      <c r="A8897" s="496"/>
      <c r="D8897" s="496"/>
    </row>
    <row r="8898" spans="1:4" x14ac:dyDescent="0.2">
      <c r="A8898" s="496"/>
      <c r="D8898" s="496"/>
    </row>
    <row r="8899" spans="1:4" x14ac:dyDescent="0.2">
      <c r="A8899" s="496"/>
      <c r="D8899" s="496"/>
    </row>
    <row r="8900" spans="1:4" x14ac:dyDescent="0.2">
      <c r="A8900" s="496"/>
      <c r="D8900" s="496"/>
    </row>
    <row r="8901" spans="1:4" x14ac:dyDescent="0.2">
      <c r="A8901" s="496"/>
      <c r="D8901" s="496"/>
    </row>
    <row r="8902" spans="1:4" x14ac:dyDescent="0.2">
      <c r="A8902" s="496"/>
      <c r="D8902" s="496"/>
    </row>
    <row r="8903" spans="1:4" x14ac:dyDescent="0.2">
      <c r="A8903" s="496"/>
      <c r="D8903" s="496"/>
    </row>
    <row r="8904" spans="1:4" x14ac:dyDescent="0.2">
      <c r="A8904" s="496"/>
      <c r="D8904" s="496"/>
    </row>
    <row r="8905" spans="1:4" x14ac:dyDescent="0.2">
      <c r="A8905" s="496"/>
      <c r="D8905" s="496"/>
    </row>
    <row r="8906" spans="1:4" x14ac:dyDescent="0.2">
      <c r="A8906" s="496"/>
      <c r="D8906" s="496"/>
    </row>
    <row r="8907" spans="1:4" x14ac:dyDescent="0.2">
      <c r="A8907" s="496"/>
      <c r="D8907" s="496"/>
    </row>
    <row r="8908" spans="1:4" x14ac:dyDescent="0.2">
      <c r="A8908" s="496"/>
      <c r="D8908" s="496"/>
    </row>
    <row r="8909" spans="1:4" x14ac:dyDescent="0.2">
      <c r="A8909" s="496"/>
      <c r="D8909" s="496"/>
    </row>
    <row r="8910" spans="1:4" x14ac:dyDescent="0.2">
      <c r="A8910" s="496"/>
      <c r="D8910" s="496"/>
    </row>
    <row r="8911" spans="1:4" x14ac:dyDescent="0.2">
      <c r="A8911" s="496"/>
      <c r="D8911" s="496"/>
    </row>
    <row r="8912" spans="1:4" x14ac:dyDescent="0.2">
      <c r="A8912" s="496"/>
      <c r="D8912" s="496"/>
    </row>
    <row r="8913" spans="1:4" x14ac:dyDescent="0.2">
      <c r="A8913" s="496"/>
      <c r="D8913" s="496"/>
    </row>
    <row r="8914" spans="1:4" x14ac:dyDescent="0.2">
      <c r="A8914" s="496"/>
      <c r="D8914" s="496"/>
    </row>
    <row r="8915" spans="1:4" x14ac:dyDescent="0.2">
      <c r="A8915" s="496"/>
      <c r="D8915" s="496"/>
    </row>
    <row r="8916" spans="1:4" x14ac:dyDescent="0.2">
      <c r="A8916" s="496"/>
      <c r="D8916" s="496"/>
    </row>
    <row r="8917" spans="1:4" x14ac:dyDescent="0.2">
      <c r="A8917" s="496"/>
      <c r="D8917" s="496"/>
    </row>
    <row r="8918" spans="1:4" x14ac:dyDescent="0.2">
      <c r="A8918" s="496"/>
      <c r="D8918" s="496"/>
    </row>
    <row r="8919" spans="1:4" x14ac:dyDescent="0.2">
      <c r="A8919" s="496"/>
      <c r="D8919" s="496"/>
    </row>
    <row r="8920" spans="1:4" x14ac:dyDescent="0.2">
      <c r="A8920" s="496"/>
      <c r="D8920" s="496"/>
    </row>
    <row r="8921" spans="1:4" x14ac:dyDescent="0.2">
      <c r="A8921" s="496"/>
      <c r="D8921" s="496"/>
    </row>
    <row r="8922" spans="1:4" x14ac:dyDescent="0.2">
      <c r="A8922" s="496"/>
      <c r="D8922" s="496"/>
    </row>
    <row r="8923" spans="1:4" x14ac:dyDescent="0.2">
      <c r="A8923" s="496"/>
      <c r="D8923" s="496"/>
    </row>
    <row r="8924" spans="1:4" x14ac:dyDescent="0.2">
      <c r="A8924" s="496"/>
      <c r="D8924" s="496"/>
    </row>
    <row r="8925" spans="1:4" x14ac:dyDescent="0.2">
      <c r="A8925" s="496"/>
      <c r="D8925" s="496"/>
    </row>
    <row r="8926" spans="1:4" x14ac:dyDescent="0.2">
      <c r="A8926" s="496"/>
      <c r="D8926" s="496"/>
    </row>
    <row r="8927" spans="1:4" x14ac:dyDescent="0.2">
      <c r="A8927" s="496"/>
      <c r="D8927" s="496"/>
    </row>
    <row r="8928" spans="1:4" x14ac:dyDescent="0.2">
      <c r="A8928" s="496"/>
      <c r="D8928" s="496"/>
    </row>
    <row r="8929" spans="1:4" x14ac:dyDescent="0.2">
      <c r="A8929" s="496"/>
      <c r="D8929" s="496"/>
    </row>
    <row r="8930" spans="1:4" x14ac:dyDescent="0.2">
      <c r="A8930" s="496"/>
      <c r="D8930" s="496"/>
    </row>
    <row r="8931" spans="1:4" x14ac:dyDescent="0.2">
      <c r="A8931" s="496"/>
      <c r="D8931" s="496"/>
    </row>
    <row r="8932" spans="1:4" x14ac:dyDescent="0.2">
      <c r="A8932" s="496"/>
      <c r="D8932" s="496"/>
    </row>
    <row r="8933" spans="1:4" x14ac:dyDescent="0.2">
      <c r="A8933" s="496"/>
      <c r="D8933" s="496"/>
    </row>
    <row r="8934" spans="1:4" x14ac:dyDescent="0.2">
      <c r="A8934" s="496"/>
      <c r="D8934" s="496"/>
    </row>
    <row r="8935" spans="1:4" x14ac:dyDescent="0.2">
      <c r="A8935" s="496"/>
      <c r="D8935" s="496"/>
    </row>
    <row r="8936" spans="1:4" x14ac:dyDescent="0.2">
      <c r="A8936" s="496"/>
      <c r="D8936" s="496"/>
    </row>
    <row r="8937" spans="1:4" x14ac:dyDescent="0.2">
      <c r="A8937" s="496"/>
      <c r="D8937" s="496"/>
    </row>
    <row r="8938" spans="1:4" x14ac:dyDescent="0.2">
      <c r="A8938" s="496"/>
      <c r="D8938" s="496"/>
    </row>
    <row r="8939" spans="1:4" x14ac:dyDescent="0.2">
      <c r="A8939" s="496"/>
      <c r="D8939" s="496"/>
    </row>
    <row r="8940" spans="1:4" x14ac:dyDescent="0.2">
      <c r="A8940" s="496"/>
      <c r="D8940" s="496"/>
    </row>
    <row r="8941" spans="1:4" x14ac:dyDescent="0.2">
      <c r="A8941" s="496"/>
      <c r="D8941" s="496"/>
    </row>
    <row r="8942" spans="1:4" x14ac:dyDescent="0.2">
      <c r="A8942" s="496"/>
      <c r="D8942" s="496"/>
    </row>
    <row r="8943" spans="1:4" x14ac:dyDescent="0.2">
      <c r="A8943" s="496"/>
      <c r="D8943" s="496"/>
    </row>
    <row r="8944" spans="1:4" x14ac:dyDescent="0.2">
      <c r="A8944" s="496"/>
      <c r="D8944" s="496"/>
    </row>
    <row r="8945" spans="1:4" x14ac:dyDescent="0.2">
      <c r="A8945" s="496"/>
      <c r="D8945" s="496"/>
    </row>
    <row r="8946" spans="1:4" x14ac:dyDescent="0.2">
      <c r="A8946" s="496"/>
      <c r="D8946" s="496"/>
    </row>
    <row r="8947" spans="1:4" x14ac:dyDescent="0.2">
      <c r="A8947" s="496"/>
      <c r="D8947" s="496"/>
    </row>
    <row r="8948" spans="1:4" x14ac:dyDescent="0.2">
      <c r="A8948" s="496"/>
      <c r="D8948" s="496"/>
    </row>
    <row r="8949" spans="1:4" x14ac:dyDescent="0.2">
      <c r="A8949" s="496"/>
      <c r="D8949" s="496"/>
    </row>
    <row r="8950" spans="1:4" x14ac:dyDescent="0.2">
      <c r="A8950" s="496"/>
      <c r="D8950" s="496"/>
    </row>
    <row r="8951" spans="1:4" x14ac:dyDescent="0.2">
      <c r="A8951" s="496"/>
      <c r="D8951" s="496"/>
    </row>
    <row r="8952" spans="1:4" x14ac:dyDescent="0.2">
      <c r="A8952" s="496"/>
      <c r="D8952" s="496"/>
    </row>
    <row r="8953" spans="1:4" x14ac:dyDescent="0.2">
      <c r="A8953" s="496"/>
      <c r="D8953" s="496"/>
    </row>
    <row r="8954" spans="1:4" x14ac:dyDescent="0.2">
      <c r="A8954" s="496"/>
      <c r="D8954" s="496"/>
    </row>
    <row r="8955" spans="1:4" x14ac:dyDescent="0.2">
      <c r="A8955" s="496"/>
      <c r="D8955" s="496"/>
    </row>
    <row r="8956" spans="1:4" x14ac:dyDescent="0.2">
      <c r="A8956" s="496"/>
      <c r="D8956" s="496"/>
    </row>
    <row r="8957" spans="1:4" x14ac:dyDescent="0.2">
      <c r="A8957" s="496"/>
      <c r="D8957" s="496"/>
    </row>
    <row r="8958" spans="1:4" x14ac:dyDescent="0.2">
      <c r="A8958" s="496"/>
      <c r="D8958" s="496"/>
    </row>
    <row r="8959" spans="1:4" x14ac:dyDescent="0.2">
      <c r="A8959" s="496"/>
      <c r="D8959" s="496"/>
    </row>
    <row r="8960" spans="1:4" x14ac:dyDescent="0.2">
      <c r="A8960" s="496"/>
      <c r="D8960" s="496"/>
    </row>
    <row r="8961" spans="1:4" x14ac:dyDescent="0.2">
      <c r="A8961" s="496"/>
      <c r="D8961" s="496"/>
    </row>
    <row r="8962" spans="1:4" x14ac:dyDescent="0.2">
      <c r="A8962" s="496"/>
      <c r="D8962" s="496"/>
    </row>
    <row r="8963" spans="1:4" x14ac:dyDescent="0.2">
      <c r="A8963" s="496"/>
      <c r="D8963" s="496"/>
    </row>
    <row r="8964" spans="1:4" x14ac:dyDescent="0.2">
      <c r="A8964" s="496"/>
      <c r="D8964" s="496"/>
    </row>
    <row r="8965" spans="1:4" x14ac:dyDescent="0.2">
      <c r="A8965" s="496"/>
      <c r="D8965" s="496"/>
    </row>
    <row r="8966" spans="1:4" x14ac:dyDescent="0.2">
      <c r="A8966" s="496"/>
      <c r="D8966" s="496"/>
    </row>
    <row r="8967" spans="1:4" x14ac:dyDescent="0.2">
      <c r="A8967" s="496"/>
      <c r="D8967" s="496"/>
    </row>
    <row r="8968" spans="1:4" x14ac:dyDescent="0.2">
      <c r="A8968" s="496"/>
      <c r="D8968" s="496"/>
    </row>
    <row r="8969" spans="1:4" x14ac:dyDescent="0.2">
      <c r="A8969" s="496"/>
      <c r="D8969" s="496"/>
    </row>
    <row r="8970" spans="1:4" x14ac:dyDescent="0.2">
      <c r="A8970" s="496"/>
      <c r="D8970" s="496"/>
    </row>
    <row r="8971" spans="1:4" x14ac:dyDescent="0.2">
      <c r="A8971" s="496"/>
      <c r="D8971" s="496"/>
    </row>
    <row r="8972" spans="1:4" x14ac:dyDescent="0.2">
      <c r="A8972" s="496"/>
      <c r="D8972" s="496"/>
    </row>
    <row r="8973" spans="1:4" x14ac:dyDescent="0.2">
      <c r="A8973" s="496"/>
      <c r="D8973" s="496"/>
    </row>
    <row r="8974" spans="1:4" x14ac:dyDescent="0.2">
      <c r="A8974" s="496"/>
      <c r="D8974" s="496"/>
    </row>
    <row r="8975" spans="1:4" x14ac:dyDescent="0.2">
      <c r="A8975" s="496"/>
      <c r="D8975" s="496"/>
    </row>
    <row r="8976" spans="1:4" x14ac:dyDescent="0.2">
      <c r="A8976" s="496"/>
      <c r="D8976" s="496"/>
    </row>
    <row r="8977" spans="1:4" x14ac:dyDescent="0.2">
      <c r="A8977" s="496"/>
      <c r="D8977" s="496"/>
    </row>
    <row r="8978" spans="1:4" x14ac:dyDescent="0.2">
      <c r="A8978" s="496"/>
      <c r="D8978" s="496"/>
    </row>
    <row r="8979" spans="1:4" x14ac:dyDescent="0.2">
      <c r="A8979" s="496"/>
      <c r="D8979" s="496"/>
    </row>
    <row r="8980" spans="1:4" x14ac:dyDescent="0.2">
      <c r="A8980" s="496"/>
      <c r="D8980" s="496"/>
    </row>
    <row r="8981" spans="1:4" x14ac:dyDescent="0.2">
      <c r="A8981" s="496"/>
      <c r="D8981" s="496"/>
    </row>
    <row r="8982" spans="1:4" x14ac:dyDescent="0.2">
      <c r="A8982" s="496"/>
      <c r="D8982" s="496"/>
    </row>
    <row r="8983" spans="1:4" x14ac:dyDescent="0.2">
      <c r="A8983" s="496"/>
      <c r="D8983" s="496"/>
    </row>
    <row r="8984" spans="1:4" x14ac:dyDescent="0.2">
      <c r="A8984" s="496"/>
      <c r="D8984" s="496"/>
    </row>
    <row r="8985" spans="1:4" x14ac:dyDescent="0.2">
      <c r="A8985" s="496"/>
      <c r="D8985" s="496"/>
    </row>
    <row r="8986" spans="1:4" x14ac:dyDescent="0.2">
      <c r="A8986" s="496"/>
      <c r="D8986" s="496"/>
    </row>
    <row r="8987" spans="1:4" x14ac:dyDescent="0.2">
      <c r="A8987" s="496"/>
      <c r="D8987" s="496"/>
    </row>
    <row r="8988" spans="1:4" x14ac:dyDescent="0.2">
      <c r="A8988" s="496"/>
      <c r="D8988" s="496"/>
    </row>
    <row r="8989" spans="1:4" x14ac:dyDescent="0.2">
      <c r="A8989" s="496"/>
      <c r="D8989" s="496"/>
    </row>
    <row r="8990" spans="1:4" x14ac:dyDescent="0.2">
      <c r="A8990" s="496"/>
      <c r="D8990" s="496"/>
    </row>
    <row r="8991" spans="1:4" x14ac:dyDescent="0.2">
      <c r="A8991" s="496"/>
      <c r="D8991" s="496"/>
    </row>
    <row r="8992" spans="1:4" x14ac:dyDescent="0.2">
      <c r="A8992" s="496"/>
      <c r="D8992" s="496"/>
    </row>
    <row r="8993" spans="1:4" x14ac:dyDescent="0.2">
      <c r="A8993" s="496"/>
      <c r="D8993" s="496"/>
    </row>
    <row r="8994" spans="1:4" x14ac:dyDescent="0.2">
      <c r="A8994" s="496"/>
      <c r="D8994" s="496"/>
    </row>
    <row r="8995" spans="1:4" x14ac:dyDescent="0.2">
      <c r="A8995" s="496"/>
      <c r="D8995" s="496"/>
    </row>
    <row r="8996" spans="1:4" x14ac:dyDescent="0.2">
      <c r="A8996" s="496"/>
      <c r="D8996" s="496"/>
    </row>
    <row r="8997" spans="1:4" x14ac:dyDescent="0.2">
      <c r="A8997" s="496"/>
      <c r="D8997" s="496"/>
    </row>
    <row r="8998" spans="1:4" x14ac:dyDescent="0.2">
      <c r="A8998" s="496"/>
      <c r="D8998" s="496"/>
    </row>
    <row r="8999" spans="1:4" x14ac:dyDescent="0.2">
      <c r="A8999" s="496"/>
      <c r="D8999" s="496"/>
    </row>
    <row r="9000" spans="1:4" x14ac:dyDescent="0.2">
      <c r="A9000" s="496"/>
      <c r="D9000" s="496"/>
    </row>
    <row r="9001" spans="1:4" x14ac:dyDescent="0.2">
      <c r="A9001" s="496"/>
      <c r="D9001" s="496"/>
    </row>
    <row r="9002" spans="1:4" x14ac:dyDescent="0.2">
      <c r="A9002" s="496"/>
      <c r="D9002" s="496"/>
    </row>
    <row r="9003" spans="1:4" x14ac:dyDescent="0.2">
      <c r="A9003" s="496"/>
      <c r="D9003" s="496"/>
    </row>
    <row r="9004" spans="1:4" x14ac:dyDescent="0.2">
      <c r="A9004" s="496"/>
      <c r="D9004" s="496"/>
    </row>
    <row r="9005" spans="1:4" x14ac:dyDescent="0.2">
      <c r="A9005" s="496"/>
      <c r="D9005" s="496"/>
    </row>
    <row r="9006" spans="1:4" x14ac:dyDescent="0.2">
      <c r="A9006" s="496"/>
      <c r="D9006" s="496"/>
    </row>
    <row r="9007" spans="1:4" x14ac:dyDescent="0.2">
      <c r="A9007" s="496"/>
      <c r="D9007" s="496"/>
    </row>
    <row r="9008" spans="1:4" x14ac:dyDescent="0.2">
      <c r="A9008" s="496"/>
      <c r="D9008" s="496"/>
    </row>
    <row r="9009" spans="1:4" x14ac:dyDescent="0.2">
      <c r="A9009" s="496"/>
      <c r="D9009" s="496"/>
    </row>
    <row r="9010" spans="1:4" x14ac:dyDescent="0.2">
      <c r="A9010" s="496"/>
      <c r="D9010" s="496"/>
    </row>
    <row r="9011" spans="1:4" x14ac:dyDescent="0.2">
      <c r="A9011" s="496"/>
      <c r="D9011" s="496"/>
    </row>
    <row r="9012" spans="1:4" x14ac:dyDescent="0.2">
      <c r="A9012" s="496"/>
      <c r="D9012" s="496"/>
    </row>
    <row r="9013" spans="1:4" x14ac:dyDescent="0.2">
      <c r="A9013" s="496"/>
      <c r="D9013" s="496"/>
    </row>
    <row r="9014" spans="1:4" x14ac:dyDescent="0.2">
      <c r="A9014" s="496"/>
      <c r="D9014" s="496"/>
    </row>
    <row r="9015" spans="1:4" x14ac:dyDescent="0.2">
      <c r="A9015" s="496"/>
      <c r="D9015" s="496"/>
    </row>
    <row r="9016" spans="1:4" x14ac:dyDescent="0.2">
      <c r="A9016" s="496"/>
      <c r="D9016" s="496"/>
    </row>
    <row r="9017" spans="1:4" x14ac:dyDescent="0.2">
      <c r="A9017" s="496"/>
      <c r="D9017" s="496"/>
    </row>
    <row r="9018" spans="1:4" x14ac:dyDescent="0.2">
      <c r="A9018" s="496"/>
      <c r="D9018" s="496"/>
    </row>
    <row r="9019" spans="1:4" x14ac:dyDescent="0.2">
      <c r="A9019" s="496"/>
      <c r="D9019" s="496"/>
    </row>
    <row r="9020" spans="1:4" x14ac:dyDescent="0.2">
      <c r="A9020" s="496"/>
      <c r="D9020" s="496"/>
    </row>
    <row r="9021" spans="1:4" x14ac:dyDescent="0.2">
      <c r="A9021" s="496"/>
      <c r="D9021" s="496"/>
    </row>
    <row r="9022" spans="1:4" x14ac:dyDescent="0.2">
      <c r="A9022" s="496"/>
      <c r="D9022" s="496"/>
    </row>
    <row r="9023" spans="1:4" x14ac:dyDescent="0.2">
      <c r="A9023" s="496"/>
      <c r="D9023" s="496"/>
    </row>
    <row r="9024" spans="1:4" x14ac:dyDescent="0.2">
      <c r="A9024" s="496"/>
      <c r="D9024" s="496"/>
    </row>
    <row r="9025" spans="1:4" x14ac:dyDescent="0.2">
      <c r="A9025" s="496"/>
      <c r="D9025" s="496"/>
    </row>
    <row r="9026" spans="1:4" x14ac:dyDescent="0.2">
      <c r="A9026" s="496"/>
      <c r="D9026" s="496"/>
    </row>
    <row r="9027" spans="1:4" x14ac:dyDescent="0.2">
      <c r="A9027" s="496"/>
      <c r="D9027" s="496"/>
    </row>
    <row r="9028" spans="1:4" x14ac:dyDescent="0.2">
      <c r="A9028" s="496"/>
      <c r="D9028" s="496"/>
    </row>
    <row r="9029" spans="1:4" x14ac:dyDescent="0.2">
      <c r="A9029" s="496"/>
      <c r="D9029" s="496"/>
    </row>
    <row r="9030" spans="1:4" x14ac:dyDescent="0.2">
      <c r="A9030" s="496"/>
      <c r="D9030" s="496"/>
    </row>
    <row r="9031" spans="1:4" x14ac:dyDescent="0.2">
      <c r="A9031" s="496"/>
      <c r="D9031" s="496"/>
    </row>
    <row r="9032" spans="1:4" x14ac:dyDescent="0.2">
      <c r="A9032" s="496"/>
      <c r="D9032" s="496"/>
    </row>
    <row r="9033" spans="1:4" x14ac:dyDescent="0.2">
      <c r="A9033" s="496"/>
      <c r="D9033" s="496"/>
    </row>
    <row r="9034" spans="1:4" x14ac:dyDescent="0.2">
      <c r="A9034" s="496"/>
      <c r="D9034" s="496"/>
    </row>
    <row r="9035" spans="1:4" x14ac:dyDescent="0.2">
      <c r="A9035" s="496"/>
      <c r="D9035" s="496"/>
    </row>
    <row r="9036" spans="1:4" x14ac:dyDescent="0.2">
      <c r="A9036" s="496"/>
      <c r="D9036" s="496"/>
    </row>
    <row r="9037" spans="1:4" x14ac:dyDescent="0.2">
      <c r="A9037" s="496"/>
      <c r="D9037" s="496"/>
    </row>
    <row r="9038" spans="1:4" x14ac:dyDescent="0.2">
      <c r="A9038" s="496"/>
      <c r="D9038" s="496"/>
    </row>
    <row r="9039" spans="1:4" x14ac:dyDescent="0.2">
      <c r="A9039" s="496"/>
      <c r="D9039" s="496"/>
    </row>
    <row r="9040" spans="1:4" x14ac:dyDescent="0.2">
      <c r="A9040" s="496"/>
      <c r="D9040" s="496"/>
    </row>
    <row r="9041" spans="1:4" x14ac:dyDescent="0.2">
      <c r="A9041" s="496"/>
      <c r="D9041" s="496"/>
    </row>
    <row r="9042" spans="1:4" x14ac:dyDescent="0.2">
      <c r="A9042" s="496"/>
      <c r="D9042" s="496"/>
    </row>
    <row r="9043" spans="1:4" x14ac:dyDescent="0.2">
      <c r="A9043" s="496"/>
      <c r="D9043" s="496"/>
    </row>
    <row r="9044" spans="1:4" x14ac:dyDescent="0.2">
      <c r="A9044" s="496"/>
      <c r="D9044" s="496"/>
    </row>
    <row r="9045" spans="1:4" x14ac:dyDescent="0.2">
      <c r="A9045" s="496"/>
      <c r="D9045" s="496"/>
    </row>
    <row r="9046" spans="1:4" x14ac:dyDescent="0.2">
      <c r="A9046" s="496"/>
      <c r="D9046" s="496"/>
    </row>
    <row r="9047" spans="1:4" x14ac:dyDescent="0.2">
      <c r="A9047" s="496"/>
      <c r="D9047" s="496"/>
    </row>
    <row r="9048" spans="1:4" x14ac:dyDescent="0.2">
      <c r="A9048" s="496"/>
      <c r="D9048" s="496"/>
    </row>
    <row r="9049" spans="1:4" x14ac:dyDescent="0.2">
      <c r="A9049" s="496"/>
      <c r="D9049" s="496"/>
    </row>
    <row r="9050" spans="1:4" x14ac:dyDescent="0.2">
      <c r="A9050" s="496"/>
      <c r="D9050" s="496"/>
    </row>
    <row r="9051" spans="1:4" x14ac:dyDescent="0.2">
      <c r="A9051" s="496"/>
      <c r="D9051" s="496"/>
    </row>
    <row r="9052" spans="1:4" x14ac:dyDescent="0.2">
      <c r="A9052" s="496"/>
      <c r="D9052" s="496"/>
    </row>
    <row r="9053" spans="1:4" x14ac:dyDescent="0.2">
      <c r="A9053" s="496"/>
      <c r="D9053" s="496"/>
    </row>
    <row r="9054" spans="1:4" x14ac:dyDescent="0.2">
      <c r="A9054" s="496"/>
      <c r="D9054" s="496"/>
    </row>
    <row r="9055" spans="1:4" x14ac:dyDescent="0.2">
      <c r="A9055" s="496"/>
      <c r="D9055" s="496"/>
    </row>
    <row r="9056" spans="1:4" x14ac:dyDescent="0.2">
      <c r="A9056" s="496"/>
      <c r="D9056" s="496"/>
    </row>
    <row r="9057" spans="1:4" x14ac:dyDescent="0.2">
      <c r="A9057" s="496"/>
      <c r="D9057" s="496"/>
    </row>
    <row r="9058" spans="1:4" x14ac:dyDescent="0.2">
      <c r="A9058" s="496"/>
      <c r="D9058" s="496"/>
    </row>
    <row r="9059" spans="1:4" x14ac:dyDescent="0.2">
      <c r="A9059" s="496"/>
      <c r="D9059" s="496"/>
    </row>
    <row r="9060" spans="1:4" x14ac:dyDescent="0.2">
      <c r="A9060" s="496"/>
      <c r="D9060" s="496"/>
    </row>
    <row r="9061" spans="1:4" x14ac:dyDescent="0.2">
      <c r="A9061" s="496"/>
      <c r="D9061" s="496"/>
    </row>
    <row r="9062" spans="1:4" x14ac:dyDescent="0.2">
      <c r="A9062" s="496"/>
      <c r="D9062" s="496"/>
    </row>
    <row r="9063" spans="1:4" x14ac:dyDescent="0.2">
      <c r="A9063" s="496"/>
      <c r="D9063" s="496"/>
    </row>
    <row r="9064" spans="1:4" x14ac:dyDescent="0.2">
      <c r="A9064" s="496"/>
      <c r="D9064" s="496"/>
    </row>
    <row r="9065" spans="1:4" x14ac:dyDescent="0.2">
      <c r="A9065" s="496"/>
      <c r="D9065" s="496"/>
    </row>
    <row r="9066" spans="1:4" x14ac:dyDescent="0.2">
      <c r="A9066" s="496"/>
      <c r="D9066" s="496"/>
    </row>
    <row r="9067" spans="1:4" x14ac:dyDescent="0.2">
      <c r="A9067" s="496"/>
      <c r="D9067" s="496"/>
    </row>
    <row r="9068" spans="1:4" x14ac:dyDescent="0.2">
      <c r="A9068" s="496"/>
      <c r="D9068" s="496"/>
    </row>
    <row r="9069" spans="1:4" x14ac:dyDescent="0.2">
      <c r="A9069" s="496"/>
      <c r="D9069" s="496"/>
    </row>
    <row r="9070" spans="1:4" x14ac:dyDescent="0.2">
      <c r="A9070" s="496"/>
      <c r="D9070" s="496"/>
    </row>
    <row r="9071" spans="1:4" x14ac:dyDescent="0.2">
      <c r="A9071" s="496"/>
      <c r="D9071" s="496"/>
    </row>
    <row r="9072" spans="1:4" x14ac:dyDescent="0.2">
      <c r="A9072" s="496"/>
      <c r="D9072" s="496"/>
    </row>
    <row r="9073" spans="1:4" x14ac:dyDescent="0.2">
      <c r="A9073" s="496"/>
      <c r="D9073" s="496"/>
    </row>
    <row r="9074" spans="1:4" x14ac:dyDescent="0.2">
      <c r="A9074" s="496"/>
      <c r="D9074" s="496"/>
    </row>
    <row r="9075" spans="1:4" x14ac:dyDescent="0.2">
      <c r="A9075" s="496"/>
      <c r="D9075" s="496"/>
    </row>
    <row r="9076" spans="1:4" x14ac:dyDescent="0.2">
      <c r="A9076" s="496"/>
      <c r="D9076" s="496"/>
    </row>
    <row r="9077" spans="1:4" x14ac:dyDescent="0.2">
      <c r="A9077" s="496"/>
      <c r="D9077" s="496"/>
    </row>
    <row r="9078" spans="1:4" x14ac:dyDescent="0.2">
      <c r="A9078" s="496"/>
      <c r="D9078" s="496"/>
    </row>
    <row r="9079" spans="1:4" x14ac:dyDescent="0.2">
      <c r="A9079" s="496"/>
      <c r="D9079" s="496"/>
    </row>
    <row r="9080" spans="1:4" x14ac:dyDescent="0.2">
      <c r="A9080" s="496"/>
      <c r="D9080" s="496"/>
    </row>
    <row r="9081" spans="1:4" x14ac:dyDescent="0.2">
      <c r="A9081" s="496"/>
      <c r="D9081" s="496"/>
    </row>
    <row r="9082" spans="1:4" x14ac:dyDescent="0.2">
      <c r="A9082" s="496"/>
      <c r="D9082" s="496"/>
    </row>
    <row r="9083" spans="1:4" x14ac:dyDescent="0.2">
      <c r="A9083" s="496"/>
      <c r="D9083" s="496"/>
    </row>
    <row r="9084" spans="1:4" x14ac:dyDescent="0.2">
      <c r="A9084" s="496"/>
      <c r="D9084" s="496"/>
    </row>
    <row r="9085" spans="1:4" x14ac:dyDescent="0.2">
      <c r="A9085" s="496"/>
      <c r="D9085" s="496"/>
    </row>
    <row r="9086" spans="1:4" x14ac:dyDescent="0.2">
      <c r="A9086" s="496"/>
      <c r="D9086" s="496"/>
    </row>
    <row r="9087" spans="1:4" x14ac:dyDescent="0.2">
      <c r="A9087" s="496"/>
      <c r="D9087" s="496"/>
    </row>
    <row r="9088" spans="1:4" x14ac:dyDescent="0.2">
      <c r="A9088" s="496"/>
      <c r="D9088" s="496"/>
    </row>
    <row r="9089" spans="1:4" x14ac:dyDescent="0.2">
      <c r="A9089" s="496"/>
      <c r="D9089" s="496"/>
    </row>
    <row r="9090" spans="1:4" x14ac:dyDescent="0.2">
      <c r="A9090" s="496"/>
      <c r="D9090" s="496"/>
    </row>
    <row r="9091" spans="1:4" x14ac:dyDescent="0.2">
      <c r="A9091" s="496"/>
      <c r="D9091" s="496"/>
    </row>
    <row r="9092" spans="1:4" x14ac:dyDescent="0.2">
      <c r="A9092" s="496"/>
      <c r="D9092" s="496"/>
    </row>
    <row r="9093" spans="1:4" x14ac:dyDescent="0.2">
      <c r="A9093" s="496"/>
      <c r="D9093" s="496"/>
    </row>
    <row r="9094" spans="1:4" x14ac:dyDescent="0.2">
      <c r="A9094" s="496"/>
      <c r="D9094" s="496"/>
    </row>
    <row r="9095" spans="1:4" x14ac:dyDescent="0.2">
      <c r="A9095" s="496"/>
      <c r="D9095" s="496"/>
    </row>
    <row r="9096" spans="1:4" x14ac:dyDescent="0.2">
      <c r="A9096" s="496"/>
      <c r="D9096" s="496"/>
    </row>
    <row r="9097" spans="1:4" x14ac:dyDescent="0.2">
      <c r="A9097" s="496"/>
      <c r="D9097" s="496"/>
    </row>
    <row r="9098" spans="1:4" x14ac:dyDescent="0.2">
      <c r="A9098" s="496"/>
      <c r="D9098" s="496"/>
    </row>
    <row r="9099" spans="1:4" x14ac:dyDescent="0.2">
      <c r="A9099" s="496"/>
      <c r="D9099" s="496"/>
    </row>
    <row r="9100" spans="1:4" x14ac:dyDescent="0.2">
      <c r="A9100" s="496"/>
      <c r="D9100" s="496"/>
    </row>
    <row r="9101" spans="1:4" x14ac:dyDescent="0.2">
      <c r="A9101" s="496"/>
      <c r="D9101" s="496"/>
    </row>
    <row r="9102" spans="1:4" x14ac:dyDescent="0.2">
      <c r="A9102" s="496"/>
      <c r="D9102" s="496"/>
    </row>
    <row r="9103" spans="1:4" x14ac:dyDescent="0.2">
      <c r="A9103" s="496"/>
      <c r="D9103" s="496"/>
    </row>
    <row r="9104" spans="1:4" x14ac:dyDescent="0.2">
      <c r="A9104" s="496"/>
      <c r="D9104" s="496"/>
    </row>
    <row r="9105" spans="1:4" x14ac:dyDescent="0.2">
      <c r="A9105" s="496"/>
      <c r="D9105" s="496"/>
    </row>
    <row r="9106" spans="1:4" x14ac:dyDescent="0.2">
      <c r="A9106" s="496"/>
      <c r="D9106" s="496"/>
    </row>
    <row r="9107" spans="1:4" x14ac:dyDescent="0.2">
      <c r="A9107" s="496"/>
      <c r="D9107" s="496"/>
    </row>
    <row r="9108" spans="1:4" x14ac:dyDescent="0.2">
      <c r="A9108" s="496"/>
      <c r="D9108" s="496"/>
    </row>
    <row r="9109" spans="1:4" x14ac:dyDescent="0.2">
      <c r="A9109" s="496"/>
      <c r="D9109" s="496"/>
    </row>
    <row r="9110" spans="1:4" x14ac:dyDescent="0.2">
      <c r="A9110" s="496"/>
      <c r="D9110" s="496"/>
    </row>
    <row r="9111" spans="1:4" x14ac:dyDescent="0.2">
      <c r="A9111" s="496"/>
      <c r="D9111" s="496"/>
    </row>
    <row r="9112" spans="1:4" x14ac:dyDescent="0.2">
      <c r="A9112" s="496"/>
      <c r="D9112" s="496"/>
    </row>
    <row r="9113" spans="1:4" x14ac:dyDescent="0.2">
      <c r="A9113" s="496"/>
      <c r="D9113" s="496"/>
    </row>
    <row r="9114" spans="1:4" x14ac:dyDescent="0.2">
      <c r="A9114" s="496"/>
      <c r="D9114" s="496"/>
    </row>
    <row r="9115" spans="1:4" x14ac:dyDescent="0.2">
      <c r="A9115" s="496"/>
      <c r="D9115" s="496"/>
    </row>
    <row r="9116" spans="1:4" x14ac:dyDescent="0.2">
      <c r="A9116" s="496"/>
      <c r="D9116" s="496"/>
    </row>
    <row r="9117" spans="1:4" x14ac:dyDescent="0.2">
      <c r="A9117" s="496"/>
      <c r="D9117" s="496"/>
    </row>
    <row r="9118" spans="1:4" x14ac:dyDescent="0.2">
      <c r="A9118" s="496"/>
      <c r="D9118" s="496"/>
    </row>
    <row r="9119" spans="1:4" x14ac:dyDescent="0.2">
      <c r="A9119" s="496"/>
      <c r="D9119" s="496"/>
    </row>
    <row r="9120" spans="1:4" x14ac:dyDescent="0.2">
      <c r="A9120" s="496"/>
      <c r="D9120" s="496"/>
    </row>
    <row r="9121" spans="1:4" x14ac:dyDescent="0.2">
      <c r="A9121" s="496"/>
      <c r="D9121" s="496"/>
    </row>
    <row r="9122" spans="1:4" x14ac:dyDescent="0.2">
      <c r="A9122" s="496"/>
      <c r="D9122" s="496"/>
    </row>
    <row r="9123" spans="1:4" x14ac:dyDescent="0.2">
      <c r="A9123" s="496"/>
      <c r="D9123" s="496"/>
    </row>
    <row r="9124" spans="1:4" x14ac:dyDescent="0.2">
      <c r="A9124" s="496"/>
      <c r="D9124" s="496"/>
    </row>
    <row r="9125" spans="1:4" x14ac:dyDescent="0.2">
      <c r="A9125" s="496"/>
      <c r="D9125" s="496"/>
    </row>
    <row r="9126" spans="1:4" x14ac:dyDescent="0.2">
      <c r="A9126" s="496"/>
      <c r="D9126" s="496"/>
    </row>
    <row r="9127" spans="1:4" x14ac:dyDescent="0.2">
      <c r="A9127" s="496"/>
      <c r="D9127" s="496"/>
    </row>
    <row r="9128" spans="1:4" x14ac:dyDescent="0.2">
      <c r="A9128" s="496"/>
      <c r="D9128" s="496"/>
    </row>
    <row r="9129" spans="1:4" x14ac:dyDescent="0.2">
      <c r="A9129" s="496"/>
      <c r="D9129" s="496"/>
    </row>
    <row r="9130" spans="1:4" x14ac:dyDescent="0.2">
      <c r="A9130" s="496"/>
      <c r="D9130" s="496"/>
    </row>
    <row r="9131" spans="1:4" x14ac:dyDescent="0.2">
      <c r="A9131" s="496"/>
      <c r="D9131" s="496"/>
    </row>
    <row r="9132" spans="1:4" x14ac:dyDescent="0.2">
      <c r="A9132" s="496"/>
      <c r="D9132" s="496"/>
    </row>
    <row r="9133" spans="1:4" x14ac:dyDescent="0.2">
      <c r="A9133" s="496"/>
      <c r="D9133" s="496"/>
    </row>
    <row r="9134" spans="1:4" x14ac:dyDescent="0.2">
      <c r="A9134" s="496"/>
      <c r="D9134" s="496"/>
    </row>
    <row r="9135" spans="1:4" x14ac:dyDescent="0.2">
      <c r="A9135" s="496"/>
      <c r="D9135" s="496"/>
    </row>
    <row r="9136" spans="1:4" x14ac:dyDescent="0.2">
      <c r="A9136" s="496"/>
      <c r="D9136" s="496"/>
    </row>
    <row r="9137" spans="1:4" x14ac:dyDescent="0.2">
      <c r="A9137" s="496"/>
      <c r="D9137" s="496"/>
    </row>
    <row r="9138" spans="1:4" x14ac:dyDescent="0.2">
      <c r="A9138" s="496"/>
      <c r="D9138" s="496"/>
    </row>
    <row r="9139" spans="1:4" x14ac:dyDescent="0.2">
      <c r="A9139" s="496"/>
      <c r="D9139" s="496"/>
    </row>
    <row r="9140" spans="1:4" x14ac:dyDescent="0.2">
      <c r="A9140" s="496"/>
      <c r="D9140" s="496"/>
    </row>
    <row r="9141" spans="1:4" x14ac:dyDescent="0.2">
      <c r="A9141" s="496"/>
      <c r="D9141" s="496"/>
    </row>
    <row r="9142" spans="1:4" x14ac:dyDescent="0.2">
      <c r="A9142" s="496"/>
      <c r="D9142" s="496"/>
    </row>
    <row r="9143" spans="1:4" x14ac:dyDescent="0.2">
      <c r="A9143" s="496"/>
      <c r="D9143" s="496"/>
    </row>
    <row r="9144" spans="1:4" x14ac:dyDescent="0.2">
      <c r="A9144" s="496"/>
      <c r="D9144" s="496"/>
    </row>
    <row r="9145" spans="1:4" x14ac:dyDescent="0.2">
      <c r="A9145" s="496"/>
      <c r="D9145" s="496"/>
    </row>
    <row r="9146" spans="1:4" x14ac:dyDescent="0.2">
      <c r="A9146" s="496"/>
      <c r="D9146" s="496"/>
    </row>
    <row r="9147" spans="1:4" x14ac:dyDescent="0.2">
      <c r="A9147" s="496"/>
      <c r="D9147" s="496"/>
    </row>
    <row r="9148" spans="1:4" x14ac:dyDescent="0.2">
      <c r="A9148" s="496"/>
      <c r="D9148" s="496"/>
    </row>
    <row r="9149" spans="1:4" x14ac:dyDescent="0.2">
      <c r="A9149" s="496"/>
      <c r="D9149" s="496"/>
    </row>
    <row r="9150" spans="1:4" x14ac:dyDescent="0.2">
      <c r="A9150" s="496"/>
      <c r="D9150" s="496"/>
    </row>
    <row r="9151" spans="1:4" x14ac:dyDescent="0.2">
      <c r="A9151" s="496"/>
      <c r="D9151" s="496"/>
    </row>
    <row r="9152" spans="1:4" x14ac:dyDescent="0.2">
      <c r="A9152" s="496"/>
      <c r="D9152" s="496"/>
    </row>
    <row r="9153" spans="1:4" x14ac:dyDescent="0.2">
      <c r="A9153" s="496"/>
      <c r="D9153" s="496"/>
    </row>
    <row r="9154" spans="1:4" x14ac:dyDescent="0.2">
      <c r="A9154" s="496"/>
      <c r="D9154" s="496"/>
    </row>
    <row r="9155" spans="1:4" x14ac:dyDescent="0.2">
      <c r="A9155" s="496"/>
      <c r="D9155" s="496"/>
    </row>
    <row r="9156" spans="1:4" x14ac:dyDescent="0.2">
      <c r="A9156" s="496"/>
      <c r="D9156" s="496"/>
    </row>
    <row r="9157" spans="1:4" x14ac:dyDescent="0.2">
      <c r="A9157" s="496"/>
      <c r="D9157" s="496"/>
    </row>
    <row r="9158" spans="1:4" x14ac:dyDescent="0.2">
      <c r="A9158" s="496"/>
      <c r="D9158" s="496"/>
    </row>
    <row r="9159" spans="1:4" x14ac:dyDescent="0.2">
      <c r="A9159" s="496"/>
      <c r="D9159" s="496"/>
    </row>
    <row r="9160" spans="1:4" x14ac:dyDescent="0.2">
      <c r="A9160" s="496"/>
      <c r="D9160" s="496"/>
    </row>
    <row r="9161" spans="1:4" x14ac:dyDescent="0.2">
      <c r="A9161" s="496"/>
      <c r="D9161" s="496"/>
    </row>
    <row r="9162" spans="1:4" x14ac:dyDescent="0.2">
      <c r="A9162" s="496"/>
      <c r="D9162" s="496"/>
    </row>
    <row r="9163" spans="1:4" x14ac:dyDescent="0.2">
      <c r="A9163" s="496"/>
      <c r="D9163" s="496"/>
    </row>
    <row r="9164" spans="1:4" x14ac:dyDescent="0.2">
      <c r="A9164" s="496"/>
      <c r="D9164" s="496"/>
    </row>
    <row r="9165" spans="1:4" x14ac:dyDescent="0.2">
      <c r="A9165" s="496"/>
      <c r="D9165" s="496"/>
    </row>
    <row r="9166" spans="1:4" x14ac:dyDescent="0.2">
      <c r="A9166" s="496"/>
      <c r="D9166" s="496"/>
    </row>
    <row r="9167" spans="1:4" x14ac:dyDescent="0.2">
      <c r="A9167" s="496"/>
      <c r="D9167" s="496"/>
    </row>
    <row r="9168" spans="1:4" x14ac:dyDescent="0.2">
      <c r="A9168" s="496"/>
      <c r="D9168" s="496"/>
    </row>
    <row r="9169" spans="1:4" x14ac:dyDescent="0.2">
      <c r="A9169" s="496"/>
      <c r="D9169" s="496"/>
    </row>
    <row r="9170" spans="1:4" x14ac:dyDescent="0.2">
      <c r="A9170" s="496"/>
      <c r="D9170" s="496"/>
    </row>
    <row r="9171" spans="1:4" x14ac:dyDescent="0.2">
      <c r="A9171" s="496"/>
      <c r="D9171" s="496"/>
    </row>
    <row r="9172" spans="1:4" x14ac:dyDescent="0.2">
      <c r="A9172" s="496"/>
      <c r="D9172" s="496"/>
    </row>
    <row r="9173" spans="1:4" x14ac:dyDescent="0.2">
      <c r="A9173" s="496"/>
      <c r="D9173" s="496"/>
    </row>
    <row r="9174" spans="1:4" x14ac:dyDescent="0.2">
      <c r="A9174" s="496"/>
      <c r="D9174" s="496"/>
    </row>
    <row r="9175" spans="1:4" x14ac:dyDescent="0.2">
      <c r="A9175" s="496"/>
      <c r="D9175" s="496"/>
    </row>
    <row r="9176" spans="1:4" x14ac:dyDescent="0.2">
      <c r="A9176" s="496"/>
      <c r="D9176" s="496"/>
    </row>
    <row r="9177" spans="1:4" x14ac:dyDescent="0.2">
      <c r="A9177" s="496"/>
      <c r="D9177" s="496"/>
    </row>
    <row r="9178" spans="1:4" x14ac:dyDescent="0.2">
      <c r="A9178" s="496"/>
      <c r="D9178" s="496"/>
    </row>
    <row r="9179" spans="1:4" x14ac:dyDescent="0.2">
      <c r="A9179" s="496"/>
      <c r="D9179" s="496"/>
    </row>
    <row r="9180" spans="1:4" x14ac:dyDescent="0.2">
      <c r="A9180" s="496"/>
      <c r="D9180" s="496"/>
    </row>
    <row r="9181" spans="1:4" x14ac:dyDescent="0.2">
      <c r="A9181" s="496"/>
      <c r="D9181" s="496"/>
    </row>
    <row r="9182" spans="1:4" x14ac:dyDescent="0.2">
      <c r="A9182" s="496"/>
      <c r="D9182" s="496"/>
    </row>
    <row r="9183" spans="1:4" x14ac:dyDescent="0.2">
      <c r="A9183" s="496"/>
      <c r="D9183" s="496"/>
    </row>
    <row r="9184" spans="1:4" x14ac:dyDescent="0.2">
      <c r="A9184" s="496"/>
      <c r="D9184" s="496"/>
    </row>
    <row r="9185" spans="1:4" x14ac:dyDescent="0.2">
      <c r="A9185" s="496"/>
      <c r="D9185" s="496"/>
    </row>
    <row r="9186" spans="1:4" x14ac:dyDescent="0.2">
      <c r="A9186" s="496"/>
      <c r="D9186" s="496"/>
    </row>
    <row r="9187" spans="1:4" x14ac:dyDescent="0.2">
      <c r="A9187" s="496"/>
      <c r="D9187" s="496"/>
    </row>
    <row r="9188" spans="1:4" x14ac:dyDescent="0.2">
      <c r="A9188" s="496"/>
      <c r="D9188" s="496"/>
    </row>
    <row r="9189" spans="1:4" x14ac:dyDescent="0.2">
      <c r="A9189" s="496"/>
      <c r="D9189" s="496"/>
    </row>
    <row r="9190" spans="1:4" x14ac:dyDescent="0.2">
      <c r="A9190" s="496"/>
      <c r="D9190" s="496"/>
    </row>
    <row r="9191" spans="1:4" x14ac:dyDescent="0.2">
      <c r="A9191" s="496"/>
      <c r="D9191" s="496"/>
    </row>
    <row r="9192" spans="1:4" x14ac:dyDescent="0.2">
      <c r="A9192" s="496"/>
      <c r="D9192" s="496"/>
    </row>
    <row r="9193" spans="1:4" x14ac:dyDescent="0.2">
      <c r="A9193" s="496"/>
      <c r="D9193" s="496"/>
    </row>
    <row r="9194" spans="1:4" x14ac:dyDescent="0.2">
      <c r="A9194" s="496"/>
      <c r="D9194" s="496"/>
    </row>
    <row r="9195" spans="1:4" x14ac:dyDescent="0.2">
      <c r="A9195" s="496"/>
      <c r="D9195" s="496"/>
    </row>
    <row r="9196" spans="1:4" x14ac:dyDescent="0.2">
      <c r="A9196" s="496"/>
      <c r="D9196" s="496"/>
    </row>
    <row r="9197" spans="1:4" x14ac:dyDescent="0.2">
      <c r="A9197" s="496"/>
      <c r="D9197" s="496"/>
    </row>
    <row r="9198" spans="1:4" x14ac:dyDescent="0.2">
      <c r="A9198" s="496"/>
      <c r="D9198" s="496"/>
    </row>
    <row r="9199" spans="1:4" x14ac:dyDescent="0.2">
      <c r="A9199" s="496"/>
      <c r="D9199" s="496"/>
    </row>
    <row r="9200" spans="1:4" x14ac:dyDescent="0.2">
      <c r="A9200" s="496"/>
      <c r="D9200" s="496"/>
    </row>
    <row r="9201" spans="1:4" x14ac:dyDescent="0.2">
      <c r="A9201" s="496"/>
      <c r="D9201" s="496"/>
    </row>
    <row r="9202" spans="1:4" x14ac:dyDescent="0.2">
      <c r="A9202" s="496"/>
      <c r="D9202" s="496"/>
    </row>
    <row r="9203" spans="1:4" x14ac:dyDescent="0.2">
      <c r="A9203" s="496"/>
      <c r="D9203" s="496"/>
    </row>
    <row r="9204" spans="1:4" x14ac:dyDescent="0.2">
      <c r="A9204" s="496"/>
      <c r="D9204" s="496"/>
    </row>
    <row r="9205" spans="1:4" x14ac:dyDescent="0.2">
      <c r="A9205" s="496"/>
      <c r="D9205" s="496"/>
    </row>
    <row r="9206" spans="1:4" x14ac:dyDescent="0.2">
      <c r="A9206" s="496"/>
      <c r="D9206" s="496"/>
    </row>
    <row r="9207" spans="1:4" x14ac:dyDescent="0.2">
      <c r="A9207" s="496"/>
      <c r="D9207" s="496"/>
    </row>
    <row r="9208" spans="1:4" x14ac:dyDescent="0.2">
      <c r="A9208" s="496"/>
      <c r="D9208" s="496"/>
    </row>
    <row r="9209" spans="1:4" x14ac:dyDescent="0.2">
      <c r="A9209" s="496"/>
      <c r="D9209" s="496"/>
    </row>
    <row r="9210" spans="1:4" x14ac:dyDescent="0.2">
      <c r="A9210" s="496"/>
      <c r="D9210" s="496"/>
    </row>
    <row r="9211" spans="1:4" x14ac:dyDescent="0.2">
      <c r="A9211" s="496"/>
      <c r="D9211" s="496"/>
    </row>
    <row r="9212" spans="1:4" x14ac:dyDescent="0.2">
      <c r="A9212" s="496"/>
      <c r="D9212" s="496"/>
    </row>
    <row r="9213" spans="1:4" x14ac:dyDescent="0.2">
      <c r="A9213" s="496"/>
      <c r="D9213" s="496"/>
    </row>
    <row r="9214" spans="1:4" x14ac:dyDescent="0.2">
      <c r="A9214" s="496"/>
      <c r="D9214" s="496"/>
    </row>
    <row r="9215" spans="1:4" x14ac:dyDescent="0.2">
      <c r="A9215" s="496"/>
      <c r="D9215" s="496"/>
    </row>
    <row r="9216" spans="1:4" x14ac:dyDescent="0.2">
      <c r="A9216" s="496"/>
      <c r="D9216" s="496"/>
    </row>
    <row r="9217" spans="1:4" x14ac:dyDescent="0.2">
      <c r="A9217" s="496"/>
      <c r="D9217" s="496"/>
    </row>
    <row r="9218" spans="1:4" x14ac:dyDescent="0.2">
      <c r="A9218" s="496"/>
      <c r="D9218" s="496"/>
    </row>
    <row r="9219" spans="1:4" x14ac:dyDescent="0.2">
      <c r="A9219" s="496"/>
      <c r="D9219" s="496"/>
    </row>
    <row r="9220" spans="1:4" x14ac:dyDescent="0.2">
      <c r="A9220" s="496"/>
      <c r="D9220" s="496"/>
    </row>
    <row r="9221" spans="1:4" x14ac:dyDescent="0.2">
      <c r="A9221" s="496"/>
      <c r="D9221" s="496"/>
    </row>
    <row r="9222" spans="1:4" x14ac:dyDescent="0.2">
      <c r="A9222" s="496"/>
      <c r="D9222" s="496"/>
    </row>
    <row r="9223" spans="1:4" x14ac:dyDescent="0.2">
      <c r="A9223" s="496"/>
      <c r="D9223" s="496"/>
    </row>
    <row r="9224" spans="1:4" x14ac:dyDescent="0.2">
      <c r="A9224" s="496"/>
      <c r="D9224" s="496"/>
    </row>
    <row r="9225" spans="1:4" x14ac:dyDescent="0.2">
      <c r="A9225" s="496"/>
      <c r="D9225" s="496"/>
    </row>
    <row r="9226" spans="1:4" x14ac:dyDescent="0.2">
      <c r="A9226" s="496"/>
      <c r="D9226" s="496"/>
    </row>
    <row r="9227" spans="1:4" x14ac:dyDescent="0.2">
      <c r="A9227" s="496"/>
      <c r="D9227" s="496"/>
    </row>
    <row r="9228" spans="1:4" x14ac:dyDescent="0.2">
      <c r="A9228" s="496"/>
      <c r="D9228" s="496"/>
    </row>
    <row r="9229" spans="1:4" x14ac:dyDescent="0.2">
      <c r="A9229" s="496"/>
      <c r="D9229" s="496"/>
    </row>
    <row r="9230" spans="1:4" x14ac:dyDescent="0.2">
      <c r="A9230" s="496"/>
      <c r="D9230" s="496"/>
    </row>
    <row r="9231" spans="1:4" x14ac:dyDescent="0.2">
      <c r="A9231" s="496"/>
      <c r="D9231" s="496"/>
    </row>
    <row r="9232" spans="1:4" x14ac:dyDescent="0.2">
      <c r="A9232" s="496"/>
      <c r="D9232" s="496"/>
    </row>
    <row r="9233" spans="1:4" x14ac:dyDescent="0.2">
      <c r="A9233" s="496"/>
      <c r="D9233" s="496"/>
    </row>
    <row r="9234" spans="1:4" x14ac:dyDescent="0.2">
      <c r="A9234" s="496"/>
      <c r="D9234" s="496"/>
    </row>
    <row r="9235" spans="1:4" x14ac:dyDescent="0.2">
      <c r="A9235" s="496"/>
      <c r="D9235" s="496"/>
    </row>
    <row r="9236" spans="1:4" x14ac:dyDescent="0.2">
      <c r="A9236" s="496"/>
      <c r="D9236" s="496"/>
    </row>
    <row r="9237" spans="1:4" x14ac:dyDescent="0.2">
      <c r="A9237" s="496"/>
      <c r="D9237" s="496"/>
    </row>
    <row r="9238" spans="1:4" x14ac:dyDescent="0.2">
      <c r="A9238" s="496"/>
      <c r="D9238" s="496"/>
    </row>
    <row r="9239" spans="1:4" x14ac:dyDescent="0.2">
      <c r="A9239" s="496"/>
      <c r="D9239" s="496"/>
    </row>
    <row r="9240" spans="1:4" x14ac:dyDescent="0.2">
      <c r="A9240" s="496"/>
      <c r="D9240" s="496"/>
    </row>
    <row r="9241" spans="1:4" x14ac:dyDescent="0.2">
      <c r="A9241" s="496"/>
      <c r="D9241" s="496"/>
    </row>
    <row r="9242" spans="1:4" x14ac:dyDescent="0.2">
      <c r="A9242" s="496"/>
      <c r="D9242" s="496"/>
    </row>
    <row r="9243" spans="1:4" x14ac:dyDescent="0.2">
      <c r="A9243" s="496"/>
      <c r="D9243" s="496"/>
    </row>
    <row r="9244" spans="1:4" x14ac:dyDescent="0.2">
      <c r="A9244" s="496"/>
      <c r="D9244" s="496"/>
    </row>
    <row r="9245" spans="1:4" x14ac:dyDescent="0.2">
      <c r="A9245" s="496"/>
      <c r="D9245" s="496"/>
    </row>
    <row r="9246" spans="1:4" x14ac:dyDescent="0.2">
      <c r="A9246" s="496"/>
      <c r="D9246" s="496"/>
    </row>
    <row r="9247" spans="1:4" x14ac:dyDescent="0.2">
      <c r="A9247" s="496"/>
      <c r="D9247" s="496"/>
    </row>
    <row r="9248" spans="1:4" x14ac:dyDescent="0.2">
      <c r="A9248" s="496"/>
      <c r="D9248" s="496"/>
    </row>
    <row r="9249" spans="1:4" x14ac:dyDescent="0.2">
      <c r="A9249" s="496"/>
      <c r="D9249" s="496"/>
    </row>
    <row r="9250" spans="1:4" x14ac:dyDescent="0.2">
      <c r="A9250" s="496"/>
      <c r="D9250" s="496"/>
    </row>
    <row r="9251" spans="1:4" x14ac:dyDescent="0.2">
      <c r="A9251" s="496"/>
      <c r="D9251" s="496"/>
    </row>
    <row r="9252" spans="1:4" x14ac:dyDescent="0.2">
      <c r="A9252" s="496"/>
      <c r="D9252" s="496"/>
    </row>
    <row r="9253" spans="1:4" x14ac:dyDescent="0.2">
      <c r="A9253" s="496"/>
      <c r="D9253" s="496"/>
    </row>
    <row r="9254" spans="1:4" x14ac:dyDescent="0.2">
      <c r="A9254" s="496"/>
      <c r="D9254" s="496"/>
    </row>
    <row r="9255" spans="1:4" x14ac:dyDescent="0.2">
      <c r="A9255" s="496"/>
      <c r="D9255" s="496"/>
    </row>
    <row r="9256" spans="1:4" x14ac:dyDescent="0.2">
      <c r="A9256" s="496"/>
      <c r="D9256" s="496"/>
    </row>
    <row r="9257" spans="1:4" x14ac:dyDescent="0.2">
      <c r="A9257" s="496"/>
      <c r="D9257" s="496"/>
    </row>
    <row r="9258" spans="1:4" x14ac:dyDescent="0.2">
      <c r="A9258" s="496"/>
      <c r="D9258" s="496"/>
    </row>
    <row r="9259" spans="1:4" x14ac:dyDescent="0.2">
      <c r="A9259" s="496"/>
      <c r="D9259" s="496"/>
    </row>
    <row r="9260" spans="1:4" x14ac:dyDescent="0.2">
      <c r="A9260" s="496"/>
      <c r="D9260" s="496"/>
    </row>
    <row r="9261" spans="1:4" x14ac:dyDescent="0.2">
      <c r="A9261" s="496"/>
      <c r="D9261" s="496"/>
    </row>
    <row r="9262" spans="1:4" x14ac:dyDescent="0.2">
      <c r="A9262" s="496"/>
      <c r="D9262" s="496"/>
    </row>
    <row r="9263" spans="1:4" x14ac:dyDescent="0.2">
      <c r="A9263" s="496"/>
      <c r="D9263" s="496"/>
    </row>
    <row r="9264" spans="1:4" x14ac:dyDescent="0.2">
      <c r="A9264" s="496"/>
      <c r="D9264" s="496"/>
    </row>
    <row r="9265" spans="1:4" x14ac:dyDescent="0.2">
      <c r="A9265" s="496"/>
      <c r="D9265" s="496"/>
    </row>
    <row r="9266" spans="1:4" x14ac:dyDescent="0.2">
      <c r="A9266" s="496"/>
      <c r="D9266" s="496"/>
    </row>
    <row r="9267" spans="1:4" x14ac:dyDescent="0.2">
      <c r="A9267" s="496"/>
      <c r="D9267" s="496"/>
    </row>
    <row r="9268" spans="1:4" x14ac:dyDescent="0.2">
      <c r="A9268" s="496"/>
      <c r="D9268" s="496"/>
    </row>
    <row r="9269" spans="1:4" x14ac:dyDescent="0.2">
      <c r="A9269" s="496"/>
      <c r="D9269" s="496"/>
    </row>
    <row r="9270" spans="1:4" x14ac:dyDescent="0.2">
      <c r="A9270" s="496"/>
      <c r="D9270" s="496"/>
    </row>
    <row r="9271" spans="1:4" x14ac:dyDescent="0.2">
      <c r="A9271" s="496"/>
      <c r="D9271" s="496"/>
    </row>
    <row r="9272" spans="1:4" x14ac:dyDescent="0.2">
      <c r="A9272" s="496"/>
      <c r="D9272" s="496"/>
    </row>
    <row r="9273" spans="1:4" x14ac:dyDescent="0.2">
      <c r="A9273" s="496"/>
      <c r="D9273" s="496"/>
    </row>
    <row r="9274" spans="1:4" x14ac:dyDescent="0.2">
      <c r="A9274" s="496"/>
      <c r="D9274" s="496"/>
    </row>
    <row r="9275" spans="1:4" x14ac:dyDescent="0.2">
      <c r="A9275" s="496"/>
      <c r="D9275" s="496"/>
    </row>
    <row r="9276" spans="1:4" x14ac:dyDescent="0.2">
      <c r="A9276" s="496"/>
      <c r="D9276" s="496"/>
    </row>
    <row r="9277" spans="1:4" x14ac:dyDescent="0.2">
      <c r="A9277" s="496"/>
      <c r="D9277" s="496"/>
    </row>
    <row r="9278" spans="1:4" x14ac:dyDescent="0.2">
      <c r="A9278" s="496"/>
      <c r="D9278" s="496"/>
    </row>
    <row r="9279" spans="1:4" x14ac:dyDescent="0.2">
      <c r="A9279" s="496"/>
      <c r="D9279" s="496"/>
    </row>
    <row r="9280" spans="1:4" x14ac:dyDescent="0.2">
      <c r="A9280" s="496"/>
      <c r="D9280" s="496"/>
    </row>
    <row r="9281" spans="1:4" x14ac:dyDescent="0.2">
      <c r="A9281" s="496"/>
      <c r="D9281" s="496"/>
    </row>
    <row r="9282" spans="1:4" x14ac:dyDescent="0.2">
      <c r="A9282" s="496"/>
      <c r="D9282" s="496"/>
    </row>
    <row r="9283" spans="1:4" x14ac:dyDescent="0.2">
      <c r="A9283" s="496"/>
      <c r="D9283" s="496"/>
    </row>
    <row r="9284" spans="1:4" x14ac:dyDescent="0.2">
      <c r="A9284" s="496"/>
      <c r="D9284" s="496"/>
    </row>
    <row r="9285" spans="1:4" x14ac:dyDescent="0.2">
      <c r="A9285" s="496"/>
      <c r="D9285" s="496"/>
    </row>
    <row r="9286" spans="1:4" x14ac:dyDescent="0.2">
      <c r="A9286" s="496"/>
      <c r="D9286" s="496"/>
    </row>
    <row r="9287" spans="1:4" x14ac:dyDescent="0.2">
      <c r="A9287" s="496"/>
      <c r="D9287" s="496"/>
    </row>
    <row r="9288" spans="1:4" x14ac:dyDescent="0.2">
      <c r="A9288" s="496"/>
      <c r="D9288" s="496"/>
    </row>
    <row r="9289" spans="1:4" x14ac:dyDescent="0.2">
      <c r="A9289" s="496"/>
      <c r="D9289" s="496"/>
    </row>
    <row r="9290" spans="1:4" x14ac:dyDescent="0.2">
      <c r="A9290" s="496"/>
      <c r="D9290" s="496"/>
    </row>
    <row r="9291" spans="1:4" x14ac:dyDescent="0.2">
      <c r="A9291" s="496"/>
      <c r="D9291" s="496"/>
    </row>
    <row r="9292" spans="1:4" x14ac:dyDescent="0.2">
      <c r="A9292" s="496"/>
      <c r="D9292" s="496"/>
    </row>
    <row r="9293" spans="1:4" x14ac:dyDescent="0.2">
      <c r="A9293" s="496"/>
      <c r="D9293" s="496"/>
    </row>
    <row r="9294" spans="1:4" x14ac:dyDescent="0.2">
      <c r="A9294" s="496"/>
      <c r="D9294" s="496"/>
    </row>
    <row r="9295" spans="1:4" x14ac:dyDescent="0.2">
      <c r="A9295" s="496"/>
      <c r="D9295" s="496"/>
    </row>
    <row r="9296" spans="1:4" x14ac:dyDescent="0.2">
      <c r="A9296" s="496"/>
      <c r="D9296" s="496"/>
    </row>
    <row r="9297" spans="1:4" x14ac:dyDescent="0.2">
      <c r="A9297" s="496"/>
      <c r="D9297" s="496"/>
    </row>
    <row r="9298" spans="1:4" x14ac:dyDescent="0.2">
      <c r="A9298" s="496"/>
      <c r="D9298" s="496"/>
    </row>
    <row r="9299" spans="1:4" x14ac:dyDescent="0.2">
      <c r="A9299" s="496"/>
      <c r="D9299" s="496"/>
    </row>
    <row r="9300" spans="1:4" x14ac:dyDescent="0.2">
      <c r="A9300" s="496"/>
      <c r="D9300" s="496"/>
    </row>
    <row r="9301" spans="1:4" x14ac:dyDescent="0.2">
      <c r="A9301" s="496"/>
      <c r="D9301" s="496"/>
    </row>
    <row r="9302" spans="1:4" x14ac:dyDescent="0.2">
      <c r="A9302" s="496"/>
      <c r="D9302" s="496"/>
    </row>
    <row r="9303" spans="1:4" x14ac:dyDescent="0.2">
      <c r="A9303" s="496"/>
      <c r="D9303" s="496"/>
    </row>
    <row r="9304" spans="1:4" x14ac:dyDescent="0.2">
      <c r="A9304" s="496"/>
      <c r="D9304" s="496"/>
    </row>
    <row r="9305" spans="1:4" x14ac:dyDescent="0.2">
      <c r="A9305" s="496"/>
      <c r="D9305" s="496"/>
    </row>
    <row r="9306" spans="1:4" x14ac:dyDescent="0.2">
      <c r="A9306" s="496"/>
      <c r="D9306" s="496"/>
    </row>
    <row r="9307" spans="1:4" x14ac:dyDescent="0.2">
      <c r="A9307" s="496"/>
      <c r="D9307" s="496"/>
    </row>
    <row r="9308" spans="1:4" x14ac:dyDescent="0.2">
      <c r="A9308" s="496"/>
      <c r="D9308" s="496"/>
    </row>
    <row r="9309" spans="1:4" x14ac:dyDescent="0.2">
      <c r="A9309" s="496"/>
      <c r="D9309" s="496"/>
    </row>
    <row r="9310" spans="1:4" x14ac:dyDescent="0.2">
      <c r="A9310" s="496"/>
      <c r="D9310" s="496"/>
    </row>
    <row r="9311" spans="1:4" x14ac:dyDescent="0.2">
      <c r="A9311" s="496"/>
      <c r="D9311" s="496"/>
    </row>
    <row r="9312" spans="1:4" x14ac:dyDescent="0.2">
      <c r="A9312" s="496"/>
      <c r="D9312" s="496"/>
    </row>
    <row r="9313" spans="1:4" x14ac:dyDescent="0.2">
      <c r="A9313" s="496"/>
      <c r="D9313" s="496"/>
    </row>
    <row r="9314" spans="1:4" x14ac:dyDescent="0.2">
      <c r="A9314" s="496"/>
      <c r="D9314" s="496"/>
    </row>
    <row r="9315" spans="1:4" x14ac:dyDescent="0.2">
      <c r="A9315" s="496"/>
      <c r="D9315" s="496"/>
    </row>
    <row r="9316" spans="1:4" x14ac:dyDescent="0.2">
      <c r="A9316" s="496"/>
      <c r="D9316" s="496"/>
    </row>
    <row r="9317" spans="1:4" x14ac:dyDescent="0.2">
      <c r="A9317" s="496"/>
      <c r="D9317" s="496"/>
    </row>
    <row r="9318" spans="1:4" x14ac:dyDescent="0.2">
      <c r="A9318" s="496"/>
      <c r="D9318" s="496"/>
    </row>
    <row r="9319" spans="1:4" x14ac:dyDescent="0.2">
      <c r="A9319" s="496"/>
      <c r="D9319" s="496"/>
    </row>
    <row r="9320" spans="1:4" x14ac:dyDescent="0.2">
      <c r="A9320" s="496"/>
      <c r="D9320" s="496"/>
    </row>
    <row r="9321" spans="1:4" x14ac:dyDescent="0.2">
      <c r="A9321" s="496"/>
      <c r="D9321" s="496"/>
    </row>
    <row r="9322" spans="1:4" x14ac:dyDescent="0.2">
      <c r="A9322" s="496"/>
      <c r="D9322" s="496"/>
    </row>
    <row r="9323" spans="1:4" x14ac:dyDescent="0.2">
      <c r="A9323" s="496"/>
      <c r="D9323" s="496"/>
    </row>
    <row r="9324" spans="1:4" x14ac:dyDescent="0.2">
      <c r="A9324" s="496"/>
      <c r="D9324" s="496"/>
    </row>
    <row r="9325" spans="1:4" x14ac:dyDescent="0.2">
      <c r="A9325" s="496"/>
      <c r="D9325" s="496"/>
    </row>
    <row r="9326" spans="1:4" x14ac:dyDescent="0.2">
      <c r="A9326" s="496"/>
      <c r="D9326" s="496"/>
    </row>
    <row r="9327" spans="1:4" x14ac:dyDescent="0.2">
      <c r="A9327" s="496"/>
      <c r="D9327" s="496"/>
    </row>
    <row r="9328" spans="1:4" x14ac:dyDescent="0.2">
      <c r="A9328" s="496"/>
      <c r="D9328" s="496"/>
    </row>
    <row r="9329" spans="1:4" x14ac:dyDescent="0.2">
      <c r="A9329" s="496"/>
      <c r="D9329" s="496"/>
    </row>
    <row r="9330" spans="1:4" x14ac:dyDescent="0.2">
      <c r="A9330" s="496"/>
      <c r="D9330" s="496"/>
    </row>
    <row r="9331" spans="1:4" x14ac:dyDescent="0.2">
      <c r="A9331" s="496"/>
      <c r="D9331" s="496"/>
    </row>
    <row r="9332" spans="1:4" x14ac:dyDescent="0.2">
      <c r="A9332" s="496"/>
      <c r="D9332" s="496"/>
    </row>
    <row r="9333" spans="1:4" x14ac:dyDescent="0.2">
      <c r="A9333" s="496"/>
      <c r="D9333" s="496"/>
    </row>
    <row r="9334" spans="1:4" x14ac:dyDescent="0.2">
      <c r="A9334" s="496"/>
      <c r="D9334" s="496"/>
    </row>
    <row r="9335" spans="1:4" x14ac:dyDescent="0.2">
      <c r="A9335" s="496"/>
      <c r="D9335" s="496"/>
    </row>
    <row r="9336" spans="1:4" x14ac:dyDescent="0.2">
      <c r="A9336" s="496"/>
      <c r="D9336" s="496"/>
    </row>
    <row r="9337" spans="1:4" x14ac:dyDescent="0.2">
      <c r="A9337" s="496"/>
      <c r="D9337" s="496"/>
    </row>
    <row r="9338" spans="1:4" x14ac:dyDescent="0.2">
      <c r="A9338" s="496"/>
      <c r="D9338" s="496"/>
    </row>
    <row r="9339" spans="1:4" x14ac:dyDescent="0.2">
      <c r="A9339" s="496"/>
      <c r="D9339" s="496"/>
    </row>
    <row r="9340" spans="1:4" x14ac:dyDescent="0.2">
      <c r="A9340" s="496"/>
      <c r="D9340" s="496"/>
    </row>
    <row r="9341" spans="1:4" x14ac:dyDescent="0.2">
      <c r="A9341" s="496"/>
      <c r="D9341" s="496"/>
    </row>
    <row r="9342" spans="1:4" x14ac:dyDescent="0.2">
      <c r="A9342" s="496"/>
      <c r="D9342" s="496"/>
    </row>
    <row r="9343" spans="1:4" x14ac:dyDescent="0.2">
      <c r="A9343" s="496"/>
      <c r="D9343" s="496"/>
    </row>
    <row r="9344" spans="1:4" x14ac:dyDescent="0.2">
      <c r="A9344" s="496"/>
      <c r="D9344" s="496"/>
    </row>
    <row r="9345" spans="1:4" x14ac:dyDescent="0.2">
      <c r="A9345" s="496"/>
      <c r="D9345" s="496"/>
    </row>
    <row r="9346" spans="1:4" x14ac:dyDescent="0.2">
      <c r="A9346" s="496"/>
      <c r="D9346" s="496"/>
    </row>
    <row r="9347" spans="1:4" x14ac:dyDescent="0.2">
      <c r="A9347" s="496"/>
      <c r="D9347" s="496"/>
    </row>
    <row r="9348" spans="1:4" x14ac:dyDescent="0.2">
      <c r="A9348" s="496"/>
      <c r="D9348" s="496"/>
    </row>
    <row r="9349" spans="1:4" x14ac:dyDescent="0.2">
      <c r="A9349" s="496"/>
      <c r="D9349" s="496"/>
    </row>
    <row r="9350" spans="1:4" x14ac:dyDescent="0.2">
      <c r="A9350" s="496"/>
      <c r="D9350" s="496"/>
    </row>
    <row r="9351" spans="1:4" x14ac:dyDescent="0.2">
      <c r="A9351" s="496"/>
      <c r="D9351" s="496"/>
    </row>
    <row r="9352" spans="1:4" x14ac:dyDescent="0.2">
      <c r="A9352" s="496"/>
      <c r="D9352" s="496"/>
    </row>
    <row r="9353" spans="1:4" x14ac:dyDescent="0.2">
      <c r="A9353" s="496"/>
      <c r="D9353" s="496"/>
    </row>
    <row r="9354" spans="1:4" x14ac:dyDescent="0.2">
      <c r="A9354" s="496"/>
      <c r="D9354" s="496"/>
    </row>
    <row r="9355" spans="1:4" x14ac:dyDescent="0.2">
      <c r="A9355" s="496"/>
      <c r="D9355" s="496"/>
    </row>
    <row r="9356" spans="1:4" x14ac:dyDescent="0.2">
      <c r="A9356" s="496"/>
      <c r="D9356" s="496"/>
    </row>
    <row r="9357" spans="1:4" x14ac:dyDescent="0.2">
      <c r="A9357" s="496"/>
      <c r="D9357" s="496"/>
    </row>
    <row r="9358" spans="1:4" x14ac:dyDescent="0.2">
      <c r="A9358" s="496"/>
      <c r="D9358" s="496"/>
    </row>
    <row r="9359" spans="1:4" x14ac:dyDescent="0.2">
      <c r="A9359" s="496"/>
      <c r="D9359" s="496"/>
    </row>
    <row r="9360" spans="1:4" x14ac:dyDescent="0.2">
      <c r="A9360" s="496"/>
      <c r="D9360" s="496"/>
    </row>
    <row r="9361" spans="1:4" x14ac:dyDescent="0.2">
      <c r="A9361" s="496"/>
      <c r="D9361" s="496"/>
    </row>
    <row r="9362" spans="1:4" x14ac:dyDescent="0.2">
      <c r="A9362" s="496"/>
      <c r="D9362" s="496"/>
    </row>
    <row r="9363" spans="1:4" x14ac:dyDescent="0.2">
      <c r="A9363" s="496"/>
      <c r="D9363" s="496"/>
    </row>
    <row r="9364" spans="1:4" x14ac:dyDescent="0.2">
      <c r="A9364" s="496"/>
      <c r="D9364" s="496"/>
    </row>
    <row r="9365" spans="1:4" x14ac:dyDescent="0.2">
      <c r="A9365" s="496"/>
      <c r="D9365" s="496"/>
    </row>
    <row r="9366" spans="1:4" x14ac:dyDescent="0.2">
      <c r="A9366" s="496"/>
      <c r="D9366" s="496"/>
    </row>
    <row r="9367" spans="1:4" x14ac:dyDescent="0.2">
      <c r="A9367" s="496"/>
      <c r="D9367" s="496"/>
    </row>
    <row r="9368" spans="1:4" x14ac:dyDescent="0.2">
      <c r="A9368" s="496"/>
      <c r="D9368" s="496"/>
    </row>
    <row r="9369" spans="1:4" x14ac:dyDescent="0.2">
      <c r="A9369" s="496"/>
      <c r="D9369" s="496"/>
    </row>
    <row r="9370" spans="1:4" x14ac:dyDescent="0.2">
      <c r="A9370" s="496"/>
      <c r="D9370" s="496"/>
    </row>
    <row r="9371" spans="1:4" x14ac:dyDescent="0.2">
      <c r="A9371" s="496"/>
      <c r="D9371" s="496"/>
    </row>
    <row r="9372" spans="1:4" x14ac:dyDescent="0.2">
      <c r="A9372" s="496"/>
      <c r="D9372" s="496"/>
    </row>
    <row r="9373" spans="1:4" x14ac:dyDescent="0.2">
      <c r="A9373" s="496"/>
      <c r="D9373" s="496"/>
    </row>
    <row r="9374" spans="1:4" x14ac:dyDescent="0.2">
      <c r="A9374" s="496"/>
      <c r="D9374" s="496"/>
    </row>
    <row r="9375" spans="1:4" x14ac:dyDescent="0.2">
      <c r="A9375" s="496"/>
      <c r="D9375" s="496"/>
    </row>
    <row r="9376" spans="1:4" x14ac:dyDescent="0.2">
      <c r="A9376" s="496"/>
      <c r="D9376" s="496"/>
    </row>
    <row r="9377" spans="1:4" x14ac:dyDescent="0.2">
      <c r="A9377" s="496"/>
      <c r="D9377" s="496"/>
    </row>
    <row r="9378" spans="1:4" x14ac:dyDescent="0.2">
      <c r="A9378" s="496"/>
      <c r="D9378" s="496"/>
    </row>
    <row r="9379" spans="1:4" x14ac:dyDescent="0.2">
      <c r="A9379" s="496"/>
      <c r="D9379" s="496"/>
    </row>
    <row r="9380" spans="1:4" x14ac:dyDescent="0.2">
      <c r="A9380" s="496"/>
      <c r="D9380" s="496"/>
    </row>
    <row r="9381" spans="1:4" x14ac:dyDescent="0.2">
      <c r="A9381" s="496"/>
      <c r="D9381" s="496"/>
    </row>
    <row r="9382" spans="1:4" x14ac:dyDescent="0.2">
      <c r="A9382" s="496"/>
      <c r="D9382" s="496"/>
    </row>
    <row r="9383" spans="1:4" x14ac:dyDescent="0.2">
      <c r="A9383" s="496"/>
      <c r="D9383" s="496"/>
    </row>
    <row r="9384" spans="1:4" x14ac:dyDescent="0.2">
      <c r="A9384" s="496"/>
      <c r="D9384" s="496"/>
    </row>
    <row r="9385" spans="1:4" x14ac:dyDescent="0.2">
      <c r="A9385" s="496"/>
      <c r="D9385" s="496"/>
    </row>
    <row r="9386" spans="1:4" x14ac:dyDescent="0.2">
      <c r="A9386" s="496"/>
      <c r="D9386" s="496"/>
    </row>
    <row r="9387" spans="1:4" x14ac:dyDescent="0.2">
      <c r="A9387" s="496"/>
      <c r="D9387" s="496"/>
    </row>
    <row r="9388" spans="1:4" x14ac:dyDescent="0.2">
      <c r="A9388" s="496"/>
      <c r="D9388" s="496"/>
    </row>
    <row r="9389" spans="1:4" x14ac:dyDescent="0.2">
      <c r="A9389" s="496"/>
      <c r="D9389" s="496"/>
    </row>
    <row r="9390" spans="1:4" x14ac:dyDescent="0.2">
      <c r="A9390" s="496"/>
      <c r="D9390" s="496"/>
    </row>
    <row r="9391" spans="1:4" x14ac:dyDescent="0.2">
      <c r="A9391" s="496"/>
      <c r="D9391" s="496"/>
    </row>
    <row r="9392" spans="1:4" x14ac:dyDescent="0.2">
      <c r="A9392" s="496"/>
      <c r="D9392" s="496"/>
    </row>
    <row r="9393" spans="1:4" x14ac:dyDescent="0.2">
      <c r="A9393" s="496"/>
      <c r="D9393" s="496"/>
    </row>
    <row r="9394" spans="1:4" x14ac:dyDescent="0.2">
      <c r="A9394" s="496"/>
      <c r="D9394" s="496"/>
    </row>
    <row r="9395" spans="1:4" x14ac:dyDescent="0.2">
      <c r="A9395" s="496"/>
      <c r="D9395" s="496"/>
    </row>
    <row r="9396" spans="1:4" x14ac:dyDescent="0.2">
      <c r="A9396" s="496"/>
      <c r="D9396" s="496"/>
    </row>
    <row r="9397" spans="1:4" x14ac:dyDescent="0.2">
      <c r="A9397" s="496"/>
      <c r="D9397" s="496"/>
    </row>
    <row r="9398" spans="1:4" x14ac:dyDescent="0.2">
      <c r="A9398" s="496"/>
      <c r="D9398" s="496"/>
    </row>
    <row r="9399" spans="1:4" x14ac:dyDescent="0.2">
      <c r="A9399" s="496"/>
      <c r="D9399" s="496"/>
    </row>
    <row r="9400" spans="1:4" x14ac:dyDescent="0.2">
      <c r="A9400" s="496"/>
      <c r="D9400" s="496"/>
    </row>
    <row r="9401" spans="1:4" x14ac:dyDescent="0.2">
      <c r="A9401" s="496"/>
      <c r="D9401" s="496"/>
    </row>
    <row r="9402" spans="1:4" x14ac:dyDescent="0.2">
      <c r="A9402" s="496"/>
      <c r="D9402" s="496"/>
    </row>
    <row r="9403" spans="1:4" x14ac:dyDescent="0.2">
      <c r="A9403" s="496"/>
      <c r="D9403" s="496"/>
    </row>
    <row r="9404" spans="1:4" x14ac:dyDescent="0.2">
      <c r="A9404" s="496"/>
      <c r="D9404" s="496"/>
    </row>
    <row r="9405" spans="1:4" x14ac:dyDescent="0.2">
      <c r="A9405" s="496"/>
      <c r="D9405" s="496"/>
    </row>
    <row r="9406" spans="1:4" x14ac:dyDescent="0.2">
      <c r="A9406" s="496"/>
      <c r="D9406" s="496"/>
    </row>
    <row r="9407" spans="1:4" x14ac:dyDescent="0.2">
      <c r="A9407" s="496"/>
      <c r="D9407" s="496"/>
    </row>
    <row r="9408" spans="1:4" x14ac:dyDescent="0.2">
      <c r="A9408" s="496"/>
      <c r="D9408" s="496"/>
    </row>
    <row r="9409" spans="1:4" x14ac:dyDescent="0.2">
      <c r="A9409" s="496"/>
      <c r="D9409" s="496"/>
    </row>
    <row r="9410" spans="1:4" x14ac:dyDescent="0.2">
      <c r="A9410" s="496"/>
      <c r="D9410" s="496"/>
    </row>
    <row r="9411" spans="1:4" x14ac:dyDescent="0.2">
      <c r="A9411" s="496"/>
      <c r="D9411" s="496"/>
    </row>
    <row r="9412" spans="1:4" x14ac:dyDescent="0.2">
      <c r="A9412" s="496"/>
      <c r="D9412" s="496"/>
    </row>
    <row r="9413" spans="1:4" x14ac:dyDescent="0.2">
      <c r="A9413" s="496"/>
      <c r="D9413" s="496"/>
    </row>
    <row r="9414" spans="1:4" x14ac:dyDescent="0.2">
      <c r="A9414" s="496"/>
      <c r="D9414" s="496"/>
    </row>
    <row r="9415" spans="1:4" x14ac:dyDescent="0.2">
      <c r="A9415" s="496"/>
      <c r="D9415" s="496"/>
    </row>
    <row r="9416" spans="1:4" x14ac:dyDescent="0.2">
      <c r="A9416" s="496"/>
      <c r="D9416" s="496"/>
    </row>
    <row r="9417" spans="1:4" x14ac:dyDescent="0.2">
      <c r="A9417" s="496"/>
      <c r="D9417" s="496"/>
    </row>
    <row r="9418" spans="1:4" x14ac:dyDescent="0.2">
      <c r="A9418" s="496"/>
      <c r="D9418" s="496"/>
    </row>
    <row r="9419" spans="1:4" x14ac:dyDescent="0.2">
      <c r="A9419" s="496"/>
      <c r="D9419" s="496"/>
    </row>
    <row r="9420" spans="1:4" x14ac:dyDescent="0.2">
      <c r="A9420" s="496"/>
      <c r="D9420" s="496"/>
    </row>
    <row r="9421" spans="1:4" x14ac:dyDescent="0.2">
      <c r="A9421" s="496"/>
      <c r="D9421" s="496"/>
    </row>
    <row r="9422" spans="1:4" x14ac:dyDescent="0.2">
      <c r="A9422" s="496"/>
      <c r="D9422" s="496"/>
    </row>
    <row r="9423" spans="1:4" x14ac:dyDescent="0.2">
      <c r="A9423" s="496"/>
      <c r="D9423" s="496"/>
    </row>
    <row r="9424" spans="1:4" x14ac:dyDescent="0.2">
      <c r="A9424" s="496"/>
      <c r="D9424" s="496"/>
    </row>
    <row r="9425" spans="1:4" x14ac:dyDescent="0.2">
      <c r="A9425" s="496"/>
      <c r="D9425" s="496"/>
    </row>
    <row r="9426" spans="1:4" x14ac:dyDescent="0.2">
      <c r="A9426" s="496"/>
      <c r="D9426" s="496"/>
    </row>
    <row r="9427" spans="1:4" x14ac:dyDescent="0.2">
      <c r="A9427" s="496"/>
      <c r="D9427" s="496"/>
    </row>
    <row r="9428" spans="1:4" x14ac:dyDescent="0.2">
      <c r="A9428" s="496"/>
      <c r="D9428" s="496"/>
    </row>
    <row r="9429" spans="1:4" x14ac:dyDescent="0.2">
      <c r="A9429" s="496"/>
      <c r="D9429" s="496"/>
    </row>
    <row r="9430" spans="1:4" x14ac:dyDescent="0.2">
      <c r="A9430" s="496"/>
      <c r="D9430" s="496"/>
    </row>
    <row r="9431" spans="1:4" x14ac:dyDescent="0.2">
      <c r="A9431" s="496"/>
      <c r="D9431" s="496"/>
    </row>
    <row r="9432" spans="1:4" x14ac:dyDescent="0.2">
      <c r="A9432" s="496"/>
      <c r="D9432" s="496"/>
    </row>
    <row r="9433" spans="1:4" x14ac:dyDescent="0.2">
      <c r="A9433" s="496"/>
      <c r="D9433" s="496"/>
    </row>
    <row r="9434" spans="1:4" x14ac:dyDescent="0.2">
      <c r="A9434" s="496"/>
      <c r="D9434" s="496"/>
    </row>
    <row r="9435" spans="1:4" x14ac:dyDescent="0.2">
      <c r="A9435" s="496"/>
      <c r="D9435" s="496"/>
    </row>
    <row r="9436" spans="1:4" x14ac:dyDescent="0.2">
      <c r="A9436" s="496"/>
      <c r="D9436" s="496"/>
    </row>
    <row r="9437" spans="1:4" x14ac:dyDescent="0.2">
      <c r="A9437" s="496"/>
      <c r="D9437" s="496"/>
    </row>
    <row r="9438" spans="1:4" x14ac:dyDescent="0.2">
      <c r="A9438" s="496"/>
      <c r="D9438" s="496"/>
    </row>
    <row r="9439" spans="1:4" x14ac:dyDescent="0.2">
      <c r="A9439" s="496"/>
      <c r="D9439" s="496"/>
    </row>
    <row r="9440" spans="1:4" x14ac:dyDescent="0.2">
      <c r="A9440" s="496"/>
      <c r="D9440" s="496"/>
    </row>
    <row r="9441" spans="1:4" x14ac:dyDescent="0.2">
      <c r="A9441" s="496"/>
      <c r="D9441" s="496"/>
    </row>
    <row r="9442" spans="1:4" x14ac:dyDescent="0.2">
      <c r="A9442" s="496"/>
      <c r="D9442" s="496"/>
    </row>
    <row r="9443" spans="1:4" x14ac:dyDescent="0.2">
      <c r="A9443" s="496"/>
      <c r="D9443" s="496"/>
    </row>
    <row r="9444" spans="1:4" x14ac:dyDescent="0.2">
      <c r="A9444" s="496"/>
      <c r="D9444" s="496"/>
    </row>
    <row r="9445" spans="1:4" x14ac:dyDescent="0.2">
      <c r="A9445" s="496"/>
      <c r="D9445" s="496"/>
    </row>
    <row r="9446" spans="1:4" x14ac:dyDescent="0.2">
      <c r="A9446" s="496"/>
      <c r="D9446" s="496"/>
    </row>
    <row r="9447" spans="1:4" x14ac:dyDescent="0.2">
      <c r="A9447" s="496"/>
      <c r="D9447" s="496"/>
    </row>
    <row r="9448" spans="1:4" x14ac:dyDescent="0.2">
      <c r="A9448" s="496"/>
      <c r="D9448" s="496"/>
    </row>
    <row r="9449" spans="1:4" x14ac:dyDescent="0.2">
      <c r="A9449" s="496"/>
      <c r="D9449" s="496"/>
    </row>
    <row r="9450" spans="1:4" x14ac:dyDescent="0.2">
      <c r="A9450" s="496"/>
      <c r="D9450" s="496"/>
    </row>
    <row r="9451" spans="1:4" x14ac:dyDescent="0.2">
      <c r="A9451" s="496"/>
      <c r="D9451" s="496"/>
    </row>
    <row r="9452" spans="1:4" x14ac:dyDescent="0.2">
      <c r="A9452" s="496"/>
      <c r="D9452" s="496"/>
    </row>
    <row r="9453" spans="1:4" x14ac:dyDescent="0.2">
      <c r="A9453" s="496"/>
      <c r="D9453" s="496"/>
    </row>
    <row r="9454" spans="1:4" x14ac:dyDescent="0.2">
      <c r="A9454" s="496"/>
      <c r="D9454" s="496"/>
    </row>
    <row r="9455" spans="1:4" x14ac:dyDescent="0.2">
      <c r="A9455" s="496"/>
      <c r="D9455" s="496"/>
    </row>
    <row r="9456" spans="1:4" x14ac:dyDescent="0.2">
      <c r="A9456" s="496"/>
      <c r="D9456" s="496"/>
    </row>
    <row r="9457" spans="1:4" x14ac:dyDescent="0.2">
      <c r="A9457" s="496"/>
      <c r="D9457" s="496"/>
    </row>
    <row r="9458" spans="1:4" x14ac:dyDescent="0.2">
      <c r="A9458" s="496"/>
      <c r="D9458" s="496"/>
    </row>
    <row r="9459" spans="1:4" x14ac:dyDescent="0.2">
      <c r="A9459" s="496"/>
      <c r="D9459" s="496"/>
    </row>
    <row r="9460" spans="1:4" x14ac:dyDescent="0.2">
      <c r="A9460" s="496"/>
      <c r="D9460" s="496"/>
    </row>
    <row r="9461" spans="1:4" x14ac:dyDescent="0.2">
      <c r="A9461" s="496"/>
      <c r="D9461" s="496"/>
    </row>
    <row r="9462" spans="1:4" x14ac:dyDescent="0.2">
      <c r="A9462" s="496"/>
      <c r="D9462" s="496"/>
    </row>
    <row r="9463" spans="1:4" x14ac:dyDescent="0.2">
      <c r="A9463" s="496"/>
      <c r="D9463" s="496"/>
    </row>
    <row r="9464" spans="1:4" x14ac:dyDescent="0.2">
      <c r="A9464" s="496"/>
      <c r="D9464" s="496"/>
    </row>
    <row r="9465" spans="1:4" x14ac:dyDescent="0.2">
      <c r="A9465" s="496"/>
      <c r="D9465" s="496"/>
    </row>
    <row r="9466" spans="1:4" x14ac:dyDescent="0.2">
      <c r="A9466" s="496"/>
      <c r="D9466" s="496"/>
    </row>
    <row r="9467" spans="1:4" x14ac:dyDescent="0.2">
      <c r="A9467" s="496"/>
      <c r="D9467" s="496"/>
    </row>
    <row r="9468" spans="1:4" x14ac:dyDescent="0.2">
      <c r="A9468" s="496"/>
      <c r="D9468" s="496"/>
    </row>
    <row r="9469" spans="1:4" x14ac:dyDescent="0.2">
      <c r="A9469" s="496"/>
      <c r="D9469" s="496"/>
    </row>
    <row r="9470" spans="1:4" x14ac:dyDescent="0.2">
      <c r="A9470" s="496"/>
      <c r="D9470" s="496"/>
    </row>
    <row r="9471" spans="1:4" x14ac:dyDescent="0.2">
      <c r="A9471" s="496"/>
      <c r="D9471" s="496"/>
    </row>
    <row r="9472" spans="1:4" x14ac:dyDescent="0.2">
      <c r="A9472" s="496"/>
      <c r="D9472" s="496"/>
    </row>
    <row r="9473" spans="1:4" x14ac:dyDescent="0.2">
      <c r="A9473" s="496"/>
      <c r="D9473" s="496"/>
    </row>
    <row r="9474" spans="1:4" x14ac:dyDescent="0.2">
      <c r="A9474" s="496"/>
      <c r="D9474" s="496"/>
    </row>
    <row r="9475" spans="1:4" x14ac:dyDescent="0.2">
      <c r="A9475" s="496"/>
      <c r="D9475" s="496"/>
    </row>
    <row r="9476" spans="1:4" x14ac:dyDescent="0.2">
      <c r="A9476" s="496"/>
      <c r="D9476" s="496"/>
    </row>
    <row r="9477" spans="1:4" x14ac:dyDescent="0.2">
      <c r="A9477" s="496"/>
      <c r="D9477" s="496"/>
    </row>
    <row r="9478" spans="1:4" x14ac:dyDescent="0.2">
      <c r="A9478" s="496"/>
      <c r="D9478" s="496"/>
    </row>
    <row r="9479" spans="1:4" x14ac:dyDescent="0.2">
      <c r="A9479" s="496"/>
      <c r="D9479" s="496"/>
    </row>
    <row r="9480" spans="1:4" x14ac:dyDescent="0.2">
      <c r="A9480" s="496"/>
      <c r="D9480" s="496"/>
    </row>
    <row r="9481" spans="1:4" x14ac:dyDescent="0.2">
      <c r="A9481" s="496"/>
      <c r="D9481" s="496"/>
    </row>
    <row r="9482" spans="1:4" x14ac:dyDescent="0.2">
      <c r="A9482" s="496"/>
      <c r="D9482" s="496"/>
    </row>
    <row r="9483" spans="1:4" x14ac:dyDescent="0.2">
      <c r="A9483" s="496"/>
      <c r="D9483" s="496"/>
    </row>
    <row r="9484" spans="1:4" x14ac:dyDescent="0.2">
      <c r="A9484" s="496"/>
      <c r="D9484" s="496"/>
    </row>
    <row r="9485" spans="1:4" x14ac:dyDescent="0.2">
      <c r="A9485" s="496"/>
      <c r="D9485" s="496"/>
    </row>
    <row r="9486" spans="1:4" x14ac:dyDescent="0.2">
      <c r="A9486" s="496"/>
      <c r="D9486" s="496"/>
    </row>
    <row r="9487" spans="1:4" x14ac:dyDescent="0.2">
      <c r="A9487" s="496"/>
      <c r="D9487" s="496"/>
    </row>
    <row r="9488" spans="1:4" x14ac:dyDescent="0.2">
      <c r="A9488" s="496"/>
      <c r="D9488" s="496"/>
    </row>
    <row r="9489" spans="1:4" x14ac:dyDescent="0.2">
      <c r="A9489" s="496"/>
      <c r="D9489" s="496"/>
    </row>
    <row r="9490" spans="1:4" x14ac:dyDescent="0.2">
      <c r="A9490" s="496"/>
      <c r="D9490" s="496"/>
    </row>
    <row r="9491" spans="1:4" x14ac:dyDescent="0.2">
      <c r="A9491" s="496"/>
      <c r="D9491" s="496"/>
    </row>
    <row r="9492" spans="1:4" x14ac:dyDescent="0.2">
      <c r="A9492" s="496"/>
      <c r="D9492" s="496"/>
    </row>
    <row r="9493" spans="1:4" x14ac:dyDescent="0.2">
      <c r="A9493" s="496"/>
      <c r="D9493" s="496"/>
    </row>
    <row r="9494" spans="1:4" x14ac:dyDescent="0.2">
      <c r="A9494" s="496"/>
      <c r="D9494" s="496"/>
    </row>
    <row r="9495" spans="1:4" x14ac:dyDescent="0.2">
      <c r="A9495" s="496"/>
      <c r="D9495" s="496"/>
    </row>
    <row r="9496" spans="1:4" x14ac:dyDescent="0.2">
      <c r="A9496" s="496"/>
      <c r="D9496" s="496"/>
    </row>
    <row r="9497" spans="1:4" x14ac:dyDescent="0.2">
      <c r="A9497" s="496"/>
      <c r="D9497" s="496"/>
    </row>
    <row r="9498" spans="1:4" x14ac:dyDescent="0.2">
      <c r="A9498" s="496"/>
      <c r="D9498" s="496"/>
    </row>
    <row r="9499" spans="1:4" x14ac:dyDescent="0.2">
      <c r="A9499" s="496"/>
      <c r="D9499" s="496"/>
    </row>
    <row r="9500" spans="1:4" x14ac:dyDescent="0.2">
      <c r="A9500" s="496"/>
      <c r="D9500" s="496"/>
    </row>
    <row r="9501" spans="1:4" x14ac:dyDescent="0.2">
      <c r="A9501" s="496"/>
      <c r="D9501" s="496"/>
    </row>
    <row r="9502" spans="1:4" x14ac:dyDescent="0.2">
      <c r="A9502" s="496"/>
      <c r="D9502" s="496"/>
    </row>
    <row r="9503" spans="1:4" x14ac:dyDescent="0.2">
      <c r="A9503" s="496"/>
      <c r="D9503" s="496"/>
    </row>
    <row r="9504" spans="1:4" x14ac:dyDescent="0.2">
      <c r="A9504" s="496"/>
      <c r="D9504" s="496"/>
    </row>
    <row r="9505" spans="1:4" x14ac:dyDescent="0.2">
      <c r="A9505" s="496"/>
      <c r="D9505" s="496"/>
    </row>
    <row r="9506" spans="1:4" x14ac:dyDescent="0.2">
      <c r="A9506" s="496"/>
      <c r="D9506" s="496"/>
    </row>
    <row r="9507" spans="1:4" x14ac:dyDescent="0.2">
      <c r="A9507" s="496"/>
      <c r="D9507" s="496"/>
    </row>
    <row r="9508" spans="1:4" x14ac:dyDescent="0.2">
      <c r="A9508" s="496"/>
      <c r="D9508" s="496"/>
    </row>
    <row r="9509" spans="1:4" x14ac:dyDescent="0.2">
      <c r="A9509" s="496"/>
      <c r="D9509" s="496"/>
    </row>
    <row r="9510" spans="1:4" x14ac:dyDescent="0.2">
      <c r="A9510" s="496"/>
      <c r="D9510" s="496"/>
    </row>
    <row r="9511" spans="1:4" x14ac:dyDescent="0.2">
      <c r="A9511" s="496"/>
      <c r="D9511" s="496"/>
    </row>
    <row r="9512" spans="1:4" x14ac:dyDescent="0.2">
      <c r="A9512" s="496"/>
      <c r="D9512" s="496"/>
    </row>
    <row r="9513" spans="1:4" x14ac:dyDescent="0.2">
      <c r="A9513" s="496"/>
      <c r="D9513" s="496"/>
    </row>
    <row r="9514" spans="1:4" x14ac:dyDescent="0.2">
      <c r="A9514" s="496"/>
      <c r="D9514" s="496"/>
    </row>
    <row r="9515" spans="1:4" x14ac:dyDescent="0.2">
      <c r="A9515" s="496"/>
      <c r="D9515" s="496"/>
    </row>
    <row r="9516" spans="1:4" x14ac:dyDescent="0.2">
      <c r="A9516" s="496"/>
      <c r="D9516" s="496"/>
    </row>
    <row r="9517" spans="1:4" x14ac:dyDescent="0.2">
      <c r="A9517" s="496"/>
      <c r="D9517" s="496"/>
    </row>
    <row r="9518" spans="1:4" x14ac:dyDescent="0.2">
      <c r="A9518" s="496"/>
      <c r="D9518" s="496"/>
    </row>
    <row r="9519" spans="1:4" x14ac:dyDescent="0.2">
      <c r="A9519" s="496"/>
      <c r="D9519" s="496"/>
    </row>
    <row r="9520" spans="1:4" x14ac:dyDescent="0.2">
      <c r="A9520" s="496"/>
      <c r="D9520" s="496"/>
    </row>
    <row r="9521" spans="1:4" x14ac:dyDescent="0.2">
      <c r="A9521" s="496"/>
      <c r="D9521" s="496"/>
    </row>
    <row r="9522" spans="1:4" x14ac:dyDescent="0.2">
      <c r="A9522" s="496"/>
      <c r="D9522" s="496"/>
    </row>
    <row r="9523" spans="1:4" x14ac:dyDescent="0.2">
      <c r="A9523" s="496"/>
      <c r="D9523" s="496"/>
    </row>
    <row r="9524" spans="1:4" x14ac:dyDescent="0.2">
      <c r="A9524" s="496"/>
      <c r="D9524" s="496"/>
    </row>
    <row r="9525" spans="1:4" x14ac:dyDescent="0.2">
      <c r="A9525" s="496"/>
      <c r="D9525" s="496"/>
    </row>
    <row r="9526" spans="1:4" x14ac:dyDescent="0.2">
      <c r="A9526" s="496"/>
      <c r="D9526" s="496"/>
    </row>
    <row r="9527" spans="1:4" x14ac:dyDescent="0.2">
      <c r="A9527" s="496"/>
      <c r="D9527" s="496"/>
    </row>
    <row r="9528" spans="1:4" x14ac:dyDescent="0.2">
      <c r="A9528" s="496"/>
      <c r="D9528" s="496"/>
    </row>
    <row r="9529" spans="1:4" x14ac:dyDescent="0.2">
      <c r="A9529" s="496"/>
      <c r="D9529" s="496"/>
    </row>
    <row r="9530" spans="1:4" x14ac:dyDescent="0.2">
      <c r="A9530" s="496"/>
      <c r="D9530" s="496"/>
    </row>
    <row r="9531" spans="1:4" x14ac:dyDescent="0.2">
      <c r="A9531" s="496"/>
      <c r="D9531" s="496"/>
    </row>
    <row r="9532" spans="1:4" x14ac:dyDescent="0.2">
      <c r="A9532" s="496"/>
      <c r="D9532" s="496"/>
    </row>
    <row r="9533" spans="1:4" x14ac:dyDescent="0.2">
      <c r="A9533" s="496"/>
      <c r="D9533" s="496"/>
    </row>
    <row r="9534" spans="1:4" x14ac:dyDescent="0.2">
      <c r="A9534" s="496"/>
      <c r="D9534" s="496"/>
    </row>
    <row r="9535" spans="1:4" x14ac:dyDescent="0.2">
      <c r="A9535" s="496"/>
      <c r="D9535" s="496"/>
    </row>
    <row r="9536" spans="1:4" x14ac:dyDescent="0.2">
      <c r="A9536" s="496"/>
      <c r="D9536" s="496"/>
    </row>
    <row r="9537" spans="1:4" x14ac:dyDescent="0.2">
      <c r="A9537" s="496"/>
      <c r="D9537" s="496"/>
    </row>
    <row r="9538" spans="1:4" x14ac:dyDescent="0.2">
      <c r="A9538" s="496"/>
      <c r="D9538" s="496"/>
    </row>
    <row r="9539" spans="1:4" x14ac:dyDescent="0.2">
      <c r="A9539" s="496"/>
      <c r="D9539" s="496"/>
    </row>
    <row r="9540" spans="1:4" x14ac:dyDescent="0.2">
      <c r="A9540" s="496"/>
      <c r="D9540" s="496"/>
    </row>
    <row r="9541" spans="1:4" x14ac:dyDescent="0.2">
      <c r="A9541" s="496"/>
      <c r="D9541" s="496"/>
    </row>
    <row r="9542" spans="1:4" x14ac:dyDescent="0.2">
      <c r="A9542" s="496"/>
      <c r="D9542" s="496"/>
    </row>
    <row r="9543" spans="1:4" x14ac:dyDescent="0.2">
      <c r="A9543" s="496"/>
      <c r="D9543" s="496"/>
    </row>
    <row r="9544" spans="1:4" x14ac:dyDescent="0.2">
      <c r="A9544" s="496"/>
      <c r="D9544" s="496"/>
    </row>
    <row r="9545" spans="1:4" x14ac:dyDescent="0.2">
      <c r="A9545" s="496"/>
      <c r="D9545" s="496"/>
    </row>
    <row r="9546" spans="1:4" x14ac:dyDescent="0.2">
      <c r="A9546" s="496"/>
      <c r="D9546" s="496"/>
    </row>
    <row r="9547" spans="1:4" x14ac:dyDescent="0.2">
      <c r="A9547" s="496"/>
      <c r="D9547" s="496"/>
    </row>
    <row r="9548" spans="1:4" x14ac:dyDescent="0.2">
      <c r="A9548" s="496"/>
      <c r="D9548" s="496"/>
    </row>
    <row r="9549" spans="1:4" x14ac:dyDescent="0.2">
      <c r="A9549" s="496"/>
      <c r="D9549" s="496"/>
    </row>
    <row r="9550" spans="1:4" x14ac:dyDescent="0.2">
      <c r="A9550" s="496"/>
      <c r="D9550" s="496"/>
    </row>
    <row r="9551" spans="1:4" x14ac:dyDescent="0.2">
      <c r="A9551" s="496"/>
      <c r="D9551" s="496"/>
    </row>
    <row r="9552" spans="1:4" x14ac:dyDescent="0.2">
      <c r="A9552" s="496"/>
      <c r="D9552" s="496"/>
    </row>
    <row r="9553" spans="1:4" x14ac:dyDescent="0.2">
      <c r="A9553" s="496"/>
      <c r="D9553" s="496"/>
    </row>
    <row r="9554" spans="1:4" x14ac:dyDescent="0.2">
      <c r="A9554" s="496"/>
      <c r="D9554" s="496"/>
    </row>
    <row r="9555" spans="1:4" x14ac:dyDescent="0.2">
      <c r="A9555" s="496"/>
      <c r="D9555" s="496"/>
    </row>
    <row r="9556" spans="1:4" x14ac:dyDescent="0.2">
      <c r="A9556" s="496"/>
      <c r="D9556" s="496"/>
    </row>
    <row r="9557" spans="1:4" x14ac:dyDescent="0.2">
      <c r="A9557" s="496"/>
      <c r="D9557" s="496"/>
    </row>
    <row r="9558" spans="1:4" x14ac:dyDescent="0.2">
      <c r="A9558" s="496"/>
      <c r="D9558" s="496"/>
    </row>
    <row r="9559" spans="1:4" x14ac:dyDescent="0.2">
      <c r="A9559" s="496"/>
      <c r="D9559" s="496"/>
    </row>
    <row r="9560" spans="1:4" x14ac:dyDescent="0.2">
      <c r="A9560" s="496"/>
      <c r="D9560" s="496"/>
    </row>
    <row r="9561" spans="1:4" x14ac:dyDescent="0.2">
      <c r="A9561" s="496"/>
      <c r="D9561" s="496"/>
    </row>
    <row r="9562" spans="1:4" x14ac:dyDescent="0.2">
      <c r="A9562" s="496"/>
      <c r="D9562" s="496"/>
    </row>
    <row r="9563" spans="1:4" x14ac:dyDescent="0.2">
      <c r="A9563" s="496"/>
      <c r="D9563" s="496"/>
    </row>
    <row r="9564" spans="1:4" x14ac:dyDescent="0.2">
      <c r="A9564" s="496"/>
      <c r="D9564" s="496"/>
    </row>
    <row r="9565" spans="1:4" x14ac:dyDescent="0.2">
      <c r="A9565" s="496"/>
      <c r="D9565" s="496"/>
    </row>
    <row r="9566" spans="1:4" x14ac:dyDescent="0.2">
      <c r="A9566" s="496"/>
      <c r="D9566" s="496"/>
    </row>
    <row r="9567" spans="1:4" x14ac:dyDescent="0.2">
      <c r="A9567" s="496"/>
      <c r="D9567" s="496"/>
    </row>
    <row r="9568" spans="1:4" x14ac:dyDescent="0.2">
      <c r="A9568" s="496"/>
      <c r="D9568" s="496"/>
    </row>
    <row r="9569" spans="1:4" x14ac:dyDescent="0.2">
      <c r="A9569" s="496"/>
      <c r="D9569" s="496"/>
    </row>
    <row r="9570" spans="1:4" x14ac:dyDescent="0.2">
      <c r="A9570" s="496"/>
      <c r="D9570" s="496"/>
    </row>
    <row r="9571" spans="1:4" x14ac:dyDescent="0.2">
      <c r="A9571" s="496"/>
      <c r="D9571" s="496"/>
    </row>
    <row r="9572" spans="1:4" x14ac:dyDescent="0.2">
      <c r="A9572" s="496"/>
      <c r="D9572" s="496"/>
    </row>
    <row r="9573" spans="1:4" x14ac:dyDescent="0.2">
      <c r="A9573" s="496"/>
      <c r="D9573" s="496"/>
    </row>
    <row r="9574" spans="1:4" x14ac:dyDescent="0.2">
      <c r="A9574" s="496"/>
      <c r="D9574" s="496"/>
    </row>
    <row r="9575" spans="1:4" x14ac:dyDescent="0.2">
      <c r="A9575" s="496"/>
      <c r="D9575" s="496"/>
    </row>
    <row r="9576" spans="1:4" x14ac:dyDescent="0.2">
      <c r="A9576" s="496"/>
      <c r="D9576" s="496"/>
    </row>
    <row r="9577" spans="1:4" x14ac:dyDescent="0.2">
      <c r="A9577" s="496"/>
      <c r="D9577" s="496"/>
    </row>
    <row r="9578" spans="1:4" x14ac:dyDescent="0.2">
      <c r="A9578" s="496"/>
      <c r="D9578" s="496"/>
    </row>
    <row r="9579" spans="1:4" x14ac:dyDescent="0.2">
      <c r="A9579" s="496"/>
      <c r="D9579" s="496"/>
    </row>
    <row r="9580" spans="1:4" x14ac:dyDescent="0.2">
      <c r="A9580" s="496"/>
      <c r="D9580" s="496"/>
    </row>
    <row r="9581" spans="1:4" x14ac:dyDescent="0.2">
      <c r="A9581" s="496"/>
      <c r="D9581" s="496"/>
    </row>
    <row r="9582" spans="1:4" x14ac:dyDescent="0.2">
      <c r="A9582" s="496"/>
      <c r="D9582" s="496"/>
    </row>
    <row r="9583" spans="1:4" x14ac:dyDescent="0.2">
      <c r="A9583" s="496"/>
      <c r="D9583" s="496"/>
    </row>
    <row r="9584" spans="1:4" x14ac:dyDescent="0.2">
      <c r="A9584" s="496"/>
      <c r="D9584" s="496"/>
    </row>
    <row r="9585" spans="1:4" x14ac:dyDescent="0.2">
      <c r="A9585" s="496"/>
      <c r="D9585" s="496"/>
    </row>
    <row r="9586" spans="1:4" x14ac:dyDescent="0.2">
      <c r="A9586" s="496"/>
      <c r="D9586" s="496"/>
    </row>
    <row r="9587" spans="1:4" x14ac:dyDescent="0.2">
      <c r="A9587" s="496"/>
      <c r="D9587" s="496"/>
    </row>
    <row r="9588" spans="1:4" x14ac:dyDescent="0.2">
      <c r="A9588" s="496"/>
      <c r="D9588" s="496"/>
    </row>
    <row r="9589" spans="1:4" x14ac:dyDescent="0.2">
      <c r="A9589" s="496"/>
      <c r="D9589" s="496"/>
    </row>
    <row r="9590" spans="1:4" x14ac:dyDescent="0.2">
      <c r="A9590" s="496"/>
      <c r="D9590" s="496"/>
    </row>
    <row r="9591" spans="1:4" x14ac:dyDescent="0.2">
      <c r="A9591" s="496"/>
      <c r="D9591" s="496"/>
    </row>
    <row r="9592" spans="1:4" x14ac:dyDescent="0.2">
      <c r="A9592" s="496"/>
      <c r="D9592" s="496"/>
    </row>
    <row r="9593" spans="1:4" x14ac:dyDescent="0.2">
      <c r="A9593" s="496"/>
      <c r="D9593" s="496"/>
    </row>
    <row r="9594" spans="1:4" x14ac:dyDescent="0.2">
      <c r="A9594" s="496"/>
      <c r="D9594" s="496"/>
    </row>
    <row r="9595" spans="1:4" x14ac:dyDescent="0.2">
      <c r="A9595" s="496"/>
      <c r="D9595" s="496"/>
    </row>
    <row r="9596" spans="1:4" x14ac:dyDescent="0.2">
      <c r="A9596" s="496"/>
      <c r="D9596" s="496"/>
    </row>
    <row r="9597" spans="1:4" x14ac:dyDescent="0.2">
      <c r="A9597" s="496"/>
      <c r="D9597" s="496"/>
    </row>
    <row r="9598" spans="1:4" x14ac:dyDescent="0.2">
      <c r="A9598" s="496"/>
      <c r="D9598" s="496"/>
    </row>
    <row r="9599" spans="1:4" x14ac:dyDescent="0.2">
      <c r="A9599" s="496"/>
      <c r="D9599" s="496"/>
    </row>
    <row r="9600" spans="1:4" x14ac:dyDescent="0.2">
      <c r="A9600" s="496"/>
      <c r="D9600" s="496"/>
    </row>
    <row r="9601" spans="1:4" x14ac:dyDescent="0.2">
      <c r="A9601" s="496"/>
      <c r="D9601" s="496"/>
    </row>
    <row r="9602" spans="1:4" x14ac:dyDescent="0.2">
      <c r="A9602" s="496"/>
      <c r="D9602" s="496"/>
    </row>
    <row r="9603" spans="1:4" x14ac:dyDescent="0.2">
      <c r="A9603" s="496"/>
      <c r="D9603" s="496"/>
    </row>
    <row r="9604" spans="1:4" x14ac:dyDescent="0.2">
      <c r="A9604" s="496"/>
      <c r="D9604" s="496"/>
    </row>
    <row r="9605" spans="1:4" x14ac:dyDescent="0.2">
      <c r="A9605" s="496"/>
      <c r="D9605" s="496"/>
    </row>
    <row r="9606" spans="1:4" x14ac:dyDescent="0.2">
      <c r="A9606" s="496"/>
      <c r="D9606" s="496"/>
    </row>
    <row r="9607" spans="1:4" x14ac:dyDescent="0.2">
      <c r="A9607" s="496"/>
      <c r="D9607" s="496"/>
    </row>
    <row r="9608" spans="1:4" x14ac:dyDescent="0.2">
      <c r="A9608" s="496"/>
      <c r="D9608" s="496"/>
    </row>
    <row r="9609" spans="1:4" x14ac:dyDescent="0.2">
      <c r="A9609" s="496"/>
      <c r="D9609" s="496"/>
    </row>
    <row r="9610" spans="1:4" x14ac:dyDescent="0.2">
      <c r="A9610" s="496"/>
      <c r="D9610" s="496"/>
    </row>
    <row r="9611" spans="1:4" x14ac:dyDescent="0.2">
      <c r="A9611" s="496"/>
      <c r="D9611" s="496"/>
    </row>
    <row r="9612" spans="1:4" x14ac:dyDescent="0.2">
      <c r="A9612" s="496"/>
      <c r="D9612" s="496"/>
    </row>
    <row r="9613" spans="1:4" x14ac:dyDescent="0.2">
      <c r="A9613" s="496"/>
      <c r="D9613" s="496"/>
    </row>
    <row r="9614" spans="1:4" x14ac:dyDescent="0.2">
      <c r="A9614" s="496"/>
      <c r="D9614" s="496"/>
    </row>
    <row r="9615" spans="1:4" x14ac:dyDescent="0.2">
      <c r="A9615" s="496"/>
      <c r="D9615" s="496"/>
    </row>
    <row r="9616" spans="1:4" x14ac:dyDescent="0.2">
      <c r="A9616" s="496"/>
      <c r="D9616" s="496"/>
    </row>
    <row r="9617" spans="1:4" x14ac:dyDescent="0.2">
      <c r="A9617" s="496"/>
      <c r="D9617" s="496"/>
    </row>
    <row r="9618" spans="1:4" x14ac:dyDescent="0.2">
      <c r="A9618" s="496"/>
      <c r="D9618" s="496"/>
    </row>
    <row r="9619" spans="1:4" x14ac:dyDescent="0.2">
      <c r="A9619" s="496"/>
      <c r="D9619" s="496"/>
    </row>
    <row r="9620" spans="1:4" x14ac:dyDescent="0.2">
      <c r="A9620" s="496"/>
      <c r="D9620" s="496"/>
    </row>
    <row r="9621" spans="1:4" x14ac:dyDescent="0.2">
      <c r="A9621" s="496"/>
      <c r="D9621" s="496"/>
    </row>
    <row r="9622" spans="1:4" x14ac:dyDescent="0.2">
      <c r="A9622" s="496"/>
      <c r="D9622" s="496"/>
    </row>
    <row r="9623" spans="1:4" x14ac:dyDescent="0.2">
      <c r="A9623" s="496"/>
      <c r="D9623" s="496"/>
    </row>
    <row r="9624" spans="1:4" x14ac:dyDescent="0.2">
      <c r="A9624" s="496"/>
      <c r="D9624" s="496"/>
    </row>
    <row r="9625" spans="1:4" x14ac:dyDescent="0.2">
      <c r="A9625" s="496"/>
      <c r="D9625" s="496"/>
    </row>
    <row r="9626" spans="1:4" x14ac:dyDescent="0.2">
      <c r="A9626" s="496"/>
      <c r="D9626" s="496"/>
    </row>
    <row r="9627" spans="1:4" x14ac:dyDescent="0.2">
      <c r="A9627" s="496"/>
      <c r="D9627" s="496"/>
    </row>
    <row r="9628" spans="1:4" x14ac:dyDescent="0.2">
      <c r="A9628" s="496"/>
      <c r="D9628" s="496"/>
    </row>
    <row r="9629" spans="1:4" x14ac:dyDescent="0.2">
      <c r="A9629" s="496"/>
      <c r="D9629" s="496"/>
    </row>
    <row r="9630" spans="1:4" x14ac:dyDescent="0.2">
      <c r="A9630" s="496"/>
      <c r="D9630" s="496"/>
    </row>
    <row r="9631" spans="1:4" x14ac:dyDescent="0.2">
      <c r="A9631" s="496"/>
      <c r="D9631" s="496"/>
    </row>
    <row r="9632" spans="1:4" x14ac:dyDescent="0.2">
      <c r="A9632" s="496"/>
      <c r="D9632" s="496"/>
    </row>
    <row r="9633" spans="1:4" x14ac:dyDescent="0.2">
      <c r="A9633" s="496"/>
      <c r="D9633" s="496"/>
    </row>
    <row r="9634" spans="1:4" x14ac:dyDescent="0.2">
      <c r="A9634" s="496"/>
      <c r="D9634" s="496"/>
    </row>
    <row r="9635" spans="1:4" x14ac:dyDescent="0.2">
      <c r="A9635" s="496"/>
      <c r="D9635" s="496"/>
    </row>
    <row r="9636" spans="1:4" x14ac:dyDescent="0.2">
      <c r="A9636" s="496"/>
      <c r="D9636" s="496"/>
    </row>
    <row r="9637" spans="1:4" x14ac:dyDescent="0.2">
      <c r="A9637" s="496"/>
      <c r="D9637" s="496"/>
    </row>
    <row r="9638" spans="1:4" x14ac:dyDescent="0.2">
      <c r="A9638" s="496"/>
      <c r="D9638" s="496"/>
    </row>
    <row r="9639" spans="1:4" x14ac:dyDescent="0.2">
      <c r="A9639" s="496"/>
      <c r="D9639" s="496"/>
    </row>
    <row r="9640" spans="1:4" x14ac:dyDescent="0.2">
      <c r="A9640" s="496"/>
      <c r="D9640" s="496"/>
    </row>
    <row r="9641" spans="1:4" x14ac:dyDescent="0.2">
      <c r="A9641" s="496"/>
      <c r="D9641" s="496"/>
    </row>
    <row r="9642" spans="1:4" x14ac:dyDescent="0.2">
      <c r="A9642" s="496"/>
      <c r="D9642" s="496"/>
    </row>
    <row r="9643" spans="1:4" x14ac:dyDescent="0.2">
      <c r="A9643" s="496"/>
      <c r="D9643" s="496"/>
    </row>
    <row r="9644" spans="1:4" x14ac:dyDescent="0.2">
      <c r="A9644" s="496"/>
      <c r="D9644" s="496"/>
    </row>
    <row r="9645" spans="1:4" x14ac:dyDescent="0.2">
      <c r="A9645" s="496"/>
      <c r="D9645" s="496"/>
    </row>
    <row r="9646" spans="1:4" x14ac:dyDescent="0.2">
      <c r="A9646" s="496"/>
      <c r="D9646" s="496"/>
    </row>
    <row r="9647" spans="1:4" x14ac:dyDescent="0.2">
      <c r="A9647" s="496"/>
      <c r="D9647" s="496"/>
    </row>
    <row r="9648" spans="1:4" x14ac:dyDescent="0.2">
      <c r="A9648" s="496"/>
      <c r="D9648" s="496"/>
    </row>
    <row r="9649" spans="1:4" x14ac:dyDescent="0.2">
      <c r="A9649" s="496"/>
      <c r="D9649" s="496"/>
    </row>
    <row r="9650" spans="1:4" x14ac:dyDescent="0.2">
      <c r="A9650" s="496"/>
      <c r="D9650" s="496"/>
    </row>
    <row r="9651" spans="1:4" x14ac:dyDescent="0.2">
      <c r="A9651" s="496"/>
      <c r="D9651" s="496"/>
    </row>
    <row r="9652" spans="1:4" x14ac:dyDescent="0.2">
      <c r="A9652" s="496"/>
      <c r="D9652" s="496"/>
    </row>
    <row r="9653" spans="1:4" x14ac:dyDescent="0.2">
      <c r="A9653" s="496"/>
      <c r="D9653" s="496"/>
    </row>
    <row r="9654" spans="1:4" x14ac:dyDescent="0.2">
      <c r="A9654" s="496"/>
      <c r="D9654" s="496"/>
    </row>
    <row r="9655" spans="1:4" x14ac:dyDescent="0.2">
      <c r="A9655" s="496"/>
      <c r="D9655" s="496"/>
    </row>
    <row r="9656" spans="1:4" x14ac:dyDescent="0.2">
      <c r="A9656" s="496"/>
      <c r="D9656" s="496"/>
    </row>
    <row r="9657" spans="1:4" x14ac:dyDescent="0.2">
      <c r="A9657" s="496"/>
      <c r="D9657" s="496"/>
    </row>
    <row r="9658" spans="1:4" x14ac:dyDescent="0.2">
      <c r="A9658" s="496"/>
      <c r="D9658" s="496"/>
    </row>
    <row r="9659" spans="1:4" x14ac:dyDescent="0.2">
      <c r="A9659" s="496"/>
      <c r="D9659" s="496"/>
    </row>
    <row r="9660" spans="1:4" x14ac:dyDescent="0.2">
      <c r="A9660" s="496"/>
      <c r="D9660" s="496"/>
    </row>
    <row r="9661" spans="1:4" x14ac:dyDescent="0.2">
      <c r="A9661" s="496"/>
      <c r="D9661" s="496"/>
    </row>
    <row r="9662" spans="1:4" x14ac:dyDescent="0.2">
      <c r="A9662" s="496"/>
      <c r="D9662" s="496"/>
    </row>
    <row r="9663" spans="1:4" x14ac:dyDescent="0.2">
      <c r="A9663" s="496"/>
      <c r="D9663" s="496"/>
    </row>
    <row r="9664" spans="1:4" x14ac:dyDescent="0.2">
      <c r="A9664" s="496"/>
      <c r="D9664" s="496"/>
    </row>
    <row r="9665" spans="1:4" x14ac:dyDescent="0.2">
      <c r="A9665" s="496"/>
      <c r="D9665" s="496"/>
    </row>
    <row r="9666" spans="1:4" x14ac:dyDescent="0.2">
      <c r="A9666" s="496"/>
      <c r="D9666" s="496"/>
    </row>
    <row r="9667" spans="1:4" x14ac:dyDescent="0.2">
      <c r="A9667" s="496"/>
      <c r="D9667" s="496"/>
    </row>
    <row r="9668" spans="1:4" x14ac:dyDescent="0.2">
      <c r="A9668" s="496"/>
      <c r="D9668" s="496"/>
    </row>
    <row r="9669" spans="1:4" x14ac:dyDescent="0.2">
      <c r="A9669" s="496"/>
      <c r="D9669" s="496"/>
    </row>
    <row r="9670" spans="1:4" x14ac:dyDescent="0.2">
      <c r="A9670" s="496"/>
      <c r="D9670" s="496"/>
    </row>
    <row r="9671" spans="1:4" x14ac:dyDescent="0.2">
      <c r="A9671" s="496"/>
      <c r="D9671" s="496"/>
    </row>
    <row r="9672" spans="1:4" x14ac:dyDescent="0.2">
      <c r="A9672" s="496"/>
      <c r="D9672" s="496"/>
    </row>
    <row r="9673" spans="1:4" x14ac:dyDescent="0.2">
      <c r="A9673" s="496"/>
      <c r="D9673" s="496"/>
    </row>
    <row r="9674" spans="1:4" x14ac:dyDescent="0.2">
      <c r="A9674" s="496"/>
      <c r="D9674" s="496"/>
    </row>
    <row r="9675" spans="1:4" x14ac:dyDescent="0.2">
      <c r="A9675" s="496"/>
      <c r="D9675" s="496"/>
    </row>
    <row r="9676" spans="1:4" x14ac:dyDescent="0.2">
      <c r="A9676" s="496"/>
      <c r="D9676" s="496"/>
    </row>
    <row r="9677" spans="1:4" x14ac:dyDescent="0.2">
      <c r="A9677" s="496"/>
      <c r="D9677" s="496"/>
    </row>
    <row r="9678" spans="1:4" x14ac:dyDescent="0.2">
      <c r="A9678" s="496"/>
      <c r="D9678" s="496"/>
    </row>
    <row r="9679" spans="1:4" x14ac:dyDescent="0.2">
      <c r="A9679" s="496"/>
      <c r="D9679" s="496"/>
    </row>
    <row r="9680" spans="1:4" x14ac:dyDescent="0.2">
      <c r="A9680" s="496"/>
      <c r="D9680" s="496"/>
    </row>
    <row r="9681" spans="1:4" x14ac:dyDescent="0.2">
      <c r="A9681" s="496"/>
      <c r="D9681" s="496"/>
    </row>
    <row r="9682" spans="1:4" x14ac:dyDescent="0.2">
      <c r="A9682" s="496"/>
      <c r="D9682" s="496"/>
    </row>
    <row r="9683" spans="1:4" x14ac:dyDescent="0.2">
      <c r="A9683" s="496"/>
      <c r="D9683" s="496"/>
    </row>
    <row r="9684" spans="1:4" x14ac:dyDescent="0.2">
      <c r="A9684" s="496"/>
      <c r="D9684" s="496"/>
    </row>
    <row r="9685" spans="1:4" x14ac:dyDescent="0.2">
      <c r="A9685" s="496"/>
      <c r="D9685" s="496"/>
    </row>
    <row r="9686" spans="1:4" x14ac:dyDescent="0.2">
      <c r="A9686" s="496"/>
      <c r="D9686" s="496"/>
    </row>
    <row r="9687" spans="1:4" x14ac:dyDescent="0.2">
      <c r="A9687" s="496"/>
      <c r="D9687" s="496"/>
    </row>
    <row r="9688" spans="1:4" x14ac:dyDescent="0.2">
      <c r="A9688" s="496"/>
      <c r="D9688" s="496"/>
    </row>
    <row r="9689" spans="1:4" x14ac:dyDescent="0.2">
      <c r="A9689" s="496"/>
      <c r="D9689" s="496"/>
    </row>
    <row r="9690" spans="1:4" x14ac:dyDescent="0.2">
      <c r="A9690" s="496"/>
      <c r="D9690" s="496"/>
    </row>
    <row r="9691" spans="1:4" x14ac:dyDescent="0.2">
      <c r="A9691" s="496"/>
      <c r="D9691" s="496"/>
    </row>
    <row r="9692" spans="1:4" x14ac:dyDescent="0.2">
      <c r="A9692" s="496"/>
      <c r="D9692" s="496"/>
    </row>
    <row r="9693" spans="1:4" x14ac:dyDescent="0.2">
      <c r="A9693" s="496"/>
      <c r="D9693" s="496"/>
    </row>
    <row r="9694" spans="1:4" x14ac:dyDescent="0.2">
      <c r="A9694" s="496"/>
      <c r="D9694" s="496"/>
    </row>
    <row r="9695" spans="1:4" x14ac:dyDescent="0.2">
      <c r="A9695" s="496"/>
      <c r="D9695" s="496"/>
    </row>
    <row r="9696" spans="1:4" x14ac:dyDescent="0.2">
      <c r="A9696" s="496"/>
      <c r="D9696" s="496"/>
    </row>
    <row r="9697" spans="1:4" x14ac:dyDescent="0.2">
      <c r="A9697" s="496"/>
      <c r="D9697" s="496"/>
    </row>
    <row r="9698" spans="1:4" x14ac:dyDescent="0.2">
      <c r="A9698" s="496"/>
      <c r="D9698" s="496"/>
    </row>
    <row r="9699" spans="1:4" x14ac:dyDescent="0.2">
      <c r="A9699" s="496"/>
      <c r="D9699" s="496"/>
    </row>
    <row r="9700" spans="1:4" x14ac:dyDescent="0.2">
      <c r="A9700" s="496"/>
      <c r="D9700" s="496"/>
    </row>
    <row r="9701" spans="1:4" x14ac:dyDescent="0.2">
      <c r="A9701" s="496"/>
      <c r="D9701" s="496"/>
    </row>
    <row r="9702" spans="1:4" x14ac:dyDescent="0.2">
      <c r="A9702" s="496"/>
      <c r="D9702" s="496"/>
    </row>
    <row r="9703" spans="1:4" x14ac:dyDescent="0.2">
      <c r="A9703" s="496"/>
      <c r="D9703" s="496"/>
    </row>
    <row r="9704" spans="1:4" x14ac:dyDescent="0.2">
      <c r="A9704" s="496"/>
      <c r="D9704" s="496"/>
    </row>
    <row r="9705" spans="1:4" x14ac:dyDescent="0.2">
      <c r="A9705" s="496"/>
      <c r="D9705" s="496"/>
    </row>
    <row r="9706" spans="1:4" x14ac:dyDescent="0.2">
      <c r="A9706" s="496"/>
      <c r="D9706" s="496"/>
    </row>
    <row r="9707" spans="1:4" x14ac:dyDescent="0.2">
      <c r="A9707" s="496"/>
      <c r="D9707" s="496"/>
    </row>
    <row r="9708" spans="1:4" x14ac:dyDescent="0.2">
      <c r="A9708" s="496"/>
      <c r="D9708" s="496"/>
    </row>
    <row r="9709" spans="1:4" x14ac:dyDescent="0.2">
      <c r="A9709" s="496"/>
      <c r="D9709" s="496"/>
    </row>
    <row r="9710" spans="1:4" x14ac:dyDescent="0.2">
      <c r="A9710" s="496"/>
      <c r="D9710" s="496"/>
    </row>
    <row r="9711" spans="1:4" x14ac:dyDescent="0.2">
      <c r="A9711" s="496"/>
      <c r="D9711" s="496"/>
    </row>
    <row r="9712" spans="1:4" x14ac:dyDescent="0.2">
      <c r="A9712" s="496"/>
      <c r="D9712" s="496"/>
    </row>
    <row r="9713" spans="1:4" x14ac:dyDescent="0.2">
      <c r="A9713" s="496"/>
      <c r="D9713" s="496"/>
    </row>
    <row r="9714" spans="1:4" x14ac:dyDescent="0.2">
      <c r="A9714" s="496"/>
      <c r="D9714" s="496"/>
    </row>
    <row r="9715" spans="1:4" x14ac:dyDescent="0.2">
      <c r="A9715" s="496"/>
      <c r="D9715" s="496"/>
    </row>
    <row r="9716" spans="1:4" x14ac:dyDescent="0.2">
      <c r="A9716" s="496"/>
      <c r="D9716" s="496"/>
    </row>
    <row r="9717" spans="1:4" x14ac:dyDescent="0.2">
      <c r="A9717" s="496"/>
      <c r="D9717" s="496"/>
    </row>
    <row r="9718" spans="1:4" x14ac:dyDescent="0.2">
      <c r="A9718" s="496"/>
      <c r="D9718" s="496"/>
    </row>
    <row r="9719" spans="1:4" x14ac:dyDescent="0.2">
      <c r="A9719" s="496"/>
      <c r="D9719" s="496"/>
    </row>
    <row r="9720" spans="1:4" x14ac:dyDescent="0.2">
      <c r="A9720" s="496"/>
      <c r="D9720" s="496"/>
    </row>
    <row r="9721" spans="1:4" x14ac:dyDescent="0.2">
      <c r="A9721" s="496"/>
      <c r="D9721" s="496"/>
    </row>
    <row r="9722" spans="1:4" x14ac:dyDescent="0.2">
      <c r="A9722" s="496"/>
      <c r="D9722" s="496"/>
    </row>
    <row r="9723" spans="1:4" x14ac:dyDescent="0.2">
      <c r="A9723" s="496"/>
      <c r="D9723" s="496"/>
    </row>
    <row r="9724" spans="1:4" x14ac:dyDescent="0.2">
      <c r="A9724" s="496"/>
      <c r="D9724" s="496"/>
    </row>
    <row r="9725" spans="1:4" x14ac:dyDescent="0.2">
      <c r="A9725" s="496"/>
      <c r="D9725" s="496"/>
    </row>
    <row r="9726" spans="1:4" x14ac:dyDescent="0.2">
      <c r="A9726" s="496"/>
      <c r="D9726" s="496"/>
    </row>
    <row r="9727" spans="1:4" x14ac:dyDescent="0.2">
      <c r="A9727" s="496"/>
      <c r="D9727" s="496"/>
    </row>
    <row r="9728" spans="1:4" x14ac:dyDescent="0.2">
      <c r="A9728" s="496"/>
      <c r="D9728" s="496"/>
    </row>
    <row r="9729" spans="1:4" x14ac:dyDescent="0.2">
      <c r="A9729" s="496"/>
      <c r="D9729" s="496"/>
    </row>
    <row r="9730" spans="1:4" x14ac:dyDescent="0.2">
      <c r="A9730" s="496"/>
      <c r="D9730" s="496"/>
    </row>
    <row r="9731" spans="1:4" x14ac:dyDescent="0.2">
      <c r="A9731" s="496"/>
      <c r="D9731" s="496"/>
    </row>
    <row r="9732" spans="1:4" x14ac:dyDescent="0.2">
      <c r="A9732" s="496"/>
      <c r="D9732" s="496"/>
    </row>
    <row r="9733" spans="1:4" x14ac:dyDescent="0.2">
      <c r="A9733" s="496"/>
      <c r="D9733" s="496"/>
    </row>
    <row r="9734" spans="1:4" x14ac:dyDescent="0.2">
      <c r="A9734" s="496"/>
      <c r="D9734" s="496"/>
    </row>
    <row r="9735" spans="1:4" x14ac:dyDescent="0.2">
      <c r="A9735" s="496"/>
      <c r="D9735" s="496"/>
    </row>
    <row r="9736" spans="1:4" x14ac:dyDescent="0.2">
      <c r="A9736" s="496"/>
      <c r="D9736" s="496"/>
    </row>
    <row r="9737" spans="1:4" x14ac:dyDescent="0.2">
      <c r="A9737" s="496"/>
      <c r="D9737" s="496"/>
    </row>
    <row r="9738" spans="1:4" x14ac:dyDescent="0.2">
      <c r="A9738" s="496"/>
      <c r="D9738" s="496"/>
    </row>
    <row r="9739" spans="1:4" x14ac:dyDescent="0.2">
      <c r="A9739" s="496"/>
      <c r="D9739" s="496"/>
    </row>
    <row r="9740" spans="1:4" x14ac:dyDescent="0.2">
      <c r="A9740" s="496"/>
      <c r="D9740" s="496"/>
    </row>
    <row r="9741" spans="1:4" x14ac:dyDescent="0.2">
      <c r="A9741" s="496"/>
      <c r="D9741" s="496"/>
    </row>
    <row r="9742" spans="1:4" x14ac:dyDescent="0.2">
      <c r="A9742" s="496"/>
      <c r="D9742" s="496"/>
    </row>
    <row r="9743" spans="1:4" x14ac:dyDescent="0.2">
      <c r="A9743" s="496"/>
      <c r="D9743" s="496"/>
    </row>
    <row r="9744" spans="1:4" x14ac:dyDescent="0.2">
      <c r="A9744" s="496"/>
      <c r="D9744" s="496"/>
    </row>
    <row r="9745" spans="1:4" x14ac:dyDescent="0.2">
      <c r="A9745" s="496"/>
      <c r="D9745" s="496"/>
    </row>
    <row r="9746" spans="1:4" x14ac:dyDescent="0.2">
      <c r="A9746" s="496"/>
      <c r="D9746" s="496"/>
    </row>
    <row r="9747" spans="1:4" x14ac:dyDescent="0.2">
      <c r="A9747" s="496"/>
      <c r="D9747" s="496"/>
    </row>
    <row r="9748" spans="1:4" x14ac:dyDescent="0.2">
      <c r="A9748" s="496"/>
      <c r="D9748" s="496"/>
    </row>
    <row r="9749" spans="1:4" x14ac:dyDescent="0.2">
      <c r="A9749" s="496"/>
      <c r="D9749" s="496"/>
    </row>
    <row r="9750" spans="1:4" x14ac:dyDescent="0.2">
      <c r="A9750" s="496"/>
      <c r="D9750" s="496"/>
    </row>
    <row r="9751" spans="1:4" x14ac:dyDescent="0.2">
      <c r="A9751" s="496"/>
      <c r="D9751" s="496"/>
    </row>
    <row r="9752" spans="1:4" x14ac:dyDescent="0.2">
      <c r="A9752" s="496"/>
      <c r="D9752" s="496"/>
    </row>
    <row r="9753" spans="1:4" x14ac:dyDescent="0.2">
      <c r="A9753" s="496"/>
      <c r="D9753" s="496"/>
    </row>
    <row r="9754" spans="1:4" x14ac:dyDescent="0.2">
      <c r="A9754" s="496"/>
      <c r="D9754" s="496"/>
    </row>
    <row r="9755" spans="1:4" x14ac:dyDescent="0.2">
      <c r="A9755" s="496"/>
      <c r="D9755" s="496"/>
    </row>
    <row r="9756" spans="1:4" x14ac:dyDescent="0.2">
      <c r="A9756" s="496"/>
      <c r="D9756" s="496"/>
    </row>
    <row r="9757" spans="1:4" x14ac:dyDescent="0.2">
      <c r="A9757" s="496"/>
      <c r="D9757" s="496"/>
    </row>
    <row r="9758" spans="1:4" x14ac:dyDescent="0.2">
      <c r="A9758" s="496"/>
      <c r="D9758" s="496"/>
    </row>
    <row r="9759" spans="1:4" x14ac:dyDescent="0.2">
      <c r="A9759" s="496"/>
      <c r="D9759" s="496"/>
    </row>
    <row r="9760" spans="1:4" x14ac:dyDescent="0.2">
      <c r="A9760" s="496"/>
      <c r="D9760" s="496"/>
    </row>
    <row r="9761" spans="1:4" x14ac:dyDescent="0.2">
      <c r="A9761" s="496"/>
      <c r="D9761" s="496"/>
    </row>
    <row r="9762" spans="1:4" x14ac:dyDescent="0.2">
      <c r="A9762" s="496"/>
      <c r="D9762" s="496"/>
    </row>
    <row r="9763" spans="1:4" x14ac:dyDescent="0.2">
      <c r="A9763" s="496"/>
      <c r="D9763" s="496"/>
    </row>
    <row r="9764" spans="1:4" x14ac:dyDescent="0.2">
      <c r="A9764" s="496"/>
      <c r="D9764" s="496"/>
    </row>
    <row r="9765" spans="1:4" x14ac:dyDescent="0.2">
      <c r="A9765" s="496"/>
      <c r="D9765" s="496"/>
    </row>
    <row r="9766" spans="1:4" x14ac:dyDescent="0.2">
      <c r="A9766" s="496"/>
      <c r="D9766" s="496"/>
    </row>
    <row r="9767" spans="1:4" x14ac:dyDescent="0.2">
      <c r="A9767" s="496"/>
      <c r="D9767" s="496"/>
    </row>
    <row r="9768" spans="1:4" x14ac:dyDescent="0.2">
      <c r="A9768" s="496"/>
      <c r="D9768" s="496"/>
    </row>
    <row r="9769" spans="1:4" x14ac:dyDescent="0.2">
      <c r="A9769" s="496"/>
      <c r="D9769" s="496"/>
    </row>
    <row r="9770" spans="1:4" x14ac:dyDescent="0.2">
      <c r="A9770" s="496"/>
      <c r="D9770" s="496"/>
    </row>
    <row r="9771" spans="1:4" x14ac:dyDescent="0.2">
      <c r="A9771" s="496"/>
      <c r="D9771" s="496"/>
    </row>
    <row r="9772" spans="1:4" x14ac:dyDescent="0.2">
      <c r="A9772" s="496"/>
      <c r="D9772" s="496"/>
    </row>
    <row r="9773" spans="1:4" x14ac:dyDescent="0.2">
      <c r="A9773" s="496"/>
      <c r="D9773" s="496"/>
    </row>
    <row r="9774" spans="1:4" x14ac:dyDescent="0.2">
      <c r="A9774" s="496"/>
      <c r="D9774" s="496"/>
    </row>
    <row r="9775" spans="1:4" x14ac:dyDescent="0.2">
      <c r="A9775" s="496"/>
      <c r="D9775" s="496"/>
    </row>
    <row r="9776" spans="1:4" x14ac:dyDescent="0.2">
      <c r="A9776" s="496"/>
      <c r="D9776" s="496"/>
    </row>
    <row r="9777" spans="1:4" x14ac:dyDescent="0.2">
      <c r="A9777" s="496"/>
      <c r="D9777" s="496"/>
    </row>
    <row r="9778" spans="1:4" x14ac:dyDescent="0.2">
      <c r="A9778" s="496"/>
      <c r="D9778" s="496"/>
    </row>
    <row r="9779" spans="1:4" x14ac:dyDescent="0.2">
      <c r="A9779" s="496"/>
      <c r="D9779" s="496"/>
    </row>
    <row r="9780" spans="1:4" x14ac:dyDescent="0.2">
      <c r="A9780" s="496"/>
      <c r="D9780" s="496"/>
    </row>
    <row r="9781" spans="1:4" x14ac:dyDescent="0.2">
      <c r="A9781" s="496"/>
      <c r="D9781" s="496"/>
    </row>
    <row r="9782" spans="1:4" x14ac:dyDescent="0.2">
      <c r="A9782" s="496"/>
      <c r="D9782" s="496"/>
    </row>
    <row r="9783" spans="1:4" x14ac:dyDescent="0.2">
      <c r="A9783" s="496"/>
      <c r="D9783" s="496"/>
    </row>
    <row r="9784" spans="1:4" x14ac:dyDescent="0.2">
      <c r="A9784" s="496"/>
      <c r="D9784" s="496"/>
    </row>
    <row r="9785" spans="1:4" x14ac:dyDescent="0.2">
      <c r="A9785" s="496"/>
      <c r="D9785" s="496"/>
    </row>
    <row r="9786" spans="1:4" x14ac:dyDescent="0.2">
      <c r="A9786" s="496"/>
      <c r="D9786" s="496"/>
    </row>
    <row r="9787" spans="1:4" x14ac:dyDescent="0.2">
      <c r="A9787" s="496"/>
      <c r="D9787" s="496"/>
    </row>
    <row r="9788" spans="1:4" x14ac:dyDescent="0.2">
      <c r="A9788" s="496"/>
      <c r="D9788" s="496"/>
    </row>
    <row r="9789" spans="1:4" x14ac:dyDescent="0.2">
      <c r="A9789" s="496"/>
      <c r="D9789" s="496"/>
    </row>
    <row r="9790" spans="1:4" x14ac:dyDescent="0.2">
      <c r="A9790" s="496"/>
      <c r="D9790" s="496"/>
    </row>
    <row r="9791" spans="1:4" x14ac:dyDescent="0.2">
      <c r="A9791" s="496"/>
      <c r="D9791" s="496"/>
    </row>
    <row r="9792" spans="1:4" x14ac:dyDescent="0.2">
      <c r="A9792" s="496"/>
      <c r="D9792" s="496"/>
    </row>
    <row r="9793" spans="1:4" x14ac:dyDescent="0.2">
      <c r="A9793" s="496"/>
      <c r="D9793" s="496"/>
    </row>
    <row r="9794" spans="1:4" x14ac:dyDescent="0.2">
      <c r="A9794" s="496"/>
      <c r="D9794" s="496"/>
    </row>
    <row r="9795" spans="1:4" x14ac:dyDescent="0.2">
      <c r="A9795" s="496"/>
      <c r="D9795" s="496"/>
    </row>
    <row r="9796" spans="1:4" x14ac:dyDescent="0.2">
      <c r="A9796" s="496"/>
      <c r="D9796" s="496"/>
    </row>
    <row r="9797" spans="1:4" x14ac:dyDescent="0.2">
      <c r="A9797" s="496"/>
      <c r="D9797" s="496"/>
    </row>
    <row r="9798" spans="1:4" x14ac:dyDescent="0.2">
      <c r="A9798" s="496"/>
      <c r="D9798" s="496"/>
    </row>
    <row r="9799" spans="1:4" x14ac:dyDescent="0.2">
      <c r="A9799" s="496"/>
      <c r="D9799" s="496"/>
    </row>
    <row r="9800" spans="1:4" x14ac:dyDescent="0.2">
      <c r="A9800" s="496"/>
      <c r="D9800" s="496"/>
    </row>
    <row r="9801" spans="1:4" x14ac:dyDescent="0.2">
      <c r="A9801" s="496"/>
      <c r="D9801" s="496"/>
    </row>
    <row r="9802" spans="1:4" x14ac:dyDescent="0.2">
      <c r="A9802" s="496"/>
      <c r="D9802" s="496"/>
    </row>
    <row r="9803" spans="1:4" x14ac:dyDescent="0.2">
      <c r="A9803" s="496"/>
      <c r="D9803" s="496"/>
    </row>
    <row r="9804" spans="1:4" x14ac:dyDescent="0.2">
      <c r="A9804" s="496"/>
      <c r="D9804" s="496"/>
    </row>
    <row r="9805" spans="1:4" x14ac:dyDescent="0.2">
      <c r="A9805" s="496"/>
      <c r="D9805" s="496"/>
    </row>
    <row r="9806" spans="1:4" x14ac:dyDescent="0.2">
      <c r="A9806" s="496"/>
      <c r="D9806" s="496"/>
    </row>
    <row r="9807" spans="1:4" x14ac:dyDescent="0.2">
      <c r="A9807" s="496"/>
      <c r="D9807" s="496"/>
    </row>
    <row r="9808" spans="1:4" x14ac:dyDescent="0.2">
      <c r="A9808" s="496"/>
      <c r="D9808" s="496"/>
    </row>
    <row r="9809" spans="1:4" x14ac:dyDescent="0.2">
      <c r="A9809" s="496"/>
      <c r="D9809" s="496"/>
    </row>
    <row r="9810" spans="1:4" x14ac:dyDescent="0.2">
      <c r="A9810" s="496"/>
      <c r="D9810" s="496"/>
    </row>
    <row r="9811" spans="1:4" x14ac:dyDescent="0.2">
      <c r="A9811" s="496"/>
      <c r="D9811" s="496"/>
    </row>
    <row r="9812" spans="1:4" x14ac:dyDescent="0.2">
      <c r="A9812" s="496"/>
      <c r="D9812" s="496"/>
    </row>
    <row r="9813" spans="1:4" x14ac:dyDescent="0.2">
      <c r="A9813" s="496"/>
      <c r="D9813" s="496"/>
    </row>
    <row r="9814" spans="1:4" x14ac:dyDescent="0.2">
      <c r="A9814" s="496"/>
      <c r="D9814" s="496"/>
    </row>
    <row r="9815" spans="1:4" x14ac:dyDescent="0.2">
      <c r="A9815" s="496"/>
      <c r="D9815" s="496"/>
    </row>
    <row r="9816" spans="1:4" x14ac:dyDescent="0.2">
      <c r="A9816" s="496"/>
      <c r="D9816" s="496"/>
    </row>
    <row r="9817" spans="1:4" x14ac:dyDescent="0.2">
      <c r="A9817" s="496"/>
      <c r="D9817" s="496"/>
    </row>
    <row r="9818" spans="1:4" x14ac:dyDescent="0.2">
      <c r="A9818" s="496"/>
      <c r="D9818" s="496"/>
    </row>
    <row r="9819" spans="1:4" x14ac:dyDescent="0.2">
      <c r="A9819" s="496"/>
      <c r="D9819" s="496"/>
    </row>
    <row r="9820" spans="1:4" x14ac:dyDescent="0.2">
      <c r="A9820" s="496"/>
      <c r="D9820" s="496"/>
    </row>
    <row r="9821" spans="1:4" x14ac:dyDescent="0.2">
      <c r="A9821" s="496"/>
      <c r="D9821" s="496"/>
    </row>
    <row r="9822" spans="1:4" x14ac:dyDescent="0.2">
      <c r="A9822" s="496"/>
      <c r="D9822" s="496"/>
    </row>
    <row r="9823" spans="1:4" x14ac:dyDescent="0.2">
      <c r="A9823" s="496"/>
      <c r="D9823" s="496"/>
    </row>
    <row r="9824" spans="1:4" x14ac:dyDescent="0.2">
      <c r="A9824" s="496"/>
      <c r="D9824" s="496"/>
    </row>
    <row r="9825" spans="1:4" x14ac:dyDescent="0.2">
      <c r="A9825" s="496"/>
      <c r="D9825" s="496"/>
    </row>
    <row r="9826" spans="1:4" x14ac:dyDescent="0.2">
      <c r="A9826" s="496"/>
      <c r="D9826" s="496"/>
    </row>
    <row r="9827" spans="1:4" x14ac:dyDescent="0.2">
      <c r="A9827" s="496"/>
      <c r="D9827" s="496"/>
    </row>
    <row r="9828" spans="1:4" x14ac:dyDescent="0.2">
      <c r="A9828" s="496"/>
      <c r="D9828" s="496"/>
    </row>
    <row r="9829" spans="1:4" x14ac:dyDescent="0.2">
      <c r="A9829" s="496"/>
      <c r="D9829" s="496"/>
    </row>
    <row r="9830" spans="1:4" x14ac:dyDescent="0.2">
      <c r="A9830" s="496"/>
      <c r="D9830" s="496"/>
    </row>
    <row r="9831" spans="1:4" x14ac:dyDescent="0.2">
      <c r="A9831" s="496"/>
      <c r="D9831" s="496"/>
    </row>
    <row r="9832" spans="1:4" x14ac:dyDescent="0.2">
      <c r="A9832" s="496"/>
      <c r="D9832" s="496"/>
    </row>
    <row r="9833" spans="1:4" x14ac:dyDescent="0.2">
      <c r="A9833" s="496"/>
      <c r="D9833" s="496"/>
    </row>
    <row r="9834" spans="1:4" x14ac:dyDescent="0.2">
      <c r="A9834" s="496"/>
      <c r="D9834" s="496"/>
    </row>
    <row r="9835" spans="1:4" x14ac:dyDescent="0.2">
      <c r="A9835" s="496"/>
      <c r="D9835" s="496"/>
    </row>
    <row r="9836" spans="1:4" x14ac:dyDescent="0.2">
      <c r="A9836" s="496"/>
      <c r="D9836" s="496"/>
    </row>
    <row r="9837" spans="1:4" x14ac:dyDescent="0.2">
      <c r="A9837" s="496"/>
      <c r="D9837" s="496"/>
    </row>
    <row r="9838" spans="1:4" x14ac:dyDescent="0.2">
      <c r="A9838" s="496"/>
      <c r="D9838" s="496"/>
    </row>
    <row r="9839" spans="1:4" x14ac:dyDescent="0.2">
      <c r="A9839" s="496"/>
      <c r="D9839" s="496"/>
    </row>
    <row r="9840" spans="1:4" x14ac:dyDescent="0.2">
      <c r="A9840" s="496"/>
      <c r="D9840" s="496"/>
    </row>
    <row r="9841" spans="1:4" x14ac:dyDescent="0.2">
      <c r="A9841" s="496"/>
      <c r="D9841" s="496"/>
    </row>
    <row r="9842" spans="1:4" x14ac:dyDescent="0.2">
      <c r="A9842" s="496"/>
      <c r="D9842" s="496"/>
    </row>
    <row r="9843" spans="1:4" x14ac:dyDescent="0.2">
      <c r="A9843" s="496"/>
      <c r="D9843" s="496"/>
    </row>
    <row r="9844" spans="1:4" x14ac:dyDescent="0.2">
      <c r="A9844" s="496"/>
      <c r="D9844" s="496"/>
    </row>
    <row r="9845" spans="1:4" x14ac:dyDescent="0.2">
      <c r="A9845" s="496"/>
      <c r="D9845" s="496"/>
    </row>
    <row r="9846" spans="1:4" x14ac:dyDescent="0.2">
      <c r="A9846" s="496"/>
      <c r="D9846" s="496"/>
    </row>
    <row r="9847" spans="1:4" x14ac:dyDescent="0.2">
      <c r="A9847" s="496"/>
      <c r="D9847" s="496"/>
    </row>
    <row r="9848" spans="1:4" x14ac:dyDescent="0.2">
      <c r="A9848" s="496"/>
      <c r="D9848" s="496"/>
    </row>
    <row r="9849" spans="1:4" x14ac:dyDescent="0.2">
      <c r="A9849" s="496"/>
      <c r="D9849" s="496"/>
    </row>
    <row r="9850" spans="1:4" x14ac:dyDescent="0.2">
      <c r="A9850" s="496"/>
      <c r="D9850" s="496"/>
    </row>
    <row r="9851" spans="1:4" x14ac:dyDescent="0.2">
      <c r="A9851" s="496"/>
      <c r="D9851" s="496"/>
    </row>
    <row r="9852" spans="1:4" x14ac:dyDescent="0.2">
      <c r="A9852" s="496"/>
      <c r="D9852" s="496"/>
    </row>
    <row r="9853" spans="1:4" x14ac:dyDescent="0.2">
      <c r="A9853" s="496"/>
      <c r="D9853" s="496"/>
    </row>
    <row r="9854" spans="1:4" x14ac:dyDescent="0.2">
      <c r="A9854" s="496"/>
      <c r="D9854" s="496"/>
    </row>
    <row r="9855" spans="1:4" x14ac:dyDescent="0.2">
      <c r="A9855" s="496"/>
      <c r="D9855" s="496"/>
    </row>
    <row r="9856" spans="1:4" x14ac:dyDescent="0.2">
      <c r="A9856" s="496"/>
      <c r="D9856" s="496"/>
    </row>
    <row r="9857" spans="1:4" x14ac:dyDescent="0.2">
      <c r="A9857" s="496"/>
      <c r="D9857" s="496"/>
    </row>
    <row r="9858" spans="1:4" x14ac:dyDescent="0.2">
      <c r="A9858" s="496"/>
      <c r="D9858" s="496"/>
    </row>
    <row r="9859" spans="1:4" x14ac:dyDescent="0.2">
      <c r="A9859" s="496"/>
      <c r="D9859" s="496"/>
    </row>
    <row r="9860" spans="1:4" x14ac:dyDescent="0.2">
      <c r="A9860" s="496"/>
      <c r="D9860" s="496"/>
    </row>
    <row r="9861" spans="1:4" x14ac:dyDescent="0.2">
      <c r="A9861" s="496"/>
      <c r="D9861" s="496"/>
    </row>
    <row r="9862" spans="1:4" x14ac:dyDescent="0.2">
      <c r="A9862" s="496"/>
      <c r="D9862" s="496"/>
    </row>
    <row r="9863" spans="1:4" x14ac:dyDescent="0.2">
      <c r="A9863" s="496"/>
      <c r="D9863" s="496"/>
    </row>
    <row r="9864" spans="1:4" x14ac:dyDescent="0.2">
      <c r="A9864" s="496"/>
      <c r="D9864" s="496"/>
    </row>
    <row r="9865" spans="1:4" x14ac:dyDescent="0.2">
      <c r="A9865" s="496"/>
      <c r="D9865" s="496"/>
    </row>
    <row r="9866" spans="1:4" x14ac:dyDescent="0.2">
      <c r="A9866" s="496"/>
      <c r="D9866" s="496"/>
    </row>
    <row r="9867" spans="1:4" x14ac:dyDescent="0.2">
      <c r="A9867" s="496"/>
      <c r="D9867" s="496"/>
    </row>
    <row r="9868" spans="1:4" x14ac:dyDescent="0.2">
      <c r="A9868" s="496"/>
      <c r="D9868" s="496"/>
    </row>
    <row r="9869" spans="1:4" x14ac:dyDescent="0.2">
      <c r="A9869" s="496"/>
      <c r="D9869" s="496"/>
    </row>
    <row r="9870" spans="1:4" x14ac:dyDescent="0.2">
      <c r="A9870" s="496"/>
      <c r="D9870" s="496"/>
    </row>
    <row r="9871" spans="1:4" x14ac:dyDescent="0.2">
      <c r="A9871" s="496"/>
      <c r="D9871" s="496"/>
    </row>
    <row r="9872" spans="1:4" x14ac:dyDescent="0.2">
      <c r="A9872" s="496"/>
      <c r="D9872" s="496"/>
    </row>
    <row r="9873" spans="1:4" x14ac:dyDescent="0.2">
      <c r="A9873" s="496"/>
      <c r="D9873" s="496"/>
    </row>
    <row r="9874" spans="1:4" x14ac:dyDescent="0.2">
      <c r="A9874" s="496"/>
      <c r="D9874" s="496"/>
    </row>
    <row r="9875" spans="1:4" x14ac:dyDescent="0.2">
      <c r="A9875" s="496"/>
      <c r="D9875" s="496"/>
    </row>
    <row r="9876" spans="1:4" x14ac:dyDescent="0.2">
      <c r="A9876" s="496"/>
      <c r="D9876" s="496"/>
    </row>
    <row r="9877" spans="1:4" x14ac:dyDescent="0.2">
      <c r="A9877" s="496"/>
      <c r="D9877" s="496"/>
    </row>
    <row r="9878" spans="1:4" x14ac:dyDescent="0.2">
      <c r="A9878" s="496"/>
      <c r="D9878" s="496"/>
    </row>
    <row r="9879" spans="1:4" x14ac:dyDescent="0.2">
      <c r="A9879" s="496"/>
      <c r="D9879" s="496"/>
    </row>
    <row r="9880" spans="1:4" x14ac:dyDescent="0.2">
      <c r="A9880" s="496"/>
      <c r="D9880" s="496"/>
    </row>
    <row r="9881" spans="1:4" x14ac:dyDescent="0.2">
      <c r="A9881" s="496"/>
      <c r="D9881" s="496"/>
    </row>
    <row r="9882" spans="1:4" x14ac:dyDescent="0.2">
      <c r="A9882" s="496"/>
      <c r="D9882" s="496"/>
    </row>
    <row r="9883" spans="1:4" x14ac:dyDescent="0.2">
      <c r="A9883" s="496"/>
      <c r="D9883" s="496"/>
    </row>
    <row r="9884" spans="1:4" x14ac:dyDescent="0.2">
      <c r="A9884" s="496"/>
      <c r="D9884" s="496"/>
    </row>
    <row r="9885" spans="1:4" x14ac:dyDescent="0.2">
      <c r="A9885" s="496"/>
      <c r="D9885" s="496"/>
    </row>
    <row r="9886" spans="1:4" x14ac:dyDescent="0.2">
      <c r="A9886" s="496"/>
      <c r="D9886" s="496"/>
    </row>
    <row r="9887" spans="1:4" x14ac:dyDescent="0.2">
      <c r="A9887" s="496"/>
      <c r="D9887" s="496"/>
    </row>
    <row r="9888" spans="1:4" x14ac:dyDescent="0.2">
      <c r="A9888" s="496"/>
      <c r="D9888" s="496"/>
    </row>
    <row r="9889" spans="1:4" x14ac:dyDescent="0.2">
      <c r="A9889" s="496"/>
      <c r="D9889" s="496"/>
    </row>
    <row r="9890" spans="1:4" x14ac:dyDescent="0.2">
      <c r="A9890" s="496"/>
      <c r="D9890" s="496"/>
    </row>
    <row r="9891" spans="1:4" x14ac:dyDescent="0.2">
      <c r="A9891" s="496"/>
      <c r="D9891" s="496"/>
    </row>
    <row r="9892" spans="1:4" x14ac:dyDescent="0.2">
      <c r="A9892" s="496"/>
      <c r="D9892" s="496"/>
    </row>
    <row r="9893" spans="1:4" x14ac:dyDescent="0.2">
      <c r="A9893" s="496"/>
      <c r="D9893" s="496"/>
    </row>
    <row r="9894" spans="1:4" x14ac:dyDescent="0.2">
      <c r="A9894" s="496"/>
      <c r="D9894" s="496"/>
    </row>
    <row r="9895" spans="1:4" x14ac:dyDescent="0.2">
      <c r="A9895" s="496"/>
      <c r="D9895" s="496"/>
    </row>
    <row r="9896" spans="1:4" x14ac:dyDescent="0.2">
      <c r="A9896" s="496"/>
      <c r="D9896" s="496"/>
    </row>
    <row r="9897" spans="1:4" x14ac:dyDescent="0.2">
      <c r="A9897" s="496"/>
      <c r="D9897" s="496"/>
    </row>
    <row r="9898" spans="1:4" x14ac:dyDescent="0.2">
      <c r="A9898" s="496"/>
      <c r="D9898" s="496"/>
    </row>
    <row r="9899" spans="1:4" x14ac:dyDescent="0.2">
      <c r="A9899" s="496"/>
      <c r="D9899" s="496"/>
    </row>
    <row r="9900" spans="1:4" x14ac:dyDescent="0.2">
      <c r="A9900" s="496"/>
      <c r="D9900" s="496"/>
    </row>
    <row r="9901" spans="1:4" x14ac:dyDescent="0.2">
      <c r="A9901" s="496"/>
      <c r="D9901" s="496"/>
    </row>
    <row r="9902" spans="1:4" x14ac:dyDescent="0.2">
      <c r="A9902" s="496"/>
      <c r="D9902" s="496"/>
    </row>
    <row r="9903" spans="1:4" x14ac:dyDescent="0.2">
      <c r="A9903" s="496"/>
      <c r="D9903" s="496"/>
    </row>
    <row r="9904" spans="1:4" x14ac:dyDescent="0.2">
      <c r="A9904" s="496"/>
      <c r="D9904" s="496"/>
    </row>
    <row r="9905" spans="1:4" x14ac:dyDescent="0.2">
      <c r="A9905" s="496"/>
      <c r="D9905" s="496"/>
    </row>
    <row r="9906" spans="1:4" x14ac:dyDescent="0.2">
      <c r="A9906" s="496"/>
      <c r="D9906" s="496"/>
    </row>
    <row r="9907" spans="1:4" x14ac:dyDescent="0.2">
      <c r="A9907" s="496"/>
      <c r="D9907" s="496"/>
    </row>
    <row r="9908" spans="1:4" x14ac:dyDescent="0.2">
      <c r="A9908" s="496"/>
      <c r="D9908" s="496"/>
    </row>
    <row r="9909" spans="1:4" x14ac:dyDescent="0.2">
      <c r="A9909" s="496"/>
      <c r="D9909" s="496"/>
    </row>
    <row r="9910" spans="1:4" x14ac:dyDescent="0.2">
      <c r="A9910" s="496"/>
      <c r="D9910" s="496"/>
    </row>
    <row r="9911" spans="1:4" x14ac:dyDescent="0.2">
      <c r="A9911" s="496"/>
      <c r="D9911" s="496"/>
    </row>
    <row r="9912" spans="1:4" x14ac:dyDescent="0.2">
      <c r="A9912" s="496"/>
      <c r="D9912" s="496"/>
    </row>
    <row r="9913" spans="1:4" x14ac:dyDescent="0.2">
      <c r="A9913" s="496"/>
      <c r="D9913" s="496"/>
    </row>
    <row r="9914" spans="1:4" x14ac:dyDescent="0.2">
      <c r="A9914" s="496"/>
      <c r="D9914" s="496"/>
    </row>
    <row r="9915" spans="1:4" x14ac:dyDescent="0.2">
      <c r="A9915" s="496"/>
      <c r="D9915" s="496"/>
    </row>
    <row r="9916" spans="1:4" x14ac:dyDescent="0.2">
      <c r="A9916" s="496"/>
      <c r="D9916" s="496"/>
    </row>
    <row r="9917" spans="1:4" x14ac:dyDescent="0.2">
      <c r="A9917" s="496"/>
      <c r="D9917" s="496"/>
    </row>
    <row r="9918" spans="1:4" x14ac:dyDescent="0.2">
      <c r="A9918" s="496"/>
      <c r="D9918" s="496"/>
    </row>
    <row r="9919" spans="1:4" x14ac:dyDescent="0.2">
      <c r="A9919" s="496"/>
      <c r="D9919" s="496"/>
    </row>
    <row r="9920" spans="1:4" x14ac:dyDescent="0.2">
      <c r="A9920" s="496"/>
      <c r="D9920" s="496"/>
    </row>
    <row r="9921" spans="1:4" x14ac:dyDescent="0.2">
      <c r="A9921" s="496"/>
      <c r="D9921" s="496"/>
    </row>
    <row r="9922" spans="1:4" x14ac:dyDescent="0.2">
      <c r="A9922" s="496"/>
      <c r="D9922" s="496"/>
    </row>
    <row r="9923" spans="1:4" x14ac:dyDescent="0.2">
      <c r="A9923" s="496"/>
      <c r="D9923" s="496"/>
    </row>
    <row r="9924" spans="1:4" x14ac:dyDescent="0.2">
      <c r="A9924" s="496"/>
      <c r="D9924" s="496"/>
    </row>
    <row r="9925" spans="1:4" x14ac:dyDescent="0.2">
      <c r="A9925" s="496"/>
      <c r="D9925" s="496"/>
    </row>
    <row r="9926" spans="1:4" x14ac:dyDescent="0.2">
      <c r="A9926" s="496"/>
      <c r="D9926" s="496"/>
    </row>
    <row r="9927" spans="1:4" x14ac:dyDescent="0.2">
      <c r="A9927" s="496"/>
      <c r="D9927" s="496"/>
    </row>
    <row r="9928" spans="1:4" x14ac:dyDescent="0.2">
      <c r="A9928" s="496"/>
      <c r="D9928" s="496"/>
    </row>
    <row r="9929" spans="1:4" x14ac:dyDescent="0.2">
      <c r="A9929" s="496"/>
      <c r="D9929" s="496"/>
    </row>
    <row r="9930" spans="1:4" x14ac:dyDescent="0.2">
      <c r="A9930" s="496"/>
      <c r="D9930" s="496"/>
    </row>
    <row r="9931" spans="1:4" x14ac:dyDescent="0.2">
      <c r="A9931" s="496"/>
      <c r="D9931" s="496"/>
    </row>
    <row r="9932" spans="1:4" x14ac:dyDescent="0.2">
      <c r="A9932" s="496"/>
      <c r="D9932" s="496"/>
    </row>
    <row r="9933" spans="1:4" x14ac:dyDescent="0.2">
      <c r="A9933" s="496"/>
      <c r="D9933" s="496"/>
    </row>
    <row r="9934" spans="1:4" x14ac:dyDescent="0.2">
      <c r="A9934" s="496"/>
      <c r="D9934" s="496"/>
    </row>
    <row r="9935" spans="1:4" x14ac:dyDescent="0.2">
      <c r="A9935" s="496"/>
      <c r="D9935" s="496"/>
    </row>
    <row r="9936" spans="1:4" x14ac:dyDescent="0.2">
      <c r="A9936" s="496"/>
      <c r="D9936" s="496"/>
    </row>
    <row r="9937" spans="1:4" x14ac:dyDescent="0.2">
      <c r="A9937" s="496"/>
      <c r="D9937" s="496"/>
    </row>
    <row r="9938" spans="1:4" x14ac:dyDescent="0.2">
      <c r="A9938" s="496"/>
      <c r="D9938" s="496"/>
    </row>
    <row r="9939" spans="1:4" x14ac:dyDescent="0.2">
      <c r="A9939" s="496"/>
      <c r="D9939" s="496"/>
    </row>
    <row r="9940" spans="1:4" x14ac:dyDescent="0.2">
      <c r="A9940" s="496"/>
      <c r="D9940" s="496"/>
    </row>
    <row r="9941" spans="1:4" x14ac:dyDescent="0.2">
      <c r="A9941" s="496"/>
      <c r="D9941" s="496"/>
    </row>
    <row r="9942" spans="1:4" x14ac:dyDescent="0.2">
      <c r="A9942" s="496"/>
      <c r="D9942" s="496"/>
    </row>
    <row r="9943" spans="1:4" x14ac:dyDescent="0.2">
      <c r="A9943" s="496"/>
      <c r="D9943" s="496"/>
    </row>
    <row r="9944" spans="1:4" x14ac:dyDescent="0.2">
      <c r="A9944" s="496"/>
      <c r="D9944" s="496"/>
    </row>
    <row r="9945" spans="1:4" x14ac:dyDescent="0.2">
      <c r="A9945" s="496"/>
      <c r="D9945" s="496"/>
    </row>
    <row r="9946" spans="1:4" x14ac:dyDescent="0.2">
      <c r="A9946" s="496"/>
      <c r="D9946" s="496"/>
    </row>
    <row r="9947" spans="1:4" x14ac:dyDescent="0.2">
      <c r="A9947" s="496"/>
      <c r="D9947" s="496"/>
    </row>
    <row r="9948" spans="1:4" x14ac:dyDescent="0.2">
      <c r="A9948" s="496"/>
      <c r="D9948" s="496"/>
    </row>
    <row r="9949" spans="1:4" x14ac:dyDescent="0.2">
      <c r="A9949" s="496"/>
      <c r="D9949" s="496"/>
    </row>
    <row r="9950" spans="1:4" x14ac:dyDescent="0.2">
      <c r="A9950" s="496"/>
      <c r="D9950" s="496"/>
    </row>
    <row r="9951" spans="1:4" x14ac:dyDescent="0.2">
      <c r="A9951" s="496"/>
      <c r="D9951" s="496"/>
    </row>
    <row r="9952" spans="1:4" x14ac:dyDescent="0.2">
      <c r="A9952" s="496"/>
      <c r="D9952" s="496"/>
    </row>
    <row r="9953" spans="1:4" x14ac:dyDescent="0.2">
      <c r="A9953" s="496"/>
      <c r="D9953" s="496"/>
    </row>
    <row r="9954" spans="1:4" x14ac:dyDescent="0.2">
      <c r="A9954" s="496"/>
      <c r="D9954" s="496"/>
    </row>
    <row r="9955" spans="1:4" x14ac:dyDescent="0.2">
      <c r="A9955" s="496"/>
      <c r="D9955" s="496"/>
    </row>
    <row r="9956" spans="1:4" x14ac:dyDescent="0.2">
      <c r="A9956" s="496"/>
      <c r="D9956" s="496"/>
    </row>
    <row r="9957" spans="1:4" x14ac:dyDescent="0.2">
      <c r="A9957" s="496"/>
      <c r="D9957" s="496"/>
    </row>
    <row r="9958" spans="1:4" x14ac:dyDescent="0.2">
      <c r="A9958" s="496"/>
      <c r="D9958" s="496"/>
    </row>
    <row r="9959" spans="1:4" x14ac:dyDescent="0.2">
      <c r="A9959" s="496"/>
      <c r="D9959" s="496"/>
    </row>
    <row r="9960" spans="1:4" x14ac:dyDescent="0.2">
      <c r="A9960" s="496"/>
      <c r="D9960" s="496"/>
    </row>
    <row r="9961" spans="1:4" x14ac:dyDescent="0.2">
      <c r="A9961" s="496"/>
      <c r="D9961" s="496"/>
    </row>
    <row r="9962" spans="1:4" x14ac:dyDescent="0.2">
      <c r="A9962" s="496"/>
      <c r="D9962" s="496"/>
    </row>
    <row r="9963" spans="1:4" x14ac:dyDescent="0.2">
      <c r="A9963" s="496"/>
      <c r="D9963" s="496"/>
    </row>
    <row r="9964" spans="1:4" x14ac:dyDescent="0.2">
      <c r="A9964" s="496"/>
      <c r="D9964" s="496"/>
    </row>
    <row r="9965" spans="1:4" x14ac:dyDescent="0.2">
      <c r="A9965" s="496"/>
      <c r="D9965" s="496"/>
    </row>
    <row r="9966" spans="1:4" x14ac:dyDescent="0.2">
      <c r="A9966" s="496"/>
      <c r="D9966" s="496"/>
    </row>
    <row r="9967" spans="1:4" x14ac:dyDescent="0.2">
      <c r="A9967" s="496"/>
      <c r="D9967" s="496"/>
    </row>
    <row r="9968" spans="1:4" x14ac:dyDescent="0.2">
      <c r="A9968" s="496"/>
      <c r="D9968" s="496"/>
    </row>
    <row r="9969" spans="1:4" x14ac:dyDescent="0.2">
      <c r="A9969" s="496"/>
      <c r="D9969" s="496"/>
    </row>
    <row r="9970" spans="1:4" x14ac:dyDescent="0.2">
      <c r="A9970" s="496"/>
      <c r="D9970" s="496"/>
    </row>
    <row r="9971" spans="1:4" x14ac:dyDescent="0.2">
      <c r="A9971" s="496"/>
      <c r="D9971" s="496"/>
    </row>
    <row r="9972" spans="1:4" x14ac:dyDescent="0.2">
      <c r="A9972" s="496"/>
      <c r="D9972" s="496"/>
    </row>
    <row r="9973" spans="1:4" x14ac:dyDescent="0.2">
      <c r="A9973" s="496"/>
      <c r="D9973" s="496"/>
    </row>
    <row r="9974" spans="1:4" x14ac:dyDescent="0.2">
      <c r="A9974" s="496"/>
      <c r="D9974" s="496"/>
    </row>
    <row r="9975" spans="1:4" x14ac:dyDescent="0.2">
      <c r="A9975" s="496"/>
      <c r="D9975" s="496"/>
    </row>
    <row r="9976" spans="1:4" x14ac:dyDescent="0.2">
      <c r="A9976" s="496"/>
      <c r="D9976" s="496"/>
    </row>
    <row r="9977" spans="1:4" x14ac:dyDescent="0.2">
      <c r="A9977" s="496"/>
      <c r="D9977" s="496"/>
    </row>
    <row r="9978" spans="1:4" x14ac:dyDescent="0.2">
      <c r="A9978" s="496"/>
      <c r="D9978" s="496"/>
    </row>
    <row r="9979" spans="1:4" x14ac:dyDescent="0.2">
      <c r="A9979" s="496"/>
      <c r="D9979" s="496"/>
    </row>
    <row r="9980" spans="1:4" x14ac:dyDescent="0.2">
      <c r="A9980" s="496"/>
      <c r="D9980" s="496"/>
    </row>
    <row r="9981" spans="1:4" x14ac:dyDescent="0.2">
      <c r="A9981" s="496"/>
      <c r="D9981" s="496"/>
    </row>
    <row r="9982" spans="1:4" x14ac:dyDescent="0.2">
      <c r="A9982" s="496"/>
      <c r="D9982" s="496"/>
    </row>
    <row r="9983" spans="1:4" x14ac:dyDescent="0.2">
      <c r="A9983" s="496"/>
      <c r="D9983" s="496"/>
    </row>
    <row r="9984" spans="1:4" x14ac:dyDescent="0.2">
      <c r="A9984" s="496"/>
      <c r="D9984" s="496"/>
    </row>
    <row r="9985" spans="1:4" x14ac:dyDescent="0.2">
      <c r="A9985" s="496"/>
      <c r="D9985" s="496"/>
    </row>
    <row r="9986" spans="1:4" x14ac:dyDescent="0.2">
      <c r="A9986" s="496"/>
      <c r="D9986" s="496"/>
    </row>
    <row r="9987" spans="1:4" x14ac:dyDescent="0.2">
      <c r="A9987" s="496"/>
      <c r="D9987" s="496"/>
    </row>
    <row r="9988" spans="1:4" x14ac:dyDescent="0.2">
      <c r="A9988" s="496"/>
      <c r="D9988" s="496"/>
    </row>
    <row r="9989" spans="1:4" x14ac:dyDescent="0.2">
      <c r="A9989" s="496"/>
      <c r="D9989" s="496"/>
    </row>
    <row r="9990" spans="1:4" x14ac:dyDescent="0.2">
      <c r="A9990" s="496"/>
      <c r="D9990" s="496"/>
    </row>
    <row r="9991" spans="1:4" x14ac:dyDescent="0.2">
      <c r="A9991" s="496"/>
      <c r="D9991" s="496"/>
    </row>
    <row r="9992" spans="1:4" x14ac:dyDescent="0.2">
      <c r="A9992" s="496"/>
      <c r="D9992" s="496"/>
    </row>
    <row r="9993" spans="1:4" x14ac:dyDescent="0.2">
      <c r="A9993" s="496"/>
      <c r="D9993" s="496"/>
    </row>
    <row r="9994" spans="1:4" x14ac:dyDescent="0.2">
      <c r="A9994" s="496"/>
      <c r="D9994" s="496"/>
    </row>
    <row r="9995" spans="1:4" x14ac:dyDescent="0.2">
      <c r="A9995" s="496"/>
      <c r="D9995" s="496"/>
    </row>
    <row r="9996" spans="1:4" x14ac:dyDescent="0.2">
      <c r="A9996" s="496"/>
      <c r="D9996" s="496"/>
    </row>
    <row r="9997" spans="1:4" x14ac:dyDescent="0.2">
      <c r="A9997" s="496"/>
      <c r="D9997" s="496"/>
    </row>
    <row r="9998" spans="1:4" x14ac:dyDescent="0.2">
      <c r="A9998" s="496"/>
      <c r="D9998" s="496"/>
    </row>
    <row r="9999" spans="1:4" x14ac:dyDescent="0.2">
      <c r="A9999" s="496"/>
      <c r="D9999" s="496"/>
    </row>
    <row r="10000" spans="1:4" x14ac:dyDescent="0.2">
      <c r="A10000" s="496"/>
      <c r="D10000" s="496"/>
    </row>
    <row r="10001" spans="1:4" x14ac:dyDescent="0.2">
      <c r="A10001" s="496"/>
      <c r="D10001" s="496"/>
    </row>
    <row r="10002" spans="1:4" x14ac:dyDescent="0.2">
      <c r="A10002" s="496"/>
      <c r="D10002" s="496"/>
    </row>
    <row r="10003" spans="1:4" x14ac:dyDescent="0.2">
      <c r="A10003" s="496"/>
      <c r="D10003" s="496"/>
    </row>
    <row r="10004" spans="1:4" x14ac:dyDescent="0.2">
      <c r="A10004" s="496"/>
      <c r="D10004" s="496"/>
    </row>
    <row r="10005" spans="1:4" x14ac:dyDescent="0.2">
      <c r="A10005" s="496"/>
      <c r="D10005" s="496"/>
    </row>
    <row r="10006" spans="1:4" x14ac:dyDescent="0.2">
      <c r="A10006" s="496"/>
      <c r="D10006" s="496"/>
    </row>
    <row r="10007" spans="1:4" x14ac:dyDescent="0.2">
      <c r="A10007" s="496"/>
      <c r="D10007" s="496"/>
    </row>
    <row r="10008" spans="1:4" x14ac:dyDescent="0.2">
      <c r="A10008" s="496"/>
      <c r="D10008" s="496"/>
    </row>
    <row r="10009" spans="1:4" x14ac:dyDescent="0.2">
      <c r="A10009" s="496"/>
      <c r="D10009" s="496"/>
    </row>
    <row r="10010" spans="1:4" x14ac:dyDescent="0.2">
      <c r="A10010" s="496"/>
      <c r="D10010" s="496"/>
    </row>
    <row r="10011" spans="1:4" x14ac:dyDescent="0.2">
      <c r="A10011" s="496"/>
      <c r="D10011" s="496"/>
    </row>
    <row r="10012" spans="1:4" x14ac:dyDescent="0.2">
      <c r="A10012" s="496"/>
      <c r="D10012" s="496"/>
    </row>
    <row r="10013" spans="1:4" x14ac:dyDescent="0.2">
      <c r="A10013" s="496"/>
      <c r="D10013" s="496"/>
    </row>
    <row r="10014" spans="1:4" x14ac:dyDescent="0.2">
      <c r="A10014" s="496"/>
      <c r="D10014" s="496"/>
    </row>
    <row r="10015" spans="1:4" x14ac:dyDescent="0.2">
      <c r="A10015" s="496"/>
      <c r="D10015" s="496"/>
    </row>
    <row r="10016" spans="1:4" x14ac:dyDescent="0.2">
      <c r="A10016" s="496"/>
      <c r="D10016" s="496"/>
    </row>
    <row r="10017" spans="1:4" x14ac:dyDescent="0.2">
      <c r="A10017" s="496"/>
      <c r="D10017" s="496"/>
    </row>
    <row r="10018" spans="1:4" x14ac:dyDescent="0.2">
      <c r="A10018" s="496"/>
      <c r="D10018" s="496"/>
    </row>
    <row r="10019" spans="1:4" x14ac:dyDescent="0.2">
      <c r="A10019" s="496"/>
      <c r="D10019" s="496"/>
    </row>
    <row r="10020" spans="1:4" x14ac:dyDescent="0.2">
      <c r="A10020" s="496"/>
      <c r="D10020" s="496"/>
    </row>
    <row r="10021" spans="1:4" x14ac:dyDescent="0.2">
      <c r="A10021" s="496"/>
      <c r="D10021" s="496"/>
    </row>
    <row r="10022" spans="1:4" x14ac:dyDescent="0.2">
      <c r="A10022" s="496"/>
      <c r="D10022" s="496"/>
    </row>
    <row r="10023" spans="1:4" x14ac:dyDescent="0.2">
      <c r="A10023" s="496"/>
      <c r="D10023" s="496"/>
    </row>
    <row r="10024" spans="1:4" x14ac:dyDescent="0.2">
      <c r="A10024" s="496"/>
      <c r="D10024" s="496"/>
    </row>
    <row r="10025" spans="1:4" x14ac:dyDescent="0.2">
      <c r="A10025" s="496"/>
      <c r="D10025" s="496"/>
    </row>
    <row r="10026" spans="1:4" x14ac:dyDescent="0.2">
      <c r="A10026" s="496"/>
      <c r="D10026" s="496"/>
    </row>
    <row r="10027" spans="1:4" x14ac:dyDescent="0.2">
      <c r="A10027" s="496"/>
      <c r="D10027" s="496"/>
    </row>
    <row r="10028" spans="1:4" x14ac:dyDescent="0.2">
      <c r="A10028" s="496"/>
      <c r="D10028" s="496"/>
    </row>
    <row r="10029" spans="1:4" x14ac:dyDescent="0.2">
      <c r="A10029" s="496"/>
      <c r="D10029" s="496"/>
    </row>
    <row r="10030" spans="1:4" x14ac:dyDescent="0.2">
      <c r="A10030" s="496"/>
      <c r="D10030" s="496"/>
    </row>
    <row r="10031" spans="1:4" x14ac:dyDescent="0.2">
      <c r="A10031" s="496"/>
      <c r="D10031" s="496"/>
    </row>
    <row r="10032" spans="1:4" x14ac:dyDescent="0.2">
      <c r="A10032" s="496"/>
      <c r="D10032" s="496"/>
    </row>
    <row r="10033" spans="1:4" x14ac:dyDescent="0.2">
      <c r="A10033" s="496"/>
      <c r="D10033" s="496"/>
    </row>
    <row r="10034" spans="1:4" x14ac:dyDescent="0.2">
      <c r="A10034" s="496"/>
      <c r="D10034" s="496"/>
    </row>
    <row r="10035" spans="1:4" x14ac:dyDescent="0.2">
      <c r="A10035" s="496"/>
      <c r="D10035" s="496"/>
    </row>
    <row r="10036" spans="1:4" x14ac:dyDescent="0.2">
      <c r="A10036" s="496"/>
      <c r="D10036" s="496"/>
    </row>
    <row r="10037" spans="1:4" x14ac:dyDescent="0.2">
      <c r="A10037" s="496"/>
      <c r="D10037" s="496"/>
    </row>
    <row r="10038" spans="1:4" x14ac:dyDescent="0.2">
      <c r="A10038" s="496"/>
      <c r="D10038" s="496"/>
    </row>
    <row r="10039" spans="1:4" x14ac:dyDescent="0.2">
      <c r="A10039" s="496"/>
      <c r="D10039" s="496"/>
    </row>
    <row r="10040" spans="1:4" x14ac:dyDescent="0.2">
      <c r="A10040" s="496"/>
      <c r="D10040" s="496"/>
    </row>
    <row r="10041" spans="1:4" x14ac:dyDescent="0.2">
      <c r="A10041" s="496"/>
      <c r="D10041" s="496"/>
    </row>
    <row r="10042" spans="1:4" x14ac:dyDescent="0.2">
      <c r="A10042" s="496"/>
      <c r="D10042" s="496"/>
    </row>
    <row r="10043" spans="1:4" x14ac:dyDescent="0.2">
      <c r="A10043" s="496"/>
      <c r="D10043" s="496"/>
    </row>
    <row r="10044" spans="1:4" x14ac:dyDescent="0.2">
      <c r="A10044" s="496"/>
      <c r="D10044" s="496"/>
    </row>
    <row r="10045" spans="1:4" x14ac:dyDescent="0.2">
      <c r="A10045" s="496"/>
      <c r="D10045" s="496"/>
    </row>
    <row r="10046" spans="1:4" x14ac:dyDescent="0.2">
      <c r="A10046" s="496"/>
      <c r="D10046" s="496"/>
    </row>
    <row r="10047" spans="1:4" x14ac:dyDescent="0.2">
      <c r="A10047" s="496"/>
      <c r="D10047" s="496"/>
    </row>
    <row r="10048" spans="1:4" x14ac:dyDescent="0.2">
      <c r="A10048" s="496"/>
      <c r="D10048" s="496"/>
    </row>
    <row r="10049" spans="1:4" x14ac:dyDescent="0.2">
      <c r="A10049" s="496"/>
      <c r="D10049" s="496"/>
    </row>
    <row r="10050" spans="1:4" x14ac:dyDescent="0.2">
      <c r="A10050" s="496"/>
      <c r="D10050" s="496"/>
    </row>
    <row r="10051" spans="1:4" x14ac:dyDescent="0.2">
      <c r="A10051" s="496"/>
      <c r="D10051" s="496"/>
    </row>
    <row r="10052" spans="1:4" x14ac:dyDescent="0.2">
      <c r="A10052" s="496"/>
      <c r="D10052" s="496"/>
    </row>
    <row r="10053" spans="1:4" x14ac:dyDescent="0.2">
      <c r="A10053" s="496"/>
      <c r="D10053" s="496"/>
    </row>
    <row r="10054" spans="1:4" x14ac:dyDescent="0.2">
      <c r="A10054" s="496"/>
      <c r="D10054" s="496"/>
    </row>
    <row r="10055" spans="1:4" x14ac:dyDescent="0.2">
      <c r="A10055" s="496"/>
      <c r="D10055" s="496"/>
    </row>
    <row r="10056" spans="1:4" x14ac:dyDescent="0.2">
      <c r="A10056" s="496"/>
      <c r="D10056" s="496"/>
    </row>
    <row r="10057" spans="1:4" x14ac:dyDescent="0.2">
      <c r="A10057" s="496"/>
      <c r="D10057" s="496"/>
    </row>
    <row r="10058" spans="1:4" x14ac:dyDescent="0.2">
      <c r="A10058" s="496"/>
      <c r="D10058" s="496"/>
    </row>
    <row r="10059" spans="1:4" x14ac:dyDescent="0.2">
      <c r="A10059" s="496"/>
      <c r="D10059" s="496"/>
    </row>
    <row r="10060" spans="1:4" x14ac:dyDescent="0.2">
      <c r="A10060" s="496"/>
      <c r="D10060" s="496"/>
    </row>
    <row r="10061" spans="1:4" x14ac:dyDescent="0.2">
      <c r="A10061" s="496"/>
      <c r="D10061" s="496"/>
    </row>
    <row r="10062" spans="1:4" x14ac:dyDescent="0.2">
      <c r="A10062" s="496"/>
      <c r="D10062" s="496"/>
    </row>
    <row r="10063" spans="1:4" x14ac:dyDescent="0.2">
      <c r="A10063" s="496"/>
      <c r="D10063" s="496"/>
    </row>
    <row r="10064" spans="1:4" x14ac:dyDescent="0.2">
      <c r="A10064" s="496"/>
      <c r="D10064" s="496"/>
    </row>
    <row r="10065" spans="1:4" x14ac:dyDescent="0.2">
      <c r="A10065" s="496"/>
      <c r="D10065" s="496"/>
    </row>
    <row r="10066" spans="1:4" x14ac:dyDescent="0.2">
      <c r="A10066" s="496"/>
      <c r="D10066" s="496"/>
    </row>
    <row r="10067" spans="1:4" x14ac:dyDescent="0.2">
      <c r="A10067" s="496"/>
      <c r="D10067" s="496"/>
    </row>
    <row r="10068" spans="1:4" x14ac:dyDescent="0.2">
      <c r="A10068" s="496"/>
      <c r="D10068" s="496"/>
    </row>
    <row r="10069" spans="1:4" x14ac:dyDescent="0.2">
      <c r="A10069" s="496"/>
      <c r="D10069" s="496"/>
    </row>
    <row r="10070" spans="1:4" x14ac:dyDescent="0.2">
      <c r="A10070" s="496"/>
      <c r="D10070" s="496"/>
    </row>
    <row r="10071" spans="1:4" x14ac:dyDescent="0.2">
      <c r="A10071" s="496"/>
      <c r="D10071" s="496"/>
    </row>
    <row r="10072" spans="1:4" x14ac:dyDescent="0.2">
      <c r="A10072" s="496"/>
      <c r="D10072" s="496"/>
    </row>
    <row r="10073" spans="1:4" x14ac:dyDescent="0.2">
      <c r="A10073" s="496"/>
      <c r="D10073" s="496"/>
    </row>
    <row r="10074" spans="1:4" x14ac:dyDescent="0.2">
      <c r="A10074" s="496"/>
      <c r="D10074" s="496"/>
    </row>
    <row r="10075" spans="1:4" x14ac:dyDescent="0.2">
      <c r="A10075" s="496"/>
      <c r="D10075" s="496"/>
    </row>
    <row r="10076" spans="1:4" x14ac:dyDescent="0.2">
      <c r="A10076" s="496"/>
      <c r="D10076" s="496"/>
    </row>
    <row r="10077" spans="1:4" x14ac:dyDescent="0.2">
      <c r="A10077" s="496"/>
      <c r="D10077" s="496"/>
    </row>
    <row r="10078" spans="1:4" x14ac:dyDescent="0.2">
      <c r="A10078" s="496"/>
      <c r="D10078" s="496"/>
    </row>
    <row r="10079" spans="1:4" x14ac:dyDescent="0.2">
      <c r="A10079" s="496"/>
      <c r="D10079" s="496"/>
    </row>
    <row r="10080" spans="1:4" x14ac:dyDescent="0.2">
      <c r="A10080" s="496"/>
      <c r="D10080" s="496"/>
    </row>
    <row r="10081" spans="1:4" x14ac:dyDescent="0.2">
      <c r="A10081" s="496"/>
      <c r="D10081" s="496"/>
    </row>
    <row r="10082" spans="1:4" x14ac:dyDescent="0.2">
      <c r="A10082" s="496"/>
      <c r="D10082" s="496"/>
    </row>
    <row r="10083" spans="1:4" x14ac:dyDescent="0.2">
      <c r="A10083" s="496"/>
      <c r="D10083" s="496"/>
    </row>
    <row r="10084" spans="1:4" x14ac:dyDescent="0.2">
      <c r="A10084" s="496"/>
      <c r="D10084" s="496"/>
    </row>
    <row r="10085" spans="1:4" x14ac:dyDescent="0.2">
      <c r="A10085" s="496"/>
      <c r="D10085" s="496"/>
    </row>
    <row r="10086" spans="1:4" x14ac:dyDescent="0.2">
      <c r="A10086" s="496"/>
      <c r="D10086" s="496"/>
    </row>
    <row r="10087" spans="1:4" x14ac:dyDescent="0.2">
      <c r="A10087" s="496"/>
      <c r="D10087" s="496"/>
    </row>
    <row r="10088" spans="1:4" x14ac:dyDescent="0.2">
      <c r="A10088" s="496"/>
      <c r="D10088" s="496"/>
    </row>
    <row r="10089" spans="1:4" x14ac:dyDescent="0.2">
      <c r="A10089" s="496"/>
      <c r="D10089" s="496"/>
    </row>
    <row r="10090" spans="1:4" x14ac:dyDescent="0.2">
      <c r="A10090" s="496"/>
      <c r="D10090" s="496"/>
    </row>
    <row r="10091" spans="1:4" x14ac:dyDescent="0.2">
      <c r="A10091" s="496"/>
      <c r="D10091" s="496"/>
    </row>
    <row r="10092" spans="1:4" x14ac:dyDescent="0.2">
      <c r="A10092" s="496"/>
      <c r="D10092" s="496"/>
    </row>
    <row r="10093" spans="1:4" x14ac:dyDescent="0.2">
      <c r="A10093" s="496"/>
      <c r="D10093" s="496"/>
    </row>
    <row r="10094" spans="1:4" x14ac:dyDescent="0.2">
      <c r="A10094" s="496"/>
      <c r="D10094" s="496"/>
    </row>
    <row r="10095" spans="1:4" x14ac:dyDescent="0.2">
      <c r="A10095" s="496"/>
      <c r="D10095" s="496"/>
    </row>
    <row r="10096" spans="1:4" x14ac:dyDescent="0.2">
      <c r="A10096" s="496"/>
      <c r="D10096" s="496"/>
    </row>
    <row r="10097" spans="1:4" x14ac:dyDescent="0.2">
      <c r="A10097" s="496"/>
      <c r="D10097" s="496"/>
    </row>
    <row r="10098" spans="1:4" x14ac:dyDescent="0.2">
      <c r="A10098" s="496"/>
      <c r="D10098" s="496"/>
    </row>
    <row r="10099" spans="1:4" x14ac:dyDescent="0.2">
      <c r="A10099" s="496"/>
      <c r="D10099" s="496"/>
    </row>
    <row r="10100" spans="1:4" x14ac:dyDescent="0.2">
      <c r="A10100" s="496"/>
      <c r="D10100" s="496"/>
    </row>
    <row r="10101" spans="1:4" x14ac:dyDescent="0.2">
      <c r="A10101" s="496"/>
      <c r="D10101" s="496"/>
    </row>
    <row r="10102" spans="1:4" x14ac:dyDescent="0.2">
      <c r="A10102" s="496"/>
      <c r="D10102" s="496"/>
    </row>
    <row r="10103" spans="1:4" x14ac:dyDescent="0.2">
      <c r="A10103" s="496"/>
      <c r="D10103" s="496"/>
    </row>
    <row r="10104" spans="1:4" x14ac:dyDescent="0.2">
      <c r="A10104" s="496"/>
      <c r="D10104" s="496"/>
    </row>
    <row r="10105" spans="1:4" x14ac:dyDescent="0.2">
      <c r="A10105" s="496"/>
      <c r="D10105" s="496"/>
    </row>
    <row r="10106" spans="1:4" x14ac:dyDescent="0.2">
      <c r="A10106" s="496"/>
      <c r="D10106" s="496"/>
    </row>
    <row r="10107" spans="1:4" x14ac:dyDescent="0.2">
      <c r="A10107" s="496"/>
      <c r="D10107" s="496"/>
    </row>
    <row r="10108" spans="1:4" x14ac:dyDescent="0.2">
      <c r="A10108" s="496"/>
      <c r="D10108" s="496"/>
    </row>
    <row r="10109" spans="1:4" x14ac:dyDescent="0.2">
      <c r="A10109" s="496"/>
      <c r="D10109" s="496"/>
    </row>
    <row r="10110" spans="1:4" x14ac:dyDescent="0.2">
      <c r="A10110" s="496"/>
      <c r="D10110" s="496"/>
    </row>
    <row r="10111" spans="1:4" x14ac:dyDescent="0.2">
      <c r="A10111" s="496"/>
      <c r="D10111" s="496"/>
    </row>
    <row r="10112" spans="1:4" x14ac:dyDescent="0.2">
      <c r="A10112" s="496"/>
      <c r="D10112" s="496"/>
    </row>
    <row r="10113" spans="1:4" x14ac:dyDescent="0.2">
      <c r="A10113" s="496"/>
      <c r="D10113" s="496"/>
    </row>
    <row r="10114" spans="1:4" x14ac:dyDescent="0.2">
      <c r="A10114" s="496"/>
      <c r="D10114" s="496"/>
    </row>
    <row r="10115" spans="1:4" x14ac:dyDescent="0.2">
      <c r="A10115" s="496"/>
      <c r="D10115" s="496"/>
    </row>
    <row r="10116" spans="1:4" x14ac:dyDescent="0.2">
      <c r="A10116" s="496"/>
      <c r="D10116" s="496"/>
    </row>
    <row r="10117" spans="1:4" x14ac:dyDescent="0.2">
      <c r="A10117" s="496"/>
      <c r="D10117" s="496"/>
    </row>
    <row r="10118" spans="1:4" x14ac:dyDescent="0.2">
      <c r="A10118" s="496"/>
      <c r="D10118" s="496"/>
    </row>
    <row r="10119" spans="1:4" x14ac:dyDescent="0.2">
      <c r="A10119" s="496"/>
      <c r="D10119" s="496"/>
    </row>
    <row r="10120" spans="1:4" x14ac:dyDescent="0.2">
      <c r="A10120" s="496"/>
      <c r="D10120" s="496"/>
    </row>
    <row r="10121" spans="1:4" x14ac:dyDescent="0.2">
      <c r="A10121" s="496"/>
      <c r="D10121" s="496"/>
    </row>
    <row r="10122" spans="1:4" x14ac:dyDescent="0.2">
      <c r="A10122" s="496"/>
      <c r="D10122" s="496"/>
    </row>
    <row r="10123" spans="1:4" x14ac:dyDescent="0.2">
      <c r="A10123" s="496"/>
      <c r="D10123" s="496"/>
    </row>
    <row r="10124" spans="1:4" x14ac:dyDescent="0.2">
      <c r="A10124" s="496"/>
      <c r="D10124" s="496"/>
    </row>
    <row r="10125" spans="1:4" x14ac:dyDescent="0.2">
      <c r="A10125" s="496"/>
      <c r="D10125" s="496"/>
    </row>
    <row r="10126" spans="1:4" x14ac:dyDescent="0.2">
      <c r="A10126" s="496"/>
      <c r="D10126" s="496"/>
    </row>
    <row r="10127" spans="1:4" x14ac:dyDescent="0.2">
      <c r="A10127" s="496"/>
      <c r="D10127" s="496"/>
    </row>
    <row r="10128" spans="1:4" x14ac:dyDescent="0.2">
      <c r="A10128" s="496"/>
      <c r="D10128" s="496"/>
    </row>
    <row r="10129" spans="1:4" x14ac:dyDescent="0.2">
      <c r="A10129" s="496"/>
      <c r="D10129" s="496"/>
    </row>
    <row r="10130" spans="1:4" x14ac:dyDescent="0.2">
      <c r="A10130" s="496"/>
      <c r="D10130" s="496"/>
    </row>
    <row r="10131" spans="1:4" x14ac:dyDescent="0.2">
      <c r="A10131" s="496"/>
      <c r="D10131" s="496"/>
    </row>
    <row r="10132" spans="1:4" x14ac:dyDescent="0.2">
      <c r="A10132" s="496"/>
      <c r="D10132" s="496"/>
    </row>
    <row r="10133" spans="1:4" x14ac:dyDescent="0.2">
      <c r="A10133" s="496"/>
      <c r="D10133" s="496"/>
    </row>
    <row r="10134" spans="1:4" x14ac:dyDescent="0.2">
      <c r="A10134" s="496"/>
      <c r="D10134" s="496"/>
    </row>
    <row r="10135" spans="1:4" x14ac:dyDescent="0.2">
      <c r="A10135" s="496"/>
      <c r="D10135" s="496"/>
    </row>
    <row r="10136" spans="1:4" x14ac:dyDescent="0.2">
      <c r="A10136" s="496"/>
      <c r="D10136" s="496"/>
    </row>
    <row r="10137" spans="1:4" x14ac:dyDescent="0.2">
      <c r="A10137" s="496"/>
      <c r="D10137" s="496"/>
    </row>
    <row r="10138" spans="1:4" x14ac:dyDescent="0.2">
      <c r="A10138" s="496"/>
      <c r="D10138" s="496"/>
    </row>
    <row r="10139" spans="1:4" x14ac:dyDescent="0.2">
      <c r="A10139" s="496"/>
      <c r="D10139" s="496"/>
    </row>
    <row r="10140" spans="1:4" x14ac:dyDescent="0.2">
      <c r="A10140" s="496"/>
      <c r="D10140" s="496"/>
    </row>
    <row r="10141" spans="1:4" x14ac:dyDescent="0.2">
      <c r="A10141" s="496"/>
      <c r="D10141" s="496"/>
    </row>
    <row r="10142" spans="1:4" x14ac:dyDescent="0.2">
      <c r="A10142" s="496"/>
      <c r="D10142" s="496"/>
    </row>
    <row r="10143" spans="1:4" x14ac:dyDescent="0.2">
      <c r="A10143" s="496"/>
      <c r="D10143" s="496"/>
    </row>
    <row r="10144" spans="1:4" x14ac:dyDescent="0.2">
      <c r="A10144" s="496"/>
      <c r="D10144" s="496"/>
    </row>
    <row r="10145" spans="1:4" x14ac:dyDescent="0.2">
      <c r="A10145" s="496"/>
      <c r="D10145" s="496"/>
    </row>
    <row r="10146" spans="1:4" x14ac:dyDescent="0.2">
      <c r="A10146" s="496"/>
      <c r="D10146" s="496"/>
    </row>
    <row r="10147" spans="1:4" x14ac:dyDescent="0.2">
      <c r="A10147" s="496"/>
      <c r="D10147" s="496"/>
    </row>
    <row r="10148" spans="1:4" x14ac:dyDescent="0.2">
      <c r="A10148" s="496"/>
      <c r="D10148" s="496"/>
    </row>
    <row r="10149" spans="1:4" x14ac:dyDescent="0.2">
      <c r="A10149" s="496"/>
      <c r="D10149" s="496"/>
    </row>
    <row r="10150" spans="1:4" x14ac:dyDescent="0.2">
      <c r="A10150" s="496"/>
      <c r="D10150" s="496"/>
    </row>
    <row r="10151" spans="1:4" x14ac:dyDescent="0.2">
      <c r="A10151" s="496"/>
      <c r="D10151" s="496"/>
    </row>
    <row r="10152" spans="1:4" x14ac:dyDescent="0.2">
      <c r="A10152" s="496"/>
      <c r="D10152" s="496"/>
    </row>
    <row r="10153" spans="1:4" x14ac:dyDescent="0.2">
      <c r="A10153" s="496"/>
      <c r="D10153" s="496"/>
    </row>
    <row r="10154" spans="1:4" x14ac:dyDescent="0.2">
      <c r="A10154" s="496"/>
      <c r="D10154" s="496"/>
    </row>
    <row r="10155" spans="1:4" x14ac:dyDescent="0.2">
      <c r="A10155" s="496"/>
      <c r="D10155" s="496"/>
    </row>
    <row r="10156" spans="1:4" x14ac:dyDescent="0.2">
      <c r="A10156" s="496"/>
      <c r="D10156" s="496"/>
    </row>
    <row r="10157" spans="1:4" x14ac:dyDescent="0.2">
      <c r="A10157" s="496"/>
      <c r="D10157" s="496"/>
    </row>
    <row r="10158" spans="1:4" x14ac:dyDescent="0.2">
      <c r="A10158" s="496"/>
      <c r="D10158" s="496"/>
    </row>
    <row r="10159" spans="1:4" x14ac:dyDescent="0.2">
      <c r="A10159" s="496"/>
      <c r="D10159" s="496"/>
    </row>
    <row r="10160" spans="1:4" x14ac:dyDescent="0.2">
      <c r="A10160" s="496"/>
      <c r="D10160" s="496"/>
    </row>
    <row r="10161" spans="1:4" x14ac:dyDescent="0.2">
      <c r="A10161" s="496"/>
      <c r="D10161" s="496"/>
    </row>
    <row r="10162" spans="1:4" x14ac:dyDescent="0.2">
      <c r="A10162" s="496"/>
      <c r="D10162" s="496"/>
    </row>
    <row r="10163" spans="1:4" x14ac:dyDescent="0.2">
      <c r="A10163" s="496"/>
      <c r="D10163" s="496"/>
    </row>
    <row r="10164" spans="1:4" x14ac:dyDescent="0.2">
      <c r="A10164" s="496"/>
      <c r="D10164" s="496"/>
    </row>
    <row r="10165" spans="1:4" x14ac:dyDescent="0.2">
      <c r="A10165" s="496"/>
      <c r="D10165" s="496"/>
    </row>
    <row r="10166" spans="1:4" x14ac:dyDescent="0.2">
      <c r="A10166" s="496"/>
      <c r="D10166" s="496"/>
    </row>
    <row r="10167" spans="1:4" x14ac:dyDescent="0.2">
      <c r="A10167" s="496"/>
      <c r="D10167" s="496"/>
    </row>
    <row r="10168" spans="1:4" x14ac:dyDescent="0.2">
      <c r="A10168" s="496"/>
      <c r="D10168" s="496"/>
    </row>
    <row r="10169" spans="1:4" x14ac:dyDescent="0.2">
      <c r="A10169" s="496"/>
      <c r="D10169" s="496"/>
    </row>
    <row r="10170" spans="1:4" x14ac:dyDescent="0.2">
      <c r="A10170" s="496"/>
      <c r="D10170" s="496"/>
    </row>
    <row r="10171" spans="1:4" x14ac:dyDescent="0.2">
      <c r="A10171" s="496"/>
      <c r="D10171" s="496"/>
    </row>
    <row r="10172" spans="1:4" x14ac:dyDescent="0.2">
      <c r="A10172" s="496"/>
      <c r="D10172" s="496"/>
    </row>
    <row r="10173" spans="1:4" x14ac:dyDescent="0.2">
      <c r="A10173" s="496"/>
      <c r="D10173" s="496"/>
    </row>
    <row r="10174" spans="1:4" x14ac:dyDescent="0.2">
      <c r="A10174" s="496"/>
      <c r="D10174" s="496"/>
    </row>
    <row r="10175" spans="1:4" x14ac:dyDescent="0.2">
      <c r="A10175" s="496"/>
      <c r="D10175" s="496"/>
    </row>
    <row r="10176" spans="1:4" x14ac:dyDescent="0.2">
      <c r="A10176" s="496"/>
      <c r="D10176" s="496"/>
    </row>
    <row r="10177" spans="1:4" x14ac:dyDescent="0.2">
      <c r="A10177" s="496"/>
      <c r="D10177" s="496"/>
    </row>
    <row r="10178" spans="1:4" x14ac:dyDescent="0.2">
      <c r="A10178" s="496"/>
      <c r="D10178" s="496"/>
    </row>
    <row r="10179" spans="1:4" x14ac:dyDescent="0.2">
      <c r="A10179" s="496"/>
      <c r="D10179" s="496"/>
    </row>
    <row r="10180" spans="1:4" x14ac:dyDescent="0.2">
      <c r="A10180" s="496"/>
      <c r="D10180" s="496"/>
    </row>
    <row r="10181" spans="1:4" x14ac:dyDescent="0.2">
      <c r="A10181" s="496"/>
      <c r="D10181" s="496"/>
    </row>
    <row r="10182" spans="1:4" x14ac:dyDescent="0.2">
      <c r="A10182" s="496"/>
      <c r="D10182" s="496"/>
    </row>
    <row r="10183" spans="1:4" x14ac:dyDescent="0.2">
      <c r="A10183" s="496"/>
      <c r="D10183" s="496"/>
    </row>
    <row r="10184" spans="1:4" x14ac:dyDescent="0.2">
      <c r="A10184" s="496"/>
      <c r="D10184" s="496"/>
    </row>
    <row r="10185" spans="1:4" x14ac:dyDescent="0.2">
      <c r="A10185" s="496"/>
      <c r="D10185" s="496"/>
    </row>
    <row r="10186" spans="1:4" x14ac:dyDescent="0.2">
      <c r="A10186" s="496"/>
      <c r="D10186" s="496"/>
    </row>
    <row r="10187" spans="1:4" x14ac:dyDescent="0.2">
      <c r="A10187" s="496"/>
      <c r="D10187" s="496"/>
    </row>
    <row r="10188" spans="1:4" x14ac:dyDescent="0.2">
      <c r="A10188" s="496"/>
      <c r="D10188" s="496"/>
    </row>
    <row r="10189" spans="1:4" x14ac:dyDescent="0.2">
      <c r="A10189" s="496"/>
      <c r="D10189" s="496"/>
    </row>
    <row r="10190" spans="1:4" x14ac:dyDescent="0.2">
      <c r="A10190" s="496"/>
      <c r="D10190" s="496"/>
    </row>
    <row r="10191" spans="1:4" x14ac:dyDescent="0.2">
      <c r="A10191" s="496"/>
      <c r="D10191" s="496"/>
    </row>
    <row r="10192" spans="1:4" x14ac:dyDescent="0.2">
      <c r="A10192" s="496"/>
      <c r="D10192" s="496"/>
    </row>
    <row r="10193" spans="1:4" x14ac:dyDescent="0.2">
      <c r="A10193" s="496"/>
      <c r="D10193" s="496"/>
    </row>
    <row r="10194" spans="1:4" x14ac:dyDescent="0.2">
      <c r="A10194" s="496"/>
      <c r="D10194" s="496"/>
    </row>
    <row r="10195" spans="1:4" x14ac:dyDescent="0.2">
      <c r="A10195" s="496"/>
      <c r="D10195" s="496"/>
    </row>
    <row r="10196" spans="1:4" x14ac:dyDescent="0.2">
      <c r="A10196" s="496"/>
      <c r="D10196" s="496"/>
    </row>
    <row r="10197" spans="1:4" x14ac:dyDescent="0.2">
      <c r="A10197" s="496"/>
      <c r="D10197" s="496"/>
    </row>
    <row r="10198" spans="1:4" x14ac:dyDescent="0.2">
      <c r="A10198" s="496"/>
      <c r="D10198" s="496"/>
    </row>
    <row r="10199" spans="1:4" x14ac:dyDescent="0.2">
      <c r="A10199" s="496"/>
      <c r="D10199" s="496"/>
    </row>
    <row r="10200" spans="1:4" x14ac:dyDescent="0.2">
      <c r="A10200" s="496"/>
      <c r="D10200" s="496"/>
    </row>
    <row r="10201" spans="1:4" x14ac:dyDescent="0.2">
      <c r="A10201" s="496"/>
      <c r="D10201" s="496"/>
    </row>
    <row r="10202" spans="1:4" x14ac:dyDescent="0.2">
      <c r="A10202" s="496"/>
      <c r="D10202" s="496"/>
    </row>
    <row r="10203" spans="1:4" x14ac:dyDescent="0.2">
      <c r="A10203" s="496"/>
      <c r="D10203" s="496"/>
    </row>
    <row r="10204" spans="1:4" x14ac:dyDescent="0.2">
      <c r="A10204" s="496"/>
      <c r="D10204" s="496"/>
    </row>
    <row r="10205" spans="1:4" x14ac:dyDescent="0.2">
      <c r="A10205" s="496"/>
      <c r="D10205" s="496"/>
    </row>
    <row r="10206" spans="1:4" x14ac:dyDescent="0.2">
      <c r="A10206" s="496"/>
      <c r="D10206" s="496"/>
    </row>
    <row r="10207" spans="1:4" x14ac:dyDescent="0.2">
      <c r="A10207" s="496"/>
      <c r="D10207" s="496"/>
    </row>
    <row r="10208" spans="1:4" x14ac:dyDescent="0.2">
      <c r="A10208" s="496"/>
      <c r="D10208" s="496"/>
    </row>
    <row r="10209" spans="1:4" x14ac:dyDescent="0.2">
      <c r="A10209" s="496"/>
      <c r="D10209" s="496"/>
    </row>
    <row r="10210" spans="1:4" x14ac:dyDescent="0.2">
      <c r="A10210" s="496"/>
      <c r="D10210" s="496"/>
    </row>
    <row r="10211" spans="1:4" x14ac:dyDescent="0.2">
      <c r="A10211" s="496"/>
      <c r="D10211" s="496"/>
    </row>
    <row r="10212" spans="1:4" x14ac:dyDescent="0.2">
      <c r="A10212" s="496"/>
      <c r="D10212" s="496"/>
    </row>
    <row r="10213" spans="1:4" x14ac:dyDescent="0.2">
      <c r="A10213" s="496"/>
      <c r="D10213" s="496"/>
    </row>
    <row r="10214" spans="1:4" x14ac:dyDescent="0.2">
      <c r="A10214" s="496"/>
      <c r="D10214" s="496"/>
    </row>
    <row r="10215" spans="1:4" x14ac:dyDescent="0.2">
      <c r="A10215" s="496"/>
      <c r="D10215" s="496"/>
    </row>
    <row r="10216" spans="1:4" x14ac:dyDescent="0.2">
      <c r="A10216" s="496"/>
      <c r="D10216" s="496"/>
    </row>
    <row r="10217" spans="1:4" x14ac:dyDescent="0.2">
      <c r="A10217" s="496"/>
      <c r="D10217" s="496"/>
    </row>
    <row r="10218" spans="1:4" x14ac:dyDescent="0.2">
      <c r="A10218" s="496"/>
      <c r="D10218" s="496"/>
    </row>
    <row r="10219" spans="1:4" x14ac:dyDescent="0.2">
      <c r="A10219" s="496"/>
      <c r="D10219" s="496"/>
    </row>
    <row r="10220" spans="1:4" x14ac:dyDescent="0.2">
      <c r="A10220" s="496"/>
      <c r="D10220" s="496"/>
    </row>
    <row r="10221" spans="1:4" x14ac:dyDescent="0.2">
      <c r="A10221" s="496"/>
      <c r="D10221" s="496"/>
    </row>
    <row r="10222" spans="1:4" x14ac:dyDescent="0.2">
      <c r="A10222" s="496"/>
      <c r="D10222" s="496"/>
    </row>
    <row r="10223" spans="1:4" x14ac:dyDescent="0.2">
      <c r="A10223" s="496"/>
      <c r="D10223" s="496"/>
    </row>
    <row r="10224" spans="1:4" x14ac:dyDescent="0.2">
      <c r="A10224" s="496"/>
      <c r="D10224" s="496"/>
    </row>
    <row r="10225" spans="1:4" x14ac:dyDescent="0.2">
      <c r="A10225" s="496"/>
      <c r="D10225" s="496"/>
    </row>
    <row r="10226" spans="1:4" x14ac:dyDescent="0.2">
      <c r="A10226" s="496"/>
      <c r="D10226" s="496"/>
    </row>
    <row r="10227" spans="1:4" x14ac:dyDescent="0.2">
      <c r="A10227" s="496"/>
      <c r="D10227" s="496"/>
    </row>
    <row r="10228" spans="1:4" x14ac:dyDescent="0.2">
      <c r="A10228" s="496"/>
      <c r="D10228" s="496"/>
    </row>
    <row r="10229" spans="1:4" x14ac:dyDescent="0.2">
      <c r="A10229" s="496"/>
      <c r="D10229" s="496"/>
    </row>
    <row r="10230" spans="1:4" x14ac:dyDescent="0.2">
      <c r="A10230" s="496"/>
      <c r="D10230" s="496"/>
    </row>
    <row r="10231" spans="1:4" x14ac:dyDescent="0.2">
      <c r="A10231" s="496"/>
      <c r="D10231" s="496"/>
    </row>
    <row r="10232" spans="1:4" x14ac:dyDescent="0.2">
      <c r="A10232" s="496"/>
      <c r="D10232" s="496"/>
    </row>
    <row r="10233" spans="1:4" x14ac:dyDescent="0.2">
      <c r="A10233" s="496"/>
      <c r="D10233" s="496"/>
    </row>
    <row r="10234" spans="1:4" x14ac:dyDescent="0.2">
      <c r="A10234" s="496"/>
      <c r="D10234" s="496"/>
    </row>
    <row r="10235" spans="1:4" x14ac:dyDescent="0.2">
      <c r="A10235" s="496"/>
      <c r="D10235" s="496"/>
    </row>
    <row r="10236" spans="1:4" x14ac:dyDescent="0.2">
      <c r="A10236" s="496"/>
      <c r="D10236" s="496"/>
    </row>
    <row r="10237" spans="1:4" x14ac:dyDescent="0.2">
      <c r="A10237" s="496"/>
      <c r="D10237" s="496"/>
    </row>
    <row r="10238" spans="1:4" x14ac:dyDescent="0.2">
      <c r="A10238" s="496"/>
      <c r="D10238" s="496"/>
    </row>
    <row r="10239" spans="1:4" x14ac:dyDescent="0.2">
      <c r="A10239" s="496"/>
      <c r="D10239" s="496"/>
    </row>
    <row r="10240" spans="1:4" x14ac:dyDescent="0.2">
      <c r="A10240" s="496"/>
      <c r="D10240" s="496"/>
    </row>
    <row r="10241" spans="1:4" x14ac:dyDescent="0.2">
      <c r="A10241" s="496"/>
      <c r="D10241" s="496"/>
    </row>
    <row r="10242" spans="1:4" x14ac:dyDescent="0.2">
      <c r="A10242" s="496"/>
      <c r="D10242" s="496"/>
    </row>
    <row r="10243" spans="1:4" x14ac:dyDescent="0.2">
      <c r="A10243" s="496"/>
      <c r="D10243" s="496"/>
    </row>
    <row r="10244" spans="1:4" x14ac:dyDescent="0.2">
      <c r="A10244" s="496"/>
      <c r="D10244" s="496"/>
    </row>
    <row r="10245" spans="1:4" x14ac:dyDescent="0.2">
      <c r="A10245" s="496"/>
      <c r="D10245" s="496"/>
    </row>
    <row r="10246" spans="1:4" x14ac:dyDescent="0.2">
      <c r="A10246" s="496"/>
      <c r="D10246" s="496"/>
    </row>
    <row r="10247" spans="1:4" x14ac:dyDescent="0.2">
      <c r="A10247" s="496"/>
      <c r="D10247" s="496"/>
    </row>
    <row r="10248" spans="1:4" x14ac:dyDescent="0.2">
      <c r="A10248" s="496"/>
      <c r="D10248" s="496"/>
    </row>
    <row r="10249" spans="1:4" x14ac:dyDescent="0.2">
      <c r="A10249" s="496"/>
      <c r="D10249" s="496"/>
    </row>
    <row r="10250" spans="1:4" x14ac:dyDescent="0.2">
      <c r="A10250" s="496"/>
      <c r="D10250" s="496"/>
    </row>
    <row r="10251" spans="1:4" x14ac:dyDescent="0.2">
      <c r="A10251" s="496"/>
      <c r="D10251" s="496"/>
    </row>
    <row r="10252" spans="1:4" x14ac:dyDescent="0.2">
      <c r="A10252" s="496"/>
      <c r="D10252" s="496"/>
    </row>
    <row r="10253" spans="1:4" x14ac:dyDescent="0.2">
      <c r="A10253" s="496"/>
      <c r="D10253" s="496"/>
    </row>
    <row r="10254" spans="1:4" x14ac:dyDescent="0.2">
      <c r="A10254" s="496"/>
      <c r="D10254" s="496"/>
    </row>
    <row r="10255" spans="1:4" x14ac:dyDescent="0.2">
      <c r="A10255" s="496"/>
      <c r="D10255" s="496"/>
    </row>
    <row r="10256" spans="1:4" x14ac:dyDescent="0.2">
      <c r="A10256" s="496"/>
      <c r="D10256" s="496"/>
    </row>
    <row r="10257" spans="1:4" x14ac:dyDescent="0.2">
      <c r="A10257" s="496"/>
      <c r="D10257" s="496"/>
    </row>
    <row r="10258" spans="1:4" x14ac:dyDescent="0.2">
      <c r="A10258" s="496"/>
      <c r="D10258" s="496"/>
    </row>
    <row r="10259" spans="1:4" x14ac:dyDescent="0.2">
      <c r="A10259" s="496"/>
      <c r="D10259" s="496"/>
    </row>
    <row r="10260" spans="1:4" x14ac:dyDescent="0.2">
      <c r="A10260" s="496"/>
      <c r="D10260" s="496"/>
    </row>
    <row r="10261" spans="1:4" x14ac:dyDescent="0.2">
      <c r="A10261" s="496"/>
      <c r="D10261" s="496"/>
    </row>
    <row r="10262" spans="1:4" x14ac:dyDescent="0.2">
      <c r="A10262" s="496"/>
      <c r="D10262" s="496"/>
    </row>
    <row r="10263" spans="1:4" x14ac:dyDescent="0.2">
      <c r="A10263" s="496"/>
      <c r="D10263" s="496"/>
    </row>
    <row r="10264" spans="1:4" x14ac:dyDescent="0.2">
      <c r="A10264" s="496"/>
      <c r="D10264" s="496"/>
    </row>
    <row r="10265" spans="1:4" x14ac:dyDescent="0.2">
      <c r="A10265" s="496"/>
      <c r="D10265" s="496"/>
    </row>
    <row r="10266" spans="1:4" x14ac:dyDescent="0.2">
      <c r="A10266" s="496"/>
      <c r="D10266" s="496"/>
    </row>
    <row r="10267" spans="1:4" x14ac:dyDescent="0.2">
      <c r="A10267" s="496"/>
      <c r="D10267" s="496"/>
    </row>
    <row r="10268" spans="1:4" x14ac:dyDescent="0.2">
      <c r="A10268" s="496"/>
      <c r="D10268" s="496"/>
    </row>
    <row r="10269" spans="1:4" x14ac:dyDescent="0.2">
      <c r="A10269" s="496"/>
      <c r="D10269" s="496"/>
    </row>
    <row r="10270" spans="1:4" x14ac:dyDescent="0.2">
      <c r="A10270" s="496"/>
      <c r="D10270" s="496"/>
    </row>
    <row r="10271" spans="1:4" x14ac:dyDescent="0.2">
      <c r="A10271" s="496"/>
      <c r="D10271" s="496"/>
    </row>
    <row r="10272" spans="1:4" x14ac:dyDescent="0.2">
      <c r="A10272" s="496"/>
      <c r="D10272" s="496"/>
    </row>
    <row r="10273" spans="1:4" x14ac:dyDescent="0.2">
      <c r="A10273" s="496"/>
      <c r="D10273" s="496"/>
    </row>
    <row r="10274" spans="1:4" x14ac:dyDescent="0.2">
      <c r="A10274" s="496"/>
      <c r="D10274" s="496"/>
    </row>
    <row r="10275" spans="1:4" x14ac:dyDescent="0.2">
      <c r="A10275" s="496"/>
      <c r="D10275" s="496"/>
    </row>
    <row r="10276" spans="1:4" x14ac:dyDescent="0.2">
      <c r="A10276" s="496"/>
      <c r="D10276" s="496"/>
    </row>
    <row r="10277" spans="1:4" x14ac:dyDescent="0.2">
      <c r="A10277" s="496"/>
      <c r="D10277" s="496"/>
    </row>
    <row r="10278" spans="1:4" x14ac:dyDescent="0.2">
      <c r="A10278" s="496"/>
      <c r="D10278" s="496"/>
    </row>
    <row r="10279" spans="1:4" x14ac:dyDescent="0.2">
      <c r="A10279" s="496"/>
      <c r="D10279" s="496"/>
    </row>
    <row r="10280" spans="1:4" x14ac:dyDescent="0.2">
      <c r="A10280" s="496"/>
      <c r="D10280" s="496"/>
    </row>
    <row r="10281" spans="1:4" x14ac:dyDescent="0.2">
      <c r="A10281" s="496"/>
      <c r="D10281" s="496"/>
    </row>
    <row r="10282" spans="1:4" x14ac:dyDescent="0.2">
      <c r="A10282" s="496"/>
      <c r="D10282" s="496"/>
    </row>
    <row r="10283" spans="1:4" x14ac:dyDescent="0.2">
      <c r="A10283" s="496"/>
      <c r="D10283" s="496"/>
    </row>
    <row r="10284" spans="1:4" x14ac:dyDescent="0.2">
      <c r="A10284" s="496"/>
      <c r="D10284" s="496"/>
    </row>
    <row r="10285" spans="1:4" x14ac:dyDescent="0.2">
      <c r="A10285" s="496"/>
      <c r="D10285" s="496"/>
    </row>
    <row r="10286" spans="1:4" x14ac:dyDescent="0.2">
      <c r="A10286" s="496"/>
      <c r="D10286" s="496"/>
    </row>
    <row r="10287" spans="1:4" x14ac:dyDescent="0.2">
      <c r="A10287" s="496"/>
      <c r="D10287" s="496"/>
    </row>
    <row r="10288" spans="1:4" x14ac:dyDescent="0.2">
      <c r="A10288" s="496"/>
      <c r="D10288" s="496"/>
    </row>
    <row r="10289" spans="1:4" x14ac:dyDescent="0.2">
      <c r="A10289" s="496"/>
      <c r="D10289" s="496"/>
    </row>
    <row r="10290" spans="1:4" x14ac:dyDescent="0.2">
      <c r="A10290" s="496"/>
      <c r="D10290" s="496"/>
    </row>
    <row r="10291" spans="1:4" x14ac:dyDescent="0.2">
      <c r="A10291" s="496"/>
      <c r="D10291" s="496"/>
    </row>
    <row r="10292" spans="1:4" x14ac:dyDescent="0.2">
      <c r="A10292" s="496"/>
      <c r="D10292" s="496"/>
    </row>
    <row r="10293" spans="1:4" x14ac:dyDescent="0.2">
      <c r="A10293" s="496"/>
      <c r="D10293" s="496"/>
    </row>
    <row r="10294" spans="1:4" x14ac:dyDescent="0.2">
      <c r="A10294" s="496"/>
      <c r="D10294" s="496"/>
    </row>
    <row r="10295" spans="1:4" x14ac:dyDescent="0.2">
      <c r="A10295" s="496"/>
      <c r="D10295" s="496"/>
    </row>
    <row r="10296" spans="1:4" x14ac:dyDescent="0.2">
      <c r="A10296" s="496"/>
      <c r="D10296" s="496"/>
    </row>
    <row r="10297" spans="1:4" x14ac:dyDescent="0.2">
      <c r="A10297" s="496"/>
      <c r="D10297" s="496"/>
    </row>
    <row r="10298" spans="1:4" x14ac:dyDescent="0.2">
      <c r="A10298" s="496"/>
      <c r="D10298" s="496"/>
    </row>
    <row r="10299" spans="1:4" x14ac:dyDescent="0.2">
      <c r="A10299" s="496"/>
      <c r="D10299" s="496"/>
    </row>
    <row r="10300" spans="1:4" x14ac:dyDescent="0.2">
      <c r="A10300" s="496"/>
      <c r="D10300" s="496"/>
    </row>
    <row r="10301" spans="1:4" x14ac:dyDescent="0.2">
      <c r="A10301" s="496"/>
      <c r="D10301" s="496"/>
    </row>
    <row r="10302" spans="1:4" x14ac:dyDescent="0.2">
      <c r="A10302" s="496"/>
      <c r="D10302" s="496"/>
    </row>
    <row r="10303" spans="1:4" x14ac:dyDescent="0.2">
      <c r="A10303" s="496"/>
      <c r="D10303" s="496"/>
    </row>
    <row r="10304" spans="1:4" x14ac:dyDescent="0.2">
      <c r="A10304" s="496"/>
      <c r="D10304" s="496"/>
    </row>
    <row r="10305" spans="1:4" x14ac:dyDescent="0.2">
      <c r="A10305" s="496"/>
      <c r="D10305" s="496"/>
    </row>
    <row r="10306" spans="1:4" x14ac:dyDescent="0.2">
      <c r="A10306" s="496"/>
      <c r="D10306" s="496"/>
    </row>
    <row r="10307" spans="1:4" x14ac:dyDescent="0.2">
      <c r="A10307" s="496"/>
      <c r="D10307" s="496"/>
    </row>
    <row r="10308" spans="1:4" x14ac:dyDescent="0.2">
      <c r="A10308" s="496"/>
      <c r="D10308" s="496"/>
    </row>
    <row r="10309" spans="1:4" x14ac:dyDescent="0.2">
      <c r="A10309" s="496"/>
      <c r="D10309" s="496"/>
    </row>
    <row r="10310" spans="1:4" x14ac:dyDescent="0.2">
      <c r="A10310" s="496"/>
      <c r="D10310" s="496"/>
    </row>
    <row r="10311" spans="1:4" x14ac:dyDescent="0.2">
      <c r="A10311" s="496"/>
      <c r="D10311" s="496"/>
    </row>
    <row r="10312" spans="1:4" x14ac:dyDescent="0.2">
      <c r="A10312" s="496"/>
      <c r="D10312" s="496"/>
    </row>
    <row r="10313" spans="1:4" x14ac:dyDescent="0.2">
      <c r="A10313" s="496"/>
      <c r="D10313" s="496"/>
    </row>
    <row r="10314" spans="1:4" x14ac:dyDescent="0.2">
      <c r="A10314" s="496"/>
      <c r="D10314" s="496"/>
    </row>
    <row r="10315" spans="1:4" x14ac:dyDescent="0.2">
      <c r="A10315" s="496"/>
      <c r="D10315" s="496"/>
    </row>
    <row r="10316" spans="1:4" x14ac:dyDescent="0.2">
      <c r="A10316" s="496"/>
      <c r="D10316" s="496"/>
    </row>
    <row r="10317" spans="1:4" x14ac:dyDescent="0.2">
      <c r="A10317" s="496"/>
      <c r="D10317" s="496"/>
    </row>
    <row r="10318" spans="1:4" x14ac:dyDescent="0.2">
      <c r="A10318" s="496"/>
      <c r="D10318" s="496"/>
    </row>
    <row r="10319" spans="1:4" x14ac:dyDescent="0.2">
      <c r="A10319" s="496"/>
      <c r="D10319" s="496"/>
    </row>
    <row r="10320" spans="1:4" x14ac:dyDescent="0.2">
      <c r="A10320" s="496"/>
      <c r="D10320" s="496"/>
    </row>
    <row r="10321" spans="1:4" x14ac:dyDescent="0.2">
      <c r="A10321" s="496"/>
      <c r="D10321" s="496"/>
    </row>
    <row r="10322" spans="1:4" x14ac:dyDescent="0.2">
      <c r="A10322" s="496"/>
      <c r="D10322" s="496"/>
    </row>
    <row r="10323" spans="1:4" x14ac:dyDescent="0.2">
      <c r="A10323" s="496"/>
      <c r="D10323" s="496"/>
    </row>
    <row r="10324" spans="1:4" x14ac:dyDescent="0.2">
      <c r="A10324" s="496"/>
      <c r="D10324" s="496"/>
    </row>
    <row r="10325" spans="1:4" x14ac:dyDescent="0.2">
      <c r="A10325" s="496"/>
      <c r="D10325" s="496"/>
    </row>
    <row r="10326" spans="1:4" x14ac:dyDescent="0.2">
      <c r="A10326" s="496"/>
      <c r="D10326" s="496"/>
    </row>
    <row r="10327" spans="1:4" x14ac:dyDescent="0.2">
      <c r="A10327" s="496"/>
      <c r="D10327" s="496"/>
    </row>
    <row r="10328" spans="1:4" x14ac:dyDescent="0.2">
      <c r="A10328" s="496"/>
      <c r="D10328" s="496"/>
    </row>
    <row r="10329" spans="1:4" x14ac:dyDescent="0.2">
      <c r="A10329" s="496"/>
      <c r="D10329" s="496"/>
    </row>
    <row r="10330" spans="1:4" x14ac:dyDescent="0.2">
      <c r="A10330" s="496"/>
      <c r="D10330" s="496"/>
    </row>
    <row r="10331" spans="1:4" x14ac:dyDescent="0.2">
      <c r="A10331" s="496"/>
      <c r="D10331" s="496"/>
    </row>
    <row r="10332" spans="1:4" x14ac:dyDescent="0.2">
      <c r="A10332" s="496"/>
      <c r="D10332" s="496"/>
    </row>
    <row r="10333" spans="1:4" x14ac:dyDescent="0.2">
      <c r="A10333" s="496"/>
      <c r="D10333" s="496"/>
    </row>
    <row r="10334" spans="1:4" x14ac:dyDescent="0.2">
      <c r="A10334" s="496"/>
      <c r="D10334" s="496"/>
    </row>
    <row r="10335" spans="1:4" x14ac:dyDescent="0.2">
      <c r="A10335" s="496"/>
      <c r="D10335" s="496"/>
    </row>
    <row r="10336" spans="1:4" x14ac:dyDescent="0.2">
      <c r="A10336" s="496"/>
      <c r="D10336" s="496"/>
    </row>
    <row r="10337" spans="1:4" x14ac:dyDescent="0.2">
      <c r="A10337" s="496"/>
      <c r="D10337" s="496"/>
    </row>
    <row r="10338" spans="1:4" x14ac:dyDescent="0.2">
      <c r="A10338" s="496"/>
      <c r="D10338" s="496"/>
    </row>
    <row r="10339" spans="1:4" x14ac:dyDescent="0.2">
      <c r="A10339" s="496"/>
      <c r="D10339" s="496"/>
    </row>
    <row r="10340" spans="1:4" x14ac:dyDescent="0.2">
      <c r="A10340" s="496"/>
      <c r="D10340" s="496"/>
    </row>
    <row r="10341" spans="1:4" x14ac:dyDescent="0.2">
      <c r="A10341" s="496"/>
      <c r="D10341" s="496"/>
    </row>
    <row r="10342" spans="1:4" x14ac:dyDescent="0.2">
      <c r="A10342" s="496"/>
      <c r="D10342" s="496"/>
    </row>
    <row r="10343" spans="1:4" x14ac:dyDescent="0.2">
      <c r="A10343" s="496"/>
      <c r="D10343" s="496"/>
    </row>
    <row r="10344" spans="1:4" x14ac:dyDescent="0.2">
      <c r="A10344" s="496"/>
      <c r="D10344" s="496"/>
    </row>
    <row r="10345" spans="1:4" x14ac:dyDescent="0.2">
      <c r="A10345" s="496"/>
      <c r="D10345" s="496"/>
    </row>
    <row r="10346" spans="1:4" x14ac:dyDescent="0.2">
      <c r="A10346" s="496"/>
      <c r="D10346" s="496"/>
    </row>
    <row r="10347" spans="1:4" x14ac:dyDescent="0.2">
      <c r="A10347" s="496"/>
      <c r="D10347" s="496"/>
    </row>
    <row r="10348" spans="1:4" x14ac:dyDescent="0.2">
      <c r="A10348" s="496"/>
      <c r="D10348" s="496"/>
    </row>
    <row r="10349" spans="1:4" x14ac:dyDescent="0.2">
      <c r="A10349" s="496"/>
      <c r="D10349" s="496"/>
    </row>
    <row r="10350" spans="1:4" x14ac:dyDescent="0.2">
      <c r="A10350" s="496"/>
      <c r="D10350" s="496"/>
    </row>
    <row r="10351" spans="1:4" x14ac:dyDescent="0.2">
      <c r="A10351" s="496"/>
      <c r="D10351" s="496"/>
    </row>
    <row r="10352" spans="1:4" x14ac:dyDescent="0.2">
      <c r="A10352" s="496"/>
      <c r="D10352" s="496"/>
    </row>
    <row r="10353" spans="1:4" x14ac:dyDescent="0.2">
      <c r="A10353" s="496"/>
      <c r="D10353" s="496"/>
    </row>
    <row r="10354" spans="1:4" x14ac:dyDescent="0.2">
      <c r="A10354" s="496"/>
      <c r="D10354" s="496"/>
    </row>
    <row r="10355" spans="1:4" x14ac:dyDescent="0.2">
      <c r="A10355" s="496"/>
      <c r="D10355" s="496"/>
    </row>
    <row r="10356" spans="1:4" x14ac:dyDescent="0.2">
      <c r="A10356" s="496"/>
      <c r="D10356" s="496"/>
    </row>
    <row r="10357" spans="1:4" x14ac:dyDescent="0.2">
      <c r="A10357" s="496"/>
      <c r="D10357" s="496"/>
    </row>
    <row r="10358" spans="1:4" x14ac:dyDescent="0.2">
      <c r="A10358" s="496"/>
      <c r="D10358" s="496"/>
    </row>
    <row r="10359" spans="1:4" x14ac:dyDescent="0.2">
      <c r="A10359" s="496"/>
      <c r="D10359" s="496"/>
    </row>
    <row r="10360" spans="1:4" x14ac:dyDescent="0.2">
      <c r="A10360" s="496"/>
      <c r="D10360" s="496"/>
    </row>
    <row r="10361" spans="1:4" x14ac:dyDescent="0.2">
      <c r="A10361" s="496"/>
      <c r="D10361" s="496"/>
    </row>
    <row r="10362" spans="1:4" x14ac:dyDescent="0.2">
      <c r="A10362" s="496"/>
      <c r="D10362" s="496"/>
    </row>
    <row r="10363" spans="1:4" x14ac:dyDescent="0.2">
      <c r="A10363" s="496"/>
      <c r="D10363" s="496"/>
    </row>
    <row r="10364" spans="1:4" x14ac:dyDescent="0.2">
      <c r="A10364" s="496"/>
      <c r="D10364" s="496"/>
    </row>
    <row r="10365" spans="1:4" x14ac:dyDescent="0.2">
      <c r="A10365" s="496"/>
      <c r="D10365" s="496"/>
    </row>
    <row r="10366" spans="1:4" x14ac:dyDescent="0.2">
      <c r="A10366" s="496"/>
      <c r="D10366" s="496"/>
    </row>
    <row r="10367" spans="1:4" x14ac:dyDescent="0.2">
      <c r="A10367" s="496"/>
      <c r="D10367" s="496"/>
    </row>
    <row r="10368" spans="1:4" x14ac:dyDescent="0.2">
      <c r="A10368" s="496"/>
      <c r="D10368" s="496"/>
    </row>
    <row r="10369" spans="1:4" x14ac:dyDescent="0.2">
      <c r="A10369" s="496"/>
      <c r="D10369" s="496"/>
    </row>
    <row r="10370" spans="1:4" x14ac:dyDescent="0.2">
      <c r="A10370" s="496"/>
      <c r="D10370" s="496"/>
    </row>
    <row r="10371" spans="1:4" x14ac:dyDescent="0.2">
      <c r="A10371" s="496"/>
      <c r="D10371" s="496"/>
    </row>
    <row r="10372" spans="1:4" x14ac:dyDescent="0.2">
      <c r="A10372" s="496"/>
      <c r="D10372" s="496"/>
    </row>
    <row r="10373" spans="1:4" x14ac:dyDescent="0.2">
      <c r="A10373" s="496"/>
      <c r="D10373" s="496"/>
    </row>
    <row r="10374" spans="1:4" x14ac:dyDescent="0.2">
      <c r="A10374" s="496"/>
      <c r="D10374" s="496"/>
    </row>
    <row r="10375" spans="1:4" x14ac:dyDescent="0.2">
      <c r="A10375" s="496"/>
      <c r="D10375" s="496"/>
    </row>
    <row r="10376" spans="1:4" x14ac:dyDescent="0.2">
      <c r="A10376" s="496"/>
      <c r="D10376" s="496"/>
    </row>
    <row r="10377" spans="1:4" x14ac:dyDescent="0.2">
      <c r="A10377" s="496"/>
      <c r="D10377" s="496"/>
    </row>
    <row r="10378" spans="1:4" x14ac:dyDescent="0.2">
      <c r="A10378" s="496"/>
      <c r="D10378" s="496"/>
    </row>
    <row r="10379" spans="1:4" x14ac:dyDescent="0.2">
      <c r="A10379" s="496"/>
      <c r="D10379" s="496"/>
    </row>
    <row r="10380" spans="1:4" x14ac:dyDescent="0.2">
      <c r="A10380" s="496"/>
      <c r="D10380" s="496"/>
    </row>
    <row r="10381" spans="1:4" x14ac:dyDescent="0.2">
      <c r="A10381" s="496"/>
      <c r="D10381" s="496"/>
    </row>
    <row r="10382" spans="1:4" x14ac:dyDescent="0.2">
      <c r="A10382" s="496"/>
      <c r="D10382" s="496"/>
    </row>
    <row r="10383" spans="1:4" x14ac:dyDescent="0.2">
      <c r="A10383" s="496"/>
      <c r="D10383" s="496"/>
    </row>
    <row r="10384" spans="1:4" x14ac:dyDescent="0.2">
      <c r="A10384" s="496"/>
      <c r="D10384" s="496"/>
    </row>
    <row r="10385" spans="1:4" x14ac:dyDescent="0.2">
      <c r="A10385" s="496"/>
      <c r="D10385" s="496"/>
    </row>
    <row r="10386" spans="1:4" x14ac:dyDescent="0.2">
      <c r="A10386" s="496"/>
      <c r="D10386" s="496"/>
    </row>
    <row r="10387" spans="1:4" x14ac:dyDescent="0.2">
      <c r="A10387" s="496"/>
      <c r="D10387" s="496"/>
    </row>
    <row r="10388" spans="1:4" x14ac:dyDescent="0.2">
      <c r="A10388" s="496"/>
      <c r="D10388" s="496"/>
    </row>
    <row r="10389" spans="1:4" x14ac:dyDescent="0.2">
      <c r="A10389" s="496"/>
      <c r="D10389" s="496"/>
    </row>
    <row r="10390" spans="1:4" x14ac:dyDescent="0.2">
      <c r="A10390" s="496"/>
      <c r="D10390" s="496"/>
    </row>
    <row r="10391" spans="1:4" x14ac:dyDescent="0.2">
      <c r="A10391" s="496"/>
      <c r="D10391" s="496"/>
    </row>
    <row r="10392" spans="1:4" x14ac:dyDescent="0.2">
      <c r="A10392" s="496"/>
      <c r="D10392" s="496"/>
    </row>
    <row r="10393" spans="1:4" x14ac:dyDescent="0.2">
      <c r="A10393" s="496"/>
      <c r="D10393" s="496"/>
    </row>
    <row r="10394" spans="1:4" x14ac:dyDescent="0.2">
      <c r="A10394" s="496"/>
      <c r="D10394" s="496"/>
    </row>
    <row r="10395" spans="1:4" x14ac:dyDescent="0.2">
      <c r="A10395" s="496"/>
      <c r="D10395" s="496"/>
    </row>
    <row r="10396" spans="1:4" x14ac:dyDescent="0.2">
      <c r="A10396" s="496"/>
      <c r="D10396" s="496"/>
    </row>
    <row r="10397" spans="1:4" x14ac:dyDescent="0.2">
      <c r="A10397" s="496"/>
      <c r="D10397" s="496"/>
    </row>
    <row r="10398" spans="1:4" x14ac:dyDescent="0.2">
      <c r="A10398" s="496"/>
      <c r="D10398" s="496"/>
    </row>
    <row r="10399" spans="1:4" x14ac:dyDescent="0.2">
      <c r="A10399" s="496"/>
      <c r="D10399" s="496"/>
    </row>
    <row r="10400" spans="1:4" x14ac:dyDescent="0.2">
      <c r="A10400" s="496"/>
      <c r="D10400" s="496"/>
    </row>
    <row r="10401" spans="1:4" x14ac:dyDescent="0.2">
      <c r="A10401" s="496"/>
      <c r="D10401" s="496"/>
    </row>
    <row r="10402" spans="1:4" x14ac:dyDescent="0.2">
      <c r="A10402" s="496"/>
      <c r="D10402" s="496"/>
    </row>
    <row r="10403" spans="1:4" x14ac:dyDescent="0.2">
      <c r="A10403" s="496"/>
      <c r="D10403" s="496"/>
    </row>
    <row r="10404" spans="1:4" x14ac:dyDescent="0.2">
      <c r="A10404" s="496"/>
      <c r="D10404" s="496"/>
    </row>
    <row r="10405" spans="1:4" x14ac:dyDescent="0.2">
      <c r="A10405" s="496"/>
      <c r="D10405" s="496"/>
    </row>
    <row r="10406" spans="1:4" x14ac:dyDescent="0.2">
      <c r="A10406" s="496"/>
      <c r="D10406" s="496"/>
    </row>
    <row r="10407" spans="1:4" x14ac:dyDescent="0.2">
      <c r="A10407" s="496"/>
      <c r="D10407" s="496"/>
    </row>
    <row r="10408" spans="1:4" x14ac:dyDescent="0.2">
      <c r="A10408" s="496"/>
      <c r="D10408" s="496"/>
    </row>
    <row r="10409" spans="1:4" x14ac:dyDescent="0.2">
      <c r="A10409" s="496"/>
      <c r="D10409" s="496"/>
    </row>
    <row r="10410" spans="1:4" x14ac:dyDescent="0.2">
      <c r="A10410" s="496"/>
      <c r="D10410" s="496"/>
    </row>
    <row r="10411" spans="1:4" x14ac:dyDescent="0.2">
      <c r="A10411" s="496"/>
      <c r="D10411" s="496"/>
    </row>
    <row r="10412" spans="1:4" x14ac:dyDescent="0.2">
      <c r="A10412" s="496"/>
      <c r="D10412" s="496"/>
    </row>
    <row r="10413" spans="1:4" x14ac:dyDescent="0.2">
      <c r="A10413" s="496"/>
      <c r="D10413" s="496"/>
    </row>
    <row r="10414" spans="1:4" x14ac:dyDescent="0.2">
      <c r="A10414" s="496"/>
      <c r="D10414" s="496"/>
    </row>
    <row r="10415" spans="1:4" x14ac:dyDescent="0.2">
      <c r="A10415" s="496"/>
      <c r="D10415" s="496"/>
    </row>
    <row r="10416" spans="1:4" x14ac:dyDescent="0.2">
      <c r="A10416" s="496"/>
      <c r="D10416" s="496"/>
    </row>
    <row r="10417" spans="1:4" x14ac:dyDescent="0.2">
      <c r="A10417" s="496"/>
      <c r="D10417" s="496"/>
    </row>
    <row r="10418" spans="1:4" x14ac:dyDescent="0.2">
      <c r="A10418" s="496"/>
      <c r="D10418" s="496"/>
    </row>
    <row r="10419" spans="1:4" x14ac:dyDescent="0.2">
      <c r="A10419" s="496"/>
      <c r="D10419" s="496"/>
    </row>
    <row r="10420" spans="1:4" x14ac:dyDescent="0.2">
      <c r="A10420" s="496"/>
      <c r="D10420" s="496"/>
    </row>
    <row r="10421" spans="1:4" x14ac:dyDescent="0.2">
      <c r="A10421" s="496"/>
      <c r="D10421" s="496"/>
    </row>
    <row r="10422" spans="1:4" x14ac:dyDescent="0.2">
      <c r="A10422" s="496"/>
      <c r="D10422" s="496"/>
    </row>
    <row r="10423" spans="1:4" x14ac:dyDescent="0.2">
      <c r="A10423" s="496"/>
      <c r="D10423" s="496"/>
    </row>
    <row r="10424" spans="1:4" x14ac:dyDescent="0.2">
      <c r="A10424" s="496"/>
      <c r="D10424" s="496"/>
    </row>
    <row r="10425" spans="1:4" x14ac:dyDescent="0.2">
      <c r="A10425" s="496"/>
      <c r="D10425" s="496"/>
    </row>
    <row r="10426" spans="1:4" x14ac:dyDescent="0.2">
      <c r="A10426" s="496"/>
      <c r="D10426" s="496"/>
    </row>
    <row r="10427" spans="1:4" x14ac:dyDescent="0.2">
      <c r="A10427" s="496"/>
      <c r="D10427" s="496"/>
    </row>
    <row r="10428" spans="1:4" x14ac:dyDescent="0.2">
      <c r="A10428" s="496"/>
      <c r="D10428" s="496"/>
    </row>
    <row r="10429" spans="1:4" x14ac:dyDescent="0.2">
      <c r="A10429" s="496"/>
      <c r="D10429" s="496"/>
    </row>
    <row r="10430" spans="1:4" x14ac:dyDescent="0.2">
      <c r="A10430" s="496"/>
      <c r="D10430" s="496"/>
    </row>
    <row r="10431" spans="1:4" x14ac:dyDescent="0.2">
      <c r="A10431" s="496"/>
      <c r="D10431" s="496"/>
    </row>
    <row r="10432" spans="1:4" x14ac:dyDescent="0.2">
      <c r="A10432" s="496"/>
      <c r="D10432" s="496"/>
    </row>
    <row r="10433" spans="1:4" x14ac:dyDescent="0.2">
      <c r="A10433" s="496"/>
      <c r="D10433" s="496"/>
    </row>
    <row r="10434" spans="1:4" x14ac:dyDescent="0.2">
      <c r="A10434" s="496"/>
      <c r="D10434" s="496"/>
    </row>
    <row r="10435" spans="1:4" x14ac:dyDescent="0.2">
      <c r="A10435" s="496"/>
      <c r="D10435" s="496"/>
    </row>
    <row r="10436" spans="1:4" x14ac:dyDescent="0.2">
      <c r="A10436" s="496"/>
      <c r="D10436" s="496"/>
    </row>
    <row r="10437" spans="1:4" x14ac:dyDescent="0.2">
      <c r="A10437" s="496"/>
      <c r="D10437" s="496"/>
    </row>
    <row r="10438" spans="1:4" x14ac:dyDescent="0.2">
      <c r="A10438" s="496"/>
      <c r="D10438" s="496"/>
    </row>
    <row r="10439" spans="1:4" x14ac:dyDescent="0.2">
      <c r="A10439" s="496"/>
      <c r="D10439" s="496"/>
    </row>
    <row r="10440" spans="1:4" x14ac:dyDescent="0.2">
      <c r="A10440" s="496"/>
      <c r="D10440" s="496"/>
    </row>
    <row r="10441" spans="1:4" x14ac:dyDescent="0.2">
      <c r="A10441" s="496"/>
      <c r="D10441" s="496"/>
    </row>
    <row r="10442" spans="1:4" x14ac:dyDescent="0.2">
      <c r="A10442" s="496"/>
      <c r="D10442" s="496"/>
    </row>
    <row r="10443" spans="1:4" x14ac:dyDescent="0.2">
      <c r="A10443" s="496"/>
      <c r="D10443" s="496"/>
    </row>
    <row r="10444" spans="1:4" x14ac:dyDescent="0.2">
      <c r="A10444" s="496"/>
      <c r="D10444" s="496"/>
    </row>
    <row r="10445" spans="1:4" x14ac:dyDescent="0.2">
      <c r="A10445" s="496"/>
      <c r="D10445" s="496"/>
    </row>
    <row r="10446" spans="1:4" x14ac:dyDescent="0.2">
      <c r="A10446" s="496"/>
      <c r="D10446" s="496"/>
    </row>
    <row r="10447" spans="1:4" x14ac:dyDescent="0.2">
      <c r="A10447" s="496"/>
      <c r="D10447" s="496"/>
    </row>
    <row r="10448" spans="1:4" x14ac:dyDescent="0.2">
      <c r="A10448" s="496"/>
      <c r="D10448" s="496"/>
    </row>
    <row r="10449" spans="1:4" x14ac:dyDescent="0.2">
      <c r="A10449" s="496"/>
      <c r="D10449" s="496"/>
    </row>
    <row r="10450" spans="1:4" x14ac:dyDescent="0.2">
      <c r="A10450" s="496"/>
      <c r="D10450" s="496"/>
    </row>
    <row r="10451" spans="1:4" x14ac:dyDescent="0.2">
      <c r="A10451" s="496"/>
      <c r="D10451" s="496"/>
    </row>
    <row r="10452" spans="1:4" x14ac:dyDescent="0.2">
      <c r="A10452" s="496"/>
      <c r="D10452" s="496"/>
    </row>
    <row r="10453" spans="1:4" x14ac:dyDescent="0.2">
      <c r="A10453" s="496"/>
      <c r="D10453" s="496"/>
    </row>
    <row r="10454" spans="1:4" x14ac:dyDescent="0.2">
      <c r="A10454" s="496"/>
      <c r="D10454" s="496"/>
    </row>
    <row r="10455" spans="1:4" x14ac:dyDescent="0.2">
      <c r="A10455" s="496"/>
      <c r="D10455" s="496"/>
    </row>
    <row r="10456" spans="1:4" x14ac:dyDescent="0.2">
      <c r="A10456" s="496"/>
      <c r="D10456" s="496"/>
    </row>
    <row r="10457" spans="1:4" x14ac:dyDescent="0.2">
      <c r="A10457" s="496"/>
      <c r="D10457" s="496"/>
    </row>
    <row r="10458" spans="1:4" x14ac:dyDescent="0.2">
      <c r="A10458" s="496"/>
      <c r="D10458" s="496"/>
    </row>
    <row r="10459" spans="1:4" x14ac:dyDescent="0.2">
      <c r="A10459" s="496"/>
      <c r="D10459" s="496"/>
    </row>
    <row r="10460" spans="1:4" x14ac:dyDescent="0.2">
      <c r="A10460" s="496"/>
      <c r="D10460" s="496"/>
    </row>
    <row r="10461" spans="1:4" x14ac:dyDescent="0.2">
      <c r="A10461" s="496"/>
      <c r="D10461" s="496"/>
    </row>
    <row r="10462" spans="1:4" x14ac:dyDescent="0.2">
      <c r="A10462" s="496"/>
      <c r="D10462" s="496"/>
    </row>
    <row r="10463" spans="1:4" x14ac:dyDescent="0.2">
      <c r="A10463" s="496"/>
      <c r="D10463" s="496"/>
    </row>
    <row r="10464" spans="1:4" x14ac:dyDescent="0.2">
      <c r="A10464" s="496"/>
      <c r="D10464" s="496"/>
    </row>
    <row r="10465" spans="1:4" x14ac:dyDescent="0.2">
      <c r="A10465" s="496"/>
      <c r="D10465" s="496"/>
    </row>
    <row r="10466" spans="1:4" x14ac:dyDescent="0.2">
      <c r="A10466" s="496"/>
      <c r="D10466" s="496"/>
    </row>
    <row r="10467" spans="1:4" x14ac:dyDescent="0.2">
      <c r="A10467" s="496"/>
      <c r="D10467" s="496"/>
    </row>
    <row r="10468" spans="1:4" x14ac:dyDescent="0.2">
      <c r="A10468" s="496"/>
      <c r="D10468" s="496"/>
    </row>
    <row r="10469" spans="1:4" x14ac:dyDescent="0.2">
      <c r="A10469" s="496"/>
      <c r="D10469" s="496"/>
    </row>
    <row r="10470" spans="1:4" x14ac:dyDescent="0.2">
      <c r="A10470" s="496"/>
      <c r="D10470" s="496"/>
    </row>
    <row r="10471" spans="1:4" x14ac:dyDescent="0.2">
      <c r="A10471" s="496"/>
      <c r="D10471" s="496"/>
    </row>
    <row r="10472" spans="1:4" x14ac:dyDescent="0.2">
      <c r="A10472" s="496"/>
      <c r="D10472" s="496"/>
    </row>
    <row r="10473" spans="1:4" x14ac:dyDescent="0.2">
      <c r="A10473" s="496"/>
      <c r="D10473" s="496"/>
    </row>
    <row r="10474" spans="1:4" x14ac:dyDescent="0.2">
      <c r="A10474" s="496"/>
      <c r="D10474" s="496"/>
    </row>
    <row r="10475" spans="1:4" x14ac:dyDescent="0.2">
      <c r="A10475" s="496"/>
      <c r="D10475" s="496"/>
    </row>
    <row r="10476" spans="1:4" x14ac:dyDescent="0.2">
      <c r="A10476" s="496"/>
      <c r="D10476" s="496"/>
    </row>
    <row r="10477" spans="1:4" x14ac:dyDescent="0.2">
      <c r="A10477" s="496"/>
      <c r="D10477" s="496"/>
    </row>
    <row r="10478" spans="1:4" x14ac:dyDescent="0.2">
      <c r="A10478" s="496"/>
      <c r="D10478" s="496"/>
    </row>
    <row r="10479" spans="1:4" x14ac:dyDescent="0.2">
      <c r="A10479" s="496"/>
      <c r="D10479" s="496"/>
    </row>
    <row r="10480" spans="1:4" x14ac:dyDescent="0.2">
      <c r="A10480" s="496"/>
      <c r="D10480" s="496"/>
    </row>
    <row r="10481" spans="1:4" x14ac:dyDescent="0.2">
      <c r="A10481" s="496"/>
      <c r="D10481" s="496"/>
    </row>
    <row r="10482" spans="1:4" x14ac:dyDescent="0.2">
      <c r="A10482" s="496"/>
      <c r="D10482" s="496"/>
    </row>
    <row r="10483" spans="1:4" x14ac:dyDescent="0.2">
      <c r="A10483" s="496"/>
      <c r="D10483" s="496"/>
    </row>
    <row r="10484" spans="1:4" x14ac:dyDescent="0.2">
      <c r="A10484" s="496"/>
      <c r="D10484" s="496"/>
    </row>
    <row r="10485" spans="1:4" x14ac:dyDescent="0.2">
      <c r="A10485" s="496"/>
      <c r="D10485" s="496"/>
    </row>
    <row r="10486" spans="1:4" x14ac:dyDescent="0.2">
      <c r="A10486" s="496"/>
      <c r="D10486" s="496"/>
    </row>
    <row r="10487" spans="1:4" x14ac:dyDescent="0.2">
      <c r="A10487" s="496"/>
      <c r="D10487" s="496"/>
    </row>
    <row r="10488" spans="1:4" x14ac:dyDescent="0.2">
      <c r="A10488" s="496"/>
      <c r="D10488" s="496"/>
    </row>
    <row r="10489" spans="1:4" x14ac:dyDescent="0.2">
      <c r="A10489" s="496"/>
      <c r="D10489" s="496"/>
    </row>
    <row r="10490" spans="1:4" x14ac:dyDescent="0.2">
      <c r="A10490" s="496"/>
      <c r="D10490" s="496"/>
    </row>
    <row r="10491" spans="1:4" x14ac:dyDescent="0.2">
      <c r="A10491" s="496"/>
      <c r="D10491" s="496"/>
    </row>
    <row r="10492" spans="1:4" x14ac:dyDescent="0.2">
      <c r="A10492" s="496"/>
      <c r="D10492" s="496"/>
    </row>
    <row r="10493" spans="1:4" x14ac:dyDescent="0.2">
      <c r="A10493" s="496"/>
      <c r="D10493" s="496"/>
    </row>
    <row r="10494" spans="1:4" x14ac:dyDescent="0.2">
      <c r="A10494" s="496"/>
      <c r="D10494" s="496"/>
    </row>
    <row r="10495" spans="1:4" x14ac:dyDescent="0.2">
      <c r="A10495" s="496"/>
      <c r="D10495" s="496"/>
    </row>
    <row r="10496" spans="1:4" x14ac:dyDescent="0.2">
      <c r="A10496" s="496"/>
      <c r="D10496" s="496"/>
    </row>
    <row r="10497" spans="1:4" x14ac:dyDescent="0.2">
      <c r="A10497" s="496"/>
      <c r="D10497" s="496"/>
    </row>
    <row r="10498" spans="1:4" x14ac:dyDescent="0.2">
      <c r="A10498" s="496"/>
      <c r="D10498" s="496"/>
    </row>
    <row r="10499" spans="1:4" x14ac:dyDescent="0.2">
      <c r="A10499" s="496"/>
      <c r="D10499" s="496"/>
    </row>
    <row r="10500" spans="1:4" x14ac:dyDescent="0.2">
      <c r="A10500" s="496"/>
      <c r="D10500" s="496"/>
    </row>
    <row r="10501" spans="1:4" x14ac:dyDescent="0.2">
      <c r="A10501" s="496"/>
      <c r="D10501" s="496"/>
    </row>
    <row r="10502" spans="1:4" x14ac:dyDescent="0.2">
      <c r="A10502" s="496"/>
      <c r="D10502" s="496"/>
    </row>
    <row r="10503" spans="1:4" x14ac:dyDescent="0.2">
      <c r="A10503" s="496"/>
      <c r="D10503" s="496"/>
    </row>
    <row r="10504" spans="1:4" x14ac:dyDescent="0.2">
      <c r="A10504" s="496"/>
      <c r="D10504" s="496"/>
    </row>
    <row r="10505" spans="1:4" x14ac:dyDescent="0.2">
      <c r="A10505" s="496"/>
      <c r="D10505" s="496"/>
    </row>
    <row r="10506" spans="1:4" x14ac:dyDescent="0.2">
      <c r="A10506" s="496"/>
      <c r="D10506" s="496"/>
    </row>
    <row r="10507" spans="1:4" x14ac:dyDescent="0.2">
      <c r="A10507" s="496"/>
      <c r="D10507" s="496"/>
    </row>
    <row r="10508" spans="1:4" x14ac:dyDescent="0.2">
      <c r="A10508" s="496"/>
      <c r="D10508" s="496"/>
    </row>
    <row r="10509" spans="1:4" x14ac:dyDescent="0.2">
      <c r="A10509" s="496"/>
      <c r="D10509" s="496"/>
    </row>
    <row r="10510" spans="1:4" x14ac:dyDescent="0.2">
      <c r="A10510" s="496"/>
      <c r="D10510" s="496"/>
    </row>
    <row r="10511" spans="1:4" x14ac:dyDescent="0.2">
      <c r="A10511" s="496"/>
      <c r="D10511" s="496"/>
    </row>
    <row r="10512" spans="1:4" x14ac:dyDescent="0.2">
      <c r="A10512" s="496"/>
      <c r="D10512" s="496"/>
    </row>
    <row r="10513" spans="1:4" x14ac:dyDescent="0.2">
      <c r="A10513" s="496"/>
      <c r="D10513" s="496"/>
    </row>
    <row r="10514" spans="1:4" x14ac:dyDescent="0.2">
      <c r="A10514" s="496"/>
      <c r="D10514" s="496"/>
    </row>
    <row r="10515" spans="1:4" x14ac:dyDescent="0.2">
      <c r="A10515" s="496"/>
      <c r="D10515" s="496"/>
    </row>
    <row r="10516" spans="1:4" x14ac:dyDescent="0.2">
      <c r="A10516" s="496"/>
      <c r="D10516" s="496"/>
    </row>
    <row r="10517" spans="1:4" x14ac:dyDescent="0.2">
      <c r="A10517" s="496"/>
      <c r="D10517" s="496"/>
    </row>
    <row r="10518" spans="1:4" x14ac:dyDescent="0.2">
      <c r="A10518" s="496"/>
      <c r="D10518" s="496"/>
    </row>
    <row r="10519" spans="1:4" x14ac:dyDescent="0.2">
      <c r="A10519" s="496"/>
      <c r="D10519" s="496"/>
    </row>
    <row r="10520" spans="1:4" x14ac:dyDescent="0.2">
      <c r="A10520" s="496"/>
      <c r="D10520" s="496"/>
    </row>
    <row r="10521" spans="1:4" x14ac:dyDescent="0.2">
      <c r="A10521" s="496"/>
      <c r="D10521" s="496"/>
    </row>
    <row r="10522" spans="1:4" x14ac:dyDescent="0.2">
      <c r="A10522" s="496"/>
      <c r="D10522" s="496"/>
    </row>
    <row r="10523" spans="1:4" x14ac:dyDescent="0.2">
      <c r="A10523" s="496"/>
      <c r="D10523" s="496"/>
    </row>
    <row r="10524" spans="1:4" x14ac:dyDescent="0.2">
      <c r="A10524" s="496"/>
      <c r="D10524" s="496"/>
    </row>
    <row r="10525" spans="1:4" x14ac:dyDescent="0.2">
      <c r="A10525" s="496"/>
      <c r="D10525" s="496"/>
    </row>
    <row r="10526" spans="1:4" x14ac:dyDescent="0.2">
      <c r="A10526" s="496"/>
      <c r="D10526" s="496"/>
    </row>
    <row r="10527" spans="1:4" x14ac:dyDescent="0.2">
      <c r="A10527" s="496"/>
      <c r="D10527" s="496"/>
    </row>
    <row r="10528" spans="1:4" x14ac:dyDescent="0.2">
      <c r="A10528" s="496"/>
      <c r="D10528" s="496"/>
    </row>
    <row r="10529" spans="1:4" x14ac:dyDescent="0.2">
      <c r="A10529" s="496"/>
      <c r="D10529" s="496"/>
    </row>
    <row r="10530" spans="1:4" x14ac:dyDescent="0.2">
      <c r="A10530" s="496"/>
      <c r="D10530" s="496"/>
    </row>
    <row r="10531" spans="1:4" x14ac:dyDescent="0.2">
      <c r="A10531" s="496"/>
      <c r="D10531" s="496"/>
    </row>
    <row r="10532" spans="1:4" x14ac:dyDescent="0.2">
      <c r="A10532" s="496"/>
      <c r="D10532" s="496"/>
    </row>
    <row r="10533" spans="1:4" x14ac:dyDescent="0.2">
      <c r="A10533" s="496"/>
      <c r="D10533" s="496"/>
    </row>
    <row r="10534" spans="1:4" x14ac:dyDescent="0.2">
      <c r="A10534" s="496"/>
      <c r="D10534" s="496"/>
    </row>
    <row r="10535" spans="1:4" x14ac:dyDescent="0.2">
      <c r="A10535" s="496"/>
      <c r="D10535" s="496"/>
    </row>
    <row r="10536" spans="1:4" x14ac:dyDescent="0.2">
      <c r="A10536" s="496"/>
      <c r="D10536" s="496"/>
    </row>
    <row r="10537" spans="1:4" x14ac:dyDescent="0.2">
      <c r="A10537" s="496"/>
      <c r="D10537" s="496"/>
    </row>
    <row r="10538" spans="1:4" x14ac:dyDescent="0.2">
      <c r="A10538" s="496"/>
      <c r="D10538" s="496"/>
    </row>
    <row r="10539" spans="1:4" x14ac:dyDescent="0.2">
      <c r="A10539" s="496"/>
      <c r="D10539" s="496"/>
    </row>
    <row r="10540" spans="1:4" x14ac:dyDescent="0.2">
      <c r="A10540" s="496"/>
      <c r="D10540" s="496"/>
    </row>
    <row r="10541" spans="1:4" x14ac:dyDescent="0.2">
      <c r="A10541" s="496"/>
      <c r="D10541" s="496"/>
    </row>
    <row r="10542" spans="1:4" x14ac:dyDescent="0.2">
      <c r="A10542" s="496"/>
      <c r="D10542" s="496"/>
    </row>
    <row r="10543" spans="1:4" x14ac:dyDescent="0.2">
      <c r="A10543" s="496"/>
      <c r="D10543" s="496"/>
    </row>
    <row r="10544" spans="1:4" x14ac:dyDescent="0.2">
      <c r="A10544" s="496"/>
      <c r="D10544" s="496"/>
    </row>
    <row r="10545" spans="1:4" x14ac:dyDescent="0.2">
      <c r="A10545" s="496"/>
      <c r="D10545" s="496"/>
    </row>
    <row r="10546" spans="1:4" x14ac:dyDescent="0.2">
      <c r="A10546" s="496"/>
      <c r="D10546" s="496"/>
    </row>
    <row r="10547" spans="1:4" x14ac:dyDescent="0.2">
      <c r="A10547" s="496"/>
      <c r="D10547" s="496"/>
    </row>
    <row r="10548" spans="1:4" x14ac:dyDescent="0.2">
      <c r="A10548" s="496"/>
      <c r="D10548" s="496"/>
    </row>
    <row r="10549" spans="1:4" x14ac:dyDescent="0.2">
      <c r="A10549" s="496"/>
      <c r="D10549" s="496"/>
    </row>
    <row r="10550" spans="1:4" x14ac:dyDescent="0.2">
      <c r="A10550" s="496"/>
      <c r="D10550" s="496"/>
    </row>
    <row r="10551" spans="1:4" x14ac:dyDescent="0.2">
      <c r="A10551" s="496"/>
      <c r="D10551" s="496"/>
    </row>
    <row r="10552" spans="1:4" x14ac:dyDescent="0.2">
      <c r="A10552" s="496"/>
      <c r="D10552" s="496"/>
    </row>
    <row r="10553" spans="1:4" x14ac:dyDescent="0.2">
      <c r="A10553" s="496"/>
      <c r="D10553" s="496"/>
    </row>
    <row r="10554" spans="1:4" x14ac:dyDescent="0.2">
      <c r="A10554" s="496"/>
      <c r="D10554" s="496"/>
    </row>
    <row r="10555" spans="1:4" x14ac:dyDescent="0.2">
      <c r="A10555" s="496"/>
      <c r="D10555" s="496"/>
    </row>
    <row r="10556" spans="1:4" x14ac:dyDescent="0.2">
      <c r="A10556" s="496"/>
      <c r="D10556" s="496"/>
    </row>
    <row r="10557" spans="1:4" x14ac:dyDescent="0.2">
      <c r="A10557" s="496"/>
      <c r="D10557" s="496"/>
    </row>
    <row r="10558" spans="1:4" x14ac:dyDescent="0.2">
      <c r="A10558" s="496"/>
      <c r="D10558" s="496"/>
    </row>
    <row r="10559" spans="1:4" x14ac:dyDescent="0.2">
      <c r="A10559" s="496"/>
      <c r="D10559" s="496"/>
    </row>
    <row r="10560" spans="1:4" x14ac:dyDescent="0.2">
      <c r="A10560" s="496"/>
      <c r="D10560" s="496"/>
    </row>
    <row r="10561" spans="1:4" x14ac:dyDescent="0.2">
      <c r="A10561" s="496"/>
      <c r="D10561" s="496"/>
    </row>
    <row r="10562" spans="1:4" x14ac:dyDescent="0.2">
      <c r="A10562" s="496"/>
      <c r="D10562" s="496"/>
    </row>
    <row r="10563" spans="1:4" x14ac:dyDescent="0.2">
      <c r="A10563" s="496"/>
      <c r="D10563" s="496"/>
    </row>
    <row r="10564" spans="1:4" x14ac:dyDescent="0.2">
      <c r="A10564" s="496"/>
      <c r="D10564" s="496"/>
    </row>
    <row r="10565" spans="1:4" x14ac:dyDescent="0.2">
      <c r="A10565" s="496"/>
      <c r="D10565" s="496"/>
    </row>
    <row r="10566" spans="1:4" x14ac:dyDescent="0.2">
      <c r="A10566" s="496"/>
      <c r="D10566" s="496"/>
    </row>
    <row r="10567" spans="1:4" x14ac:dyDescent="0.2">
      <c r="A10567" s="496"/>
      <c r="D10567" s="496"/>
    </row>
    <row r="10568" spans="1:4" x14ac:dyDescent="0.2">
      <c r="A10568" s="496"/>
      <c r="D10568" s="496"/>
    </row>
    <row r="10569" spans="1:4" x14ac:dyDescent="0.2">
      <c r="A10569" s="496"/>
      <c r="D10569" s="496"/>
    </row>
    <row r="10570" spans="1:4" x14ac:dyDescent="0.2">
      <c r="A10570" s="496"/>
      <c r="D10570" s="496"/>
    </row>
    <row r="10571" spans="1:4" x14ac:dyDescent="0.2">
      <c r="A10571" s="496"/>
      <c r="D10571" s="496"/>
    </row>
    <row r="10572" spans="1:4" x14ac:dyDescent="0.2">
      <c r="A10572" s="496"/>
      <c r="D10572" s="496"/>
    </row>
    <row r="10573" spans="1:4" x14ac:dyDescent="0.2">
      <c r="A10573" s="496"/>
      <c r="D10573" s="496"/>
    </row>
    <row r="10574" spans="1:4" x14ac:dyDescent="0.2">
      <c r="A10574" s="496"/>
      <c r="D10574" s="496"/>
    </row>
    <row r="10575" spans="1:4" x14ac:dyDescent="0.2">
      <c r="A10575" s="496"/>
      <c r="D10575" s="496"/>
    </row>
    <row r="10576" spans="1:4" x14ac:dyDescent="0.2">
      <c r="A10576" s="496"/>
      <c r="D10576" s="496"/>
    </row>
    <row r="10577" spans="1:4" x14ac:dyDescent="0.2">
      <c r="A10577" s="496"/>
      <c r="D10577" s="496"/>
    </row>
    <row r="10578" spans="1:4" x14ac:dyDescent="0.2">
      <c r="A10578" s="496"/>
      <c r="D10578" s="496"/>
    </row>
    <row r="10579" spans="1:4" x14ac:dyDescent="0.2">
      <c r="A10579" s="496"/>
      <c r="D10579" s="496"/>
    </row>
    <row r="10580" spans="1:4" x14ac:dyDescent="0.2">
      <c r="A10580" s="496"/>
      <c r="D10580" s="496"/>
    </row>
    <row r="10581" spans="1:4" x14ac:dyDescent="0.2">
      <c r="A10581" s="496"/>
      <c r="D10581" s="496"/>
    </row>
    <row r="10582" spans="1:4" x14ac:dyDescent="0.2">
      <c r="A10582" s="496"/>
      <c r="D10582" s="496"/>
    </row>
    <row r="10583" spans="1:4" x14ac:dyDescent="0.2">
      <c r="A10583" s="496"/>
      <c r="D10583" s="496"/>
    </row>
    <row r="10584" spans="1:4" x14ac:dyDescent="0.2">
      <c r="A10584" s="496"/>
      <c r="D10584" s="496"/>
    </row>
    <row r="10585" spans="1:4" x14ac:dyDescent="0.2">
      <c r="A10585" s="496"/>
      <c r="D10585" s="496"/>
    </row>
    <row r="10586" spans="1:4" x14ac:dyDescent="0.2">
      <c r="A10586" s="496"/>
      <c r="D10586" s="496"/>
    </row>
    <row r="10587" spans="1:4" x14ac:dyDescent="0.2">
      <c r="A10587" s="496"/>
      <c r="D10587" s="496"/>
    </row>
    <row r="10588" spans="1:4" x14ac:dyDescent="0.2">
      <c r="A10588" s="496"/>
      <c r="D10588" s="496"/>
    </row>
    <row r="10589" spans="1:4" x14ac:dyDescent="0.2">
      <c r="A10589" s="496"/>
      <c r="D10589" s="496"/>
    </row>
    <row r="10590" spans="1:4" x14ac:dyDescent="0.2">
      <c r="A10590" s="496"/>
      <c r="D10590" s="496"/>
    </row>
    <row r="10591" spans="1:4" x14ac:dyDescent="0.2">
      <c r="A10591" s="496"/>
      <c r="D10591" s="496"/>
    </row>
    <row r="10592" spans="1:4" x14ac:dyDescent="0.2">
      <c r="A10592" s="496"/>
      <c r="D10592" s="496"/>
    </row>
    <row r="10593" spans="1:4" x14ac:dyDescent="0.2">
      <c r="A10593" s="496"/>
      <c r="D10593" s="496"/>
    </row>
    <row r="10594" spans="1:4" x14ac:dyDescent="0.2">
      <c r="A10594" s="496"/>
      <c r="D10594" s="496"/>
    </row>
    <row r="10595" spans="1:4" x14ac:dyDescent="0.2">
      <c r="A10595" s="496"/>
      <c r="D10595" s="496"/>
    </row>
    <row r="10596" spans="1:4" x14ac:dyDescent="0.2">
      <c r="A10596" s="496"/>
      <c r="D10596" s="496"/>
    </row>
    <row r="10597" spans="1:4" x14ac:dyDescent="0.2">
      <c r="A10597" s="496"/>
      <c r="D10597" s="496"/>
    </row>
    <row r="10598" spans="1:4" x14ac:dyDescent="0.2">
      <c r="A10598" s="496"/>
      <c r="D10598" s="496"/>
    </row>
    <row r="10599" spans="1:4" x14ac:dyDescent="0.2">
      <c r="A10599" s="496"/>
      <c r="D10599" s="496"/>
    </row>
    <row r="10600" spans="1:4" x14ac:dyDescent="0.2">
      <c r="A10600" s="496"/>
      <c r="D10600" s="496"/>
    </row>
    <row r="10601" spans="1:4" x14ac:dyDescent="0.2">
      <c r="A10601" s="496"/>
      <c r="D10601" s="496"/>
    </row>
    <row r="10602" spans="1:4" x14ac:dyDescent="0.2">
      <c r="A10602" s="496"/>
      <c r="D10602" s="496"/>
    </row>
    <row r="10603" spans="1:4" x14ac:dyDescent="0.2">
      <c r="A10603" s="496"/>
      <c r="D10603" s="496"/>
    </row>
    <row r="10604" spans="1:4" x14ac:dyDescent="0.2">
      <c r="A10604" s="496"/>
      <c r="D10604" s="496"/>
    </row>
    <row r="10605" spans="1:4" x14ac:dyDescent="0.2">
      <c r="A10605" s="496"/>
      <c r="D10605" s="496"/>
    </row>
    <row r="10606" spans="1:4" x14ac:dyDescent="0.2">
      <c r="A10606" s="496"/>
      <c r="D10606" s="496"/>
    </row>
    <row r="10607" spans="1:4" x14ac:dyDescent="0.2">
      <c r="A10607" s="496"/>
      <c r="D10607" s="496"/>
    </row>
    <row r="10608" spans="1:4" x14ac:dyDescent="0.2">
      <c r="A10608" s="496"/>
      <c r="D10608" s="496"/>
    </row>
    <row r="10609" spans="1:4" x14ac:dyDescent="0.2">
      <c r="A10609" s="496"/>
      <c r="D10609" s="496"/>
    </row>
    <row r="10610" spans="1:4" x14ac:dyDescent="0.2">
      <c r="A10610" s="496"/>
      <c r="D10610" s="496"/>
    </row>
    <row r="10611" spans="1:4" x14ac:dyDescent="0.2">
      <c r="A10611" s="496"/>
      <c r="D10611" s="496"/>
    </row>
    <row r="10612" spans="1:4" x14ac:dyDescent="0.2">
      <c r="A10612" s="496"/>
      <c r="D10612" s="496"/>
    </row>
    <row r="10613" spans="1:4" x14ac:dyDescent="0.2">
      <c r="A10613" s="496"/>
      <c r="D10613" s="496"/>
    </row>
    <row r="10614" spans="1:4" x14ac:dyDescent="0.2">
      <c r="A10614" s="496"/>
      <c r="D10614" s="496"/>
    </row>
    <row r="10615" spans="1:4" x14ac:dyDescent="0.2">
      <c r="A10615" s="496"/>
      <c r="D10615" s="496"/>
    </row>
    <row r="10616" spans="1:4" x14ac:dyDescent="0.2">
      <c r="A10616" s="496"/>
      <c r="D10616" s="496"/>
    </row>
    <row r="10617" spans="1:4" x14ac:dyDescent="0.2">
      <c r="A10617" s="496"/>
      <c r="D10617" s="496"/>
    </row>
    <row r="10618" spans="1:4" x14ac:dyDescent="0.2">
      <c r="A10618" s="496"/>
      <c r="D10618" s="496"/>
    </row>
    <row r="10619" spans="1:4" x14ac:dyDescent="0.2">
      <c r="A10619" s="496"/>
      <c r="D10619" s="496"/>
    </row>
    <row r="10620" spans="1:4" x14ac:dyDescent="0.2">
      <c r="A10620" s="496"/>
      <c r="D10620" s="496"/>
    </row>
    <row r="10621" spans="1:4" x14ac:dyDescent="0.2">
      <c r="A10621" s="496"/>
      <c r="D10621" s="496"/>
    </row>
    <row r="10622" spans="1:4" x14ac:dyDescent="0.2">
      <c r="A10622" s="496"/>
      <c r="D10622" s="496"/>
    </row>
    <row r="10623" spans="1:4" x14ac:dyDescent="0.2">
      <c r="A10623" s="496"/>
      <c r="D10623" s="496"/>
    </row>
    <row r="10624" spans="1:4" x14ac:dyDescent="0.2">
      <c r="A10624" s="496"/>
      <c r="D10624" s="496"/>
    </row>
    <row r="10625" spans="1:4" x14ac:dyDescent="0.2">
      <c r="A10625" s="496"/>
      <c r="D10625" s="496"/>
    </row>
    <row r="10626" spans="1:4" x14ac:dyDescent="0.2">
      <c r="A10626" s="496"/>
      <c r="D10626" s="496"/>
    </row>
    <row r="10627" spans="1:4" x14ac:dyDescent="0.2">
      <c r="A10627" s="496"/>
      <c r="D10627" s="496"/>
    </row>
    <row r="10628" spans="1:4" x14ac:dyDescent="0.2">
      <c r="A10628" s="496"/>
      <c r="D10628" s="496"/>
    </row>
    <row r="10629" spans="1:4" x14ac:dyDescent="0.2">
      <c r="A10629" s="496"/>
      <c r="D10629" s="496"/>
    </row>
    <row r="10630" spans="1:4" x14ac:dyDescent="0.2">
      <c r="A10630" s="496"/>
      <c r="D10630" s="496"/>
    </row>
    <row r="10631" spans="1:4" x14ac:dyDescent="0.2">
      <c r="A10631" s="496"/>
      <c r="D10631" s="496"/>
    </row>
    <row r="10632" spans="1:4" x14ac:dyDescent="0.2">
      <c r="A10632" s="496"/>
      <c r="D10632" s="496"/>
    </row>
    <row r="10633" spans="1:4" x14ac:dyDescent="0.2">
      <c r="A10633" s="496"/>
      <c r="D10633" s="496"/>
    </row>
    <row r="10634" spans="1:4" x14ac:dyDescent="0.2">
      <c r="A10634" s="496"/>
      <c r="D10634" s="496"/>
    </row>
    <row r="10635" spans="1:4" x14ac:dyDescent="0.2">
      <c r="A10635" s="496"/>
      <c r="D10635" s="496"/>
    </row>
    <row r="10636" spans="1:4" x14ac:dyDescent="0.2">
      <c r="A10636" s="496"/>
      <c r="D10636" s="496"/>
    </row>
    <row r="10637" spans="1:4" x14ac:dyDescent="0.2">
      <c r="A10637" s="496"/>
      <c r="D10637" s="496"/>
    </row>
    <row r="10638" spans="1:4" x14ac:dyDescent="0.2">
      <c r="A10638" s="496"/>
      <c r="D10638" s="496"/>
    </row>
    <row r="10639" spans="1:4" x14ac:dyDescent="0.2">
      <c r="A10639" s="496"/>
      <c r="D10639" s="496"/>
    </row>
    <row r="10640" spans="1:4" x14ac:dyDescent="0.2">
      <c r="A10640" s="496"/>
      <c r="D10640" s="496"/>
    </row>
    <row r="10641" spans="1:4" x14ac:dyDescent="0.2">
      <c r="A10641" s="496"/>
      <c r="D10641" s="496"/>
    </row>
    <row r="10642" spans="1:4" x14ac:dyDescent="0.2">
      <c r="A10642" s="496"/>
      <c r="D10642" s="496"/>
    </row>
    <row r="10643" spans="1:4" x14ac:dyDescent="0.2">
      <c r="A10643" s="496"/>
      <c r="D10643" s="496"/>
    </row>
    <row r="10644" spans="1:4" x14ac:dyDescent="0.2">
      <c r="A10644" s="496"/>
      <c r="D10644" s="496"/>
    </row>
    <row r="10645" spans="1:4" x14ac:dyDescent="0.2">
      <c r="A10645" s="496"/>
      <c r="D10645" s="496"/>
    </row>
    <row r="10646" spans="1:4" x14ac:dyDescent="0.2">
      <c r="A10646" s="496"/>
      <c r="D10646" s="496"/>
    </row>
    <row r="10647" spans="1:4" x14ac:dyDescent="0.2">
      <c r="A10647" s="496"/>
      <c r="D10647" s="496"/>
    </row>
    <row r="10648" spans="1:4" x14ac:dyDescent="0.2">
      <c r="A10648" s="496"/>
      <c r="D10648" s="496"/>
    </row>
    <row r="10649" spans="1:4" x14ac:dyDescent="0.2">
      <c r="A10649" s="496"/>
      <c r="D10649" s="496"/>
    </row>
    <row r="10650" spans="1:4" x14ac:dyDescent="0.2">
      <c r="A10650" s="496"/>
      <c r="D10650" s="496"/>
    </row>
    <row r="10651" spans="1:4" x14ac:dyDescent="0.2">
      <c r="A10651" s="496"/>
      <c r="D10651" s="496"/>
    </row>
    <row r="10652" spans="1:4" x14ac:dyDescent="0.2">
      <c r="A10652" s="496"/>
      <c r="D10652" s="496"/>
    </row>
    <row r="10653" spans="1:4" x14ac:dyDescent="0.2">
      <c r="A10653" s="496"/>
      <c r="D10653" s="496"/>
    </row>
    <row r="10654" spans="1:4" x14ac:dyDescent="0.2">
      <c r="A10654" s="496"/>
      <c r="D10654" s="496"/>
    </row>
    <row r="10655" spans="1:4" x14ac:dyDescent="0.2">
      <c r="A10655" s="496"/>
      <c r="D10655" s="496"/>
    </row>
    <row r="10656" spans="1:4" x14ac:dyDescent="0.2">
      <c r="A10656" s="496"/>
      <c r="D10656" s="496"/>
    </row>
    <row r="10657" spans="1:4" x14ac:dyDescent="0.2">
      <c r="A10657" s="496"/>
      <c r="D10657" s="496"/>
    </row>
    <row r="10658" spans="1:4" x14ac:dyDescent="0.2">
      <c r="A10658" s="496"/>
      <c r="D10658" s="496"/>
    </row>
    <row r="10659" spans="1:4" x14ac:dyDescent="0.2">
      <c r="A10659" s="496"/>
      <c r="D10659" s="496"/>
    </row>
    <row r="10660" spans="1:4" x14ac:dyDescent="0.2">
      <c r="A10660" s="496"/>
      <c r="D10660" s="496"/>
    </row>
    <row r="10661" spans="1:4" x14ac:dyDescent="0.2">
      <c r="A10661" s="496"/>
      <c r="D10661" s="496"/>
    </row>
    <row r="10662" spans="1:4" x14ac:dyDescent="0.2">
      <c r="A10662" s="496"/>
      <c r="D10662" s="496"/>
    </row>
    <row r="10663" spans="1:4" x14ac:dyDescent="0.2">
      <c r="A10663" s="496"/>
      <c r="D10663" s="496"/>
    </row>
    <row r="10664" spans="1:4" x14ac:dyDescent="0.2">
      <c r="A10664" s="496"/>
      <c r="D10664" s="496"/>
    </row>
    <row r="10665" spans="1:4" x14ac:dyDescent="0.2">
      <c r="A10665" s="496"/>
      <c r="D10665" s="496"/>
    </row>
    <row r="10666" spans="1:4" x14ac:dyDescent="0.2">
      <c r="A10666" s="496"/>
      <c r="D10666" s="496"/>
    </row>
    <row r="10667" spans="1:4" x14ac:dyDescent="0.2">
      <c r="A10667" s="496"/>
      <c r="D10667" s="496"/>
    </row>
    <row r="10668" spans="1:4" x14ac:dyDescent="0.2">
      <c r="A10668" s="496"/>
      <c r="D10668" s="496"/>
    </row>
    <row r="10669" spans="1:4" x14ac:dyDescent="0.2">
      <c r="A10669" s="496"/>
      <c r="D10669" s="496"/>
    </row>
    <row r="10670" spans="1:4" x14ac:dyDescent="0.2">
      <c r="A10670" s="496"/>
      <c r="D10670" s="496"/>
    </row>
    <row r="10671" spans="1:4" x14ac:dyDescent="0.2">
      <c r="A10671" s="496"/>
      <c r="D10671" s="496"/>
    </row>
    <row r="10672" spans="1:4" x14ac:dyDescent="0.2">
      <c r="A10672" s="496"/>
      <c r="D10672" s="496"/>
    </row>
    <row r="10673" spans="1:4" x14ac:dyDescent="0.2">
      <c r="A10673" s="496"/>
      <c r="D10673" s="496"/>
    </row>
    <row r="10674" spans="1:4" x14ac:dyDescent="0.2">
      <c r="A10674" s="496"/>
      <c r="D10674" s="496"/>
    </row>
    <row r="10675" spans="1:4" x14ac:dyDescent="0.2">
      <c r="A10675" s="496"/>
      <c r="D10675" s="496"/>
    </row>
    <row r="10676" spans="1:4" x14ac:dyDescent="0.2">
      <c r="A10676" s="496"/>
      <c r="D10676" s="496"/>
    </row>
    <row r="10677" spans="1:4" x14ac:dyDescent="0.2">
      <c r="A10677" s="496"/>
      <c r="D10677" s="496"/>
    </row>
    <row r="10678" spans="1:4" x14ac:dyDescent="0.2">
      <c r="A10678" s="496"/>
      <c r="D10678" s="496"/>
    </row>
    <row r="10679" spans="1:4" x14ac:dyDescent="0.2">
      <c r="A10679" s="496"/>
      <c r="D10679" s="496"/>
    </row>
    <row r="10680" spans="1:4" x14ac:dyDescent="0.2">
      <c r="A10680" s="496"/>
      <c r="D10680" s="496"/>
    </row>
    <row r="10681" spans="1:4" x14ac:dyDescent="0.2">
      <c r="A10681" s="496"/>
      <c r="D10681" s="496"/>
    </row>
    <row r="10682" spans="1:4" x14ac:dyDescent="0.2">
      <c r="A10682" s="496"/>
      <c r="D10682" s="496"/>
    </row>
    <row r="10683" spans="1:4" x14ac:dyDescent="0.2">
      <c r="A10683" s="496"/>
      <c r="D10683" s="496"/>
    </row>
    <row r="10684" spans="1:4" x14ac:dyDescent="0.2">
      <c r="A10684" s="496"/>
      <c r="D10684" s="496"/>
    </row>
    <row r="10685" spans="1:4" x14ac:dyDescent="0.2">
      <c r="A10685" s="496"/>
      <c r="D10685" s="496"/>
    </row>
    <row r="10686" spans="1:4" x14ac:dyDescent="0.2">
      <c r="A10686" s="496"/>
      <c r="D10686" s="496"/>
    </row>
    <row r="10687" spans="1:4" x14ac:dyDescent="0.2">
      <c r="A10687" s="496"/>
      <c r="D10687" s="496"/>
    </row>
    <row r="10688" spans="1:4" x14ac:dyDescent="0.2">
      <c r="A10688" s="496"/>
      <c r="D10688" s="496"/>
    </row>
    <row r="10689" spans="1:4" x14ac:dyDescent="0.2">
      <c r="A10689" s="496"/>
      <c r="D10689" s="496"/>
    </row>
    <row r="10690" spans="1:4" x14ac:dyDescent="0.2">
      <c r="A10690" s="496"/>
      <c r="D10690" s="496"/>
    </row>
    <row r="10691" spans="1:4" x14ac:dyDescent="0.2">
      <c r="A10691" s="496"/>
      <c r="D10691" s="496"/>
    </row>
    <row r="10692" spans="1:4" x14ac:dyDescent="0.2">
      <c r="A10692" s="496"/>
      <c r="D10692" s="496"/>
    </row>
    <row r="10693" spans="1:4" x14ac:dyDescent="0.2">
      <c r="A10693" s="496"/>
      <c r="D10693" s="496"/>
    </row>
    <row r="10694" spans="1:4" x14ac:dyDescent="0.2">
      <c r="A10694" s="496"/>
      <c r="D10694" s="496"/>
    </row>
    <row r="10695" spans="1:4" x14ac:dyDescent="0.2">
      <c r="A10695" s="496"/>
      <c r="D10695" s="496"/>
    </row>
    <row r="10696" spans="1:4" x14ac:dyDescent="0.2">
      <c r="A10696" s="496"/>
      <c r="D10696" s="496"/>
    </row>
    <row r="10697" spans="1:4" x14ac:dyDescent="0.2">
      <c r="A10697" s="496"/>
      <c r="D10697" s="496"/>
    </row>
    <row r="10698" spans="1:4" x14ac:dyDescent="0.2">
      <c r="A10698" s="496"/>
      <c r="D10698" s="496"/>
    </row>
    <row r="10699" spans="1:4" x14ac:dyDescent="0.2">
      <c r="A10699" s="496"/>
      <c r="D10699" s="496"/>
    </row>
    <row r="10700" spans="1:4" x14ac:dyDescent="0.2">
      <c r="A10700" s="496"/>
      <c r="D10700" s="496"/>
    </row>
    <row r="10701" spans="1:4" x14ac:dyDescent="0.2">
      <c r="A10701" s="496"/>
      <c r="D10701" s="496"/>
    </row>
    <row r="10702" spans="1:4" x14ac:dyDescent="0.2">
      <c r="A10702" s="496"/>
      <c r="D10702" s="496"/>
    </row>
    <row r="10703" spans="1:4" x14ac:dyDescent="0.2">
      <c r="A10703" s="496"/>
      <c r="D10703" s="496"/>
    </row>
    <row r="10704" spans="1:4" x14ac:dyDescent="0.2">
      <c r="A10704" s="496"/>
      <c r="D10704" s="496"/>
    </row>
    <row r="10705" spans="1:4" x14ac:dyDescent="0.2">
      <c r="A10705" s="496"/>
      <c r="D10705" s="496"/>
    </row>
    <row r="10706" spans="1:4" x14ac:dyDescent="0.2">
      <c r="A10706" s="496"/>
      <c r="D10706" s="496"/>
    </row>
    <row r="10707" spans="1:4" x14ac:dyDescent="0.2">
      <c r="A10707" s="496"/>
      <c r="D10707" s="496"/>
    </row>
    <row r="10708" spans="1:4" x14ac:dyDescent="0.2">
      <c r="A10708" s="496"/>
      <c r="D10708" s="496"/>
    </row>
    <row r="10709" spans="1:4" x14ac:dyDescent="0.2">
      <c r="A10709" s="496"/>
      <c r="D10709" s="496"/>
    </row>
    <row r="10710" spans="1:4" x14ac:dyDescent="0.2">
      <c r="A10710" s="496"/>
      <c r="D10710" s="496"/>
    </row>
    <row r="10711" spans="1:4" x14ac:dyDescent="0.2">
      <c r="A10711" s="496"/>
      <c r="D10711" s="496"/>
    </row>
    <row r="10712" spans="1:4" x14ac:dyDescent="0.2">
      <c r="A10712" s="496"/>
      <c r="D10712" s="496"/>
    </row>
    <row r="10713" spans="1:4" x14ac:dyDescent="0.2">
      <c r="A10713" s="496"/>
      <c r="D10713" s="496"/>
    </row>
    <row r="10714" spans="1:4" x14ac:dyDescent="0.2">
      <c r="A10714" s="496"/>
      <c r="D10714" s="496"/>
    </row>
    <row r="10715" spans="1:4" x14ac:dyDescent="0.2">
      <c r="A10715" s="496"/>
      <c r="D10715" s="496"/>
    </row>
    <row r="10716" spans="1:4" x14ac:dyDescent="0.2">
      <c r="A10716" s="496"/>
      <c r="D10716" s="496"/>
    </row>
    <row r="10717" spans="1:4" x14ac:dyDescent="0.2">
      <c r="A10717" s="496"/>
      <c r="D10717" s="496"/>
    </row>
    <row r="10718" spans="1:4" x14ac:dyDescent="0.2">
      <c r="A10718" s="496"/>
      <c r="D10718" s="496"/>
    </row>
    <row r="10719" spans="1:4" x14ac:dyDescent="0.2">
      <c r="A10719" s="496"/>
      <c r="D10719" s="496"/>
    </row>
    <row r="10720" spans="1:4" x14ac:dyDescent="0.2">
      <c r="A10720" s="496"/>
      <c r="D10720" s="496"/>
    </row>
    <row r="10721" spans="1:4" x14ac:dyDescent="0.2">
      <c r="A10721" s="496"/>
      <c r="D10721" s="496"/>
    </row>
    <row r="10722" spans="1:4" x14ac:dyDescent="0.2">
      <c r="A10722" s="496"/>
      <c r="D10722" s="496"/>
    </row>
    <row r="10723" spans="1:4" x14ac:dyDescent="0.2">
      <c r="A10723" s="496"/>
      <c r="D10723" s="496"/>
    </row>
    <row r="10724" spans="1:4" x14ac:dyDescent="0.2">
      <c r="A10724" s="496"/>
      <c r="D10724" s="496"/>
    </row>
    <row r="10725" spans="1:4" x14ac:dyDescent="0.2">
      <c r="A10725" s="496"/>
      <c r="D10725" s="496"/>
    </row>
    <row r="10726" spans="1:4" x14ac:dyDescent="0.2">
      <c r="A10726" s="496"/>
      <c r="D10726" s="496"/>
    </row>
    <row r="10727" spans="1:4" x14ac:dyDescent="0.2">
      <c r="A10727" s="496"/>
      <c r="D10727" s="496"/>
    </row>
    <row r="10728" spans="1:4" x14ac:dyDescent="0.2">
      <c r="A10728" s="496"/>
      <c r="D10728" s="496"/>
    </row>
    <row r="10729" spans="1:4" x14ac:dyDescent="0.2">
      <c r="A10729" s="496"/>
      <c r="D10729" s="496"/>
    </row>
    <row r="10730" spans="1:4" x14ac:dyDescent="0.2">
      <c r="A10730" s="496"/>
      <c r="D10730" s="496"/>
    </row>
    <row r="10731" spans="1:4" x14ac:dyDescent="0.2">
      <c r="A10731" s="496"/>
      <c r="D10731" s="496"/>
    </row>
    <row r="10732" spans="1:4" x14ac:dyDescent="0.2">
      <c r="A10732" s="496"/>
      <c r="D10732" s="496"/>
    </row>
    <row r="10733" spans="1:4" x14ac:dyDescent="0.2">
      <c r="A10733" s="496"/>
      <c r="D10733" s="496"/>
    </row>
    <row r="10734" spans="1:4" x14ac:dyDescent="0.2">
      <c r="A10734" s="496"/>
      <c r="D10734" s="496"/>
    </row>
    <row r="10735" spans="1:4" x14ac:dyDescent="0.2">
      <c r="A10735" s="496"/>
      <c r="D10735" s="496"/>
    </row>
    <row r="10736" spans="1:4" x14ac:dyDescent="0.2">
      <c r="A10736" s="496"/>
      <c r="D10736" s="496"/>
    </row>
    <row r="10737" spans="1:4" x14ac:dyDescent="0.2">
      <c r="A10737" s="496"/>
      <c r="D10737" s="496"/>
    </row>
    <row r="10738" spans="1:4" x14ac:dyDescent="0.2">
      <c r="A10738" s="496"/>
      <c r="D10738" s="496"/>
    </row>
    <row r="10739" spans="1:4" x14ac:dyDescent="0.2">
      <c r="A10739" s="496"/>
      <c r="D10739" s="496"/>
    </row>
    <row r="10740" spans="1:4" x14ac:dyDescent="0.2">
      <c r="A10740" s="496"/>
      <c r="D10740" s="496"/>
    </row>
    <row r="10741" spans="1:4" x14ac:dyDescent="0.2">
      <c r="A10741" s="496"/>
      <c r="D10741" s="496"/>
    </row>
    <row r="10742" spans="1:4" x14ac:dyDescent="0.2">
      <c r="A10742" s="496"/>
      <c r="D10742" s="496"/>
    </row>
    <row r="10743" spans="1:4" x14ac:dyDescent="0.2">
      <c r="A10743" s="496"/>
      <c r="D10743" s="496"/>
    </row>
    <row r="10744" spans="1:4" x14ac:dyDescent="0.2">
      <c r="A10744" s="496"/>
      <c r="D10744" s="496"/>
    </row>
    <row r="10745" spans="1:4" x14ac:dyDescent="0.2">
      <c r="A10745" s="496"/>
      <c r="D10745" s="496"/>
    </row>
    <row r="10746" spans="1:4" x14ac:dyDescent="0.2">
      <c r="A10746" s="496"/>
      <c r="D10746" s="496"/>
    </row>
    <row r="10747" spans="1:4" x14ac:dyDescent="0.2">
      <c r="A10747" s="496"/>
      <c r="D10747" s="496"/>
    </row>
    <row r="10748" spans="1:4" x14ac:dyDescent="0.2">
      <c r="A10748" s="496"/>
      <c r="D10748" s="496"/>
    </row>
    <row r="10749" spans="1:4" x14ac:dyDescent="0.2">
      <c r="A10749" s="496"/>
      <c r="D10749" s="496"/>
    </row>
    <row r="10750" spans="1:4" x14ac:dyDescent="0.2">
      <c r="A10750" s="496"/>
      <c r="D10750" s="496"/>
    </row>
    <row r="10751" spans="1:4" x14ac:dyDescent="0.2">
      <c r="A10751" s="496"/>
      <c r="D10751" s="496"/>
    </row>
    <row r="10752" spans="1:4" x14ac:dyDescent="0.2">
      <c r="A10752" s="496"/>
      <c r="D10752" s="496"/>
    </row>
    <row r="10753" spans="1:4" x14ac:dyDescent="0.2">
      <c r="A10753" s="496"/>
      <c r="D10753" s="496"/>
    </row>
    <row r="10754" spans="1:4" x14ac:dyDescent="0.2">
      <c r="A10754" s="496"/>
      <c r="D10754" s="496"/>
    </row>
    <row r="10755" spans="1:4" x14ac:dyDescent="0.2">
      <c r="A10755" s="496"/>
      <c r="D10755" s="496"/>
    </row>
    <row r="10756" spans="1:4" x14ac:dyDescent="0.2">
      <c r="A10756" s="496"/>
      <c r="D10756" s="496"/>
    </row>
    <row r="10757" spans="1:4" x14ac:dyDescent="0.2">
      <c r="A10757" s="496"/>
      <c r="D10757" s="496"/>
    </row>
    <row r="10758" spans="1:4" x14ac:dyDescent="0.2">
      <c r="A10758" s="496"/>
      <c r="D10758" s="496"/>
    </row>
    <row r="10759" spans="1:4" x14ac:dyDescent="0.2">
      <c r="A10759" s="496"/>
      <c r="D10759" s="496"/>
    </row>
    <row r="10760" spans="1:4" x14ac:dyDescent="0.2">
      <c r="A10760" s="496"/>
      <c r="D10760" s="496"/>
    </row>
    <row r="10761" spans="1:4" x14ac:dyDescent="0.2">
      <c r="A10761" s="496"/>
      <c r="D10761" s="496"/>
    </row>
    <row r="10762" spans="1:4" x14ac:dyDescent="0.2">
      <c r="A10762" s="496"/>
      <c r="D10762" s="496"/>
    </row>
    <row r="10763" spans="1:4" x14ac:dyDescent="0.2">
      <c r="A10763" s="496"/>
      <c r="D10763" s="496"/>
    </row>
    <row r="10764" spans="1:4" x14ac:dyDescent="0.2">
      <c r="A10764" s="496"/>
      <c r="D10764" s="496"/>
    </row>
    <row r="10765" spans="1:4" x14ac:dyDescent="0.2">
      <c r="A10765" s="496"/>
      <c r="D10765" s="496"/>
    </row>
    <row r="10766" spans="1:4" x14ac:dyDescent="0.2">
      <c r="A10766" s="496"/>
      <c r="D10766" s="496"/>
    </row>
    <row r="10767" spans="1:4" x14ac:dyDescent="0.2">
      <c r="A10767" s="496"/>
      <c r="D10767" s="496"/>
    </row>
    <row r="10768" spans="1:4" x14ac:dyDescent="0.2">
      <c r="A10768" s="496"/>
      <c r="D10768" s="496"/>
    </row>
    <row r="10769" spans="1:4" x14ac:dyDescent="0.2">
      <c r="A10769" s="496"/>
      <c r="D10769" s="496"/>
    </row>
    <row r="10770" spans="1:4" x14ac:dyDescent="0.2">
      <c r="A10770" s="496"/>
      <c r="D10770" s="496"/>
    </row>
    <row r="10771" spans="1:4" x14ac:dyDescent="0.2">
      <c r="A10771" s="496"/>
      <c r="D10771" s="496"/>
    </row>
    <row r="10772" spans="1:4" x14ac:dyDescent="0.2">
      <c r="A10772" s="496"/>
      <c r="D10772" s="496"/>
    </row>
    <row r="10773" spans="1:4" x14ac:dyDescent="0.2">
      <c r="A10773" s="496"/>
      <c r="D10773" s="496"/>
    </row>
    <row r="10774" spans="1:4" x14ac:dyDescent="0.2">
      <c r="A10774" s="496"/>
      <c r="D10774" s="496"/>
    </row>
    <row r="10775" spans="1:4" x14ac:dyDescent="0.2">
      <c r="A10775" s="496"/>
      <c r="D10775" s="496"/>
    </row>
    <row r="10776" spans="1:4" x14ac:dyDescent="0.2">
      <c r="A10776" s="496"/>
      <c r="D10776" s="496"/>
    </row>
    <row r="10777" spans="1:4" x14ac:dyDescent="0.2">
      <c r="A10777" s="496"/>
      <c r="D10777" s="496"/>
    </row>
    <row r="10778" spans="1:4" x14ac:dyDescent="0.2">
      <c r="A10778" s="496"/>
      <c r="D10778" s="496"/>
    </row>
    <row r="10779" spans="1:4" x14ac:dyDescent="0.2">
      <c r="A10779" s="496"/>
      <c r="D10779" s="496"/>
    </row>
    <row r="10780" spans="1:4" x14ac:dyDescent="0.2">
      <c r="A10780" s="496"/>
      <c r="D10780" s="496"/>
    </row>
    <row r="10781" spans="1:4" x14ac:dyDescent="0.2">
      <c r="A10781" s="496"/>
      <c r="D10781" s="496"/>
    </row>
    <row r="10782" spans="1:4" x14ac:dyDescent="0.2">
      <c r="A10782" s="496"/>
      <c r="D10782" s="496"/>
    </row>
    <row r="10783" spans="1:4" x14ac:dyDescent="0.2">
      <c r="A10783" s="496"/>
      <c r="D10783" s="496"/>
    </row>
    <row r="10784" spans="1:4" x14ac:dyDescent="0.2">
      <c r="A10784" s="496"/>
      <c r="D10784" s="496"/>
    </row>
    <row r="10785" spans="1:4" x14ac:dyDescent="0.2">
      <c r="A10785" s="496"/>
      <c r="D10785" s="496"/>
    </row>
    <row r="10786" spans="1:4" x14ac:dyDescent="0.2">
      <c r="A10786" s="496"/>
      <c r="D10786" s="496"/>
    </row>
    <row r="10787" spans="1:4" x14ac:dyDescent="0.2">
      <c r="A10787" s="496"/>
      <c r="D10787" s="496"/>
    </row>
    <row r="10788" spans="1:4" x14ac:dyDescent="0.2">
      <c r="A10788" s="496"/>
      <c r="D10788" s="496"/>
    </row>
    <row r="10789" spans="1:4" x14ac:dyDescent="0.2">
      <c r="A10789" s="496"/>
      <c r="D10789" s="496"/>
    </row>
    <row r="10790" spans="1:4" x14ac:dyDescent="0.2">
      <c r="A10790" s="496"/>
      <c r="D10790" s="496"/>
    </row>
    <row r="10791" spans="1:4" x14ac:dyDescent="0.2">
      <c r="A10791" s="496"/>
      <c r="D10791" s="496"/>
    </row>
    <row r="10792" spans="1:4" x14ac:dyDescent="0.2">
      <c r="A10792" s="496"/>
      <c r="D10792" s="496"/>
    </row>
    <row r="10793" spans="1:4" x14ac:dyDescent="0.2">
      <c r="A10793" s="496"/>
      <c r="D10793" s="496"/>
    </row>
    <row r="10794" spans="1:4" x14ac:dyDescent="0.2">
      <c r="A10794" s="496"/>
      <c r="D10794" s="496"/>
    </row>
    <row r="10795" spans="1:4" x14ac:dyDescent="0.2">
      <c r="A10795" s="496"/>
      <c r="D10795" s="496"/>
    </row>
    <row r="10796" spans="1:4" x14ac:dyDescent="0.2">
      <c r="A10796" s="496"/>
      <c r="D10796" s="496"/>
    </row>
    <row r="10797" spans="1:4" x14ac:dyDescent="0.2">
      <c r="A10797" s="496"/>
      <c r="D10797" s="496"/>
    </row>
    <row r="10798" spans="1:4" x14ac:dyDescent="0.2">
      <c r="A10798" s="496"/>
      <c r="D10798" s="496"/>
    </row>
    <row r="10799" spans="1:4" x14ac:dyDescent="0.2">
      <c r="A10799" s="496"/>
      <c r="D10799" s="496"/>
    </row>
    <row r="10800" spans="1:4" x14ac:dyDescent="0.2">
      <c r="A10800" s="496"/>
      <c r="D10800" s="496"/>
    </row>
    <row r="10801" spans="1:4" x14ac:dyDescent="0.2">
      <c r="A10801" s="496"/>
      <c r="D10801" s="496"/>
    </row>
    <row r="10802" spans="1:4" x14ac:dyDescent="0.2">
      <c r="A10802" s="496"/>
      <c r="D10802" s="496"/>
    </row>
    <row r="10803" spans="1:4" x14ac:dyDescent="0.2">
      <c r="A10803" s="496"/>
      <c r="D10803" s="496"/>
    </row>
    <row r="10804" spans="1:4" x14ac:dyDescent="0.2">
      <c r="A10804" s="496"/>
      <c r="D10804" s="496"/>
    </row>
    <row r="10805" spans="1:4" x14ac:dyDescent="0.2">
      <c r="A10805" s="496"/>
      <c r="D10805" s="496"/>
    </row>
    <row r="10806" spans="1:4" x14ac:dyDescent="0.2">
      <c r="A10806" s="496"/>
      <c r="D10806" s="496"/>
    </row>
    <row r="10807" spans="1:4" x14ac:dyDescent="0.2">
      <c r="A10807" s="496"/>
      <c r="D10807" s="496"/>
    </row>
    <row r="10808" spans="1:4" x14ac:dyDescent="0.2">
      <c r="A10808" s="496"/>
      <c r="D10808" s="496"/>
    </row>
    <row r="10809" spans="1:4" x14ac:dyDescent="0.2">
      <c r="A10809" s="496"/>
      <c r="D10809" s="496"/>
    </row>
    <row r="10810" spans="1:4" x14ac:dyDescent="0.2">
      <c r="A10810" s="496"/>
      <c r="D10810" s="496"/>
    </row>
    <row r="10811" spans="1:4" x14ac:dyDescent="0.2">
      <c r="A10811" s="496"/>
      <c r="D10811" s="496"/>
    </row>
    <row r="10812" spans="1:4" x14ac:dyDescent="0.2">
      <c r="A10812" s="496"/>
      <c r="D10812" s="496"/>
    </row>
    <row r="10813" spans="1:4" x14ac:dyDescent="0.2">
      <c r="A10813" s="496"/>
      <c r="D10813" s="496"/>
    </row>
    <row r="10814" spans="1:4" x14ac:dyDescent="0.2">
      <c r="A10814" s="496"/>
      <c r="D10814" s="496"/>
    </row>
    <row r="10815" spans="1:4" x14ac:dyDescent="0.2">
      <c r="A10815" s="496"/>
      <c r="D10815" s="496"/>
    </row>
    <row r="10816" spans="1:4" x14ac:dyDescent="0.2">
      <c r="A10816" s="496"/>
      <c r="D10816" s="496"/>
    </row>
    <row r="10817" spans="1:4" x14ac:dyDescent="0.2">
      <c r="A10817" s="496"/>
      <c r="D10817" s="496"/>
    </row>
    <row r="10818" spans="1:4" x14ac:dyDescent="0.2">
      <c r="A10818" s="496"/>
      <c r="D10818" s="496"/>
    </row>
    <row r="10819" spans="1:4" x14ac:dyDescent="0.2">
      <c r="A10819" s="496"/>
      <c r="D10819" s="496"/>
    </row>
    <row r="10820" spans="1:4" x14ac:dyDescent="0.2">
      <c r="A10820" s="496"/>
      <c r="D10820" s="496"/>
    </row>
    <row r="10821" spans="1:4" x14ac:dyDescent="0.2">
      <c r="A10821" s="496"/>
      <c r="D10821" s="496"/>
    </row>
    <row r="10822" spans="1:4" x14ac:dyDescent="0.2">
      <c r="A10822" s="496"/>
      <c r="D10822" s="496"/>
    </row>
    <row r="10823" spans="1:4" x14ac:dyDescent="0.2">
      <c r="A10823" s="496"/>
      <c r="D10823" s="496"/>
    </row>
    <row r="10824" spans="1:4" x14ac:dyDescent="0.2">
      <c r="A10824" s="496"/>
      <c r="D10824" s="496"/>
    </row>
    <row r="10825" spans="1:4" x14ac:dyDescent="0.2">
      <c r="A10825" s="496"/>
      <c r="D10825" s="496"/>
    </row>
    <row r="10826" spans="1:4" x14ac:dyDescent="0.2">
      <c r="A10826" s="496"/>
      <c r="D10826" s="496"/>
    </row>
    <row r="10827" spans="1:4" x14ac:dyDescent="0.2">
      <c r="A10827" s="496"/>
      <c r="D10827" s="496"/>
    </row>
    <row r="10828" spans="1:4" x14ac:dyDescent="0.2">
      <c r="A10828" s="496"/>
      <c r="D10828" s="496"/>
    </row>
    <row r="10829" spans="1:4" x14ac:dyDescent="0.2">
      <c r="A10829" s="496"/>
      <c r="D10829" s="496"/>
    </row>
    <row r="10830" spans="1:4" x14ac:dyDescent="0.2">
      <c r="A10830" s="496"/>
      <c r="D10830" s="496"/>
    </row>
    <row r="10831" spans="1:4" x14ac:dyDescent="0.2">
      <c r="A10831" s="496"/>
      <c r="D10831" s="496"/>
    </row>
    <row r="10832" spans="1:4" x14ac:dyDescent="0.2">
      <c r="A10832" s="496"/>
      <c r="D10832" s="496"/>
    </row>
    <row r="10833" spans="1:4" x14ac:dyDescent="0.2">
      <c r="A10833" s="496"/>
      <c r="D10833" s="496"/>
    </row>
    <row r="10834" spans="1:4" x14ac:dyDescent="0.2">
      <c r="A10834" s="496"/>
      <c r="D10834" s="496"/>
    </row>
    <row r="10835" spans="1:4" x14ac:dyDescent="0.2">
      <c r="A10835" s="496"/>
      <c r="D10835" s="496"/>
    </row>
    <row r="10836" spans="1:4" x14ac:dyDescent="0.2">
      <c r="A10836" s="496"/>
      <c r="D10836" s="496"/>
    </row>
    <row r="10837" spans="1:4" x14ac:dyDescent="0.2">
      <c r="A10837" s="496"/>
      <c r="D10837" s="496"/>
    </row>
    <row r="10838" spans="1:4" x14ac:dyDescent="0.2">
      <c r="A10838" s="496"/>
      <c r="D10838" s="496"/>
    </row>
    <row r="10839" spans="1:4" x14ac:dyDescent="0.2">
      <c r="A10839" s="496"/>
      <c r="D10839" s="496"/>
    </row>
    <row r="10840" spans="1:4" x14ac:dyDescent="0.2">
      <c r="A10840" s="496"/>
      <c r="D10840" s="496"/>
    </row>
    <row r="10841" spans="1:4" x14ac:dyDescent="0.2">
      <c r="A10841" s="496"/>
      <c r="D10841" s="496"/>
    </row>
    <row r="10842" spans="1:4" x14ac:dyDescent="0.2">
      <c r="A10842" s="496"/>
      <c r="D10842" s="496"/>
    </row>
    <row r="10843" spans="1:4" x14ac:dyDescent="0.2">
      <c r="A10843" s="496"/>
      <c r="D10843" s="496"/>
    </row>
    <row r="10844" spans="1:4" x14ac:dyDescent="0.2">
      <c r="A10844" s="496"/>
      <c r="D10844" s="496"/>
    </row>
    <row r="10845" spans="1:4" x14ac:dyDescent="0.2">
      <c r="A10845" s="496"/>
      <c r="D10845" s="496"/>
    </row>
    <row r="10846" spans="1:4" x14ac:dyDescent="0.2">
      <c r="A10846" s="496"/>
      <c r="D10846" s="496"/>
    </row>
    <row r="10847" spans="1:4" x14ac:dyDescent="0.2">
      <c r="A10847" s="496"/>
      <c r="D10847" s="496"/>
    </row>
    <row r="10848" spans="1:4" x14ac:dyDescent="0.2">
      <c r="A10848" s="496"/>
      <c r="D10848" s="496"/>
    </row>
    <row r="10849" spans="1:4" x14ac:dyDescent="0.2">
      <c r="A10849" s="496"/>
      <c r="D10849" s="496"/>
    </row>
    <row r="10850" spans="1:4" x14ac:dyDescent="0.2">
      <c r="A10850" s="496"/>
      <c r="D10850" s="496"/>
    </row>
    <row r="10851" spans="1:4" x14ac:dyDescent="0.2">
      <c r="A10851" s="496"/>
      <c r="D10851" s="496"/>
    </row>
    <row r="10852" spans="1:4" x14ac:dyDescent="0.2">
      <c r="A10852" s="496"/>
      <c r="D10852" s="496"/>
    </row>
    <row r="10853" spans="1:4" x14ac:dyDescent="0.2">
      <c r="A10853" s="496"/>
      <c r="D10853" s="496"/>
    </row>
    <row r="10854" spans="1:4" x14ac:dyDescent="0.2">
      <c r="A10854" s="496"/>
      <c r="D10854" s="496"/>
    </row>
    <row r="10855" spans="1:4" x14ac:dyDescent="0.2">
      <c r="A10855" s="496"/>
      <c r="D10855" s="496"/>
    </row>
    <row r="10856" spans="1:4" x14ac:dyDescent="0.2">
      <c r="A10856" s="496"/>
      <c r="D10856" s="496"/>
    </row>
    <row r="10857" spans="1:4" x14ac:dyDescent="0.2">
      <c r="A10857" s="496"/>
      <c r="D10857" s="496"/>
    </row>
    <row r="10858" spans="1:4" x14ac:dyDescent="0.2">
      <c r="A10858" s="496"/>
      <c r="D10858" s="496"/>
    </row>
    <row r="10859" spans="1:4" x14ac:dyDescent="0.2">
      <c r="A10859" s="496"/>
      <c r="D10859" s="496"/>
    </row>
    <row r="10860" spans="1:4" x14ac:dyDescent="0.2">
      <c r="A10860" s="496"/>
      <c r="D10860" s="496"/>
    </row>
    <row r="10861" spans="1:4" x14ac:dyDescent="0.2">
      <c r="A10861" s="496"/>
      <c r="D10861" s="496"/>
    </row>
    <row r="10862" spans="1:4" x14ac:dyDescent="0.2">
      <c r="A10862" s="496"/>
      <c r="D10862" s="496"/>
    </row>
    <row r="10863" spans="1:4" x14ac:dyDescent="0.2">
      <c r="A10863" s="496"/>
      <c r="D10863" s="496"/>
    </row>
    <row r="10864" spans="1:4" x14ac:dyDescent="0.2">
      <c r="A10864" s="496"/>
      <c r="D10864" s="496"/>
    </row>
    <row r="10865" spans="1:4" x14ac:dyDescent="0.2">
      <c r="A10865" s="496"/>
      <c r="D10865" s="496"/>
    </row>
    <row r="10866" spans="1:4" x14ac:dyDescent="0.2">
      <c r="A10866" s="496"/>
      <c r="D10866" s="496"/>
    </row>
    <row r="10867" spans="1:4" x14ac:dyDescent="0.2">
      <c r="A10867" s="496"/>
      <c r="D10867" s="496"/>
    </row>
    <row r="10868" spans="1:4" x14ac:dyDescent="0.2">
      <c r="A10868" s="496"/>
      <c r="D10868" s="496"/>
    </row>
    <row r="10869" spans="1:4" x14ac:dyDescent="0.2">
      <c r="A10869" s="496"/>
      <c r="D10869" s="496"/>
    </row>
    <row r="10870" spans="1:4" x14ac:dyDescent="0.2">
      <c r="A10870" s="496"/>
      <c r="D10870" s="496"/>
    </row>
    <row r="10871" spans="1:4" x14ac:dyDescent="0.2">
      <c r="A10871" s="496"/>
      <c r="D10871" s="496"/>
    </row>
    <row r="10872" spans="1:4" x14ac:dyDescent="0.2">
      <c r="A10872" s="496"/>
      <c r="D10872" s="496"/>
    </row>
    <row r="10873" spans="1:4" x14ac:dyDescent="0.2">
      <c r="A10873" s="496"/>
      <c r="D10873" s="496"/>
    </row>
    <row r="10874" spans="1:4" x14ac:dyDescent="0.2">
      <c r="A10874" s="496"/>
      <c r="D10874" s="496"/>
    </row>
    <row r="10875" spans="1:4" x14ac:dyDescent="0.2">
      <c r="A10875" s="496"/>
      <c r="D10875" s="496"/>
    </row>
    <row r="10876" spans="1:4" x14ac:dyDescent="0.2">
      <c r="A10876" s="496"/>
      <c r="D10876" s="496"/>
    </row>
    <row r="10877" spans="1:4" x14ac:dyDescent="0.2">
      <c r="A10877" s="496"/>
      <c r="D10877" s="496"/>
    </row>
    <row r="10878" spans="1:4" x14ac:dyDescent="0.2">
      <c r="A10878" s="496"/>
      <c r="D10878" s="496"/>
    </row>
    <row r="10879" spans="1:4" x14ac:dyDescent="0.2">
      <c r="A10879" s="496"/>
      <c r="D10879" s="496"/>
    </row>
    <row r="10880" spans="1:4" x14ac:dyDescent="0.2">
      <c r="A10880" s="496"/>
      <c r="D10880" s="496"/>
    </row>
    <row r="10881" spans="1:4" x14ac:dyDescent="0.2">
      <c r="A10881" s="496"/>
      <c r="D10881" s="496"/>
    </row>
    <row r="10882" spans="1:4" x14ac:dyDescent="0.2">
      <c r="A10882" s="496"/>
      <c r="D10882" s="496"/>
    </row>
    <row r="10883" spans="1:4" x14ac:dyDescent="0.2">
      <c r="A10883" s="496"/>
      <c r="D10883" s="496"/>
    </row>
    <row r="10884" spans="1:4" x14ac:dyDescent="0.2">
      <c r="A10884" s="496"/>
      <c r="D10884" s="496"/>
    </row>
    <row r="10885" spans="1:4" x14ac:dyDescent="0.2">
      <c r="A10885" s="496"/>
      <c r="D10885" s="496"/>
    </row>
    <row r="10886" spans="1:4" x14ac:dyDescent="0.2">
      <c r="A10886" s="496"/>
      <c r="D10886" s="496"/>
    </row>
    <row r="10887" spans="1:4" x14ac:dyDescent="0.2">
      <c r="A10887" s="496"/>
      <c r="D10887" s="496"/>
    </row>
    <row r="10888" spans="1:4" x14ac:dyDescent="0.2">
      <c r="A10888" s="496"/>
      <c r="D10888" s="496"/>
    </row>
    <row r="10889" spans="1:4" x14ac:dyDescent="0.2">
      <c r="A10889" s="496"/>
      <c r="D10889" s="496"/>
    </row>
    <row r="10890" spans="1:4" x14ac:dyDescent="0.2">
      <c r="A10890" s="496"/>
      <c r="D10890" s="496"/>
    </row>
    <row r="10891" spans="1:4" x14ac:dyDescent="0.2">
      <c r="A10891" s="496"/>
      <c r="D10891" s="496"/>
    </row>
    <row r="10892" spans="1:4" x14ac:dyDescent="0.2">
      <c r="A10892" s="496"/>
      <c r="D10892" s="496"/>
    </row>
    <row r="10893" spans="1:4" x14ac:dyDescent="0.2">
      <c r="A10893" s="496"/>
      <c r="D10893" s="496"/>
    </row>
    <row r="10894" spans="1:4" x14ac:dyDescent="0.2">
      <c r="A10894" s="496"/>
      <c r="D10894" s="496"/>
    </row>
    <row r="10895" spans="1:4" x14ac:dyDescent="0.2">
      <c r="A10895" s="496"/>
      <c r="D10895" s="496"/>
    </row>
    <row r="10896" spans="1:4" x14ac:dyDescent="0.2">
      <c r="A10896" s="496"/>
      <c r="D10896" s="496"/>
    </row>
    <row r="10897" spans="1:4" x14ac:dyDescent="0.2">
      <c r="A10897" s="496"/>
      <c r="D10897" s="496"/>
    </row>
    <row r="10898" spans="1:4" x14ac:dyDescent="0.2">
      <c r="A10898" s="496"/>
      <c r="D10898" s="496"/>
    </row>
    <row r="10899" spans="1:4" x14ac:dyDescent="0.2">
      <c r="A10899" s="496"/>
      <c r="D10899" s="496"/>
    </row>
    <row r="10900" spans="1:4" x14ac:dyDescent="0.2">
      <c r="A10900" s="496"/>
      <c r="D10900" s="496"/>
    </row>
    <row r="10901" spans="1:4" x14ac:dyDescent="0.2">
      <c r="A10901" s="496"/>
      <c r="D10901" s="496"/>
    </row>
    <row r="10902" spans="1:4" x14ac:dyDescent="0.2">
      <c r="A10902" s="496"/>
      <c r="D10902" s="496"/>
    </row>
    <row r="10903" spans="1:4" x14ac:dyDescent="0.2">
      <c r="A10903" s="496"/>
      <c r="D10903" s="496"/>
    </row>
    <row r="10904" spans="1:4" x14ac:dyDescent="0.2">
      <c r="A10904" s="496"/>
      <c r="D10904" s="496"/>
    </row>
    <row r="10905" spans="1:4" x14ac:dyDescent="0.2">
      <c r="A10905" s="496"/>
      <c r="D10905" s="496"/>
    </row>
    <row r="10906" spans="1:4" x14ac:dyDescent="0.2">
      <c r="A10906" s="496"/>
      <c r="D10906" s="496"/>
    </row>
    <row r="10907" spans="1:4" x14ac:dyDescent="0.2">
      <c r="A10907" s="496"/>
      <c r="D10907" s="496"/>
    </row>
    <row r="10908" spans="1:4" x14ac:dyDescent="0.2">
      <c r="A10908" s="496"/>
      <c r="D10908" s="496"/>
    </row>
    <row r="10909" spans="1:4" x14ac:dyDescent="0.2">
      <c r="A10909" s="496"/>
      <c r="D10909" s="496"/>
    </row>
    <row r="10910" spans="1:4" x14ac:dyDescent="0.2">
      <c r="A10910" s="496"/>
      <c r="D10910" s="496"/>
    </row>
    <row r="10911" spans="1:4" x14ac:dyDescent="0.2">
      <c r="A10911" s="496"/>
      <c r="D10911" s="496"/>
    </row>
    <row r="10912" spans="1:4" x14ac:dyDescent="0.2">
      <c r="A10912" s="496"/>
      <c r="D10912" s="496"/>
    </row>
    <row r="10913" spans="1:4" x14ac:dyDescent="0.2">
      <c r="A10913" s="496"/>
      <c r="D10913" s="496"/>
    </row>
    <row r="10914" spans="1:4" x14ac:dyDescent="0.2">
      <c r="A10914" s="496"/>
      <c r="D10914" s="496"/>
    </row>
    <row r="10915" spans="1:4" x14ac:dyDescent="0.2">
      <c r="A10915" s="496"/>
      <c r="D10915" s="496"/>
    </row>
    <row r="10916" spans="1:4" x14ac:dyDescent="0.2">
      <c r="A10916" s="496"/>
      <c r="D10916" s="496"/>
    </row>
    <row r="10917" spans="1:4" x14ac:dyDescent="0.2">
      <c r="A10917" s="496"/>
      <c r="D10917" s="496"/>
    </row>
    <row r="10918" spans="1:4" x14ac:dyDescent="0.2">
      <c r="A10918" s="496"/>
      <c r="D10918" s="496"/>
    </row>
    <row r="10919" spans="1:4" x14ac:dyDescent="0.2">
      <c r="A10919" s="496"/>
      <c r="D10919" s="496"/>
    </row>
    <row r="10920" spans="1:4" x14ac:dyDescent="0.2">
      <c r="A10920" s="496"/>
      <c r="D10920" s="496"/>
    </row>
    <row r="10921" spans="1:4" x14ac:dyDescent="0.2">
      <c r="A10921" s="496"/>
      <c r="D10921" s="496"/>
    </row>
    <row r="10922" spans="1:4" x14ac:dyDescent="0.2">
      <c r="A10922" s="496"/>
      <c r="D10922" s="496"/>
    </row>
    <row r="10923" spans="1:4" x14ac:dyDescent="0.2">
      <c r="A10923" s="496"/>
      <c r="D10923" s="496"/>
    </row>
    <row r="10924" spans="1:4" x14ac:dyDescent="0.2">
      <c r="A10924" s="496"/>
      <c r="D10924" s="496"/>
    </row>
    <row r="10925" spans="1:4" x14ac:dyDescent="0.2">
      <c r="A10925" s="496"/>
      <c r="D10925" s="496"/>
    </row>
    <row r="10926" spans="1:4" x14ac:dyDescent="0.2">
      <c r="A10926" s="496"/>
      <c r="D10926" s="496"/>
    </row>
    <row r="10927" spans="1:4" x14ac:dyDescent="0.2">
      <c r="A10927" s="496"/>
      <c r="D10927" s="496"/>
    </row>
    <row r="10928" spans="1:4" x14ac:dyDescent="0.2">
      <c r="A10928" s="496"/>
      <c r="D10928" s="496"/>
    </row>
    <row r="10929" spans="1:4" x14ac:dyDescent="0.2">
      <c r="A10929" s="496"/>
      <c r="D10929" s="496"/>
    </row>
    <row r="10930" spans="1:4" x14ac:dyDescent="0.2">
      <c r="A10930" s="496"/>
      <c r="D10930" s="496"/>
    </row>
    <row r="10931" spans="1:4" x14ac:dyDescent="0.2">
      <c r="A10931" s="496"/>
      <c r="D10931" s="496"/>
    </row>
    <row r="10932" spans="1:4" x14ac:dyDescent="0.2">
      <c r="A10932" s="496"/>
      <c r="D10932" s="496"/>
    </row>
    <row r="10933" spans="1:4" x14ac:dyDescent="0.2">
      <c r="A10933" s="496"/>
      <c r="D10933" s="496"/>
    </row>
    <row r="10934" spans="1:4" x14ac:dyDescent="0.2">
      <c r="A10934" s="496"/>
      <c r="D10934" s="496"/>
    </row>
    <row r="10935" spans="1:4" x14ac:dyDescent="0.2">
      <c r="A10935" s="496"/>
      <c r="D10935" s="496"/>
    </row>
    <row r="10936" spans="1:4" x14ac:dyDescent="0.2">
      <c r="A10936" s="496"/>
      <c r="D10936" s="496"/>
    </row>
    <row r="10937" spans="1:4" x14ac:dyDescent="0.2">
      <c r="A10937" s="496"/>
      <c r="D10937" s="496"/>
    </row>
    <row r="10938" spans="1:4" x14ac:dyDescent="0.2">
      <c r="A10938" s="496"/>
      <c r="D10938" s="496"/>
    </row>
    <row r="10939" spans="1:4" x14ac:dyDescent="0.2">
      <c r="A10939" s="496"/>
      <c r="D10939" s="496"/>
    </row>
    <row r="10940" spans="1:4" x14ac:dyDescent="0.2">
      <c r="A10940" s="496"/>
      <c r="D10940" s="496"/>
    </row>
    <row r="10941" spans="1:4" x14ac:dyDescent="0.2">
      <c r="A10941" s="496"/>
      <c r="D10941" s="496"/>
    </row>
    <row r="10942" spans="1:4" x14ac:dyDescent="0.2">
      <c r="A10942" s="496"/>
      <c r="D10942" s="496"/>
    </row>
    <row r="10943" spans="1:4" x14ac:dyDescent="0.2">
      <c r="A10943" s="496"/>
      <c r="D10943" s="496"/>
    </row>
    <row r="10944" spans="1:4" x14ac:dyDescent="0.2">
      <c r="A10944" s="496"/>
      <c r="D10944" s="496"/>
    </row>
    <row r="10945" spans="1:4" x14ac:dyDescent="0.2">
      <c r="A10945" s="496"/>
      <c r="D10945" s="496"/>
    </row>
    <row r="10946" spans="1:4" x14ac:dyDescent="0.2">
      <c r="A10946" s="496"/>
      <c r="D10946" s="496"/>
    </row>
    <row r="10947" spans="1:4" x14ac:dyDescent="0.2">
      <c r="A10947" s="496"/>
      <c r="D10947" s="496"/>
    </row>
    <row r="10948" spans="1:4" x14ac:dyDescent="0.2">
      <c r="A10948" s="496"/>
      <c r="D10948" s="496"/>
    </row>
    <row r="10949" spans="1:4" x14ac:dyDescent="0.2">
      <c r="A10949" s="496"/>
      <c r="D10949" s="496"/>
    </row>
    <row r="10950" spans="1:4" x14ac:dyDescent="0.2">
      <c r="A10950" s="496"/>
      <c r="D10950" s="496"/>
    </row>
    <row r="10951" spans="1:4" x14ac:dyDescent="0.2">
      <c r="A10951" s="496"/>
      <c r="D10951" s="496"/>
    </row>
    <row r="10952" spans="1:4" x14ac:dyDescent="0.2">
      <c r="A10952" s="496"/>
      <c r="D10952" s="496"/>
    </row>
    <row r="10953" spans="1:4" x14ac:dyDescent="0.2">
      <c r="A10953" s="496"/>
      <c r="D10953" s="496"/>
    </row>
    <row r="10954" spans="1:4" x14ac:dyDescent="0.2">
      <c r="A10954" s="496"/>
      <c r="D10954" s="496"/>
    </row>
    <row r="10955" spans="1:4" x14ac:dyDescent="0.2">
      <c r="A10955" s="496"/>
      <c r="D10955" s="496"/>
    </row>
    <row r="10956" spans="1:4" x14ac:dyDescent="0.2">
      <c r="A10956" s="496"/>
      <c r="D10956" s="496"/>
    </row>
    <row r="10957" spans="1:4" x14ac:dyDescent="0.2">
      <c r="A10957" s="496"/>
      <c r="D10957" s="496"/>
    </row>
    <row r="10958" spans="1:4" x14ac:dyDescent="0.2">
      <c r="A10958" s="496"/>
      <c r="D10958" s="496"/>
    </row>
    <row r="10959" spans="1:4" x14ac:dyDescent="0.2">
      <c r="A10959" s="496"/>
      <c r="D10959" s="496"/>
    </row>
    <row r="10960" spans="1:4" x14ac:dyDescent="0.2">
      <c r="A10960" s="496"/>
      <c r="D10960" s="496"/>
    </row>
    <row r="10961" spans="1:4" x14ac:dyDescent="0.2">
      <c r="A10961" s="496"/>
      <c r="D10961" s="496"/>
    </row>
    <row r="10962" spans="1:4" x14ac:dyDescent="0.2">
      <c r="A10962" s="496"/>
      <c r="D10962" s="496"/>
    </row>
    <row r="10963" spans="1:4" x14ac:dyDescent="0.2">
      <c r="A10963" s="496"/>
      <c r="D10963" s="496"/>
    </row>
    <row r="10964" spans="1:4" x14ac:dyDescent="0.2">
      <c r="A10964" s="496"/>
      <c r="D10964" s="496"/>
    </row>
    <row r="10965" spans="1:4" x14ac:dyDescent="0.2">
      <c r="A10965" s="496"/>
      <c r="D10965" s="496"/>
    </row>
    <row r="10966" spans="1:4" x14ac:dyDescent="0.2">
      <c r="A10966" s="496"/>
      <c r="D10966" s="496"/>
    </row>
    <row r="10967" spans="1:4" x14ac:dyDescent="0.2">
      <c r="A10967" s="496"/>
      <c r="D10967" s="496"/>
    </row>
    <row r="10968" spans="1:4" x14ac:dyDescent="0.2">
      <c r="A10968" s="496"/>
      <c r="D10968" s="496"/>
    </row>
    <row r="10969" spans="1:4" x14ac:dyDescent="0.2">
      <c r="A10969" s="496"/>
      <c r="D10969" s="496"/>
    </row>
    <row r="10970" spans="1:4" x14ac:dyDescent="0.2">
      <c r="A10970" s="496"/>
      <c r="D10970" s="496"/>
    </row>
    <row r="10971" spans="1:4" x14ac:dyDescent="0.2">
      <c r="A10971" s="496"/>
      <c r="D10971" s="496"/>
    </row>
    <row r="10972" spans="1:4" x14ac:dyDescent="0.2">
      <c r="A10972" s="496"/>
      <c r="D10972" s="496"/>
    </row>
    <row r="10973" spans="1:4" x14ac:dyDescent="0.2">
      <c r="A10973" s="496"/>
      <c r="D10973" s="496"/>
    </row>
    <row r="10974" spans="1:4" x14ac:dyDescent="0.2">
      <c r="A10974" s="496"/>
      <c r="D10974" s="496"/>
    </row>
    <row r="10975" spans="1:4" x14ac:dyDescent="0.2">
      <c r="A10975" s="496"/>
      <c r="D10975" s="496"/>
    </row>
    <row r="10976" spans="1:4" x14ac:dyDescent="0.2">
      <c r="A10976" s="496"/>
      <c r="D10976" s="496"/>
    </row>
    <row r="10977" spans="1:4" x14ac:dyDescent="0.2">
      <c r="A10977" s="496"/>
      <c r="D10977" s="496"/>
    </row>
    <row r="10978" spans="1:4" x14ac:dyDescent="0.2">
      <c r="A10978" s="496"/>
      <c r="D10978" s="496"/>
    </row>
    <row r="10979" spans="1:4" x14ac:dyDescent="0.2">
      <c r="A10979" s="496"/>
      <c r="D10979" s="496"/>
    </row>
    <row r="10980" spans="1:4" x14ac:dyDescent="0.2">
      <c r="A10980" s="496"/>
      <c r="D10980" s="496"/>
    </row>
    <row r="10981" spans="1:4" x14ac:dyDescent="0.2">
      <c r="A10981" s="496"/>
      <c r="D10981" s="496"/>
    </row>
    <row r="10982" spans="1:4" x14ac:dyDescent="0.2">
      <c r="A10982" s="496"/>
      <c r="D10982" s="496"/>
    </row>
    <row r="10983" spans="1:4" x14ac:dyDescent="0.2">
      <c r="A10983" s="496"/>
      <c r="D10983" s="496"/>
    </row>
    <row r="10984" spans="1:4" x14ac:dyDescent="0.2">
      <c r="A10984" s="496"/>
      <c r="D10984" s="496"/>
    </row>
    <row r="10985" spans="1:4" x14ac:dyDescent="0.2">
      <c r="A10985" s="496"/>
      <c r="D10985" s="496"/>
    </row>
    <row r="10986" spans="1:4" x14ac:dyDescent="0.2">
      <c r="A10986" s="496"/>
      <c r="D10986" s="496"/>
    </row>
    <row r="10987" spans="1:4" x14ac:dyDescent="0.2">
      <c r="A10987" s="496"/>
      <c r="D10987" s="496"/>
    </row>
    <row r="10988" spans="1:4" x14ac:dyDescent="0.2">
      <c r="A10988" s="496"/>
      <c r="D10988" s="496"/>
    </row>
    <row r="10989" spans="1:4" x14ac:dyDescent="0.2">
      <c r="A10989" s="496"/>
      <c r="D10989" s="496"/>
    </row>
    <row r="10990" spans="1:4" x14ac:dyDescent="0.2">
      <c r="A10990" s="496"/>
      <c r="D10990" s="496"/>
    </row>
    <row r="10991" spans="1:4" x14ac:dyDescent="0.2">
      <c r="A10991" s="496"/>
      <c r="D10991" s="496"/>
    </row>
    <row r="10992" spans="1:4" x14ac:dyDescent="0.2">
      <c r="A10992" s="496"/>
      <c r="D10992" s="496"/>
    </row>
    <row r="10993" spans="1:4" x14ac:dyDescent="0.2">
      <c r="A10993" s="496"/>
      <c r="D10993" s="496"/>
    </row>
    <row r="10994" spans="1:4" x14ac:dyDescent="0.2">
      <c r="A10994" s="496"/>
      <c r="D10994" s="496"/>
    </row>
    <row r="10995" spans="1:4" x14ac:dyDescent="0.2">
      <c r="A10995" s="496"/>
      <c r="D10995" s="496"/>
    </row>
    <row r="10996" spans="1:4" x14ac:dyDescent="0.2">
      <c r="A10996" s="496"/>
      <c r="D10996" s="496"/>
    </row>
    <row r="10997" spans="1:4" x14ac:dyDescent="0.2">
      <c r="A10997" s="496"/>
      <c r="D10997" s="496"/>
    </row>
    <row r="10998" spans="1:4" x14ac:dyDescent="0.2">
      <c r="A10998" s="496"/>
      <c r="D10998" s="496"/>
    </row>
    <row r="10999" spans="1:4" x14ac:dyDescent="0.2">
      <c r="A10999" s="496"/>
      <c r="D10999" s="496"/>
    </row>
    <row r="11000" spans="1:4" x14ac:dyDescent="0.2">
      <c r="A11000" s="496"/>
      <c r="D11000" s="496"/>
    </row>
    <row r="11001" spans="1:4" x14ac:dyDescent="0.2">
      <c r="A11001" s="496"/>
      <c r="D11001" s="496"/>
    </row>
    <row r="11002" spans="1:4" x14ac:dyDescent="0.2">
      <c r="A11002" s="496"/>
      <c r="D11002" s="496"/>
    </row>
    <row r="11003" spans="1:4" x14ac:dyDescent="0.2">
      <c r="A11003" s="496"/>
      <c r="D11003" s="496"/>
    </row>
    <row r="11004" spans="1:4" x14ac:dyDescent="0.2">
      <c r="A11004" s="496"/>
      <c r="D11004" s="496"/>
    </row>
    <row r="11005" spans="1:4" x14ac:dyDescent="0.2">
      <c r="A11005" s="496"/>
      <c r="D11005" s="496"/>
    </row>
    <row r="11006" spans="1:4" x14ac:dyDescent="0.2">
      <c r="A11006" s="496"/>
      <c r="D11006" s="496"/>
    </row>
    <row r="11007" spans="1:4" x14ac:dyDescent="0.2">
      <c r="A11007" s="496"/>
      <c r="D11007" s="496"/>
    </row>
    <row r="11008" spans="1:4" x14ac:dyDescent="0.2">
      <c r="A11008" s="496"/>
      <c r="D11008" s="496"/>
    </row>
    <row r="11009" spans="1:4" x14ac:dyDescent="0.2">
      <c r="A11009" s="496"/>
      <c r="D11009" s="496"/>
    </row>
    <row r="11010" spans="1:4" x14ac:dyDescent="0.2">
      <c r="A11010" s="496"/>
      <c r="D11010" s="496"/>
    </row>
    <row r="11011" spans="1:4" x14ac:dyDescent="0.2">
      <c r="A11011" s="496"/>
      <c r="D11011" s="496"/>
    </row>
    <row r="11012" spans="1:4" x14ac:dyDescent="0.2">
      <c r="A11012" s="496"/>
      <c r="D11012" s="496"/>
    </row>
    <row r="11013" spans="1:4" x14ac:dyDescent="0.2">
      <c r="A11013" s="496"/>
      <c r="D11013" s="496"/>
    </row>
    <row r="11014" spans="1:4" x14ac:dyDescent="0.2">
      <c r="A11014" s="496"/>
      <c r="D11014" s="496"/>
    </row>
    <row r="11015" spans="1:4" x14ac:dyDescent="0.2">
      <c r="A11015" s="496"/>
      <c r="D11015" s="496"/>
    </row>
    <row r="11016" spans="1:4" x14ac:dyDescent="0.2">
      <c r="A11016" s="496"/>
      <c r="D11016" s="496"/>
    </row>
    <row r="11017" spans="1:4" x14ac:dyDescent="0.2">
      <c r="A11017" s="496"/>
      <c r="D11017" s="496"/>
    </row>
    <row r="11018" spans="1:4" x14ac:dyDescent="0.2">
      <c r="A11018" s="496"/>
      <c r="D11018" s="496"/>
    </row>
    <row r="11019" spans="1:4" x14ac:dyDescent="0.2">
      <c r="A11019" s="496"/>
      <c r="D11019" s="496"/>
    </row>
    <row r="11020" spans="1:4" x14ac:dyDescent="0.2">
      <c r="A11020" s="496"/>
      <c r="D11020" s="496"/>
    </row>
    <row r="11021" spans="1:4" x14ac:dyDescent="0.2">
      <c r="A11021" s="496"/>
      <c r="D11021" s="496"/>
    </row>
    <row r="11022" spans="1:4" x14ac:dyDescent="0.2">
      <c r="A11022" s="496"/>
      <c r="D11022" s="496"/>
    </row>
    <row r="11023" spans="1:4" x14ac:dyDescent="0.2">
      <c r="A11023" s="496"/>
      <c r="D11023" s="496"/>
    </row>
    <row r="11024" spans="1:4" x14ac:dyDescent="0.2">
      <c r="A11024" s="496"/>
      <c r="D11024" s="496"/>
    </row>
    <row r="11025" spans="1:4" x14ac:dyDescent="0.2">
      <c r="A11025" s="496"/>
      <c r="D11025" s="496"/>
    </row>
    <row r="11026" spans="1:4" x14ac:dyDescent="0.2">
      <c r="A11026" s="496"/>
      <c r="D11026" s="496"/>
    </row>
    <row r="11027" spans="1:4" x14ac:dyDescent="0.2">
      <c r="A11027" s="496"/>
      <c r="D11027" s="496"/>
    </row>
    <row r="11028" spans="1:4" x14ac:dyDescent="0.2">
      <c r="A11028" s="496"/>
      <c r="D11028" s="496"/>
    </row>
    <row r="11029" spans="1:4" x14ac:dyDescent="0.2">
      <c r="A11029" s="496"/>
      <c r="D11029" s="496"/>
    </row>
    <row r="11030" spans="1:4" x14ac:dyDescent="0.2">
      <c r="A11030" s="496"/>
      <c r="D11030" s="496"/>
    </row>
    <row r="11031" spans="1:4" x14ac:dyDescent="0.2">
      <c r="A11031" s="496"/>
      <c r="D11031" s="496"/>
    </row>
    <row r="11032" spans="1:4" x14ac:dyDescent="0.2">
      <c r="A11032" s="496"/>
      <c r="D11032" s="496"/>
    </row>
    <row r="11033" spans="1:4" x14ac:dyDescent="0.2">
      <c r="A11033" s="496"/>
      <c r="D11033" s="496"/>
    </row>
    <row r="11034" spans="1:4" x14ac:dyDescent="0.2">
      <c r="A11034" s="496"/>
      <c r="D11034" s="496"/>
    </row>
    <row r="11035" spans="1:4" x14ac:dyDescent="0.2">
      <c r="A11035" s="496"/>
      <c r="D11035" s="496"/>
    </row>
    <row r="11036" spans="1:4" x14ac:dyDescent="0.2">
      <c r="A11036" s="496"/>
      <c r="D11036" s="496"/>
    </row>
    <row r="11037" spans="1:4" x14ac:dyDescent="0.2">
      <c r="A11037" s="496"/>
      <c r="D11037" s="496"/>
    </row>
    <row r="11038" spans="1:4" x14ac:dyDescent="0.2">
      <c r="A11038" s="496"/>
      <c r="D11038" s="496"/>
    </row>
    <row r="11039" spans="1:4" x14ac:dyDescent="0.2">
      <c r="A11039" s="496"/>
      <c r="D11039" s="496"/>
    </row>
    <row r="11040" spans="1:4" x14ac:dyDescent="0.2">
      <c r="A11040" s="496"/>
      <c r="D11040" s="496"/>
    </row>
    <row r="11041" spans="1:4" x14ac:dyDescent="0.2">
      <c r="A11041" s="496"/>
      <c r="D11041" s="496"/>
    </row>
    <row r="11042" spans="1:4" x14ac:dyDescent="0.2">
      <c r="A11042" s="496"/>
      <c r="D11042" s="496"/>
    </row>
    <row r="11043" spans="1:4" x14ac:dyDescent="0.2">
      <c r="A11043" s="496"/>
      <c r="D11043" s="496"/>
    </row>
    <row r="11044" spans="1:4" x14ac:dyDescent="0.2">
      <c r="A11044" s="496"/>
      <c r="D11044" s="496"/>
    </row>
    <row r="11045" spans="1:4" x14ac:dyDescent="0.2">
      <c r="A11045" s="496"/>
      <c r="D11045" s="496"/>
    </row>
    <row r="11046" spans="1:4" x14ac:dyDescent="0.2">
      <c r="A11046" s="496"/>
      <c r="D11046" s="496"/>
    </row>
    <row r="11047" spans="1:4" x14ac:dyDescent="0.2">
      <c r="A11047" s="496"/>
      <c r="D11047" s="496"/>
    </row>
    <row r="11048" spans="1:4" x14ac:dyDescent="0.2">
      <c r="A11048" s="496"/>
      <c r="D11048" s="496"/>
    </row>
    <row r="11049" spans="1:4" x14ac:dyDescent="0.2">
      <c r="A11049" s="496"/>
      <c r="D11049" s="496"/>
    </row>
    <row r="11050" spans="1:4" x14ac:dyDescent="0.2">
      <c r="A11050" s="496"/>
      <c r="D11050" s="496"/>
    </row>
    <row r="11051" spans="1:4" x14ac:dyDescent="0.2">
      <c r="A11051" s="496"/>
      <c r="D11051" s="496"/>
    </row>
    <row r="11052" spans="1:4" x14ac:dyDescent="0.2">
      <c r="A11052" s="496"/>
      <c r="D11052" s="496"/>
    </row>
    <row r="11053" spans="1:4" x14ac:dyDescent="0.2">
      <c r="A11053" s="496"/>
      <c r="D11053" s="496"/>
    </row>
    <row r="11054" spans="1:4" x14ac:dyDescent="0.2">
      <c r="A11054" s="496"/>
      <c r="D11054" s="496"/>
    </row>
    <row r="11055" spans="1:4" x14ac:dyDescent="0.2">
      <c r="A11055" s="496"/>
      <c r="D11055" s="496"/>
    </row>
    <row r="11056" spans="1:4" x14ac:dyDescent="0.2">
      <c r="A11056" s="496"/>
      <c r="D11056" s="496"/>
    </row>
    <row r="11057" spans="1:4" x14ac:dyDescent="0.2">
      <c r="A11057" s="496"/>
      <c r="D11057" s="496"/>
    </row>
    <row r="11058" spans="1:4" x14ac:dyDescent="0.2">
      <c r="A11058" s="496"/>
      <c r="D11058" s="496"/>
    </row>
    <row r="11059" spans="1:4" x14ac:dyDescent="0.2">
      <c r="A11059" s="496"/>
      <c r="D11059" s="496"/>
    </row>
    <row r="11060" spans="1:4" x14ac:dyDescent="0.2">
      <c r="A11060" s="496"/>
      <c r="D11060" s="496"/>
    </row>
    <row r="11061" spans="1:4" x14ac:dyDescent="0.2">
      <c r="A11061" s="496"/>
      <c r="D11061" s="496"/>
    </row>
    <row r="11062" spans="1:4" x14ac:dyDescent="0.2">
      <c r="A11062" s="496"/>
      <c r="D11062" s="496"/>
    </row>
    <row r="11063" spans="1:4" x14ac:dyDescent="0.2">
      <c r="A11063" s="496"/>
      <c r="D11063" s="496"/>
    </row>
    <row r="11064" spans="1:4" x14ac:dyDescent="0.2">
      <c r="A11064" s="496"/>
      <c r="D11064" s="496"/>
    </row>
    <row r="11065" spans="1:4" x14ac:dyDescent="0.2">
      <c r="A11065" s="496"/>
      <c r="D11065" s="496"/>
    </row>
    <row r="11066" spans="1:4" x14ac:dyDescent="0.2">
      <c r="A11066" s="496"/>
      <c r="D11066" s="496"/>
    </row>
    <row r="11067" spans="1:4" x14ac:dyDescent="0.2">
      <c r="A11067" s="496"/>
      <c r="D11067" s="496"/>
    </row>
    <row r="11068" spans="1:4" x14ac:dyDescent="0.2">
      <c r="A11068" s="496"/>
      <c r="D11068" s="496"/>
    </row>
    <row r="11069" spans="1:4" x14ac:dyDescent="0.2">
      <c r="A11069" s="496"/>
      <c r="D11069" s="496"/>
    </row>
    <row r="11070" spans="1:4" x14ac:dyDescent="0.2">
      <c r="A11070" s="496"/>
      <c r="D11070" s="496"/>
    </row>
    <row r="11071" spans="1:4" x14ac:dyDescent="0.2">
      <c r="A11071" s="496"/>
      <c r="D11071" s="496"/>
    </row>
    <row r="11072" spans="1:4" x14ac:dyDescent="0.2">
      <c r="A11072" s="496"/>
      <c r="D11072" s="496"/>
    </row>
    <row r="11073" spans="1:4" x14ac:dyDescent="0.2">
      <c r="A11073" s="496"/>
      <c r="D11073" s="496"/>
    </row>
    <row r="11074" spans="1:4" x14ac:dyDescent="0.2">
      <c r="A11074" s="496"/>
      <c r="D11074" s="496"/>
    </row>
    <row r="11075" spans="1:4" x14ac:dyDescent="0.2">
      <c r="A11075" s="496"/>
      <c r="D11075" s="496"/>
    </row>
    <row r="11076" spans="1:4" x14ac:dyDescent="0.2">
      <c r="A11076" s="496"/>
      <c r="D11076" s="496"/>
    </row>
    <row r="11077" spans="1:4" x14ac:dyDescent="0.2">
      <c r="A11077" s="496"/>
      <c r="D11077" s="496"/>
    </row>
    <row r="11078" spans="1:4" x14ac:dyDescent="0.2">
      <c r="A11078" s="496"/>
      <c r="D11078" s="496"/>
    </row>
    <row r="11079" spans="1:4" x14ac:dyDescent="0.2">
      <c r="A11079" s="496"/>
      <c r="D11079" s="496"/>
    </row>
    <row r="11080" spans="1:4" x14ac:dyDescent="0.2">
      <c r="A11080" s="496"/>
      <c r="D11080" s="496"/>
    </row>
    <row r="11081" spans="1:4" x14ac:dyDescent="0.2">
      <c r="A11081" s="496"/>
      <c r="D11081" s="496"/>
    </row>
    <row r="11082" spans="1:4" x14ac:dyDescent="0.2">
      <c r="A11082" s="496"/>
      <c r="D11082" s="496"/>
    </row>
    <row r="11083" spans="1:4" x14ac:dyDescent="0.2">
      <c r="A11083" s="496"/>
      <c r="D11083" s="496"/>
    </row>
    <row r="11084" spans="1:4" x14ac:dyDescent="0.2">
      <c r="A11084" s="496"/>
      <c r="D11084" s="496"/>
    </row>
    <row r="11085" spans="1:4" x14ac:dyDescent="0.2">
      <c r="A11085" s="496"/>
      <c r="D11085" s="496"/>
    </row>
    <row r="11086" spans="1:4" x14ac:dyDescent="0.2">
      <c r="A11086" s="496"/>
      <c r="D11086" s="496"/>
    </row>
    <row r="11087" spans="1:4" x14ac:dyDescent="0.2">
      <c r="A11087" s="496"/>
      <c r="D11087" s="496"/>
    </row>
    <row r="11088" spans="1:4" x14ac:dyDescent="0.2">
      <c r="A11088" s="496"/>
      <c r="D11088" s="496"/>
    </row>
    <row r="11089" spans="1:4" x14ac:dyDescent="0.2">
      <c r="A11089" s="496"/>
      <c r="D11089" s="496"/>
    </row>
    <row r="11090" spans="1:4" x14ac:dyDescent="0.2">
      <c r="A11090" s="496"/>
      <c r="D11090" s="496"/>
    </row>
    <row r="11091" spans="1:4" x14ac:dyDescent="0.2">
      <c r="A11091" s="496"/>
      <c r="D11091" s="496"/>
    </row>
    <row r="11092" spans="1:4" x14ac:dyDescent="0.2">
      <c r="A11092" s="496"/>
      <c r="D11092" s="496"/>
    </row>
    <row r="11093" spans="1:4" x14ac:dyDescent="0.2">
      <c r="A11093" s="496"/>
      <c r="D11093" s="496"/>
    </row>
    <row r="11094" spans="1:4" x14ac:dyDescent="0.2">
      <c r="A11094" s="496"/>
      <c r="D11094" s="496"/>
    </row>
    <row r="11095" spans="1:4" x14ac:dyDescent="0.2">
      <c r="A11095" s="496"/>
      <c r="D11095" s="496"/>
    </row>
    <row r="11096" spans="1:4" x14ac:dyDescent="0.2">
      <c r="A11096" s="496"/>
      <c r="D11096" s="496"/>
    </row>
    <row r="11097" spans="1:4" x14ac:dyDescent="0.2">
      <c r="A11097" s="496"/>
      <c r="D11097" s="496"/>
    </row>
    <row r="11098" spans="1:4" x14ac:dyDescent="0.2">
      <c r="A11098" s="496"/>
      <c r="D11098" s="496"/>
    </row>
    <row r="11099" spans="1:4" x14ac:dyDescent="0.2">
      <c r="A11099" s="496"/>
      <c r="D11099" s="496"/>
    </row>
    <row r="11100" spans="1:4" x14ac:dyDescent="0.2">
      <c r="A11100" s="496"/>
      <c r="D11100" s="496"/>
    </row>
    <row r="11101" spans="1:4" x14ac:dyDescent="0.2">
      <c r="A11101" s="496"/>
      <c r="D11101" s="496"/>
    </row>
    <row r="11102" spans="1:4" x14ac:dyDescent="0.2">
      <c r="A11102" s="496"/>
      <c r="D11102" s="496"/>
    </row>
    <row r="11103" spans="1:4" x14ac:dyDescent="0.2">
      <c r="A11103" s="496"/>
      <c r="D11103" s="496"/>
    </row>
    <row r="11104" spans="1:4" x14ac:dyDescent="0.2">
      <c r="A11104" s="496"/>
      <c r="D11104" s="496"/>
    </row>
    <row r="11105" spans="1:4" x14ac:dyDescent="0.2">
      <c r="A11105" s="496"/>
      <c r="D11105" s="496"/>
    </row>
    <row r="11106" spans="1:4" x14ac:dyDescent="0.2">
      <c r="A11106" s="496"/>
      <c r="D11106" s="496"/>
    </row>
    <row r="11107" spans="1:4" x14ac:dyDescent="0.2">
      <c r="A11107" s="496"/>
      <c r="D11107" s="496"/>
    </row>
    <row r="11108" spans="1:4" x14ac:dyDescent="0.2">
      <c r="A11108" s="496"/>
      <c r="D11108" s="496"/>
    </row>
    <row r="11109" spans="1:4" x14ac:dyDescent="0.2">
      <c r="A11109" s="496"/>
      <c r="D11109" s="496"/>
    </row>
    <row r="11110" spans="1:4" x14ac:dyDescent="0.2">
      <c r="A11110" s="496"/>
      <c r="D11110" s="496"/>
    </row>
    <row r="11111" spans="1:4" x14ac:dyDescent="0.2">
      <c r="A11111" s="496"/>
      <c r="D11111" s="496"/>
    </row>
    <row r="11112" spans="1:4" x14ac:dyDescent="0.2">
      <c r="A11112" s="496"/>
      <c r="D11112" s="496"/>
    </row>
    <row r="11113" spans="1:4" x14ac:dyDescent="0.2">
      <c r="A11113" s="496"/>
      <c r="D11113" s="496"/>
    </row>
    <row r="11114" spans="1:4" x14ac:dyDescent="0.2">
      <c r="A11114" s="496"/>
      <c r="D11114" s="496"/>
    </row>
    <row r="11115" spans="1:4" x14ac:dyDescent="0.2">
      <c r="A11115" s="496"/>
      <c r="D11115" s="496"/>
    </row>
    <row r="11116" spans="1:4" x14ac:dyDescent="0.2">
      <c r="A11116" s="496"/>
      <c r="D11116" s="496"/>
    </row>
    <row r="11117" spans="1:4" x14ac:dyDescent="0.2">
      <c r="A11117" s="496"/>
      <c r="D11117" s="496"/>
    </row>
    <row r="11118" spans="1:4" x14ac:dyDescent="0.2">
      <c r="A11118" s="496"/>
      <c r="D11118" s="496"/>
    </row>
    <row r="11119" spans="1:4" x14ac:dyDescent="0.2">
      <c r="A11119" s="496"/>
      <c r="D11119" s="496"/>
    </row>
    <row r="11120" spans="1:4" x14ac:dyDescent="0.2">
      <c r="A11120" s="496"/>
      <c r="D11120" s="496"/>
    </row>
    <row r="11121" spans="1:4" x14ac:dyDescent="0.2">
      <c r="A11121" s="496"/>
      <c r="D11121" s="496"/>
    </row>
    <row r="11122" spans="1:4" x14ac:dyDescent="0.2">
      <c r="A11122" s="496"/>
      <c r="D11122" s="496"/>
    </row>
    <row r="11123" spans="1:4" x14ac:dyDescent="0.2">
      <c r="A11123" s="496"/>
      <c r="D11123" s="496"/>
    </row>
    <row r="11124" spans="1:4" x14ac:dyDescent="0.2">
      <c r="A11124" s="496"/>
      <c r="D11124" s="496"/>
    </row>
    <row r="11125" spans="1:4" x14ac:dyDescent="0.2">
      <c r="A11125" s="496"/>
      <c r="D11125" s="496"/>
    </row>
    <row r="11126" spans="1:4" x14ac:dyDescent="0.2">
      <c r="A11126" s="496"/>
      <c r="D11126" s="496"/>
    </row>
    <row r="11127" spans="1:4" x14ac:dyDescent="0.2">
      <c r="A11127" s="496"/>
      <c r="D11127" s="496"/>
    </row>
    <row r="11128" spans="1:4" x14ac:dyDescent="0.2">
      <c r="A11128" s="496"/>
      <c r="D11128" s="496"/>
    </row>
    <row r="11129" spans="1:4" x14ac:dyDescent="0.2">
      <c r="A11129" s="496"/>
      <c r="D11129" s="496"/>
    </row>
    <row r="11130" spans="1:4" x14ac:dyDescent="0.2">
      <c r="A11130" s="496"/>
      <c r="D11130" s="496"/>
    </row>
    <row r="11131" spans="1:4" x14ac:dyDescent="0.2">
      <c r="A11131" s="496"/>
      <c r="D11131" s="496"/>
    </row>
    <row r="11132" spans="1:4" x14ac:dyDescent="0.2">
      <c r="A11132" s="496"/>
      <c r="D11132" s="496"/>
    </row>
    <row r="11133" spans="1:4" x14ac:dyDescent="0.2">
      <c r="A11133" s="496"/>
      <c r="D11133" s="496"/>
    </row>
    <row r="11134" spans="1:4" x14ac:dyDescent="0.2">
      <c r="A11134" s="496"/>
      <c r="D11134" s="496"/>
    </row>
    <row r="11135" spans="1:4" x14ac:dyDescent="0.2">
      <c r="A11135" s="496"/>
      <c r="D11135" s="496"/>
    </row>
    <row r="11136" spans="1:4" x14ac:dyDescent="0.2">
      <c r="A11136" s="496"/>
      <c r="D11136" s="496"/>
    </row>
    <row r="11137" spans="1:4" x14ac:dyDescent="0.2">
      <c r="A11137" s="496"/>
      <c r="D11137" s="496"/>
    </row>
    <row r="11138" spans="1:4" x14ac:dyDescent="0.2">
      <c r="A11138" s="496"/>
      <c r="D11138" s="496"/>
    </row>
    <row r="11139" spans="1:4" x14ac:dyDescent="0.2">
      <c r="A11139" s="496"/>
      <c r="D11139" s="496"/>
    </row>
    <row r="11140" spans="1:4" x14ac:dyDescent="0.2">
      <c r="A11140" s="496"/>
      <c r="D11140" s="496"/>
    </row>
    <row r="11141" spans="1:4" x14ac:dyDescent="0.2">
      <c r="A11141" s="496"/>
      <c r="D11141" s="496"/>
    </row>
    <row r="11142" spans="1:4" x14ac:dyDescent="0.2">
      <c r="A11142" s="496"/>
      <c r="D11142" s="496"/>
    </row>
    <row r="11143" spans="1:4" x14ac:dyDescent="0.2">
      <c r="A11143" s="496"/>
      <c r="D11143" s="496"/>
    </row>
    <row r="11144" spans="1:4" x14ac:dyDescent="0.2">
      <c r="A11144" s="496"/>
      <c r="D11144" s="496"/>
    </row>
    <row r="11145" spans="1:4" x14ac:dyDescent="0.2">
      <c r="A11145" s="496"/>
      <c r="D11145" s="496"/>
    </row>
    <row r="11146" spans="1:4" x14ac:dyDescent="0.2">
      <c r="A11146" s="496"/>
      <c r="D11146" s="496"/>
    </row>
    <row r="11147" spans="1:4" x14ac:dyDescent="0.2">
      <c r="A11147" s="496"/>
      <c r="D11147" s="496"/>
    </row>
    <row r="11148" spans="1:4" x14ac:dyDescent="0.2">
      <c r="A11148" s="496"/>
      <c r="D11148" s="496"/>
    </row>
    <row r="11149" spans="1:4" x14ac:dyDescent="0.2">
      <c r="A11149" s="496"/>
      <c r="D11149" s="496"/>
    </row>
    <row r="11150" spans="1:4" x14ac:dyDescent="0.2">
      <c r="A11150" s="496"/>
      <c r="D11150" s="496"/>
    </row>
    <row r="11151" spans="1:4" x14ac:dyDescent="0.2">
      <c r="A11151" s="496"/>
      <c r="D11151" s="496"/>
    </row>
    <row r="11152" spans="1:4" x14ac:dyDescent="0.2">
      <c r="A11152" s="496"/>
      <c r="D11152" s="496"/>
    </row>
    <row r="11153" spans="1:4" x14ac:dyDescent="0.2">
      <c r="A11153" s="496"/>
      <c r="D11153" s="496"/>
    </row>
    <row r="11154" spans="1:4" x14ac:dyDescent="0.2">
      <c r="A11154" s="496"/>
      <c r="D11154" s="496"/>
    </row>
    <row r="11155" spans="1:4" x14ac:dyDescent="0.2">
      <c r="A11155" s="496"/>
      <c r="D11155" s="496"/>
    </row>
    <row r="11156" spans="1:4" x14ac:dyDescent="0.2">
      <c r="A11156" s="496"/>
      <c r="D11156" s="496"/>
    </row>
    <row r="11157" spans="1:4" x14ac:dyDescent="0.2">
      <c r="A11157" s="496"/>
      <c r="D11157" s="496"/>
    </row>
    <row r="11158" spans="1:4" x14ac:dyDescent="0.2">
      <c r="A11158" s="496"/>
      <c r="D11158" s="496"/>
    </row>
    <row r="11159" spans="1:4" x14ac:dyDescent="0.2">
      <c r="A11159" s="496"/>
      <c r="D11159" s="496"/>
    </row>
    <row r="11160" spans="1:4" x14ac:dyDescent="0.2">
      <c r="A11160" s="496"/>
      <c r="D11160" s="496"/>
    </row>
    <row r="11161" spans="1:4" x14ac:dyDescent="0.2">
      <c r="A11161" s="496"/>
      <c r="D11161" s="496"/>
    </row>
    <row r="11162" spans="1:4" x14ac:dyDescent="0.2">
      <c r="A11162" s="496"/>
      <c r="D11162" s="496"/>
    </row>
    <row r="11163" spans="1:4" x14ac:dyDescent="0.2">
      <c r="A11163" s="496"/>
      <c r="D11163" s="496"/>
    </row>
    <row r="11164" spans="1:4" x14ac:dyDescent="0.2">
      <c r="A11164" s="496"/>
      <c r="D11164" s="496"/>
    </row>
    <row r="11165" spans="1:4" x14ac:dyDescent="0.2">
      <c r="A11165" s="496"/>
      <c r="D11165" s="496"/>
    </row>
    <row r="11166" spans="1:4" x14ac:dyDescent="0.2">
      <c r="A11166" s="496"/>
      <c r="D11166" s="496"/>
    </row>
    <row r="11167" spans="1:4" x14ac:dyDescent="0.2">
      <c r="A11167" s="496"/>
      <c r="D11167" s="496"/>
    </row>
    <row r="11168" spans="1:4" x14ac:dyDescent="0.2">
      <c r="A11168" s="496"/>
      <c r="D11168" s="496"/>
    </row>
    <row r="11169" spans="1:4" x14ac:dyDescent="0.2">
      <c r="A11169" s="496"/>
      <c r="D11169" s="496"/>
    </row>
    <row r="11170" spans="1:4" x14ac:dyDescent="0.2">
      <c r="A11170" s="496"/>
      <c r="D11170" s="496"/>
    </row>
    <row r="11171" spans="1:4" x14ac:dyDescent="0.2">
      <c r="A11171" s="496"/>
      <c r="D11171" s="496"/>
    </row>
    <row r="11172" spans="1:4" x14ac:dyDescent="0.2">
      <c r="A11172" s="496"/>
      <c r="D11172" s="496"/>
    </row>
    <row r="11173" spans="1:4" x14ac:dyDescent="0.2">
      <c r="A11173" s="496"/>
      <c r="D11173" s="496"/>
    </row>
    <row r="11174" spans="1:4" x14ac:dyDescent="0.2">
      <c r="A11174" s="496"/>
      <c r="D11174" s="496"/>
    </row>
    <row r="11175" spans="1:4" x14ac:dyDescent="0.2">
      <c r="A11175" s="496"/>
      <c r="D11175" s="496"/>
    </row>
    <row r="11176" spans="1:4" x14ac:dyDescent="0.2">
      <c r="A11176" s="496"/>
      <c r="D11176" s="496"/>
    </row>
    <row r="11177" spans="1:4" x14ac:dyDescent="0.2">
      <c r="A11177" s="496"/>
      <c r="D11177" s="496"/>
    </row>
    <row r="11178" spans="1:4" x14ac:dyDescent="0.2">
      <c r="A11178" s="496"/>
      <c r="D11178" s="496"/>
    </row>
    <row r="11179" spans="1:4" x14ac:dyDescent="0.2">
      <c r="A11179" s="496"/>
      <c r="D11179" s="496"/>
    </row>
    <row r="11180" spans="1:4" x14ac:dyDescent="0.2">
      <c r="A11180" s="496"/>
      <c r="D11180" s="496"/>
    </row>
    <row r="11181" spans="1:4" x14ac:dyDescent="0.2">
      <c r="A11181" s="496"/>
      <c r="D11181" s="496"/>
    </row>
    <row r="11182" spans="1:4" x14ac:dyDescent="0.2">
      <c r="A11182" s="496"/>
      <c r="D11182" s="496"/>
    </row>
    <row r="11183" spans="1:4" x14ac:dyDescent="0.2">
      <c r="A11183" s="496"/>
      <c r="D11183" s="496"/>
    </row>
    <row r="11184" spans="1:4" x14ac:dyDescent="0.2">
      <c r="A11184" s="496"/>
      <c r="D11184" s="496"/>
    </row>
    <row r="11185" spans="1:4" x14ac:dyDescent="0.2">
      <c r="A11185" s="496"/>
      <c r="D11185" s="496"/>
    </row>
    <row r="11186" spans="1:4" x14ac:dyDescent="0.2">
      <c r="A11186" s="496"/>
      <c r="D11186" s="496"/>
    </row>
    <row r="11187" spans="1:4" x14ac:dyDescent="0.2">
      <c r="A11187" s="496"/>
      <c r="D11187" s="496"/>
    </row>
    <row r="11188" spans="1:4" x14ac:dyDescent="0.2">
      <c r="A11188" s="496"/>
      <c r="D11188" s="496"/>
    </row>
    <row r="11189" spans="1:4" x14ac:dyDescent="0.2">
      <c r="A11189" s="496"/>
      <c r="D11189" s="496"/>
    </row>
    <row r="11190" spans="1:4" x14ac:dyDescent="0.2">
      <c r="A11190" s="496"/>
      <c r="D11190" s="496"/>
    </row>
    <row r="11191" spans="1:4" x14ac:dyDescent="0.2">
      <c r="A11191" s="496"/>
      <c r="D11191" s="496"/>
    </row>
    <row r="11192" spans="1:4" x14ac:dyDescent="0.2">
      <c r="A11192" s="496"/>
      <c r="D11192" s="496"/>
    </row>
    <row r="11193" spans="1:4" x14ac:dyDescent="0.2">
      <c r="A11193" s="496"/>
      <c r="D11193" s="496"/>
    </row>
    <row r="11194" spans="1:4" x14ac:dyDescent="0.2">
      <c r="A11194" s="496"/>
      <c r="D11194" s="496"/>
    </row>
    <row r="11195" spans="1:4" x14ac:dyDescent="0.2">
      <c r="A11195" s="496"/>
      <c r="D11195" s="496"/>
    </row>
    <row r="11196" spans="1:4" x14ac:dyDescent="0.2">
      <c r="A11196" s="496"/>
      <c r="D11196" s="496"/>
    </row>
    <row r="11197" spans="1:4" x14ac:dyDescent="0.2">
      <c r="A11197" s="496"/>
      <c r="D11197" s="496"/>
    </row>
    <row r="11198" spans="1:4" x14ac:dyDescent="0.2">
      <c r="A11198" s="496"/>
      <c r="D11198" s="496"/>
    </row>
    <row r="11199" spans="1:4" x14ac:dyDescent="0.2">
      <c r="A11199" s="496"/>
      <c r="D11199" s="496"/>
    </row>
    <row r="11200" spans="1:4" x14ac:dyDescent="0.2">
      <c r="A11200" s="496"/>
      <c r="D11200" s="496"/>
    </row>
    <row r="11201" spans="1:4" x14ac:dyDescent="0.2">
      <c r="A11201" s="496"/>
      <c r="D11201" s="496"/>
    </row>
    <row r="11202" spans="1:4" x14ac:dyDescent="0.2">
      <c r="A11202" s="496"/>
      <c r="D11202" s="496"/>
    </row>
    <row r="11203" spans="1:4" x14ac:dyDescent="0.2">
      <c r="A11203" s="496"/>
      <c r="D11203" s="496"/>
    </row>
    <row r="11204" spans="1:4" x14ac:dyDescent="0.2">
      <c r="A11204" s="496"/>
      <c r="D11204" s="496"/>
    </row>
    <row r="11205" spans="1:4" x14ac:dyDescent="0.2">
      <c r="A11205" s="496"/>
      <c r="D11205" s="496"/>
    </row>
    <row r="11206" spans="1:4" x14ac:dyDescent="0.2">
      <c r="A11206" s="496"/>
      <c r="D11206" s="496"/>
    </row>
    <row r="11207" spans="1:4" x14ac:dyDescent="0.2">
      <c r="A11207" s="496"/>
      <c r="D11207" s="496"/>
    </row>
    <row r="11208" spans="1:4" x14ac:dyDescent="0.2">
      <c r="A11208" s="496"/>
      <c r="D11208" s="496"/>
    </row>
    <row r="11209" spans="1:4" x14ac:dyDescent="0.2">
      <c r="A11209" s="496"/>
      <c r="D11209" s="496"/>
    </row>
    <row r="11210" spans="1:4" x14ac:dyDescent="0.2">
      <c r="A11210" s="496"/>
      <c r="D11210" s="496"/>
    </row>
    <row r="11211" spans="1:4" x14ac:dyDescent="0.2">
      <c r="A11211" s="496"/>
      <c r="D11211" s="496"/>
    </row>
    <row r="11212" spans="1:4" x14ac:dyDescent="0.2">
      <c r="A11212" s="496"/>
      <c r="D11212" s="496"/>
    </row>
    <row r="11213" spans="1:4" x14ac:dyDescent="0.2">
      <c r="A11213" s="496"/>
      <c r="D11213" s="496"/>
    </row>
    <row r="11214" spans="1:4" x14ac:dyDescent="0.2">
      <c r="A11214" s="496"/>
      <c r="D11214" s="496"/>
    </row>
    <row r="11215" spans="1:4" x14ac:dyDescent="0.2">
      <c r="A11215" s="496"/>
      <c r="D11215" s="496"/>
    </row>
    <row r="11216" spans="1:4" x14ac:dyDescent="0.2">
      <c r="A11216" s="496"/>
      <c r="D11216" s="496"/>
    </row>
    <row r="11217" spans="1:4" x14ac:dyDescent="0.2">
      <c r="A11217" s="496"/>
      <c r="D11217" s="496"/>
    </row>
    <row r="11218" spans="1:4" x14ac:dyDescent="0.2">
      <c r="A11218" s="496"/>
      <c r="D11218" s="496"/>
    </row>
    <row r="11219" spans="1:4" x14ac:dyDescent="0.2">
      <c r="A11219" s="496"/>
      <c r="D11219" s="496"/>
    </row>
    <row r="11220" spans="1:4" x14ac:dyDescent="0.2">
      <c r="A11220" s="496"/>
      <c r="D11220" s="496"/>
    </row>
    <row r="11221" spans="1:4" x14ac:dyDescent="0.2">
      <c r="A11221" s="496"/>
      <c r="D11221" s="496"/>
    </row>
    <row r="11222" spans="1:4" x14ac:dyDescent="0.2">
      <c r="A11222" s="496"/>
      <c r="D11222" s="496"/>
    </row>
    <row r="11223" spans="1:4" x14ac:dyDescent="0.2">
      <c r="A11223" s="496"/>
      <c r="D11223" s="496"/>
    </row>
    <row r="11224" spans="1:4" x14ac:dyDescent="0.2">
      <c r="A11224" s="496"/>
      <c r="D11224" s="496"/>
    </row>
    <row r="11225" spans="1:4" x14ac:dyDescent="0.2">
      <c r="A11225" s="496"/>
      <c r="D11225" s="496"/>
    </row>
    <row r="11226" spans="1:4" x14ac:dyDescent="0.2">
      <c r="A11226" s="496"/>
      <c r="D11226" s="496"/>
    </row>
    <row r="11227" spans="1:4" x14ac:dyDescent="0.2">
      <c r="A11227" s="496"/>
      <c r="D11227" s="496"/>
    </row>
    <row r="11228" spans="1:4" x14ac:dyDescent="0.2">
      <c r="A11228" s="496"/>
      <c r="D11228" s="496"/>
    </row>
    <row r="11229" spans="1:4" x14ac:dyDescent="0.2">
      <c r="A11229" s="496"/>
      <c r="D11229" s="496"/>
    </row>
    <row r="11230" spans="1:4" x14ac:dyDescent="0.2">
      <c r="A11230" s="496"/>
      <c r="D11230" s="496"/>
    </row>
    <row r="11231" spans="1:4" x14ac:dyDescent="0.2">
      <c r="A11231" s="496"/>
      <c r="D11231" s="496"/>
    </row>
    <row r="11232" spans="1:4" x14ac:dyDescent="0.2">
      <c r="A11232" s="496"/>
      <c r="D11232" s="496"/>
    </row>
    <row r="11233" spans="1:4" x14ac:dyDescent="0.2">
      <c r="A11233" s="496"/>
      <c r="D11233" s="496"/>
    </row>
    <row r="11234" spans="1:4" x14ac:dyDescent="0.2">
      <c r="A11234" s="496"/>
      <c r="D11234" s="496"/>
    </row>
    <row r="11235" spans="1:4" x14ac:dyDescent="0.2">
      <c r="A11235" s="496"/>
      <c r="D11235" s="496"/>
    </row>
    <row r="11236" spans="1:4" x14ac:dyDescent="0.2">
      <c r="A11236" s="496"/>
      <c r="D11236" s="496"/>
    </row>
    <row r="11237" spans="1:4" x14ac:dyDescent="0.2">
      <c r="A11237" s="496"/>
      <c r="D11237" s="496"/>
    </row>
    <row r="11238" spans="1:4" x14ac:dyDescent="0.2">
      <c r="A11238" s="496"/>
      <c r="D11238" s="496"/>
    </row>
    <row r="11239" spans="1:4" x14ac:dyDescent="0.2">
      <c r="A11239" s="496"/>
      <c r="D11239" s="496"/>
    </row>
    <row r="11240" spans="1:4" x14ac:dyDescent="0.2">
      <c r="A11240" s="496"/>
      <c r="D11240" s="496"/>
    </row>
    <row r="11241" spans="1:4" x14ac:dyDescent="0.2">
      <c r="A11241" s="496"/>
      <c r="D11241" s="496"/>
    </row>
    <row r="11242" spans="1:4" x14ac:dyDescent="0.2">
      <c r="A11242" s="496"/>
      <c r="D11242" s="496"/>
    </row>
    <row r="11243" spans="1:4" x14ac:dyDescent="0.2">
      <c r="A11243" s="496"/>
      <c r="D11243" s="496"/>
    </row>
    <row r="11244" spans="1:4" x14ac:dyDescent="0.2">
      <c r="A11244" s="496"/>
      <c r="D11244" s="496"/>
    </row>
    <row r="11245" spans="1:4" x14ac:dyDescent="0.2">
      <c r="A11245" s="496"/>
      <c r="D11245" s="496"/>
    </row>
    <row r="11246" spans="1:4" x14ac:dyDescent="0.2">
      <c r="A11246" s="496"/>
      <c r="D11246" s="496"/>
    </row>
    <row r="11247" spans="1:4" x14ac:dyDescent="0.2">
      <c r="A11247" s="496"/>
      <c r="D11247" s="496"/>
    </row>
    <row r="11248" spans="1:4" x14ac:dyDescent="0.2">
      <c r="A11248" s="496"/>
      <c r="D11248" s="496"/>
    </row>
    <row r="11249" spans="1:4" x14ac:dyDescent="0.2">
      <c r="A11249" s="496"/>
      <c r="D11249" s="496"/>
    </row>
    <row r="11250" spans="1:4" x14ac:dyDescent="0.2">
      <c r="A11250" s="496"/>
      <c r="D11250" s="496"/>
    </row>
    <row r="11251" spans="1:4" x14ac:dyDescent="0.2">
      <c r="A11251" s="496"/>
      <c r="D11251" s="496"/>
    </row>
    <row r="11252" spans="1:4" x14ac:dyDescent="0.2">
      <c r="A11252" s="496"/>
      <c r="D11252" s="496"/>
    </row>
    <row r="11253" spans="1:4" x14ac:dyDescent="0.2">
      <c r="A11253" s="496"/>
      <c r="D11253" s="496"/>
    </row>
    <row r="11254" spans="1:4" x14ac:dyDescent="0.2">
      <c r="A11254" s="496"/>
      <c r="D11254" s="496"/>
    </row>
    <row r="11255" spans="1:4" x14ac:dyDescent="0.2">
      <c r="A11255" s="496"/>
      <c r="D11255" s="496"/>
    </row>
    <row r="11256" spans="1:4" x14ac:dyDescent="0.2">
      <c r="A11256" s="496"/>
      <c r="D11256" s="496"/>
    </row>
    <row r="11257" spans="1:4" x14ac:dyDescent="0.2">
      <c r="A11257" s="496"/>
      <c r="D11257" s="496"/>
    </row>
    <row r="11258" spans="1:4" x14ac:dyDescent="0.2">
      <c r="A11258" s="496"/>
      <c r="D11258" s="496"/>
    </row>
    <row r="11259" spans="1:4" x14ac:dyDescent="0.2">
      <c r="A11259" s="496"/>
      <c r="D11259" s="496"/>
    </row>
    <row r="11260" spans="1:4" x14ac:dyDescent="0.2">
      <c r="A11260" s="496"/>
      <c r="D11260" s="496"/>
    </row>
    <row r="11261" spans="1:4" x14ac:dyDescent="0.2">
      <c r="A11261" s="496"/>
      <c r="D11261" s="496"/>
    </row>
    <row r="11262" spans="1:4" x14ac:dyDescent="0.2">
      <c r="A11262" s="496"/>
      <c r="D11262" s="496"/>
    </row>
    <row r="11263" spans="1:4" x14ac:dyDescent="0.2">
      <c r="A11263" s="496"/>
      <c r="D11263" s="496"/>
    </row>
    <row r="11264" spans="1:4" x14ac:dyDescent="0.2">
      <c r="A11264" s="496"/>
      <c r="D11264" s="496"/>
    </row>
    <row r="11265" spans="1:4" x14ac:dyDescent="0.2">
      <c r="A11265" s="496"/>
      <c r="D11265" s="496"/>
    </row>
    <row r="11266" spans="1:4" x14ac:dyDescent="0.2">
      <c r="A11266" s="496"/>
      <c r="D11266" s="496"/>
    </row>
    <row r="11267" spans="1:4" x14ac:dyDescent="0.2">
      <c r="A11267" s="496"/>
      <c r="D11267" s="496"/>
    </row>
    <row r="11268" spans="1:4" x14ac:dyDescent="0.2">
      <c r="A11268" s="496"/>
      <c r="D11268" s="496"/>
    </row>
    <row r="11269" spans="1:4" x14ac:dyDescent="0.2">
      <c r="A11269" s="496"/>
      <c r="D11269" s="496"/>
    </row>
    <row r="11270" spans="1:4" x14ac:dyDescent="0.2">
      <c r="A11270" s="496"/>
      <c r="D11270" s="496"/>
    </row>
    <row r="11271" spans="1:4" x14ac:dyDescent="0.2">
      <c r="A11271" s="496"/>
      <c r="D11271" s="496"/>
    </row>
    <row r="11272" spans="1:4" x14ac:dyDescent="0.2">
      <c r="A11272" s="496"/>
      <c r="D11272" s="496"/>
    </row>
    <row r="11273" spans="1:4" x14ac:dyDescent="0.2">
      <c r="A11273" s="496"/>
      <c r="D11273" s="496"/>
    </row>
    <row r="11274" spans="1:4" x14ac:dyDescent="0.2">
      <c r="A11274" s="496"/>
      <c r="D11274" s="496"/>
    </row>
    <row r="11275" spans="1:4" x14ac:dyDescent="0.2">
      <c r="A11275" s="496"/>
      <c r="D11275" s="496"/>
    </row>
    <row r="11276" spans="1:4" x14ac:dyDescent="0.2">
      <c r="A11276" s="496"/>
      <c r="D11276" s="496"/>
    </row>
    <row r="11277" spans="1:4" x14ac:dyDescent="0.2">
      <c r="A11277" s="496"/>
      <c r="D11277" s="496"/>
    </row>
    <row r="11278" spans="1:4" x14ac:dyDescent="0.2">
      <c r="A11278" s="496"/>
      <c r="D11278" s="496"/>
    </row>
    <row r="11279" spans="1:4" x14ac:dyDescent="0.2">
      <c r="A11279" s="496"/>
      <c r="D11279" s="496"/>
    </row>
    <row r="11280" spans="1:4" x14ac:dyDescent="0.2">
      <c r="A11280" s="496"/>
      <c r="D11280" s="496"/>
    </row>
    <row r="11281" spans="1:4" x14ac:dyDescent="0.2">
      <c r="A11281" s="496"/>
      <c r="D11281" s="496"/>
    </row>
    <row r="11282" spans="1:4" x14ac:dyDescent="0.2">
      <c r="A11282" s="496"/>
      <c r="D11282" s="496"/>
    </row>
    <row r="11283" spans="1:4" x14ac:dyDescent="0.2">
      <c r="A11283" s="496"/>
      <c r="D11283" s="496"/>
    </row>
    <row r="11284" spans="1:4" x14ac:dyDescent="0.2">
      <c r="A11284" s="496"/>
      <c r="D11284" s="496"/>
    </row>
    <row r="11285" spans="1:4" x14ac:dyDescent="0.2">
      <c r="A11285" s="496"/>
      <c r="D11285" s="496"/>
    </row>
    <row r="11286" spans="1:4" x14ac:dyDescent="0.2">
      <c r="A11286" s="496"/>
      <c r="D11286" s="496"/>
    </row>
    <row r="11287" spans="1:4" x14ac:dyDescent="0.2">
      <c r="A11287" s="496"/>
      <c r="D11287" s="496"/>
    </row>
    <row r="11288" spans="1:4" x14ac:dyDescent="0.2">
      <c r="A11288" s="496"/>
      <c r="D11288" s="496"/>
    </row>
    <row r="11289" spans="1:4" x14ac:dyDescent="0.2">
      <c r="A11289" s="496"/>
      <c r="D11289" s="496"/>
    </row>
    <row r="11290" spans="1:4" x14ac:dyDescent="0.2">
      <c r="A11290" s="496"/>
      <c r="D11290" s="496"/>
    </row>
    <row r="11291" spans="1:4" x14ac:dyDescent="0.2">
      <c r="A11291" s="496"/>
      <c r="D11291" s="496"/>
    </row>
    <row r="11292" spans="1:4" x14ac:dyDescent="0.2">
      <c r="A11292" s="496"/>
      <c r="D11292" s="496"/>
    </row>
    <row r="11293" spans="1:4" x14ac:dyDescent="0.2">
      <c r="A11293" s="496"/>
      <c r="D11293" s="496"/>
    </row>
    <row r="11294" spans="1:4" x14ac:dyDescent="0.2">
      <c r="A11294" s="496"/>
      <c r="D11294" s="496"/>
    </row>
    <row r="11295" spans="1:4" x14ac:dyDescent="0.2">
      <c r="A11295" s="496"/>
      <c r="D11295" s="496"/>
    </row>
    <row r="11296" spans="1:4" x14ac:dyDescent="0.2">
      <c r="A11296" s="496"/>
      <c r="D11296" s="496"/>
    </row>
    <row r="11297" spans="1:4" x14ac:dyDescent="0.2">
      <c r="A11297" s="496"/>
      <c r="D11297" s="496"/>
    </row>
    <row r="11298" spans="1:4" x14ac:dyDescent="0.2">
      <c r="A11298" s="496"/>
      <c r="D11298" s="496"/>
    </row>
    <row r="11299" spans="1:4" x14ac:dyDescent="0.2">
      <c r="A11299" s="496"/>
      <c r="D11299" s="496"/>
    </row>
    <row r="11300" spans="1:4" x14ac:dyDescent="0.2">
      <c r="A11300" s="496"/>
      <c r="D11300" s="496"/>
    </row>
    <row r="11301" spans="1:4" x14ac:dyDescent="0.2">
      <c r="A11301" s="496"/>
      <c r="D11301" s="496"/>
    </row>
    <row r="11302" spans="1:4" x14ac:dyDescent="0.2">
      <c r="A11302" s="496"/>
      <c r="D11302" s="496"/>
    </row>
    <row r="11303" spans="1:4" x14ac:dyDescent="0.2">
      <c r="A11303" s="496"/>
      <c r="D11303" s="496"/>
    </row>
    <row r="11304" spans="1:4" x14ac:dyDescent="0.2">
      <c r="A11304" s="496"/>
      <c r="D11304" s="496"/>
    </row>
    <row r="11305" spans="1:4" x14ac:dyDescent="0.2">
      <c r="A11305" s="496"/>
      <c r="D11305" s="496"/>
    </row>
    <row r="11306" spans="1:4" x14ac:dyDescent="0.2">
      <c r="A11306" s="496"/>
      <c r="D11306" s="496"/>
    </row>
    <row r="11307" spans="1:4" x14ac:dyDescent="0.2">
      <c r="A11307" s="496"/>
      <c r="D11307" s="496"/>
    </row>
    <row r="11308" spans="1:4" x14ac:dyDescent="0.2">
      <c r="A11308" s="496"/>
      <c r="D11308" s="496"/>
    </row>
    <row r="11309" spans="1:4" x14ac:dyDescent="0.2">
      <c r="A11309" s="496"/>
      <c r="D11309" s="496"/>
    </row>
    <row r="11310" spans="1:4" x14ac:dyDescent="0.2">
      <c r="A11310" s="496"/>
      <c r="D11310" s="496"/>
    </row>
    <row r="11311" spans="1:4" x14ac:dyDescent="0.2">
      <c r="A11311" s="496"/>
      <c r="D11311" s="496"/>
    </row>
    <row r="11312" spans="1:4" x14ac:dyDescent="0.2">
      <c r="A11312" s="496"/>
      <c r="D11312" s="496"/>
    </row>
    <row r="11313" spans="1:4" x14ac:dyDescent="0.2">
      <c r="A11313" s="496"/>
      <c r="D11313" s="496"/>
    </row>
    <row r="11314" spans="1:4" x14ac:dyDescent="0.2">
      <c r="A11314" s="496"/>
      <c r="D11314" s="496"/>
    </row>
    <row r="11315" spans="1:4" x14ac:dyDescent="0.2">
      <c r="A11315" s="496"/>
      <c r="D11315" s="496"/>
    </row>
    <row r="11316" spans="1:4" x14ac:dyDescent="0.2">
      <c r="A11316" s="496"/>
      <c r="D11316" s="496"/>
    </row>
    <row r="11317" spans="1:4" x14ac:dyDescent="0.2">
      <c r="A11317" s="496"/>
      <c r="D11317" s="496"/>
    </row>
    <row r="11318" spans="1:4" x14ac:dyDescent="0.2">
      <c r="A11318" s="496"/>
      <c r="D11318" s="496"/>
    </row>
    <row r="11319" spans="1:4" x14ac:dyDescent="0.2">
      <c r="A11319" s="496"/>
      <c r="D11319" s="496"/>
    </row>
    <row r="11320" spans="1:4" x14ac:dyDescent="0.2">
      <c r="A11320" s="496"/>
      <c r="D11320" s="496"/>
    </row>
    <row r="11321" spans="1:4" x14ac:dyDescent="0.2">
      <c r="A11321" s="496"/>
      <c r="D11321" s="496"/>
    </row>
    <row r="11322" spans="1:4" x14ac:dyDescent="0.2">
      <c r="A11322" s="496"/>
      <c r="D11322" s="496"/>
    </row>
    <row r="11323" spans="1:4" x14ac:dyDescent="0.2">
      <c r="A11323" s="496"/>
      <c r="D11323" s="496"/>
    </row>
    <row r="11324" spans="1:4" x14ac:dyDescent="0.2">
      <c r="A11324" s="496"/>
      <c r="D11324" s="496"/>
    </row>
    <row r="11325" spans="1:4" x14ac:dyDescent="0.2">
      <c r="A11325" s="496"/>
      <c r="D11325" s="496"/>
    </row>
    <row r="11326" spans="1:4" x14ac:dyDescent="0.2">
      <c r="A11326" s="496"/>
      <c r="D11326" s="496"/>
    </row>
    <row r="11327" spans="1:4" x14ac:dyDescent="0.2">
      <c r="A11327" s="496"/>
      <c r="D11327" s="496"/>
    </row>
    <row r="11328" spans="1:4" x14ac:dyDescent="0.2">
      <c r="A11328" s="496"/>
      <c r="D11328" s="496"/>
    </row>
    <row r="11329" spans="1:4" x14ac:dyDescent="0.2">
      <c r="A11329" s="496"/>
      <c r="D11329" s="496"/>
    </row>
    <row r="11330" spans="1:4" x14ac:dyDescent="0.2">
      <c r="A11330" s="496"/>
      <c r="D11330" s="496"/>
    </row>
    <row r="11331" spans="1:4" x14ac:dyDescent="0.2">
      <c r="A11331" s="496"/>
      <c r="D11331" s="496"/>
    </row>
    <row r="11332" spans="1:4" x14ac:dyDescent="0.2">
      <c r="A11332" s="496"/>
      <c r="D11332" s="496"/>
    </row>
    <row r="11333" spans="1:4" x14ac:dyDescent="0.2">
      <c r="A11333" s="496"/>
      <c r="D11333" s="496"/>
    </row>
    <row r="11334" spans="1:4" x14ac:dyDescent="0.2">
      <c r="A11334" s="496"/>
      <c r="D11334" s="496"/>
    </row>
    <row r="11335" spans="1:4" x14ac:dyDescent="0.2">
      <c r="A11335" s="496"/>
      <c r="D11335" s="496"/>
    </row>
    <row r="11336" spans="1:4" x14ac:dyDescent="0.2">
      <c r="A11336" s="496"/>
      <c r="D11336" s="496"/>
    </row>
    <row r="11337" spans="1:4" x14ac:dyDescent="0.2">
      <c r="A11337" s="496"/>
      <c r="D11337" s="496"/>
    </row>
    <row r="11338" spans="1:4" x14ac:dyDescent="0.2">
      <c r="A11338" s="496"/>
      <c r="D11338" s="496"/>
    </row>
    <row r="11339" spans="1:4" x14ac:dyDescent="0.2">
      <c r="A11339" s="496"/>
      <c r="D11339" s="496"/>
    </row>
    <row r="11340" spans="1:4" x14ac:dyDescent="0.2">
      <c r="A11340" s="496"/>
      <c r="D11340" s="496"/>
    </row>
    <row r="11341" spans="1:4" x14ac:dyDescent="0.2">
      <c r="A11341" s="496"/>
      <c r="D11341" s="496"/>
    </row>
    <row r="11342" spans="1:4" x14ac:dyDescent="0.2">
      <c r="A11342" s="496"/>
      <c r="D11342" s="496"/>
    </row>
    <row r="11343" spans="1:4" x14ac:dyDescent="0.2">
      <c r="A11343" s="496"/>
      <c r="D11343" s="496"/>
    </row>
    <row r="11344" spans="1:4" x14ac:dyDescent="0.2">
      <c r="A11344" s="496"/>
      <c r="D11344" s="496"/>
    </row>
    <row r="11345" spans="1:4" x14ac:dyDescent="0.2">
      <c r="A11345" s="496"/>
      <c r="D11345" s="496"/>
    </row>
    <row r="11346" spans="1:4" x14ac:dyDescent="0.2">
      <c r="A11346" s="496"/>
      <c r="D11346" s="496"/>
    </row>
    <row r="11347" spans="1:4" x14ac:dyDescent="0.2">
      <c r="A11347" s="496"/>
      <c r="D11347" s="496"/>
    </row>
    <row r="11348" spans="1:4" x14ac:dyDescent="0.2">
      <c r="A11348" s="496"/>
      <c r="D11348" s="496"/>
    </row>
    <row r="11349" spans="1:4" x14ac:dyDescent="0.2">
      <c r="A11349" s="496"/>
      <c r="D11349" s="496"/>
    </row>
    <row r="11350" spans="1:4" x14ac:dyDescent="0.2">
      <c r="A11350" s="496"/>
      <c r="D11350" s="496"/>
    </row>
    <row r="11351" spans="1:4" x14ac:dyDescent="0.2">
      <c r="A11351" s="496"/>
      <c r="D11351" s="496"/>
    </row>
    <row r="11352" spans="1:4" x14ac:dyDescent="0.2">
      <c r="A11352" s="496"/>
      <c r="D11352" s="496"/>
    </row>
    <row r="11353" spans="1:4" x14ac:dyDescent="0.2">
      <c r="A11353" s="496"/>
      <c r="D11353" s="496"/>
    </row>
    <row r="11354" spans="1:4" x14ac:dyDescent="0.2">
      <c r="A11354" s="496"/>
      <c r="D11354" s="496"/>
    </row>
    <row r="11355" spans="1:4" x14ac:dyDescent="0.2">
      <c r="A11355" s="496"/>
      <c r="D11355" s="496"/>
    </row>
    <row r="11356" spans="1:4" x14ac:dyDescent="0.2">
      <c r="A11356" s="496"/>
      <c r="D11356" s="496"/>
    </row>
    <row r="11357" spans="1:4" x14ac:dyDescent="0.2">
      <c r="A11357" s="496"/>
      <c r="D11357" s="496"/>
    </row>
    <row r="11358" spans="1:4" x14ac:dyDescent="0.2">
      <c r="A11358" s="496"/>
      <c r="D11358" s="496"/>
    </row>
    <row r="11359" spans="1:4" x14ac:dyDescent="0.2">
      <c r="A11359" s="496"/>
      <c r="D11359" s="496"/>
    </row>
    <row r="11360" spans="1:4" x14ac:dyDescent="0.2">
      <c r="A11360" s="496"/>
      <c r="D11360" s="496"/>
    </row>
    <row r="11361" spans="1:4" x14ac:dyDescent="0.2">
      <c r="A11361" s="496"/>
      <c r="D11361" s="496"/>
    </row>
    <row r="11362" spans="1:4" x14ac:dyDescent="0.2">
      <c r="A11362" s="496"/>
      <c r="D11362" s="496"/>
    </row>
    <row r="11363" spans="1:4" x14ac:dyDescent="0.2">
      <c r="A11363" s="496"/>
      <c r="D11363" s="496"/>
    </row>
    <row r="11364" spans="1:4" x14ac:dyDescent="0.2">
      <c r="A11364" s="496"/>
      <c r="D11364" s="496"/>
    </row>
    <row r="11365" spans="1:4" x14ac:dyDescent="0.2">
      <c r="A11365" s="496"/>
      <c r="D11365" s="496"/>
    </row>
    <row r="11366" spans="1:4" x14ac:dyDescent="0.2">
      <c r="A11366" s="496"/>
      <c r="D11366" s="496"/>
    </row>
    <row r="11367" spans="1:4" x14ac:dyDescent="0.2">
      <c r="A11367" s="496"/>
      <c r="D11367" s="496"/>
    </row>
    <row r="11368" spans="1:4" x14ac:dyDescent="0.2">
      <c r="A11368" s="496"/>
      <c r="D11368" s="496"/>
    </row>
    <row r="11369" spans="1:4" x14ac:dyDescent="0.2">
      <c r="A11369" s="496"/>
      <c r="D11369" s="496"/>
    </row>
    <row r="11370" spans="1:4" x14ac:dyDescent="0.2">
      <c r="A11370" s="496"/>
      <c r="D11370" s="496"/>
    </row>
    <row r="11371" spans="1:4" x14ac:dyDescent="0.2">
      <c r="A11371" s="496"/>
      <c r="D11371" s="496"/>
    </row>
    <row r="11372" spans="1:4" x14ac:dyDescent="0.2">
      <c r="A11372" s="496"/>
      <c r="D11372" s="496"/>
    </row>
    <row r="11373" spans="1:4" x14ac:dyDescent="0.2">
      <c r="A11373" s="496"/>
      <c r="D11373" s="496"/>
    </row>
    <row r="11374" spans="1:4" x14ac:dyDescent="0.2">
      <c r="A11374" s="496"/>
      <c r="D11374" s="496"/>
    </row>
    <row r="11375" spans="1:4" x14ac:dyDescent="0.2">
      <c r="A11375" s="496"/>
      <c r="D11375" s="496"/>
    </row>
    <row r="11376" spans="1:4" x14ac:dyDescent="0.2">
      <c r="A11376" s="496"/>
      <c r="D11376" s="496"/>
    </row>
    <row r="11377" spans="1:4" x14ac:dyDescent="0.2">
      <c r="A11377" s="496"/>
      <c r="D11377" s="496"/>
    </row>
    <row r="11378" spans="1:4" x14ac:dyDescent="0.2">
      <c r="A11378" s="496"/>
      <c r="D11378" s="496"/>
    </row>
    <row r="11379" spans="1:4" x14ac:dyDescent="0.2">
      <c r="A11379" s="496"/>
      <c r="D11379" s="496"/>
    </row>
    <row r="11380" spans="1:4" x14ac:dyDescent="0.2">
      <c r="A11380" s="496"/>
      <c r="D11380" s="496"/>
    </row>
    <row r="11381" spans="1:4" x14ac:dyDescent="0.2">
      <c r="A11381" s="496"/>
      <c r="D11381" s="496"/>
    </row>
    <row r="11382" spans="1:4" x14ac:dyDescent="0.2">
      <c r="A11382" s="496"/>
      <c r="D11382" s="496"/>
    </row>
    <row r="11383" spans="1:4" x14ac:dyDescent="0.2">
      <c r="A11383" s="496"/>
      <c r="D11383" s="496"/>
    </row>
    <row r="11384" spans="1:4" x14ac:dyDescent="0.2">
      <c r="A11384" s="496"/>
      <c r="D11384" s="496"/>
    </row>
    <row r="11385" spans="1:4" x14ac:dyDescent="0.2">
      <c r="A11385" s="496"/>
      <c r="D11385" s="496"/>
    </row>
    <row r="11386" spans="1:4" x14ac:dyDescent="0.2">
      <c r="A11386" s="496"/>
      <c r="D11386" s="496"/>
    </row>
    <row r="11387" spans="1:4" x14ac:dyDescent="0.2">
      <c r="A11387" s="496"/>
      <c r="D11387" s="496"/>
    </row>
    <row r="11388" spans="1:4" x14ac:dyDescent="0.2">
      <c r="A11388" s="496"/>
      <c r="D11388" s="496"/>
    </row>
    <row r="11389" spans="1:4" x14ac:dyDescent="0.2">
      <c r="A11389" s="496"/>
      <c r="D11389" s="496"/>
    </row>
    <row r="11390" spans="1:4" x14ac:dyDescent="0.2">
      <c r="A11390" s="496"/>
      <c r="D11390" s="496"/>
    </row>
    <row r="11391" spans="1:4" x14ac:dyDescent="0.2">
      <c r="A11391" s="496"/>
      <c r="D11391" s="496"/>
    </row>
    <row r="11392" spans="1:4" x14ac:dyDescent="0.2">
      <c r="A11392" s="496"/>
      <c r="D11392" s="496"/>
    </row>
    <row r="11393" spans="1:4" x14ac:dyDescent="0.2">
      <c r="A11393" s="496"/>
      <c r="D11393" s="496"/>
    </row>
    <row r="11394" spans="1:4" x14ac:dyDescent="0.2">
      <c r="A11394" s="496"/>
      <c r="D11394" s="496"/>
    </row>
    <row r="11395" spans="1:4" x14ac:dyDescent="0.2">
      <c r="A11395" s="496"/>
      <c r="D11395" s="496"/>
    </row>
    <row r="11396" spans="1:4" x14ac:dyDescent="0.2">
      <c r="A11396" s="496"/>
      <c r="D11396" s="496"/>
    </row>
    <row r="11397" spans="1:4" x14ac:dyDescent="0.2">
      <c r="A11397" s="496"/>
      <c r="D11397" s="496"/>
    </row>
    <row r="11398" spans="1:4" x14ac:dyDescent="0.2">
      <c r="A11398" s="496"/>
      <c r="D11398" s="496"/>
    </row>
    <row r="11399" spans="1:4" x14ac:dyDescent="0.2">
      <c r="A11399" s="496"/>
      <c r="D11399" s="496"/>
    </row>
    <row r="11400" spans="1:4" x14ac:dyDescent="0.2">
      <c r="A11400" s="496"/>
      <c r="D11400" s="496"/>
    </row>
    <row r="11401" spans="1:4" x14ac:dyDescent="0.2">
      <c r="A11401" s="496"/>
      <c r="D11401" s="496"/>
    </row>
    <row r="11402" spans="1:4" x14ac:dyDescent="0.2">
      <c r="A11402" s="496"/>
      <c r="D11402" s="496"/>
    </row>
    <row r="11403" spans="1:4" x14ac:dyDescent="0.2">
      <c r="A11403" s="496"/>
      <c r="D11403" s="496"/>
    </row>
    <row r="11404" spans="1:4" x14ac:dyDescent="0.2">
      <c r="A11404" s="496"/>
      <c r="D11404" s="496"/>
    </row>
    <row r="11405" spans="1:4" x14ac:dyDescent="0.2">
      <c r="A11405" s="496"/>
      <c r="D11405" s="496"/>
    </row>
    <row r="11406" spans="1:4" x14ac:dyDescent="0.2">
      <c r="A11406" s="496"/>
      <c r="D11406" s="496"/>
    </row>
    <row r="11407" spans="1:4" x14ac:dyDescent="0.2">
      <c r="A11407" s="496"/>
      <c r="D11407" s="496"/>
    </row>
    <row r="11408" spans="1:4" x14ac:dyDescent="0.2">
      <c r="A11408" s="496"/>
      <c r="D11408" s="496"/>
    </row>
    <row r="11409" spans="1:4" x14ac:dyDescent="0.2">
      <c r="A11409" s="496"/>
      <c r="D11409" s="496"/>
    </row>
    <row r="11410" spans="1:4" x14ac:dyDescent="0.2">
      <c r="A11410" s="496"/>
      <c r="D11410" s="496"/>
    </row>
    <row r="11411" spans="1:4" x14ac:dyDescent="0.2">
      <c r="A11411" s="496"/>
      <c r="D11411" s="496"/>
    </row>
    <row r="11412" spans="1:4" x14ac:dyDescent="0.2">
      <c r="A11412" s="496"/>
      <c r="D11412" s="496"/>
    </row>
    <row r="11413" spans="1:4" x14ac:dyDescent="0.2">
      <c r="A11413" s="496"/>
      <c r="D11413" s="496"/>
    </row>
    <row r="11414" spans="1:4" x14ac:dyDescent="0.2">
      <c r="A11414" s="496"/>
      <c r="D11414" s="496"/>
    </row>
    <row r="11415" spans="1:4" x14ac:dyDescent="0.2">
      <c r="A11415" s="496"/>
      <c r="D11415" s="496"/>
    </row>
    <row r="11416" spans="1:4" x14ac:dyDescent="0.2">
      <c r="A11416" s="496"/>
      <c r="D11416" s="496"/>
    </row>
    <row r="11417" spans="1:4" x14ac:dyDescent="0.2">
      <c r="A11417" s="496"/>
      <c r="D11417" s="496"/>
    </row>
    <row r="11418" spans="1:4" x14ac:dyDescent="0.2">
      <c r="A11418" s="496"/>
      <c r="D11418" s="496"/>
    </row>
    <row r="11419" spans="1:4" x14ac:dyDescent="0.2">
      <c r="A11419" s="496"/>
      <c r="D11419" s="496"/>
    </row>
    <row r="11420" spans="1:4" x14ac:dyDescent="0.2">
      <c r="A11420" s="496"/>
      <c r="D11420" s="496"/>
    </row>
    <row r="11421" spans="1:4" x14ac:dyDescent="0.2">
      <c r="A11421" s="496"/>
      <c r="D11421" s="496"/>
    </row>
    <row r="11422" spans="1:4" x14ac:dyDescent="0.2">
      <c r="A11422" s="496"/>
      <c r="D11422" s="496"/>
    </row>
    <row r="11423" spans="1:4" x14ac:dyDescent="0.2">
      <c r="A11423" s="496"/>
      <c r="D11423" s="496"/>
    </row>
    <row r="11424" spans="1:4" x14ac:dyDescent="0.2">
      <c r="A11424" s="496"/>
      <c r="D11424" s="496"/>
    </row>
    <row r="11425" spans="1:4" x14ac:dyDescent="0.2">
      <c r="A11425" s="496"/>
      <c r="D11425" s="496"/>
    </row>
    <row r="11426" spans="1:4" x14ac:dyDescent="0.2">
      <c r="A11426" s="496"/>
      <c r="D11426" s="496"/>
    </row>
    <row r="11427" spans="1:4" x14ac:dyDescent="0.2">
      <c r="A11427" s="496"/>
      <c r="D11427" s="496"/>
    </row>
    <row r="11428" spans="1:4" x14ac:dyDescent="0.2">
      <c r="A11428" s="496"/>
      <c r="D11428" s="496"/>
    </row>
    <row r="11429" spans="1:4" x14ac:dyDescent="0.2">
      <c r="A11429" s="496"/>
      <c r="D11429" s="496"/>
    </row>
    <row r="11430" spans="1:4" x14ac:dyDescent="0.2">
      <c r="A11430" s="496"/>
      <c r="D11430" s="496"/>
    </row>
    <row r="11431" spans="1:4" x14ac:dyDescent="0.2">
      <c r="A11431" s="496"/>
      <c r="D11431" s="496"/>
    </row>
    <row r="11432" spans="1:4" x14ac:dyDescent="0.2">
      <c r="A11432" s="496"/>
      <c r="D11432" s="496"/>
    </row>
    <row r="11433" spans="1:4" x14ac:dyDescent="0.2">
      <c r="A11433" s="496"/>
      <c r="D11433" s="496"/>
    </row>
    <row r="11434" spans="1:4" x14ac:dyDescent="0.2">
      <c r="A11434" s="496"/>
      <c r="D11434" s="496"/>
    </row>
    <row r="11435" spans="1:4" x14ac:dyDescent="0.2">
      <c r="A11435" s="496"/>
      <c r="D11435" s="496"/>
    </row>
    <row r="11436" spans="1:4" x14ac:dyDescent="0.2">
      <c r="A11436" s="496"/>
      <c r="D11436" s="496"/>
    </row>
    <row r="11437" spans="1:4" x14ac:dyDescent="0.2">
      <c r="A11437" s="496"/>
      <c r="D11437" s="496"/>
    </row>
    <row r="11438" spans="1:4" x14ac:dyDescent="0.2">
      <c r="A11438" s="496"/>
      <c r="D11438" s="496"/>
    </row>
    <row r="11439" spans="1:4" x14ac:dyDescent="0.2">
      <c r="A11439" s="496"/>
      <c r="D11439" s="496"/>
    </row>
    <row r="11440" spans="1:4" x14ac:dyDescent="0.2">
      <c r="A11440" s="496"/>
      <c r="D11440" s="496"/>
    </row>
    <row r="11441" spans="1:4" x14ac:dyDescent="0.2">
      <c r="A11441" s="496"/>
      <c r="D11441" s="496"/>
    </row>
    <row r="11442" spans="1:4" x14ac:dyDescent="0.2">
      <c r="A11442" s="496"/>
      <c r="D11442" s="496"/>
    </row>
    <row r="11443" spans="1:4" x14ac:dyDescent="0.2">
      <c r="A11443" s="496"/>
      <c r="D11443" s="496"/>
    </row>
    <row r="11444" spans="1:4" x14ac:dyDescent="0.2">
      <c r="A11444" s="496"/>
      <c r="D11444" s="496"/>
    </row>
    <row r="11445" spans="1:4" x14ac:dyDescent="0.2">
      <c r="A11445" s="496"/>
      <c r="D11445" s="496"/>
    </row>
    <row r="11446" spans="1:4" x14ac:dyDescent="0.2">
      <c r="A11446" s="496"/>
      <c r="D11446" s="496"/>
    </row>
    <row r="11447" spans="1:4" x14ac:dyDescent="0.2">
      <c r="A11447" s="496"/>
      <c r="D11447" s="496"/>
    </row>
    <row r="11448" spans="1:4" x14ac:dyDescent="0.2">
      <c r="A11448" s="496"/>
      <c r="D11448" s="496"/>
    </row>
    <row r="11449" spans="1:4" x14ac:dyDescent="0.2">
      <c r="A11449" s="496"/>
      <c r="D11449" s="496"/>
    </row>
    <row r="11450" spans="1:4" x14ac:dyDescent="0.2">
      <c r="A11450" s="496"/>
      <c r="D11450" s="496"/>
    </row>
    <row r="11451" spans="1:4" x14ac:dyDescent="0.2">
      <c r="A11451" s="496"/>
      <c r="D11451" s="496"/>
    </row>
    <row r="11452" spans="1:4" x14ac:dyDescent="0.2">
      <c r="A11452" s="496"/>
      <c r="D11452" s="496"/>
    </row>
    <row r="11453" spans="1:4" x14ac:dyDescent="0.2">
      <c r="A11453" s="496"/>
      <c r="D11453" s="496"/>
    </row>
    <row r="11454" spans="1:4" x14ac:dyDescent="0.2">
      <c r="A11454" s="496"/>
      <c r="D11454" s="496"/>
    </row>
    <row r="11455" spans="1:4" x14ac:dyDescent="0.2">
      <c r="A11455" s="496"/>
      <c r="D11455" s="496"/>
    </row>
    <row r="11456" spans="1:4" x14ac:dyDescent="0.2">
      <c r="A11456" s="496"/>
      <c r="D11456" s="496"/>
    </row>
    <row r="11457" spans="1:4" x14ac:dyDescent="0.2">
      <c r="A11457" s="496"/>
      <c r="D11457" s="496"/>
    </row>
    <row r="11458" spans="1:4" x14ac:dyDescent="0.2">
      <c r="A11458" s="496"/>
      <c r="D11458" s="496"/>
    </row>
    <row r="11459" spans="1:4" x14ac:dyDescent="0.2">
      <c r="A11459" s="496"/>
      <c r="D11459" s="496"/>
    </row>
    <row r="11460" spans="1:4" x14ac:dyDescent="0.2">
      <c r="A11460" s="496"/>
      <c r="D11460" s="496"/>
    </row>
    <row r="11461" spans="1:4" x14ac:dyDescent="0.2">
      <c r="A11461" s="496"/>
      <c r="D11461" s="496"/>
    </row>
    <row r="11462" spans="1:4" x14ac:dyDescent="0.2">
      <c r="A11462" s="496"/>
      <c r="D11462" s="496"/>
    </row>
    <row r="11463" spans="1:4" x14ac:dyDescent="0.2">
      <c r="A11463" s="496"/>
      <c r="D11463" s="496"/>
    </row>
    <row r="11464" spans="1:4" x14ac:dyDescent="0.2">
      <c r="A11464" s="496"/>
      <c r="D11464" s="496"/>
    </row>
    <row r="11465" spans="1:4" x14ac:dyDescent="0.2">
      <c r="A11465" s="496"/>
      <c r="D11465" s="496"/>
    </row>
    <row r="11466" spans="1:4" x14ac:dyDescent="0.2">
      <c r="A11466" s="496"/>
      <c r="D11466" s="496"/>
    </row>
    <row r="11467" spans="1:4" x14ac:dyDescent="0.2">
      <c r="A11467" s="496"/>
      <c r="D11467" s="496"/>
    </row>
    <row r="11468" spans="1:4" x14ac:dyDescent="0.2">
      <c r="A11468" s="496"/>
      <c r="D11468" s="496"/>
    </row>
    <row r="11469" spans="1:4" x14ac:dyDescent="0.2">
      <c r="A11469" s="496"/>
      <c r="D11469" s="496"/>
    </row>
    <row r="11470" spans="1:4" x14ac:dyDescent="0.2">
      <c r="A11470" s="496"/>
      <c r="D11470" s="496"/>
    </row>
    <row r="11471" spans="1:4" x14ac:dyDescent="0.2">
      <c r="A11471" s="496"/>
      <c r="D11471" s="496"/>
    </row>
    <row r="11472" spans="1:4" x14ac:dyDescent="0.2">
      <c r="A11472" s="496"/>
      <c r="D11472" s="496"/>
    </row>
    <row r="11473" spans="1:4" x14ac:dyDescent="0.2">
      <c r="A11473" s="496"/>
      <c r="D11473" s="496"/>
    </row>
    <row r="11474" spans="1:4" x14ac:dyDescent="0.2">
      <c r="A11474" s="496"/>
      <c r="D11474" s="496"/>
    </row>
    <row r="11475" spans="1:4" x14ac:dyDescent="0.2">
      <c r="A11475" s="496"/>
      <c r="D11475" s="496"/>
    </row>
    <row r="11476" spans="1:4" x14ac:dyDescent="0.2">
      <c r="A11476" s="496"/>
      <c r="D11476" s="496"/>
    </row>
    <row r="11477" spans="1:4" x14ac:dyDescent="0.2">
      <c r="A11477" s="496"/>
      <c r="D11477" s="496"/>
    </row>
    <row r="11478" spans="1:4" x14ac:dyDescent="0.2">
      <c r="A11478" s="496"/>
      <c r="D11478" s="496"/>
    </row>
    <row r="11479" spans="1:4" x14ac:dyDescent="0.2">
      <c r="A11479" s="496"/>
      <c r="D11479" s="496"/>
    </row>
    <row r="11480" spans="1:4" x14ac:dyDescent="0.2">
      <c r="A11480" s="496"/>
      <c r="D11480" s="496"/>
    </row>
    <row r="11481" spans="1:4" x14ac:dyDescent="0.2">
      <c r="A11481" s="496"/>
      <c r="D11481" s="496"/>
    </row>
    <row r="11482" spans="1:4" x14ac:dyDescent="0.2">
      <c r="A11482" s="496"/>
      <c r="D11482" s="496"/>
    </row>
    <row r="11483" spans="1:4" x14ac:dyDescent="0.2">
      <c r="A11483" s="496"/>
      <c r="D11483" s="496"/>
    </row>
    <row r="11484" spans="1:4" x14ac:dyDescent="0.2">
      <c r="A11484" s="496"/>
      <c r="D11484" s="496"/>
    </row>
    <row r="11485" spans="1:4" x14ac:dyDescent="0.2">
      <c r="A11485" s="496"/>
      <c r="D11485" s="496"/>
    </row>
    <row r="11486" spans="1:4" x14ac:dyDescent="0.2">
      <c r="A11486" s="496"/>
      <c r="D11486" s="496"/>
    </row>
    <row r="11487" spans="1:4" x14ac:dyDescent="0.2">
      <c r="A11487" s="496"/>
      <c r="D11487" s="496"/>
    </row>
    <row r="11488" spans="1:4" x14ac:dyDescent="0.2">
      <c r="A11488" s="496"/>
      <c r="D11488" s="496"/>
    </row>
    <row r="11489" spans="1:4" x14ac:dyDescent="0.2">
      <c r="A11489" s="496"/>
      <c r="D11489" s="496"/>
    </row>
    <row r="11490" spans="1:4" x14ac:dyDescent="0.2">
      <c r="A11490" s="496"/>
      <c r="D11490" s="496"/>
    </row>
    <row r="11491" spans="1:4" x14ac:dyDescent="0.2">
      <c r="A11491" s="496"/>
      <c r="D11491" s="496"/>
    </row>
    <row r="11492" spans="1:4" x14ac:dyDescent="0.2">
      <c r="A11492" s="496"/>
      <c r="D11492" s="496"/>
    </row>
    <row r="11493" spans="1:4" x14ac:dyDescent="0.2">
      <c r="A11493" s="496"/>
      <c r="D11493" s="496"/>
    </row>
    <row r="11494" spans="1:4" x14ac:dyDescent="0.2">
      <c r="A11494" s="496"/>
      <c r="D11494" s="496"/>
    </row>
    <row r="11495" spans="1:4" x14ac:dyDescent="0.2">
      <c r="A11495" s="496"/>
      <c r="D11495" s="496"/>
    </row>
    <row r="11496" spans="1:4" x14ac:dyDescent="0.2">
      <c r="A11496" s="496"/>
      <c r="D11496" s="496"/>
    </row>
    <row r="11497" spans="1:4" x14ac:dyDescent="0.2">
      <c r="A11497" s="496"/>
      <c r="D11497" s="496"/>
    </row>
    <row r="11498" spans="1:4" x14ac:dyDescent="0.2">
      <c r="A11498" s="496"/>
      <c r="D11498" s="496"/>
    </row>
    <row r="11499" spans="1:4" x14ac:dyDescent="0.2">
      <c r="A11499" s="496"/>
      <c r="D11499" s="496"/>
    </row>
    <row r="11500" spans="1:4" x14ac:dyDescent="0.2">
      <c r="A11500" s="496"/>
      <c r="D11500" s="496"/>
    </row>
    <row r="11501" spans="1:4" x14ac:dyDescent="0.2">
      <c r="A11501" s="496"/>
      <c r="D11501" s="496"/>
    </row>
    <row r="11502" spans="1:4" x14ac:dyDescent="0.2">
      <c r="A11502" s="496"/>
      <c r="D11502" s="496"/>
    </row>
    <row r="11503" spans="1:4" x14ac:dyDescent="0.2">
      <c r="A11503" s="496"/>
      <c r="D11503" s="496"/>
    </row>
    <row r="11504" spans="1:4" x14ac:dyDescent="0.2">
      <c r="A11504" s="496"/>
      <c r="D11504" s="496"/>
    </row>
    <row r="11505" spans="1:4" x14ac:dyDescent="0.2">
      <c r="A11505" s="496"/>
      <c r="D11505" s="496"/>
    </row>
    <row r="11506" spans="1:4" x14ac:dyDescent="0.2">
      <c r="A11506" s="496"/>
      <c r="D11506" s="496"/>
    </row>
    <row r="11507" spans="1:4" x14ac:dyDescent="0.2">
      <c r="A11507" s="496"/>
      <c r="D11507" s="496"/>
    </row>
    <row r="11508" spans="1:4" x14ac:dyDescent="0.2">
      <c r="A11508" s="496"/>
      <c r="D11508" s="496"/>
    </row>
    <row r="11509" spans="1:4" x14ac:dyDescent="0.2">
      <c r="A11509" s="496"/>
      <c r="D11509" s="496"/>
    </row>
    <row r="11510" spans="1:4" x14ac:dyDescent="0.2">
      <c r="A11510" s="496"/>
      <c r="D11510" s="496"/>
    </row>
    <row r="11511" spans="1:4" x14ac:dyDescent="0.2">
      <c r="A11511" s="496"/>
      <c r="D11511" s="496"/>
    </row>
    <row r="11512" spans="1:4" x14ac:dyDescent="0.2">
      <c r="A11512" s="496"/>
      <c r="D11512" s="496"/>
    </row>
    <row r="11513" spans="1:4" x14ac:dyDescent="0.2">
      <c r="A11513" s="496"/>
      <c r="D11513" s="496"/>
    </row>
    <row r="11514" spans="1:4" x14ac:dyDescent="0.2">
      <c r="A11514" s="496"/>
      <c r="D11514" s="496"/>
    </row>
    <row r="11515" spans="1:4" x14ac:dyDescent="0.2">
      <c r="A11515" s="496"/>
      <c r="D11515" s="496"/>
    </row>
    <row r="11516" spans="1:4" x14ac:dyDescent="0.2">
      <c r="A11516" s="496"/>
      <c r="D11516" s="496"/>
    </row>
    <row r="11517" spans="1:4" x14ac:dyDescent="0.2">
      <c r="A11517" s="496"/>
      <c r="D11517" s="496"/>
    </row>
    <row r="11518" spans="1:4" x14ac:dyDescent="0.2">
      <c r="A11518" s="496"/>
      <c r="D11518" s="496"/>
    </row>
    <row r="11519" spans="1:4" x14ac:dyDescent="0.2">
      <c r="A11519" s="496"/>
      <c r="D11519" s="496"/>
    </row>
    <row r="11520" spans="1:4" x14ac:dyDescent="0.2">
      <c r="A11520" s="496"/>
      <c r="D11520" s="496"/>
    </row>
    <row r="11521" spans="1:4" x14ac:dyDescent="0.2">
      <c r="A11521" s="496"/>
      <c r="D11521" s="496"/>
    </row>
    <row r="11522" spans="1:4" x14ac:dyDescent="0.2">
      <c r="A11522" s="496"/>
      <c r="D11522" s="496"/>
    </row>
    <row r="11523" spans="1:4" x14ac:dyDescent="0.2">
      <c r="A11523" s="496"/>
      <c r="D11523" s="496"/>
    </row>
    <row r="11524" spans="1:4" x14ac:dyDescent="0.2">
      <c r="A11524" s="496"/>
      <c r="D11524" s="496"/>
    </row>
    <row r="11525" spans="1:4" x14ac:dyDescent="0.2">
      <c r="A11525" s="496"/>
      <c r="D11525" s="496"/>
    </row>
    <row r="11526" spans="1:4" x14ac:dyDescent="0.2">
      <c r="A11526" s="496"/>
      <c r="D11526" s="496"/>
    </row>
    <row r="11527" spans="1:4" x14ac:dyDescent="0.2">
      <c r="A11527" s="496"/>
      <c r="D11527" s="496"/>
    </row>
    <row r="11528" spans="1:4" x14ac:dyDescent="0.2">
      <c r="A11528" s="496"/>
      <c r="D11528" s="496"/>
    </row>
    <row r="11529" spans="1:4" x14ac:dyDescent="0.2">
      <c r="A11529" s="496"/>
      <c r="D11529" s="496"/>
    </row>
    <row r="11530" spans="1:4" x14ac:dyDescent="0.2">
      <c r="A11530" s="496"/>
      <c r="D11530" s="496"/>
    </row>
    <row r="11531" spans="1:4" x14ac:dyDescent="0.2">
      <c r="A11531" s="496"/>
      <c r="D11531" s="496"/>
    </row>
    <row r="11532" spans="1:4" x14ac:dyDescent="0.2">
      <c r="A11532" s="496"/>
      <c r="D11532" s="496"/>
    </row>
    <row r="11533" spans="1:4" x14ac:dyDescent="0.2">
      <c r="A11533" s="496"/>
      <c r="D11533" s="496"/>
    </row>
    <row r="11534" spans="1:4" x14ac:dyDescent="0.2">
      <c r="A11534" s="496"/>
      <c r="D11534" s="496"/>
    </row>
    <row r="11535" spans="1:4" x14ac:dyDescent="0.2">
      <c r="A11535" s="496"/>
      <c r="D11535" s="496"/>
    </row>
    <row r="11536" spans="1:4" x14ac:dyDescent="0.2">
      <c r="A11536" s="496"/>
      <c r="D11536" s="496"/>
    </row>
    <row r="11537" spans="1:4" x14ac:dyDescent="0.2">
      <c r="A11537" s="496"/>
      <c r="D11537" s="496"/>
    </row>
    <row r="11538" spans="1:4" x14ac:dyDescent="0.2">
      <c r="A11538" s="496"/>
      <c r="D11538" s="496"/>
    </row>
    <row r="11539" spans="1:4" x14ac:dyDescent="0.2">
      <c r="A11539" s="496"/>
      <c r="D11539" s="496"/>
    </row>
    <row r="11540" spans="1:4" x14ac:dyDescent="0.2">
      <c r="A11540" s="496"/>
      <c r="D11540" s="496"/>
    </row>
    <row r="11541" spans="1:4" x14ac:dyDescent="0.2">
      <c r="A11541" s="496"/>
      <c r="D11541" s="496"/>
    </row>
    <row r="11542" spans="1:4" x14ac:dyDescent="0.2">
      <c r="A11542" s="496"/>
      <c r="D11542" s="496"/>
    </row>
    <row r="11543" spans="1:4" x14ac:dyDescent="0.2">
      <c r="A11543" s="496"/>
      <c r="D11543" s="496"/>
    </row>
    <row r="11544" spans="1:4" x14ac:dyDescent="0.2">
      <c r="A11544" s="496"/>
      <c r="D11544" s="496"/>
    </row>
    <row r="11545" spans="1:4" x14ac:dyDescent="0.2">
      <c r="A11545" s="496"/>
      <c r="D11545" s="496"/>
    </row>
    <row r="11546" spans="1:4" x14ac:dyDescent="0.2">
      <c r="A11546" s="496"/>
      <c r="D11546" s="496"/>
    </row>
    <row r="11547" spans="1:4" x14ac:dyDescent="0.2">
      <c r="A11547" s="496"/>
      <c r="D11547" s="496"/>
    </row>
    <row r="11548" spans="1:4" x14ac:dyDescent="0.2">
      <c r="A11548" s="496"/>
      <c r="D11548" s="496"/>
    </row>
    <row r="11549" spans="1:4" x14ac:dyDescent="0.2">
      <c r="A11549" s="496"/>
      <c r="D11549" s="496"/>
    </row>
    <row r="11550" spans="1:4" x14ac:dyDescent="0.2">
      <c r="A11550" s="496"/>
      <c r="D11550" s="496"/>
    </row>
    <row r="11551" spans="1:4" x14ac:dyDescent="0.2">
      <c r="A11551" s="496"/>
      <c r="D11551" s="496"/>
    </row>
    <row r="11552" spans="1:4" x14ac:dyDescent="0.2">
      <c r="A11552" s="496"/>
      <c r="D11552" s="496"/>
    </row>
    <row r="11553" spans="1:4" x14ac:dyDescent="0.2">
      <c r="A11553" s="496"/>
      <c r="D11553" s="496"/>
    </row>
    <row r="11554" spans="1:4" x14ac:dyDescent="0.2">
      <c r="A11554" s="496"/>
      <c r="D11554" s="496"/>
    </row>
    <row r="11555" spans="1:4" x14ac:dyDescent="0.2">
      <c r="A11555" s="496"/>
      <c r="D11555" s="496"/>
    </row>
    <row r="11556" spans="1:4" x14ac:dyDescent="0.2">
      <c r="A11556" s="496"/>
      <c r="D11556" s="496"/>
    </row>
    <row r="11557" spans="1:4" x14ac:dyDescent="0.2">
      <c r="A11557" s="496"/>
      <c r="D11557" s="496"/>
    </row>
    <row r="11558" spans="1:4" x14ac:dyDescent="0.2">
      <c r="A11558" s="496"/>
      <c r="D11558" s="496"/>
    </row>
    <row r="11559" spans="1:4" x14ac:dyDescent="0.2">
      <c r="A11559" s="496"/>
      <c r="D11559" s="496"/>
    </row>
    <row r="11560" spans="1:4" x14ac:dyDescent="0.2">
      <c r="A11560" s="496"/>
      <c r="D11560" s="496"/>
    </row>
    <row r="11561" spans="1:4" x14ac:dyDescent="0.2">
      <c r="A11561" s="496"/>
      <c r="D11561" s="496"/>
    </row>
    <row r="11562" spans="1:4" x14ac:dyDescent="0.2">
      <c r="A11562" s="496"/>
      <c r="D11562" s="496"/>
    </row>
    <row r="11563" spans="1:4" x14ac:dyDescent="0.2">
      <c r="A11563" s="496"/>
      <c r="D11563" s="496"/>
    </row>
    <row r="11564" spans="1:4" x14ac:dyDescent="0.2">
      <c r="A11564" s="496"/>
      <c r="D11564" s="496"/>
    </row>
    <row r="11565" spans="1:4" x14ac:dyDescent="0.2">
      <c r="A11565" s="496"/>
      <c r="D11565" s="496"/>
    </row>
    <row r="11566" spans="1:4" x14ac:dyDescent="0.2">
      <c r="A11566" s="496"/>
      <c r="D11566" s="496"/>
    </row>
    <row r="11567" spans="1:4" x14ac:dyDescent="0.2">
      <c r="A11567" s="496"/>
      <c r="D11567" s="496"/>
    </row>
    <row r="11568" spans="1:4" x14ac:dyDescent="0.2">
      <c r="A11568" s="496"/>
      <c r="D11568" s="496"/>
    </row>
    <row r="11569" spans="1:4" x14ac:dyDescent="0.2">
      <c r="A11569" s="496"/>
      <c r="D11569" s="496"/>
    </row>
    <row r="11570" spans="1:4" x14ac:dyDescent="0.2">
      <c r="A11570" s="496"/>
      <c r="D11570" s="496"/>
    </row>
    <row r="11571" spans="1:4" x14ac:dyDescent="0.2">
      <c r="A11571" s="496"/>
      <c r="D11571" s="496"/>
    </row>
    <row r="11572" spans="1:4" x14ac:dyDescent="0.2">
      <c r="A11572" s="496"/>
      <c r="D11572" s="496"/>
    </row>
    <row r="11573" spans="1:4" x14ac:dyDescent="0.2">
      <c r="A11573" s="496"/>
      <c r="D11573" s="496"/>
    </row>
    <row r="11574" spans="1:4" x14ac:dyDescent="0.2">
      <c r="A11574" s="496"/>
      <c r="D11574" s="496"/>
    </row>
    <row r="11575" spans="1:4" x14ac:dyDescent="0.2">
      <c r="A11575" s="496"/>
      <c r="D11575" s="496"/>
    </row>
    <row r="11576" spans="1:4" x14ac:dyDescent="0.2">
      <c r="A11576" s="496"/>
      <c r="D11576" s="496"/>
    </row>
    <row r="11577" spans="1:4" x14ac:dyDescent="0.2">
      <c r="A11577" s="496"/>
      <c r="D11577" s="496"/>
    </row>
    <row r="11578" spans="1:4" x14ac:dyDescent="0.2">
      <c r="A11578" s="496"/>
      <c r="D11578" s="496"/>
    </row>
    <row r="11579" spans="1:4" x14ac:dyDescent="0.2">
      <c r="A11579" s="496"/>
      <c r="D11579" s="496"/>
    </row>
    <row r="11580" spans="1:4" x14ac:dyDescent="0.2">
      <c r="A11580" s="496"/>
      <c r="D11580" s="496"/>
    </row>
    <row r="11581" spans="1:4" x14ac:dyDescent="0.2">
      <c r="A11581" s="496"/>
      <c r="D11581" s="496"/>
    </row>
    <row r="11582" spans="1:4" x14ac:dyDescent="0.2">
      <c r="A11582" s="496"/>
      <c r="D11582" s="496"/>
    </row>
    <row r="11583" spans="1:4" x14ac:dyDescent="0.2">
      <c r="A11583" s="496"/>
      <c r="D11583" s="496"/>
    </row>
    <row r="11584" spans="1:4" x14ac:dyDescent="0.2">
      <c r="A11584" s="496"/>
      <c r="D11584" s="496"/>
    </row>
    <row r="11585" spans="1:4" x14ac:dyDescent="0.2">
      <c r="A11585" s="496"/>
      <c r="D11585" s="496"/>
    </row>
    <row r="11586" spans="1:4" x14ac:dyDescent="0.2">
      <c r="A11586" s="496"/>
      <c r="D11586" s="496"/>
    </row>
    <row r="11587" spans="1:4" x14ac:dyDescent="0.2">
      <c r="A11587" s="496"/>
      <c r="D11587" s="496"/>
    </row>
    <row r="11588" spans="1:4" x14ac:dyDescent="0.2">
      <c r="A11588" s="496"/>
      <c r="D11588" s="496"/>
    </row>
    <row r="11589" spans="1:4" x14ac:dyDescent="0.2">
      <c r="A11589" s="496"/>
      <c r="D11589" s="496"/>
    </row>
    <row r="11590" spans="1:4" x14ac:dyDescent="0.2">
      <c r="A11590" s="496"/>
      <c r="D11590" s="496"/>
    </row>
    <row r="11591" spans="1:4" x14ac:dyDescent="0.2">
      <c r="A11591" s="496"/>
      <c r="D11591" s="496"/>
    </row>
    <row r="11592" spans="1:4" x14ac:dyDescent="0.2">
      <c r="A11592" s="496"/>
      <c r="D11592" s="496"/>
    </row>
    <row r="11593" spans="1:4" x14ac:dyDescent="0.2">
      <c r="A11593" s="496"/>
      <c r="D11593" s="496"/>
    </row>
    <row r="11594" spans="1:4" x14ac:dyDescent="0.2">
      <c r="A11594" s="496"/>
      <c r="D11594" s="496"/>
    </row>
    <row r="11595" spans="1:4" x14ac:dyDescent="0.2">
      <c r="A11595" s="496"/>
      <c r="D11595" s="496"/>
    </row>
    <row r="11596" spans="1:4" x14ac:dyDescent="0.2">
      <c r="A11596" s="496"/>
      <c r="D11596" s="496"/>
    </row>
    <row r="11597" spans="1:4" x14ac:dyDescent="0.2">
      <c r="A11597" s="496"/>
      <c r="D11597" s="496"/>
    </row>
    <row r="11598" spans="1:4" x14ac:dyDescent="0.2">
      <c r="A11598" s="496"/>
      <c r="D11598" s="496"/>
    </row>
    <row r="11599" spans="1:4" x14ac:dyDescent="0.2">
      <c r="A11599" s="496"/>
      <c r="D11599" s="496"/>
    </row>
    <row r="11600" spans="1:4" x14ac:dyDescent="0.2">
      <c r="A11600" s="496"/>
      <c r="D11600" s="496"/>
    </row>
    <row r="11601" spans="1:4" x14ac:dyDescent="0.2">
      <c r="A11601" s="496"/>
      <c r="D11601" s="496"/>
    </row>
    <row r="11602" spans="1:4" x14ac:dyDescent="0.2">
      <c r="A11602" s="496"/>
      <c r="D11602" s="496"/>
    </row>
    <row r="11603" spans="1:4" x14ac:dyDescent="0.2">
      <c r="A11603" s="496"/>
      <c r="D11603" s="496"/>
    </row>
    <row r="11604" spans="1:4" x14ac:dyDescent="0.2">
      <c r="A11604" s="496"/>
      <c r="D11604" s="496"/>
    </row>
    <row r="11605" spans="1:4" x14ac:dyDescent="0.2">
      <c r="A11605" s="496"/>
      <c r="D11605" s="496"/>
    </row>
    <row r="11606" spans="1:4" x14ac:dyDescent="0.2">
      <c r="A11606" s="496"/>
      <c r="D11606" s="496"/>
    </row>
    <row r="11607" spans="1:4" x14ac:dyDescent="0.2">
      <c r="A11607" s="496"/>
      <c r="D11607" s="496"/>
    </row>
    <row r="11608" spans="1:4" x14ac:dyDescent="0.2">
      <c r="A11608" s="496"/>
      <c r="D11608" s="496"/>
    </row>
    <row r="11609" spans="1:4" x14ac:dyDescent="0.2">
      <c r="A11609" s="496"/>
      <c r="D11609" s="496"/>
    </row>
    <row r="11610" spans="1:4" x14ac:dyDescent="0.2">
      <c r="A11610" s="496"/>
      <c r="D11610" s="496"/>
    </row>
    <row r="11611" spans="1:4" x14ac:dyDescent="0.2">
      <c r="A11611" s="496"/>
      <c r="D11611" s="496"/>
    </row>
    <row r="11612" spans="1:4" x14ac:dyDescent="0.2">
      <c r="A11612" s="496"/>
      <c r="D11612" s="496"/>
    </row>
    <row r="11613" spans="1:4" x14ac:dyDescent="0.2">
      <c r="A11613" s="496"/>
      <c r="D11613" s="496"/>
    </row>
    <row r="11614" spans="1:4" x14ac:dyDescent="0.2">
      <c r="A11614" s="496"/>
      <c r="D11614" s="496"/>
    </row>
    <row r="11615" spans="1:4" x14ac:dyDescent="0.2">
      <c r="A11615" s="496"/>
      <c r="D11615" s="496"/>
    </row>
    <row r="11616" spans="1:4" x14ac:dyDescent="0.2">
      <c r="A11616" s="496"/>
      <c r="D11616" s="496"/>
    </row>
    <row r="11617" spans="1:4" x14ac:dyDescent="0.2">
      <c r="A11617" s="496"/>
      <c r="D11617" s="496"/>
    </row>
    <row r="11618" spans="1:4" x14ac:dyDescent="0.2">
      <c r="A11618" s="496"/>
      <c r="D11618" s="496"/>
    </row>
    <row r="11619" spans="1:4" x14ac:dyDescent="0.2">
      <c r="A11619" s="496"/>
      <c r="D11619" s="496"/>
    </row>
    <row r="11620" spans="1:4" x14ac:dyDescent="0.2">
      <c r="A11620" s="496"/>
      <c r="D11620" s="496"/>
    </row>
    <row r="11621" spans="1:4" x14ac:dyDescent="0.2">
      <c r="A11621" s="496"/>
      <c r="D11621" s="496"/>
    </row>
    <row r="11622" spans="1:4" x14ac:dyDescent="0.2">
      <c r="A11622" s="496"/>
      <c r="D11622" s="496"/>
    </row>
    <row r="11623" spans="1:4" x14ac:dyDescent="0.2">
      <c r="A11623" s="496"/>
      <c r="D11623" s="496"/>
    </row>
    <row r="11624" spans="1:4" x14ac:dyDescent="0.2">
      <c r="A11624" s="496"/>
      <c r="D11624" s="496"/>
    </row>
    <row r="11625" spans="1:4" x14ac:dyDescent="0.2">
      <c r="A11625" s="496"/>
      <c r="D11625" s="496"/>
    </row>
    <row r="11626" spans="1:4" x14ac:dyDescent="0.2">
      <c r="A11626" s="496"/>
      <c r="D11626" s="496"/>
    </row>
    <row r="11627" spans="1:4" x14ac:dyDescent="0.2">
      <c r="A11627" s="496"/>
      <c r="D11627" s="496"/>
    </row>
    <row r="11628" spans="1:4" x14ac:dyDescent="0.2">
      <c r="A11628" s="496"/>
      <c r="D11628" s="496"/>
    </row>
    <row r="11629" spans="1:4" x14ac:dyDescent="0.2">
      <c r="A11629" s="496"/>
      <c r="D11629" s="496"/>
    </row>
    <row r="11630" spans="1:4" x14ac:dyDescent="0.2">
      <c r="A11630" s="496"/>
      <c r="D11630" s="496"/>
    </row>
    <row r="11631" spans="1:4" x14ac:dyDescent="0.2">
      <c r="A11631" s="496"/>
      <c r="D11631" s="496"/>
    </row>
    <row r="11632" spans="1:4" x14ac:dyDescent="0.2">
      <c r="A11632" s="496"/>
      <c r="D11632" s="496"/>
    </row>
    <row r="11633" spans="1:4" x14ac:dyDescent="0.2">
      <c r="A11633" s="496"/>
      <c r="D11633" s="496"/>
    </row>
    <row r="11634" spans="1:4" x14ac:dyDescent="0.2">
      <c r="A11634" s="496"/>
      <c r="D11634" s="496"/>
    </row>
    <row r="11635" spans="1:4" x14ac:dyDescent="0.2">
      <c r="A11635" s="496"/>
      <c r="D11635" s="496"/>
    </row>
    <row r="11636" spans="1:4" x14ac:dyDescent="0.2">
      <c r="A11636" s="496"/>
      <c r="D11636" s="496"/>
    </row>
    <row r="11637" spans="1:4" x14ac:dyDescent="0.2">
      <c r="A11637" s="496"/>
      <c r="D11637" s="496"/>
    </row>
    <row r="11638" spans="1:4" x14ac:dyDescent="0.2">
      <c r="A11638" s="496"/>
      <c r="D11638" s="496"/>
    </row>
    <row r="11639" spans="1:4" x14ac:dyDescent="0.2">
      <c r="A11639" s="496"/>
      <c r="D11639" s="496"/>
    </row>
    <row r="11640" spans="1:4" x14ac:dyDescent="0.2">
      <c r="A11640" s="496"/>
      <c r="D11640" s="496"/>
    </row>
    <row r="11641" spans="1:4" x14ac:dyDescent="0.2">
      <c r="A11641" s="496"/>
      <c r="D11641" s="496"/>
    </row>
    <row r="11642" spans="1:4" x14ac:dyDescent="0.2">
      <c r="A11642" s="496"/>
      <c r="D11642" s="496"/>
    </row>
    <row r="11643" spans="1:4" x14ac:dyDescent="0.2">
      <c r="A11643" s="496"/>
      <c r="D11643" s="496"/>
    </row>
    <row r="11644" spans="1:4" x14ac:dyDescent="0.2">
      <c r="A11644" s="496"/>
      <c r="D11644" s="496"/>
    </row>
    <row r="11645" spans="1:4" x14ac:dyDescent="0.2">
      <c r="A11645" s="496"/>
      <c r="D11645" s="496"/>
    </row>
    <row r="11646" spans="1:4" x14ac:dyDescent="0.2">
      <c r="A11646" s="496"/>
      <c r="D11646" s="496"/>
    </row>
    <row r="11647" spans="1:4" x14ac:dyDescent="0.2">
      <c r="A11647" s="496"/>
      <c r="D11647" s="496"/>
    </row>
    <row r="11648" spans="1:4" x14ac:dyDescent="0.2">
      <c r="A11648" s="496"/>
      <c r="D11648" s="496"/>
    </row>
    <row r="11649" spans="1:4" x14ac:dyDescent="0.2">
      <c r="A11649" s="496"/>
      <c r="D11649" s="496"/>
    </row>
    <row r="11650" spans="1:4" x14ac:dyDescent="0.2">
      <c r="A11650" s="496"/>
      <c r="D11650" s="496"/>
    </row>
    <row r="11651" spans="1:4" x14ac:dyDescent="0.2">
      <c r="A11651" s="496"/>
      <c r="D11651" s="496"/>
    </row>
    <row r="11652" spans="1:4" x14ac:dyDescent="0.2">
      <c r="A11652" s="496"/>
      <c r="D11652" s="496"/>
    </row>
    <row r="11653" spans="1:4" x14ac:dyDescent="0.2">
      <c r="A11653" s="496"/>
      <c r="D11653" s="496"/>
    </row>
    <row r="11654" spans="1:4" x14ac:dyDescent="0.2">
      <c r="A11654" s="496"/>
      <c r="D11654" s="496"/>
    </row>
    <row r="11655" spans="1:4" x14ac:dyDescent="0.2">
      <c r="A11655" s="496"/>
      <c r="D11655" s="496"/>
    </row>
    <row r="11656" spans="1:4" x14ac:dyDescent="0.2">
      <c r="A11656" s="496"/>
      <c r="D11656" s="496"/>
    </row>
    <row r="11657" spans="1:4" x14ac:dyDescent="0.2">
      <c r="A11657" s="496"/>
      <c r="D11657" s="496"/>
    </row>
    <row r="11658" spans="1:4" x14ac:dyDescent="0.2">
      <c r="A11658" s="496"/>
      <c r="D11658" s="496"/>
    </row>
    <row r="11659" spans="1:4" x14ac:dyDescent="0.2">
      <c r="A11659" s="496"/>
      <c r="D11659" s="496"/>
    </row>
    <row r="11660" spans="1:4" x14ac:dyDescent="0.2">
      <c r="A11660" s="496"/>
      <c r="D11660" s="496"/>
    </row>
    <row r="11661" spans="1:4" x14ac:dyDescent="0.2">
      <c r="A11661" s="496"/>
      <c r="D11661" s="496"/>
    </row>
    <row r="11662" spans="1:4" x14ac:dyDescent="0.2">
      <c r="A11662" s="496"/>
      <c r="D11662" s="496"/>
    </row>
    <row r="11663" spans="1:4" x14ac:dyDescent="0.2">
      <c r="A11663" s="496"/>
      <c r="D11663" s="496"/>
    </row>
    <row r="11664" spans="1:4" x14ac:dyDescent="0.2">
      <c r="A11664" s="496"/>
      <c r="D11664" s="496"/>
    </row>
    <row r="11665" spans="1:4" x14ac:dyDescent="0.2">
      <c r="A11665" s="496"/>
      <c r="D11665" s="496"/>
    </row>
    <row r="11666" spans="1:4" x14ac:dyDescent="0.2">
      <c r="A11666" s="496"/>
      <c r="D11666" s="496"/>
    </row>
    <row r="11667" spans="1:4" x14ac:dyDescent="0.2">
      <c r="A11667" s="496"/>
      <c r="D11667" s="496"/>
    </row>
    <row r="11668" spans="1:4" x14ac:dyDescent="0.2">
      <c r="A11668" s="496"/>
      <c r="D11668" s="496"/>
    </row>
    <row r="11669" spans="1:4" x14ac:dyDescent="0.2">
      <c r="A11669" s="496"/>
      <c r="D11669" s="496"/>
    </row>
    <row r="11670" spans="1:4" x14ac:dyDescent="0.2">
      <c r="A11670" s="496"/>
      <c r="D11670" s="496"/>
    </row>
    <row r="11671" spans="1:4" x14ac:dyDescent="0.2">
      <c r="A11671" s="496"/>
      <c r="D11671" s="496"/>
    </row>
    <row r="11672" spans="1:4" x14ac:dyDescent="0.2">
      <c r="A11672" s="496"/>
      <c r="D11672" s="496"/>
    </row>
    <row r="11673" spans="1:4" x14ac:dyDescent="0.2">
      <c r="A11673" s="496"/>
      <c r="D11673" s="496"/>
    </row>
    <row r="11674" spans="1:4" x14ac:dyDescent="0.2">
      <c r="A11674" s="496"/>
      <c r="D11674" s="496"/>
    </row>
    <row r="11675" spans="1:4" x14ac:dyDescent="0.2">
      <c r="A11675" s="496"/>
      <c r="D11675" s="496"/>
    </row>
    <row r="11676" spans="1:4" x14ac:dyDescent="0.2">
      <c r="A11676" s="496"/>
      <c r="D11676" s="496"/>
    </row>
    <row r="11677" spans="1:4" x14ac:dyDescent="0.2">
      <c r="A11677" s="496"/>
      <c r="D11677" s="496"/>
    </row>
    <row r="11678" spans="1:4" x14ac:dyDescent="0.2">
      <c r="A11678" s="496"/>
      <c r="D11678" s="496"/>
    </row>
    <row r="11679" spans="1:4" x14ac:dyDescent="0.2">
      <c r="A11679" s="496"/>
      <c r="D11679" s="496"/>
    </row>
    <row r="11680" spans="1:4" x14ac:dyDescent="0.2">
      <c r="A11680" s="496"/>
      <c r="D11680" s="496"/>
    </row>
    <row r="11681" spans="1:4" x14ac:dyDescent="0.2">
      <c r="A11681" s="496"/>
      <c r="D11681" s="496"/>
    </row>
    <row r="11682" spans="1:4" x14ac:dyDescent="0.2">
      <c r="A11682" s="496"/>
      <c r="D11682" s="496"/>
    </row>
    <row r="11683" spans="1:4" x14ac:dyDescent="0.2">
      <c r="A11683" s="496"/>
      <c r="D11683" s="496"/>
    </row>
    <row r="11684" spans="1:4" x14ac:dyDescent="0.2">
      <c r="A11684" s="496"/>
      <c r="D11684" s="496"/>
    </row>
    <row r="11685" spans="1:4" x14ac:dyDescent="0.2">
      <c r="A11685" s="496"/>
      <c r="D11685" s="496"/>
    </row>
    <row r="11686" spans="1:4" x14ac:dyDescent="0.2">
      <c r="A11686" s="496"/>
      <c r="D11686" s="496"/>
    </row>
    <row r="11687" spans="1:4" x14ac:dyDescent="0.2">
      <c r="A11687" s="496"/>
      <c r="D11687" s="496"/>
    </row>
    <row r="11688" spans="1:4" x14ac:dyDescent="0.2">
      <c r="A11688" s="496"/>
      <c r="D11688" s="496"/>
    </row>
    <row r="11689" spans="1:4" x14ac:dyDescent="0.2">
      <c r="A11689" s="496"/>
      <c r="D11689" s="496"/>
    </row>
    <row r="11690" spans="1:4" x14ac:dyDescent="0.2">
      <c r="A11690" s="496"/>
      <c r="D11690" s="496"/>
    </row>
    <row r="11691" spans="1:4" x14ac:dyDescent="0.2">
      <c r="A11691" s="496"/>
      <c r="D11691" s="496"/>
    </row>
    <row r="11692" spans="1:4" x14ac:dyDescent="0.2">
      <c r="A11692" s="496"/>
      <c r="D11692" s="496"/>
    </row>
    <row r="11693" spans="1:4" x14ac:dyDescent="0.2">
      <c r="A11693" s="496"/>
      <c r="D11693" s="496"/>
    </row>
    <row r="11694" spans="1:4" x14ac:dyDescent="0.2">
      <c r="A11694" s="496"/>
      <c r="D11694" s="496"/>
    </row>
    <row r="11695" spans="1:4" x14ac:dyDescent="0.2">
      <c r="A11695" s="496"/>
      <c r="D11695" s="496"/>
    </row>
    <row r="11696" spans="1:4" x14ac:dyDescent="0.2">
      <c r="A11696" s="496"/>
      <c r="D11696" s="496"/>
    </row>
    <row r="11697" spans="1:4" x14ac:dyDescent="0.2">
      <c r="A11697" s="496"/>
      <c r="D11697" s="496"/>
    </row>
    <row r="11698" spans="1:4" x14ac:dyDescent="0.2">
      <c r="A11698" s="496"/>
      <c r="D11698" s="496"/>
    </row>
    <row r="11699" spans="1:4" x14ac:dyDescent="0.2">
      <c r="A11699" s="496"/>
      <c r="D11699" s="496"/>
    </row>
    <row r="11700" spans="1:4" x14ac:dyDescent="0.2">
      <c r="A11700" s="496"/>
      <c r="D11700" s="496"/>
    </row>
    <row r="11701" spans="1:4" x14ac:dyDescent="0.2">
      <c r="A11701" s="496"/>
      <c r="D11701" s="496"/>
    </row>
    <row r="11702" spans="1:4" x14ac:dyDescent="0.2">
      <c r="A11702" s="496"/>
      <c r="D11702" s="496"/>
    </row>
    <row r="11703" spans="1:4" x14ac:dyDescent="0.2">
      <c r="A11703" s="496"/>
      <c r="D11703" s="496"/>
    </row>
    <row r="11704" spans="1:4" x14ac:dyDescent="0.2">
      <c r="A11704" s="496"/>
      <c r="D11704" s="496"/>
    </row>
    <row r="11705" spans="1:4" x14ac:dyDescent="0.2">
      <c r="A11705" s="496"/>
      <c r="D11705" s="496"/>
    </row>
    <row r="11706" spans="1:4" x14ac:dyDescent="0.2">
      <c r="A11706" s="496"/>
      <c r="D11706" s="496"/>
    </row>
    <row r="11707" spans="1:4" x14ac:dyDescent="0.2">
      <c r="A11707" s="496"/>
      <c r="D11707" s="496"/>
    </row>
    <row r="11708" spans="1:4" x14ac:dyDescent="0.2">
      <c r="A11708" s="496"/>
      <c r="D11708" s="496"/>
    </row>
    <row r="11709" spans="1:4" x14ac:dyDescent="0.2">
      <c r="A11709" s="496"/>
      <c r="D11709" s="496"/>
    </row>
    <row r="11710" spans="1:4" x14ac:dyDescent="0.2">
      <c r="A11710" s="496"/>
      <c r="D11710" s="496"/>
    </row>
    <row r="11711" spans="1:4" x14ac:dyDescent="0.2">
      <c r="A11711" s="496"/>
      <c r="D11711" s="496"/>
    </row>
    <row r="11712" spans="1:4" x14ac:dyDescent="0.2">
      <c r="A11712" s="496"/>
      <c r="D11712" s="496"/>
    </row>
    <row r="11713" spans="1:4" x14ac:dyDescent="0.2">
      <c r="A11713" s="496"/>
      <c r="D11713" s="496"/>
    </row>
    <row r="11714" spans="1:4" x14ac:dyDescent="0.2">
      <c r="A11714" s="496"/>
      <c r="D11714" s="496"/>
    </row>
    <row r="11715" spans="1:4" x14ac:dyDescent="0.2">
      <c r="A11715" s="496"/>
      <c r="D11715" s="496"/>
    </row>
    <row r="11716" spans="1:4" x14ac:dyDescent="0.2">
      <c r="A11716" s="496"/>
      <c r="D11716" s="496"/>
    </row>
    <row r="11717" spans="1:4" x14ac:dyDescent="0.2">
      <c r="A11717" s="496"/>
      <c r="D11717" s="496"/>
    </row>
    <row r="11718" spans="1:4" x14ac:dyDescent="0.2">
      <c r="A11718" s="496"/>
      <c r="D11718" s="496"/>
    </row>
    <row r="11719" spans="1:4" x14ac:dyDescent="0.2">
      <c r="A11719" s="496"/>
      <c r="D11719" s="496"/>
    </row>
    <row r="11720" spans="1:4" x14ac:dyDescent="0.2">
      <c r="A11720" s="496"/>
      <c r="D11720" s="496"/>
    </row>
    <row r="11721" spans="1:4" x14ac:dyDescent="0.2">
      <c r="A11721" s="496"/>
      <c r="D11721" s="496"/>
    </row>
    <row r="11722" spans="1:4" x14ac:dyDescent="0.2">
      <c r="A11722" s="496"/>
      <c r="D11722" s="496"/>
    </row>
    <row r="11723" spans="1:4" x14ac:dyDescent="0.2">
      <c r="A11723" s="496"/>
      <c r="D11723" s="496"/>
    </row>
    <row r="11724" spans="1:4" x14ac:dyDescent="0.2">
      <c r="A11724" s="496"/>
      <c r="D11724" s="496"/>
    </row>
    <row r="11725" spans="1:4" x14ac:dyDescent="0.2">
      <c r="A11725" s="496"/>
      <c r="D11725" s="496"/>
    </row>
    <row r="11726" spans="1:4" x14ac:dyDescent="0.2">
      <c r="A11726" s="496"/>
      <c r="D11726" s="496"/>
    </row>
    <row r="11727" spans="1:4" x14ac:dyDescent="0.2">
      <c r="A11727" s="496"/>
      <c r="D11727" s="496"/>
    </row>
    <row r="11728" spans="1:4" x14ac:dyDescent="0.2">
      <c r="A11728" s="496"/>
      <c r="D11728" s="496"/>
    </row>
    <row r="11729" spans="1:4" x14ac:dyDescent="0.2">
      <c r="A11729" s="496"/>
      <c r="D11729" s="496"/>
    </row>
    <row r="11730" spans="1:4" x14ac:dyDescent="0.2">
      <c r="A11730" s="496"/>
      <c r="D11730" s="496"/>
    </row>
    <row r="11731" spans="1:4" x14ac:dyDescent="0.2">
      <c r="A11731" s="496"/>
      <c r="D11731" s="496"/>
    </row>
    <row r="11732" spans="1:4" x14ac:dyDescent="0.2">
      <c r="A11732" s="496"/>
      <c r="D11732" s="496"/>
    </row>
    <row r="11733" spans="1:4" x14ac:dyDescent="0.2">
      <c r="A11733" s="496"/>
      <c r="D11733" s="496"/>
    </row>
    <row r="11734" spans="1:4" x14ac:dyDescent="0.2">
      <c r="A11734" s="496"/>
      <c r="D11734" s="496"/>
    </row>
    <row r="11735" spans="1:4" x14ac:dyDescent="0.2">
      <c r="A11735" s="496"/>
      <c r="D11735" s="496"/>
    </row>
    <row r="11736" spans="1:4" x14ac:dyDescent="0.2">
      <c r="A11736" s="496"/>
      <c r="D11736" s="496"/>
    </row>
    <row r="11737" spans="1:4" x14ac:dyDescent="0.2">
      <c r="A11737" s="496"/>
      <c r="D11737" s="496"/>
    </row>
    <row r="11738" spans="1:4" x14ac:dyDescent="0.2">
      <c r="A11738" s="496"/>
      <c r="D11738" s="496"/>
    </row>
    <row r="11739" spans="1:4" x14ac:dyDescent="0.2">
      <c r="A11739" s="496"/>
      <c r="D11739" s="496"/>
    </row>
    <row r="11740" spans="1:4" x14ac:dyDescent="0.2">
      <c r="A11740" s="496"/>
      <c r="D11740" s="496"/>
    </row>
    <row r="11741" spans="1:4" x14ac:dyDescent="0.2">
      <c r="A11741" s="496"/>
      <c r="D11741" s="496"/>
    </row>
    <row r="11742" spans="1:4" x14ac:dyDescent="0.2">
      <c r="A11742" s="496"/>
      <c r="D11742" s="496"/>
    </row>
    <row r="11743" spans="1:4" x14ac:dyDescent="0.2">
      <c r="A11743" s="496"/>
      <c r="D11743" s="496"/>
    </row>
    <row r="11744" spans="1:4" x14ac:dyDescent="0.2">
      <c r="A11744" s="496"/>
      <c r="D11744" s="496"/>
    </row>
    <row r="11745" spans="1:4" x14ac:dyDescent="0.2">
      <c r="A11745" s="496"/>
      <c r="D11745" s="496"/>
    </row>
    <row r="11746" spans="1:4" x14ac:dyDescent="0.2">
      <c r="A11746" s="496"/>
      <c r="D11746" s="496"/>
    </row>
    <row r="11747" spans="1:4" x14ac:dyDescent="0.2">
      <c r="A11747" s="496"/>
      <c r="D11747" s="496"/>
    </row>
    <row r="11748" spans="1:4" x14ac:dyDescent="0.2">
      <c r="A11748" s="496"/>
      <c r="D11748" s="496"/>
    </row>
    <row r="11749" spans="1:4" x14ac:dyDescent="0.2">
      <c r="A11749" s="496"/>
      <c r="D11749" s="496"/>
    </row>
    <row r="11750" spans="1:4" x14ac:dyDescent="0.2">
      <c r="A11750" s="496"/>
      <c r="D11750" s="496"/>
    </row>
    <row r="11751" spans="1:4" x14ac:dyDescent="0.2">
      <c r="A11751" s="496"/>
      <c r="D11751" s="496"/>
    </row>
    <row r="11752" spans="1:4" x14ac:dyDescent="0.2">
      <c r="A11752" s="496"/>
      <c r="D11752" s="496"/>
    </row>
    <row r="11753" spans="1:4" x14ac:dyDescent="0.2">
      <c r="A11753" s="496"/>
      <c r="D11753" s="496"/>
    </row>
    <row r="11754" spans="1:4" x14ac:dyDescent="0.2">
      <c r="A11754" s="496"/>
      <c r="D11754" s="496"/>
    </row>
    <row r="11755" spans="1:4" x14ac:dyDescent="0.2">
      <c r="A11755" s="496"/>
      <c r="D11755" s="496"/>
    </row>
    <row r="11756" spans="1:4" x14ac:dyDescent="0.2">
      <c r="A11756" s="496"/>
      <c r="D11756" s="496"/>
    </row>
    <row r="11757" spans="1:4" x14ac:dyDescent="0.2">
      <c r="A11757" s="496"/>
      <c r="D11757" s="496"/>
    </row>
    <row r="11758" spans="1:4" x14ac:dyDescent="0.2">
      <c r="A11758" s="496"/>
      <c r="D11758" s="496"/>
    </row>
    <row r="11759" spans="1:4" x14ac:dyDescent="0.2">
      <c r="A11759" s="496"/>
      <c r="D11759" s="496"/>
    </row>
    <row r="11760" spans="1:4" x14ac:dyDescent="0.2">
      <c r="A11760" s="496"/>
      <c r="D11760" s="496"/>
    </row>
    <row r="11761" spans="1:4" x14ac:dyDescent="0.2">
      <c r="A11761" s="496"/>
      <c r="D11761" s="496"/>
    </row>
    <row r="11762" spans="1:4" x14ac:dyDescent="0.2">
      <c r="A11762" s="496"/>
      <c r="D11762" s="496"/>
    </row>
    <row r="11763" spans="1:4" x14ac:dyDescent="0.2">
      <c r="A11763" s="496"/>
      <c r="D11763" s="496"/>
    </row>
    <row r="11764" spans="1:4" x14ac:dyDescent="0.2">
      <c r="A11764" s="496"/>
      <c r="D11764" s="496"/>
    </row>
    <row r="11765" spans="1:4" x14ac:dyDescent="0.2">
      <c r="A11765" s="496"/>
      <c r="D11765" s="496"/>
    </row>
    <row r="11766" spans="1:4" x14ac:dyDescent="0.2">
      <c r="A11766" s="496"/>
      <c r="D11766" s="496"/>
    </row>
    <row r="11767" spans="1:4" x14ac:dyDescent="0.2">
      <c r="A11767" s="496"/>
      <c r="D11767" s="496"/>
    </row>
    <row r="11768" spans="1:4" x14ac:dyDescent="0.2">
      <c r="A11768" s="496"/>
      <c r="D11768" s="496"/>
    </row>
    <row r="11769" spans="1:4" x14ac:dyDescent="0.2">
      <c r="A11769" s="496"/>
      <c r="D11769" s="496"/>
    </row>
    <row r="11770" spans="1:4" x14ac:dyDescent="0.2">
      <c r="A11770" s="496"/>
      <c r="D11770" s="496"/>
    </row>
    <row r="11771" spans="1:4" x14ac:dyDescent="0.2">
      <c r="A11771" s="496"/>
      <c r="D11771" s="496"/>
    </row>
    <row r="11772" spans="1:4" x14ac:dyDescent="0.2">
      <c r="A11772" s="496"/>
      <c r="D11772" s="496"/>
    </row>
    <row r="11773" spans="1:4" x14ac:dyDescent="0.2">
      <c r="A11773" s="496"/>
      <c r="D11773" s="496"/>
    </row>
    <row r="11774" spans="1:4" x14ac:dyDescent="0.2">
      <c r="A11774" s="496"/>
      <c r="D11774" s="496"/>
    </row>
    <row r="11775" spans="1:4" x14ac:dyDescent="0.2">
      <c r="A11775" s="496"/>
      <c r="D11775" s="496"/>
    </row>
    <row r="11776" spans="1:4" x14ac:dyDescent="0.2">
      <c r="A11776" s="496"/>
      <c r="D11776" s="496"/>
    </row>
    <row r="11777" spans="1:4" x14ac:dyDescent="0.2">
      <c r="A11777" s="496"/>
      <c r="D11777" s="496"/>
    </row>
    <row r="11778" spans="1:4" x14ac:dyDescent="0.2">
      <c r="A11778" s="496"/>
      <c r="D11778" s="496"/>
    </row>
    <row r="11779" spans="1:4" x14ac:dyDescent="0.2">
      <c r="A11779" s="496"/>
      <c r="D11779" s="496"/>
    </row>
    <row r="11780" spans="1:4" x14ac:dyDescent="0.2">
      <c r="A11780" s="496"/>
      <c r="D11780" s="496"/>
    </row>
    <row r="11781" spans="1:4" x14ac:dyDescent="0.2">
      <c r="A11781" s="496"/>
      <c r="D11781" s="496"/>
    </row>
    <row r="11782" spans="1:4" x14ac:dyDescent="0.2">
      <c r="A11782" s="496"/>
      <c r="D11782" s="496"/>
    </row>
    <row r="11783" spans="1:4" x14ac:dyDescent="0.2">
      <c r="A11783" s="496"/>
      <c r="D11783" s="496"/>
    </row>
    <row r="11784" spans="1:4" x14ac:dyDescent="0.2">
      <c r="A11784" s="496"/>
      <c r="D11784" s="496"/>
    </row>
    <row r="11785" spans="1:4" x14ac:dyDescent="0.2">
      <c r="A11785" s="496"/>
      <c r="D11785" s="496"/>
    </row>
    <row r="11786" spans="1:4" x14ac:dyDescent="0.2">
      <c r="A11786" s="496"/>
      <c r="D11786" s="496"/>
    </row>
    <row r="11787" spans="1:4" x14ac:dyDescent="0.2">
      <c r="A11787" s="496"/>
      <c r="D11787" s="496"/>
    </row>
    <row r="11788" spans="1:4" x14ac:dyDescent="0.2">
      <c r="A11788" s="496"/>
      <c r="D11788" s="496"/>
    </row>
    <row r="11789" spans="1:4" x14ac:dyDescent="0.2">
      <c r="A11789" s="496"/>
      <c r="D11789" s="496"/>
    </row>
    <row r="11790" spans="1:4" x14ac:dyDescent="0.2">
      <c r="A11790" s="496"/>
      <c r="D11790" s="496"/>
    </row>
    <row r="11791" spans="1:4" x14ac:dyDescent="0.2">
      <c r="A11791" s="496"/>
      <c r="D11791" s="496"/>
    </row>
    <row r="11792" spans="1:4" x14ac:dyDescent="0.2">
      <c r="A11792" s="496"/>
      <c r="D11792" s="496"/>
    </row>
    <row r="11793" spans="1:4" x14ac:dyDescent="0.2">
      <c r="A11793" s="496"/>
      <c r="D11793" s="496"/>
    </row>
    <row r="11794" spans="1:4" x14ac:dyDescent="0.2">
      <c r="A11794" s="496"/>
      <c r="D11794" s="496"/>
    </row>
    <row r="11795" spans="1:4" x14ac:dyDescent="0.2">
      <c r="A11795" s="496"/>
      <c r="D11795" s="496"/>
    </row>
    <row r="11796" spans="1:4" x14ac:dyDescent="0.2">
      <c r="A11796" s="496"/>
      <c r="D11796" s="496"/>
    </row>
    <row r="11797" spans="1:4" x14ac:dyDescent="0.2">
      <c r="A11797" s="496"/>
      <c r="D11797" s="496"/>
    </row>
    <row r="11798" spans="1:4" x14ac:dyDescent="0.2">
      <c r="A11798" s="496"/>
      <c r="D11798" s="496"/>
    </row>
    <row r="11799" spans="1:4" x14ac:dyDescent="0.2">
      <c r="A11799" s="496"/>
      <c r="D11799" s="496"/>
    </row>
    <row r="11800" spans="1:4" x14ac:dyDescent="0.2">
      <c r="A11800" s="496"/>
      <c r="D11800" s="496"/>
    </row>
    <row r="11801" spans="1:4" x14ac:dyDescent="0.2">
      <c r="A11801" s="496"/>
      <c r="D11801" s="496"/>
    </row>
    <row r="11802" spans="1:4" x14ac:dyDescent="0.2">
      <c r="A11802" s="496"/>
      <c r="D11802" s="496"/>
    </row>
    <row r="11803" spans="1:4" x14ac:dyDescent="0.2">
      <c r="A11803" s="496"/>
      <c r="D11803" s="496"/>
    </row>
    <row r="11804" spans="1:4" x14ac:dyDescent="0.2">
      <c r="A11804" s="496"/>
      <c r="D11804" s="496"/>
    </row>
    <row r="11805" spans="1:4" x14ac:dyDescent="0.2">
      <c r="A11805" s="496"/>
      <c r="D11805" s="496"/>
    </row>
    <row r="11806" spans="1:4" x14ac:dyDescent="0.2">
      <c r="A11806" s="496"/>
      <c r="D11806" s="496"/>
    </row>
    <row r="11807" spans="1:4" x14ac:dyDescent="0.2">
      <c r="A11807" s="496"/>
      <c r="D11807" s="496"/>
    </row>
    <row r="11808" spans="1:4" x14ac:dyDescent="0.2">
      <c r="A11808" s="496"/>
      <c r="D11808" s="496"/>
    </row>
    <row r="11809" spans="1:4" x14ac:dyDescent="0.2">
      <c r="A11809" s="496"/>
      <c r="D11809" s="496"/>
    </row>
    <row r="11810" spans="1:4" x14ac:dyDescent="0.2">
      <c r="A11810" s="496"/>
      <c r="D11810" s="496"/>
    </row>
    <row r="11811" spans="1:4" x14ac:dyDescent="0.2">
      <c r="A11811" s="496"/>
      <c r="D11811" s="496"/>
    </row>
    <row r="11812" spans="1:4" x14ac:dyDescent="0.2">
      <c r="A11812" s="496"/>
      <c r="D11812" s="496"/>
    </row>
    <row r="11813" spans="1:4" x14ac:dyDescent="0.2">
      <c r="A11813" s="496"/>
      <c r="D11813" s="496"/>
    </row>
    <row r="11814" spans="1:4" x14ac:dyDescent="0.2">
      <c r="A11814" s="496"/>
      <c r="D11814" s="496"/>
    </row>
    <row r="11815" spans="1:4" x14ac:dyDescent="0.2">
      <c r="A11815" s="496"/>
      <c r="D11815" s="496"/>
    </row>
    <row r="11816" spans="1:4" x14ac:dyDescent="0.2">
      <c r="A11816" s="496"/>
      <c r="D11816" s="496"/>
    </row>
    <row r="11817" spans="1:4" x14ac:dyDescent="0.2">
      <c r="A11817" s="496"/>
      <c r="D11817" s="496"/>
    </row>
    <row r="11818" spans="1:4" x14ac:dyDescent="0.2">
      <c r="A11818" s="496"/>
      <c r="D11818" s="496"/>
    </row>
    <row r="11819" spans="1:4" x14ac:dyDescent="0.2">
      <c r="A11819" s="496"/>
      <c r="D11819" s="496"/>
    </row>
    <row r="11820" spans="1:4" x14ac:dyDescent="0.2">
      <c r="A11820" s="496"/>
      <c r="D11820" s="496"/>
    </row>
    <row r="11821" spans="1:4" x14ac:dyDescent="0.2">
      <c r="A11821" s="496"/>
      <c r="D11821" s="496"/>
    </row>
    <row r="11822" spans="1:4" x14ac:dyDescent="0.2">
      <c r="A11822" s="496"/>
      <c r="D11822" s="496"/>
    </row>
    <row r="11823" spans="1:4" x14ac:dyDescent="0.2">
      <c r="A11823" s="496"/>
      <c r="D11823" s="496"/>
    </row>
    <row r="11824" spans="1:4" x14ac:dyDescent="0.2">
      <c r="A11824" s="496"/>
      <c r="D11824" s="496"/>
    </row>
    <row r="11825" spans="1:4" x14ac:dyDescent="0.2">
      <c r="A11825" s="496"/>
      <c r="D11825" s="496"/>
    </row>
    <row r="11826" spans="1:4" x14ac:dyDescent="0.2">
      <c r="A11826" s="496"/>
      <c r="D11826" s="496"/>
    </row>
    <row r="11827" spans="1:4" x14ac:dyDescent="0.2">
      <c r="A11827" s="496"/>
      <c r="D11827" s="496"/>
    </row>
    <row r="11828" spans="1:4" x14ac:dyDescent="0.2">
      <c r="A11828" s="496"/>
      <c r="D11828" s="496"/>
    </row>
    <row r="11829" spans="1:4" x14ac:dyDescent="0.2">
      <c r="A11829" s="496"/>
      <c r="D11829" s="496"/>
    </row>
    <row r="11830" spans="1:4" x14ac:dyDescent="0.2">
      <c r="A11830" s="496"/>
      <c r="D11830" s="496"/>
    </row>
    <row r="11831" spans="1:4" x14ac:dyDescent="0.2">
      <c r="A11831" s="496"/>
      <c r="D11831" s="496"/>
    </row>
    <row r="11832" spans="1:4" x14ac:dyDescent="0.2">
      <c r="A11832" s="496"/>
      <c r="D11832" s="496"/>
    </row>
    <row r="11833" spans="1:4" x14ac:dyDescent="0.2">
      <c r="A11833" s="496"/>
      <c r="D11833" s="496"/>
    </row>
    <row r="11834" spans="1:4" x14ac:dyDescent="0.2">
      <c r="A11834" s="496"/>
      <c r="D11834" s="496"/>
    </row>
    <row r="11835" spans="1:4" x14ac:dyDescent="0.2">
      <c r="A11835" s="496"/>
      <c r="D11835" s="496"/>
    </row>
    <row r="11836" spans="1:4" x14ac:dyDescent="0.2">
      <c r="A11836" s="496"/>
      <c r="D11836" s="496"/>
    </row>
    <row r="11837" spans="1:4" x14ac:dyDescent="0.2">
      <c r="A11837" s="496"/>
      <c r="D11837" s="496"/>
    </row>
    <row r="11838" spans="1:4" x14ac:dyDescent="0.2">
      <c r="A11838" s="496"/>
      <c r="D11838" s="496"/>
    </row>
    <row r="11839" spans="1:4" x14ac:dyDescent="0.2">
      <c r="A11839" s="496"/>
      <c r="D11839" s="496"/>
    </row>
    <row r="11840" spans="1:4" x14ac:dyDescent="0.2">
      <c r="A11840" s="496"/>
      <c r="D11840" s="496"/>
    </row>
    <row r="11841" spans="1:4" x14ac:dyDescent="0.2">
      <c r="A11841" s="496"/>
      <c r="D11841" s="496"/>
    </row>
    <row r="11842" spans="1:4" x14ac:dyDescent="0.2">
      <c r="A11842" s="496"/>
      <c r="D11842" s="496"/>
    </row>
    <row r="11843" spans="1:4" x14ac:dyDescent="0.2">
      <c r="A11843" s="496"/>
      <c r="D11843" s="496"/>
    </row>
    <row r="11844" spans="1:4" x14ac:dyDescent="0.2">
      <c r="A11844" s="496"/>
      <c r="D11844" s="496"/>
    </row>
    <row r="11845" spans="1:4" x14ac:dyDescent="0.2">
      <c r="A11845" s="496"/>
      <c r="D11845" s="496"/>
    </row>
    <row r="11846" spans="1:4" x14ac:dyDescent="0.2">
      <c r="A11846" s="496"/>
      <c r="D11846" s="496"/>
    </row>
    <row r="11847" spans="1:4" x14ac:dyDescent="0.2">
      <c r="A11847" s="496"/>
      <c r="D11847" s="496"/>
    </row>
    <row r="11848" spans="1:4" x14ac:dyDescent="0.2">
      <c r="A11848" s="496"/>
      <c r="D11848" s="496"/>
    </row>
    <row r="11849" spans="1:4" x14ac:dyDescent="0.2">
      <c r="A11849" s="496"/>
      <c r="D11849" s="496"/>
    </row>
    <row r="11850" spans="1:4" x14ac:dyDescent="0.2">
      <c r="A11850" s="496"/>
      <c r="D11850" s="496"/>
    </row>
    <row r="11851" spans="1:4" x14ac:dyDescent="0.2">
      <c r="A11851" s="496"/>
      <c r="D11851" s="496"/>
    </row>
    <row r="11852" spans="1:4" x14ac:dyDescent="0.2">
      <c r="A11852" s="496"/>
      <c r="D11852" s="496"/>
    </row>
    <row r="11853" spans="1:4" x14ac:dyDescent="0.2">
      <c r="A11853" s="496"/>
      <c r="D11853" s="496"/>
    </row>
    <row r="11854" spans="1:4" x14ac:dyDescent="0.2">
      <c r="A11854" s="496"/>
      <c r="D11854" s="496"/>
    </row>
    <row r="11855" spans="1:4" x14ac:dyDescent="0.2">
      <c r="A11855" s="496"/>
      <c r="D11855" s="496"/>
    </row>
    <row r="11856" spans="1:4" x14ac:dyDescent="0.2">
      <c r="A11856" s="496"/>
      <c r="D11856" s="496"/>
    </row>
    <row r="11857" spans="1:4" x14ac:dyDescent="0.2">
      <c r="A11857" s="496"/>
      <c r="D11857" s="496"/>
    </row>
    <row r="11858" spans="1:4" x14ac:dyDescent="0.2">
      <c r="A11858" s="496"/>
      <c r="D11858" s="496"/>
    </row>
    <row r="11859" spans="1:4" x14ac:dyDescent="0.2">
      <c r="A11859" s="496"/>
      <c r="D11859" s="496"/>
    </row>
    <row r="11860" spans="1:4" x14ac:dyDescent="0.2">
      <c r="A11860" s="496"/>
      <c r="D11860" s="496"/>
    </row>
    <row r="11861" spans="1:4" x14ac:dyDescent="0.2">
      <c r="A11861" s="496"/>
      <c r="D11861" s="496"/>
    </row>
    <row r="11862" spans="1:4" x14ac:dyDescent="0.2">
      <c r="A11862" s="496"/>
      <c r="D11862" s="496"/>
    </row>
    <row r="11863" spans="1:4" x14ac:dyDescent="0.2">
      <c r="A11863" s="496"/>
      <c r="D11863" s="496"/>
    </row>
    <row r="11864" spans="1:4" x14ac:dyDescent="0.2">
      <c r="A11864" s="496"/>
      <c r="D11864" s="496"/>
    </row>
    <row r="11865" spans="1:4" x14ac:dyDescent="0.2">
      <c r="A11865" s="496"/>
      <c r="D11865" s="496"/>
    </row>
    <row r="11866" spans="1:4" x14ac:dyDescent="0.2">
      <c r="A11866" s="496"/>
      <c r="D11866" s="496"/>
    </row>
    <row r="11867" spans="1:4" x14ac:dyDescent="0.2">
      <c r="A11867" s="496"/>
      <c r="D11867" s="496"/>
    </row>
    <row r="11868" spans="1:4" x14ac:dyDescent="0.2">
      <c r="A11868" s="496"/>
      <c r="D11868" s="496"/>
    </row>
    <row r="11869" spans="1:4" x14ac:dyDescent="0.2">
      <c r="A11869" s="496"/>
      <c r="D11869" s="496"/>
    </row>
    <row r="11870" spans="1:4" x14ac:dyDescent="0.2">
      <c r="A11870" s="496"/>
      <c r="D11870" s="496"/>
    </row>
    <row r="11871" spans="1:4" x14ac:dyDescent="0.2">
      <c r="A11871" s="496"/>
      <c r="D11871" s="496"/>
    </row>
    <row r="11872" spans="1:4" x14ac:dyDescent="0.2">
      <c r="A11872" s="496"/>
      <c r="D11872" s="496"/>
    </row>
    <row r="11873" spans="1:4" x14ac:dyDescent="0.2">
      <c r="A11873" s="496"/>
      <c r="D11873" s="496"/>
    </row>
    <row r="11874" spans="1:4" x14ac:dyDescent="0.2">
      <c r="A11874" s="496"/>
      <c r="D11874" s="496"/>
    </row>
    <row r="11875" spans="1:4" x14ac:dyDescent="0.2">
      <c r="A11875" s="496"/>
      <c r="D11875" s="496"/>
    </row>
    <row r="11876" spans="1:4" x14ac:dyDescent="0.2">
      <c r="A11876" s="496"/>
      <c r="D11876" s="496"/>
    </row>
    <row r="11877" spans="1:4" x14ac:dyDescent="0.2">
      <c r="A11877" s="496"/>
      <c r="D11877" s="496"/>
    </row>
    <row r="11878" spans="1:4" x14ac:dyDescent="0.2">
      <c r="A11878" s="496"/>
      <c r="D11878" s="496"/>
    </row>
    <row r="11879" spans="1:4" x14ac:dyDescent="0.2">
      <c r="A11879" s="496"/>
      <c r="D11879" s="496"/>
    </row>
    <row r="11880" spans="1:4" x14ac:dyDescent="0.2">
      <c r="A11880" s="496"/>
      <c r="D11880" s="496"/>
    </row>
    <row r="11881" spans="1:4" x14ac:dyDescent="0.2">
      <c r="A11881" s="496"/>
      <c r="D11881" s="496"/>
    </row>
    <row r="11882" spans="1:4" x14ac:dyDescent="0.2">
      <c r="A11882" s="496"/>
      <c r="D11882" s="496"/>
    </row>
    <row r="11883" spans="1:4" x14ac:dyDescent="0.2">
      <c r="A11883" s="496"/>
      <c r="D11883" s="496"/>
    </row>
    <row r="11884" spans="1:4" x14ac:dyDescent="0.2">
      <c r="A11884" s="496"/>
      <c r="D11884" s="496"/>
    </row>
    <row r="11885" spans="1:4" x14ac:dyDescent="0.2">
      <c r="A11885" s="496"/>
      <c r="D11885" s="496"/>
    </row>
    <row r="11886" spans="1:4" x14ac:dyDescent="0.2">
      <c r="A11886" s="496"/>
      <c r="D11886" s="496"/>
    </row>
    <row r="11887" spans="1:4" x14ac:dyDescent="0.2">
      <c r="A11887" s="496"/>
      <c r="D11887" s="496"/>
    </row>
    <row r="11888" spans="1:4" x14ac:dyDescent="0.2">
      <c r="A11888" s="496"/>
      <c r="D11888" s="496"/>
    </row>
    <row r="11889" spans="1:4" x14ac:dyDescent="0.2">
      <c r="A11889" s="496"/>
      <c r="D11889" s="496"/>
    </row>
    <row r="11890" spans="1:4" x14ac:dyDescent="0.2">
      <c r="A11890" s="496"/>
      <c r="D11890" s="496"/>
    </row>
    <row r="11891" spans="1:4" x14ac:dyDescent="0.2">
      <c r="A11891" s="496"/>
      <c r="D11891" s="496"/>
    </row>
    <row r="11892" spans="1:4" x14ac:dyDescent="0.2">
      <c r="A11892" s="496"/>
      <c r="D11892" s="496"/>
    </row>
    <row r="11893" spans="1:4" x14ac:dyDescent="0.2">
      <c r="A11893" s="496"/>
      <c r="D11893" s="496"/>
    </row>
    <row r="11894" spans="1:4" x14ac:dyDescent="0.2">
      <c r="A11894" s="496"/>
      <c r="D11894" s="496"/>
    </row>
    <row r="11895" spans="1:4" x14ac:dyDescent="0.2">
      <c r="A11895" s="496"/>
      <c r="D11895" s="496"/>
    </row>
    <row r="11896" spans="1:4" x14ac:dyDescent="0.2">
      <c r="A11896" s="496"/>
      <c r="D11896" s="496"/>
    </row>
    <row r="11897" spans="1:4" x14ac:dyDescent="0.2">
      <c r="A11897" s="496"/>
      <c r="D11897" s="496"/>
    </row>
    <row r="11898" spans="1:4" x14ac:dyDescent="0.2">
      <c r="A11898" s="496"/>
      <c r="D11898" s="496"/>
    </row>
    <row r="11899" spans="1:4" x14ac:dyDescent="0.2">
      <c r="A11899" s="496"/>
      <c r="D11899" s="496"/>
    </row>
    <row r="11900" spans="1:4" x14ac:dyDescent="0.2">
      <c r="A11900" s="496"/>
      <c r="D11900" s="496"/>
    </row>
    <row r="11901" spans="1:4" x14ac:dyDescent="0.2">
      <c r="A11901" s="496"/>
      <c r="D11901" s="496"/>
    </row>
    <row r="11902" spans="1:4" x14ac:dyDescent="0.2">
      <c r="A11902" s="496"/>
      <c r="D11902" s="496"/>
    </row>
    <row r="11903" spans="1:4" x14ac:dyDescent="0.2">
      <c r="A11903" s="496"/>
      <c r="D11903" s="496"/>
    </row>
    <row r="11904" spans="1:4" x14ac:dyDescent="0.2">
      <c r="A11904" s="496"/>
      <c r="D11904" s="496"/>
    </row>
    <row r="11905" spans="1:4" x14ac:dyDescent="0.2">
      <c r="A11905" s="496"/>
      <c r="D11905" s="496"/>
    </row>
    <row r="11906" spans="1:4" x14ac:dyDescent="0.2">
      <c r="A11906" s="496"/>
      <c r="D11906" s="496"/>
    </row>
    <row r="11907" spans="1:4" x14ac:dyDescent="0.2">
      <c r="A11907" s="496"/>
      <c r="D11907" s="496"/>
    </row>
    <row r="11908" spans="1:4" x14ac:dyDescent="0.2">
      <c r="A11908" s="496"/>
      <c r="D11908" s="496"/>
    </row>
    <row r="11909" spans="1:4" x14ac:dyDescent="0.2">
      <c r="A11909" s="496"/>
      <c r="D11909" s="496"/>
    </row>
    <row r="11910" spans="1:4" x14ac:dyDescent="0.2">
      <c r="A11910" s="496"/>
      <c r="D11910" s="496"/>
    </row>
    <row r="11911" spans="1:4" x14ac:dyDescent="0.2">
      <c r="A11911" s="496"/>
      <c r="D11911" s="496"/>
    </row>
    <row r="11912" spans="1:4" x14ac:dyDescent="0.2">
      <c r="A11912" s="496"/>
      <c r="D11912" s="496"/>
    </row>
    <row r="11913" spans="1:4" x14ac:dyDescent="0.2">
      <c r="A11913" s="496"/>
      <c r="D11913" s="496"/>
    </row>
    <row r="11914" spans="1:4" x14ac:dyDescent="0.2">
      <c r="A11914" s="496"/>
      <c r="D11914" s="496"/>
    </row>
    <row r="11915" spans="1:4" x14ac:dyDescent="0.2">
      <c r="A11915" s="496"/>
      <c r="D11915" s="496"/>
    </row>
    <row r="11916" spans="1:4" x14ac:dyDescent="0.2">
      <c r="A11916" s="496"/>
      <c r="D11916" s="496"/>
    </row>
    <row r="11917" spans="1:4" x14ac:dyDescent="0.2">
      <c r="A11917" s="496"/>
      <c r="D11917" s="496"/>
    </row>
    <row r="11918" spans="1:4" x14ac:dyDescent="0.2">
      <c r="A11918" s="496"/>
      <c r="D11918" s="496"/>
    </row>
    <row r="11919" spans="1:4" x14ac:dyDescent="0.2">
      <c r="A11919" s="496"/>
      <c r="D11919" s="496"/>
    </row>
    <row r="11920" spans="1:4" x14ac:dyDescent="0.2">
      <c r="A11920" s="496"/>
      <c r="D11920" s="496"/>
    </row>
    <row r="11921" spans="1:4" x14ac:dyDescent="0.2">
      <c r="A11921" s="496"/>
      <c r="D11921" s="496"/>
    </row>
    <row r="11922" spans="1:4" x14ac:dyDescent="0.2">
      <c r="A11922" s="496"/>
      <c r="D11922" s="496"/>
    </row>
    <row r="11923" spans="1:4" x14ac:dyDescent="0.2">
      <c r="A11923" s="496"/>
      <c r="D11923" s="496"/>
    </row>
    <row r="11924" spans="1:4" x14ac:dyDescent="0.2">
      <c r="A11924" s="496"/>
      <c r="D11924" s="496"/>
    </row>
    <row r="11925" spans="1:4" x14ac:dyDescent="0.2">
      <c r="A11925" s="496"/>
      <c r="D11925" s="496"/>
    </row>
    <row r="11926" spans="1:4" x14ac:dyDescent="0.2">
      <c r="A11926" s="496"/>
      <c r="D11926" s="496"/>
    </row>
    <row r="11927" spans="1:4" x14ac:dyDescent="0.2">
      <c r="A11927" s="496"/>
      <c r="D11927" s="496"/>
    </row>
    <row r="11928" spans="1:4" x14ac:dyDescent="0.2">
      <c r="A11928" s="496"/>
      <c r="D11928" s="496"/>
    </row>
    <row r="11929" spans="1:4" x14ac:dyDescent="0.2">
      <c r="A11929" s="496"/>
      <c r="D11929" s="496"/>
    </row>
    <row r="11930" spans="1:4" x14ac:dyDescent="0.2">
      <c r="A11930" s="496"/>
      <c r="D11930" s="496"/>
    </row>
    <row r="11931" spans="1:4" x14ac:dyDescent="0.2">
      <c r="A11931" s="496"/>
      <c r="D11931" s="496"/>
    </row>
    <row r="11932" spans="1:4" x14ac:dyDescent="0.2">
      <c r="A11932" s="496"/>
      <c r="D11932" s="496"/>
    </row>
    <row r="11933" spans="1:4" x14ac:dyDescent="0.2">
      <c r="A11933" s="496"/>
      <c r="D11933" s="496"/>
    </row>
    <row r="11934" spans="1:4" x14ac:dyDescent="0.2">
      <c r="A11934" s="496"/>
      <c r="D11934" s="496"/>
    </row>
    <row r="11935" spans="1:4" x14ac:dyDescent="0.2">
      <c r="A11935" s="496"/>
      <c r="D11935" s="496"/>
    </row>
    <row r="11936" spans="1:4" x14ac:dyDescent="0.2">
      <c r="A11936" s="496"/>
      <c r="D11936" s="496"/>
    </row>
    <row r="11937" spans="1:4" x14ac:dyDescent="0.2">
      <c r="A11937" s="496"/>
      <c r="D11937" s="496"/>
    </row>
    <row r="11938" spans="1:4" x14ac:dyDescent="0.2">
      <c r="A11938" s="496"/>
      <c r="D11938" s="496"/>
    </row>
    <row r="11939" spans="1:4" x14ac:dyDescent="0.2">
      <c r="A11939" s="496"/>
      <c r="D11939" s="496"/>
    </row>
    <row r="11940" spans="1:4" x14ac:dyDescent="0.2">
      <c r="A11940" s="496"/>
      <c r="D11940" s="496"/>
    </row>
    <row r="11941" spans="1:4" x14ac:dyDescent="0.2">
      <c r="A11941" s="496"/>
      <c r="D11941" s="496"/>
    </row>
    <row r="11942" spans="1:4" x14ac:dyDescent="0.2">
      <c r="A11942" s="496"/>
      <c r="D11942" s="496"/>
    </row>
    <row r="11943" spans="1:4" x14ac:dyDescent="0.2">
      <c r="A11943" s="496"/>
      <c r="D11943" s="496"/>
    </row>
    <row r="11944" spans="1:4" x14ac:dyDescent="0.2">
      <c r="A11944" s="496"/>
      <c r="D11944" s="496"/>
    </row>
    <row r="11945" spans="1:4" x14ac:dyDescent="0.2">
      <c r="A11945" s="496"/>
      <c r="D11945" s="496"/>
    </row>
    <row r="11946" spans="1:4" x14ac:dyDescent="0.2">
      <c r="A11946" s="496"/>
      <c r="D11946" s="496"/>
    </row>
    <row r="11947" spans="1:4" x14ac:dyDescent="0.2">
      <c r="A11947" s="496"/>
      <c r="D11947" s="496"/>
    </row>
    <row r="11948" spans="1:4" x14ac:dyDescent="0.2">
      <c r="A11948" s="496"/>
      <c r="D11948" s="496"/>
    </row>
    <row r="11949" spans="1:4" x14ac:dyDescent="0.2">
      <c r="A11949" s="496"/>
      <c r="D11949" s="496"/>
    </row>
    <row r="11950" spans="1:4" x14ac:dyDescent="0.2">
      <c r="A11950" s="496"/>
      <c r="D11950" s="496"/>
    </row>
    <row r="11951" spans="1:4" x14ac:dyDescent="0.2">
      <c r="A11951" s="496"/>
      <c r="D11951" s="496"/>
    </row>
    <row r="11952" spans="1:4" x14ac:dyDescent="0.2">
      <c r="A11952" s="496"/>
      <c r="D11952" s="496"/>
    </row>
    <row r="11953" spans="1:4" x14ac:dyDescent="0.2">
      <c r="A11953" s="496"/>
      <c r="D11953" s="496"/>
    </row>
    <row r="11954" spans="1:4" x14ac:dyDescent="0.2">
      <c r="A11954" s="496"/>
      <c r="D11954" s="496"/>
    </row>
    <row r="11955" spans="1:4" x14ac:dyDescent="0.2">
      <c r="A11955" s="496"/>
      <c r="D11955" s="496"/>
    </row>
    <row r="11956" spans="1:4" x14ac:dyDescent="0.2">
      <c r="A11956" s="496"/>
      <c r="D11956" s="496"/>
    </row>
    <row r="11957" spans="1:4" x14ac:dyDescent="0.2">
      <c r="A11957" s="496"/>
      <c r="D11957" s="496"/>
    </row>
    <row r="11958" spans="1:4" x14ac:dyDescent="0.2">
      <c r="A11958" s="496"/>
      <c r="D11958" s="496"/>
    </row>
    <row r="11959" spans="1:4" x14ac:dyDescent="0.2">
      <c r="A11959" s="496"/>
      <c r="D11959" s="496"/>
    </row>
    <row r="11960" spans="1:4" x14ac:dyDescent="0.2">
      <c r="A11960" s="496"/>
      <c r="D11960" s="496"/>
    </row>
    <row r="11961" spans="1:4" x14ac:dyDescent="0.2">
      <c r="A11961" s="496"/>
      <c r="D11961" s="496"/>
    </row>
    <row r="11962" spans="1:4" x14ac:dyDescent="0.2">
      <c r="A11962" s="496"/>
      <c r="D11962" s="496"/>
    </row>
    <row r="11963" spans="1:4" x14ac:dyDescent="0.2">
      <c r="A11963" s="496"/>
      <c r="D11963" s="496"/>
    </row>
    <row r="11964" spans="1:4" x14ac:dyDescent="0.2">
      <c r="A11964" s="496"/>
      <c r="D11964" s="496"/>
    </row>
    <row r="11965" spans="1:4" x14ac:dyDescent="0.2">
      <c r="A11965" s="496"/>
      <c r="D11965" s="496"/>
    </row>
    <row r="11966" spans="1:4" x14ac:dyDescent="0.2">
      <c r="A11966" s="496"/>
      <c r="D11966" s="496"/>
    </row>
    <row r="11967" spans="1:4" x14ac:dyDescent="0.2">
      <c r="A11967" s="496"/>
      <c r="D11967" s="496"/>
    </row>
    <row r="11968" spans="1:4" x14ac:dyDescent="0.2">
      <c r="A11968" s="496"/>
      <c r="D11968" s="496"/>
    </row>
    <row r="11969" spans="1:4" x14ac:dyDescent="0.2">
      <c r="A11969" s="496"/>
      <c r="D11969" s="496"/>
    </row>
    <row r="11970" spans="1:4" x14ac:dyDescent="0.2">
      <c r="A11970" s="496"/>
      <c r="D11970" s="496"/>
    </row>
    <row r="11971" spans="1:4" x14ac:dyDescent="0.2">
      <c r="A11971" s="496"/>
      <c r="D11971" s="496"/>
    </row>
    <row r="11972" spans="1:4" x14ac:dyDescent="0.2">
      <c r="A11972" s="496"/>
      <c r="D11972" s="496"/>
    </row>
    <row r="11973" spans="1:4" x14ac:dyDescent="0.2">
      <c r="A11973" s="496"/>
      <c r="D11973" s="496"/>
    </row>
    <row r="11974" spans="1:4" x14ac:dyDescent="0.2">
      <c r="A11974" s="496"/>
      <c r="D11974" s="496"/>
    </row>
    <row r="11975" spans="1:4" x14ac:dyDescent="0.2">
      <c r="A11975" s="496"/>
      <c r="D11975" s="496"/>
    </row>
    <row r="11976" spans="1:4" x14ac:dyDescent="0.2">
      <c r="A11976" s="496"/>
      <c r="D11976" s="496"/>
    </row>
    <row r="11977" spans="1:4" x14ac:dyDescent="0.2">
      <c r="A11977" s="496"/>
      <c r="D11977" s="496"/>
    </row>
    <row r="11978" spans="1:4" x14ac:dyDescent="0.2">
      <c r="A11978" s="496"/>
      <c r="D11978" s="496"/>
    </row>
    <row r="11979" spans="1:4" x14ac:dyDescent="0.2">
      <c r="A11979" s="496"/>
      <c r="D11979" s="496"/>
    </row>
    <row r="11980" spans="1:4" x14ac:dyDescent="0.2">
      <c r="A11980" s="496"/>
      <c r="D11980" s="496"/>
    </row>
    <row r="11981" spans="1:4" x14ac:dyDescent="0.2">
      <c r="A11981" s="496"/>
      <c r="D11981" s="496"/>
    </row>
    <row r="11982" spans="1:4" x14ac:dyDescent="0.2">
      <c r="A11982" s="496"/>
      <c r="D11982" s="496"/>
    </row>
    <row r="11983" spans="1:4" x14ac:dyDescent="0.2">
      <c r="A11983" s="496"/>
      <c r="D11983" s="496"/>
    </row>
    <row r="11984" spans="1:4" x14ac:dyDescent="0.2">
      <c r="A11984" s="496"/>
      <c r="D11984" s="496"/>
    </row>
    <row r="11985" spans="1:4" x14ac:dyDescent="0.2">
      <c r="A11985" s="496"/>
      <c r="D11985" s="496"/>
    </row>
    <row r="11986" spans="1:4" x14ac:dyDescent="0.2">
      <c r="A11986" s="496"/>
      <c r="D11986" s="496"/>
    </row>
    <row r="11987" spans="1:4" x14ac:dyDescent="0.2">
      <c r="A11987" s="496"/>
      <c r="D11987" s="496"/>
    </row>
    <row r="11988" spans="1:4" x14ac:dyDescent="0.2">
      <c r="A11988" s="496"/>
      <c r="D11988" s="496"/>
    </row>
    <row r="11989" spans="1:4" x14ac:dyDescent="0.2">
      <c r="A11989" s="496"/>
      <c r="D11989" s="496"/>
    </row>
    <row r="11990" spans="1:4" x14ac:dyDescent="0.2">
      <c r="A11990" s="496"/>
      <c r="D11990" s="496"/>
    </row>
    <row r="11991" spans="1:4" x14ac:dyDescent="0.2">
      <c r="A11991" s="496"/>
      <c r="D11991" s="496"/>
    </row>
    <row r="11992" spans="1:4" x14ac:dyDescent="0.2">
      <c r="A11992" s="496"/>
      <c r="D11992" s="496"/>
    </row>
    <row r="11993" spans="1:4" x14ac:dyDescent="0.2">
      <c r="A11993" s="496"/>
      <c r="D11993" s="496"/>
    </row>
    <row r="11994" spans="1:4" x14ac:dyDescent="0.2">
      <c r="A11994" s="496"/>
      <c r="D11994" s="496"/>
    </row>
    <row r="11995" spans="1:4" x14ac:dyDescent="0.2">
      <c r="A11995" s="496"/>
      <c r="D11995" s="496"/>
    </row>
    <row r="11996" spans="1:4" x14ac:dyDescent="0.2">
      <c r="A11996" s="496"/>
      <c r="D11996" s="496"/>
    </row>
    <row r="11997" spans="1:4" x14ac:dyDescent="0.2">
      <c r="A11997" s="496"/>
      <c r="D11997" s="496"/>
    </row>
    <row r="11998" spans="1:4" x14ac:dyDescent="0.2">
      <c r="A11998" s="496"/>
      <c r="D11998" s="496"/>
    </row>
    <row r="11999" spans="1:4" x14ac:dyDescent="0.2">
      <c r="A11999" s="496"/>
      <c r="D11999" s="496"/>
    </row>
    <row r="12000" spans="1:4" x14ac:dyDescent="0.2">
      <c r="A12000" s="496"/>
      <c r="D12000" s="496"/>
    </row>
    <row r="12001" spans="1:4" x14ac:dyDescent="0.2">
      <c r="A12001" s="496"/>
      <c r="D12001" s="496"/>
    </row>
    <row r="12002" spans="1:4" x14ac:dyDescent="0.2">
      <c r="A12002" s="496"/>
      <c r="D12002" s="496"/>
    </row>
    <row r="12003" spans="1:4" x14ac:dyDescent="0.2">
      <c r="A12003" s="496"/>
      <c r="D12003" s="496"/>
    </row>
    <row r="12004" spans="1:4" x14ac:dyDescent="0.2">
      <c r="A12004" s="496"/>
      <c r="D12004" s="496"/>
    </row>
    <row r="12005" spans="1:4" x14ac:dyDescent="0.2">
      <c r="A12005" s="496"/>
      <c r="D12005" s="496"/>
    </row>
    <row r="12006" spans="1:4" x14ac:dyDescent="0.2">
      <c r="A12006" s="496"/>
      <c r="D12006" s="496"/>
    </row>
    <row r="12007" spans="1:4" x14ac:dyDescent="0.2">
      <c r="A12007" s="496"/>
      <c r="D12007" s="496"/>
    </row>
    <row r="12008" spans="1:4" x14ac:dyDescent="0.2">
      <c r="A12008" s="496"/>
      <c r="D12008" s="496"/>
    </row>
    <row r="12009" spans="1:4" x14ac:dyDescent="0.2">
      <c r="A12009" s="496"/>
      <c r="D12009" s="496"/>
    </row>
    <row r="12010" spans="1:4" x14ac:dyDescent="0.2">
      <c r="A12010" s="496"/>
      <c r="D12010" s="496"/>
    </row>
    <row r="12011" spans="1:4" x14ac:dyDescent="0.2">
      <c r="A12011" s="496"/>
      <c r="D12011" s="496"/>
    </row>
    <row r="12012" spans="1:4" x14ac:dyDescent="0.2">
      <c r="A12012" s="496"/>
      <c r="D12012" s="496"/>
    </row>
    <row r="12013" spans="1:4" x14ac:dyDescent="0.2">
      <c r="A12013" s="496"/>
      <c r="D12013" s="496"/>
    </row>
    <row r="12014" spans="1:4" x14ac:dyDescent="0.2">
      <c r="A12014" s="496"/>
      <c r="D12014" s="496"/>
    </row>
    <row r="12015" spans="1:4" x14ac:dyDescent="0.2">
      <c r="A12015" s="496"/>
      <c r="D12015" s="496"/>
    </row>
    <row r="12016" spans="1:4" x14ac:dyDescent="0.2">
      <c r="A12016" s="496"/>
      <c r="D12016" s="496"/>
    </row>
    <row r="12017" spans="1:4" x14ac:dyDescent="0.2">
      <c r="A12017" s="496"/>
      <c r="D12017" s="496"/>
    </row>
    <row r="12018" spans="1:4" x14ac:dyDescent="0.2">
      <c r="A12018" s="496"/>
      <c r="D12018" s="496"/>
    </row>
    <row r="12019" spans="1:4" x14ac:dyDescent="0.2">
      <c r="A12019" s="496"/>
      <c r="D12019" s="496"/>
    </row>
    <row r="12020" spans="1:4" x14ac:dyDescent="0.2">
      <c r="A12020" s="496"/>
      <c r="D12020" s="496"/>
    </row>
    <row r="12021" spans="1:4" x14ac:dyDescent="0.2">
      <c r="A12021" s="496"/>
      <c r="D12021" s="496"/>
    </row>
    <row r="12022" spans="1:4" x14ac:dyDescent="0.2">
      <c r="A12022" s="496"/>
      <c r="D12022" s="496"/>
    </row>
    <row r="12023" spans="1:4" x14ac:dyDescent="0.2">
      <c r="A12023" s="496"/>
      <c r="D12023" s="496"/>
    </row>
    <row r="12024" spans="1:4" x14ac:dyDescent="0.2">
      <c r="A12024" s="496"/>
      <c r="D12024" s="496"/>
    </row>
    <row r="12025" spans="1:4" x14ac:dyDescent="0.2">
      <c r="A12025" s="496"/>
      <c r="D12025" s="496"/>
    </row>
    <row r="12026" spans="1:4" x14ac:dyDescent="0.2">
      <c r="A12026" s="496"/>
      <c r="D12026" s="496"/>
    </row>
    <row r="12027" spans="1:4" x14ac:dyDescent="0.2">
      <c r="A12027" s="496"/>
      <c r="D12027" s="496"/>
    </row>
    <row r="12028" spans="1:4" x14ac:dyDescent="0.2">
      <c r="A12028" s="496"/>
      <c r="D12028" s="496"/>
    </row>
    <row r="12029" spans="1:4" x14ac:dyDescent="0.2">
      <c r="A12029" s="496"/>
      <c r="D12029" s="496"/>
    </row>
    <row r="12030" spans="1:4" x14ac:dyDescent="0.2">
      <c r="A12030" s="496"/>
      <c r="D12030" s="496"/>
    </row>
    <row r="12031" spans="1:4" x14ac:dyDescent="0.2">
      <c r="A12031" s="496"/>
      <c r="D12031" s="496"/>
    </row>
    <row r="12032" spans="1:4" x14ac:dyDescent="0.2">
      <c r="A12032" s="496"/>
      <c r="D12032" s="496"/>
    </row>
    <row r="12033" spans="1:4" x14ac:dyDescent="0.2">
      <c r="A12033" s="496"/>
      <c r="D12033" s="496"/>
    </row>
    <row r="12034" spans="1:4" x14ac:dyDescent="0.2">
      <c r="A12034" s="496"/>
      <c r="D12034" s="496"/>
    </row>
    <row r="12035" spans="1:4" x14ac:dyDescent="0.2">
      <c r="A12035" s="496"/>
      <c r="D12035" s="496"/>
    </row>
    <row r="12036" spans="1:4" x14ac:dyDescent="0.2">
      <c r="A12036" s="496"/>
      <c r="D12036" s="496"/>
    </row>
    <row r="12037" spans="1:4" x14ac:dyDescent="0.2">
      <c r="A12037" s="496"/>
      <c r="D12037" s="496"/>
    </row>
    <row r="12038" spans="1:4" x14ac:dyDescent="0.2">
      <c r="A12038" s="496"/>
      <c r="D12038" s="496"/>
    </row>
    <row r="12039" spans="1:4" x14ac:dyDescent="0.2">
      <c r="A12039" s="496"/>
      <c r="D12039" s="496"/>
    </row>
    <row r="12040" spans="1:4" x14ac:dyDescent="0.2">
      <c r="A12040" s="496"/>
      <c r="D12040" s="496"/>
    </row>
    <row r="12041" spans="1:4" x14ac:dyDescent="0.2">
      <c r="A12041" s="496"/>
      <c r="D12041" s="496"/>
    </row>
    <row r="12042" spans="1:4" x14ac:dyDescent="0.2">
      <c r="A12042" s="496"/>
      <c r="D12042" s="496"/>
    </row>
    <row r="12043" spans="1:4" x14ac:dyDescent="0.2">
      <c r="A12043" s="496"/>
      <c r="D12043" s="496"/>
    </row>
    <row r="12044" spans="1:4" x14ac:dyDescent="0.2">
      <c r="A12044" s="496"/>
      <c r="D12044" s="496"/>
    </row>
    <row r="12045" spans="1:4" x14ac:dyDescent="0.2">
      <c r="A12045" s="496"/>
      <c r="D12045" s="496"/>
    </row>
    <row r="12046" spans="1:4" x14ac:dyDescent="0.2">
      <c r="A12046" s="496"/>
      <c r="D12046" s="496"/>
    </row>
    <row r="12047" spans="1:4" x14ac:dyDescent="0.2">
      <c r="A12047" s="496"/>
      <c r="D12047" s="496"/>
    </row>
    <row r="12048" spans="1:4" x14ac:dyDescent="0.2">
      <c r="A12048" s="496"/>
      <c r="D12048" s="496"/>
    </row>
    <row r="12049" spans="1:4" x14ac:dyDescent="0.2">
      <c r="A12049" s="496"/>
      <c r="D12049" s="496"/>
    </row>
    <row r="12050" spans="1:4" x14ac:dyDescent="0.2">
      <c r="A12050" s="496"/>
      <c r="D12050" s="496"/>
    </row>
    <row r="12051" spans="1:4" x14ac:dyDescent="0.2">
      <c r="A12051" s="496"/>
      <c r="D12051" s="496"/>
    </row>
    <row r="12052" spans="1:4" x14ac:dyDescent="0.2">
      <c r="A12052" s="496"/>
      <c r="D12052" s="496"/>
    </row>
    <row r="12053" spans="1:4" x14ac:dyDescent="0.2">
      <c r="A12053" s="496"/>
      <c r="D12053" s="496"/>
    </row>
    <row r="12054" spans="1:4" x14ac:dyDescent="0.2">
      <c r="A12054" s="496"/>
      <c r="D12054" s="496"/>
    </row>
    <row r="12055" spans="1:4" x14ac:dyDescent="0.2">
      <c r="A12055" s="496"/>
      <c r="D12055" s="496"/>
    </row>
    <row r="12056" spans="1:4" x14ac:dyDescent="0.2">
      <c r="A12056" s="496"/>
      <c r="D12056" s="496"/>
    </row>
    <row r="12057" spans="1:4" x14ac:dyDescent="0.2">
      <c r="A12057" s="496"/>
      <c r="D12057" s="496"/>
    </row>
    <row r="12058" spans="1:4" x14ac:dyDescent="0.2">
      <c r="A12058" s="496"/>
      <c r="D12058" s="496"/>
    </row>
    <row r="12059" spans="1:4" x14ac:dyDescent="0.2">
      <c r="A12059" s="496"/>
      <c r="D12059" s="496"/>
    </row>
    <row r="12060" spans="1:4" x14ac:dyDescent="0.2">
      <c r="A12060" s="496"/>
      <c r="D12060" s="496"/>
    </row>
    <row r="12061" spans="1:4" x14ac:dyDescent="0.2">
      <c r="A12061" s="496"/>
      <c r="D12061" s="496"/>
    </row>
    <row r="12062" spans="1:4" x14ac:dyDescent="0.2">
      <c r="A12062" s="496"/>
      <c r="D12062" s="496"/>
    </row>
    <row r="12063" spans="1:4" x14ac:dyDescent="0.2">
      <c r="A12063" s="496"/>
      <c r="D12063" s="496"/>
    </row>
    <row r="12064" spans="1:4" x14ac:dyDescent="0.2">
      <c r="A12064" s="496"/>
      <c r="D12064" s="496"/>
    </row>
    <row r="12065" spans="1:4" x14ac:dyDescent="0.2">
      <c r="A12065" s="496"/>
      <c r="D12065" s="496"/>
    </row>
    <row r="12066" spans="1:4" x14ac:dyDescent="0.2">
      <c r="A12066" s="496"/>
      <c r="D12066" s="496"/>
    </row>
    <row r="12067" spans="1:4" x14ac:dyDescent="0.2">
      <c r="A12067" s="496"/>
      <c r="D12067" s="496"/>
    </row>
    <row r="12068" spans="1:4" x14ac:dyDescent="0.2">
      <c r="A12068" s="496"/>
      <c r="D12068" s="496"/>
    </row>
    <row r="12069" spans="1:4" x14ac:dyDescent="0.2">
      <c r="A12069" s="496"/>
      <c r="D12069" s="496"/>
    </row>
    <row r="12070" spans="1:4" x14ac:dyDescent="0.2">
      <c r="A12070" s="496"/>
      <c r="D12070" s="496"/>
    </row>
    <row r="12071" spans="1:4" x14ac:dyDescent="0.2">
      <c r="A12071" s="496"/>
      <c r="D12071" s="496"/>
    </row>
    <row r="12072" spans="1:4" x14ac:dyDescent="0.2">
      <c r="A12072" s="496"/>
      <c r="D12072" s="496"/>
    </row>
    <row r="12073" spans="1:4" x14ac:dyDescent="0.2">
      <c r="A12073" s="496"/>
      <c r="D12073" s="496"/>
    </row>
    <row r="12074" spans="1:4" x14ac:dyDescent="0.2">
      <c r="A12074" s="496"/>
      <c r="D12074" s="496"/>
    </row>
    <row r="12075" spans="1:4" x14ac:dyDescent="0.2">
      <c r="A12075" s="496"/>
      <c r="D12075" s="496"/>
    </row>
    <row r="12076" spans="1:4" x14ac:dyDescent="0.2">
      <c r="A12076" s="496"/>
      <c r="D12076" s="496"/>
    </row>
    <row r="12077" spans="1:4" x14ac:dyDescent="0.2">
      <c r="A12077" s="496"/>
      <c r="D12077" s="496"/>
    </row>
    <row r="12078" spans="1:4" x14ac:dyDescent="0.2">
      <c r="A12078" s="496"/>
      <c r="D12078" s="496"/>
    </row>
    <row r="12079" spans="1:4" x14ac:dyDescent="0.2">
      <c r="A12079" s="496"/>
      <c r="D12079" s="496"/>
    </row>
    <row r="12080" spans="1:4" x14ac:dyDescent="0.2">
      <c r="A12080" s="496"/>
      <c r="D12080" s="496"/>
    </row>
    <row r="12081" spans="1:4" x14ac:dyDescent="0.2">
      <c r="A12081" s="496"/>
      <c r="D12081" s="496"/>
    </row>
    <row r="12082" spans="1:4" x14ac:dyDescent="0.2">
      <c r="A12082" s="496"/>
      <c r="D12082" s="496"/>
    </row>
    <row r="12083" spans="1:4" x14ac:dyDescent="0.2">
      <c r="A12083" s="496"/>
      <c r="D12083" s="496"/>
    </row>
    <row r="12084" spans="1:4" x14ac:dyDescent="0.2">
      <c r="A12084" s="496"/>
      <c r="D12084" s="496"/>
    </row>
    <row r="12085" spans="1:4" x14ac:dyDescent="0.2">
      <c r="A12085" s="496"/>
      <c r="D12085" s="496"/>
    </row>
    <row r="12086" spans="1:4" x14ac:dyDescent="0.2">
      <c r="A12086" s="496"/>
      <c r="D12086" s="496"/>
    </row>
    <row r="12087" spans="1:4" x14ac:dyDescent="0.2">
      <c r="A12087" s="496"/>
      <c r="D12087" s="496"/>
    </row>
    <row r="12088" spans="1:4" x14ac:dyDescent="0.2">
      <c r="A12088" s="496"/>
      <c r="D12088" s="496"/>
    </row>
    <row r="12089" spans="1:4" x14ac:dyDescent="0.2">
      <c r="A12089" s="496"/>
      <c r="D12089" s="496"/>
    </row>
    <row r="12090" spans="1:4" x14ac:dyDescent="0.2">
      <c r="A12090" s="496"/>
      <c r="D12090" s="496"/>
    </row>
    <row r="12091" spans="1:4" x14ac:dyDescent="0.2">
      <c r="A12091" s="496"/>
      <c r="D12091" s="496"/>
    </row>
    <row r="12092" spans="1:4" x14ac:dyDescent="0.2">
      <c r="A12092" s="496"/>
      <c r="D12092" s="496"/>
    </row>
    <row r="12093" spans="1:4" x14ac:dyDescent="0.2">
      <c r="A12093" s="496"/>
      <c r="D12093" s="496"/>
    </row>
    <row r="12094" spans="1:4" x14ac:dyDescent="0.2">
      <c r="A12094" s="496"/>
      <c r="D12094" s="496"/>
    </row>
    <row r="12095" spans="1:4" x14ac:dyDescent="0.2">
      <c r="A12095" s="496"/>
      <c r="D12095" s="496"/>
    </row>
    <row r="12096" spans="1:4" x14ac:dyDescent="0.2">
      <c r="A12096" s="496"/>
      <c r="D12096" s="496"/>
    </row>
    <row r="12097" spans="1:4" x14ac:dyDescent="0.2">
      <c r="A12097" s="496"/>
      <c r="D12097" s="496"/>
    </row>
    <row r="12098" spans="1:4" x14ac:dyDescent="0.2">
      <c r="A12098" s="496"/>
      <c r="D12098" s="496"/>
    </row>
    <row r="12099" spans="1:4" x14ac:dyDescent="0.2">
      <c r="A12099" s="496"/>
      <c r="D12099" s="496"/>
    </row>
    <row r="12100" spans="1:4" x14ac:dyDescent="0.2">
      <c r="A12100" s="496"/>
      <c r="D12100" s="496"/>
    </row>
    <row r="12101" spans="1:4" x14ac:dyDescent="0.2">
      <c r="A12101" s="496"/>
      <c r="D12101" s="496"/>
    </row>
    <row r="12102" spans="1:4" x14ac:dyDescent="0.2">
      <c r="A12102" s="496"/>
      <c r="D12102" s="496"/>
    </row>
    <row r="12103" spans="1:4" x14ac:dyDescent="0.2">
      <c r="A12103" s="496"/>
      <c r="D12103" s="496"/>
    </row>
    <row r="12104" spans="1:4" x14ac:dyDescent="0.2">
      <c r="A12104" s="496"/>
      <c r="D12104" s="496"/>
    </row>
    <row r="12105" spans="1:4" x14ac:dyDescent="0.2">
      <c r="A12105" s="496"/>
      <c r="D12105" s="496"/>
    </row>
    <row r="12106" spans="1:4" x14ac:dyDescent="0.2">
      <c r="A12106" s="496"/>
      <c r="D12106" s="496"/>
    </row>
    <row r="12107" spans="1:4" x14ac:dyDescent="0.2">
      <c r="A12107" s="496"/>
      <c r="D12107" s="496"/>
    </row>
    <row r="12108" spans="1:4" x14ac:dyDescent="0.2">
      <c r="A12108" s="496"/>
      <c r="D12108" s="496"/>
    </row>
    <row r="12109" spans="1:4" x14ac:dyDescent="0.2">
      <c r="A12109" s="496"/>
      <c r="D12109" s="496"/>
    </row>
    <row r="12110" spans="1:4" x14ac:dyDescent="0.2">
      <c r="A12110" s="496"/>
      <c r="D12110" s="496"/>
    </row>
    <row r="12111" spans="1:4" x14ac:dyDescent="0.2">
      <c r="A12111" s="496"/>
      <c r="D12111" s="496"/>
    </row>
    <row r="12112" spans="1:4" x14ac:dyDescent="0.2">
      <c r="A12112" s="496"/>
      <c r="D12112" s="496"/>
    </row>
    <row r="12113" spans="1:4" x14ac:dyDescent="0.2">
      <c r="A12113" s="496"/>
      <c r="D12113" s="496"/>
    </row>
    <row r="12114" spans="1:4" x14ac:dyDescent="0.2">
      <c r="A12114" s="496"/>
      <c r="D12114" s="496"/>
    </row>
    <row r="12115" spans="1:4" x14ac:dyDescent="0.2">
      <c r="A12115" s="496"/>
      <c r="D12115" s="496"/>
    </row>
    <row r="12116" spans="1:4" x14ac:dyDescent="0.2">
      <c r="A12116" s="496"/>
      <c r="D12116" s="496"/>
    </row>
    <row r="12117" spans="1:4" x14ac:dyDescent="0.2">
      <c r="A12117" s="496"/>
      <c r="D12117" s="496"/>
    </row>
    <row r="12118" spans="1:4" x14ac:dyDescent="0.2">
      <c r="A12118" s="496"/>
      <c r="D12118" s="496"/>
    </row>
    <row r="12119" spans="1:4" x14ac:dyDescent="0.2">
      <c r="A12119" s="496"/>
      <c r="D12119" s="496"/>
    </row>
    <row r="12120" spans="1:4" x14ac:dyDescent="0.2">
      <c r="A12120" s="496"/>
      <c r="D12120" s="496"/>
    </row>
    <row r="12121" spans="1:4" x14ac:dyDescent="0.2">
      <c r="A12121" s="496"/>
      <c r="D12121" s="496"/>
    </row>
    <row r="12122" spans="1:4" x14ac:dyDescent="0.2">
      <c r="A12122" s="496"/>
      <c r="D12122" s="496"/>
    </row>
    <row r="12123" spans="1:4" x14ac:dyDescent="0.2">
      <c r="A12123" s="496"/>
      <c r="D12123" s="496"/>
    </row>
    <row r="12124" spans="1:4" x14ac:dyDescent="0.2">
      <c r="A12124" s="496"/>
      <c r="D12124" s="496"/>
    </row>
    <row r="12125" spans="1:4" x14ac:dyDescent="0.2">
      <c r="A12125" s="496"/>
      <c r="D12125" s="496"/>
    </row>
    <row r="12126" spans="1:4" x14ac:dyDescent="0.2">
      <c r="A12126" s="496"/>
      <c r="D12126" s="496"/>
    </row>
    <row r="12127" spans="1:4" x14ac:dyDescent="0.2">
      <c r="A12127" s="496"/>
      <c r="D12127" s="496"/>
    </row>
    <row r="12128" spans="1:4" x14ac:dyDescent="0.2">
      <c r="A12128" s="496"/>
      <c r="D12128" s="496"/>
    </row>
    <row r="12129" spans="1:4" x14ac:dyDescent="0.2">
      <c r="A12129" s="496"/>
      <c r="D12129" s="496"/>
    </row>
    <row r="12130" spans="1:4" x14ac:dyDescent="0.2">
      <c r="A12130" s="496"/>
      <c r="D12130" s="496"/>
    </row>
    <row r="12131" spans="1:4" x14ac:dyDescent="0.2">
      <c r="A12131" s="496"/>
      <c r="D12131" s="496"/>
    </row>
    <row r="12132" spans="1:4" x14ac:dyDescent="0.2">
      <c r="A12132" s="496"/>
      <c r="D12132" s="496"/>
    </row>
    <row r="12133" spans="1:4" x14ac:dyDescent="0.2">
      <c r="A12133" s="496"/>
      <c r="D12133" s="496"/>
    </row>
    <row r="12134" spans="1:4" x14ac:dyDescent="0.2">
      <c r="A12134" s="496"/>
      <c r="D12134" s="496"/>
    </row>
    <row r="12135" spans="1:4" x14ac:dyDescent="0.2">
      <c r="A12135" s="496"/>
      <c r="D12135" s="496"/>
    </row>
    <row r="12136" spans="1:4" x14ac:dyDescent="0.2">
      <c r="A12136" s="496"/>
      <c r="D12136" s="496"/>
    </row>
    <row r="12137" spans="1:4" x14ac:dyDescent="0.2">
      <c r="A12137" s="496"/>
      <c r="D12137" s="496"/>
    </row>
    <row r="12138" spans="1:4" x14ac:dyDescent="0.2">
      <c r="A12138" s="496"/>
      <c r="D12138" s="496"/>
    </row>
    <row r="12139" spans="1:4" x14ac:dyDescent="0.2">
      <c r="A12139" s="496"/>
      <c r="D12139" s="496"/>
    </row>
    <row r="12140" spans="1:4" x14ac:dyDescent="0.2">
      <c r="A12140" s="496"/>
      <c r="D12140" s="496"/>
    </row>
    <row r="12141" spans="1:4" x14ac:dyDescent="0.2">
      <c r="A12141" s="496"/>
      <c r="D12141" s="496"/>
    </row>
    <row r="12142" spans="1:4" x14ac:dyDescent="0.2">
      <c r="A12142" s="496"/>
      <c r="D12142" s="496"/>
    </row>
    <row r="12143" spans="1:4" x14ac:dyDescent="0.2">
      <c r="A12143" s="496"/>
      <c r="D12143" s="496"/>
    </row>
    <row r="12144" spans="1:4" x14ac:dyDescent="0.2">
      <c r="A12144" s="496"/>
      <c r="D12144" s="496"/>
    </row>
    <row r="12145" spans="1:4" x14ac:dyDescent="0.2">
      <c r="A12145" s="496"/>
      <c r="D12145" s="496"/>
    </row>
    <row r="12146" spans="1:4" x14ac:dyDescent="0.2">
      <c r="A12146" s="496"/>
      <c r="D12146" s="496"/>
    </row>
    <row r="12147" spans="1:4" x14ac:dyDescent="0.2">
      <c r="A12147" s="496"/>
      <c r="D12147" s="496"/>
    </row>
    <row r="12148" spans="1:4" x14ac:dyDescent="0.2">
      <c r="A12148" s="496"/>
      <c r="D12148" s="496"/>
    </row>
    <row r="12149" spans="1:4" x14ac:dyDescent="0.2">
      <c r="A12149" s="496"/>
      <c r="D12149" s="496"/>
    </row>
    <row r="12150" spans="1:4" x14ac:dyDescent="0.2">
      <c r="A12150" s="496"/>
      <c r="D12150" s="496"/>
    </row>
    <row r="12151" spans="1:4" x14ac:dyDescent="0.2">
      <c r="A12151" s="496"/>
      <c r="D12151" s="496"/>
    </row>
    <row r="12152" spans="1:4" x14ac:dyDescent="0.2">
      <c r="A12152" s="496"/>
      <c r="D12152" s="496"/>
    </row>
    <row r="12153" spans="1:4" x14ac:dyDescent="0.2">
      <c r="A12153" s="496"/>
      <c r="D12153" s="496"/>
    </row>
    <row r="12154" spans="1:4" x14ac:dyDescent="0.2">
      <c r="A12154" s="496"/>
      <c r="D12154" s="496"/>
    </row>
    <row r="12155" spans="1:4" x14ac:dyDescent="0.2">
      <c r="A12155" s="496"/>
      <c r="D12155" s="496"/>
    </row>
    <row r="12156" spans="1:4" x14ac:dyDescent="0.2">
      <c r="A12156" s="496"/>
      <c r="D12156" s="496"/>
    </row>
    <row r="12157" spans="1:4" x14ac:dyDescent="0.2">
      <c r="A12157" s="496"/>
      <c r="D12157" s="496"/>
    </row>
    <row r="12158" spans="1:4" x14ac:dyDescent="0.2">
      <c r="A12158" s="496"/>
      <c r="D12158" s="496"/>
    </row>
    <row r="12159" spans="1:4" x14ac:dyDescent="0.2">
      <c r="A12159" s="496"/>
      <c r="D12159" s="496"/>
    </row>
    <row r="12160" spans="1:4" x14ac:dyDescent="0.2">
      <c r="A12160" s="496"/>
      <c r="D12160" s="496"/>
    </row>
    <row r="12161" spans="1:4" x14ac:dyDescent="0.2">
      <c r="A12161" s="496"/>
      <c r="D12161" s="496"/>
    </row>
    <row r="12162" spans="1:4" x14ac:dyDescent="0.2">
      <c r="A12162" s="496"/>
      <c r="D12162" s="496"/>
    </row>
    <row r="12163" spans="1:4" x14ac:dyDescent="0.2">
      <c r="A12163" s="496"/>
      <c r="D12163" s="496"/>
    </row>
    <row r="12164" spans="1:4" x14ac:dyDescent="0.2">
      <c r="A12164" s="496"/>
      <c r="D12164" s="496"/>
    </row>
    <row r="12165" spans="1:4" x14ac:dyDescent="0.2">
      <c r="A12165" s="496"/>
      <c r="D12165" s="496"/>
    </row>
    <row r="12166" spans="1:4" x14ac:dyDescent="0.2">
      <c r="A12166" s="496"/>
      <c r="D12166" s="496"/>
    </row>
    <row r="12167" spans="1:4" x14ac:dyDescent="0.2">
      <c r="A12167" s="496"/>
      <c r="D12167" s="496"/>
    </row>
    <row r="12168" spans="1:4" x14ac:dyDescent="0.2">
      <c r="A12168" s="496"/>
      <c r="D12168" s="496"/>
    </row>
    <row r="12169" spans="1:4" x14ac:dyDescent="0.2">
      <c r="A12169" s="496"/>
      <c r="D12169" s="496"/>
    </row>
    <row r="12170" spans="1:4" x14ac:dyDescent="0.2">
      <c r="A12170" s="496"/>
      <c r="D12170" s="496"/>
    </row>
    <row r="12171" spans="1:4" x14ac:dyDescent="0.2">
      <c r="A12171" s="496"/>
      <c r="D12171" s="496"/>
    </row>
    <row r="12172" spans="1:4" x14ac:dyDescent="0.2">
      <c r="A12172" s="496"/>
      <c r="D12172" s="496"/>
    </row>
    <row r="12173" spans="1:4" x14ac:dyDescent="0.2">
      <c r="A12173" s="496"/>
      <c r="D12173" s="496"/>
    </row>
    <row r="12174" spans="1:4" x14ac:dyDescent="0.2">
      <c r="A12174" s="496"/>
      <c r="D12174" s="496"/>
    </row>
    <row r="12175" spans="1:4" x14ac:dyDescent="0.2">
      <c r="A12175" s="496"/>
      <c r="D12175" s="496"/>
    </row>
    <row r="12176" spans="1:4" x14ac:dyDescent="0.2">
      <c r="A12176" s="496"/>
      <c r="D12176" s="496"/>
    </row>
    <row r="12177" spans="1:4" x14ac:dyDescent="0.2">
      <c r="A12177" s="496"/>
      <c r="D12177" s="496"/>
    </row>
    <row r="12178" spans="1:4" x14ac:dyDescent="0.2">
      <c r="A12178" s="496"/>
      <c r="D12178" s="496"/>
    </row>
    <row r="12179" spans="1:4" x14ac:dyDescent="0.2">
      <c r="A12179" s="496"/>
      <c r="D12179" s="496"/>
    </row>
    <row r="12180" spans="1:4" x14ac:dyDescent="0.2">
      <c r="A12180" s="496"/>
      <c r="D12180" s="496"/>
    </row>
    <row r="12181" spans="1:4" x14ac:dyDescent="0.2">
      <c r="A12181" s="496"/>
      <c r="D12181" s="496"/>
    </row>
    <row r="12182" spans="1:4" x14ac:dyDescent="0.2">
      <c r="A12182" s="496"/>
      <c r="D12182" s="496"/>
    </row>
    <row r="12183" spans="1:4" x14ac:dyDescent="0.2">
      <c r="A12183" s="496"/>
      <c r="D12183" s="496"/>
    </row>
    <row r="12184" spans="1:4" x14ac:dyDescent="0.2">
      <c r="A12184" s="496"/>
      <c r="D12184" s="496"/>
    </row>
    <row r="12185" spans="1:4" x14ac:dyDescent="0.2">
      <c r="A12185" s="496"/>
      <c r="D12185" s="496"/>
    </row>
    <row r="12186" spans="1:4" x14ac:dyDescent="0.2">
      <c r="A12186" s="496"/>
      <c r="D12186" s="496"/>
    </row>
    <row r="12187" spans="1:4" x14ac:dyDescent="0.2">
      <c r="A12187" s="496"/>
      <c r="D12187" s="496"/>
    </row>
    <row r="12188" spans="1:4" x14ac:dyDescent="0.2">
      <c r="A12188" s="496"/>
      <c r="D12188" s="496"/>
    </row>
    <row r="12189" spans="1:4" x14ac:dyDescent="0.2">
      <c r="A12189" s="496"/>
      <c r="D12189" s="496"/>
    </row>
    <row r="12190" spans="1:4" x14ac:dyDescent="0.2">
      <c r="A12190" s="496"/>
      <c r="D12190" s="496"/>
    </row>
    <row r="12191" spans="1:4" x14ac:dyDescent="0.2">
      <c r="A12191" s="496"/>
      <c r="D12191" s="496"/>
    </row>
    <row r="12192" spans="1:4" x14ac:dyDescent="0.2">
      <c r="A12192" s="496"/>
      <c r="D12192" s="496"/>
    </row>
    <row r="12193" spans="1:4" x14ac:dyDescent="0.2">
      <c r="A12193" s="496"/>
      <c r="D12193" s="496"/>
    </row>
    <row r="12194" spans="1:4" x14ac:dyDescent="0.2">
      <c r="A12194" s="496"/>
      <c r="D12194" s="496"/>
    </row>
    <row r="12195" spans="1:4" x14ac:dyDescent="0.2">
      <c r="A12195" s="496"/>
      <c r="D12195" s="496"/>
    </row>
    <row r="12196" spans="1:4" x14ac:dyDescent="0.2">
      <c r="A12196" s="496"/>
      <c r="D12196" s="496"/>
    </row>
    <row r="12197" spans="1:4" x14ac:dyDescent="0.2">
      <c r="A12197" s="496"/>
      <c r="D12197" s="496"/>
    </row>
    <row r="12198" spans="1:4" x14ac:dyDescent="0.2">
      <c r="A12198" s="496"/>
      <c r="D12198" s="496"/>
    </row>
    <row r="12199" spans="1:4" x14ac:dyDescent="0.2">
      <c r="A12199" s="496"/>
      <c r="D12199" s="496"/>
    </row>
    <row r="12200" spans="1:4" x14ac:dyDescent="0.2">
      <c r="A12200" s="496"/>
      <c r="D12200" s="496"/>
    </row>
    <row r="12201" spans="1:4" x14ac:dyDescent="0.2">
      <c r="A12201" s="496"/>
      <c r="D12201" s="496"/>
    </row>
    <row r="12202" spans="1:4" x14ac:dyDescent="0.2">
      <c r="A12202" s="496"/>
      <c r="D12202" s="496"/>
    </row>
    <row r="12203" spans="1:4" x14ac:dyDescent="0.2">
      <c r="A12203" s="496"/>
      <c r="D12203" s="496"/>
    </row>
    <row r="12204" spans="1:4" x14ac:dyDescent="0.2">
      <c r="A12204" s="496"/>
      <c r="D12204" s="496"/>
    </row>
    <row r="12205" spans="1:4" x14ac:dyDescent="0.2">
      <c r="A12205" s="496"/>
      <c r="D12205" s="496"/>
    </row>
    <row r="12206" spans="1:4" x14ac:dyDescent="0.2">
      <c r="A12206" s="496"/>
      <c r="D12206" s="496"/>
    </row>
    <row r="12207" spans="1:4" x14ac:dyDescent="0.2">
      <c r="A12207" s="496"/>
      <c r="D12207" s="496"/>
    </row>
    <row r="12208" spans="1:4" x14ac:dyDescent="0.2">
      <c r="A12208" s="496"/>
      <c r="D12208" s="496"/>
    </row>
    <row r="12209" spans="1:4" x14ac:dyDescent="0.2">
      <c r="A12209" s="496"/>
      <c r="D12209" s="496"/>
    </row>
    <row r="12210" spans="1:4" x14ac:dyDescent="0.2">
      <c r="A12210" s="496"/>
      <c r="D12210" s="496"/>
    </row>
    <row r="12211" spans="1:4" x14ac:dyDescent="0.2">
      <c r="A12211" s="496"/>
      <c r="D12211" s="496"/>
    </row>
    <row r="12212" spans="1:4" x14ac:dyDescent="0.2">
      <c r="A12212" s="496"/>
      <c r="D12212" s="496"/>
    </row>
    <row r="12213" spans="1:4" x14ac:dyDescent="0.2">
      <c r="A12213" s="496"/>
      <c r="D12213" s="496"/>
    </row>
    <row r="12214" spans="1:4" x14ac:dyDescent="0.2">
      <c r="A12214" s="496"/>
      <c r="D12214" s="496"/>
    </row>
    <row r="12215" spans="1:4" x14ac:dyDescent="0.2">
      <c r="A12215" s="496"/>
      <c r="D12215" s="496"/>
    </row>
    <row r="12216" spans="1:4" x14ac:dyDescent="0.2">
      <c r="A12216" s="496"/>
      <c r="D12216" s="496"/>
    </row>
    <row r="12217" spans="1:4" x14ac:dyDescent="0.2">
      <c r="A12217" s="496"/>
      <c r="D12217" s="496"/>
    </row>
    <row r="12218" spans="1:4" x14ac:dyDescent="0.2">
      <c r="A12218" s="496"/>
      <c r="D12218" s="496"/>
    </row>
    <row r="12219" spans="1:4" x14ac:dyDescent="0.2">
      <c r="A12219" s="496"/>
      <c r="D12219" s="496"/>
    </row>
    <row r="12220" spans="1:4" x14ac:dyDescent="0.2">
      <c r="A12220" s="496"/>
      <c r="D12220" s="496"/>
    </row>
    <row r="12221" spans="1:4" x14ac:dyDescent="0.2">
      <c r="A12221" s="496"/>
      <c r="D12221" s="496"/>
    </row>
    <row r="12222" spans="1:4" x14ac:dyDescent="0.2">
      <c r="A12222" s="496"/>
      <c r="D12222" s="496"/>
    </row>
    <row r="12223" spans="1:4" x14ac:dyDescent="0.2">
      <c r="A12223" s="496"/>
      <c r="D12223" s="496"/>
    </row>
    <row r="12224" spans="1:4" x14ac:dyDescent="0.2">
      <c r="A12224" s="496"/>
      <c r="D12224" s="496"/>
    </row>
    <row r="12225" spans="1:4" x14ac:dyDescent="0.2">
      <c r="A12225" s="496"/>
      <c r="D12225" s="496"/>
    </row>
    <row r="12226" spans="1:4" x14ac:dyDescent="0.2">
      <c r="A12226" s="496"/>
      <c r="D12226" s="496"/>
    </row>
    <row r="12227" spans="1:4" x14ac:dyDescent="0.2">
      <c r="A12227" s="496"/>
      <c r="D12227" s="496"/>
    </row>
    <row r="12228" spans="1:4" x14ac:dyDescent="0.2">
      <c r="A12228" s="496"/>
      <c r="D12228" s="496"/>
    </row>
    <row r="12229" spans="1:4" x14ac:dyDescent="0.2">
      <c r="A12229" s="496"/>
      <c r="D12229" s="496"/>
    </row>
    <row r="12230" spans="1:4" x14ac:dyDescent="0.2">
      <c r="A12230" s="496"/>
      <c r="D12230" s="496"/>
    </row>
    <row r="12231" spans="1:4" x14ac:dyDescent="0.2">
      <c r="A12231" s="496"/>
      <c r="D12231" s="496"/>
    </row>
    <row r="12232" spans="1:4" x14ac:dyDescent="0.2">
      <c r="A12232" s="496"/>
      <c r="D12232" s="496"/>
    </row>
    <row r="12233" spans="1:4" x14ac:dyDescent="0.2">
      <c r="A12233" s="496"/>
      <c r="D12233" s="496"/>
    </row>
    <row r="12234" spans="1:4" x14ac:dyDescent="0.2">
      <c r="A12234" s="496"/>
      <c r="D12234" s="496"/>
    </row>
    <row r="12235" spans="1:4" x14ac:dyDescent="0.2">
      <c r="A12235" s="496"/>
      <c r="D12235" s="496"/>
    </row>
    <row r="12236" spans="1:4" x14ac:dyDescent="0.2">
      <c r="A12236" s="496"/>
      <c r="D12236" s="496"/>
    </row>
    <row r="12237" spans="1:4" x14ac:dyDescent="0.2">
      <c r="A12237" s="496"/>
      <c r="D12237" s="496"/>
    </row>
    <row r="12238" spans="1:4" x14ac:dyDescent="0.2">
      <c r="A12238" s="496"/>
      <c r="D12238" s="496"/>
    </row>
    <row r="12239" spans="1:4" x14ac:dyDescent="0.2">
      <c r="A12239" s="496"/>
      <c r="D12239" s="496"/>
    </row>
    <row r="12240" spans="1:4" x14ac:dyDescent="0.2">
      <c r="A12240" s="496"/>
      <c r="D12240" s="496"/>
    </row>
    <row r="12241" spans="1:4" x14ac:dyDescent="0.2">
      <c r="A12241" s="496"/>
      <c r="D12241" s="496"/>
    </row>
    <row r="12242" spans="1:4" x14ac:dyDescent="0.2">
      <c r="A12242" s="496"/>
      <c r="D12242" s="496"/>
    </row>
    <row r="12243" spans="1:4" x14ac:dyDescent="0.2">
      <c r="A12243" s="496"/>
      <c r="D12243" s="496"/>
    </row>
    <row r="12244" spans="1:4" x14ac:dyDescent="0.2">
      <c r="A12244" s="496"/>
      <c r="D12244" s="496"/>
    </row>
    <row r="12245" spans="1:4" x14ac:dyDescent="0.2">
      <c r="A12245" s="496"/>
      <c r="D12245" s="496"/>
    </row>
    <row r="12246" spans="1:4" x14ac:dyDescent="0.2">
      <c r="A12246" s="496"/>
      <c r="D12246" s="496"/>
    </row>
    <row r="12247" spans="1:4" x14ac:dyDescent="0.2">
      <c r="A12247" s="496"/>
      <c r="D12247" s="496"/>
    </row>
    <row r="12248" spans="1:4" x14ac:dyDescent="0.2">
      <c r="A12248" s="496"/>
      <c r="D12248" s="496"/>
    </row>
    <row r="12249" spans="1:4" x14ac:dyDescent="0.2">
      <c r="A12249" s="496"/>
      <c r="D12249" s="496"/>
    </row>
    <row r="12250" spans="1:4" x14ac:dyDescent="0.2">
      <c r="A12250" s="496"/>
      <c r="D12250" s="496"/>
    </row>
    <row r="12251" spans="1:4" x14ac:dyDescent="0.2">
      <c r="A12251" s="496"/>
      <c r="D12251" s="496"/>
    </row>
    <row r="12252" spans="1:4" x14ac:dyDescent="0.2">
      <c r="A12252" s="496"/>
      <c r="D12252" s="496"/>
    </row>
    <row r="12253" spans="1:4" x14ac:dyDescent="0.2">
      <c r="A12253" s="496"/>
      <c r="D12253" s="496"/>
    </row>
    <row r="12254" spans="1:4" x14ac:dyDescent="0.2">
      <c r="A12254" s="496"/>
      <c r="D12254" s="496"/>
    </row>
    <row r="12255" spans="1:4" x14ac:dyDescent="0.2">
      <c r="A12255" s="496"/>
      <c r="D12255" s="496"/>
    </row>
    <row r="12256" spans="1:4" x14ac:dyDescent="0.2">
      <c r="A12256" s="496"/>
      <c r="D12256" s="496"/>
    </row>
    <row r="12257" spans="1:4" x14ac:dyDescent="0.2">
      <c r="A12257" s="496"/>
      <c r="D12257" s="496"/>
    </row>
    <row r="12258" spans="1:4" x14ac:dyDescent="0.2">
      <c r="A12258" s="496"/>
      <c r="D12258" s="496"/>
    </row>
    <row r="12259" spans="1:4" x14ac:dyDescent="0.2">
      <c r="A12259" s="496"/>
      <c r="D12259" s="496"/>
    </row>
    <row r="12260" spans="1:4" x14ac:dyDescent="0.2">
      <c r="A12260" s="496"/>
      <c r="D12260" s="496"/>
    </row>
    <row r="12261" spans="1:4" x14ac:dyDescent="0.2">
      <c r="A12261" s="496"/>
      <c r="D12261" s="496"/>
    </row>
    <row r="12262" spans="1:4" x14ac:dyDescent="0.2">
      <c r="A12262" s="496"/>
      <c r="D12262" s="496"/>
    </row>
    <row r="12263" spans="1:4" x14ac:dyDescent="0.2">
      <c r="A12263" s="496"/>
      <c r="D12263" s="496"/>
    </row>
    <row r="12264" spans="1:4" x14ac:dyDescent="0.2">
      <c r="A12264" s="496"/>
      <c r="D12264" s="496"/>
    </row>
    <row r="12265" spans="1:4" x14ac:dyDescent="0.2">
      <c r="A12265" s="496"/>
      <c r="D12265" s="496"/>
    </row>
    <row r="12266" spans="1:4" x14ac:dyDescent="0.2">
      <c r="A12266" s="496"/>
      <c r="D12266" s="496"/>
    </row>
    <row r="12267" spans="1:4" x14ac:dyDescent="0.2">
      <c r="A12267" s="496"/>
      <c r="D12267" s="496"/>
    </row>
    <row r="12268" spans="1:4" x14ac:dyDescent="0.2">
      <c r="A12268" s="496"/>
      <c r="D12268" s="496"/>
    </row>
    <row r="12269" spans="1:4" x14ac:dyDescent="0.2">
      <c r="A12269" s="496"/>
      <c r="D12269" s="496"/>
    </row>
    <row r="12270" spans="1:4" x14ac:dyDescent="0.2">
      <c r="A12270" s="496"/>
      <c r="D12270" s="496"/>
    </row>
    <row r="12271" spans="1:4" x14ac:dyDescent="0.2">
      <c r="A12271" s="496"/>
      <c r="D12271" s="496"/>
    </row>
    <row r="12272" spans="1:4" x14ac:dyDescent="0.2">
      <c r="A12272" s="496"/>
      <c r="D12272" s="496"/>
    </row>
    <row r="12273" spans="1:4" x14ac:dyDescent="0.2">
      <c r="A12273" s="496"/>
      <c r="D12273" s="496"/>
    </row>
    <row r="12274" spans="1:4" x14ac:dyDescent="0.2">
      <c r="A12274" s="496"/>
      <c r="D12274" s="496"/>
    </row>
    <row r="12275" spans="1:4" x14ac:dyDescent="0.2">
      <c r="A12275" s="496"/>
      <c r="D12275" s="496"/>
    </row>
    <row r="12276" spans="1:4" x14ac:dyDescent="0.2">
      <c r="A12276" s="496"/>
      <c r="D12276" s="496"/>
    </row>
    <row r="12277" spans="1:4" x14ac:dyDescent="0.2">
      <c r="A12277" s="496"/>
      <c r="D12277" s="496"/>
    </row>
    <row r="12278" spans="1:4" x14ac:dyDescent="0.2">
      <c r="A12278" s="496"/>
      <c r="D12278" s="496"/>
    </row>
    <row r="12279" spans="1:4" x14ac:dyDescent="0.2">
      <c r="A12279" s="496"/>
      <c r="D12279" s="496"/>
    </row>
    <row r="12280" spans="1:4" x14ac:dyDescent="0.2">
      <c r="A12280" s="496"/>
      <c r="D12280" s="496"/>
    </row>
    <row r="12281" spans="1:4" x14ac:dyDescent="0.2">
      <c r="A12281" s="496"/>
      <c r="D12281" s="496"/>
    </row>
    <row r="12282" spans="1:4" x14ac:dyDescent="0.2">
      <c r="A12282" s="496"/>
      <c r="D12282" s="496"/>
    </row>
    <row r="12283" spans="1:4" x14ac:dyDescent="0.2">
      <c r="A12283" s="496"/>
      <c r="D12283" s="496"/>
    </row>
    <row r="12284" spans="1:4" x14ac:dyDescent="0.2">
      <c r="A12284" s="496"/>
      <c r="D12284" s="496"/>
    </row>
    <row r="12285" spans="1:4" x14ac:dyDescent="0.2">
      <c r="A12285" s="496"/>
      <c r="D12285" s="496"/>
    </row>
    <row r="12286" spans="1:4" x14ac:dyDescent="0.2">
      <c r="A12286" s="496"/>
      <c r="D12286" s="496"/>
    </row>
    <row r="12287" spans="1:4" x14ac:dyDescent="0.2">
      <c r="A12287" s="496"/>
      <c r="D12287" s="496"/>
    </row>
    <row r="12288" spans="1:4" x14ac:dyDescent="0.2">
      <c r="A12288" s="496"/>
      <c r="D12288" s="496"/>
    </row>
    <row r="12289" spans="1:4" x14ac:dyDescent="0.2">
      <c r="A12289" s="496"/>
      <c r="D12289" s="496"/>
    </row>
    <row r="12290" spans="1:4" x14ac:dyDescent="0.2">
      <c r="A12290" s="496"/>
      <c r="D12290" s="496"/>
    </row>
    <row r="12291" spans="1:4" x14ac:dyDescent="0.2">
      <c r="A12291" s="496"/>
      <c r="D12291" s="496"/>
    </row>
    <row r="12292" spans="1:4" x14ac:dyDescent="0.2">
      <c r="A12292" s="496"/>
      <c r="D12292" s="496"/>
    </row>
    <row r="12293" spans="1:4" x14ac:dyDescent="0.2">
      <c r="A12293" s="496"/>
      <c r="D12293" s="496"/>
    </row>
    <row r="12294" spans="1:4" x14ac:dyDescent="0.2">
      <c r="A12294" s="496"/>
      <c r="D12294" s="496"/>
    </row>
    <row r="12295" spans="1:4" x14ac:dyDescent="0.2">
      <c r="A12295" s="496"/>
      <c r="D12295" s="496"/>
    </row>
    <row r="12296" spans="1:4" x14ac:dyDescent="0.2">
      <c r="A12296" s="496"/>
      <c r="D12296" s="496"/>
    </row>
    <row r="12297" spans="1:4" x14ac:dyDescent="0.2">
      <c r="A12297" s="496"/>
      <c r="D12297" s="496"/>
    </row>
    <row r="12298" spans="1:4" x14ac:dyDescent="0.2">
      <c r="A12298" s="496"/>
      <c r="D12298" s="496"/>
    </row>
    <row r="12299" spans="1:4" x14ac:dyDescent="0.2">
      <c r="A12299" s="496"/>
      <c r="D12299" s="496"/>
    </row>
    <row r="12300" spans="1:4" x14ac:dyDescent="0.2">
      <c r="A12300" s="496"/>
      <c r="D12300" s="496"/>
    </row>
    <row r="12301" spans="1:4" x14ac:dyDescent="0.2">
      <c r="A12301" s="496"/>
      <c r="D12301" s="496"/>
    </row>
    <row r="12302" spans="1:4" x14ac:dyDescent="0.2">
      <c r="A12302" s="496"/>
      <c r="D12302" s="496"/>
    </row>
    <row r="12303" spans="1:4" x14ac:dyDescent="0.2">
      <c r="A12303" s="496"/>
      <c r="D12303" s="496"/>
    </row>
    <row r="12304" spans="1:4" x14ac:dyDescent="0.2">
      <c r="A12304" s="496"/>
      <c r="D12304" s="496"/>
    </row>
    <row r="12305" spans="1:4" x14ac:dyDescent="0.2">
      <c r="A12305" s="496"/>
      <c r="D12305" s="496"/>
    </row>
    <row r="12306" spans="1:4" x14ac:dyDescent="0.2">
      <c r="A12306" s="496"/>
      <c r="D12306" s="496"/>
    </row>
    <row r="12307" spans="1:4" x14ac:dyDescent="0.2">
      <c r="A12307" s="496"/>
      <c r="D12307" s="496"/>
    </row>
    <row r="12308" spans="1:4" x14ac:dyDescent="0.2">
      <c r="A12308" s="496"/>
      <c r="D12308" s="496"/>
    </row>
    <row r="12309" spans="1:4" x14ac:dyDescent="0.2">
      <c r="A12309" s="496"/>
      <c r="D12309" s="496"/>
    </row>
    <row r="12310" spans="1:4" x14ac:dyDescent="0.2">
      <c r="A12310" s="496"/>
      <c r="D12310" s="496"/>
    </row>
    <row r="12311" spans="1:4" x14ac:dyDescent="0.2">
      <c r="A12311" s="496"/>
      <c r="D12311" s="496"/>
    </row>
    <row r="12312" spans="1:4" x14ac:dyDescent="0.2">
      <c r="A12312" s="496"/>
      <c r="D12312" s="496"/>
    </row>
    <row r="12313" spans="1:4" x14ac:dyDescent="0.2">
      <c r="A12313" s="496"/>
      <c r="D12313" s="496"/>
    </row>
    <row r="12314" spans="1:4" x14ac:dyDescent="0.2">
      <c r="A12314" s="496"/>
      <c r="D12314" s="496"/>
    </row>
    <row r="12315" spans="1:4" x14ac:dyDescent="0.2">
      <c r="A12315" s="496"/>
      <c r="D12315" s="496"/>
    </row>
    <row r="12316" spans="1:4" x14ac:dyDescent="0.2">
      <c r="A12316" s="496"/>
      <c r="D12316" s="496"/>
    </row>
    <row r="12317" spans="1:4" x14ac:dyDescent="0.2">
      <c r="A12317" s="496"/>
      <c r="D12317" s="496"/>
    </row>
    <row r="12318" spans="1:4" x14ac:dyDescent="0.2">
      <c r="A12318" s="496"/>
      <c r="D12318" s="496"/>
    </row>
    <row r="12319" spans="1:4" x14ac:dyDescent="0.2">
      <c r="A12319" s="496"/>
      <c r="D12319" s="496"/>
    </row>
    <row r="12320" spans="1:4" x14ac:dyDescent="0.2">
      <c r="A12320" s="496"/>
      <c r="D12320" s="496"/>
    </row>
    <row r="12321" spans="1:4" x14ac:dyDescent="0.2">
      <c r="A12321" s="496"/>
      <c r="D12321" s="496"/>
    </row>
    <row r="12322" spans="1:4" x14ac:dyDescent="0.2">
      <c r="A12322" s="496"/>
      <c r="D12322" s="496"/>
    </row>
    <row r="12323" spans="1:4" x14ac:dyDescent="0.2">
      <c r="A12323" s="496"/>
      <c r="D12323" s="496"/>
    </row>
    <row r="12324" spans="1:4" x14ac:dyDescent="0.2">
      <c r="A12324" s="496"/>
      <c r="D12324" s="496"/>
    </row>
    <row r="12325" spans="1:4" x14ac:dyDescent="0.2">
      <c r="A12325" s="496"/>
      <c r="D12325" s="496"/>
    </row>
    <row r="12326" spans="1:4" x14ac:dyDescent="0.2">
      <c r="A12326" s="496"/>
      <c r="D12326" s="496"/>
    </row>
    <row r="12327" spans="1:4" x14ac:dyDescent="0.2">
      <c r="A12327" s="496"/>
      <c r="D12327" s="496"/>
    </row>
    <row r="12328" spans="1:4" x14ac:dyDescent="0.2">
      <c r="A12328" s="496"/>
      <c r="D12328" s="496"/>
    </row>
    <row r="12329" spans="1:4" x14ac:dyDescent="0.2">
      <c r="A12329" s="496"/>
      <c r="D12329" s="496"/>
    </row>
    <row r="12330" spans="1:4" x14ac:dyDescent="0.2">
      <c r="A12330" s="496"/>
      <c r="D12330" s="496"/>
    </row>
    <row r="12331" spans="1:4" x14ac:dyDescent="0.2">
      <c r="A12331" s="496"/>
      <c r="D12331" s="496"/>
    </row>
    <row r="12332" spans="1:4" x14ac:dyDescent="0.2">
      <c r="A12332" s="496"/>
      <c r="D12332" s="496"/>
    </row>
    <row r="12333" spans="1:4" x14ac:dyDescent="0.2">
      <c r="A12333" s="496"/>
      <c r="D12333" s="496"/>
    </row>
    <row r="12334" spans="1:4" x14ac:dyDescent="0.2">
      <c r="A12334" s="496"/>
      <c r="D12334" s="496"/>
    </row>
    <row r="12335" spans="1:4" x14ac:dyDescent="0.2">
      <c r="A12335" s="496"/>
      <c r="D12335" s="496"/>
    </row>
    <row r="12336" spans="1:4" x14ac:dyDescent="0.2">
      <c r="A12336" s="496"/>
      <c r="D12336" s="496"/>
    </row>
    <row r="12337" spans="1:4" x14ac:dyDescent="0.2">
      <c r="A12337" s="496"/>
      <c r="D12337" s="496"/>
    </row>
    <row r="12338" spans="1:4" x14ac:dyDescent="0.2">
      <c r="A12338" s="496"/>
      <c r="D12338" s="496"/>
    </row>
    <row r="12339" spans="1:4" x14ac:dyDescent="0.2">
      <c r="A12339" s="496"/>
      <c r="D12339" s="496"/>
    </row>
    <row r="12340" spans="1:4" x14ac:dyDescent="0.2">
      <c r="A12340" s="496"/>
      <c r="D12340" s="496"/>
    </row>
    <row r="12341" spans="1:4" x14ac:dyDescent="0.2">
      <c r="A12341" s="496"/>
      <c r="D12341" s="496"/>
    </row>
    <row r="12342" spans="1:4" x14ac:dyDescent="0.2">
      <c r="A12342" s="496"/>
      <c r="D12342" s="496"/>
    </row>
    <row r="12343" spans="1:4" x14ac:dyDescent="0.2">
      <c r="A12343" s="496"/>
      <c r="D12343" s="496"/>
    </row>
    <row r="12344" spans="1:4" x14ac:dyDescent="0.2">
      <c r="A12344" s="496"/>
      <c r="D12344" s="496"/>
    </row>
    <row r="12345" spans="1:4" x14ac:dyDescent="0.2">
      <c r="A12345" s="496"/>
      <c r="D12345" s="496"/>
    </row>
    <row r="12346" spans="1:4" x14ac:dyDescent="0.2">
      <c r="A12346" s="496"/>
      <c r="D12346" s="496"/>
    </row>
    <row r="12347" spans="1:4" x14ac:dyDescent="0.2">
      <c r="A12347" s="496"/>
      <c r="D12347" s="496"/>
    </row>
    <row r="12348" spans="1:4" x14ac:dyDescent="0.2">
      <c r="A12348" s="496"/>
      <c r="D12348" s="496"/>
    </row>
    <row r="12349" spans="1:4" x14ac:dyDescent="0.2">
      <c r="A12349" s="496"/>
      <c r="D12349" s="496"/>
    </row>
    <row r="12350" spans="1:4" x14ac:dyDescent="0.2">
      <c r="A12350" s="496"/>
      <c r="D12350" s="496"/>
    </row>
    <row r="12351" spans="1:4" x14ac:dyDescent="0.2">
      <c r="A12351" s="496"/>
      <c r="D12351" s="496"/>
    </row>
    <row r="12352" spans="1:4" x14ac:dyDescent="0.2">
      <c r="A12352" s="496"/>
      <c r="D12352" s="496"/>
    </row>
    <row r="12353" spans="1:4" x14ac:dyDescent="0.2">
      <c r="A12353" s="496"/>
      <c r="D12353" s="496"/>
    </row>
    <row r="12354" spans="1:4" x14ac:dyDescent="0.2">
      <c r="A12354" s="496"/>
      <c r="D12354" s="496"/>
    </row>
    <row r="12355" spans="1:4" x14ac:dyDescent="0.2">
      <c r="A12355" s="496"/>
      <c r="D12355" s="496"/>
    </row>
    <row r="12356" spans="1:4" x14ac:dyDescent="0.2">
      <c r="A12356" s="496"/>
      <c r="D12356" s="496"/>
    </row>
    <row r="12357" spans="1:4" x14ac:dyDescent="0.2">
      <c r="A12357" s="496"/>
      <c r="D12357" s="496"/>
    </row>
    <row r="12358" spans="1:4" x14ac:dyDescent="0.2">
      <c r="A12358" s="496"/>
      <c r="D12358" s="496"/>
    </row>
    <row r="12359" spans="1:4" x14ac:dyDescent="0.2">
      <c r="A12359" s="496"/>
      <c r="D12359" s="496"/>
    </row>
    <row r="12360" spans="1:4" x14ac:dyDescent="0.2">
      <c r="A12360" s="496"/>
      <c r="D12360" s="496"/>
    </row>
    <row r="12361" spans="1:4" x14ac:dyDescent="0.2">
      <c r="A12361" s="496"/>
      <c r="D12361" s="496"/>
    </row>
    <row r="12362" spans="1:4" x14ac:dyDescent="0.2">
      <c r="A12362" s="496"/>
      <c r="D12362" s="496"/>
    </row>
    <row r="12363" spans="1:4" x14ac:dyDescent="0.2">
      <c r="A12363" s="496"/>
      <c r="D12363" s="496"/>
    </row>
    <row r="12364" spans="1:4" x14ac:dyDescent="0.2">
      <c r="A12364" s="496"/>
      <c r="D12364" s="496"/>
    </row>
    <row r="12365" spans="1:4" x14ac:dyDescent="0.2">
      <c r="A12365" s="496"/>
      <c r="D12365" s="496"/>
    </row>
    <row r="12366" spans="1:4" x14ac:dyDescent="0.2">
      <c r="A12366" s="496"/>
      <c r="D12366" s="496"/>
    </row>
    <row r="12367" spans="1:4" x14ac:dyDescent="0.2">
      <c r="A12367" s="496"/>
      <c r="D12367" s="496"/>
    </row>
    <row r="12368" spans="1:4" x14ac:dyDescent="0.2">
      <c r="A12368" s="496"/>
      <c r="D12368" s="496"/>
    </row>
    <row r="12369" spans="1:4" x14ac:dyDescent="0.2">
      <c r="A12369" s="496"/>
      <c r="D12369" s="496"/>
    </row>
    <row r="12370" spans="1:4" x14ac:dyDescent="0.2">
      <c r="A12370" s="496"/>
      <c r="D12370" s="496"/>
    </row>
    <row r="12371" spans="1:4" x14ac:dyDescent="0.2">
      <c r="A12371" s="496"/>
      <c r="D12371" s="496"/>
    </row>
    <row r="12372" spans="1:4" x14ac:dyDescent="0.2">
      <c r="A12372" s="496"/>
      <c r="D12372" s="496"/>
    </row>
    <row r="12373" spans="1:4" x14ac:dyDescent="0.2">
      <c r="A12373" s="496"/>
      <c r="D12373" s="496"/>
    </row>
    <row r="12374" spans="1:4" x14ac:dyDescent="0.2">
      <c r="A12374" s="496"/>
      <c r="D12374" s="496"/>
    </row>
    <row r="12375" spans="1:4" x14ac:dyDescent="0.2">
      <c r="A12375" s="496"/>
      <c r="D12375" s="496"/>
    </row>
    <row r="12376" spans="1:4" x14ac:dyDescent="0.2">
      <c r="A12376" s="496"/>
      <c r="D12376" s="496"/>
    </row>
    <row r="12377" spans="1:4" x14ac:dyDescent="0.2">
      <c r="A12377" s="496"/>
      <c r="D12377" s="496"/>
    </row>
    <row r="12378" spans="1:4" x14ac:dyDescent="0.2">
      <c r="A12378" s="496"/>
      <c r="D12378" s="496"/>
    </row>
    <row r="12379" spans="1:4" x14ac:dyDescent="0.2">
      <c r="A12379" s="496"/>
      <c r="D12379" s="496"/>
    </row>
    <row r="12380" spans="1:4" x14ac:dyDescent="0.2">
      <c r="A12380" s="496"/>
      <c r="D12380" s="496"/>
    </row>
    <row r="12381" spans="1:4" x14ac:dyDescent="0.2">
      <c r="A12381" s="496"/>
      <c r="D12381" s="496"/>
    </row>
    <row r="12382" spans="1:4" x14ac:dyDescent="0.2">
      <c r="A12382" s="496"/>
      <c r="D12382" s="496"/>
    </row>
    <row r="12383" spans="1:4" x14ac:dyDescent="0.2">
      <c r="A12383" s="496"/>
      <c r="D12383" s="496"/>
    </row>
    <row r="12384" spans="1:4" x14ac:dyDescent="0.2">
      <c r="A12384" s="496"/>
      <c r="D12384" s="496"/>
    </row>
    <row r="12385" spans="1:4" x14ac:dyDescent="0.2">
      <c r="A12385" s="496"/>
      <c r="D12385" s="496"/>
    </row>
    <row r="12386" spans="1:4" x14ac:dyDescent="0.2">
      <c r="A12386" s="496"/>
      <c r="D12386" s="496"/>
    </row>
    <row r="12387" spans="1:4" x14ac:dyDescent="0.2">
      <c r="A12387" s="496"/>
      <c r="D12387" s="496"/>
    </row>
    <row r="12388" spans="1:4" x14ac:dyDescent="0.2">
      <c r="A12388" s="496"/>
      <c r="D12388" s="496"/>
    </row>
    <row r="12389" spans="1:4" x14ac:dyDescent="0.2">
      <c r="A12389" s="496"/>
      <c r="D12389" s="496"/>
    </row>
    <row r="12390" spans="1:4" x14ac:dyDescent="0.2">
      <c r="A12390" s="496"/>
      <c r="D12390" s="496"/>
    </row>
    <row r="12391" spans="1:4" x14ac:dyDescent="0.2">
      <c r="A12391" s="496"/>
      <c r="D12391" s="496"/>
    </row>
    <row r="12392" spans="1:4" x14ac:dyDescent="0.2">
      <c r="A12392" s="496"/>
      <c r="D12392" s="496"/>
    </row>
    <row r="12393" spans="1:4" x14ac:dyDescent="0.2">
      <c r="A12393" s="496"/>
      <c r="D12393" s="496"/>
    </row>
    <row r="12394" spans="1:4" x14ac:dyDescent="0.2">
      <c r="A12394" s="496"/>
      <c r="D12394" s="496"/>
    </row>
    <row r="12395" spans="1:4" x14ac:dyDescent="0.2">
      <c r="A12395" s="496"/>
      <c r="D12395" s="496"/>
    </row>
    <row r="12396" spans="1:4" x14ac:dyDescent="0.2">
      <c r="A12396" s="496"/>
      <c r="D12396" s="496"/>
    </row>
    <row r="12397" spans="1:4" x14ac:dyDescent="0.2">
      <c r="A12397" s="496"/>
      <c r="D12397" s="496"/>
    </row>
    <row r="12398" spans="1:4" x14ac:dyDescent="0.2">
      <c r="A12398" s="496"/>
      <c r="D12398" s="496"/>
    </row>
    <row r="12399" spans="1:4" x14ac:dyDescent="0.2">
      <c r="A12399" s="496"/>
      <c r="D12399" s="496"/>
    </row>
    <row r="12400" spans="1:4" x14ac:dyDescent="0.2">
      <c r="A12400" s="496"/>
      <c r="D12400" s="496"/>
    </row>
    <row r="12401" spans="1:4" x14ac:dyDescent="0.2">
      <c r="A12401" s="496"/>
      <c r="D12401" s="496"/>
    </row>
    <row r="12402" spans="1:4" x14ac:dyDescent="0.2">
      <c r="A12402" s="496"/>
      <c r="D12402" s="496"/>
    </row>
    <row r="12403" spans="1:4" x14ac:dyDescent="0.2">
      <c r="A12403" s="496"/>
      <c r="D12403" s="496"/>
    </row>
    <row r="12404" spans="1:4" x14ac:dyDescent="0.2">
      <c r="A12404" s="496"/>
      <c r="D12404" s="496"/>
    </row>
    <row r="12405" spans="1:4" x14ac:dyDescent="0.2">
      <c r="A12405" s="496"/>
      <c r="D12405" s="496"/>
    </row>
    <row r="12406" spans="1:4" x14ac:dyDescent="0.2">
      <c r="A12406" s="496"/>
      <c r="D12406" s="496"/>
    </row>
    <row r="12407" spans="1:4" x14ac:dyDescent="0.2">
      <c r="A12407" s="496"/>
      <c r="D12407" s="496"/>
    </row>
    <row r="12408" spans="1:4" x14ac:dyDescent="0.2">
      <c r="A12408" s="496"/>
      <c r="D12408" s="496"/>
    </row>
    <row r="12409" spans="1:4" x14ac:dyDescent="0.2">
      <c r="A12409" s="496"/>
      <c r="D12409" s="496"/>
    </row>
    <row r="12410" spans="1:4" x14ac:dyDescent="0.2">
      <c r="A12410" s="496"/>
      <c r="D12410" s="496"/>
    </row>
    <row r="12411" spans="1:4" x14ac:dyDescent="0.2">
      <c r="A12411" s="496"/>
      <c r="D12411" s="496"/>
    </row>
    <row r="12412" spans="1:4" x14ac:dyDescent="0.2">
      <c r="A12412" s="496"/>
      <c r="D12412" s="496"/>
    </row>
    <row r="12413" spans="1:4" x14ac:dyDescent="0.2">
      <c r="A12413" s="496"/>
      <c r="D12413" s="496"/>
    </row>
    <row r="12414" spans="1:4" x14ac:dyDescent="0.2">
      <c r="A12414" s="496"/>
      <c r="D12414" s="496"/>
    </row>
    <row r="12415" spans="1:4" x14ac:dyDescent="0.2">
      <c r="A12415" s="496"/>
      <c r="D12415" s="496"/>
    </row>
    <row r="12416" spans="1:4" x14ac:dyDescent="0.2">
      <c r="A12416" s="496"/>
      <c r="D12416" s="496"/>
    </row>
    <row r="12417" spans="1:4" x14ac:dyDescent="0.2">
      <c r="A12417" s="496"/>
      <c r="D12417" s="496"/>
    </row>
    <row r="12418" spans="1:4" x14ac:dyDescent="0.2">
      <c r="A12418" s="496"/>
      <c r="D12418" s="496"/>
    </row>
    <row r="12419" spans="1:4" x14ac:dyDescent="0.2">
      <c r="A12419" s="496"/>
      <c r="D12419" s="496"/>
    </row>
    <row r="12420" spans="1:4" x14ac:dyDescent="0.2">
      <c r="A12420" s="496"/>
      <c r="D12420" s="496"/>
    </row>
    <row r="12421" spans="1:4" x14ac:dyDescent="0.2">
      <c r="A12421" s="496"/>
      <c r="D12421" s="496"/>
    </row>
    <row r="12422" spans="1:4" x14ac:dyDescent="0.2">
      <c r="A12422" s="496"/>
      <c r="D12422" s="496"/>
    </row>
    <row r="12423" spans="1:4" x14ac:dyDescent="0.2">
      <c r="A12423" s="496"/>
      <c r="D12423" s="496"/>
    </row>
    <row r="12424" spans="1:4" x14ac:dyDescent="0.2">
      <c r="A12424" s="496"/>
      <c r="D12424" s="496"/>
    </row>
    <row r="12425" spans="1:4" x14ac:dyDescent="0.2">
      <c r="A12425" s="496"/>
      <c r="D12425" s="496"/>
    </row>
    <row r="12426" spans="1:4" x14ac:dyDescent="0.2">
      <c r="A12426" s="496"/>
      <c r="D12426" s="496"/>
    </row>
    <row r="12427" spans="1:4" x14ac:dyDescent="0.2">
      <c r="A12427" s="496"/>
      <c r="D12427" s="496"/>
    </row>
    <row r="12428" spans="1:4" x14ac:dyDescent="0.2">
      <c r="A12428" s="496"/>
      <c r="D12428" s="496"/>
    </row>
    <row r="12429" spans="1:4" x14ac:dyDescent="0.2">
      <c r="A12429" s="496"/>
      <c r="D12429" s="496"/>
    </row>
    <row r="12430" spans="1:4" x14ac:dyDescent="0.2">
      <c r="A12430" s="496"/>
      <c r="D12430" s="496"/>
    </row>
    <row r="12431" spans="1:4" x14ac:dyDescent="0.2">
      <c r="A12431" s="496"/>
      <c r="D12431" s="496"/>
    </row>
    <row r="12432" spans="1:4" x14ac:dyDescent="0.2">
      <c r="A12432" s="496"/>
      <c r="D12432" s="496"/>
    </row>
    <row r="12433" spans="1:4" x14ac:dyDescent="0.2">
      <c r="A12433" s="496"/>
      <c r="D12433" s="496"/>
    </row>
    <row r="12434" spans="1:4" x14ac:dyDescent="0.2">
      <c r="A12434" s="496"/>
      <c r="D12434" s="496"/>
    </row>
    <row r="12435" spans="1:4" x14ac:dyDescent="0.2">
      <c r="A12435" s="496"/>
      <c r="D12435" s="496"/>
    </row>
    <row r="12436" spans="1:4" x14ac:dyDescent="0.2">
      <c r="A12436" s="496"/>
      <c r="D12436" s="496"/>
    </row>
    <row r="12437" spans="1:4" x14ac:dyDescent="0.2">
      <c r="A12437" s="496"/>
      <c r="D12437" s="496"/>
    </row>
    <row r="12438" spans="1:4" x14ac:dyDescent="0.2">
      <c r="A12438" s="496"/>
      <c r="D12438" s="496"/>
    </row>
    <row r="12439" spans="1:4" x14ac:dyDescent="0.2">
      <c r="A12439" s="496"/>
      <c r="D12439" s="496"/>
    </row>
    <row r="12440" spans="1:4" x14ac:dyDescent="0.2">
      <c r="A12440" s="496"/>
      <c r="D12440" s="496"/>
    </row>
    <row r="12441" spans="1:4" x14ac:dyDescent="0.2">
      <c r="A12441" s="496"/>
      <c r="D12441" s="496"/>
    </row>
    <row r="12442" spans="1:4" x14ac:dyDescent="0.2">
      <c r="A12442" s="496"/>
      <c r="D12442" s="496"/>
    </row>
    <row r="12443" spans="1:4" x14ac:dyDescent="0.2">
      <c r="A12443" s="496"/>
      <c r="D12443" s="496"/>
    </row>
    <row r="12444" spans="1:4" x14ac:dyDescent="0.2">
      <c r="A12444" s="496"/>
      <c r="D12444" s="496"/>
    </row>
    <row r="12445" spans="1:4" x14ac:dyDescent="0.2">
      <c r="A12445" s="496"/>
      <c r="D12445" s="496"/>
    </row>
    <row r="12446" spans="1:4" x14ac:dyDescent="0.2">
      <c r="A12446" s="496"/>
      <c r="D12446" s="496"/>
    </row>
    <row r="12447" spans="1:4" x14ac:dyDescent="0.2">
      <c r="A12447" s="496"/>
      <c r="D12447" s="496"/>
    </row>
    <row r="12448" spans="1:4" x14ac:dyDescent="0.2">
      <c r="A12448" s="496"/>
      <c r="D12448" s="496"/>
    </row>
    <row r="12449" spans="1:4" x14ac:dyDescent="0.2">
      <c r="A12449" s="496"/>
      <c r="D12449" s="496"/>
    </row>
    <row r="12450" spans="1:4" x14ac:dyDescent="0.2">
      <c r="A12450" s="496"/>
      <c r="D12450" s="496"/>
    </row>
    <row r="12451" spans="1:4" x14ac:dyDescent="0.2">
      <c r="A12451" s="496"/>
      <c r="D12451" s="496"/>
    </row>
    <row r="12452" spans="1:4" x14ac:dyDescent="0.2">
      <c r="A12452" s="496"/>
      <c r="D12452" s="496"/>
    </row>
    <row r="12453" spans="1:4" x14ac:dyDescent="0.2">
      <c r="A12453" s="496"/>
      <c r="D12453" s="496"/>
    </row>
    <row r="12454" spans="1:4" x14ac:dyDescent="0.2">
      <c r="A12454" s="496"/>
      <c r="D12454" s="496"/>
    </row>
    <row r="12455" spans="1:4" x14ac:dyDescent="0.2">
      <c r="A12455" s="496"/>
      <c r="D12455" s="496"/>
    </row>
    <row r="12456" spans="1:4" x14ac:dyDescent="0.2">
      <c r="A12456" s="496"/>
      <c r="D12456" s="496"/>
    </row>
    <row r="12457" spans="1:4" x14ac:dyDescent="0.2">
      <c r="A12457" s="496"/>
      <c r="D12457" s="496"/>
    </row>
    <row r="12458" spans="1:4" x14ac:dyDescent="0.2">
      <c r="A12458" s="496"/>
      <c r="D12458" s="496"/>
    </row>
    <row r="12459" spans="1:4" x14ac:dyDescent="0.2">
      <c r="A12459" s="496"/>
      <c r="D12459" s="496"/>
    </row>
    <row r="12460" spans="1:4" x14ac:dyDescent="0.2">
      <c r="A12460" s="496"/>
      <c r="D12460" s="496"/>
    </row>
    <row r="12461" spans="1:4" x14ac:dyDescent="0.2">
      <c r="A12461" s="496"/>
      <c r="D12461" s="496"/>
    </row>
    <row r="12462" spans="1:4" x14ac:dyDescent="0.2">
      <c r="A12462" s="496"/>
      <c r="D12462" s="496"/>
    </row>
    <row r="12463" spans="1:4" x14ac:dyDescent="0.2">
      <c r="A12463" s="496"/>
      <c r="D12463" s="496"/>
    </row>
    <row r="12464" spans="1:4" x14ac:dyDescent="0.2">
      <c r="A12464" s="496"/>
      <c r="D12464" s="496"/>
    </row>
    <row r="12465" spans="1:4" x14ac:dyDescent="0.2">
      <c r="A12465" s="496"/>
      <c r="D12465" s="496"/>
    </row>
    <row r="12466" spans="1:4" x14ac:dyDescent="0.2">
      <c r="A12466" s="496"/>
      <c r="D12466" s="496"/>
    </row>
    <row r="12467" spans="1:4" x14ac:dyDescent="0.2">
      <c r="A12467" s="496"/>
      <c r="D12467" s="496"/>
    </row>
    <row r="12468" spans="1:4" x14ac:dyDescent="0.2">
      <c r="A12468" s="496"/>
      <c r="D12468" s="496"/>
    </row>
    <row r="12469" spans="1:4" x14ac:dyDescent="0.2">
      <c r="A12469" s="496"/>
      <c r="D12469" s="496"/>
    </row>
    <row r="12470" spans="1:4" x14ac:dyDescent="0.2">
      <c r="A12470" s="496"/>
      <c r="D12470" s="496"/>
    </row>
    <row r="12471" spans="1:4" x14ac:dyDescent="0.2">
      <c r="A12471" s="496"/>
      <c r="D12471" s="496"/>
    </row>
    <row r="12472" spans="1:4" x14ac:dyDescent="0.2">
      <c r="A12472" s="496"/>
      <c r="D12472" s="496"/>
    </row>
    <row r="12473" spans="1:4" x14ac:dyDescent="0.2">
      <c r="A12473" s="496"/>
      <c r="D12473" s="496"/>
    </row>
    <row r="12474" spans="1:4" x14ac:dyDescent="0.2">
      <c r="A12474" s="496"/>
      <c r="D12474" s="496"/>
    </row>
    <row r="12475" spans="1:4" x14ac:dyDescent="0.2">
      <c r="A12475" s="496"/>
      <c r="D12475" s="496"/>
    </row>
    <row r="12476" spans="1:4" x14ac:dyDescent="0.2">
      <c r="A12476" s="496"/>
      <c r="D12476" s="496"/>
    </row>
    <row r="12477" spans="1:4" x14ac:dyDescent="0.2">
      <c r="A12477" s="496"/>
      <c r="D12477" s="496"/>
    </row>
    <row r="12478" spans="1:4" x14ac:dyDescent="0.2">
      <c r="A12478" s="496"/>
      <c r="D12478" s="496"/>
    </row>
    <row r="12479" spans="1:4" x14ac:dyDescent="0.2">
      <c r="A12479" s="496"/>
      <c r="D12479" s="496"/>
    </row>
    <row r="12480" spans="1:4" x14ac:dyDescent="0.2">
      <c r="A12480" s="496"/>
      <c r="D12480" s="496"/>
    </row>
    <row r="12481" spans="1:4" x14ac:dyDescent="0.2">
      <c r="A12481" s="496"/>
      <c r="D12481" s="496"/>
    </row>
    <row r="12482" spans="1:4" x14ac:dyDescent="0.2">
      <c r="A12482" s="496"/>
      <c r="D12482" s="496"/>
    </row>
    <row r="12483" spans="1:4" x14ac:dyDescent="0.2">
      <c r="A12483" s="496"/>
      <c r="D12483" s="496"/>
    </row>
    <row r="12484" spans="1:4" x14ac:dyDescent="0.2">
      <c r="A12484" s="496"/>
      <c r="D12484" s="496"/>
    </row>
    <row r="12485" spans="1:4" x14ac:dyDescent="0.2">
      <c r="A12485" s="496"/>
      <c r="D12485" s="496"/>
    </row>
    <row r="12486" spans="1:4" x14ac:dyDescent="0.2">
      <c r="A12486" s="496"/>
      <c r="D12486" s="496"/>
    </row>
    <row r="12487" spans="1:4" x14ac:dyDescent="0.2">
      <c r="A12487" s="496"/>
      <c r="D12487" s="496"/>
    </row>
    <row r="12488" spans="1:4" x14ac:dyDescent="0.2">
      <c r="A12488" s="496"/>
      <c r="D12488" s="496"/>
    </row>
    <row r="12489" spans="1:4" x14ac:dyDescent="0.2">
      <c r="A12489" s="496"/>
      <c r="D12489" s="496"/>
    </row>
    <row r="12490" spans="1:4" x14ac:dyDescent="0.2">
      <c r="A12490" s="496"/>
      <c r="D12490" s="496"/>
    </row>
    <row r="12491" spans="1:4" x14ac:dyDescent="0.2">
      <c r="A12491" s="496"/>
      <c r="D12491" s="496"/>
    </row>
    <row r="12492" spans="1:4" x14ac:dyDescent="0.2">
      <c r="A12492" s="496"/>
      <c r="D12492" s="496"/>
    </row>
    <row r="12493" spans="1:4" x14ac:dyDescent="0.2">
      <c r="A12493" s="496"/>
      <c r="D12493" s="496"/>
    </row>
    <row r="12494" spans="1:4" x14ac:dyDescent="0.2">
      <c r="A12494" s="496"/>
      <c r="D12494" s="496"/>
    </row>
    <row r="12495" spans="1:4" x14ac:dyDescent="0.2">
      <c r="A12495" s="496"/>
      <c r="D12495" s="496"/>
    </row>
    <row r="12496" spans="1:4" x14ac:dyDescent="0.2">
      <c r="A12496" s="496"/>
      <c r="D12496" s="496"/>
    </row>
    <row r="12497" spans="1:4" x14ac:dyDescent="0.2">
      <c r="A12497" s="496"/>
      <c r="D12497" s="496"/>
    </row>
    <row r="12498" spans="1:4" x14ac:dyDescent="0.2">
      <c r="A12498" s="496"/>
      <c r="D12498" s="496"/>
    </row>
    <row r="12499" spans="1:4" x14ac:dyDescent="0.2">
      <c r="A12499" s="496"/>
      <c r="D12499" s="496"/>
    </row>
    <row r="12500" spans="1:4" x14ac:dyDescent="0.2">
      <c r="A12500" s="496"/>
      <c r="D12500" s="496"/>
    </row>
    <row r="12501" spans="1:4" x14ac:dyDescent="0.2">
      <c r="A12501" s="496"/>
      <c r="D12501" s="496"/>
    </row>
    <row r="12502" spans="1:4" x14ac:dyDescent="0.2">
      <c r="A12502" s="496"/>
      <c r="D12502" s="496"/>
    </row>
    <row r="12503" spans="1:4" x14ac:dyDescent="0.2">
      <c r="A12503" s="496"/>
      <c r="D12503" s="496"/>
    </row>
    <row r="12504" spans="1:4" x14ac:dyDescent="0.2">
      <c r="A12504" s="496"/>
      <c r="D12504" s="496"/>
    </row>
    <row r="12505" spans="1:4" x14ac:dyDescent="0.2">
      <c r="A12505" s="496"/>
      <c r="D12505" s="496"/>
    </row>
    <row r="12506" spans="1:4" x14ac:dyDescent="0.2">
      <c r="A12506" s="496"/>
      <c r="D12506" s="496"/>
    </row>
    <row r="12507" spans="1:4" x14ac:dyDescent="0.2">
      <c r="A12507" s="496"/>
      <c r="D12507" s="496"/>
    </row>
    <row r="12508" spans="1:4" x14ac:dyDescent="0.2">
      <c r="A12508" s="496"/>
      <c r="D12508" s="496"/>
    </row>
    <row r="12509" spans="1:4" x14ac:dyDescent="0.2">
      <c r="A12509" s="496"/>
      <c r="D12509" s="496"/>
    </row>
    <row r="12510" spans="1:4" x14ac:dyDescent="0.2">
      <c r="A12510" s="496"/>
      <c r="D12510" s="496"/>
    </row>
    <row r="12511" spans="1:4" x14ac:dyDescent="0.2">
      <c r="A12511" s="496"/>
      <c r="D12511" s="496"/>
    </row>
    <row r="12512" spans="1:4" x14ac:dyDescent="0.2">
      <c r="A12512" s="496"/>
      <c r="D12512" s="496"/>
    </row>
    <row r="12513" spans="1:4" x14ac:dyDescent="0.2">
      <c r="A12513" s="496"/>
      <c r="D12513" s="496"/>
    </row>
    <row r="12514" spans="1:4" x14ac:dyDescent="0.2">
      <c r="A12514" s="496"/>
      <c r="D12514" s="496"/>
    </row>
    <row r="12515" spans="1:4" x14ac:dyDescent="0.2">
      <c r="A12515" s="496"/>
      <c r="D12515" s="496"/>
    </row>
    <row r="12516" spans="1:4" x14ac:dyDescent="0.2">
      <c r="A12516" s="496"/>
      <c r="D12516" s="496"/>
    </row>
    <row r="12517" spans="1:4" x14ac:dyDescent="0.2">
      <c r="A12517" s="496"/>
      <c r="D12517" s="496"/>
    </row>
    <row r="12518" spans="1:4" x14ac:dyDescent="0.2">
      <c r="A12518" s="496"/>
      <c r="D12518" s="496"/>
    </row>
    <row r="12519" spans="1:4" x14ac:dyDescent="0.2">
      <c r="A12519" s="496"/>
      <c r="D12519" s="496"/>
    </row>
    <row r="12520" spans="1:4" x14ac:dyDescent="0.2">
      <c r="A12520" s="496"/>
      <c r="D12520" s="496"/>
    </row>
    <row r="12521" spans="1:4" x14ac:dyDescent="0.2">
      <c r="A12521" s="496"/>
      <c r="D12521" s="496"/>
    </row>
    <row r="12522" spans="1:4" x14ac:dyDescent="0.2">
      <c r="A12522" s="496"/>
      <c r="D12522" s="496"/>
    </row>
    <row r="12523" spans="1:4" x14ac:dyDescent="0.2">
      <c r="A12523" s="496"/>
      <c r="D12523" s="496"/>
    </row>
    <row r="12524" spans="1:4" x14ac:dyDescent="0.2">
      <c r="A12524" s="496"/>
      <c r="D12524" s="496"/>
    </row>
    <row r="12525" spans="1:4" x14ac:dyDescent="0.2">
      <c r="A12525" s="496"/>
      <c r="D12525" s="496"/>
    </row>
    <row r="12526" spans="1:4" x14ac:dyDescent="0.2">
      <c r="A12526" s="496"/>
      <c r="D12526" s="496"/>
    </row>
    <row r="12527" spans="1:4" x14ac:dyDescent="0.2">
      <c r="A12527" s="496"/>
      <c r="D12527" s="496"/>
    </row>
    <row r="12528" spans="1:4" x14ac:dyDescent="0.2">
      <c r="A12528" s="496"/>
      <c r="D12528" s="496"/>
    </row>
    <row r="12529" spans="1:4" x14ac:dyDescent="0.2">
      <c r="A12529" s="496"/>
      <c r="D12529" s="496"/>
    </row>
    <row r="12530" spans="1:4" x14ac:dyDescent="0.2">
      <c r="A12530" s="496"/>
      <c r="D12530" s="496"/>
    </row>
    <row r="12531" spans="1:4" x14ac:dyDescent="0.2">
      <c r="A12531" s="496"/>
      <c r="D12531" s="496"/>
    </row>
    <row r="12532" spans="1:4" x14ac:dyDescent="0.2">
      <c r="A12532" s="496"/>
      <c r="D12532" s="496"/>
    </row>
    <row r="12533" spans="1:4" x14ac:dyDescent="0.2">
      <c r="A12533" s="496"/>
      <c r="D12533" s="496"/>
    </row>
    <row r="12534" spans="1:4" x14ac:dyDescent="0.2">
      <c r="A12534" s="496"/>
      <c r="D12534" s="496"/>
    </row>
    <row r="12535" spans="1:4" x14ac:dyDescent="0.2">
      <c r="A12535" s="496"/>
      <c r="D12535" s="496"/>
    </row>
    <row r="12536" spans="1:4" x14ac:dyDescent="0.2">
      <c r="A12536" s="496"/>
      <c r="D12536" s="496"/>
    </row>
    <row r="12537" spans="1:4" x14ac:dyDescent="0.2">
      <c r="A12537" s="496"/>
      <c r="D12537" s="496"/>
    </row>
    <row r="12538" spans="1:4" x14ac:dyDescent="0.2">
      <c r="A12538" s="496"/>
      <c r="D12538" s="496"/>
    </row>
    <row r="12539" spans="1:4" x14ac:dyDescent="0.2">
      <c r="A12539" s="496"/>
      <c r="D12539" s="496"/>
    </row>
    <row r="12540" spans="1:4" x14ac:dyDescent="0.2">
      <c r="A12540" s="496"/>
      <c r="D12540" s="496"/>
    </row>
    <row r="12541" spans="1:4" x14ac:dyDescent="0.2">
      <c r="A12541" s="496"/>
      <c r="D12541" s="496"/>
    </row>
    <row r="12542" spans="1:4" x14ac:dyDescent="0.2">
      <c r="A12542" s="496"/>
      <c r="D12542" s="496"/>
    </row>
    <row r="12543" spans="1:4" x14ac:dyDescent="0.2">
      <c r="A12543" s="496"/>
      <c r="D12543" s="496"/>
    </row>
    <row r="12544" spans="1:4" x14ac:dyDescent="0.2">
      <c r="A12544" s="496"/>
      <c r="D12544" s="496"/>
    </row>
    <row r="12545" spans="1:4" x14ac:dyDescent="0.2">
      <c r="A12545" s="496"/>
      <c r="D12545" s="496"/>
    </row>
    <row r="12546" spans="1:4" x14ac:dyDescent="0.2">
      <c r="A12546" s="496"/>
      <c r="D12546" s="496"/>
    </row>
    <row r="12547" spans="1:4" x14ac:dyDescent="0.2">
      <c r="A12547" s="496"/>
      <c r="D12547" s="496"/>
    </row>
    <row r="12548" spans="1:4" x14ac:dyDescent="0.2">
      <c r="A12548" s="496"/>
      <c r="D12548" s="496"/>
    </row>
    <row r="12549" spans="1:4" x14ac:dyDescent="0.2">
      <c r="A12549" s="496"/>
      <c r="D12549" s="496"/>
    </row>
    <row r="12550" spans="1:4" x14ac:dyDescent="0.2">
      <c r="A12550" s="496"/>
      <c r="D12550" s="496"/>
    </row>
    <row r="12551" spans="1:4" x14ac:dyDescent="0.2">
      <c r="A12551" s="496"/>
      <c r="D12551" s="496"/>
    </row>
    <row r="12552" spans="1:4" x14ac:dyDescent="0.2">
      <c r="A12552" s="496"/>
      <c r="D12552" s="496"/>
    </row>
    <row r="12553" spans="1:4" x14ac:dyDescent="0.2">
      <c r="A12553" s="496"/>
      <c r="D12553" s="496"/>
    </row>
    <row r="12554" spans="1:4" x14ac:dyDescent="0.2">
      <c r="A12554" s="496"/>
      <c r="D12554" s="496"/>
    </row>
    <row r="12555" spans="1:4" x14ac:dyDescent="0.2">
      <c r="A12555" s="496"/>
      <c r="D12555" s="496"/>
    </row>
    <row r="12556" spans="1:4" x14ac:dyDescent="0.2">
      <c r="A12556" s="496"/>
      <c r="D12556" s="496"/>
    </row>
    <row r="12557" spans="1:4" x14ac:dyDescent="0.2">
      <c r="A12557" s="496"/>
      <c r="D12557" s="496"/>
    </row>
    <row r="12558" spans="1:4" x14ac:dyDescent="0.2">
      <c r="A12558" s="496"/>
      <c r="D12558" s="496"/>
    </row>
    <row r="12559" spans="1:4" x14ac:dyDescent="0.2">
      <c r="A12559" s="496"/>
      <c r="D12559" s="496"/>
    </row>
    <row r="12560" spans="1:4" x14ac:dyDescent="0.2">
      <c r="A12560" s="496"/>
      <c r="D12560" s="496"/>
    </row>
    <row r="12561" spans="1:4" x14ac:dyDescent="0.2">
      <c r="A12561" s="496"/>
      <c r="D12561" s="496"/>
    </row>
    <row r="12562" spans="1:4" x14ac:dyDescent="0.2">
      <c r="A12562" s="496"/>
      <c r="D12562" s="496"/>
    </row>
    <row r="12563" spans="1:4" x14ac:dyDescent="0.2">
      <c r="A12563" s="496"/>
      <c r="D12563" s="496"/>
    </row>
    <row r="12564" spans="1:4" x14ac:dyDescent="0.2">
      <c r="A12564" s="496"/>
      <c r="D12564" s="496"/>
    </row>
    <row r="12565" spans="1:4" x14ac:dyDescent="0.2">
      <c r="A12565" s="496"/>
      <c r="D12565" s="496"/>
    </row>
    <row r="12566" spans="1:4" x14ac:dyDescent="0.2">
      <c r="A12566" s="496"/>
      <c r="D12566" s="496"/>
    </row>
    <row r="12567" spans="1:4" x14ac:dyDescent="0.2">
      <c r="A12567" s="496"/>
      <c r="D12567" s="496"/>
    </row>
    <row r="12568" spans="1:4" x14ac:dyDescent="0.2">
      <c r="A12568" s="496"/>
      <c r="D12568" s="496"/>
    </row>
    <row r="12569" spans="1:4" x14ac:dyDescent="0.2">
      <c r="A12569" s="496"/>
      <c r="D12569" s="496"/>
    </row>
    <row r="12570" spans="1:4" x14ac:dyDescent="0.2">
      <c r="A12570" s="496"/>
      <c r="D12570" s="496"/>
    </row>
    <row r="12571" spans="1:4" x14ac:dyDescent="0.2">
      <c r="A12571" s="496"/>
      <c r="D12571" s="496"/>
    </row>
    <row r="12572" spans="1:4" x14ac:dyDescent="0.2">
      <c r="A12572" s="496"/>
      <c r="D12572" s="496"/>
    </row>
    <row r="12573" spans="1:4" x14ac:dyDescent="0.2">
      <c r="A12573" s="496"/>
      <c r="D12573" s="496"/>
    </row>
    <row r="12574" spans="1:4" x14ac:dyDescent="0.2">
      <c r="A12574" s="496"/>
      <c r="D12574" s="496"/>
    </row>
    <row r="12575" spans="1:4" x14ac:dyDescent="0.2">
      <c r="A12575" s="496"/>
      <c r="D12575" s="496"/>
    </row>
    <row r="12576" spans="1:4" x14ac:dyDescent="0.2">
      <c r="A12576" s="496"/>
      <c r="D12576" s="496"/>
    </row>
    <row r="12577" spans="1:4" x14ac:dyDescent="0.2">
      <c r="A12577" s="496"/>
      <c r="D12577" s="496"/>
    </row>
    <row r="12578" spans="1:4" x14ac:dyDescent="0.2">
      <c r="A12578" s="496"/>
      <c r="D12578" s="496"/>
    </row>
    <row r="12579" spans="1:4" x14ac:dyDescent="0.2">
      <c r="A12579" s="496"/>
      <c r="D12579" s="496"/>
    </row>
    <row r="12580" spans="1:4" x14ac:dyDescent="0.2">
      <c r="A12580" s="496"/>
      <c r="D12580" s="496"/>
    </row>
    <row r="12581" spans="1:4" x14ac:dyDescent="0.2">
      <c r="A12581" s="496"/>
      <c r="D12581" s="496"/>
    </row>
    <row r="12582" spans="1:4" x14ac:dyDescent="0.2">
      <c r="A12582" s="496"/>
      <c r="D12582" s="496"/>
    </row>
    <row r="12583" spans="1:4" x14ac:dyDescent="0.2">
      <c r="A12583" s="496"/>
      <c r="D12583" s="496"/>
    </row>
    <row r="12584" spans="1:4" x14ac:dyDescent="0.2">
      <c r="A12584" s="496"/>
      <c r="D12584" s="496"/>
    </row>
    <row r="12585" spans="1:4" x14ac:dyDescent="0.2">
      <c r="A12585" s="496"/>
      <c r="D12585" s="496"/>
    </row>
    <row r="12586" spans="1:4" x14ac:dyDescent="0.2">
      <c r="A12586" s="496"/>
      <c r="D12586" s="496"/>
    </row>
    <row r="12587" spans="1:4" x14ac:dyDescent="0.2">
      <c r="A12587" s="496"/>
      <c r="D12587" s="496"/>
    </row>
    <row r="12588" spans="1:4" x14ac:dyDescent="0.2">
      <c r="A12588" s="496"/>
      <c r="D12588" s="496"/>
    </row>
    <row r="12589" spans="1:4" x14ac:dyDescent="0.2">
      <c r="A12589" s="496"/>
      <c r="D12589" s="496"/>
    </row>
    <row r="12590" spans="1:4" x14ac:dyDescent="0.2">
      <c r="A12590" s="496"/>
      <c r="D12590" s="496"/>
    </row>
    <row r="12591" spans="1:4" x14ac:dyDescent="0.2">
      <c r="A12591" s="496"/>
      <c r="D12591" s="496"/>
    </row>
    <row r="12592" spans="1:4" x14ac:dyDescent="0.2">
      <c r="A12592" s="496"/>
      <c r="D12592" s="496"/>
    </row>
    <row r="12593" spans="1:4" x14ac:dyDescent="0.2">
      <c r="A12593" s="496"/>
      <c r="D12593" s="496"/>
    </row>
    <row r="12594" spans="1:4" x14ac:dyDescent="0.2">
      <c r="A12594" s="496"/>
      <c r="D12594" s="496"/>
    </row>
    <row r="12595" spans="1:4" x14ac:dyDescent="0.2">
      <c r="A12595" s="496"/>
      <c r="D12595" s="496"/>
    </row>
    <row r="12596" spans="1:4" x14ac:dyDescent="0.2">
      <c r="A12596" s="496"/>
      <c r="D12596" s="496"/>
    </row>
    <row r="12597" spans="1:4" x14ac:dyDescent="0.2">
      <c r="A12597" s="496"/>
      <c r="D12597" s="496"/>
    </row>
    <row r="12598" spans="1:4" x14ac:dyDescent="0.2">
      <c r="A12598" s="496"/>
      <c r="D12598" s="496"/>
    </row>
    <row r="12599" spans="1:4" x14ac:dyDescent="0.2">
      <c r="A12599" s="496"/>
      <c r="D12599" s="496"/>
    </row>
    <row r="12600" spans="1:4" x14ac:dyDescent="0.2">
      <c r="A12600" s="496"/>
      <c r="D12600" s="496"/>
    </row>
    <row r="12601" spans="1:4" x14ac:dyDescent="0.2">
      <c r="A12601" s="496"/>
      <c r="D12601" s="496"/>
    </row>
    <row r="12602" spans="1:4" x14ac:dyDescent="0.2">
      <c r="A12602" s="496"/>
      <c r="D12602" s="496"/>
    </row>
    <row r="12603" spans="1:4" x14ac:dyDescent="0.2">
      <c r="A12603" s="496"/>
      <c r="D12603" s="496"/>
    </row>
    <row r="12604" spans="1:4" x14ac:dyDescent="0.2">
      <c r="A12604" s="496"/>
      <c r="D12604" s="496"/>
    </row>
    <row r="12605" spans="1:4" x14ac:dyDescent="0.2">
      <c r="A12605" s="496"/>
      <c r="D12605" s="496"/>
    </row>
    <row r="12606" spans="1:4" x14ac:dyDescent="0.2">
      <c r="A12606" s="496"/>
      <c r="D12606" s="496"/>
    </row>
    <row r="12607" spans="1:4" x14ac:dyDescent="0.2">
      <c r="A12607" s="496"/>
      <c r="D12607" s="496"/>
    </row>
    <row r="12608" spans="1:4" x14ac:dyDescent="0.2">
      <c r="A12608" s="496"/>
      <c r="D12608" s="496"/>
    </row>
    <row r="12609" spans="1:4" x14ac:dyDescent="0.2">
      <c r="A12609" s="496"/>
      <c r="D12609" s="496"/>
    </row>
    <row r="12610" spans="1:4" x14ac:dyDescent="0.2">
      <c r="A12610" s="496"/>
      <c r="D12610" s="496"/>
    </row>
    <row r="12611" spans="1:4" x14ac:dyDescent="0.2">
      <c r="A12611" s="496"/>
      <c r="D12611" s="496"/>
    </row>
    <row r="12612" spans="1:4" x14ac:dyDescent="0.2">
      <c r="A12612" s="496"/>
      <c r="D12612" s="496"/>
    </row>
    <row r="12613" spans="1:4" x14ac:dyDescent="0.2">
      <c r="A12613" s="496"/>
      <c r="D12613" s="496"/>
    </row>
    <row r="12614" spans="1:4" x14ac:dyDescent="0.2">
      <c r="A12614" s="496"/>
      <c r="D12614" s="496"/>
    </row>
    <row r="12615" spans="1:4" x14ac:dyDescent="0.2">
      <c r="A12615" s="496"/>
      <c r="D12615" s="496"/>
    </row>
    <row r="12616" spans="1:4" x14ac:dyDescent="0.2">
      <c r="A12616" s="496"/>
      <c r="D12616" s="496"/>
    </row>
    <row r="12617" spans="1:4" x14ac:dyDescent="0.2">
      <c r="A12617" s="496"/>
      <c r="D12617" s="496"/>
    </row>
    <row r="12618" spans="1:4" x14ac:dyDescent="0.2">
      <c r="A12618" s="496"/>
      <c r="D12618" s="496"/>
    </row>
    <row r="12619" spans="1:4" x14ac:dyDescent="0.2">
      <c r="A12619" s="496"/>
      <c r="D12619" s="496"/>
    </row>
    <row r="12620" spans="1:4" x14ac:dyDescent="0.2">
      <c r="A12620" s="496"/>
      <c r="D12620" s="496"/>
    </row>
    <row r="12621" spans="1:4" x14ac:dyDescent="0.2">
      <c r="A12621" s="496"/>
      <c r="D12621" s="496"/>
    </row>
    <row r="12622" spans="1:4" x14ac:dyDescent="0.2">
      <c r="A12622" s="496"/>
      <c r="D12622" s="496"/>
    </row>
    <row r="12623" spans="1:4" x14ac:dyDescent="0.2">
      <c r="A12623" s="496"/>
      <c r="D12623" s="496"/>
    </row>
    <row r="12624" spans="1:4" x14ac:dyDescent="0.2">
      <c r="A12624" s="496"/>
      <c r="D12624" s="496"/>
    </row>
    <row r="12625" spans="1:4" x14ac:dyDescent="0.2">
      <c r="A12625" s="496"/>
      <c r="D12625" s="496"/>
    </row>
    <row r="12626" spans="1:4" x14ac:dyDescent="0.2">
      <c r="A12626" s="496"/>
      <c r="D12626" s="496"/>
    </row>
    <row r="12627" spans="1:4" x14ac:dyDescent="0.2">
      <c r="A12627" s="496"/>
      <c r="D12627" s="496"/>
    </row>
    <row r="12628" spans="1:4" x14ac:dyDescent="0.2">
      <c r="A12628" s="496"/>
      <c r="D12628" s="496"/>
    </row>
    <row r="12629" spans="1:4" x14ac:dyDescent="0.2">
      <c r="A12629" s="496"/>
      <c r="D12629" s="496"/>
    </row>
    <row r="12630" spans="1:4" x14ac:dyDescent="0.2">
      <c r="A12630" s="496"/>
      <c r="D12630" s="496"/>
    </row>
    <row r="12631" spans="1:4" x14ac:dyDescent="0.2">
      <c r="A12631" s="496"/>
      <c r="D12631" s="496"/>
    </row>
    <row r="12632" spans="1:4" x14ac:dyDescent="0.2">
      <c r="A12632" s="496"/>
      <c r="D12632" s="496"/>
    </row>
    <row r="12633" spans="1:4" x14ac:dyDescent="0.2">
      <c r="A12633" s="496"/>
      <c r="D12633" s="496"/>
    </row>
    <row r="12634" spans="1:4" x14ac:dyDescent="0.2">
      <c r="A12634" s="496"/>
      <c r="D12634" s="496"/>
    </row>
    <row r="12635" spans="1:4" x14ac:dyDescent="0.2">
      <c r="A12635" s="496"/>
      <c r="D12635" s="496"/>
    </row>
    <row r="12636" spans="1:4" x14ac:dyDescent="0.2">
      <c r="A12636" s="496"/>
      <c r="D12636" s="496"/>
    </row>
    <row r="12637" spans="1:4" x14ac:dyDescent="0.2">
      <c r="A12637" s="496"/>
      <c r="D12637" s="496"/>
    </row>
    <row r="12638" spans="1:4" x14ac:dyDescent="0.2">
      <c r="A12638" s="496"/>
      <c r="D12638" s="496"/>
    </row>
    <row r="12639" spans="1:4" x14ac:dyDescent="0.2">
      <c r="A12639" s="496"/>
      <c r="D12639" s="496"/>
    </row>
    <row r="12640" spans="1:4" x14ac:dyDescent="0.2">
      <c r="A12640" s="496"/>
      <c r="D12640" s="496"/>
    </row>
    <row r="12641" spans="1:4" x14ac:dyDescent="0.2">
      <c r="A12641" s="496"/>
      <c r="D12641" s="496"/>
    </row>
    <row r="12642" spans="1:4" x14ac:dyDescent="0.2">
      <c r="A12642" s="496"/>
      <c r="D12642" s="496"/>
    </row>
    <row r="12643" spans="1:4" x14ac:dyDescent="0.2">
      <c r="A12643" s="496"/>
      <c r="D12643" s="496"/>
    </row>
    <row r="12644" spans="1:4" x14ac:dyDescent="0.2">
      <c r="A12644" s="496"/>
      <c r="D12644" s="496"/>
    </row>
    <row r="12645" spans="1:4" x14ac:dyDescent="0.2">
      <c r="A12645" s="496"/>
      <c r="D12645" s="496"/>
    </row>
    <row r="12646" spans="1:4" x14ac:dyDescent="0.2">
      <c r="A12646" s="496"/>
      <c r="D12646" s="496"/>
    </row>
    <row r="12647" spans="1:4" x14ac:dyDescent="0.2">
      <c r="A12647" s="496"/>
      <c r="D12647" s="496"/>
    </row>
    <row r="12648" spans="1:4" x14ac:dyDescent="0.2">
      <c r="A12648" s="496"/>
      <c r="D12648" s="496"/>
    </row>
    <row r="12649" spans="1:4" x14ac:dyDescent="0.2">
      <c r="A12649" s="496"/>
      <c r="D12649" s="496"/>
    </row>
    <row r="12650" spans="1:4" x14ac:dyDescent="0.2">
      <c r="A12650" s="496"/>
      <c r="D12650" s="496"/>
    </row>
    <row r="12651" spans="1:4" x14ac:dyDescent="0.2">
      <c r="A12651" s="496"/>
      <c r="D12651" s="496"/>
    </row>
    <row r="12652" spans="1:4" x14ac:dyDescent="0.2">
      <c r="A12652" s="496"/>
      <c r="D12652" s="496"/>
    </row>
    <row r="12653" spans="1:4" x14ac:dyDescent="0.2">
      <c r="A12653" s="496"/>
      <c r="D12653" s="496"/>
    </row>
    <row r="12654" spans="1:4" x14ac:dyDescent="0.2">
      <c r="A12654" s="496"/>
      <c r="D12654" s="496"/>
    </row>
    <row r="12655" spans="1:4" x14ac:dyDescent="0.2">
      <c r="A12655" s="496"/>
      <c r="D12655" s="496"/>
    </row>
    <row r="12656" spans="1:4" x14ac:dyDescent="0.2">
      <c r="A12656" s="496"/>
      <c r="D12656" s="496"/>
    </row>
    <row r="12657" spans="1:4" x14ac:dyDescent="0.2">
      <c r="A12657" s="496"/>
      <c r="D12657" s="496"/>
    </row>
    <row r="12658" spans="1:4" x14ac:dyDescent="0.2">
      <c r="A12658" s="496"/>
      <c r="D12658" s="496"/>
    </row>
    <row r="12659" spans="1:4" x14ac:dyDescent="0.2">
      <c r="A12659" s="496"/>
      <c r="D12659" s="496"/>
    </row>
    <row r="12660" spans="1:4" x14ac:dyDescent="0.2">
      <c r="A12660" s="496"/>
      <c r="D12660" s="496"/>
    </row>
    <row r="12661" spans="1:4" x14ac:dyDescent="0.2">
      <c r="A12661" s="496"/>
      <c r="D12661" s="496"/>
    </row>
    <row r="12662" spans="1:4" x14ac:dyDescent="0.2">
      <c r="A12662" s="496"/>
      <c r="D12662" s="496"/>
    </row>
    <row r="12663" spans="1:4" x14ac:dyDescent="0.2">
      <c r="A12663" s="496"/>
      <c r="D12663" s="496"/>
    </row>
    <row r="12664" spans="1:4" x14ac:dyDescent="0.2">
      <c r="A12664" s="496"/>
      <c r="D12664" s="496"/>
    </row>
    <row r="12665" spans="1:4" x14ac:dyDescent="0.2">
      <c r="A12665" s="496"/>
      <c r="D12665" s="496"/>
    </row>
    <row r="12666" spans="1:4" x14ac:dyDescent="0.2">
      <c r="A12666" s="496"/>
      <c r="D12666" s="496"/>
    </row>
    <row r="12667" spans="1:4" x14ac:dyDescent="0.2">
      <c r="A12667" s="496"/>
      <c r="D12667" s="496"/>
    </row>
    <row r="12668" spans="1:4" x14ac:dyDescent="0.2">
      <c r="A12668" s="496"/>
      <c r="D12668" s="496"/>
    </row>
    <row r="12669" spans="1:4" x14ac:dyDescent="0.2">
      <c r="A12669" s="496"/>
      <c r="D12669" s="496"/>
    </row>
    <row r="12670" spans="1:4" x14ac:dyDescent="0.2">
      <c r="A12670" s="496"/>
      <c r="D12670" s="496"/>
    </row>
    <row r="12671" spans="1:4" x14ac:dyDescent="0.2">
      <c r="A12671" s="496"/>
      <c r="D12671" s="496"/>
    </row>
    <row r="12672" spans="1:4" x14ac:dyDescent="0.2">
      <c r="A12672" s="496"/>
      <c r="D12672" s="496"/>
    </row>
    <row r="12673" spans="1:4" x14ac:dyDescent="0.2">
      <c r="A12673" s="496"/>
      <c r="D12673" s="496"/>
    </row>
    <row r="12674" spans="1:4" x14ac:dyDescent="0.2">
      <c r="A12674" s="496"/>
      <c r="D12674" s="496"/>
    </row>
    <row r="12675" spans="1:4" x14ac:dyDescent="0.2">
      <c r="A12675" s="496"/>
      <c r="D12675" s="496"/>
    </row>
    <row r="12676" spans="1:4" x14ac:dyDescent="0.2">
      <c r="A12676" s="496"/>
      <c r="D12676" s="496"/>
    </row>
    <row r="12677" spans="1:4" x14ac:dyDescent="0.2">
      <c r="A12677" s="496"/>
      <c r="D12677" s="496"/>
    </row>
    <row r="12678" spans="1:4" x14ac:dyDescent="0.2">
      <c r="A12678" s="496"/>
      <c r="D12678" s="496"/>
    </row>
    <row r="12679" spans="1:4" x14ac:dyDescent="0.2">
      <c r="A12679" s="496"/>
      <c r="D12679" s="496"/>
    </row>
    <row r="12680" spans="1:4" x14ac:dyDescent="0.2">
      <c r="A12680" s="496"/>
      <c r="D12680" s="496"/>
    </row>
    <row r="12681" spans="1:4" x14ac:dyDescent="0.2">
      <c r="A12681" s="496"/>
      <c r="D12681" s="496"/>
    </row>
    <row r="12682" spans="1:4" x14ac:dyDescent="0.2">
      <c r="A12682" s="496"/>
      <c r="D12682" s="496"/>
    </row>
    <row r="12683" spans="1:4" x14ac:dyDescent="0.2">
      <c r="A12683" s="496"/>
      <c r="D12683" s="496"/>
    </row>
    <row r="12684" spans="1:4" x14ac:dyDescent="0.2">
      <c r="A12684" s="496"/>
      <c r="D12684" s="496"/>
    </row>
    <row r="12685" spans="1:4" x14ac:dyDescent="0.2">
      <c r="A12685" s="496"/>
      <c r="D12685" s="496"/>
    </row>
    <row r="12686" spans="1:4" x14ac:dyDescent="0.2">
      <c r="A12686" s="496"/>
      <c r="D12686" s="496"/>
    </row>
    <row r="12687" spans="1:4" x14ac:dyDescent="0.2">
      <c r="A12687" s="496"/>
      <c r="D12687" s="496"/>
    </row>
    <row r="12688" spans="1:4" x14ac:dyDescent="0.2">
      <c r="A12688" s="496"/>
      <c r="D12688" s="496"/>
    </row>
    <row r="12689" spans="1:4" x14ac:dyDescent="0.2">
      <c r="A12689" s="496"/>
      <c r="D12689" s="496"/>
    </row>
    <row r="12690" spans="1:4" x14ac:dyDescent="0.2">
      <c r="A12690" s="496"/>
      <c r="D12690" s="496"/>
    </row>
    <row r="12691" spans="1:4" x14ac:dyDescent="0.2">
      <c r="A12691" s="496"/>
      <c r="D12691" s="496"/>
    </row>
    <row r="12692" spans="1:4" x14ac:dyDescent="0.2">
      <c r="A12692" s="496"/>
      <c r="D12692" s="496"/>
    </row>
    <row r="12693" spans="1:4" x14ac:dyDescent="0.2">
      <c r="A12693" s="496"/>
      <c r="D12693" s="496"/>
    </row>
    <row r="12694" spans="1:4" x14ac:dyDescent="0.2">
      <c r="A12694" s="496"/>
      <c r="D12694" s="496"/>
    </row>
    <row r="12695" spans="1:4" x14ac:dyDescent="0.2">
      <c r="A12695" s="496"/>
      <c r="D12695" s="496"/>
    </row>
    <row r="12696" spans="1:4" x14ac:dyDescent="0.2">
      <c r="A12696" s="496"/>
      <c r="D12696" s="496"/>
    </row>
    <row r="12697" spans="1:4" x14ac:dyDescent="0.2">
      <c r="A12697" s="496"/>
      <c r="D12697" s="496"/>
    </row>
    <row r="12698" spans="1:4" x14ac:dyDescent="0.2">
      <c r="A12698" s="496"/>
      <c r="D12698" s="496"/>
    </row>
    <row r="12699" spans="1:4" x14ac:dyDescent="0.2">
      <c r="A12699" s="496"/>
      <c r="D12699" s="496"/>
    </row>
    <row r="12700" spans="1:4" x14ac:dyDescent="0.2">
      <c r="A12700" s="496"/>
      <c r="D12700" s="496"/>
    </row>
    <row r="12701" spans="1:4" x14ac:dyDescent="0.2">
      <c r="A12701" s="496"/>
      <c r="D12701" s="496"/>
    </row>
    <row r="12702" spans="1:4" x14ac:dyDescent="0.2">
      <c r="A12702" s="496"/>
      <c r="D12702" s="496"/>
    </row>
    <row r="12703" spans="1:4" x14ac:dyDescent="0.2">
      <c r="A12703" s="496"/>
      <c r="D12703" s="496"/>
    </row>
    <row r="12704" spans="1:4" x14ac:dyDescent="0.2">
      <c r="A12704" s="496"/>
      <c r="D12704" s="496"/>
    </row>
    <row r="12705" spans="1:4" x14ac:dyDescent="0.2">
      <c r="A12705" s="496"/>
      <c r="D12705" s="496"/>
    </row>
    <row r="12706" spans="1:4" x14ac:dyDescent="0.2">
      <c r="A12706" s="496"/>
      <c r="D12706" s="496"/>
    </row>
    <row r="12707" spans="1:4" x14ac:dyDescent="0.2">
      <c r="A12707" s="496"/>
      <c r="D12707" s="496"/>
    </row>
    <row r="12708" spans="1:4" x14ac:dyDescent="0.2">
      <c r="A12708" s="496"/>
      <c r="D12708" s="496"/>
    </row>
    <row r="12709" spans="1:4" x14ac:dyDescent="0.2">
      <c r="A12709" s="496"/>
      <c r="D12709" s="496"/>
    </row>
    <row r="12710" spans="1:4" x14ac:dyDescent="0.2">
      <c r="A12710" s="496"/>
      <c r="D12710" s="496"/>
    </row>
    <row r="12711" spans="1:4" x14ac:dyDescent="0.2">
      <c r="A12711" s="496"/>
      <c r="D12711" s="496"/>
    </row>
    <row r="12712" spans="1:4" x14ac:dyDescent="0.2">
      <c r="A12712" s="496"/>
      <c r="D12712" s="496"/>
    </row>
    <row r="12713" spans="1:4" x14ac:dyDescent="0.2">
      <c r="A12713" s="496"/>
      <c r="D12713" s="496"/>
    </row>
    <row r="12714" spans="1:4" x14ac:dyDescent="0.2">
      <c r="A12714" s="496"/>
      <c r="D12714" s="496"/>
    </row>
    <row r="12715" spans="1:4" x14ac:dyDescent="0.2">
      <c r="A12715" s="496"/>
      <c r="D12715" s="496"/>
    </row>
    <row r="12716" spans="1:4" x14ac:dyDescent="0.2">
      <c r="A12716" s="496"/>
      <c r="D12716" s="496"/>
    </row>
    <row r="12717" spans="1:4" x14ac:dyDescent="0.2">
      <c r="A12717" s="496"/>
      <c r="D12717" s="496"/>
    </row>
    <row r="12718" spans="1:4" x14ac:dyDescent="0.2">
      <c r="A12718" s="496"/>
      <c r="D12718" s="496"/>
    </row>
    <row r="12719" spans="1:4" x14ac:dyDescent="0.2">
      <c r="A12719" s="496"/>
      <c r="D12719" s="496"/>
    </row>
    <row r="12720" spans="1:4" x14ac:dyDescent="0.2">
      <c r="A12720" s="496"/>
      <c r="D12720" s="496"/>
    </row>
    <row r="12721" spans="1:4" x14ac:dyDescent="0.2">
      <c r="A12721" s="496"/>
      <c r="D12721" s="496"/>
    </row>
    <row r="12722" spans="1:4" x14ac:dyDescent="0.2">
      <c r="A12722" s="496"/>
      <c r="D12722" s="496"/>
    </row>
    <row r="12723" spans="1:4" x14ac:dyDescent="0.2">
      <c r="A12723" s="496"/>
      <c r="D12723" s="496"/>
    </row>
    <row r="12724" spans="1:4" x14ac:dyDescent="0.2">
      <c r="A12724" s="496"/>
      <c r="D12724" s="496"/>
    </row>
    <row r="12725" spans="1:4" x14ac:dyDescent="0.2">
      <c r="A12725" s="496"/>
      <c r="D12725" s="496"/>
    </row>
    <row r="12726" spans="1:4" x14ac:dyDescent="0.2">
      <c r="A12726" s="496"/>
      <c r="D12726" s="496"/>
    </row>
    <row r="12727" spans="1:4" x14ac:dyDescent="0.2">
      <c r="A12727" s="496"/>
      <c r="D12727" s="496"/>
    </row>
    <row r="12728" spans="1:4" x14ac:dyDescent="0.2">
      <c r="A12728" s="496"/>
      <c r="D12728" s="496"/>
    </row>
    <row r="12729" spans="1:4" x14ac:dyDescent="0.2">
      <c r="A12729" s="496"/>
      <c r="D12729" s="496"/>
    </row>
    <row r="12730" spans="1:4" x14ac:dyDescent="0.2">
      <c r="A12730" s="496"/>
      <c r="D12730" s="496"/>
    </row>
    <row r="12731" spans="1:4" x14ac:dyDescent="0.2">
      <c r="A12731" s="496"/>
      <c r="D12731" s="496"/>
    </row>
    <row r="12732" spans="1:4" x14ac:dyDescent="0.2">
      <c r="A12732" s="496"/>
      <c r="D12732" s="496"/>
    </row>
    <row r="12733" spans="1:4" x14ac:dyDescent="0.2">
      <c r="A12733" s="496"/>
      <c r="D12733" s="496"/>
    </row>
    <row r="12734" spans="1:4" x14ac:dyDescent="0.2">
      <c r="A12734" s="496"/>
      <c r="D12734" s="496"/>
    </row>
    <row r="12735" spans="1:4" x14ac:dyDescent="0.2">
      <c r="A12735" s="496"/>
      <c r="D12735" s="496"/>
    </row>
    <row r="12736" spans="1:4" x14ac:dyDescent="0.2">
      <c r="A12736" s="496"/>
      <c r="D12736" s="496"/>
    </row>
    <row r="12737" spans="1:4" x14ac:dyDescent="0.2">
      <c r="A12737" s="496"/>
      <c r="D12737" s="496"/>
    </row>
    <row r="12738" spans="1:4" x14ac:dyDescent="0.2">
      <c r="A12738" s="496"/>
      <c r="D12738" s="496"/>
    </row>
    <row r="12739" spans="1:4" x14ac:dyDescent="0.2">
      <c r="A12739" s="496"/>
      <c r="D12739" s="496"/>
    </row>
    <row r="12740" spans="1:4" x14ac:dyDescent="0.2">
      <c r="A12740" s="496"/>
      <c r="D12740" s="496"/>
    </row>
    <row r="12741" spans="1:4" x14ac:dyDescent="0.2">
      <c r="A12741" s="496"/>
      <c r="D12741" s="496"/>
    </row>
    <row r="12742" spans="1:4" x14ac:dyDescent="0.2">
      <c r="A12742" s="496"/>
      <c r="D12742" s="496"/>
    </row>
    <row r="12743" spans="1:4" x14ac:dyDescent="0.2">
      <c r="A12743" s="496"/>
      <c r="D12743" s="496"/>
    </row>
    <row r="12744" spans="1:4" x14ac:dyDescent="0.2">
      <c r="A12744" s="496"/>
      <c r="D12744" s="496"/>
    </row>
    <row r="12745" spans="1:4" x14ac:dyDescent="0.2">
      <c r="A12745" s="496"/>
      <c r="D12745" s="496"/>
    </row>
    <row r="12746" spans="1:4" x14ac:dyDescent="0.2">
      <c r="A12746" s="496"/>
      <c r="D12746" s="496"/>
    </row>
    <row r="12747" spans="1:4" x14ac:dyDescent="0.2">
      <c r="A12747" s="496"/>
      <c r="D12747" s="496"/>
    </row>
    <row r="12748" spans="1:4" x14ac:dyDescent="0.2">
      <c r="A12748" s="496"/>
      <c r="D12748" s="496"/>
    </row>
    <row r="12749" spans="1:4" x14ac:dyDescent="0.2">
      <c r="A12749" s="496"/>
      <c r="D12749" s="496"/>
    </row>
    <row r="12750" spans="1:4" x14ac:dyDescent="0.2">
      <c r="A12750" s="496"/>
      <c r="D12750" s="496"/>
    </row>
    <row r="12751" spans="1:4" x14ac:dyDescent="0.2">
      <c r="A12751" s="496"/>
      <c r="D12751" s="496"/>
    </row>
    <row r="12752" spans="1:4" x14ac:dyDescent="0.2">
      <c r="A12752" s="496"/>
      <c r="D12752" s="496"/>
    </row>
    <row r="12753" spans="1:4" x14ac:dyDescent="0.2">
      <c r="A12753" s="496"/>
      <c r="D12753" s="496"/>
    </row>
    <row r="12754" spans="1:4" x14ac:dyDescent="0.2">
      <c r="A12754" s="496"/>
      <c r="D12754" s="496"/>
    </row>
    <row r="12755" spans="1:4" x14ac:dyDescent="0.2">
      <c r="A12755" s="496"/>
      <c r="D12755" s="496"/>
    </row>
    <row r="12756" spans="1:4" x14ac:dyDescent="0.2">
      <c r="A12756" s="496"/>
      <c r="D12756" s="496"/>
    </row>
    <row r="12757" spans="1:4" x14ac:dyDescent="0.2">
      <c r="A12757" s="496"/>
      <c r="D12757" s="496"/>
    </row>
    <row r="12758" spans="1:4" x14ac:dyDescent="0.2">
      <c r="A12758" s="496"/>
      <c r="D12758" s="496"/>
    </row>
    <row r="12759" spans="1:4" x14ac:dyDescent="0.2">
      <c r="A12759" s="496"/>
      <c r="D12759" s="496"/>
    </row>
    <row r="12760" spans="1:4" x14ac:dyDescent="0.2">
      <c r="A12760" s="496"/>
      <c r="D12760" s="496"/>
    </row>
    <row r="12761" spans="1:4" x14ac:dyDescent="0.2">
      <c r="A12761" s="496"/>
      <c r="D12761" s="496"/>
    </row>
    <row r="12762" spans="1:4" x14ac:dyDescent="0.2">
      <c r="A12762" s="496"/>
      <c r="D12762" s="496"/>
    </row>
    <row r="12763" spans="1:4" x14ac:dyDescent="0.2">
      <c r="A12763" s="496"/>
      <c r="D12763" s="496"/>
    </row>
    <row r="12764" spans="1:4" x14ac:dyDescent="0.2">
      <c r="A12764" s="496"/>
      <c r="D12764" s="496"/>
    </row>
    <row r="12765" spans="1:4" x14ac:dyDescent="0.2">
      <c r="A12765" s="496"/>
      <c r="D12765" s="496"/>
    </row>
    <row r="12766" spans="1:4" x14ac:dyDescent="0.2">
      <c r="A12766" s="496"/>
      <c r="D12766" s="496"/>
    </row>
    <row r="12767" spans="1:4" x14ac:dyDescent="0.2">
      <c r="A12767" s="496"/>
      <c r="D12767" s="496"/>
    </row>
    <row r="12768" spans="1:4" x14ac:dyDescent="0.2">
      <c r="A12768" s="496"/>
      <c r="D12768" s="496"/>
    </row>
    <row r="12769" spans="1:4" x14ac:dyDescent="0.2">
      <c r="A12769" s="496"/>
      <c r="D12769" s="496"/>
    </row>
    <row r="12770" spans="1:4" x14ac:dyDescent="0.2">
      <c r="A12770" s="496"/>
      <c r="D12770" s="496"/>
    </row>
    <row r="12771" spans="1:4" x14ac:dyDescent="0.2">
      <c r="A12771" s="496"/>
      <c r="D12771" s="496"/>
    </row>
    <row r="12772" spans="1:4" x14ac:dyDescent="0.2">
      <c r="A12772" s="496"/>
      <c r="D12772" s="496"/>
    </row>
    <row r="12773" spans="1:4" x14ac:dyDescent="0.2">
      <c r="A12773" s="496"/>
      <c r="D12773" s="496"/>
    </row>
    <row r="12774" spans="1:4" x14ac:dyDescent="0.2">
      <c r="A12774" s="496"/>
      <c r="D12774" s="496"/>
    </row>
    <row r="12775" spans="1:4" x14ac:dyDescent="0.2">
      <c r="A12775" s="496"/>
      <c r="D12775" s="496"/>
    </row>
    <row r="12776" spans="1:4" x14ac:dyDescent="0.2">
      <c r="A12776" s="496"/>
      <c r="D12776" s="496"/>
    </row>
    <row r="12777" spans="1:4" x14ac:dyDescent="0.2">
      <c r="A12777" s="496"/>
      <c r="D12777" s="496"/>
    </row>
    <row r="12778" spans="1:4" x14ac:dyDescent="0.2">
      <c r="A12778" s="496"/>
      <c r="D12778" s="496"/>
    </row>
    <row r="12779" spans="1:4" x14ac:dyDescent="0.2">
      <c r="A12779" s="496"/>
      <c r="D12779" s="496"/>
    </row>
    <row r="12780" spans="1:4" x14ac:dyDescent="0.2">
      <c r="A12780" s="496"/>
      <c r="D12780" s="496"/>
    </row>
    <row r="12781" spans="1:4" x14ac:dyDescent="0.2">
      <c r="A12781" s="496"/>
      <c r="D12781" s="496"/>
    </row>
    <row r="12782" spans="1:4" x14ac:dyDescent="0.2">
      <c r="A12782" s="496"/>
      <c r="D12782" s="496"/>
    </row>
    <row r="12783" spans="1:4" x14ac:dyDescent="0.2">
      <c r="A12783" s="496"/>
      <c r="D12783" s="496"/>
    </row>
    <row r="12784" spans="1:4" x14ac:dyDescent="0.2">
      <c r="A12784" s="496"/>
      <c r="D12784" s="496"/>
    </row>
    <row r="12785" spans="1:4" x14ac:dyDescent="0.2">
      <c r="A12785" s="496"/>
      <c r="D12785" s="496"/>
    </row>
    <row r="12786" spans="1:4" x14ac:dyDescent="0.2">
      <c r="A12786" s="496"/>
      <c r="D12786" s="496"/>
    </row>
    <row r="12787" spans="1:4" x14ac:dyDescent="0.2">
      <c r="A12787" s="496"/>
      <c r="D12787" s="496"/>
    </row>
    <row r="12788" spans="1:4" x14ac:dyDescent="0.2">
      <c r="A12788" s="496"/>
      <c r="D12788" s="496"/>
    </row>
    <row r="12789" spans="1:4" x14ac:dyDescent="0.2">
      <c r="A12789" s="496"/>
      <c r="D12789" s="496"/>
    </row>
    <row r="12790" spans="1:4" x14ac:dyDescent="0.2">
      <c r="A12790" s="496"/>
      <c r="D12790" s="496"/>
    </row>
    <row r="12791" spans="1:4" x14ac:dyDescent="0.2">
      <c r="A12791" s="496"/>
      <c r="D12791" s="496"/>
    </row>
    <row r="12792" spans="1:4" x14ac:dyDescent="0.2">
      <c r="A12792" s="496"/>
      <c r="D12792" s="496"/>
    </row>
    <row r="12793" spans="1:4" x14ac:dyDescent="0.2">
      <c r="A12793" s="496"/>
      <c r="D12793" s="496"/>
    </row>
    <row r="12794" spans="1:4" x14ac:dyDescent="0.2">
      <c r="A12794" s="496"/>
      <c r="D12794" s="496"/>
    </row>
    <row r="12795" spans="1:4" x14ac:dyDescent="0.2">
      <c r="A12795" s="496"/>
      <c r="D12795" s="496"/>
    </row>
    <row r="12796" spans="1:4" x14ac:dyDescent="0.2">
      <c r="A12796" s="496"/>
      <c r="D12796" s="496"/>
    </row>
    <row r="12797" spans="1:4" x14ac:dyDescent="0.2">
      <c r="A12797" s="496"/>
      <c r="D12797" s="496"/>
    </row>
    <row r="12798" spans="1:4" x14ac:dyDescent="0.2">
      <c r="A12798" s="496"/>
      <c r="D12798" s="496"/>
    </row>
    <row r="12799" spans="1:4" x14ac:dyDescent="0.2">
      <c r="A12799" s="496"/>
      <c r="D12799" s="496"/>
    </row>
    <row r="12800" spans="1:4" x14ac:dyDescent="0.2">
      <c r="A12800" s="496"/>
      <c r="D12800" s="496"/>
    </row>
    <row r="12801" spans="1:4" x14ac:dyDescent="0.2">
      <c r="A12801" s="496"/>
      <c r="D12801" s="496"/>
    </row>
    <row r="12802" spans="1:4" x14ac:dyDescent="0.2">
      <c r="A12802" s="496"/>
      <c r="D12802" s="496"/>
    </row>
    <row r="12803" spans="1:4" x14ac:dyDescent="0.2">
      <c r="A12803" s="496"/>
      <c r="D12803" s="496"/>
    </row>
    <row r="12804" spans="1:4" x14ac:dyDescent="0.2">
      <c r="A12804" s="496"/>
      <c r="D12804" s="496"/>
    </row>
    <row r="12805" spans="1:4" x14ac:dyDescent="0.2">
      <c r="A12805" s="496"/>
      <c r="D12805" s="496"/>
    </row>
    <row r="12806" spans="1:4" x14ac:dyDescent="0.2">
      <c r="A12806" s="496"/>
      <c r="D12806" s="496"/>
    </row>
    <row r="12807" spans="1:4" x14ac:dyDescent="0.2">
      <c r="A12807" s="496"/>
      <c r="D12807" s="496"/>
    </row>
    <row r="12808" spans="1:4" x14ac:dyDescent="0.2">
      <c r="A12808" s="496"/>
      <c r="D12808" s="496"/>
    </row>
    <row r="12809" spans="1:4" x14ac:dyDescent="0.2">
      <c r="A12809" s="496"/>
      <c r="D12809" s="496"/>
    </row>
    <row r="12810" spans="1:4" x14ac:dyDescent="0.2">
      <c r="A12810" s="496"/>
      <c r="D12810" s="496"/>
    </row>
    <row r="12811" spans="1:4" x14ac:dyDescent="0.2">
      <c r="A12811" s="496"/>
      <c r="D12811" s="496"/>
    </row>
    <row r="12812" spans="1:4" x14ac:dyDescent="0.2">
      <c r="A12812" s="496"/>
      <c r="D12812" s="496"/>
    </row>
    <row r="12813" spans="1:4" x14ac:dyDescent="0.2">
      <c r="A12813" s="496"/>
      <c r="D12813" s="496"/>
    </row>
    <row r="12814" spans="1:4" x14ac:dyDescent="0.2">
      <c r="A12814" s="496"/>
      <c r="D12814" s="496"/>
    </row>
    <row r="12815" spans="1:4" x14ac:dyDescent="0.2">
      <c r="A12815" s="496"/>
      <c r="D12815" s="496"/>
    </row>
    <row r="12816" spans="1:4" x14ac:dyDescent="0.2">
      <c r="A12816" s="496"/>
      <c r="D12816" s="496"/>
    </row>
    <row r="12817" spans="1:4" x14ac:dyDescent="0.2">
      <c r="A12817" s="496"/>
      <c r="D12817" s="496"/>
    </row>
    <row r="12818" spans="1:4" x14ac:dyDescent="0.2">
      <c r="A12818" s="496"/>
      <c r="D12818" s="496"/>
    </row>
    <row r="12819" spans="1:4" x14ac:dyDescent="0.2">
      <c r="A12819" s="496"/>
      <c r="D12819" s="496"/>
    </row>
    <row r="12820" spans="1:4" x14ac:dyDescent="0.2">
      <c r="A12820" s="496"/>
      <c r="D12820" s="496"/>
    </row>
    <row r="12821" spans="1:4" x14ac:dyDescent="0.2">
      <c r="A12821" s="496"/>
      <c r="D12821" s="496"/>
    </row>
    <row r="12822" spans="1:4" x14ac:dyDescent="0.2">
      <c r="A12822" s="496"/>
      <c r="D12822" s="496"/>
    </row>
    <row r="12823" spans="1:4" x14ac:dyDescent="0.2">
      <c r="A12823" s="496"/>
      <c r="D12823" s="496"/>
    </row>
    <row r="12824" spans="1:4" x14ac:dyDescent="0.2">
      <c r="A12824" s="496"/>
      <c r="D12824" s="496"/>
    </row>
    <row r="12825" spans="1:4" x14ac:dyDescent="0.2">
      <c r="A12825" s="496"/>
      <c r="D12825" s="496"/>
    </row>
    <row r="12826" spans="1:4" x14ac:dyDescent="0.2">
      <c r="A12826" s="496"/>
      <c r="D12826" s="496"/>
    </row>
    <row r="12827" spans="1:4" x14ac:dyDescent="0.2">
      <c r="A12827" s="496"/>
      <c r="D12827" s="496"/>
    </row>
    <row r="12828" spans="1:4" x14ac:dyDescent="0.2">
      <c r="A12828" s="496"/>
      <c r="D12828" s="496"/>
    </row>
    <row r="12829" spans="1:4" x14ac:dyDescent="0.2">
      <c r="A12829" s="496"/>
      <c r="D12829" s="496"/>
    </row>
    <row r="12830" spans="1:4" x14ac:dyDescent="0.2">
      <c r="A12830" s="496"/>
      <c r="D12830" s="496"/>
    </row>
    <row r="12831" spans="1:4" x14ac:dyDescent="0.2">
      <c r="A12831" s="496"/>
      <c r="D12831" s="496"/>
    </row>
    <row r="12832" spans="1:4" x14ac:dyDescent="0.2">
      <c r="A12832" s="496"/>
      <c r="D12832" s="496"/>
    </row>
    <row r="12833" spans="1:4" x14ac:dyDescent="0.2">
      <c r="A12833" s="496"/>
      <c r="D12833" s="496"/>
    </row>
    <row r="12834" spans="1:4" x14ac:dyDescent="0.2">
      <c r="A12834" s="496"/>
      <c r="D12834" s="496"/>
    </row>
    <row r="12835" spans="1:4" x14ac:dyDescent="0.2">
      <c r="A12835" s="496"/>
      <c r="D12835" s="496"/>
    </row>
    <row r="12836" spans="1:4" x14ac:dyDescent="0.2">
      <c r="A12836" s="496"/>
      <c r="D12836" s="496"/>
    </row>
    <row r="12837" spans="1:4" x14ac:dyDescent="0.2">
      <c r="A12837" s="496"/>
      <c r="D12837" s="496"/>
    </row>
    <row r="12838" spans="1:4" x14ac:dyDescent="0.2">
      <c r="A12838" s="496"/>
      <c r="D12838" s="496"/>
    </row>
    <row r="12839" spans="1:4" x14ac:dyDescent="0.2">
      <c r="A12839" s="496"/>
      <c r="D12839" s="496"/>
    </row>
    <row r="12840" spans="1:4" x14ac:dyDescent="0.2">
      <c r="A12840" s="496"/>
      <c r="D12840" s="496"/>
    </row>
    <row r="12841" spans="1:4" x14ac:dyDescent="0.2">
      <c r="A12841" s="496"/>
      <c r="D12841" s="496"/>
    </row>
    <row r="12842" spans="1:4" x14ac:dyDescent="0.2">
      <c r="A12842" s="496"/>
      <c r="D12842" s="496"/>
    </row>
    <row r="12843" spans="1:4" x14ac:dyDescent="0.2">
      <c r="A12843" s="496"/>
      <c r="D12843" s="496"/>
    </row>
    <row r="12844" spans="1:4" x14ac:dyDescent="0.2">
      <c r="A12844" s="496"/>
      <c r="D12844" s="496"/>
    </row>
    <row r="12845" spans="1:4" x14ac:dyDescent="0.2">
      <c r="A12845" s="496"/>
      <c r="D12845" s="496"/>
    </row>
    <row r="12846" spans="1:4" x14ac:dyDescent="0.2">
      <c r="A12846" s="496"/>
      <c r="D12846" s="496"/>
    </row>
    <row r="12847" spans="1:4" x14ac:dyDescent="0.2">
      <c r="A12847" s="496"/>
      <c r="D12847" s="496"/>
    </row>
    <row r="12848" spans="1:4" x14ac:dyDescent="0.2">
      <c r="A12848" s="496"/>
      <c r="D12848" s="496"/>
    </row>
    <row r="12849" spans="1:4" x14ac:dyDescent="0.2">
      <c r="A12849" s="496"/>
      <c r="D12849" s="496"/>
    </row>
    <row r="12850" spans="1:4" x14ac:dyDescent="0.2">
      <c r="A12850" s="496"/>
      <c r="D12850" s="496"/>
    </row>
    <row r="12851" spans="1:4" x14ac:dyDescent="0.2">
      <c r="A12851" s="496"/>
      <c r="D12851" s="496"/>
    </row>
    <row r="12852" spans="1:4" x14ac:dyDescent="0.2">
      <c r="A12852" s="496"/>
      <c r="D12852" s="496"/>
    </row>
    <row r="12853" spans="1:4" x14ac:dyDescent="0.2">
      <c r="A12853" s="496"/>
      <c r="D12853" s="496"/>
    </row>
    <row r="12854" spans="1:4" x14ac:dyDescent="0.2">
      <c r="A12854" s="496"/>
      <c r="D12854" s="496"/>
    </row>
    <row r="12855" spans="1:4" x14ac:dyDescent="0.2">
      <c r="A12855" s="496"/>
      <c r="D12855" s="496"/>
    </row>
    <row r="12856" spans="1:4" x14ac:dyDescent="0.2">
      <c r="A12856" s="496"/>
      <c r="D12856" s="496"/>
    </row>
    <row r="12857" spans="1:4" x14ac:dyDescent="0.2">
      <c r="A12857" s="496"/>
      <c r="D12857" s="496"/>
    </row>
    <row r="12858" spans="1:4" x14ac:dyDescent="0.2">
      <c r="A12858" s="496"/>
      <c r="D12858" s="496"/>
    </row>
    <row r="12859" spans="1:4" x14ac:dyDescent="0.2">
      <c r="A12859" s="496"/>
      <c r="D12859" s="496"/>
    </row>
    <row r="12860" spans="1:4" x14ac:dyDescent="0.2">
      <c r="A12860" s="496"/>
      <c r="D12860" s="496"/>
    </row>
    <row r="12861" spans="1:4" x14ac:dyDescent="0.2">
      <c r="A12861" s="496"/>
      <c r="D12861" s="496"/>
    </row>
    <row r="12862" spans="1:4" x14ac:dyDescent="0.2">
      <c r="A12862" s="496"/>
      <c r="D12862" s="496"/>
    </row>
    <row r="12863" spans="1:4" x14ac:dyDescent="0.2">
      <c r="A12863" s="496"/>
      <c r="D12863" s="496"/>
    </row>
    <row r="12864" spans="1:4" x14ac:dyDescent="0.2">
      <c r="A12864" s="496"/>
      <c r="D12864" s="496"/>
    </row>
    <row r="12865" spans="1:4" x14ac:dyDescent="0.2">
      <c r="A12865" s="496"/>
      <c r="D12865" s="496"/>
    </row>
    <row r="12866" spans="1:4" x14ac:dyDescent="0.2">
      <c r="A12866" s="496"/>
      <c r="D12866" s="496"/>
    </row>
    <row r="12867" spans="1:4" x14ac:dyDescent="0.2">
      <c r="A12867" s="496"/>
      <c r="D12867" s="496"/>
    </row>
    <row r="12868" spans="1:4" x14ac:dyDescent="0.2">
      <c r="A12868" s="496"/>
      <c r="D12868" s="496"/>
    </row>
    <row r="12869" spans="1:4" x14ac:dyDescent="0.2">
      <c r="A12869" s="496"/>
      <c r="D12869" s="496"/>
    </row>
    <row r="12870" spans="1:4" x14ac:dyDescent="0.2">
      <c r="A12870" s="496"/>
      <c r="D12870" s="496"/>
    </row>
    <row r="12871" spans="1:4" x14ac:dyDescent="0.2">
      <c r="A12871" s="496"/>
      <c r="D12871" s="496"/>
    </row>
    <row r="12872" spans="1:4" x14ac:dyDescent="0.2">
      <c r="A12872" s="496"/>
      <c r="D12872" s="496"/>
    </row>
    <row r="12873" spans="1:4" x14ac:dyDescent="0.2">
      <c r="A12873" s="496"/>
      <c r="D12873" s="496"/>
    </row>
    <row r="12874" spans="1:4" x14ac:dyDescent="0.2">
      <c r="A12874" s="496"/>
      <c r="D12874" s="496"/>
    </row>
    <row r="12875" spans="1:4" x14ac:dyDescent="0.2">
      <c r="A12875" s="496"/>
      <c r="D12875" s="496"/>
    </row>
    <row r="12876" spans="1:4" x14ac:dyDescent="0.2">
      <c r="A12876" s="496"/>
      <c r="D12876" s="496"/>
    </row>
    <row r="12877" spans="1:4" x14ac:dyDescent="0.2">
      <c r="A12877" s="496"/>
      <c r="D12877" s="496"/>
    </row>
    <row r="12878" spans="1:4" x14ac:dyDescent="0.2">
      <c r="A12878" s="496"/>
      <c r="D12878" s="496"/>
    </row>
    <row r="12879" spans="1:4" x14ac:dyDescent="0.2">
      <c r="A12879" s="496"/>
      <c r="D12879" s="496"/>
    </row>
    <row r="12880" spans="1:4" x14ac:dyDescent="0.2">
      <c r="A12880" s="496"/>
      <c r="D12880" s="496"/>
    </row>
    <row r="12881" spans="1:4" x14ac:dyDescent="0.2">
      <c r="A12881" s="496"/>
      <c r="D12881" s="496"/>
    </row>
    <row r="12882" spans="1:4" x14ac:dyDescent="0.2">
      <c r="A12882" s="496"/>
      <c r="D12882" s="496"/>
    </row>
    <row r="12883" spans="1:4" x14ac:dyDescent="0.2">
      <c r="A12883" s="496"/>
      <c r="D12883" s="496"/>
    </row>
    <row r="12884" spans="1:4" x14ac:dyDescent="0.2">
      <c r="A12884" s="496"/>
      <c r="D12884" s="496"/>
    </row>
    <row r="12885" spans="1:4" x14ac:dyDescent="0.2">
      <c r="A12885" s="496"/>
      <c r="D12885" s="496"/>
    </row>
    <row r="12886" spans="1:4" x14ac:dyDescent="0.2">
      <c r="A12886" s="496"/>
      <c r="D12886" s="496"/>
    </row>
    <row r="12887" spans="1:4" x14ac:dyDescent="0.2">
      <c r="A12887" s="496"/>
      <c r="D12887" s="496"/>
    </row>
    <row r="12888" spans="1:4" x14ac:dyDescent="0.2">
      <c r="A12888" s="496"/>
      <c r="D12888" s="496"/>
    </row>
    <row r="12889" spans="1:4" x14ac:dyDescent="0.2">
      <c r="A12889" s="496"/>
      <c r="D12889" s="496"/>
    </row>
    <row r="12890" spans="1:4" x14ac:dyDescent="0.2">
      <c r="A12890" s="496"/>
      <c r="D12890" s="496"/>
    </row>
    <row r="12891" spans="1:4" x14ac:dyDescent="0.2">
      <c r="A12891" s="496"/>
      <c r="D12891" s="496"/>
    </row>
    <row r="12892" spans="1:4" x14ac:dyDescent="0.2">
      <c r="A12892" s="496"/>
      <c r="D12892" s="496"/>
    </row>
    <row r="12893" spans="1:4" x14ac:dyDescent="0.2">
      <c r="A12893" s="496"/>
      <c r="D12893" s="496"/>
    </row>
    <row r="12894" spans="1:4" x14ac:dyDescent="0.2">
      <c r="A12894" s="496"/>
      <c r="D12894" s="496"/>
    </row>
    <row r="12895" spans="1:4" x14ac:dyDescent="0.2">
      <c r="A12895" s="496"/>
      <c r="D12895" s="496"/>
    </row>
    <row r="12896" spans="1:4" x14ac:dyDescent="0.2">
      <c r="A12896" s="496"/>
      <c r="D12896" s="496"/>
    </row>
    <row r="12897" spans="1:4" x14ac:dyDescent="0.2">
      <c r="A12897" s="496"/>
      <c r="D12897" s="496"/>
    </row>
    <row r="12898" spans="1:4" x14ac:dyDescent="0.2">
      <c r="A12898" s="496"/>
      <c r="D12898" s="496"/>
    </row>
    <row r="12899" spans="1:4" x14ac:dyDescent="0.2">
      <c r="A12899" s="496"/>
      <c r="D12899" s="496"/>
    </row>
    <row r="12900" spans="1:4" x14ac:dyDescent="0.2">
      <c r="A12900" s="496"/>
      <c r="D12900" s="496"/>
    </row>
    <row r="12901" spans="1:4" x14ac:dyDescent="0.2">
      <c r="A12901" s="496"/>
      <c r="D12901" s="496"/>
    </row>
    <row r="12902" spans="1:4" x14ac:dyDescent="0.2">
      <c r="A12902" s="496"/>
      <c r="D12902" s="496"/>
    </row>
    <row r="12903" spans="1:4" x14ac:dyDescent="0.2">
      <c r="A12903" s="496"/>
      <c r="D12903" s="496"/>
    </row>
    <row r="12904" spans="1:4" x14ac:dyDescent="0.2">
      <c r="A12904" s="496"/>
      <c r="D12904" s="496"/>
    </row>
    <row r="12905" spans="1:4" x14ac:dyDescent="0.2">
      <c r="A12905" s="496"/>
      <c r="D12905" s="496"/>
    </row>
    <row r="12906" spans="1:4" x14ac:dyDescent="0.2">
      <c r="A12906" s="496"/>
      <c r="D12906" s="496"/>
    </row>
    <row r="12907" spans="1:4" x14ac:dyDescent="0.2">
      <c r="A12907" s="496"/>
      <c r="D12907" s="496"/>
    </row>
    <row r="12908" spans="1:4" x14ac:dyDescent="0.2">
      <c r="A12908" s="496"/>
      <c r="D12908" s="496"/>
    </row>
    <row r="12909" spans="1:4" x14ac:dyDescent="0.2">
      <c r="A12909" s="496"/>
      <c r="D12909" s="496"/>
    </row>
    <row r="12910" spans="1:4" x14ac:dyDescent="0.2">
      <c r="A12910" s="496"/>
      <c r="D12910" s="496"/>
    </row>
    <row r="12911" spans="1:4" x14ac:dyDescent="0.2">
      <c r="A12911" s="496"/>
      <c r="D12911" s="496"/>
    </row>
    <row r="12912" spans="1:4" x14ac:dyDescent="0.2">
      <c r="A12912" s="496"/>
      <c r="D12912" s="496"/>
    </row>
    <row r="12913" spans="1:4" x14ac:dyDescent="0.2">
      <c r="A12913" s="496"/>
      <c r="D12913" s="496"/>
    </row>
    <row r="12914" spans="1:4" x14ac:dyDescent="0.2">
      <c r="A12914" s="496"/>
      <c r="D12914" s="496"/>
    </row>
    <row r="12915" spans="1:4" x14ac:dyDescent="0.2">
      <c r="A12915" s="496"/>
      <c r="D12915" s="496"/>
    </row>
    <row r="12916" spans="1:4" x14ac:dyDescent="0.2">
      <c r="A12916" s="496"/>
      <c r="D12916" s="496"/>
    </row>
    <row r="12917" spans="1:4" x14ac:dyDescent="0.2">
      <c r="A12917" s="496"/>
      <c r="D12917" s="496"/>
    </row>
    <row r="12918" spans="1:4" x14ac:dyDescent="0.2">
      <c r="A12918" s="496"/>
      <c r="D12918" s="496"/>
    </row>
    <row r="12919" spans="1:4" x14ac:dyDescent="0.2">
      <c r="A12919" s="496"/>
      <c r="D12919" s="496"/>
    </row>
    <row r="12920" spans="1:4" x14ac:dyDescent="0.2">
      <c r="A12920" s="496"/>
      <c r="D12920" s="496"/>
    </row>
    <row r="12921" spans="1:4" x14ac:dyDescent="0.2">
      <c r="A12921" s="496"/>
      <c r="D12921" s="496"/>
    </row>
    <row r="12922" spans="1:4" x14ac:dyDescent="0.2">
      <c r="A12922" s="496"/>
      <c r="D12922" s="496"/>
    </row>
    <row r="12923" spans="1:4" x14ac:dyDescent="0.2">
      <c r="A12923" s="496"/>
      <c r="D12923" s="496"/>
    </row>
    <row r="12924" spans="1:4" x14ac:dyDescent="0.2">
      <c r="A12924" s="496"/>
      <c r="D12924" s="496"/>
    </row>
    <row r="12925" spans="1:4" x14ac:dyDescent="0.2">
      <c r="A12925" s="496"/>
      <c r="D12925" s="496"/>
    </row>
    <row r="12926" spans="1:4" x14ac:dyDescent="0.2">
      <c r="A12926" s="496"/>
      <c r="D12926" s="496"/>
    </row>
    <row r="12927" spans="1:4" x14ac:dyDescent="0.2">
      <c r="A12927" s="496"/>
      <c r="D12927" s="496"/>
    </row>
    <row r="12928" spans="1:4" x14ac:dyDescent="0.2">
      <c r="A12928" s="496"/>
      <c r="D12928" s="496"/>
    </row>
    <row r="12929" spans="1:4" x14ac:dyDescent="0.2">
      <c r="A12929" s="496"/>
      <c r="D12929" s="496"/>
    </row>
    <row r="12930" spans="1:4" x14ac:dyDescent="0.2">
      <c r="A12930" s="496"/>
      <c r="D12930" s="496"/>
    </row>
    <row r="12931" spans="1:4" x14ac:dyDescent="0.2">
      <c r="A12931" s="496"/>
      <c r="D12931" s="496"/>
    </row>
    <row r="12932" spans="1:4" x14ac:dyDescent="0.2">
      <c r="A12932" s="496"/>
      <c r="D12932" s="496"/>
    </row>
    <row r="12933" spans="1:4" x14ac:dyDescent="0.2">
      <c r="A12933" s="496"/>
      <c r="D12933" s="496"/>
    </row>
    <row r="12934" spans="1:4" x14ac:dyDescent="0.2">
      <c r="A12934" s="496"/>
      <c r="D12934" s="496"/>
    </row>
    <row r="12935" spans="1:4" x14ac:dyDescent="0.2">
      <c r="A12935" s="496"/>
      <c r="D12935" s="496"/>
    </row>
    <row r="12936" spans="1:4" x14ac:dyDescent="0.2">
      <c r="A12936" s="496"/>
      <c r="D12936" s="496"/>
    </row>
    <row r="12937" spans="1:4" x14ac:dyDescent="0.2">
      <c r="A12937" s="496"/>
      <c r="D12937" s="496"/>
    </row>
    <row r="12938" spans="1:4" x14ac:dyDescent="0.2">
      <c r="A12938" s="496"/>
      <c r="D12938" s="496"/>
    </row>
    <row r="12939" spans="1:4" x14ac:dyDescent="0.2">
      <c r="A12939" s="496"/>
      <c r="D12939" s="496"/>
    </row>
    <row r="12940" spans="1:4" x14ac:dyDescent="0.2">
      <c r="A12940" s="496"/>
      <c r="D12940" s="496"/>
    </row>
    <row r="12941" spans="1:4" x14ac:dyDescent="0.2">
      <c r="A12941" s="496"/>
      <c r="D12941" s="496"/>
    </row>
    <row r="12942" spans="1:4" x14ac:dyDescent="0.2">
      <c r="A12942" s="496"/>
      <c r="D12942" s="496"/>
    </row>
    <row r="12943" spans="1:4" x14ac:dyDescent="0.2">
      <c r="A12943" s="496"/>
      <c r="D12943" s="496"/>
    </row>
    <row r="12944" spans="1:4" x14ac:dyDescent="0.2">
      <c r="A12944" s="496"/>
      <c r="D12944" s="496"/>
    </row>
    <row r="12945" spans="1:4" x14ac:dyDescent="0.2">
      <c r="A12945" s="496"/>
      <c r="D12945" s="496"/>
    </row>
    <row r="12946" spans="1:4" x14ac:dyDescent="0.2">
      <c r="A12946" s="496"/>
      <c r="D12946" s="496"/>
    </row>
    <row r="12947" spans="1:4" x14ac:dyDescent="0.2">
      <c r="A12947" s="496"/>
      <c r="D12947" s="496"/>
    </row>
    <row r="12948" spans="1:4" x14ac:dyDescent="0.2">
      <c r="A12948" s="496"/>
      <c r="D12948" s="496"/>
    </row>
    <row r="12949" spans="1:4" x14ac:dyDescent="0.2">
      <c r="A12949" s="496"/>
      <c r="D12949" s="496"/>
    </row>
    <row r="12950" spans="1:4" x14ac:dyDescent="0.2">
      <c r="A12950" s="496"/>
      <c r="D12950" s="496"/>
    </row>
    <row r="12951" spans="1:4" x14ac:dyDescent="0.2">
      <c r="A12951" s="496"/>
      <c r="D12951" s="496"/>
    </row>
    <row r="12952" spans="1:4" x14ac:dyDescent="0.2">
      <c r="A12952" s="496"/>
      <c r="D12952" s="496"/>
    </row>
    <row r="12953" spans="1:4" x14ac:dyDescent="0.2">
      <c r="A12953" s="496"/>
      <c r="D12953" s="496"/>
    </row>
    <row r="12954" spans="1:4" x14ac:dyDescent="0.2">
      <c r="A12954" s="496"/>
      <c r="D12954" s="496"/>
    </row>
    <row r="12955" spans="1:4" x14ac:dyDescent="0.2">
      <c r="A12955" s="496"/>
      <c r="D12955" s="496"/>
    </row>
    <row r="12956" spans="1:4" x14ac:dyDescent="0.2">
      <c r="A12956" s="496"/>
      <c r="D12956" s="496"/>
    </row>
    <row r="12957" spans="1:4" x14ac:dyDescent="0.2">
      <c r="A12957" s="496"/>
      <c r="D12957" s="496"/>
    </row>
    <row r="12958" spans="1:4" x14ac:dyDescent="0.2">
      <c r="A12958" s="496"/>
      <c r="D12958" s="496"/>
    </row>
    <row r="12959" spans="1:4" x14ac:dyDescent="0.2">
      <c r="A12959" s="496"/>
      <c r="D12959" s="496"/>
    </row>
    <row r="12960" spans="1:4" x14ac:dyDescent="0.2">
      <c r="A12960" s="496"/>
      <c r="D12960" s="496"/>
    </row>
    <row r="12961" spans="1:4" x14ac:dyDescent="0.2">
      <c r="A12961" s="496"/>
      <c r="D12961" s="496"/>
    </row>
    <row r="12962" spans="1:4" x14ac:dyDescent="0.2">
      <c r="A12962" s="496"/>
      <c r="D12962" s="496"/>
    </row>
    <row r="12963" spans="1:4" x14ac:dyDescent="0.2">
      <c r="A12963" s="496"/>
      <c r="D12963" s="496"/>
    </row>
    <row r="12964" spans="1:4" x14ac:dyDescent="0.2">
      <c r="A12964" s="496"/>
      <c r="D12964" s="496"/>
    </row>
    <row r="12965" spans="1:4" x14ac:dyDescent="0.2">
      <c r="A12965" s="496"/>
      <c r="D12965" s="496"/>
    </row>
    <row r="12966" spans="1:4" x14ac:dyDescent="0.2">
      <c r="A12966" s="496"/>
      <c r="D12966" s="496"/>
    </row>
    <row r="12967" spans="1:4" x14ac:dyDescent="0.2">
      <c r="A12967" s="496"/>
      <c r="D12967" s="496"/>
    </row>
    <row r="12968" spans="1:4" x14ac:dyDescent="0.2">
      <c r="A12968" s="496"/>
      <c r="D12968" s="496"/>
    </row>
    <row r="12969" spans="1:4" x14ac:dyDescent="0.2">
      <c r="A12969" s="496"/>
      <c r="D12969" s="496"/>
    </row>
    <row r="12970" spans="1:4" x14ac:dyDescent="0.2">
      <c r="A12970" s="496"/>
      <c r="D12970" s="496"/>
    </row>
    <row r="12971" spans="1:4" x14ac:dyDescent="0.2">
      <c r="A12971" s="496"/>
      <c r="D12971" s="496"/>
    </row>
    <row r="12972" spans="1:4" x14ac:dyDescent="0.2">
      <c r="A12972" s="496"/>
      <c r="D12972" s="496"/>
    </row>
    <row r="12973" spans="1:4" x14ac:dyDescent="0.2">
      <c r="A12973" s="496"/>
      <c r="D12973" s="496"/>
    </row>
    <row r="12974" spans="1:4" x14ac:dyDescent="0.2">
      <c r="A12974" s="496"/>
      <c r="D12974" s="496"/>
    </row>
    <row r="12975" spans="1:4" x14ac:dyDescent="0.2">
      <c r="A12975" s="496"/>
      <c r="D12975" s="496"/>
    </row>
    <row r="12976" spans="1:4" x14ac:dyDescent="0.2">
      <c r="A12976" s="496"/>
      <c r="D12976" s="496"/>
    </row>
    <row r="12977" spans="1:4" x14ac:dyDescent="0.2">
      <c r="A12977" s="496"/>
      <c r="D12977" s="496"/>
    </row>
    <row r="12978" spans="1:4" x14ac:dyDescent="0.2">
      <c r="A12978" s="496"/>
      <c r="D12978" s="496"/>
    </row>
    <row r="12979" spans="1:4" x14ac:dyDescent="0.2">
      <c r="A12979" s="496"/>
      <c r="D12979" s="496"/>
    </row>
    <row r="12980" spans="1:4" x14ac:dyDescent="0.2">
      <c r="A12980" s="496"/>
      <c r="D12980" s="496"/>
    </row>
    <row r="12981" spans="1:4" x14ac:dyDescent="0.2">
      <c r="A12981" s="496"/>
      <c r="D12981" s="496"/>
    </row>
    <row r="12982" spans="1:4" x14ac:dyDescent="0.2">
      <c r="A12982" s="496"/>
      <c r="D12982" s="496"/>
    </row>
    <row r="12983" spans="1:4" x14ac:dyDescent="0.2">
      <c r="A12983" s="496"/>
      <c r="D12983" s="496"/>
    </row>
    <row r="12984" spans="1:4" x14ac:dyDescent="0.2">
      <c r="A12984" s="496"/>
      <c r="D12984" s="496"/>
    </row>
    <row r="12985" spans="1:4" x14ac:dyDescent="0.2">
      <c r="A12985" s="496"/>
      <c r="D12985" s="496"/>
    </row>
    <row r="12986" spans="1:4" x14ac:dyDescent="0.2">
      <c r="A12986" s="496"/>
      <c r="D12986" s="496"/>
    </row>
    <row r="12987" spans="1:4" x14ac:dyDescent="0.2">
      <c r="A12987" s="496"/>
      <c r="D12987" s="496"/>
    </row>
    <row r="12988" spans="1:4" x14ac:dyDescent="0.2">
      <c r="A12988" s="496"/>
      <c r="D12988" s="496"/>
    </row>
    <row r="12989" spans="1:4" x14ac:dyDescent="0.2">
      <c r="A12989" s="496"/>
      <c r="D12989" s="496"/>
    </row>
    <row r="12990" spans="1:4" x14ac:dyDescent="0.2">
      <c r="A12990" s="496"/>
      <c r="D12990" s="496"/>
    </row>
    <row r="12991" spans="1:4" x14ac:dyDescent="0.2">
      <c r="A12991" s="496"/>
      <c r="D12991" s="496"/>
    </row>
    <row r="12992" spans="1:4" x14ac:dyDescent="0.2">
      <c r="A12992" s="496"/>
      <c r="D12992" s="496"/>
    </row>
    <row r="12993" spans="1:4" x14ac:dyDescent="0.2">
      <c r="A12993" s="496"/>
      <c r="D12993" s="496"/>
    </row>
    <row r="12994" spans="1:4" x14ac:dyDescent="0.2">
      <c r="A12994" s="496"/>
      <c r="D12994" s="496"/>
    </row>
    <row r="12995" spans="1:4" x14ac:dyDescent="0.2">
      <c r="A12995" s="496"/>
      <c r="D12995" s="496"/>
    </row>
    <row r="12996" spans="1:4" x14ac:dyDescent="0.2">
      <c r="A12996" s="496"/>
      <c r="D12996" s="496"/>
    </row>
    <row r="12997" spans="1:4" x14ac:dyDescent="0.2">
      <c r="A12997" s="496"/>
      <c r="D12997" s="496"/>
    </row>
    <row r="12998" spans="1:4" x14ac:dyDescent="0.2">
      <c r="A12998" s="496"/>
      <c r="D12998" s="496"/>
    </row>
    <row r="12999" spans="1:4" x14ac:dyDescent="0.2">
      <c r="A12999" s="496"/>
      <c r="D12999" s="496"/>
    </row>
    <row r="13000" spans="1:4" x14ac:dyDescent="0.2">
      <c r="A13000" s="496"/>
      <c r="D13000" s="496"/>
    </row>
    <row r="13001" spans="1:4" x14ac:dyDescent="0.2">
      <c r="A13001" s="496"/>
      <c r="D13001" s="496"/>
    </row>
    <row r="13002" spans="1:4" x14ac:dyDescent="0.2">
      <c r="A13002" s="496"/>
      <c r="D13002" s="496"/>
    </row>
    <row r="13003" spans="1:4" x14ac:dyDescent="0.2">
      <c r="A13003" s="496"/>
      <c r="D13003" s="496"/>
    </row>
    <row r="13004" spans="1:4" x14ac:dyDescent="0.2">
      <c r="A13004" s="496"/>
      <c r="D13004" s="496"/>
    </row>
    <row r="13005" spans="1:4" x14ac:dyDescent="0.2">
      <c r="A13005" s="496"/>
      <c r="D13005" s="496"/>
    </row>
    <row r="13006" spans="1:4" x14ac:dyDescent="0.2">
      <c r="A13006" s="496"/>
      <c r="D13006" s="496"/>
    </row>
    <row r="13007" spans="1:4" x14ac:dyDescent="0.2">
      <c r="A13007" s="496"/>
      <c r="D13007" s="496"/>
    </row>
    <row r="13008" spans="1:4" x14ac:dyDescent="0.2">
      <c r="A13008" s="496"/>
      <c r="D13008" s="496"/>
    </row>
    <row r="13009" spans="1:4" x14ac:dyDescent="0.2">
      <c r="A13009" s="496"/>
      <c r="D13009" s="496"/>
    </row>
    <row r="13010" spans="1:4" x14ac:dyDescent="0.2">
      <c r="A13010" s="496"/>
      <c r="D13010" s="496"/>
    </row>
    <row r="13011" spans="1:4" x14ac:dyDescent="0.2">
      <c r="A13011" s="496"/>
      <c r="D13011" s="496"/>
    </row>
    <row r="13012" spans="1:4" x14ac:dyDescent="0.2">
      <c r="A13012" s="496"/>
      <c r="D13012" s="496"/>
    </row>
    <row r="13013" spans="1:4" x14ac:dyDescent="0.2">
      <c r="A13013" s="496"/>
      <c r="D13013" s="496"/>
    </row>
    <row r="13014" spans="1:4" x14ac:dyDescent="0.2">
      <c r="A13014" s="496"/>
      <c r="D13014" s="496"/>
    </row>
    <row r="13015" spans="1:4" x14ac:dyDescent="0.2">
      <c r="A13015" s="496"/>
      <c r="D13015" s="496"/>
    </row>
    <row r="13016" spans="1:4" x14ac:dyDescent="0.2">
      <c r="A13016" s="496"/>
      <c r="D13016" s="496"/>
    </row>
    <row r="13017" spans="1:4" x14ac:dyDescent="0.2">
      <c r="A13017" s="496"/>
      <c r="D13017" s="496"/>
    </row>
    <row r="13018" spans="1:4" x14ac:dyDescent="0.2">
      <c r="A13018" s="496"/>
      <c r="D13018" s="496"/>
    </row>
    <row r="13019" spans="1:4" x14ac:dyDescent="0.2">
      <c r="A13019" s="496"/>
      <c r="D13019" s="496"/>
    </row>
    <row r="13020" spans="1:4" x14ac:dyDescent="0.2">
      <c r="A13020" s="496"/>
      <c r="D13020" s="496"/>
    </row>
    <row r="13021" spans="1:4" x14ac:dyDescent="0.2">
      <c r="A13021" s="496"/>
      <c r="D13021" s="496"/>
    </row>
    <row r="13022" spans="1:4" x14ac:dyDescent="0.2">
      <c r="A13022" s="496"/>
      <c r="D13022" s="496"/>
    </row>
    <row r="13023" spans="1:4" x14ac:dyDescent="0.2">
      <c r="A13023" s="496"/>
      <c r="D13023" s="496"/>
    </row>
    <row r="13024" spans="1:4" x14ac:dyDescent="0.2">
      <c r="A13024" s="496"/>
      <c r="D13024" s="496"/>
    </row>
    <row r="13025" spans="1:4" x14ac:dyDescent="0.2">
      <c r="A13025" s="496"/>
      <c r="D13025" s="496"/>
    </row>
    <row r="13026" spans="1:4" x14ac:dyDescent="0.2">
      <c r="A13026" s="496"/>
      <c r="D13026" s="496"/>
    </row>
    <row r="13027" spans="1:4" x14ac:dyDescent="0.2">
      <c r="A13027" s="496"/>
      <c r="D13027" s="496"/>
    </row>
    <row r="13028" spans="1:4" x14ac:dyDescent="0.2">
      <c r="A13028" s="496"/>
      <c r="D13028" s="496"/>
    </row>
    <row r="13029" spans="1:4" x14ac:dyDescent="0.2">
      <c r="A13029" s="496"/>
      <c r="D13029" s="496"/>
    </row>
    <row r="13030" spans="1:4" x14ac:dyDescent="0.2">
      <c r="A13030" s="496"/>
      <c r="D13030" s="496"/>
    </row>
    <row r="13031" spans="1:4" x14ac:dyDescent="0.2">
      <c r="A13031" s="496"/>
      <c r="D13031" s="496"/>
    </row>
    <row r="13032" spans="1:4" x14ac:dyDescent="0.2">
      <c r="A13032" s="496"/>
      <c r="D13032" s="496"/>
    </row>
    <row r="13033" spans="1:4" x14ac:dyDescent="0.2">
      <c r="A13033" s="496"/>
      <c r="D13033" s="496"/>
    </row>
    <row r="13034" spans="1:4" x14ac:dyDescent="0.2">
      <c r="A13034" s="496"/>
      <c r="D13034" s="496"/>
    </row>
    <row r="13035" spans="1:4" x14ac:dyDescent="0.2">
      <c r="A13035" s="496"/>
      <c r="D13035" s="496"/>
    </row>
    <row r="13036" spans="1:4" x14ac:dyDescent="0.2">
      <c r="A13036" s="496"/>
      <c r="D13036" s="496"/>
    </row>
    <row r="13037" spans="1:4" x14ac:dyDescent="0.2">
      <c r="A13037" s="496"/>
      <c r="D13037" s="496"/>
    </row>
    <row r="13038" spans="1:4" x14ac:dyDescent="0.2">
      <c r="A13038" s="496"/>
      <c r="D13038" s="496"/>
    </row>
    <row r="13039" spans="1:4" x14ac:dyDescent="0.2">
      <c r="A13039" s="496"/>
      <c r="D13039" s="496"/>
    </row>
    <row r="13040" spans="1:4" x14ac:dyDescent="0.2">
      <c r="A13040" s="496"/>
      <c r="D13040" s="496"/>
    </row>
    <row r="13041" spans="1:4" x14ac:dyDescent="0.2">
      <c r="A13041" s="496"/>
      <c r="D13041" s="496"/>
    </row>
    <row r="13042" spans="1:4" x14ac:dyDescent="0.2">
      <c r="A13042" s="496"/>
      <c r="D13042" s="496"/>
    </row>
    <row r="13043" spans="1:4" x14ac:dyDescent="0.2">
      <c r="A13043" s="496"/>
      <c r="D13043" s="496"/>
    </row>
    <row r="13044" spans="1:4" x14ac:dyDescent="0.2">
      <c r="A13044" s="496"/>
      <c r="D13044" s="496"/>
    </row>
    <row r="13045" spans="1:4" x14ac:dyDescent="0.2">
      <c r="A13045" s="496"/>
      <c r="D13045" s="496"/>
    </row>
    <row r="13046" spans="1:4" x14ac:dyDescent="0.2">
      <c r="A13046" s="496"/>
      <c r="D13046" s="496"/>
    </row>
    <row r="13047" spans="1:4" x14ac:dyDescent="0.2">
      <c r="A13047" s="496"/>
      <c r="D13047" s="496"/>
    </row>
    <row r="13048" spans="1:4" x14ac:dyDescent="0.2">
      <c r="A13048" s="496"/>
      <c r="D13048" s="496"/>
    </row>
    <row r="13049" spans="1:4" x14ac:dyDescent="0.2">
      <c r="A13049" s="496"/>
      <c r="D13049" s="496"/>
    </row>
    <row r="13050" spans="1:4" x14ac:dyDescent="0.2">
      <c r="A13050" s="496"/>
      <c r="D13050" s="496"/>
    </row>
    <row r="13051" spans="1:4" x14ac:dyDescent="0.2">
      <c r="A13051" s="496"/>
      <c r="D13051" s="496"/>
    </row>
    <row r="13052" spans="1:4" x14ac:dyDescent="0.2">
      <c r="A13052" s="496"/>
      <c r="D13052" s="496"/>
    </row>
    <row r="13053" spans="1:4" x14ac:dyDescent="0.2">
      <c r="A13053" s="496"/>
      <c r="D13053" s="496"/>
    </row>
    <row r="13054" spans="1:4" x14ac:dyDescent="0.2">
      <c r="A13054" s="496"/>
      <c r="D13054" s="496"/>
    </row>
    <row r="13055" spans="1:4" x14ac:dyDescent="0.2">
      <c r="A13055" s="496"/>
      <c r="D13055" s="496"/>
    </row>
    <row r="13056" spans="1:4" x14ac:dyDescent="0.2">
      <c r="A13056" s="496"/>
      <c r="D13056" s="496"/>
    </row>
    <row r="13057" spans="1:4" x14ac:dyDescent="0.2">
      <c r="A13057" s="496"/>
      <c r="D13057" s="496"/>
    </row>
    <row r="13058" spans="1:4" x14ac:dyDescent="0.2">
      <c r="A13058" s="496"/>
      <c r="D13058" s="496"/>
    </row>
    <row r="13059" spans="1:4" x14ac:dyDescent="0.2">
      <c r="A13059" s="496"/>
      <c r="D13059" s="496"/>
    </row>
    <row r="13060" spans="1:4" x14ac:dyDescent="0.2">
      <c r="A13060" s="496"/>
      <c r="D13060" s="496"/>
    </row>
    <row r="13061" spans="1:4" x14ac:dyDescent="0.2">
      <c r="A13061" s="496"/>
      <c r="D13061" s="496"/>
    </row>
    <row r="13062" spans="1:4" x14ac:dyDescent="0.2">
      <c r="A13062" s="496"/>
      <c r="D13062" s="496"/>
    </row>
    <row r="13063" spans="1:4" x14ac:dyDescent="0.2">
      <c r="A13063" s="496"/>
      <c r="D13063" s="496"/>
    </row>
    <row r="13064" spans="1:4" x14ac:dyDescent="0.2">
      <c r="A13064" s="496"/>
      <c r="D13064" s="496"/>
    </row>
    <row r="13065" spans="1:4" x14ac:dyDescent="0.2">
      <c r="A13065" s="496"/>
      <c r="D13065" s="496"/>
    </row>
    <row r="13066" spans="1:4" x14ac:dyDescent="0.2">
      <c r="A13066" s="496"/>
      <c r="D13066" s="496"/>
    </row>
    <row r="13067" spans="1:4" x14ac:dyDescent="0.2">
      <c r="A13067" s="496"/>
      <c r="D13067" s="496"/>
    </row>
    <row r="13068" spans="1:4" x14ac:dyDescent="0.2">
      <c r="A13068" s="496"/>
      <c r="D13068" s="496"/>
    </row>
    <row r="13069" spans="1:4" x14ac:dyDescent="0.2">
      <c r="A13069" s="496"/>
      <c r="D13069" s="496"/>
    </row>
    <row r="13070" spans="1:4" x14ac:dyDescent="0.2">
      <c r="A13070" s="496"/>
      <c r="D13070" s="496"/>
    </row>
    <row r="13071" spans="1:4" x14ac:dyDescent="0.2">
      <c r="A13071" s="496"/>
      <c r="D13071" s="496"/>
    </row>
    <row r="13072" spans="1:4" x14ac:dyDescent="0.2">
      <c r="A13072" s="496"/>
      <c r="D13072" s="496"/>
    </row>
    <row r="13073" spans="1:4" x14ac:dyDescent="0.2">
      <c r="A13073" s="496"/>
      <c r="D13073" s="496"/>
    </row>
    <row r="13074" spans="1:4" x14ac:dyDescent="0.2">
      <c r="A13074" s="496"/>
      <c r="D13074" s="496"/>
    </row>
    <row r="13075" spans="1:4" x14ac:dyDescent="0.2">
      <c r="A13075" s="496"/>
      <c r="D13075" s="496"/>
    </row>
    <row r="13076" spans="1:4" x14ac:dyDescent="0.2">
      <c r="A13076" s="496"/>
      <c r="D13076" s="496"/>
    </row>
    <row r="13077" spans="1:4" x14ac:dyDescent="0.2">
      <c r="A13077" s="496"/>
      <c r="D13077" s="496"/>
    </row>
    <row r="13078" spans="1:4" x14ac:dyDescent="0.2">
      <c r="A13078" s="496"/>
      <c r="D13078" s="496"/>
    </row>
    <row r="13079" spans="1:4" x14ac:dyDescent="0.2">
      <c r="A13079" s="496"/>
      <c r="D13079" s="496"/>
    </row>
    <row r="13080" spans="1:4" x14ac:dyDescent="0.2">
      <c r="A13080" s="496"/>
      <c r="D13080" s="496"/>
    </row>
    <row r="13081" spans="1:4" x14ac:dyDescent="0.2">
      <c r="A13081" s="496"/>
      <c r="D13081" s="496"/>
    </row>
    <row r="13082" spans="1:4" x14ac:dyDescent="0.2">
      <c r="A13082" s="496"/>
      <c r="D13082" s="496"/>
    </row>
    <row r="13083" spans="1:4" x14ac:dyDescent="0.2">
      <c r="A13083" s="496"/>
      <c r="D13083" s="496"/>
    </row>
    <row r="13084" spans="1:4" x14ac:dyDescent="0.2">
      <c r="A13084" s="496"/>
      <c r="D13084" s="496"/>
    </row>
    <row r="13085" spans="1:4" x14ac:dyDescent="0.2">
      <c r="A13085" s="496"/>
      <c r="D13085" s="496"/>
    </row>
    <row r="13086" spans="1:4" x14ac:dyDescent="0.2">
      <c r="A13086" s="496"/>
      <c r="D13086" s="496"/>
    </row>
    <row r="13087" spans="1:4" x14ac:dyDescent="0.2">
      <c r="A13087" s="496"/>
      <c r="D13087" s="496"/>
    </row>
    <row r="13088" spans="1:4" x14ac:dyDescent="0.2">
      <c r="A13088" s="496"/>
      <c r="D13088" s="496"/>
    </row>
    <row r="13089" spans="1:4" x14ac:dyDescent="0.2">
      <c r="A13089" s="496"/>
      <c r="D13089" s="496"/>
    </row>
    <row r="13090" spans="1:4" x14ac:dyDescent="0.2">
      <c r="A13090" s="496"/>
      <c r="D13090" s="496"/>
    </row>
    <row r="13091" spans="1:4" x14ac:dyDescent="0.2">
      <c r="A13091" s="496"/>
      <c r="D13091" s="496"/>
    </row>
    <row r="13092" spans="1:4" x14ac:dyDescent="0.2">
      <c r="A13092" s="496"/>
      <c r="D13092" s="496"/>
    </row>
    <row r="13093" spans="1:4" x14ac:dyDescent="0.2">
      <c r="A13093" s="496"/>
      <c r="D13093" s="496"/>
    </row>
    <row r="13094" spans="1:4" x14ac:dyDescent="0.2">
      <c r="A13094" s="496"/>
      <c r="D13094" s="496"/>
    </row>
    <row r="13095" spans="1:4" x14ac:dyDescent="0.2">
      <c r="A13095" s="496"/>
      <c r="D13095" s="496"/>
    </row>
    <row r="13096" spans="1:4" x14ac:dyDescent="0.2">
      <c r="A13096" s="496"/>
      <c r="D13096" s="496"/>
    </row>
    <row r="13097" spans="1:4" x14ac:dyDescent="0.2">
      <c r="A13097" s="496"/>
      <c r="D13097" s="496"/>
    </row>
    <row r="13098" spans="1:4" x14ac:dyDescent="0.2">
      <c r="A13098" s="496"/>
      <c r="D13098" s="496"/>
    </row>
    <row r="13099" spans="1:4" x14ac:dyDescent="0.2">
      <c r="A13099" s="496"/>
      <c r="D13099" s="496"/>
    </row>
    <row r="13100" spans="1:4" x14ac:dyDescent="0.2">
      <c r="A13100" s="496"/>
      <c r="D13100" s="496"/>
    </row>
    <row r="13101" spans="1:4" x14ac:dyDescent="0.2">
      <c r="A13101" s="496"/>
      <c r="D13101" s="496"/>
    </row>
    <row r="13102" spans="1:4" x14ac:dyDescent="0.2">
      <c r="A13102" s="496"/>
      <c r="D13102" s="496"/>
    </row>
    <row r="13103" spans="1:4" x14ac:dyDescent="0.2">
      <c r="A13103" s="496"/>
      <c r="D13103" s="496"/>
    </row>
    <row r="13104" spans="1:4" x14ac:dyDescent="0.2">
      <c r="A13104" s="496"/>
      <c r="D13104" s="496"/>
    </row>
    <row r="13105" spans="1:4" x14ac:dyDescent="0.2">
      <c r="A13105" s="496"/>
      <c r="D13105" s="496"/>
    </row>
    <row r="13106" spans="1:4" x14ac:dyDescent="0.2">
      <c r="A13106" s="496"/>
      <c r="D13106" s="496"/>
    </row>
    <row r="13107" spans="1:4" x14ac:dyDescent="0.2">
      <c r="A13107" s="496"/>
      <c r="D13107" s="496"/>
    </row>
    <row r="13108" spans="1:4" x14ac:dyDescent="0.2">
      <c r="A13108" s="496"/>
      <c r="D13108" s="496"/>
    </row>
    <row r="13109" spans="1:4" x14ac:dyDescent="0.2">
      <c r="A13109" s="496"/>
      <c r="D13109" s="496"/>
    </row>
    <row r="13110" spans="1:4" x14ac:dyDescent="0.2">
      <c r="A13110" s="496"/>
      <c r="D13110" s="496"/>
    </row>
    <row r="13111" spans="1:4" x14ac:dyDescent="0.2">
      <c r="A13111" s="496"/>
      <c r="D13111" s="496"/>
    </row>
    <row r="13112" spans="1:4" x14ac:dyDescent="0.2">
      <c r="A13112" s="496"/>
      <c r="D13112" s="496"/>
    </row>
    <row r="13113" spans="1:4" x14ac:dyDescent="0.2">
      <c r="A13113" s="496"/>
      <c r="D13113" s="496"/>
    </row>
    <row r="13114" spans="1:4" x14ac:dyDescent="0.2">
      <c r="A13114" s="496"/>
      <c r="D13114" s="496"/>
    </row>
    <row r="13115" spans="1:4" x14ac:dyDescent="0.2">
      <c r="A13115" s="496"/>
      <c r="D13115" s="496"/>
    </row>
    <row r="13116" spans="1:4" x14ac:dyDescent="0.2">
      <c r="A13116" s="496"/>
      <c r="D13116" s="496"/>
    </row>
    <row r="13117" spans="1:4" x14ac:dyDescent="0.2">
      <c r="A13117" s="496"/>
      <c r="D13117" s="496"/>
    </row>
    <row r="13118" spans="1:4" x14ac:dyDescent="0.2">
      <c r="A13118" s="496"/>
      <c r="D13118" s="496"/>
    </row>
    <row r="13119" spans="1:4" x14ac:dyDescent="0.2">
      <c r="A13119" s="496"/>
      <c r="D13119" s="496"/>
    </row>
    <row r="13120" spans="1:4" x14ac:dyDescent="0.2">
      <c r="A13120" s="496"/>
      <c r="D13120" s="496"/>
    </row>
    <row r="13121" spans="1:4" x14ac:dyDescent="0.2">
      <c r="A13121" s="496"/>
      <c r="D13121" s="496"/>
    </row>
    <row r="13122" spans="1:4" x14ac:dyDescent="0.2">
      <c r="A13122" s="496"/>
      <c r="D13122" s="496"/>
    </row>
    <row r="13123" spans="1:4" x14ac:dyDescent="0.2">
      <c r="A13123" s="496"/>
      <c r="D13123" s="496"/>
    </row>
    <row r="13124" spans="1:4" x14ac:dyDescent="0.2">
      <c r="A13124" s="496"/>
      <c r="D13124" s="496"/>
    </row>
    <row r="13125" spans="1:4" x14ac:dyDescent="0.2">
      <c r="A13125" s="496"/>
      <c r="D13125" s="496"/>
    </row>
    <row r="13126" spans="1:4" x14ac:dyDescent="0.2">
      <c r="A13126" s="496"/>
      <c r="D13126" s="496"/>
    </row>
    <row r="13127" spans="1:4" x14ac:dyDescent="0.2">
      <c r="A13127" s="496"/>
      <c r="D13127" s="496"/>
    </row>
    <row r="13128" spans="1:4" x14ac:dyDescent="0.2">
      <c r="A13128" s="496"/>
      <c r="D13128" s="496"/>
    </row>
    <row r="13129" spans="1:4" x14ac:dyDescent="0.2">
      <c r="A13129" s="496"/>
      <c r="D13129" s="496"/>
    </row>
    <row r="13130" spans="1:4" x14ac:dyDescent="0.2">
      <c r="A13130" s="496"/>
      <c r="D13130" s="496"/>
    </row>
    <row r="13131" spans="1:4" x14ac:dyDescent="0.2">
      <c r="A13131" s="496"/>
      <c r="D13131" s="496"/>
    </row>
    <row r="13132" spans="1:4" x14ac:dyDescent="0.2">
      <c r="A13132" s="496"/>
      <c r="D13132" s="496"/>
    </row>
    <row r="13133" spans="1:4" x14ac:dyDescent="0.2">
      <c r="A13133" s="496"/>
      <c r="D13133" s="496"/>
    </row>
    <row r="13134" spans="1:4" x14ac:dyDescent="0.2">
      <c r="A13134" s="496"/>
      <c r="D13134" s="496"/>
    </row>
    <row r="13135" spans="1:4" x14ac:dyDescent="0.2">
      <c r="A13135" s="496"/>
      <c r="D13135" s="496"/>
    </row>
    <row r="13136" spans="1:4" x14ac:dyDescent="0.2">
      <c r="A13136" s="496"/>
      <c r="D13136" s="496"/>
    </row>
    <row r="13137" spans="1:4" x14ac:dyDescent="0.2">
      <c r="A13137" s="496"/>
      <c r="D13137" s="496"/>
    </row>
    <row r="13138" spans="1:4" x14ac:dyDescent="0.2">
      <c r="A13138" s="496"/>
      <c r="D13138" s="496"/>
    </row>
    <row r="13139" spans="1:4" x14ac:dyDescent="0.2">
      <c r="A13139" s="496"/>
      <c r="D13139" s="496"/>
    </row>
    <row r="13140" spans="1:4" x14ac:dyDescent="0.2">
      <c r="A13140" s="496"/>
      <c r="D13140" s="496"/>
    </row>
    <row r="13141" spans="1:4" x14ac:dyDescent="0.2">
      <c r="A13141" s="496"/>
      <c r="D13141" s="496"/>
    </row>
    <row r="13142" spans="1:4" x14ac:dyDescent="0.2">
      <c r="A13142" s="496"/>
      <c r="D13142" s="496"/>
    </row>
    <row r="13143" spans="1:4" x14ac:dyDescent="0.2">
      <c r="A13143" s="496"/>
      <c r="D13143" s="496"/>
    </row>
    <row r="13144" spans="1:4" x14ac:dyDescent="0.2">
      <c r="A13144" s="496"/>
      <c r="D13144" s="496"/>
    </row>
    <row r="13145" spans="1:4" x14ac:dyDescent="0.2">
      <c r="A13145" s="496"/>
      <c r="D13145" s="496"/>
    </row>
    <row r="13146" spans="1:4" x14ac:dyDescent="0.2">
      <c r="A13146" s="496"/>
      <c r="D13146" s="496"/>
    </row>
    <row r="13147" spans="1:4" x14ac:dyDescent="0.2">
      <c r="A13147" s="496"/>
      <c r="D13147" s="496"/>
    </row>
    <row r="13148" spans="1:4" x14ac:dyDescent="0.2">
      <c r="A13148" s="496"/>
      <c r="D13148" s="496"/>
    </row>
    <row r="13149" spans="1:4" x14ac:dyDescent="0.2">
      <c r="A13149" s="496"/>
      <c r="D13149" s="496"/>
    </row>
    <row r="13150" spans="1:4" x14ac:dyDescent="0.2">
      <c r="A13150" s="496"/>
      <c r="D13150" s="496"/>
    </row>
    <row r="13151" spans="1:4" x14ac:dyDescent="0.2">
      <c r="A13151" s="496"/>
      <c r="D13151" s="496"/>
    </row>
    <row r="13152" spans="1:4" x14ac:dyDescent="0.2">
      <c r="A13152" s="496"/>
      <c r="D13152" s="496"/>
    </row>
    <row r="13153" spans="1:4" x14ac:dyDescent="0.2">
      <c r="A13153" s="496"/>
      <c r="D13153" s="496"/>
    </row>
    <row r="13154" spans="1:4" x14ac:dyDescent="0.2">
      <c r="A13154" s="496"/>
      <c r="D13154" s="496"/>
    </row>
    <row r="13155" spans="1:4" x14ac:dyDescent="0.2">
      <c r="A13155" s="496"/>
      <c r="D13155" s="496"/>
    </row>
    <row r="13156" spans="1:4" x14ac:dyDescent="0.2">
      <c r="A13156" s="496"/>
      <c r="D13156" s="496"/>
    </row>
    <row r="13157" spans="1:4" x14ac:dyDescent="0.2">
      <c r="A13157" s="496"/>
      <c r="D13157" s="496"/>
    </row>
    <row r="13158" spans="1:4" x14ac:dyDescent="0.2">
      <c r="A13158" s="496"/>
      <c r="D13158" s="496"/>
    </row>
    <row r="13159" spans="1:4" x14ac:dyDescent="0.2">
      <c r="A13159" s="496"/>
      <c r="D13159" s="496"/>
    </row>
    <row r="13160" spans="1:4" x14ac:dyDescent="0.2">
      <c r="A13160" s="496"/>
      <c r="D13160" s="496"/>
    </row>
    <row r="13161" spans="1:4" x14ac:dyDescent="0.2">
      <c r="A13161" s="496"/>
      <c r="D13161" s="496"/>
    </row>
    <row r="13162" spans="1:4" x14ac:dyDescent="0.2">
      <c r="A13162" s="496"/>
      <c r="D13162" s="496"/>
    </row>
    <row r="13163" spans="1:4" x14ac:dyDescent="0.2">
      <c r="A13163" s="496"/>
      <c r="D13163" s="496"/>
    </row>
    <row r="13164" spans="1:4" x14ac:dyDescent="0.2">
      <c r="A13164" s="496"/>
      <c r="D13164" s="496"/>
    </row>
    <row r="13165" spans="1:4" x14ac:dyDescent="0.2">
      <c r="A13165" s="496"/>
      <c r="D13165" s="496"/>
    </row>
    <row r="13166" spans="1:4" x14ac:dyDescent="0.2">
      <c r="A13166" s="496"/>
      <c r="D13166" s="496"/>
    </row>
    <row r="13167" spans="1:4" x14ac:dyDescent="0.2">
      <c r="A13167" s="496"/>
      <c r="D13167" s="496"/>
    </row>
    <row r="13168" spans="1:4" x14ac:dyDescent="0.2">
      <c r="A13168" s="496"/>
      <c r="D13168" s="496"/>
    </row>
    <row r="13169" spans="1:4" x14ac:dyDescent="0.2">
      <c r="A13169" s="496"/>
      <c r="D13169" s="496"/>
    </row>
    <row r="13170" spans="1:4" x14ac:dyDescent="0.2">
      <c r="A13170" s="496"/>
      <c r="D13170" s="496"/>
    </row>
    <row r="13171" spans="1:4" x14ac:dyDescent="0.2">
      <c r="A13171" s="496"/>
      <c r="D13171" s="496"/>
    </row>
    <row r="13172" spans="1:4" x14ac:dyDescent="0.2">
      <c r="A13172" s="496"/>
      <c r="D13172" s="496"/>
    </row>
    <row r="13173" spans="1:4" x14ac:dyDescent="0.2">
      <c r="A13173" s="496"/>
      <c r="D13173" s="496"/>
    </row>
    <row r="13174" spans="1:4" x14ac:dyDescent="0.2">
      <c r="A13174" s="496"/>
      <c r="D13174" s="496"/>
    </row>
    <row r="13175" spans="1:4" x14ac:dyDescent="0.2">
      <c r="A13175" s="496"/>
      <c r="D13175" s="496"/>
    </row>
    <row r="13176" spans="1:4" x14ac:dyDescent="0.2">
      <c r="A13176" s="496"/>
      <c r="D13176" s="496"/>
    </row>
    <row r="13177" spans="1:4" x14ac:dyDescent="0.2">
      <c r="A13177" s="496"/>
      <c r="D13177" s="496"/>
    </row>
    <row r="13178" spans="1:4" x14ac:dyDescent="0.2">
      <c r="A13178" s="496"/>
      <c r="D13178" s="496"/>
    </row>
    <row r="13179" spans="1:4" x14ac:dyDescent="0.2">
      <c r="A13179" s="496"/>
      <c r="D13179" s="496"/>
    </row>
    <row r="13180" spans="1:4" x14ac:dyDescent="0.2">
      <c r="A13180" s="496"/>
      <c r="D13180" s="496"/>
    </row>
    <row r="13181" spans="1:4" x14ac:dyDescent="0.2">
      <c r="A13181" s="496"/>
      <c r="D13181" s="496"/>
    </row>
    <row r="13182" spans="1:4" x14ac:dyDescent="0.2">
      <c r="A13182" s="496"/>
      <c r="D13182" s="496"/>
    </row>
    <row r="13183" spans="1:4" x14ac:dyDescent="0.2">
      <c r="A13183" s="496"/>
      <c r="D13183" s="496"/>
    </row>
    <row r="13184" spans="1:4" x14ac:dyDescent="0.2">
      <c r="A13184" s="496"/>
      <c r="D13184" s="496"/>
    </row>
    <row r="13185" spans="1:4" x14ac:dyDescent="0.2">
      <c r="A13185" s="496"/>
      <c r="D13185" s="496"/>
    </row>
    <row r="13186" spans="1:4" x14ac:dyDescent="0.2">
      <c r="A13186" s="496"/>
      <c r="D13186" s="496"/>
    </row>
    <row r="13187" spans="1:4" x14ac:dyDescent="0.2">
      <c r="A13187" s="496"/>
      <c r="D13187" s="496"/>
    </row>
    <row r="13188" spans="1:4" x14ac:dyDescent="0.2">
      <c r="A13188" s="496"/>
      <c r="D13188" s="496"/>
    </row>
    <row r="13189" spans="1:4" x14ac:dyDescent="0.2">
      <c r="A13189" s="496"/>
      <c r="D13189" s="496"/>
    </row>
    <row r="13190" spans="1:4" x14ac:dyDescent="0.2">
      <c r="A13190" s="496"/>
      <c r="D13190" s="496"/>
    </row>
    <row r="13191" spans="1:4" x14ac:dyDescent="0.2">
      <c r="A13191" s="496"/>
      <c r="D13191" s="496"/>
    </row>
    <row r="13192" spans="1:4" x14ac:dyDescent="0.2">
      <c r="A13192" s="496"/>
      <c r="D13192" s="496"/>
    </row>
    <row r="13193" spans="1:4" x14ac:dyDescent="0.2">
      <c r="A13193" s="496"/>
      <c r="D13193" s="496"/>
    </row>
    <row r="13194" spans="1:4" x14ac:dyDescent="0.2">
      <c r="A13194" s="496"/>
      <c r="D13194" s="496"/>
    </row>
    <row r="13195" spans="1:4" x14ac:dyDescent="0.2">
      <c r="A13195" s="496"/>
      <c r="D13195" s="496"/>
    </row>
    <row r="13196" spans="1:4" x14ac:dyDescent="0.2">
      <c r="A13196" s="496"/>
      <c r="D13196" s="496"/>
    </row>
    <row r="13197" spans="1:4" x14ac:dyDescent="0.2">
      <c r="A13197" s="496"/>
      <c r="D13197" s="496"/>
    </row>
    <row r="13198" spans="1:4" x14ac:dyDescent="0.2">
      <c r="A13198" s="496"/>
      <c r="D13198" s="496"/>
    </row>
    <row r="13199" spans="1:4" x14ac:dyDescent="0.2">
      <c r="A13199" s="496"/>
      <c r="D13199" s="496"/>
    </row>
    <row r="13200" spans="1:4" x14ac:dyDescent="0.2">
      <c r="A13200" s="496"/>
      <c r="D13200" s="496"/>
    </row>
    <row r="13201" spans="1:4" x14ac:dyDescent="0.2">
      <c r="A13201" s="496"/>
      <c r="D13201" s="496"/>
    </row>
    <row r="13202" spans="1:4" x14ac:dyDescent="0.2">
      <c r="A13202" s="496"/>
      <c r="D13202" s="496"/>
    </row>
    <row r="13203" spans="1:4" x14ac:dyDescent="0.2">
      <c r="A13203" s="496"/>
      <c r="D13203" s="496"/>
    </row>
    <row r="13204" spans="1:4" x14ac:dyDescent="0.2">
      <c r="A13204" s="496"/>
      <c r="D13204" s="496"/>
    </row>
    <row r="13205" spans="1:4" x14ac:dyDescent="0.2">
      <c r="A13205" s="496"/>
      <c r="D13205" s="496"/>
    </row>
    <row r="13206" spans="1:4" x14ac:dyDescent="0.2">
      <c r="A13206" s="496"/>
      <c r="D13206" s="496"/>
    </row>
    <row r="13207" spans="1:4" x14ac:dyDescent="0.2">
      <c r="A13207" s="496"/>
      <c r="D13207" s="496"/>
    </row>
    <row r="13208" spans="1:4" x14ac:dyDescent="0.2">
      <c r="A13208" s="496"/>
      <c r="D13208" s="496"/>
    </row>
    <row r="13209" spans="1:4" x14ac:dyDescent="0.2">
      <c r="A13209" s="496"/>
      <c r="D13209" s="496"/>
    </row>
    <row r="13210" spans="1:4" x14ac:dyDescent="0.2">
      <c r="A13210" s="496"/>
      <c r="D13210" s="496"/>
    </row>
    <row r="13211" spans="1:4" x14ac:dyDescent="0.2">
      <c r="A13211" s="496"/>
      <c r="D13211" s="496"/>
    </row>
    <row r="13212" spans="1:4" x14ac:dyDescent="0.2">
      <c r="A13212" s="496"/>
      <c r="D13212" s="496"/>
    </row>
    <row r="13213" spans="1:4" x14ac:dyDescent="0.2">
      <c r="A13213" s="496"/>
      <c r="D13213" s="496"/>
    </row>
    <row r="13214" spans="1:4" x14ac:dyDescent="0.2">
      <c r="A13214" s="496"/>
      <c r="D13214" s="496"/>
    </row>
    <row r="13215" spans="1:4" x14ac:dyDescent="0.2">
      <c r="A13215" s="496"/>
      <c r="D13215" s="496"/>
    </row>
    <row r="13216" spans="1:4" x14ac:dyDescent="0.2">
      <c r="A13216" s="496"/>
      <c r="D13216" s="496"/>
    </row>
    <row r="13217" spans="1:4" x14ac:dyDescent="0.2">
      <c r="A13217" s="496"/>
      <c r="D13217" s="496"/>
    </row>
    <row r="13218" spans="1:4" x14ac:dyDescent="0.2">
      <c r="A13218" s="496"/>
      <c r="D13218" s="496"/>
    </row>
    <row r="13219" spans="1:4" x14ac:dyDescent="0.2">
      <c r="A13219" s="496"/>
      <c r="D13219" s="496"/>
    </row>
    <row r="13220" spans="1:4" x14ac:dyDescent="0.2">
      <c r="A13220" s="496"/>
      <c r="D13220" s="496"/>
    </row>
    <row r="13221" spans="1:4" x14ac:dyDescent="0.2">
      <c r="A13221" s="496"/>
      <c r="D13221" s="496"/>
    </row>
    <row r="13222" spans="1:4" x14ac:dyDescent="0.2">
      <c r="A13222" s="496"/>
      <c r="D13222" s="496"/>
    </row>
    <row r="13223" spans="1:4" x14ac:dyDescent="0.2">
      <c r="A13223" s="496"/>
      <c r="D13223" s="496"/>
    </row>
    <row r="13224" spans="1:4" x14ac:dyDescent="0.2">
      <c r="A13224" s="496"/>
      <c r="D13224" s="496"/>
    </row>
    <row r="13225" spans="1:4" x14ac:dyDescent="0.2">
      <c r="A13225" s="496"/>
      <c r="D13225" s="496"/>
    </row>
    <row r="13226" spans="1:4" x14ac:dyDescent="0.2">
      <c r="A13226" s="496"/>
      <c r="D13226" s="496"/>
    </row>
    <row r="13227" spans="1:4" x14ac:dyDescent="0.2">
      <c r="A13227" s="496"/>
      <c r="D13227" s="496"/>
    </row>
    <row r="13228" spans="1:4" x14ac:dyDescent="0.2">
      <c r="A13228" s="496"/>
      <c r="D13228" s="496"/>
    </row>
    <row r="13229" spans="1:4" x14ac:dyDescent="0.2">
      <c r="A13229" s="496"/>
      <c r="D13229" s="496"/>
    </row>
    <row r="13230" spans="1:4" x14ac:dyDescent="0.2">
      <c r="A13230" s="496"/>
      <c r="D13230" s="496"/>
    </row>
    <row r="13231" spans="1:4" x14ac:dyDescent="0.2">
      <c r="A13231" s="496"/>
      <c r="D13231" s="496"/>
    </row>
    <row r="13232" spans="1:4" x14ac:dyDescent="0.2">
      <c r="A13232" s="496"/>
      <c r="D13232" s="496"/>
    </row>
    <row r="13233" spans="1:4" x14ac:dyDescent="0.2">
      <c r="A13233" s="496"/>
      <c r="D13233" s="496"/>
    </row>
    <row r="13234" spans="1:4" x14ac:dyDescent="0.2">
      <c r="A13234" s="496"/>
      <c r="D13234" s="496"/>
    </row>
    <row r="13235" spans="1:4" x14ac:dyDescent="0.2">
      <c r="A13235" s="496"/>
      <c r="D13235" s="496"/>
    </row>
    <row r="13236" spans="1:4" x14ac:dyDescent="0.2">
      <c r="A13236" s="496"/>
      <c r="D13236" s="496"/>
    </row>
    <row r="13237" spans="1:4" x14ac:dyDescent="0.2">
      <c r="A13237" s="496"/>
      <c r="D13237" s="496"/>
    </row>
    <row r="13238" spans="1:4" x14ac:dyDescent="0.2">
      <c r="A13238" s="496"/>
      <c r="D13238" s="496"/>
    </row>
    <row r="13239" spans="1:4" x14ac:dyDescent="0.2">
      <c r="A13239" s="496"/>
      <c r="D13239" s="496"/>
    </row>
    <row r="13240" spans="1:4" x14ac:dyDescent="0.2">
      <c r="A13240" s="496"/>
      <c r="D13240" s="496"/>
    </row>
    <row r="13241" spans="1:4" x14ac:dyDescent="0.2">
      <c r="A13241" s="496"/>
      <c r="D13241" s="496"/>
    </row>
    <row r="13242" spans="1:4" x14ac:dyDescent="0.2">
      <c r="A13242" s="496"/>
      <c r="D13242" s="496"/>
    </row>
    <row r="13243" spans="1:4" x14ac:dyDescent="0.2">
      <c r="A13243" s="496"/>
      <c r="D13243" s="496"/>
    </row>
    <row r="13244" spans="1:4" x14ac:dyDescent="0.2">
      <c r="A13244" s="496"/>
      <c r="D13244" s="496"/>
    </row>
    <row r="13245" spans="1:4" x14ac:dyDescent="0.2">
      <c r="A13245" s="496"/>
      <c r="D13245" s="496"/>
    </row>
    <row r="13246" spans="1:4" x14ac:dyDescent="0.2">
      <c r="A13246" s="496"/>
      <c r="D13246" s="496"/>
    </row>
    <row r="13247" spans="1:4" x14ac:dyDescent="0.2">
      <c r="A13247" s="496"/>
      <c r="D13247" s="496"/>
    </row>
    <row r="13248" spans="1:4" x14ac:dyDescent="0.2">
      <c r="A13248" s="496"/>
      <c r="D13248" s="496"/>
    </row>
    <row r="13249" spans="1:4" x14ac:dyDescent="0.2">
      <c r="A13249" s="496"/>
      <c r="D13249" s="496"/>
    </row>
    <row r="13250" spans="1:4" x14ac:dyDescent="0.2">
      <c r="A13250" s="496"/>
      <c r="D13250" s="496"/>
    </row>
    <row r="13251" spans="1:4" x14ac:dyDescent="0.2">
      <c r="A13251" s="496"/>
      <c r="D13251" s="496"/>
    </row>
    <row r="13252" spans="1:4" x14ac:dyDescent="0.2">
      <c r="A13252" s="496"/>
      <c r="D13252" s="496"/>
    </row>
    <row r="13253" spans="1:4" x14ac:dyDescent="0.2">
      <c r="A13253" s="496"/>
      <c r="D13253" s="496"/>
    </row>
    <row r="13254" spans="1:4" x14ac:dyDescent="0.2">
      <c r="A13254" s="496"/>
      <c r="D13254" s="496"/>
    </row>
    <row r="13255" spans="1:4" x14ac:dyDescent="0.2">
      <c r="A13255" s="496"/>
      <c r="D13255" s="496"/>
    </row>
    <row r="13256" spans="1:4" x14ac:dyDescent="0.2">
      <c r="A13256" s="496"/>
      <c r="D13256" s="496"/>
    </row>
    <row r="13257" spans="1:4" x14ac:dyDescent="0.2">
      <c r="A13257" s="496"/>
      <c r="D13257" s="496"/>
    </row>
    <row r="13258" spans="1:4" x14ac:dyDescent="0.2">
      <c r="A13258" s="496"/>
      <c r="D13258" s="496"/>
    </row>
    <row r="13259" spans="1:4" x14ac:dyDescent="0.2">
      <c r="A13259" s="496"/>
      <c r="D13259" s="496"/>
    </row>
    <row r="13260" spans="1:4" x14ac:dyDescent="0.2">
      <c r="A13260" s="496"/>
      <c r="D13260" s="496"/>
    </row>
    <row r="13261" spans="1:4" x14ac:dyDescent="0.2">
      <c r="A13261" s="496"/>
      <c r="D13261" s="496"/>
    </row>
    <row r="13262" spans="1:4" x14ac:dyDescent="0.2">
      <c r="A13262" s="496"/>
      <c r="D13262" s="496"/>
    </row>
    <row r="13263" spans="1:4" x14ac:dyDescent="0.2">
      <c r="A13263" s="496"/>
      <c r="D13263" s="496"/>
    </row>
    <row r="13264" spans="1:4" x14ac:dyDescent="0.2">
      <c r="A13264" s="496"/>
      <c r="D13264" s="496"/>
    </row>
    <row r="13265" spans="1:4" x14ac:dyDescent="0.2">
      <c r="A13265" s="496"/>
      <c r="D13265" s="496"/>
    </row>
    <row r="13266" spans="1:4" x14ac:dyDescent="0.2">
      <c r="A13266" s="496"/>
      <c r="D13266" s="496"/>
    </row>
    <row r="13267" spans="1:4" x14ac:dyDescent="0.2">
      <c r="A13267" s="496"/>
      <c r="D13267" s="496"/>
    </row>
    <row r="13268" spans="1:4" x14ac:dyDescent="0.2">
      <c r="A13268" s="496"/>
      <c r="D13268" s="496"/>
    </row>
    <row r="13269" spans="1:4" x14ac:dyDescent="0.2">
      <c r="A13269" s="496"/>
      <c r="D13269" s="496"/>
    </row>
    <row r="13270" spans="1:4" x14ac:dyDescent="0.2">
      <c r="A13270" s="496"/>
      <c r="D13270" s="496"/>
    </row>
    <row r="13271" spans="1:4" x14ac:dyDescent="0.2">
      <c r="A13271" s="496"/>
      <c r="D13271" s="496"/>
    </row>
    <row r="13272" spans="1:4" x14ac:dyDescent="0.2">
      <c r="A13272" s="496"/>
      <c r="D13272" s="496"/>
    </row>
    <row r="13273" spans="1:4" x14ac:dyDescent="0.2">
      <c r="A13273" s="496"/>
      <c r="D13273" s="496"/>
    </row>
    <row r="13274" spans="1:4" x14ac:dyDescent="0.2">
      <c r="A13274" s="496"/>
      <c r="D13274" s="496"/>
    </row>
    <row r="13275" spans="1:4" x14ac:dyDescent="0.2">
      <c r="A13275" s="496"/>
      <c r="D13275" s="496"/>
    </row>
    <row r="13276" spans="1:4" x14ac:dyDescent="0.2">
      <c r="A13276" s="496"/>
      <c r="D13276" s="496"/>
    </row>
    <row r="13277" spans="1:4" x14ac:dyDescent="0.2">
      <c r="A13277" s="496"/>
      <c r="D13277" s="496"/>
    </row>
    <row r="13278" spans="1:4" x14ac:dyDescent="0.2">
      <c r="A13278" s="496"/>
      <c r="D13278" s="496"/>
    </row>
    <row r="13279" spans="1:4" x14ac:dyDescent="0.2">
      <c r="A13279" s="496"/>
      <c r="D13279" s="496"/>
    </row>
    <row r="13280" spans="1:4" x14ac:dyDescent="0.2">
      <c r="A13280" s="496"/>
      <c r="D13280" s="496"/>
    </row>
    <row r="13281" spans="1:4" x14ac:dyDescent="0.2">
      <c r="A13281" s="496"/>
      <c r="D13281" s="496"/>
    </row>
    <row r="13282" spans="1:4" x14ac:dyDescent="0.2">
      <c r="A13282" s="496"/>
      <c r="D13282" s="496"/>
    </row>
    <row r="13283" spans="1:4" x14ac:dyDescent="0.2">
      <c r="A13283" s="496"/>
      <c r="D13283" s="496"/>
    </row>
    <row r="13284" spans="1:4" x14ac:dyDescent="0.2">
      <c r="A13284" s="496"/>
      <c r="D13284" s="496"/>
    </row>
    <row r="13285" spans="1:4" x14ac:dyDescent="0.2">
      <c r="A13285" s="496"/>
      <c r="D13285" s="496"/>
    </row>
    <row r="13286" spans="1:4" x14ac:dyDescent="0.2">
      <c r="A13286" s="496"/>
      <c r="D13286" s="496"/>
    </row>
    <row r="13287" spans="1:4" x14ac:dyDescent="0.2">
      <c r="A13287" s="496"/>
      <c r="D13287" s="496"/>
    </row>
    <row r="13288" spans="1:4" x14ac:dyDescent="0.2">
      <c r="A13288" s="496"/>
      <c r="D13288" s="496"/>
    </row>
    <row r="13289" spans="1:4" x14ac:dyDescent="0.2">
      <c r="A13289" s="496"/>
      <c r="D13289" s="496"/>
    </row>
    <row r="13290" spans="1:4" x14ac:dyDescent="0.2">
      <c r="A13290" s="496"/>
      <c r="D13290" s="496"/>
    </row>
    <row r="13291" spans="1:4" x14ac:dyDescent="0.2">
      <c r="A13291" s="496"/>
      <c r="D13291" s="496"/>
    </row>
    <row r="13292" spans="1:4" x14ac:dyDescent="0.2">
      <c r="A13292" s="496"/>
      <c r="D13292" s="496"/>
    </row>
    <row r="13293" spans="1:4" x14ac:dyDescent="0.2">
      <c r="A13293" s="496"/>
      <c r="D13293" s="496"/>
    </row>
    <row r="13294" spans="1:4" x14ac:dyDescent="0.2">
      <c r="A13294" s="496"/>
      <c r="D13294" s="496"/>
    </row>
    <row r="13295" spans="1:4" x14ac:dyDescent="0.2">
      <c r="A13295" s="496"/>
      <c r="D13295" s="496"/>
    </row>
    <row r="13296" spans="1:4" x14ac:dyDescent="0.2">
      <c r="A13296" s="496"/>
      <c r="D13296" s="496"/>
    </row>
    <row r="13297" spans="1:4" x14ac:dyDescent="0.2">
      <c r="A13297" s="496"/>
      <c r="D13297" s="496"/>
    </row>
    <row r="13298" spans="1:4" x14ac:dyDescent="0.2">
      <c r="A13298" s="496"/>
      <c r="D13298" s="496"/>
    </row>
    <row r="13299" spans="1:4" x14ac:dyDescent="0.2">
      <c r="A13299" s="496"/>
      <c r="D13299" s="496"/>
    </row>
    <row r="13300" spans="1:4" x14ac:dyDescent="0.2">
      <c r="A13300" s="496"/>
      <c r="D13300" s="496"/>
    </row>
    <row r="13301" spans="1:4" x14ac:dyDescent="0.2">
      <c r="A13301" s="496"/>
      <c r="D13301" s="496"/>
    </row>
    <row r="13302" spans="1:4" x14ac:dyDescent="0.2">
      <c r="A13302" s="496"/>
      <c r="D13302" s="496"/>
    </row>
    <row r="13303" spans="1:4" x14ac:dyDescent="0.2">
      <c r="A13303" s="496"/>
      <c r="D13303" s="496"/>
    </row>
    <row r="13304" spans="1:4" x14ac:dyDescent="0.2">
      <c r="A13304" s="496"/>
      <c r="D13304" s="496"/>
    </row>
    <row r="13305" spans="1:4" x14ac:dyDescent="0.2">
      <c r="A13305" s="496"/>
      <c r="D13305" s="496"/>
    </row>
    <row r="13306" spans="1:4" x14ac:dyDescent="0.2">
      <c r="A13306" s="496"/>
      <c r="D13306" s="496"/>
    </row>
    <row r="13307" spans="1:4" x14ac:dyDescent="0.2">
      <c r="A13307" s="496"/>
      <c r="D13307" s="496"/>
    </row>
    <row r="13308" spans="1:4" x14ac:dyDescent="0.2">
      <c r="A13308" s="496"/>
      <c r="D13308" s="496"/>
    </row>
    <row r="13309" spans="1:4" x14ac:dyDescent="0.2">
      <c r="A13309" s="496"/>
      <c r="D13309" s="496"/>
    </row>
    <row r="13310" spans="1:4" x14ac:dyDescent="0.2">
      <c r="A13310" s="496"/>
      <c r="D13310" s="496"/>
    </row>
    <row r="13311" spans="1:4" x14ac:dyDescent="0.2">
      <c r="A13311" s="496"/>
      <c r="D13311" s="496"/>
    </row>
    <row r="13312" spans="1:4" x14ac:dyDescent="0.2">
      <c r="A13312" s="496"/>
      <c r="D13312" s="496"/>
    </row>
    <row r="13313" spans="1:4" x14ac:dyDescent="0.2">
      <c r="A13313" s="496"/>
      <c r="D13313" s="496"/>
    </row>
    <row r="13314" spans="1:4" x14ac:dyDescent="0.2">
      <c r="A13314" s="496"/>
      <c r="D13314" s="496"/>
    </row>
    <row r="13315" spans="1:4" x14ac:dyDescent="0.2">
      <c r="A13315" s="496"/>
      <c r="D13315" s="496"/>
    </row>
    <row r="13316" spans="1:4" x14ac:dyDescent="0.2">
      <c r="A13316" s="496"/>
      <c r="D13316" s="496"/>
    </row>
    <row r="13317" spans="1:4" x14ac:dyDescent="0.2">
      <c r="A13317" s="496"/>
      <c r="D13317" s="496"/>
    </row>
    <row r="13318" spans="1:4" x14ac:dyDescent="0.2">
      <c r="A13318" s="496"/>
      <c r="D13318" s="496"/>
    </row>
    <row r="13319" spans="1:4" x14ac:dyDescent="0.2">
      <c r="A13319" s="496"/>
      <c r="D13319" s="496"/>
    </row>
    <row r="13320" spans="1:4" x14ac:dyDescent="0.2">
      <c r="A13320" s="496"/>
      <c r="D13320" s="496"/>
    </row>
    <row r="13321" spans="1:4" x14ac:dyDescent="0.2">
      <c r="A13321" s="496"/>
      <c r="D13321" s="496"/>
    </row>
    <row r="13322" spans="1:4" x14ac:dyDescent="0.2">
      <c r="A13322" s="496"/>
      <c r="D13322" s="496"/>
    </row>
    <row r="13323" spans="1:4" x14ac:dyDescent="0.2">
      <c r="A13323" s="496"/>
      <c r="D13323" s="496"/>
    </row>
    <row r="13324" spans="1:4" x14ac:dyDescent="0.2">
      <c r="A13324" s="496"/>
      <c r="D13324" s="496"/>
    </row>
    <row r="13325" spans="1:4" x14ac:dyDescent="0.2">
      <c r="A13325" s="496"/>
      <c r="D13325" s="496"/>
    </row>
    <row r="13326" spans="1:4" x14ac:dyDescent="0.2">
      <c r="A13326" s="496"/>
      <c r="D13326" s="496"/>
    </row>
    <row r="13327" spans="1:4" x14ac:dyDescent="0.2">
      <c r="A13327" s="496"/>
      <c r="D13327" s="496"/>
    </row>
    <row r="13328" spans="1:4" x14ac:dyDescent="0.2">
      <c r="A13328" s="496"/>
      <c r="D13328" s="496"/>
    </row>
    <row r="13329" spans="1:4" x14ac:dyDescent="0.2">
      <c r="A13329" s="496"/>
      <c r="D13329" s="496"/>
    </row>
    <row r="13330" spans="1:4" x14ac:dyDescent="0.2">
      <c r="A13330" s="496"/>
      <c r="D13330" s="496"/>
    </row>
    <row r="13331" spans="1:4" x14ac:dyDescent="0.2">
      <c r="A13331" s="496"/>
      <c r="D13331" s="496"/>
    </row>
    <row r="13332" spans="1:4" x14ac:dyDescent="0.2">
      <c r="A13332" s="496"/>
      <c r="D13332" s="496"/>
    </row>
    <row r="13333" spans="1:4" x14ac:dyDescent="0.2">
      <c r="A13333" s="496"/>
      <c r="D13333" s="496"/>
    </row>
    <row r="13334" spans="1:4" x14ac:dyDescent="0.2">
      <c r="A13334" s="496"/>
      <c r="D13334" s="496"/>
    </row>
    <row r="13335" spans="1:4" x14ac:dyDescent="0.2">
      <c r="A13335" s="496"/>
      <c r="D13335" s="496"/>
    </row>
    <row r="13336" spans="1:4" x14ac:dyDescent="0.2">
      <c r="A13336" s="496"/>
      <c r="D13336" s="496"/>
    </row>
    <row r="13337" spans="1:4" x14ac:dyDescent="0.2">
      <c r="A13337" s="496"/>
      <c r="D13337" s="496"/>
    </row>
    <row r="13338" spans="1:4" x14ac:dyDescent="0.2">
      <c r="A13338" s="496"/>
      <c r="D13338" s="496"/>
    </row>
    <row r="13339" spans="1:4" x14ac:dyDescent="0.2">
      <c r="A13339" s="496"/>
      <c r="D13339" s="496"/>
    </row>
    <row r="13340" spans="1:4" x14ac:dyDescent="0.2">
      <c r="A13340" s="496"/>
      <c r="D13340" s="496"/>
    </row>
    <row r="13341" spans="1:4" x14ac:dyDescent="0.2">
      <c r="A13341" s="496"/>
      <c r="D13341" s="496"/>
    </row>
    <row r="13342" spans="1:4" x14ac:dyDescent="0.2">
      <c r="A13342" s="496"/>
      <c r="D13342" s="496"/>
    </row>
    <row r="13343" spans="1:4" x14ac:dyDescent="0.2">
      <c r="A13343" s="496"/>
      <c r="D13343" s="496"/>
    </row>
    <row r="13344" spans="1:4" x14ac:dyDescent="0.2">
      <c r="A13344" s="496"/>
      <c r="D13344" s="496"/>
    </row>
    <row r="13345" spans="1:4" x14ac:dyDescent="0.2">
      <c r="A13345" s="496"/>
      <c r="D13345" s="496"/>
    </row>
    <row r="13346" spans="1:4" x14ac:dyDescent="0.2">
      <c r="A13346" s="496"/>
      <c r="D13346" s="496"/>
    </row>
    <row r="13347" spans="1:4" x14ac:dyDescent="0.2">
      <c r="A13347" s="496"/>
      <c r="D13347" s="496"/>
    </row>
    <row r="13348" spans="1:4" x14ac:dyDescent="0.2">
      <c r="A13348" s="496"/>
      <c r="D13348" s="496"/>
    </row>
    <row r="13349" spans="1:4" x14ac:dyDescent="0.2">
      <c r="A13349" s="496"/>
      <c r="D13349" s="496"/>
    </row>
    <row r="13350" spans="1:4" x14ac:dyDescent="0.2">
      <c r="A13350" s="496"/>
      <c r="D13350" s="496"/>
    </row>
    <row r="13351" spans="1:4" x14ac:dyDescent="0.2">
      <c r="A13351" s="496"/>
      <c r="D13351" s="496"/>
    </row>
    <row r="13352" spans="1:4" x14ac:dyDescent="0.2">
      <c r="A13352" s="496"/>
      <c r="D13352" s="496"/>
    </row>
    <row r="13353" spans="1:4" x14ac:dyDescent="0.2">
      <c r="A13353" s="496"/>
      <c r="D13353" s="496"/>
    </row>
    <row r="13354" spans="1:4" x14ac:dyDescent="0.2">
      <c r="A13354" s="496"/>
      <c r="D13354" s="496"/>
    </row>
    <row r="13355" spans="1:4" x14ac:dyDescent="0.2">
      <c r="A13355" s="496"/>
      <c r="D13355" s="496"/>
    </row>
    <row r="13356" spans="1:4" x14ac:dyDescent="0.2">
      <c r="A13356" s="496"/>
      <c r="D13356" s="496"/>
    </row>
    <row r="13357" spans="1:4" x14ac:dyDescent="0.2">
      <c r="A13357" s="496"/>
      <c r="D13357" s="496"/>
    </row>
    <row r="13358" spans="1:4" x14ac:dyDescent="0.2">
      <c r="A13358" s="496"/>
      <c r="D13358" s="496"/>
    </row>
    <row r="13359" spans="1:4" x14ac:dyDescent="0.2">
      <c r="A13359" s="496"/>
      <c r="D13359" s="496"/>
    </row>
    <row r="13360" spans="1:4" x14ac:dyDescent="0.2">
      <c r="A13360" s="496"/>
      <c r="D13360" s="496"/>
    </row>
    <row r="13361" spans="1:4" x14ac:dyDescent="0.2">
      <c r="A13361" s="496"/>
      <c r="D13361" s="496"/>
    </row>
    <row r="13362" spans="1:4" x14ac:dyDescent="0.2">
      <c r="A13362" s="496"/>
      <c r="D13362" s="496"/>
    </row>
    <row r="13363" spans="1:4" x14ac:dyDescent="0.2">
      <c r="A13363" s="496"/>
      <c r="D13363" s="496"/>
    </row>
    <row r="13364" spans="1:4" x14ac:dyDescent="0.2">
      <c r="A13364" s="496"/>
      <c r="D13364" s="496"/>
    </row>
    <row r="13365" spans="1:4" x14ac:dyDescent="0.2">
      <c r="A13365" s="496"/>
      <c r="D13365" s="496"/>
    </row>
    <row r="13366" spans="1:4" x14ac:dyDescent="0.2">
      <c r="A13366" s="496"/>
      <c r="D13366" s="496"/>
    </row>
    <row r="13367" spans="1:4" x14ac:dyDescent="0.2">
      <c r="A13367" s="496"/>
      <c r="D13367" s="496"/>
    </row>
    <row r="13368" spans="1:4" x14ac:dyDescent="0.2">
      <c r="A13368" s="496"/>
      <c r="D13368" s="496"/>
    </row>
    <row r="13369" spans="1:4" x14ac:dyDescent="0.2">
      <c r="A13369" s="496"/>
      <c r="D13369" s="496"/>
    </row>
    <row r="13370" spans="1:4" x14ac:dyDescent="0.2">
      <c r="A13370" s="496"/>
      <c r="D13370" s="496"/>
    </row>
    <row r="13371" spans="1:4" x14ac:dyDescent="0.2">
      <c r="A13371" s="496"/>
      <c r="D13371" s="496"/>
    </row>
    <row r="13372" spans="1:4" x14ac:dyDescent="0.2">
      <c r="A13372" s="496"/>
      <c r="D13372" s="496"/>
    </row>
    <row r="13373" spans="1:4" x14ac:dyDescent="0.2">
      <c r="A13373" s="496"/>
      <c r="D13373" s="496"/>
    </row>
    <row r="13374" spans="1:4" x14ac:dyDescent="0.2">
      <c r="A13374" s="496"/>
      <c r="D13374" s="496"/>
    </row>
    <row r="13375" spans="1:4" x14ac:dyDescent="0.2">
      <c r="A13375" s="496"/>
      <c r="D13375" s="496"/>
    </row>
    <row r="13376" spans="1:4" x14ac:dyDescent="0.2">
      <c r="A13376" s="496"/>
      <c r="D13376" s="496"/>
    </row>
    <row r="13377" spans="1:4" x14ac:dyDescent="0.2">
      <c r="A13377" s="496"/>
      <c r="D13377" s="496"/>
    </row>
    <row r="13378" spans="1:4" x14ac:dyDescent="0.2">
      <c r="A13378" s="496"/>
      <c r="D13378" s="496"/>
    </row>
    <row r="13379" spans="1:4" x14ac:dyDescent="0.2">
      <c r="A13379" s="496"/>
      <c r="D13379" s="496"/>
    </row>
    <row r="13380" spans="1:4" x14ac:dyDescent="0.2">
      <c r="A13380" s="496"/>
      <c r="D13380" s="496"/>
    </row>
    <row r="13381" spans="1:4" x14ac:dyDescent="0.2">
      <c r="A13381" s="496"/>
      <c r="D13381" s="496"/>
    </row>
    <row r="13382" spans="1:4" x14ac:dyDescent="0.2">
      <c r="A13382" s="496"/>
      <c r="D13382" s="496"/>
    </row>
    <row r="13383" spans="1:4" x14ac:dyDescent="0.2">
      <c r="A13383" s="496"/>
      <c r="D13383" s="496"/>
    </row>
    <row r="13384" spans="1:4" x14ac:dyDescent="0.2">
      <c r="A13384" s="496"/>
      <c r="D13384" s="496"/>
    </row>
    <row r="13385" spans="1:4" x14ac:dyDescent="0.2">
      <c r="A13385" s="496"/>
      <c r="D13385" s="496"/>
    </row>
    <row r="13386" spans="1:4" x14ac:dyDescent="0.2">
      <c r="A13386" s="496"/>
      <c r="D13386" s="496"/>
    </row>
    <row r="13387" spans="1:4" x14ac:dyDescent="0.2">
      <c r="A13387" s="496"/>
      <c r="D13387" s="496"/>
    </row>
    <row r="13388" spans="1:4" x14ac:dyDescent="0.2">
      <c r="A13388" s="496"/>
      <c r="D13388" s="496"/>
    </row>
    <row r="13389" spans="1:4" x14ac:dyDescent="0.2">
      <c r="A13389" s="496"/>
      <c r="D13389" s="496"/>
    </row>
    <row r="13390" spans="1:4" x14ac:dyDescent="0.2">
      <c r="A13390" s="496"/>
      <c r="D13390" s="496"/>
    </row>
    <row r="13391" spans="1:4" x14ac:dyDescent="0.2">
      <c r="A13391" s="496"/>
      <c r="D13391" s="496"/>
    </row>
    <row r="13392" spans="1:4" x14ac:dyDescent="0.2">
      <c r="A13392" s="496"/>
      <c r="D13392" s="496"/>
    </row>
    <row r="13393" spans="1:4" x14ac:dyDescent="0.2">
      <c r="A13393" s="496"/>
      <c r="D13393" s="496"/>
    </row>
    <row r="13394" spans="1:4" x14ac:dyDescent="0.2">
      <c r="A13394" s="496"/>
      <c r="D13394" s="496"/>
    </row>
    <row r="13395" spans="1:4" x14ac:dyDescent="0.2">
      <c r="A13395" s="496"/>
      <c r="D13395" s="496"/>
    </row>
    <row r="13396" spans="1:4" x14ac:dyDescent="0.2">
      <c r="A13396" s="496"/>
      <c r="D13396" s="496"/>
    </row>
    <row r="13397" spans="1:4" x14ac:dyDescent="0.2">
      <c r="A13397" s="496"/>
      <c r="D13397" s="496"/>
    </row>
    <row r="13398" spans="1:4" x14ac:dyDescent="0.2">
      <c r="A13398" s="496"/>
      <c r="D13398" s="496"/>
    </row>
    <row r="13399" spans="1:4" x14ac:dyDescent="0.2">
      <c r="A13399" s="496"/>
      <c r="D13399" s="496"/>
    </row>
    <row r="13400" spans="1:4" x14ac:dyDescent="0.2">
      <c r="A13400" s="496"/>
      <c r="D13400" s="496"/>
    </row>
    <row r="13401" spans="1:4" x14ac:dyDescent="0.2">
      <c r="A13401" s="496"/>
      <c r="D13401" s="496"/>
    </row>
    <row r="13402" spans="1:4" x14ac:dyDescent="0.2">
      <c r="A13402" s="496"/>
      <c r="D13402" s="496"/>
    </row>
    <row r="13403" spans="1:4" x14ac:dyDescent="0.2">
      <c r="A13403" s="496"/>
      <c r="D13403" s="496"/>
    </row>
    <row r="13404" spans="1:4" x14ac:dyDescent="0.2">
      <c r="A13404" s="496"/>
      <c r="D13404" s="496"/>
    </row>
    <row r="13405" spans="1:4" x14ac:dyDescent="0.2">
      <c r="A13405" s="496"/>
      <c r="D13405" s="496"/>
    </row>
    <row r="13406" spans="1:4" x14ac:dyDescent="0.2">
      <c r="A13406" s="496"/>
      <c r="D13406" s="496"/>
    </row>
    <row r="13407" spans="1:4" x14ac:dyDescent="0.2">
      <c r="A13407" s="496"/>
      <c r="D13407" s="496"/>
    </row>
    <row r="13408" spans="1:4" x14ac:dyDescent="0.2">
      <c r="A13408" s="496"/>
      <c r="D13408" s="496"/>
    </row>
    <row r="13409" spans="1:4" x14ac:dyDescent="0.2">
      <c r="A13409" s="496"/>
      <c r="D13409" s="496"/>
    </row>
    <row r="13410" spans="1:4" x14ac:dyDescent="0.2">
      <c r="A13410" s="496"/>
      <c r="D13410" s="496"/>
    </row>
    <row r="13411" spans="1:4" x14ac:dyDescent="0.2">
      <c r="A13411" s="496"/>
      <c r="D13411" s="496"/>
    </row>
    <row r="13412" spans="1:4" x14ac:dyDescent="0.2">
      <c r="A13412" s="496"/>
      <c r="D13412" s="496"/>
    </row>
    <row r="13413" spans="1:4" x14ac:dyDescent="0.2">
      <c r="A13413" s="496"/>
      <c r="D13413" s="496"/>
    </row>
    <row r="13414" spans="1:4" x14ac:dyDescent="0.2">
      <c r="A13414" s="496"/>
      <c r="D13414" s="496"/>
    </row>
    <row r="13415" spans="1:4" x14ac:dyDescent="0.2">
      <c r="A13415" s="496"/>
      <c r="D13415" s="496"/>
    </row>
    <row r="13416" spans="1:4" x14ac:dyDescent="0.2">
      <c r="A13416" s="496"/>
      <c r="D13416" s="496"/>
    </row>
    <row r="13417" spans="1:4" x14ac:dyDescent="0.2">
      <c r="A13417" s="496"/>
      <c r="D13417" s="496"/>
    </row>
    <row r="13418" spans="1:4" x14ac:dyDescent="0.2">
      <c r="A13418" s="496"/>
      <c r="D13418" s="496"/>
    </row>
    <row r="13419" spans="1:4" x14ac:dyDescent="0.2">
      <c r="A13419" s="496"/>
      <c r="D13419" s="496"/>
    </row>
    <row r="13420" spans="1:4" x14ac:dyDescent="0.2">
      <c r="A13420" s="496"/>
      <c r="D13420" s="496"/>
    </row>
    <row r="13421" spans="1:4" x14ac:dyDescent="0.2">
      <c r="A13421" s="496"/>
      <c r="D13421" s="496"/>
    </row>
    <row r="13422" spans="1:4" x14ac:dyDescent="0.2">
      <c r="A13422" s="496"/>
      <c r="D13422" s="496"/>
    </row>
    <row r="13423" spans="1:4" x14ac:dyDescent="0.2">
      <c r="A13423" s="496"/>
      <c r="D13423" s="496"/>
    </row>
    <row r="13424" spans="1:4" x14ac:dyDescent="0.2">
      <c r="A13424" s="496"/>
      <c r="D13424" s="496"/>
    </row>
    <row r="13425" spans="1:4" x14ac:dyDescent="0.2">
      <c r="A13425" s="496"/>
      <c r="D13425" s="496"/>
    </row>
    <row r="13426" spans="1:4" x14ac:dyDescent="0.2">
      <c r="A13426" s="496"/>
      <c r="D13426" s="496"/>
    </row>
    <row r="13427" spans="1:4" x14ac:dyDescent="0.2">
      <c r="A13427" s="496"/>
      <c r="D13427" s="496"/>
    </row>
    <row r="13428" spans="1:4" x14ac:dyDescent="0.2">
      <c r="A13428" s="496"/>
      <c r="D13428" s="496"/>
    </row>
    <row r="13429" spans="1:4" x14ac:dyDescent="0.2">
      <c r="A13429" s="496"/>
      <c r="D13429" s="496"/>
    </row>
    <row r="13430" spans="1:4" x14ac:dyDescent="0.2">
      <c r="A13430" s="496"/>
      <c r="D13430" s="496"/>
    </row>
    <row r="13431" spans="1:4" x14ac:dyDescent="0.2">
      <c r="A13431" s="496"/>
      <c r="D13431" s="496"/>
    </row>
    <row r="13432" spans="1:4" x14ac:dyDescent="0.2">
      <c r="A13432" s="496"/>
      <c r="D13432" s="496"/>
    </row>
    <row r="13433" spans="1:4" x14ac:dyDescent="0.2">
      <c r="A13433" s="496"/>
      <c r="D13433" s="496"/>
    </row>
    <row r="13434" spans="1:4" x14ac:dyDescent="0.2">
      <c r="A13434" s="496"/>
      <c r="D13434" s="496"/>
    </row>
    <row r="13435" spans="1:4" x14ac:dyDescent="0.2">
      <c r="A13435" s="496"/>
      <c r="D13435" s="496"/>
    </row>
    <row r="13436" spans="1:4" x14ac:dyDescent="0.2">
      <c r="A13436" s="496"/>
      <c r="D13436" s="496"/>
    </row>
    <row r="13437" spans="1:4" x14ac:dyDescent="0.2">
      <c r="A13437" s="496"/>
      <c r="D13437" s="496"/>
    </row>
    <row r="13438" spans="1:4" x14ac:dyDescent="0.2">
      <c r="A13438" s="496"/>
      <c r="D13438" s="496"/>
    </row>
    <row r="13439" spans="1:4" x14ac:dyDescent="0.2">
      <c r="A13439" s="496"/>
      <c r="D13439" s="496"/>
    </row>
    <row r="13440" spans="1:4" x14ac:dyDescent="0.2">
      <c r="A13440" s="496"/>
      <c r="D13440" s="496"/>
    </row>
    <row r="13441" spans="1:4" x14ac:dyDescent="0.2">
      <c r="A13441" s="496"/>
      <c r="D13441" s="496"/>
    </row>
    <row r="13442" spans="1:4" x14ac:dyDescent="0.2">
      <c r="A13442" s="496"/>
      <c r="D13442" s="496"/>
    </row>
    <row r="13443" spans="1:4" x14ac:dyDescent="0.2">
      <c r="A13443" s="496"/>
      <c r="D13443" s="496"/>
    </row>
    <row r="13444" spans="1:4" x14ac:dyDescent="0.2">
      <c r="A13444" s="496"/>
      <c r="D13444" s="496"/>
    </row>
    <row r="13445" spans="1:4" x14ac:dyDescent="0.2">
      <c r="A13445" s="496"/>
      <c r="D13445" s="496"/>
    </row>
    <row r="13446" spans="1:4" x14ac:dyDescent="0.2">
      <c r="A13446" s="496"/>
      <c r="D13446" s="496"/>
    </row>
    <row r="13447" spans="1:4" x14ac:dyDescent="0.2">
      <c r="A13447" s="496"/>
      <c r="D13447" s="496"/>
    </row>
    <row r="13448" spans="1:4" x14ac:dyDescent="0.2">
      <c r="A13448" s="496"/>
      <c r="D13448" s="496"/>
    </row>
    <row r="13449" spans="1:4" x14ac:dyDescent="0.2">
      <c r="A13449" s="496"/>
      <c r="D13449" s="496"/>
    </row>
    <row r="13450" spans="1:4" x14ac:dyDescent="0.2">
      <c r="A13450" s="496"/>
      <c r="D13450" s="496"/>
    </row>
    <row r="13451" spans="1:4" x14ac:dyDescent="0.2">
      <c r="A13451" s="496"/>
      <c r="D13451" s="496"/>
    </row>
    <row r="13452" spans="1:4" x14ac:dyDescent="0.2">
      <c r="A13452" s="496"/>
      <c r="D13452" s="496"/>
    </row>
    <row r="13453" spans="1:4" x14ac:dyDescent="0.2">
      <c r="A13453" s="496"/>
      <c r="D13453" s="496"/>
    </row>
    <row r="13454" spans="1:4" x14ac:dyDescent="0.2">
      <c r="A13454" s="496"/>
      <c r="D13454" s="496"/>
    </row>
    <row r="13455" spans="1:4" x14ac:dyDescent="0.2">
      <c r="A13455" s="496"/>
      <c r="D13455" s="496"/>
    </row>
    <row r="13456" spans="1:4" x14ac:dyDescent="0.2">
      <c r="A13456" s="496"/>
      <c r="D13456" s="496"/>
    </row>
    <row r="13457" spans="1:4" x14ac:dyDescent="0.2">
      <c r="A13457" s="496"/>
      <c r="D13457" s="496"/>
    </row>
    <row r="13458" spans="1:4" x14ac:dyDescent="0.2">
      <c r="A13458" s="496"/>
      <c r="D13458" s="496"/>
    </row>
    <row r="13459" spans="1:4" x14ac:dyDescent="0.2">
      <c r="A13459" s="496"/>
      <c r="D13459" s="496"/>
    </row>
    <row r="13460" spans="1:4" x14ac:dyDescent="0.2">
      <c r="A13460" s="496"/>
      <c r="D13460" s="496"/>
    </row>
    <row r="13461" spans="1:4" x14ac:dyDescent="0.2">
      <c r="A13461" s="496"/>
      <c r="D13461" s="496"/>
    </row>
    <row r="13462" spans="1:4" x14ac:dyDescent="0.2">
      <c r="A13462" s="496"/>
      <c r="D13462" s="496"/>
    </row>
    <row r="13463" spans="1:4" x14ac:dyDescent="0.2">
      <c r="A13463" s="496"/>
      <c r="D13463" s="496"/>
    </row>
    <row r="13464" spans="1:4" x14ac:dyDescent="0.2">
      <c r="A13464" s="496"/>
      <c r="D13464" s="496"/>
    </row>
    <row r="13465" spans="1:4" x14ac:dyDescent="0.2">
      <c r="A13465" s="496"/>
      <c r="D13465" s="496"/>
    </row>
    <row r="13466" spans="1:4" x14ac:dyDescent="0.2">
      <c r="A13466" s="496"/>
      <c r="D13466" s="496"/>
    </row>
    <row r="13467" spans="1:4" x14ac:dyDescent="0.2">
      <c r="A13467" s="496"/>
      <c r="D13467" s="496"/>
    </row>
    <row r="13468" spans="1:4" x14ac:dyDescent="0.2">
      <c r="A13468" s="496"/>
      <c r="D13468" s="496"/>
    </row>
    <row r="13469" spans="1:4" x14ac:dyDescent="0.2">
      <c r="A13469" s="496"/>
      <c r="D13469" s="496"/>
    </row>
    <row r="13470" spans="1:4" x14ac:dyDescent="0.2">
      <c r="A13470" s="496"/>
      <c r="D13470" s="496"/>
    </row>
    <row r="13471" spans="1:4" x14ac:dyDescent="0.2">
      <c r="A13471" s="496"/>
      <c r="D13471" s="496"/>
    </row>
    <row r="13472" spans="1:4" x14ac:dyDescent="0.2">
      <c r="A13472" s="496"/>
      <c r="D13472" s="496"/>
    </row>
    <row r="13473" spans="1:4" x14ac:dyDescent="0.2">
      <c r="A13473" s="496"/>
      <c r="D13473" s="496"/>
    </row>
    <row r="13474" spans="1:4" x14ac:dyDescent="0.2">
      <c r="A13474" s="496"/>
      <c r="D13474" s="496"/>
    </row>
    <row r="13475" spans="1:4" x14ac:dyDescent="0.2">
      <c r="A13475" s="496"/>
      <c r="D13475" s="496"/>
    </row>
    <row r="13476" spans="1:4" x14ac:dyDescent="0.2">
      <c r="A13476" s="496"/>
      <c r="D13476" s="496"/>
    </row>
    <row r="13477" spans="1:4" x14ac:dyDescent="0.2">
      <c r="A13477" s="496"/>
      <c r="D13477" s="496"/>
    </row>
    <row r="13478" spans="1:4" x14ac:dyDescent="0.2">
      <c r="A13478" s="496"/>
      <c r="D13478" s="496"/>
    </row>
    <row r="13479" spans="1:4" x14ac:dyDescent="0.2">
      <c r="A13479" s="496"/>
      <c r="D13479" s="496"/>
    </row>
    <row r="13480" spans="1:4" x14ac:dyDescent="0.2">
      <c r="A13480" s="496"/>
      <c r="D13480" s="496"/>
    </row>
    <row r="13481" spans="1:4" x14ac:dyDescent="0.2">
      <c r="A13481" s="496"/>
      <c r="D13481" s="496"/>
    </row>
    <row r="13482" spans="1:4" x14ac:dyDescent="0.2">
      <c r="A13482" s="496"/>
      <c r="D13482" s="496"/>
    </row>
    <row r="13483" spans="1:4" x14ac:dyDescent="0.2">
      <c r="A13483" s="496"/>
      <c r="D13483" s="496"/>
    </row>
    <row r="13484" spans="1:4" x14ac:dyDescent="0.2">
      <c r="A13484" s="496"/>
      <c r="D13484" s="496"/>
    </row>
    <row r="13485" spans="1:4" x14ac:dyDescent="0.2">
      <c r="A13485" s="496"/>
      <c r="D13485" s="496"/>
    </row>
    <row r="13486" spans="1:4" x14ac:dyDescent="0.2">
      <c r="A13486" s="496"/>
      <c r="D13486" s="496"/>
    </row>
    <row r="13487" spans="1:4" x14ac:dyDescent="0.2">
      <c r="A13487" s="496"/>
      <c r="D13487" s="496"/>
    </row>
    <row r="13488" spans="1:4" x14ac:dyDescent="0.2">
      <c r="A13488" s="496"/>
      <c r="D13488" s="496"/>
    </row>
    <row r="13489" spans="1:4" x14ac:dyDescent="0.2">
      <c r="A13489" s="496"/>
      <c r="D13489" s="496"/>
    </row>
    <row r="13490" spans="1:4" x14ac:dyDescent="0.2">
      <c r="A13490" s="496"/>
      <c r="D13490" s="496"/>
    </row>
    <row r="13491" spans="1:4" x14ac:dyDescent="0.2">
      <c r="A13491" s="496"/>
      <c r="D13491" s="496"/>
    </row>
    <row r="13492" spans="1:4" x14ac:dyDescent="0.2">
      <c r="A13492" s="496"/>
      <c r="D13492" s="496"/>
    </row>
    <row r="13493" spans="1:4" x14ac:dyDescent="0.2">
      <c r="A13493" s="496"/>
      <c r="D13493" s="496"/>
    </row>
    <row r="13494" spans="1:4" x14ac:dyDescent="0.2">
      <c r="A13494" s="496"/>
      <c r="D13494" s="496"/>
    </row>
    <row r="13495" spans="1:4" x14ac:dyDescent="0.2">
      <c r="A13495" s="496"/>
      <c r="D13495" s="496"/>
    </row>
    <row r="13496" spans="1:4" x14ac:dyDescent="0.2">
      <c r="A13496" s="496"/>
      <c r="D13496" s="496"/>
    </row>
    <row r="13497" spans="1:4" x14ac:dyDescent="0.2">
      <c r="A13497" s="496"/>
      <c r="D13497" s="496"/>
    </row>
    <row r="13498" spans="1:4" x14ac:dyDescent="0.2">
      <c r="A13498" s="496"/>
      <c r="D13498" s="496"/>
    </row>
    <row r="13499" spans="1:4" x14ac:dyDescent="0.2">
      <c r="A13499" s="496"/>
      <c r="D13499" s="496"/>
    </row>
    <row r="13500" spans="1:4" x14ac:dyDescent="0.2">
      <c r="A13500" s="496"/>
      <c r="D13500" s="496"/>
    </row>
    <row r="13501" spans="1:4" x14ac:dyDescent="0.2">
      <c r="A13501" s="496"/>
      <c r="D13501" s="496"/>
    </row>
    <row r="13502" spans="1:4" x14ac:dyDescent="0.2">
      <c r="A13502" s="496"/>
      <c r="D13502" s="496"/>
    </row>
    <row r="13503" spans="1:4" x14ac:dyDescent="0.2">
      <c r="A13503" s="496"/>
      <c r="D13503" s="496"/>
    </row>
    <row r="13504" spans="1:4" x14ac:dyDescent="0.2">
      <c r="A13504" s="496"/>
      <c r="D13504" s="496"/>
    </row>
    <row r="13505" spans="1:4" x14ac:dyDescent="0.2">
      <c r="A13505" s="496"/>
      <c r="D13505" s="496"/>
    </row>
    <row r="13506" spans="1:4" x14ac:dyDescent="0.2">
      <c r="A13506" s="496"/>
      <c r="D13506" s="496"/>
    </row>
    <row r="13507" spans="1:4" x14ac:dyDescent="0.2">
      <c r="A13507" s="496"/>
      <c r="D13507" s="496"/>
    </row>
    <row r="13508" spans="1:4" x14ac:dyDescent="0.2">
      <c r="A13508" s="496"/>
      <c r="D13508" s="496"/>
    </row>
    <row r="13509" spans="1:4" x14ac:dyDescent="0.2">
      <c r="A13509" s="496"/>
      <c r="D13509" s="496"/>
    </row>
    <row r="13510" spans="1:4" x14ac:dyDescent="0.2">
      <c r="A13510" s="496"/>
      <c r="D13510" s="496"/>
    </row>
    <row r="13511" spans="1:4" x14ac:dyDescent="0.2">
      <c r="A13511" s="496"/>
      <c r="D13511" s="496"/>
    </row>
    <row r="13512" spans="1:4" x14ac:dyDescent="0.2">
      <c r="A13512" s="496"/>
      <c r="D13512" s="496"/>
    </row>
    <row r="13513" spans="1:4" x14ac:dyDescent="0.2">
      <c r="A13513" s="496"/>
      <c r="D13513" s="496"/>
    </row>
    <row r="13514" spans="1:4" x14ac:dyDescent="0.2">
      <c r="A13514" s="496"/>
      <c r="D13514" s="496"/>
    </row>
    <row r="13515" spans="1:4" x14ac:dyDescent="0.2">
      <c r="A13515" s="496"/>
      <c r="D13515" s="496"/>
    </row>
    <row r="13516" spans="1:4" x14ac:dyDescent="0.2">
      <c r="A13516" s="496"/>
      <c r="D13516" s="496"/>
    </row>
    <row r="13517" spans="1:4" x14ac:dyDescent="0.2">
      <c r="A13517" s="496"/>
      <c r="D13517" s="496"/>
    </row>
    <row r="13518" spans="1:4" x14ac:dyDescent="0.2">
      <c r="A13518" s="496"/>
      <c r="D13518" s="496"/>
    </row>
    <row r="13519" spans="1:4" x14ac:dyDescent="0.2">
      <c r="A13519" s="496"/>
      <c r="D13519" s="496"/>
    </row>
    <row r="13520" spans="1:4" x14ac:dyDescent="0.2">
      <c r="A13520" s="496"/>
      <c r="D13520" s="496"/>
    </row>
    <row r="13521" spans="1:4" x14ac:dyDescent="0.2">
      <c r="A13521" s="496"/>
      <c r="D13521" s="496"/>
    </row>
    <row r="13522" spans="1:4" x14ac:dyDescent="0.2">
      <c r="A13522" s="496"/>
      <c r="D13522" s="496"/>
    </row>
    <row r="13523" spans="1:4" x14ac:dyDescent="0.2">
      <c r="A13523" s="496"/>
      <c r="D13523" s="496"/>
    </row>
    <row r="13524" spans="1:4" x14ac:dyDescent="0.2">
      <c r="A13524" s="496"/>
      <c r="D13524" s="496"/>
    </row>
    <row r="13525" spans="1:4" x14ac:dyDescent="0.2">
      <c r="A13525" s="496"/>
      <c r="D13525" s="496"/>
    </row>
    <row r="13526" spans="1:4" x14ac:dyDescent="0.2">
      <c r="A13526" s="496"/>
      <c r="D13526" s="496"/>
    </row>
    <row r="13527" spans="1:4" x14ac:dyDescent="0.2">
      <c r="A13527" s="496"/>
      <c r="D13527" s="496"/>
    </row>
    <row r="13528" spans="1:4" x14ac:dyDescent="0.2">
      <c r="A13528" s="496"/>
      <c r="D13528" s="496"/>
    </row>
    <row r="13529" spans="1:4" x14ac:dyDescent="0.2">
      <c r="A13529" s="496"/>
      <c r="D13529" s="496"/>
    </row>
    <row r="13530" spans="1:4" x14ac:dyDescent="0.2">
      <c r="A13530" s="496"/>
      <c r="D13530" s="496"/>
    </row>
    <row r="13531" spans="1:4" x14ac:dyDescent="0.2">
      <c r="A13531" s="496"/>
      <c r="D13531" s="496"/>
    </row>
    <row r="13532" spans="1:4" x14ac:dyDescent="0.2">
      <c r="A13532" s="496"/>
      <c r="D13532" s="496"/>
    </row>
    <row r="13533" spans="1:4" x14ac:dyDescent="0.2">
      <c r="A13533" s="496"/>
      <c r="D13533" s="496"/>
    </row>
    <row r="13534" spans="1:4" x14ac:dyDescent="0.2">
      <c r="A13534" s="496"/>
      <c r="D13534" s="496"/>
    </row>
    <row r="13535" spans="1:4" x14ac:dyDescent="0.2">
      <c r="A13535" s="496"/>
      <c r="D13535" s="496"/>
    </row>
    <row r="13536" spans="1:4" x14ac:dyDescent="0.2">
      <c r="A13536" s="496"/>
      <c r="D13536" s="496"/>
    </row>
    <row r="13537" spans="1:4" x14ac:dyDescent="0.2">
      <c r="A13537" s="496"/>
      <c r="D13537" s="496"/>
    </row>
    <row r="13538" spans="1:4" x14ac:dyDescent="0.2">
      <c r="A13538" s="496"/>
      <c r="D13538" s="496"/>
    </row>
    <row r="13539" spans="1:4" x14ac:dyDescent="0.2">
      <c r="A13539" s="496"/>
      <c r="D13539" s="496"/>
    </row>
    <row r="13540" spans="1:4" x14ac:dyDescent="0.2">
      <c r="A13540" s="496"/>
      <c r="D13540" s="496"/>
    </row>
    <row r="13541" spans="1:4" x14ac:dyDescent="0.2">
      <c r="A13541" s="496"/>
      <c r="D13541" s="496"/>
    </row>
    <row r="13542" spans="1:4" x14ac:dyDescent="0.2">
      <c r="A13542" s="496"/>
      <c r="D13542" s="496"/>
    </row>
    <row r="13543" spans="1:4" x14ac:dyDescent="0.2">
      <c r="A13543" s="496"/>
      <c r="D13543" s="496"/>
    </row>
    <row r="13544" spans="1:4" x14ac:dyDescent="0.2">
      <c r="A13544" s="496"/>
      <c r="D13544" s="496"/>
    </row>
    <row r="13545" spans="1:4" x14ac:dyDescent="0.2">
      <c r="A13545" s="496"/>
      <c r="D13545" s="496"/>
    </row>
    <row r="13546" spans="1:4" x14ac:dyDescent="0.2">
      <c r="A13546" s="496"/>
      <c r="D13546" s="496"/>
    </row>
    <row r="13547" spans="1:4" x14ac:dyDescent="0.2">
      <c r="A13547" s="496"/>
      <c r="D13547" s="496"/>
    </row>
    <row r="13548" spans="1:4" x14ac:dyDescent="0.2">
      <c r="A13548" s="496"/>
      <c r="D13548" s="496"/>
    </row>
    <row r="13549" spans="1:4" x14ac:dyDescent="0.2">
      <c r="A13549" s="496"/>
      <c r="D13549" s="496"/>
    </row>
    <row r="13550" spans="1:4" x14ac:dyDescent="0.2">
      <c r="A13550" s="496"/>
      <c r="D13550" s="496"/>
    </row>
    <row r="13551" spans="1:4" x14ac:dyDescent="0.2">
      <c r="A13551" s="496"/>
      <c r="D13551" s="496"/>
    </row>
    <row r="13552" spans="1:4" x14ac:dyDescent="0.2">
      <c r="A13552" s="496"/>
      <c r="D13552" s="496"/>
    </row>
    <row r="13553" spans="1:4" x14ac:dyDescent="0.2">
      <c r="A13553" s="496"/>
      <c r="D13553" s="496"/>
    </row>
    <row r="13554" spans="1:4" x14ac:dyDescent="0.2">
      <c r="A13554" s="496"/>
      <c r="D13554" s="496"/>
    </row>
    <row r="13555" spans="1:4" x14ac:dyDescent="0.2">
      <c r="A13555" s="496"/>
      <c r="D13555" s="496"/>
    </row>
    <row r="13556" spans="1:4" x14ac:dyDescent="0.2">
      <c r="A13556" s="496"/>
      <c r="D13556" s="496"/>
    </row>
    <row r="13557" spans="1:4" x14ac:dyDescent="0.2">
      <c r="A13557" s="496"/>
      <c r="D13557" s="496"/>
    </row>
    <row r="13558" spans="1:4" x14ac:dyDescent="0.2">
      <c r="A13558" s="496"/>
      <c r="D13558" s="496"/>
    </row>
    <row r="13559" spans="1:4" x14ac:dyDescent="0.2">
      <c r="A13559" s="496"/>
      <c r="D13559" s="496"/>
    </row>
    <row r="13560" spans="1:4" x14ac:dyDescent="0.2">
      <c r="A13560" s="496"/>
      <c r="D13560" s="496"/>
    </row>
    <row r="13561" spans="1:4" x14ac:dyDescent="0.2">
      <c r="A13561" s="496"/>
      <c r="D13561" s="496"/>
    </row>
    <row r="13562" spans="1:4" x14ac:dyDescent="0.2">
      <c r="A13562" s="496"/>
      <c r="D13562" s="496"/>
    </row>
    <row r="13563" spans="1:4" x14ac:dyDescent="0.2">
      <c r="A13563" s="496"/>
      <c r="D13563" s="496"/>
    </row>
    <row r="13564" spans="1:4" x14ac:dyDescent="0.2">
      <c r="A13564" s="496"/>
      <c r="D13564" s="496"/>
    </row>
    <row r="13565" spans="1:4" x14ac:dyDescent="0.2">
      <c r="A13565" s="496"/>
      <c r="D13565" s="496"/>
    </row>
    <row r="13566" spans="1:4" x14ac:dyDescent="0.2">
      <c r="A13566" s="496"/>
      <c r="D13566" s="496"/>
    </row>
    <row r="13567" spans="1:4" x14ac:dyDescent="0.2">
      <c r="A13567" s="496"/>
      <c r="D13567" s="496"/>
    </row>
    <row r="13568" spans="1:4" x14ac:dyDescent="0.2">
      <c r="A13568" s="496"/>
      <c r="D13568" s="496"/>
    </row>
    <row r="13569" spans="1:4" x14ac:dyDescent="0.2">
      <c r="A13569" s="496"/>
      <c r="D13569" s="496"/>
    </row>
    <row r="13570" spans="1:4" x14ac:dyDescent="0.2">
      <c r="A13570" s="496"/>
      <c r="D13570" s="496"/>
    </row>
    <row r="13571" spans="1:4" x14ac:dyDescent="0.2">
      <c r="A13571" s="496"/>
      <c r="D13571" s="496"/>
    </row>
    <row r="13572" spans="1:4" x14ac:dyDescent="0.2">
      <c r="A13572" s="496"/>
      <c r="D13572" s="496"/>
    </row>
    <row r="13573" spans="1:4" x14ac:dyDescent="0.2">
      <c r="A13573" s="496"/>
      <c r="D13573" s="496"/>
    </row>
    <row r="13574" spans="1:4" x14ac:dyDescent="0.2">
      <c r="A13574" s="496"/>
      <c r="D13574" s="496"/>
    </row>
    <row r="13575" spans="1:4" x14ac:dyDescent="0.2">
      <c r="A13575" s="496"/>
      <c r="D13575" s="496"/>
    </row>
    <row r="13576" spans="1:4" x14ac:dyDescent="0.2">
      <c r="A13576" s="496"/>
      <c r="D13576" s="496"/>
    </row>
    <row r="13577" spans="1:4" x14ac:dyDescent="0.2">
      <c r="A13577" s="496"/>
      <c r="D13577" s="496"/>
    </row>
    <row r="13578" spans="1:4" x14ac:dyDescent="0.2">
      <c r="A13578" s="496"/>
      <c r="D13578" s="496"/>
    </row>
    <row r="13579" spans="1:4" x14ac:dyDescent="0.2">
      <c r="A13579" s="496"/>
      <c r="D13579" s="496"/>
    </row>
    <row r="13580" spans="1:4" x14ac:dyDescent="0.2">
      <c r="A13580" s="496"/>
      <c r="D13580" s="496"/>
    </row>
    <row r="13581" spans="1:4" x14ac:dyDescent="0.2">
      <c r="A13581" s="496"/>
      <c r="D13581" s="496"/>
    </row>
    <row r="13582" spans="1:4" x14ac:dyDescent="0.2">
      <c r="A13582" s="496"/>
      <c r="D13582" s="496"/>
    </row>
    <row r="13583" spans="1:4" x14ac:dyDescent="0.2">
      <c r="A13583" s="496"/>
      <c r="D13583" s="496"/>
    </row>
    <row r="13584" spans="1:4" x14ac:dyDescent="0.2">
      <c r="A13584" s="496"/>
      <c r="D13584" s="496"/>
    </row>
    <row r="13585" spans="1:4" x14ac:dyDescent="0.2">
      <c r="A13585" s="496"/>
      <c r="D13585" s="496"/>
    </row>
    <row r="13586" spans="1:4" x14ac:dyDescent="0.2">
      <c r="A13586" s="496"/>
      <c r="D13586" s="496"/>
    </row>
    <row r="13587" spans="1:4" x14ac:dyDescent="0.2">
      <c r="A13587" s="496"/>
      <c r="D13587" s="496"/>
    </row>
    <row r="13588" spans="1:4" x14ac:dyDescent="0.2">
      <c r="A13588" s="496"/>
      <c r="D13588" s="496"/>
    </row>
    <row r="13589" spans="1:4" x14ac:dyDescent="0.2">
      <c r="A13589" s="496"/>
      <c r="D13589" s="496"/>
    </row>
    <row r="13590" spans="1:4" x14ac:dyDescent="0.2">
      <c r="A13590" s="496"/>
      <c r="D13590" s="496"/>
    </row>
    <row r="13591" spans="1:4" x14ac:dyDescent="0.2">
      <c r="A13591" s="496"/>
      <c r="D13591" s="496"/>
    </row>
    <row r="13592" spans="1:4" x14ac:dyDescent="0.2">
      <c r="A13592" s="496"/>
      <c r="D13592" s="496"/>
    </row>
    <row r="13593" spans="1:4" x14ac:dyDescent="0.2">
      <c r="A13593" s="496"/>
      <c r="D13593" s="496"/>
    </row>
    <row r="13594" spans="1:4" x14ac:dyDescent="0.2">
      <c r="A13594" s="496"/>
      <c r="D13594" s="496"/>
    </row>
    <row r="13595" spans="1:4" x14ac:dyDescent="0.2">
      <c r="A13595" s="496"/>
      <c r="D13595" s="496"/>
    </row>
    <row r="13596" spans="1:4" x14ac:dyDescent="0.2">
      <c r="A13596" s="496"/>
      <c r="D13596" s="496"/>
    </row>
    <row r="13597" spans="1:4" x14ac:dyDescent="0.2">
      <c r="A13597" s="496"/>
      <c r="D13597" s="496"/>
    </row>
    <row r="13598" spans="1:4" x14ac:dyDescent="0.2">
      <c r="A13598" s="496"/>
      <c r="D13598" s="496"/>
    </row>
    <row r="13599" spans="1:4" x14ac:dyDescent="0.2">
      <c r="A13599" s="496"/>
      <c r="D13599" s="496"/>
    </row>
    <row r="13600" spans="1:4" x14ac:dyDescent="0.2">
      <c r="A13600" s="496"/>
      <c r="D13600" s="496"/>
    </row>
    <row r="13601" spans="1:4" x14ac:dyDescent="0.2">
      <c r="A13601" s="496"/>
      <c r="D13601" s="496"/>
    </row>
    <row r="13602" spans="1:4" x14ac:dyDescent="0.2">
      <c r="A13602" s="496"/>
      <c r="D13602" s="496"/>
    </row>
    <row r="13603" spans="1:4" x14ac:dyDescent="0.2">
      <c r="A13603" s="496"/>
      <c r="D13603" s="496"/>
    </row>
    <row r="13604" spans="1:4" x14ac:dyDescent="0.2">
      <c r="A13604" s="496"/>
      <c r="D13604" s="496"/>
    </row>
    <row r="13605" spans="1:4" x14ac:dyDescent="0.2">
      <c r="A13605" s="496"/>
      <c r="D13605" s="496"/>
    </row>
    <row r="13606" spans="1:4" x14ac:dyDescent="0.2">
      <c r="A13606" s="496"/>
      <c r="D13606" s="496"/>
    </row>
    <row r="13607" spans="1:4" x14ac:dyDescent="0.2">
      <c r="A13607" s="496"/>
      <c r="D13607" s="496"/>
    </row>
    <row r="13608" spans="1:4" x14ac:dyDescent="0.2">
      <c r="A13608" s="496"/>
      <c r="D13608" s="496"/>
    </row>
    <row r="13609" spans="1:4" x14ac:dyDescent="0.2">
      <c r="A13609" s="496"/>
      <c r="D13609" s="496"/>
    </row>
    <row r="13610" spans="1:4" x14ac:dyDescent="0.2">
      <c r="A13610" s="496"/>
      <c r="D13610" s="496"/>
    </row>
    <row r="13611" spans="1:4" x14ac:dyDescent="0.2">
      <c r="A13611" s="496"/>
      <c r="D13611" s="496"/>
    </row>
    <row r="13612" spans="1:4" x14ac:dyDescent="0.2">
      <c r="A13612" s="496"/>
      <c r="D13612" s="496"/>
    </row>
    <row r="13613" spans="1:4" x14ac:dyDescent="0.2">
      <c r="A13613" s="496"/>
      <c r="D13613" s="496"/>
    </row>
    <row r="13614" spans="1:4" x14ac:dyDescent="0.2">
      <c r="A13614" s="496"/>
      <c r="D13614" s="496"/>
    </row>
    <row r="13615" spans="1:4" x14ac:dyDescent="0.2">
      <c r="A13615" s="496"/>
      <c r="D13615" s="496"/>
    </row>
    <row r="13616" spans="1:4" x14ac:dyDescent="0.2">
      <c r="A13616" s="496"/>
      <c r="D13616" s="496"/>
    </row>
    <row r="13617" spans="1:4" x14ac:dyDescent="0.2">
      <c r="A13617" s="496"/>
      <c r="D13617" s="496"/>
    </row>
    <row r="13618" spans="1:4" x14ac:dyDescent="0.2">
      <c r="A13618" s="496"/>
      <c r="D13618" s="496"/>
    </row>
    <row r="13619" spans="1:4" x14ac:dyDescent="0.2">
      <c r="A13619" s="496"/>
      <c r="D13619" s="496"/>
    </row>
    <row r="13620" spans="1:4" x14ac:dyDescent="0.2">
      <c r="A13620" s="496"/>
      <c r="D13620" s="496"/>
    </row>
    <row r="13621" spans="1:4" x14ac:dyDescent="0.2">
      <c r="A13621" s="496"/>
      <c r="D13621" s="496"/>
    </row>
    <row r="13622" spans="1:4" x14ac:dyDescent="0.2">
      <c r="A13622" s="496"/>
      <c r="D13622" s="496"/>
    </row>
    <row r="13623" spans="1:4" x14ac:dyDescent="0.2">
      <c r="A13623" s="496"/>
      <c r="D13623" s="496"/>
    </row>
    <row r="13624" spans="1:4" x14ac:dyDescent="0.2">
      <c r="A13624" s="496"/>
      <c r="D13624" s="496"/>
    </row>
    <row r="13625" spans="1:4" x14ac:dyDescent="0.2">
      <c r="A13625" s="496"/>
      <c r="D13625" s="496"/>
    </row>
    <row r="13626" spans="1:4" x14ac:dyDescent="0.2">
      <c r="A13626" s="496"/>
      <c r="D13626" s="496"/>
    </row>
    <row r="13627" spans="1:4" x14ac:dyDescent="0.2">
      <c r="A13627" s="496"/>
      <c r="D13627" s="496"/>
    </row>
    <row r="13628" spans="1:4" x14ac:dyDescent="0.2">
      <c r="A13628" s="496"/>
      <c r="D13628" s="496"/>
    </row>
    <row r="13629" spans="1:4" x14ac:dyDescent="0.2">
      <c r="A13629" s="496"/>
      <c r="D13629" s="496"/>
    </row>
    <row r="13630" spans="1:4" x14ac:dyDescent="0.2">
      <c r="A13630" s="496"/>
      <c r="D13630" s="496"/>
    </row>
    <row r="13631" spans="1:4" x14ac:dyDescent="0.2">
      <c r="A13631" s="496"/>
      <c r="D13631" s="496"/>
    </row>
    <row r="13632" spans="1:4" x14ac:dyDescent="0.2">
      <c r="A13632" s="496"/>
      <c r="D13632" s="496"/>
    </row>
    <row r="13633" spans="1:4" x14ac:dyDescent="0.2">
      <c r="A13633" s="496"/>
      <c r="D13633" s="496"/>
    </row>
    <row r="13634" spans="1:4" x14ac:dyDescent="0.2">
      <c r="A13634" s="496"/>
      <c r="D13634" s="496"/>
    </row>
    <row r="13635" spans="1:4" x14ac:dyDescent="0.2">
      <c r="A13635" s="496"/>
      <c r="D13635" s="496"/>
    </row>
    <row r="13636" spans="1:4" x14ac:dyDescent="0.2">
      <c r="A13636" s="496"/>
      <c r="D13636" s="496"/>
    </row>
    <row r="13637" spans="1:4" x14ac:dyDescent="0.2">
      <c r="A13637" s="496"/>
      <c r="D13637" s="496"/>
    </row>
    <row r="13638" spans="1:4" x14ac:dyDescent="0.2">
      <c r="A13638" s="496"/>
      <c r="D13638" s="496"/>
    </row>
    <row r="13639" spans="1:4" x14ac:dyDescent="0.2">
      <c r="A13639" s="496"/>
      <c r="D13639" s="496"/>
    </row>
    <row r="13640" spans="1:4" x14ac:dyDescent="0.2">
      <c r="A13640" s="496"/>
      <c r="D13640" s="496"/>
    </row>
    <row r="13641" spans="1:4" x14ac:dyDescent="0.2">
      <c r="A13641" s="496"/>
      <c r="D13641" s="496"/>
    </row>
    <row r="13642" spans="1:4" x14ac:dyDescent="0.2">
      <c r="A13642" s="496"/>
      <c r="D13642" s="496"/>
    </row>
    <row r="13643" spans="1:4" x14ac:dyDescent="0.2">
      <c r="A13643" s="496"/>
      <c r="D13643" s="496"/>
    </row>
    <row r="13644" spans="1:4" x14ac:dyDescent="0.2">
      <c r="A13644" s="496"/>
      <c r="D13644" s="496"/>
    </row>
    <row r="13645" spans="1:4" x14ac:dyDescent="0.2">
      <c r="A13645" s="496"/>
      <c r="D13645" s="496"/>
    </row>
    <row r="13646" spans="1:4" x14ac:dyDescent="0.2">
      <c r="A13646" s="496"/>
      <c r="D13646" s="496"/>
    </row>
    <row r="13647" spans="1:4" x14ac:dyDescent="0.2">
      <c r="A13647" s="496"/>
      <c r="D13647" s="496"/>
    </row>
    <row r="13648" spans="1:4" x14ac:dyDescent="0.2">
      <c r="A13648" s="496"/>
      <c r="D13648" s="496"/>
    </row>
    <row r="13649" spans="1:4" x14ac:dyDescent="0.2">
      <c r="A13649" s="496"/>
      <c r="D13649" s="496"/>
    </row>
    <row r="13650" spans="1:4" x14ac:dyDescent="0.2">
      <c r="A13650" s="496"/>
      <c r="D13650" s="496"/>
    </row>
    <row r="13651" spans="1:4" x14ac:dyDescent="0.2">
      <c r="A13651" s="496"/>
      <c r="D13651" s="496"/>
    </row>
    <row r="13652" spans="1:4" x14ac:dyDescent="0.2">
      <c r="A13652" s="496"/>
      <c r="D13652" s="496"/>
    </row>
    <row r="13653" spans="1:4" x14ac:dyDescent="0.2">
      <c r="A13653" s="496"/>
      <c r="D13653" s="496"/>
    </row>
    <row r="13654" spans="1:4" x14ac:dyDescent="0.2">
      <c r="A13654" s="496"/>
      <c r="D13654" s="496"/>
    </row>
    <row r="13655" spans="1:4" x14ac:dyDescent="0.2">
      <c r="A13655" s="496"/>
      <c r="D13655" s="496"/>
    </row>
    <row r="13656" spans="1:4" x14ac:dyDescent="0.2">
      <c r="A13656" s="496"/>
      <c r="D13656" s="496"/>
    </row>
    <row r="13657" spans="1:4" x14ac:dyDescent="0.2">
      <c r="A13657" s="496"/>
      <c r="D13657" s="496"/>
    </row>
    <row r="13658" spans="1:4" x14ac:dyDescent="0.2">
      <c r="A13658" s="496"/>
      <c r="D13658" s="496"/>
    </row>
    <row r="13659" spans="1:4" x14ac:dyDescent="0.2">
      <c r="A13659" s="496"/>
      <c r="D13659" s="496"/>
    </row>
    <row r="13660" spans="1:4" x14ac:dyDescent="0.2">
      <c r="A13660" s="496"/>
      <c r="D13660" s="496"/>
    </row>
    <row r="13661" spans="1:4" x14ac:dyDescent="0.2">
      <c r="A13661" s="496"/>
      <c r="D13661" s="496"/>
    </row>
    <row r="13662" spans="1:4" x14ac:dyDescent="0.2">
      <c r="A13662" s="496"/>
      <c r="D13662" s="496"/>
    </row>
    <row r="13663" spans="1:4" x14ac:dyDescent="0.2">
      <c r="A13663" s="496"/>
      <c r="D13663" s="496"/>
    </row>
    <row r="13664" spans="1:4" x14ac:dyDescent="0.2">
      <c r="A13664" s="496"/>
      <c r="D13664" s="496"/>
    </row>
    <row r="13665" spans="1:4" x14ac:dyDescent="0.2">
      <c r="A13665" s="496"/>
      <c r="D13665" s="496"/>
    </row>
    <row r="13666" spans="1:4" x14ac:dyDescent="0.2">
      <c r="A13666" s="496"/>
      <c r="D13666" s="496"/>
    </row>
    <row r="13667" spans="1:4" x14ac:dyDescent="0.2">
      <c r="A13667" s="496"/>
      <c r="D13667" s="496"/>
    </row>
    <row r="13668" spans="1:4" x14ac:dyDescent="0.2">
      <c r="A13668" s="496"/>
      <c r="D13668" s="496"/>
    </row>
    <row r="13669" spans="1:4" x14ac:dyDescent="0.2">
      <c r="A13669" s="496"/>
      <c r="D13669" s="496"/>
    </row>
    <row r="13670" spans="1:4" x14ac:dyDescent="0.2">
      <c r="A13670" s="496"/>
      <c r="D13670" s="496"/>
    </row>
    <row r="13671" spans="1:4" x14ac:dyDescent="0.2">
      <c r="A13671" s="496"/>
      <c r="D13671" s="496"/>
    </row>
    <row r="13672" spans="1:4" x14ac:dyDescent="0.2">
      <c r="A13672" s="496"/>
      <c r="D13672" s="496"/>
    </row>
    <row r="13673" spans="1:4" x14ac:dyDescent="0.2">
      <c r="A13673" s="496"/>
      <c r="D13673" s="496"/>
    </row>
    <row r="13674" spans="1:4" x14ac:dyDescent="0.2">
      <c r="A13674" s="496"/>
      <c r="D13674" s="496"/>
    </row>
    <row r="13675" spans="1:4" x14ac:dyDescent="0.2">
      <c r="A13675" s="496"/>
      <c r="D13675" s="496"/>
    </row>
    <row r="13676" spans="1:4" x14ac:dyDescent="0.2">
      <c r="A13676" s="496"/>
      <c r="D13676" s="496"/>
    </row>
    <row r="13677" spans="1:4" x14ac:dyDescent="0.2">
      <c r="A13677" s="496"/>
      <c r="D13677" s="496"/>
    </row>
    <row r="13678" spans="1:4" x14ac:dyDescent="0.2">
      <c r="A13678" s="496"/>
      <c r="D13678" s="496"/>
    </row>
    <row r="13679" spans="1:4" x14ac:dyDescent="0.2">
      <c r="A13679" s="496"/>
      <c r="D13679" s="496"/>
    </row>
    <row r="13680" spans="1:4" x14ac:dyDescent="0.2">
      <c r="A13680" s="496"/>
      <c r="D13680" s="496"/>
    </row>
    <row r="13681" spans="1:4" x14ac:dyDescent="0.2">
      <c r="A13681" s="496"/>
      <c r="D13681" s="496"/>
    </row>
    <row r="13682" spans="1:4" x14ac:dyDescent="0.2">
      <c r="A13682" s="496"/>
      <c r="D13682" s="496"/>
    </row>
    <row r="13683" spans="1:4" x14ac:dyDescent="0.2">
      <c r="A13683" s="496"/>
      <c r="D13683" s="496"/>
    </row>
    <row r="13684" spans="1:4" x14ac:dyDescent="0.2">
      <c r="A13684" s="496"/>
      <c r="D13684" s="496"/>
    </row>
    <row r="13685" spans="1:4" x14ac:dyDescent="0.2">
      <c r="A13685" s="496"/>
      <c r="D13685" s="496"/>
    </row>
    <row r="13686" spans="1:4" x14ac:dyDescent="0.2">
      <c r="A13686" s="496"/>
      <c r="D13686" s="496"/>
    </row>
    <row r="13687" spans="1:4" x14ac:dyDescent="0.2">
      <c r="A13687" s="496"/>
      <c r="D13687" s="496"/>
    </row>
    <row r="13688" spans="1:4" x14ac:dyDescent="0.2">
      <c r="A13688" s="496"/>
      <c r="D13688" s="496"/>
    </row>
    <row r="13689" spans="1:4" x14ac:dyDescent="0.2">
      <c r="A13689" s="496"/>
      <c r="D13689" s="496"/>
    </row>
    <row r="13690" spans="1:4" x14ac:dyDescent="0.2">
      <c r="A13690" s="496"/>
      <c r="D13690" s="496"/>
    </row>
    <row r="13691" spans="1:4" x14ac:dyDescent="0.2">
      <c r="A13691" s="496"/>
      <c r="D13691" s="496"/>
    </row>
    <row r="13692" spans="1:4" x14ac:dyDescent="0.2">
      <c r="A13692" s="496"/>
      <c r="D13692" s="496"/>
    </row>
    <row r="13693" spans="1:4" x14ac:dyDescent="0.2">
      <c r="A13693" s="496"/>
      <c r="D13693" s="496"/>
    </row>
    <row r="13694" spans="1:4" x14ac:dyDescent="0.2">
      <c r="A13694" s="496"/>
      <c r="D13694" s="496"/>
    </row>
    <row r="13695" spans="1:4" x14ac:dyDescent="0.2">
      <c r="A13695" s="496"/>
      <c r="D13695" s="496"/>
    </row>
    <row r="13696" spans="1:4" x14ac:dyDescent="0.2">
      <c r="A13696" s="496"/>
      <c r="D13696" s="496"/>
    </row>
    <row r="13697" spans="1:4" x14ac:dyDescent="0.2">
      <c r="A13697" s="496"/>
      <c r="D13697" s="496"/>
    </row>
    <row r="13698" spans="1:4" x14ac:dyDescent="0.2">
      <c r="A13698" s="496"/>
      <c r="D13698" s="496"/>
    </row>
    <row r="13699" spans="1:4" x14ac:dyDescent="0.2">
      <c r="A13699" s="496"/>
      <c r="D13699" s="496"/>
    </row>
    <row r="13700" spans="1:4" x14ac:dyDescent="0.2">
      <c r="A13700" s="496"/>
      <c r="D13700" s="496"/>
    </row>
    <row r="13701" spans="1:4" x14ac:dyDescent="0.2">
      <c r="A13701" s="496"/>
      <c r="D13701" s="496"/>
    </row>
    <row r="13702" spans="1:4" x14ac:dyDescent="0.2">
      <c r="A13702" s="496"/>
      <c r="D13702" s="496"/>
    </row>
    <row r="13703" spans="1:4" x14ac:dyDescent="0.2">
      <c r="A13703" s="496"/>
      <c r="D13703" s="496"/>
    </row>
    <row r="13704" spans="1:4" x14ac:dyDescent="0.2">
      <c r="A13704" s="496"/>
      <c r="D13704" s="496"/>
    </row>
    <row r="13705" spans="1:4" x14ac:dyDescent="0.2">
      <c r="A13705" s="496"/>
      <c r="D13705" s="496"/>
    </row>
    <row r="13706" spans="1:4" x14ac:dyDescent="0.2">
      <c r="A13706" s="496"/>
      <c r="D13706" s="496"/>
    </row>
    <row r="13707" spans="1:4" x14ac:dyDescent="0.2">
      <c r="A13707" s="496"/>
      <c r="D13707" s="496"/>
    </row>
    <row r="13708" spans="1:4" x14ac:dyDescent="0.2">
      <c r="A13708" s="496"/>
      <c r="D13708" s="496"/>
    </row>
    <row r="13709" spans="1:4" x14ac:dyDescent="0.2">
      <c r="A13709" s="496"/>
      <c r="D13709" s="496"/>
    </row>
    <row r="13710" spans="1:4" x14ac:dyDescent="0.2">
      <c r="A13710" s="496"/>
      <c r="D13710" s="496"/>
    </row>
    <row r="13711" spans="1:4" x14ac:dyDescent="0.2">
      <c r="A13711" s="496"/>
      <c r="D13711" s="496"/>
    </row>
    <row r="13712" spans="1:4" x14ac:dyDescent="0.2">
      <c r="A13712" s="496"/>
      <c r="D13712" s="496"/>
    </row>
    <row r="13713" spans="1:4" x14ac:dyDescent="0.2">
      <c r="A13713" s="496"/>
      <c r="D13713" s="496"/>
    </row>
    <row r="13714" spans="1:4" x14ac:dyDescent="0.2">
      <c r="A13714" s="496"/>
      <c r="D13714" s="496"/>
    </row>
    <row r="13715" spans="1:4" x14ac:dyDescent="0.2">
      <c r="A13715" s="496"/>
      <c r="D13715" s="496"/>
    </row>
    <row r="13716" spans="1:4" x14ac:dyDescent="0.2">
      <c r="A13716" s="496"/>
      <c r="D13716" s="496"/>
    </row>
    <row r="13717" spans="1:4" x14ac:dyDescent="0.2">
      <c r="A13717" s="496"/>
      <c r="D13717" s="496"/>
    </row>
    <row r="13718" spans="1:4" x14ac:dyDescent="0.2">
      <c r="A13718" s="496"/>
      <c r="D13718" s="496"/>
    </row>
    <row r="13719" spans="1:4" x14ac:dyDescent="0.2">
      <c r="A13719" s="496"/>
      <c r="D13719" s="496"/>
    </row>
    <row r="13720" spans="1:4" x14ac:dyDescent="0.2">
      <c r="A13720" s="496"/>
      <c r="D13720" s="496"/>
    </row>
    <row r="13721" spans="1:4" x14ac:dyDescent="0.2">
      <c r="A13721" s="496"/>
      <c r="D13721" s="496"/>
    </row>
    <row r="13722" spans="1:4" x14ac:dyDescent="0.2">
      <c r="A13722" s="496"/>
      <c r="D13722" s="496"/>
    </row>
    <row r="13723" spans="1:4" x14ac:dyDescent="0.2">
      <c r="A13723" s="496"/>
      <c r="D13723" s="496"/>
    </row>
    <row r="13724" spans="1:4" x14ac:dyDescent="0.2">
      <c r="A13724" s="496"/>
      <c r="D13724" s="496"/>
    </row>
    <row r="13725" spans="1:4" x14ac:dyDescent="0.2">
      <c r="A13725" s="496"/>
      <c r="D13725" s="496"/>
    </row>
    <row r="13726" spans="1:4" x14ac:dyDescent="0.2">
      <c r="A13726" s="496"/>
      <c r="D13726" s="496"/>
    </row>
    <row r="13727" spans="1:4" x14ac:dyDescent="0.2">
      <c r="A13727" s="496"/>
      <c r="D13727" s="496"/>
    </row>
    <row r="13728" spans="1:4" x14ac:dyDescent="0.2">
      <c r="A13728" s="496"/>
      <c r="D13728" s="496"/>
    </row>
    <row r="13729" spans="1:4" x14ac:dyDescent="0.2">
      <c r="A13729" s="496"/>
      <c r="D13729" s="496"/>
    </row>
    <row r="13730" spans="1:4" x14ac:dyDescent="0.2">
      <c r="A13730" s="496"/>
      <c r="D13730" s="496"/>
    </row>
    <row r="13731" spans="1:4" x14ac:dyDescent="0.2">
      <c r="A13731" s="496"/>
      <c r="D13731" s="496"/>
    </row>
    <row r="13732" spans="1:4" x14ac:dyDescent="0.2">
      <c r="A13732" s="496"/>
      <c r="D13732" s="496"/>
    </row>
    <row r="13733" spans="1:4" x14ac:dyDescent="0.2">
      <c r="A13733" s="496"/>
      <c r="D13733" s="496"/>
    </row>
    <row r="13734" spans="1:4" x14ac:dyDescent="0.2">
      <c r="A13734" s="496"/>
      <c r="D13734" s="496"/>
    </row>
    <row r="13735" spans="1:4" x14ac:dyDescent="0.2">
      <c r="A13735" s="496"/>
      <c r="D13735" s="496"/>
    </row>
    <row r="13736" spans="1:4" x14ac:dyDescent="0.2">
      <c r="A13736" s="496"/>
      <c r="D13736" s="496"/>
    </row>
    <row r="13737" spans="1:4" x14ac:dyDescent="0.2">
      <c r="A13737" s="496"/>
      <c r="D13737" s="496"/>
    </row>
    <row r="13738" spans="1:4" x14ac:dyDescent="0.2">
      <c r="A13738" s="496"/>
      <c r="D13738" s="496"/>
    </row>
    <row r="13739" spans="1:4" x14ac:dyDescent="0.2">
      <c r="A13739" s="496"/>
      <c r="D13739" s="496"/>
    </row>
    <row r="13740" spans="1:4" x14ac:dyDescent="0.2">
      <c r="A13740" s="496"/>
      <c r="D13740" s="496"/>
    </row>
    <row r="13741" spans="1:4" x14ac:dyDescent="0.2">
      <c r="A13741" s="496"/>
      <c r="D13741" s="496"/>
    </row>
    <row r="13742" spans="1:4" x14ac:dyDescent="0.2">
      <c r="A13742" s="496"/>
      <c r="D13742" s="496"/>
    </row>
    <row r="13743" spans="1:4" x14ac:dyDescent="0.2">
      <c r="A13743" s="496"/>
      <c r="D13743" s="496"/>
    </row>
    <row r="13744" spans="1:4" x14ac:dyDescent="0.2">
      <c r="A13744" s="496"/>
      <c r="D13744" s="496"/>
    </row>
    <row r="13745" spans="1:4" x14ac:dyDescent="0.2">
      <c r="A13745" s="496"/>
      <c r="D13745" s="496"/>
    </row>
    <row r="13746" spans="1:4" x14ac:dyDescent="0.2">
      <c r="A13746" s="496"/>
      <c r="D13746" s="496"/>
    </row>
    <row r="13747" spans="1:4" x14ac:dyDescent="0.2">
      <c r="A13747" s="496"/>
      <c r="D13747" s="496"/>
    </row>
    <row r="13748" spans="1:4" x14ac:dyDescent="0.2">
      <c r="A13748" s="496"/>
      <c r="D13748" s="496"/>
    </row>
    <row r="13749" spans="1:4" x14ac:dyDescent="0.2">
      <c r="A13749" s="496"/>
      <c r="D13749" s="496"/>
    </row>
    <row r="13750" spans="1:4" x14ac:dyDescent="0.2">
      <c r="A13750" s="496"/>
      <c r="D13750" s="496"/>
    </row>
    <row r="13751" spans="1:4" x14ac:dyDescent="0.2">
      <c r="A13751" s="496"/>
      <c r="D13751" s="496"/>
    </row>
    <row r="13752" spans="1:4" x14ac:dyDescent="0.2">
      <c r="A13752" s="496"/>
      <c r="D13752" s="496"/>
    </row>
    <row r="13753" spans="1:4" x14ac:dyDescent="0.2">
      <c r="A13753" s="496"/>
      <c r="D13753" s="496"/>
    </row>
    <row r="13754" spans="1:4" x14ac:dyDescent="0.2">
      <c r="A13754" s="496"/>
      <c r="D13754" s="496"/>
    </row>
    <row r="13755" spans="1:4" x14ac:dyDescent="0.2">
      <c r="A13755" s="496"/>
      <c r="D13755" s="496"/>
    </row>
    <row r="13756" spans="1:4" x14ac:dyDescent="0.2">
      <c r="A13756" s="496"/>
      <c r="D13756" s="496"/>
    </row>
    <row r="13757" spans="1:4" x14ac:dyDescent="0.2">
      <c r="A13757" s="496"/>
      <c r="D13757" s="496"/>
    </row>
    <row r="13758" spans="1:4" x14ac:dyDescent="0.2">
      <c r="A13758" s="496"/>
      <c r="D13758" s="496"/>
    </row>
    <row r="13759" spans="1:4" x14ac:dyDescent="0.2">
      <c r="A13759" s="496"/>
      <c r="D13759" s="496"/>
    </row>
    <row r="13760" spans="1:4" x14ac:dyDescent="0.2">
      <c r="A13760" s="496"/>
      <c r="D13760" s="496"/>
    </row>
    <row r="13761" spans="1:4" x14ac:dyDescent="0.2">
      <c r="A13761" s="496"/>
      <c r="D13761" s="496"/>
    </row>
    <row r="13762" spans="1:4" x14ac:dyDescent="0.2">
      <c r="A13762" s="496"/>
      <c r="D13762" s="496"/>
    </row>
    <row r="13763" spans="1:4" x14ac:dyDescent="0.2">
      <c r="A13763" s="496"/>
      <c r="D13763" s="496"/>
    </row>
    <row r="13764" spans="1:4" x14ac:dyDescent="0.2">
      <c r="A13764" s="496"/>
      <c r="D13764" s="496"/>
    </row>
    <row r="13765" spans="1:4" x14ac:dyDescent="0.2">
      <c r="A13765" s="496"/>
      <c r="D13765" s="496"/>
    </row>
    <row r="13766" spans="1:4" x14ac:dyDescent="0.2">
      <c r="A13766" s="496"/>
      <c r="D13766" s="496"/>
    </row>
    <row r="13767" spans="1:4" x14ac:dyDescent="0.2">
      <c r="A13767" s="496"/>
      <c r="D13767" s="496"/>
    </row>
    <row r="13768" spans="1:4" x14ac:dyDescent="0.2">
      <c r="A13768" s="496"/>
      <c r="D13768" s="496"/>
    </row>
    <row r="13769" spans="1:4" x14ac:dyDescent="0.2">
      <c r="A13769" s="496"/>
      <c r="D13769" s="496"/>
    </row>
    <row r="13770" spans="1:4" x14ac:dyDescent="0.2">
      <c r="A13770" s="496"/>
      <c r="D13770" s="496"/>
    </row>
    <row r="13771" spans="1:4" x14ac:dyDescent="0.2">
      <c r="A13771" s="496"/>
      <c r="D13771" s="496"/>
    </row>
    <row r="13772" spans="1:4" x14ac:dyDescent="0.2">
      <c r="A13772" s="496"/>
      <c r="D13772" s="496"/>
    </row>
    <row r="13773" spans="1:4" x14ac:dyDescent="0.2">
      <c r="A13773" s="496"/>
      <c r="D13773" s="496"/>
    </row>
    <row r="13774" spans="1:4" x14ac:dyDescent="0.2">
      <c r="A13774" s="496"/>
      <c r="D13774" s="496"/>
    </row>
    <row r="13775" spans="1:4" x14ac:dyDescent="0.2">
      <c r="A13775" s="496"/>
      <c r="D13775" s="496"/>
    </row>
    <row r="13776" spans="1:4" x14ac:dyDescent="0.2">
      <c r="D13776" s="496"/>
    </row>
    <row r="13777" spans="1:4" x14ac:dyDescent="0.2">
      <c r="A13777" s="496"/>
      <c r="D13777" s="496"/>
    </row>
    <row r="13778" spans="1:4" x14ac:dyDescent="0.2">
      <c r="A13778" s="496"/>
      <c r="D13778" s="496"/>
    </row>
    <row r="13779" spans="1:4" x14ac:dyDescent="0.2">
      <c r="A13779" s="496"/>
      <c r="D13779" s="496"/>
    </row>
    <row r="13780" spans="1:4" x14ac:dyDescent="0.2">
      <c r="A13780" s="496"/>
      <c r="D13780" s="496"/>
    </row>
    <row r="13781" spans="1:4" x14ac:dyDescent="0.2">
      <c r="A13781" s="496"/>
      <c r="D13781" s="496"/>
    </row>
    <row r="13782" spans="1:4" x14ac:dyDescent="0.2">
      <c r="A13782" s="496"/>
      <c r="D13782" s="496"/>
    </row>
    <row r="13783" spans="1:4" x14ac:dyDescent="0.2">
      <c r="A13783" s="496"/>
      <c r="D13783" s="496"/>
    </row>
    <row r="13784" spans="1:4" x14ac:dyDescent="0.2">
      <c r="A13784" s="496"/>
      <c r="D13784" s="496"/>
    </row>
    <row r="13785" spans="1:4" x14ac:dyDescent="0.2">
      <c r="A13785" s="496"/>
      <c r="D13785" s="496"/>
    </row>
    <row r="13786" spans="1:4" x14ac:dyDescent="0.2">
      <c r="A13786" s="496"/>
      <c r="D13786" s="496"/>
    </row>
    <row r="13787" spans="1:4" x14ac:dyDescent="0.2">
      <c r="A13787" s="496"/>
      <c r="D13787" s="496"/>
    </row>
    <row r="13788" spans="1:4" x14ac:dyDescent="0.2">
      <c r="A13788" s="496"/>
      <c r="D13788" s="496"/>
    </row>
    <row r="13789" spans="1:4" x14ac:dyDescent="0.2">
      <c r="A13789" s="496"/>
      <c r="D13789" s="496"/>
    </row>
    <row r="13790" spans="1:4" x14ac:dyDescent="0.2">
      <c r="A13790" s="496"/>
      <c r="D13790" s="496"/>
    </row>
    <row r="13791" spans="1:4" x14ac:dyDescent="0.2">
      <c r="A13791" s="496"/>
      <c r="D13791" s="496"/>
    </row>
    <row r="13792" spans="1:4" x14ac:dyDescent="0.2">
      <c r="A13792" s="496"/>
      <c r="D13792" s="496"/>
    </row>
    <row r="13793" spans="1:4" x14ac:dyDescent="0.2">
      <c r="A13793" s="496"/>
      <c r="D13793" s="496"/>
    </row>
    <row r="13794" spans="1:4" x14ac:dyDescent="0.2">
      <c r="A13794" s="496"/>
      <c r="D13794" s="496"/>
    </row>
    <row r="13795" spans="1:4" x14ac:dyDescent="0.2">
      <c r="A13795" s="496"/>
      <c r="D13795" s="496"/>
    </row>
    <row r="13796" spans="1:4" x14ac:dyDescent="0.2">
      <c r="A13796" s="496"/>
      <c r="D13796" s="496"/>
    </row>
    <row r="13797" spans="1:4" x14ac:dyDescent="0.2">
      <c r="A13797" s="496"/>
      <c r="D13797" s="496"/>
    </row>
    <row r="13798" spans="1:4" x14ac:dyDescent="0.2">
      <c r="A13798" s="496"/>
      <c r="D13798" s="496"/>
    </row>
    <row r="13799" spans="1:4" x14ac:dyDescent="0.2">
      <c r="A13799" s="496"/>
      <c r="D13799" s="496"/>
    </row>
    <row r="13800" spans="1:4" x14ac:dyDescent="0.2">
      <c r="A13800" s="496"/>
      <c r="D13800" s="496"/>
    </row>
    <row r="13801" spans="1:4" x14ac:dyDescent="0.2">
      <c r="A13801" s="496"/>
      <c r="D13801" s="496"/>
    </row>
    <row r="13802" spans="1:4" x14ac:dyDescent="0.2">
      <c r="A13802" s="496"/>
      <c r="D13802" s="496"/>
    </row>
    <row r="13803" spans="1:4" x14ac:dyDescent="0.2">
      <c r="A13803" s="496"/>
      <c r="D13803" s="496"/>
    </row>
    <row r="13804" spans="1:4" x14ac:dyDescent="0.2">
      <c r="A13804" s="496"/>
      <c r="D13804" s="496"/>
    </row>
    <row r="13805" spans="1:4" x14ac:dyDescent="0.2">
      <c r="A13805" s="496"/>
      <c r="D13805" s="496"/>
    </row>
    <row r="13806" spans="1:4" x14ac:dyDescent="0.2">
      <c r="A13806" s="496"/>
      <c r="D13806" s="496"/>
    </row>
    <row r="13807" spans="1:4" x14ac:dyDescent="0.2">
      <c r="A13807" s="496"/>
      <c r="D13807" s="496"/>
    </row>
    <row r="13808" spans="1:4" x14ac:dyDescent="0.2">
      <c r="A13808" s="496"/>
      <c r="D13808" s="496"/>
    </row>
    <row r="13809" spans="1:4" x14ac:dyDescent="0.2">
      <c r="A13809" s="496"/>
      <c r="D13809" s="496"/>
    </row>
    <row r="13810" spans="1:4" x14ac:dyDescent="0.2">
      <c r="A13810" s="496"/>
      <c r="D13810" s="496"/>
    </row>
    <row r="13811" spans="1:4" x14ac:dyDescent="0.2">
      <c r="A13811" s="496"/>
      <c r="D13811" s="496"/>
    </row>
    <row r="13812" spans="1:4" x14ac:dyDescent="0.2">
      <c r="A13812" s="496"/>
      <c r="D13812" s="496"/>
    </row>
    <row r="13813" spans="1:4" x14ac:dyDescent="0.2">
      <c r="A13813" s="496"/>
      <c r="D13813" s="496"/>
    </row>
    <row r="13814" spans="1:4" x14ac:dyDescent="0.2">
      <c r="A13814" s="496"/>
      <c r="D13814" s="496"/>
    </row>
    <row r="13815" spans="1:4" x14ac:dyDescent="0.2">
      <c r="A13815" s="496"/>
      <c r="D13815" s="496"/>
    </row>
    <row r="13816" spans="1:4" x14ac:dyDescent="0.2">
      <c r="A13816" s="496"/>
      <c r="D13816" s="496"/>
    </row>
    <row r="13817" spans="1:4" x14ac:dyDescent="0.2">
      <c r="A13817" s="496"/>
      <c r="D13817" s="496"/>
    </row>
    <row r="13818" spans="1:4" x14ac:dyDescent="0.2">
      <c r="A13818" s="496"/>
      <c r="D13818" s="496"/>
    </row>
    <row r="13819" spans="1:4" x14ac:dyDescent="0.2">
      <c r="A13819" s="496"/>
      <c r="D13819" s="496"/>
    </row>
    <row r="13820" spans="1:4" x14ac:dyDescent="0.2">
      <c r="A13820" s="496"/>
      <c r="D13820" s="496"/>
    </row>
    <row r="13821" spans="1:4" x14ac:dyDescent="0.2">
      <c r="A13821" s="496"/>
      <c r="D13821" s="496"/>
    </row>
    <row r="13822" spans="1:4" x14ac:dyDescent="0.2">
      <c r="A13822" s="496"/>
      <c r="D13822" s="496"/>
    </row>
    <row r="13823" spans="1:4" x14ac:dyDescent="0.2">
      <c r="A13823" s="496"/>
      <c r="D13823" s="496"/>
    </row>
    <row r="13824" spans="1:4" x14ac:dyDescent="0.2">
      <c r="A13824" s="496"/>
      <c r="D13824" s="496"/>
    </row>
    <row r="13825" spans="1:4" x14ac:dyDescent="0.2">
      <c r="A13825" s="496"/>
      <c r="D13825" s="496"/>
    </row>
    <row r="13826" spans="1:4" x14ac:dyDescent="0.2">
      <c r="A13826" s="496"/>
      <c r="D13826" s="496"/>
    </row>
    <row r="13827" spans="1:4" x14ac:dyDescent="0.2">
      <c r="A13827" s="496"/>
      <c r="D13827" s="496"/>
    </row>
    <row r="13828" spans="1:4" x14ac:dyDescent="0.2">
      <c r="A13828" s="496"/>
      <c r="D13828" s="496"/>
    </row>
    <row r="13829" spans="1:4" x14ac:dyDescent="0.2">
      <c r="A13829" s="496"/>
      <c r="D13829" s="496"/>
    </row>
    <row r="13830" spans="1:4" x14ac:dyDescent="0.2">
      <c r="A13830" s="496"/>
      <c r="D13830" s="496"/>
    </row>
    <row r="13831" spans="1:4" x14ac:dyDescent="0.2">
      <c r="A13831" s="496"/>
      <c r="D13831" s="496"/>
    </row>
    <row r="13832" spans="1:4" x14ac:dyDescent="0.2">
      <c r="A13832" s="496"/>
      <c r="D13832" s="496"/>
    </row>
    <row r="13833" spans="1:4" x14ac:dyDescent="0.2">
      <c r="A13833" s="496"/>
      <c r="D13833" s="496"/>
    </row>
    <row r="13834" spans="1:4" x14ac:dyDescent="0.2">
      <c r="A13834" s="496"/>
      <c r="D13834" s="496"/>
    </row>
    <row r="13835" spans="1:4" x14ac:dyDescent="0.2">
      <c r="A13835" s="496"/>
      <c r="D13835" s="496"/>
    </row>
    <row r="13836" spans="1:4" x14ac:dyDescent="0.2">
      <c r="A13836" s="496"/>
      <c r="D13836" s="496"/>
    </row>
    <row r="13837" spans="1:4" x14ac:dyDescent="0.2">
      <c r="A13837" s="496"/>
      <c r="D13837" s="496"/>
    </row>
    <row r="13838" spans="1:4" x14ac:dyDescent="0.2">
      <c r="A13838" s="496"/>
      <c r="D13838" s="496"/>
    </row>
    <row r="13839" spans="1:4" x14ac:dyDescent="0.2">
      <c r="A13839" s="496"/>
      <c r="D13839" s="496"/>
    </row>
    <row r="13840" spans="1:4" x14ac:dyDescent="0.2">
      <c r="A13840" s="496"/>
      <c r="D13840" s="496"/>
    </row>
    <row r="13841" spans="1:4" x14ac:dyDescent="0.2">
      <c r="A13841" s="496"/>
      <c r="D13841" s="496"/>
    </row>
    <row r="13842" spans="1:4" x14ac:dyDescent="0.2">
      <c r="A13842" s="496"/>
      <c r="D13842" s="496"/>
    </row>
    <row r="13843" spans="1:4" x14ac:dyDescent="0.2">
      <c r="A13843" s="496"/>
      <c r="D13843" s="496"/>
    </row>
    <row r="13844" spans="1:4" x14ac:dyDescent="0.2">
      <c r="A13844" s="496"/>
      <c r="D13844" s="496"/>
    </row>
    <row r="13845" spans="1:4" x14ac:dyDescent="0.2">
      <c r="A13845" s="496"/>
      <c r="D13845" s="496"/>
    </row>
    <row r="13846" spans="1:4" x14ac:dyDescent="0.2">
      <c r="A13846" s="496"/>
      <c r="D13846" s="496"/>
    </row>
    <row r="13847" spans="1:4" x14ac:dyDescent="0.2">
      <c r="A13847" s="496"/>
      <c r="D13847" s="496"/>
    </row>
    <row r="13848" spans="1:4" x14ac:dyDescent="0.2">
      <c r="A13848" s="496"/>
      <c r="D13848" s="496"/>
    </row>
    <row r="13849" spans="1:4" x14ac:dyDescent="0.2">
      <c r="A13849" s="496"/>
      <c r="D13849" s="496"/>
    </row>
    <row r="13850" spans="1:4" x14ac:dyDescent="0.2">
      <c r="A13850" s="496"/>
      <c r="D13850" s="496"/>
    </row>
    <row r="13851" spans="1:4" x14ac:dyDescent="0.2">
      <c r="A13851" s="496"/>
      <c r="D13851" s="496"/>
    </row>
    <row r="13852" spans="1:4" x14ac:dyDescent="0.2">
      <c r="A13852" s="496"/>
      <c r="D13852" s="496"/>
    </row>
    <row r="13853" spans="1:4" x14ac:dyDescent="0.2">
      <c r="A13853" s="496"/>
      <c r="D13853" s="496"/>
    </row>
    <row r="13854" spans="1:4" x14ac:dyDescent="0.2">
      <c r="A13854" s="496"/>
      <c r="D13854" s="496"/>
    </row>
    <row r="13855" spans="1:4" x14ac:dyDescent="0.2">
      <c r="A13855" s="496"/>
      <c r="D13855" s="496"/>
    </row>
    <row r="13856" spans="1:4" x14ac:dyDescent="0.2">
      <c r="A13856" s="496"/>
      <c r="D13856" s="496"/>
    </row>
    <row r="13857" spans="1:4" x14ac:dyDescent="0.2">
      <c r="A13857" s="496"/>
      <c r="D13857" s="496"/>
    </row>
    <row r="13858" spans="1:4" x14ac:dyDescent="0.2">
      <c r="A13858" s="496"/>
      <c r="D13858" s="496"/>
    </row>
    <row r="13859" spans="1:4" x14ac:dyDescent="0.2">
      <c r="A13859" s="496"/>
      <c r="D13859" s="496"/>
    </row>
    <row r="13860" spans="1:4" x14ac:dyDescent="0.2">
      <c r="A13860" s="496"/>
      <c r="D13860" s="496"/>
    </row>
    <row r="13861" spans="1:4" x14ac:dyDescent="0.2">
      <c r="A13861" s="496"/>
      <c r="D13861" s="496"/>
    </row>
    <row r="13862" spans="1:4" x14ac:dyDescent="0.2">
      <c r="A13862" s="496"/>
      <c r="D13862" s="496"/>
    </row>
    <row r="13863" spans="1:4" x14ac:dyDescent="0.2">
      <c r="A13863" s="496"/>
      <c r="D13863" s="496"/>
    </row>
    <row r="13864" spans="1:4" x14ac:dyDescent="0.2">
      <c r="A13864" s="496"/>
      <c r="D13864" s="496"/>
    </row>
    <row r="13865" spans="1:4" x14ac:dyDescent="0.2">
      <c r="A13865" s="496"/>
      <c r="D13865" s="496"/>
    </row>
    <row r="13866" spans="1:4" x14ac:dyDescent="0.2">
      <c r="A13866" s="496"/>
      <c r="D13866" s="496"/>
    </row>
    <row r="13867" spans="1:4" x14ac:dyDescent="0.2">
      <c r="A13867" s="496"/>
      <c r="D13867" s="496"/>
    </row>
    <row r="13868" spans="1:4" x14ac:dyDescent="0.2">
      <c r="A13868" s="496"/>
      <c r="D13868" s="496"/>
    </row>
    <row r="13869" spans="1:4" x14ac:dyDescent="0.2">
      <c r="A13869" s="496"/>
      <c r="D13869" s="496"/>
    </row>
    <row r="13870" spans="1:4" x14ac:dyDescent="0.2">
      <c r="A13870" s="496"/>
      <c r="D13870" s="496"/>
    </row>
    <row r="13871" spans="1:4" x14ac:dyDescent="0.2">
      <c r="A13871" s="496"/>
      <c r="D13871" s="496"/>
    </row>
    <row r="13872" spans="1:4" x14ac:dyDescent="0.2">
      <c r="A13872" s="496"/>
      <c r="D13872" s="496"/>
    </row>
    <row r="13873" spans="1:4" x14ac:dyDescent="0.2">
      <c r="A13873" s="496"/>
      <c r="D13873" s="496"/>
    </row>
    <row r="13874" spans="1:4" x14ac:dyDescent="0.2">
      <c r="A13874" s="496"/>
      <c r="D13874" s="496"/>
    </row>
    <row r="13875" spans="1:4" x14ac:dyDescent="0.2">
      <c r="A13875" s="496"/>
      <c r="D13875" s="496"/>
    </row>
    <row r="13876" spans="1:4" x14ac:dyDescent="0.2">
      <c r="A13876" s="496"/>
      <c r="D13876" s="496"/>
    </row>
    <row r="13877" spans="1:4" x14ac:dyDescent="0.2">
      <c r="A13877" s="496"/>
      <c r="D13877" s="496"/>
    </row>
    <row r="13878" spans="1:4" x14ac:dyDescent="0.2">
      <c r="A13878" s="496"/>
      <c r="D13878" s="496"/>
    </row>
    <row r="13879" spans="1:4" x14ac:dyDescent="0.2">
      <c r="A13879" s="496"/>
      <c r="D13879" s="496"/>
    </row>
    <row r="13880" spans="1:4" x14ac:dyDescent="0.2">
      <c r="A13880" s="496"/>
      <c r="D13880" s="496"/>
    </row>
    <row r="13881" spans="1:4" x14ac:dyDescent="0.2">
      <c r="A13881" s="496"/>
      <c r="D13881" s="496"/>
    </row>
    <row r="13882" spans="1:4" x14ac:dyDescent="0.2">
      <c r="A13882" s="496"/>
      <c r="D13882" s="496"/>
    </row>
    <row r="13883" spans="1:4" x14ac:dyDescent="0.2">
      <c r="A13883" s="496"/>
      <c r="D13883" s="496"/>
    </row>
    <row r="13884" spans="1:4" x14ac:dyDescent="0.2">
      <c r="A13884" s="496"/>
      <c r="D13884" s="496"/>
    </row>
    <row r="13885" spans="1:4" x14ac:dyDescent="0.2">
      <c r="A13885" s="496"/>
      <c r="D13885" s="496"/>
    </row>
    <row r="13886" spans="1:4" x14ac:dyDescent="0.2">
      <c r="A13886" s="496"/>
      <c r="D13886" s="496"/>
    </row>
    <row r="13887" spans="1:4" x14ac:dyDescent="0.2">
      <c r="A13887" s="496"/>
      <c r="D13887" s="496"/>
    </row>
    <row r="13888" spans="1:4" x14ac:dyDescent="0.2">
      <c r="A13888" s="496"/>
      <c r="D13888" s="496"/>
    </row>
    <row r="13889" spans="1:4" x14ac:dyDescent="0.2">
      <c r="A13889" s="496"/>
      <c r="D13889" s="496"/>
    </row>
    <row r="13890" spans="1:4" x14ac:dyDescent="0.2">
      <c r="A13890" s="496"/>
      <c r="D13890" s="496"/>
    </row>
    <row r="13891" spans="1:4" x14ac:dyDescent="0.2">
      <c r="A13891" s="496"/>
      <c r="D13891" s="496"/>
    </row>
    <row r="13892" spans="1:4" x14ac:dyDescent="0.2">
      <c r="A13892" s="496"/>
      <c r="D13892" s="496"/>
    </row>
    <row r="13893" spans="1:4" x14ac:dyDescent="0.2">
      <c r="A13893" s="496"/>
      <c r="D13893" s="496"/>
    </row>
    <row r="13894" spans="1:4" x14ac:dyDescent="0.2">
      <c r="A13894" s="496"/>
      <c r="D13894" s="496"/>
    </row>
    <row r="13895" spans="1:4" x14ac:dyDescent="0.2">
      <c r="A13895" s="496"/>
      <c r="D13895" s="496"/>
    </row>
    <row r="13896" spans="1:4" x14ac:dyDescent="0.2">
      <c r="A13896" s="496"/>
      <c r="D13896" s="496"/>
    </row>
    <row r="13897" spans="1:4" x14ac:dyDescent="0.2">
      <c r="A13897" s="496"/>
      <c r="D13897" s="496"/>
    </row>
    <row r="13898" spans="1:4" x14ac:dyDescent="0.2">
      <c r="A13898" s="496"/>
      <c r="D13898" s="496"/>
    </row>
    <row r="13899" spans="1:4" x14ac:dyDescent="0.2">
      <c r="A13899" s="496"/>
      <c r="D13899" s="496"/>
    </row>
    <row r="13900" spans="1:4" x14ac:dyDescent="0.2">
      <c r="A13900" s="496"/>
      <c r="D13900" s="496"/>
    </row>
    <row r="13901" spans="1:4" x14ac:dyDescent="0.2">
      <c r="A13901" s="496"/>
      <c r="D13901" s="496"/>
    </row>
    <row r="13902" spans="1:4" x14ac:dyDescent="0.2">
      <c r="A13902" s="496"/>
      <c r="D13902" s="496"/>
    </row>
    <row r="13903" spans="1:4" x14ac:dyDescent="0.2">
      <c r="A13903" s="496"/>
      <c r="D13903" s="496"/>
    </row>
    <row r="13904" spans="1:4" x14ac:dyDescent="0.2">
      <c r="A13904" s="496"/>
      <c r="D13904" s="496"/>
    </row>
    <row r="13905" spans="1:4" x14ac:dyDescent="0.2">
      <c r="A13905" s="496"/>
      <c r="D13905" s="496"/>
    </row>
    <row r="13906" spans="1:4" x14ac:dyDescent="0.2">
      <c r="A13906" s="496"/>
      <c r="D13906" s="496"/>
    </row>
    <row r="13907" spans="1:4" x14ac:dyDescent="0.2">
      <c r="A13907" s="496"/>
      <c r="D13907" s="496"/>
    </row>
    <row r="13908" spans="1:4" x14ac:dyDescent="0.2">
      <c r="A13908" s="496"/>
      <c r="D13908" s="496"/>
    </row>
    <row r="13909" spans="1:4" x14ac:dyDescent="0.2">
      <c r="A13909" s="496"/>
      <c r="D13909" s="496"/>
    </row>
    <row r="13910" spans="1:4" x14ac:dyDescent="0.2">
      <c r="A13910" s="496"/>
      <c r="D13910" s="496"/>
    </row>
    <row r="13911" spans="1:4" x14ac:dyDescent="0.2">
      <c r="A13911" s="496"/>
      <c r="D13911" s="496"/>
    </row>
    <row r="13912" spans="1:4" x14ac:dyDescent="0.2">
      <c r="A13912" s="496"/>
      <c r="D13912" s="496"/>
    </row>
    <row r="13913" spans="1:4" x14ac:dyDescent="0.2">
      <c r="A13913" s="496"/>
      <c r="D13913" s="496"/>
    </row>
    <row r="13914" spans="1:4" x14ac:dyDescent="0.2">
      <c r="A13914" s="496"/>
      <c r="D13914" s="496"/>
    </row>
    <row r="13915" spans="1:4" x14ac:dyDescent="0.2">
      <c r="A13915" s="496"/>
      <c r="D13915" s="496"/>
    </row>
    <row r="13916" spans="1:4" x14ac:dyDescent="0.2">
      <c r="A13916" s="496"/>
      <c r="D13916" s="496"/>
    </row>
    <row r="13917" spans="1:4" x14ac:dyDescent="0.2">
      <c r="A13917" s="496"/>
      <c r="D13917" s="496"/>
    </row>
    <row r="13918" spans="1:4" x14ac:dyDescent="0.2">
      <c r="A13918" s="496"/>
      <c r="D13918" s="496"/>
    </row>
    <row r="13919" spans="1:4" x14ac:dyDescent="0.2">
      <c r="A13919" s="496"/>
      <c r="D13919" s="496"/>
    </row>
    <row r="13920" spans="1:4" x14ac:dyDescent="0.2">
      <c r="A13920" s="496"/>
      <c r="D13920" s="496"/>
    </row>
    <row r="13921" spans="1:4" x14ac:dyDescent="0.2">
      <c r="A13921" s="496"/>
      <c r="D13921" s="496"/>
    </row>
    <row r="13922" spans="1:4" x14ac:dyDescent="0.2">
      <c r="A13922" s="496"/>
      <c r="D13922" s="496"/>
    </row>
    <row r="13923" spans="1:4" x14ac:dyDescent="0.2">
      <c r="A13923" s="496"/>
      <c r="D13923" s="496"/>
    </row>
    <row r="13924" spans="1:4" x14ac:dyDescent="0.2">
      <c r="A13924" s="496"/>
      <c r="D13924" s="496"/>
    </row>
    <row r="13925" spans="1:4" x14ac:dyDescent="0.2">
      <c r="A13925" s="496"/>
      <c r="D13925" s="496"/>
    </row>
    <row r="13926" spans="1:4" x14ac:dyDescent="0.2">
      <c r="A13926" s="496"/>
      <c r="D13926" s="496"/>
    </row>
    <row r="13927" spans="1:4" x14ac:dyDescent="0.2">
      <c r="A13927" s="496"/>
      <c r="D13927" s="496"/>
    </row>
    <row r="13928" spans="1:4" x14ac:dyDescent="0.2">
      <c r="A13928" s="496"/>
      <c r="D13928" s="496"/>
    </row>
    <row r="13929" spans="1:4" x14ac:dyDescent="0.2">
      <c r="A13929" s="496"/>
      <c r="D13929" s="496"/>
    </row>
    <row r="13930" spans="1:4" x14ac:dyDescent="0.2">
      <c r="A13930" s="496"/>
      <c r="D13930" s="496"/>
    </row>
    <row r="13931" spans="1:4" x14ac:dyDescent="0.2">
      <c r="A13931" s="496"/>
      <c r="D13931" s="496"/>
    </row>
    <row r="13932" spans="1:4" x14ac:dyDescent="0.2">
      <c r="A13932" s="496"/>
      <c r="D13932" s="496"/>
    </row>
    <row r="13933" spans="1:4" x14ac:dyDescent="0.2">
      <c r="A13933" s="496"/>
      <c r="D13933" s="496"/>
    </row>
    <row r="13934" spans="1:4" x14ac:dyDescent="0.2">
      <c r="A13934" s="496"/>
      <c r="D13934" s="496"/>
    </row>
    <row r="13935" spans="1:4" x14ac:dyDescent="0.2">
      <c r="A13935" s="496"/>
      <c r="D13935" s="496"/>
    </row>
    <row r="13936" spans="1:4" x14ac:dyDescent="0.2">
      <c r="A13936" s="496"/>
      <c r="D13936" s="496"/>
    </row>
    <row r="13937" spans="1:4" x14ac:dyDescent="0.2">
      <c r="A13937" s="496"/>
      <c r="D13937" s="496"/>
    </row>
    <row r="13938" spans="1:4" x14ac:dyDescent="0.2">
      <c r="A13938" s="496"/>
      <c r="D13938" s="496"/>
    </row>
    <row r="13939" spans="1:4" x14ac:dyDescent="0.2">
      <c r="A13939" s="496"/>
      <c r="D13939" s="496"/>
    </row>
    <row r="13940" spans="1:4" x14ac:dyDescent="0.2">
      <c r="A13940" s="496"/>
      <c r="D13940" s="496"/>
    </row>
    <row r="13941" spans="1:4" x14ac:dyDescent="0.2">
      <c r="A13941" s="496"/>
      <c r="D13941" s="496"/>
    </row>
    <row r="13942" spans="1:4" x14ac:dyDescent="0.2">
      <c r="A13942" s="496"/>
      <c r="D13942" s="496"/>
    </row>
    <row r="13943" spans="1:4" x14ac:dyDescent="0.2">
      <c r="A13943" s="496"/>
      <c r="D13943" s="496"/>
    </row>
    <row r="13944" spans="1:4" x14ac:dyDescent="0.2">
      <c r="A13944" s="496"/>
      <c r="D13944" s="496"/>
    </row>
    <row r="13945" spans="1:4" x14ac:dyDescent="0.2">
      <c r="A13945" s="496"/>
      <c r="D13945" s="496"/>
    </row>
    <row r="13946" spans="1:4" x14ac:dyDescent="0.2">
      <c r="A13946" s="496"/>
      <c r="D13946" s="496"/>
    </row>
    <row r="13947" spans="1:4" x14ac:dyDescent="0.2">
      <c r="A13947" s="496"/>
      <c r="D13947" s="496"/>
    </row>
    <row r="13948" spans="1:4" x14ac:dyDescent="0.2">
      <c r="A13948" s="496"/>
      <c r="D13948" s="496"/>
    </row>
    <row r="13949" spans="1:4" x14ac:dyDescent="0.2">
      <c r="A13949" s="496"/>
      <c r="D13949" s="496"/>
    </row>
    <row r="13950" spans="1:4" x14ac:dyDescent="0.2">
      <c r="A13950" s="496"/>
      <c r="D13950" s="496"/>
    </row>
    <row r="13951" spans="1:4" x14ac:dyDescent="0.2">
      <c r="A13951" s="496"/>
      <c r="D13951" s="496"/>
    </row>
    <row r="13952" spans="1:4" x14ac:dyDescent="0.2">
      <c r="A13952" s="496"/>
      <c r="D13952" s="496"/>
    </row>
    <row r="13953" spans="1:4" x14ac:dyDescent="0.2">
      <c r="A13953" s="496"/>
      <c r="D13953" s="496"/>
    </row>
    <row r="13954" spans="1:4" x14ac:dyDescent="0.2">
      <c r="A13954" s="496"/>
      <c r="D13954" s="496"/>
    </row>
    <row r="13955" spans="1:4" x14ac:dyDescent="0.2">
      <c r="A13955" s="496"/>
      <c r="D13955" s="496"/>
    </row>
    <row r="13956" spans="1:4" x14ac:dyDescent="0.2">
      <c r="A13956" s="496"/>
      <c r="D13956" s="496"/>
    </row>
    <row r="13957" spans="1:4" x14ac:dyDescent="0.2">
      <c r="A13957" s="496"/>
      <c r="D13957" s="496"/>
    </row>
    <row r="13958" spans="1:4" x14ac:dyDescent="0.2">
      <c r="A13958" s="496"/>
      <c r="D13958" s="496"/>
    </row>
    <row r="13959" spans="1:4" x14ac:dyDescent="0.2">
      <c r="A13959" s="496"/>
      <c r="D13959" s="496"/>
    </row>
    <row r="13960" spans="1:4" x14ac:dyDescent="0.2">
      <c r="A13960" s="496"/>
      <c r="D13960" s="496"/>
    </row>
    <row r="13961" spans="1:4" x14ac:dyDescent="0.2">
      <c r="A13961" s="496"/>
      <c r="D13961" s="496"/>
    </row>
    <row r="13962" spans="1:4" x14ac:dyDescent="0.2">
      <c r="A13962" s="496"/>
      <c r="D13962" s="496"/>
    </row>
    <row r="13963" spans="1:4" x14ac:dyDescent="0.2">
      <c r="A13963" s="496"/>
      <c r="D13963" s="496"/>
    </row>
    <row r="13964" spans="1:4" x14ac:dyDescent="0.2">
      <c r="A13964" s="496"/>
      <c r="D13964" s="496"/>
    </row>
    <row r="13965" spans="1:4" x14ac:dyDescent="0.2">
      <c r="A13965" s="496"/>
      <c r="D13965" s="496"/>
    </row>
    <row r="13966" spans="1:4" x14ac:dyDescent="0.2">
      <c r="A13966" s="496"/>
      <c r="D13966" s="496"/>
    </row>
    <row r="13967" spans="1:4" x14ac:dyDescent="0.2">
      <c r="A13967" s="496"/>
      <c r="D13967" s="496"/>
    </row>
    <row r="13968" spans="1:4" x14ac:dyDescent="0.2">
      <c r="A13968" s="496"/>
      <c r="D13968" s="496"/>
    </row>
    <row r="13969" spans="1:4" x14ac:dyDescent="0.2">
      <c r="A13969" s="496"/>
      <c r="D13969" s="496"/>
    </row>
    <row r="13970" spans="1:4" x14ac:dyDescent="0.2">
      <c r="A13970" s="496"/>
      <c r="D13970" s="496"/>
    </row>
    <row r="13971" spans="1:4" x14ac:dyDescent="0.2">
      <c r="A13971" s="496"/>
      <c r="D13971" s="496"/>
    </row>
    <row r="13972" spans="1:4" x14ac:dyDescent="0.2">
      <c r="A13972" s="496"/>
      <c r="D13972" s="496"/>
    </row>
    <row r="13973" spans="1:4" x14ac:dyDescent="0.2">
      <c r="A13973" s="496"/>
      <c r="D13973" s="496"/>
    </row>
    <row r="13974" spans="1:4" x14ac:dyDescent="0.2">
      <c r="A13974" s="496"/>
      <c r="D13974" s="496"/>
    </row>
    <row r="13975" spans="1:4" x14ac:dyDescent="0.2">
      <c r="A13975" s="496"/>
      <c r="D13975" s="496"/>
    </row>
    <row r="13976" spans="1:4" x14ac:dyDescent="0.2">
      <c r="A13976" s="496"/>
      <c r="D13976" s="496"/>
    </row>
    <row r="13977" spans="1:4" x14ac:dyDescent="0.2">
      <c r="A13977" s="496"/>
      <c r="D13977" s="496"/>
    </row>
    <row r="13978" spans="1:4" x14ac:dyDescent="0.2">
      <c r="A13978" s="496"/>
      <c r="D13978" s="496"/>
    </row>
    <row r="13979" spans="1:4" x14ac:dyDescent="0.2">
      <c r="A13979" s="496"/>
      <c r="D13979" s="496"/>
    </row>
    <row r="13980" spans="1:4" x14ac:dyDescent="0.2">
      <c r="A13980" s="496"/>
      <c r="D13980" s="496"/>
    </row>
    <row r="13981" spans="1:4" x14ac:dyDescent="0.2">
      <c r="A13981" s="496"/>
      <c r="D13981" s="496"/>
    </row>
    <row r="13982" spans="1:4" x14ac:dyDescent="0.2">
      <c r="A13982" s="496"/>
      <c r="D13982" s="496"/>
    </row>
    <row r="13983" spans="1:4" x14ac:dyDescent="0.2">
      <c r="A13983" s="496"/>
      <c r="D13983" s="496"/>
    </row>
    <row r="13984" spans="1:4" x14ac:dyDescent="0.2">
      <c r="A13984" s="496"/>
      <c r="D13984" s="496"/>
    </row>
    <row r="13985" spans="1:4" x14ac:dyDescent="0.2">
      <c r="A13985" s="496"/>
      <c r="D13985" s="496"/>
    </row>
    <row r="13986" spans="1:4" x14ac:dyDescent="0.2">
      <c r="A13986" s="496"/>
      <c r="D13986" s="496"/>
    </row>
    <row r="13987" spans="1:4" x14ac:dyDescent="0.2">
      <c r="A13987" s="496"/>
      <c r="D13987" s="496"/>
    </row>
    <row r="13988" spans="1:4" x14ac:dyDescent="0.2">
      <c r="A13988" s="496"/>
      <c r="D13988" s="496"/>
    </row>
    <row r="13989" spans="1:4" x14ac:dyDescent="0.2">
      <c r="A13989" s="496"/>
      <c r="D13989" s="496"/>
    </row>
    <row r="13990" spans="1:4" x14ac:dyDescent="0.2">
      <c r="A13990" s="496"/>
      <c r="D13990" s="496"/>
    </row>
    <row r="13991" spans="1:4" x14ac:dyDescent="0.2">
      <c r="A13991" s="496"/>
      <c r="D13991" s="496"/>
    </row>
    <row r="13992" spans="1:4" x14ac:dyDescent="0.2">
      <c r="A13992" s="496"/>
      <c r="D13992" s="496"/>
    </row>
    <row r="13993" spans="1:4" x14ac:dyDescent="0.2">
      <c r="A13993" s="496"/>
      <c r="D13993" s="496"/>
    </row>
    <row r="13994" spans="1:4" x14ac:dyDescent="0.2">
      <c r="A13994" s="496"/>
      <c r="D13994" s="496"/>
    </row>
    <row r="13995" spans="1:4" x14ac:dyDescent="0.2">
      <c r="A13995" s="496"/>
      <c r="D13995" s="496"/>
    </row>
    <row r="13996" spans="1:4" x14ac:dyDescent="0.2">
      <c r="A13996" s="496"/>
      <c r="D13996" s="496"/>
    </row>
    <row r="13997" spans="1:4" x14ac:dyDescent="0.2">
      <c r="A13997" s="496"/>
      <c r="D13997" s="496"/>
    </row>
    <row r="13998" spans="1:4" x14ac:dyDescent="0.2">
      <c r="A13998" s="496"/>
      <c r="D13998" s="496"/>
    </row>
    <row r="13999" spans="1:4" x14ac:dyDescent="0.2">
      <c r="A13999" s="496"/>
      <c r="D13999" s="496"/>
    </row>
    <row r="14000" spans="1:4" x14ac:dyDescent="0.2">
      <c r="A14000" s="496"/>
      <c r="D14000" s="496"/>
    </row>
    <row r="14001" spans="1:4" x14ac:dyDescent="0.2">
      <c r="A14001" s="496"/>
      <c r="D14001" s="496"/>
    </row>
    <row r="14002" spans="1:4" x14ac:dyDescent="0.2">
      <c r="A14002" s="496"/>
      <c r="D14002" s="496"/>
    </row>
    <row r="14003" spans="1:4" x14ac:dyDescent="0.2">
      <c r="A14003" s="496"/>
      <c r="D14003" s="496"/>
    </row>
    <row r="14004" spans="1:4" x14ac:dyDescent="0.2">
      <c r="A14004" s="496"/>
      <c r="D14004" s="496"/>
    </row>
    <row r="14005" spans="1:4" x14ac:dyDescent="0.2">
      <c r="A14005" s="496"/>
      <c r="D14005" s="496"/>
    </row>
    <row r="14006" spans="1:4" x14ac:dyDescent="0.2">
      <c r="A14006" s="496"/>
      <c r="D14006" s="496"/>
    </row>
    <row r="14007" spans="1:4" x14ac:dyDescent="0.2">
      <c r="A14007" s="496"/>
      <c r="D14007" s="496"/>
    </row>
    <row r="14008" spans="1:4" x14ac:dyDescent="0.2">
      <c r="A14008" s="496"/>
      <c r="D14008" s="496"/>
    </row>
    <row r="14009" spans="1:4" x14ac:dyDescent="0.2">
      <c r="A14009" s="496"/>
      <c r="D14009" s="496"/>
    </row>
    <row r="14010" spans="1:4" x14ac:dyDescent="0.2">
      <c r="A14010" s="496"/>
      <c r="D14010" s="496"/>
    </row>
    <row r="14011" spans="1:4" x14ac:dyDescent="0.2">
      <c r="A14011" s="496"/>
      <c r="D14011" s="496"/>
    </row>
    <row r="14012" spans="1:4" x14ac:dyDescent="0.2">
      <c r="A14012" s="496"/>
      <c r="D14012" s="496"/>
    </row>
    <row r="14013" spans="1:4" x14ac:dyDescent="0.2">
      <c r="A14013" s="496"/>
      <c r="D14013" s="496"/>
    </row>
    <row r="14014" spans="1:4" x14ac:dyDescent="0.2">
      <c r="A14014" s="496"/>
      <c r="D14014" s="496"/>
    </row>
    <row r="14015" spans="1:4" x14ac:dyDescent="0.2">
      <c r="A14015" s="496"/>
      <c r="D14015" s="496"/>
    </row>
    <row r="14016" spans="1:4" x14ac:dyDescent="0.2">
      <c r="A14016" s="496"/>
      <c r="D14016" s="496"/>
    </row>
    <row r="14017" spans="1:4" x14ac:dyDescent="0.2">
      <c r="A14017" s="496"/>
      <c r="D14017" s="496"/>
    </row>
    <row r="14018" spans="1:4" x14ac:dyDescent="0.2">
      <c r="A14018" s="496"/>
      <c r="D14018" s="496"/>
    </row>
    <row r="14019" spans="1:4" x14ac:dyDescent="0.2">
      <c r="A14019" s="496"/>
      <c r="D14019" s="496"/>
    </row>
    <row r="14020" spans="1:4" x14ac:dyDescent="0.2">
      <c r="A14020" s="496"/>
      <c r="D14020" s="496"/>
    </row>
    <row r="14021" spans="1:4" x14ac:dyDescent="0.2">
      <c r="A14021" s="496"/>
      <c r="D14021" s="496"/>
    </row>
    <row r="14022" spans="1:4" x14ac:dyDescent="0.2">
      <c r="A14022" s="496"/>
      <c r="D14022" s="496"/>
    </row>
    <row r="14023" spans="1:4" x14ac:dyDescent="0.2">
      <c r="A14023" s="496"/>
      <c r="D14023" s="496"/>
    </row>
    <row r="14024" spans="1:4" x14ac:dyDescent="0.2">
      <c r="A14024" s="496"/>
      <c r="D14024" s="496"/>
    </row>
    <row r="14025" spans="1:4" x14ac:dyDescent="0.2">
      <c r="A14025" s="496"/>
      <c r="D14025" s="496"/>
    </row>
    <row r="14026" spans="1:4" x14ac:dyDescent="0.2">
      <c r="A14026" s="496"/>
      <c r="D14026" s="496"/>
    </row>
    <row r="14027" spans="1:4" x14ac:dyDescent="0.2">
      <c r="A14027" s="496"/>
      <c r="D14027" s="496"/>
    </row>
    <row r="14028" spans="1:4" x14ac:dyDescent="0.2">
      <c r="A14028" s="496"/>
      <c r="D14028" s="496"/>
    </row>
    <row r="14029" spans="1:4" x14ac:dyDescent="0.2">
      <c r="A14029" s="496"/>
      <c r="D14029" s="496"/>
    </row>
    <row r="14030" spans="1:4" x14ac:dyDescent="0.2">
      <c r="A14030" s="496"/>
      <c r="D14030" s="496"/>
    </row>
    <row r="14031" spans="1:4" x14ac:dyDescent="0.2">
      <c r="A14031" s="496"/>
      <c r="D14031" s="496"/>
    </row>
    <row r="14032" spans="1:4" x14ac:dyDescent="0.2">
      <c r="A14032" s="496"/>
      <c r="D14032" s="496"/>
    </row>
    <row r="14033" spans="1:4" x14ac:dyDescent="0.2">
      <c r="A14033" s="496"/>
      <c r="D14033" s="496"/>
    </row>
    <row r="14034" spans="1:4" x14ac:dyDescent="0.2">
      <c r="A14034" s="496"/>
      <c r="D14034" s="496"/>
    </row>
    <row r="14035" spans="1:4" x14ac:dyDescent="0.2">
      <c r="A14035" s="496"/>
      <c r="D14035" s="496"/>
    </row>
    <row r="14036" spans="1:4" x14ac:dyDescent="0.2">
      <c r="A14036" s="496"/>
      <c r="D14036" s="496"/>
    </row>
    <row r="14037" spans="1:4" x14ac:dyDescent="0.2">
      <c r="A14037" s="496"/>
      <c r="D14037" s="496"/>
    </row>
    <row r="14038" spans="1:4" x14ac:dyDescent="0.2">
      <c r="A14038" s="496"/>
      <c r="D14038" s="496"/>
    </row>
    <row r="14039" spans="1:4" x14ac:dyDescent="0.2">
      <c r="A14039" s="496"/>
      <c r="D14039" s="496"/>
    </row>
    <row r="14040" spans="1:4" x14ac:dyDescent="0.2">
      <c r="A14040" s="496"/>
      <c r="D14040" s="496"/>
    </row>
    <row r="14041" spans="1:4" x14ac:dyDescent="0.2">
      <c r="A14041" s="496"/>
      <c r="D14041" s="496"/>
    </row>
    <row r="14042" spans="1:4" x14ac:dyDescent="0.2">
      <c r="A14042" s="496"/>
      <c r="D14042" s="496"/>
    </row>
    <row r="14043" spans="1:4" x14ac:dyDescent="0.2">
      <c r="A14043" s="496"/>
      <c r="D14043" s="496"/>
    </row>
    <row r="14044" spans="1:4" x14ac:dyDescent="0.2">
      <c r="A14044" s="496"/>
      <c r="D14044" s="496"/>
    </row>
    <row r="14045" spans="1:4" x14ac:dyDescent="0.2">
      <c r="A14045" s="496"/>
      <c r="D14045" s="496"/>
    </row>
    <row r="14046" spans="1:4" x14ac:dyDescent="0.2">
      <c r="A14046" s="496"/>
      <c r="D14046" s="496"/>
    </row>
    <row r="14047" spans="1:4" x14ac:dyDescent="0.2">
      <c r="A14047" s="496"/>
      <c r="D14047" s="496"/>
    </row>
    <row r="14048" spans="1:4" x14ac:dyDescent="0.2">
      <c r="A14048" s="496"/>
      <c r="D14048" s="496"/>
    </row>
    <row r="14049" spans="1:4" x14ac:dyDescent="0.2">
      <c r="A14049" s="496"/>
      <c r="D14049" s="496"/>
    </row>
    <row r="14050" spans="1:4" x14ac:dyDescent="0.2">
      <c r="A14050" s="496"/>
      <c r="D14050" s="496"/>
    </row>
    <row r="14051" spans="1:4" x14ac:dyDescent="0.2">
      <c r="A14051" s="496"/>
      <c r="D14051" s="496"/>
    </row>
    <row r="14052" spans="1:4" x14ac:dyDescent="0.2">
      <c r="A14052" s="496"/>
      <c r="D14052" s="496"/>
    </row>
    <row r="14053" spans="1:4" x14ac:dyDescent="0.2">
      <c r="A14053" s="496"/>
      <c r="D14053" s="496"/>
    </row>
    <row r="14054" spans="1:4" x14ac:dyDescent="0.2">
      <c r="A14054" s="496"/>
      <c r="D14054" s="496"/>
    </row>
    <row r="14055" spans="1:4" x14ac:dyDescent="0.2">
      <c r="A14055" s="496"/>
      <c r="D14055" s="496"/>
    </row>
    <row r="14056" spans="1:4" x14ac:dyDescent="0.2">
      <c r="A14056" s="496"/>
      <c r="D14056" s="496"/>
    </row>
    <row r="14057" spans="1:4" x14ac:dyDescent="0.2">
      <c r="A14057" s="496"/>
      <c r="D14057" s="496"/>
    </row>
    <row r="14058" spans="1:4" x14ac:dyDescent="0.2">
      <c r="A14058" s="496"/>
      <c r="D14058" s="496"/>
    </row>
    <row r="14059" spans="1:4" x14ac:dyDescent="0.2">
      <c r="A14059" s="496"/>
      <c r="D14059" s="496"/>
    </row>
    <row r="14060" spans="1:4" x14ac:dyDescent="0.2">
      <c r="A14060" s="496"/>
      <c r="D14060" s="496"/>
    </row>
    <row r="14061" spans="1:4" x14ac:dyDescent="0.2">
      <c r="A14061" s="496"/>
      <c r="D14061" s="496"/>
    </row>
    <row r="14062" spans="1:4" x14ac:dyDescent="0.2">
      <c r="A14062" s="496"/>
      <c r="D14062" s="496"/>
    </row>
    <row r="14063" spans="1:4" x14ac:dyDescent="0.2">
      <c r="A14063" s="496"/>
      <c r="D14063" s="496"/>
    </row>
    <row r="14064" spans="1:4" x14ac:dyDescent="0.2">
      <c r="A14064" s="496"/>
      <c r="D14064" s="496"/>
    </row>
    <row r="14065" spans="1:4" x14ac:dyDescent="0.2">
      <c r="A14065" s="496"/>
      <c r="D14065" s="496"/>
    </row>
    <row r="14066" spans="1:4" x14ac:dyDescent="0.2">
      <c r="A14066" s="496"/>
      <c r="D14066" s="496"/>
    </row>
    <row r="14067" spans="1:4" x14ac:dyDescent="0.2">
      <c r="A14067" s="496"/>
      <c r="D14067" s="496"/>
    </row>
    <row r="14068" spans="1:4" x14ac:dyDescent="0.2">
      <c r="A14068" s="496"/>
      <c r="D14068" s="496"/>
    </row>
    <row r="14069" spans="1:4" x14ac:dyDescent="0.2">
      <c r="A14069" s="496"/>
      <c r="D14069" s="496"/>
    </row>
    <row r="14070" spans="1:4" x14ac:dyDescent="0.2">
      <c r="A14070" s="496"/>
      <c r="D14070" s="496"/>
    </row>
    <row r="14071" spans="1:4" x14ac:dyDescent="0.2">
      <c r="A14071" s="496"/>
      <c r="D14071" s="496"/>
    </row>
    <row r="14072" spans="1:4" x14ac:dyDescent="0.2">
      <c r="A14072" s="496"/>
      <c r="D14072" s="496"/>
    </row>
    <row r="14073" spans="1:4" x14ac:dyDescent="0.2">
      <c r="A14073" s="496"/>
      <c r="D14073" s="496"/>
    </row>
    <row r="14074" spans="1:4" x14ac:dyDescent="0.2">
      <c r="A14074" s="496"/>
      <c r="D14074" s="496"/>
    </row>
    <row r="14075" spans="1:4" x14ac:dyDescent="0.2">
      <c r="A14075" s="496"/>
      <c r="D14075" s="496"/>
    </row>
    <row r="14076" spans="1:4" x14ac:dyDescent="0.2">
      <c r="A14076" s="496"/>
      <c r="D14076" s="496"/>
    </row>
    <row r="14077" spans="1:4" x14ac:dyDescent="0.2">
      <c r="A14077" s="496"/>
      <c r="D14077" s="496"/>
    </row>
    <row r="14078" spans="1:4" x14ac:dyDescent="0.2">
      <c r="A14078" s="496"/>
      <c r="D14078" s="496"/>
    </row>
    <row r="14079" spans="1:4" x14ac:dyDescent="0.2">
      <c r="A14079" s="496"/>
      <c r="D14079" s="496"/>
    </row>
    <row r="14080" spans="1:4" x14ac:dyDescent="0.2">
      <c r="A14080" s="496"/>
      <c r="D14080" s="496"/>
    </row>
    <row r="14081" spans="1:4" x14ac:dyDescent="0.2">
      <c r="A14081" s="496"/>
      <c r="D14081" s="496"/>
    </row>
    <row r="14082" spans="1:4" x14ac:dyDescent="0.2">
      <c r="A14082" s="496"/>
      <c r="D14082" s="496"/>
    </row>
    <row r="14083" spans="1:4" x14ac:dyDescent="0.2">
      <c r="A14083" s="496"/>
      <c r="D14083" s="496"/>
    </row>
    <row r="14084" spans="1:4" x14ac:dyDescent="0.2">
      <c r="A14084" s="496"/>
      <c r="D14084" s="496"/>
    </row>
    <row r="14085" spans="1:4" x14ac:dyDescent="0.2">
      <c r="A14085" s="496"/>
      <c r="D14085" s="496"/>
    </row>
    <row r="14086" spans="1:4" x14ac:dyDescent="0.2">
      <c r="A14086" s="496"/>
      <c r="D14086" s="496"/>
    </row>
    <row r="14087" spans="1:4" x14ac:dyDescent="0.2">
      <c r="A14087" s="496"/>
      <c r="D14087" s="496"/>
    </row>
    <row r="14088" spans="1:4" x14ac:dyDescent="0.2">
      <c r="A14088" s="496"/>
      <c r="D14088" s="496"/>
    </row>
    <row r="14089" spans="1:4" x14ac:dyDescent="0.2">
      <c r="A14089" s="496"/>
      <c r="D14089" s="496"/>
    </row>
    <row r="14090" spans="1:4" x14ac:dyDescent="0.2">
      <c r="A14090" s="496"/>
      <c r="D14090" s="496"/>
    </row>
    <row r="14091" spans="1:4" x14ac:dyDescent="0.2">
      <c r="A14091" s="496"/>
      <c r="D14091" s="496"/>
    </row>
    <row r="14092" spans="1:4" x14ac:dyDescent="0.2">
      <c r="A14092" s="496"/>
      <c r="D14092" s="496"/>
    </row>
    <row r="14093" spans="1:4" x14ac:dyDescent="0.2">
      <c r="A14093" s="496"/>
      <c r="D14093" s="496"/>
    </row>
    <row r="14094" spans="1:4" x14ac:dyDescent="0.2">
      <c r="A14094" s="496"/>
      <c r="D14094" s="496"/>
    </row>
    <row r="14095" spans="1:4" x14ac:dyDescent="0.2">
      <c r="A14095" s="496"/>
      <c r="D14095" s="496"/>
    </row>
    <row r="14096" spans="1:4" x14ac:dyDescent="0.2">
      <c r="A14096" s="496"/>
      <c r="D14096" s="496"/>
    </row>
    <row r="14097" spans="1:4" x14ac:dyDescent="0.2">
      <c r="A14097" s="496"/>
      <c r="D14097" s="496"/>
    </row>
    <row r="14098" spans="1:4" x14ac:dyDescent="0.2">
      <c r="A14098" s="496"/>
      <c r="D14098" s="496"/>
    </row>
    <row r="14099" spans="1:4" x14ac:dyDescent="0.2">
      <c r="A14099" s="496"/>
      <c r="D14099" s="496"/>
    </row>
    <row r="14100" spans="1:4" x14ac:dyDescent="0.2">
      <c r="A14100" s="496"/>
      <c r="D14100" s="496"/>
    </row>
    <row r="14101" spans="1:4" x14ac:dyDescent="0.2">
      <c r="A14101" s="496"/>
      <c r="D14101" s="496"/>
    </row>
    <row r="14102" spans="1:4" x14ac:dyDescent="0.2">
      <c r="A14102" s="496"/>
      <c r="D14102" s="496"/>
    </row>
    <row r="14103" spans="1:4" x14ac:dyDescent="0.2">
      <c r="A14103" s="496"/>
      <c r="D14103" s="496"/>
    </row>
    <row r="14104" spans="1:4" x14ac:dyDescent="0.2">
      <c r="A14104" s="496"/>
      <c r="D14104" s="496"/>
    </row>
    <row r="14105" spans="1:4" x14ac:dyDescent="0.2">
      <c r="A14105" s="496"/>
      <c r="D14105" s="496"/>
    </row>
    <row r="14106" spans="1:4" x14ac:dyDescent="0.2">
      <c r="A14106" s="496"/>
      <c r="D14106" s="496"/>
    </row>
    <row r="14107" spans="1:4" x14ac:dyDescent="0.2">
      <c r="A14107" s="496"/>
      <c r="D14107" s="496"/>
    </row>
    <row r="14108" spans="1:4" x14ac:dyDescent="0.2">
      <c r="A14108" s="496"/>
      <c r="D14108" s="496"/>
    </row>
    <row r="14109" spans="1:4" x14ac:dyDescent="0.2">
      <c r="A14109" s="496"/>
      <c r="D14109" s="496"/>
    </row>
    <row r="14110" spans="1:4" x14ac:dyDescent="0.2">
      <c r="A14110" s="496"/>
      <c r="D14110" s="496"/>
    </row>
    <row r="14111" spans="1:4" x14ac:dyDescent="0.2">
      <c r="A14111" s="496"/>
      <c r="D14111" s="496"/>
    </row>
    <row r="14112" spans="1:4" x14ac:dyDescent="0.2">
      <c r="A14112" s="496"/>
      <c r="D14112" s="496"/>
    </row>
    <row r="14113" spans="1:4" x14ac:dyDescent="0.2">
      <c r="A14113" s="496"/>
      <c r="D14113" s="496"/>
    </row>
    <row r="14114" spans="1:4" x14ac:dyDescent="0.2">
      <c r="A14114" s="496"/>
      <c r="D14114" s="496"/>
    </row>
    <row r="14115" spans="1:4" x14ac:dyDescent="0.2">
      <c r="A14115" s="496"/>
      <c r="D14115" s="496"/>
    </row>
    <row r="14116" spans="1:4" x14ac:dyDescent="0.2">
      <c r="A14116" s="496"/>
      <c r="D14116" s="496"/>
    </row>
    <row r="14117" spans="1:4" x14ac:dyDescent="0.2">
      <c r="A14117" s="496"/>
      <c r="D14117" s="496"/>
    </row>
    <row r="14118" spans="1:4" x14ac:dyDescent="0.2">
      <c r="A14118" s="496"/>
      <c r="D14118" s="496"/>
    </row>
    <row r="14119" spans="1:4" x14ac:dyDescent="0.2">
      <c r="A14119" s="496"/>
      <c r="D14119" s="496"/>
    </row>
    <row r="14120" spans="1:4" x14ac:dyDescent="0.2">
      <c r="A14120" s="496"/>
      <c r="D14120" s="496"/>
    </row>
    <row r="14121" spans="1:4" x14ac:dyDescent="0.2">
      <c r="A14121" s="496"/>
      <c r="D14121" s="496"/>
    </row>
    <row r="14122" spans="1:4" x14ac:dyDescent="0.2">
      <c r="A14122" s="496"/>
      <c r="D14122" s="496"/>
    </row>
    <row r="14123" spans="1:4" x14ac:dyDescent="0.2">
      <c r="A14123" s="496"/>
      <c r="D14123" s="496"/>
    </row>
    <row r="14124" spans="1:4" x14ac:dyDescent="0.2">
      <c r="A14124" s="496"/>
      <c r="D14124" s="496"/>
    </row>
    <row r="14125" spans="1:4" x14ac:dyDescent="0.2">
      <c r="A14125" s="496"/>
      <c r="D14125" s="496"/>
    </row>
    <row r="14126" spans="1:4" x14ac:dyDescent="0.2">
      <c r="A14126" s="496"/>
      <c r="D14126" s="496"/>
    </row>
    <row r="14127" spans="1:4" x14ac:dyDescent="0.2">
      <c r="A14127" s="496"/>
      <c r="D14127" s="496"/>
    </row>
    <row r="14128" spans="1:4" x14ac:dyDescent="0.2">
      <c r="A14128" s="496"/>
      <c r="D14128" s="496"/>
    </row>
    <row r="14129" spans="1:4" x14ac:dyDescent="0.2">
      <c r="A14129" s="496"/>
      <c r="D14129" s="496"/>
    </row>
    <row r="14130" spans="1:4" x14ac:dyDescent="0.2">
      <c r="A14130" s="496"/>
      <c r="D14130" s="496"/>
    </row>
    <row r="14131" spans="1:4" x14ac:dyDescent="0.2">
      <c r="A14131" s="496"/>
      <c r="D14131" s="496"/>
    </row>
    <row r="14132" spans="1:4" x14ac:dyDescent="0.2">
      <c r="A14132" s="496"/>
      <c r="D14132" s="496"/>
    </row>
    <row r="14133" spans="1:4" x14ac:dyDescent="0.2">
      <c r="A14133" s="496"/>
      <c r="D14133" s="496"/>
    </row>
    <row r="14134" spans="1:4" x14ac:dyDescent="0.2">
      <c r="A14134" s="496"/>
      <c r="D14134" s="496"/>
    </row>
    <row r="14135" spans="1:4" x14ac:dyDescent="0.2">
      <c r="A14135" s="496"/>
      <c r="D14135" s="496"/>
    </row>
    <row r="14136" spans="1:4" x14ac:dyDescent="0.2">
      <c r="A14136" s="496"/>
      <c r="D14136" s="496"/>
    </row>
    <row r="14137" spans="1:4" x14ac:dyDescent="0.2">
      <c r="A14137" s="496"/>
      <c r="D14137" s="496"/>
    </row>
    <row r="14138" spans="1:4" x14ac:dyDescent="0.2">
      <c r="A14138" s="496"/>
      <c r="D14138" s="496"/>
    </row>
    <row r="14139" spans="1:4" x14ac:dyDescent="0.2">
      <c r="A14139" s="496"/>
      <c r="D14139" s="496"/>
    </row>
    <row r="14140" spans="1:4" x14ac:dyDescent="0.2">
      <c r="A14140" s="496"/>
      <c r="D14140" s="496"/>
    </row>
    <row r="14141" spans="1:4" x14ac:dyDescent="0.2">
      <c r="A14141" s="496"/>
      <c r="D14141" s="496"/>
    </row>
    <row r="14142" spans="1:4" x14ac:dyDescent="0.2">
      <c r="A14142" s="496"/>
      <c r="D14142" s="496"/>
    </row>
    <row r="14143" spans="1:4" x14ac:dyDescent="0.2">
      <c r="A14143" s="496"/>
      <c r="D14143" s="496"/>
    </row>
    <row r="14144" spans="1:4" x14ac:dyDescent="0.2">
      <c r="A14144" s="496"/>
      <c r="D14144" s="496"/>
    </row>
    <row r="14145" spans="1:4" x14ac:dyDescent="0.2">
      <c r="A14145" s="496"/>
      <c r="D14145" s="496"/>
    </row>
    <row r="14146" spans="1:4" x14ac:dyDescent="0.2">
      <c r="A14146" s="496"/>
      <c r="D14146" s="496"/>
    </row>
    <row r="14147" spans="1:4" x14ac:dyDescent="0.2">
      <c r="A14147" s="496"/>
      <c r="D14147" s="496"/>
    </row>
    <row r="14148" spans="1:4" x14ac:dyDescent="0.2">
      <c r="A14148" s="496"/>
      <c r="D14148" s="496"/>
    </row>
    <row r="14149" spans="1:4" x14ac:dyDescent="0.2">
      <c r="A14149" s="496"/>
      <c r="D14149" s="496"/>
    </row>
    <row r="14150" spans="1:4" x14ac:dyDescent="0.2">
      <c r="A14150" s="496"/>
      <c r="D14150" s="496"/>
    </row>
    <row r="14151" spans="1:4" x14ac:dyDescent="0.2">
      <c r="A14151" s="496"/>
      <c r="D14151" s="496"/>
    </row>
    <row r="14152" spans="1:4" x14ac:dyDescent="0.2">
      <c r="A14152" s="496"/>
      <c r="D14152" s="496"/>
    </row>
    <row r="14153" spans="1:4" x14ac:dyDescent="0.2">
      <c r="A14153" s="496"/>
      <c r="D14153" s="496"/>
    </row>
    <row r="14154" spans="1:4" x14ac:dyDescent="0.2">
      <c r="A14154" s="496"/>
      <c r="D14154" s="496"/>
    </row>
    <row r="14155" spans="1:4" x14ac:dyDescent="0.2">
      <c r="A14155" s="496"/>
      <c r="D14155" s="496"/>
    </row>
    <row r="14156" spans="1:4" x14ac:dyDescent="0.2">
      <c r="A14156" s="496"/>
      <c r="D14156" s="496"/>
    </row>
    <row r="14157" spans="1:4" x14ac:dyDescent="0.2">
      <c r="A14157" s="496"/>
      <c r="D14157" s="496"/>
    </row>
    <row r="14158" spans="1:4" x14ac:dyDescent="0.2">
      <c r="A14158" s="496"/>
      <c r="D14158" s="496"/>
    </row>
    <row r="14159" spans="1:4" x14ac:dyDescent="0.2">
      <c r="A14159" s="496"/>
      <c r="D14159" s="496"/>
    </row>
    <row r="14160" spans="1:4" x14ac:dyDescent="0.2">
      <c r="A14160" s="496"/>
      <c r="D14160" s="496"/>
    </row>
    <row r="14161" spans="1:4" x14ac:dyDescent="0.2">
      <c r="A14161" s="496"/>
      <c r="D14161" s="496"/>
    </row>
    <row r="14162" spans="1:4" x14ac:dyDescent="0.2">
      <c r="A14162" s="496"/>
      <c r="D14162" s="496"/>
    </row>
    <row r="14163" spans="1:4" x14ac:dyDescent="0.2">
      <c r="A14163" s="496"/>
      <c r="D14163" s="496"/>
    </row>
    <row r="14164" spans="1:4" x14ac:dyDescent="0.2">
      <c r="A14164" s="496"/>
      <c r="D14164" s="496"/>
    </row>
    <row r="14165" spans="1:4" x14ac:dyDescent="0.2">
      <c r="A14165" s="496"/>
      <c r="D14165" s="496"/>
    </row>
    <row r="14166" spans="1:4" x14ac:dyDescent="0.2">
      <c r="A14166" s="496"/>
      <c r="D14166" s="496"/>
    </row>
    <row r="14167" spans="1:4" x14ac:dyDescent="0.2">
      <c r="A14167" s="496"/>
      <c r="D14167" s="496"/>
    </row>
    <row r="14168" spans="1:4" x14ac:dyDescent="0.2">
      <c r="A14168" s="496"/>
      <c r="D14168" s="496"/>
    </row>
    <row r="14169" spans="1:4" x14ac:dyDescent="0.2">
      <c r="A14169" s="496"/>
      <c r="D14169" s="496"/>
    </row>
    <row r="14170" spans="1:4" x14ac:dyDescent="0.2">
      <c r="A14170" s="496"/>
      <c r="D14170" s="496"/>
    </row>
    <row r="14171" spans="1:4" x14ac:dyDescent="0.2">
      <c r="A14171" s="496"/>
      <c r="D14171" s="496"/>
    </row>
    <row r="14172" spans="1:4" x14ac:dyDescent="0.2">
      <c r="A14172" s="496"/>
      <c r="D14172" s="496"/>
    </row>
    <row r="14173" spans="1:4" x14ac:dyDescent="0.2">
      <c r="A14173" s="496"/>
      <c r="D14173" s="496"/>
    </row>
    <row r="14174" spans="1:4" x14ac:dyDescent="0.2">
      <c r="A14174" s="496"/>
      <c r="D14174" s="496"/>
    </row>
    <row r="14175" spans="1:4" x14ac:dyDescent="0.2">
      <c r="A14175" s="496"/>
      <c r="D14175" s="496"/>
    </row>
    <row r="14176" spans="1:4" x14ac:dyDescent="0.2">
      <c r="A14176" s="496"/>
      <c r="D14176" s="496"/>
    </row>
    <row r="14177" spans="1:4" x14ac:dyDescent="0.2">
      <c r="A14177" s="496"/>
      <c r="D14177" s="496"/>
    </row>
    <row r="14178" spans="1:4" x14ac:dyDescent="0.2">
      <c r="A14178" s="496"/>
      <c r="D14178" s="496"/>
    </row>
    <row r="14179" spans="1:4" x14ac:dyDescent="0.2">
      <c r="A14179" s="496"/>
      <c r="D14179" s="496"/>
    </row>
    <row r="14180" spans="1:4" x14ac:dyDescent="0.2">
      <c r="A14180" s="496"/>
      <c r="D14180" s="496"/>
    </row>
    <row r="14181" spans="1:4" x14ac:dyDescent="0.2">
      <c r="A14181" s="496"/>
      <c r="D14181" s="496"/>
    </row>
    <row r="14182" spans="1:4" x14ac:dyDescent="0.2">
      <c r="A14182" s="496"/>
      <c r="D14182" s="496"/>
    </row>
    <row r="14183" spans="1:4" x14ac:dyDescent="0.2">
      <c r="A14183" s="496"/>
      <c r="D14183" s="496"/>
    </row>
    <row r="14184" spans="1:4" x14ac:dyDescent="0.2">
      <c r="A14184" s="496"/>
      <c r="D14184" s="496"/>
    </row>
    <row r="14185" spans="1:4" x14ac:dyDescent="0.2">
      <c r="A14185" s="496"/>
      <c r="D14185" s="496"/>
    </row>
    <row r="14186" spans="1:4" x14ac:dyDescent="0.2">
      <c r="A14186" s="496"/>
      <c r="D14186" s="496"/>
    </row>
    <row r="14187" spans="1:4" x14ac:dyDescent="0.2">
      <c r="A14187" s="496"/>
      <c r="D14187" s="496"/>
    </row>
    <row r="14188" spans="1:4" x14ac:dyDescent="0.2">
      <c r="A14188" s="496"/>
      <c r="D14188" s="496"/>
    </row>
    <row r="14189" spans="1:4" x14ac:dyDescent="0.2">
      <c r="A14189" s="496"/>
      <c r="D14189" s="496"/>
    </row>
    <row r="14190" spans="1:4" x14ac:dyDescent="0.2">
      <c r="A14190" s="496"/>
      <c r="D14190" s="496"/>
    </row>
    <row r="14191" spans="1:4" x14ac:dyDescent="0.2">
      <c r="A14191" s="496"/>
      <c r="D14191" s="496"/>
    </row>
    <row r="14192" spans="1:4" x14ac:dyDescent="0.2">
      <c r="A14192" s="496"/>
      <c r="D14192" s="496"/>
    </row>
    <row r="14193" spans="1:4" x14ac:dyDescent="0.2">
      <c r="A14193" s="496"/>
      <c r="D14193" s="496"/>
    </row>
    <row r="14194" spans="1:4" x14ac:dyDescent="0.2">
      <c r="A14194" s="496"/>
      <c r="D14194" s="496"/>
    </row>
    <row r="14195" spans="1:4" x14ac:dyDescent="0.2">
      <c r="A14195" s="496"/>
      <c r="D14195" s="496"/>
    </row>
    <row r="14196" spans="1:4" x14ac:dyDescent="0.2">
      <c r="A14196" s="496"/>
      <c r="D14196" s="496"/>
    </row>
    <row r="14197" spans="1:4" x14ac:dyDescent="0.2">
      <c r="A14197" s="496"/>
      <c r="D14197" s="496"/>
    </row>
    <row r="14198" spans="1:4" x14ac:dyDescent="0.2">
      <c r="A14198" s="496"/>
      <c r="D14198" s="496"/>
    </row>
    <row r="14199" spans="1:4" x14ac:dyDescent="0.2">
      <c r="A14199" s="496"/>
      <c r="D14199" s="496"/>
    </row>
    <row r="14200" spans="1:4" x14ac:dyDescent="0.2">
      <c r="A14200" s="496"/>
      <c r="D14200" s="496"/>
    </row>
    <row r="14201" spans="1:4" x14ac:dyDescent="0.2">
      <c r="A14201" s="496"/>
      <c r="D14201" s="496"/>
    </row>
    <row r="14202" spans="1:4" x14ac:dyDescent="0.2">
      <c r="A14202" s="496"/>
      <c r="D14202" s="496"/>
    </row>
    <row r="14203" spans="1:4" x14ac:dyDescent="0.2">
      <c r="A14203" s="496"/>
      <c r="D14203" s="496"/>
    </row>
    <row r="14204" spans="1:4" x14ac:dyDescent="0.2">
      <c r="A14204" s="496"/>
      <c r="D14204" s="496"/>
    </row>
    <row r="14205" spans="1:4" x14ac:dyDescent="0.2">
      <c r="A14205" s="496"/>
      <c r="D14205" s="496"/>
    </row>
    <row r="14206" spans="1:4" x14ac:dyDescent="0.2">
      <c r="A14206" s="496"/>
      <c r="D14206" s="496"/>
    </row>
    <row r="14207" spans="1:4" x14ac:dyDescent="0.2">
      <c r="A14207" s="496"/>
      <c r="D14207" s="496"/>
    </row>
    <row r="14208" spans="1:4" x14ac:dyDescent="0.2">
      <c r="A14208" s="496"/>
      <c r="D14208" s="496"/>
    </row>
    <row r="14209" spans="1:4" x14ac:dyDescent="0.2">
      <c r="A14209" s="496"/>
      <c r="D14209" s="496"/>
    </row>
    <row r="14210" spans="1:4" x14ac:dyDescent="0.2">
      <c r="A14210" s="496"/>
      <c r="D14210" s="496"/>
    </row>
    <row r="14211" spans="1:4" x14ac:dyDescent="0.2">
      <c r="A14211" s="496"/>
      <c r="D14211" s="496"/>
    </row>
    <row r="14212" spans="1:4" x14ac:dyDescent="0.2">
      <c r="A14212" s="496"/>
      <c r="D14212" s="496"/>
    </row>
    <row r="14213" spans="1:4" x14ac:dyDescent="0.2">
      <c r="A14213" s="496"/>
      <c r="D14213" s="496"/>
    </row>
    <row r="14214" spans="1:4" x14ac:dyDescent="0.2">
      <c r="A14214" s="496"/>
      <c r="D14214" s="496"/>
    </row>
    <row r="14215" spans="1:4" x14ac:dyDescent="0.2">
      <c r="A14215" s="496"/>
      <c r="D14215" s="496"/>
    </row>
    <row r="14216" spans="1:4" x14ac:dyDescent="0.2">
      <c r="A14216" s="496"/>
      <c r="D14216" s="496"/>
    </row>
    <row r="14217" spans="1:4" x14ac:dyDescent="0.2">
      <c r="A14217" s="496"/>
      <c r="D14217" s="496"/>
    </row>
    <row r="14218" spans="1:4" x14ac:dyDescent="0.2">
      <c r="A14218" s="496"/>
      <c r="D14218" s="496"/>
    </row>
    <row r="14219" spans="1:4" x14ac:dyDescent="0.2">
      <c r="A14219" s="496"/>
      <c r="D14219" s="496"/>
    </row>
    <row r="14220" spans="1:4" x14ac:dyDescent="0.2">
      <c r="A14220" s="496"/>
      <c r="D14220" s="496"/>
    </row>
    <row r="14221" spans="1:4" x14ac:dyDescent="0.2">
      <c r="A14221" s="496"/>
      <c r="D14221" s="496"/>
    </row>
    <row r="14222" spans="1:4" x14ac:dyDescent="0.2">
      <c r="A14222" s="496"/>
      <c r="D14222" s="496"/>
    </row>
    <row r="14223" spans="1:4" x14ac:dyDescent="0.2">
      <c r="A14223" s="496"/>
      <c r="D14223" s="496"/>
    </row>
    <row r="14224" spans="1:4" x14ac:dyDescent="0.2">
      <c r="A14224" s="496"/>
      <c r="D14224" s="496"/>
    </row>
    <row r="14225" spans="1:4" x14ac:dyDescent="0.2">
      <c r="A14225" s="496"/>
      <c r="D14225" s="496"/>
    </row>
    <row r="14226" spans="1:4" x14ac:dyDescent="0.2">
      <c r="A14226" s="496"/>
      <c r="D14226" s="496"/>
    </row>
    <row r="14227" spans="1:4" x14ac:dyDescent="0.2">
      <c r="A14227" s="496"/>
      <c r="D14227" s="496"/>
    </row>
    <row r="14228" spans="1:4" x14ac:dyDescent="0.2">
      <c r="A14228" s="496"/>
      <c r="D14228" s="496"/>
    </row>
    <row r="14229" spans="1:4" x14ac:dyDescent="0.2">
      <c r="A14229" s="496"/>
      <c r="D14229" s="496"/>
    </row>
    <row r="14230" spans="1:4" x14ac:dyDescent="0.2">
      <c r="A14230" s="496"/>
      <c r="D14230" s="496"/>
    </row>
    <row r="14231" spans="1:4" x14ac:dyDescent="0.2">
      <c r="A14231" s="496"/>
      <c r="D14231" s="496"/>
    </row>
    <row r="14232" spans="1:4" x14ac:dyDescent="0.2">
      <c r="A14232" s="496"/>
      <c r="D14232" s="496"/>
    </row>
    <row r="14233" spans="1:4" x14ac:dyDescent="0.2">
      <c r="A14233" s="496"/>
      <c r="D14233" s="496"/>
    </row>
    <row r="14234" spans="1:4" x14ac:dyDescent="0.2">
      <c r="A14234" s="496"/>
      <c r="D14234" s="496"/>
    </row>
    <row r="14235" spans="1:4" x14ac:dyDescent="0.2">
      <c r="A14235" s="496"/>
      <c r="D14235" s="496"/>
    </row>
    <row r="14236" spans="1:4" x14ac:dyDescent="0.2">
      <c r="A14236" s="496"/>
      <c r="D14236" s="496"/>
    </row>
    <row r="14237" spans="1:4" x14ac:dyDescent="0.2">
      <c r="A14237" s="496"/>
      <c r="D14237" s="496"/>
    </row>
    <row r="14238" spans="1:4" x14ac:dyDescent="0.2">
      <c r="A14238" s="496"/>
      <c r="D14238" s="496"/>
    </row>
    <row r="14239" spans="1:4" x14ac:dyDescent="0.2">
      <c r="A14239" s="496"/>
      <c r="D14239" s="496"/>
    </row>
    <row r="14240" spans="1:4" x14ac:dyDescent="0.2">
      <c r="A14240" s="496"/>
      <c r="D14240" s="496"/>
    </row>
    <row r="14241" spans="1:4" x14ac:dyDescent="0.2">
      <c r="A14241" s="496"/>
      <c r="D14241" s="496"/>
    </row>
    <row r="14242" spans="1:4" x14ac:dyDescent="0.2">
      <c r="A14242" s="496"/>
      <c r="D14242" s="496"/>
    </row>
    <row r="14243" spans="1:4" x14ac:dyDescent="0.2">
      <c r="A14243" s="496"/>
      <c r="D14243" s="496"/>
    </row>
    <row r="14244" spans="1:4" x14ac:dyDescent="0.2">
      <c r="A14244" s="496"/>
      <c r="D14244" s="496"/>
    </row>
    <row r="14245" spans="1:4" x14ac:dyDescent="0.2">
      <c r="A14245" s="496"/>
      <c r="D14245" s="496"/>
    </row>
    <row r="14246" spans="1:4" x14ac:dyDescent="0.2">
      <c r="A14246" s="496"/>
      <c r="D14246" s="496"/>
    </row>
    <row r="14247" spans="1:4" x14ac:dyDescent="0.2">
      <c r="A14247" s="496"/>
      <c r="D14247" s="496"/>
    </row>
    <row r="14248" spans="1:4" x14ac:dyDescent="0.2">
      <c r="A14248" s="496"/>
      <c r="D14248" s="496"/>
    </row>
    <row r="14249" spans="1:4" x14ac:dyDescent="0.2">
      <c r="A14249" s="496"/>
      <c r="D14249" s="496"/>
    </row>
    <row r="14250" spans="1:4" x14ac:dyDescent="0.2">
      <c r="A14250" s="496"/>
      <c r="D14250" s="496"/>
    </row>
    <row r="14251" spans="1:4" x14ac:dyDescent="0.2">
      <c r="A14251" s="496"/>
      <c r="D14251" s="496"/>
    </row>
    <row r="14252" spans="1:4" x14ac:dyDescent="0.2">
      <c r="A14252" s="496"/>
      <c r="D14252" s="496"/>
    </row>
    <row r="14253" spans="1:4" x14ac:dyDescent="0.2">
      <c r="A14253" s="496"/>
      <c r="D14253" s="496"/>
    </row>
    <row r="14254" spans="1:4" x14ac:dyDescent="0.2">
      <c r="A14254" s="496"/>
      <c r="D14254" s="496"/>
    </row>
    <row r="14255" spans="1:4" x14ac:dyDescent="0.2">
      <c r="A14255" s="496"/>
      <c r="D14255" s="496"/>
    </row>
    <row r="14256" spans="1:4" x14ac:dyDescent="0.2">
      <c r="A14256" s="496"/>
      <c r="D14256" s="496"/>
    </row>
    <row r="14257" spans="1:4" x14ac:dyDescent="0.2">
      <c r="A14257" s="496"/>
      <c r="D14257" s="496"/>
    </row>
    <row r="14258" spans="1:4" x14ac:dyDescent="0.2">
      <c r="A14258" s="496"/>
      <c r="D14258" s="496"/>
    </row>
    <row r="14259" spans="1:4" x14ac:dyDescent="0.2">
      <c r="A14259" s="496"/>
      <c r="D14259" s="496"/>
    </row>
    <row r="14260" spans="1:4" x14ac:dyDescent="0.2">
      <c r="A14260" s="496"/>
      <c r="D14260" s="496"/>
    </row>
    <row r="14261" spans="1:4" x14ac:dyDescent="0.2">
      <c r="A14261" s="496"/>
      <c r="D14261" s="496"/>
    </row>
    <row r="14262" spans="1:4" x14ac:dyDescent="0.2">
      <c r="A14262" s="496"/>
      <c r="D14262" s="496"/>
    </row>
    <row r="14263" spans="1:4" x14ac:dyDescent="0.2">
      <c r="A14263" s="496"/>
      <c r="D14263" s="496"/>
    </row>
    <row r="14264" spans="1:4" x14ac:dyDescent="0.2">
      <c r="A14264" s="496"/>
      <c r="D14264" s="496"/>
    </row>
    <row r="14265" spans="1:4" x14ac:dyDescent="0.2">
      <c r="A14265" s="496"/>
      <c r="D14265" s="496"/>
    </row>
    <row r="14266" spans="1:4" x14ac:dyDescent="0.2">
      <c r="A14266" s="496"/>
      <c r="D14266" s="496"/>
    </row>
    <row r="14267" spans="1:4" x14ac:dyDescent="0.2">
      <c r="A14267" s="496"/>
      <c r="D14267" s="496"/>
    </row>
    <row r="14268" spans="1:4" x14ac:dyDescent="0.2">
      <c r="A14268" s="496"/>
      <c r="D14268" s="496"/>
    </row>
    <row r="14269" spans="1:4" x14ac:dyDescent="0.2">
      <c r="A14269" s="496"/>
      <c r="D14269" s="496"/>
    </row>
    <row r="14270" spans="1:4" x14ac:dyDescent="0.2">
      <c r="A14270" s="496"/>
      <c r="D14270" s="496"/>
    </row>
    <row r="14271" spans="1:4" x14ac:dyDescent="0.2">
      <c r="A14271" s="496"/>
      <c r="D14271" s="496"/>
    </row>
    <row r="14272" spans="1:4" x14ac:dyDescent="0.2">
      <c r="A14272" s="496"/>
      <c r="D14272" s="496"/>
    </row>
    <row r="14273" spans="1:4" x14ac:dyDescent="0.2">
      <c r="A14273" s="496"/>
      <c r="D14273" s="496"/>
    </row>
    <row r="14274" spans="1:4" x14ac:dyDescent="0.2">
      <c r="A14274" s="496"/>
      <c r="D14274" s="496"/>
    </row>
    <row r="14275" spans="1:4" x14ac:dyDescent="0.2">
      <c r="A14275" s="496"/>
      <c r="D14275" s="496"/>
    </row>
    <row r="14276" spans="1:4" x14ac:dyDescent="0.2">
      <c r="A14276" s="496"/>
      <c r="D14276" s="496"/>
    </row>
    <row r="14277" spans="1:4" x14ac:dyDescent="0.2">
      <c r="A14277" s="496"/>
      <c r="D14277" s="496"/>
    </row>
    <row r="14278" spans="1:4" x14ac:dyDescent="0.2">
      <c r="A14278" s="496"/>
      <c r="D14278" s="496"/>
    </row>
    <row r="14279" spans="1:4" x14ac:dyDescent="0.2">
      <c r="A14279" s="496"/>
      <c r="D14279" s="496"/>
    </row>
    <row r="14280" spans="1:4" x14ac:dyDescent="0.2">
      <c r="A14280" s="496"/>
      <c r="D14280" s="496"/>
    </row>
    <row r="14281" spans="1:4" x14ac:dyDescent="0.2">
      <c r="A14281" s="496"/>
      <c r="D14281" s="496"/>
    </row>
    <row r="14282" spans="1:4" x14ac:dyDescent="0.2">
      <c r="A14282" s="496"/>
      <c r="D14282" s="496"/>
    </row>
    <row r="14283" spans="1:4" x14ac:dyDescent="0.2">
      <c r="A14283" s="496"/>
      <c r="D14283" s="496"/>
    </row>
    <row r="14284" spans="1:4" x14ac:dyDescent="0.2">
      <c r="A14284" s="496"/>
      <c r="D14284" s="496"/>
    </row>
    <row r="14285" spans="1:4" x14ac:dyDescent="0.2">
      <c r="A14285" s="496"/>
      <c r="D14285" s="496"/>
    </row>
    <row r="14286" spans="1:4" x14ac:dyDescent="0.2">
      <c r="A14286" s="496"/>
      <c r="D14286" s="496"/>
    </row>
    <row r="14287" spans="1:4" x14ac:dyDescent="0.2">
      <c r="A14287" s="496"/>
      <c r="D14287" s="496"/>
    </row>
    <row r="14288" spans="1:4" x14ac:dyDescent="0.2">
      <c r="A14288" s="496"/>
      <c r="D14288" s="496"/>
    </row>
    <row r="14289" spans="1:4" x14ac:dyDescent="0.2">
      <c r="A14289" s="496"/>
      <c r="D14289" s="496"/>
    </row>
    <row r="14290" spans="1:4" x14ac:dyDescent="0.2">
      <c r="A14290" s="496"/>
      <c r="D14290" s="496"/>
    </row>
    <row r="14291" spans="1:4" x14ac:dyDescent="0.2">
      <c r="A14291" s="496"/>
      <c r="D14291" s="496"/>
    </row>
    <row r="14292" spans="1:4" x14ac:dyDescent="0.2">
      <c r="A14292" s="496"/>
      <c r="D14292" s="496"/>
    </row>
    <row r="14293" spans="1:4" x14ac:dyDescent="0.2">
      <c r="A14293" s="496"/>
      <c r="D14293" s="496"/>
    </row>
    <row r="14294" spans="1:4" x14ac:dyDescent="0.2">
      <c r="A14294" s="496"/>
      <c r="D14294" s="496"/>
    </row>
    <row r="14295" spans="1:4" x14ac:dyDescent="0.2">
      <c r="A14295" s="496"/>
      <c r="D14295" s="496"/>
    </row>
    <row r="14296" spans="1:4" x14ac:dyDescent="0.2">
      <c r="A14296" s="496"/>
      <c r="D14296" s="496"/>
    </row>
    <row r="14297" spans="1:4" x14ac:dyDescent="0.2">
      <c r="A14297" s="496"/>
      <c r="D14297" s="496"/>
    </row>
    <row r="14298" spans="1:4" x14ac:dyDescent="0.2">
      <c r="A14298" s="496"/>
      <c r="D14298" s="496"/>
    </row>
    <row r="14299" spans="1:4" x14ac:dyDescent="0.2">
      <c r="A14299" s="496"/>
      <c r="D14299" s="496"/>
    </row>
    <row r="14300" spans="1:4" x14ac:dyDescent="0.2">
      <c r="A14300" s="496"/>
      <c r="D14300" s="496"/>
    </row>
    <row r="14301" spans="1:4" x14ac:dyDescent="0.2">
      <c r="A14301" s="496"/>
      <c r="D14301" s="496"/>
    </row>
    <row r="14302" spans="1:4" x14ac:dyDescent="0.2">
      <c r="A14302" s="496"/>
      <c r="D14302" s="496"/>
    </row>
    <row r="14303" spans="1:4" x14ac:dyDescent="0.2">
      <c r="A14303" s="496"/>
      <c r="D14303" s="496"/>
    </row>
    <row r="14304" spans="1:4" x14ac:dyDescent="0.2">
      <c r="A14304" s="496"/>
      <c r="D14304" s="496"/>
    </row>
    <row r="14305" spans="1:4" x14ac:dyDescent="0.2">
      <c r="A14305" s="496"/>
      <c r="D14305" s="496"/>
    </row>
    <row r="14306" spans="1:4" x14ac:dyDescent="0.2">
      <c r="A14306" s="496"/>
      <c r="D14306" s="496"/>
    </row>
    <row r="14307" spans="1:4" x14ac:dyDescent="0.2">
      <c r="A14307" s="496"/>
      <c r="D14307" s="496"/>
    </row>
    <row r="14308" spans="1:4" x14ac:dyDescent="0.2">
      <c r="A14308" s="496"/>
      <c r="D14308" s="496"/>
    </row>
    <row r="14309" spans="1:4" x14ac:dyDescent="0.2">
      <c r="A14309" s="496"/>
      <c r="D14309" s="496"/>
    </row>
    <row r="14310" spans="1:4" x14ac:dyDescent="0.2">
      <c r="A14310" s="496"/>
      <c r="D14310" s="496"/>
    </row>
    <row r="14311" spans="1:4" x14ac:dyDescent="0.2">
      <c r="A14311" s="496"/>
      <c r="D14311" s="496"/>
    </row>
    <row r="14312" spans="1:4" x14ac:dyDescent="0.2">
      <c r="A14312" s="496"/>
      <c r="D14312" s="496"/>
    </row>
    <row r="14313" spans="1:4" x14ac:dyDescent="0.2">
      <c r="A14313" s="496"/>
      <c r="D14313" s="496"/>
    </row>
    <row r="14314" spans="1:4" x14ac:dyDescent="0.2">
      <c r="A14314" s="496"/>
      <c r="D14314" s="496"/>
    </row>
    <row r="14315" spans="1:4" x14ac:dyDescent="0.2">
      <c r="A14315" s="496"/>
      <c r="D14315" s="496"/>
    </row>
    <row r="14316" spans="1:4" x14ac:dyDescent="0.2">
      <c r="A14316" s="496"/>
      <c r="D14316" s="496"/>
    </row>
    <row r="14317" spans="1:4" x14ac:dyDescent="0.2">
      <c r="A14317" s="496"/>
      <c r="D14317" s="496"/>
    </row>
    <row r="14318" spans="1:4" x14ac:dyDescent="0.2">
      <c r="A14318" s="496"/>
      <c r="D14318" s="496"/>
    </row>
    <row r="14319" spans="1:4" x14ac:dyDescent="0.2">
      <c r="A14319" s="496"/>
      <c r="D14319" s="496"/>
    </row>
    <row r="14320" spans="1:4" x14ac:dyDescent="0.2">
      <c r="A14320" s="496"/>
      <c r="D14320" s="496"/>
    </row>
    <row r="14321" spans="1:4" x14ac:dyDescent="0.2">
      <c r="A14321" s="496"/>
      <c r="D14321" s="496"/>
    </row>
    <row r="14322" spans="1:4" x14ac:dyDescent="0.2">
      <c r="A14322" s="496"/>
      <c r="D14322" s="496"/>
    </row>
    <row r="14323" spans="1:4" x14ac:dyDescent="0.2">
      <c r="A14323" s="496"/>
      <c r="D14323" s="496"/>
    </row>
    <row r="14324" spans="1:4" x14ac:dyDescent="0.2">
      <c r="A14324" s="496"/>
      <c r="D14324" s="496"/>
    </row>
    <row r="14325" spans="1:4" x14ac:dyDescent="0.2">
      <c r="A14325" s="496"/>
      <c r="D14325" s="496"/>
    </row>
    <row r="14326" spans="1:4" x14ac:dyDescent="0.2">
      <c r="A14326" s="496"/>
      <c r="D14326" s="496"/>
    </row>
    <row r="14327" spans="1:4" x14ac:dyDescent="0.2">
      <c r="A14327" s="496"/>
      <c r="D14327" s="496"/>
    </row>
    <row r="14328" spans="1:4" x14ac:dyDescent="0.2">
      <c r="A14328" s="496"/>
      <c r="D14328" s="496"/>
    </row>
    <row r="14329" spans="1:4" x14ac:dyDescent="0.2">
      <c r="A14329" s="496"/>
      <c r="D14329" s="496"/>
    </row>
    <row r="14330" spans="1:4" x14ac:dyDescent="0.2">
      <c r="A14330" s="496"/>
      <c r="D14330" s="496"/>
    </row>
    <row r="14331" spans="1:4" x14ac:dyDescent="0.2">
      <c r="A14331" s="496"/>
      <c r="D14331" s="496"/>
    </row>
    <row r="14332" spans="1:4" x14ac:dyDescent="0.2">
      <c r="A14332" s="496"/>
      <c r="D14332" s="496"/>
    </row>
    <row r="14333" spans="1:4" x14ac:dyDescent="0.2">
      <c r="A14333" s="496"/>
      <c r="D14333" s="496"/>
    </row>
    <row r="14334" spans="1:4" x14ac:dyDescent="0.2">
      <c r="A14334" s="496"/>
      <c r="D14334" s="496"/>
    </row>
    <row r="14335" spans="1:4" x14ac:dyDescent="0.2">
      <c r="A14335" s="496"/>
      <c r="D14335" s="496"/>
    </row>
    <row r="14336" spans="1:4" x14ac:dyDescent="0.2">
      <c r="A14336" s="496"/>
      <c r="D14336" s="496"/>
    </row>
    <row r="14337" spans="1:4" x14ac:dyDescent="0.2">
      <c r="A14337" s="496"/>
      <c r="D14337" s="496"/>
    </row>
    <row r="14338" spans="1:4" x14ac:dyDescent="0.2">
      <c r="A14338" s="496"/>
      <c r="D14338" s="496"/>
    </row>
    <row r="14339" spans="1:4" x14ac:dyDescent="0.2">
      <c r="A14339" s="496"/>
      <c r="D14339" s="496"/>
    </row>
    <row r="14340" spans="1:4" x14ac:dyDescent="0.2">
      <c r="A14340" s="496"/>
      <c r="D14340" s="496"/>
    </row>
    <row r="14341" spans="1:4" x14ac:dyDescent="0.2">
      <c r="A14341" s="496"/>
      <c r="D14341" s="496"/>
    </row>
    <row r="14342" spans="1:4" x14ac:dyDescent="0.2">
      <c r="A14342" s="496"/>
      <c r="D14342" s="496"/>
    </row>
    <row r="14343" spans="1:4" x14ac:dyDescent="0.2">
      <c r="A14343" s="496"/>
      <c r="D14343" s="496"/>
    </row>
    <row r="14344" spans="1:4" x14ac:dyDescent="0.2">
      <c r="A14344" s="496"/>
      <c r="D14344" s="496"/>
    </row>
    <row r="14345" spans="1:4" x14ac:dyDescent="0.2">
      <c r="A14345" s="496"/>
      <c r="D14345" s="496"/>
    </row>
    <row r="14346" spans="1:4" x14ac:dyDescent="0.2">
      <c r="A14346" s="496"/>
      <c r="D14346" s="496"/>
    </row>
    <row r="14347" spans="1:4" x14ac:dyDescent="0.2">
      <c r="A14347" s="496"/>
      <c r="D14347" s="496"/>
    </row>
    <row r="14348" spans="1:4" x14ac:dyDescent="0.2">
      <c r="A14348" s="496"/>
      <c r="D14348" s="496"/>
    </row>
    <row r="14349" spans="1:4" x14ac:dyDescent="0.2">
      <c r="A14349" s="496"/>
      <c r="D14349" s="496"/>
    </row>
    <row r="14350" spans="1:4" x14ac:dyDescent="0.2">
      <c r="A14350" s="496"/>
      <c r="D14350" s="496"/>
    </row>
    <row r="14351" spans="1:4" x14ac:dyDescent="0.2">
      <c r="A14351" s="496"/>
      <c r="D14351" s="496"/>
    </row>
    <row r="14352" spans="1:4" x14ac:dyDescent="0.2">
      <c r="A14352" s="496"/>
      <c r="D14352" s="496"/>
    </row>
    <row r="14353" spans="1:4" x14ac:dyDescent="0.2">
      <c r="A14353" s="496"/>
      <c r="D14353" s="496"/>
    </row>
    <row r="14354" spans="1:4" x14ac:dyDescent="0.2">
      <c r="A14354" s="496"/>
      <c r="D14354" s="496"/>
    </row>
    <row r="14355" spans="1:4" x14ac:dyDescent="0.2">
      <c r="A14355" s="496"/>
      <c r="D14355" s="496"/>
    </row>
    <row r="14356" spans="1:4" x14ac:dyDescent="0.2">
      <c r="A14356" s="496"/>
      <c r="D14356" s="496"/>
    </row>
    <row r="14357" spans="1:4" x14ac:dyDescent="0.2">
      <c r="A14357" s="496"/>
      <c r="D14357" s="496"/>
    </row>
    <row r="14358" spans="1:4" x14ac:dyDescent="0.2">
      <c r="A14358" s="496"/>
      <c r="D14358" s="496"/>
    </row>
    <row r="14359" spans="1:4" x14ac:dyDescent="0.2">
      <c r="A14359" s="496"/>
      <c r="D14359" s="496"/>
    </row>
    <row r="14360" spans="1:4" x14ac:dyDescent="0.2">
      <c r="A14360" s="496"/>
      <c r="D14360" s="496"/>
    </row>
    <row r="14361" spans="1:4" x14ac:dyDescent="0.2">
      <c r="A14361" s="496"/>
      <c r="D14361" s="496"/>
    </row>
    <row r="14362" spans="1:4" x14ac:dyDescent="0.2">
      <c r="A14362" s="496"/>
      <c r="D14362" s="496"/>
    </row>
    <row r="14363" spans="1:4" x14ac:dyDescent="0.2">
      <c r="A14363" s="496"/>
      <c r="D14363" s="496"/>
    </row>
    <row r="14364" spans="1:4" x14ac:dyDescent="0.2">
      <c r="A14364" s="496"/>
      <c r="D14364" s="496"/>
    </row>
    <row r="14365" spans="1:4" x14ac:dyDescent="0.2">
      <c r="A14365" s="496"/>
      <c r="D14365" s="496"/>
    </row>
    <row r="14366" spans="1:4" x14ac:dyDescent="0.2">
      <c r="A14366" s="496"/>
      <c r="D14366" s="496"/>
    </row>
    <row r="14367" spans="1:4" x14ac:dyDescent="0.2">
      <c r="A14367" s="496"/>
      <c r="D14367" s="496"/>
    </row>
    <row r="14368" spans="1:4" x14ac:dyDescent="0.2">
      <c r="A14368" s="496"/>
      <c r="D14368" s="496"/>
    </row>
    <row r="14369" spans="1:4" x14ac:dyDescent="0.2">
      <c r="A14369" s="496"/>
      <c r="D14369" s="496"/>
    </row>
    <row r="14370" spans="1:4" x14ac:dyDescent="0.2">
      <c r="A14370" s="496"/>
      <c r="D14370" s="496"/>
    </row>
    <row r="14371" spans="1:4" x14ac:dyDescent="0.2">
      <c r="A14371" s="496"/>
      <c r="D14371" s="496"/>
    </row>
    <row r="14372" spans="1:4" x14ac:dyDescent="0.2">
      <c r="A14372" s="496"/>
      <c r="D14372" s="496"/>
    </row>
    <row r="14373" spans="1:4" x14ac:dyDescent="0.2">
      <c r="A14373" s="496"/>
      <c r="D14373" s="496"/>
    </row>
    <row r="14374" spans="1:4" x14ac:dyDescent="0.2">
      <c r="A14374" s="496"/>
      <c r="D14374" s="496"/>
    </row>
    <row r="14375" spans="1:4" x14ac:dyDescent="0.2">
      <c r="A14375" s="496"/>
      <c r="D14375" s="496"/>
    </row>
    <row r="14376" spans="1:4" x14ac:dyDescent="0.2">
      <c r="A14376" s="496"/>
      <c r="D14376" s="496"/>
    </row>
    <row r="14377" spans="1:4" x14ac:dyDescent="0.2">
      <c r="A14377" s="496"/>
      <c r="D14377" s="496"/>
    </row>
    <row r="14378" spans="1:4" x14ac:dyDescent="0.2">
      <c r="A14378" s="496"/>
      <c r="D14378" s="496"/>
    </row>
    <row r="14379" spans="1:4" x14ac:dyDescent="0.2">
      <c r="A14379" s="496"/>
      <c r="D14379" s="496"/>
    </row>
    <row r="14380" spans="1:4" x14ac:dyDescent="0.2">
      <c r="A14380" s="496"/>
      <c r="D14380" s="496"/>
    </row>
    <row r="14381" spans="1:4" x14ac:dyDescent="0.2">
      <c r="A14381" s="496"/>
      <c r="D14381" s="496"/>
    </row>
    <row r="14382" spans="1:4" x14ac:dyDescent="0.2">
      <c r="A14382" s="496"/>
      <c r="D14382" s="496"/>
    </row>
    <row r="14383" spans="1:4" x14ac:dyDescent="0.2">
      <c r="A14383" s="496"/>
      <c r="D14383" s="496"/>
    </row>
    <row r="14384" spans="1:4" x14ac:dyDescent="0.2">
      <c r="A14384" s="496"/>
      <c r="D14384" s="496"/>
    </row>
    <row r="14385" spans="1:4" x14ac:dyDescent="0.2">
      <c r="A14385" s="496"/>
      <c r="D14385" s="496"/>
    </row>
    <row r="14386" spans="1:4" x14ac:dyDescent="0.2">
      <c r="A14386" s="496"/>
      <c r="D14386" s="496"/>
    </row>
    <row r="14387" spans="1:4" x14ac:dyDescent="0.2">
      <c r="A14387" s="496"/>
      <c r="D14387" s="496"/>
    </row>
    <row r="14388" spans="1:4" x14ac:dyDescent="0.2">
      <c r="A14388" s="496"/>
      <c r="D14388" s="496"/>
    </row>
    <row r="14389" spans="1:4" x14ac:dyDescent="0.2">
      <c r="A14389" s="496"/>
      <c r="D14389" s="496"/>
    </row>
    <row r="14390" spans="1:4" x14ac:dyDescent="0.2">
      <c r="A14390" s="496"/>
      <c r="D14390" s="496"/>
    </row>
    <row r="14391" spans="1:4" x14ac:dyDescent="0.2">
      <c r="A14391" s="496"/>
      <c r="D14391" s="496"/>
    </row>
    <row r="14392" spans="1:4" x14ac:dyDescent="0.2">
      <c r="A14392" s="496"/>
      <c r="D14392" s="496"/>
    </row>
    <row r="14393" spans="1:4" x14ac:dyDescent="0.2">
      <c r="A14393" s="496"/>
      <c r="D14393" s="496"/>
    </row>
    <row r="14394" spans="1:4" x14ac:dyDescent="0.2">
      <c r="A14394" s="496"/>
      <c r="D14394" s="496"/>
    </row>
    <row r="14395" spans="1:4" x14ac:dyDescent="0.2">
      <c r="A14395" s="496"/>
      <c r="D14395" s="496"/>
    </row>
    <row r="14396" spans="1:4" x14ac:dyDescent="0.2">
      <c r="A14396" s="496"/>
      <c r="D14396" s="496"/>
    </row>
    <row r="14397" spans="1:4" x14ac:dyDescent="0.2">
      <c r="A14397" s="496"/>
      <c r="D14397" s="496"/>
    </row>
    <row r="14398" spans="1:4" x14ac:dyDescent="0.2">
      <c r="A14398" s="496"/>
      <c r="D14398" s="496"/>
    </row>
    <row r="14399" spans="1:4" x14ac:dyDescent="0.2">
      <c r="A14399" s="496"/>
      <c r="D14399" s="496"/>
    </row>
    <row r="14400" spans="1:4" x14ac:dyDescent="0.2">
      <c r="A14400" s="496"/>
      <c r="D14400" s="496"/>
    </row>
    <row r="14401" spans="1:4" x14ac:dyDescent="0.2">
      <c r="A14401" s="496"/>
      <c r="D14401" s="496"/>
    </row>
    <row r="14402" spans="1:4" x14ac:dyDescent="0.2">
      <c r="A14402" s="496"/>
      <c r="D14402" s="496"/>
    </row>
    <row r="14403" spans="1:4" x14ac:dyDescent="0.2">
      <c r="A14403" s="496"/>
      <c r="D14403" s="496"/>
    </row>
    <row r="14404" spans="1:4" x14ac:dyDescent="0.2">
      <c r="A14404" s="496"/>
      <c r="D14404" s="496"/>
    </row>
    <row r="14405" spans="1:4" x14ac:dyDescent="0.2">
      <c r="A14405" s="496"/>
      <c r="D14405" s="496"/>
    </row>
    <row r="14406" spans="1:4" x14ac:dyDescent="0.2">
      <c r="A14406" s="496"/>
      <c r="D14406" s="496"/>
    </row>
    <row r="14407" spans="1:4" x14ac:dyDescent="0.2">
      <c r="A14407" s="496"/>
      <c r="D14407" s="496"/>
    </row>
    <row r="14408" spans="1:4" x14ac:dyDescent="0.2">
      <c r="A14408" s="496"/>
      <c r="D14408" s="496"/>
    </row>
    <row r="14409" spans="1:4" x14ac:dyDescent="0.2">
      <c r="A14409" s="496"/>
      <c r="D14409" s="496"/>
    </row>
    <row r="14410" spans="1:4" x14ac:dyDescent="0.2">
      <c r="A14410" s="496"/>
      <c r="D14410" s="496"/>
    </row>
    <row r="14411" spans="1:4" x14ac:dyDescent="0.2">
      <c r="A14411" s="496"/>
      <c r="D14411" s="496"/>
    </row>
    <row r="14412" spans="1:4" x14ac:dyDescent="0.2">
      <c r="A14412" s="496"/>
      <c r="D14412" s="496"/>
    </row>
    <row r="14413" spans="1:4" x14ac:dyDescent="0.2">
      <c r="A14413" s="496"/>
      <c r="D14413" s="496"/>
    </row>
    <row r="14414" spans="1:4" x14ac:dyDescent="0.2">
      <c r="A14414" s="496"/>
      <c r="D14414" s="496"/>
    </row>
    <row r="14415" spans="1:4" x14ac:dyDescent="0.2">
      <c r="A14415" s="496"/>
      <c r="D14415" s="496"/>
    </row>
    <row r="14416" spans="1:4" x14ac:dyDescent="0.2">
      <c r="A14416" s="496"/>
      <c r="D14416" s="496"/>
    </row>
    <row r="14417" spans="1:4" x14ac:dyDescent="0.2">
      <c r="A14417" s="496"/>
      <c r="D14417" s="496"/>
    </row>
    <row r="14418" spans="1:4" x14ac:dyDescent="0.2">
      <c r="A14418" s="496"/>
      <c r="D14418" s="496"/>
    </row>
    <row r="14419" spans="1:4" x14ac:dyDescent="0.2">
      <c r="A14419" s="496"/>
      <c r="D14419" s="496"/>
    </row>
    <row r="14420" spans="1:4" x14ac:dyDescent="0.2">
      <c r="A14420" s="496"/>
      <c r="D14420" s="496"/>
    </row>
    <row r="14421" spans="1:4" x14ac:dyDescent="0.2">
      <c r="A14421" s="496"/>
      <c r="D14421" s="496"/>
    </row>
    <row r="14422" spans="1:4" x14ac:dyDescent="0.2">
      <c r="A14422" s="496"/>
      <c r="D14422" s="496"/>
    </row>
    <row r="14423" spans="1:4" x14ac:dyDescent="0.2">
      <c r="A14423" s="496"/>
      <c r="D14423" s="496"/>
    </row>
    <row r="14424" spans="1:4" x14ac:dyDescent="0.2">
      <c r="A14424" s="496"/>
      <c r="D14424" s="496"/>
    </row>
    <row r="14425" spans="1:4" x14ac:dyDescent="0.2">
      <c r="A14425" s="496"/>
      <c r="D14425" s="496"/>
    </row>
    <row r="14426" spans="1:4" x14ac:dyDescent="0.2">
      <c r="A14426" s="496"/>
      <c r="D14426" s="496"/>
    </row>
    <row r="14427" spans="1:4" x14ac:dyDescent="0.2">
      <c r="A14427" s="496"/>
      <c r="D14427" s="496"/>
    </row>
    <row r="14428" spans="1:4" x14ac:dyDescent="0.2">
      <c r="A14428" s="496"/>
      <c r="D14428" s="496"/>
    </row>
    <row r="14429" spans="1:4" x14ac:dyDescent="0.2">
      <c r="A14429" s="496"/>
      <c r="D14429" s="496"/>
    </row>
    <row r="14430" spans="1:4" x14ac:dyDescent="0.2">
      <c r="A14430" s="496"/>
      <c r="D14430" s="496"/>
    </row>
    <row r="14431" spans="1:4" x14ac:dyDescent="0.2">
      <c r="A14431" s="496"/>
      <c r="D14431" s="496"/>
    </row>
    <row r="14432" spans="1:4" x14ac:dyDescent="0.2">
      <c r="A14432" s="496"/>
      <c r="D14432" s="496"/>
    </row>
    <row r="14433" spans="1:4" x14ac:dyDescent="0.2">
      <c r="A14433" s="496"/>
      <c r="D14433" s="496"/>
    </row>
    <row r="14434" spans="1:4" x14ac:dyDescent="0.2">
      <c r="A14434" s="496"/>
      <c r="D14434" s="496"/>
    </row>
    <row r="14435" spans="1:4" x14ac:dyDescent="0.2">
      <c r="A14435" s="496"/>
      <c r="D14435" s="496"/>
    </row>
    <row r="14436" spans="1:4" x14ac:dyDescent="0.2">
      <c r="A14436" s="496"/>
      <c r="D14436" s="496"/>
    </row>
    <row r="14437" spans="1:4" x14ac:dyDescent="0.2">
      <c r="A14437" s="496"/>
      <c r="D14437" s="496"/>
    </row>
    <row r="14438" spans="1:4" x14ac:dyDescent="0.2">
      <c r="A14438" s="496"/>
      <c r="D14438" s="496"/>
    </row>
    <row r="14439" spans="1:4" x14ac:dyDescent="0.2">
      <c r="A14439" s="496"/>
      <c r="D14439" s="496"/>
    </row>
    <row r="14440" spans="1:4" x14ac:dyDescent="0.2">
      <c r="A14440" s="496"/>
      <c r="D14440" s="496"/>
    </row>
    <row r="14441" spans="1:4" x14ac:dyDescent="0.2">
      <c r="A14441" s="496"/>
      <c r="D14441" s="496"/>
    </row>
    <row r="14442" spans="1:4" x14ac:dyDescent="0.2">
      <c r="A14442" s="496"/>
      <c r="D14442" s="496"/>
    </row>
    <row r="14443" spans="1:4" x14ac:dyDescent="0.2">
      <c r="A14443" s="496"/>
      <c r="D14443" s="496"/>
    </row>
    <row r="14444" spans="1:4" x14ac:dyDescent="0.2">
      <c r="A14444" s="496"/>
      <c r="D14444" s="496"/>
    </row>
    <row r="14445" spans="1:4" x14ac:dyDescent="0.2">
      <c r="A14445" s="496"/>
      <c r="D14445" s="496"/>
    </row>
    <row r="14446" spans="1:4" x14ac:dyDescent="0.2">
      <c r="A14446" s="496"/>
      <c r="D14446" s="496"/>
    </row>
    <row r="14447" spans="1:4" x14ac:dyDescent="0.2">
      <c r="A14447" s="496"/>
      <c r="D14447" s="496"/>
    </row>
    <row r="14448" spans="1:4" x14ac:dyDescent="0.2">
      <c r="A14448" s="496"/>
      <c r="D14448" s="496"/>
    </row>
    <row r="14449" spans="1:4" x14ac:dyDescent="0.2">
      <c r="A14449" s="496"/>
      <c r="D14449" s="496"/>
    </row>
    <row r="14450" spans="1:4" x14ac:dyDescent="0.2">
      <c r="A14450" s="496"/>
      <c r="D14450" s="496"/>
    </row>
    <row r="14451" spans="1:4" x14ac:dyDescent="0.2">
      <c r="A14451" s="496"/>
      <c r="D14451" s="496"/>
    </row>
    <row r="14452" spans="1:4" x14ac:dyDescent="0.2">
      <c r="A14452" s="496"/>
      <c r="D14452" s="496"/>
    </row>
    <row r="14453" spans="1:4" x14ac:dyDescent="0.2">
      <c r="A14453" s="496"/>
      <c r="D14453" s="496"/>
    </row>
    <row r="14454" spans="1:4" x14ac:dyDescent="0.2">
      <c r="A14454" s="496"/>
      <c r="D14454" s="496"/>
    </row>
    <row r="14455" spans="1:4" x14ac:dyDescent="0.2">
      <c r="A14455" s="496"/>
      <c r="D14455" s="496"/>
    </row>
    <row r="14456" spans="1:4" x14ac:dyDescent="0.2">
      <c r="A14456" s="496"/>
      <c r="D14456" s="496"/>
    </row>
    <row r="14457" spans="1:4" x14ac:dyDescent="0.2">
      <c r="A14457" s="496"/>
      <c r="D14457" s="496"/>
    </row>
    <row r="14458" spans="1:4" x14ac:dyDescent="0.2">
      <c r="A14458" s="496"/>
      <c r="D14458" s="496"/>
    </row>
    <row r="14459" spans="1:4" x14ac:dyDescent="0.2">
      <c r="A14459" s="496"/>
      <c r="D14459" s="496"/>
    </row>
    <row r="14460" spans="1:4" x14ac:dyDescent="0.2">
      <c r="A14460" s="496"/>
      <c r="D14460" s="496"/>
    </row>
    <row r="14461" spans="1:4" x14ac:dyDescent="0.2">
      <c r="A14461" s="496"/>
      <c r="D14461" s="496"/>
    </row>
    <row r="14462" spans="1:4" x14ac:dyDescent="0.2">
      <c r="A14462" s="496"/>
      <c r="D14462" s="496"/>
    </row>
    <row r="14463" spans="1:4" x14ac:dyDescent="0.2">
      <c r="A14463" s="496"/>
      <c r="D14463" s="496"/>
    </row>
    <row r="14464" spans="1:4" x14ac:dyDescent="0.2">
      <c r="A14464" s="496"/>
      <c r="D14464" s="496"/>
    </row>
    <row r="14465" spans="1:4" x14ac:dyDescent="0.2">
      <c r="A14465" s="496"/>
      <c r="D14465" s="496"/>
    </row>
    <row r="14466" spans="1:4" x14ac:dyDescent="0.2">
      <c r="A14466" s="496"/>
      <c r="D14466" s="496"/>
    </row>
    <row r="14467" spans="1:4" x14ac:dyDescent="0.2">
      <c r="A14467" s="496"/>
      <c r="D14467" s="496"/>
    </row>
    <row r="14468" spans="1:4" x14ac:dyDescent="0.2">
      <c r="A14468" s="496"/>
      <c r="D14468" s="496"/>
    </row>
    <row r="14469" spans="1:4" x14ac:dyDescent="0.2">
      <c r="A14469" s="496"/>
      <c r="D14469" s="496"/>
    </row>
    <row r="14470" spans="1:4" x14ac:dyDescent="0.2">
      <c r="A14470" s="496"/>
      <c r="D14470" s="496"/>
    </row>
    <row r="14471" spans="1:4" x14ac:dyDescent="0.2">
      <c r="A14471" s="496"/>
      <c r="D14471" s="496"/>
    </row>
    <row r="14472" spans="1:4" x14ac:dyDescent="0.2">
      <c r="A14472" s="496"/>
      <c r="D14472" s="496"/>
    </row>
    <row r="14473" spans="1:4" x14ac:dyDescent="0.2">
      <c r="A14473" s="496"/>
      <c r="D14473" s="496"/>
    </row>
    <row r="14474" spans="1:4" x14ac:dyDescent="0.2">
      <c r="A14474" s="496"/>
      <c r="D14474" s="496"/>
    </row>
    <row r="14475" spans="1:4" x14ac:dyDescent="0.2">
      <c r="A14475" s="496"/>
      <c r="D14475" s="496"/>
    </row>
    <row r="14476" spans="1:4" x14ac:dyDescent="0.2">
      <c r="A14476" s="496"/>
      <c r="D14476" s="496"/>
    </row>
    <row r="14477" spans="1:4" x14ac:dyDescent="0.2">
      <c r="A14477" s="496"/>
      <c r="D14477" s="496"/>
    </row>
    <row r="14478" spans="1:4" x14ac:dyDescent="0.2">
      <c r="A14478" s="496"/>
      <c r="D14478" s="496"/>
    </row>
    <row r="14479" spans="1:4" x14ac:dyDescent="0.2">
      <c r="A14479" s="496"/>
      <c r="D14479" s="496"/>
    </row>
    <row r="14480" spans="1:4" x14ac:dyDescent="0.2">
      <c r="A14480" s="496"/>
      <c r="D14480" s="496"/>
    </row>
    <row r="14481" spans="1:4" x14ac:dyDescent="0.2">
      <c r="A14481" s="496"/>
      <c r="D14481" s="496"/>
    </row>
    <row r="14482" spans="1:4" x14ac:dyDescent="0.2">
      <c r="A14482" s="496"/>
      <c r="D14482" s="496"/>
    </row>
    <row r="14483" spans="1:4" x14ac:dyDescent="0.2">
      <c r="A14483" s="496"/>
      <c r="D14483" s="496"/>
    </row>
    <row r="14484" spans="1:4" x14ac:dyDescent="0.2">
      <c r="A14484" s="496"/>
      <c r="D14484" s="496"/>
    </row>
    <row r="14485" spans="1:4" x14ac:dyDescent="0.2">
      <c r="A14485" s="496"/>
      <c r="D14485" s="496"/>
    </row>
    <row r="14486" spans="1:4" x14ac:dyDescent="0.2">
      <c r="A14486" s="496"/>
      <c r="D14486" s="496"/>
    </row>
    <row r="14487" spans="1:4" x14ac:dyDescent="0.2">
      <c r="A14487" s="496"/>
      <c r="D14487" s="496"/>
    </row>
    <row r="14488" spans="1:4" x14ac:dyDescent="0.2">
      <c r="A14488" s="496"/>
      <c r="D14488" s="496"/>
    </row>
    <row r="14489" spans="1:4" x14ac:dyDescent="0.2">
      <c r="A14489" s="496"/>
      <c r="D14489" s="496"/>
    </row>
    <row r="14490" spans="1:4" x14ac:dyDescent="0.2">
      <c r="A14490" s="496"/>
      <c r="D14490" s="496"/>
    </row>
    <row r="14491" spans="1:4" x14ac:dyDescent="0.2">
      <c r="A14491" s="496"/>
      <c r="D14491" s="496"/>
    </row>
    <row r="14492" spans="1:4" x14ac:dyDescent="0.2">
      <c r="A14492" s="496"/>
      <c r="D14492" s="496"/>
    </row>
    <row r="14493" spans="1:4" x14ac:dyDescent="0.2">
      <c r="A14493" s="496"/>
      <c r="D14493" s="496"/>
    </row>
    <row r="14494" spans="1:4" x14ac:dyDescent="0.2">
      <c r="A14494" s="496"/>
      <c r="D14494" s="496"/>
    </row>
    <row r="14495" spans="1:4" x14ac:dyDescent="0.2">
      <c r="A14495" s="496"/>
      <c r="D14495" s="496"/>
    </row>
    <row r="14496" spans="1:4" x14ac:dyDescent="0.2">
      <c r="A14496" s="496"/>
      <c r="D14496" s="496"/>
    </row>
    <row r="14497" spans="1:4" x14ac:dyDescent="0.2">
      <c r="A14497" s="496"/>
      <c r="D14497" s="496"/>
    </row>
    <row r="14498" spans="1:4" x14ac:dyDescent="0.2">
      <c r="A14498" s="496"/>
      <c r="D14498" s="496"/>
    </row>
    <row r="14499" spans="1:4" x14ac:dyDescent="0.2">
      <c r="A14499" s="496"/>
      <c r="D14499" s="496"/>
    </row>
    <row r="14500" spans="1:4" x14ac:dyDescent="0.2">
      <c r="A14500" s="496"/>
      <c r="D14500" s="496"/>
    </row>
    <row r="14501" spans="1:4" x14ac:dyDescent="0.2">
      <c r="A14501" s="496"/>
      <c r="D14501" s="496"/>
    </row>
    <row r="14502" spans="1:4" x14ac:dyDescent="0.2">
      <c r="A14502" s="496"/>
      <c r="D14502" s="496"/>
    </row>
    <row r="14503" spans="1:4" x14ac:dyDescent="0.2">
      <c r="A14503" s="496"/>
      <c r="D14503" s="496"/>
    </row>
    <row r="14504" spans="1:4" x14ac:dyDescent="0.2">
      <c r="A14504" s="496"/>
      <c r="D14504" s="496"/>
    </row>
    <row r="14505" spans="1:4" x14ac:dyDescent="0.2">
      <c r="A14505" s="496"/>
      <c r="D14505" s="496"/>
    </row>
    <row r="14506" spans="1:4" x14ac:dyDescent="0.2">
      <c r="A14506" s="496"/>
      <c r="D14506" s="496"/>
    </row>
    <row r="14507" spans="1:4" x14ac:dyDescent="0.2">
      <c r="A14507" s="496"/>
      <c r="D14507" s="496"/>
    </row>
    <row r="14508" spans="1:4" x14ac:dyDescent="0.2">
      <c r="A14508" s="496"/>
      <c r="D14508" s="496"/>
    </row>
    <row r="14509" spans="1:4" x14ac:dyDescent="0.2">
      <c r="A14509" s="496"/>
      <c r="D14509" s="496"/>
    </row>
    <row r="14510" spans="1:4" x14ac:dyDescent="0.2">
      <c r="A14510" s="496"/>
      <c r="D14510" s="496"/>
    </row>
    <row r="14511" spans="1:4" x14ac:dyDescent="0.2">
      <c r="A14511" s="496"/>
      <c r="D14511" s="496"/>
    </row>
    <row r="14512" spans="1:4" x14ac:dyDescent="0.2">
      <c r="A14512" s="496"/>
      <c r="D14512" s="496"/>
    </row>
    <row r="14513" spans="1:4" x14ac:dyDescent="0.2">
      <c r="A14513" s="496"/>
      <c r="D14513" s="496"/>
    </row>
    <row r="14514" spans="1:4" x14ac:dyDescent="0.2">
      <c r="A14514" s="496"/>
      <c r="D14514" s="496"/>
    </row>
    <row r="14515" spans="1:4" x14ac:dyDescent="0.2">
      <c r="A14515" s="496"/>
      <c r="D14515" s="496"/>
    </row>
    <row r="14516" spans="1:4" x14ac:dyDescent="0.2">
      <c r="A14516" s="496"/>
      <c r="D14516" s="496"/>
    </row>
    <row r="14517" spans="1:4" x14ac:dyDescent="0.2">
      <c r="A14517" s="496"/>
      <c r="D14517" s="496"/>
    </row>
    <row r="14518" spans="1:4" x14ac:dyDescent="0.2">
      <c r="A14518" s="496"/>
      <c r="D14518" s="496"/>
    </row>
    <row r="14519" spans="1:4" x14ac:dyDescent="0.2">
      <c r="A14519" s="496"/>
      <c r="D14519" s="496"/>
    </row>
    <row r="14520" spans="1:4" x14ac:dyDescent="0.2">
      <c r="A14520" s="496"/>
      <c r="D14520" s="496"/>
    </row>
    <row r="14521" spans="1:4" x14ac:dyDescent="0.2">
      <c r="A14521" s="496"/>
      <c r="D14521" s="496"/>
    </row>
    <row r="14522" spans="1:4" x14ac:dyDescent="0.2">
      <c r="A14522" s="496"/>
      <c r="D14522" s="496"/>
    </row>
    <row r="14523" spans="1:4" x14ac:dyDescent="0.2">
      <c r="A14523" s="496"/>
      <c r="D14523" s="496"/>
    </row>
    <row r="14524" spans="1:4" x14ac:dyDescent="0.2">
      <c r="A14524" s="496"/>
      <c r="D14524" s="496"/>
    </row>
    <row r="14525" spans="1:4" x14ac:dyDescent="0.2">
      <c r="A14525" s="496"/>
      <c r="D14525" s="496"/>
    </row>
    <row r="14526" spans="1:4" x14ac:dyDescent="0.2">
      <c r="A14526" s="496"/>
      <c r="D14526" s="496"/>
    </row>
    <row r="14527" spans="1:4" x14ac:dyDescent="0.2">
      <c r="A14527" s="496"/>
      <c r="D14527" s="496"/>
    </row>
    <row r="14528" spans="1:4" x14ac:dyDescent="0.2">
      <c r="A14528" s="496"/>
      <c r="D14528" s="496"/>
    </row>
    <row r="14529" spans="1:4" x14ac:dyDescent="0.2">
      <c r="A14529" s="496"/>
      <c r="D14529" s="496"/>
    </row>
    <row r="14530" spans="1:4" x14ac:dyDescent="0.2">
      <c r="A14530" s="496"/>
      <c r="D14530" s="496"/>
    </row>
    <row r="14531" spans="1:4" x14ac:dyDescent="0.2">
      <c r="A14531" s="496"/>
      <c r="D14531" s="496"/>
    </row>
    <row r="14532" spans="1:4" x14ac:dyDescent="0.2">
      <c r="A14532" s="496"/>
      <c r="D14532" s="496"/>
    </row>
    <row r="14533" spans="1:4" x14ac:dyDescent="0.2">
      <c r="A14533" s="496"/>
      <c r="D14533" s="496"/>
    </row>
    <row r="14534" spans="1:4" x14ac:dyDescent="0.2">
      <c r="A14534" s="496"/>
      <c r="D14534" s="496"/>
    </row>
    <row r="14535" spans="1:4" x14ac:dyDescent="0.2">
      <c r="A14535" s="496"/>
      <c r="D14535" s="496"/>
    </row>
    <row r="14536" spans="1:4" x14ac:dyDescent="0.2">
      <c r="A14536" s="496"/>
      <c r="D14536" s="496"/>
    </row>
    <row r="14537" spans="1:4" x14ac:dyDescent="0.2">
      <c r="A14537" s="496"/>
      <c r="D14537" s="496"/>
    </row>
    <row r="14538" spans="1:4" x14ac:dyDescent="0.2">
      <c r="A14538" s="496"/>
      <c r="D14538" s="496"/>
    </row>
    <row r="14539" spans="1:4" x14ac:dyDescent="0.2">
      <c r="A14539" s="496"/>
      <c r="D14539" s="496"/>
    </row>
    <row r="14540" spans="1:4" x14ac:dyDescent="0.2">
      <c r="A14540" s="496"/>
      <c r="D14540" s="496"/>
    </row>
    <row r="14541" spans="1:4" x14ac:dyDescent="0.2">
      <c r="A14541" s="496"/>
      <c r="D14541" s="496"/>
    </row>
    <row r="14542" spans="1:4" x14ac:dyDescent="0.2">
      <c r="A14542" s="496"/>
      <c r="D14542" s="496"/>
    </row>
    <row r="14543" spans="1:4" x14ac:dyDescent="0.2">
      <c r="A14543" s="496"/>
      <c r="D14543" s="496"/>
    </row>
    <row r="14544" spans="1:4" x14ac:dyDescent="0.2">
      <c r="A14544" s="496"/>
      <c r="D14544" s="496"/>
    </row>
    <row r="14545" spans="1:4" x14ac:dyDescent="0.2">
      <c r="A14545" s="496"/>
      <c r="D14545" s="496"/>
    </row>
    <row r="14546" spans="1:4" x14ac:dyDescent="0.2">
      <c r="A14546" s="496"/>
      <c r="D14546" s="496"/>
    </row>
    <row r="14547" spans="1:4" x14ac:dyDescent="0.2">
      <c r="A14547" s="496"/>
      <c r="D14547" s="496"/>
    </row>
    <row r="14548" spans="1:4" x14ac:dyDescent="0.2">
      <c r="A14548" s="496"/>
      <c r="D14548" s="496"/>
    </row>
    <row r="14549" spans="1:4" x14ac:dyDescent="0.2">
      <c r="A14549" s="496"/>
      <c r="D14549" s="496"/>
    </row>
    <row r="14550" spans="1:4" x14ac:dyDescent="0.2">
      <c r="A14550" s="496"/>
      <c r="D14550" s="496"/>
    </row>
    <row r="14551" spans="1:4" x14ac:dyDescent="0.2">
      <c r="A14551" s="496"/>
      <c r="D14551" s="496"/>
    </row>
    <row r="14552" spans="1:4" x14ac:dyDescent="0.2">
      <c r="A14552" s="496"/>
      <c r="D14552" s="496"/>
    </row>
    <row r="14553" spans="1:4" x14ac:dyDescent="0.2">
      <c r="A14553" s="496"/>
      <c r="D14553" s="496"/>
    </row>
    <row r="14554" spans="1:4" x14ac:dyDescent="0.2">
      <c r="A14554" s="496"/>
      <c r="D14554" s="496"/>
    </row>
    <row r="14555" spans="1:4" x14ac:dyDescent="0.2">
      <c r="A14555" s="496"/>
      <c r="D14555" s="496"/>
    </row>
    <row r="14556" spans="1:4" x14ac:dyDescent="0.2">
      <c r="A14556" s="496"/>
      <c r="D14556" s="496"/>
    </row>
    <row r="14557" spans="1:4" x14ac:dyDescent="0.2">
      <c r="A14557" s="496"/>
      <c r="D14557" s="496"/>
    </row>
    <row r="14558" spans="1:4" x14ac:dyDescent="0.2">
      <c r="A14558" s="496"/>
      <c r="D14558" s="496"/>
    </row>
    <row r="14559" spans="1:4" x14ac:dyDescent="0.2">
      <c r="A14559" s="496"/>
      <c r="D14559" s="496"/>
    </row>
    <row r="14560" spans="1:4" x14ac:dyDescent="0.2">
      <c r="A14560" s="496"/>
      <c r="D14560" s="496"/>
    </row>
    <row r="14561" spans="1:4" x14ac:dyDescent="0.2">
      <c r="A14561" s="496"/>
      <c r="D14561" s="496"/>
    </row>
    <row r="14562" spans="1:4" x14ac:dyDescent="0.2">
      <c r="A14562" s="496"/>
      <c r="D14562" s="496"/>
    </row>
    <row r="14563" spans="1:4" x14ac:dyDescent="0.2">
      <c r="A14563" s="496"/>
      <c r="D14563" s="496"/>
    </row>
    <row r="14564" spans="1:4" x14ac:dyDescent="0.2">
      <c r="A14564" s="496"/>
      <c r="D14564" s="496"/>
    </row>
    <row r="14565" spans="1:4" x14ac:dyDescent="0.2">
      <c r="A14565" s="496"/>
      <c r="D14565" s="496"/>
    </row>
    <row r="14566" spans="1:4" x14ac:dyDescent="0.2">
      <c r="A14566" s="496"/>
      <c r="D14566" s="496"/>
    </row>
    <row r="14567" spans="1:4" x14ac:dyDescent="0.2">
      <c r="A14567" s="496"/>
      <c r="D14567" s="496"/>
    </row>
    <row r="14568" spans="1:4" x14ac:dyDescent="0.2">
      <c r="A14568" s="496"/>
      <c r="D14568" s="496"/>
    </row>
    <row r="14569" spans="1:4" x14ac:dyDescent="0.2">
      <c r="A14569" s="496"/>
      <c r="D14569" s="496"/>
    </row>
    <row r="14570" spans="1:4" x14ac:dyDescent="0.2">
      <c r="A14570" s="496"/>
      <c r="D14570" s="496"/>
    </row>
    <row r="14571" spans="1:4" x14ac:dyDescent="0.2">
      <c r="A14571" s="496"/>
      <c r="D14571" s="496"/>
    </row>
    <row r="14572" spans="1:4" x14ac:dyDescent="0.2">
      <c r="A14572" s="496"/>
      <c r="D14572" s="496"/>
    </row>
    <row r="14573" spans="1:4" x14ac:dyDescent="0.2">
      <c r="A14573" s="496"/>
      <c r="D14573" s="496"/>
    </row>
    <row r="14574" spans="1:4" x14ac:dyDescent="0.2">
      <c r="A14574" s="496"/>
      <c r="D14574" s="496"/>
    </row>
    <row r="14575" spans="1:4" x14ac:dyDescent="0.2">
      <c r="A14575" s="496"/>
      <c r="D14575" s="496"/>
    </row>
    <row r="14576" spans="1:4" x14ac:dyDescent="0.2">
      <c r="A14576" s="496"/>
      <c r="D14576" s="496"/>
    </row>
    <row r="14577" spans="1:4" x14ac:dyDescent="0.2">
      <c r="A14577" s="496"/>
      <c r="D14577" s="496"/>
    </row>
    <row r="14578" spans="1:4" x14ac:dyDescent="0.2">
      <c r="A14578" s="496"/>
      <c r="D14578" s="496"/>
    </row>
    <row r="14579" spans="1:4" x14ac:dyDescent="0.2">
      <c r="A14579" s="496"/>
      <c r="D14579" s="496"/>
    </row>
    <row r="14580" spans="1:4" x14ac:dyDescent="0.2">
      <c r="A14580" s="496"/>
      <c r="D14580" s="496"/>
    </row>
    <row r="14581" spans="1:4" x14ac:dyDescent="0.2">
      <c r="A14581" s="496"/>
      <c r="D14581" s="496"/>
    </row>
    <row r="14582" spans="1:4" x14ac:dyDescent="0.2">
      <c r="A14582" s="496"/>
      <c r="D14582" s="496"/>
    </row>
    <row r="14583" spans="1:4" x14ac:dyDescent="0.2">
      <c r="A14583" s="496"/>
      <c r="D14583" s="496"/>
    </row>
    <row r="14584" spans="1:4" x14ac:dyDescent="0.2">
      <c r="A14584" s="496"/>
      <c r="D14584" s="496"/>
    </row>
    <row r="14585" spans="1:4" x14ac:dyDescent="0.2">
      <c r="A14585" s="496"/>
      <c r="D14585" s="496"/>
    </row>
    <row r="14586" spans="1:4" x14ac:dyDescent="0.2">
      <c r="A14586" s="496"/>
      <c r="D14586" s="496"/>
    </row>
    <row r="14587" spans="1:4" x14ac:dyDescent="0.2">
      <c r="A14587" s="496"/>
      <c r="D14587" s="496"/>
    </row>
    <row r="14588" spans="1:4" x14ac:dyDescent="0.2">
      <c r="A14588" s="496"/>
      <c r="D14588" s="496"/>
    </row>
    <row r="14589" spans="1:4" x14ac:dyDescent="0.2">
      <c r="A14589" s="496"/>
      <c r="D14589" s="496"/>
    </row>
    <row r="14590" spans="1:4" x14ac:dyDescent="0.2">
      <c r="A14590" s="496"/>
      <c r="D14590" s="496"/>
    </row>
    <row r="14591" spans="1:4" x14ac:dyDescent="0.2">
      <c r="A14591" s="496"/>
      <c r="D14591" s="496"/>
    </row>
    <row r="14592" spans="1:4" x14ac:dyDescent="0.2">
      <c r="A14592" s="496"/>
      <c r="D14592" s="496"/>
    </row>
    <row r="14593" spans="1:4" x14ac:dyDescent="0.2">
      <c r="A14593" s="496"/>
      <c r="D14593" s="496"/>
    </row>
    <row r="14594" spans="1:4" x14ac:dyDescent="0.2">
      <c r="A14594" s="496"/>
      <c r="D14594" s="496"/>
    </row>
    <row r="14595" spans="1:4" x14ac:dyDescent="0.2">
      <c r="A14595" s="496"/>
      <c r="D14595" s="496"/>
    </row>
    <row r="14596" spans="1:4" x14ac:dyDescent="0.2">
      <c r="A14596" s="496"/>
      <c r="D14596" s="496"/>
    </row>
    <row r="14597" spans="1:4" x14ac:dyDescent="0.2">
      <c r="A14597" s="496"/>
      <c r="D14597" s="496"/>
    </row>
    <row r="14598" spans="1:4" x14ac:dyDescent="0.2">
      <c r="A14598" s="496"/>
      <c r="D14598" s="496"/>
    </row>
    <row r="14599" spans="1:4" x14ac:dyDescent="0.2">
      <c r="A14599" s="496"/>
      <c r="D14599" s="496"/>
    </row>
    <row r="14600" spans="1:4" x14ac:dyDescent="0.2">
      <c r="A14600" s="496"/>
      <c r="D14600" s="496"/>
    </row>
    <row r="14601" spans="1:4" x14ac:dyDescent="0.2">
      <c r="A14601" s="496"/>
      <c r="D14601" s="496"/>
    </row>
    <row r="14602" spans="1:4" x14ac:dyDescent="0.2">
      <c r="A14602" s="496"/>
      <c r="D14602" s="496"/>
    </row>
    <row r="14603" spans="1:4" x14ac:dyDescent="0.2">
      <c r="A14603" s="496"/>
      <c r="D14603" s="496"/>
    </row>
    <row r="14604" spans="1:4" x14ac:dyDescent="0.2">
      <c r="A14604" s="496"/>
      <c r="D14604" s="496"/>
    </row>
    <row r="14605" spans="1:4" x14ac:dyDescent="0.2">
      <c r="A14605" s="496"/>
      <c r="D14605" s="496"/>
    </row>
    <row r="14606" spans="1:4" x14ac:dyDescent="0.2">
      <c r="A14606" s="496"/>
      <c r="D14606" s="496"/>
    </row>
    <row r="14607" spans="1:4" x14ac:dyDescent="0.2">
      <c r="A14607" s="496"/>
      <c r="D14607" s="496"/>
    </row>
    <row r="14608" spans="1:4" x14ac:dyDescent="0.2">
      <c r="A14608" s="496"/>
      <c r="D14608" s="496"/>
    </row>
    <row r="14609" spans="1:4" x14ac:dyDescent="0.2">
      <c r="A14609" s="496"/>
      <c r="D14609" s="496"/>
    </row>
    <row r="14610" spans="1:4" x14ac:dyDescent="0.2">
      <c r="A14610" s="496"/>
      <c r="D14610" s="496"/>
    </row>
    <row r="14611" spans="1:4" x14ac:dyDescent="0.2">
      <c r="A14611" s="496"/>
      <c r="D14611" s="496"/>
    </row>
    <row r="14612" spans="1:4" x14ac:dyDescent="0.2">
      <c r="A14612" s="496"/>
      <c r="D14612" s="496"/>
    </row>
    <row r="14613" spans="1:4" x14ac:dyDescent="0.2">
      <c r="A14613" s="496"/>
      <c r="D14613" s="496"/>
    </row>
    <row r="14614" spans="1:4" x14ac:dyDescent="0.2">
      <c r="A14614" s="496"/>
      <c r="D14614" s="496"/>
    </row>
    <row r="14615" spans="1:4" x14ac:dyDescent="0.2">
      <c r="A14615" s="496"/>
      <c r="D14615" s="496"/>
    </row>
    <row r="14616" spans="1:4" x14ac:dyDescent="0.2">
      <c r="A14616" s="496"/>
      <c r="D14616" s="496"/>
    </row>
    <row r="14617" spans="1:4" x14ac:dyDescent="0.2">
      <c r="A14617" s="496"/>
      <c r="D14617" s="496"/>
    </row>
    <row r="14618" spans="1:4" x14ac:dyDescent="0.2">
      <c r="A14618" s="496"/>
      <c r="D14618" s="496"/>
    </row>
    <row r="14619" spans="1:4" x14ac:dyDescent="0.2">
      <c r="A14619" s="496"/>
      <c r="D14619" s="496"/>
    </row>
    <row r="14620" spans="1:4" x14ac:dyDescent="0.2">
      <c r="A14620" s="496"/>
      <c r="D14620" s="496"/>
    </row>
    <row r="14621" spans="1:4" x14ac:dyDescent="0.2">
      <c r="A14621" s="496"/>
      <c r="D14621" s="496"/>
    </row>
    <row r="14622" spans="1:4" x14ac:dyDescent="0.2">
      <c r="A14622" s="496"/>
      <c r="D14622" s="496"/>
    </row>
    <row r="14623" spans="1:4" x14ac:dyDescent="0.2">
      <c r="A14623" s="496"/>
      <c r="D14623" s="496"/>
    </row>
    <row r="14624" spans="1:4" x14ac:dyDescent="0.2">
      <c r="A14624" s="496"/>
      <c r="D14624" s="496"/>
    </row>
    <row r="14625" spans="1:4" x14ac:dyDescent="0.2">
      <c r="A14625" s="496"/>
      <c r="D14625" s="496"/>
    </row>
    <row r="14626" spans="1:4" x14ac:dyDescent="0.2">
      <c r="A14626" s="496"/>
      <c r="D14626" s="496"/>
    </row>
    <row r="14627" spans="1:4" x14ac:dyDescent="0.2">
      <c r="A14627" s="496"/>
      <c r="D14627" s="496"/>
    </row>
    <row r="14628" spans="1:4" x14ac:dyDescent="0.2">
      <c r="A14628" s="496"/>
      <c r="D14628" s="496"/>
    </row>
    <row r="14629" spans="1:4" x14ac:dyDescent="0.2">
      <c r="A14629" s="496"/>
      <c r="D14629" s="496"/>
    </row>
    <row r="14630" spans="1:4" x14ac:dyDescent="0.2">
      <c r="A14630" s="496"/>
      <c r="D14630" s="496"/>
    </row>
    <row r="14631" spans="1:4" x14ac:dyDescent="0.2">
      <c r="A14631" s="496"/>
      <c r="D14631" s="496"/>
    </row>
    <row r="14632" spans="1:4" x14ac:dyDescent="0.2">
      <c r="A14632" s="496"/>
      <c r="D14632" s="496"/>
    </row>
    <row r="14633" spans="1:4" x14ac:dyDescent="0.2">
      <c r="A14633" s="496"/>
      <c r="D14633" s="496"/>
    </row>
    <row r="14634" spans="1:4" x14ac:dyDescent="0.2">
      <c r="A14634" s="496"/>
      <c r="D14634" s="496"/>
    </row>
    <row r="14635" spans="1:4" x14ac:dyDescent="0.2">
      <c r="A14635" s="496"/>
      <c r="D14635" s="496"/>
    </row>
    <row r="14636" spans="1:4" x14ac:dyDescent="0.2">
      <c r="A14636" s="496"/>
      <c r="D14636" s="496"/>
    </row>
    <row r="14637" spans="1:4" x14ac:dyDescent="0.2">
      <c r="A14637" s="496"/>
      <c r="D14637" s="496"/>
    </row>
    <row r="14638" spans="1:4" x14ac:dyDescent="0.2">
      <c r="A14638" s="496"/>
      <c r="D14638" s="496"/>
    </row>
    <row r="14639" spans="1:4" x14ac:dyDescent="0.2">
      <c r="A14639" s="496"/>
      <c r="D14639" s="496"/>
    </row>
    <row r="14640" spans="1:4" x14ac:dyDescent="0.2">
      <c r="A14640" s="496"/>
      <c r="D14640" s="496"/>
    </row>
    <row r="14641" spans="1:4" x14ac:dyDescent="0.2">
      <c r="A14641" s="496"/>
      <c r="D14641" s="496"/>
    </row>
    <row r="14642" spans="1:4" x14ac:dyDescent="0.2">
      <c r="A14642" s="496"/>
      <c r="D14642" s="496"/>
    </row>
    <row r="14643" spans="1:4" x14ac:dyDescent="0.2">
      <c r="A14643" s="496"/>
      <c r="D14643" s="496"/>
    </row>
    <row r="14644" spans="1:4" x14ac:dyDescent="0.2">
      <c r="A14644" s="496"/>
      <c r="D14644" s="496"/>
    </row>
    <row r="14645" spans="1:4" x14ac:dyDescent="0.2">
      <c r="A14645" s="496"/>
      <c r="D14645" s="496"/>
    </row>
    <row r="14646" spans="1:4" x14ac:dyDescent="0.2">
      <c r="A14646" s="496"/>
      <c r="D14646" s="496"/>
    </row>
    <row r="14647" spans="1:4" x14ac:dyDescent="0.2">
      <c r="A14647" s="496"/>
      <c r="D14647" s="496"/>
    </row>
    <row r="14648" spans="1:4" x14ac:dyDescent="0.2">
      <c r="A14648" s="496"/>
      <c r="D14648" s="496"/>
    </row>
    <row r="14649" spans="1:4" x14ac:dyDescent="0.2">
      <c r="A14649" s="496"/>
      <c r="D14649" s="496"/>
    </row>
    <row r="14650" spans="1:4" x14ac:dyDescent="0.2">
      <c r="A14650" s="496"/>
      <c r="D14650" s="496"/>
    </row>
    <row r="14651" spans="1:4" x14ac:dyDescent="0.2">
      <c r="A14651" s="496"/>
      <c r="D14651" s="496"/>
    </row>
    <row r="14652" spans="1:4" x14ac:dyDescent="0.2">
      <c r="A14652" s="496"/>
      <c r="D14652" s="496"/>
    </row>
    <row r="14653" spans="1:4" x14ac:dyDescent="0.2">
      <c r="A14653" s="496"/>
      <c r="D14653" s="496"/>
    </row>
    <row r="14654" spans="1:4" x14ac:dyDescent="0.2">
      <c r="A14654" s="496"/>
      <c r="D14654" s="496"/>
    </row>
    <row r="14655" spans="1:4" x14ac:dyDescent="0.2">
      <c r="A14655" s="496"/>
      <c r="D14655" s="496"/>
    </row>
    <row r="14656" spans="1:4" x14ac:dyDescent="0.2">
      <c r="A14656" s="496"/>
      <c r="D14656" s="496"/>
    </row>
    <row r="14657" spans="1:4" x14ac:dyDescent="0.2">
      <c r="A14657" s="496"/>
      <c r="D14657" s="496"/>
    </row>
    <row r="14658" spans="1:4" x14ac:dyDescent="0.2">
      <c r="A14658" s="496"/>
      <c r="D14658" s="496"/>
    </row>
    <row r="14659" spans="1:4" x14ac:dyDescent="0.2">
      <c r="A14659" s="496"/>
      <c r="D14659" s="496"/>
    </row>
    <row r="14660" spans="1:4" x14ac:dyDescent="0.2">
      <c r="A14660" s="496"/>
      <c r="D14660" s="496"/>
    </row>
    <row r="14661" spans="1:4" x14ac:dyDescent="0.2">
      <c r="A14661" s="496"/>
      <c r="D14661" s="496"/>
    </row>
    <row r="14662" spans="1:4" x14ac:dyDescent="0.2">
      <c r="A14662" s="496"/>
      <c r="D14662" s="496"/>
    </row>
    <row r="14663" spans="1:4" x14ac:dyDescent="0.2">
      <c r="A14663" s="496"/>
      <c r="D14663" s="496"/>
    </row>
    <row r="14664" spans="1:4" x14ac:dyDescent="0.2">
      <c r="A14664" s="496"/>
      <c r="D14664" s="496"/>
    </row>
    <row r="14665" spans="1:4" x14ac:dyDescent="0.2">
      <c r="A14665" s="496"/>
      <c r="D14665" s="496"/>
    </row>
    <row r="14666" spans="1:4" x14ac:dyDescent="0.2">
      <c r="A14666" s="496"/>
      <c r="D14666" s="496"/>
    </row>
    <row r="14667" spans="1:4" x14ac:dyDescent="0.2">
      <c r="A14667" s="496"/>
      <c r="D14667" s="496"/>
    </row>
    <row r="14668" spans="1:4" x14ac:dyDescent="0.2">
      <c r="A14668" s="496"/>
      <c r="D14668" s="496"/>
    </row>
    <row r="14669" spans="1:4" x14ac:dyDescent="0.2">
      <c r="A14669" s="496"/>
      <c r="D14669" s="496"/>
    </row>
    <row r="14670" spans="1:4" x14ac:dyDescent="0.2">
      <c r="A14670" s="496"/>
      <c r="D14670" s="496"/>
    </row>
    <row r="14671" spans="1:4" x14ac:dyDescent="0.2">
      <c r="A14671" s="496"/>
      <c r="D14671" s="496"/>
    </row>
    <row r="14672" spans="1:4" x14ac:dyDescent="0.2">
      <c r="A14672" s="496"/>
      <c r="D14672" s="496"/>
    </row>
    <row r="14673" spans="1:4" x14ac:dyDescent="0.2">
      <c r="A14673" s="496"/>
      <c r="D14673" s="496"/>
    </row>
    <row r="14674" spans="1:4" x14ac:dyDescent="0.2">
      <c r="A14674" s="496"/>
      <c r="D14674" s="496"/>
    </row>
    <row r="14675" spans="1:4" x14ac:dyDescent="0.2">
      <c r="A14675" s="496"/>
      <c r="D14675" s="496"/>
    </row>
    <row r="14676" spans="1:4" x14ac:dyDescent="0.2">
      <c r="A14676" s="496"/>
      <c r="D14676" s="496"/>
    </row>
    <row r="14677" spans="1:4" x14ac:dyDescent="0.2">
      <c r="A14677" s="496"/>
      <c r="D14677" s="496"/>
    </row>
    <row r="14678" spans="1:4" x14ac:dyDescent="0.2">
      <c r="A14678" s="496"/>
      <c r="D14678" s="496"/>
    </row>
    <row r="14679" spans="1:4" x14ac:dyDescent="0.2">
      <c r="A14679" s="496"/>
      <c r="D14679" s="496"/>
    </row>
    <row r="14680" spans="1:4" x14ac:dyDescent="0.2">
      <c r="A14680" s="496"/>
      <c r="D14680" s="496"/>
    </row>
    <row r="14681" spans="1:4" x14ac:dyDescent="0.2">
      <c r="A14681" s="496"/>
      <c r="D14681" s="496"/>
    </row>
    <row r="14682" spans="1:4" x14ac:dyDescent="0.2">
      <c r="A14682" s="496"/>
      <c r="D14682" s="496"/>
    </row>
    <row r="14683" spans="1:4" x14ac:dyDescent="0.2">
      <c r="A14683" s="496"/>
      <c r="D14683" s="496"/>
    </row>
    <row r="14684" spans="1:4" x14ac:dyDescent="0.2">
      <c r="A14684" s="496"/>
      <c r="D14684" s="496"/>
    </row>
    <row r="14685" spans="1:4" x14ac:dyDescent="0.2">
      <c r="A14685" s="496"/>
      <c r="D14685" s="496"/>
    </row>
    <row r="14686" spans="1:4" x14ac:dyDescent="0.2">
      <c r="A14686" s="496"/>
      <c r="D14686" s="496"/>
    </row>
    <row r="14687" spans="1:4" x14ac:dyDescent="0.2">
      <c r="A14687" s="496"/>
      <c r="D14687" s="496"/>
    </row>
    <row r="14688" spans="1:4" x14ac:dyDescent="0.2">
      <c r="A14688" s="496"/>
      <c r="D14688" s="496"/>
    </row>
    <row r="14689" spans="1:4" x14ac:dyDescent="0.2">
      <c r="A14689" s="496"/>
      <c r="D14689" s="496"/>
    </row>
    <row r="14690" spans="1:4" x14ac:dyDescent="0.2">
      <c r="A14690" s="496"/>
      <c r="D14690" s="496"/>
    </row>
    <row r="14691" spans="1:4" x14ac:dyDescent="0.2">
      <c r="A14691" s="496"/>
      <c r="D14691" s="496"/>
    </row>
    <row r="14692" spans="1:4" x14ac:dyDescent="0.2">
      <c r="A14692" s="496"/>
      <c r="D14692" s="496"/>
    </row>
    <row r="14693" spans="1:4" x14ac:dyDescent="0.2">
      <c r="A14693" s="496"/>
      <c r="D14693" s="496"/>
    </row>
    <row r="14694" spans="1:4" x14ac:dyDescent="0.2">
      <c r="A14694" s="496"/>
      <c r="D14694" s="496"/>
    </row>
    <row r="14695" spans="1:4" x14ac:dyDescent="0.2">
      <c r="A14695" s="496"/>
      <c r="D14695" s="496"/>
    </row>
    <row r="14696" spans="1:4" x14ac:dyDescent="0.2">
      <c r="A14696" s="496"/>
      <c r="D14696" s="496"/>
    </row>
    <row r="14697" spans="1:4" x14ac:dyDescent="0.2">
      <c r="A14697" s="496"/>
      <c r="D14697" s="496"/>
    </row>
    <row r="14698" spans="1:4" x14ac:dyDescent="0.2">
      <c r="A14698" s="496"/>
      <c r="D14698" s="496"/>
    </row>
    <row r="14699" spans="1:4" x14ac:dyDescent="0.2">
      <c r="A14699" s="496"/>
      <c r="D14699" s="496"/>
    </row>
    <row r="14700" spans="1:4" x14ac:dyDescent="0.2">
      <c r="A14700" s="496"/>
      <c r="D14700" s="496"/>
    </row>
    <row r="14701" spans="1:4" x14ac:dyDescent="0.2">
      <c r="A14701" s="496"/>
      <c r="D14701" s="496"/>
    </row>
    <row r="14702" spans="1:4" x14ac:dyDescent="0.2">
      <c r="A14702" s="496"/>
      <c r="D14702" s="496"/>
    </row>
    <row r="14703" spans="1:4" x14ac:dyDescent="0.2">
      <c r="A14703" s="496"/>
      <c r="D14703" s="496"/>
    </row>
    <row r="14704" spans="1:4" x14ac:dyDescent="0.2">
      <c r="A14704" s="496"/>
      <c r="D14704" s="496"/>
    </row>
    <row r="14705" spans="1:4" x14ac:dyDescent="0.2">
      <c r="A14705" s="496"/>
      <c r="D14705" s="496"/>
    </row>
    <row r="14706" spans="1:4" x14ac:dyDescent="0.2">
      <c r="A14706" s="496"/>
      <c r="D14706" s="496"/>
    </row>
    <row r="14707" spans="1:4" x14ac:dyDescent="0.2">
      <c r="A14707" s="496"/>
      <c r="D14707" s="496"/>
    </row>
    <row r="14708" spans="1:4" x14ac:dyDescent="0.2">
      <c r="A14708" s="496"/>
      <c r="D14708" s="496"/>
    </row>
    <row r="14709" spans="1:4" x14ac:dyDescent="0.2">
      <c r="A14709" s="496"/>
      <c r="D14709" s="496"/>
    </row>
    <row r="14710" spans="1:4" x14ac:dyDescent="0.2">
      <c r="A14710" s="496"/>
      <c r="D14710" s="496"/>
    </row>
    <row r="14711" spans="1:4" x14ac:dyDescent="0.2">
      <c r="A14711" s="496"/>
      <c r="D14711" s="496"/>
    </row>
    <row r="14712" spans="1:4" x14ac:dyDescent="0.2">
      <c r="A14712" s="496"/>
      <c r="D14712" s="496"/>
    </row>
    <row r="14713" spans="1:4" x14ac:dyDescent="0.2">
      <c r="A14713" s="496"/>
      <c r="D14713" s="496"/>
    </row>
    <row r="14714" spans="1:4" x14ac:dyDescent="0.2">
      <c r="A14714" s="496"/>
      <c r="D14714" s="496"/>
    </row>
    <row r="14715" spans="1:4" x14ac:dyDescent="0.2">
      <c r="A14715" s="496"/>
      <c r="D14715" s="496"/>
    </row>
    <row r="14716" spans="1:4" x14ac:dyDescent="0.2">
      <c r="A14716" s="496"/>
      <c r="D14716" s="496"/>
    </row>
    <row r="14717" spans="1:4" x14ac:dyDescent="0.2">
      <c r="A14717" s="496"/>
      <c r="D14717" s="496"/>
    </row>
    <row r="14718" spans="1:4" x14ac:dyDescent="0.2">
      <c r="A14718" s="496"/>
      <c r="D14718" s="496"/>
    </row>
    <row r="14719" spans="1:4" x14ac:dyDescent="0.2">
      <c r="A14719" s="496"/>
      <c r="D14719" s="496"/>
    </row>
    <row r="14720" spans="1:4" x14ac:dyDescent="0.2">
      <c r="A14720" s="496"/>
      <c r="D14720" s="496"/>
    </row>
    <row r="14721" spans="1:4" x14ac:dyDescent="0.2">
      <c r="A14721" s="496"/>
      <c r="D14721" s="496"/>
    </row>
    <row r="14722" spans="1:4" x14ac:dyDescent="0.2">
      <c r="A14722" s="496"/>
      <c r="D14722" s="496"/>
    </row>
    <row r="14723" spans="1:4" x14ac:dyDescent="0.2">
      <c r="A14723" s="496"/>
      <c r="D14723" s="496"/>
    </row>
    <row r="14724" spans="1:4" x14ac:dyDescent="0.2">
      <c r="A14724" s="496"/>
      <c r="D14724" s="496"/>
    </row>
    <row r="14725" spans="1:4" x14ac:dyDescent="0.2">
      <c r="A14725" s="496"/>
      <c r="D14725" s="496"/>
    </row>
    <row r="14726" spans="1:4" x14ac:dyDescent="0.2">
      <c r="A14726" s="496"/>
      <c r="D14726" s="496"/>
    </row>
    <row r="14727" spans="1:4" x14ac:dyDescent="0.2">
      <c r="A14727" s="496"/>
      <c r="D14727" s="496"/>
    </row>
    <row r="14728" spans="1:4" x14ac:dyDescent="0.2">
      <c r="A14728" s="496"/>
      <c r="D14728" s="496"/>
    </row>
    <row r="14729" spans="1:4" x14ac:dyDescent="0.2">
      <c r="A14729" s="496"/>
      <c r="D14729" s="496"/>
    </row>
    <row r="14730" spans="1:4" x14ac:dyDescent="0.2">
      <c r="A14730" s="496"/>
      <c r="D14730" s="496"/>
    </row>
    <row r="14731" spans="1:4" x14ac:dyDescent="0.2">
      <c r="A14731" s="496"/>
      <c r="D14731" s="496"/>
    </row>
    <row r="14732" spans="1:4" x14ac:dyDescent="0.2">
      <c r="A14732" s="496"/>
      <c r="D14732" s="496"/>
    </row>
    <row r="14733" spans="1:4" x14ac:dyDescent="0.2">
      <c r="A14733" s="496"/>
      <c r="D14733" s="496"/>
    </row>
    <row r="14734" spans="1:4" x14ac:dyDescent="0.2">
      <c r="A14734" s="496"/>
      <c r="D14734" s="496"/>
    </row>
    <row r="14735" spans="1:4" x14ac:dyDescent="0.2">
      <c r="A14735" s="496"/>
      <c r="D14735" s="496"/>
    </row>
    <row r="14736" spans="1:4" x14ac:dyDescent="0.2">
      <c r="A14736" s="496"/>
      <c r="D14736" s="496"/>
    </row>
    <row r="14737" spans="1:4" x14ac:dyDescent="0.2">
      <c r="A14737" s="496"/>
      <c r="D14737" s="496"/>
    </row>
    <row r="14738" spans="1:4" x14ac:dyDescent="0.2">
      <c r="A14738" s="496"/>
      <c r="D14738" s="496"/>
    </row>
    <row r="14739" spans="1:4" x14ac:dyDescent="0.2">
      <c r="A14739" s="496"/>
      <c r="D14739" s="496"/>
    </row>
    <row r="14740" spans="1:4" x14ac:dyDescent="0.2">
      <c r="A14740" s="496"/>
      <c r="D14740" s="496"/>
    </row>
    <row r="14741" spans="1:4" x14ac:dyDescent="0.2">
      <c r="A14741" s="496"/>
      <c r="D14741" s="496"/>
    </row>
    <row r="14742" spans="1:4" x14ac:dyDescent="0.2">
      <c r="A14742" s="496"/>
      <c r="D14742" s="496"/>
    </row>
    <row r="14743" spans="1:4" x14ac:dyDescent="0.2">
      <c r="A14743" s="496"/>
      <c r="D14743" s="496"/>
    </row>
    <row r="14744" spans="1:4" x14ac:dyDescent="0.2">
      <c r="A14744" s="496"/>
      <c r="D14744" s="496"/>
    </row>
    <row r="14745" spans="1:4" x14ac:dyDescent="0.2">
      <c r="A14745" s="496"/>
      <c r="D14745" s="496"/>
    </row>
    <row r="14746" spans="1:4" x14ac:dyDescent="0.2">
      <c r="A14746" s="496"/>
      <c r="D14746" s="496"/>
    </row>
    <row r="14747" spans="1:4" x14ac:dyDescent="0.2">
      <c r="A14747" s="496"/>
      <c r="D14747" s="496"/>
    </row>
    <row r="14748" spans="1:4" x14ac:dyDescent="0.2">
      <c r="A14748" s="496"/>
      <c r="D14748" s="496"/>
    </row>
    <row r="14749" spans="1:4" x14ac:dyDescent="0.2">
      <c r="A14749" s="496"/>
      <c r="D14749" s="496"/>
    </row>
    <row r="14750" spans="1:4" x14ac:dyDescent="0.2">
      <c r="A14750" s="496"/>
      <c r="D14750" s="496"/>
    </row>
    <row r="14751" spans="1:4" x14ac:dyDescent="0.2">
      <c r="A14751" s="496"/>
      <c r="D14751" s="496"/>
    </row>
    <row r="14752" spans="1:4" x14ac:dyDescent="0.2">
      <c r="A14752" s="496"/>
      <c r="D14752" s="496"/>
    </row>
    <row r="14753" spans="1:4" x14ac:dyDescent="0.2">
      <c r="A14753" s="496"/>
      <c r="D14753" s="496"/>
    </row>
    <row r="14754" spans="1:4" x14ac:dyDescent="0.2">
      <c r="A14754" s="496"/>
      <c r="D14754" s="496"/>
    </row>
    <row r="14755" spans="1:4" x14ac:dyDescent="0.2">
      <c r="A14755" s="496"/>
      <c r="D14755" s="496"/>
    </row>
    <row r="14756" spans="1:4" x14ac:dyDescent="0.2">
      <c r="A14756" s="496"/>
      <c r="D14756" s="496"/>
    </row>
    <row r="14757" spans="1:4" x14ac:dyDescent="0.2">
      <c r="A14757" s="496"/>
      <c r="D14757" s="496"/>
    </row>
    <row r="14758" spans="1:4" x14ac:dyDescent="0.2">
      <c r="A14758" s="496"/>
      <c r="D14758" s="496"/>
    </row>
    <row r="14759" spans="1:4" x14ac:dyDescent="0.2">
      <c r="A14759" s="496"/>
      <c r="D14759" s="496"/>
    </row>
    <row r="14760" spans="1:4" x14ac:dyDescent="0.2">
      <c r="A14760" s="496"/>
      <c r="D14760" s="496"/>
    </row>
    <row r="14761" spans="1:4" x14ac:dyDescent="0.2">
      <c r="A14761" s="496"/>
      <c r="D14761" s="496"/>
    </row>
    <row r="14762" spans="1:4" x14ac:dyDescent="0.2">
      <c r="A14762" s="496"/>
      <c r="D14762" s="496"/>
    </row>
    <row r="14763" spans="1:4" x14ac:dyDescent="0.2">
      <c r="A14763" s="496"/>
      <c r="D14763" s="496"/>
    </row>
    <row r="14764" spans="1:4" x14ac:dyDescent="0.2">
      <c r="A14764" s="496"/>
      <c r="D14764" s="496"/>
    </row>
    <row r="14765" spans="1:4" x14ac:dyDescent="0.2">
      <c r="A14765" s="496"/>
      <c r="D14765" s="496"/>
    </row>
    <row r="14766" spans="1:4" x14ac:dyDescent="0.2">
      <c r="A14766" s="496"/>
      <c r="D14766" s="496"/>
    </row>
    <row r="14767" spans="1:4" x14ac:dyDescent="0.2">
      <c r="A14767" s="496"/>
      <c r="D14767" s="496"/>
    </row>
    <row r="14768" spans="1:4" x14ac:dyDescent="0.2">
      <c r="A14768" s="496"/>
      <c r="D14768" s="496"/>
    </row>
    <row r="14769" spans="1:4" x14ac:dyDescent="0.2">
      <c r="A14769" s="496"/>
      <c r="D14769" s="496"/>
    </row>
    <row r="14770" spans="1:4" x14ac:dyDescent="0.2">
      <c r="A14770" s="496"/>
      <c r="D14770" s="496"/>
    </row>
    <row r="14771" spans="1:4" x14ac:dyDescent="0.2">
      <c r="A14771" s="496"/>
      <c r="D14771" s="496"/>
    </row>
    <row r="14772" spans="1:4" x14ac:dyDescent="0.2">
      <c r="A14772" s="496"/>
      <c r="D14772" s="496"/>
    </row>
    <row r="14773" spans="1:4" x14ac:dyDescent="0.2">
      <c r="A14773" s="496"/>
      <c r="D14773" s="496"/>
    </row>
    <row r="14774" spans="1:4" x14ac:dyDescent="0.2">
      <c r="A14774" s="496"/>
      <c r="D14774" s="496"/>
    </row>
    <row r="14775" spans="1:4" x14ac:dyDescent="0.2">
      <c r="A14775" s="496"/>
      <c r="D14775" s="496"/>
    </row>
    <row r="14776" spans="1:4" x14ac:dyDescent="0.2">
      <c r="A14776" s="496"/>
      <c r="D14776" s="496"/>
    </row>
    <row r="14777" spans="1:4" x14ac:dyDescent="0.2">
      <c r="A14777" s="496"/>
      <c r="D14777" s="496"/>
    </row>
    <row r="14778" spans="1:4" x14ac:dyDescent="0.2">
      <c r="A14778" s="496"/>
      <c r="D14778" s="496"/>
    </row>
    <row r="14779" spans="1:4" x14ac:dyDescent="0.2">
      <c r="A14779" s="496"/>
      <c r="D14779" s="496"/>
    </row>
    <row r="14780" spans="1:4" x14ac:dyDescent="0.2">
      <c r="A14780" s="496"/>
      <c r="D14780" s="496"/>
    </row>
    <row r="14781" spans="1:4" x14ac:dyDescent="0.2">
      <c r="A14781" s="496"/>
      <c r="D14781" s="496"/>
    </row>
    <row r="14782" spans="1:4" x14ac:dyDescent="0.2">
      <c r="A14782" s="496"/>
      <c r="D14782" s="496"/>
    </row>
    <row r="14783" spans="1:4" x14ac:dyDescent="0.2">
      <c r="A14783" s="496"/>
      <c r="D14783" s="496"/>
    </row>
    <row r="14784" spans="1:4" x14ac:dyDescent="0.2">
      <c r="A14784" s="496"/>
      <c r="D14784" s="496"/>
    </row>
    <row r="14785" spans="1:4" x14ac:dyDescent="0.2">
      <c r="A14785" s="496"/>
      <c r="D14785" s="496"/>
    </row>
    <row r="14786" spans="1:4" x14ac:dyDescent="0.2">
      <c r="A14786" s="496"/>
      <c r="D14786" s="496"/>
    </row>
    <row r="14787" spans="1:4" x14ac:dyDescent="0.2">
      <c r="A14787" s="496"/>
      <c r="D14787" s="496"/>
    </row>
    <row r="14788" spans="1:4" x14ac:dyDescent="0.2">
      <c r="A14788" s="496"/>
      <c r="D14788" s="496"/>
    </row>
    <row r="14789" spans="1:4" x14ac:dyDescent="0.2">
      <c r="A14789" s="496"/>
      <c r="D14789" s="496"/>
    </row>
    <row r="14790" spans="1:4" x14ac:dyDescent="0.2">
      <c r="A14790" s="496"/>
      <c r="D14790" s="496"/>
    </row>
    <row r="14791" spans="1:4" x14ac:dyDescent="0.2">
      <c r="A14791" s="496"/>
      <c r="D14791" s="496"/>
    </row>
    <row r="14792" spans="1:4" x14ac:dyDescent="0.2">
      <c r="A14792" s="496"/>
      <c r="D14792" s="496"/>
    </row>
    <row r="14793" spans="1:4" x14ac:dyDescent="0.2">
      <c r="A14793" s="496"/>
      <c r="D14793" s="496"/>
    </row>
    <row r="14794" spans="1:4" x14ac:dyDescent="0.2">
      <c r="A14794" s="496"/>
      <c r="D14794" s="496"/>
    </row>
    <row r="14795" spans="1:4" x14ac:dyDescent="0.2">
      <c r="A14795" s="496"/>
      <c r="D14795" s="496"/>
    </row>
    <row r="14796" spans="1:4" x14ac:dyDescent="0.2">
      <c r="A14796" s="496"/>
      <c r="D14796" s="496"/>
    </row>
    <row r="14797" spans="1:4" x14ac:dyDescent="0.2">
      <c r="A14797" s="496"/>
      <c r="D14797" s="496"/>
    </row>
    <row r="14798" spans="1:4" x14ac:dyDescent="0.2">
      <c r="A14798" s="496"/>
      <c r="D14798" s="496"/>
    </row>
    <row r="14799" spans="1:4" x14ac:dyDescent="0.2">
      <c r="A14799" s="496"/>
      <c r="D14799" s="496"/>
    </row>
    <row r="14800" spans="1:4" x14ac:dyDescent="0.2">
      <c r="A14800" s="496"/>
      <c r="D14800" s="496"/>
    </row>
    <row r="14801" spans="1:4" x14ac:dyDescent="0.2">
      <c r="A14801" s="496"/>
      <c r="D14801" s="496"/>
    </row>
    <row r="14802" spans="1:4" x14ac:dyDescent="0.2">
      <c r="A14802" s="496"/>
      <c r="D14802" s="496"/>
    </row>
    <row r="14803" spans="1:4" x14ac:dyDescent="0.2">
      <c r="A14803" s="496"/>
      <c r="D14803" s="496"/>
    </row>
    <row r="14804" spans="1:4" x14ac:dyDescent="0.2">
      <c r="A14804" s="496"/>
      <c r="D14804" s="496"/>
    </row>
    <row r="14805" spans="1:4" x14ac:dyDescent="0.2">
      <c r="A14805" s="496"/>
      <c r="D14805" s="496"/>
    </row>
    <row r="14806" spans="1:4" x14ac:dyDescent="0.2">
      <c r="A14806" s="496"/>
      <c r="D14806" s="496"/>
    </row>
    <row r="14807" spans="1:4" x14ac:dyDescent="0.2">
      <c r="A14807" s="496"/>
      <c r="D14807" s="496"/>
    </row>
    <row r="14808" spans="1:4" x14ac:dyDescent="0.2">
      <c r="A14808" s="496"/>
      <c r="D14808" s="496"/>
    </row>
    <row r="14809" spans="1:4" x14ac:dyDescent="0.2">
      <c r="A14809" s="496"/>
      <c r="D14809" s="496"/>
    </row>
    <row r="14810" spans="1:4" x14ac:dyDescent="0.2">
      <c r="A14810" s="496"/>
      <c r="D14810" s="496"/>
    </row>
    <row r="14811" spans="1:4" x14ac:dyDescent="0.2">
      <c r="A14811" s="496"/>
      <c r="D14811" s="496"/>
    </row>
    <row r="14812" spans="1:4" x14ac:dyDescent="0.2">
      <c r="A14812" s="496"/>
      <c r="D14812" s="496"/>
    </row>
    <row r="14813" spans="1:4" x14ac:dyDescent="0.2">
      <c r="A14813" s="496"/>
      <c r="D14813" s="496"/>
    </row>
    <row r="14814" spans="1:4" x14ac:dyDescent="0.2">
      <c r="A14814" s="496"/>
      <c r="D14814" s="496"/>
    </row>
    <row r="14815" spans="1:4" x14ac:dyDescent="0.2">
      <c r="A14815" s="496"/>
      <c r="D14815" s="496"/>
    </row>
    <row r="14816" spans="1:4" x14ac:dyDescent="0.2">
      <c r="A14816" s="496"/>
      <c r="D14816" s="496"/>
    </row>
    <row r="14817" spans="1:4" x14ac:dyDescent="0.2">
      <c r="A14817" s="496"/>
      <c r="D14817" s="496"/>
    </row>
    <row r="14818" spans="1:4" x14ac:dyDescent="0.2">
      <c r="A14818" s="496"/>
      <c r="D14818" s="496"/>
    </row>
    <row r="14819" spans="1:4" x14ac:dyDescent="0.2">
      <c r="A14819" s="496"/>
      <c r="D14819" s="496"/>
    </row>
    <row r="14820" spans="1:4" x14ac:dyDescent="0.2">
      <c r="A14820" s="496"/>
      <c r="D14820" s="496"/>
    </row>
    <row r="14821" spans="1:4" x14ac:dyDescent="0.2">
      <c r="A14821" s="496"/>
      <c r="D14821" s="496"/>
    </row>
    <row r="14822" spans="1:4" x14ac:dyDescent="0.2">
      <c r="A14822" s="496"/>
      <c r="D14822" s="496"/>
    </row>
    <row r="14823" spans="1:4" x14ac:dyDescent="0.2">
      <c r="A14823" s="496"/>
      <c r="D14823" s="496"/>
    </row>
    <row r="14824" spans="1:4" x14ac:dyDescent="0.2">
      <c r="A14824" s="496"/>
      <c r="D14824" s="496"/>
    </row>
    <row r="14825" spans="1:4" x14ac:dyDescent="0.2">
      <c r="A14825" s="496"/>
      <c r="D14825" s="496"/>
    </row>
    <row r="14826" spans="1:4" x14ac:dyDescent="0.2">
      <c r="A14826" s="496"/>
      <c r="D14826" s="496"/>
    </row>
    <row r="14827" spans="1:4" x14ac:dyDescent="0.2">
      <c r="A14827" s="496"/>
      <c r="D14827" s="496"/>
    </row>
    <row r="14828" spans="1:4" x14ac:dyDescent="0.2">
      <c r="A14828" s="496"/>
      <c r="D14828" s="496"/>
    </row>
    <row r="14829" spans="1:4" x14ac:dyDescent="0.2">
      <c r="A14829" s="496"/>
      <c r="D14829" s="496"/>
    </row>
    <row r="14830" spans="1:4" x14ac:dyDescent="0.2">
      <c r="A14830" s="496"/>
      <c r="D14830" s="496"/>
    </row>
    <row r="14831" spans="1:4" x14ac:dyDescent="0.2">
      <c r="A14831" s="496"/>
      <c r="D14831" s="496"/>
    </row>
    <row r="14832" spans="1:4" x14ac:dyDescent="0.2">
      <c r="A14832" s="496"/>
      <c r="D14832" s="496"/>
    </row>
    <row r="14833" spans="1:4" x14ac:dyDescent="0.2">
      <c r="A14833" s="496"/>
      <c r="D14833" s="496"/>
    </row>
    <row r="14834" spans="1:4" x14ac:dyDescent="0.2">
      <c r="A14834" s="496"/>
      <c r="D14834" s="496"/>
    </row>
    <row r="14835" spans="1:4" x14ac:dyDescent="0.2">
      <c r="A14835" s="496"/>
      <c r="D14835" s="496"/>
    </row>
    <row r="14836" spans="1:4" x14ac:dyDescent="0.2">
      <c r="A14836" s="496"/>
      <c r="D14836" s="496"/>
    </row>
    <row r="14837" spans="1:4" x14ac:dyDescent="0.2">
      <c r="A14837" s="496"/>
      <c r="D14837" s="496"/>
    </row>
    <row r="14838" spans="1:4" x14ac:dyDescent="0.2">
      <c r="A14838" s="496"/>
      <c r="D14838" s="496"/>
    </row>
    <row r="14839" spans="1:4" x14ac:dyDescent="0.2">
      <c r="A14839" s="496"/>
      <c r="D14839" s="496"/>
    </row>
    <row r="14840" spans="1:4" x14ac:dyDescent="0.2">
      <c r="A14840" s="496"/>
      <c r="D14840" s="496"/>
    </row>
    <row r="14841" spans="1:4" x14ac:dyDescent="0.2">
      <c r="A14841" s="496"/>
      <c r="D14841" s="496"/>
    </row>
    <row r="14842" spans="1:4" x14ac:dyDescent="0.2">
      <c r="A14842" s="496"/>
      <c r="D14842" s="496"/>
    </row>
    <row r="14843" spans="1:4" x14ac:dyDescent="0.2">
      <c r="A14843" s="496"/>
      <c r="D14843" s="496"/>
    </row>
    <row r="14844" spans="1:4" x14ac:dyDescent="0.2">
      <c r="A14844" s="496"/>
      <c r="D14844" s="496"/>
    </row>
    <row r="14845" spans="1:4" x14ac:dyDescent="0.2">
      <c r="A14845" s="496"/>
      <c r="D14845" s="496"/>
    </row>
    <row r="14846" spans="1:4" x14ac:dyDescent="0.2">
      <c r="A14846" s="496"/>
      <c r="D14846" s="496"/>
    </row>
    <row r="14847" spans="1:4" x14ac:dyDescent="0.2">
      <c r="A14847" s="496"/>
      <c r="D14847" s="496"/>
    </row>
    <row r="14848" spans="1:4" x14ac:dyDescent="0.2">
      <c r="A14848" s="496"/>
      <c r="D14848" s="496"/>
    </row>
    <row r="14849" spans="1:4" x14ac:dyDescent="0.2">
      <c r="A14849" s="496"/>
      <c r="D14849" s="496"/>
    </row>
    <row r="14850" spans="1:4" x14ac:dyDescent="0.2">
      <c r="A14850" s="496"/>
      <c r="D14850" s="496"/>
    </row>
    <row r="14851" spans="1:4" x14ac:dyDescent="0.2">
      <c r="A14851" s="496"/>
      <c r="D14851" s="496"/>
    </row>
    <row r="14852" spans="1:4" x14ac:dyDescent="0.2">
      <c r="A14852" s="496"/>
      <c r="D14852" s="496"/>
    </row>
    <row r="14853" spans="1:4" x14ac:dyDescent="0.2">
      <c r="A14853" s="496"/>
      <c r="D14853" s="496"/>
    </row>
    <row r="14854" spans="1:4" x14ac:dyDescent="0.2">
      <c r="A14854" s="496"/>
      <c r="D14854" s="496"/>
    </row>
    <row r="14855" spans="1:4" x14ac:dyDescent="0.2">
      <c r="A14855" s="496"/>
      <c r="D14855" s="496"/>
    </row>
    <row r="14856" spans="1:4" x14ac:dyDescent="0.2">
      <c r="A14856" s="496"/>
      <c r="D14856" s="496"/>
    </row>
    <row r="14857" spans="1:4" x14ac:dyDescent="0.2">
      <c r="A14857" s="496"/>
      <c r="D14857" s="496"/>
    </row>
    <row r="14858" spans="1:4" x14ac:dyDescent="0.2">
      <c r="A14858" s="496"/>
      <c r="D14858" s="496"/>
    </row>
    <row r="14859" spans="1:4" x14ac:dyDescent="0.2">
      <c r="A14859" s="496"/>
      <c r="D14859" s="496"/>
    </row>
    <row r="14860" spans="1:4" x14ac:dyDescent="0.2">
      <c r="A14860" s="496"/>
      <c r="D14860" s="496"/>
    </row>
    <row r="14861" spans="1:4" x14ac:dyDescent="0.2">
      <c r="A14861" s="496"/>
      <c r="D14861" s="496"/>
    </row>
    <row r="14862" spans="1:4" x14ac:dyDescent="0.2">
      <c r="A14862" s="496"/>
      <c r="D14862" s="496"/>
    </row>
    <row r="14863" spans="1:4" x14ac:dyDescent="0.2">
      <c r="A14863" s="496"/>
      <c r="D14863" s="496"/>
    </row>
    <row r="14864" spans="1:4" x14ac:dyDescent="0.2">
      <c r="A14864" s="496"/>
      <c r="D14864" s="496"/>
    </row>
    <row r="14865" spans="1:4" x14ac:dyDescent="0.2">
      <c r="A14865" s="496"/>
      <c r="D14865" s="496"/>
    </row>
    <row r="14866" spans="1:4" x14ac:dyDescent="0.2">
      <c r="A14866" s="496"/>
      <c r="D14866" s="496"/>
    </row>
    <row r="14867" spans="1:4" x14ac:dyDescent="0.2">
      <c r="A14867" s="496"/>
      <c r="D14867" s="496"/>
    </row>
    <row r="14868" spans="1:4" x14ac:dyDescent="0.2">
      <c r="A14868" s="496"/>
      <c r="D14868" s="496"/>
    </row>
    <row r="14869" spans="1:4" x14ac:dyDescent="0.2">
      <c r="A14869" s="496"/>
      <c r="D14869" s="496"/>
    </row>
    <row r="14870" spans="1:4" x14ac:dyDescent="0.2">
      <c r="A14870" s="496"/>
      <c r="D14870" s="496"/>
    </row>
    <row r="14871" spans="1:4" x14ac:dyDescent="0.2">
      <c r="A14871" s="496"/>
      <c r="D14871" s="496"/>
    </row>
    <row r="14872" spans="1:4" x14ac:dyDescent="0.2">
      <c r="A14872" s="496"/>
      <c r="D14872" s="496"/>
    </row>
    <row r="14873" spans="1:4" x14ac:dyDescent="0.2">
      <c r="A14873" s="496"/>
      <c r="D14873" s="496"/>
    </row>
    <row r="14874" spans="1:4" x14ac:dyDescent="0.2">
      <c r="A14874" s="496"/>
      <c r="D14874" s="496"/>
    </row>
    <row r="14875" spans="1:4" x14ac:dyDescent="0.2">
      <c r="A14875" s="496"/>
      <c r="D14875" s="496"/>
    </row>
    <row r="14876" spans="1:4" x14ac:dyDescent="0.2">
      <c r="A14876" s="496"/>
      <c r="D14876" s="496"/>
    </row>
    <row r="14877" spans="1:4" x14ac:dyDescent="0.2">
      <c r="A14877" s="496"/>
      <c r="D14877" s="496"/>
    </row>
    <row r="14878" spans="1:4" x14ac:dyDescent="0.2">
      <c r="A14878" s="496"/>
      <c r="D14878" s="496"/>
    </row>
    <row r="14879" spans="1:4" x14ac:dyDescent="0.2">
      <c r="A14879" s="496"/>
      <c r="D14879" s="496"/>
    </row>
    <row r="14880" spans="1:4" x14ac:dyDescent="0.2">
      <c r="A14880" s="496"/>
      <c r="D14880" s="496"/>
    </row>
    <row r="14881" spans="1:4" x14ac:dyDescent="0.2">
      <c r="A14881" s="496"/>
      <c r="D14881" s="496"/>
    </row>
    <row r="14882" spans="1:4" x14ac:dyDescent="0.2">
      <c r="A14882" s="496"/>
      <c r="D14882" s="496"/>
    </row>
    <row r="14883" spans="1:4" x14ac:dyDescent="0.2">
      <c r="A14883" s="496"/>
      <c r="D14883" s="496"/>
    </row>
    <row r="14884" spans="1:4" x14ac:dyDescent="0.2">
      <c r="A14884" s="496"/>
      <c r="D14884" s="496"/>
    </row>
    <row r="14885" spans="1:4" x14ac:dyDescent="0.2">
      <c r="A14885" s="496"/>
      <c r="D14885" s="496"/>
    </row>
    <row r="14886" spans="1:4" x14ac:dyDescent="0.2">
      <c r="A14886" s="496"/>
      <c r="D14886" s="496"/>
    </row>
    <row r="14887" spans="1:4" x14ac:dyDescent="0.2">
      <c r="A14887" s="496"/>
      <c r="D14887" s="496"/>
    </row>
    <row r="14888" spans="1:4" x14ac:dyDescent="0.2">
      <c r="A14888" s="496"/>
      <c r="D14888" s="496"/>
    </row>
    <row r="14889" spans="1:4" x14ac:dyDescent="0.2">
      <c r="A14889" s="496"/>
      <c r="D14889" s="496"/>
    </row>
    <row r="14890" spans="1:4" x14ac:dyDescent="0.2">
      <c r="A14890" s="496"/>
      <c r="D14890" s="496"/>
    </row>
    <row r="14891" spans="1:4" x14ac:dyDescent="0.2">
      <c r="A14891" s="496"/>
      <c r="D14891" s="496"/>
    </row>
    <row r="14892" spans="1:4" x14ac:dyDescent="0.2">
      <c r="A14892" s="496"/>
      <c r="D14892" s="496"/>
    </row>
    <row r="14893" spans="1:4" x14ac:dyDescent="0.2">
      <c r="A14893" s="496"/>
      <c r="D14893" s="496"/>
    </row>
    <row r="14894" spans="1:4" x14ac:dyDescent="0.2">
      <c r="A14894" s="496"/>
      <c r="D14894" s="496"/>
    </row>
    <row r="14895" spans="1:4" x14ac:dyDescent="0.2">
      <c r="A14895" s="496"/>
      <c r="D14895" s="496"/>
    </row>
    <row r="14896" spans="1:4" x14ac:dyDescent="0.2">
      <c r="A14896" s="496"/>
      <c r="D14896" s="496"/>
    </row>
    <row r="14897" spans="1:4" x14ac:dyDescent="0.2">
      <c r="A14897" s="496"/>
      <c r="D14897" s="496"/>
    </row>
    <row r="14898" spans="1:4" x14ac:dyDescent="0.2">
      <c r="A14898" s="496"/>
      <c r="D14898" s="496"/>
    </row>
    <row r="14899" spans="1:4" x14ac:dyDescent="0.2">
      <c r="A14899" s="496"/>
      <c r="D14899" s="496"/>
    </row>
    <row r="14900" spans="1:4" x14ac:dyDescent="0.2">
      <c r="A14900" s="496"/>
      <c r="D14900" s="496"/>
    </row>
    <row r="14901" spans="1:4" x14ac:dyDescent="0.2">
      <c r="A14901" s="496"/>
      <c r="D14901" s="496"/>
    </row>
    <row r="14902" spans="1:4" x14ac:dyDescent="0.2">
      <c r="A14902" s="496"/>
      <c r="D14902" s="496"/>
    </row>
    <row r="14903" spans="1:4" x14ac:dyDescent="0.2">
      <c r="A14903" s="496"/>
      <c r="D14903" s="496"/>
    </row>
    <row r="14904" spans="1:4" x14ac:dyDescent="0.2">
      <c r="A14904" s="496"/>
      <c r="D14904" s="496"/>
    </row>
    <row r="14905" spans="1:4" x14ac:dyDescent="0.2">
      <c r="A14905" s="496"/>
      <c r="D14905" s="496"/>
    </row>
    <row r="14906" spans="1:4" x14ac:dyDescent="0.2">
      <c r="A14906" s="496"/>
      <c r="D14906" s="496"/>
    </row>
    <row r="14907" spans="1:4" x14ac:dyDescent="0.2">
      <c r="A14907" s="496"/>
      <c r="D14907" s="496"/>
    </row>
    <row r="14908" spans="1:4" x14ac:dyDescent="0.2">
      <c r="A14908" s="496"/>
      <c r="D14908" s="496"/>
    </row>
    <row r="14909" spans="1:4" x14ac:dyDescent="0.2">
      <c r="A14909" s="496"/>
      <c r="D14909" s="496"/>
    </row>
    <row r="14910" spans="1:4" x14ac:dyDescent="0.2">
      <c r="A14910" s="496"/>
      <c r="D14910" s="496"/>
    </row>
    <row r="14911" spans="1:4" x14ac:dyDescent="0.2">
      <c r="A14911" s="496"/>
      <c r="D14911" s="496"/>
    </row>
    <row r="14912" spans="1:4" x14ac:dyDescent="0.2">
      <c r="A14912" s="496"/>
      <c r="D14912" s="496"/>
    </row>
    <row r="14913" spans="1:4" x14ac:dyDescent="0.2">
      <c r="A14913" s="496"/>
      <c r="D14913" s="496"/>
    </row>
    <row r="14914" spans="1:4" x14ac:dyDescent="0.2">
      <c r="A14914" s="496"/>
      <c r="D14914" s="496"/>
    </row>
    <row r="14915" spans="1:4" x14ac:dyDescent="0.2">
      <c r="A14915" s="496"/>
      <c r="D14915" s="496"/>
    </row>
    <row r="14916" spans="1:4" x14ac:dyDescent="0.2">
      <c r="A14916" s="496"/>
      <c r="D14916" s="496"/>
    </row>
    <row r="14917" spans="1:4" x14ac:dyDescent="0.2">
      <c r="A14917" s="496"/>
      <c r="D14917" s="496"/>
    </row>
    <row r="14918" spans="1:4" x14ac:dyDescent="0.2">
      <c r="A14918" s="496"/>
      <c r="D14918" s="496"/>
    </row>
    <row r="14919" spans="1:4" x14ac:dyDescent="0.2">
      <c r="A14919" s="496"/>
      <c r="D14919" s="496"/>
    </row>
    <row r="14920" spans="1:4" x14ac:dyDescent="0.2">
      <c r="A14920" s="496"/>
      <c r="D14920" s="496"/>
    </row>
    <row r="14921" spans="1:4" x14ac:dyDescent="0.2">
      <c r="A14921" s="496"/>
      <c r="D14921" s="496"/>
    </row>
    <row r="14922" spans="1:4" x14ac:dyDescent="0.2">
      <c r="A14922" s="496"/>
      <c r="D14922" s="496"/>
    </row>
    <row r="14923" spans="1:4" x14ac:dyDescent="0.2">
      <c r="A14923" s="496"/>
      <c r="D14923" s="496"/>
    </row>
    <row r="14924" spans="1:4" x14ac:dyDescent="0.2">
      <c r="A14924" s="496"/>
      <c r="D14924" s="496"/>
    </row>
    <row r="14925" spans="1:4" x14ac:dyDescent="0.2">
      <c r="A14925" s="496"/>
      <c r="D14925" s="496"/>
    </row>
    <row r="14926" spans="1:4" x14ac:dyDescent="0.2">
      <c r="A14926" s="496"/>
      <c r="D14926" s="496"/>
    </row>
    <row r="14927" spans="1:4" x14ac:dyDescent="0.2">
      <c r="A14927" s="496"/>
      <c r="D14927" s="496"/>
    </row>
    <row r="14928" spans="1:4" x14ac:dyDescent="0.2">
      <c r="A14928" s="496"/>
      <c r="D14928" s="496"/>
    </row>
    <row r="14929" spans="1:4" x14ac:dyDescent="0.2">
      <c r="A14929" s="496"/>
      <c r="D14929" s="496"/>
    </row>
    <row r="14930" spans="1:4" x14ac:dyDescent="0.2">
      <c r="A14930" s="496"/>
      <c r="D14930" s="496"/>
    </row>
    <row r="14931" spans="1:4" x14ac:dyDescent="0.2">
      <c r="A14931" s="496"/>
      <c r="D14931" s="496"/>
    </row>
    <row r="14932" spans="1:4" x14ac:dyDescent="0.2">
      <c r="A14932" s="496"/>
      <c r="D14932" s="496"/>
    </row>
    <row r="14933" spans="1:4" x14ac:dyDescent="0.2">
      <c r="A14933" s="496"/>
      <c r="D14933" s="496"/>
    </row>
    <row r="14934" spans="1:4" x14ac:dyDescent="0.2">
      <c r="A14934" s="496"/>
      <c r="D14934" s="496"/>
    </row>
    <row r="14935" spans="1:4" x14ac:dyDescent="0.2">
      <c r="A14935" s="496"/>
      <c r="D14935" s="496"/>
    </row>
    <row r="14936" spans="1:4" x14ac:dyDescent="0.2">
      <c r="A14936" s="496"/>
      <c r="D14936" s="496"/>
    </row>
    <row r="14937" spans="1:4" x14ac:dyDescent="0.2">
      <c r="A14937" s="496"/>
      <c r="D14937" s="496"/>
    </row>
    <row r="14938" spans="1:4" x14ac:dyDescent="0.2">
      <c r="A14938" s="496"/>
      <c r="D14938" s="496"/>
    </row>
    <row r="14939" spans="1:4" x14ac:dyDescent="0.2">
      <c r="A14939" s="496"/>
      <c r="D14939" s="496"/>
    </row>
    <row r="14940" spans="1:4" x14ac:dyDescent="0.2">
      <c r="A14940" s="496"/>
      <c r="D14940" s="496"/>
    </row>
    <row r="14941" spans="1:4" x14ac:dyDescent="0.2">
      <c r="A14941" s="496"/>
      <c r="D14941" s="496"/>
    </row>
    <row r="14942" spans="1:4" x14ac:dyDescent="0.2">
      <c r="A14942" s="496"/>
      <c r="D14942" s="496"/>
    </row>
    <row r="14943" spans="1:4" x14ac:dyDescent="0.2">
      <c r="A14943" s="496"/>
      <c r="D14943" s="496"/>
    </row>
    <row r="14944" spans="1:4" x14ac:dyDescent="0.2">
      <c r="A14944" s="496"/>
      <c r="D14944" s="496"/>
    </row>
    <row r="14945" spans="1:4" x14ac:dyDescent="0.2">
      <c r="A14945" s="496"/>
      <c r="D14945" s="496"/>
    </row>
    <row r="14946" spans="1:4" x14ac:dyDescent="0.2">
      <c r="A14946" s="496"/>
      <c r="D14946" s="496"/>
    </row>
    <row r="14947" spans="1:4" x14ac:dyDescent="0.2">
      <c r="A14947" s="496"/>
      <c r="D14947" s="496"/>
    </row>
    <row r="14948" spans="1:4" x14ac:dyDescent="0.2">
      <c r="A14948" s="496"/>
      <c r="D14948" s="496"/>
    </row>
    <row r="14949" spans="1:4" x14ac:dyDescent="0.2">
      <c r="A14949" s="496"/>
      <c r="D14949" s="496"/>
    </row>
    <row r="14950" spans="1:4" x14ac:dyDescent="0.2">
      <c r="A14950" s="496"/>
      <c r="D14950" s="496"/>
    </row>
    <row r="14951" spans="1:4" x14ac:dyDescent="0.2">
      <c r="A14951" s="496"/>
      <c r="D14951" s="496"/>
    </row>
    <row r="14952" spans="1:4" x14ac:dyDescent="0.2">
      <c r="A14952" s="496"/>
      <c r="D14952" s="496"/>
    </row>
    <row r="14953" spans="1:4" x14ac:dyDescent="0.2">
      <c r="A14953" s="496"/>
      <c r="D14953" s="496"/>
    </row>
    <row r="14954" spans="1:4" x14ac:dyDescent="0.2">
      <c r="A14954" s="496"/>
      <c r="D14954" s="496"/>
    </row>
    <row r="14955" spans="1:4" x14ac:dyDescent="0.2">
      <c r="A14955" s="496"/>
      <c r="D14955" s="496"/>
    </row>
    <row r="14956" spans="1:4" x14ac:dyDescent="0.2">
      <c r="A14956" s="496"/>
      <c r="D14956" s="496"/>
    </row>
    <row r="14957" spans="1:4" x14ac:dyDescent="0.2">
      <c r="A14957" s="496"/>
      <c r="D14957" s="496"/>
    </row>
    <row r="14958" spans="1:4" x14ac:dyDescent="0.2">
      <c r="A14958" s="496"/>
      <c r="D14958" s="496"/>
    </row>
    <row r="14959" spans="1:4" x14ac:dyDescent="0.2">
      <c r="A14959" s="496"/>
      <c r="D14959" s="496"/>
    </row>
    <row r="14960" spans="1:4" x14ac:dyDescent="0.2">
      <c r="A14960" s="496"/>
      <c r="D14960" s="496"/>
    </row>
    <row r="14961" spans="1:4" x14ac:dyDescent="0.2">
      <c r="A14961" s="496"/>
      <c r="D14961" s="496"/>
    </row>
    <row r="14962" spans="1:4" x14ac:dyDescent="0.2">
      <c r="A14962" s="496"/>
      <c r="D14962" s="496"/>
    </row>
    <row r="14963" spans="1:4" x14ac:dyDescent="0.2">
      <c r="A14963" s="496"/>
      <c r="D14963" s="496"/>
    </row>
    <row r="14964" spans="1:4" x14ac:dyDescent="0.2">
      <c r="A14964" s="496"/>
      <c r="D14964" s="496"/>
    </row>
    <row r="14965" spans="1:4" x14ac:dyDescent="0.2">
      <c r="A14965" s="496"/>
      <c r="D14965" s="496"/>
    </row>
    <row r="14966" spans="1:4" x14ac:dyDescent="0.2">
      <c r="A14966" s="496"/>
      <c r="D14966" s="496"/>
    </row>
    <row r="14967" spans="1:4" x14ac:dyDescent="0.2">
      <c r="A14967" s="496"/>
      <c r="D14967" s="496"/>
    </row>
    <row r="14968" spans="1:4" x14ac:dyDescent="0.2">
      <c r="A14968" s="496"/>
      <c r="D14968" s="496"/>
    </row>
    <row r="14969" spans="1:4" x14ac:dyDescent="0.2">
      <c r="A14969" s="496"/>
      <c r="D14969" s="496"/>
    </row>
    <row r="14970" spans="1:4" x14ac:dyDescent="0.2">
      <c r="A14970" s="496"/>
      <c r="D14970" s="496"/>
    </row>
    <row r="14971" spans="1:4" x14ac:dyDescent="0.2">
      <c r="A14971" s="496"/>
      <c r="D14971" s="496"/>
    </row>
    <row r="14972" spans="1:4" x14ac:dyDescent="0.2">
      <c r="A14972" s="496"/>
      <c r="D14972" s="496"/>
    </row>
    <row r="14973" spans="1:4" x14ac:dyDescent="0.2">
      <c r="A14973" s="496"/>
      <c r="D14973" s="496"/>
    </row>
    <row r="14974" spans="1:4" x14ac:dyDescent="0.2">
      <c r="A14974" s="496"/>
      <c r="D14974" s="496"/>
    </row>
    <row r="14975" spans="1:4" x14ac:dyDescent="0.2">
      <c r="A14975" s="496"/>
      <c r="D14975" s="496"/>
    </row>
    <row r="14976" spans="1:4" x14ac:dyDescent="0.2">
      <c r="A14976" s="496"/>
      <c r="D14976" s="496"/>
    </row>
    <row r="14977" spans="1:4" x14ac:dyDescent="0.2">
      <c r="A14977" s="496"/>
      <c r="D14977" s="496"/>
    </row>
    <row r="14978" spans="1:4" x14ac:dyDescent="0.2">
      <c r="A14978" s="496"/>
      <c r="D14978" s="496"/>
    </row>
    <row r="14979" spans="1:4" x14ac:dyDescent="0.2">
      <c r="A14979" s="496"/>
      <c r="D14979" s="496"/>
    </row>
    <row r="14980" spans="1:4" x14ac:dyDescent="0.2">
      <c r="A14980" s="496"/>
      <c r="D14980" s="496"/>
    </row>
    <row r="14981" spans="1:4" x14ac:dyDescent="0.2">
      <c r="A14981" s="496"/>
      <c r="D14981" s="496"/>
    </row>
    <row r="14982" spans="1:4" x14ac:dyDescent="0.2">
      <c r="A14982" s="496"/>
      <c r="D14982" s="496"/>
    </row>
    <row r="14983" spans="1:4" x14ac:dyDescent="0.2">
      <c r="A14983" s="496"/>
      <c r="D14983" s="496"/>
    </row>
    <row r="14984" spans="1:4" x14ac:dyDescent="0.2">
      <c r="A14984" s="496"/>
      <c r="D14984" s="496"/>
    </row>
    <row r="14985" spans="1:4" x14ac:dyDescent="0.2">
      <c r="A14985" s="496"/>
      <c r="D14985" s="496"/>
    </row>
    <row r="14986" spans="1:4" x14ac:dyDescent="0.2">
      <c r="A14986" s="496"/>
      <c r="D14986" s="496"/>
    </row>
    <row r="14987" spans="1:4" x14ac:dyDescent="0.2">
      <c r="A14987" s="496"/>
      <c r="D14987" s="496"/>
    </row>
    <row r="14988" spans="1:4" x14ac:dyDescent="0.2">
      <c r="A14988" s="496"/>
      <c r="D14988" s="496"/>
    </row>
    <row r="14989" spans="1:4" x14ac:dyDescent="0.2">
      <c r="A14989" s="496"/>
      <c r="D14989" s="496"/>
    </row>
    <row r="14990" spans="1:4" x14ac:dyDescent="0.2">
      <c r="A14990" s="496"/>
      <c r="D14990" s="496"/>
    </row>
    <row r="14991" spans="1:4" x14ac:dyDescent="0.2">
      <c r="A14991" s="496"/>
      <c r="D14991" s="496"/>
    </row>
    <row r="14992" spans="1:4" x14ac:dyDescent="0.2">
      <c r="A14992" s="496"/>
      <c r="D14992" s="496"/>
    </row>
    <row r="14993" spans="1:4" x14ac:dyDescent="0.2">
      <c r="A14993" s="496"/>
      <c r="D14993" s="496"/>
    </row>
    <row r="14994" spans="1:4" x14ac:dyDescent="0.2">
      <c r="A14994" s="496"/>
      <c r="D14994" s="496"/>
    </row>
    <row r="14995" spans="1:4" x14ac:dyDescent="0.2">
      <c r="A14995" s="496"/>
      <c r="D14995" s="496"/>
    </row>
    <row r="14996" spans="1:4" x14ac:dyDescent="0.2">
      <c r="A14996" s="496"/>
      <c r="D14996" s="496"/>
    </row>
    <row r="14997" spans="1:4" x14ac:dyDescent="0.2">
      <c r="A14997" s="496"/>
      <c r="D14997" s="496"/>
    </row>
    <row r="14998" spans="1:4" x14ac:dyDescent="0.2">
      <c r="A14998" s="496"/>
      <c r="D14998" s="496"/>
    </row>
    <row r="14999" spans="1:4" x14ac:dyDescent="0.2">
      <c r="A14999" s="496"/>
      <c r="D14999" s="496"/>
    </row>
    <row r="15000" spans="1:4" x14ac:dyDescent="0.2">
      <c r="A15000" s="496"/>
      <c r="D15000" s="496"/>
    </row>
    <row r="15001" spans="1:4" x14ac:dyDescent="0.2">
      <c r="A15001" s="496"/>
      <c r="D15001" s="496"/>
    </row>
    <row r="15002" spans="1:4" x14ac:dyDescent="0.2">
      <c r="A15002" s="496"/>
      <c r="D15002" s="496"/>
    </row>
    <row r="15003" spans="1:4" x14ac:dyDescent="0.2">
      <c r="A15003" s="496"/>
      <c r="D15003" s="496"/>
    </row>
    <row r="15004" spans="1:4" x14ac:dyDescent="0.2">
      <c r="A15004" s="496"/>
      <c r="D15004" s="496"/>
    </row>
    <row r="15005" spans="1:4" x14ac:dyDescent="0.2">
      <c r="A15005" s="496"/>
      <c r="D15005" s="496"/>
    </row>
    <row r="15006" spans="1:4" x14ac:dyDescent="0.2">
      <c r="A15006" s="496"/>
      <c r="D15006" s="496"/>
    </row>
    <row r="15007" spans="1:4" x14ac:dyDescent="0.2">
      <c r="A15007" s="496"/>
      <c r="D15007" s="496"/>
    </row>
    <row r="15008" spans="1:4" x14ac:dyDescent="0.2">
      <c r="A15008" s="496"/>
      <c r="D15008" s="496"/>
    </row>
    <row r="15009" spans="1:4" x14ac:dyDescent="0.2">
      <c r="A15009" s="496"/>
      <c r="D15009" s="496"/>
    </row>
    <row r="15010" spans="1:4" x14ac:dyDescent="0.2">
      <c r="A15010" s="496"/>
      <c r="D15010" s="496"/>
    </row>
    <row r="15011" spans="1:4" x14ac:dyDescent="0.2">
      <c r="A15011" s="496"/>
      <c r="D15011" s="496"/>
    </row>
    <row r="15012" spans="1:4" x14ac:dyDescent="0.2">
      <c r="A15012" s="496"/>
      <c r="D15012" s="496"/>
    </row>
    <row r="15013" spans="1:4" x14ac:dyDescent="0.2">
      <c r="A15013" s="496"/>
      <c r="D15013" s="496"/>
    </row>
    <row r="15014" spans="1:4" x14ac:dyDescent="0.2">
      <c r="A15014" s="496"/>
      <c r="D15014" s="496"/>
    </row>
    <row r="15015" spans="1:4" x14ac:dyDescent="0.2">
      <c r="A15015" s="496"/>
      <c r="D15015" s="496"/>
    </row>
    <row r="15016" spans="1:4" x14ac:dyDescent="0.2">
      <c r="A15016" s="496"/>
      <c r="D15016" s="496"/>
    </row>
    <row r="15017" spans="1:4" x14ac:dyDescent="0.2">
      <c r="A15017" s="496"/>
      <c r="D15017" s="496"/>
    </row>
    <row r="15018" spans="1:4" x14ac:dyDescent="0.2">
      <c r="A15018" s="496"/>
      <c r="D15018" s="496"/>
    </row>
    <row r="15019" spans="1:4" x14ac:dyDescent="0.2">
      <c r="A15019" s="496"/>
      <c r="D15019" s="496"/>
    </row>
    <row r="15020" spans="1:4" x14ac:dyDescent="0.2">
      <c r="A15020" s="496"/>
      <c r="D15020" s="496"/>
    </row>
    <row r="15021" spans="1:4" x14ac:dyDescent="0.2">
      <c r="A15021" s="496"/>
      <c r="D15021" s="496"/>
    </row>
    <row r="15022" spans="1:4" x14ac:dyDescent="0.2">
      <c r="A15022" s="496"/>
      <c r="D15022" s="496"/>
    </row>
    <row r="15023" spans="1:4" x14ac:dyDescent="0.2">
      <c r="A15023" s="496"/>
      <c r="D15023" s="496"/>
    </row>
    <row r="15024" spans="1:4" x14ac:dyDescent="0.2">
      <c r="A15024" s="496"/>
      <c r="D15024" s="496"/>
    </row>
    <row r="15025" spans="1:4" x14ac:dyDescent="0.2">
      <c r="A15025" s="496"/>
      <c r="D15025" s="496"/>
    </row>
    <row r="15026" spans="1:4" x14ac:dyDescent="0.2">
      <c r="A15026" s="496"/>
      <c r="D15026" s="496"/>
    </row>
    <row r="15027" spans="1:4" x14ac:dyDescent="0.2">
      <c r="A15027" s="496"/>
      <c r="D15027" s="496"/>
    </row>
    <row r="15028" spans="1:4" x14ac:dyDescent="0.2">
      <c r="A15028" s="496"/>
      <c r="D15028" s="496"/>
    </row>
    <row r="15029" spans="1:4" x14ac:dyDescent="0.2">
      <c r="A15029" s="496"/>
      <c r="D15029" s="496"/>
    </row>
    <row r="15030" spans="1:4" x14ac:dyDescent="0.2">
      <c r="A15030" s="496"/>
      <c r="D15030" s="496"/>
    </row>
    <row r="15031" spans="1:4" x14ac:dyDescent="0.2">
      <c r="A15031" s="496"/>
      <c r="D15031" s="496"/>
    </row>
    <row r="15032" spans="1:4" x14ac:dyDescent="0.2">
      <c r="A15032" s="496"/>
      <c r="D15032" s="496"/>
    </row>
    <row r="15033" spans="1:4" x14ac:dyDescent="0.2">
      <c r="A15033" s="496"/>
      <c r="D15033" s="496"/>
    </row>
    <row r="15034" spans="1:4" x14ac:dyDescent="0.2">
      <c r="A15034" s="496"/>
      <c r="D15034" s="496"/>
    </row>
    <row r="15035" spans="1:4" x14ac:dyDescent="0.2">
      <c r="A15035" s="496"/>
      <c r="D15035" s="496"/>
    </row>
    <row r="15036" spans="1:4" x14ac:dyDescent="0.2">
      <c r="A15036" s="496"/>
      <c r="D15036" s="496"/>
    </row>
    <row r="15037" spans="1:4" x14ac:dyDescent="0.2">
      <c r="A15037" s="496"/>
      <c r="D15037" s="496"/>
    </row>
    <row r="15038" spans="1:4" x14ac:dyDescent="0.2">
      <c r="A15038" s="496"/>
      <c r="D15038" s="496"/>
    </row>
    <row r="15039" spans="1:4" x14ac:dyDescent="0.2">
      <c r="A15039" s="496"/>
      <c r="D15039" s="496"/>
    </row>
    <row r="15040" spans="1:4" x14ac:dyDescent="0.2">
      <c r="A15040" s="496"/>
      <c r="D15040" s="496"/>
    </row>
    <row r="15041" spans="1:4" x14ac:dyDescent="0.2">
      <c r="A15041" s="496"/>
      <c r="D15041" s="496"/>
    </row>
    <row r="15042" spans="1:4" x14ac:dyDescent="0.2">
      <c r="A15042" s="496"/>
      <c r="D15042" s="496"/>
    </row>
    <row r="15043" spans="1:4" x14ac:dyDescent="0.2">
      <c r="A15043" s="496"/>
      <c r="D15043" s="496"/>
    </row>
    <row r="15044" spans="1:4" x14ac:dyDescent="0.2">
      <c r="A15044" s="496"/>
      <c r="D15044" s="496"/>
    </row>
    <row r="15045" spans="1:4" x14ac:dyDescent="0.2">
      <c r="A15045" s="496"/>
      <c r="D15045" s="496"/>
    </row>
    <row r="15046" spans="1:4" x14ac:dyDescent="0.2">
      <c r="A15046" s="496"/>
      <c r="D15046" s="496"/>
    </row>
    <row r="15047" spans="1:4" x14ac:dyDescent="0.2">
      <c r="A15047" s="496"/>
      <c r="D15047" s="496"/>
    </row>
    <row r="15048" spans="1:4" x14ac:dyDescent="0.2">
      <c r="A15048" s="496"/>
      <c r="D15048" s="496"/>
    </row>
    <row r="15049" spans="1:4" x14ac:dyDescent="0.2">
      <c r="A15049" s="496"/>
      <c r="D15049" s="496"/>
    </row>
    <row r="15050" spans="1:4" x14ac:dyDescent="0.2">
      <c r="A15050" s="496"/>
      <c r="D15050" s="496"/>
    </row>
    <row r="15051" spans="1:4" x14ac:dyDescent="0.2">
      <c r="A15051" s="496"/>
      <c r="D15051" s="496"/>
    </row>
    <row r="15052" spans="1:4" x14ac:dyDescent="0.2">
      <c r="A15052" s="496"/>
      <c r="D15052" s="496"/>
    </row>
    <row r="15053" spans="1:4" x14ac:dyDescent="0.2">
      <c r="A15053" s="496"/>
      <c r="D15053" s="496"/>
    </row>
    <row r="15054" spans="1:4" x14ac:dyDescent="0.2">
      <c r="A15054" s="496"/>
      <c r="D15054" s="496"/>
    </row>
    <row r="15055" spans="1:4" x14ac:dyDescent="0.2">
      <c r="A15055" s="496"/>
      <c r="D15055" s="496"/>
    </row>
    <row r="15056" spans="1:4" x14ac:dyDescent="0.2">
      <c r="A15056" s="496"/>
      <c r="D15056" s="496"/>
    </row>
    <row r="15057" spans="1:4" x14ac:dyDescent="0.2">
      <c r="A15057" s="496"/>
      <c r="D15057" s="496"/>
    </row>
    <row r="15058" spans="1:4" x14ac:dyDescent="0.2">
      <c r="A15058" s="496"/>
      <c r="D15058" s="496"/>
    </row>
    <row r="15059" spans="1:4" x14ac:dyDescent="0.2">
      <c r="A15059" s="496"/>
      <c r="D15059" s="496"/>
    </row>
    <row r="15060" spans="1:4" x14ac:dyDescent="0.2">
      <c r="A15060" s="496"/>
      <c r="D15060" s="496"/>
    </row>
    <row r="15061" spans="1:4" x14ac:dyDescent="0.2">
      <c r="A15061" s="496"/>
      <c r="D15061" s="496"/>
    </row>
    <row r="15062" spans="1:4" x14ac:dyDescent="0.2">
      <c r="A15062" s="496"/>
      <c r="D15062" s="496"/>
    </row>
    <row r="15063" spans="1:4" x14ac:dyDescent="0.2">
      <c r="A15063" s="496"/>
      <c r="D15063" s="496"/>
    </row>
    <row r="15064" spans="1:4" x14ac:dyDescent="0.2">
      <c r="A15064" s="496"/>
      <c r="D15064" s="496"/>
    </row>
    <row r="15065" spans="1:4" x14ac:dyDescent="0.2">
      <c r="A15065" s="496"/>
      <c r="D15065" s="496"/>
    </row>
    <row r="15066" spans="1:4" x14ac:dyDescent="0.2">
      <c r="A15066" s="496"/>
      <c r="D15066" s="496"/>
    </row>
    <row r="15067" spans="1:4" x14ac:dyDescent="0.2">
      <c r="A15067" s="496"/>
      <c r="D15067" s="496"/>
    </row>
    <row r="15068" spans="1:4" x14ac:dyDescent="0.2">
      <c r="A15068" s="496"/>
      <c r="D15068" s="496"/>
    </row>
    <row r="15069" spans="1:4" x14ac:dyDescent="0.2">
      <c r="A15069" s="496"/>
      <c r="D15069" s="496"/>
    </row>
    <row r="15070" spans="1:4" x14ac:dyDescent="0.2">
      <c r="A15070" s="496"/>
      <c r="D15070" s="496"/>
    </row>
    <row r="15071" spans="1:4" x14ac:dyDescent="0.2">
      <c r="A15071" s="496"/>
      <c r="D15071" s="496"/>
    </row>
    <row r="15072" spans="1:4" x14ac:dyDescent="0.2">
      <c r="A15072" s="496"/>
      <c r="D15072" s="496"/>
    </row>
    <row r="15073" spans="1:4" x14ac:dyDescent="0.2">
      <c r="A15073" s="496"/>
      <c r="D15073" s="496"/>
    </row>
    <row r="15074" spans="1:4" x14ac:dyDescent="0.2">
      <c r="A15074" s="496"/>
      <c r="D15074" s="496"/>
    </row>
    <row r="15075" spans="1:4" x14ac:dyDescent="0.2">
      <c r="A15075" s="496"/>
      <c r="D15075" s="496"/>
    </row>
    <row r="15076" spans="1:4" x14ac:dyDescent="0.2">
      <c r="A15076" s="496"/>
      <c r="D15076" s="496"/>
    </row>
    <row r="15077" spans="1:4" x14ac:dyDescent="0.2">
      <c r="A15077" s="496"/>
      <c r="D15077" s="496"/>
    </row>
    <row r="15078" spans="1:4" x14ac:dyDescent="0.2">
      <c r="A15078" s="496"/>
      <c r="D15078" s="496"/>
    </row>
    <row r="15079" spans="1:4" x14ac:dyDescent="0.2">
      <c r="A15079" s="496"/>
      <c r="D15079" s="496"/>
    </row>
    <row r="15080" spans="1:4" x14ac:dyDescent="0.2">
      <c r="A15080" s="496"/>
      <c r="D15080" s="496"/>
    </row>
    <row r="15081" spans="1:4" x14ac:dyDescent="0.2">
      <c r="A15081" s="496"/>
      <c r="D15081" s="496"/>
    </row>
    <row r="15082" spans="1:4" x14ac:dyDescent="0.2">
      <c r="A15082" s="496"/>
      <c r="D15082" s="496"/>
    </row>
    <row r="15083" spans="1:4" x14ac:dyDescent="0.2">
      <c r="A15083" s="496"/>
      <c r="D15083" s="496"/>
    </row>
    <row r="15084" spans="1:4" x14ac:dyDescent="0.2">
      <c r="A15084" s="496"/>
      <c r="D15084" s="496"/>
    </row>
    <row r="15085" spans="1:4" x14ac:dyDescent="0.2">
      <c r="A15085" s="496"/>
      <c r="D15085" s="496"/>
    </row>
    <row r="15086" spans="1:4" x14ac:dyDescent="0.2">
      <c r="A15086" s="496"/>
      <c r="D15086" s="496"/>
    </row>
    <row r="15087" spans="1:4" x14ac:dyDescent="0.2">
      <c r="A15087" s="496"/>
      <c r="D15087" s="496"/>
    </row>
    <row r="15088" spans="1:4" x14ac:dyDescent="0.2">
      <c r="A15088" s="496"/>
      <c r="D15088" s="496"/>
    </row>
    <row r="15089" spans="1:4" x14ac:dyDescent="0.2">
      <c r="A15089" s="496"/>
      <c r="D15089" s="496"/>
    </row>
    <row r="15090" spans="1:4" x14ac:dyDescent="0.2">
      <c r="A15090" s="496"/>
      <c r="D15090" s="496"/>
    </row>
    <row r="15091" spans="1:4" x14ac:dyDescent="0.2">
      <c r="A15091" s="496"/>
      <c r="D15091" s="496"/>
    </row>
    <row r="15092" spans="1:4" x14ac:dyDescent="0.2">
      <c r="A15092" s="496"/>
      <c r="D15092" s="496"/>
    </row>
    <row r="15093" spans="1:4" x14ac:dyDescent="0.2">
      <c r="A15093" s="496"/>
      <c r="D15093" s="496"/>
    </row>
    <row r="15094" spans="1:4" x14ac:dyDescent="0.2">
      <c r="A15094" s="496"/>
      <c r="D15094" s="496"/>
    </row>
    <row r="15095" spans="1:4" x14ac:dyDescent="0.2">
      <c r="A15095" s="496"/>
      <c r="D15095" s="496"/>
    </row>
    <row r="15096" spans="1:4" x14ac:dyDescent="0.2">
      <c r="A15096" s="496"/>
      <c r="D15096" s="496"/>
    </row>
    <row r="15097" spans="1:4" x14ac:dyDescent="0.2">
      <c r="A15097" s="496"/>
      <c r="D15097" s="496"/>
    </row>
    <row r="15098" spans="1:4" x14ac:dyDescent="0.2">
      <c r="A15098" s="496"/>
      <c r="D15098" s="496"/>
    </row>
    <row r="15099" spans="1:4" x14ac:dyDescent="0.2">
      <c r="A15099" s="496"/>
      <c r="D15099" s="496"/>
    </row>
    <row r="15100" spans="1:4" x14ac:dyDescent="0.2">
      <c r="A15100" s="496"/>
      <c r="D15100" s="496"/>
    </row>
    <row r="15101" spans="1:4" x14ac:dyDescent="0.2">
      <c r="A15101" s="496"/>
      <c r="D15101" s="496"/>
    </row>
    <row r="15102" spans="1:4" x14ac:dyDescent="0.2">
      <c r="A15102" s="496"/>
      <c r="D15102" s="496"/>
    </row>
    <row r="15103" spans="1:4" x14ac:dyDescent="0.2">
      <c r="A15103" s="496"/>
      <c r="D15103" s="496"/>
    </row>
    <row r="15104" spans="1:4" x14ac:dyDescent="0.2">
      <c r="A15104" s="496"/>
      <c r="D15104" s="496"/>
    </row>
    <row r="15105" spans="1:4" x14ac:dyDescent="0.2">
      <c r="A15105" s="496"/>
      <c r="D15105" s="496"/>
    </row>
    <row r="15106" spans="1:4" x14ac:dyDescent="0.2">
      <c r="A15106" s="496"/>
      <c r="D15106" s="496"/>
    </row>
    <row r="15107" spans="1:4" x14ac:dyDescent="0.2">
      <c r="A15107" s="496"/>
      <c r="D15107" s="496"/>
    </row>
    <row r="15108" spans="1:4" x14ac:dyDescent="0.2">
      <c r="A15108" s="496"/>
      <c r="D15108" s="496"/>
    </row>
    <row r="15109" spans="1:4" x14ac:dyDescent="0.2">
      <c r="A15109" s="496"/>
      <c r="D15109" s="496"/>
    </row>
    <row r="15110" spans="1:4" x14ac:dyDescent="0.2">
      <c r="A15110" s="496"/>
      <c r="D15110" s="496"/>
    </row>
    <row r="15111" spans="1:4" x14ac:dyDescent="0.2">
      <c r="A15111" s="496"/>
      <c r="D15111" s="496"/>
    </row>
    <row r="15112" spans="1:4" x14ac:dyDescent="0.2">
      <c r="A15112" s="496"/>
      <c r="D15112" s="496"/>
    </row>
    <row r="15113" spans="1:4" x14ac:dyDescent="0.2">
      <c r="A15113" s="496"/>
      <c r="D15113" s="496"/>
    </row>
    <row r="15114" spans="1:4" x14ac:dyDescent="0.2">
      <c r="A15114" s="496"/>
      <c r="D15114" s="496"/>
    </row>
    <row r="15115" spans="1:4" x14ac:dyDescent="0.2">
      <c r="A15115" s="496"/>
      <c r="D15115" s="496"/>
    </row>
    <row r="15116" spans="1:4" x14ac:dyDescent="0.2">
      <c r="A15116" s="496"/>
      <c r="D15116" s="496"/>
    </row>
    <row r="15117" spans="1:4" x14ac:dyDescent="0.2">
      <c r="A15117" s="496"/>
      <c r="D15117" s="496"/>
    </row>
    <row r="15118" spans="1:4" x14ac:dyDescent="0.2">
      <c r="A15118" s="496"/>
      <c r="D15118" s="496"/>
    </row>
    <row r="15119" spans="1:4" x14ac:dyDescent="0.2">
      <c r="A15119" s="496"/>
      <c r="D15119" s="496"/>
    </row>
    <row r="15120" spans="1:4" x14ac:dyDescent="0.2">
      <c r="A15120" s="496"/>
      <c r="D15120" s="496"/>
    </row>
    <row r="15121" spans="1:4" x14ac:dyDescent="0.2">
      <c r="A15121" s="496"/>
      <c r="D15121" s="496"/>
    </row>
    <row r="15122" spans="1:4" x14ac:dyDescent="0.2">
      <c r="A15122" s="496"/>
      <c r="D15122" s="496"/>
    </row>
    <row r="15123" spans="1:4" x14ac:dyDescent="0.2">
      <c r="A15123" s="496"/>
      <c r="D15123" s="496"/>
    </row>
    <row r="15124" spans="1:4" x14ac:dyDescent="0.2">
      <c r="A15124" s="496"/>
      <c r="D15124" s="496"/>
    </row>
    <row r="15125" spans="1:4" x14ac:dyDescent="0.2">
      <c r="A15125" s="496"/>
      <c r="D15125" s="496"/>
    </row>
    <row r="15126" spans="1:4" x14ac:dyDescent="0.2">
      <c r="A15126" s="496"/>
      <c r="D15126" s="496"/>
    </row>
    <row r="15127" spans="1:4" x14ac:dyDescent="0.2">
      <c r="A15127" s="496"/>
      <c r="D15127" s="496"/>
    </row>
    <row r="15128" spans="1:4" x14ac:dyDescent="0.2">
      <c r="A15128" s="496"/>
      <c r="D15128" s="496"/>
    </row>
    <row r="15129" spans="1:4" x14ac:dyDescent="0.2">
      <c r="A15129" s="496"/>
      <c r="D15129" s="496"/>
    </row>
    <row r="15130" spans="1:4" x14ac:dyDescent="0.2">
      <c r="A15130" s="496"/>
      <c r="D15130" s="496"/>
    </row>
    <row r="15131" spans="1:4" x14ac:dyDescent="0.2">
      <c r="A15131" s="496"/>
      <c r="D15131" s="496"/>
    </row>
    <row r="15132" spans="1:4" x14ac:dyDescent="0.2">
      <c r="A15132" s="496"/>
      <c r="D15132" s="496"/>
    </row>
    <row r="15133" spans="1:4" x14ac:dyDescent="0.2">
      <c r="A15133" s="496"/>
      <c r="D15133" s="496"/>
    </row>
    <row r="15134" spans="1:4" x14ac:dyDescent="0.2">
      <c r="A15134" s="496"/>
      <c r="D15134" s="496"/>
    </row>
    <row r="15135" spans="1:4" x14ac:dyDescent="0.2">
      <c r="A15135" s="496"/>
      <c r="D15135" s="496"/>
    </row>
    <row r="15136" spans="1:4" x14ac:dyDescent="0.2">
      <c r="A15136" s="496"/>
      <c r="D15136" s="496"/>
    </row>
    <row r="15137" spans="1:4" x14ac:dyDescent="0.2">
      <c r="A15137" s="496"/>
      <c r="D15137" s="496"/>
    </row>
    <row r="15138" spans="1:4" x14ac:dyDescent="0.2">
      <c r="A15138" s="496"/>
      <c r="D15138" s="496"/>
    </row>
    <row r="15139" spans="1:4" x14ac:dyDescent="0.2">
      <c r="A15139" s="496"/>
      <c r="D15139" s="496"/>
    </row>
    <row r="15140" spans="1:4" x14ac:dyDescent="0.2">
      <c r="A15140" s="496"/>
      <c r="D15140" s="496"/>
    </row>
    <row r="15141" spans="1:4" x14ac:dyDescent="0.2">
      <c r="A15141" s="496"/>
      <c r="D15141" s="496"/>
    </row>
    <row r="15142" spans="1:4" x14ac:dyDescent="0.2">
      <c r="A15142" s="496"/>
      <c r="D15142" s="496"/>
    </row>
    <row r="15143" spans="1:4" x14ac:dyDescent="0.2">
      <c r="A15143" s="496"/>
      <c r="D15143" s="496"/>
    </row>
    <row r="15144" spans="1:4" x14ac:dyDescent="0.2">
      <c r="A15144" s="496"/>
      <c r="D15144" s="496"/>
    </row>
    <row r="15145" spans="1:4" x14ac:dyDescent="0.2">
      <c r="A15145" s="496"/>
      <c r="D15145" s="496"/>
    </row>
    <row r="15146" spans="1:4" x14ac:dyDescent="0.2">
      <c r="A15146" s="496"/>
      <c r="D15146" s="496"/>
    </row>
    <row r="15147" spans="1:4" x14ac:dyDescent="0.2">
      <c r="A15147" s="496"/>
      <c r="D15147" s="496"/>
    </row>
    <row r="15148" spans="1:4" x14ac:dyDescent="0.2">
      <c r="A15148" s="496"/>
      <c r="D15148" s="496"/>
    </row>
    <row r="15149" spans="1:4" x14ac:dyDescent="0.2">
      <c r="A15149" s="496"/>
      <c r="D15149" s="496"/>
    </row>
    <row r="15150" spans="1:4" x14ac:dyDescent="0.2">
      <c r="A15150" s="496"/>
      <c r="D15150" s="496"/>
    </row>
    <row r="15151" spans="1:4" x14ac:dyDescent="0.2">
      <c r="A15151" s="496"/>
      <c r="D15151" s="496"/>
    </row>
    <row r="15152" spans="1:4" x14ac:dyDescent="0.2">
      <c r="A15152" s="496"/>
      <c r="D15152" s="496"/>
    </row>
    <row r="15153" spans="1:4" x14ac:dyDescent="0.2">
      <c r="A15153" s="496"/>
      <c r="D15153" s="496"/>
    </row>
    <row r="15154" spans="1:4" x14ac:dyDescent="0.2">
      <c r="A15154" s="496"/>
      <c r="D15154" s="496"/>
    </row>
    <row r="15155" spans="1:4" x14ac:dyDescent="0.2">
      <c r="A15155" s="496"/>
      <c r="D15155" s="496"/>
    </row>
    <row r="15156" spans="1:4" x14ac:dyDescent="0.2">
      <c r="A15156" s="496"/>
      <c r="D15156" s="496"/>
    </row>
    <row r="15157" spans="1:4" x14ac:dyDescent="0.2">
      <c r="A15157" s="496"/>
      <c r="D15157" s="496"/>
    </row>
    <row r="15158" spans="1:4" x14ac:dyDescent="0.2">
      <c r="A15158" s="496"/>
      <c r="D15158" s="496"/>
    </row>
    <row r="15159" spans="1:4" x14ac:dyDescent="0.2">
      <c r="A15159" s="496"/>
      <c r="D15159" s="496"/>
    </row>
    <row r="15160" spans="1:4" x14ac:dyDescent="0.2">
      <c r="A15160" s="496"/>
      <c r="D15160" s="496"/>
    </row>
    <row r="15161" spans="1:4" x14ac:dyDescent="0.2">
      <c r="A15161" s="496"/>
      <c r="D15161" s="496"/>
    </row>
    <row r="15162" spans="1:4" x14ac:dyDescent="0.2">
      <c r="A15162" s="496"/>
      <c r="D15162" s="496"/>
    </row>
    <row r="15163" spans="1:4" x14ac:dyDescent="0.2">
      <c r="A15163" s="496"/>
      <c r="D15163" s="496"/>
    </row>
    <row r="15164" spans="1:4" x14ac:dyDescent="0.2">
      <c r="A15164" s="496"/>
      <c r="D15164" s="496"/>
    </row>
    <row r="15165" spans="1:4" x14ac:dyDescent="0.2">
      <c r="A15165" s="496"/>
      <c r="D15165" s="496"/>
    </row>
    <row r="15166" spans="1:4" x14ac:dyDescent="0.2">
      <c r="A15166" s="496"/>
      <c r="D15166" s="496"/>
    </row>
    <row r="15167" spans="1:4" x14ac:dyDescent="0.2">
      <c r="A15167" s="496"/>
      <c r="D15167" s="496"/>
    </row>
    <row r="15168" spans="1:4" x14ac:dyDescent="0.2">
      <c r="A15168" s="496"/>
      <c r="D15168" s="496"/>
    </row>
    <row r="15169" spans="1:4" x14ac:dyDescent="0.2">
      <c r="A15169" s="496"/>
      <c r="D15169" s="496"/>
    </row>
    <row r="15170" spans="1:4" x14ac:dyDescent="0.2">
      <c r="A15170" s="496"/>
      <c r="D15170" s="496"/>
    </row>
    <row r="15171" spans="1:4" x14ac:dyDescent="0.2">
      <c r="A15171" s="496"/>
      <c r="D15171" s="496"/>
    </row>
    <row r="15172" spans="1:4" x14ac:dyDescent="0.2">
      <c r="A15172" s="496"/>
      <c r="D15172" s="496"/>
    </row>
    <row r="15173" spans="1:4" x14ac:dyDescent="0.2">
      <c r="A15173" s="496"/>
      <c r="D15173" s="496"/>
    </row>
    <row r="15174" spans="1:4" x14ac:dyDescent="0.2">
      <c r="A15174" s="496"/>
      <c r="D15174" s="496"/>
    </row>
    <row r="15175" spans="1:4" x14ac:dyDescent="0.2">
      <c r="A15175" s="496"/>
      <c r="D15175" s="496"/>
    </row>
    <row r="15176" spans="1:4" x14ac:dyDescent="0.2">
      <c r="A15176" s="496"/>
      <c r="D15176" s="496"/>
    </row>
    <row r="15177" spans="1:4" x14ac:dyDescent="0.2">
      <c r="A15177" s="496"/>
      <c r="D15177" s="496"/>
    </row>
    <row r="15178" spans="1:4" x14ac:dyDescent="0.2">
      <c r="A15178" s="496"/>
      <c r="D15178" s="496"/>
    </row>
    <row r="15179" spans="1:4" x14ac:dyDescent="0.2">
      <c r="A15179" s="496"/>
      <c r="D15179" s="496"/>
    </row>
    <row r="15180" spans="1:4" x14ac:dyDescent="0.2">
      <c r="A15180" s="496"/>
      <c r="D15180" s="496"/>
    </row>
    <row r="15181" spans="1:4" x14ac:dyDescent="0.2">
      <c r="A15181" s="496"/>
      <c r="D15181" s="496"/>
    </row>
    <row r="15182" spans="1:4" x14ac:dyDescent="0.2">
      <c r="A15182" s="496"/>
      <c r="D15182" s="496"/>
    </row>
    <row r="15183" spans="1:4" x14ac:dyDescent="0.2">
      <c r="A15183" s="496"/>
      <c r="D15183" s="496"/>
    </row>
    <row r="15184" spans="1:4" x14ac:dyDescent="0.2">
      <c r="A15184" s="496"/>
      <c r="D15184" s="496"/>
    </row>
    <row r="15185" spans="1:4" x14ac:dyDescent="0.2">
      <c r="A15185" s="496"/>
      <c r="D15185" s="496"/>
    </row>
    <row r="15186" spans="1:4" x14ac:dyDescent="0.2">
      <c r="A15186" s="496"/>
      <c r="D15186" s="496"/>
    </row>
    <row r="15187" spans="1:4" x14ac:dyDescent="0.2">
      <c r="A15187" s="496"/>
      <c r="D15187" s="496"/>
    </row>
    <row r="15188" spans="1:4" x14ac:dyDescent="0.2">
      <c r="A15188" s="496"/>
      <c r="D15188" s="496"/>
    </row>
    <row r="15189" spans="1:4" x14ac:dyDescent="0.2">
      <c r="A15189" s="496"/>
      <c r="D15189" s="496"/>
    </row>
    <row r="15190" spans="1:4" x14ac:dyDescent="0.2">
      <c r="A15190" s="496"/>
      <c r="D15190" s="496"/>
    </row>
    <row r="15191" spans="1:4" x14ac:dyDescent="0.2">
      <c r="A15191" s="496"/>
      <c r="D15191" s="496"/>
    </row>
    <row r="15192" spans="1:4" x14ac:dyDescent="0.2">
      <c r="A15192" s="496"/>
      <c r="D15192" s="496"/>
    </row>
    <row r="15193" spans="1:4" x14ac:dyDescent="0.2">
      <c r="A15193" s="496"/>
      <c r="D15193" s="496"/>
    </row>
    <row r="15194" spans="1:4" x14ac:dyDescent="0.2">
      <c r="A15194" s="496"/>
      <c r="D15194" s="496"/>
    </row>
    <row r="15195" spans="1:4" x14ac:dyDescent="0.2">
      <c r="A15195" s="496"/>
      <c r="D15195" s="496"/>
    </row>
    <row r="15196" spans="1:4" x14ac:dyDescent="0.2">
      <c r="A15196" s="496"/>
      <c r="D15196" s="496"/>
    </row>
    <row r="15197" spans="1:4" x14ac:dyDescent="0.2">
      <c r="A15197" s="496"/>
      <c r="D15197" s="496"/>
    </row>
    <row r="15198" spans="1:4" x14ac:dyDescent="0.2">
      <c r="A15198" s="496"/>
      <c r="D15198" s="496"/>
    </row>
    <row r="15199" spans="1:4" x14ac:dyDescent="0.2">
      <c r="A15199" s="496"/>
      <c r="D15199" s="496"/>
    </row>
    <row r="15200" spans="1:4" x14ac:dyDescent="0.2">
      <c r="A15200" s="496"/>
      <c r="D15200" s="496"/>
    </row>
    <row r="15201" spans="1:4" x14ac:dyDescent="0.2">
      <c r="A15201" s="496"/>
      <c r="D15201" s="496"/>
    </row>
    <row r="15202" spans="1:4" x14ac:dyDescent="0.2">
      <c r="A15202" s="496"/>
      <c r="D15202" s="496"/>
    </row>
    <row r="15203" spans="1:4" x14ac:dyDescent="0.2">
      <c r="A15203" s="496"/>
      <c r="D15203" s="496"/>
    </row>
    <row r="15204" spans="1:4" x14ac:dyDescent="0.2">
      <c r="A15204" s="496"/>
      <c r="D15204" s="496"/>
    </row>
    <row r="15205" spans="1:4" x14ac:dyDescent="0.2">
      <c r="A15205" s="496"/>
      <c r="D15205" s="496"/>
    </row>
    <row r="15206" spans="1:4" x14ac:dyDescent="0.2">
      <c r="A15206" s="496"/>
      <c r="D15206" s="496"/>
    </row>
    <row r="15207" spans="1:4" x14ac:dyDescent="0.2">
      <c r="A15207" s="496"/>
      <c r="D15207" s="496"/>
    </row>
    <row r="15208" spans="1:4" x14ac:dyDescent="0.2">
      <c r="A15208" s="496"/>
      <c r="D15208" s="496"/>
    </row>
    <row r="15209" spans="1:4" x14ac:dyDescent="0.2">
      <c r="A15209" s="496"/>
      <c r="D15209" s="496"/>
    </row>
    <row r="15210" spans="1:4" x14ac:dyDescent="0.2">
      <c r="A15210" s="496"/>
      <c r="D15210" s="496"/>
    </row>
    <row r="15211" spans="1:4" x14ac:dyDescent="0.2">
      <c r="A15211" s="496"/>
      <c r="D15211" s="496"/>
    </row>
    <row r="15212" spans="1:4" x14ac:dyDescent="0.2">
      <c r="A15212" s="496"/>
      <c r="D15212" s="496"/>
    </row>
    <row r="15213" spans="1:4" x14ac:dyDescent="0.2">
      <c r="A15213" s="496"/>
      <c r="D15213" s="496"/>
    </row>
    <row r="15214" spans="1:4" x14ac:dyDescent="0.2">
      <c r="A15214" s="496"/>
      <c r="D15214" s="496"/>
    </row>
    <row r="15215" spans="1:4" x14ac:dyDescent="0.2">
      <c r="A15215" s="496"/>
      <c r="D15215" s="496"/>
    </row>
    <row r="15216" spans="1:4" x14ac:dyDescent="0.2">
      <c r="A15216" s="496"/>
      <c r="D15216" s="496"/>
    </row>
    <row r="15217" spans="1:4" x14ac:dyDescent="0.2">
      <c r="A15217" s="496"/>
      <c r="D15217" s="496"/>
    </row>
    <row r="15218" spans="1:4" x14ac:dyDescent="0.2">
      <c r="A15218" s="496"/>
      <c r="D15218" s="496"/>
    </row>
    <row r="15219" spans="1:4" x14ac:dyDescent="0.2">
      <c r="A15219" s="496"/>
      <c r="D15219" s="496"/>
    </row>
    <row r="15220" spans="1:4" x14ac:dyDescent="0.2">
      <c r="A15220" s="496"/>
      <c r="D15220" s="496"/>
    </row>
    <row r="15221" spans="1:4" x14ac:dyDescent="0.2">
      <c r="A15221" s="496"/>
      <c r="D15221" s="496"/>
    </row>
    <row r="15222" spans="1:4" x14ac:dyDescent="0.2">
      <c r="A15222" s="496"/>
      <c r="D15222" s="496"/>
    </row>
    <row r="15223" spans="1:4" x14ac:dyDescent="0.2">
      <c r="A15223" s="496"/>
      <c r="D15223" s="496"/>
    </row>
    <row r="15224" spans="1:4" x14ac:dyDescent="0.2">
      <c r="A15224" s="496"/>
      <c r="D15224" s="496"/>
    </row>
    <row r="15225" spans="1:4" x14ac:dyDescent="0.2">
      <c r="A15225" s="496"/>
      <c r="D15225" s="496"/>
    </row>
    <row r="15226" spans="1:4" x14ac:dyDescent="0.2">
      <c r="A15226" s="496"/>
      <c r="D15226" s="496"/>
    </row>
    <row r="15227" spans="1:4" x14ac:dyDescent="0.2">
      <c r="A15227" s="496"/>
      <c r="D15227" s="496"/>
    </row>
    <row r="15228" spans="1:4" x14ac:dyDescent="0.2">
      <c r="A15228" s="496"/>
      <c r="D15228" s="496"/>
    </row>
    <row r="15229" spans="1:4" x14ac:dyDescent="0.2">
      <c r="A15229" s="496"/>
      <c r="D15229" s="496"/>
    </row>
    <row r="15230" spans="1:4" x14ac:dyDescent="0.2">
      <c r="A15230" s="496"/>
      <c r="D15230" s="496"/>
    </row>
    <row r="15231" spans="1:4" x14ac:dyDescent="0.2">
      <c r="A15231" s="496"/>
      <c r="D15231" s="496"/>
    </row>
    <row r="15232" spans="1:4" x14ac:dyDescent="0.2">
      <c r="A15232" s="496"/>
      <c r="D15232" s="496"/>
    </row>
    <row r="15233" spans="1:4" x14ac:dyDescent="0.2">
      <c r="A15233" s="496"/>
      <c r="D15233" s="496"/>
    </row>
    <row r="15234" spans="1:4" x14ac:dyDescent="0.2">
      <c r="A15234" s="496"/>
      <c r="D15234" s="496"/>
    </row>
    <row r="15235" spans="1:4" x14ac:dyDescent="0.2">
      <c r="A15235" s="496"/>
      <c r="D15235" s="496"/>
    </row>
    <row r="15236" spans="1:4" x14ac:dyDescent="0.2">
      <c r="A15236" s="496"/>
      <c r="D15236" s="496"/>
    </row>
    <row r="15237" spans="1:4" x14ac:dyDescent="0.2">
      <c r="A15237" s="496"/>
      <c r="D15237" s="496"/>
    </row>
    <row r="15238" spans="1:4" x14ac:dyDescent="0.2">
      <c r="A15238" s="496"/>
      <c r="D15238" s="496"/>
    </row>
    <row r="15239" spans="1:4" x14ac:dyDescent="0.2">
      <c r="A15239" s="496"/>
      <c r="D15239" s="496"/>
    </row>
    <row r="15240" spans="1:4" x14ac:dyDescent="0.2">
      <c r="A15240" s="496"/>
      <c r="D15240" s="496"/>
    </row>
    <row r="15241" spans="1:4" x14ac:dyDescent="0.2">
      <c r="A15241" s="496"/>
      <c r="D15241" s="496"/>
    </row>
    <row r="15242" spans="1:4" x14ac:dyDescent="0.2">
      <c r="A15242" s="496"/>
      <c r="D15242" s="496"/>
    </row>
    <row r="15243" spans="1:4" x14ac:dyDescent="0.2">
      <c r="A15243" s="496"/>
      <c r="D15243" s="496"/>
    </row>
    <row r="15244" spans="1:4" x14ac:dyDescent="0.2">
      <c r="A15244" s="496"/>
      <c r="D15244" s="496"/>
    </row>
    <row r="15245" spans="1:4" x14ac:dyDescent="0.2">
      <c r="A15245" s="496"/>
      <c r="D15245" s="496"/>
    </row>
    <row r="15246" spans="1:4" x14ac:dyDescent="0.2">
      <c r="A15246" s="496"/>
      <c r="D15246" s="496"/>
    </row>
    <row r="15247" spans="1:4" x14ac:dyDescent="0.2">
      <c r="A15247" s="496"/>
      <c r="D15247" s="496"/>
    </row>
    <row r="15248" spans="1:4" x14ac:dyDescent="0.2">
      <c r="A15248" s="496"/>
      <c r="D15248" s="496"/>
    </row>
    <row r="15249" spans="1:4" x14ac:dyDescent="0.2">
      <c r="A15249" s="496"/>
      <c r="D15249" s="496"/>
    </row>
    <row r="15250" spans="1:4" x14ac:dyDescent="0.2">
      <c r="A15250" s="496"/>
      <c r="D15250" s="496"/>
    </row>
    <row r="15251" spans="1:4" x14ac:dyDescent="0.2">
      <c r="A15251" s="496"/>
      <c r="D15251" s="496"/>
    </row>
    <row r="15252" spans="1:4" x14ac:dyDescent="0.2">
      <c r="A15252" s="496"/>
      <c r="D15252" s="496"/>
    </row>
    <row r="15253" spans="1:4" x14ac:dyDescent="0.2">
      <c r="A15253" s="496"/>
      <c r="D15253" s="496"/>
    </row>
    <row r="15254" spans="1:4" x14ac:dyDescent="0.2">
      <c r="A15254" s="496"/>
      <c r="D15254" s="496"/>
    </row>
    <row r="15255" spans="1:4" x14ac:dyDescent="0.2">
      <c r="A15255" s="496"/>
      <c r="D15255" s="496"/>
    </row>
    <row r="15256" spans="1:4" x14ac:dyDescent="0.2">
      <c r="A15256" s="496"/>
      <c r="D15256" s="496"/>
    </row>
    <row r="15257" spans="1:4" x14ac:dyDescent="0.2">
      <c r="A15257" s="496"/>
      <c r="D15257" s="496"/>
    </row>
    <row r="15258" spans="1:4" x14ac:dyDescent="0.2">
      <c r="A15258" s="496"/>
      <c r="D15258" s="496"/>
    </row>
    <row r="15259" spans="1:4" x14ac:dyDescent="0.2">
      <c r="A15259" s="496"/>
      <c r="D15259" s="496"/>
    </row>
    <row r="15260" spans="1:4" x14ac:dyDescent="0.2">
      <c r="A15260" s="496"/>
      <c r="D15260" s="496"/>
    </row>
    <row r="15261" spans="1:4" x14ac:dyDescent="0.2">
      <c r="A15261" s="496"/>
      <c r="D15261" s="496"/>
    </row>
    <row r="15262" spans="1:4" x14ac:dyDescent="0.2">
      <c r="A15262" s="496"/>
      <c r="D15262" s="496"/>
    </row>
    <row r="15263" spans="1:4" x14ac:dyDescent="0.2">
      <c r="A15263" s="496"/>
      <c r="D15263" s="496"/>
    </row>
    <row r="15264" spans="1:4" x14ac:dyDescent="0.2">
      <c r="A15264" s="496"/>
      <c r="D15264" s="496"/>
    </row>
    <row r="15265" spans="1:4" x14ac:dyDescent="0.2">
      <c r="A15265" s="496"/>
      <c r="D15265" s="496"/>
    </row>
    <row r="15266" spans="1:4" x14ac:dyDescent="0.2">
      <c r="A15266" s="496"/>
      <c r="D15266" s="496"/>
    </row>
    <row r="15267" spans="1:4" x14ac:dyDescent="0.2">
      <c r="A15267" s="496"/>
      <c r="D15267" s="496"/>
    </row>
    <row r="15268" spans="1:4" x14ac:dyDescent="0.2">
      <c r="A15268" s="496"/>
      <c r="D15268" s="496"/>
    </row>
    <row r="15269" spans="1:4" x14ac:dyDescent="0.2">
      <c r="A15269" s="496"/>
      <c r="D15269" s="496"/>
    </row>
    <row r="15270" spans="1:4" x14ac:dyDescent="0.2">
      <c r="A15270" s="496"/>
      <c r="D15270" s="496"/>
    </row>
    <row r="15271" spans="1:4" x14ac:dyDescent="0.2">
      <c r="A15271" s="496"/>
      <c r="D15271" s="496"/>
    </row>
    <row r="15272" spans="1:4" x14ac:dyDescent="0.2">
      <c r="A15272" s="496"/>
      <c r="D15272" s="496"/>
    </row>
    <row r="15273" spans="1:4" x14ac:dyDescent="0.2">
      <c r="A15273" s="496"/>
      <c r="D15273" s="496"/>
    </row>
    <row r="15274" spans="1:4" x14ac:dyDescent="0.2">
      <c r="A15274" s="496"/>
      <c r="D15274" s="496"/>
    </row>
    <row r="15275" spans="1:4" x14ac:dyDescent="0.2">
      <c r="A15275" s="496"/>
      <c r="D15275" s="496"/>
    </row>
    <row r="15276" spans="1:4" x14ac:dyDescent="0.2">
      <c r="A15276" s="496"/>
      <c r="D15276" s="496"/>
    </row>
    <row r="15277" spans="1:4" x14ac:dyDescent="0.2">
      <c r="A15277" s="496"/>
      <c r="D15277" s="496"/>
    </row>
    <row r="15278" spans="1:4" x14ac:dyDescent="0.2">
      <c r="A15278" s="496"/>
      <c r="D15278" s="496"/>
    </row>
    <row r="15279" spans="1:4" x14ac:dyDescent="0.2">
      <c r="A15279" s="496"/>
      <c r="D15279" s="496"/>
    </row>
    <row r="15280" spans="1:4" x14ac:dyDescent="0.2">
      <c r="A15280" s="496"/>
      <c r="D15280" s="496"/>
    </row>
    <row r="15281" spans="1:4" x14ac:dyDescent="0.2">
      <c r="A15281" s="496"/>
      <c r="D15281" s="496"/>
    </row>
    <row r="15282" spans="1:4" x14ac:dyDescent="0.2">
      <c r="A15282" s="496"/>
      <c r="D15282" s="496"/>
    </row>
    <row r="15283" spans="1:4" x14ac:dyDescent="0.2">
      <c r="A15283" s="496"/>
      <c r="D15283" s="496"/>
    </row>
    <row r="15284" spans="1:4" x14ac:dyDescent="0.2">
      <c r="A15284" s="496"/>
      <c r="D15284" s="496"/>
    </row>
    <row r="15285" spans="1:4" x14ac:dyDescent="0.2">
      <c r="A15285" s="496"/>
      <c r="D15285" s="496"/>
    </row>
    <row r="15286" spans="1:4" x14ac:dyDescent="0.2">
      <c r="A15286" s="496"/>
      <c r="D15286" s="496"/>
    </row>
    <row r="15287" spans="1:4" x14ac:dyDescent="0.2">
      <c r="A15287" s="496"/>
      <c r="D15287" s="496"/>
    </row>
    <row r="15288" spans="1:4" x14ac:dyDescent="0.2">
      <c r="A15288" s="496"/>
      <c r="D15288" s="496"/>
    </row>
    <row r="15289" spans="1:4" x14ac:dyDescent="0.2">
      <c r="A15289" s="496"/>
      <c r="D15289" s="496"/>
    </row>
    <row r="15290" spans="1:4" x14ac:dyDescent="0.2">
      <c r="A15290" s="496"/>
      <c r="D15290" s="496"/>
    </row>
    <row r="15291" spans="1:4" x14ac:dyDescent="0.2">
      <c r="A15291" s="496"/>
      <c r="D15291" s="496"/>
    </row>
    <row r="15292" spans="1:4" x14ac:dyDescent="0.2">
      <c r="A15292" s="496"/>
      <c r="D15292" s="496"/>
    </row>
    <row r="15293" spans="1:4" x14ac:dyDescent="0.2">
      <c r="A15293" s="496"/>
      <c r="D15293" s="496"/>
    </row>
    <row r="15294" spans="1:4" x14ac:dyDescent="0.2">
      <c r="A15294" s="496"/>
      <c r="D15294" s="496"/>
    </row>
    <row r="15295" spans="1:4" x14ac:dyDescent="0.2">
      <c r="A15295" s="496"/>
      <c r="D15295" s="496"/>
    </row>
    <row r="15296" spans="1:4" x14ac:dyDescent="0.2">
      <c r="A15296" s="496"/>
      <c r="D15296" s="496"/>
    </row>
    <row r="15297" spans="1:4" x14ac:dyDescent="0.2">
      <c r="A15297" s="496"/>
      <c r="D15297" s="496"/>
    </row>
    <row r="15298" spans="1:4" x14ac:dyDescent="0.2">
      <c r="A15298" s="496"/>
      <c r="D15298" s="496"/>
    </row>
    <row r="15299" spans="1:4" x14ac:dyDescent="0.2">
      <c r="A15299" s="496"/>
      <c r="D15299" s="496"/>
    </row>
    <row r="15300" spans="1:4" x14ac:dyDescent="0.2">
      <c r="A15300" s="496"/>
      <c r="D15300" s="496"/>
    </row>
    <row r="15301" spans="1:4" x14ac:dyDescent="0.2">
      <c r="A15301" s="496"/>
      <c r="D15301" s="496"/>
    </row>
    <row r="15302" spans="1:4" x14ac:dyDescent="0.2">
      <c r="A15302" s="496"/>
      <c r="D15302" s="496"/>
    </row>
    <row r="15303" spans="1:4" x14ac:dyDescent="0.2">
      <c r="A15303" s="496"/>
      <c r="D15303" s="496"/>
    </row>
    <row r="15304" spans="1:4" x14ac:dyDescent="0.2">
      <c r="A15304" s="496"/>
      <c r="D15304" s="496"/>
    </row>
    <row r="15305" spans="1:4" x14ac:dyDescent="0.2">
      <c r="A15305" s="496"/>
      <c r="D15305" s="496"/>
    </row>
    <row r="15306" spans="1:4" x14ac:dyDescent="0.2">
      <c r="A15306" s="496"/>
      <c r="D15306" s="496"/>
    </row>
    <row r="15307" spans="1:4" x14ac:dyDescent="0.2">
      <c r="A15307" s="496"/>
      <c r="D15307" s="496"/>
    </row>
    <row r="15308" spans="1:4" x14ac:dyDescent="0.2">
      <c r="A15308" s="496"/>
      <c r="D15308" s="496"/>
    </row>
    <row r="15309" spans="1:4" x14ac:dyDescent="0.2">
      <c r="A15309" s="496"/>
      <c r="D15309" s="496"/>
    </row>
    <row r="15310" spans="1:4" x14ac:dyDescent="0.2">
      <c r="A15310" s="496"/>
      <c r="D15310" s="496"/>
    </row>
    <row r="15311" spans="1:4" x14ac:dyDescent="0.2">
      <c r="A15311" s="496"/>
      <c r="D15311" s="496"/>
    </row>
    <row r="15312" spans="1:4" x14ac:dyDescent="0.2">
      <c r="A15312" s="496"/>
      <c r="D15312" s="496"/>
    </row>
    <row r="15313" spans="1:4" x14ac:dyDescent="0.2">
      <c r="A15313" s="496"/>
      <c r="D15313" s="496"/>
    </row>
    <row r="15314" spans="1:4" x14ac:dyDescent="0.2">
      <c r="A15314" s="496"/>
      <c r="D15314" s="496"/>
    </row>
    <row r="15315" spans="1:4" x14ac:dyDescent="0.2">
      <c r="A15315" s="496"/>
      <c r="D15315" s="496"/>
    </row>
    <row r="15316" spans="1:4" x14ac:dyDescent="0.2">
      <c r="A15316" s="496"/>
      <c r="D15316" s="496"/>
    </row>
    <row r="15317" spans="1:4" x14ac:dyDescent="0.2">
      <c r="A15317" s="496"/>
      <c r="D15317" s="496"/>
    </row>
    <row r="15318" spans="1:4" x14ac:dyDescent="0.2">
      <c r="A15318" s="496"/>
      <c r="D15318" s="496"/>
    </row>
    <row r="15319" spans="1:4" x14ac:dyDescent="0.2">
      <c r="A15319" s="496"/>
      <c r="D15319" s="496"/>
    </row>
    <row r="15320" spans="1:4" x14ac:dyDescent="0.2">
      <c r="A15320" s="496"/>
      <c r="D15320" s="496"/>
    </row>
    <row r="15321" spans="1:4" x14ac:dyDescent="0.2">
      <c r="A15321" s="496"/>
      <c r="D15321" s="496"/>
    </row>
    <row r="15322" spans="1:4" x14ac:dyDescent="0.2">
      <c r="A15322" s="496"/>
      <c r="D15322" s="496"/>
    </row>
    <row r="15323" spans="1:4" x14ac:dyDescent="0.2">
      <c r="A15323" s="496"/>
      <c r="D15323" s="496"/>
    </row>
    <row r="15324" spans="1:4" x14ac:dyDescent="0.2">
      <c r="A15324" s="496"/>
      <c r="D15324" s="496"/>
    </row>
    <row r="15325" spans="1:4" x14ac:dyDescent="0.2">
      <c r="A15325" s="496"/>
      <c r="D15325" s="496"/>
    </row>
    <row r="15326" spans="1:4" x14ac:dyDescent="0.2">
      <c r="A15326" s="496"/>
      <c r="D15326" s="496"/>
    </row>
    <row r="15327" spans="1:4" x14ac:dyDescent="0.2">
      <c r="A15327" s="496"/>
      <c r="D15327" s="496"/>
    </row>
    <row r="15328" spans="1:4" x14ac:dyDescent="0.2">
      <c r="A15328" s="496"/>
      <c r="D15328" s="496"/>
    </row>
    <row r="15329" spans="1:4" x14ac:dyDescent="0.2">
      <c r="A15329" s="496"/>
      <c r="D15329" s="496"/>
    </row>
    <row r="15330" spans="1:4" x14ac:dyDescent="0.2">
      <c r="A15330" s="496"/>
      <c r="D15330" s="496"/>
    </row>
    <row r="15331" spans="1:4" x14ac:dyDescent="0.2">
      <c r="A15331" s="496"/>
      <c r="D15331" s="496"/>
    </row>
    <row r="15332" spans="1:4" x14ac:dyDescent="0.2">
      <c r="A15332" s="496"/>
      <c r="D15332" s="496"/>
    </row>
    <row r="15333" spans="1:4" x14ac:dyDescent="0.2">
      <c r="A15333" s="496"/>
      <c r="D15333" s="496"/>
    </row>
    <row r="15334" spans="1:4" x14ac:dyDescent="0.2">
      <c r="A15334" s="496"/>
      <c r="D15334" s="496"/>
    </row>
    <row r="15335" spans="1:4" x14ac:dyDescent="0.2">
      <c r="A15335" s="496"/>
      <c r="D15335" s="496"/>
    </row>
    <row r="15336" spans="1:4" x14ac:dyDescent="0.2">
      <c r="A15336" s="496"/>
      <c r="D15336" s="496"/>
    </row>
    <row r="15337" spans="1:4" x14ac:dyDescent="0.2">
      <c r="A15337" s="496"/>
      <c r="D15337" s="496"/>
    </row>
    <row r="15338" spans="1:4" x14ac:dyDescent="0.2">
      <c r="A15338" s="496"/>
      <c r="D15338" s="496"/>
    </row>
    <row r="15339" spans="1:4" x14ac:dyDescent="0.2">
      <c r="A15339" s="496"/>
      <c r="D15339" s="496"/>
    </row>
    <row r="15340" spans="1:4" x14ac:dyDescent="0.2">
      <c r="A15340" s="496"/>
      <c r="D15340" s="496"/>
    </row>
    <row r="15341" spans="1:4" x14ac:dyDescent="0.2">
      <c r="A15341" s="496"/>
      <c r="D15341" s="496"/>
    </row>
    <row r="15342" spans="1:4" x14ac:dyDescent="0.2">
      <c r="A15342" s="496"/>
      <c r="D15342" s="496"/>
    </row>
    <row r="15343" spans="1:4" x14ac:dyDescent="0.2">
      <c r="A15343" s="496"/>
      <c r="D15343" s="496"/>
    </row>
    <row r="15344" spans="1:4" x14ac:dyDescent="0.2">
      <c r="A15344" s="496"/>
      <c r="D15344" s="496"/>
    </row>
    <row r="15345" spans="1:4" x14ac:dyDescent="0.2">
      <c r="A15345" s="496"/>
      <c r="D15345" s="496"/>
    </row>
    <row r="15346" spans="1:4" x14ac:dyDescent="0.2">
      <c r="A15346" s="496"/>
      <c r="D15346" s="496"/>
    </row>
    <row r="15347" spans="1:4" x14ac:dyDescent="0.2">
      <c r="A15347" s="496"/>
      <c r="D15347" s="496"/>
    </row>
    <row r="15348" spans="1:4" x14ac:dyDescent="0.2">
      <c r="A15348" s="496"/>
      <c r="D15348" s="496"/>
    </row>
    <row r="15349" spans="1:4" x14ac:dyDescent="0.2">
      <c r="A15349" s="496"/>
      <c r="D15349" s="496"/>
    </row>
    <row r="15350" spans="1:4" x14ac:dyDescent="0.2">
      <c r="A15350" s="496"/>
      <c r="D15350" s="496"/>
    </row>
    <row r="15351" spans="1:4" x14ac:dyDescent="0.2">
      <c r="A15351" s="496"/>
      <c r="D15351" s="496"/>
    </row>
    <row r="15352" spans="1:4" x14ac:dyDescent="0.2">
      <c r="A15352" s="496"/>
      <c r="D15352" s="496"/>
    </row>
    <row r="15353" spans="1:4" x14ac:dyDescent="0.2">
      <c r="A15353" s="496"/>
      <c r="D15353" s="496"/>
    </row>
    <row r="15354" spans="1:4" x14ac:dyDescent="0.2">
      <c r="A15354" s="496"/>
      <c r="D15354" s="496"/>
    </row>
    <row r="15355" spans="1:4" x14ac:dyDescent="0.2">
      <c r="A15355" s="496"/>
      <c r="D15355" s="496"/>
    </row>
    <row r="15356" spans="1:4" x14ac:dyDescent="0.2">
      <c r="A15356" s="496"/>
      <c r="D15356" s="496"/>
    </row>
    <row r="15357" spans="1:4" x14ac:dyDescent="0.2">
      <c r="A15357" s="496"/>
      <c r="D15357" s="496"/>
    </row>
    <row r="15358" spans="1:4" x14ac:dyDescent="0.2">
      <c r="A15358" s="496"/>
      <c r="D15358" s="496"/>
    </row>
    <row r="15359" spans="1:4" x14ac:dyDescent="0.2">
      <c r="A15359" s="496"/>
      <c r="D15359" s="496"/>
    </row>
    <row r="15360" spans="1:4" x14ac:dyDescent="0.2">
      <c r="A15360" s="496"/>
      <c r="D15360" s="496"/>
    </row>
    <row r="15361" spans="1:4" x14ac:dyDescent="0.2">
      <c r="A15361" s="496"/>
      <c r="D15361" s="496"/>
    </row>
    <row r="15362" spans="1:4" x14ac:dyDescent="0.2">
      <c r="A15362" s="496"/>
      <c r="D15362" s="496"/>
    </row>
    <row r="15363" spans="1:4" x14ac:dyDescent="0.2">
      <c r="A15363" s="496"/>
      <c r="D15363" s="496"/>
    </row>
    <row r="15364" spans="1:4" x14ac:dyDescent="0.2">
      <c r="A15364" s="496"/>
      <c r="D15364" s="496"/>
    </row>
    <row r="15365" spans="1:4" x14ac:dyDescent="0.2">
      <c r="A15365" s="496"/>
      <c r="D15365" s="496"/>
    </row>
    <row r="15366" spans="1:4" x14ac:dyDescent="0.2">
      <c r="A15366" s="496"/>
      <c r="D15366" s="496"/>
    </row>
    <row r="15367" spans="1:4" x14ac:dyDescent="0.2">
      <c r="A15367" s="496"/>
      <c r="D15367" s="496"/>
    </row>
    <row r="15368" spans="1:4" x14ac:dyDescent="0.2">
      <c r="A15368" s="496"/>
      <c r="D15368" s="496"/>
    </row>
    <row r="15369" spans="1:4" x14ac:dyDescent="0.2">
      <c r="A15369" s="496"/>
      <c r="D15369" s="496"/>
    </row>
    <row r="15370" spans="1:4" x14ac:dyDescent="0.2">
      <c r="A15370" s="496"/>
      <c r="D15370" s="496"/>
    </row>
    <row r="15371" spans="1:4" x14ac:dyDescent="0.2">
      <c r="A15371" s="496"/>
      <c r="D15371" s="496"/>
    </row>
    <row r="15372" spans="1:4" x14ac:dyDescent="0.2">
      <c r="A15372" s="496"/>
      <c r="D15372" s="496"/>
    </row>
    <row r="15373" spans="1:4" x14ac:dyDescent="0.2">
      <c r="A15373" s="496"/>
      <c r="D15373" s="496"/>
    </row>
    <row r="15374" spans="1:4" x14ac:dyDescent="0.2">
      <c r="A15374" s="496"/>
      <c r="D15374" s="496"/>
    </row>
    <row r="15375" spans="1:4" x14ac:dyDescent="0.2">
      <c r="A15375" s="496"/>
      <c r="D15375" s="496"/>
    </row>
    <row r="15376" spans="1:4" x14ac:dyDescent="0.2">
      <c r="A15376" s="496"/>
      <c r="D15376" s="496"/>
    </row>
    <row r="15377" spans="1:4" x14ac:dyDescent="0.2">
      <c r="A15377" s="496"/>
      <c r="D15377" s="496"/>
    </row>
    <row r="15378" spans="1:4" x14ac:dyDescent="0.2">
      <c r="A15378" s="496"/>
      <c r="D15378" s="496"/>
    </row>
    <row r="15379" spans="1:4" x14ac:dyDescent="0.2">
      <c r="A15379" s="496"/>
      <c r="D15379" s="496"/>
    </row>
    <row r="15380" spans="1:4" x14ac:dyDescent="0.2">
      <c r="A15380" s="496"/>
      <c r="D15380" s="496"/>
    </row>
    <row r="15381" spans="1:4" x14ac:dyDescent="0.2">
      <c r="A15381" s="496"/>
      <c r="D15381" s="496"/>
    </row>
    <row r="15382" spans="1:4" x14ac:dyDescent="0.2">
      <c r="A15382" s="496"/>
      <c r="D15382" s="496"/>
    </row>
    <row r="15383" spans="1:4" x14ac:dyDescent="0.2">
      <c r="A15383" s="496"/>
      <c r="D15383" s="496"/>
    </row>
    <row r="15384" spans="1:4" x14ac:dyDescent="0.2">
      <c r="A15384" s="496"/>
      <c r="D15384" s="496"/>
    </row>
    <row r="15385" spans="1:4" x14ac:dyDescent="0.2">
      <c r="A15385" s="496"/>
      <c r="D15385" s="496"/>
    </row>
    <row r="15386" spans="1:4" x14ac:dyDescent="0.2">
      <c r="A15386" s="496"/>
      <c r="D15386" s="496"/>
    </row>
    <row r="15387" spans="1:4" x14ac:dyDescent="0.2">
      <c r="A15387" s="496"/>
      <c r="D15387" s="496"/>
    </row>
    <row r="15388" spans="1:4" x14ac:dyDescent="0.2">
      <c r="A15388" s="496"/>
      <c r="D15388" s="496"/>
    </row>
    <row r="15389" spans="1:4" x14ac:dyDescent="0.2">
      <c r="A15389" s="496"/>
      <c r="D15389" s="496"/>
    </row>
    <row r="15390" spans="1:4" x14ac:dyDescent="0.2">
      <c r="A15390" s="496"/>
      <c r="D15390" s="496"/>
    </row>
    <row r="15391" spans="1:4" x14ac:dyDescent="0.2">
      <c r="A15391" s="496"/>
      <c r="D15391" s="496"/>
    </row>
    <row r="15392" spans="1:4" x14ac:dyDescent="0.2">
      <c r="A15392" s="496"/>
      <c r="D15392" s="496"/>
    </row>
    <row r="15393" spans="1:4" x14ac:dyDescent="0.2">
      <c r="A15393" s="496"/>
      <c r="D15393" s="496"/>
    </row>
    <row r="15394" spans="1:4" x14ac:dyDescent="0.2">
      <c r="A15394" s="496"/>
      <c r="D15394" s="496"/>
    </row>
    <row r="15395" spans="1:4" x14ac:dyDescent="0.2">
      <c r="A15395" s="496"/>
      <c r="D15395" s="496"/>
    </row>
    <row r="15396" spans="1:4" x14ac:dyDescent="0.2">
      <c r="A15396" s="496"/>
      <c r="D15396" s="496"/>
    </row>
    <row r="15397" spans="1:4" x14ac:dyDescent="0.2">
      <c r="A15397" s="496"/>
      <c r="D15397" s="496"/>
    </row>
    <row r="15398" spans="1:4" x14ac:dyDescent="0.2">
      <c r="A15398" s="496"/>
      <c r="D15398" s="496"/>
    </row>
    <row r="15399" spans="1:4" x14ac:dyDescent="0.2">
      <c r="A15399" s="496"/>
      <c r="D15399" s="496"/>
    </row>
    <row r="15400" spans="1:4" x14ac:dyDescent="0.2">
      <c r="A15400" s="496"/>
      <c r="D15400" s="496"/>
    </row>
    <row r="15401" spans="1:4" x14ac:dyDescent="0.2">
      <c r="A15401" s="496"/>
      <c r="D15401" s="496"/>
    </row>
    <row r="15402" spans="1:4" x14ac:dyDescent="0.2">
      <c r="A15402" s="496"/>
      <c r="D15402" s="496"/>
    </row>
    <row r="15403" spans="1:4" x14ac:dyDescent="0.2">
      <c r="A15403" s="496"/>
      <c r="D15403" s="496"/>
    </row>
    <row r="15404" spans="1:4" x14ac:dyDescent="0.2">
      <c r="A15404" s="496"/>
      <c r="D15404" s="496"/>
    </row>
    <row r="15405" spans="1:4" x14ac:dyDescent="0.2">
      <c r="A15405" s="496"/>
      <c r="D15405" s="496"/>
    </row>
    <row r="15406" spans="1:4" x14ac:dyDescent="0.2">
      <c r="A15406" s="496"/>
      <c r="D15406" s="496"/>
    </row>
    <row r="15407" spans="1:4" x14ac:dyDescent="0.2">
      <c r="A15407" s="496"/>
      <c r="D15407" s="496"/>
    </row>
    <row r="15408" spans="1:4" x14ac:dyDescent="0.2">
      <c r="A15408" s="496"/>
      <c r="D15408" s="496"/>
    </row>
    <row r="15409" spans="1:4" x14ac:dyDescent="0.2">
      <c r="A15409" s="496"/>
      <c r="D15409" s="496"/>
    </row>
    <row r="15410" spans="1:4" x14ac:dyDescent="0.2">
      <c r="A15410" s="496"/>
      <c r="D15410" s="496"/>
    </row>
    <row r="15411" spans="1:4" x14ac:dyDescent="0.2">
      <c r="A15411" s="496"/>
      <c r="D15411" s="496"/>
    </row>
    <row r="15412" spans="1:4" x14ac:dyDescent="0.2">
      <c r="A15412" s="496"/>
      <c r="D15412" s="496"/>
    </row>
    <row r="15413" spans="1:4" x14ac:dyDescent="0.2">
      <c r="A15413" s="496"/>
      <c r="D15413" s="496"/>
    </row>
    <row r="15414" spans="1:4" x14ac:dyDescent="0.2">
      <c r="A15414" s="496"/>
      <c r="D15414" s="496"/>
    </row>
    <row r="15415" spans="1:4" x14ac:dyDescent="0.2">
      <c r="A15415" s="496"/>
      <c r="D15415" s="496"/>
    </row>
    <row r="15416" spans="1:4" x14ac:dyDescent="0.2">
      <c r="A15416" s="496"/>
      <c r="D15416" s="496"/>
    </row>
    <row r="15417" spans="1:4" x14ac:dyDescent="0.2">
      <c r="A15417" s="496"/>
      <c r="D15417" s="496"/>
    </row>
    <row r="15418" spans="1:4" x14ac:dyDescent="0.2">
      <c r="A15418" s="496"/>
      <c r="D15418" s="496"/>
    </row>
    <row r="15419" spans="1:4" x14ac:dyDescent="0.2">
      <c r="A15419" s="496"/>
      <c r="D15419" s="496"/>
    </row>
    <row r="15420" spans="1:4" x14ac:dyDescent="0.2">
      <c r="A15420" s="496"/>
      <c r="D15420" s="496"/>
    </row>
    <row r="15421" spans="1:4" x14ac:dyDescent="0.2">
      <c r="A15421" s="496"/>
      <c r="D15421" s="496"/>
    </row>
    <row r="15422" spans="1:4" x14ac:dyDescent="0.2">
      <c r="A15422" s="496"/>
      <c r="D15422" s="496"/>
    </row>
    <row r="15423" spans="1:4" x14ac:dyDescent="0.2">
      <c r="A15423" s="496"/>
      <c r="D15423" s="496"/>
    </row>
    <row r="15424" spans="1:4" x14ac:dyDescent="0.2">
      <c r="A15424" s="496"/>
      <c r="D15424" s="496"/>
    </row>
    <row r="15425" spans="1:4" x14ac:dyDescent="0.2">
      <c r="A15425" s="496"/>
      <c r="D15425" s="496"/>
    </row>
    <row r="15426" spans="1:4" x14ac:dyDescent="0.2">
      <c r="A15426" s="496"/>
      <c r="D15426" s="496"/>
    </row>
    <row r="15427" spans="1:4" x14ac:dyDescent="0.2">
      <c r="A15427" s="496"/>
      <c r="D15427" s="496"/>
    </row>
    <row r="15428" spans="1:4" x14ac:dyDescent="0.2">
      <c r="A15428" s="496"/>
      <c r="D15428" s="496"/>
    </row>
    <row r="15429" spans="1:4" x14ac:dyDescent="0.2">
      <c r="A15429" s="496"/>
      <c r="D15429" s="496"/>
    </row>
    <row r="15430" spans="1:4" x14ac:dyDescent="0.2">
      <c r="A15430" s="496"/>
      <c r="D15430" s="496"/>
    </row>
    <row r="15431" spans="1:4" x14ac:dyDescent="0.2">
      <c r="A15431" s="496"/>
      <c r="D15431" s="496"/>
    </row>
    <row r="15432" spans="1:4" x14ac:dyDescent="0.2">
      <c r="A15432" s="496"/>
      <c r="D15432" s="496"/>
    </row>
    <row r="15433" spans="1:4" x14ac:dyDescent="0.2">
      <c r="A15433" s="496"/>
      <c r="D15433" s="496"/>
    </row>
    <row r="15434" spans="1:4" x14ac:dyDescent="0.2">
      <c r="A15434" s="496"/>
      <c r="D15434" s="496"/>
    </row>
    <row r="15435" spans="1:4" x14ac:dyDescent="0.2">
      <c r="A15435" s="496"/>
      <c r="D15435" s="496"/>
    </row>
    <row r="15436" spans="1:4" x14ac:dyDescent="0.2">
      <c r="A15436" s="496"/>
      <c r="D15436" s="496"/>
    </row>
    <row r="15437" spans="1:4" x14ac:dyDescent="0.2">
      <c r="A15437" s="496"/>
      <c r="D15437" s="496"/>
    </row>
    <row r="15438" spans="1:4" x14ac:dyDescent="0.2">
      <c r="A15438" s="496"/>
      <c r="D15438" s="496"/>
    </row>
    <row r="15439" spans="1:4" x14ac:dyDescent="0.2">
      <c r="A15439" s="496"/>
      <c r="D15439" s="496"/>
    </row>
    <row r="15440" spans="1:4" x14ac:dyDescent="0.2">
      <c r="A15440" s="496"/>
      <c r="D15440" s="496"/>
    </row>
    <row r="15441" spans="1:4" x14ac:dyDescent="0.2">
      <c r="A15441" s="496"/>
      <c r="D15441" s="496"/>
    </row>
    <row r="15442" spans="1:4" x14ac:dyDescent="0.2">
      <c r="A15442" s="496"/>
      <c r="D15442" s="496"/>
    </row>
    <row r="15443" spans="1:4" x14ac:dyDescent="0.2">
      <c r="A15443" s="496"/>
      <c r="D15443" s="496"/>
    </row>
    <row r="15444" spans="1:4" x14ac:dyDescent="0.2">
      <c r="A15444" s="496"/>
      <c r="D15444" s="496"/>
    </row>
    <row r="15445" spans="1:4" x14ac:dyDescent="0.2">
      <c r="A15445" s="496"/>
      <c r="D15445" s="496"/>
    </row>
    <row r="15446" spans="1:4" x14ac:dyDescent="0.2">
      <c r="A15446" s="496"/>
      <c r="D15446" s="496"/>
    </row>
    <row r="15447" spans="1:4" x14ac:dyDescent="0.2">
      <c r="A15447" s="496"/>
      <c r="D15447" s="496"/>
    </row>
    <row r="15448" spans="1:4" x14ac:dyDescent="0.2">
      <c r="A15448" s="496"/>
      <c r="D15448" s="496"/>
    </row>
    <row r="15449" spans="1:4" x14ac:dyDescent="0.2">
      <c r="A15449" s="496"/>
      <c r="D15449" s="496"/>
    </row>
    <row r="15450" spans="1:4" x14ac:dyDescent="0.2">
      <c r="A15450" s="496"/>
      <c r="D15450" s="496"/>
    </row>
    <row r="15451" spans="1:4" x14ac:dyDescent="0.2">
      <c r="A15451" s="496"/>
      <c r="D15451" s="496"/>
    </row>
    <row r="15452" spans="1:4" x14ac:dyDescent="0.2">
      <c r="A15452" s="496"/>
      <c r="D15452" s="496"/>
    </row>
    <row r="15453" spans="1:4" x14ac:dyDescent="0.2">
      <c r="A15453" s="496"/>
      <c r="D15453" s="496"/>
    </row>
    <row r="15454" spans="1:4" x14ac:dyDescent="0.2">
      <c r="A15454" s="496"/>
      <c r="D15454" s="496"/>
    </row>
    <row r="15455" spans="1:4" x14ac:dyDescent="0.2">
      <c r="A15455" s="496"/>
      <c r="D15455" s="496"/>
    </row>
    <row r="15456" spans="1:4" x14ac:dyDescent="0.2">
      <c r="A15456" s="496"/>
      <c r="D15456" s="496"/>
    </row>
    <row r="15457" spans="1:4" x14ac:dyDescent="0.2">
      <c r="A15457" s="496"/>
      <c r="D15457" s="496"/>
    </row>
    <row r="15458" spans="1:4" x14ac:dyDescent="0.2">
      <c r="A15458" s="496"/>
      <c r="D15458" s="496"/>
    </row>
    <row r="15459" spans="1:4" x14ac:dyDescent="0.2">
      <c r="A15459" s="496"/>
      <c r="D15459" s="496"/>
    </row>
    <row r="15460" spans="1:4" x14ac:dyDescent="0.2">
      <c r="A15460" s="496"/>
      <c r="D15460" s="496"/>
    </row>
    <row r="15461" spans="1:4" x14ac:dyDescent="0.2">
      <c r="A15461" s="496"/>
      <c r="D15461" s="496"/>
    </row>
    <row r="15462" spans="1:4" x14ac:dyDescent="0.2">
      <c r="A15462" s="496"/>
      <c r="D15462" s="496"/>
    </row>
    <row r="15463" spans="1:4" x14ac:dyDescent="0.2">
      <c r="A15463" s="496"/>
      <c r="D15463" s="496"/>
    </row>
    <row r="15464" spans="1:4" x14ac:dyDescent="0.2">
      <c r="A15464" s="496"/>
      <c r="D15464" s="496"/>
    </row>
    <row r="15465" spans="1:4" x14ac:dyDescent="0.2">
      <c r="A15465" s="496"/>
      <c r="D15465" s="496"/>
    </row>
    <row r="15466" spans="1:4" x14ac:dyDescent="0.2">
      <c r="A15466" s="496"/>
      <c r="D15466" s="496"/>
    </row>
    <row r="15467" spans="1:4" x14ac:dyDescent="0.2">
      <c r="A15467" s="496"/>
      <c r="D15467" s="496"/>
    </row>
    <row r="15468" spans="1:4" x14ac:dyDescent="0.2">
      <c r="A15468" s="496"/>
      <c r="D15468" s="496"/>
    </row>
    <row r="15469" spans="1:4" x14ac:dyDescent="0.2">
      <c r="A15469" s="496"/>
      <c r="D15469" s="496"/>
    </row>
    <row r="15470" spans="1:4" x14ac:dyDescent="0.2">
      <c r="A15470" s="496"/>
      <c r="D15470" s="496"/>
    </row>
    <row r="15471" spans="1:4" x14ac:dyDescent="0.2">
      <c r="A15471" s="496"/>
      <c r="D15471" s="496"/>
    </row>
    <row r="15472" spans="1:4" x14ac:dyDescent="0.2">
      <c r="A15472" s="496"/>
      <c r="D15472" s="496"/>
    </row>
    <row r="15473" spans="1:4" x14ac:dyDescent="0.2">
      <c r="A15473" s="496"/>
      <c r="D15473" s="496"/>
    </row>
    <row r="15474" spans="1:4" x14ac:dyDescent="0.2">
      <c r="A15474" s="496"/>
      <c r="D15474" s="496"/>
    </row>
    <row r="15475" spans="1:4" x14ac:dyDescent="0.2">
      <c r="A15475" s="496"/>
      <c r="D15475" s="496"/>
    </row>
    <row r="15476" spans="1:4" x14ac:dyDescent="0.2">
      <c r="A15476" s="496"/>
      <c r="D15476" s="496"/>
    </row>
    <row r="15477" spans="1:4" x14ac:dyDescent="0.2">
      <c r="A15477" s="496"/>
      <c r="D15477" s="496"/>
    </row>
    <row r="15478" spans="1:4" x14ac:dyDescent="0.2">
      <c r="A15478" s="496"/>
      <c r="D15478" s="496"/>
    </row>
    <row r="15479" spans="1:4" x14ac:dyDescent="0.2">
      <c r="A15479" s="496"/>
      <c r="D15479" s="496"/>
    </row>
    <row r="15480" spans="1:4" x14ac:dyDescent="0.2">
      <c r="A15480" s="496"/>
      <c r="D15480" s="496"/>
    </row>
    <row r="15481" spans="1:4" x14ac:dyDescent="0.2">
      <c r="A15481" s="496"/>
      <c r="D15481" s="496"/>
    </row>
    <row r="15482" spans="1:4" x14ac:dyDescent="0.2">
      <c r="A15482" s="496"/>
      <c r="D15482" s="496"/>
    </row>
    <row r="15483" spans="1:4" x14ac:dyDescent="0.2">
      <c r="A15483" s="496"/>
      <c r="D15483" s="496"/>
    </row>
    <row r="15484" spans="1:4" x14ac:dyDescent="0.2">
      <c r="A15484" s="496"/>
      <c r="D15484" s="496"/>
    </row>
    <row r="15485" spans="1:4" x14ac:dyDescent="0.2">
      <c r="A15485" s="496"/>
      <c r="D15485" s="496"/>
    </row>
    <row r="15486" spans="1:4" x14ac:dyDescent="0.2">
      <c r="A15486" s="496"/>
      <c r="D15486" s="496"/>
    </row>
    <row r="15487" spans="1:4" x14ac:dyDescent="0.2">
      <c r="A15487" s="496"/>
      <c r="D15487" s="496"/>
    </row>
    <row r="15488" spans="1:4" x14ac:dyDescent="0.2">
      <c r="A15488" s="496"/>
      <c r="D15488" s="496"/>
    </row>
    <row r="15489" spans="1:4" x14ac:dyDescent="0.2">
      <c r="A15489" s="496"/>
      <c r="D15489" s="496"/>
    </row>
    <row r="15490" spans="1:4" x14ac:dyDescent="0.2">
      <c r="A15490" s="496"/>
      <c r="D15490" s="496"/>
    </row>
    <row r="15491" spans="1:4" x14ac:dyDescent="0.2">
      <c r="A15491" s="496"/>
      <c r="D15491" s="496"/>
    </row>
    <row r="15492" spans="1:4" x14ac:dyDescent="0.2">
      <c r="A15492" s="496"/>
      <c r="D15492" s="496"/>
    </row>
    <row r="15493" spans="1:4" x14ac:dyDescent="0.2">
      <c r="A15493" s="496"/>
      <c r="D15493" s="496"/>
    </row>
    <row r="15494" spans="1:4" x14ac:dyDescent="0.2">
      <c r="A15494" s="496"/>
      <c r="D15494" s="496"/>
    </row>
    <row r="15495" spans="1:4" x14ac:dyDescent="0.2">
      <c r="A15495" s="496"/>
      <c r="D15495" s="496"/>
    </row>
    <row r="15496" spans="1:4" x14ac:dyDescent="0.2">
      <c r="A15496" s="496"/>
      <c r="D15496" s="496"/>
    </row>
    <row r="15497" spans="1:4" x14ac:dyDescent="0.2">
      <c r="A15497" s="496"/>
      <c r="D15497" s="496"/>
    </row>
    <row r="15498" spans="1:4" x14ac:dyDescent="0.2">
      <c r="A15498" s="496"/>
      <c r="D15498" s="496"/>
    </row>
    <row r="15499" spans="1:4" x14ac:dyDescent="0.2">
      <c r="A15499" s="496"/>
      <c r="D15499" s="496"/>
    </row>
    <row r="15500" spans="1:4" x14ac:dyDescent="0.2">
      <c r="A15500" s="496"/>
      <c r="D15500" s="496"/>
    </row>
    <row r="15501" spans="1:4" x14ac:dyDescent="0.2">
      <c r="A15501" s="496"/>
      <c r="D15501" s="496"/>
    </row>
    <row r="15502" spans="1:4" x14ac:dyDescent="0.2">
      <c r="A15502" s="496"/>
      <c r="D15502" s="496"/>
    </row>
    <row r="15503" spans="1:4" x14ac:dyDescent="0.2">
      <c r="A15503" s="496"/>
      <c r="D15503" s="496"/>
    </row>
    <row r="15504" spans="1:4" x14ac:dyDescent="0.2">
      <c r="A15504" s="496"/>
      <c r="D15504" s="496"/>
    </row>
    <row r="15505" spans="1:4" x14ac:dyDescent="0.2">
      <c r="A15505" s="496"/>
      <c r="D15505" s="496"/>
    </row>
    <row r="15506" spans="1:4" x14ac:dyDescent="0.2">
      <c r="A15506" s="496"/>
      <c r="D15506" s="496"/>
    </row>
    <row r="15507" spans="1:4" x14ac:dyDescent="0.2">
      <c r="A15507" s="496"/>
      <c r="D15507" s="496"/>
    </row>
    <row r="15508" spans="1:4" x14ac:dyDescent="0.2">
      <c r="A15508" s="496"/>
      <c r="D15508" s="496"/>
    </row>
    <row r="15509" spans="1:4" x14ac:dyDescent="0.2">
      <c r="A15509" s="496"/>
      <c r="D15509" s="496"/>
    </row>
    <row r="15510" spans="1:4" x14ac:dyDescent="0.2">
      <c r="A15510" s="496"/>
      <c r="D15510" s="496"/>
    </row>
    <row r="15511" spans="1:4" x14ac:dyDescent="0.2">
      <c r="A15511" s="496"/>
      <c r="D15511" s="496"/>
    </row>
    <row r="15512" spans="1:4" x14ac:dyDescent="0.2">
      <c r="A15512" s="496"/>
      <c r="D15512" s="496"/>
    </row>
    <row r="15513" spans="1:4" x14ac:dyDescent="0.2">
      <c r="A15513" s="496"/>
      <c r="D15513" s="496"/>
    </row>
    <row r="15514" spans="1:4" x14ac:dyDescent="0.2">
      <c r="A15514" s="496"/>
      <c r="D15514" s="496"/>
    </row>
    <row r="15515" spans="1:4" x14ac:dyDescent="0.2">
      <c r="A15515" s="496"/>
      <c r="D15515" s="496"/>
    </row>
    <row r="15516" spans="1:4" x14ac:dyDescent="0.2">
      <c r="A15516" s="496"/>
      <c r="D15516" s="496"/>
    </row>
    <row r="15517" spans="1:4" x14ac:dyDescent="0.2">
      <c r="A15517" s="496"/>
      <c r="D15517" s="496"/>
    </row>
    <row r="15518" spans="1:4" x14ac:dyDescent="0.2">
      <c r="A15518" s="496"/>
      <c r="D15518" s="496"/>
    </row>
    <row r="15519" spans="1:4" x14ac:dyDescent="0.2">
      <c r="A15519" s="496"/>
      <c r="D15519" s="496"/>
    </row>
    <row r="15520" spans="1:4" x14ac:dyDescent="0.2">
      <c r="A15520" s="496"/>
      <c r="D15520" s="496"/>
    </row>
    <row r="15521" spans="1:4" x14ac:dyDescent="0.2">
      <c r="A15521" s="496"/>
      <c r="D15521" s="496"/>
    </row>
    <row r="15522" spans="1:4" x14ac:dyDescent="0.2">
      <c r="A15522" s="496"/>
      <c r="D15522" s="496"/>
    </row>
    <row r="15523" spans="1:4" x14ac:dyDescent="0.2">
      <c r="A15523" s="496"/>
      <c r="D15523" s="496"/>
    </row>
    <row r="15524" spans="1:4" x14ac:dyDescent="0.2">
      <c r="A15524" s="496"/>
      <c r="D15524" s="496"/>
    </row>
    <row r="15525" spans="1:4" x14ac:dyDescent="0.2">
      <c r="A15525" s="496"/>
      <c r="D15525" s="496"/>
    </row>
    <row r="15526" spans="1:4" x14ac:dyDescent="0.2">
      <c r="A15526" s="496"/>
      <c r="D15526" s="496"/>
    </row>
    <row r="15527" spans="1:4" x14ac:dyDescent="0.2">
      <c r="A15527" s="496"/>
      <c r="D15527" s="496"/>
    </row>
    <row r="15528" spans="1:4" x14ac:dyDescent="0.2">
      <c r="A15528" s="496"/>
      <c r="D15528" s="496"/>
    </row>
    <row r="15529" spans="1:4" x14ac:dyDescent="0.2">
      <c r="A15529" s="496"/>
      <c r="D15529" s="496"/>
    </row>
    <row r="15530" spans="1:4" x14ac:dyDescent="0.2">
      <c r="A15530" s="496"/>
      <c r="D15530" s="496"/>
    </row>
    <row r="15531" spans="1:4" x14ac:dyDescent="0.2">
      <c r="A15531" s="496"/>
      <c r="D15531" s="496"/>
    </row>
    <row r="15532" spans="1:4" x14ac:dyDescent="0.2">
      <c r="A15532" s="496"/>
      <c r="D15532" s="496"/>
    </row>
    <row r="15533" spans="1:4" x14ac:dyDescent="0.2">
      <c r="A15533" s="496"/>
      <c r="D15533" s="496"/>
    </row>
    <row r="15534" spans="1:4" x14ac:dyDescent="0.2">
      <c r="A15534" s="496"/>
      <c r="D15534" s="496"/>
    </row>
    <row r="15535" spans="1:4" x14ac:dyDescent="0.2">
      <c r="A15535" s="496"/>
      <c r="D15535" s="496"/>
    </row>
    <row r="15536" spans="1:4" x14ac:dyDescent="0.2">
      <c r="A15536" s="496"/>
      <c r="D15536" s="496"/>
    </row>
    <row r="15537" spans="1:4" x14ac:dyDescent="0.2">
      <c r="A15537" s="496"/>
      <c r="D15537" s="496"/>
    </row>
    <row r="15538" spans="1:4" x14ac:dyDescent="0.2">
      <c r="A15538" s="496"/>
      <c r="D15538" s="496"/>
    </row>
    <row r="15539" spans="1:4" x14ac:dyDescent="0.2">
      <c r="A15539" s="496"/>
      <c r="D15539" s="496"/>
    </row>
    <row r="15540" spans="1:4" x14ac:dyDescent="0.2">
      <c r="A15540" s="496"/>
      <c r="D15540" s="496"/>
    </row>
    <row r="15541" spans="1:4" x14ac:dyDescent="0.2">
      <c r="A15541" s="496"/>
      <c r="D15541" s="496"/>
    </row>
    <row r="15542" spans="1:4" x14ac:dyDescent="0.2">
      <c r="A15542" s="496"/>
      <c r="D15542" s="496"/>
    </row>
    <row r="15543" spans="1:4" x14ac:dyDescent="0.2">
      <c r="A15543" s="496"/>
      <c r="D15543" s="496"/>
    </row>
    <row r="15544" spans="1:4" x14ac:dyDescent="0.2">
      <c r="A15544" s="496"/>
      <c r="D15544" s="496"/>
    </row>
    <row r="15545" spans="1:4" x14ac:dyDescent="0.2">
      <c r="A15545" s="496"/>
      <c r="D15545" s="496"/>
    </row>
    <row r="15546" spans="1:4" x14ac:dyDescent="0.2">
      <c r="A15546" s="496"/>
      <c r="D15546" s="496"/>
    </row>
    <row r="15547" spans="1:4" x14ac:dyDescent="0.2">
      <c r="A15547" s="496"/>
      <c r="D15547" s="496"/>
    </row>
    <row r="15548" spans="1:4" x14ac:dyDescent="0.2">
      <c r="A15548" s="496"/>
      <c r="D15548" s="496"/>
    </row>
    <row r="15549" spans="1:4" x14ac:dyDescent="0.2">
      <c r="A15549" s="496"/>
      <c r="D15549" s="496"/>
    </row>
    <row r="15550" spans="1:4" x14ac:dyDescent="0.2">
      <c r="A15550" s="496"/>
      <c r="D15550" s="496"/>
    </row>
    <row r="15551" spans="1:4" x14ac:dyDescent="0.2">
      <c r="A15551" s="496"/>
      <c r="D15551" s="496"/>
    </row>
    <row r="15552" spans="1:4" x14ac:dyDescent="0.2">
      <c r="A15552" s="496"/>
      <c r="D15552" s="496"/>
    </row>
    <row r="15553" spans="1:4" x14ac:dyDescent="0.2">
      <c r="A15553" s="496"/>
      <c r="D15553" s="496"/>
    </row>
    <row r="15554" spans="1:4" x14ac:dyDescent="0.2">
      <c r="A15554" s="496"/>
      <c r="D15554" s="496"/>
    </row>
    <row r="15555" spans="1:4" x14ac:dyDescent="0.2">
      <c r="A15555" s="496"/>
      <c r="D15555" s="496"/>
    </row>
    <row r="15556" spans="1:4" x14ac:dyDescent="0.2">
      <c r="A15556" s="496"/>
      <c r="D15556" s="496"/>
    </row>
    <row r="15557" spans="1:4" x14ac:dyDescent="0.2">
      <c r="A15557" s="496"/>
      <c r="D15557" s="496"/>
    </row>
    <row r="15558" spans="1:4" x14ac:dyDescent="0.2">
      <c r="A15558" s="496"/>
      <c r="D15558" s="496"/>
    </row>
    <row r="15559" spans="1:4" x14ac:dyDescent="0.2">
      <c r="A15559" s="496"/>
      <c r="D15559" s="496"/>
    </row>
    <row r="15560" spans="1:4" x14ac:dyDescent="0.2">
      <c r="A15560" s="496"/>
      <c r="D15560" s="496"/>
    </row>
    <row r="15561" spans="1:4" x14ac:dyDescent="0.2">
      <c r="A15561" s="496"/>
      <c r="D15561" s="496"/>
    </row>
    <row r="15562" spans="1:4" x14ac:dyDescent="0.2">
      <c r="A15562" s="496"/>
      <c r="D15562" s="496"/>
    </row>
    <row r="15563" spans="1:4" x14ac:dyDescent="0.2">
      <c r="A15563" s="496"/>
      <c r="D15563" s="496"/>
    </row>
    <row r="15564" spans="1:4" x14ac:dyDescent="0.2">
      <c r="A15564" s="496"/>
      <c r="D15564" s="496"/>
    </row>
    <row r="15565" spans="1:4" x14ac:dyDescent="0.2">
      <c r="A15565" s="496"/>
      <c r="D15565" s="496"/>
    </row>
    <row r="15566" spans="1:4" x14ac:dyDescent="0.2">
      <c r="A15566" s="496"/>
      <c r="D15566" s="496"/>
    </row>
    <row r="15567" spans="1:4" x14ac:dyDescent="0.2">
      <c r="A15567" s="496"/>
      <c r="D15567" s="496"/>
    </row>
    <row r="15568" spans="1:4" x14ac:dyDescent="0.2">
      <c r="A15568" s="496"/>
      <c r="D15568" s="496"/>
    </row>
    <row r="15569" spans="1:4" x14ac:dyDescent="0.2">
      <c r="A15569" s="496"/>
      <c r="D15569" s="496"/>
    </row>
    <row r="15570" spans="1:4" x14ac:dyDescent="0.2">
      <c r="A15570" s="496"/>
      <c r="D15570" s="496"/>
    </row>
    <row r="15571" spans="1:4" x14ac:dyDescent="0.2">
      <c r="A15571" s="496"/>
      <c r="D15571" s="496"/>
    </row>
    <row r="15572" spans="1:4" x14ac:dyDescent="0.2">
      <c r="A15572" s="496"/>
      <c r="D15572" s="496"/>
    </row>
    <row r="15573" spans="1:4" x14ac:dyDescent="0.2">
      <c r="A15573" s="496"/>
      <c r="D15573" s="496"/>
    </row>
    <row r="15574" spans="1:4" x14ac:dyDescent="0.2">
      <c r="A15574" s="496"/>
      <c r="D15574" s="496"/>
    </row>
    <row r="15575" spans="1:4" x14ac:dyDescent="0.2">
      <c r="A15575" s="496"/>
      <c r="D15575" s="496"/>
    </row>
    <row r="15576" spans="1:4" x14ac:dyDescent="0.2">
      <c r="A15576" s="496"/>
      <c r="D15576" s="496"/>
    </row>
    <row r="15577" spans="1:4" x14ac:dyDescent="0.2">
      <c r="A15577" s="496"/>
      <c r="D15577" s="496"/>
    </row>
    <row r="15578" spans="1:4" x14ac:dyDescent="0.2">
      <c r="A15578" s="496"/>
      <c r="D15578" s="496"/>
    </row>
    <row r="15579" spans="1:4" x14ac:dyDescent="0.2">
      <c r="A15579" s="496"/>
      <c r="D15579" s="496"/>
    </row>
    <row r="15580" spans="1:4" x14ac:dyDescent="0.2">
      <c r="A15580" s="496"/>
      <c r="D15580" s="496"/>
    </row>
    <row r="15581" spans="1:4" x14ac:dyDescent="0.2">
      <c r="A15581" s="496"/>
      <c r="D15581" s="496"/>
    </row>
    <row r="15582" spans="1:4" x14ac:dyDescent="0.2">
      <c r="A15582" s="496"/>
      <c r="D15582" s="496"/>
    </row>
    <row r="15583" spans="1:4" x14ac:dyDescent="0.2">
      <c r="A15583" s="496"/>
      <c r="D15583" s="496"/>
    </row>
    <row r="15584" spans="1:4" x14ac:dyDescent="0.2">
      <c r="A15584" s="496"/>
      <c r="D15584" s="496"/>
    </row>
    <row r="15585" spans="1:4" x14ac:dyDescent="0.2">
      <c r="A15585" s="496"/>
      <c r="D15585" s="496"/>
    </row>
    <row r="15586" spans="1:4" x14ac:dyDescent="0.2">
      <c r="A15586" s="496"/>
      <c r="D15586" s="496"/>
    </row>
    <row r="15587" spans="1:4" x14ac:dyDescent="0.2">
      <c r="A15587" s="496"/>
      <c r="D15587" s="496"/>
    </row>
    <row r="15588" spans="1:4" x14ac:dyDescent="0.2">
      <c r="A15588" s="496"/>
      <c r="D15588" s="496"/>
    </row>
    <row r="15589" spans="1:4" x14ac:dyDescent="0.2">
      <c r="A15589" s="496"/>
      <c r="D15589" s="496"/>
    </row>
    <row r="15590" spans="1:4" x14ac:dyDescent="0.2">
      <c r="A15590" s="496"/>
      <c r="D15590" s="496"/>
    </row>
    <row r="15591" spans="1:4" x14ac:dyDescent="0.2">
      <c r="A15591" s="496"/>
      <c r="D15591" s="496"/>
    </row>
    <row r="15592" spans="1:4" x14ac:dyDescent="0.2">
      <c r="A15592" s="496"/>
      <c r="D15592" s="496"/>
    </row>
    <row r="15593" spans="1:4" x14ac:dyDescent="0.2">
      <c r="A15593" s="496"/>
      <c r="D15593" s="496"/>
    </row>
    <row r="15594" spans="1:4" x14ac:dyDescent="0.2">
      <c r="A15594" s="496"/>
      <c r="D15594" s="496"/>
    </row>
    <row r="15595" spans="1:4" x14ac:dyDescent="0.2">
      <c r="A15595" s="496"/>
      <c r="D15595" s="496"/>
    </row>
    <row r="15596" spans="1:4" x14ac:dyDescent="0.2">
      <c r="A15596" s="496"/>
      <c r="D15596" s="496"/>
    </row>
    <row r="15597" spans="1:4" x14ac:dyDescent="0.2">
      <c r="A15597" s="496"/>
      <c r="D15597" s="496"/>
    </row>
    <row r="15598" spans="1:4" x14ac:dyDescent="0.2">
      <c r="A15598" s="496"/>
      <c r="D15598" s="496"/>
    </row>
    <row r="15599" spans="1:4" x14ac:dyDescent="0.2">
      <c r="A15599" s="496"/>
      <c r="D15599" s="496"/>
    </row>
    <row r="15600" spans="1:4" x14ac:dyDescent="0.2">
      <c r="A15600" s="496"/>
      <c r="D15600" s="496"/>
    </row>
    <row r="15601" spans="1:4" x14ac:dyDescent="0.2">
      <c r="A15601" s="496"/>
      <c r="D15601" s="496"/>
    </row>
    <row r="15602" spans="1:4" x14ac:dyDescent="0.2">
      <c r="A15602" s="496"/>
      <c r="D15602" s="496"/>
    </row>
    <row r="15603" spans="1:4" x14ac:dyDescent="0.2">
      <c r="A15603" s="496"/>
      <c r="D15603" s="496"/>
    </row>
    <row r="15604" spans="1:4" x14ac:dyDescent="0.2">
      <c r="A15604" s="496"/>
      <c r="D15604" s="496"/>
    </row>
    <row r="15605" spans="1:4" x14ac:dyDescent="0.2">
      <c r="A15605" s="496"/>
      <c r="D15605" s="496"/>
    </row>
    <row r="15606" spans="1:4" x14ac:dyDescent="0.2">
      <c r="A15606" s="496"/>
      <c r="D15606" s="496"/>
    </row>
    <row r="15607" spans="1:4" x14ac:dyDescent="0.2">
      <c r="A15607" s="496"/>
      <c r="D15607" s="496"/>
    </row>
    <row r="15608" spans="1:4" x14ac:dyDescent="0.2">
      <c r="A15608" s="496"/>
      <c r="D15608" s="496"/>
    </row>
    <row r="15609" spans="1:4" x14ac:dyDescent="0.2">
      <c r="A15609" s="496"/>
      <c r="D15609" s="496"/>
    </row>
    <row r="15610" spans="1:4" x14ac:dyDescent="0.2">
      <c r="A15610" s="496"/>
      <c r="D15610" s="496"/>
    </row>
    <row r="15611" spans="1:4" x14ac:dyDescent="0.2">
      <c r="A15611" s="496"/>
      <c r="D15611" s="496"/>
    </row>
    <row r="15612" spans="1:4" x14ac:dyDescent="0.2">
      <c r="A15612" s="496"/>
      <c r="D15612" s="496"/>
    </row>
    <row r="15613" spans="1:4" x14ac:dyDescent="0.2">
      <c r="A15613" s="496"/>
      <c r="D15613" s="496"/>
    </row>
    <row r="15614" spans="1:4" x14ac:dyDescent="0.2">
      <c r="A15614" s="496"/>
      <c r="D15614" s="496"/>
    </row>
    <row r="15615" spans="1:4" x14ac:dyDescent="0.2">
      <c r="A15615" s="496"/>
      <c r="D15615" s="496"/>
    </row>
    <row r="15616" spans="1:4" x14ac:dyDescent="0.2">
      <c r="A15616" s="496"/>
      <c r="D15616" s="496"/>
    </row>
    <row r="15617" spans="1:4" x14ac:dyDescent="0.2">
      <c r="A15617" s="496"/>
      <c r="D15617" s="496"/>
    </row>
    <row r="15618" spans="1:4" x14ac:dyDescent="0.2">
      <c r="A15618" s="496"/>
      <c r="D15618" s="496"/>
    </row>
    <row r="15619" spans="1:4" x14ac:dyDescent="0.2">
      <c r="A15619" s="496"/>
      <c r="D15619" s="496"/>
    </row>
    <row r="15620" spans="1:4" x14ac:dyDescent="0.2">
      <c r="A15620" s="496"/>
      <c r="D15620" s="496"/>
    </row>
    <row r="15621" spans="1:4" x14ac:dyDescent="0.2">
      <c r="A15621" s="496"/>
      <c r="D15621" s="496"/>
    </row>
    <row r="15622" spans="1:4" x14ac:dyDescent="0.2">
      <c r="A15622" s="496"/>
      <c r="D15622" s="496"/>
    </row>
    <row r="15623" spans="1:4" x14ac:dyDescent="0.2">
      <c r="A15623" s="496"/>
      <c r="D15623" s="496"/>
    </row>
    <row r="15624" spans="1:4" x14ac:dyDescent="0.2">
      <c r="A15624" s="496"/>
      <c r="D15624" s="496"/>
    </row>
    <row r="15625" spans="1:4" x14ac:dyDescent="0.2">
      <c r="A15625" s="496"/>
      <c r="D15625" s="496"/>
    </row>
    <row r="15626" spans="1:4" x14ac:dyDescent="0.2">
      <c r="A15626" s="496"/>
      <c r="D15626" s="496"/>
    </row>
    <row r="15627" spans="1:4" x14ac:dyDescent="0.2">
      <c r="A15627" s="496"/>
      <c r="D15627" s="496"/>
    </row>
    <row r="15628" spans="1:4" x14ac:dyDescent="0.2">
      <c r="A15628" s="496"/>
      <c r="D15628" s="496"/>
    </row>
    <row r="15629" spans="1:4" x14ac:dyDescent="0.2">
      <c r="A15629" s="496"/>
      <c r="D15629" s="496"/>
    </row>
    <row r="15630" spans="1:4" x14ac:dyDescent="0.2">
      <c r="A15630" s="496"/>
      <c r="D15630" s="496"/>
    </row>
    <row r="15631" spans="1:4" x14ac:dyDescent="0.2">
      <c r="A15631" s="496"/>
      <c r="D15631" s="496"/>
    </row>
    <row r="15632" spans="1:4" x14ac:dyDescent="0.2">
      <c r="A15632" s="496"/>
      <c r="D15632" s="496"/>
    </row>
    <row r="15633" spans="1:4" x14ac:dyDescent="0.2">
      <c r="A15633" s="496"/>
      <c r="D15633" s="496"/>
    </row>
    <row r="15634" spans="1:4" x14ac:dyDescent="0.2">
      <c r="A15634" s="496"/>
      <c r="D15634" s="496"/>
    </row>
    <row r="15635" spans="1:4" x14ac:dyDescent="0.2">
      <c r="A15635" s="496"/>
      <c r="D15635" s="496"/>
    </row>
    <row r="15636" spans="1:4" x14ac:dyDescent="0.2">
      <c r="A15636" s="496"/>
      <c r="D15636" s="496"/>
    </row>
    <row r="15637" spans="1:4" x14ac:dyDescent="0.2">
      <c r="A15637" s="496"/>
      <c r="D15637" s="496"/>
    </row>
    <row r="15638" spans="1:4" x14ac:dyDescent="0.2">
      <c r="A15638" s="496"/>
      <c r="D15638" s="496"/>
    </row>
    <row r="15639" spans="1:4" x14ac:dyDescent="0.2">
      <c r="A15639" s="496"/>
      <c r="D15639" s="496"/>
    </row>
    <row r="15640" spans="1:4" x14ac:dyDescent="0.2">
      <c r="A15640" s="496"/>
      <c r="D15640" s="496"/>
    </row>
    <row r="15641" spans="1:4" x14ac:dyDescent="0.2">
      <c r="A15641" s="496"/>
      <c r="D15641" s="496"/>
    </row>
    <row r="15642" spans="1:4" x14ac:dyDescent="0.2">
      <c r="A15642" s="496"/>
      <c r="D15642" s="496"/>
    </row>
    <row r="15643" spans="1:4" x14ac:dyDescent="0.2">
      <c r="A15643" s="496"/>
      <c r="D15643" s="496"/>
    </row>
    <row r="15644" spans="1:4" x14ac:dyDescent="0.2">
      <c r="A15644" s="496"/>
      <c r="D15644" s="496"/>
    </row>
    <row r="15645" spans="1:4" x14ac:dyDescent="0.2">
      <c r="A15645" s="496"/>
      <c r="D15645" s="496"/>
    </row>
    <row r="15646" spans="1:4" x14ac:dyDescent="0.2">
      <c r="A15646" s="496"/>
      <c r="D15646" s="496"/>
    </row>
    <row r="15647" spans="1:4" x14ac:dyDescent="0.2">
      <c r="A15647" s="496"/>
      <c r="D15647" s="496"/>
    </row>
    <row r="15648" spans="1:4" x14ac:dyDescent="0.2">
      <c r="A15648" s="496"/>
      <c r="D15648" s="496"/>
    </row>
    <row r="15649" spans="1:4" x14ac:dyDescent="0.2">
      <c r="A15649" s="496"/>
      <c r="D15649" s="496"/>
    </row>
    <row r="15650" spans="1:4" x14ac:dyDescent="0.2">
      <c r="A15650" s="496"/>
      <c r="D15650" s="496"/>
    </row>
    <row r="15651" spans="1:4" x14ac:dyDescent="0.2">
      <c r="A15651" s="496"/>
      <c r="D15651" s="496"/>
    </row>
    <row r="15652" spans="1:4" x14ac:dyDescent="0.2">
      <c r="A15652" s="496"/>
      <c r="D15652" s="496"/>
    </row>
    <row r="15653" spans="1:4" x14ac:dyDescent="0.2">
      <c r="A15653" s="496"/>
      <c r="D15653" s="496"/>
    </row>
    <row r="15654" spans="1:4" x14ac:dyDescent="0.2">
      <c r="A15654" s="496"/>
      <c r="D15654" s="496"/>
    </row>
    <row r="15655" spans="1:4" x14ac:dyDescent="0.2">
      <c r="A15655" s="496"/>
      <c r="D15655" s="496"/>
    </row>
    <row r="15656" spans="1:4" x14ac:dyDescent="0.2">
      <c r="A15656" s="496"/>
      <c r="D15656" s="496"/>
    </row>
    <row r="15657" spans="1:4" x14ac:dyDescent="0.2">
      <c r="A15657" s="496"/>
      <c r="D15657" s="496"/>
    </row>
    <row r="15658" spans="1:4" x14ac:dyDescent="0.2">
      <c r="A15658" s="496"/>
      <c r="D15658" s="496"/>
    </row>
    <row r="15659" spans="1:4" x14ac:dyDescent="0.2">
      <c r="A15659" s="496"/>
      <c r="D15659" s="496"/>
    </row>
    <row r="15660" spans="1:4" x14ac:dyDescent="0.2">
      <c r="A15660" s="496"/>
      <c r="D15660" s="496"/>
    </row>
    <row r="15661" spans="1:4" x14ac:dyDescent="0.2">
      <c r="A15661" s="496"/>
      <c r="D15661" s="496"/>
    </row>
    <row r="15662" spans="1:4" x14ac:dyDescent="0.2">
      <c r="A15662" s="496"/>
      <c r="D15662" s="496"/>
    </row>
    <row r="15663" spans="1:4" x14ac:dyDescent="0.2">
      <c r="A15663" s="496"/>
      <c r="D15663" s="496"/>
    </row>
    <row r="15664" spans="1:4" x14ac:dyDescent="0.2">
      <c r="A15664" s="496"/>
      <c r="D15664" s="496"/>
    </row>
    <row r="15665" spans="1:4" x14ac:dyDescent="0.2">
      <c r="A15665" s="496"/>
      <c r="D15665" s="496"/>
    </row>
    <row r="15666" spans="1:4" x14ac:dyDescent="0.2">
      <c r="A15666" s="496"/>
      <c r="D15666" s="496"/>
    </row>
    <row r="15667" spans="1:4" x14ac:dyDescent="0.2">
      <c r="A15667" s="496"/>
      <c r="D15667" s="496"/>
    </row>
    <row r="15668" spans="1:4" x14ac:dyDescent="0.2">
      <c r="A15668" s="496"/>
      <c r="D15668" s="496"/>
    </row>
    <row r="15669" spans="1:4" x14ac:dyDescent="0.2">
      <c r="A15669" s="496"/>
      <c r="D15669" s="496"/>
    </row>
    <row r="15670" spans="1:4" x14ac:dyDescent="0.2">
      <c r="A15670" s="496"/>
      <c r="D15670" s="496"/>
    </row>
    <row r="15671" spans="1:4" x14ac:dyDescent="0.2">
      <c r="A15671" s="496"/>
      <c r="D15671" s="496"/>
    </row>
    <row r="15672" spans="1:4" x14ac:dyDescent="0.2">
      <c r="A15672" s="496"/>
      <c r="D15672" s="496"/>
    </row>
    <row r="15673" spans="1:4" x14ac:dyDescent="0.2">
      <c r="A15673" s="496"/>
      <c r="D15673" s="496"/>
    </row>
    <row r="15674" spans="1:4" x14ac:dyDescent="0.2">
      <c r="A15674" s="496"/>
      <c r="D15674" s="496"/>
    </row>
    <row r="15675" spans="1:4" x14ac:dyDescent="0.2">
      <c r="A15675" s="496"/>
      <c r="D15675" s="496"/>
    </row>
    <row r="15676" spans="1:4" x14ac:dyDescent="0.2">
      <c r="A15676" s="496"/>
      <c r="D15676" s="496"/>
    </row>
    <row r="15677" spans="1:4" x14ac:dyDescent="0.2">
      <c r="A15677" s="496"/>
      <c r="D15677" s="496"/>
    </row>
    <row r="15678" spans="1:4" x14ac:dyDescent="0.2">
      <c r="A15678" s="496"/>
      <c r="D15678" s="496"/>
    </row>
    <row r="15679" spans="1:4" x14ac:dyDescent="0.2">
      <c r="A15679" s="496"/>
      <c r="D15679" s="496"/>
    </row>
    <row r="15680" spans="1:4" x14ac:dyDescent="0.2">
      <c r="A15680" s="496"/>
      <c r="D15680" s="496"/>
    </row>
    <row r="15681" spans="1:4" x14ac:dyDescent="0.2">
      <c r="A15681" s="496"/>
      <c r="D15681" s="496"/>
    </row>
    <row r="15682" spans="1:4" x14ac:dyDescent="0.2">
      <c r="A15682" s="496"/>
      <c r="D15682" s="496"/>
    </row>
    <row r="15683" spans="1:4" x14ac:dyDescent="0.2">
      <c r="A15683" s="496"/>
      <c r="D15683" s="496"/>
    </row>
    <row r="15684" spans="1:4" x14ac:dyDescent="0.2">
      <c r="A15684" s="496"/>
      <c r="D15684" s="496"/>
    </row>
    <row r="15685" spans="1:4" x14ac:dyDescent="0.2">
      <c r="A15685" s="496"/>
      <c r="D15685" s="496"/>
    </row>
    <row r="15686" spans="1:4" x14ac:dyDescent="0.2">
      <c r="A15686" s="496"/>
      <c r="D15686" s="496"/>
    </row>
    <row r="15687" spans="1:4" x14ac:dyDescent="0.2">
      <c r="A15687" s="496"/>
      <c r="D15687" s="496"/>
    </row>
    <row r="15688" spans="1:4" x14ac:dyDescent="0.2">
      <c r="A15688" s="496"/>
      <c r="D15688" s="496"/>
    </row>
    <row r="15689" spans="1:4" x14ac:dyDescent="0.2">
      <c r="A15689" s="496"/>
      <c r="D15689" s="496"/>
    </row>
    <row r="15690" spans="1:4" x14ac:dyDescent="0.2">
      <c r="A15690" s="496"/>
      <c r="D15690" s="496"/>
    </row>
    <row r="15691" spans="1:4" x14ac:dyDescent="0.2">
      <c r="A15691" s="496"/>
      <c r="D15691" s="496"/>
    </row>
    <row r="15692" spans="1:4" x14ac:dyDescent="0.2">
      <c r="A15692" s="496"/>
      <c r="D15692" s="496"/>
    </row>
    <row r="15693" spans="1:4" x14ac:dyDescent="0.2">
      <c r="A15693" s="496"/>
      <c r="D15693" s="496"/>
    </row>
    <row r="15694" spans="1:4" x14ac:dyDescent="0.2">
      <c r="A15694" s="496"/>
      <c r="D15694" s="496"/>
    </row>
    <row r="15695" spans="1:4" x14ac:dyDescent="0.2">
      <c r="A15695" s="496"/>
      <c r="D15695" s="496"/>
    </row>
    <row r="15696" spans="1:4" x14ac:dyDescent="0.2">
      <c r="A15696" s="496"/>
      <c r="D15696" s="496"/>
    </row>
    <row r="15697" spans="1:4" x14ac:dyDescent="0.2">
      <c r="A15697" s="496"/>
      <c r="D15697" s="496"/>
    </row>
    <row r="15698" spans="1:4" x14ac:dyDescent="0.2">
      <c r="A15698" s="496"/>
      <c r="D15698" s="496"/>
    </row>
    <row r="15699" spans="1:4" x14ac:dyDescent="0.2">
      <c r="A15699" s="496"/>
      <c r="D15699" s="496"/>
    </row>
    <row r="15700" spans="1:4" x14ac:dyDescent="0.2">
      <c r="A15700" s="496"/>
      <c r="D15700" s="496"/>
    </row>
    <row r="15701" spans="1:4" x14ac:dyDescent="0.2">
      <c r="A15701" s="496"/>
      <c r="D15701" s="496"/>
    </row>
    <row r="15702" spans="1:4" x14ac:dyDescent="0.2">
      <c r="A15702" s="496"/>
      <c r="D15702" s="496"/>
    </row>
    <row r="15703" spans="1:4" x14ac:dyDescent="0.2">
      <c r="A15703" s="496"/>
      <c r="D15703" s="496"/>
    </row>
    <row r="15704" spans="1:4" x14ac:dyDescent="0.2">
      <c r="A15704" s="496"/>
      <c r="D15704" s="496"/>
    </row>
    <row r="15705" spans="1:4" x14ac:dyDescent="0.2">
      <c r="A15705" s="496"/>
      <c r="D15705" s="496"/>
    </row>
    <row r="15706" spans="1:4" x14ac:dyDescent="0.2">
      <c r="A15706" s="496"/>
      <c r="D15706" s="496"/>
    </row>
    <row r="15707" spans="1:4" x14ac:dyDescent="0.2">
      <c r="A15707" s="496"/>
      <c r="D15707" s="496"/>
    </row>
    <row r="15708" spans="1:4" x14ac:dyDescent="0.2">
      <c r="A15708" s="496"/>
      <c r="D15708" s="496"/>
    </row>
    <row r="15709" spans="1:4" x14ac:dyDescent="0.2">
      <c r="A15709" s="496"/>
      <c r="D15709" s="496"/>
    </row>
    <row r="15710" spans="1:4" x14ac:dyDescent="0.2">
      <c r="A15710" s="496"/>
      <c r="D15710" s="496"/>
    </row>
    <row r="15711" spans="1:4" x14ac:dyDescent="0.2">
      <c r="A15711" s="496"/>
      <c r="D15711" s="496"/>
    </row>
    <row r="15712" spans="1:4" x14ac:dyDescent="0.2">
      <c r="A15712" s="496"/>
      <c r="D15712" s="496"/>
    </row>
    <row r="15713" spans="1:4" x14ac:dyDescent="0.2">
      <c r="A15713" s="496"/>
      <c r="D15713" s="496"/>
    </row>
    <row r="15714" spans="1:4" x14ac:dyDescent="0.2">
      <c r="A15714" s="496"/>
      <c r="D15714" s="496"/>
    </row>
    <row r="15715" spans="1:4" x14ac:dyDescent="0.2">
      <c r="A15715" s="496"/>
      <c r="D15715" s="496"/>
    </row>
    <row r="15716" spans="1:4" x14ac:dyDescent="0.2">
      <c r="A15716" s="496"/>
      <c r="D15716" s="496"/>
    </row>
    <row r="15717" spans="1:4" x14ac:dyDescent="0.2">
      <c r="A15717" s="496"/>
      <c r="D15717" s="496"/>
    </row>
    <row r="15718" spans="1:4" x14ac:dyDescent="0.2">
      <c r="A15718" s="496"/>
      <c r="D15718" s="496"/>
    </row>
    <row r="15719" spans="1:4" x14ac:dyDescent="0.2">
      <c r="A15719" s="496"/>
      <c r="D15719" s="496"/>
    </row>
    <row r="15720" spans="1:4" x14ac:dyDescent="0.2">
      <c r="A15720" s="496"/>
      <c r="D15720" s="496"/>
    </row>
    <row r="15721" spans="1:4" x14ac:dyDescent="0.2">
      <c r="A15721" s="496"/>
      <c r="D15721" s="496"/>
    </row>
    <row r="15722" spans="1:4" x14ac:dyDescent="0.2">
      <c r="A15722" s="496"/>
      <c r="D15722" s="496"/>
    </row>
    <row r="15723" spans="1:4" x14ac:dyDescent="0.2">
      <c r="A15723" s="496"/>
      <c r="D15723" s="496"/>
    </row>
    <row r="15724" spans="1:4" x14ac:dyDescent="0.2">
      <c r="A15724" s="496"/>
      <c r="D15724" s="496"/>
    </row>
    <row r="15725" spans="1:4" x14ac:dyDescent="0.2">
      <c r="A15725" s="496"/>
      <c r="D15725" s="496"/>
    </row>
    <row r="15726" spans="1:4" x14ac:dyDescent="0.2">
      <c r="A15726" s="496"/>
      <c r="D15726" s="496"/>
    </row>
    <row r="15727" spans="1:4" x14ac:dyDescent="0.2">
      <c r="A15727" s="496"/>
      <c r="D15727" s="496"/>
    </row>
    <row r="15728" spans="1:4" x14ac:dyDescent="0.2">
      <c r="A15728" s="496"/>
      <c r="D15728" s="496"/>
    </row>
    <row r="15729" spans="1:4" x14ac:dyDescent="0.2">
      <c r="A15729" s="496"/>
      <c r="D15729" s="496"/>
    </row>
    <row r="15730" spans="1:4" x14ac:dyDescent="0.2">
      <c r="A15730" s="496"/>
      <c r="D15730" s="496"/>
    </row>
    <row r="15731" spans="1:4" x14ac:dyDescent="0.2">
      <c r="A15731" s="496"/>
      <c r="D15731" s="496"/>
    </row>
    <row r="15732" spans="1:4" x14ac:dyDescent="0.2">
      <c r="A15732" s="496"/>
      <c r="D15732" s="496"/>
    </row>
    <row r="15733" spans="1:4" x14ac:dyDescent="0.2">
      <c r="A15733" s="496"/>
      <c r="D15733" s="496"/>
    </row>
    <row r="15734" spans="1:4" x14ac:dyDescent="0.2">
      <c r="A15734" s="496"/>
      <c r="D15734" s="496"/>
    </row>
    <row r="15735" spans="1:4" x14ac:dyDescent="0.2">
      <c r="A15735" s="496"/>
      <c r="D15735" s="496"/>
    </row>
    <row r="15736" spans="1:4" x14ac:dyDescent="0.2">
      <c r="A15736" s="496"/>
      <c r="D15736" s="496"/>
    </row>
    <row r="15737" spans="1:4" x14ac:dyDescent="0.2">
      <c r="A15737" s="496"/>
      <c r="D15737" s="496"/>
    </row>
    <row r="15738" spans="1:4" x14ac:dyDescent="0.2">
      <c r="A15738" s="496"/>
      <c r="D15738" s="496"/>
    </row>
    <row r="15739" spans="1:4" x14ac:dyDescent="0.2">
      <c r="A15739" s="496"/>
      <c r="D15739" s="496"/>
    </row>
    <row r="15740" spans="1:4" x14ac:dyDescent="0.2">
      <c r="A15740" s="496"/>
      <c r="D15740" s="496"/>
    </row>
    <row r="15741" spans="1:4" x14ac:dyDescent="0.2">
      <c r="A15741" s="496"/>
      <c r="D15741" s="496"/>
    </row>
    <row r="15742" spans="1:4" x14ac:dyDescent="0.2">
      <c r="A15742" s="496"/>
      <c r="D15742" s="496"/>
    </row>
    <row r="15743" spans="1:4" x14ac:dyDescent="0.2">
      <c r="A15743" s="496"/>
      <c r="D15743" s="496"/>
    </row>
    <row r="15744" spans="1:4" x14ac:dyDescent="0.2">
      <c r="A15744" s="496"/>
      <c r="D15744" s="496"/>
    </row>
    <row r="15745" spans="1:4" x14ac:dyDescent="0.2">
      <c r="A15745" s="496"/>
      <c r="D15745" s="496"/>
    </row>
    <row r="15746" spans="1:4" x14ac:dyDescent="0.2">
      <c r="A15746" s="496"/>
      <c r="D15746" s="496"/>
    </row>
    <row r="15747" spans="1:4" x14ac:dyDescent="0.2">
      <c r="A15747" s="496"/>
      <c r="D15747" s="496"/>
    </row>
    <row r="15748" spans="1:4" x14ac:dyDescent="0.2">
      <c r="A15748" s="496"/>
      <c r="D15748" s="496"/>
    </row>
    <row r="15749" spans="1:4" x14ac:dyDescent="0.2">
      <c r="A15749" s="496"/>
      <c r="D15749" s="496"/>
    </row>
    <row r="15750" spans="1:4" x14ac:dyDescent="0.2">
      <c r="A15750" s="496"/>
      <c r="D15750" s="496"/>
    </row>
    <row r="15751" spans="1:4" x14ac:dyDescent="0.2">
      <c r="A15751" s="496"/>
      <c r="D15751" s="496"/>
    </row>
    <row r="15752" spans="1:4" x14ac:dyDescent="0.2">
      <c r="A15752" s="496"/>
      <c r="D15752" s="496"/>
    </row>
    <row r="15753" spans="1:4" x14ac:dyDescent="0.2">
      <c r="A15753" s="496"/>
      <c r="D15753" s="496"/>
    </row>
    <row r="15754" spans="1:4" x14ac:dyDescent="0.2">
      <c r="A15754" s="496"/>
      <c r="D15754" s="496"/>
    </row>
    <row r="15755" spans="1:4" x14ac:dyDescent="0.2">
      <c r="A15755" s="496"/>
      <c r="D15755" s="496"/>
    </row>
    <row r="15756" spans="1:4" x14ac:dyDescent="0.2">
      <c r="A15756" s="496"/>
      <c r="D15756" s="496"/>
    </row>
    <row r="15757" spans="1:4" x14ac:dyDescent="0.2">
      <c r="A15757" s="496"/>
      <c r="D15757" s="496"/>
    </row>
    <row r="15758" spans="1:4" x14ac:dyDescent="0.2">
      <c r="A15758" s="496"/>
      <c r="D15758" s="496"/>
    </row>
    <row r="15759" spans="1:4" x14ac:dyDescent="0.2">
      <c r="A15759" s="496"/>
      <c r="D15759" s="496"/>
    </row>
    <row r="15760" spans="1:4" x14ac:dyDescent="0.2">
      <c r="A15760" s="496"/>
      <c r="D15760" s="496"/>
    </row>
    <row r="15761" spans="1:4" x14ac:dyDescent="0.2">
      <c r="A15761" s="496"/>
      <c r="D15761" s="496"/>
    </row>
    <row r="15762" spans="1:4" x14ac:dyDescent="0.2">
      <c r="A15762" s="496"/>
      <c r="D15762" s="496"/>
    </row>
    <row r="15763" spans="1:4" x14ac:dyDescent="0.2">
      <c r="A15763" s="496"/>
      <c r="D15763" s="496"/>
    </row>
    <row r="15764" spans="1:4" x14ac:dyDescent="0.2">
      <c r="A15764" s="496"/>
      <c r="D15764" s="496"/>
    </row>
    <row r="15765" spans="1:4" x14ac:dyDescent="0.2">
      <c r="A15765" s="496"/>
      <c r="D15765" s="496"/>
    </row>
    <row r="15766" spans="1:4" x14ac:dyDescent="0.2">
      <c r="A15766" s="496"/>
      <c r="D15766" s="496"/>
    </row>
    <row r="15767" spans="1:4" x14ac:dyDescent="0.2">
      <c r="A15767" s="496"/>
      <c r="D15767" s="496"/>
    </row>
    <row r="15768" spans="1:4" x14ac:dyDescent="0.2">
      <c r="A15768" s="496"/>
      <c r="D15768" s="496"/>
    </row>
    <row r="15769" spans="1:4" x14ac:dyDescent="0.2">
      <c r="A15769" s="496"/>
      <c r="D15769" s="496"/>
    </row>
    <row r="15770" spans="1:4" x14ac:dyDescent="0.2">
      <c r="A15770" s="496"/>
      <c r="D15770" s="496"/>
    </row>
    <row r="15771" spans="1:4" x14ac:dyDescent="0.2">
      <c r="A15771" s="496"/>
      <c r="D15771" s="496"/>
    </row>
    <row r="15772" spans="1:4" x14ac:dyDescent="0.2">
      <c r="A15772" s="496"/>
      <c r="D15772" s="496"/>
    </row>
    <row r="15773" spans="1:4" x14ac:dyDescent="0.2">
      <c r="A15773" s="496"/>
      <c r="D15773" s="496"/>
    </row>
    <row r="15774" spans="1:4" x14ac:dyDescent="0.2">
      <c r="A15774" s="496"/>
      <c r="D15774" s="496"/>
    </row>
    <row r="15775" spans="1:4" x14ac:dyDescent="0.2">
      <c r="A15775" s="496"/>
      <c r="D15775" s="496"/>
    </row>
    <row r="15776" spans="1:4" x14ac:dyDescent="0.2">
      <c r="A15776" s="496"/>
      <c r="D15776" s="496"/>
    </row>
    <row r="15777" spans="1:4" x14ac:dyDescent="0.2">
      <c r="A15777" s="496"/>
      <c r="D15777" s="496"/>
    </row>
    <row r="15778" spans="1:4" x14ac:dyDescent="0.2">
      <c r="A15778" s="496"/>
      <c r="D15778" s="496"/>
    </row>
    <row r="15779" spans="1:4" x14ac:dyDescent="0.2">
      <c r="A15779" s="496"/>
      <c r="D15779" s="496"/>
    </row>
    <row r="15780" spans="1:4" x14ac:dyDescent="0.2">
      <c r="A15780" s="496"/>
      <c r="D15780" s="496"/>
    </row>
    <row r="15781" spans="1:4" x14ac:dyDescent="0.2">
      <c r="A15781" s="496"/>
      <c r="D15781" s="496"/>
    </row>
    <row r="15782" spans="1:4" x14ac:dyDescent="0.2">
      <c r="A15782" s="496"/>
      <c r="D15782" s="496"/>
    </row>
    <row r="15783" spans="1:4" x14ac:dyDescent="0.2">
      <c r="A15783" s="496"/>
      <c r="D15783" s="496"/>
    </row>
    <row r="15784" spans="1:4" x14ac:dyDescent="0.2">
      <c r="A15784" s="496"/>
      <c r="D15784" s="496"/>
    </row>
    <row r="15785" spans="1:4" x14ac:dyDescent="0.2">
      <c r="A15785" s="496"/>
      <c r="D15785" s="496"/>
    </row>
    <row r="15786" spans="1:4" x14ac:dyDescent="0.2">
      <c r="A15786" s="496"/>
      <c r="D15786" s="496"/>
    </row>
    <row r="15787" spans="1:4" x14ac:dyDescent="0.2">
      <c r="A15787" s="496"/>
      <c r="D15787" s="496"/>
    </row>
    <row r="15788" spans="1:4" x14ac:dyDescent="0.2">
      <c r="A15788" s="496"/>
      <c r="D15788" s="496"/>
    </row>
    <row r="15789" spans="1:4" x14ac:dyDescent="0.2">
      <c r="A15789" s="496"/>
      <c r="D15789" s="496"/>
    </row>
    <row r="15790" spans="1:4" x14ac:dyDescent="0.2">
      <c r="A15790" s="496"/>
      <c r="D15790" s="496"/>
    </row>
    <row r="15791" spans="1:4" x14ac:dyDescent="0.2">
      <c r="A15791" s="496"/>
      <c r="D15791" s="496"/>
    </row>
    <row r="15792" spans="1:4" x14ac:dyDescent="0.2">
      <c r="A15792" s="496"/>
      <c r="D15792" s="496"/>
    </row>
    <row r="15793" spans="1:4" x14ac:dyDescent="0.2">
      <c r="A15793" s="496"/>
      <c r="D15793" s="496"/>
    </row>
    <row r="15794" spans="1:4" x14ac:dyDescent="0.2">
      <c r="A15794" s="496"/>
      <c r="D15794" s="496"/>
    </row>
    <row r="15795" spans="1:4" x14ac:dyDescent="0.2">
      <c r="A15795" s="496"/>
      <c r="D15795" s="496"/>
    </row>
    <row r="15796" spans="1:4" x14ac:dyDescent="0.2">
      <c r="A15796" s="496"/>
      <c r="D15796" s="496"/>
    </row>
    <row r="15797" spans="1:4" x14ac:dyDescent="0.2">
      <c r="A15797" s="496"/>
      <c r="D15797" s="496"/>
    </row>
    <row r="15798" spans="1:4" x14ac:dyDescent="0.2">
      <c r="A15798" s="496"/>
      <c r="D15798" s="496"/>
    </row>
    <row r="15799" spans="1:4" x14ac:dyDescent="0.2">
      <c r="A15799" s="496"/>
      <c r="D15799" s="496"/>
    </row>
    <row r="15800" spans="1:4" x14ac:dyDescent="0.2">
      <c r="A15800" s="496"/>
      <c r="D15800" s="496"/>
    </row>
    <row r="15801" spans="1:4" x14ac:dyDescent="0.2">
      <c r="A15801" s="496"/>
      <c r="D15801" s="496"/>
    </row>
    <row r="15802" spans="1:4" x14ac:dyDescent="0.2">
      <c r="A15802" s="496"/>
      <c r="D15802" s="496"/>
    </row>
    <row r="15803" spans="1:4" x14ac:dyDescent="0.2">
      <c r="A15803" s="496"/>
      <c r="D15803" s="496"/>
    </row>
    <row r="15804" spans="1:4" x14ac:dyDescent="0.2">
      <c r="A15804" s="496"/>
      <c r="D15804" s="496"/>
    </row>
    <row r="15805" spans="1:4" x14ac:dyDescent="0.2">
      <c r="A15805" s="496"/>
      <c r="D15805" s="496"/>
    </row>
    <row r="15806" spans="1:4" x14ac:dyDescent="0.2">
      <c r="A15806" s="496"/>
      <c r="D15806" s="496"/>
    </row>
    <row r="15807" spans="1:4" x14ac:dyDescent="0.2">
      <c r="A15807" s="496"/>
      <c r="D15807" s="496"/>
    </row>
    <row r="15808" spans="1:4" x14ac:dyDescent="0.2">
      <c r="A15808" s="496"/>
      <c r="D15808" s="496"/>
    </row>
    <row r="15809" spans="1:4" x14ac:dyDescent="0.2">
      <c r="A15809" s="496"/>
      <c r="D15809" s="496"/>
    </row>
    <row r="15810" spans="1:4" x14ac:dyDescent="0.2">
      <c r="A15810" s="496"/>
      <c r="D15810" s="496"/>
    </row>
    <row r="15811" spans="1:4" x14ac:dyDescent="0.2">
      <c r="A15811" s="496"/>
      <c r="D15811" s="496"/>
    </row>
    <row r="15812" spans="1:4" x14ac:dyDescent="0.2">
      <c r="A15812" s="496"/>
      <c r="D15812" s="496"/>
    </row>
    <row r="15813" spans="1:4" x14ac:dyDescent="0.2">
      <c r="A15813" s="496"/>
      <c r="D15813" s="496"/>
    </row>
    <row r="15814" spans="1:4" x14ac:dyDescent="0.2">
      <c r="A15814" s="496"/>
      <c r="D15814" s="496"/>
    </row>
    <row r="15815" spans="1:4" x14ac:dyDescent="0.2">
      <c r="A15815" s="496"/>
      <c r="D15815" s="496"/>
    </row>
    <row r="15816" spans="1:4" x14ac:dyDescent="0.2">
      <c r="A15816" s="496"/>
      <c r="D15816" s="496"/>
    </row>
    <row r="15817" spans="1:4" x14ac:dyDescent="0.2">
      <c r="A15817" s="496"/>
      <c r="D15817" s="496"/>
    </row>
    <row r="15818" spans="1:4" x14ac:dyDescent="0.2">
      <c r="A15818" s="496"/>
      <c r="D15818" s="496"/>
    </row>
    <row r="15819" spans="1:4" x14ac:dyDescent="0.2">
      <c r="A15819" s="496"/>
      <c r="D15819" s="496"/>
    </row>
    <row r="15820" spans="1:4" x14ac:dyDescent="0.2">
      <c r="A15820" s="496"/>
      <c r="D15820" s="496"/>
    </row>
    <row r="15821" spans="1:4" x14ac:dyDescent="0.2">
      <c r="A15821" s="496"/>
      <c r="D15821" s="496"/>
    </row>
    <row r="15822" spans="1:4" x14ac:dyDescent="0.2">
      <c r="A15822" s="496"/>
      <c r="D15822" s="496"/>
    </row>
    <row r="15823" spans="1:4" x14ac:dyDescent="0.2">
      <c r="A15823" s="496"/>
      <c r="D15823" s="496"/>
    </row>
    <row r="15824" spans="1:4" x14ac:dyDescent="0.2">
      <c r="A15824" s="496"/>
      <c r="D15824" s="496"/>
    </row>
    <row r="15825" spans="1:4" x14ac:dyDescent="0.2">
      <c r="A15825" s="496"/>
      <c r="D15825" s="496"/>
    </row>
    <row r="15826" spans="1:4" x14ac:dyDescent="0.2">
      <c r="A15826" s="496"/>
      <c r="D15826" s="496"/>
    </row>
    <row r="15827" spans="1:4" x14ac:dyDescent="0.2">
      <c r="A15827" s="496"/>
      <c r="D15827" s="496"/>
    </row>
    <row r="15828" spans="1:4" x14ac:dyDescent="0.2">
      <c r="A15828" s="496"/>
      <c r="D15828" s="496"/>
    </row>
    <row r="15829" spans="1:4" x14ac:dyDescent="0.2">
      <c r="A15829" s="496"/>
      <c r="D15829" s="496"/>
    </row>
    <row r="15830" spans="1:4" x14ac:dyDescent="0.2">
      <c r="A15830" s="496"/>
      <c r="D15830" s="496"/>
    </row>
    <row r="15831" spans="1:4" x14ac:dyDescent="0.2">
      <c r="A15831" s="496"/>
      <c r="D15831" s="496"/>
    </row>
    <row r="15832" spans="1:4" x14ac:dyDescent="0.2">
      <c r="A15832" s="496"/>
      <c r="D15832" s="496"/>
    </row>
    <row r="15833" spans="1:4" x14ac:dyDescent="0.2">
      <c r="A15833" s="496"/>
      <c r="D15833" s="496"/>
    </row>
    <row r="15834" spans="1:4" x14ac:dyDescent="0.2">
      <c r="A15834" s="496"/>
      <c r="D15834" s="496"/>
    </row>
    <row r="15835" spans="1:4" x14ac:dyDescent="0.2">
      <c r="A15835" s="496"/>
      <c r="D15835" s="496"/>
    </row>
    <row r="15836" spans="1:4" x14ac:dyDescent="0.2">
      <c r="A15836" s="496"/>
      <c r="D15836" s="496"/>
    </row>
    <row r="15837" spans="1:4" x14ac:dyDescent="0.2">
      <c r="A15837" s="496"/>
      <c r="D15837" s="496"/>
    </row>
    <row r="15838" spans="1:4" x14ac:dyDescent="0.2">
      <c r="A15838" s="496"/>
      <c r="D15838" s="496"/>
    </row>
    <row r="15839" spans="1:4" x14ac:dyDescent="0.2">
      <c r="A15839" s="496"/>
      <c r="D15839" s="496"/>
    </row>
    <row r="15840" spans="1:4" x14ac:dyDescent="0.2">
      <c r="A15840" s="496"/>
      <c r="D15840" s="496"/>
    </row>
    <row r="15841" spans="1:4" x14ac:dyDescent="0.2">
      <c r="A15841" s="496"/>
      <c r="D15841" s="496"/>
    </row>
    <row r="15842" spans="1:4" x14ac:dyDescent="0.2">
      <c r="A15842" s="496"/>
      <c r="D15842" s="496"/>
    </row>
    <row r="15843" spans="1:4" x14ac:dyDescent="0.2">
      <c r="A15843" s="496"/>
      <c r="D15843" s="496"/>
    </row>
    <row r="15844" spans="1:4" x14ac:dyDescent="0.2">
      <c r="A15844" s="496"/>
      <c r="D15844" s="496"/>
    </row>
    <row r="15845" spans="1:4" x14ac:dyDescent="0.2">
      <c r="A15845" s="496"/>
      <c r="D15845" s="496"/>
    </row>
    <row r="15846" spans="1:4" x14ac:dyDescent="0.2">
      <c r="A15846" s="496"/>
      <c r="D15846" s="496"/>
    </row>
    <row r="15847" spans="1:4" x14ac:dyDescent="0.2">
      <c r="A15847" s="496"/>
      <c r="D15847" s="496"/>
    </row>
    <row r="15848" spans="1:4" x14ac:dyDescent="0.2">
      <c r="A15848" s="496"/>
      <c r="D15848" s="496"/>
    </row>
    <row r="15849" spans="1:4" x14ac:dyDescent="0.2">
      <c r="A15849" s="496"/>
      <c r="D15849" s="496"/>
    </row>
    <row r="15850" spans="1:4" x14ac:dyDescent="0.2">
      <c r="A15850" s="496"/>
      <c r="D15850" s="496"/>
    </row>
    <row r="15851" spans="1:4" x14ac:dyDescent="0.2">
      <c r="A15851" s="496"/>
      <c r="D15851" s="496"/>
    </row>
    <row r="15852" spans="1:4" x14ac:dyDescent="0.2">
      <c r="A15852" s="496"/>
      <c r="D15852" s="496"/>
    </row>
    <row r="15853" spans="1:4" x14ac:dyDescent="0.2">
      <c r="A15853" s="496"/>
      <c r="D15853" s="496"/>
    </row>
    <row r="15854" spans="1:4" x14ac:dyDescent="0.2">
      <c r="A15854" s="496"/>
      <c r="D15854" s="496"/>
    </row>
    <row r="15855" spans="1:4" x14ac:dyDescent="0.2">
      <c r="A15855" s="496"/>
      <c r="D15855" s="496"/>
    </row>
    <row r="15856" spans="1:4" x14ac:dyDescent="0.2">
      <c r="A15856" s="496"/>
      <c r="D15856" s="496"/>
    </row>
    <row r="15857" spans="1:4" x14ac:dyDescent="0.2">
      <c r="A15857" s="496"/>
      <c r="D15857" s="496"/>
    </row>
    <row r="15858" spans="1:4" x14ac:dyDescent="0.2">
      <c r="A15858" s="496"/>
      <c r="D15858" s="496"/>
    </row>
    <row r="15859" spans="1:4" x14ac:dyDescent="0.2">
      <c r="A15859" s="496"/>
      <c r="D15859" s="496"/>
    </row>
    <row r="15860" spans="1:4" x14ac:dyDescent="0.2">
      <c r="A15860" s="496"/>
      <c r="D15860" s="496"/>
    </row>
    <row r="15861" spans="1:4" x14ac:dyDescent="0.2">
      <c r="A15861" s="496"/>
      <c r="D15861" s="496"/>
    </row>
    <row r="15862" spans="1:4" x14ac:dyDescent="0.2">
      <c r="A15862" s="496"/>
      <c r="D15862" s="496"/>
    </row>
    <row r="15863" spans="1:4" x14ac:dyDescent="0.2">
      <c r="A15863" s="496"/>
      <c r="D15863" s="496"/>
    </row>
    <row r="15864" spans="1:4" x14ac:dyDescent="0.2">
      <c r="A15864" s="496"/>
      <c r="D15864" s="496"/>
    </row>
    <row r="15865" spans="1:4" x14ac:dyDescent="0.2">
      <c r="A15865" s="496"/>
      <c r="D15865" s="496"/>
    </row>
    <row r="15866" spans="1:4" x14ac:dyDescent="0.2">
      <c r="A15866" s="496"/>
      <c r="D15866" s="496"/>
    </row>
    <row r="15867" spans="1:4" x14ac:dyDescent="0.2">
      <c r="A15867" s="496"/>
      <c r="D15867" s="496"/>
    </row>
    <row r="15868" spans="1:4" x14ac:dyDescent="0.2">
      <c r="A15868" s="496"/>
      <c r="D15868" s="496"/>
    </row>
    <row r="15869" spans="1:4" x14ac:dyDescent="0.2">
      <c r="A15869" s="496"/>
      <c r="D15869" s="496"/>
    </row>
    <row r="15870" spans="1:4" x14ac:dyDescent="0.2">
      <c r="A15870" s="496"/>
      <c r="D15870" s="496"/>
    </row>
    <row r="15871" spans="1:4" x14ac:dyDescent="0.2">
      <c r="A15871" s="496"/>
      <c r="D15871" s="496"/>
    </row>
    <row r="15872" spans="1:4" x14ac:dyDescent="0.2">
      <c r="A15872" s="496"/>
      <c r="D15872" s="496"/>
    </row>
    <row r="15873" spans="1:4" x14ac:dyDescent="0.2">
      <c r="A15873" s="496"/>
      <c r="D15873" s="496"/>
    </row>
    <row r="15874" spans="1:4" x14ac:dyDescent="0.2">
      <c r="A15874" s="496"/>
      <c r="D15874" s="496"/>
    </row>
    <row r="15875" spans="1:4" x14ac:dyDescent="0.2">
      <c r="A15875" s="496"/>
      <c r="D15875" s="496"/>
    </row>
    <row r="15876" spans="1:4" x14ac:dyDescent="0.2">
      <c r="A15876" s="496"/>
      <c r="D15876" s="496"/>
    </row>
    <row r="15877" spans="1:4" x14ac:dyDescent="0.2">
      <c r="A15877" s="496"/>
      <c r="D15877" s="496"/>
    </row>
    <row r="15878" spans="1:4" x14ac:dyDescent="0.2">
      <c r="A15878" s="496"/>
      <c r="D15878" s="496"/>
    </row>
    <row r="15879" spans="1:4" x14ac:dyDescent="0.2">
      <c r="A15879" s="496"/>
      <c r="D15879" s="496"/>
    </row>
    <row r="15880" spans="1:4" x14ac:dyDescent="0.2">
      <c r="A15880" s="496"/>
      <c r="D15880" s="496"/>
    </row>
    <row r="15881" spans="1:4" x14ac:dyDescent="0.2">
      <c r="A15881" s="496"/>
      <c r="D15881" s="496"/>
    </row>
    <row r="15882" spans="1:4" x14ac:dyDescent="0.2">
      <c r="A15882" s="496"/>
      <c r="D15882" s="496"/>
    </row>
    <row r="15883" spans="1:4" x14ac:dyDescent="0.2">
      <c r="A15883" s="496"/>
      <c r="D15883" s="496"/>
    </row>
    <row r="15884" spans="1:4" x14ac:dyDescent="0.2">
      <c r="A15884" s="496"/>
      <c r="D15884" s="496"/>
    </row>
    <row r="15885" spans="1:4" x14ac:dyDescent="0.2">
      <c r="A15885" s="496"/>
      <c r="D15885" s="496"/>
    </row>
    <row r="15886" spans="1:4" x14ac:dyDescent="0.2">
      <c r="A15886" s="496"/>
      <c r="D15886" s="496"/>
    </row>
    <row r="15887" spans="1:4" x14ac:dyDescent="0.2">
      <c r="A15887" s="496"/>
      <c r="D15887" s="496"/>
    </row>
    <row r="15888" spans="1:4" x14ac:dyDescent="0.2">
      <c r="A15888" s="496"/>
      <c r="D15888" s="496"/>
    </row>
    <row r="15889" spans="1:4" x14ac:dyDescent="0.2">
      <c r="A15889" s="496"/>
      <c r="D15889" s="496"/>
    </row>
    <row r="15890" spans="1:4" x14ac:dyDescent="0.2">
      <c r="A15890" s="496"/>
      <c r="D15890" s="496"/>
    </row>
    <row r="15891" spans="1:4" x14ac:dyDescent="0.2">
      <c r="A15891" s="496"/>
      <c r="D15891" s="496"/>
    </row>
    <row r="15892" spans="1:4" x14ac:dyDescent="0.2">
      <c r="A15892" s="496"/>
      <c r="D15892" s="496"/>
    </row>
    <row r="15893" spans="1:4" x14ac:dyDescent="0.2">
      <c r="A15893" s="496"/>
      <c r="D15893" s="496"/>
    </row>
    <row r="15894" spans="1:4" x14ac:dyDescent="0.2">
      <c r="A15894" s="496"/>
      <c r="D15894" s="496"/>
    </row>
    <row r="15895" spans="1:4" x14ac:dyDescent="0.2">
      <c r="A15895" s="496"/>
      <c r="D15895" s="496"/>
    </row>
    <row r="15896" spans="1:4" x14ac:dyDescent="0.2">
      <c r="A15896" s="496"/>
      <c r="D15896" s="496"/>
    </row>
    <row r="15897" spans="1:4" x14ac:dyDescent="0.2">
      <c r="A15897" s="496"/>
      <c r="D15897" s="496"/>
    </row>
    <row r="15898" spans="1:4" x14ac:dyDescent="0.2">
      <c r="A15898" s="496"/>
      <c r="D15898" s="496"/>
    </row>
    <row r="15899" spans="1:4" x14ac:dyDescent="0.2">
      <c r="A15899" s="496"/>
      <c r="D15899" s="496"/>
    </row>
    <row r="15900" spans="1:4" x14ac:dyDescent="0.2">
      <c r="A15900" s="496"/>
      <c r="D15900" s="496"/>
    </row>
    <row r="15901" spans="1:4" x14ac:dyDescent="0.2">
      <c r="A15901" s="496"/>
      <c r="D15901" s="496"/>
    </row>
    <row r="15902" spans="1:4" x14ac:dyDescent="0.2">
      <c r="A15902" s="496"/>
      <c r="D15902" s="496"/>
    </row>
    <row r="15903" spans="1:4" x14ac:dyDescent="0.2">
      <c r="A15903" s="496"/>
      <c r="D15903" s="496"/>
    </row>
    <row r="15904" spans="1:4" x14ac:dyDescent="0.2">
      <c r="A15904" s="496"/>
      <c r="D15904" s="496"/>
    </row>
    <row r="15905" spans="1:4" x14ac:dyDescent="0.2">
      <c r="A15905" s="496"/>
      <c r="D15905" s="496"/>
    </row>
    <row r="15906" spans="1:4" x14ac:dyDescent="0.2">
      <c r="A15906" s="496"/>
      <c r="D15906" s="496"/>
    </row>
    <row r="15907" spans="1:4" x14ac:dyDescent="0.2">
      <c r="A15907" s="496"/>
      <c r="D15907" s="496"/>
    </row>
    <row r="15908" spans="1:4" x14ac:dyDescent="0.2">
      <c r="A15908" s="496"/>
      <c r="D15908" s="496"/>
    </row>
    <row r="15909" spans="1:4" x14ac:dyDescent="0.2">
      <c r="A15909" s="496"/>
      <c r="D15909" s="496"/>
    </row>
    <row r="15910" spans="1:4" x14ac:dyDescent="0.2">
      <c r="A15910" s="496"/>
      <c r="D15910" s="496"/>
    </row>
    <row r="15911" spans="1:4" x14ac:dyDescent="0.2">
      <c r="A15911" s="496"/>
      <c r="D15911" s="496"/>
    </row>
    <row r="15912" spans="1:4" x14ac:dyDescent="0.2">
      <c r="A15912" s="496"/>
      <c r="D15912" s="496"/>
    </row>
    <row r="15913" spans="1:4" x14ac:dyDescent="0.2">
      <c r="A15913" s="496"/>
      <c r="D15913" s="496"/>
    </row>
    <row r="15914" spans="1:4" x14ac:dyDescent="0.2">
      <c r="A15914" s="496"/>
      <c r="D15914" s="496"/>
    </row>
    <row r="15915" spans="1:4" x14ac:dyDescent="0.2">
      <c r="A15915" s="496"/>
      <c r="D15915" s="496"/>
    </row>
    <row r="15916" spans="1:4" x14ac:dyDescent="0.2">
      <c r="A15916" s="496"/>
      <c r="D15916" s="496"/>
    </row>
    <row r="15917" spans="1:4" x14ac:dyDescent="0.2">
      <c r="A15917" s="496"/>
      <c r="D15917" s="496"/>
    </row>
    <row r="15918" spans="1:4" x14ac:dyDescent="0.2">
      <c r="A15918" s="496"/>
      <c r="D15918" s="496"/>
    </row>
    <row r="15919" spans="1:4" x14ac:dyDescent="0.2">
      <c r="A15919" s="496"/>
      <c r="D15919" s="496"/>
    </row>
    <row r="15920" spans="1:4" x14ac:dyDescent="0.2">
      <c r="A15920" s="496"/>
      <c r="D15920" s="496"/>
    </row>
    <row r="15921" spans="1:4" x14ac:dyDescent="0.2">
      <c r="A15921" s="496"/>
      <c r="D15921" s="496"/>
    </row>
    <row r="15922" spans="1:4" x14ac:dyDescent="0.2">
      <c r="A15922" s="496"/>
      <c r="D15922" s="496"/>
    </row>
    <row r="15923" spans="1:4" x14ac:dyDescent="0.2">
      <c r="A15923" s="496"/>
      <c r="D15923" s="496"/>
    </row>
    <row r="15924" spans="1:4" x14ac:dyDescent="0.2">
      <c r="A15924" s="496"/>
      <c r="D15924" s="496"/>
    </row>
    <row r="15925" spans="1:4" x14ac:dyDescent="0.2">
      <c r="A15925" s="496"/>
      <c r="D15925" s="496"/>
    </row>
    <row r="15926" spans="1:4" x14ac:dyDescent="0.2">
      <c r="A15926" s="496"/>
      <c r="D15926" s="496"/>
    </row>
    <row r="15927" spans="1:4" x14ac:dyDescent="0.2">
      <c r="A15927" s="496"/>
      <c r="D15927" s="496"/>
    </row>
    <row r="15928" spans="1:4" x14ac:dyDescent="0.2">
      <c r="A15928" s="496"/>
      <c r="D15928" s="496"/>
    </row>
    <row r="15929" spans="1:4" x14ac:dyDescent="0.2">
      <c r="A15929" s="496"/>
      <c r="D15929" s="496"/>
    </row>
    <row r="15930" spans="1:4" x14ac:dyDescent="0.2">
      <c r="A15930" s="496"/>
      <c r="D15930" s="496"/>
    </row>
    <row r="15931" spans="1:4" x14ac:dyDescent="0.2">
      <c r="A15931" s="496"/>
      <c r="D15931" s="496"/>
    </row>
    <row r="15932" spans="1:4" x14ac:dyDescent="0.2">
      <c r="A15932" s="496"/>
      <c r="D15932" s="496"/>
    </row>
    <row r="15933" spans="1:4" x14ac:dyDescent="0.2">
      <c r="A15933" s="496"/>
      <c r="D15933" s="496"/>
    </row>
    <row r="15934" spans="1:4" x14ac:dyDescent="0.2">
      <c r="A15934" s="496"/>
      <c r="D15934" s="496"/>
    </row>
    <row r="15935" spans="1:4" x14ac:dyDescent="0.2">
      <c r="A15935" s="496"/>
      <c r="D15935" s="496"/>
    </row>
    <row r="15936" spans="1:4" x14ac:dyDescent="0.2">
      <c r="A15936" s="496"/>
      <c r="D15936" s="496"/>
    </row>
    <row r="15937" spans="1:4" x14ac:dyDescent="0.2">
      <c r="A15937" s="496"/>
      <c r="D15937" s="496"/>
    </row>
    <row r="15938" spans="1:4" x14ac:dyDescent="0.2">
      <c r="A15938" s="496"/>
      <c r="D15938" s="496"/>
    </row>
    <row r="15939" spans="1:4" x14ac:dyDescent="0.2">
      <c r="A15939" s="496"/>
      <c r="D15939" s="496"/>
    </row>
    <row r="15940" spans="1:4" x14ac:dyDescent="0.2">
      <c r="A15940" s="496"/>
      <c r="D15940" s="496"/>
    </row>
    <row r="15941" spans="1:4" x14ac:dyDescent="0.2">
      <c r="A15941" s="496"/>
      <c r="D15941" s="496"/>
    </row>
    <row r="15942" spans="1:4" x14ac:dyDescent="0.2">
      <c r="A15942" s="496"/>
      <c r="D15942" s="496"/>
    </row>
    <row r="15943" spans="1:4" x14ac:dyDescent="0.2">
      <c r="A15943" s="496"/>
      <c r="D15943" s="496"/>
    </row>
    <row r="15944" spans="1:4" x14ac:dyDescent="0.2">
      <c r="A15944" s="496"/>
      <c r="D15944" s="496"/>
    </row>
    <row r="15945" spans="1:4" x14ac:dyDescent="0.2">
      <c r="A15945" s="496"/>
      <c r="D15945" s="496"/>
    </row>
    <row r="15946" spans="1:4" x14ac:dyDescent="0.2">
      <c r="A15946" s="496"/>
      <c r="D15946" s="496"/>
    </row>
    <row r="15947" spans="1:4" x14ac:dyDescent="0.2">
      <c r="A15947" s="496"/>
      <c r="D15947" s="496"/>
    </row>
    <row r="15948" spans="1:4" x14ac:dyDescent="0.2">
      <c r="A15948" s="496"/>
      <c r="D15948" s="496"/>
    </row>
    <row r="15949" spans="1:4" x14ac:dyDescent="0.2">
      <c r="A15949" s="496"/>
      <c r="D15949" s="496"/>
    </row>
    <row r="15950" spans="1:4" x14ac:dyDescent="0.2">
      <c r="A15950" s="496"/>
      <c r="D15950" s="496"/>
    </row>
    <row r="15951" spans="1:4" x14ac:dyDescent="0.2">
      <c r="A15951" s="496"/>
      <c r="D15951" s="496"/>
    </row>
    <row r="15952" spans="1:4" x14ac:dyDescent="0.2">
      <c r="A15952" s="496"/>
      <c r="D15952" s="496"/>
    </row>
    <row r="15953" spans="1:4" x14ac:dyDescent="0.2">
      <c r="A15953" s="496"/>
      <c r="D15953" s="496"/>
    </row>
    <row r="15954" spans="1:4" x14ac:dyDescent="0.2">
      <c r="A15954" s="496"/>
      <c r="D15954" s="496"/>
    </row>
    <row r="15955" spans="1:4" x14ac:dyDescent="0.2">
      <c r="A15955" s="496"/>
      <c r="D15955" s="496"/>
    </row>
    <row r="15956" spans="1:4" x14ac:dyDescent="0.2">
      <c r="A15956" s="496"/>
      <c r="D15956" s="496"/>
    </row>
    <row r="15957" spans="1:4" x14ac:dyDescent="0.2">
      <c r="A15957" s="496"/>
      <c r="D15957" s="496"/>
    </row>
    <row r="15958" spans="1:4" x14ac:dyDescent="0.2">
      <c r="A15958" s="496"/>
      <c r="D15958" s="496"/>
    </row>
    <row r="15959" spans="1:4" x14ac:dyDescent="0.2">
      <c r="A15959" s="496"/>
      <c r="D15959" s="496"/>
    </row>
    <row r="15960" spans="1:4" x14ac:dyDescent="0.2">
      <c r="A15960" s="496"/>
      <c r="D15960" s="496"/>
    </row>
    <row r="15961" spans="1:4" x14ac:dyDescent="0.2">
      <c r="A15961" s="496"/>
      <c r="D15961" s="496"/>
    </row>
    <row r="15962" spans="1:4" x14ac:dyDescent="0.2">
      <c r="A15962" s="496"/>
      <c r="D15962" s="496"/>
    </row>
    <row r="15963" spans="1:4" x14ac:dyDescent="0.2">
      <c r="A15963" s="496"/>
      <c r="D15963" s="496"/>
    </row>
    <row r="15964" spans="1:4" x14ac:dyDescent="0.2">
      <c r="A15964" s="496"/>
      <c r="D15964" s="496"/>
    </row>
    <row r="15965" spans="1:4" x14ac:dyDescent="0.2">
      <c r="A15965" s="496"/>
      <c r="D15965" s="496"/>
    </row>
    <row r="15966" spans="1:4" x14ac:dyDescent="0.2">
      <c r="A15966" s="496"/>
      <c r="D15966" s="496"/>
    </row>
    <row r="15967" spans="1:4" x14ac:dyDescent="0.2">
      <c r="A15967" s="496"/>
      <c r="D15967" s="496"/>
    </row>
    <row r="15968" spans="1:4" x14ac:dyDescent="0.2">
      <c r="A15968" s="496"/>
      <c r="D15968" s="496"/>
    </row>
    <row r="15969" spans="1:4" x14ac:dyDescent="0.2">
      <c r="A15969" s="496"/>
      <c r="D15969" s="496"/>
    </row>
    <row r="15970" spans="1:4" x14ac:dyDescent="0.2">
      <c r="A15970" s="496"/>
      <c r="D15970" s="496"/>
    </row>
    <row r="15971" spans="1:4" x14ac:dyDescent="0.2">
      <c r="A15971" s="496"/>
      <c r="D15971" s="496"/>
    </row>
    <row r="15972" spans="1:4" x14ac:dyDescent="0.2">
      <c r="A15972" s="496"/>
      <c r="D15972" s="496"/>
    </row>
    <row r="15973" spans="1:4" x14ac:dyDescent="0.2">
      <c r="A15973" s="496"/>
      <c r="D15973" s="496"/>
    </row>
    <row r="15974" spans="1:4" x14ac:dyDescent="0.2">
      <c r="A15974" s="496"/>
      <c r="D15974" s="496"/>
    </row>
    <row r="15975" spans="1:4" x14ac:dyDescent="0.2">
      <c r="A15975" s="496"/>
      <c r="D15975" s="496"/>
    </row>
    <row r="15976" spans="1:4" x14ac:dyDescent="0.2">
      <c r="A15976" s="496"/>
      <c r="D15976" s="496"/>
    </row>
    <row r="15977" spans="1:4" x14ac:dyDescent="0.2">
      <c r="A15977" s="496"/>
      <c r="D15977" s="496"/>
    </row>
    <row r="15978" spans="1:4" x14ac:dyDescent="0.2">
      <c r="A15978" s="496"/>
      <c r="D15978" s="496"/>
    </row>
    <row r="15979" spans="1:4" x14ac:dyDescent="0.2">
      <c r="A15979" s="496"/>
      <c r="D15979" s="496"/>
    </row>
    <row r="15980" spans="1:4" x14ac:dyDescent="0.2">
      <c r="A15980" s="496"/>
      <c r="D15980" s="496"/>
    </row>
    <row r="15981" spans="1:4" x14ac:dyDescent="0.2">
      <c r="A15981" s="496"/>
      <c r="D15981" s="496"/>
    </row>
    <row r="15982" spans="1:4" x14ac:dyDescent="0.2">
      <c r="A15982" s="496"/>
      <c r="D15982" s="496"/>
    </row>
    <row r="15983" spans="1:4" x14ac:dyDescent="0.2">
      <c r="A15983" s="496"/>
      <c r="D15983" s="496"/>
    </row>
    <row r="15984" spans="1:4" x14ac:dyDescent="0.2">
      <c r="A15984" s="496"/>
      <c r="D15984" s="496"/>
    </row>
    <row r="15985" spans="1:4" x14ac:dyDescent="0.2">
      <c r="A15985" s="496"/>
      <c r="D15985" s="496"/>
    </row>
    <row r="15986" spans="1:4" x14ac:dyDescent="0.2">
      <c r="A15986" s="496"/>
      <c r="D15986" s="496"/>
    </row>
    <row r="15987" spans="1:4" x14ac:dyDescent="0.2">
      <c r="A15987" s="496"/>
      <c r="D15987" s="496"/>
    </row>
    <row r="15988" spans="1:4" x14ac:dyDescent="0.2">
      <c r="A15988" s="496"/>
      <c r="D15988" s="496"/>
    </row>
    <row r="15989" spans="1:4" x14ac:dyDescent="0.2">
      <c r="A15989" s="496"/>
      <c r="D15989" s="496"/>
    </row>
    <row r="15990" spans="1:4" x14ac:dyDescent="0.2">
      <c r="A15990" s="496"/>
      <c r="D15990" s="496"/>
    </row>
    <row r="15991" spans="1:4" x14ac:dyDescent="0.2">
      <c r="A15991" s="496"/>
      <c r="D15991" s="496"/>
    </row>
    <row r="15992" spans="1:4" x14ac:dyDescent="0.2">
      <c r="A15992" s="496"/>
      <c r="D15992" s="496"/>
    </row>
    <row r="15993" spans="1:4" x14ac:dyDescent="0.2">
      <c r="A15993" s="496"/>
      <c r="D15993" s="496"/>
    </row>
    <row r="15994" spans="1:4" x14ac:dyDescent="0.2">
      <c r="A15994" s="496"/>
      <c r="D15994" s="496"/>
    </row>
    <row r="15995" spans="1:4" x14ac:dyDescent="0.2">
      <c r="A15995" s="496"/>
      <c r="D15995" s="496"/>
    </row>
    <row r="15996" spans="1:4" x14ac:dyDescent="0.2">
      <c r="A15996" s="496"/>
      <c r="D15996" s="496"/>
    </row>
    <row r="15997" spans="1:4" x14ac:dyDescent="0.2">
      <c r="A15997" s="496"/>
      <c r="D15997" s="496"/>
    </row>
    <row r="15998" spans="1:4" x14ac:dyDescent="0.2">
      <c r="A15998" s="496"/>
      <c r="D15998" s="496"/>
    </row>
    <row r="15999" spans="1:4" x14ac:dyDescent="0.2">
      <c r="A15999" s="496"/>
      <c r="D15999" s="496"/>
    </row>
    <row r="16000" spans="1:4" x14ac:dyDescent="0.2">
      <c r="A16000" s="496"/>
      <c r="D16000" s="496"/>
    </row>
    <row r="16001" spans="1:4" x14ac:dyDescent="0.2">
      <c r="A16001" s="496"/>
      <c r="D16001" s="496"/>
    </row>
    <row r="16002" spans="1:4" x14ac:dyDescent="0.2">
      <c r="A16002" s="496"/>
      <c r="D16002" s="496"/>
    </row>
    <row r="16003" spans="1:4" x14ac:dyDescent="0.2">
      <c r="A16003" s="496"/>
      <c r="D16003" s="496"/>
    </row>
    <row r="16004" spans="1:4" x14ac:dyDescent="0.2">
      <c r="A16004" s="496"/>
      <c r="D16004" s="496"/>
    </row>
    <row r="16005" spans="1:4" x14ac:dyDescent="0.2">
      <c r="A16005" s="496"/>
      <c r="D16005" s="496"/>
    </row>
    <row r="16006" spans="1:4" x14ac:dyDescent="0.2">
      <c r="A16006" s="496"/>
      <c r="D16006" s="496"/>
    </row>
    <row r="16007" spans="1:4" x14ac:dyDescent="0.2">
      <c r="A16007" s="496"/>
      <c r="D16007" s="496"/>
    </row>
    <row r="16008" spans="1:4" x14ac:dyDescent="0.2">
      <c r="A16008" s="496"/>
      <c r="D16008" s="496"/>
    </row>
    <row r="16009" spans="1:4" x14ac:dyDescent="0.2">
      <c r="A16009" s="496"/>
      <c r="D16009" s="496"/>
    </row>
    <row r="16010" spans="1:4" x14ac:dyDescent="0.2">
      <c r="A16010" s="496"/>
      <c r="D16010" s="496"/>
    </row>
    <row r="16011" spans="1:4" x14ac:dyDescent="0.2">
      <c r="A16011" s="496"/>
      <c r="D16011" s="496"/>
    </row>
    <row r="16012" spans="1:4" x14ac:dyDescent="0.2">
      <c r="A16012" s="496"/>
      <c r="D16012" s="496"/>
    </row>
    <row r="16013" spans="1:4" x14ac:dyDescent="0.2">
      <c r="A16013" s="496"/>
      <c r="D16013" s="496"/>
    </row>
    <row r="16014" spans="1:4" x14ac:dyDescent="0.2">
      <c r="A16014" s="496"/>
      <c r="D16014" s="496"/>
    </row>
    <row r="16015" spans="1:4" x14ac:dyDescent="0.2">
      <c r="A16015" s="496"/>
      <c r="D16015" s="496"/>
    </row>
    <row r="16016" spans="1:4" x14ac:dyDescent="0.2">
      <c r="A16016" s="496"/>
      <c r="D16016" s="496"/>
    </row>
    <row r="16017" spans="1:4" x14ac:dyDescent="0.2">
      <c r="A16017" s="496"/>
      <c r="D16017" s="496"/>
    </row>
    <row r="16018" spans="1:4" x14ac:dyDescent="0.2">
      <c r="A16018" s="496"/>
      <c r="D16018" s="496"/>
    </row>
    <row r="16019" spans="1:4" x14ac:dyDescent="0.2">
      <c r="A16019" s="496"/>
      <c r="D16019" s="496"/>
    </row>
    <row r="16020" spans="1:4" x14ac:dyDescent="0.2">
      <c r="A16020" s="496"/>
      <c r="D16020" s="496"/>
    </row>
    <row r="16021" spans="1:4" x14ac:dyDescent="0.2">
      <c r="A16021" s="496"/>
      <c r="D16021" s="496"/>
    </row>
    <row r="16022" spans="1:4" x14ac:dyDescent="0.2">
      <c r="A16022" s="496"/>
      <c r="D16022" s="496"/>
    </row>
    <row r="16023" spans="1:4" x14ac:dyDescent="0.2">
      <c r="A16023" s="496"/>
      <c r="D16023" s="496"/>
    </row>
    <row r="16024" spans="1:4" x14ac:dyDescent="0.2">
      <c r="A16024" s="496"/>
      <c r="D16024" s="496"/>
    </row>
    <row r="16025" spans="1:4" x14ac:dyDescent="0.2">
      <c r="A16025" s="496"/>
      <c r="D16025" s="496"/>
    </row>
    <row r="16026" spans="1:4" x14ac:dyDescent="0.2">
      <c r="A16026" s="496"/>
      <c r="D16026" s="496"/>
    </row>
    <row r="16027" spans="1:4" x14ac:dyDescent="0.2">
      <c r="A16027" s="496"/>
      <c r="D16027" s="496"/>
    </row>
    <row r="16028" spans="1:4" x14ac:dyDescent="0.2">
      <c r="A16028" s="496"/>
      <c r="D16028" s="496"/>
    </row>
    <row r="16029" spans="1:4" x14ac:dyDescent="0.2">
      <c r="A16029" s="496"/>
      <c r="D16029" s="496"/>
    </row>
    <row r="16030" spans="1:4" x14ac:dyDescent="0.2">
      <c r="A16030" s="496"/>
      <c r="D16030" s="496"/>
    </row>
    <row r="16031" spans="1:4" x14ac:dyDescent="0.2">
      <c r="A16031" s="496"/>
      <c r="D16031" s="496"/>
    </row>
    <row r="16032" spans="1:4" x14ac:dyDescent="0.2">
      <c r="A16032" s="496"/>
      <c r="D16032" s="496"/>
    </row>
    <row r="16033" spans="1:4" x14ac:dyDescent="0.2">
      <c r="A16033" s="496"/>
      <c r="D16033" s="496"/>
    </row>
    <row r="16034" spans="1:4" x14ac:dyDescent="0.2">
      <c r="A16034" s="496"/>
      <c r="D16034" s="496"/>
    </row>
    <row r="16035" spans="1:4" x14ac:dyDescent="0.2">
      <c r="A16035" s="496"/>
      <c r="D16035" s="496"/>
    </row>
    <row r="16036" spans="1:4" x14ac:dyDescent="0.2">
      <c r="A16036" s="496"/>
      <c r="D16036" s="496"/>
    </row>
    <row r="16037" spans="1:4" x14ac:dyDescent="0.2">
      <c r="A16037" s="496"/>
      <c r="D16037" s="496"/>
    </row>
    <row r="16038" spans="1:4" x14ac:dyDescent="0.2">
      <c r="A16038" s="496"/>
      <c r="D16038" s="496"/>
    </row>
    <row r="16039" spans="1:4" x14ac:dyDescent="0.2">
      <c r="A16039" s="496"/>
      <c r="D16039" s="496"/>
    </row>
    <row r="16040" spans="1:4" x14ac:dyDescent="0.2">
      <c r="A16040" s="496"/>
      <c r="D16040" s="496"/>
    </row>
    <row r="16041" spans="1:4" x14ac:dyDescent="0.2">
      <c r="A16041" s="496"/>
      <c r="D16041" s="496"/>
    </row>
    <row r="16042" spans="1:4" x14ac:dyDescent="0.2">
      <c r="A16042" s="496"/>
      <c r="D16042" s="496"/>
    </row>
    <row r="16043" spans="1:4" x14ac:dyDescent="0.2">
      <c r="A16043" s="496"/>
      <c r="D16043" s="496"/>
    </row>
    <row r="16044" spans="1:4" x14ac:dyDescent="0.2">
      <c r="A16044" s="496"/>
      <c r="D16044" s="496"/>
    </row>
    <row r="16045" spans="1:4" x14ac:dyDescent="0.2">
      <c r="A16045" s="496"/>
      <c r="D16045" s="496"/>
    </row>
    <row r="16046" spans="1:4" x14ac:dyDescent="0.2">
      <c r="A16046" s="496"/>
      <c r="D16046" s="496"/>
    </row>
    <row r="16047" spans="1:4" x14ac:dyDescent="0.2">
      <c r="A16047" s="496"/>
      <c r="D16047" s="496"/>
    </row>
    <row r="16048" spans="1:4" x14ac:dyDescent="0.2">
      <c r="A16048" s="496"/>
      <c r="D16048" s="496"/>
    </row>
    <row r="16049" spans="1:4" x14ac:dyDescent="0.2">
      <c r="A16049" s="496"/>
      <c r="D16049" s="496"/>
    </row>
    <row r="16050" spans="1:4" x14ac:dyDescent="0.2">
      <c r="A16050" s="496"/>
      <c r="D16050" s="496"/>
    </row>
    <row r="16051" spans="1:4" x14ac:dyDescent="0.2">
      <c r="A16051" s="496"/>
      <c r="D16051" s="496"/>
    </row>
    <row r="16052" spans="1:4" x14ac:dyDescent="0.2">
      <c r="A16052" s="496"/>
      <c r="D16052" s="496"/>
    </row>
    <row r="16053" spans="1:4" x14ac:dyDescent="0.2">
      <c r="A16053" s="496"/>
      <c r="D16053" s="496"/>
    </row>
    <row r="16054" spans="1:4" x14ac:dyDescent="0.2">
      <c r="A16054" s="496"/>
      <c r="D16054" s="496"/>
    </row>
    <row r="16055" spans="1:4" x14ac:dyDescent="0.2">
      <c r="A16055" s="496"/>
      <c r="D16055" s="496"/>
    </row>
    <row r="16056" spans="1:4" x14ac:dyDescent="0.2">
      <c r="A16056" s="496"/>
      <c r="D16056" s="496"/>
    </row>
    <row r="16057" spans="1:4" x14ac:dyDescent="0.2">
      <c r="A16057" s="496"/>
      <c r="D16057" s="496"/>
    </row>
    <row r="16058" spans="1:4" x14ac:dyDescent="0.2">
      <c r="A16058" s="496"/>
      <c r="D16058" s="496"/>
    </row>
    <row r="16059" spans="1:4" x14ac:dyDescent="0.2">
      <c r="A16059" s="496"/>
      <c r="D16059" s="496"/>
    </row>
    <row r="16060" spans="1:4" x14ac:dyDescent="0.2">
      <c r="A16060" s="496"/>
      <c r="D16060" s="496"/>
    </row>
    <row r="16061" spans="1:4" x14ac:dyDescent="0.2">
      <c r="A16061" s="496"/>
      <c r="D16061" s="496"/>
    </row>
    <row r="16062" spans="1:4" x14ac:dyDescent="0.2">
      <c r="A16062" s="496"/>
      <c r="D16062" s="496"/>
    </row>
    <row r="16063" spans="1:4" x14ac:dyDescent="0.2">
      <c r="A16063" s="496"/>
      <c r="D16063" s="496"/>
    </row>
    <row r="16064" spans="1:4" x14ac:dyDescent="0.2">
      <c r="A16064" s="496"/>
      <c r="D16064" s="496"/>
    </row>
    <row r="16065" spans="1:4" x14ac:dyDescent="0.2">
      <c r="A16065" s="496"/>
      <c r="D16065" s="496"/>
    </row>
    <row r="16066" spans="1:4" x14ac:dyDescent="0.2">
      <c r="A16066" s="496"/>
      <c r="D16066" s="496"/>
    </row>
    <row r="16067" spans="1:4" x14ac:dyDescent="0.2">
      <c r="A16067" s="496"/>
      <c r="D16067" s="496"/>
    </row>
    <row r="16068" spans="1:4" x14ac:dyDescent="0.2">
      <c r="A16068" s="496"/>
      <c r="D16068" s="496"/>
    </row>
    <row r="16069" spans="1:4" x14ac:dyDescent="0.2">
      <c r="A16069" s="496"/>
      <c r="D16069" s="496"/>
    </row>
    <row r="16070" spans="1:4" x14ac:dyDescent="0.2">
      <c r="A16070" s="496"/>
      <c r="D16070" s="496"/>
    </row>
    <row r="16071" spans="1:4" x14ac:dyDescent="0.2">
      <c r="A16071" s="496"/>
      <c r="D16071" s="496"/>
    </row>
    <row r="16072" spans="1:4" x14ac:dyDescent="0.2">
      <c r="A16072" s="496"/>
      <c r="D16072" s="496"/>
    </row>
    <row r="16073" spans="1:4" x14ac:dyDescent="0.2">
      <c r="A16073" s="496"/>
      <c r="D16073" s="496"/>
    </row>
    <row r="16074" spans="1:4" x14ac:dyDescent="0.2">
      <c r="A16074" s="496"/>
      <c r="D16074" s="496"/>
    </row>
    <row r="16075" spans="1:4" x14ac:dyDescent="0.2">
      <c r="A16075" s="496"/>
      <c r="D16075" s="496"/>
    </row>
    <row r="16076" spans="1:4" x14ac:dyDescent="0.2">
      <c r="A16076" s="496"/>
      <c r="D16076" s="496"/>
    </row>
    <row r="16077" spans="1:4" x14ac:dyDescent="0.2">
      <c r="A16077" s="496"/>
      <c r="D16077" s="496"/>
    </row>
    <row r="16078" spans="1:4" x14ac:dyDescent="0.2">
      <c r="A16078" s="496"/>
      <c r="D16078" s="496"/>
    </row>
    <row r="16079" spans="1:4" x14ac:dyDescent="0.2">
      <c r="A16079" s="496"/>
      <c r="D16079" s="496"/>
    </row>
    <row r="16080" spans="1:4" x14ac:dyDescent="0.2">
      <c r="A16080" s="496"/>
      <c r="D16080" s="496"/>
    </row>
    <row r="16081" spans="1:4" x14ac:dyDescent="0.2">
      <c r="A16081" s="496"/>
      <c r="D16081" s="496"/>
    </row>
    <row r="16082" spans="1:4" x14ac:dyDescent="0.2">
      <c r="A16082" s="496"/>
      <c r="D16082" s="496"/>
    </row>
    <row r="16083" spans="1:4" x14ac:dyDescent="0.2">
      <c r="A16083" s="496"/>
      <c r="D16083" s="496"/>
    </row>
    <row r="16084" spans="1:4" x14ac:dyDescent="0.2">
      <c r="A16084" s="496"/>
      <c r="D16084" s="496"/>
    </row>
    <row r="16085" spans="1:4" x14ac:dyDescent="0.2">
      <c r="A16085" s="496"/>
      <c r="D16085" s="496"/>
    </row>
    <row r="16086" spans="1:4" x14ac:dyDescent="0.2">
      <c r="A16086" s="496"/>
      <c r="D16086" s="496"/>
    </row>
    <row r="16087" spans="1:4" x14ac:dyDescent="0.2">
      <c r="A16087" s="496"/>
      <c r="D16087" s="496"/>
    </row>
    <row r="16088" spans="1:4" x14ac:dyDescent="0.2">
      <c r="A16088" s="496"/>
      <c r="D16088" s="496"/>
    </row>
    <row r="16089" spans="1:4" x14ac:dyDescent="0.2">
      <c r="A16089" s="496"/>
      <c r="D16089" s="496"/>
    </row>
    <row r="16090" spans="1:4" x14ac:dyDescent="0.2">
      <c r="A16090" s="496"/>
      <c r="D16090" s="496"/>
    </row>
    <row r="16091" spans="1:4" x14ac:dyDescent="0.2">
      <c r="A16091" s="496"/>
      <c r="D16091" s="496"/>
    </row>
    <row r="16092" spans="1:4" x14ac:dyDescent="0.2">
      <c r="A16092" s="496"/>
      <c r="D16092" s="496"/>
    </row>
    <row r="16093" spans="1:4" x14ac:dyDescent="0.2">
      <c r="A16093" s="496"/>
      <c r="D16093" s="496"/>
    </row>
    <row r="16094" spans="1:4" x14ac:dyDescent="0.2">
      <c r="A16094" s="496"/>
      <c r="D16094" s="496"/>
    </row>
    <row r="16095" spans="1:4" x14ac:dyDescent="0.2">
      <c r="A16095" s="496"/>
      <c r="D16095" s="496"/>
    </row>
    <row r="16096" spans="1:4" x14ac:dyDescent="0.2">
      <c r="A16096" s="496"/>
      <c r="D16096" s="496"/>
    </row>
    <row r="16097" spans="1:4" x14ac:dyDescent="0.2">
      <c r="A16097" s="496"/>
      <c r="D16097" s="496"/>
    </row>
    <row r="16098" spans="1:4" x14ac:dyDescent="0.2">
      <c r="A16098" s="496"/>
      <c r="D16098" s="496"/>
    </row>
    <row r="16099" spans="1:4" x14ac:dyDescent="0.2">
      <c r="A16099" s="496"/>
      <c r="D16099" s="496"/>
    </row>
    <row r="16100" spans="1:4" x14ac:dyDescent="0.2">
      <c r="A16100" s="496"/>
      <c r="D16100" s="496"/>
    </row>
    <row r="16101" spans="1:4" x14ac:dyDescent="0.2">
      <c r="A16101" s="496"/>
      <c r="D16101" s="496"/>
    </row>
    <row r="16102" spans="1:4" x14ac:dyDescent="0.2">
      <c r="A16102" s="496"/>
      <c r="D16102" s="496"/>
    </row>
    <row r="16103" spans="1:4" x14ac:dyDescent="0.2">
      <c r="A16103" s="496"/>
      <c r="D16103" s="496"/>
    </row>
    <row r="16104" spans="1:4" x14ac:dyDescent="0.2">
      <c r="A16104" s="496"/>
      <c r="D16104" s="496"/>
    </row>
    <row r="16105" spans="1:4" x14ac:dyDescent="0.2">
      <c r="A16105" s="496"/>
      <c r="D16105" s="496"/>
    </row>
    <row r="16106" spans="1:4" x14ac:dyDescent="0.2">
      <c r="A16106" s="496"/>
      <c r="D16106" s="496"/>
    </row>
    <row r="16107" spans="1:4" x14ac:dyDescent="0.2">
      <c r="A16107" s="496"/>
      <c r="D16107" s="496"/>
    </row>
    <row r="16108" spans="1:4" x14ac:dyDescent="0.2">
      <c r="A16108" s="496"/>
      <c r="D16108" s="496"/>
    </row>
    <row r="16109" spans="1:4" x14ac:dyDescent="0.2">
      <c r="A16109" s="496"/>
      <c r="D16109" s="496"/>
    </row>
    <row r="16110" spans="1:4" x14ac:dyDescent="0.2">
      <c r="A16110" s="496"/>
      <c r="D16110" s="496"/>
    </row>
    <row r="16111" spans="1:4" x14ac:dyDescent="0.2">
      <c r="A16111" s="496"/>
      <c r="D16111" s="496"/>
    </row>
    <row r="16112" spans="1:4" x14ac:dyDescent="0.2">
      <c r="A16112" s="496"/>
      <c r="D16112" s="496"/>
    </row>
    <row r="16113" spans="1:4" x14ac:dyDescent="0.2">
      <c r="A16113" s="496"/>
      <c r="D16113" s="496"/>
    </row>
    <row r="16114" spans="1:4" x14ac:dyDescent="0.2">
      <c r="A16114" s="496"/>
      <c r="D16114" s="496"/>
    </row>
    <row r="16115" spans="1:4" x14ac:dyDescent="0.2">
      <c r="A16115" s="496"/>
      <c r="D16115" s="496"/>
    </row>
    <row r="16116" spans="1:4" x14ac:dyDescent="0.2">
      <c r="A16116" s="496"/>
      <c r="D16116" s="496"/>
    </row>
    <row r="16117" spans="1:4" x14ac:dyDescent="0.2">
      <c r="A16117" s="496"/>
      <c r="D16117" s="496"/>
    </row>
    <row r="16118" spans="1:4" x14ac:dyDescent="0.2">
      <c r="A16118" s="496"/>
      <c r="D16118" s="496"/>
    </row>
    <row r="16119" spans="1:4" x14ac:dyDescent="0.2">
      <c r="A16119" s="496"/>
      <c r="D16119" s="496"/>
    </row>
    <row r="16120" spans="1:4" x14ac:dyDescent="0.2">
      <c r="A16120" s="496"/>
      <c r="D16120" s="496"/>
    </row>
    <row r="16121" spans="1:4" x14ac:dyDescent="0.2">
      <c r="A16121" s="496"/>
      <c r="D16121" s="496"/>
    </row>
    <row r="16122" spans="1:4" x14ac:dyDescent="0.2">
      <c r="A16122" s="496"/>
      <c r="D16122" s="496"/>
    </row>
    <row r="16123" spans="1:4" x14ac:dyDescent="0.2">
      <c r="A16123" s="496"/>
      <c r="D16123" s="496"/>
    </row>
    <row r="16124" spans="1:4" x14ac:dyDescent="0.2">
      <c r="A16124" s="496"/>
      <c r="D16124" s="496"/>
    </row>
    <row r="16125" spans="1:4" x14ac:dyDescent="0.2">
      <c r="A16125" s="496"/>
      <c r="D16125" s="496"/>
    </row>
    <row r="16126" spans="1:4" x14ac:dyDescent="0.2">
      <c r="A16126" s="496"/>
      <c r="D16126" s="496"/>
    </row>
    <row r="16127" spans="1:4" x14ac:dyDescent="0.2">
      <c r="A16127" s="496"/>
      <c r="D16127" s="496"/>
    </row>
    <row r="16128" spans="1:4" x14ac:dyDescent="0.2">
      <c r="A16128" s="496"/>
      <c r="D16128" s="496"/>
    </row>
    <row r="16129" spans="1:4" x14ac:dyDescent="0.2">
      <c r="A16129" s="496"/>
      <c r="D16129" s="496"/>
    </row>
    <row r="16130" spans="1:4" x14ac:dyDescent="0.2">
      <c r="A16130" s="496"/>
      <c r="D16130" s="496"/>
    </row>
    <row r="16131" spans="1:4" x14ac:dyDescent="0.2">
      <c r="A16131" s="496"/>
      <c r="D16131" s="496"/>
    </row>
    <row r="16132" spans="1:4" x14ac:dyDescent="0.2">
      <c r="A16132" s="496"/>
      <c r="D16132" s="496"/>
    </row>
    <row r="16133" spans="1:4" x14ac:dyDescent="0.2">
      <c r="A16133" s="496"/>
      <c r="D16133" s="496"/>
    </row>
    <row r="16134" spans="1:4" x14ac:dyDescent="0.2">
      <c r="A16134" s="496"/>
      <c r="D16134" s="496"/>
    </row>
    <row r="16135" spans="1:4" x14ac:dyDescent="0.2">
      <c r="A16135" s="496"/>
      <c r="D16135" s="496"/>
    </row>
    <row r="16136" spans="1:4" x14ac:dyDescent="0.2">
      <c r="A16136" s="496"/>
      <c r="D16136" s="496"/>
    </row>
    <row r="16137" spans="1:4" x14ac:dyDescent="0.2">
      <c r="A16137" s="496"/>
      <c r="D16137" s="496"/>
    </row>
    <row r="16138" spans="1:4" x14ac:dyDescent="0.2">
      <c r="A16138" s="496"/>
      <c r="D16138" s="496"/>
    </row>
    <row r="16139" spans="1:4" x14ac:dyDescent="0.2">
      <c r="A16139" s="496"/>
      <c r="D16139" s="496"/>
    </row>
    <row r="16140" spans="1:4" x14ac:dyDescent="0.2">
      <c r="A16140" s="496"/>
      <c r="D16140" s="496"/>
    </row>
    <row r="16141" spans="1:4" x14ac:dyDescent="0.2">
      <c r="A16141" s="496"/>
      <c r="D16141" s="496"/>
    </row>
    <row r="16142" spans="1:4" x14ac:dyDescent="0.2">
      <c r="A16142" s="496"/>
      <c r="D16142" s="496"/>
    </row>
    <row r="16143" spans="1:4" x14ac:dyDescent="0.2">
      <c r="A16143" s="496"/>
      <c r="D16143" s="496"/>
    </row>
    <row r="16144" spans="1:4" x14ac:dyDescent="0.2">
      <c r="A16144" s="496"/>
      <c r="D16144" s="496"/>
    </row>
    <row r="16145" spans="1:4" x14ac:dyDescent="0.2">
      <c r="A16145" s="496"/>
      <c r="D16145" s="496"/>
    </row>
    <row r="16146" spans="1:4" x14ac:dyDescent="0.2">
      <c r="A16146" s="496"/>
      <c r="D16146" s="496"/>
    </row>
    <row r="16147" spans="1:4" x14ac:dyDescent="0.2">
      <c r="A16147" s="496"/>
      <c r="D16147" s="496"/>
    </row>
    <row r="16148" spans="1:4" x14ac:dyDescent="0.2">
      <c r="A16148" s="496"/>
      <c r="D16148" s="496"/>
    </row>
    <row r="16149" spans="1:4" x14ac:dyDescent="0.2">
      <c r="A16149" s="496"/>
      <c r="D16149" s="496"/>
    </row>
    <row r="16150" spans="1:4" x14ac:dyDescent="0.2">
      <c r="A16150" s="496"/>
      <c r="D16150" s="496"/>
    </row>
    <row r="16151" spans="1:4" x14ac:dyDescent="0.2">
      <c r="A16151" s="496"/>
      <c r="D16151" s="496"/>
    </row>
    <row r="16152" spans="1:4" x14ac:dyDescent="0.2">
      <c r="A16152" s="496"/>
      <c r="D16152" s="496"/>
    </row>
    <row r="16153" spans="1:4" x14ac:dyDescent="0.2">
      <c r="A16153" s="496"/>
      <c r="D16153" s="496"/>
    </row>
    <row r="16154" spans="1:4" x14ac:dyDescent="0.2">
      <c r="A16154" s="496"/>
      <c r="D16154" s="496"/>
    </row>
    <row r="16155" spans="1:4" x14ac:dyDescent="0.2">
      <c r="A16155" s="496"/>
      <c r="D16155" s="496"/>
    </row>
    <row r="16156" spans="1:4" x14ac:dyDescent="0.2">
      <c r="A16156" s="496"/>
      <c r="D16156" s="496"/>
    </row>
    <row r="16157" spans="1:4" x14ac:dyDescent="0.2">
      <c r="A16157" s="496"/>
      <c r="D16157" s="496"/>
    </row>
    <row r="16158" spans="1:4" x14ac:dyDescent="0.2">
      <c r="A16158" s="496"/>
      <c r="D16158" s="496"/>
    </row>
    <row r="16159" spans="1:4" x14ac:dyDescent="0.2">
      <c r="A16159" s="496"/>
      <c r="D16159" s="496"/>
    </row>
    <row r="16160" spans="1:4" x14ac:dyDescent="0.2">
      <c r="A16160" s="496"/>
      <c r="D16160" s="496"/>
    </row>
    <row r="16161" spans="1:4" x14ac:dyDescent="0.2">
      <c r="A16161" s="496"/>
      <c r="D16161" s="496"/>
    </row>
    <row r="16162" spans="1:4" x14ac:dyDescent="0.2">
      <c r="A16162" s="496"/>
      <c r="D16162" s="496"/>
    </row>
    <row r="16163" spans="1:4" x14ac:dyDescent="0.2">
      <c r="A16163" s="496"/>
      <c r="D16163" s="496"/>
    </row>
    <row r="16164" spans="1:4" x14ac:dyDescent="0.2">
      <c r="A16164" s="496"/>
      <c r="D16164" s="496"/>
    </row>
    <row r="16165" spans="1:4" x14ac:dyDescent="0.2">
      <c r="A16165" s="496"/>
      <c r="D16165" s="496"/>
    </row>
    <row r="16166" spans="1:4" x14ac:dyDescent="0.2">
      <c r="A16166" s="496"/>
      <c r="D16166" s="496"/>
    </row>
    <row r="16167" spans="1:4" x14ac:dyDescent="0.2">
      <c r="A16167" s="496"/>
      <c r="D16167" s="496"/>
    </row>
    <row r="16168" spans="1:4" x14ac:dyDescent="0.2">
      <c r="A16168" s="496"/>
      <c r="D16168" s="496"/>
    </row>
    <row r="16169" spans="1:4" x14ac:dyDescent="0.2">
      <c r="A16169" s="496"/>
      <c r="D16169" s="496"/>
    </row>
    <row r="16170" spans="1:4" x14ac:dyDescent="0.2">
      <c r="A16170" s="496"/>
      <c r="D16170" s="496"/>
    </row>
    <row r="16171" spans="1:4" x14ac:dyDescent="0.2">
      <c r="A16171" s="496"/>
      <c r="D16171" s="496"/>
    </row>
    <row r="16172" spans="1:4" x14ac:dyDescent="0.2">
      <c r="A16172" s="496"/>
      <c r="D16172" s="496"/>
    </row>
    <row r="16173" spans="1:4" x14ac:dyDescent="0.2">
      <c r="A16173" s="496"/>
      <c r="D16173" s="496"/>
    </row>
    <row r="16174" spans="1:4" x14ac:dyDescent="0.2">
      <c r="A16174" s="496"/>
      <c r="D16174" s="496"/>
    </row>
    <row r="16175" spans="1:4" x14ac:dyDescent="0.2">
      <c r="A16175" s="496"/>
      <c r="D16175" s="496"/>
    </row>
    <row r="16176" spans="1:4" x14ac:dyDescent="0.2">
      <c r="A16176" s="496"/>
      <c r="D16176" s="496"/>
    </row>
    <row r="16177" spans="1:4" x14ac:dyDescent="0.2">
      <c r="A16177" s="496"/>
      <c r="D16177" s="496"/>
    </row>
    <row r="16178" spans="1:4" x14ac:dyDescent="0.2">
      <c r="A16178" s="496"/>
      <c r="D16178" s="496"/>
    </row>
    <row r="16179" spans="1:4" x14ac:dyDescent="0.2">
      <c r="A16179" s="496"/>
      <c r="D16179" s="496"/>
    </row>
    <row r="16180" spans="1:4" x14ac:dyDescent="0.2">
      <c r="A16180" s="496"/>
      <c r="D16180" s="496"/>
    </row>
    <row r="16181" spans="1:4" x14ac:dyDescent="0.2">
      <c r="A16181" s="496"/>
      <c r="D16181" s="496"/>
    </row>
    <row r="16182" spans="1:4" x14ac:dyDescent="0.2">
      <c r="A16182" s="496"/>
      <c r="D16182" s="496"/>
    </row>
    <row r="16183" spans="1:4" x14ac:dyDescent="0.2">
      <c r="A16183" s="496"/>
      <c r="D16183" s="496"/>
    </row>
    <row r="16184" spans="1:4" x14ac:dyDescent="0.2">
      <c r="A16184" s="496"/>
      <c r="D16184" s="496"/>
    </row>
    <row r="16185" spans="1:4" x14ac:dyDescent="0.2">
      <c r="A16185" s="496"/>
      <c r="D16185" s="496"/>
    </row>
    <row r="16186" spans="1:4" x14ac:dyDescent="0.2">
      <c r="A16186" s="496"/>
      <c r="D16186" s="496"/>
    </row>
    <row r="16187" spans="1:4" x14ac:dyDescent="0.2">
      <c r="A16187" s="496"/>
      <c r="D16187" s="496"/>
    </row>
    <row r="16188" spans="1:4" x14ac:dyDescent="0.2">
      <c r="A16188" s="496"/>
      <c r="D16188" s="496"/>
    </row>
    <row r="16189" spans="1:4" x14ac:dyDescent="0.2">
      <c r="A16189" s="496"/>
      <c r="D16189" s="496"/>
    </row>
    <row r="16190" spans="1:4" x14ac:dyDescent="0.2">
      <c r="A16190" s="496"/>
      <c r="D16190" s="496"/>
    </row>
    <row r="16191" spans="1:4" x14ac:dyDescent="0.2">
      <c r="A16191" s="496"/>
      <c r="D16191" s="496"/>
    </row>
    <row r="16192" spans="1:4" x14ac:dyDescent="0.2">
      <c r="A16192" s="496"/>
      <c r="D16192" s="496"/>
    </row>
    <row r="16193" spans="1:4" x14ac:dyDescent="0.2">
      <c r="A16193" s="496"/>
      <c r="D16193" s="496"/>
    </row>
    <row r="16194" spans="1:4" x14ac:dyDescent="0.2">
      <c r="A16194" s="496"/>
      <c r="D16194" s="496"/>
    </row>
    <row r="16195" spans="1:4" x14ac:dyDescent="0.2">
      <c r="A16195" s="496"/>
      <c r="D16195" s="496"/>
    </row>
    <row r="16196" spans="1:4" x14ac:dyDescent="0.2">
      <c r="A16196" s="496"/>
      <c r="D16196" s="496"/>
    </row>
    <row r="16197" spans="1:4" x14ac:dyDescent="0.2">
      <c r="A16197" s="496"/>
      <c r="D16197" s="496"/>
    </row>
    <row r="16198" spans="1:4" x14ac:dyDescent="0.2">
      <c r="A16198" s="496"/>
      <c r="D16198" s="496"/>
    </row>
    <row r="16199" spans="1:4" x14ac:dyDescent="0.2">
      <c r="A16199" s="496"/>
      <c r="D16199" s="496"/>
    </row>
    <row r="16200" spans="1:4" x14ac:dyDescent="0.2">
      <c r="A16200" s="496"/>
      <c r="D16200" s="496"/>
    </row>
    <row r="16201" spans="1:4" x14ac:dyDescent="0.2">
      <c r="A16201" s="496"/>
      <c r="D16201" s="496"/>
    </row>
    <row r="16202" spans="1:4" x14ac:dyDescent="0.2">
      <c r="A16202" s="496"/>
      <c r="D16202" s="496"/>
    </row>
    <row r="16203" spans="1:4" x14ac:dyDescent="0.2">
      <c r="A16203" s="496"/>
      <c r="D16203" s="496"/>
    </row>
    <row r="16204" spans="1:4" x14ac:dyDescent="0.2">
      <c r="A16204" s="496"/>
      <c r="D16204" s="496"/>
    </row>
    <row r="16205" spans="1:4" x14ac:dyDescent="0.2">
      <c r="A16205" s="496"/>
      <c r="D16205" s="496"/>
    </row>
    <row r="16206" spans="1:4" x14ac:dyDescent="0.2">
      <c r="A16206" s="496"/>
      <c r="D16206" s="496"/>
    </row>
    <row r="16207" spans="1:4" x14ac:dyDescent="0.2">
      <c r="A16207" s="496"/>
      <c r="D16207" s="496"/>
    </row>
    <row r="16208" spans="1:4" x14ac:dyDescent="0.2">
      <c r="A16208" s="496"/>
      <c r="D16208" s="496"/>
    </row>
    <row r="16209" spans="1:4" x14ac:dyDescent="0.2">
      <c r="A16209" s="496"/>
      <c r="D16209" s="496"/>
    </row>
    <row r="16210" spans="1:4" x14ac:dyDescent="0.2">
      <c r="A16210" s="496"/>
      <c r="D16210" s="496"/>
    </row>
    <row r="16211" spans="1:4" x14ac:dyDescent="0.2">
      <c r="A16211" s="496"/>
      <c r="D16211" s="496"/>
    </row>
    <row r="16212" spans="1:4" x14ac:dyDescent="0.2">
      <c r="A16212" s="496"/>
      <c r="D16212" s="496"/>
    </row>
    <row r="16213" spans="1:4" x14ac:dyDescent="0.2">
      <c r="A16213" s="496"/>
      <c r="D16213" s="496"/>
    </row>
    <row r="16214" spans="1:4" x14ac:dyDescent="0.2">
      <c r="A16214" s="496"/>
      <c r="D16214" s="496"/>
    </row>
    <row r="16215" spans="1:4" x14ac:dyDescent="0.2">
      <c r="A16215" s="496"/>
      <c r="D16215" s="496"/>
    </row>
    <row r="16216" spans="1:4" x14ac:dyDescent="0.2">
      <c r="A16216" s="496"/>
      <c r="D16216" s="496"/>
    </row>
    <row r="16217" spans="1:4" x14ac:dyDescent="0.2">
      <c r="A16217" s="496"/>
      <c r="D16217" s="496"/>
    </row>
    <row r="16218" spans="1:4" x14ac:dyDescent="0.2">
      <c r="A16218" s="496"/>
      <c r="D16218" s="496"/>
    </row>
    <row r="16219" spans="1:4" x14ac:dyDescent="0.2">
      <c r="A16219" s="496"/>
      <c r="D16219" s="496"/>
    </row>
    <row r="16220" spans="1:4" x14ac:dyDescent="0.2">
      <c r="A16220" s="496"/>
      <c r="D16220" s="496"/>
    </row>
    <row r="16221" spans="1:4" x14ac:dyDescent="0.2">
      <c r="A16221" s="496"/>
      <c r="D16221" s="496"/>
    </row>
    <row r="16222" spans="1:4" x14ac:dyDescent="0.2">
      <c r="A16222" s="496"/>
      <c r="D16222" s="496"/>
    </row>
    <row r="16223" spans="1:4" x14ac:dyDescent="0.2">
      <c r="A16223" s="496"/>
      <c r="D16223" s="496"/>
    </row>
    <row r="16224" spans="1:4" x14ac:dyDescent="0.2">
      <c r="A16224" s="496"/>
      <c r="D16224" s="496"/>
    </row>
    <row r="16225" spans="1:4" x14ac:dyDescent="0.2">
      <c r="A16225" s="496"/>
      <c r="D16225" s="496"/>
    </row>
    <row r="16226" spans="1:4" x14ac:dyDescent="0.2">
      <c r="A16226" s="496"/>
      <c r="D16226" s="496"/>
    </row>
    <row r="16227" spans="1:4" x14ac:dyDescent="0.2">
      <c r="A16227" s="496"/>
      <c r="D16227" s="496"/>
    </row>
    <row r="16228" spans="1:4" x14ac:dyDescent="0.2">
      <c r="A16228" s="496"/>
      <c r="D16228" s="496"/>
    </row>
    <row r="16229" spans="1:4" x14ac:dyDescent="0.2">
      <c r="A16229" s="496"/>
      <c r="D16229" s="496"/>
    </row>
    <row r="16230" spans="1:4" x14ac:dyDescent="0.2">
      <c r="A16230" s="496"/>
      <c r="D16230" s="496"/>
    </row>
    <row r="16231" spans="1:4" x14ac:dyDescent="0.2">
      <c r="A16231" s="496"/>
      <c r="D16231" s="496"/>
    </row>
    <row r="16232" spans="1:4" x14ac:dyDescent="0.2">
      <c r="A16232" s="496"/>
      <c r="D16232" s="496"/>
    </row>
    <row r="16233" spans="1:4" x14ac:dyDescent="0.2">
      <c r="A16233" s="496"/>
      <c r="D16233" s="496"/>
    </row>
    <row r="16234" spans="1:4" x14ac:dyDescent="0.2">
      <c r="A16234" s="496"/>
      <c r="D16234" s="496"/>
    </row>
    <row r="16235" spans="1:4" x14ac:dyDescent="0.2">
      <c r="A16235" s="496"/>
      <c r="D16235" s="496"/>
    </row>
    <row r="16236" spans="1:4" x14ac:dyDescent="0.2">
      <c r="A16236" s="496"/>
      <c r="D16236" s="496"/>
    </row>
    <row r="16237" spans="1:4" x14ac:dyDescent="0.2">
      <c r="A16237" s="496"/>
      <c r="D16237" s="496"/>
    </row>
    <row r="16238" spans="1:4" x14ac:dyDescent="0.2">
      <c r="A16238" s="496"/>
      <c r="D16238" s="496"/>
    </row>
    <row r="16239" spans="1:4" x14ac:dyDescent="0.2">
      <c r="A16239" s="496"/>
      <c r="D16239" s="496"/>
    </row>
    <row r="16240" spans="1:4" x14ac:dyDescent="0.2">
      <c r="A16240" s="496"/>
      <c r="D16240" s="496"/>
    </row>
    <row r="16241" spans="1:4" x14ac:dyDescent="0.2">
      <c r="A16241" s="496"/>
      <c r="D16241" s="496"/>
    </row>
    <row r="16242" spans="1:4" x14ac:dyDescent="0.2">
      <c r="A16242" s="496"/>
      <c r="D16242" s="496"/>
    </row>
    <row r="16243" spans="1:4" x14ac:dyDescent="0.2">
      <c r="A16243" s="496"/>
      <c r="D16243" s="496"/>
    </row>
    <row r="16244" spans="1:4" x14ac:dyDescent="0.2">
      <c r="A16244" s="496"/>
      <c r="D16244" s="496"/>
    </row>
    <row r="16245" spans="1:4" x14ac:dyDescent="0.2">
      <c r="A16245" s="496"/>
      <c r="D16245" s="496"/>
    </row>
    <row r="16246" spans="1:4" x14ac:dyDescent="0.2">
      <c r="A16246" s="496"/>
      <c r="D16246" s="496"/>
    </row>
    <row r="16247" spans="1:4" x14ac:dyDescent="0.2">
      <c r="A16247" s="496"/>
      <c r="D16247" s="496"/>
    </row>
    <row r="16248" spans="1:4" x14ac:dyDescent="0.2">
      <c r="A16248" s="496"/>
      <c r="D16248" s="496"/>
    </row>
    <row r="16249" spans="1:4" x14ac:dyDescent="0.2">
      <c r="A16249" s="496"/>
      <c r="D16249" s="496"/>
    </row>
    <row r="16250" spans="1:4" x14ac:dyDescent="0.2">
      <c r="A16250" s="496"/>
      <c r="D16250" s="496"/>
    </row>
    <row r="16251" spans="1:4" x14ac:dyDescent="0.2">
      <c r="A16251" s="496"/>
      <c r="D16251" s="496"/>
    </row>
    <row r="16252" spans="1:4" x14ac:dyDescent="0.2">
      <c r="A16252" s="496"/>
      <c r="D16252" s="496"/>
    </row>
    <row r="16253" spans="1:4" x14ac:dyDescent="0.2">
      <c r="A16253" s="496"/>
      <c r="D16253" s="496"/>
    </row>
    <row r="16254" spans="1:4" x14ac:dyDescent="0.2">
      <c r="A16254" s="496"/>
      <c r="D16254" s="496"/>
    </row>
    <row r="16255" spans="1:4" x14ac:dyDescent="0.2">
      <c r="A16255" s="496"/>
      <c r="D16255" s="496"/>
    </row>
    <row r="16256" spans="1:4" x14ac:dyDescent="0.2">
      <c r="A16256" s="496"/>
      <c r="D16256" s="496"/>
    </row>
    <row r="16257" spans="1:4" x14ac:dyDescent="0.2">
      <c r="A16257" s="496"/>
      <c r="D16257" s="496"/>
    </row>
    <row r="16258" spans="1:4" x14ac:dyDescent="0.2">
      <c r="A16258" s="496"/>
      <c r="D16258" s="496"/>
    </row>
    <row r="16259" spans="1:4" x14ac:dyDescent="0.2">
      <c r="A16259" s="496"/>
      <c r="D16259" s="496"/>
    </row>
    <row r="16260" spans="1:4" x14ac:dyDescent="0.2">
      <c r="A16260" s="496"/>
      <c r="D16260" s="496"/>
    </row>
    <row r="16261" spans="1:4" x14ac:dyDescent="0.2">
      <c r="A16261" s="496"/>
      <c r="D16261" s="496"/>
    </row>
    <row r="16262" spans="1:4" x14ac:dyDescent="0.2">
      <c r="A16262" s="496"/>
      <c r="D16262" s="496"/>
    </row>
    <row r="16263" spans="1:4" x14ac:dyDescent="0.2">
      <c r="A16263" s="496"/>
      <c r="D16263" s="496"/>
    </row>
    <row r="16264" spans="1:4" x14ac:dyDescent="0.2">
      <c r="A16264" s="496"/>
      <c r="D16264" s="496"/>
    </row>
    <row r="16265" spans="1:4" x14ac:dyDescent="0.2">
      <c r="A16265" s="496"/>
      <c r="D16265" s="496"/>
    </row>
    <row r="16266" spans="1:4" x14ac:dyDescent="0.2">
      <c r="A16266" s="496"/>
      <c r="D16266" s="496"/>
    </row>
    <row r="16267" spans="1:4" x14ac:dyDescent="0.2">
      <c r="A16267" s="496"/>
      <c r="D16267" s="496"/>
    </row>
    <row r="16268" spans="1:4" x14ac:dyDescent="0.2">
      <c r="A16268" s="496"/>
      <c r="D16268" s="496"/>
    </row>
    <row r="16269" spans="1:4" x14ac:dyDescent="0.2">
      <c r="A16269" s="496"/>
      <c r="D16269" s="496"/>
    </row>
    <row r="16270" spans="1:4" x14ac:dyDescent="0.2">
      <c r="A16270" s="496"/>
      <c r="D16270" s="496"/>
    </row>
    <row r="16271" spans="1:4" x14ac:dyDescent="0.2">
      <c r="A16271" s="496"/>
      <c r="D16271" s="496"/>
    </row>
    <row r="16272" spans="1:4" x14ac:dyDescent="0.2">
      <c r="A16272" s="496"/>
      <c r="D16272" s="496"/>
    </row>
    <row r="16273" spans="1:4" x14ac:dyDescent="0.2">
      <c r="A16273" s="496"/>
      <c r="D16273" s="496"/>
    </row>
    <row r="16274" spans="1:4" x14ac:dyDescent="0.2">
      <c r="A16274" s="496"/>
      <c r="D16274" s="496"/>
    </row>
    <row r="16275" spans="1:4" x14ac:dyDescent="0.2">
      <c r="A16275" s="496"/>
      <c r="D16275" s="496"/>
    </row>
    <row r="16276" spans="1:4" x14ac:dyDescent="0.2">
      <c r="A16276" s="496"/>
      <c r="D16276" s="496"/>
    </row>
    <row r="16277" spans="1:4" x14ac:dyDescent="0.2">
      <c r="A16277" s="496"/>
      <c r="D16277" s="496"/>
    </row>
    <row r="16278" spans="1:4" x14ac:dyDescent="0.2">
      <c r="A16278" s="496"/>
      <c r="D16278" s="496"/>
    </row>
    <row r="16279" spans="1:4" x14ac:dyDescent="0.2">
      <c r="A16279" s="496"/>
      <c r="D16279" s="496"/>
    </row>
    <row r="16280" spans="1:4" x14ac:dyDescent="0.2">
      <c r="A16280" s="496"/>
      <c r="D16280" s="496"/>
    </row>
    <row r="16281" spans="1:4" x14ac:dyDescent="0.2">
      <c r="A16281" s="496"/>
      <c r="D16281" s="496"/>
    </row>
    <row r="16282" spans="1:4" x14ac:dyDescent="0.2">
      <c r="A16282" s="496"/>
      <c r="D16282" s="496"/>
    </row>
    <row r="16283" spans="1:4" x14ac:dyDescent="0.2">
      <c r="A16283" s="496"/>
      <c r="D16283" s="496"/>
    </row>
    <row r="16284" spans="1:4" x14ac:dyDescent="0.2">
      <c r="A16284" s="496"/>
      <c r="D16284" s="496"/>
    </row>
    <row r="16285" spans="1:4" x14ac:dyDescent="0.2">
      <c r="A16285" s="496"/>
      <c r="D16285" s="496"/>
    </row>
    <row r="16286" spans="1:4" x14ac:dyDescent="0.2">
      <c r="A16286" s="496"/>
      <c r="D16286" s="496"/>
    </row>
    <row r="16287" spans="1:4" x14ac:dyDescent="0.2">
      <c r="A16287" s="496"/>
      <c r="D16287" s="496"/>
    </row>
    <row r="16288" spans="1:4" x14ac:dyDescent="0.2">
      <c r="A16288" s="496"/>
      <c r="D16288" s="496"/>
    </row>
    <row r="16289" spans="1:4" x14ac:dyDescent="0.2">
      <c r="A16289" s="496"/>
      <c r="D16289" s="496"/>
    </row>
    <row r="16290" spans="1:4" x14ac:dyDescent="0.2">
      <c r="A16290" s="496"/>
      <c r="D16290" s="496"/>
    </row>
    <row r="16291" spans="1:4" x14ac:dyDescent="0.2">
      <c r="A16291" s="496"/>
      <c r="D16291" s="496"/>
    </row>
    <row r="16292" spans="1:4" x14ac:dyDescent="0.2">
      <c r="A16292" s="496"/>
      <c r="D16292" s="496"/>
    </row>
    <row r="16293" spans="1:4" x14ac:dyDescent="0.2">
      <c r="A16293" s="496"/>
      <c r="D16293" s="496"/>
    </row>
    <row r="16294" spans="1:4" x14ac:dyDescent="0.2">
      <c r="A16294" s="496"/>
      <c r="D16294" s="496"/>
    </row>
    <row r="16295" spans="1:4" x14ac:dyDescent="0.2">
      <c r="A16295" s="496"/>
      <c r="D16295" s="496"/>
    </row>
    <row r="16296" spans="1:4" x14ac:dyDescent="0.2">
      <c r="A16296" s="496"/>
      <c r="D16296" s="496"/>
    </row>
    <row r="16297" spans="1:4" x14ac:dyDescent="0.2">
      <c r="A16297" s="496"/>
      <c r="D16297" s="496"/>
    </row>
    <row r="16298" spans="1:4" x14ac:dyDescent="0.2">
      <c r="A16298" s="496"/>
      <c r="D16298" s="496"/>
    </row>
    <row r="16299" spans="1:4" x14ac:dyDescent="0.2">
      <c r="A16299" s="496"/>
      <c r="D16299" s="496"/>
    </row>
    <row r="16300" spans="1:4" x14ac:dyDescent="0.2">
      <c r="A16300" s="496"/>
      <c r="D16300" s="496"/>
    </row>
    <row r="16301" spans="1:4" x14ac:dyDescent="0.2">
      <c r="A16301" s="496"/>
      <c r="D16301" s="496"/>
    </row>
    <row r="16302" spans="1:4" x14ac:dyDescent="0.2">
      <c r="A16302" s="496"/>
      <c r="D16302" s="496"/>
    </row>
    <row r="16303" spans="1:4" x14ac:dyDescent="0.2">
      <c r="A16303" s="496"/>
      <c r="D16303" s="496"/>
    </row>
    <row r="16304" spans="1:4" x14ac:dyDescent="0.2">
      <c r="A16304" s="496"/>
      <c r="D16304" s="496"/>
    </row>
    <row r="16305" spans="1:4" x14ac:dyDescent="0.2">
      <c r="A16305" s="496"/>
      <c r="D16305" s="496"/>
    </row>
    <row r="16306" spans="1:4" x14ac:dyDescent="0.2">
      <c r="A16306" s="496"/>
      <c r="D16306" s="496"/>
    </row>
    <row r="16307" spans="1:4" x14ac:dyDescent="0.2">
      <c r="A16307" s="496"/>
      <c r="D16307" s="496"/>
    </row>
    <row r="16308" spans="1:4" x14ac:dyDescent="0.2">
      <c r="A16308" s="496"/>
      <c r="D16308" s="496"/>
    </row>
    <row r="16309" spans="1:4" x14ac:dyDescent="0.2">
      <c r="A16309" s="496"/>
      <c r="D16309" s="496"/>
    </row>
    <row r="16310" spans="1:4" x14ac:dyDescent="0.2">
      <c r="A16310" s="496"/>
      <c r="D16310" s="496"/>
    </row>
    <row r="16311" spans="1:4" x14ac:dyDescent="0.2">
      <c r="A16311" s="496"/>
      <c r="D16311" s="496"/>
    </row>
    <row r="16312" spans="1:4" x14ac:dyDescent="0.2">
      <c r="A16312" s="496"/>
      <c r="D16312" s="496"/>
    </row>
    <row r="16313" spans="1:4" x14ac:dyDescent="0.2">
      <c r="A16313" s="496"/>
      <c r="D16313" s="496"/>
    </row>
    <row r="16314" spans="1:4" x14ac:dyDescent="0.2">
      <c r="A16314" s="496"/>
      <c r="D16314" s="496"/>
    </row>
    <row r="16315" spans="1:4" x14ac:dyDescent="0.2">
      <c r="A16315" s="496"/>
      <c r="D16315" s="496"/>
    </row>
    <row r="16316" spans="1:4" x14ac:dyDescent="0.2">
      <c r="A16316" s="496"/>
      <c r="D16316" s="496"/>
    </row>
    <row r="16317" spans="1:4" x14ac:dyDescent="0.2">
      <c r="A16317" s="496"/>
      <c r="D16317" s="496"/>
    </row>
    <row r="16318" spans="1:4" x14ac:dyDescent="0.2">
      <c r="A16318" s="496"/>
      <c r="D16318" s="496"/>
    </row>
    <row r="16319" spans="1:4" x14ac:dyDescent="0.2">
      <c r="A16319" s="496"/>
      <c r="D16319" s="496"/>
    </row>
    <row r="16320" spans="1:4" x14ac:dyDescent="0.2">
      <c r="A16320" s="496"/>
      <c r="D16320" s="496"/>
    </row>
    <row r="16321" spans="1:4" x14ac:dyDescent="0.2">
      <c r="A16321" s="496"/>
      <c r="D16321" s="496"/>
    </row>
    <row r="16322" spans="1:4" x14ac:dyDescent="0.2">
      <c r="A16322" s="496"/>
      <c r="D16322" s="496"/>
    </row>
    <row r="16323" spans="1:4" x14ac:dyDescent="0.2">
      <c r="A16323" s="496"/>
      <c r="D16323" s="496"/>
    </row>
    <row r="16324" spans="1:4" x14ac:dyDescent="0.2">
      <c r="A16324" s="496"/>
      <c r="D16324" s="496"/>
    </row>
    <row r="16325" spans="1:4" x14ac:dyDescent="0.2">
      <c r="A16325" s="496"/>
      <c r="D16325" s="496"/>
    </row>
    <row r="16326" spans="1:4" x14ac:dyDescent="0.2">
      <c r="A16326" s="496"/>
      <c r="D16326" s="496"/>
    </row>
    <row r="16327" spans="1:4" x14ac:dyDescent="0.2">
      <c r="A16327" s="496"/>
      <c r="D16327" s="496"/>
    </row>
    <row r="16328" spans="1:4" x14ac:dyDescent="0.2">
      <c r="A16328" s="496"/>
      <c r="D16328" s="496"/>
    </row>
    <row r="16329" spans="1:4" x14ac:dyDescent="0.2">
      <c r="A16329" s="496"/>
      <c r="D16329" s="496"/>
    </row>
    <row r="16330" spans="1:4" x14ac:dyDescent="0.2">
      <c r="A16330" s="496"/>
      <c r="D16330" s="496"/>
    </row>
    <row r="16331" spans="1:4" x14ac:dyDescent="0.2">
      <c r="A16331" s="496"/>
      <c r="D16331" s="496"/>
    </row>
    <row r="16332" spans="1:4" x14ac:dyDescent="0.2">
      <c r="A16332" s="496"/>
      <c r="D16332" s="496"/>
    </row>
    <row r="16333" spans="1:4" x14ac:dyDescent="0.2">
      <c r="A16333" s="496"/>
      <c r="D16333" s="496"/>
    </row>
    <row r="16334" spans="1:4" x14ac:dyDescent="0.2">
      <c r="A16334" s="496"/>
      <c r="D16334" s="496"/>
    </row>
    <row r="16335" spans="1:4" x14ac:dyDescent="0.2">
      <c r="A16335" s="496"/>
      <c r="D16335" s="496"/>
    </row>
    <row r="16336" spans="1:4" x14ac:dyDescent="0.2">
      <c r="A16336" s="496"/>
      <c r="D16336" s="496"/>
    </row>
    <row r="16337" spans="1:4" x14ac:dyDescent="0.2">
      <c r="A16337" s="496"/>
      <c r="D16337" s="496"/>
    </row>
    <row r="16338" spans="1:4" x14ac:dyDescent="0.2">
      <c r="A16338" s="496"/>
      <c r="D16338" s="496"/>
    </row>
    <row r="16339" spans="1:4" x14ac:dyDescent="0.2">
      <c r="A16339" s="496"/>
      <c r="D16339" s="496"/>
    </row>
    <row r="16340" spans="1:4" x14ac:dyDescent="0.2">
      <c r="A16340" s="496"/>
      <c r="D16340" s="496"/>
    </row>
    <row r="16341" spans="1:4" x14ac:dyDescent="0.2">
      <c r="A16341" s="496"/>
      <c r="D16341" s="496"/>
    </row>
    <row r="16342" spans="1:4" x14ac:dyDescent="0.2">
      <c r="A16342" s="496"/>
      <c r="D16342" s="496"/>
    </row>
    <row r="16343" spans="1:4" x14ac:dyDescent="0.2">
      <c r="A16343" s="496"/>
      <c r="D16343" s="496"/>
    </row>
    <row r="16344" spans="1:4" x14ac:dyDescent="0.2">
      <c r="A16344" s="496"/>
      <c r="D16344" s="496"/>
    </row>
    <row r="16345" spans="1:4" x14ac:dyDescent="0.2">
      <c r="A16345" s="496"/>
      <c r="D16345" s="496"/>
    </row>
    <row r="16346" spans="1:4" x14ac:dyDescent="0.2">
      <c r="A16346" s="496"/>
      <c r="D16346" s="496"/>
    </row>
    <row r="16347" spans="1:4" x14ac:dyDescent="0.2">
      <c r="A16347" s="496"/>
      <c r="D16347" s="496"/>
    </row>
    <row r="16348" spans="1:4" x14ac:dyDescent="0.2">
      <c r="A16348" s="496"/>
      <c r="D16348" s="496"/>
    </row>
    <row r="16349" spans="1:4" x14ac:dyDescent="0.2">
      <c r="A16349" s="496"/>
      <c r="D16349" s="496"/>
    </row>
    <row r="16350" spans="1:4" x14ac:dyDescent="0.2">
      <c r="A16350" s="496"/>
      <c r="D16350" s="496"/>
    </row>
    <row r="16351" spans="1:4" x14ac:dyDescent="0.2">
      <c r="A16351" s="496"/>
      <c r="D16351" s="496"/>
    </row>
    <row r="16352" spans="1:4" x14ac:dyDescent="0.2">
      <c r="A16352" s="496"/>
      <c r="D16352" s="496"/>
    </row>
    <row r="16353" spans="1:4" x14ac:dyDescent="0.2">
      <c r="A16353" s="496"/>
      <c r="D16353" s="496"/>
    </row>
    <row r="16354" spans="1:4" x14ac:dyDescent="0.2">
      <c r="A16354" s="496"/>
      <c r="D16354" s="496"/>
    </row>
    <row r="16355" spans="1:4" x14ac:dyDescent="0.2">
      <c r="A16355" s="496"/>
      <c r="D16355" s="496"/>
    </row>
    <row r="16356" spans="1:4" x14ac:dyDescent="0.2">
      <c r="A16356" s="496"/>
      <c r="D16356" s="496"/>
    </row>
    <row r="16357" spans="1:4" x14ac:dyDescent="0.2">
      <c r="A16357" s="496"/>
      <c r="D16357" s="496"/>
    </row>
    <row r="16358" spans="1:4" x14ac:dyDescent="0.2">
      <c r="A16358" s="496"/>
      <c r="D16358" s="496"/>
    </row>
    <row r="16359" spans="1:4" x14ac:dyDescent="0.2">
      <c r="A16359" s="496"/>
      <c r="D16359" s="496"/>
    </row>
    <row r="16360" spans="1:4" x14ac:dyDescent="0.2">
      <c r="A16360" s="496"/>
      <c r="D16360" s="496"/>
    </row>
    <row r="16361" spans="1:4" x14ac:dyDescent="0.2">
      <c r="A16361" s="496"/>
      <c r="D16361" s="496"/>
    </row>
    <row r="16362" spans="1:4" x14ac:dyDescent="0.2">
      <c r="A16362" s="496"/>
      <c r="D16362" s="496"/>
    </row>
    <row r="16363" spans="1:4" x14ac:dyDescent="0.2">
      <c r="A16363" s="496"/>
      <c r="D16363" s="496"/>
    </row>
    <row r="16364" spans="1:4" x14ac:dyDescent="0.2">
      <c r="A16364" s="496"/>
      <c r="D16364" s="496"/>
    </row>
    <row r="16365" spans="1:4" x14ac:dyDescent="0.2">
      <c r="A16365" s="496"/>
      <c r="D16365" s="496"/>
    </row>
    <row r="16366" spans="1:4" x14ac:dyDescent="0.2">
      <c r="A16366" s="496"/>
      <c r="D16366" s="496"/>
    </row>
    <row r="16367" spans="1:4" x14ac:dyDescent="0.2">
      <c r="A16367" s="496"/>
      <c r="D16367" s="496"/>
    </row>
    <row r="16368" spans="1:4" x14ac:dyDescent="0.2">
      <c r="A16368" s="496"/>
      <c r="D16368" s="496"/>
    </row>
    <row r="16369" spans="1:4" x14ac:dyDescent="0.2">
      <c r="A16369" s="496"/>
      <c r="D16369" s="496"/>
    </row>
    <row r="16370" spans="1:4" x14ac:dyDescent="0.2">
      <c r="A16370" s="496"/>
      <c r="D16370" s="496"/>
    </row>
    <row r="16371" spans="1:4" x14ac:dyDescent="0.2">
      <c r="A16371" s="496"/>
      <c r="D16371" s="496"/>
    </row>
    <row r="16372" spans="1:4" x14ac:dyDescent="0.2">
      <c r="A16372" s="496"/>
      <c r="D16372" s="496"/>
    </row>
    <row r="16373" spans="1:4" x14ac:dyDescent="0.2">
      <c r="A16373" s="496"/>
      <c r="D16373" s="496"/>
    </row>
    <row r="16374" spans="1:4" x14ac:dyDescent="0.2">
      <c r="A16374" s="496"/>
      <c r="D16374" s="496"/>
    </row>
    <row r="16375" spans="1:4" x14ac:dyDescent="0.2">
      <c r="A16375" s="496"/>
      <c r="D16375" s="496"/>
    </row>
    <row r="16376" spans="1:4" x14ac:dyDescent="0.2">
      <c r="A16376" s="496"/>
      <c r="D16376" s="496"/>
    </row>
    <row r="16377" spans="1:4" x14ac:dyDescent="0.2">
      <c r="A16377" s="496"/>
      <c r="D16377" s="496"/>
    </row>
    <row r="16378" spans="1:4" x14ac:dyDescent="0.2">
      <c r="A16378" s="496"/>
      <c r="D16378" s="496"/>
    </row>
    <row r="16379" spans="1:4" x14ac:dyDescent="0.2">
      <c r="A16379" s="496"/>
      <c r="D16379" s="496"/>
    </row>
    <row r="16380" spans="1:4" x14ac:dyDescent="0.2">
      <c r="A16380" s="496"/>
      <c r="D16380" s="496"/>
    </row>
    <row r="16381" spans="1:4" x14ac:dyDescent="0.2">
      <c r="A16381" s="496"/>
      <c r="D16381" s="496"/>
    </row>
    <row r="16382" spans="1:4" x14ac:dyDescent="0.2">
      <c r="A16382" s="496"/>
      <c r="D16382" s="496"/>
    </row>
    <row r="16383" spans="1:4" x14ac:dyDescent="0.2">
      <c r="A16383" s="496"/>
      <c r="D16383" s="496"/>
    </row>
    <row r="16384" spans="1:4" x14ac:dyDescent="0.2">
      <c r="A16384" s="496"/>
      <c r="D16384" s="496"/>
    </row>
    <row r="16385" spans="1:4" x14ac:dyDescent="0.2">
      <c r="A16385" s="496"/>
      <c r="D16385" s="496"/>
    </row>
    <row r="16386" spans="1:4" x14ac:dyDescent="0.2">
      <c r="A16386" s="496"/>
      <c r="D16386" s="496"/>
    </row>
    <row r="16387" spans="1:4" x14ac:dyDescent="0.2">
      <c r="A16387" s="496"/>
      <c r="D16387" s="496"/>
    </row>
    <row r="16388" spans="1:4" x14ac:dyDescent="0.2">
      <c r="A16388" s="496"/>
      <c r="D16388" s="496"/>
    </row>
    <row r="16389" spans="1:4" x14ac:dyDescent="0.2">
      <c r="A16389" s="496"/>
      <c r="D16389" s="496"/>
    </row>
    <row r="16390" spans="1:4" x14ac:dyDescent="0.2">
      <c r="A16390" s="496"/>
      <c r="D16390" s="496"/>
    </row>
    <row r="16391" spans="1:4" x14ac:dyDescent="0.2">
      <c r="A16391" s="496"/>
      <c r="D16391" s="496"/>
    </row>
    <row r="16392" spans="1:4" x14ac:dyDescent="0.2">
      <c r="A16392" s="496"/>
      <c r="D16392" s="496"/>
    </row>
    <row r="16393" spans="1:4" x14ac:dyDescent="0.2">
      <c r="A16393" s="496"/>
      <c r="D16393" s="496"/>
    </row>
    <row r="16394" spans="1:4" x14ac:dyDescent="0.2">
      <c r="A16394" s="496"/>
      <c r="D16394" s="496"/>
    </row>
    <row r="16395" spans="1:4" x14ac:dyDescent="0.2">
      <c r="A16395" s="496"/>
      <c r="D16395" s="496"/>
    </row>
    <row r="16396" spans="1:4" x14ac:dyDescent="0.2">
      <c r="A16396" s="496"/>
      <c r="D16396" s="496"/>
    </row>
    <row r="16397" spans="1:4" x14ac:dyDescent="0.2">
      <c r="A16397" s="496"/>
      <c r="D16397" s="496"/>
    </row>
    <row r="16398" spans="1:4" x14ac:dyDescent="0.2">
      <c r="A16398" s="496"/>
      <c r="D16398" s="496"/>
    </row>
    <row r="16399" spans="1:4" x14ac:dyDescent="0.2">
      <c r="A16399" s="496"/>
      <c r="D16399" s="496"/>
    </row>
    <row r="16400" spans="1:4" x14ac:dyDescent="0.2">
      <c r="A16400" s="496"/>
      <c r="D16400" s="496"/>
    </row>
    <row r="16401" spans="1:4" x14ac:dyDescent="0.2">
      <c r="A16401" s="496"/>
      <c r="D16401" s="496"/>
    </row>
    <row r="16402" spans="1:4" x14ac:dyDescent="0.2">
      <c r="A16402" s="496"/>
      <c r="D16402" s="496"/>
    </row>
    <row r="16403" spans="1:4" x14ac:dyDescent="0.2">
      <c r="A16403" s="496"/>
      <c r="D16403" s="496"/>
    </row>
    <row r="16404" spans="1:4" x14ac:dyDescent="0.2">
      <c r="A16404" s="496"/>
      <c r="D16404" s="496"/>
    </row>
    <row r="16405" spans="1:4" x14ac:dyDescent="0.2">
      <c r="A16405" s="496"/>
      <c r="D16405" s="496"/>
    </row>
    <row r="16406" spans="1:4" x14ac:dyDescent="0.2">
      <c r="A16406" s="496"/>
      <c r="D16406" s="496"/>
    </row>
    <row r="16407" spans="1:4" x14ac:dyDescent="0.2">
      <c r="A16407" s="496"/>
      <c r="D16407" s="496"/>
    </row>
    <row r="16408" spans="1:4" x14ac:dyDescent="0.2">
      <c r="A16408" s="496"/>
      <c r="D16408" s="496"/>
    </row>
    <row r="16409" spans="1:4" x14ac:dyDescent="0.2">
      <c r="A16409" s="496"/>
      <c r="D16409" s="496"/>
    </row>
    <row r="16410" spans="1:4" x14ac:dyDescent="0.2">
      <c r="A16410" s="496"/>
      <c r="D16410" s="496"/>
    </row>
    <row r="16411" spans="1:4" x14ac:dyDescent="0.2">
      <c r="A16411" s="496"/>
      <c r="D16411" s="496"/>
    </row>
    <row r="16412" spans="1:4" x14ac:dyDescent="0.2">
      <c r="A16412" s="496"/>
      <c r="D16412" s="496"/>
    </row>
    <row r="16413" spans="1:4" x14ac:dyDescent="0.2">
      <c r="A16413" s="496"/>
      <c r="D16413" s="496"/>
    </row>
    <row r="16414" spans="1:4" x14ac:dyDescent="0.2">
      <c r="A16414" s="496"/>
      <c r="D16414" s="496"/>
    </row>
    <row r="16415" spans="1:4" x14ac:dyDescent="0.2">
      <c r="A16415" s="496"/>
      <c r="D16415" s="496"/>
    </row>
    <row r="16416" spans="1:4" x14ac:dyDescent="0.2">
      <c r="A16416" s="496"/>
      <c r="D16416" s="496"/>
    </row>
    <row r="16417" spans="1:4" x14ac:dyDescent="0.2">
      <c r="A16417" s="496"/>
      <c r="D16417" s="496"/>
    </row>
    <row r="16418" spans="1:4" x14ac:dyDescent="0.2">
      <c r="A16418" s="496"/>
      <c r="D16418" s="496"/>
    </row>
    <row r="16419" spans="1:4" x14ac:dyDescent="0.2">
      <c r="A16419" s="496"/>
      <c r="D16419" s="496"/>
    </row>
    <row r="16420" spans="1:4" x14ac:dyDescent="0.2">
      <c r="A16420" s="496"/>
      <c r="D16420" s="496"/>
    </row>
    <row r="16421" spans="1:4" x14ac:dyDescent="0.2">
      <c r="A16421" s="496"/>
      <c r="D16421" s="496"/>
    </row>
    <row r="16422" spans="1:4" x14ac:dyDescent="0.2">
      <c r="A16422" s="496"/>
      <c r="D16422" s="496"/>
    </row>
    <row r="16423" spans="1:4" x14ac:dyDescent="0.2">
      <c r="A16423" s="496"/>
      <c r="D16423" s="496"/>
    </row>
    <row r="16424" spans="1:4" x14ac:dyDescent="0.2">
      <c r="A16424" s="496"/>
      <c r="D16424" s="496"/>
    </row>
    <row r="16425" spans="1:4" x14ac:dyDescent="0.2">
      <c r="A16425" s="496"/>
      <c r="D16425" s="496"/>
    </row>
    <row r="16426" spans="1:4" x14ac:dyDescent="0.2">
      <c r="A16426" s="496"/>
      <c r="D16426" s="496"/>
    </row>
    <row r="16427" spans="1:4" x14ac:dyDescent="0.2">
      <c r="A16427" s="496"/>
      <c r="D16427" s="496"/>
    </row>
    <row r="16428" spans="1:4" x14ac:dyDescent="0.2">
      <c r="A16428" s="496"/>
      <c r="D16428" s="496"/>
    </row>
    <row r="16429" spans="1:4" x14ac:dyDescent="0.2">
      <c r="A16429" s="496"/>
      <c r="D16429" s="496"/>
    </row>
    <row r="16430" spans="1:4" x14ac:dyDescent="0.2">
      <c r="A16430" s="496"/>
      <c r="D16430" s="496"/>
    </row>
    <row r="16431" spans="1:4" x14ac:dyDescent="0.2">
      <c r="A16431" s="496"/>
      <c r="D16431" s="496"/>
    </row>
    <row r="16432" spans="1:4" x14ac:dyDescent="0.2">
      <c r="A16432" s="496"/>
      <c r="D16432" s="496"/>
    </row>
    <row r="16433" spans="1:4" x14ac:dyDescent="0.2">
      <c r="A16433" s="496"/>
      <c r="D16433" s="496"/>
    </row>
    <row r="16434" spans="1:4" x14ac:dyDescent="0.2">
      <c r="A16434" s="496"/>
      <c r="D16434" s="496"/>
    </row>
    <row r="16435" spans="1:4" x14ac:dyDescent="0.2">
      <c r="A16435" s="496"/>
      <c r="D16435" s="496"/>
    </row>
    <row r="16436" spans="1:4" x14ac:dyDescent="0.2">
      <c r="A16436" s="496"/>
      <c r="D16436" s="496"/>
    </row>
    <row r="16437" spans="1:4" x14ac:dyDescent="0.2">
      <c r="A16437" s="496"/>
      <c r="D16437" s="496"/>
    </row>
    <row r="16438" spans="1:4" x14ac:dyDescent="0.2">
      <c r="A16438" s="496"/>
      <c r="D16438" s="496"/>
    </row>
    <row r="16439" spans="1:4" x14ac:dyDescent="0.2">
      <c r="A16439" s="496"/>
      <c r="D16439" s="496"/>
    </row>
    <row r="16440" spans="1:4" x14ac:dyDescent="0.2">
      <c r="A16440" s="496"/>
      <c r="D16440" s="496"/>
    </row>
    <row r="16441" spans="1:4" x14ac:dyDescent="0.2">
      <c r="A16441" s="496"/>
      <c r="D16441" s="496"/>
    </row>
    <row r="16442" spans="1:4" x14ac:dyDescent="0.2">
      <c r="A16442" s="496"/>
      <c r="D16442" s="496"/>
    </row>
    <row r="16443" spans="1:4" x14ac:dyDescent="0.2">
      <c r="A16443" s="496"/>
      <c r="D16443" s="496"/>
    </row>
    <row r="16444" spans="1:4" x14ac:dyDescent="0.2">
      <c r="A16444" s="496"/>
      <c r="D16444" s="496"/>
    </row>
    <row r="16445" spans="1:4" x14ac:dyDescent="0.2">
      <c r="A16445" s="496"/>
      <c r="D16445" s="496"/>
    </row>
    <row r="16446" spans="1:4" x14ac:dyDescent="0.2">
      <c r="A16446" s="496"/>
      <c r="D16446" s="496"/>
    </row>
    <row r="16447" spans="1:4" x14ac:dyDescent="0.2">
      <c r="A16447" s="496"/>
      <c r="D16447" s="496"/>
    </row>
    <row r="16448" spans="1:4" x14ac:dyDescent="0.2">
      <c r="A16448" s="496"/>
      <c r="D16448" s="496"/>
    </row>
    <row r="16449" spans="1:4" x14ac:dyDescent="0.2">
      <c r="A16449" s="496"/>
      <c r="D16449" s="496"/>
    </row>
    <row r="16450" spans="1:4" x14ac:dyDescent="0.2">
      <c r="A16450" s="496"/>
      <c r="D16450" s="496"/>
    </row>
    <row r="16451" spans="1:4" x14ac:dyDescent="0.2">
      <c r="A16451" s="496"/>
      <c r="D16451" s="496"/>
    </row>
    <row r="16452" spans="1:4" x14ac:dyDescent="0.2">
      <c r="A16452" s="496"/>
      <c r="D16452" s="496"/>
    </row>
    <row r="16453" spans="1:4" x14ac:dyDescent="0.2">
      <c r="A16453" s="496"/>
      <c r="D16453" s="496"/>
    </row>
    <row r="16454" spans="1:4" x14ac:dyDescent="0.2">
      <c r="A16454" s="496"/>
      <c r="D16454" s="496"/>
    </row>
    <row r="16455" spans="1:4" x14ac:dyDescent="0.2">
      <c r="A16455" s="496"/>
      <c r="D16455" s="496"/>
    </row>
    <row r="16456" spans="1:4" x14ac:dyDescent="0.2">
      <c r="A16456" s="496"/>
      <c r="D16456" s="496"/>
    </row>
    <row r="16457" spans="1:4" x14ac:dyDescent="0.2">
      <c r="A16457" s="496"/>
      <c r="D16457" s="496"/>
    </row>
    <row r="16458" spans="1:4" x14ac:dyDescent="0.2">
      <c r="A16458" s="496"/>
      <c r="D16458" s="496"/>
    </row>
    <row r="16459" spans="1:4" x14ac:dyDescent="0.2">
      <c r="A16459" s="496"/>
      <c r="D16459" s="496"/>
    </row>
    <row r="16460" spans="1:4" x14ac:dyDescent="0.2">
      <c r="A16460" s="496"/>
      <c r="D16460" s="496"/>
    </row>
    <row r="16461" spans="1:4" x14ac:dyDescent="0.2">
      <c r="A16461" s="496"/>
      <c r="D16461" s="496"/>
    </row>
    <row r="16462" spans="1:4" x14ac:dyDescent="0.2">
      <c r="A16462" s="496"/>
      <c r="D16462" s="496"/>
    </row>
    <row r="16463" spans="1:4" x14ac:dyDescent="0.2">
      <c r="A16463" s="496"/>
      <c r="D16463" s="496"/>
    </row>
    <row r="16464" spans="1:4" x14ac:dyDescent="0.2">
      <c r="A16464" s="496"/>
      <c r="D16464" s="496"/>
    </row>
    <row r="16465" spans="1:4" x14ac:dyDescent="0.2">
      <c r="A16465" s="496"/>
      <c r="D16465" s="496"/>
    </row>
    <row r="16466" spans="1:4" x14ac:dyDescent="0.2">
      <c r="A16466" s="496"/>
      <c r="D16466" s="496"/>
    </row>
    <row r="16467" spans="1:4" x14ac:dyDescent="0.2">
      <c r="A16467" s="496"/>
      <c r="D16467" s="496"/>
    </row>
    <row r="16468" spans="1:4" x14ac:dyDescent="0.2">
      <c r="A16468" s="496"/>
      <c r="D16468" s="496"/>
    </row>
    <row r="16469" spans="1:4" x14ac:dyDescent="0.2">
      <c r="A16469" s="496"/>
      <c r="D16469" s="496"/>
    </row>
    <row r="16470" spans="1:4" x14ac:dyDescent="0.2">
      <c r="A16470" s="496"/>
      <c r="D16470" s="496"/>
    </row>
    <row r="16471" spans="1:4" x14ac:dyDescent="0.2">
      <c r="A16471" s="496"/>
      <c r="D16471" s="496"/>
    </row>
    <row r="16472" spans="1:4" x14ac:dyDescent="0.2">
      <c r="A16472" s="496"/>
      <c r="D16472" s="496"/>
    </row>
    <row r="16473" spans="1:4" x14ac:dyDescent="0.2">
      <c r="A16473" s="496"/>
      <c r="D16473" s="496"/>
    </row>
    <row r="16474" spans="1:4" x14ac:dyDescent="0.2">
      <c r="A16474" s="496"/>
      <c r="D16474" s="496"/>
    </row>
    <row r="16475" spans="1:4" x14ac:dyDescent="0.2">
      <c r="A16475" s="496"/>
      <c r="D16475" s="496"/>
    </row>
    <row r="16476" spans="1:4" x14ac:dyDescent="0.2">
      <c r="A16476" s="496"/>
      <c r="D16476" s="496"/>
    </row>
    <row r="16477" spans="1:4" x14ac:dyDescent="0.2">
      <c r="A16477" s="496"/>
      <c r="D16477" s="496"/>
    </row>
    <row r="16478" spans="1:4" x14ac:dyDescent="0.2">
      <c r="A16478" s="496"/>
      <c r="D16478" s="496"/>
    </row>
    <row r="16479" spans="1:4" x14ac:dyDescent="0.2">
      <c r="A16479" s="496"/>
      <c r="D16479" s="496"/>
    </row>
    <row r="16480" spans="1:4" x14ac:dyDescent="0.2">
      <c r="A16480" s="496"/>
      <c r="D16480" s="496"/>
    </row>
    <row r="16481" spans="1:4" x14ac:dyDescent="0.2">
      <c r="A16481" s="496"/>
      <c r="D16481" s="496"/>
    </row>
    <row r="16482" spans="1:4" x14ac:dyDescent="0.2">
      <c r="A16482" s="496"/>
      <c r="D16482" s="496"/>
    </row>
    <row r="16483" spans="1:4" x14ac:dyDescent="0.2">
      <c r="A16483" s="496"/>
      <c r="D16483" s="496"/>
    </row>
    <row r="16484" spans="1:4" x14ac:dyDescent="0.2">
      <c r="A16484" s="496"/>
      <c r="D16484" s="496"/>
    </row>
    <row r="16485" spans="1:4" x14ac:dyDescent="0.2">
      <c r="A16485" s="496"/>
      <c r="D16485" s="496"/>
    </row>
    <row r="16486" spans="1:4" x14ac:dyDescent="0.2">
      <c r="A16486" s="496"/>
      <c r="D16486" s="496"/>
    </row>
    <row r="16487" spans="1:4" x14ac:dyDescent="0.2">
      <c r="A16487" s="496"/>
      <c r="D16487" s="496"/>
    </row>
    <row r="16488" spans="1:4" x14ac:dyDescent="0.2">
      <c r="A16488" s="496"/>
      <c r="D16488" s="496"/>
    </row>
    <row r="16489" spans="1:4" x14ac:dyDescent="0.2">
      <c r="A16489" s="496"/>
      <c r="D16489" s="496"/>
    </row>
    <row r="16490" spans="1:4" x14ac:dyDescent="0.2">
      <c r="A16490" s="496"/>
      <c r="D16490" s="496"/>
    </row>
    <row r="16491" spans="1:4" x14ac:dyDescent="0.2">
      <c r="A16491" s="496"/>
      <c r="D16491" s="496"/>
    </row>
    <row r="16492" spans="1:4" x14ac:dyDescent="0.2">
      <c r="A16492" s="496"/>
      <c r="D16492" s="496"/>
    </row>
    <row r="16493" spans="1:4" x14ac:dyDescent="0.2">
      <c r="A16493" s="496"/>
      <c r="D16493" s="496"/>
    </row>
    <row r="16494" spans="1:4" x14ac:dyDescent="0.2">
      <c r="A16494" s="496"/>
      <c r="D16494" s="496"/>
    </row>
    <row r="16495" spans="1:4" x14ac:dyDescent="0.2">
      <c r="A16495" s="496"/>
      <c r="D16495" s="496"/>
    </row>
    <row r="16496" spans="1:4" x14ac:dyDescent="0.2">
      <c r="A16496" s="496"/>
      <c r="D16496" s="496"/>
    </row>
    <row r="16497" spans="1:4" x14ac:dyDescent="0.2">
      <c r="A16497" s="496"/>
      <c r="D16497" s="496"/>
    </row>
    <row r="16498" spans="1:4" x14ac:dyDescent="0.2">
      <c r="A16498" s="496"/>
      <c r="D16498" s="496"/>
    </row>
    <row r="16499" spans="1:4" x14ac:dyDescent="0.2">
      <c r="A16499" s="496"/>
      <c r="D16499" s="496"/>
    </row>
    <row r="16500" spans="1:4" x14ac:dyDescent="0.2">
      <c r="A16500" s="496"/>
      <c r="D16500" s="496"/>
    </row>
    <row r="16501" spans="1:4" x14ac:dyDescent="0.2">
      <c r="A16501" s="496"/>
      <c r="D16501" s="496"/>
    </row>
    <row r="16502" spans="1:4" x14ac:dyDescent="0.2">
      <c r="A16502" s="496"/>
      <c r="D16502" s="496"/>
    </row>
    <row r="16503" spans="1:4" x14ac:dyDescent="0.2">
      <c r="A16503" s="496"/>
      <c r="D16503" s="496"/>
    </row>
    <row r="16504" spans="1:4" x14ac:dyDescent="0.2">
      <c r="A16504" s="496"/>
      <c r="D16504" s="496"/>
    </row>
    <row r="16505" spans="1:4" x14ac:dyDescent="0.2">
      <c r="A16505" s="496"/>
      <c r="D16505" s="496"/>
    </row>
    <row r="16506" spans="1:4" x14ac:dyDescent="0.2">
      <c r="A16506" s="496"/>
      <c r="D16506" s="496"/>
    </row>
    <row r="16507" spans="1:4" x14ac:dyDescent="0.2">
      <c r="A16507" s="496"/>
      <c r="D16507" s="496"/>
    </row>
    <row r="16508" spans="1:4" x14ac:dyDescent="0.2">
      <c r="A16508" s="496"/>
      <c r="D16508" s="496"/>
    </row>
    <row r="16509" spans="1:4" x14ac:dyDescent="0.2">
      <c r="A16509" s="496"/>
      <c r="D16509" s="496"/>
    </row>
    <row r="16510" spans="1:4" x14ac:dyDescent="0.2">
      <c r="A16510" s="496"/>
      <c r="D16510" s="496"/>
    </row>
    <row r="16511" spans="1:4" x14ac:dyDescent="0.2">
      <c r="A16511" s="496"/>
      <c r="D16511" s="496"/>
    </row>
    <row r="16512" spans="1:4" x14ac:dyDescent="0.2">
      <c r="A16512" s="496"/>
      <c r="D16512" s="496"/>
    </row>
    <row r="16513" spans="1:4" x14ac:dyDescent="0.2">
      <c r="A16513" s="496"/>
      <c r="D16513" s="496"/>
    </row>
    <row r="16514" spans="1:4" x14ac:dyDescent="0.2">
      <c r="A16514" s="496"/>
      <c r="D16514" s="496"/>
    </row>
    <row r="16515" spans="1:4" x14ac:dyDescent="0.2">
      <c r="A16515" s="496"/>
      <c r="D16515" s="496"/>
    </row>
    <row r="16516" spans="1:4" x14ac:dyDescent="0.2">
      <c r="A16516" s="496"/>
      <c r="D16516" s="496"/>
    </row>
    <row r="16517" spans="1:4" x14ac:dyDescent="0.2">
      <c r="A16517" s="496"/>
      <c r="D16517" s="496"/>
    </row>
    <row r="16518" spans="1:4" x14ac:dyDescent="0.2">
      <c r="A16518" s="496"/>
      <c r="D16518" s="496"/>
    </row>
    <row r="16519" spans="1:4" x14ac:dyDescent="0.2">
      <c r="A16519" s="496"/>
      <c r="D16519" s="496"/>
    </row>
    <row r="16520" spans="1:4" x14ac:dyDescent="0.2">
      <c r="A16520" s="496"/>
      <c r="D16520" s="496"/>
    </row>
    <row r="16521" spans="1:4" x14ac:dyDescent="0.2">
      <c r="A16521" s="496"/>
      <c r="D16521" s="496"/>
    </row>
    <row r="16522" spans="1:4" x14ac:dyDescent="0.2">
      <c r="A16522" s="496"/>
      <c r="D16522" s="496"/>
    </row>
    <row r="16523" spans="1:4" x14ac:dyDescent="0.2">
      <c r="A16523" s="496"/>
      <c r="D16523" s="496"/>
    </row>
    <row r="16524" spans="1:4" x14ac:dyDescent="0.2">
      <c r="A16524" s="496"/>
      <c r="D16524" s="496"/>
    </row>
    <row r="16525" spans="1:4" x14ac:dyDescent="0.2">
      <c r="A16525" s="496"/>
      <c r="D16525" s="496"/>
    </row>
    <row r="16526" spans="1:4" x14ac:dyDescent="0.2">
      <c r="A16526" s="496"/>
      <c r="D16526" s="496"/>
    </row>
    <row r="16527" spans="1:4" x14ac:dyDescent="0.2">
      <c r="A16527" s="496"/>
      <c r="D16527" s="496"/>
    </row>
    <row r="16528" spans="1:4" x14ac:dyDescent="0.2">
      <c r="A16528" s="496"/>
      <c r="D16528" s="496"/>
    </row>
    <row r="16529" spans="1:4" x14ac:dyDescent="0.2">
      <c r="A16529" s="496"/>
      <c r="D16529" s="496"/>
    </row>
    <row r="16530" spans="1:4" x14ac:dyDescent="0.2">
      <c r="A16530" s="496"/>
      <c r="D16530" s="496"/>
    </row>
    <row r="16531" spans="1:4" x14ac:dyDescent="0.2">
      <c r="A16531" s="496"/>
      <c r="D16531" s="496"/>
    </row>
    <row r="16532" spans="1:4" x14ac:dyDescent="0.2">
      <c r="A16532" s="496"/>
      <c r="D16532" s="496"/>
    </row>
    <row r="16533" spans="1:4" x14ac:dyDescent="0.2">
      <c r="A16533" s="496"/>
      <c r="D16533" s="496"/>
    </row>
    <row r="16534" spans="1:4" x14ac:dyDescent="0.2">
      <c r="A16534" s="496"/>
      <c r="D16534" s="496"/>
    </row>
    <row r="16535" spans="1:4" x14ac:dyDescent="0.2">
      <c r="A16535" s="496"/>
      <c r="D16535" s="496"/>
    </row>
    <row r="16536" spans="1:4" x14ac:dyDescent="0.2">
      <c r="A16536" s="496"/>
      <c r="D16536" s="496"/>
    </row>
    <row r="16537" spans="1:4" x14ac:dyDescent="0.2">
      <c r="A16537" s="496"/>
      <c r="D16537" s="496"/>
    </row>
    <row r="16538" spans="1:4" x14ac:dyDescent="0.2">
      <c r="A16538" s="496"/>
      <c r="D16538" s="496"/>
    </row>
    <row r="16539" spans="1:4" x14ac:dyDescent="0.2">
      <c r="A16539" s="496"/>
      <c r="D16539" s="496"/>
    </row>
    <row r="16540" spans="1:4" x14ac:dyDescent="0.2">
      <c r="A16540" s="496"/>
      <c r="D16540" s="496"/>
    </row>
    <row r="16541" spans="1:4" x14ac:dyDescent="0.2">
      <c r="A16541" s="496"/>
      <c r="D16541" s="496"/>
    </row>
    <row r="16542" spans="1:4" x14ac:dyDescent="0.2">
      <c r="A16542" s="496"/>
      <c r="D16542" s="496"/>
    </row>
    <row r="16543" spans="1:4" x14ac:dyDescent="0.2">
      <c r="A16543" s="496"/>
      <c r="D16543" s="496"/>
    </row>
    <row r="16544" spans="1:4" x14ac:dyDescent="0.2">
      <c r="A16544" s="496"/>
      <c r="D16544" s="496"/>
    </row>
    <row r="16545" spans="1:4" x14ac:dyDescent="0.2">
      <c r="A16545" s="496"/>
      <c r="D16545" s="496"/>
    </row>
    <row r="16546" spans="1:4" x14ac:dyDescent="0.2">
      <c r="A16546" s="496"/>
      <c r="D16546" s="496"/>
    </row>
    <row r="16547" spans="1:4" x14ac:dyDescent="0.2">
      <c r="A16547" s="496"/>
      <c r="D16547" s="496"/>
    </row>
    <row r="16548" spans="1:4" x14ac:dyDescent="0.2">
      <c r="A16548" s="496"/>
      <c r="D16548" s="496"/>
    </row>
    <row r="16549" spans="1:4" x14ac:dyDescent="0.2">
      <c r="A16549" s="496"/>
      <c r="D16549" s="496"/>
    </row>
    <row r="16550" spans="1:4" x14ac:dyDescent="0.2">
      <c r="A16550" s="496"/>
      <c r="D16550" s="496"/>
    </row>
    <row r="16551" spans="1:4" x14ac:dyDescent="0.2">
      <c r="A16551" s="496"/>
      <c r="D16551" s="496"/>
    </row>
    <row r="16552" spans="1:4" x14ac:dyDescent="0.2">
      <c r="A16552" s="496"/>
      <c r="D16552" s="496"/>
    </row>
    <row r="16553" spans="1:4" x14ac:dyDescent="0.2">
      <c r="A16553" s="496"/>
      <c r="D16553" s="496"/>
    </row>
    <row r="16554" spans="1:4" x14ac:dyDescent="0.2">
      <c r="A16554" s="496"/>
      <c r="D16554" s="496"/>
    </row>
    <row r="16555" spans="1:4" x14ac:dyDescent="0.2">
      <c r="A16555" s="496"/>
      <c r="D16555" s="496"/>
    </row>
    <row r="16556" spans="1:4" x14ac:dyDescent="0.2">
      <c r="A16556" s="496"/>
      <c r="D16556" s="496"/>
    </row>
    <row r="16557" spans="1:4" x14ac:dyDescent="0.2">
      <c r="A16557" s="496"/>
      <c r="D16557" s="496"/>
    </row>
    <row r="16558" spans="1:4" x14ac:dyDescent="0.2">
      <c r="A16558" s="496"/>
      <c r="D16558" s="496"/>
    </row>
    <row r="16559" spans="1:4" x14ac:dyDescent="0.2">
      <c r="A16559" s="496"/>
      <c r="D16559" s="496"/>
    </row>
    <row r="16560" spans="1:4" x14ac:dyDescent="0.2">
      <c r="A16560" s="496"/>
      <c r="D16560" s="496"/>
    </row>
    <row r="16561" spans="1:4" x14ac:dyDescent="0.2">
      <c r="A16561" s="496"/>
      <c r="D16561" s="496"/>
    </row>
    <row r="16562" spans="1:4" x14ac:dyDescent="0.2">
      <c r="A16562" s="496"/>
      <c r="D16562" s="496"/>
    </row>
    <row r="16563" spans="1:4" x14ac:dyDescent="0.2">
      <c r="A16563" s="496"/>
      <c r="D16563" s="496"/>
    </row>
    <row r="16564" spans="1:4" x14ac:dyDescent="0.2">
      <c r="A16564" s="496"/>
      <c r="D16564" s="496"/>
    </row>
    <row r="16565" spans="1:4" x14ac:dyDescent="0.2">
      <c r="A16565" s="496"/>
      <c r="D16565" s="496"/>
    </row>
    <row r="16566" spans="1:4" x14ac:dyDescent="0.2">
      <c r="A16566" s="496"/>
      <c r="D16566" s="496"/>
    </row>
    <row r="16567" spans="1:4" x14ac:dyDescent="0.2">
      <c r="A16567" s="496"/>
      <c r="D16567" s="496"/>
    </row>
    <row r="16568" spans="1:4" x14ac:dyDescent="0.2">
      <c r="A16568" s="496"/>
      <c r="D16568" s="496"/>
    </row>
    <row r="16569" spans="1:4" x14ac:dyDescent="0.2">
      <c r="A16569" s="496"/>
      <c r="D16569" s="496"/>
    </row>
    <row r="16570" spans="1:4" x14ac:dyDescent="0.2">
      <c r="A16570" s="496"/>
      <c r="D16570" s="496"/>
    </row>
    <row r="16571" spans="1:4" x14ac:dyDescent="0.2">
      <c r="A16571" s="496"/>
      <c r="D16571" s="496"/>
    </row>
    <row r="16572" spans="1:4" x14ac:dyDescent="0.2">
      <c r="A16572" s="496"/>
      <c r="D16572" s="496"/>
    </row>
    <row r="16573" spans="1:4" x14ac:dyDescent="0.2">
      <c r="A16573" s="496"/>
      <c r="D16573" s="496"/>
    </row>
    <row r="16574" spans="1:4" x14ac:dyDescent="0.2">
      <c r="A16574" s="496"/>
      <c r="D16574" s="496"/>
    </row>
    <row r="16575" spans="1:4" x14ac:dyDescent="0.2">
      <c r="A16575" s="496"/>
      <c r="D16575" s="496"/>
    </row>
    <row r="16576" spans="1:4" x14ac:dyDescent="0.2">
      <c r="A16576" s="496"/>
      <c r="D16576" s="496"/>
    </row>
    <row r="16577" spans="1:4" x14ac:dyDescent="0.2">
      <c r="A16577" s="496"/>
      <c r="D16577" s="496"/>
    </row>
    <row r="16578" spans="1:4" x14ac:dyDescent="0.2">
      <c r="A16578" s="496"/>
      <c r="D16578" s="496"/>
    </row>
    <row r="16579" spans="1:4" x14ac:dyDescent="0.2">
      <c r="A16579" s="496"/>
      <c r="D16579" s="496"/>
    </row>
    <row r="16580" spans="1:4" x14ac:dyDescent="0.2">
      <c r="A16580" s="496"/>
      <c r="D16580" s="496"/>
    </row>
    <row r="16581" spans="1:4" x14ac:dyDescent="0.2">
      <c r="A16581" s="496"/>
      <c r="D16581" s="496"/>
    </row>
    <row r="16582" spans="1:4" x14ac:dyDescent="0.2">
      <c r="A16582" s="496"/>
      <c r="D16582" s="496"/>
    </row>
    <row r="16583" spans="1:4" x14ac:dyDescent="0.2">
      <c r="A16583" s="496"/>
      <c r="D16583" s="496"/>
    </row>
    <row r="16584" spans="1:4" x14ac:dyDescent="0.2">
      <c r="A16584" s="496"/>
      <c r="D16584" s="496"/>
    </row>
    <row r="16585" spans="1:4" x14ac:dyDescent="0.2">
      <c r="A16585" s="496"/>
      <c r="D16585" s="496"/>
    </row>
    <row r="16586" spans="1:4" x14ac:dyDescent="0.2">
      <c r="A16586" s="496"/>
      <c r="D16586" s="496"/>
    </row>
    <row r="16587" spans="1:4" x14ac:dyDescent="0.2">
      <c r="A16587" s="496"/>
      <c r="D16587" s="496"/>
    </row>
    <row r="16588" spans="1:4" x14ac:dyDescent="0.2">
      <c r="A16588" s="496"/>
      <c r="D16588" s="496"/>
    </row>
    <row r="16589" spans="1:4" x14ac:dyDescent="0.2">
      <c r="A16589" s="496"/>
      <c r="D16589" s="496"/>
    </row>
    <row r="16590" spans="1:4" x14ac:dyDescent="0.2">
      <c r="A16590" s="496"/>
      <c r="D16590" s="496"/>
    </row>
    <row r="16591" spans="1:4" x14ac:dyDescent="0.2">
      <c r="A16591" s="496"/>
      <c r="D16591" s="496"/>
    </row>
    <row r="16592" spans="1:4" x14ac:dyDescent="0.2">
      <c r="A16592" s="496"/>
      <c r="D16592" s="496"/>
    </row>
    <row r="16593" spans="1:4" x14ac:dyDescent="0.2">
      <c r="A16593" s="496"/>
      <c r="D16593" s="496"/>
    </row>
    <row r="16594" spans="1:4" x14ac:dyDescent="0.2">
      <c r="A16594" s="496"/>
      <c r="D16594" s="496"/>
    </row>
    <row r="16595" spans="1:4" x14ac:dyDescent="0.2">
      <c r="A16595" s="496"/>
      <c r="D16595" s="496"/>
    </row>
    <row r="16596" spans="1:4" x14ac:dyDescent="0.2">
      <c r="A16596" s="496"/>
      <c r="D16596" s="496"/>
    </row>
    <row r="16597" spans="1:4" x14ac:dyDescent="0.2">
      <c r="A16597" s="496"/>
      <c r="D16597" s="496"/>
    </row>
    <row r="16598" spans="1:4" x14ac:dyDescent="0.2">
      <c r="A16598" s="496"/>
      <c r="D16598" s="496"/>
    </row>
    <row r="16599" spans="1:4" x14ac:dyDescent="0.2">
      <c r="A16599" s="496"/>
      <c r="D16599" s="496"/>
    </row>
    <row r="16600" spans="1:4" x14ac:dyDescent="0.2">
      <c r="A16600" s="496"/>
      <c r="D16600" s="496"/>
    </row>
    <row r="16601" spans="1:4" x14ac:dyDescent="0.2">
      <c r="A16601" s="496"/>
      <c r="D16601" s="496"/>
    </row>
    <row r="16602" spans="1:4" x14ac:dyDescent="0.2">
      <c r="A16602" s="496"/>
      <c r="D16602" s="496"/>
    </row>
    <row r="16603" spans="1:4" x14ac:dyDescent="0.2">
      <c r="A16603" s="496"/>
      <c r="D16603" s="496"/>
    </row>
    <row r="16604" spans="1:4" x14ac:dyDescent="0.2">
      <c r="A16604" s="496"/>
      <c r="D16604" s="496"/>
    </row>
    <row r="16605" spans="1:4" x14ac:dyDescent="0.2">
      <c r="A16605" s="496"/>
      <c r="D16605" s="496"/>
    </row>
    <row r="16606" spans="1:4" x14ac:dyDescent="0.2">
      <c r="A16606" s="496"/>
      <c r="D16606" s="496"/>
    </row>
    <row r="16607" spans="1:4" x14ac:dyDescent="0.2">
      <c r="A16607" s="496"/>
      <c r="D16607" s="496"/>
    </row>
    <row r="16608" spans="1:4" x14ac:dyDescent="0.2">
      <c r="A16608" s="496"/>
      <c r="D16608" s="496"/>
    </row>
    <row r="16609" spans="1:4" x14ac:dyDescent="0.2">
      <c r="A16609" s="496"/>
      <c r="D16609" s="496"/>
    </row>
    <row r="16610" spans="1:4" x14ac:dyDescent="0.2">
      <c r="A16610" s="496"/>
      <c r="D16610" s="496"/>
    </row>
    <row r="16611" spans="1:4" x14ac:dyDescent="0.2">
      <c r="A16611" s="496"/>
      <c r="D16611" s="496"/>
    </row>
    <row r="16612" spans="1:4" x14ac:dyDescent="0.2">
      <c r="A16612" s="496"/>
      <c r="D16612" s="496"/>
    </row>
    <row r="16613" spans="1:4" x14ac:dyDescent="0.2">
      <c r="A16613" s="496"/>
      <c r="D16613" s="496"/>
    </row>
    <row r="16614" spans="1:4" x14ac:dyDescent="0.2">
      <c r="A16614" s="496"/>
      <c r="D16614" s="496"/>
    </row>
    <row r="16615" spans="1:4" x14ac:dyDescent="0.2">
      <c r="A16615" s="496"/>
      <c r="D16615" s="496"/>
    </row>
    <row r="16616" spans="1:4" x14ac:dyDescent="0.2">
      <c r="A16616" s="496"/>
      <c r="D16616" s="496"/>
    </row>
    <row r="16617" spans="1:4" x14ac:dyDescent="0.2">
      <c r="A16617" s="496"/>
      <c r="D16617" s="496"/>
    </row>
    <row r="16618" spans="1:4" x14ac:dyDescent="0.2">
      <c r="A16618" s="496"/>
      <c r="D16618" s="496"/>
    </row>
    <row r="16619" spans="1:4" x14ac:dyDescent="0.2">
      <c r="A16619" s="496"/>
      <c r="D16619" s="496"/>
    </row>
    <row r="16620" spans="1:4" x14ac:dyDescent="0.2">
      <c r="A16620" s="496"/>
      <c r="D16620" s="496"/>
    </row>
    <row r="16621" spans="1:4" x14ac:dyDescent="0.2">
      <c r="A16621" s="496"/>
      <c r="D16621" s="496"/>
    </row>
    <row r="16622" spans="1:4" x14ac:dyDescent="0.2">
      <c r="A16622" s="496"/>
      <c r="D16622" s="496"/>
    </row>
    <row r="16623" spans="1:4" x14ac:dyDescent="0.2">
      <c r="A16623" s="496"/>
      <c r="D16623" s="496"/>
    </row>
    <row r="16624" spans="1:4" x14ac:dyDescent="0.2">
      <c r="A16624" s="496"/>
      <c r="D16624" s="496"/>
    </row>
    <row r="16625" spans="1:4" x14ac:dyDescent="0.2">
      <c r="A16625" s="496"/>
      <c r="D16625" s="496"/>
    </row>
    <row r="16626" spans="1:4" x14ac:dyDescent="0.2">
      <c r="A16626" s="496"/>
      <c r="D16626" s="496"/>
    </row>
    <row r="16627" spans="1:4" x14ac:dyDescent="0.2">
      <c r="A16627" s="496"/>
      <c r="D16627" s="496"/>
    </row>
    <row r="16628" spans="1:4" x14ac:dyDescent="0.2">
      <c r="A16628" s="496"/>
      <c r="D16628" s="496"/>
    </row>
    <row r="16629" spans="1:4" x14ac:dyDescent="0.2">
      <c r="A16629" s="496"/>
      <c r="D16629" s="496"/>
    </row>
    <row r="16630" spans="1:4" x14ac:dyDescent="0.2">
      <c r="A16630" s="496"/>
      <c r="D16630" s="496"/>
    </row>
    <row r="16631" spans="1:4" x14ac:dyDescent="0.2">
      <c r="A16631" s="496"/>
      <c r="D16631" s="496"/>
    </row>
    <row r="16632" spans="1:4" x14ac:dyDescent="0.2">
      <c r="A16632" s="496"/>
      <c r="D16632" s="496"/>
    </row>
    <row r="16633" spans="1:4" x14ac:dyDescent="0.2">
      <c r="A16633" s="496"/>
      <c r="D16633" s="496"/>
    </row>
    <row r="16634" spans="1:4" x14ac:dyDescent="0.2">
      <c r="A16634" s="496"/>
      <c r="D16634" s="496"/>
    </row>
    <row r="16635" spans="1:4" x14ac:dyDescent="0.2">
      <c r="A16635" s="496"/>
      <c r="D16635" s="496"/>
    </row>
    <row r="16636" spans="1:4" x14ac:dyDescent="0.2">
      <c r="A16636" s="496"/>
      <c r="D16636" s="496"/>
    </row>
    <row r="16637" spans="1:4" x14ac:dyDescent="0.2">
      <c r="A16637" s="496"/>
      <c r="D16637" s="496"/>
    </row>
    <row r="16638" spans="1:4" x14ac:dyDescent="0.2">
      <c r="A16638" s="496"/>
      <c r="D16638" s="496"/>
    </row>
    <row r="16639" spans="1:4" x14ac:dyDescent="0.2">
      <c r="A16639" s="496"/>
      <c r="D16639" s="496"/>
    </row>
    <row r="16640" spans="1:4" x14ac:dyDescent="0.2">
      <c r="A16640" s="496"/>
      <c r="D16640" s="496"/>
    </row>
    <row r="16641" spans="1:4" x14ac:dyDescent="0.2">
      <c r="A16641" s="496"/>
      <c r="D16641" s="496"/>
    </row>
    <row r="16642" spans="1:4" x14ac:dyDescent="0.2">
      <c r="A16642" s="496"/>
      <c r="D16642" s="496"/>
    </row>
    <row r="16643" spans="1:4" x14ac:dyDescent="0.2">
      <c r="A16643" s="496"/>
      <c r="D16643" s="496"/>
    </row>
    <row r="16644" spans="1:4" x14ac:dyDescent="0.2">
      <c r="A16644" s="496"/>
      <c r="D16644" s="496"/>
    </row>
    <row r="16645" spans="1:4" x14ac:dyDescent="0.2">
      <c r="A16645" s="496"/>
      <c r="D16645" s="496"/>
    </row>
    <row r="16646" spans="1:4" x14ac:dyDescent="0.2">
      <c r="A16646" s="496"/>
      <c r="D16646" s="496"/>
    </row>
    <row r="16647" spans="1:4" x14ac:dyDescent="0.2">
      <c r="A16647" s="496"/>
      <c r="D16647" s="496"/>
    </row>
    <row r="16648" spans="1:4" x14ac:dyDescent="0.2">
      <c r="A16648" s="496"/>
      <c r="D16648" s="496"/>
    </row>
    <row r="16649" spans="1:4" x14ac:dyDescent="0.2">
      <c r="A16649" s="496"/>
      <c r="D16649" s="496"/>
    </row>
    <row r="16650" spans="1:4" x14ac:dyDescent="0.2">
      <c r="A16650" s="496"/>
      <c r="D16650" s="496"/>
    </row>
    <row r="16651" spans="1:4" x14ac:dyDescent="0.2">
      <c r="A16651" s="496"/>
      <c r="D16651" s="496"/>
    </row>
    <row r="16652" spans="1:4" x14ac:dyDescent="0.2">
      <c r="A16652" s="496"/>
      <c r="D16652" s="496"/>
    </row>
    <row r="16653" spans="1:4" x14ac:dyDescent="0.2">
      <c r="A16653" s="496"/>
      <c r="D16653" s="496"/>
    </row>
    <row r="16654" spans="1:4" x14ac:dyDescent="0.2">
      <c r="A16654" s="496"/>
      <c r="D16654" s="496"/>
    </row>
    <row r="16655" spans="1:4" x14ac:dyDescent="0.2">
      <c r="A16655" s="496"/>
      <c r="D16655" s="496"/>
    </row>
    <row r="16656" spans="1:4" x14ac:dyDescent="0.2">
      <c r="A16656" s="496"/>
      <c r="D16656" s="496"/>
    </row>
    <row r="16657" spans="1:4" x14ac:dyDescent="0.2">
      <c r="A16657" s="496"/>
      <c r="D16657" s="496"/>
    </row>
    <row r="16658" spans="1:4" x14ac:dyDescent="0.2">
      <c r="A16658" s="496"/>
      <c r="D16658" s="496"/>
    </row>
    <row r="16659" spans="1:4" x14ac:dyDescent="0.2">
      <c r="A16659" s="496"/>
      <c r="D16659" s="496"/>
    </row>
    <row r="16660" spans="1:4" x14ac:dyDescent="0.2">
      <c r="A16660" s="496"/>
      <c r="D16660" s="496"/>
    </row>
    <row r="16661" spans="1:4" x14ac:dyDescent="0.2">
      <c r="A16661" s="496"/>
      <c r="D16661" s="496"/>
    </row>
    <row r="16662" spans="1:4" x14ac:dyDescent="0.2">
      <c r="A16662" s="496"/>
      <c r="D16662" s="496"/>
    </row>
    <row r="16663" spans="1:4" x14ac:dyDescent="0.2">
      <c r="A16663" s="496"/>
      <c r="D16663" s="496"/>
    </row>
    <row r="16664" spans="1:4" x14ac:dyDescent="0.2">
      <c r="A16664" s="496"/>
      <c r="D16664" s="496"/>
    </row>
    <row r="16665" spans="1:4" x14ac:dyDescent="0.2">
      <c r="A16665" s="496"/>
      <c r="D16665" s="496"/>
    </row>
    <row r="16666" spans="1:4" x14ac:dyDescent="0.2">
      <c r="A16666" s="496"/>
      <c r="D16666" s="496"/>
    </row>
    <row r="16667" spans="1:4" x14ac:dyDescent="0.2">
      <c r="A16667" s="496"/>
      <c r="D16667" s="496"/>
    </row>
    <row r="16668" spans="1:4" x14ac:dyDescent="0.2">
      <c r="A16668" s="496"/>
      <c r="D16668" s="496"/>
    </row>
    <row r="16669" spans="1:4" x14ac:dyDescent="0.2">
      <c r="A16669" s="496"/>
      <c r="D16669" s="496"/>
    </row>
    <row r="16670" spans="1:4" x14ac:dyDescent="0.2">
      <c r="A16670" s="496"/>
      <c r="D16670" s="496"/>
    </row>
    <row r="16671" spans="1:4" x14ac:dyDescent="0.2">
      <c r="A16671" s="496"/>
      <c r="D16671" s="496"/>
    </row>
    <row r="16672" spans="1:4" x14ac:dyDescent="0.2">
      <c r="A16672" s="496"/>
      <c r="D16672" s="496"/>
    </row>
    <row r="16673" spans="1:4" x14ac:dyDescent="0.2">
      <c r="A16673" s="496"/>
      <c r="D16673" s="496"/>
    </row>
    <row r="16674" spans="1:4" x14ac:dyDescent="0.2">
      <c r="A16674" s="496"/>
      <c r="D16674" s="496"/>
    </row>
    <row r="16675" spans="1:4" x14ac:dyDescent="0.2">
      <c r="A16675" s="496"/>
      <c r="D16675" s="496"/>
    </row>
    <row r="16676" spans="1:4" x14ac:dyDescent="0.2">
      <c r="A16676" s="496"/>
      <c r="D16676" s="496"/>
    </row>
    <row r="16677" spans="1:4" x14ac:dyDescent="0.2">
      <c r="A16677" s="496"/>
      <c r="D16677" s="496"/>
    </row>
    <row r="16678" spans="1:4" x14ac:dyDescent="0.2">
      <c r="A16678" s="496"/>
      <c r="D16678" s="496"/>
    </row>
    <row r="16679" spans="1:4" x14ac:dyDescent="0.2">
      <c r="A16679" s="496"/>
      <c r="D16679" s="496"/>
    </row>
    <row r="16680" spans="1:4" x14ac:dyDescent="0.2">
      <c r="A16680" s="496"/>
      <c r="D16680" s="496"/>
    </row>
    <row r="16681" spans="1:4" x14ac:dyDescent="0.2">
      <c r="A16681" s="496"/>
      <c r="D16681" s="496"/>
    </row>
    <row r="16682" spans="1:4" x14ac:dyDescent="0.2">
      <c r="A16682" s="496"/>
      <c r="D16682" s="496"/>
    </row>
    <row r="16683" spans="1:4" x14ac:dyDescent="0.2">
      <c r="A16683" s="496"/>
      <c r="D16683" s="496"/>
    </row>
    <row r="16684" spans="1:4" x14ac:dyDescent="0.2">
      <c r="A16684" s="496"/>
      <c r="D16684" s="496"/>
    </row>
    <row r="16685" spans="1:4" x14ac:dyDescent="0.2">
      <c r="A16685" s="496"/>
      <c r="D16685" s="496"/>
    </row>
    <row r="16686" spans="1:4" x14ac:dyDescent="0.2">
      <c r="A16686" s="496"/>
      <c r="D16686" s="496"/>
    </row>
    <row r="16687" spans="1:4" x14ac:dyDescent="0.2">
      <c r="A16687" s="496"/>
      <c r="D16687" s="496"/>
    </row>
    <row r="16688" spans="1:4" x14ac:dyDescent="0.2">
      <c r="A16688" s="496"/>
      <c r="D16688" s="496"/>
    </row>
    <row r="16689" spans="1:4" x14ac:dyDescent="0.2">
      <c r="A16689" s="496"/>
      <c r="D16689" s="496"/>
    </row>
    <row r="16690" spans="1:4" x14ac:dyDescent="0.2">
      <c r="A16690" s="496"/>
      <c r="D16690" s="496"/>
    </row>
    <row r="16691" spans="1:4" x14ac:dyDescent="0.2">
      <c r="A16691" s="496"/>
      <c r="D16691" s="496"/>
    </row>
    <row r="16692" spans="1:4" x14ac:dyDescent="0.2">
      <c r="A16692" s="496"/>
      <c r="D16692" s="496"/>
    </row>
    <row r="16693" spans="1:4" x14ac:dyDescent="0.2">
      <c r="A16693" s="496"/>
      <c r="D16693" s="496"/>
    </row>
    <row r="16694" spans="1:4" x14ac:dyDescent="0.2">
      <c r="A16694" s="496"/>
      <c r="D16694" s="496"/>
    </row>
    <row r="16695" spans="1:4" x14ac:dyDescent="0.2">
      <c r="A16695" s="496"/>
      <c r="D16695" s="496"/>
    </row>
    <row r="16696" spans="1:4" x14ac:dyDescent="0.2">
      <c r="A16696" s="496"/>
      <c r="D16696" s="496"/>
    </row>
    <row r="16697" spans="1:4" x14ac:dyDescent="0.2">
      <c r="A16697" s="496"/>
      <c r="D16697" s="496"/>
    </row>
    <row r="16698" spans="1:4" x14ac:dyDescent="0.2">
      <c r="A16698" s="496"/>
      <c r="D16698" s="496"/>
    </row>
    <row r="16699" spans="1:4" x14ac:dyDescent="0.2">
      <c r="A16699" s="496"/>
      <c r="D16699" s="496"/>
    </row>
    <row r="16700" spans="1:4" x14ac:dyDescent="0.2">
      <c r="A16700" s="496"/>
      <c r="D16700" s="496"/>
    </row>
    <row r="16701" spans="1:4" x14ac:dyDescent="0.2">
      <c r="A16701" s="496"/>
      <c r="D16701" s="496"/>
    </row>
    <row r="16702" spans="1:4" x14ac:dyDescent="0.2">
      <c r="A16702" s="496"/>
      <c r="D16702" s="496"/>
    </row>
    <row r="16703" spans="1:4" x14ac:dyDescent="0.2">
      <c r="A16703" s="496"/>
      <c r="D16703" s="496"/>
    </row>
    <row r="16704" spans="1:4" x14ac:dyDescent="0.2">
      <c r="A16704" s="496"/>
      <c r="D16704" s="496"/>
    </row>
    <row r="16705" spans="1:4" x14ac:dyDescent="0.2">
      <c r="A16705" s="496"/>
      <c r="D16705" s="496"/>
    </row>
    <row r="16706" spans="1:4" x14ac:dyDescent="0.2">
      <c r="A16706" s="496"/>
      <c r="D16706" s="496"/>
    </row>
    <row r="16707" spans="1:4" x14ac:dyDescent="0.2">
      <c r="A16707" s="496"/>
      <c r="D16707" s="496"/>
    </row>
    <row r="16708" spans="1:4" x14ac:dyDescent="0.2">
      <c r="A16708" s="496"/>
      <c r="D16708" s="496"/>
    </row>
    <row r="16709" spans="1:4" x14ac:dyDescent="0.2">
      <c r="A16709" s="496"/>
      <c r="D16709" s="496"/>
    </row>
    <row r="16710" spans="1:4" x14ac:dyDescent="0.2">
      <c r="A16710" s="496"/>
      <c r="D16710" s="496"/>
    </row>
    <row r="16711" spans="1:4" x14ac:dyDescent="0.2">
      <c r="A16711" s="496"/>
      <c r="D16711" s="496"/>
    </row>
    <row r="16712" spans="1:4" x14ac:dyDescent="0.2">
      <c r="A16712" s="496"/>
      <c r="D16712" s="496"/>
    </row>
    <row r="16713" spans="1:4" x14ac:dyDescent="0.2">
      <c r="A16713" s="496"/>
      <c r="D16713" s="496"/>
    </row>
    <row r="16714" spans="1:4" x14ac:dyDescent="0.2">
      <c r="A16714" s="496"/>
      <c r="D16714" s="496"/>
    </row>
    <row r="16715" spans="1:4" x14ac:dyDescent="0.2">
      <c r="A16715" s="496"/>
      <c r="D16715" s="496"/>
    </row>
    <row r="16716" spans="1:4" x14ac:dyDescent="0.2">
      <c r="A16716" s="496"/>
      <c r="D16716" s="496"/>
    </row>
    <row r="16717" spans="1:4" x14ac:dyDescent="0.2">
      <c r="A16717" s="496"/>
      <c r="D16717" s="496"/>
    </row>
    <row r="16718" spans="1:4" x14ac:dyDescent="0.2">
      <c r="A16718" s="496"/>
      <c r="D16718" s="496"/>
    </row>
    <row r="16719" spans="1:4" x14ac:dyDescent="0.2">
      <c r="A16719" s="496"/>
      <c r="D16719" s="496"/>
    </row>
    <row r="16720" spans="1:4" x14ac:dyDescent="0.2">
      <c r="A16720" s="496"/>
      <c r="D16720" s="496"/>
    </row>
    <row r="16721" spans="1:4" x14ac:dyDescent="0.2">
      <c r="A16721" s="496"/>
      <c r="D16721" s="496"/>
    </row>
    <row r="16722" spans="1:4" x14ac:dyDescent="0.2">
      <c r="A16722" s="496"/>
      <c r="D16722" s="496"/>
    </row>
    <row r="16723" spans="1:4" x14ac:dyDescent="0.2">
      <c r="A16723" s="496"/>
      <c r="D16723" s="496"/>
    </row>
    <row r="16724" spans="1:4" x14ac:dyDescent="0.2">
      <c r="A16724" s="496"/>
      <c r="D16724" s="496"/>
    </row>
    <row r="16725" spans="1:4" x14ac:dyDescent="0.2">
      <c r="A16725" s="496"/>
      <c r="D16725" s="496"/>
    </row>
    <row r="16726" spans="1:4" x14ac:dyDescent="0.2">
      <c r="A16726" s="496"/>
      <c r="D16726" s="496"/>
    </row>
    <row r="16727" spans="1:4" x14ac:dyDescent="0.2">
      <c r="A16727" s="496"/>
      <c r="D16727" s="496"/>
    </row>
    <row r="16728" spans="1:4" x14ac:dyDescent="0.2">
      <c r="A16728" s="496"/>
      <c r="D16728" s="496"/>
    </row>
    <row r="16729" spans="1:4" x14ac:dyDescent="0.2">
      <c r="A16729" s="496"/>
      <c r="D16729" s="496"/>
    </row>
    <row r="16730" spans="1:4" x14ac:dyDescent="0.2">
      <c r="A16730" s="496"/>
      <c r="D16730" s="496"/>
    </row>
    <row r="16731" spans="1:4" x14ac:dyDescent="0.2">
      <c r="A16731" s="496"/>
      <c r="D16731" s="496"/>
    </row>
    <row r="16732" spans="1:4" x14ac:dyDescent="0.2">
      <c r="A16732" s="496"/>
      <c r="D16732" s="496"/>
    </row>
    <row r="16733" spans="1:4" x14ac:dyDescent="0.2">
      <c r="A16733" s="496"/>
      <c r="D16733" s="496"/>
    </row>
    <row r="16734" spans="1:4" x14ac:dyDescent="0.2">
      <c r="A16734" s="496"/>
      <c r="D16734" s="496"/>
    </row>
    <row r="16735" spans="1:4" x14ac:dyDescent="0.2">
      <c r="A16735" s="496"/>
      <c r="D16735" s="496"/>
    </row>
    <row r="16736" spans="1:4" x14ac:dyDescent="0.2">
      <c r="A16736" s="496"/>
      <c r="D16736" s="496"/>
    </row>
    <row r="16737" spans="1:4" x14ac:dyDescent="0.2">
      <c r="A16737" s="496"/>
      <c r="D16737" s="496"/>
    </row>
    <row r="16738" spans="1:4" x14ac:dyDescent="0.2">
      <c r="A16738" s="496"/>
      <c r="D16738" s="496"/>
    </row>
    <row r="16739" spans="1:4" x14ac:dyDescent="0.2">
      <c r="A16739" s="496"/>
      <c r="D16739" s="496"/>
    </row>
    <row r="16740" spans="1:4" x14ac:dyDescent="0.2">
      <c r="A16740" s="496"/>
      <c r="D16740" s="496"/>
    </row>
    <row r="16741" spans="1:4" x14ac:dyDescent="0.2">
      <c r="A16741" s="496"/>
      <c r="D16741" s="496"/>
    </row>
    <row r="16742" spans="1:4" x14ac:dyDescent="0.2">
      <c r="A16742" s="496"/>
      <c r="D16742" s="496"/>
    </row>
    <row r="16743" spans="1:4" x14ac:dyDescent="0.2">
      <c r="A16743" s="496"/>
      <c r="D16743" s="496"/>
    </row>
    <row r="16744" spans="1:4" x14ac:dyDescent="0.2">
      <c r="A16744" s="496"/>
      <c r="D16744" s="496"/>
    </row>
    <row r="16745" spans="1:4" x14ac:dyDescent="0.2">
      <c r="A16745" s="496"/>
      <c r="D16745" s="496"/>
    </row>
    <row r="16746" spans="1:4" x14ac:dyDescent="0.2">
      <c r="A16746" s="496"/>
      <c r="D16746" s="496"/>
    </row>
    <row r="16747" spans="1:4" x14ac:dyDescent="0.2">
      <c r="A16747" s="496"/>
      <c r="D16747" s="496"/>
    </row>
    <row r="16748" spans="1:4" x14ac:dyDescent="0.2">
      <c r="A16748" s="496"/>
      <c r="D16748" s="496"/>
    </row>
    <row r="16749" spans="1:4" x14ac:dyDescent="0.2">
      <c r="A16749" s="496"/>
      <c r="D16749" s="496"/>
    </row>
    <row r="16750" spans="1:4" x14ac:dyDescent="0.2">
      <c r="A16750" s="496"/>
      <c r="D16750" s="496"/>
    </row>
    <row r="16751" spans="1:4" x14ac:dyDescent="0.2">
      <c r="A16751" s="496"/>
      <c r="D16751" s="496"/>
    </row>
    <row r="16752" spans="1:4" x14ac:dyDescent="0.2">
      <c r="A16752" s="496"/>
      <c r="D16752" s="496"/>
    </row>
    <row r="16753" spans="1:4" x14ac:dyDescent="0.2">
      <c r="A16753" s="496"/>
      <c r="D16753" s="496"/>
    </row>
    <row r="16754" spans="1:4" x14ac:dyDescent="0.2">
      <c r="A16754" s="496"/>
      <c r="D16754" s="496"/>
    </row>
    <row r="16755" spans="1:4" x14ac:dyDescent="0.2">
      <c r="A16755" s="496"/>
      <c r="D16755" s="496"/>
    </row>
    <row r="16756" spans="1:4" x14ac:dyDescent="0.2">
      <c r="A16756" s="496"/>
      <c r="D16756" s="496"/>
    </row>
    <row r="16757" spans="1:4" x14ac:dyDescent="0.2">
      <c r="A16757" s="496"/>
      <c r="D16757" s="496"/>
    </row>
    <row r="16758" spans="1:4" x14ac:dyDescent="0.2">
      <c r="A16758" s="496"/>
      <c r="D16758" s="496"/>
    </row>
    <row r="16759" spans="1:4" x14ac:dyDescent="0.2">
      <c r="A16759" s="496"/>
      <c r="D16759" s="496"/>
    </row>
    <row r="16760" spans="1:4" x14ac:dyDescent="0.2">
      <c r="A16760" s="496"/>
      <c r="D16760" s="496"/>
    </row>
    <row r="16761" spans="1:4" x14ac:dyDescent="0.2">
      <c r="A16761" s="496"/>
      <c r="D16761" s="496"/>
    </row>
    <row r="16762" spans="1:4" x14ac:dyDescent="0.2">
      <c r="A16762" s="496"/>
      <c r="D16762" s="496"/>
    </row>
    <row r="16763" spans="1:4" x14ac:dyDescent="0.2">
      <c r="A16763" s="496"/>
      <c r="D16763" s="496"/>
    </row>
    <row r="16764" spans="1:4" x14ac:dyDescent="0.2">
      <c r="A16764" s="496"/>
      <c r="D16764" s="496"/>
    </row>
    <row r="16765" spans="1:4" x14ac:dyDescent="0.2">
      <c r="A16765" s="496"/>
      <c r="D16765" s="496"/>
    </row>
    <row r="16766" spans="1:4" x14ac:dyDescent="0.2">
      <c r="A16766" s="496"/>
      <c r="D16766" s="496"/>
    </row>
    <row r="16767" spans="1:4" x14ac:dyDescent="0.2">
      <c r="A16767" s="496"/>
      <c r="D16767" s="496"/>
    </row>
    <row r="16768" spans="1:4" x14ac:dyDescent="0.2">
      <c r="A16768" s="496"/>
      <c r="D16768" s="496"/>
    </row>
    <row r="16769" spans="1:4" x14ac:dyDescent="0.2">
      <c r="A16769" s="496"/>
      <c r="D16769" s="496"/>
    </row>
    <row r="16770" spans="1:4" x14ac:dyDescent="0.2">
      <c r="A16770" s="496"/>
      <c r="D16770" s="496"/>
    </row>
    <row r="16771" spans="1:4" x14ac:dyDescent="0.2">
      <c r="A16771" s="496"/>
      <c r="D16771" s="496"/>
    </row>
    <row r="16772" spans="1:4" x14ac:dyDescent="0.2">
      <c r="A16772" s="496"/>
      <c r="D16772" s="496"/>
    </row>
    <row r="16773" spans="1:4" x14ac:dyDescent="0.2">
      <c r="A16773" s="496"/>
      <c r="D16773" s="496"/>
    </row>
    <row r="16774" spans="1:4" x14ac:dyDescent="0.2">
      <c r="A16774" s="496"/>
      <c r="D16774" s="496"/>
    </row>
    <row r="16775" spans="1:4" x14ac:dyDescent="0.2">
      <c r="A16775" s="496"/>
      <c r="D16775" s="496"/>
    </row>
    <row r="16776" spans="1:4" x14ac:dyDescent="0.2">
      <c r="A16776" s="496"/>
      <c r="D16776" s="496"/>
    </row>
    <row r="16777" spans="1:4" x14ac:dyDescent="0.2">
      <c r="A16777" s="496"/>
      <c r="D16777" s="496"/>
    </row>
    <row r="16778" spans="1:4" x14ac:dyDescent="0.2">
      <c r="A16778" s="496"/>
      <c r="D16778" s="496"/>
    </row>
    <row r="16779" spans="1:4" x14ac:dyDescent="0.2">
      <c r="A16779" s="496"/>
      <c r="D16779" s="496"/>
    </row>
    <row r="16780" spans="1:4" x14ac:dyDescent="0.2">
      <c r="A16780" s="496"/>
      <c r="D16780" s="496"/>
    </row>
    <row r="16781" spans="1:4" x14ac:dyDescent="0.2">
      <c r="A16781" s="496"/>
      <c r="D16781" s="496"/>
    </row>
    <row r="16782" spans="1:4" x14ac:dyDescent="0.2">
      <c r="A16782" s="496"/>
      <c r="D16782" s="496"/>
    </row>
    <row r="16783" spans="1:4" x14ac:dyDescent="0.2">
      <c r="A16783" s="496"/>
      <c r="D16783" s="496"/>
    </row>
    <row r="16784" spans="1:4" x14ac:dyDescent="0.2">
      <c r="A16784" s="496"/>
      <c r="D16784" s="496"/>
    </row>
    <row r="16785" spans="1:4" x14ac:dyDescent="0.2">
      <c r="A16785" s="496"/>
      <c r="D16785" s="496"/>
    </row>
    <row r="16786" spans="1:4" x14ac:dyDescent="0.2">
      <c r="A16786" s="496"/>
      <c r="D16786" s="496"/>
    </row>
    <row r="16787" spans="1:4" x14ac:dyDescent="0.2">
      <c r="A16787" s="496"/>
      <c r="D16787" s="496"/>
    </row>
    <row r="16788" spans="1:4" x14ac:dyDescent="0.2">
      <c r="A16788" s="496"/>
      <c r="D16788" s="496"/>
    </row>
    <row r="16789" spans="1:4" x14ac:dyDescent="0.2">
      <c r="A16789" s="496"/>
      <c r="D16789" s="496"/>
    </row>
    <row r="16790" spans="1:4" x14ac:dyDescent="0.2">
      <c r="A16790" s="496"/>
      <c r="D16790" s="496"/>
    </row>
    <row r="16791" spans="1:4" x14ac:dyDescent="0.2">
      <c r="A16791" s="496"/>
      <c r="D16791" s="496"/>
    </row>
    <row r="16792" spans="1:4" x14ac:dyDescent="0.2">
      <c r="A16792" s="496"/>
      <c r="D16792" s="496"/>
    </row>
    <row r="16793" spans="1:4" x14ac:dyDescent="0.2">
      <c r="A16793" s="496"/>
      <c r="D16793" s="496"/>
    </row>
    <row r="16794" spans="1:4" x14ac:dyDescent="0.2">
      <c r="A16794" s="496"/>
      <c r="D16794" s="496"/>
    </row>
    <row r="16795" spans="1:4" x14ac:dyDescent="0.2">
      <c r="A16795" s="496"/>
      <c r="D16795" s="496"/>
    </row>
    <row r="16796" spans="1:4" x14ac:dyDescent="0.2">
      <c r="A16796" s="496"/>
      <c r="D16796" s="496"/>
    </row>
    <row r="16797" spans="1:4" x14ac:dyDescent="0.2">
      <c r="A16797" s="496"/>
      <c r="D16797" s="496"/>
    </row>
    <row r="16798" spans="1:4" x14ac:dyDescent="0.2">
      <c r="A16798" s="496"/>
      <c r="D16798" s="496"/>
    </row>
    <row r="16799" spans="1:4" x14ac:dyDescent="0.2">
      <c r="A16799" s="496"/>
      <c r="D16799" s="496"/>
    </row>
    <row r="16800" spans="1:4" x14ac:dyDescent="0.2">
      <c r="A16800" s="496"/>
      <c r="D16800" s="496"/>
    </row>
    <row r="16801" spans="1:4" x14ac:dyDescent="0.2">
      <c r="A16801" s="496"/>
      <c r="D16801" s="496"/>
    </row>
    <row r="16802" spans="1:4" x14ac:dyDescent="0.2">
      <c r="A16802" s="496"/>
      <c r="D16802" s="496"/>
    </row>
    <row r="16803" spans="1:4" x14ac:dyDescent="0.2">
      <c r="A16803" s="496"/>
      <c r="D16803" s="496"/>
    </row>
    <row r="16804" spans="1:4" x14ac:dyDescent="0.2">
      <c r="A16804" s="496"/>
      <c r="D16804" s="496"/>
    </row>
    <row r="16805" spans="1:4" x14ac:dyDescent="0.2">
      <c r="A16805" s="496"/>
      <c r="D16805" s="496"/>
    </row>
    <row r="16806" spans="1:4" x14ac:dyDescent="0.2">
      <c r="A16806" s="496"/>
      <c r="D16806" s="496"/>
    </row>
    <row r="16807" spans="1:4" x14ac:dyDescent="0.2">
      <c r="A16807" s="496"/>
      <c r="D16807" s="496"/>
    </row>
    <row r="16808" spans="1:4" x14ac:dyDescent="0.2">
      <c r="A16808" s="496"/>
      <c r="D16808" s="496"/>
    </row>
    <row r="16809" spans="1:4" x14ac:dyDescent="0.2">
      <c r="A16809" s="496"/>
      <c r="D16809" s="496"/>
    </row>
    <row r="16810" spans="1:4" x14ac:dyDescent="0.2">
      <c r="A16810" s="496"/>
      <c r="D16810" s="496"/>
    </row>
    <row r="16811" spans="1:4" x14ac:dyDescent="0.2">
      <c r="A16811" s="496"/>
      <c r="D16811" s="496"/>
    </row>
    <row r="16812" spans="1:4" x14ac:dyDescent="0.2">
      <c r="A16812" s="496"/>
      <c r="D16812" s="496"/>
    </row>
    <row r="16813" spans="1:4" x14ac:dyDescent="0.2">
      <c r="A16813" s="496"/>
      <c r="D16813" s="496"/>
    </row>
    <row r="16814" spans="1:4" x14ac:dyDescent="0.2">
      <c r="A16814" s="496"/>
      <c r="D16814" s="496"/>
    </row>
    <row r="16815" spans="1:4" x14ac:dyDescent="0.2">
      <c r="A16815" s="496"/>
      <c r="D16815" s="496"/>
    </row>
    <row r="16816" spans="1:4" x14ac:dyDescent="0.2">
      <c r="A16816" s="496"/>
      <c r="D16816" s="496"/>
    </row>
    <row r="16817" spans="1:4" x14ac:dyDescent="0.2">
      <c r="A16817" s="496"/>
      <c r="D16817" s="496"/>
    </row>
    <row r="16818" spans="1:4" x14ac:dyDescent="0.2">
      <c r="A16818" s="496"/>
      <c r="D16818" s="496"/>
    </row>
    <row r="16819" spans="1:4" x14ac:dyDescent="0.2">
      <c r="A16819" s="496"/>
      <c r="D16819" s="496"/>
    </row>
    <row r="16820" spans="1:4" x14ac:dyDescent="0.2">
      <c r="A16820" s="496"/>
      <c r="D16820" s="496"/>
    </row>
    <row r="16821" spans="1:4" x14ac:dyDescent="0.2">
      <c r="A16821" s="496"/>
      <c r="D16821" s="496"/>
    </row>
    <row r="16822" spans="1:4" x14ac:dyDescent="0.2">
      <c r="A16822" s="496"/>
      <c r="D16822" s="496"/>
    </row>
    <row r="16823" spans="1:4" x14ac:dyDescent="0.2">
      <c r="A16823" s="496"/>
      <c r="D16823" s="496"/>
    </row>
    <row r="16824" spans="1:4" x14ac:dyDescent="0.2">
      <c r="A16824" s="496"/>
      <c r="D16824" s="496"/>
    </row>
    <row r="16825" spans="1:4" x14ac:dyDescent="0.2">
      <c r="A16825" s="496"/>
      <c r="D16825" s="496"/>
    </row>
    <row r="16826" spans="1:4" x14ac:dyDescent="0.2">
      <c r="A16826" s="496"/>
      <c r="D16826" s="496"/>
    </row>
    <row r="16827" spans="1:4" x14ac:dyDescent="0.2">
      <c r="A16827" s="496"/>
      <c r="D16827" s="496"/>
    </row>
    <row r="16828" spans="1:4" x14ac:dyDescent="0.2">
      <c r="A16828" s="496"/>
      <c r="D16828" s="496"/>
    </row>
    <row r="16829" spans="1:4" x14ac:dyDescent="0.2">
      <c r="A16829" s="496"/>
      <c r="D16829" s="496"/>
    </row>
    <row r="16830" spans="1:4" x14ac:dyDescent="0.2">
      <c r="A16830" s="496"/>
      <c r="D16830" s="496"/>
    </row>
    <row r="16831" spans="1:4" x14ac:dyDescent="0.2">
      <c r="A16831" s="496"/>
      <c r="D16831" s="496"/>
    </row>
    <row r="16832" spans="1:4" x14ac:dyDescent="0.2">
      <c r="A16832" s="496"/>
      <c r="D16832" s="496"/>
    </row>
    <row r="16833" spans="1:4" x14ac:dyDescent="0.2">
      <c r="A16833" s="496"/>
      <c r="D16833" s="496"/>
    </row>
    <row r="16834" spans="1:4" x14ac:dyDescent="0.2">
      <c r="A16834" s="496"/>
      <c r="D16834" s="496"/>
    </row>
    <row r="16835" spans="1:4" x14ac:dyDescent="0.2">
      <c r="A16835" s="496"/>
      <c r="D16835" s="496"/>
    </row>
    <row r="16836" spans="1:4" x14ac:dyDescent="0.2">
      <c r="A16836" s="496"/>
      <c r="D16836" s="496"/>
    </row>
    <row r="16837" spans="1:4" x14ac:dyDescent="0.2">
      <c r="A16837" s="496"/>
      <c r="D16837" s="496"/>
    </row>
    <row r="16838" spans="1:4" x14ac:dyDescent="0.2">
      <c r="A16838" s="496"/>
      <c r="D16838" s="496"/>
    </row>
    <row r="16839" spans="1:4" x14ac:dyDescent="0.2">
      <c r="A16839" s="496"/>
      <c r="D16839" s="496"/>
    </row>
    <row r="16840" spans="1:4" x14ac:dyDescent="0.2">
      <c r="A16840" s="496"/>
      <c r="D16840" s="496"/>
    </row>
    <row r="16841" spans="1:4" x14ac:dyDescent="0.2">
      <c r="A16841" s="496"/>
      <c r="D16841" s="496"/>
    </row>
    <row r="16842" spans="1:4" x14ac:dyDescent="0.2">
      <c r="A16842" s="496"/>
      <c r="D16842" s="496"/>
    </row>
    <row r="16843" spans="1:4" x14ac:dyDescent="0.2">
      <c r="A16843" s="496"/>
      <c r="D16843" s="496"/>
    </row>
    <row r="16844" spans="1:4" x14ac:dyDescent="0.2">
      <c r="A16844" s="496"/>
      <c r="D16844" s="496"/>
    </row>
    <row r="16845" spans="1:4" x14ac:dyDescent="0.2">
      <c r="A16845" s="496"/>
      <c r="D16845" s="496"/>
    </row>
    <row r="16846" spans="1:4" x14ac:dyDescent="0.2">
      <c r="A16846" s="496"/>
      <c r="D16846" s="496"/>
    </row>
    <row r="16847" spans="1:4" x14ac:dyDescent="0.2">
      <c r="A16847" s="496"/>
      <c r="D16847" s="496"/>
    </row>
    <row r="16848" spans="1:4" x14ac:dyDescent="0.2">
      <c r="A16848" s="496"/>
      <c r="D16848" s="496"/>
    </row>
    <row r="16849" spans="1:4" x14ac:dyDescent="0.2">
      <c r="A16849" s="496"/>
      <c r="D16849" s="496"/>
    </row>
    <row r="16850" spans="1:4" x14ac:dyDescent="0.2">
      <c r="A16850" s="496"/>
      <c r="D16850" s="496"/>
    </row>
    <row r="16851" spans="1:4" x14ac:dyDescent="0.2">
      <c r="A16851" s="496"/>
      <c r="D16851" s="496"/>
    </row>
    <row r="16852" spans="1:4" x14ac:dyDescent="0.2">
      <c r="A16852" s="496"/>
      <c r="D16852" s="496"/>
    </row>
    <row r="16853" spans="1:4" x14ac:dyDescent="0.2">
      <c r="A16853" s="496"/>
      <c r="D16853" s="496"/>
    </row>
    <row r="16854" spans="1:4" x14ac:dyDescent="0.2">
      <c r="A16854" s="496"/>
      <c r="D16854" s="496"/>
    </row>
    <row r="16855" spans="1:4" x14ac:dyDescent="0.2">
      <c r="A16855" s="496"/>
      <c r="D16855" s="496"/>
    </row>
    <row r="16856" spans="1:4" x14ac:dyDescent="0.2">
      <c r="A16856" s="496"/>
      <c r="D16856" s="496"/>
    </row>
    <row r="16857" spans="1:4" x14ac:dyDescent="0.2">
      <c r="A16857" s="496"/>
      <c r="D16857" s="496"/>
    </row>
    <row r="16858" spans="1:4" x14ac:dyDescent="0.2">
      <c r="A16858" s="496"/>
      <c r="D16858" s="496"/>
    </row>
    <row r="16859" spans="1:4" x14ac:dyDescent="0.2">
      <c r="A16859" s="496"/>
      <c r="D16859" s="496"/>
    </row>
    <row r="16860" spans="1:4" x14ac:dyDescent="0.2">
      <c r="A16860" s="496"/>
      <c r="D16860" s="496"/>
    </row>
    <row r="16861" spans="1:4" x14ac:dyDescent="0.2">
      <c r="A16861" s="496"/>
      <c r="D16861" s="496"/>
    </row>
    <row r="16862" spans="1:4" x14ac:dyDescent="0.2">
      <c r="A16862" s="496"/>
      <c r="D16862" s="496"/>
    </row>
    <row r="16863" spans="1:4" x14ac:dyDescent="0.2">
      <c r="A16863" s="496"/>
      <c r="D16863" s="496"/>
    </row>
    <row r="16864" spans="1:4" x14ac:dyDescent="0.2">
      <c r="A16864" s="496"/>
      <c r="D16864" s="496"/>
    </row>
    <row r="16865" spans="1:4" x14ac:dyDescent="0.2">
      <c r="A16865" s="496"/>
      <c r="D16865" s="496"/>
    </row>
    <row r="16866" spans="1:4" x14ac:dyDescent="0.2">
      <c r="A16866" s="496"/>
      <c r="D16866" s="496"/>
    </row>
    <row r="16867" spans="1:4" x14ac:dyDescent="0.2">
      <c r="A16867" s="496"/>
      <c r="D16867" s="496"/>
    </row>
    <row r="16868" spans="1:4" x14ac:dyDescent="0.2">
      <c r="A16868" s="496"/>
      <c r="D16868" s="496"/>
    </row>
    <row r="16869" spans="1:4" x14ac:dyDescent="0.2">
      <c r="A16869" s="496"/>
      <c r="D16869" s="496"/>
    </row>
    <row r="16870" spans="1:4" x14ac:dyDescent="0.2">
      <c r="A16870" s="496"/>
      <c r="D16870" s="496"/>
    </row>
    <row r="16871" spans="1:4" x14ac:dyDescent="0.2">
      <c r="A16871" s="496"/>
      <c r="D16871" s="496"/>
    </row>
    <row r="16872" spans="1:4" x14ac:dyDescent="0.2">
      <c r="A16872" s="496"/>
      <c r="D16872" s="496"/>
    </row>
    <row r="16873" spans="1:4" x14ac:dyDescent="0.2">
      <c r="A16873" s="496"/>
      <c r="D16873" s="496"/>
    </row>
    <row r="16874" spans="1:4" x14ac:dyDescent="0.2">
      <c r="A16874" s="496"/>
      <c r="D16874" s="496"/>
    </row>
    <row r="16875" spans="1:4" x14ac:dyDescent="0.2">
      <c r="A16875" s="496"/>
      <c r="D16875" s="496"/>
    </row>
    <row r="16876" spans="1:4" x14ac:dyDescent="0.2">
      <c r="A16876" s="496"/>
      <c r="D16876" s="496"/>
    </row>
    <row r="16877" spans="1:4" x14ac:dyDescent="0.2">
      <c r="A16877" s="496"/>
      <c r="D16877" s="496"/>
    </row>
    <row r="16878" spans="1:4" x14ac:dyDescent="0.2">
      <c r="A16878" s="496"/>
      <c r="D16878" s="496"/>
    </row>
    <row r="16879" spans="1:4" x14ac:dyDescent="0.2">
      <c r="A16879" s="496"/>
      <c r="D16879" s="496"/>
    </row>
    <row r="16880" spans="1:4" x14ac:dyDescent="0.2">
      <c r="A16880" s="496"/>
      <c r="D16880" s="496"/>
    </row>
    <row r="16881" spans="1:4" x14ac:dyDescent="0.2">
      <c r="A16881" s="496"/>
      <c r="D16881" s="496"/>
    </row>
    <row r="16882" spans="1:4" x14ac:dyDescent="0.2">
      <c r="A16882" s="496"/>
      <c r="D16882" s="496"/>
    </row>
    <row r="16883" spans="1:4" x14ac:dyDescent="0.2">
      <c r="A16883" s="496"/>
      <c r="D16883" s="496"/>
    </row>
    <row r="16884" spans="1:4" x14ac:dyDescent="0.2">
      <c r="A16884" s="496"/>
      <c r="D16884" s="496"/>
    </row>
    <row r="16885" spans="1:4" x14ac:dyDescent="0.2">
      <c r="A16885" s="496"/>
      <c r="D16885" s="496"/>
    </row>
    <row r="16886" spans="1:4" x14ac:dyDescent="0.2">
      <c r="A16886" s="496"/>
      <c r="D16886" s="496"/>
    </row>
    <row r="16887" spans="1:4" x14ac:dyDescent="0.2">
      <c r="A16887" s="496"/>
      <c r="D16887" s="496"/>
    </row>
    <row r="16888" spans="1:4" x14ac:dyDescent="0.2">
      <c r="A16888" s="496"/>
      <c r="D16888" s="496"/>
    </row>
    <row r="16889" spans="1:4" x14ac:dyDescent="0.2">
      <c r="A16889" s="496"/>
      <c r="D16889" s="496"/>
    </row>
    <row r="16890" spans="1:4" x14ac:dyDescent="0.2">
      <c r="A16890" s="496"/>
      <c r="D16890" s="496"/>
    </row>
    <row r="16891" spans="1:4" x14ac:dyDescent="0.2">
      <c r="A16891" s="496"/>
      <c r="D16891" s="496"/>
    </row>
    <row r="16892" spans="1:4" x14ac:dyDescent="0.2">
      <c r="A16892" s="496"/>
      <c r="D16892" s="496"/>
    </row>
    <row r="16893" spans="1:4" x14ac:dyDescent="0.2">
      <c r="A16893" s="496"/>
      <c r="D16893" s="496"/>
    </row>
    <row r="16894" spans="1:4" x14ac:dyDescent="0.2">
      <c r="A16894" s="496"/>
      <c r="D16894" s="496"/>
    </row>
    <row r="16895" spans="1:4" x14ac:dyDescent="0.2">
      <c r="A16895" s="496"/>
      <c r="D16895" s="496"/>
    </row>
    <row r="16896" spans="1:4" x14ac:dyDescent="0.2">
      <c r="A16896" s="496"/>
      <c r="D16896" s="496"/>
    </row>
    <row r="16897" spans="1:4" x14ac:dyDescent="0.2">
      <c r="A16897" s="496"/>
      <c r="D16897" s="496"/>
    </row>
    <row r="16898" spans="1:4" x14ac:dyDescent="0.2">
      <c r="A16898" s="496"/>
      <c r="D16898" s="496"/>
    </row>
    <row r="16899" spans="1:4" x14ac:dyDescent="0.2">
      <c r="A16899" s="496"/>
      <c r="D16899" s="496"/>
    </row>
    <row r="16900" spans="1:4" x14ac:dyDescent="0.2">
      <c r="A16900" s="496"/>
      <c r="D16900" s="496"/>
    </row>
    <row r="16901" spans="1:4" x14ac:dyDescent="0.2">
      <c r="A16901" s="496"/>
      <c r="D16901" s="496"/>
    </row>
    <row r="16902" spans="1:4" x14ac:dyDescent="0.2">
      <c r="A16902" s="496"/>
      <c r="D16902" s="496"/>
    </row>
    <row r="16903" spans="1:4" x14ac:dyDescent="0.2">
      <c r="A16903" s="496"/>
      <c r="D16903" s="496"/>
    </row>
    <row r="16904" spans="1:4" x14ac:dyDescent="0.2">
      <c r="A16904" s="496"/>
      <c r="D16904" s="496"/>
    </row>
    <row r="16905" spans="1:4" x14ac:dyDescent="0.2">
      <c r="A16905" s="496"/>
      <c r="D16905" s="496"/>
    </row>
    <row r="16906" spans="1:4" x14ac:dyDescent="0.2">
      <c r="A16906" s="496"/>
      <c r="D16906" s="496"/>
    </row>
    <row r="16907" spans="1:4" x14ac:dyDescent="0.2">
      <c r="A16907" s="496"/>
      <c r="D16907" s="496"/>
    </row>
    <row r="16908" spans="1:4" x14ac:dyDescent="0.2">
      <c r="A16908" s="496"/>
      <c r="D16908" s="496"/>
    </row>
    <row r="16909" spans="1:4" x14ac:dyDescent="0.2">
      <c r="A16909" s="496"/>
      <c r="D16909" s="496"/>
    </row>
    <row r="16910" spans="1:4" x14ac:dyDescent="0.2">
      <c r="A16910" s="496"/>
      <c r="D16910" s="496"/>
    </row>
    <row r="16911" spans="1:4" x14ac:dyDescent="0.2">
      <c r="A16911" s="496"/>
      <c r="D16911" s="496"/>
    </row>
    <row r="16912" spans="1:4" x14ac:dyDescent="0.2">
      <c r="A16912" s="496"/>
      <c r="D16912" s="496"/>
    </row>
    <row r="16913" spans="1:4" x14ac:dyDescent="0.2">
      <c r="A16913" s="496"/>
      <c r="D16913" s="496"/>
    </row>
    <row r="16914" spans="1:4" x14ac:dyDescent="0.2">
      <c r="A16914" s="496"/>
      <c r="D16914" s="496"/>
    </row>
    <row r="16915" spans="1:4" x14ac:dyDescent="0.2">
      <c r="A16915" s="496"/>
      <c r="D16915" s="496"/>
    </row>
    <row r="16916" spans="1:4" x14ac:dyDescent="0.2">
      <c r="A16916" s="496"/>
      <c r="D16916" s="496"/>
    </row>
    <row r="16917" spans="1:4" x14ac:dyDescent="0.2">
      <c r="A16917" s="496"/>
      <c r="D16917" s="496"/>
    </row>
    <row r="16918" spans="1:4" x14ac:dyDescent="0.2">
      <c r="A16918" s="496"/>
      <c r="D16918" s="496"/>
    </row>
    <row r="16919" spans="1:4" x14ac:dyDescent="0.2">
      <c r="A16919" s="496"/>
      <c r="D16919" s="496"/>
    </row>
    <row r="16920" spans="1:4" x14ac:dyDescent="0.2">
      <c r="A16920" s="496"/>
      <c r="D16920" s="496"/>
    </row>
    <row r="16921" spans="1:4" x14ac:dyDescent="0.2">
      <c r="A16921" s="496"/>
      <c r="D16921" s="496"/>
    </row>
    <row r="16922" spans="1:4" x14ac:dyDescent="0.2">
      <c r="A16922" s="496"/>
      <c r="D16922" s="496"/>
    </row>
    <row r="16923" spans="1:4" x14ac:dyDescent="0.2">
      <c r="A16923" s="496"/>
      <c r="D16923" s="496"/>
    </row>
    <row r="16924" spans="1:4" x14ac:dyDescent="0.2">
      <c r="A16924" s="496"/>
      <c r="D16924" s="496"/>
    </row>
    <row r="16925" spans="1:4" x14ac:dyDescent="0.2">
      <c r="A16925" s="496"/>
      <c r="D16925" s="496"/>
    </row>
    <row r="16926" spans="1:4" x14ac:dyDescent="0.2">
      <c r="A16926" s="496"/>
      <c r="D16926" s="496"/>
    </row>
    <row r="16927" spans="1:4" x14ac:dyDescent="0.2">
      <c r="A16927" s="496"/>
      <c r="D16927" s="496"/>
    </row>
    <row r="16928" spans="1:4" x14ac:dyDescent="0.2">
      <c r="A16928" s="496"/>
      <c r="D16928" s="496"/>
    </row>
    <row r="16929" spans="1:4" x14ac:dyDescent="0.2">
      <c r="A16929" s="496"/>
      <c r="D16929" s="496"/>
    </row>
    <row r="16930" spans="1:4" x14ac:dyDescent="0.2">
      <c r="A16930" s="496"/>
      <c r="D16930" s="496"/>
    </row>
    <row r="16931" spans="1:4" x14ac:dyDescent="0.2">
      <c r="A16931" s="496"/>
      <c r="D16931" s="496"/>
    </row>
    <row r="16932" spans="1:4" x14ac:dyDescent="0.2">
      <c r="A16932" s="496"/>
      <c r="D16932" s="496"/>
    </row>
    <row r="16933" spans="1:4" x14ac:dyDescent="0.2">
      <c r="A16933" s="496"/>
      <c r="D16933" s="496"/>
    </row>
    <row r="16934" spans="1:4" x14ac:dyDescent="0.2">
      <c r="A16934" s="496"/>
      <c r="D16934" s="496"/>
    </row>
    <row r="16935" spans="1:4" x14ac:dyDescent="0.2">
      <c r="A16935" s="496"/>
      <c r="D16935" s="496"/>
    </row>
    <row r="16936" spans="1:4" x14ac:dyDescent="0.2">
      <c r="A16936" s="496"/>
      <c r="D16936" s="496"/>
    </row>
    <row r="16937" spans="1:4" x14ac:dyDescent="0.2">
      <c r="A16937" s="496"/>
      <c r="D16937" s="496"/>
    </row>
    <row r="16938" spans="1:4" x14ac:dyDescent="0.2">
      <c r="A16938" s="496"/>
      <c r="D16938" s="496"/>
    </row>
    <row r="16939" spans="1:4" x14ac:dyDescent="0.2">
      <c r="A16939" s="496"/>
      <c r="D16939" s="496"/>
    </row>
    <row r="16940" spans="1:4" x14ac:dyDescent="0.2">
      <c r="A16940" s="496"/>
      <c r="D16940" s="496"/>
    </row>
    <row r="16941" spans="1:4" x14ac:dyDescent="0.2">
      <c r="A16941" s="496"/>
      <c r="D16941" s="496"/>
    </row>
    <row r="16942" spans="1:4" x14ac:dyDescent="0.2">
      <c r="A16942" s="496"/>
      <c r="D16942" s="496"/>
    </row>
    <row r="16943" spans="1:4" x14ac:dyDescent="0.2">
      <c r="A16943" s="496"/>
      <c r="D16943" s="496"/>
    </row>
    <row r="16944" spans="1:4" x14ac:dyDescent="0.2">
      <c r="A16944" s="496"/>
      <c r="D16944" s="496"/>
    </row>
    <row r="16945" spans="1:4" x14ac:dyDescent="0.2">
      <c r="A16945" s="496"/>
      <c r="D16945" s="496"/>
    </row>
    <row r="16946" spans="1:4" x14ac:dyDescent="0.2">
      <c r="A16946" s="496"/>
      <c r="D16946" s="496"/>
    </row>
    <row r="16947" spans="1:4" x14ac:dyDescent="0.2">
      <c r="A16947" s="496"/>
      <c r="D16947" s="496"/>
    </row>
    <row r="16948" spans="1:4" x14ac:dyDescent="0.2">
      <c r="A16948" s="496"/>
      <c r="D16948" s="496"/>
    </row>
    <row r="16949" spans="1:4" x14ac:dyDescent="0.2">
      <c r="A16949" s="496"/>
      <c r="D16949" s="496"/>
    </row>
    <row r="16950" spans="1:4" x14ac:dyDescent="0.2">
      <c r="A16950" s="496"/>
      <c r="D16950" s="496"/>
    </row>
    <row r="16951" spans="1:4" x14ac:dyDescent="0.2">
      <c r="A16951" s="496"/>
      <c r="D16951" s="496"/>
    </row>
    <row r="16952" spans="1:4" x14ac:dyDescent="0.2">
      <c r="A16952" s="496"/>
      <c r="D16952" s="496"/>
    </row>
    <row r="16953" spans="1:4" x14ac:dyDescent="0.2">
      <c r="A16953" s="496"/>
      <c r="D16953" s="496"/>
    </row>
    <row r="16954" spans="1:4" x14ac:dyDescent="0.2">
      <c r="A16954" s="496"/>
      <c r="D16954" s="496"/>
    </row>
    <row r="16955" spans="1:4" x14ac:dyDescent="0.2">
      <c r="A16955" s="496"/>
      <c r="D16955" s="496"/>
    </row>
    <row r="16956" spans="1:4" x14ac:dyDescent="0.2">
      <c r="A16956" s="496"/>
      <c r="D16956" s="496"/>
    </row>
    <row r="16957" spans="1:4" x14ac:dyDescent="0.2">
      <c r="A16957" s="496"/>
      <c r="D16957" s="496"/>
    </row>
    <row r="16958" spans="1:4" x14ac:dyDescent="0.2">
      <c r="A16958" s="496"/>
      <c r="D16958" s="496"/>
    </row>
    <row r="16959" spans="1:4" x14ac:dyDescent="0.2">
      <c r="A16959" s="496"/>
      <c r="D16959" s="496"/>
    </row>
    <row r="16960" spans="1:4" x14ac:dyDescent="0.2">
      <c r="A16960" s="496"/>
      <c r="D16960" s="496"/>
    </row>
    <row r="16961" spans="1:4" x14ac:dyDescent="0.2">
      <c r="A16961" s="496"/>
      <c r="D16961" s="496"/>
    </row>
    <row r="16962" spans="1:4" x14ac:dyDescent="0.2">
      <c r="A16962" s="496"/>
      <c r="D16962" s="496"/>
    </row>
    <row r="16963" spans="1:4" x14ac:dyDescent="0.2">
      <c r="A16963" s="496"/>
      <c r="D16963" s="496"/>
    </row>
    <row r="16964" spans="1:4" x14ac:dyDescent="0.2">
      <c r="A16964" s="496"/>
      <c r="D16964" s="496"/>
    </row>
    <row r="16965" spans="1:4" x14ac:dyDescent="0.2">
      <c r="A16965" s="496"/>
      <c r="D16965" s="496"/>
    </row>
    <row r="16966" spans="1:4" x14ac:dyDescent="0.2">
      <c r="A16966" s="496"/>
      <c r="D16966" s="496"/>
    </row>
    <row r="16967" spans="1:4" x14ac:dyDescent="0.2">
      <c r="A16967" s="496"/>
      <c r="D16967" s="496"/>
    </row>
    <row r="16968" spans="1:4" x14ac:dyDescent="0.2">
      <c r="A16968" s="496"/>
      <c r="D16968" s="496"/>
    </row>
    <row r="16969" spans="1:4" x14ac:dyDescent="0.2">
      <c r="A16969" s="496"/>
      <c r="D16969" s="496"/>
    </row>
    <row r="16970" spans="1:4" x14ac:dyDescent="0.2">
      <c r="A16970" s="496"/>
      <c r="D16970" s="496"/>
    </row>
    <row r="16971" spans="1:4" x14ac:dyDescent="0.2">
      <c r="A16971" s="496"/>
      <c r="D16971" s="496"/>
    </row>
    <row r="16972" spans="1:4" x14ac:dyDescent="0.2">
      <c r="A16972" s="496"/>
      <c r="D16972" s="496"/>
    </row>
    <row r="16973" spans="1:4" x14ac:dyDescent="0.2">
      <c r="A16973" s="496"/>
      <c r="D16973" s="496"/>
    </row>
    <row r="16974" spans="1:4" x14ac:dyDescent="0.2">
      <c r="A16974" s="496"/>
      <c r="D16974" s="496"/>
    </row>
    <row r="16975" spans="1:4" x14ac:dyDescent="0.2">
      <c r="A16975" s="496"/>
      <c r="D16975" s="496"/>
    </row>
    <row r="16976" spans="1:4" x14ac:dyDescent="0.2">
      <c r="A16976" s="496"/>
      <c r="D16976" s="496"/>
    </row>
    <row r="16977" spans="1:4" x14ac:dyDescent="0.2">
      <c r="A16977" s="496"/>
      <c r="D16977" s="496"/>
    </row>
    <row r="16978" spans="1:4" x14ac:dyDescent="0.2">
      <c r="A16978" s="496"/>
      <c r="D16978" s="496"/>
    </row>
    <row r="16979" spans="1:4" x14ac:dyDescent="0.2">
      <c r="A16979" s="496"/>
      <c r="D16979" s="496"/>
    </row>
    <row r="16980" spans="1:4" x14ac:dyDescent="0.2">
      <c r="A16980" s="496"/>
      <c r="D16980" s="496"/>
    </row>
    <row r="16981" spans="1:4" x14ac:dyDescent="0.2">
      <c r="A16981" s="496"/>
      <c r="D16981" s="496"/>
    </row>
    <row r="16982" spans="1:4" x14ac:dyDescent="0.2">
      <c r="A16982" s="496"/>
      <c r="D16982" s="496"/>
    </row>
    <row r="16983" spans="1:4" x14ac:dyDescent="0.2">
      <c r="A16983" s="496"/>
      <c r="D16983" s="496"/>
    </row>
    <row r="16984" spans="1:4" x14ac:dyDescent="0.2">
      <c r="A16984" s="496"/>
      <c r="D16984" s="496"/>
    </row>
    <row r="16985" spans="1:4" x14ac:dyDescent="0.2">
      <c r="A16985" s="496"/>
      <c r="D16985" s="496"/>
    </row>
    <row r="16986" spans="1:4" x14ac:dyDescent="0.2">
      <c r="A16986" s="496"/>
      <c r="D16986" s="496"/>
    </row>
    <row r="16987" spans="1:4" x14ac:dyDescent="0.2">
      <c r="A16987" s="496"/>
      <c r="D16987" s="496"/>
    </row>
    <row r="16988" spans="1:4" x14ac:dyDescent="0.2">
      <c r="A16988" s="496"/>
      <c r="D16988" s="496"/>
    </row>
    <row r="16989" spans="1:4" x14ac:dyDescent="0.2">
      <c r="A16989" s="496"/>
      <c r="D16989" s="496"/>
    </row>
    <row r="16990" spans="1:4" x14ac:dyDescent="0.2">
      <c r="A16990" s="496"/>
      <c r="D16990" s="496"/>
    </row>
    <row r="16991" spans="1:4" x14ac:dyDescent="0.2">
      <c r="A16991" s="496"/>
      <c r="D16991" s="496"/>
    </row>
    <row r="16992" spans="1:4" x14ac:dyDescent="0.2">
      <c r="A16992" s="496"/>
      <c r="D16992" s="496"/>
    </row>
    <row r="16993" spans="1:4" x14ac:dyDescent="0.2">
      <c r="A16993" s="496"/>
      <c r="D16993" s="496"/>
    </row>
    <row r="16994" spans="1:4" x14ac:dyDescent="0.2">
      <c r="A16994" s="496"/>
      <c r="D16994" s="496"/>
    </row>
    <row r="16995" spans="1:4" x14ac:dyDescent="0.2">
      <c r="A16995" s="496"/>
      <c r="D16995" s="496"/>
    </row>
    <row r="16996" spans="1:4" x14ac:dyDescent="0.2">
      <c r="A16996" s="496"/>
      <c r="D16996" s="496"/>
    </row>
    <row r="16997" spans="1:4" x14ac:dyDescent="0.2">
      <c r="A16997" s="496"/>
      <c r="D16997" s="496"/>
    </row>
    <row r="16998" spans="1:4" x14ac:dyDescent="0.2">
      <c r="A16998" s="496"/>
      <c r="D16998" s="496"/>
    </row>
    <row r="16999" spans="1:4" x14ac:dyDescent="0.2">
      <c r="A16999" s="496"/>
      <c r="D16999" s="496"/>
    </row>
    <row r="17000" spans="1:4" x14ac:dyDescent="0.2">
      <c r="A17000" s="496"/>
      <c r="D17000" s="496"/>
    </row>
    <row r="17001" spans="1:4" x14ac:dyDescent="0.2">
      <c r="A17001" s="496"/>
      <c r="D17001" s="496"/>
    </row>
    <row r="17002" spans="1:4" x14ac:dyDescent="0.2">
      <c r="A17002" s="496"/>
      <c r="D17002" s="496"/>
    </row>
    <row r="17003" spans="1:4" x14ac:dyDescent="0.2">
      <c r="A17003" s="496"/>
      <c r="D17003" s="496"/>
    </row>
    <row r="17004" spans="1:4" x14ac:dyDescent="0.2">
      <c r="A17004" s="496"/>
      <c r="D17004" s="496"/>
    </row>
    <row r="17005" spans="1:4" x14ac:dyDescent="0.2">
      <c r="A17005" s="496"/>
      <c r="D17005" s="496"/>
    </row>
    <row r="17006" spans="1:4" x14ac:dyDescent="0.2">
      <c r="A17006" s="496"/>
      <c r="D17006" s="496"/>
    </row>
    <row r="17007" spans="1:4" x14ac:dyDescent="0.2">
      <c r="A17007" s="496"/>
      <c r="D17007" s="496"/>
    </row>
    <row r="17008" spans="1:4" x14ac:dyDescent="0.2">
      <c r="A17008" s="496"/>
      <c r="D17008" s="496"/>
    </row>
    <row r="17009" spans="1:4" x14ac:dyDescent="0.2">
      <c r="A17009" s="496"/>
      <c r="D17009" s="496"/>
    </row>
    <row r="17010" spans="1:4" x14ac:dyDescent="0.2">
      <c r="A17010" s="496"/>
      <c r="D17010" s="496"/>
    </row>
    <row r="17011" spans="1:4" x14ac:dyDescent="0.2">
      <c r="A17011" s="496"/>
      <c r="D17011" s="496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X1701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6" defaultRowHeight="12.75" x14ac:dyDescent="0.2"/>
  <cols>
    <col min="1" max="1" width="6" style="10"/>
    <col min="2" max="2" width="20.625" style="496" customWidth="1"/>
    <col min="3" max="3" width="12.625" style="496" customWidth="1"/>
    <col min="4" max="4" width="12.625" style="66" customWidth="1"/>
    <col min="5" max="8" width="12.625" style="496" customWidth="1"/>
    <col min="9" max="9" width="13.25" style="496" customWidth="1"/>
    <col min="10" max="13" width="10.25" style="496" customWidth="1"/>
    <col min="14" max="14" width="13" style="496" customWidth="1"/>
    <col min="15" max="16" width="10.375" style="496" customWidth="1"/>
    <col min="17" max="17" width="13.25" style="496" customWidth="1"/>
    <col min="18" max="18" width="12" style="496" customWidth="1"/>
    <col min="19" max="19" width="9.75" style="496" customWidth="1"/>
    <col min="20" max="20" width="7.25" style="496" customWidth="1"/>
    <col min="21" max="21" width="10.25" style="496" customWidth="1"/>
    <col min="22" max="16384" width="6" style="496"/>
  </cols>
  <sheetData>
    <row r="3" spans="1:24" x14ac:dyDescent="0.2">
      <c r="A3" s="282"/>
      <c r="B3" s="282"/>
      <c r="C3" s="283" t="s">
        <v>270</v>
      </c>
      <c r="D3" s="283" t="s">
        <v>236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</row>
    <row r="4" spans="1:24" x14ac:dyDescent="0.2">
      <c r="A4" s="282"/>
      <c r="B4" s="282"/>
      <c r="C4" s="283" t="s">
        <v>266</v>
      </c>
      <c r="D4" s="283"/>
      <c r="E4" s="283"/>
      <c r="F4" s="283"/>
      <c r="G4" s="283"/>
      <c r="H4" s="283"/>
      <c r="I4" s="283" t="s">
        <v>271</v>
      </c>
      <c r="J4" s="283" t="s">
        <v>267</v>
      </c>
      <c r="K4" s="283"/>
      <c r="L4" s="283"/>
      <c r="M4" s="283"/>
      <c r="N4" s="283" t="s">
        <v>272</v>
      </c>
      <c r="O4" s="283" t="s">
        <v>268</v>
      </c>
      <c r="P4" s="283"/>
      <c r="Q4" s="283"/>
      <c r="R4" s="283" t="s">
        <v>273</v>
      </c>
      <c r="S4" s="283" t="s">
        <v>269</v>
      </c>
      <c r="T4" s="283" t="s">
        <v>973</v>
      </c>
      <c r="U4" s="283" t="s">
        <v>974</v>
      </c>
      <c r="V4" s="496" t="s">
        <v>954</v>
      </c>
      <c r="W4" s="496" t="s">
        <v>1199</v>
      </c>
      <c r="X4" s="496" t="s">
        <v>262</v>
      </c>
    </row>
    <row r="5" spans="1:24" x14ac:dyDescent="0.2">
      <c r="A5" s="282" t="s">
        <v>237</v>
      </c>
      <c r="B5" s="283" t="s">
        <v>265</v>
      </c>
      <c r="C5" s="283">
        <v>1</v>
      </c>
      <c r="D5" s="283">
        <v>2</v>
      </c>
      <c r="E5" s="283">
        <v>3</v>
      </c>
      <c r="F5" s="283">
        <v>4</v>
      </c>
      <c r="G5" s="283">
        <v>5</v>
      </c>
      <c r="H5" s="283">
        <v>6</v>
      </c>
      <c r="I5" s="283"/>
      <c r="J5" s="283">
        <v>7</v>
      </c>
      <c r="K5" s="283">
        <v>8</v>
      </c>
      <c r="L5" s="283">
        <v>9</v>
      </c>
      <c r="M5" s="283">
        <v>10</v>
      </c>
      <c r="N5" s="283"/>
      <c r="O5" s="283">
        <v>12</v>
      </c>
      <c r="P5" s="283">
        <v>13</v>
      </c>
      <c r="Q5" s="283">
        <v>14</v>
      </c>
      <c r="R5" s="283"/>
      <c r="S5" s="283"/>
      <c r="T5" s="283">
        <v>99</v>
      </c>
      <c r="U5" s="283"/>
      <c r="V5" s="496" t="s">
        <v>954</v>
      </c>
    </row>
    <row r="6" spans="1:24" x14ac:dyDescent="0.2">
      <c r="A6" s="284" t="s">
        <v>0</v>
      </c>
      <c r="B6" s="283" t="s">
        <v>395</v>
      </c>
      <c r="C6" s="287">
        <v>12128</v>
      </c>
      <c r="D6" s="287">
        <v>5431</v>
      </c>
      <c r="E6" s="287">
        <v>8430</v>
      </c>
      <c r="F6" s="287">
        <v>3083</v>
      </c>
      <c r="G6" s="287">
        <v>1927</v>
      </c>
      <c r="H6" s="287">
        <v>961</v>
      </c>
      <c r="I6" s="287">
        <v>31960</v>
      </c>
      <c r="J6" s="287"/>
      <c r="K6" s="287">
        <v>4347</v>
      </c>
      <c r="L6" s="287">
        <v>6239</v>
      </c>
      <c r="M6" s="287">
        <v>2134</v>
      </c>
      <c r="N6" s="287">
        <v>12720</v>
      </c>
      <c r="O6" s="287">
        <v>578</v>
      </c>
      <c r="P6" s="287">
        <v>798</v>
      </c>
      <c r="Q6" s="287"/>
      <c r="R6" s="287">
        <v>1376</v>
      </c>
      <c r="S6" s="287">
        <v>181</v>
      </c>
      <c r="T6" s="287"/>
      <c r="U6" s="287"/>
      <c r="X6" s="496">
        <v>46237</v>
      </c>
    </row>
    <row r="7" spans="1:24" ht="13.5" thickBot="1" x14ac:dyDescent="0.25">
      <c r="A7" s="285"/>
      <c r="B7" s="283" t="s">
        <v>397</v>
      </c>
      <c r="C7" s="287">
        <v>12462</v>
      </c>
      <c r="D7" s="287">
        <v>5658</v>
      </c>
      <c r="E7" s="287">
        <v>7930</v>
      </c>
      <c r="F7" s="287">
        <v>2977</v>
      </c>
      <c r="G7" s="287">
        <v>1763</v>
      </c>
      <c r="H7" s="287">
        <v>940</v>
      </c>
      <c r="I7" s="287">
        <v>31730</v>
      </c>
      <c r="J7" s="287"/>
      <c r="K7" s="287">
        <v>4741</v>
      </c>
      <c r="L7" s="287">
        <v>7191</v>
      </c>
      <c r="M7" s="287">
        <v>2242</v>
      </c>
      <c r="N7" s="287">
        <v>14174</v>
      </c>
      <c r="O7" s="287">
        <v>463</v>
      </c>
      <c r="P7" s="287">
        <v>834</v>
      </c>
      <c r="Q7" s="287"/>
      <c r="R7" s="287">
        <v>1297</v>
      </c>
      <c r="S7" s="287">
        <v>84</v>
      </c>
      <c r="T7" s="287"/>
      <c r="U7" s="287"/>
      <c r="X7" s="496">
        <v>47285</v>
      </c>
    </row>
    <row r="8" spans="1:24" s="123" customFormat="1" ht="13.5" thickBot="1" x14ac:dyDescent="0.25">
      <c r="A8" s="286"/>
      <c r="B8" s="289" t="s">
        <v>399</v>
      </c>
      <c r="C8" s="288">
        <v>2.7539577836411609E-2</v>
      </c>
      <c r="D8" s="288">
        <v>4.1797090775179527E-2</v>
      </c>
      <c r="E8" s="288">
        <v>-5.9311981020166077E-2</v>
      </c>
      <c r="F8" s="288">
        <v>-3.4382095361660717E-2</v>
      </c>
      <c r="G8" s="288">
        <v>-8.5106382978723402E-2</v>
      </c>
      <c r="H8" s="288">
        <v>-2.1852237252861603E-2</v>
      </c>
      <c r="I8" s="288">
        <v>-7.1964956195244055E-3</v>
      </c>
      <c r="J8" s="288">
        <v>0</v>
      </c>
      <c r="K8" s="288">
        <v>9.0637221072003685E-2</v>
      </c>
      <c r="L8" s="789">
        <v>0.15258855585831063</v>
      </c>
      <c r="M8" s="288">
        <v>5.0609184629803183E-2</v>
      </c>
      <c r="N8" s="288">
        <v>0.11430817610062893</v>
      </c>
      <c r="O8" s="789">
        <v>-0.19896193771626297</v>
      </c>
      <c r="P8" s="288">
        <v>4.5112781954887216E-2</v>
      </c>
      <c r="Q8" s="288">
        <v>0</v>
      </c>
      <c r="R8" s="288">
        <v>-5.7412790697674417E-2</v>
      </c>
      <c r="S8" s="789">
        <v>-0.53591160220994472</v>
      </c>
      <c r="T8" s="288">
        <v>0</v>
      </c>
      <c r="U8" s="288">
        <v>0</v>
      </c>
      <c r="V8" s="123">
        <v>0</v>
      </c>
      <c r="W8" s="123">
        <v>0</v>
      </c>
      <c r="X8" s="123">
        <v>2.2665830395570647E-2</v>
      </c>
    </row>
    <row r="9" spans="1:24" x14ac:dyDescent="0.2">
      <c r="A9" s="284" t="s">
        <v>980</v>
      </c>
      <c r="B9" s="283" t="s">
        <v>395</v>
      </c>
      <c r="C9" s="287">
        <v>4361</v>
      </c>
      <c r="D9" s="287"/>
      <c r="E9" s="287">
        <v>11802</v>
      </c>
      <c r="F9" s="287">
        <v>1280</v>
      </c>
      <c r="G9" s="287">
        <v>934</v>
      </c>
      <c r="H9" s="287">
        <v>1708</v>
      </c>
      <c r="I9" s="287">
        <v>20085</v>
      </c>
      <c r="J9" s="287"/>
      <c r="K9" s="287">
        <v>4649</v>
      </c>
      <c r="L9" s="287">
        <v>1770</v>
      </c>
      <c r="M9" s="287">
        <v>8617</v>
      </c>
      <c r="N9" s="287">
        <v>15036</v>
      </c>
      <c r="O9" s="287"/>
      <c r="P9" s="287"/>
      <c r="Q9" s="287"/>
      <c r="R9" s="287"/>
      <c r="S9" s="287">
        <v>907</v>
      </c>
      <c r="T9" s="287"/>
      <c r="U9" s="287"/>
      <c r="X9" s="496">
        <v>36028</v>
      </c>
    </row>
    <row r="10" spans="1:24" ht="13.5" thickBot="1" x14ac:dyDescent="0.25">
      <c r="A10" s="285"/>
      <c r="B10" s="283" t="s">
        <v>397</v>
      </c>
      <c r="C10" s="287">
        <v>4590</v>
      </c>
      <c r="D10" s="287"/>
      <c r="E10" s="287">
        <v>10570</v>
      </c>
      <c r="F10" s="287">
        <v>1466</v>
      </c>
      <c r="G10" s="287">
        <v>1058</v>
      </c>
      <c r="H10" s="287">
        <v>1675</v>
      </c>
      <c r="I10" s="287">
        <v>19359</v>
      </c>
      <c r="J10" s="287"/>
      <c r="K10" s="287">
        <v>3399</v>
      </c>
      <c r="L10" s="287">
        <v>1902</v>
      </c>
      <c r="M10" s="287">
        <v>9397</v>
      </c>
      <c r="N10" s="287">
        <v>14698</v>
      </c>
      <c r="O10" s="287"/>
      <c r="P10" s="287"/>
      <c r="Q10" s="287"/>
      <c r="R10" s="287"/>
      <c r="S10" s="287">
        <v>874</v>
      </c>
      <c r="T10" s="287"/>
      <c r="U10" s="287"/>
      <c r="X10" s="496">
        <v>34931</v>
      </c>
    </row>
    <row r="11" spans="1:24" s="123" customFormat="1" ht="13.5" thickBot="1" x14ac:dyDescent="0.25">
      <c r="A11" s="286"/>
      <c r="B11" s="289" t="s">
        <v>399</v>
      </c>
      <c r="C11" s="288">
        <v>5.2510891997248337E-2</v>
      </c>
      <c r="D11" s="288">
        <v>0</v>
      </c>
      <c r="E11" s="288">
        <v>-0.10438908659549229</v>
      </c>
      <c r="F11" s="288">
        <v>0.14531250000000001</v>
      </c>
      <c r="G11" s="288">
        <v>0.13276231263383298</v>
      </c>
      <c r="H11" s="288">
        <v>-1.9320843091334895E-2</v>
      </c>
      <c r="I11" s="288">
        <v>-3.6146377893950712E-2</v>
      </c>
      <c r="J11" s="288">
        <v>0</v>
      </c>
      <c r="K11" s="789">
        <v>-0.2688750268875027</v>
      </c>
      <c r="L11" s="288">
        <v>7.4576271186440682E-2</v>
      </c>
      <c r="M11" s="288">
        <v>9.0518742021585233E-2</v>
      </c>
      <c r="N11" s="288">
        <v>-2.2479382814578345E-2</v>
      </c>
      <c r="O11" s="288">
        <v>0</v>
      </c>
      <c r="P11" s="288">
        <v>0</v>
      </c>
      <c r="Q11" s="288">
        <v>0</v>
      </c>
      <c r="R11" s="288">
        <v>0</v>
      </c>
      <c r="S11" s="288">
        <v>-3.6383682469680267E-2</v>
      </c>
      <c r="T11" s="288">
        <v>0</v>
      </c>
      <c r="U11" s="288">
        <v>0</v>
      </c>
      <c r="V11" s="123">
        <v>0</v>
      </c>
      <c r="W11" s="123">
        <v>0</v>
      </c>
      <c r="X11" s="123">
        <v>-3.0448540024425447E-2</v>
      </c>
    </row>
    <row r="12" spans="1:24" x14ac:dyDescent="0.2">
      <c r="A12" s="284" t="s">
        <v>1087</v>
      </c>
      <c r="B12" s="283" t="s">
        <v>395</v>
      </c>
      <c r="C12" s="287">
        <v>4938</v>
      </c>
      <c r="D12" s="287"/>
      <c r="E12" s="287">
        <v>614</v>
      </c>
      <c r="F12" s="287"/>
      <c r="G12" s="287"/>
      <c r="H12" s="287"/>
      <c r="I12" s="287">
        <v>5552</v>
      </c>
      <c r="J12" s="287"/>
      <c r="K12" s="287">
        <v>690</v>
      </c>
      <c r="L12" s="287">
        <v>1387</v>
      </c>
      <c r="M12" s="287"/>
      <c r="N12" s="287">
        <v>2077</v>
      </c>
      <c r="O12" s="287"/>
      <c r="P12" s="287"/>
      <c r="Q12" s="287"/>
      <c r="R12" s="287"/>
      <c r="S12" s="287"/>
      <c r="T12" s="287"/>
      <c r="U12" s="287"/>
      <c r="X12" s="496">
        <v>7629</v>
      </c>
    </row>
    <row r="13" spans="1:24" x14ac:dyDescent="0.2">
      <c r="A13" s="285"/>
      <c r="B13" s="283" t="s">
        <v>397</v>
      </c>
      <c r="C13" s="287">
        <v>4885</v>
      </c>
      <c r="D13" s="287"/>
      <c r="E13" s="287">
        <v>632</v>
      </c>
      <c r="F13" s="287"/>
      <c r="G13" s="287"/>
      <c r="H13" s="287"/>
      <c r="I13" s="287">
        <v>5517</v>
      </c>
      <c r="J13" s="287"/>
      <c r="K13" s="287">
        <v>638</v>
      </c>
      <c r="L13" s="287">
        <v>1209</v>
      </c>
      <c r="M13" s="287"/>
      <c r="N13" s="287">
        <v>1847</v>
      </c>
      <c r="O13" s="287"/>
      <c r="P13" s="287"/>
      <c r="Q13" s="287"/>
      <c r="R13" s="287"/>
      <c r="S13" s="287"/>
      <c r="T13" s="287"/>
      <c r="U13" s="287"/>
      <c r="X13" s="496">
        <v>7364</v>
      </c>
    </row>
    <row r="14" spans="1:24" s="123" customFormat="1" x14ac:dyDescent="0.2">
      <c r="A14" s="286"/>
      <c r="B14" s="289" t="s">
        <v>399</v>
      </c>
      <c r="C14" s="288">
        <v>-1.0733090319967598E-2</v>
      </c>
      <c r="D14" s="288">
        <v>0</v>
      </c>
      <c r="E14" s="288">
        <v>2.9315960912052116E-2</v>
      </c>
      <c r="F14" s="288">
        <v>0</v>
      </c>
      <c r="G14" s="288">
        <v>0</v>
      </c>
      <c r="H14" s="288">
        <v>0</v>
      </c>
      <c r="I14" s="288">
        <v>-6.3040345821325653E-3</v>
      </c>
      <c r="J14" s="288">
        <v>0</v>
      </c>
      <c r="K14" s="288">
        <v>-7.5362318840579715E-2</v>
      </c>
      <c r="L14" s="288">
        <v>-0.12833453496755587</v>
      </c>
      <c r="M14" s="288">
        <v>0</v>
      </c>
      <c r="N14" s="288">
        <v>-0.11073663938372653</v>
      </c>
      <c r="O14" s="288">
        <v>0</v>
      </c>
      <c r="P14" s="288">
        <v>0</v>
      </c>
      <c r="Q14" s="288">
        <v>0</v>
      </c>
      <c r="R14" s="288">
        <v>0</v>
      </c>
      <c r="S14" s="288">
        <v>0</v>
      </c>
      <c r="T14" s="288">
        <v>0</v>
      </c>
      <c r="U14" s="288">
        <v>0</v>
      </c>
      <c r="V14" s="123">
        <v>0</v>
      </c>
      <c r="W14" s="123">
        <v>0</v>
      </c>
      <c r="X14" s="123">
        <v>-3.4735876261633242E-2</v>
      </c>
    </row>
    <row r="15" spans="1:24" x14ac:dyDescent="0.2">
      <c r="A15" s="284" t="s">
        <v>1074</v>
      </c>
      <c r="B15" s="283" t="s">
        <v>395</v>
      </c>
      <c r="C15" s="287">
        <v>60894</v>
      </c>
      <c r="D15" s="287">
        <v>6264</v>
      </c>
      <c r="E15" s="287">
        <v>8601</v>
      </c>
      <c r="F15" s="287">
        <v>2320</v>
      </c>
      <c r="G15" s="287"/>
      <c r="H15" s="287">
        <v>167</v>
      </c>
      <c r="I15" s="287">
        <v>78246</v>
      </c>
      <c r="J15" s="287">
        <v>36135</v>
      </c>
      <c r="K15" s="287">
        <v>47585</v>
      </c>
      <c r="L15" s="287">
        <v>8473</v>
      </c>
      <c r="M15" s="287">
        <v>586</v>
      </c>
      <c r="N15" s="287">
        <v>92779</v>
      </c>
      <c r="O15" s="287"/>
      <c r="P15" s="287"/>
      <c r="Q15" s="287"/>
      <c r="R15" s="287"/>
      <c r="S15" s="287"/>
      <c r="T15" s="287"/>
      <c r="U15" s="287"/>
      <c r="X15" s="496">
        <v>171025</v>
      </c>
    </row>
    <row r="16" spans="1:24" ht="13.5" thickBot="1" x14ac:dyDescent="0.25">
      <c r="A16" s="285"/>
      <c r="B16" s="283" t="s">
        <v>397</v>
      </c>
      <c r="C16" s="287">
        <v>63429</v>
      </c>
      <c r="D16" s="287">
        <v>6528</v>
      </c>
      <c r="E16" s="287">
        <v>9025</v>
      </c>
      <c r="F16" s="287">
        <v>2494</v>
      </c>
      <c r="G16" s="287"/>
      <c r="H16" s="287">
        <v>179</v>
      </c>
      <c r="I16" s="287">
        <v>81655</v>
      </c>
      <c r="J16" s="287">
        <v>42524</v>
      </c>
      <c r="K16" s="287">
        <v>57259</v>
      </c>
      <c r="L16" s="287">
        <v>4860</v>
      </c>
      <c r="M16" s="287">
        <v>638</v>
      </c>
      <c r="N16" s="287">
        <v>105281</v>
      </c>
      <c r="O16" s="287"/>
      <c r="P16" s="287"/>
      <c r="Q16" s="287"/>
      <c r="R16" s="287"/>
      <c r="S16" s="287"/>
      <c r="T16" s="287"/>
      <c r="U16" s="287"/>
      <c r="X16" s="496">
        <v>186936</v>
      </c>
    </row>
    <row r="17" spans="1:24" s="123" customFormat="1" ht="13.5" thickBot="1" x14ac:dyDescent="0.25">
      <c r="A17" s="286"/>
      <c r="B17" s="289" t="s">
        <v>399</v>
      </c>
      <c r="C17" s="288">
        <v>4.1629717213518574E-2</v>
      </c>
      <c r="D17" s="288">
        <v>4.2145593869731802E-2</v>
      </c>
      <c r="E17" s="288">
        <v>4.9296593419369844E-2</v>
      </c>
      <c r="F17" s="288">
        <v>7.4999999999999997E-2</v>
      </c>
      <c r="G17" s="288">
        <v>0</v>
      </c>
      <c r="H17" s="288">
        <v>7.1856287425149698E-2</v>
      </c>
      <c r="I17" s="288">
        <v>4.3567722311683661E-2</v>
      </c>
      <c r="J17" s="789">
        <v>0.17680918776809187</v>
      </c>
      <c r="K17" s="789">
        <v>0.20329935904171484</v>
      </c>
      <c r="L17" s="789">
        <v>-0.42641331287619499</v>
      </c>
      <c r="M17" s="288">
        <v>8.8737201365187715E-2</v>
      </c>
      <c r="N17" s="288">
        <v>0.13475032065445844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123">
        <v>0</v>
      </c>
      <c r="W17" s="123">
        <v>0</v>
      </c>
      <c r="X17" s="123">
        <v>9.303318228329191E-2</v>
      </c>
    </row>
    <row r="18" spans="1:24" x14ac:dyDescent="0.2">
      <c r="A18" s="284" t="s">
        <v>548</v>
      </c>
      <c r="B18" s="283" t="s">
        <v>395</v>
      </c>
      <c r="C18" s="287">
        <v>16259</v>
      </c>
      <c r="D18" s="287">
        <v>5349</v>
      </c>
      <c r="E18" s="287">
        <v>8024</v>
      </c>
      <c r="F18" s="287">
        <v>11830</v>
      </c>
      <c r="G18" s="287">
        <v>2647</v>
      </c>
      <c r="H18" s="287">
        <v>1031</v>
      </c>
      <c r="I18" s="287">
        <v>45140</v>
      </c>
      <c r="J18" s="287">
        <v>2059</v>
      </c>
      <c r="K18" s="287">
        <v>1818</v>
      </c>
      <c r="L18" s="287">
        <v>3370</v>
      </c>
      <c r="M18" s="287">
        <v>355</v>
      </c>
      <c r="N18" s="287">
        <v>7602</v>
      </c>
      <c r="O18" s="287">
        <v>48978</v>
      </c>
      <c r="P18" s="287"/>
      <c r="Q18" s="287"/>
      <c r="R18" s="287">
        <v>48978</v>
      </c>
      <c r="S18" s="287">
        <v>1785</v>
      </c>
      <c r="T18" s="287"/>
      <c r="U18" s="287"/>
      <c r="X18" s="496">
        <v>103505</v>
      </c>
    </row>
    <row r="19" spans="1:24" ht="13.5" thickBot="1" x14ac:dyDescent="0.25">
      <c r="A19" s="285"/>
      <c r="B19" s="283" t="s">
        <v>397</v>
      </c>
      <c r="C19" s="287">
        <v>16724</v>
      </c>
      <c r="D19" s="287">
        <v>5277</v>
      </c>
      <c r="E19" s="287">
        <v>8441</v>
      </c>
      <c r="F19" s="287">
        <v>12023</v>
      </c>
      <c r="G19" s="287">
        <v>2840</v>
      </c>
      <c r="H19" s="287">
        <v>1214</v>
      </c>
      <c r="I19" s="287">
        <v>46519</v>
      </c>
      <c r="J19" s="287">
        <v>2245</v>
      </c>
      <c r="K19" s="287">
        <v>2143</v>
      </c>
      <c r="L19" s="287">
        <v>3459</v>
      </c>
      <c r="M19" s="287">
        <v>343</v>
      </c>
      <c r="N19" s="287">
        <v>8190</v>
      </c>
      <c r="O19" s="287">
        <v>39824</v>
      </c>
      <c r="P19" s="287"/>
      <c r="Q19" s="287"/>
      <c r="R19" s="287">
        <v>39824</v>
      </c>
      <c r="S19" s="287">
        <v>1802</v>
      </c>
      <c r="T19" s="287"/>
      <c r="U19" s="287"/>
      <c r="X19" s="496">
        <v>96335</v>
      </c>
    </row>
    <row r="20" spans="1:24" s="123" customFormat="1" ht="13.5" thickBot="1" x14ac:dyDescent="0.25">
      <c r="A20" s="286"/>
      <c r="B20" s="289" t="s">
        <v>399</v>
      </c>
      <c r="C20" s="288">
        <v>2.8599544867458023E-2</v>
      </c>
      <c r="D20" s="288">
        <v>-1.346045989904655E-2</v>
      </c>
      <c r="E20" s="288">
        <v>5.1969092721834496E-2</v>
      </c>
      <c r="F20" s="288">
        <v>1.6314454775993237E-2</v>
      </c>
      <c r="G20" s="288">
        <v>7.2912731394030983E-2</v>
      </c>
      <c r="H20" s="288">
        <v>0.17749757516973813</v>
      </c>
      <c r="I20" s="288">
        <v>3.0549401860877269E-2</v>
      </c>
      <c r="J20" s="288">
        <v>9.033511413307431E-2</v>
      </c>
      <c r="K20" s="288">
        <v>0.17876787678767878</v>
      </c>
      <c r="L20" s="288">
        <v>2.6409495548961423E-2</v>
      </c>
      <c r="M20" s="288">
        <v>-3.3802816901408447E-2</v>
      </c>
      <c r="N20" s="288">
        <v>7.7348066298342538E-2</v>
      </c>
      <c r="O20" s="789">
        <v>-0.18690024092449672</v>
      </c>
      <c r="P20" s="288">
        <v>0</v>
      </c>
      <c r="Q20" s="288">
        <v>0</v>
      </c>
      <c r="R20" s="288">
        <v>-0.18690024092449672</v>
      </c>
      <c r="S20" s="288">
        <v>9.5238095238095247E-3</v>
      </c>
      <c r="T20" s="288">
        <v>0</v>
      </c>
      <c r="U20" s="288">
        <v>0</v>
      </c>
      <c r="V20" s="123">
        <v>0</v>
      </c>
      <c r="W20" s="123">
        <v>0</v>
      </c>
      <c r="X20" s="123">
        <v>-6.9272015844645179E-2</v>
      </c>
    </row>
    <row r="21" spans="1:24" x14ac:dyDescent="0.2">
      <c r="A21" s="284" t="s">
        <v>574</v>
      </c>
      <c r="B21" s="283" t="s">
        <v>395</v>
      </c>
      <c r="C21" s="287">
        <v>10521</v>
      </c>
      <c r="D21" s="287"/>
      <c r="E21" s="287">
        <v>10884</v>
      </c>
      <c r="F21" s="287">
        <v>3134</v>
      </c>
      <c r="G21" s="287"/>
      <c r="H21" s="287"/>
      <c r="I21" s="287">
        <v>24539</v>
      </c>
      <c r="J21" s="287"/>
      <c r="K21" s="287">
        <v>7167</v>
      </c>
      <c r="L21" s="287">
        <v>16936</v>
      </c>
      <c r="M21" s="287">
        <v>613</v>
      </c>
      <c r="N21" s="287">
        <v>24716</v>
      </c>
      <c r="O21" s="287">
        <v>3097</v>
      </c>
      <c r="P21" s="287"/>
      <c r="Q21" s="287"/>
      <c r="R21" s="287">
        <v>3097</v>
      </c>
      <c r="S21" s="287"/>
      <c r="T21" s="287"/>
      <c r="U21" s="287"/>
      <c r="X21" s="496">
        <v>52352</v>
      </c>
    </row>
    <row r="22" spans="1:24" x14ac:dyDescent="0.2">
      <c r="A22" s="285"/>
      <c r="B22" s="283" t="s">
        <v>397</v>
      </c>
      <c r="C22" s="287">
        <v>10887</v>
      </c>
      <c r="D22" s="287"/>
      <c r="E22" s="287">
        <v>11262</v>
      </c>
      <c r="F22" s="287">
        <v>3240</v>
      </c>
      <c r="G22" s="287"/>
      <c r="H22" s="287"/>
      <c r="I22" s="287">
        <v>25389</v>
      </c>
      <c r="J22" s="287"/>
      <c r="K22" s="287">
        <v>6669</v>
      </c>
      <c r="L22" s="287">
        <v>18064</v>
      </c>
      <c r="M22" s="287">
        <v>522</v>
      </c>
      <c r="N22" s="287">
        <v>25255</v>
      </c>
      <c r="O22" s="287">
        <v>3289</v>
      </c>
      <c r="P22" s="287"/>
      <c r="Q22" s="287"/>
      <c r="R22" s="287">
        <v>3289</v>
      </c>
      <c r="S22" s="287"/>
      <c r="T22" s="287"/>
      <c r="U22" s="287"/>
      <c r="X22" s="496">
        <v>53933</v>
      </c>
    </row>
    <row r="23" spans="1:24" s="123" customFormat="1" x14ac:dyDescent="0.2">
      <c r="A23" s="286"/>
      <c r="B23" s="289" t="s">
        <v>399</v>
      </c>
      <c r="C23" s="288">
        <v>3.4787567721699456E-2</v>
      </c>
      <c r="D23" s="288">
        <v>0</v>
      </c>
      <c r="E23" s="288">
        <v>3.4729878721058434E-2</v>
      </c>
      <c r="F23" s="288">
        <v>3.3822590938098279E-2</v>
      </c>
      <c r="G23" s="288">
        <v>0</v>
      </c>
      <c r="H23" s="288">
        <v>0</v>
      </c>
      <c r="I23" s="288">
        <v>3.4638738334895475E-2</v>
      </c>
      <c r="J23" s="288">
        <v>0</v>
      </c>
      <c r="K23" s="288">
        <v>-6.9485140226035996E-2</v>
      </c>
      <c r="L23" s="288">
        <v>6.6603684459140292E-2</v>
      </c>
      <c r="M23" s="288">
        <v>-0.14845024469820556</v>
      </c>
      <c r="N23" s="288">
        <v>2.1807735879592168E-2</v>
      </c>
      <c r="O23" s="288">
        <v>6.1995479496286726E-2</v>
      </c>
      <c r="P23" s="288">
        <v>0</v>
      </c>
      <c r="Q23" s="288">
        <v>0</v>
      </c>
      <c r="R23" s="288">
        <v>6.1995479496286726E-2</v>
      </c>
      <c r="S23" s="288">
        <v>0</v>
      </c>
      <c r="T23" s="288">
        <v>0</v>
      </c>
      <c r="U23" s="288">
        <v>0</v>
      </c>
      <c r="V23" s="123">
        <v>0</v>
      </c>
      <c r="W23" s="123">
        <v>0</v>
      </c>
      <c r="X23" s="123">
        <v>3.0199419315403424E-2</v>
      </c>
    </row>
    <row r="24" spans="1:24" x14ac:dyDescent="0.2">
      <c r="A24" s="284" t="s">
        <v>604</v>
      </c>
      <c r="B24" s="283" t="s">
        <v>395</v>
      </c>
      <c r="C24" s="287">
        <v>5806</v>
      </c>
      <c r="D24" s="287">
        <v>6582</v>
      </c>
      <c r="E24" s="287">
        <v>5364</v>
      </c>
      <c r="F24" s="287">
        <v>6927</v>
      </c>
      <c r="G24" s="287"/>
      <c r="H24" s="287">
        <v>318</v>
      </c>
      <c r="I24" s="287">
        <v>24997</v>
      </c>
      <c r="J24" s="287"/>
      <c r="K24" s="287">
        <v>2919</v>
      </c>
      <c r="L24" s="287">
        <v>779</v>
      </c>
      <c r="M24" s="287">
        <v>1115</v>
      </c>
      <c r="N24" s="287">
        <v>4813</v>
      </c>
      <c r="O24" s="287">
        <v>7262</v>
      </c>
      <c r="P24" s="287"/>
      <c r="Q24" s="287"/>
      <c r="R24" s="287">
        <v>7262</v>
      </c>
      <c r="S24" s="287">
        <v>914</v>
      </c>
      <c r="T24" s="287"/>
      <c r="U24" s="287"/>
      <c r="X24" s="496">
        <v>37986</v>
      </c>
    </row>
    <row r="25" spans="1:24" ht="13.5" thickBot="1" x14ac:dyDescent="0.25">
      <c r="A25" s="285"/>
      <c r="B25" s="283" t="s">
        <v>397</v>
      </c>
      <c r="C25" s="287">
        <v>6181</v>
      </c>
      <c r="D25" s="287">
        <v>6622</v>
      </c>
      <c r="E25" s="287">
        <v>5283</v>
      </c>
      <c r="F25" s="287">
        <v>7096</v>
      </c>
      <c r="G25" s="287"/>
      <c r="H25" s="287">
        <v>303</v>
      </c>
      <c r="I25" s="287">
        <v>25485</v>
      </c>
      <c r="J25" s="287"/>
      <c r="K25" s="287">
        <v>3695</v>
      </c>
      <c r="L25" s="287">
        <v>868</v>
      </c>
      <c r="M25" s="287">
        <v>1415</v>
      </c>
      <c r="N25" s="287">
        <v>5978</v>
      </c>
      <c r="O25" s="287">
        <v>7586</v>
      </c>
      <c r="P25" s="287"/>
      <c r="Q25" s="287"/>
      <c r="R25" s="287">
        <v>7586</v>
      </c>
      <c r="S25" s="287">
        <v>1009</v>
      </c>
      <c r="T25" s="287"/>
      <c r="U25" s="287"/>
      <c r="X25" s="496">
        <v>40058</v>
      </c>
    </row>
    <row r="26" spans="1:24" s="123" customFormat="1" ht="13.5" thickBot="1" x14ac:dyDescent="0.25">
      <c r="A26" s="286"/>
      <c r="B26" s="289" t="s">
        <v>399</v>
      </c>
      <c r="C26" s="288">
        <v>6.4588356872201172E-2</v>
      </c>
      <c r="D26" s="288">
        <v>6.077180188392586E-3</v>
      </c>
      <c r="E26" s="288">
        <v>-1.5100671140939598E-2</v>
      </c>
      <c r="F26" s="288">
        <v>2.4397285982387759E-2</v>
      </c>
      <c r="G26" s="288">
        <v>0</v>
      </c>
      <c r="H26" s="288">
        <v>-4.716981132075472E-2</v>
      </c>
      <c r="I26" s="288">
        <v>1.9522342681121733E-2</v>
      </c>
      <c r="J26" s="288">
        <v>0</v>
      </c>
      <c r="K26" s="789">
        <v>0.26584446728331618</v>
      </c>
      <c r="L26" s="288">
        <v>0.11424903722721438</v>
      </c>
      <c r="M26" s="789">
        <v>0.26905829596412556</v>
      </c>
      <c r="N26" s="288">
        <v>0.24205277373779346</v>
      </c>
      <c r="O26" s="288">
        <v>4.4615808317267969E-2</v>
      </c>
      <c r="P26" s="288">
        <v>0</v>
      </c>
      <c r="Q26" s="288">
        <v>0</v>
      </c>
      <c r="R26" s="288">
        <v>4.4615808317267969E-2</v>
      </c>
      <c r="S26" s="288">
        <v>0.10393873085339168</v>
      </c>
      <c r="T26" s="288">
        <v>0</v>
      </c>
      <c r="U26" s="288">
        <v>0</v>
      </c>
      <c r="V26" s="123">
        <v>0</v>
      </c>
      <c r="W26" s="123">
        <v>0</v>
      </c>
      <c r="X26" s="123">
        <v>5.4546411835939557E-2</v>
      </c>
    </row>
    <row r="27" spans="1:24" x14ac:dyDescent="0.2">
      <c r="A27" s="284" t="s">
        <v>1094</v>
      </c>
      <c r="B27" s="283" t="s">
        <v>395</v>
      </c>
      <c r="C27" s="287">
        <v>10091</v>
      </c>
      <c r="D27" s="287">
        <v>3870</v>
      </c>
      <c r="E27" s="287">
        <v>5167</v>
      </c>
      <c r="F27" s="287">
        <v>6075</v>
      </c>
      <c r="G27" s="287">
        <v>457</v>
      </c>
      <c r="H27" s="287">
        <v>443</v>
      </c>
      <c r="I27" s="287">
        <v>26103</v>
      </c>
      <c r="J27" s="287"/>
      <c r="K27" s="287">
        <v>10234</v>
      </c>
      <c r="L27" s="287">
        <v>5032</v>
      </c>
      <c r="M27" s="287">
        <v>708</v>
      </c>
      <c r="N27" s="287">
        <v>15974</v>
      </c>
      <c r="O27" s="287"/>
      <c r="P27" s="287"/>
      <c r="Q27" s="287"/>
      <c r="R27" s="287"/>
      <c r="S27" s="287">
        <v>9830</v>
      </c>
      <c r="T27" s="287"/>
      <c r="U27" s="287"/>
      <c r="X27" s="496">
        <v>51907</v>
      </c>
    </row>
    <row r="28" spans="1:24" x14ac:dyDescent="0.2">
      <c r="A28" s="285"/>
      <c r="B28" s="283" t="s">
        <v>397</v>
      </c>
      <c r="C28" s="287">
        <v>10286</v>
      </c>
      <c r="D28" s="287">
        <v>4285</v>
      </c>
      <c r="E28" s="287">
        <v>5374</v>
      </c>
      <c r="F28" s="287">
        <v>6387</v>
      </c>
      <c r="G28" s="287">
        <v>518</v>
      </c>
      <c r="H28" s="287">
        <v>470</v>
      </c>
      <c r="I28" s="287">
        <v>27320</v>
      </c>
      <c r="J28" s="287"/>
      <c r="K28" s="287">
        <v>11328</v>
      </c>
      <c r="L28" s="287">
        <v>5305</v>
      </c>
      <c r="M28" s="287">
        <v>755</v>
      </c>
      <c r="N28" s="287">
        <v>17388</v>
      </c>
      <c r="O28" s="287"/>
      <c r="P28" s="287"/>
      <c r="Q28" s="287"/>
      <c r="R28" s="287"/>
      <c r="S28" s="287">
        <v>11062</v>
      </c>
      <c r="T28" s="287"/>
      <c r="U28" s="287"/>
      <c r="X28" s="496">
        <v>55770</v>
      </c>
    </row>
    <row r="29" spans="1:24" s="123" customFormat="1" x14ac:dyDescent="0.2">
      <c r="A29" s="286"/>
      <c r="B29" s="289" t="s">
        <v>399</v>
      </c>
      <c r="C29" s="288">
        <v>1.9324150232880786E-2</v>
      </c>
      <c r="D29" s="288">
        <v>0.10723514211886305</v>
      </c>
      <c r="E29" s="288">
        <v>4.0061931488291076E-2</v>
      </c>
      <c r="F29" s="288">
        <v>5.1358024691358022E-2</v>
      </c>
      <c r="G29" s="288">
        <v>0.13347921225382933</v>
      </c>
      <c r="H29" s="288">
        <v>6.0948081264108354E-2</v>
      </c>
      <c r="I29" s="288">
        <v>4.6622993525648394E-2</v>
      </c>
      <c r="J29" s="288">
        <v>0</v>
      </c>
      <c r="K29" s="288">
        <v>0.10689857338284151</v>
      </c>
      <c r="L29" s="288">
        <v>5.4252782193958668E-2</v>
      </c>
      <c r="M29" s="288">
        <v>6.6384180790960451E-2</v>
      </c>
      <c r="N29" s="288">
        <v>8.851884312007012E-2</v>
      </c>
      <c r="O29" s="288">
        <v>0</v>
      </c>
      <c r="P29" s="288">
        <v>0</v>
      </c>
      <c r="Q29" s="288">
        <v>0</v>
      </c>
      <c r="R29" s="288">
        <v>0</v>
      </c>
      <c r="S29" s="288">
        <v>0.12533062054933877</v>
      </c>
      <c r="T29" s="288">
        <v>0</v>
      </c>
      <c r="U29" s="288">
        <v>0</v>
      </c>
      <c r="V29" s="123">
        <v>0</v>
      </c>
      <c r="W29" s="123">
        <v>0</v>
      </c>
      <c r="X29" s="123">
        <v>7.4421561639085282E-2</v>
      </c>
    </row>
    <row r="30" spans="1:24" x14ac:dyDescent="0.2">
      <c r="A30" s="284" t="s">
        <v>693</v>
      </c>
      <c r="B30" s="283" t="s">
        <v>395</v>
      </c>
      <c r="C30" s="287">
        <v>7126</v>
      </c>
      <c r="D30" s="287">
        <v>5407</v>
      </c>
      <c r="E30" s="287"/>
      <c r="F30" s="287">
        <v>1921</v>
      </c>
      <c r="G30" s="287">
        <v>607</v>
      </c>
      <c r="H30" s="287"/>
      <c r="I30" s="287">
        <v>15061</v>
      </c>
      <c r="J30" s="287"/>
      <c r="K30" s="287">
        <v>7085</v>
      </c>
      <c r="L30" s="287">
        <v>6573</v>
      </c>
      <c r="M30" s="287">
        <v>754</v>
      </c>
      <c r="N30" s="287">
        <v>14412</v>
      </c>
      <c r="O30" s="287"/>
      <c r="P30" s="287"/>
      <c r="Q30" s="287"/>
      <c r="R30" s="287"/>
      <c r="S30" s="287">
        <v>638</v>
      </c>
      <c r="T30" s="287"/>
      <c r="U30" s="287"/>
      <c r="X30" s="496">
        <v>30111</v>
      </c>
    </row>
    <row r="31" spans="1:24" ht="13.5" thickBot="1" x14ac:dyDescent="0.25">
      <c r="A31" s="285"/>
      <c r="B31" s="283" t="s">
        <v>397</v>
      </c>
      <c r="C31" s="287">
        <v>7493</v>
      </c>
      <c r="D31" s="287">
        <v>5257</v>
      </c>
      <c r="E31" s="287"/>
      <c r="F31" s="287">
        <v>1816</v>
      </c>
      <c r="G31" s="287">
        <v>710</v>
      </c>
      <c r="H31" s="287"/>
      <c r="I31" s="287">
        <v>15276</v>
      </c>
      <c r="J31" s="287"/>
      <c r="K31" s="287">
        <v>6250</v>
      </c>
      <c r="L31" s="287">
        <v>7104</v>
      </c>
      <c r="M31" s="287">
        <v>917</v>
      </c>
      <c r="N31" s="287">
        <v>14271</v>
      </c>
      <c r="O31" s="287"/>
      <c r="P31" s="287"/>
      <c r="Q31" s="287"/>
      <c r="R31" s="287"/>
      <c r="S31" s="287">
        <v>603</v>
      </c>
      <c r="T31" s="287"/>
      <c r="U31" s="287"/>
      <c r="X31" s="496">
        <v>30150</v>
      </c>
    </row>
    <row r="32" spans="1:24" s="123" customFormat="1" ht="13.5" thickBot="1" x14ac:dyDescent="0.25">
      <c r="A32" s="286"/>
      <c r="B32" s="289" t="s">
        <v>399</v>
      </c>
      <c r="C32" s="288">
        <v>5.1501543642997472E-2</v>
      </c>
      <c r="D32" s="288">
        <v>-2.7741816164231551E-2</v>
      </c>
      <c r="E32" s="288">
        <v>0</v>
      </c>
      <c r="F32" s="288">
        <v>-5.4659031754294637E-2</v>
      </c>
      <c r="G32" s="288">
        <v>0.16968698517298189</v>
      </c>
      <c r="H32" s="288">
        <v>0</v>
      </c>
      <c r="I32" s="288">
        <v>1.4275280525861496E-2</v>
      </c>
      <c r="J32" s="288">
        <v>0</v>
      </c>
      <c r="K32" s="288">
        <v>-0.11785462244177841</v>
      </c>
      <c r="L32" s="288">
        <v>8.0785029666818803E-2</v>
      </c>
      <c r="M32" s="789">
        <v>0.21618037135278514</v>
      </c>
      <c r="N32" s="288">
        <v>-9.7835137385512069E-3</v>
      </c>
      <c r="O32" s="288">
        <v>0</v>
      </c>
      <c r="P32" s="288">
        <v>0</v>
      </c>
      <c r="Q32" s="288">
        <v>0</v>
      </c>
      <c r="R32" s="288">
        <v>0</v>
      </c>
      <c r="S32" s="789">
        <v>-5.4858934169278999E-2</v>
      </c>
      <c r="T32" s="288">
        <v>0</v>
      </c>
      <c r="U32" s="288">
        <v>0</v>
      </c>
      <c r="V32" s="123">
        <v>0</v>
      </c>
      <c r="W32" s="123">
        <v>0</v>
      </c>
      <c r="X32" s="123">
        <v>1.2952077313938429E-3</v>
      </c>
    </row>
    <row r="33" spans="1:24" x14ac:dyDescent="0.2">
      <c r="A33" s="284" t="s">
        <v>264</v>
      </c>
      <c r="B33" s="283" t="s">
        <v>395</v>
      </c>
      <c r="C33" s="287">
        <v>19517</v>
      </c>
      <c r="D33" s="287">
        <v>11158</v>
      </c>
      <c r="E33" s="287">
        <v>12600</v>
      </c>
      <c r="F33" s="287">
        <v>1025</v>
      </c>
      <c r="G33" s="287">
        <v>2471</v>
      </c>
      <c r="H33" s="287">
        <v>1201</v>
      </c>
      <c r="I33" s="287">
        <v>47972</v>
      </c>
      <c r="J33" s="287"/>
      <c r="K33" s="287">
        <v>14025</v>
      </c>
      <c r="L33" s="287">
        <v>15574</v>
      </c>
      <c r="M33" s="287">
        <v>10307</v>
      </c>
      <c r="N33" s="287">
        <v>39906</v>
      </c>
      <c r="O33" s="287"/>
      <c r="P33" s="287"/>
      <c r="Q33" s="287"/>
      <c r="R33" s="287"/>
      <c r="S33" s="287">
        <v>212</v>
      </c>
      <c r="T33" s="287"/>
      <c r="U33" s="287"/>
      <c r="X33" s="496">
        <v>88090</v>
      </c>
    </row>
    <row r="34" spans="1:24" x14ac:dyDescent="0.2">
      <c r="A34" s="285"/>
      <c r="B34" s="283" t="s">
        <v>397</v>
      </c>
      <c r="C34" s="287">
        <v>20187</v>
      </c>
      <c r="D34" s="287">
        <v>11607</v>
      </c>
      <c r="E34" s="287">
        <v>13073</v>
      </c>
      <c r="F34" s="287">
        <v>1151</v>
      </c>
      <c r="G34" s="287">
        <v>2591</v>
      </c>
      <c r="H34" s="287">
        <v>1152</v>
      </c>
      <c r="I34" s="287">
        <v>49761</v>
      </c>
      <c r="J34" s="287"/>
      <c r="K34" s="287">
        <v>13931</v>
      </c>
      <c r="L34" s="287">
        <v>15834</v>
      </c>
      <c r="M34" s="287">
        <v>8930</v>
      </c>
      <c r="N34" s="287">
        <v>38695</v>
      </c>
      <c r="O34" s="287"/>
      <c r="P34" s="287"/>
      <c r="Q34" s="287"/>
      <c r="R34" s="287"/>
      <c r="S34" s="287">
        <v>195</v>
      </c>
      <c r="T34" s="287"/>
      <c r="U34" s="287"/>
      <c r="X34" s="496">
        <v>88651</v>
      </c>
    </row>
    <row r="35" spans="1:24" s="123" customFormat="1" x14ac:dyDescent="0.2">
      <c r="A35" s="286"/>
      <c r="B35" s="289" t="s">
        <v>399</v>
      </c>
      <c r="C35" s="288">
        <v>3.4329046472306196E-2</v>
      </c>
      <c r="D35" s="288">
        <v>4.0240186413335724E-2</v>
      </c>
      <c r="E35" s="288">
        <v>3.753968253968254E-2</v>
      </c>
      <c r="F35" s="288">
        <v>0.12292682926829268</v>
      </c>
      <c r="G35" s="288">
        <v>4.856333468231485E-2</v>
      </c>
      <c r="H35" s="288">
        <v>-4.0799333888426312E-2</v>
      </c>
      <c r="I35" s="288">
        <v>3.7292587342616527E-2</v>
      </c>
      <c r="J35" s="288">
        <v>0</v>
      </c>
      <c r="K35" s="288">
        <v>-6.7023172905525848E-3</v>
      </c>
      <c r="L35" s="288">
        <v>1.6694490818030049E-2</v>
      </c>
      <c r="M35" s="288">
        <v>-0.13359852527408558</v>
      </c>
      <c r="N35" s="288">
        <v>-3.0346313837518169E-2</v>
      </c>
      <c r="O35" s="288">
        <v>0</v>
      </c>
      <c r="P35" s="288">
        <v>0</v>
      </c>
      <c r="Q35" s="288">
        <v>0</v>
      </c>
      <c r="R35" s="288">
        <v>0</v>
      </c>
      <c r="S35" s="288">
        <v>-8.0188679245283015E-2</v>
      </c>
      <c r="T35" s="288">
        <v>0</v>
      </c>
      <c r="U35" s="288">
        <v>0</v>
      </c>
      <c r="V35" s="123">
        <v>0</v>
      </c>
      <c r="W35" s="123">
        <v>0</v>
      </c>
      <c r="X35" s="123">
        <v>6.3684867748893181E-3</v>
      </c>
    </row>
    <row r="36" spans="1:24" x14ac:dyDescent="0.2">
      <c r="A36" s="284" t="s">
        <v>644</v>
      </c>
      <c r="B36" s="283" t="s">
        <v>395</v>
      </c>
      <c r="C36" s="287">
        <v>12486</v>
      </c>
      <c r="D36" s="287"/>
      <c r="E36" s="287">
        <v>4650</v>
      </c>
      <c r="F36" s="287">
        <v>757</v>
      </c>
      <c r="G36" s="287">
        <v>3543</v>
      </c>
      <c r="H36" s="287">
        <v>1025</v>
      </c>
      <c r="I36" s="287">
        <v>22461</v>
      </c>
      <c r="J36" s="287">
        <v>1095</v>
      </c>
      <c r="K36" s="287">
        <v>4232</v>
      </c>
      <c r="L36" s="287">
        <v>1267</v>
      </c>
      <c r="M36" s="287">
        <v>2228</v>
      </c>
      <c r="N36" s="287">
        <v>8822</v>
      </c>
      <c r="O36" s="287">
        <v>1719</v>
      </c>
      <c r="P36" s="287">
        <v>9817</v>
      </c>
      <c r="Q36" s="287"/>
      <c r="R36" s="287">
        <v>11536</v>
      </c>
      <c r="S36" s="287"/>
      <c r="T36" s="287"/>
      <c r="U36" s="287"/>
      <c r="X36" s="496">
        <v>42819</v>
      </c>
    </row>
    <row r="37" spans="1:24" ht="13.5" thickBot="1" x14ac:dyDescent="0.25">
      <c r="A37" s="285"/>
      <c r="B37" s="283" t="s">
        <v>397</v>
      </c>
      <c r="C37" s="287">
        <v>12694</v>
      </c>
      <c r="D37" s="287"/>
      <c r="E37" s="287">
        <v>4912</v>
      </c>
      <c r="F37" s="287">
        <v>772</v>
      </c>
      <c r="G37" s="287">
        <v>3323</v>
      </c>
      <c r="H37" s="287">
        <v>989</v>
      </c>
      <c r="I37" s="287">
        <v>22690</v>
      </c>
      <c r="J37" s="287">
        <v>1392</v>
      </c>
      <c r="K37" s="287">
        <v>5050</v>
      </c>
      <c r="L37" s="287">
        <v>1259</v>
      </c>
      <c r="M37" s="287">
        <v>2314</v>
      </c>
      <c r="N37" s="287">
        <v>10015</v>
      </c>
      <c r="O37" s="287">
        <v>1691</v>
      </c>
      <c r="P37" s="287">
        <v>10375</v>
      </c>
      <c r="Q37" s="287"/>
      <c r="R37" s="287">
        <v>12066</v>
      </c>
      <c r="S37" s="287"/>
      <c r="T37" s="287"/>
      <c r="U37" s="287"/>
      <c r="X37" s="496">
        <v>44771</v>
      </c>
    </row>
    <row r="38" spans="1:24" s="123" customFormat="1" ht="13.5" thickBot="1" x14ac:dyDescent="0.25">
      <c r="A38" s="286"/>
      <c r="B38" s="289" t="s">
        <v>399</v>
      </c>
      <c r="C38" s="288">
        <v>1.6658657696620213E-2</v>
      </c>
      <c r="D38" s="288">
        <v>0</v>
      </c>
      <c r="E38" s="288">
        <v>5.6344086021505375E-2</v>
      </c>
      <c r="F38" s="288">
        <v>1.9815059445178335E-2</v>
      </c>
      <c r="G38" s="288">
        <v>-6.2094270392322889E-2</v>
      </c>
      <c r="H38" s="288">
        <v>-3.5121951219512199E-2</v>
      </c>
      <c r="I38" s="288">
        <v>1.0195449890922043E-2</v>
      </c>
      <c r="J38" s="789">
        <v>0.27123287671232876</v>
      </c>
      <c r="K38" s="789">
        <v>0.19328922495274103</v>
      </c>
      <c r="L38" s="288">
        <v>-6.314127861089187E-3</v>
      </c>
      <c r="M38" s="288">
        <v>3.859964093357271E-2</v>
      </c>
      <c r="N38" s="288">
        <v>0.13523010655180231</v>
      </c>
      <c r="O38" s="288">
        <v>-1.6288539848749273E-2</v>
      </c>
      <c r="P38" s="288">
        <v>5.684017520627483E-2</v>
      </c>
      <c r="Q38" s="288">
        <v>0</v>
      </c>
      <c r="R38" s="288">
        <v>4.5943134535367545E-2</v>
      </c>
      <c r="S38" s="288">
        <v>0</v>
      </c>
      <c r="T38" s="288">
        <v>0</v>
      </c>
      <c r="U38" s="288">
        <v>0</v>
      </c>
      <c r="V38" s="123">
        <v>0</v>
      </c>
      <c r="W38" s="123">
        <v>0</v>
      </c>
      <c r="X38" s="123">
        <v>4.5587239309652257E-2</v>
      </c>
    </row>
    <row r="39" spans="1:24" x14ac:dyDescent="0.2">
      <c r="A39" s="284" t="s">
        <v>1125</v>
      </c>
      <c r="B39" s="283" t="s">
        <v>395</v>
      </c>
      <c r="C39" s="287">
        <v>11559</v>
      </c>
      <c r="D39" s="287"/>
      <c r="E39" s="287">
        <v>3502</v>
      </c>
      <c r="F39" s="287">
        <v>831</v>
      </c>
      <c r="G39" s="287">
        <v>2845</v>
      </c>
      <c r="H39" s="287">
        <v>2258</v>
      </c>
      <c r="I39" s="287">
        <v>20995</v>
      </c>
      <c r="J39" s="287"/>
      <c r="K39" s="287">
        <v>11564</v>
      </c>
      <c r="L39" s="287">
        <v>3708</v>
      </c>
      <c r="M39" s="287">
        <v>1481</v>
      </c>
      <c r="N39" s="287">
        <v>16753</v>
      </c>
      <c r="O39" s="287"/>
      <c r="P39" s="287"/>
      <c r="Q39" s="287"/>
      <c r="R39" s="287"/>
      <c r="S39" s="287">
        <v>797</v>
      </c>
      <c r="T39" s="287"/>
      <c r="U39" s="287"/>
      <c r="X39" s="496">
        <v>38545</v>
      </c>
    </row>
    <row r="40" spans="1:24" x14ac:dyDescent="0.2">
      <c r="A40" s="285"/>
      <c r="B40" s="283" t="s">
        <v>397</v>
      </c>
      <c r="C40" s="287">
        <v>11893</v>
      </c>
      <c r="D40" s="287"/>
      <c r="E40" s="287">
        <v>3702</v>
      </c>
      <c r="F40" s="287">
        <v>790</v>
      </c>
      <c r="G40" s="287">
        <v>2958</v>
      </c>
      <c r="H40" s="287">
        <v>2376</v>
      </c>
      <c r="I40" s="287">
        <v>21719</v>
      </c>
      <c r="J40" s="287"/>
      <c r="K40" s="287">
        <v>12421</v>
      </c>
      <c r="L40" s="287">
        <v>3741</v>
      </c>
      <c r="M40" s="287">
        <v>1695</v>
      </c>
      <c r="N40" s="287">
        <v>17857</v>
      </c>
      <c r="O40" s="287"/>
      <c r="P40" s="287"/>
      <c r="Q40" s="287"/>
      <c r="R40" s="287"/>
      <c r="S40" s="287">
        <v>793</v>
      </c>
      <c r="T40" s="287"/>
      <c r="U40" s="287"/>
      <c r="X40" s="496">
        <v>40369</v>
      </c>
    </row>
    <row r="41" spans="1:24" s="123" customFormat="1" x14ac:dyDescent="0.2">
      <c r="A41" s="286"/>
      <c r="B41" s="289" t="s">
        <v>399</v>
      </c>
      <c r="C41" s="288">
        <v>2.8895233151656718E-2</v>
      </c>
      <c r="D41" s="288">
        <v>0</v>
      </c>
      <c r="E41" s="288">
        <v>5.7110222729868647E-2</v>
      </c>
      <c r="F41" s="288">
        <v>-4.9338146811071001E-2</v>
      </c>
      <c r="G41" s="288">
        <v>3.9718804920913883E-2</v>
      </c>
      <c r="H41" s="288">
        <v>5.2258635961027457E-2</v>
      </c>
      <c r="I41" s="288">
        <v>3.448440104786854E-2</v>
      </c>
      <c r="J41" s="288">
        <v>0</v>
      </c>
      <c r="K41" s="288">
        <v>7.4109304738844695E-2</v>
      </c>
      <c r="L41" s="288">
        <v>8.8996763754045308E-3</v>
      </c>
      <c r="M41" s="288">
        <v>0.14449696151249156</v>
      </c>
      <c r="N41" s="288">
        <v>6.5898645018802604E-2</v>
      </c>
      <c r="O41" s="288">
        <v>0</v>
      </c>
      <c r="P41" s="288">
        <v>0</v>
      </c>
      <c r="Q41" s="288">
        <v>0</v>
      </c>
      <c r="R41" s="288">
        <v>0</v>
      </c>
      <c r="S41" s="288">
        <v>-5.018820577164366E-3</v>
      </c>
      <c r="T41" s="288">
        <v>0</v>
      </c>
      <c r="U41" s="288">
        <v>0</v>
      </c>
      <c r="V41" s="123">
        <v>0</v>
      </c>
      <c r="W41" s="123">
        <v>0</v>
      </c>
      <c r="X41" s="123">
        <v>4.7321312751329614E-2</v>
      </c>
    </row>
    <row r="42" spans="1:24" x14ac:dyDescent="0.2">
      <c r="A42" s="284" t="s">
        <v>802</v>
      </c>
      <c r="B42" s="283" t="s">
        <v>395</v>
      </c>
      <c r="C42" s="287">
        <v>10304</v>
      </c>
      <c r="D42" s="287">
        <v>1525</v>
      </c>
      <c r="E42" s="287">
        <v>13772</v>
      </c>
      <c r="F42" s="287"/>
      <c r="G42" s="287">
        <v>1169</v>
      </c>
      <c r="H42" s="287"/>
      <c r="I42" s="287">
        <v>26770</v>
      </c>
      <c r="J42" s="287"/>
      <c r="K42" s="287">
        <v>3869</v>
      </c>
      <c r="L42" s="287">
        <v>4443</v>
      </c>
      <c r="M42" s="287"/>
      <c r="N42" s="287">
        <v>8312</v>
      </c>
      <c r="O42" s="287">
        <v>535</v>
      </c>
      <c r="P42" s="287">
        <v>7735</v>
      </c>
      <c r="Q42" s="287"/>
      <c r="R42" s="287">
        <v>8270</v>
      </c>
      <c r="S42" s="287">
        <v>740</v>
      </c>
      <c r="T42" s="287"/>
      <c r="U42" s="287"/>
      <c r="X42" s="496">
        <v>44092</v>
      </c>
    </row>
    <row r="43" spans="1:24" ht="13.5" thickBot="1" x14ac:dyDescent="0.25">
      <c r="A43" s="285"/>
      <c r="B43" s="283" t="s">
        <v>397</v>
      </c>
      <c r="C43" s="287">
        <v>10697</v>
      </c>
      <c r="D43" s="287">
        <v>1604</v>
      </c>
      <c r="E43" s="287">
        <v>13924</v>
      </c>
      <c r="F43" s="287"/>
      <c r="G43" s="287">
        <v>1248</v>
      </c>
      <c r="H43" s="287"/>
      <c r="I43" s="287">
        <v>27473</v>
      </c>
      <c r="J43" s="287"/>
      <c r="K43" s="287">
        <v>4286</v>
      </c>
      <c r="L43" s="287">
        <v>4801</v>
      </c>
      <c r="M43" s="287"/>
      <c r="N43" s="287">
        <v>9087</v>
      </c>
      <c r="O43" s="287">
        <v>650</v>
      </c>
      <c r="P43" s="287">
        <v>6678</v>
      </c>
      <c r="Q43" s="287"/>
      <c r="R43" s="287">
        <v>7328</v>
      </c>
      <c r="S43" s="287">
        <v>768</v>
      </c>
      <c r="T43" s="287"/>
      <c r="U43" s="287"/>
      <c r="X43" s="496">
        <v>44656</v>
      </c>
    </row>
    <row r="44" spans="1:24" s="123" customFormat="1" ht="13.5" thickBot="1" x14ac:dyDescent="0.25">
      <c r="A44" s="286"/>
      <c r="B44" s="289" t="s">
        <v>399</v>
      </c>
      <c r="C44" s="288">
        <v>3.814052795031056E-2</v>
      </c>
      <c r="D44" s="288">
        <v>5.1803278688524593E-2</v>
      </c>
      <c r="E44" s="288">
        <v>1.1036886436247459E-2</v>
      </c>
      <c r="F44" s="288">
        <v>0</v>
      </c>
      <c r="G44" s="288">
        <v>6.7579127459366978E-2</v>
      </c>
      <c r="H44" s="288">
        <v>0</v>
      </c>
      <c r="I44" s="288">
        <v>2.6260739633918565E-2</v>
      </c>
      <c r="J44" s="288">
        <v>0</v>
      </c>
      <c r="K44" s="288">
        <v>0.10777978805892996</v>
      </c>
      <c r="L44" s="288">
        <v>8.0576187260859786E-2</v>
      </c>
      <c r="M44" s="288">
        <v>0</v>
      </c>
      <c r="N44" s="288">
        <v>9.3238691049085665E-2</v>
      </c>
      <c r="O44" s="789">
        <v>0.21495327102803738</v>
      </c>
      <c r="P44" s="288">
        <v>-0.13665158371040723</v>
      </c>
      <c r="Q44" s="288">
        <v>0</v>
      </c>
      <c r="R44" s="288">
        <v>-0.11390568319226119</v>
      </c>
      <c r="S44" s="288">
        <v>3.783783783783784E-2</v>
      </c>
      <c r="T44" s="288">
        <v>0</v>
      </c>
      <c r="U44" s="288">
        <v>0</v>
      </c>
      <c r="V44" s="123">
        <v>0</v>
      </c>
      <c r="W44" s="123">
        <v>0</v>
      </c>
      <c r="X44" s="123">
        <v>1.2791436088179262E-2</v>
      </c>
    </row>
    <row r="45" spans="1:24" x14ac:dyDescent="0.2">
      <c r="A45" s="284" t="s">
        <v>854</v>
      </c>
      <c r="B45" s="283" t="s">
        <v>395</v>
      </c>
      <c r="C45" s="287">
        <v>60016</v>
      </c>
      <c r="D45" s="287">
        <v>12930</v>
      </c>
      <c r="E45" s="287">
        <v>41820</v>
      </c>
      <c r="F45" s="287">
        <v>2207</v>
      </c>
      <c r="G45" s="287">
        <v>3486</v>
      </c>
      <c r="H45" s="287">
        <v>259</v>
      </c>
      <c r="I45" s="287">
        <v>120718</v>
      </c>
      <c r="J45" s="287">
        <v>4707</v>
      </c>
      <c r="K45" s="287">
        <v>56146</v>
      </c>
      <c r="L45" s="287">
        <v>17650</v>
      </c>
      <c r="M45" s="287">
        <v>2811</v>
      </c>
      <c r="N45" s="287">
        <v>81314</v>
      </c>
      <c r="O45" s="287"/>
      <c r="P45" s="287"/>
      <c r="Q45" s="287"/>
      <c r="R45" s="287"/>
      <c r="S45" s="287">
        <v>6448</v>
      </c>
      <c r="T45" s="287">
        <v>0</v>
      </c>
      <c r="U45" s="287">
        <v>0</v>
      </c>
      <c r="X45" s="496">
        <v>208480</v>
      </c>
    </row>
    <row r="46" spans="1:24" ht="13.5" thickBot="1" x14ac:dyDescent="0.25">
      <c r="A46" s="285"/>
      <c r="B46" s="283" t="s">
        <v>397</v>
      </c>
      <c r="C46" s="287">
        <v>63154</v>
      </c>
      <c r="D46" s="287">
        <v>13499</v>
      </c>
      <c r="E46" s="287">
        <v>42395</v>
      </c>
      <c r="F46" s="287">
        <v>2203</v>
      </c>
      <c r="G46" s="287">
        <v>3526</v>
      </c>
      <c r="H46" s="790">
        <v>328</v>
      </c>
      <c r="I46" s="287">
        <v>125105</v>
      </c>
      <c r="J46" s="287">
        <v>5221</v>
      </c>
      <c r="K46" s="287">
        <v>61693</v>
      </c>
      <c r="L46" s="287">
        <v>17758</v>
      </c>
      <c r="M46" s="287">
        <v>2867</v>
      </c>
      <c r="N46" s="287">
        <v>87539</v>
      </c>
      <c r="O46" s="287"/>
      <c r="P46" s="287"/>
      <c r="Q46" s="287"/>
      <c r="R46" s="287"/>
      <c r="S46" s="287">
        <v>7187</v>
      </c>
      <c r="T46" s="287">
        <v>0</v>
      </c>
      <c r="U46" s="287">
        <v>0</v>
      </c>
      <c r="X46" s="496">
        <v>219831</v>
      </c>
    </row>
    <row r="47" spans="1:24" s="123" customFormat="1" ht="13.5" thickBot="1" x14ac:dyDescent="0.25">
      <c r="A47" s="286"/>
      <c r="B47" s="289" t="s">
        <v>399</v>
      </c>
      <c r="C47" s="288">
        <v>5.2286057051452943E-2</v>
      </c>
      <c r="D47" s="288">
        <v>4.40061871616396E-2</v>
      </c>
      <c r="E47" s="288">
        <v>1.3749402199904353E-2</v>
      </c>
      <c r="F47" s="288">
        <v>-1.8124150430448573E-3</v>
      </c>
      <c r="G47" s="792">
        <v>1.1474469305794608E-2</v>
      </c>
      <c r="H47" s="791">
        <v>0.26640926640926643</v>
      </c>
      <c r="I47" s="288">
        <v>3.634089365297636E-2</v>
      </c>
      <c r="J47" s="288">
        <v>0.10919906522200977</v>
      </c>
      <c r="K47" s="288">
        <v>9.8795996152887117E-2</v>
      </c>
      <c r="L47" s="288">
        <v>6.1189801699716717E-3</v>
      </c>
      <c r="M47" s="288">
        <v>1.9921736036997508E-2</v>
      </c>
      <c r="N47" s="288">
        <v>7.6555082765575419E-2</v>
      </c>
      <c r="O47" s="288">
        <v>0</v>
      </c>
      <c r="P47" s="288">
        <v>0</v>
      </c>
      <c r="Q47" s="288">
        <v>0</v>
      </c>
      <c r="R47" s="288">
        <v>0</v>
      </c>
      <c r="S47" s="288">
        <v>0.11460918114143921</v>
      </c>
      <c r="T47" s="288">
        <v>0</v>
      </c>
      <c r="U47" s="288">
        <v>0</v>
      </c>
      <c r="V47" s="123">
        <v>0</v>
      </c>
      <c r="W47" s="123">
        <v>0</v>
      </c>
      <c r="X47" s="123">
        <v>5.4446469685341517E-2</v>
      </c>
    </row>
    <row r="48" spans="1:24" x14ac:dyDescent="0.2">
      <c r="A48" s="284" t="s">
        <v>1198</v>
      </c>
      <c r="B48" s="283" t="s">
        <v>395</v>
      </c>
      <c r="C48" s="287">
        <v>26740</v>
      </c>
      <c r="D48" s="287">
        <v>9507</v>
      </c>
      <c r="E48" s="287">
        <v>5636</v>
      </c>
      <c r="F48" s="287">
        <v>3991</v>
      </c>
      <c r="G48" s="287">
        <v>2429</v>
      </c>
      <c r="H48" s="287">
        <v>259</v>
      </c>
      <c r="I48" s="287">
        <v>48562</v>
      </c>
      <c r="J48" s="287"/>
      <c r="K48" s="287">
        <v>12887</v>
      </c>
      <c r="L48" s="287">
        <v>11350</v>
      </c>
      <c r="M48" s="287">
        <v>2700</v>
      </c>
      <c r="N48" s="287">
        <v>26937</v>
      </c>
      <c r="O48" s="287"/>
      <c r="P48" s="287"/>
      <c r="Q48" s="287"/>
      <c r="R48" s="287"/>
      <c r="S48" s="287">
        <v>324</v>
      </c>
      <c r="T48" s="287"/>
      <c r="U48" s="287"/>
      <c r="X48" s="496">
        <v>75823</v>
      </c>
    </row>
    <row r="49" spans="1:24" ht="13.5" thickBot="1" x14ac:dyDescent="0.25">
      <c r="A49" s="285"/>
      <c r="B49" s="283" t="s">
        <v>397</v>
      </c>
      <c r="C49" s="287">
        <v>28179</v>
      </c>
      <c r="D49" s="287">
        <v>9742</v>
      </c>
      <c r="E49" s="287">
        <v>6064</v>
      </c>
      <c r="F49" s="287">
        <v>4366</v>
      </c>
      <c r="G49" s="287">
        <v>2365</v>
      </c>
      <c r="H49" s="287">
        <v>279</v>
      </c>
      <c r="I49" s="287">
        <v>50995</v>
      </c>
      <c r="J49" s="287"/>
      <c r="K49" s="287">
        <v>15410</v>
      </c>
      <c r="L49" s="287">
        <v>13934</v>
      </c>
      <c r="M49" s="287">
        <v>2261</v>
      </c>
      <c r="N49" s="287">
        <v>31605</v>
      </c>
      <c r="O49" s="287"/>
      <c r="P49" s="287"/>
      <c r="Q49" s="287"/>
      <c r="R49" s="287"/>
      <c r="S49" s="287">
        <v>305</v>
      </c>
      <c r="T49" s="287"/>
      <c r="U49" s="287"/>
      <c r="X49" s="496">
        <v>82905</v>
      </c>
    </row>
    <row r="50" spans="1:24" s="123" customFormat="1" ht="13.5" thickBot="1" x14ac:dyDescent="0.25">
      <c r="A50" s="286"/>
      <c r="B50" s="289" t="s">
        <v>399</v>
      </c>
      <c r="C50" s="288">
        <v>5.3814510097232614E-2</v>
      </c>
      <c r="D50" s="288">
        <v>2.4718628379089093E-2</v>
      </c>
      <c r="E50" s="288">
        <v>7.594038325053229E-2</v>
      </c>
      <c r="F50" s="288">
        <v>9.3961413179654216E-2</v>
      </c>
      <c r="G50" s="288">
        <v>-2.6348291477974475E-2</v>
      </c>
      <c r="H50" s="288">
        <v>7.7220077220077218E-2</v>
      </c>
      <c r="I50" s="288">
        <v>5.0100901939788313E-2</v>
      </c>
      <c r="J50" s="288">
        <v>0</v>
      </c>
      <c r="K50" s="789">
        <v>0.19577869170481882</v>
      </c>
      <c r="L50" s="789">
        <v>0.22766519823788547</v>
      </c>
      <c r="M50" s="789">
        <v>-0.16259259259259259</v>
      </c>
      <c r="N50" s="288">
        <v>0.17329323978171288</v>
      </c>
      <c r="O50" s="288">
        <v>0</v>
      </c>
      <c r="P50" s="288">
        <v>0</v>
      </c>
      <c r="Q50" s="288">
        <v>0</v>
      </c>
      <c r="R50" s="288">
        <v>0</v>
      </c>
      <c r="S50" s="288">
        <v>-5.8641975308641972E-2</v>
      </c>
      <c r="T50" s="288">
        <v>0</v>
      </c>
      <c r="U50" s="288">
        <v>0</v>
      </c>
      <c r="V50" s="123">
        <v>0</v>
      </c>
      <c r="W50" s="123">
        <v>0</v>
      </c>
      <c r="X50" s="123">
        <v>9.340173825883967E-2</v>
      </c>
    </row>
    <row r="51" spans="1:24" x14ac:dyDescent="0.2">
      <c r="A51" s="284" t="s">
        <v>743</v>
      </c>
      <c r="B51" s="283" t="s">
        <v>395</v>
      </c>
      <c r="C51" s="287">
        <v>6289</v>
      </c>
      <c r="D51" s="287"/>
      <c r="E51" s="287">
        <v>2481</v>
      </c>
      <c r="F51" s="287"/>
      <c r="G51" s="287">
        <v>1439</v>
      </c>
      <c r="H51" s="287">
        <v>1923</v>
      </c>
      <c r="I51" s="287">
        <v>12132</v>
      </c>
      <c r="J51" s="287">
        <v>1047</v>
      </c>
      <c r="K51" s="287"/>
      <c r="L51" s="287">
        <v>874</v>
      </c>
      <c r="M51" s="287">
        <v>1482</v>
      </c>
      <c r="N51" s="287">
        <v>3403</v>
      </c>
      <c r="O51" s="287"/>
      <c r="P51" s="287"/>
      <c r="Q51" s="287">
        <v>1415</v>
      </c>
      <c r="R51" s="287">
        <v>1415</v>
      </c>
      <c r="S51" s="287">
        <v>241</v>
      </c>
      <c r="T51" s="287"/>
      <c r="U51" s="287"/>
      <c r="V51" s="496">
        <v>18</v>
      </c>
      <c r="W51" s="496">
        <v>18</v>
      </c>
      <c r="X51" s="496">
        <v>17209</v>
      </c>
    </row>
    <row r="52" spans="1:24" ht="13.5" thickBot="1" x14ac:dyDescent="0.25">
      <c r="A52" s="285"/>
      <c r="B52" s="283" t="s">
        <v>397</v>
      </c>
      <c r="C52" s="287">
        <v>6447</v>
      </c>
      <c r="D52" s="287"/>
      <c r="E52" s="287">
        <v>2640</v>
      </c>
      <c r="F52" s="287"/>
      <c r="G52" s="287">
        <v>1542</v>
      </c>
      <c r="H52" s="287">
        <v>2032</v>
      </c>
      <c r="I52" s="287">
        <v>12661</v>
      </c>
      <c r="J52" s="287">
        <v>932</v>
      </c>
      <c r="K52" s="287"/>
      <c r="L52" s="287">
        <v>992</v>
      </c>
      <c r="M52" s="287">
        <v>1770</v>
      </c>
      <c r="N52" s="287">
        <v>3694</v>
      </c>
      <c r="O52" s="287"/>
      <c r="P52" s="287"/>
      <c r="Q52" s="287">
        <v>1315</v>
      </c>
      <c r="R52" s="287">
        <v>1315</v>
      </c>
      <c r="S52" s="287">
        <v>202</v>
      </c>
      <c r="T52" s="287"/>
      <c r="U52" s="287"/>
      <c r="V52" s="496">
        <v>18</v>
      </c>
      <c r="W52" s="496">
        <v>18</v>
      </c>
      <c r="X52" s="496">
        <v>17890</v>
      </c>
    </row>
    <row r="53" spans="1:24" s="123" customFormat="1" ht="13.5" thickBot="1" x14ac:dyDescent="0.25">
      <c r="A53" s="286"/>
      <c r="B53" s="289" t="s">
        <v>399</v>
      </c>
      <c r="C53" s="288">
        <v>2.5123231038320877E-2</v>
      </c>
      <c r="D53" s="288">
        <v>0</v>
      </c>
      <c r="E53" s="288">
        <v>6.4087061668681986E-2</v>
      </c>
      <c r="F53" s="288">
        <v>0</v>
      </c>
      <c r="G53" s="288">
        <v>7.1577484364141769E-2</v>
      </c>
      <c r="H53" s="288">
        <v>5.6682267290691625E-2</v>
      </c>
      <c r="I53" s="288">
        <v>4.3603692713485E-2</v>
      </c>
      <c r="J53" s="288">
        <v>-0.10983763132760267</v>
      </c>
      <c r="K53" s="288">
        <v>0</v>
      </c>
      <c r="L53" s="288">
        <v>0.13501144164759726</v>
      </c>
      <c r="M53" s="789">
        <v>0.19433198380566802</v>
      </c>
      <c r="N53" s="288">
        <v>8.5512782838671766E-2</v>
      </c>
      <c r="O53" s="288">
        <v>0</v>
      </c>
      <c r="P53" s="288">
        <v>0</v>
      </c>
      <c r="Q53" s="288">
        <v>-7.0671378091872794E-2</v>
      </c>
      <c r="R53" s="288">
        <v>-7.0671378091872794E-2</v>
      </c>
      <c r="S53" s="789">
        <v>-0.16182572614107885</v>
      </c>
      <c r="T53" s="288">
        <v>0</v>
      </c>
      <c r="U53" s="288">
        <v>0</v>
      </c>
      <c r="V53" s="123">
        <v>0</v>
      </c>
      <c r="W53" s="123">
        <v>0</v>
      </c>
      <c r="X53" s="123">
        <v>3.9572316810971002E-2</v>
      </c>
    </row>
    <row r="54" spans="1:24" x14ac:dyDescent="0.2">
      <c r="A54" s="284" t="s">
        <v>396</v>
      </c>
      <c r="B54" s="283"/>
      <c r="C54" s="287">
        <v>279035</v>
      </c>
      <c r="D54" s="287">
        <v>68023</v>
      </c>
      <c r="E54" s="287">
        <v>143347</v>
      </c>
      <c r="F54" s="287">
        <v>45381</v>
      </c>
      <c r="G54" s="287">
        <v>23954</v>
      </c>
      <c r="H54" s="287">
        <v>11553</v>
      </c>
      <c r="I54" s="287">
        <v>571293</v>
      </c>
      <c r="J54" s="287">
        <v>45043</v>
      </c>
      <c r="K54" s="287">
        <v>189217</v>
      </c>
      <c r="L54" s="287">
        <v>105425</v>
      </c>
      <c r="M54" s="287">
        <v>35891</v>
      </c>
      <c r="N54" s="287">
        <v>375576</v>
      </c>
      <c r="O54" s="287">
        <v>62169</v>
      </c>
      <c r="P54" s="287">
        <v>18350</v>
      </c>
      <c r="Q54" s="287">
        <v>1415</v>
      </c>
      <c r="R54" s="287">
        <v>81934</v>
      </c>
      <c r="S54" s="287">
        <v>23017</v>
      </c>
      <c r="T54" s="287">
        <v>0</v>
      </c>
      <c r="U54" s="287">
        <v>0</v>
      </c>
      <c r="V54" s="496">
        <v>18</v>
      </c>
      <c r="W54" s="496">
        <v>18</v>
      </c>
      <c r="X54" s="496">
        <v>1051838</v>
      </c>
    </row>
    <row r="55" spans="1:24" x14ac:dyDescent="0.2">
      <c r="A55" s="285" t="s">
        <v>398</v>
      </c>
      <c r="B55" s="283"/>
      <c r="C55" s="287">
        <v>290188</v>
      </c>
      <c r="D55" s="287">
        <v>70079</v>
      </c>
      <c r="E55" s="287">
        <v>145227</v>
      </c>
      <c r="F55" s="287">
        <v>46781</v>
      </c>
      <c r="G55" s="287">
        <v>24442</v>
      </c>
      <c r="H55" s="287">
        <v>11937</v>
      </c>
      <c r="I55" s="287">
        <v>588654</v>
      </c>
      <c r="J55" s="287">
        <v>52314</v>
      </c>
      <c r="K55" s="287">
        <v>208913</v>
      </c>
      <c r="L55" s="287">
        <v>108281</v>
      </c>
      <c r="M55" s="287">
        <v>36066</v>
      </c>
      <c r="N55" s="287">
        <v>405574</v>
      </c>
      <c r="O55" s="287">
        <v>53503</v>
      </c>
      <c r="P55" s="287">
        <v>17887</v>
      </c>
      <c r="Q55" s="287">
        <v>1315</v>
      </c>
      <c r="R55" s="287">
        <v>72705</v>
      </c>
      <c r="S55" s="287">
        <v>24884</v>
      </c>
      <c r="T55" s="287">
        <v>0</v>
      </c>
      <c r="U55" s="287">
        <v>0</v>
      </c>
      <c r="V55" s="496">
        <v>18</v>
      </c>
      <c r="W55" s="496">
        <v>18</v>
      </c>
      <c r="X55" s="496">
        <v>1091835</v>
      </c>
    </row>
    <row r="56" spans="1:24" s="123" customFormat="1" x14ac:dyDescent="0.2">
      <c r="A56" s="286" t="s">
        <v>400</v>
      </c>
      <c r="B56" s="289"/>
      <c r="C56" s="288">
        <v>3.9969896249574428E-2</v>
      </c>
      <c r="D56" s="288">
        <v>3.0225070931890682E-2</v>
      </c>
      <c r="E56" s="288">
        <v>1.3115028567043607E-2</v>
      </c>
      <c r="F56" s="288">
        <v>3.0849915162733301E-2</v>
      </c>
      <c r="G56" s="288">
        <v>2.0372380395758536E-2</v>
      </c>
      <c r="H56" s="288">
        <v>3.3238119968839262E-2</v>
      </c>
      <c r="I56" s="288">
        <v>3.0388959780707974E-2</v>
      </c>
      <c r="J56" s="288">
        <v>0.16142352862819973</v>
      </c>
      <c r="K56" s="288">
        <v>0.10409212702875534</v>
      </c>
      <c r="L56" s="288">
        <v>2.7090348589044345E-2</v>
      </c>
      <c r="M56" s="288">
        <v>4.8758741745841576E-3</v>
      </c>
      <c r="N56" s="288">
        <v>7.9871983300317376E-2</v>
      </c>
      <c r="O56" s="288">
        <v>-0.1393942318518876</v>
      </c>
      <c r="P56" s="288">
        <v>-2.5231607629427794E-2</v>
      </c>
      <c r="Q56" s="288">
        <v>-7.0671378091872794E-2</v>
      </c>
      <c r="R56" s="288">
        <v>-0.11263944150169648</v>
      </c>
      <c r="S56" s="288">
        <v>8.1113959247512704E-2</v>
      </c>
      <c r="T56" s="288">
        <v>0</v>
      </c>
      <c r="U56" s="288">
        <v>0</v>
      </c>
      <c r="V56" s="123">
        <v>0</v>
      </c>
      <c r="W56" s="123">
        <v>0</v>
      </c>
      <c r="X56" s="123">
        <v>3.8025817663936839E-2</v>
      </c>
    </row>
    <row r="57" spans="1:24" x14ac:dyDescent="0.2">
      <c r="A57" s="291"/>
      <c r="B57" s="10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</row>
    <row r="58" spans="1:24" x14ac:dyDescent="0.2">
      <c r="A58" s="291"/>
      <c r="B58" s="10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</row>
    <row r="59" spans="1:24" s="123" customFormat="1" x14ac:dyDescent="0.2">
      <c r="A59" s="290"/>
      <c r="B59" s="28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</row>
    <row r="60" spans="1:24" x14ac:dyDescent="0.2">
      <c r="A60" s="146"/>
      <c r="D60" s="496"/>
    </row>
    <row r="61" spans="1:24" x14ac:dyDescent="0.2">
      <c r="A61" s="146"/>
      <c r="D61" s="496"/>
    </row>
    <row r="62" spans="1:24" s="123" customFormat="1" x14ac:dyDescent="0.2">
      <c r="A62" s="146"/>
      <c r="B62" s="496"/>
      <c r="C62" s="496"/>
      <c r="D62" s="496"/>
      <c r="E62" s="496"/>
      <c r="F62" s="496"/>
      <c r="G62" s="496"/>
      <c r="H62" s="496"/>
      <c r="I62" s="496"/>
      <c r="J62" s="496"/>
      <c r="K62" s="496"/>
      <c r="L62" s="496"/>
      <c r="M62" s="496"/>
      <c r="N62" s="496"/>
      <c r="O62" s="496"/>
      <c r="P62" s="496"/>
      <c r="Q62" s="496"/>
      <c r="R62" s="496"/>
      <c r="S62" s="496"/>
      <c r="T62" s="496"/>
      <c r="U62" s="496"/>
    </row>
    <row r="63" spans="1:24" x14ac:dyDescent="0.2">
      <c r="A63" s="146"/>
      <c r="D63" s="496"/>
    </row>
    <row r="64" spans="1:24" x14ac:dyDescent="0.2">
      <c r="A64" s="146"/>
      <c r="D64" s="496"/>
    </row>
    <row r="65" spans="1:21" s="123" customFormat="1" x14ac:dyDescent="0.2">
      <c r="A65" s="14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496"/>
      <c r="N65" s="496"/>
      <c r="O65" s="496"/>
      <c r="P65" s="496"/>
      <c r="Q65" s="496"/>
      <c r="R65" s="496"/>
      <c r="S65" s="496"/>
      <c r="T65" s="496"/>
      <c r="U65" s="496"/>
    </row>
    <row r="66" spans="1:21" x14ac:dyDescent="0.2">
      <c r="A66" s="146"/>
      <c r="D66" s="496"/>
    </row>
    <row r="67" spans="1:21" x14ac:dyDescent="0.2">
      <c r="A67" s="146"/>
      <c r="D67" s="496"/>
    </row>
    <row r="68" spans="1:21" s="123" customFormat="1" x14ac:dyDescent="0.2">
      <c r="A68" s="146"/>
      <c r="B68" s="496"/>
      <c r="C68" s="496"/>
      <c r="D68" s="496"/>
      <c r="E68" s="496"/>
      <c r="F68" s="496"/>
      <c r="G68" s="496"/>
      <c r="H68" s="496"/>
      <c r="I68" s="496"/>
      <c r="J68" s="496"/>
      <c r="K68" s="496"/>
      <c r="L68" s="496"/>
      <c r="M68" s="496"/>
      <c r="N68" s="496"/>
      <c r="O68" s="496"/>
      <c r="P68" s="496"/>
      <c r="Q68" s="496"/>
      <c r="R68" s="496"/>
      <c r="S68" s="496"/>
      <c r="T68" s="496"/>
      <c r="U68" s="496"/>
    </row>
    <row r="69" spans="1:21" x14ac:dyDescent="0.2">
      <c r="A69" s="146"/>
      <c r="D69" s="496"/>
    </row>
    <row r="70" spans="1:21" x14ac:dyDescent="0.2">
      <c r="A70" s="146"/>
      <c r="D70" s="496"/>
    </row>
    <row r="71" spans="1:21" s="123" customFormat="1" x14ac:dyDescent="0.2">
      <c r="A71" s="146"/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</row>
    <row r="72" spans="1:21" x14ac:dyDescent="0.2">
      <c r="A72" s="146"/>
      <c r="D72" s="496"/>
    </row>
    <row r="73" spans="1:21" x14ac:dyDescent="0.2">
      <c r="A73" s="146"/>
      <c r="D73" s="496"/>
    </row>
    <row r="74" spans="1:21" s="123" customFormat="1" x14ac:dyDescent="0.2">
      <c r="A74" s="146"/>
      <c r="B74" s="496"/>
      <c r="C74" s="496"/>
      <c r="D74" s="496"/>
      <c r="E74" s="496"/>
      <c r="F74" s="496"/>
      <c r="G74" s="496"/>
      <c r="H74" s="496"/>
      <c r="I74" s="496"/>
      <c r="J74" s="496"/>
      <c r="K74" s="496"/>
      <c r="L74" s="496"/>
      <c r="M74" s="496"/>
      <c r="N74" s="496"/>
      <c r="O74" s="496"/>
      <c r="P74" s="496"/>
      <c r="Q74" s="496"/>
      <c r="R74" s="496"/>
      <c r="S74" s="496"/>
      <c r="T74" s="496"/>
      <c r="U74" s="496"/>
    </row>
    <row r="75" spans="1:21" x14ac:dyDescent="0.2">
      <c r="A75" s="146"/>
      <c r="D75" s="496"/>
    </row>
    <row r="76" spans="1:21" x14ac:dyDescent="0.2">
      <c r="A76" s="146"/>
      <c r="D76" s="496"/>
    </row>
    <row r="77" spans="1:21" s="123" customFormat="1" x14ac:dyDescent="0.2">
      <c r="A77" s="146"/>
      <c r="B77" s="496"/>
      <c r="C77" s="496"/>
      <c r="D77" s="496"/>
      <c r="E77" s="496"/>
      <c r="F77" s="496"/>
      <c r="G77" s="496"/>
      <c r="H77" s="496"/>
      <c r="I77" s="496"/>
      <c r="J77" s="496"/>
      <c r="K77" s="496"/>
      <c r="L77" s="496"/>
      <c r="M77" s="496"/>
      <c r="N77" s="496"/>
      <c r="O77" s="496"/>
      <c r="P77" s="496"/>
      <c r="Q77" s="496"/>
      <c r="R77" s="496"/>
      <c r="S77" s="496"/>
      <c r="T77" s="496"/>
      <c r="U77" s="496"/>
    </row>
    <row r="78" spans="1:21" x14ac:dyDescent="0.2">
      <c r="A78" s="146"/>
      <c r="D78" s="496"/>
    </row>
    <row r="79" spans="1:21" x14ac:dyDescent="0.2">
      <c r="A79" s="146"/>
      <c r="D79" s="496"/>
    </row>
    <row r="80" spans="1:21" s="123" customFormat="1" x14ac:dyDescent="0.2">
      <c r="A80" s="146"/>
      <c r="B80" s="496"/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</row>
    <row r="81" spans="1:21" x14ac:dyDescent="0.2">
      <c r="A81" s="146"/>
      <c r="D81" s="496"/>
    </row>
    <row r="82" spans="1:21" x14ac:dyDescent="0.2">
      <c r="A82" s="146"/>
      <c r="D82" s="496"/>
    </row>
    <row r="83" spans="1:21" s="123" customFormat="1" x14ac:dyDescent="0.2">
      <c r="A83" s="146"/>
      <c r="B83" s="496"/>
      <c r="C83" s="496"/>
      <c r="D83" s="496"/>
      <c r="E83" s="496"/>
      <c r="F83" s="496"/>
      <c r="G83" s="496"/>
      <c r="H83" s="496"/>
      <c r="I83" s="496"/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6"/>
    </row>
    <row r="84" spans="1:21" x14ac:dyDescent="0.2">
      <c r="A84" s="146"/>
      <c r="D84" s="496"/>
    </row>
    <row r="85" spans="1:21" x14ac:dyDescent="0.2">
      <c r="A85" s="146"/>
      <c r="D85" s="496"/>
    </row>
    <row r="86" spans="1:21" s="123" customFormat="1" x14ac:dyDescent="0.2">
      <c r="A86" s="146"/>
      <c r="B86" s="496"/>
      <c r="C86" s="496"/>
      <c r="D86" s="496"/>
      <c r="E86" s="496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496"/>
      <c r="Q86" s="496"/>
      <c r="R86" s="496"/>
      <c r="S86" s="496"/>
      <c r="T86" s="496"/>
      <c r="U86" s="496"/>
    </row>
    <row r="87" spans="1:21" x14ac:dyDescent="0.2">
      <c r="A87" s="146"/>
      <c r="D87" s="496"/>
    </row>
    <row r="88" spans="1:21" x14ac:dyDescent="0.2">
      <c r="A88" s="146"/>
      <c r="D88" s="496"/>
    </row>
    <row r="89" spans="1:21" s="123" customFormat="1" x14ac:dyDescent="0.2">
      <c r="A89" s="146"/>
      <c r="B89" s="496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  <c r="P89" s="496"/>
      <c r="Q89" s="496"/>
      <c r="R89" s="496"/>
      <c r="S89" s="496"/>
      <c r="T89" s="496"/>
      <c r="U89" s="496"/>
    </row>
    <row r="90" spans="1:21" x14ac:dyDescent="0.2">
      <c r="A90" s="146"/>
      <c r="D90" s="496"/>
    </row>
    <row r="91" spans="1:21" x14ac:dyDescent="0.2">
      <c r="A91" s="146"/>
      <c r="D91" s="496"/>
    </row>
    <row r="92" spans="1:21" s="123" customFormat="1" x14ac:dyDescent="0.2">
      <c r="A92" s="146"/>
      <c r="B92" s="496"/>
      <c r="C92" s="496"/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496"/>
      <c r="P92" s="496"/>
      <c r="Q92" s="496"/>
      <c r="R92" s="496"/>
      <c r="S92" s="496"/>
      <c r="T92" s="496"/>
      <c r="U92" s="496"/>
    </row>
    <row r="93" spans="1:21" x14ac:dyDescent="0.2">
      <c r="A93" s="146"/>
      <c r="D93" s="496"/>
    </row>
    <row r="94" spans="1:21" x14ac:dyDescent="0.2">
      <c r="A94" s="146"/>
      <c r="D94" s="496"/>
    </row>
    <row r="95" spans="1:21" s="123" customFormat="1" x14ac:dyDescent="0.2">
      <c r="A95" s="146"/>
      <c r="B95" s="496"/>
      <c r="C95" s="496"/>
      <c r="D95" s="496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6"/>
      <c r="Q95" s="496"/>
      <c r="R95" s="496"/>
      <c r="S95" s="496"/>
      <c r="T95" s="496"/>
      <c r="U95" s="496"/>
    </row>
    <row r="96" spans="1:21" x14ac:dyDescent="0.2">
      <c r="A96" s="146"/>
      <c r="D96" s="496"/>
    </row>
    <row r="97" spans="1:21" x14ac:dyDescent="0.2">
      <c r="A97" s="146"/>
      <c r="D97" s="496"/>
    </row>
    <row r="98" spans="1:21" s="123" customFormat="1" x14ac:dyDescent="0.2">
      <c r="A98" s="146"/>
      <c r="B98" s="496"/>
      <c r="C98" s="496"/>
      <c r="D98" s="496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496"/>
      <c r="R98" s="496"/>
      <c r="S98" s="496"/>
      <c r="T98" s="496"/>
      <c r="U98" s="496"/>
    </row>
    <row r="99" spans="1:21" x14ac:dyDescent="0.2">
      <c r="A99" s="146"/>
      <c r="D99" s="496"/>
    </row>
    <row r="100" spans="1:21" x14ac:dyDescent="0.2">
      <c r="A100" s="146"/>
      <c r="D100" s="496"/>
    </row>
    <row r="101" spans="1:21" s="123" customFormat="1" x14ac:dyDescent="0.2">
      <c r="A101" s="146"/>
      <c r="B101" s="496"/>
      <c r="C101" s="496"/>
      <c r="D101" s="496"/>
      <c r="E101" s="496"/>
      <c r="F101" s="496"/>
      <c r="G101" s="496"/>
      <c r="H101" s="496"/>
      <c r="I101" s="496"/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</row>
    <row r="102" spans="1:21" x14ac:dyDescent="0.2">
      <c r="A102" s="146"/>
      <c r="D102" s="496"/>
    </row>
    <row r="103" spans="1:21" x14ac:dyDescent="0.2">
      <c r="A103" s="146"/>
      <c r="D103" s="496"/>
    </row>
    <row r="104" spans="1:21" s="123" customFormat="1" x14ac:dyDescent="0.2">
      <c r="A104" s="146"/>
      <c r="B104" s="496"/>
      <c r="C104" s="496"/>
      <c r="D104" s="496"/>
      <c r="E104" s="496"/>
      <c r="F104" s="496"/>
      <c r="G104" s="496"/>
      <c r="H104" s="496"/>
      <c r="I104" s="496"/>
      <c r="J104" s="496"/>
      <c r="K104" s="496"/>
      <c r="L104" s="496"/>
      <c r="M104" s="496"/>
      <c r="N104" s="496"/>
      <c r="O104" s="496"/>
      <c r="P104" s="496"/>
      <c r="Q104" s="496"/>
      <c r="R104" s="496"/>
      <c r="S104" s="496"/>
      <c r="T104" s="496"/>
      <c r="U104" s="496"/>
    </row>
    <row r="105" spans="1:21" x14ac:dyDescent="0.2">
      <c r="A105" s="146"/>
      <c r="D105" s="496"/>
    </row>
    <row r="106" spans="1:21" x14ac:dyDescent="0.2">
      <c r="A106" s="146"/>
      <c r="D106" s="496"/>
    </row>
    <row r="107" spans="1:21" s="123" customFormat="1" x14ac:dyDescent="0.2">
      <c r="A107" s="146"/>
      <c r="B107" s="496"/>
      <c r="C107" s="496"/>
      <c r="D107" s="496"/>
      <c r="E107" s="496"/>
      <c r="F107" s="496"/>
      <c r="G107" s="496"/>
      <c r="H107" s="496"/>
      <c r="I107" s="496"/>
      <c r="J107" s="496"/>
      <c r="K107" s="496"/>
      <c r="L107" s="496"/>
      <c r="M107" s="496"/>
      <c r="N107" s="496"/>
      <c r="O107" s="496"/>
      <c r="P107" s="496"/>
      <c r="Q107" s="496"/>
      <c r="R107" s="496"/>
      <c r="S107" s="496"/>
      <c r="T107" s="496"/>
      <c r="U107" s="496"/>
    </row>
    <row r="108" spans="1:21" x14ac:dyDescent="0.2">
      <c r="A108" s="146"/>
      <c r="D108" s="496"/>
    </row>
    <row r="109" spans="1:21" x14ac:dyDescent="0.2">
      <c r="A109" s="146"/>
      <c r="D109" s="496"/>
    </row>
    <row r="110" spans="1:21" s="123" customFormat="1" x14ac:dyDescent="0.2">
      <c r="A110" s="146"/>
      <c r="B110" s="496"/>
      <c r="C110" s="496"/>
      <c r="D110" s="496"/>
      <c r="E110" s="496"/>
      <c r="F110" s="496"/>
      <c r="G110" s="496"/>
      <c r="H110" s="496"/>
      <c r="I110" s="496"/>
      <c r="J110" s="496"/>
      <c r="K110" s="496"/>
      <c r="L110" s="496"/>
      <c r="M110" s="496"/>
      <c r="N110" s="496"/>
      <c r="O110" s="496"/>
      <c r="P110" s="496"/>
      <c r="Q110" s="496"/>
      <c r="R110" s="496"/>
      <c r="S110" s="496"/>
      <c r="T110" s="496"/>
      <c r="U110" s="496"/>
    </row>
    <row r="111" spans="1:21" x14ac:dyDescent="0.2">
      <c r="A111" s="146"/>
      <c r="D111" s="496"/>
    </row>
    <row r="112" spans="1:21" x14ac:dyDescent="0.2">
      <c r="A112" s="146"/>
      <c r="D112" s="496"/>
    </row>
    <row r="113" spans="1:21" s="123" customFormat="1" x14ac:dyDescent="0.2">
      <c r="A113" s="146"/>
      <c r="B113" s="496"/>
      <c r="C113" s="496"/>
      <c r="D113" s="496"/>
      <c r="E113" s="496"/>
      <c r="F113" s="496"/>
      <c r="G113" s="496"/>
      <c r="H113" s="496"/>
      <c r="I113" s="496"/>
      <c r="J113" s="496"/>
      <c r="K113" s="496"/>
      <c r="L113" s="496"/>
      <c r="M113" s="496"/>
      <c r="N113" s="496"/>
      <c r="O113" s="496"/>
      <c r="P113" s="496"/>
      <c r="Q113" s="496"/>
      <c r="R113" s="496"/>
      <c r="S113" s="496"/>
      <c r="T113" s="496"/>
      <c r="U113" s="496"/>
    </row>
    <row r="114" spans="1:21" x14ac:dyDescent="0.2">
      <c r="A114" s="146"/>
      <c r="D114" s="496"/>
    </row>
    <row r="115" spans="1:21" x14ac:dyDescent="0.2">
      <c r="A115" s="146"/>
      <c r="D115" s="496"/>
    </row>
    <row r="116" spans="1:21" s="123" customFormat="1" x14ac:dyDescent="0.2">
      <c r="A116" s="146"/>
      <c r="B116" s="496"/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</row>
    <row r="117" spans="1:21" x14ac:dyDescent="0.2">
      <c r="A117" s="146"/>
      <c r="D117" s="496"/>
    </row>
    <row r="118" spans="1:21" x14ac:dyDescent="0.2">
      <c r="A118" s="146"/>
      <c r="D118" s="496"/>
    </row>
    <row r="119" spans="1:21" s="123" customFormat="1" x14ac:dyDescent="0.2">
      <c r="A119" s="146"/>
      <c r="B119" s="496"/>
      <c r="C119" s="496"/>
      <c r="D119" s="496"/>
      <c r="E119" s="496"/>
      <c r="F119" s="496"/>
      <c r="G119" s="496"/>
      <c r="H119" s="496"/>
      <c r="I119" s="496"/>
      <c r="J119" s="496"/>
      <c r="K119" s="496"/>
      <c r="L119" s="496"/>
      <c r="M119" s="496"/>
      <c r="N119" s="496"/>
      <c r="O119" s="496"/>
      <c r="P119" s="496"/>
      <c r="Q119" s="496"/>
      <c r="R119" s="496"/>
      <c r="S119" s="496"/>
      <c r="T119" s="496"/>
      <c r="U119" s="496"/>
    </row>
    <row r="120" spans="1:21" x14ac:dyDescent="0.2">
      <c r="A120" s="146"/>
      <c r="D120" s="496"/>
    </row>
    <row r="121" spans="1:21" x14ac:dyDescent="0.2">
      <c r="A121" s="146"/>
      <c r="D121" s="496"/>
    </row>
    <row r="122" spans="1:21" s="123" customFormat="1" x14ac:dyDescent="0.2">
      <c r="A122" s="146"/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</row>
    <row r="123" spans="1:21" x14ac:dyDescent="0.2">
      <c r="A123" s="146"/>
      <c r="D123" s="496"/>
    </row>
    <row r="124" spans="1:21" x14ac:dyDescent="0.2">
      <c r="A124" s="146"/>
      <c r="D124" s="496"/>
    </row>
    <row r="125" spans="1:21" s="123" customFormat="1" x14ac:dyDescent="0.2">
      <c r="A125" s="146"/>
      <c r="B125" s="496"/>
      <c r="C125" s="496"/>
      <c r="D125" s="496"/>
      <c r="E125" s="496"/>
      <c r="F125" s="496"/>
      <c r="G125" s="496"/>
      <c r="H125" s="496"/>
      <c r="I125" s="496"/>
      <c r="J125" s="496"/>
      <c r="K125" s="496"/>
      <c r="L125" s="496"/>
      <c r="M125" s="496"/>
      <c r="N125" s="496"/>
      <c r="O125" s="496"/>
      <c r="P125" s="496"/>
      <c r="Q125" s="496"/>
      <c r="R125" s="496"/>
      <c r="S125" s="496"/>
      <c r="T125" s="496"/>
      <c r="U125" s="496"/>
    </row>
    <row r="126" spans="1:21" x14ac:dyDescent="0.2">
      <c r="A126" s="146"/>
      <c r="D126" s="496"/>
    </row>
    <row r="127" spans="1:21" x14ac:dyDescent="0.2">
      <c r="A127" s="146"/>
      <c r="D127" s="496"/>
    </row>
    <row r="128" spans="1:21" s="123" customFormat="1" x14ac:dyDescent="0.2">
      <c r="A128" s="146"/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496"/>
      <c r="O128" s="496"/>
      <c r="P128" s="496"/>
      <c r="Q128" s="496"/>
      <c r="R128" s="496"/>
      <c r="S128" s="496"/>
      <c r="T128" s="496"/>
      <c r="U128" s="496"/>
    </row>
    <row r="129" spans="1:21" x14ac:dyDescent="0.2">
      <c r="A129" s="146"/>
      <c r="D129" s="496"/>
    </row>
    <row r="130" spans="1:21" x14ac:dyDescent="0.2">
      <c r="A130" s="146"/>
      <c r="D130" s="496"/>
    </row>
    <row r="131" spans="1:21" s="123" customFormat="1" x14ac:dyDescent="0.2">
      <c r="A131" s="146"/>
      <c r="B131" s="496"/>
      <c r="C131" s="496"/>
      <c r="D131" s="496"/>
      <c r="E131" s="496"/>
      <c r="F131" s="496"/>
      <c r="G131" s="496"/>
      <c r="H131" s="496"/>
      <c r="I131" s="496"/>
      <c r="J131" s="496"/>
      <c r="K131" s="496"/>
      <c r="L131" s="496"/>
      <c r="M131" s="496"/>
      <c r="N131" s="496"/>
      <c r="O131" s="496"/>
      <c r="P131" s="496"/>
      <c r="Q131" s="496"/>
      <c r="R131" s="496"/>
      <c r="S131" s="496"/>
      <c r="T131" s="496"/>
      <c r="U131" s="496"/>
    </row>
    <row r="132" spans="1:21" x14ac:dyDescent="0.2">
      <c r="A132" s="146"/>
      <c r="D132" s="496"/>
    </row>
    <row r="133" spans="1:21" x14ac:dyDescent="0.2">
      <c r="A133" s="146"/>
      <c r="D133" s="496"/>
    </row>
    <row r="134" spans="1:21" s="123" customFormat="1" x14ac:dyDescent="0.2">
      <c r="A134" s="146"/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496"/>
      <c r="S134" s="496"/>
      <c r="T134" s="496"/>
      <c r="U134" s="496"/>
    </row>
    <row r="135" spans="1:21" x14ac:dyDescent="0.2">
      <c r="A135" s="146"/>
      <c r="D135" s="496"/>
    </row>
    <row r="136" spans="1:21" x14ac:dyDescent="0.2">
      <c r="A136" s="146"/>
      <c r="D136" s="496"/>
    </row>
    <row r="137" spans="1:21" s="123" customFormat="1" x14ac:dyDescent="0.2">
      <c r="A137" s="146"/>
      <c r="B137" s="496"/>
      <c r="C137" s="496"/>
      <c r="D137" s="496"/>
      <c r="E137" s="496"/>
      <c r="F137" s="496"/>
      <c r="G137" s="496"/>
      <c r="H137" s="496"/>
      <c r="I137" s="496"/>
      <c r="J137" s="496"/>
      <c r="K137" s="496"/>
      <c r="L137" s="496"/>
      <c r="M137" s="496"/>
      <c r="N137" s="496"/>
      <c r="O137" s="496"/>
      <c r="P137" s="496"/>
      <c r="Q137" s="496"/>
      <c r="R137" s="496"/>
      <c r="S137" s="496"/>
      <c r="T137" s="496"/>
      <c r="U137" s="496"/>
    </row>
    <row r="138" spans="1:21" x14ac:dyDescent="0.2">
      <c r="A138" s="146"/>
      <c r="D138" s="496"/>
    </row>
    <row r="139" spans="1:21" x14ac:dyDescent="0.2">
      <c r="A139" s="146"/>
      <c r="D139" s="496"/>
    </row>
    <row r="140" spans="1:21" s="123" customFormat="1" x14ac:dyDescent="0.2">
      <c r="A140" s="146"/>
      <c r="B140" s="496"/>
      <c r="C140" s="496"/>
      <c r="D140" s="496"/>
      <c r="E140" s="496"/>
      <c r="F140" s="496"/>
      <c r="G140" s="496"/>
      <c r="H140" s="496"/>
      <c r="I140" s="496"/>
      <c r="J140" s="496"/>
      <c r="K140" s="496"/>
      <c r="L140" s="496"/>
      <c r="M140" s="496"/>
      <c r="N140" s="496"/>
      <c r="O140" s="496"/>
      <c r="P140" s="496"/>
      <c r="Q140" s="496"/>
      <c r="R140" s="496"/>
      <c r="S140" s="496"/>
      <c r="T140" s="496"/>
      <c r="U140" s="496"/>
    </row>
    <row r="141" spans="1:21" x14ac:dyDescent="0.2">
      <c r="A141" s="146"/>
      <c r="D141" s="496"/>
    </row>
    <row r="142" spans="1:21" x14ac:dyDescent="0.2">
      <c r="A142" s="146"/>
      <c r="D142" s="496"/>
    </row>
    <row r="143" spans="1:21" s="123" customFormat="1" x14ac:dyDescent="0.2">
      <c r="A143" s="146"/>
      <c r="B143" s="496"/>
      <c r="C143" s="496"/>
      <c r="D143" s="496"/>
      <c r="E143" s="496"/>
      <c r="F143" s="496"/>
      <c r="G143" s="496"/>
      <c r="H143" s="496"/>
      <c r="I143" s="496"/>
      <c r="J143" s="496"/>
      <c r="K143" s="496"/>
      <c r="L143" s="496"/>
      <c r="M143" s="496"/>
      <c r="N143" s="496"/>
      <c r="O143" s="496"/>
      <c r="P143" s="496"/>
      <c r="Q143" s="496"/>
      <c r="R143" s="496"/>
      <c r="S143" s="496"/>
      <c r="T143" s="496"/>
      <c r="U143" s="496"/>
    </row>
    <row r="144" spans="1:21" x14ac:dyDescent="0.2">
      <c r="A144" s="146"/>
      <c r="D144" s="496"/>
    </row>
    <row r="145" spans="1:21" x14ac:dyDescent="0.2">
      <c r="A145" s="146"/>
      <c r="D145" s="496"/>
    </row>
    <row r="146" spans="1:21" s="123" customFormat="1" x14ac:dyDescent="0.2">
      <c r="A146" s="146"/>
      <c r="B146" s="496"/>
      <c r="C146" s="496"/>
      <c r="D146" s="496"/>
      <c r="E146" s="496"/>
      <c r="F146" s="496"/>
      <c r="G146" s="496"/>
      <c r="H146" s="496"/>
      <c r="I146" s="496"/>
      <c r="J146" s="496"/>
      <c r="K146" s="496"/>
      <c r="L146" s="496"/>
      <c r="M146" s="496"/>
      <c r="N146" s="496"/>
      <c r="O146" s="496"/>
      <c r="P146" s="496"/>
      <c r="Q146" s="496"/>
      <c r="R146" s="496"/>
      <c r="S146" s="496"/>
      <c r="T146" s="496"/>
      <c r="U146" s="496"/>
    </row>
    <row r="147" spans="1:21" x14ac:dyDescent="0.2">
      <c r="A147" s="146"/>
      <c r="D147" s="496"/>
    </row>
    <row r="148" spans="1:21" x14ac:dyDescent="0.2">
      <c r="A148" s="146"/>
      <c r="D148" s="496"/>
    </row>
    <row r="149" spans="1:21" s="123" customFormat="1" x14ac:dyDescent="0.2">
      <c r="A149" s="146"/>
      <c r="B149" s="496"/>
      <c r="C149" s="496"/>
      <c r="D149" s="496"/>
      <c r="E149" s="496"/>
      <c r="F149" s="496"/>
      <c r="G149" s="496"/>
      <c r="H149" s="496"/>
      <c r="I149" s="496"/>
      <c r="J149" s="496"/>
      <c r="K149" s="496"/>
      <c r="L149" s="496"/>
      <c r="M149" s="496"/>
      <c r="N149" s="496"/>
      <c r="O149" s="496"/>
      <c r="P149" s="496"/>
      <c r="Q149" s="496"/>
      <c r="R149" s="496"/>
      <c r="S149" s="496"/>
      <c r="T149" s="496"/>
      <c r="U149" s="496"/>
    </row>
    <row r="150" spans="1:21" x14ac:dyDescent="0.2">
      <c r="A150" s="146"/>
      <c r="D150" s="496"/>
    </row>
    <row r="151" spans="1:21" x14ac:dyDescent="0.2">
      <c r="A151" s="146"/>
      <c r="D151" s="496"/>
    </row>
    <row r="152" spans="1:21" s="123" customFormat="1" x14ac:dyDescent="0.2">
      <c r="A152" s="146"/>
      <c r="B152" s="496"/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</row>
    <row r="153" spans="1:21" x14ac:dyDescent="0.2">
      <c r="A153" s="146"/>
      <c r="D153" s="496"/>
    </row>
    <row r="154" spans="1:21" x14ac:dyDescent="0.2">
      <c r="A154" s="146"/>
      <c r="D154" s="496"/>
    </row>
    <row r="155" spans="1:21" s="123" customFormat="1" x14ac:dyDescent="0.2">
      <c r="A155" s="146"/>
      <c r="B155" s="496"/>
      <c r="C155" s="496"/>
      <c r="D155" s="496"/>
      <c r="E155" s="496"/>
      <c r="F155" s="496"/>
      <c r="G155" s="496"/>
      <c r="H155" s="496"/>
      <c r="I155" s="496"/>
      <c r="J155" s="496"/>
      <c r="K155" s="496"/>
      <c r="L155" s="496"/>
      <c r="M155" s="496"/>
      <c r="N155" s="496"/>
      <c r="O155" s="496"/>
      <c r="P155" s="496"/>
      <c r="Q155" s="496"/>
      <c r="R155" s="496"/>
      <c r="S155" s="496"/>
      <c r="T155" s="496"/>
      <c r="U155" s="496"/>
    </row>
    <row r="156" spans="1:21" x14ac:dyDescent="0.2">
      <c r="A156" s="146"/>
      <c r="D156" s="496"/>
    </row>
    <row r="157" spans="1:21" x14ac:dyDescent="0.2">
      <c r="A157" s="146"/>
      <c r="D157" s="496"/>
    </row>
    <row r="158" spans="1:21" s="123" customFormat="1" x14ac:dyDescent="0.2">
      <c r="A158" s="146"/>
      <c r="B158" s="496"/>
      <c r="C158" s="496"/>
      <c r="D158" s="496"/>
      <c r="E158" s="496"/>
      <c r="F158" s="496"/>
      <c r="G158" s="496"/>
      <c r="H158" s="496"/>
      <c r="I158" s="496"/>
      <c r="J158" s="496"/>
      <c r="K158" s="496"/>
      <c r="L158" s="496"/>
      <c r="M158" s="496"/>
      <c r="N158" s="496"/>
      <c r="O158" s="496"/>
      <c r="P158" s="496"/>
      <c r="Q158" s="496"/>
      <c r="R158" s="496"/>
      <c r="S158" s="496"/>
      <c r="T158" s="496"/>
      <c r="U158" s="496"/>
    </row>
    <row r="159" spans="1:21" x14ac:dyDescent="0.2">
      <c r="A159" s="146"/>
      <c r="D159" s="496"/>
    </row>
    <row r="160" spans="1:21" x14ac:dyDescent="0.2">
      <c r="A160" s="146"/>
      <c r="D160" s="496"/>
    </row>
    <row r="161" spans="1:21" s="123" customFormat="1" x14ac:dyDescent="0.2">
      <c r="A161" s="146"/>
      <c r="B161" s="496"/>
      <c r="C161" s="496"/>
      <c r="D161" s="496"/>
      <c r="E161" s="496"/>
      <c r="F161" s="496"/>
      <c r="G161" s="496"/>
      <c r="H161" s="496"/>
      <c r="I161" s="496"/>
      <c r="J161" s="496"/>
      <c r="K161" s="496"/>
      <c r="L161" s="496"/>
      <c r="M161" s="496"/>
      <c r="N161" s="496"/>
      <c r="O161" s="496"/>
      <c r="P161" s="496"/>
      <c r="Q161" s="496"/>
      <c r="R161" s="496"/>
      <c r="S161" s="496"/>
      <c r="T161" s="496"/>
      <c r="U161" s="496"/>
    </row>
    <row r="162" spans="1:21" x14ac:dyDescent="0.2">
      <c r="A162" s="146"/>
      <c r="D162" s="496"/>
    </row>
    <row r="163" spans="1:21" x14ac:dyDescent="0.2">
      <c r="A163" s="146"/>
      <c r="D163" s="496"/>
    </row>
    <row r="164" spans="1:21" s="123" customFormat="1" x14ac:dyDescent="0.2">
      <c r="A164" s="146"/>
      <c r="B164" s="496"/>
      <c r="C164" s="496"/>
      <c r="D164" s="496"/>
      <c r="E164" s="496"/>
      <c r="F164" s="496"/>
      <c r="G164" s="496"/>
      <c r="H164" s="496"/>
      <c r="I164" s="496"/>
      <c r="J164" s="496"/>
      <c r="K164" s="496"/>
      <c r="L164" s="496"/>
      <c r="M164" s="496"/>
      <c r="N164" s="496"/>
      <c r="O164" s="496"/>
      <c r="P164" s="496"/>
      <c r="Q164" s="496"/>
      <c r="R164" s="496"/>
      <c r="S164" s="496"/>
      <c r="T164" s="496"/>
      <c r="U164" s="496"/>
    </row>
    <row r="165" spans="1:21" x14ac:dyDescent="0.2">
      <c r="A165" s="146"/>
      <c r="D165" s="496"/>
    </row>
    <row r="166" spans="1:21" x14ac:dyDescent="0.2">
      <c r="A166" s="146"/>
      <c r="D166" s="496"/>
    </row>
    <row r="167" spans="1:21" s="123" customFormat="1" x14ac:dyDescent="0.2">
      <c r="A167" s="146"/>
      <c r="B167" s="496"/>
      <c r="C167" s="496"/>
      <c r="D167" s="496"/>
      <c r="E167" s="496"/>
      <c r="F167" s="496"/>
      <c r="G167" s="496"/>
      <c r="H167" s="496"/>
      <c r="I167" s="496"/>
      <c r="J167" s="496"/>
      <c r="K167" s="496"/>
      <c r="L167" s="496"/>
      <c r="M167" s="496"/>
      <c r="N167" s="496"/>
      <c r="O167" s="496"/>
      <c r="P167" s="496"/>
      <c r="Q167" s="496"/>
      <c r="R167" s="496"/>
      <c r="S167" s="496"/>
      <c r="T167" s="496"/>
      <c r="U167" s="496"/>
    </row>
    <row r="168" spans="1:21" x14ac:dyDescent="0.2">
      <c r="A168" s="146"/>
      <c r="D168" s="496"/>
    </row>
    <row r="169" spans="1:21" x14ac:dyDescent="0.2">
      <c r="A169" s="146"/>
      <c r="D169" s="496"/>
    </row>
    <row r="170" spans="1:21" s="123" customFormat="1" x14ac:dyDescent="0.2">
      <c r="A170" s="146"/>
      <c r="B170" s="496"/>
      <c r="C170" s="496"/>
      <c r="D170" s="496"/>
      <c r="E170" s="496"/>
      <c r="F170" s="496"/>
      <c r="G170" s="496"/>
      <c r="H170" s="496"/>
      <c r="I170" s="496"/>
      <c r="J170" s="496"/>
      <c r="K170" s="496"/>
      <c r="L170" s="496"/>
      <c r="M170" s="496"/>
      <c r="N170" s="496"/>
      <c r="O170" s="496"/>
      <c r="P170" s="496"/>
      <c r="Q170" s="496"/>
      <c r="R170" s="496"/>
      <c r="S170" s="496"/>
      <c r="T170" s="496"/>
      <c r="U170" s="496"/>
    </row>
    <row r="171" spans="1:21" x14ac:dyDescent="0.2">
      <c r="A171" s="146"/>
      <c r="D171" s="496"/>
    </row>
    <row r="172" spans="1:21" x14ac:dyDescent="0.2">
      <c r="A172" s="146"/>
      <c r="D172" s="496"/>
    </row>
    <row r="173" spans="1:21" s="123" customFormat="1" x14ac:dyDescent="0.2">
      <c r="A173" s="146"/>
      <c r="B173" s="496"/>
      <c r="C173" s="496"/>
      <c r="D173" s="496"/>
      <c r="E173" s="496"/>
      <c r="F173" s="496"/>
      <c r="G173" s="496"/>
      <c r="H173" s="496"/>
      <c r="I173" s="496"/>
      <c r="J173" s="496"/>
      <c r="K173" s="496"/>
      <c r="L173" s="496"/>
      <c r="M173" s="496"/>
      <c r="N173" s="496"/>
      <c r="O173" s="496"/>
      <c r="P173" s="496"/>
      <c r="Q173" s="496"/>
      <c r="R173" s="496"/>
      <c r="S173" s="496"/>
      <c r="T173" s="496"/>
      <c r="U173" s="496"/>
    </row>
    <row r="174" spans="1:21" x14ac:dyDescent="0.2">
      <c r="A174" s="146"/>
      <c r="D174" s="496"/>
    </row>
    <row r="175" spans="1:21" x14ac:dyDescent="0.2">
      <c r="A175" s="146"/>
      <c r="D175" s="496"/>
    </row>
    <row r="176" spans="1:21" s="123" customFormat="1" x14ac:dyDescent="0.2">
      <c r="A176" s="146"/>
      <c r="B176" s="496"/>
      <c r="C176" s="496"/>
      <c r="D176" s="496"/>
      <c r="E176" s="496"/>
      <c r="F176" s="496"/>
      <c r="G176" s="496"/>
      <c r="H176" s="496"/>
      <c r="I176" s="496"/>
      <c r="J176" s="496"/>
      <c r="K176" s="496"/>
      <c r="L176" s="496"/>
      <c r="M176" s="496"/>
      <c r="N176" s="496"/>
      <c r="O176" s="496"/>
      <c r="P176" s="496"/>
      <c r="Q176" s="496"/>
      <c r="R176" s="496"/>
      <c r="S176" s="496"/>
      <c r="T176" s="496"/>
      <c r="U176" s="496"/>
    </row>
    <row r="177" spans="1:21" x14ac:dyDescent="0.2">
      <c r="A177" s="146"/>
      <c r="D177" s="496"/>
    </row>
    <row r="178" spans="1:21" x14ac:dyDescent="0.2">
      <c r="A178" s="146"/>
      <c r="D178" s="496"/>
    </row>
    <row r="179" spans="1:21" s="123" customFormat="1" x14ac:dyDescent="0.2">
      <c r="A179" s="146"/>
      <c r="B179" s="496"/>
      <c r="C179" s="496"/>
      <c r="D179" s="496"/>
      <c r="E179" s="496"/>
      <c r="F179" s="496"/>
      <c r="G179" s="496"/>
      <c r="H179" s="496"/>
      <c r="I179" s="496"/>
      <c r="J179" s="496"/>
      <c r="K179" s="496"/>
      <c r="L179" s="496"/>
      <c r="M179" s="496"/>
      <c r="N179" s="496"/>
      <c r="O179" s="496"/>
      <c r="P179" s="496"/>
      <c r="Q179" s="496"/>
      <c r="R179" s="496"/>
      <c r="S179" s="496"/>
      <c r="T179" s="496"/>
      <c r="U179" s="496"/>
    </row>
    <row r="180" spans="1:21" x14ac:dyDescent="0.2">
      <c r="A180" s="146"/>
      <c r="D180" s="496"/>
    </row>
    <row r="181" spans="1:21" x14ac:dyDescent="0.2">
      <c r="A181" s="146"/>
      <c r="D181" s="496"/>
    </row>
    <row r="182" spans="1:21" s="123" customFormat="1" x14ac:dyDescent="0.2">
      <c r="A182" s="146"/>
      <c r="B182" s="496"/>
      <c r="C182" s="496"/>
      <c r="D182" s="496"/>
      <c r="E182" s="496"/>
      <c r="F182" s="496"/>
      <c r="G182" s="496"/>
      <c r="H182" s="496"/>
      <c r="I182" s="496"/>
      <c r="J182" s="496"/>
      <c r="K182" s="496"/>
      <c r="L182" s="496"/>
      <c r="M182" s="496"/>
      <c r="N182" s="496"/>
      <c r="O182" s="496"/>
      <c r="P182" s="496"/>
      <c r="Q182" s="496"/>
      <c r="R182" s="496"/>
      <c r="S182" s="496"/>
      <c r="T182" s="496"/>
      <c r="U182" s="496"/>
    </row>
    <row r="183" spans="1:21" x14ac:dyDescent="0.2">
      <c r="A183" s="146"/>
      <c r="D183" s="496"/>
    </row>
    <row r="184" spans="1:21" x14ac:dyDescent="0.2">
      <c r="A184" s="146"/>
      <c r="D184" s="496"/>
    </row>
    <row r="185" spans="1:21" s="123" customFormat="1" x14ac:dyDescent="0.2">
      <c r="A185" s="146"/>
      <c r="B185" s="496"/>
      <c r="C185" s="496"/>
      <c r="D185" s="496"/>
      <c r="E185" s="496"/>
      <c r="F185" s="496"/>
      <c r="G185" s="496"/>
      <c r="H185" s="496"/>
      <c r="I185" s="496"/>
      <c r="J185" s="496"/>
      <c r="K185" s="496"/>
      <c r="L185" s="496"/>
      <c r="M185" s="496"/>
      <c r="N185" s="496"/>
      <c r="O185" s="496"/>
      <c r="P185" s="496"/>
      <c r="Q185" s="496"/>
      <c r="R185" s="496"/>
      <c r="S185" s="496"/>
      <c r="T185" s="496"/>
      <c r="U185" s="496"/>
    </row>
    <row r="186" spans="1:21" x14ac:dyDescent="0.2">
      <c r="A186" s="146"/>
      <c r="D186" s="496"/>
    </row>
    <row r="187" spans="1:21" x14ac:dyDescent="0.2">
      <c r="A187" s="146"/>
      <c r="D187" s="496"/>
    </row>
    <row r="188" spans="1:21" s="123" customFormat="1" x14ac:dyDescent="0.2">
      <c r="A188" s="146"/>
      <c r="B188" s="496"/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</row>
    <row r="189" spans="1:21" x14ac:dyDescent="0.2">
      <c r="A189" s="146"/>
      <c r="D189" s="496"/>
    </row>
    <row r="190" spans="1:21" x14ac:dyDescent="0.2">
      <c r="A190" s="146"/>
      <c r="D190" s="496"/>
    </row>
    <row r="191" spans="1:21" s="123" customFormat="1" x14ac:dyDescent="0.2">
      <c r="A191" s="146"/>
      <c r="B191" s="496"/>
      <c r="C191" s="496"/>
      <c r="D191" s="496"/>
      <c r="E191" s="496"/>
      <c r="F191" s="496"/>
      <c r="G191" s="496"/>
      <c r="H191" s="496"/>
      <c r="I191" s="496"/>
      <c r="J191" s="496"/>
      <c r="K191" s="496"/>
      <c r="L191" s="496"/>
      <c r="M191" s="496"/>
      <c r="N191" s="496"/>
      <c r="O191" s="496"/>
      <c r="P191" s="496"/>
      <c r="Q191" s="496"/>
      <c r="R191" s="496"/>
      <c r="S191" s="496"/>
      <c r="T191" s="496"/>
      <c r="U191" s="496"/>
    </row>
    <row r="192" spans="1:21" x14ac:dyDescent="0.2">
      <c r="A192" s="146"/>
      <c r="D192" s="496"/>
    </row>
    <row r="193" spans="1:21" x14ac:dyDescent="0.2">
      <c r="A193" s="146"/>
      <c r="D193" s="496"/>
    </row>
    <row r="194" spans="1:21" s="123" customFormat="1" x14ac:dyDescent="0.2">
      <c r="A194" s="146"/>
      <c r="B194" s="496"/>
      <c r="C194" s="496"/>
      <c r="D194" s="496"/>
      <c r="E194" s="496"/>
      <c r="F194" s="496"/>
      <c r="G194" s="496"/>
      <c r="H194" s="496"/>
      <c r="I194" s="496"/>
      <c r="J194" s="496"/>
      <c r="K194" s="496"/>
      <c r="L194" s="496"/>
      <c r="M194" s="496"/>
      <c r="N194" s="496"/>
      <c r="O194" s="496"/>
      <c r="P194" s="496"/>
      <c r="Q194" s="496"/>
      <c r="R194" s="496"/>
      <c r="S194" s="496"/>
      <c r="T194" s="496"/>
      <c r="U194" s="496"/>
    </row>
    <row r="195" spans="1:21" x14ac:dyDescent="0.2">
      <c r="A195" s="146"/>
      <c r="D195" s="496"/>
    </row>
    <row r="196" spans="1:21" x14ac:dyDescent="0.2">
      <c r="A196" s="146"/>
      <c r="D196" s="496"/>
    </row>
    <row r="197" spans="1:21" s="123" customFormat="1" x14ac:dyDescent="0.2">
      <c r="A197" s="146"/>
      <c r="B197" s="496"/>
      <c r="C197" s="496"/>
      <c r="D197" s="496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/>
      <c r="R197" s="496"/>
      <c r="S197" s="496"/>
      <c r="T197" s="496"/>
      <c r="U197" s="496"/>
    </row>
    <row r="198" spans="1:21" x14ac:dyDescent="0.2">
      <c r="A198" s="146"/>
      <c r="D198" s="496"/>
    </row>
    <row r="199" spans="1:21" x14ac:dyDescent="0.2">
      <c r="A199" s="146"/>
      <c r="D199" s="496"/>
    </row>
    <row r="200" spans="1:21" s="123" customFormat="1" x14ac:dyDescent="0.2">
      <c r="A200" s="146"/>
      <c r="B200" s="496"/>
      <c r="C200" s="496"/>
      <c r="D200" s="496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/>
      <c r="R200" s="496"/>
      <c r="S200" s="496"/>
      <c r="T200" s="496"/>
      <c r="U200" s="496"/>
    </row>
    <row r="201" spans="1:21" x14ac:dyDescent="0.2">
      <c r="A201" s="146"/>
      <c r="D201" s="496"/>
    </row>
    <row r="202" spans="1:21" x14ac:dyDescent="0.2">
      <c r="A202" s="146"/>
      <c r="D202" s="496"/>
    </row>
    <row r="203" spans="1:21" s="123" customFormat="1" x14ac:dyDescent="0.2">
      <c r="A203" s="146"/>
      <c r="B203" s="496"/>
      <c r="C203" s="496"/>
      <c r="D203" s="496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/>
      <c r="R203" s="496"/>
      <c r="S203" s="496"/>
      <c r="T203" s="496"/>
      <c r="U203" s="496"/>
    </row>
    <row r="204" spans="1:21" x14ac:dyDescent="0.2">
      <c r="A204" s="146"/>
      <c r="D204" s="496"/>
    </row>
    <row r="205" spans="1:21" x14ac:dyDescent="0.2">
      <c r="A205" s="146"/>
      <c r="D205" s="496"/>
    </row>
    <row r="206" spans="1:21" s="123" customFormat="1" x14ac:dyDescent="0.2">
      <c r="A206" s="146"/>
      <c r="B206" s="496"/>
      <c r="C206" s="496"/>
      <c r="D206" s="496"/>
      <c r="E206" s="496"/>
      <c r="F206" s="496"/>
      <c r="G206" s="496"/>
      <c r="H206" s="496"/>
      <c r="I206" s="496"/>
      <c r="J206" s="496"/>
      <c r="K206" s="496"/>
      <c r="L206" s="496"/>
      <c r="M206" s="496"/>
      <c r="N206" s="496"/>
      <c r="O206" s="496"/>
      <c r="P206" s="496"/>
      <c r="Q206" s="496"/>
      <c r="R206" s="496"/>
      <c r="S206" s="496"/>
      <c r="T206" s="496"/>
      <c r="U206" s="496"/>
    </row>
    <row r="207" spans="1:21" x14ac:dyDescent="0.2">
      <c r="A207" s="146"/>
      <c r="D207" s="496"/>
    </row>
    <row r="208" spans="1:21" x14ac:dyDescent="0.2">
      <c r="A208" s="146"/>
      <c r="D208" s="496"/>
    </row>
    <row r="209" spans="1:21" s="123" customFormat="1" x14ac:dyDescent="0.2">
      <c r="A209" s="146"/>
      <c r="B209" s="496"/>
      <c r="C209" s="496"/>
      <c r="D209" s="496"/>
      <c r="E209" s="496"/>
      <c r="F209" s="496"/>
      <c r="G209" s="496"/>
      <c r="H209" s="496"/>
      <c r="I209" s="496"/>
      <c r="J209" s="496"/>
      <c r="K209" s="496"/>
      <c r="L209" s="496"/>
      <c r="M209" s="496"/>
      <c r="N209" s="496"/>
      <c r="O209" s="496"/>
      <c r="P209" s="496"/>
      <c r="Q209" s="496"/>
      <c r="R209" s="496"/>
      <c r="S209" s="496"/>
      <c r="T209" s="496"/>
      <c r="U209" s="496"/>
    </row>
    <row r="210" spans="1:21" x14ac:dyDescent="0.2">
      <c r="A210" s="146"/>
      <c r="D210" s="496"/>
    </row>
    <row r="211" spans="1:21" x14ac:dyDescent="0.2">
      <c r="A211" s="146"/>
      <c r="D211" s="496"/>
    </row>
    <row r="212" spans="1:21" s="123" customFormat="1" x14ac:dyDescent="0.2">
      <c r="A212" s="146"/>
      <c r="B212" s="496"/>
      <c r="C212" s="496"/>
      <c r="D212" s="496"/>
      <c r="E212" s="496"/>
      <c r="F212" s="496"/>
      <c r="G212" s="496"/>
      <c r="H212" s="496"/>
      <c r="I212" s="496"/>
      <c r="J212" s="496"/>
      <c r="K212" s="496"/>
      <c r="L212" s="496"/>
      <c r="M212" s="496"/>
      <c r="N212" s="496"/>
      <c r="O212" s="496"/>
      <c r="P212" s="496"/>
      <c r="Q212" s="496"/>
      <c r="R212" s="496"/>
      <c r="S212" s="496"/>
      <c r="T212" s="496"/>
      <c r="U212" s="496"/>
    </row>
    <row r="213" spans="1:21" x14ac:dyDescent="0.2">
      <c r="A213" s="146"/>
      <c r="D213" s="496"/>
    </row>
    <row r="214" spans="1:21" x14ac:dyDescent="0.2">
      <c r="A214" s="146"/>
      <c r="D214" s="496"/>
    </row>
    <row r="215" spans="1:21" s="123" customFormat="1" x14ac:dyDescent="0.2">
      <c r="A215" s="146"/>
      <c r="B215" s="496"/>
      <c r="C215" s="496"/>
      <c r="D215" s="496"/>
      <c r="E215" s="496"/>
      <c r="F215" s="496"/>
      <c r="G215" s="496"/>
      <c r="H215" s="496"/>
      <c r="I215" s="496"/>
      <c r="J215" s="496"/>
      <c r="K215" s="496"/>
      <c r="L215" s="496"/>
      <c r="M215" s="496"/>
      <c r="N215" s="496"/>
      <c r="O215" s="496"/>
      <c r="P215" s="496"/>
      <c r="Q215" s="496"/>
      <c r="R215" s="496"/>
      <c r="S215" s="496"/>
      <c r="T215" s="496"/>
      <c r="U215" s="496"/>
    </row>
    <row r="216" spans="1:21" x14ac:dyDescent="0.2">
      <c r="A216" s="146"/>
      <c r="D216" s="496"/>
    </row>
    <row r="217" spans="1:21" x14ac:dyDescent="0.2">
      <c r="A217" s="146"/>
      <c r="D217" s="496"/>
    </row>
    <row r="218" spans="1:21" s="123" customFormat="1" x14ac:dyDescent="0.2">
      <c r="A218" s="146"/>
      <c r="B218" s="496"/>
      <c r="C218" s="496"/>
      <c r="D218" s="496"/>
      <c r="E218" s="496"/>
      <c r="F218" s="496"/>
      <c r="G218" s="496"/>
      <c r="H218" s="496"/>
      <c r="I218" s="496"/>
      <c r="J218" s="496"/>
      <c r="K218" s="496"/>
      <c r="L218" s="496"/>
      <c r="M218" s="496"/>
      <c r="N218" s="496"/>
      <c r="O218" s="496"/>
      <c r="P218" s="496"/>
      <c r="Q218" s="496"/>
      <c r="R218" s="496"/>
      <c r="S218" s="496"/>
      <c r="T218" s="496"/>
      <c r="U218" s="496"/>
    </row>
    <row r="219" spans="1:21" x14ac:dyDescent="0.2">
      <c r="A219" s="146"/>
      <c r="D219" s="496"/>
    </row>
    <row r="220" spans="1:21" x14ac:dyDescent="0.2">
      <c r="A220" s="146"/>
      <c r="D220" s="496"/>
    </row>
    <row r="221" spans="1:21" s="123" customFormat="1" x14ac:dyDescent="0.2">
      <c r="A221" s="146"/>
      <c r="B221" s="496"/>
      <c r="C221" s="496"/>
      <c r="D221" s="496"/>
      <c r="E221" s="496"/>
      <c r="F221" s="496"/>
      <c r="G221" s="496"/>
      <c r="H221" s="496"/>
      <c r="I221" s="496"/>
      <c r="J221" s="496"/>
      <c r="K221" s="496"/>
      <c r="L221" s="496"/>
      <c r="M221" s="496"/>
      <c r="N221" s="496"/>
      <c r="O221" s="496"/>
      <c r="P221" s="496"/>
      <c r="Q221" s="496"/>
      <c r="R221" s="496"/>
      <c r="S221" s="496"/>
      <c r="T221" s="496"/>
      <c r="U221" s="496"/>
    </row>
    <row r="222" spans="1:21" x14ac:dyDescent="0.2">
      <c r="A222" s="146"/>
      <c r="D222" s="496"/>
    </row>
    <row r="223" spans="1:21" x14ac:dyDescent="0.2">
      <c r="A223" s="146"/>
      <c r="D223" s="496"/>
    </row>
    <row r="224" spans="1:21" s="123" customFormat="1" x14ac:dyDescent="0.2">
      <c r="A224" s="146"/>
      <c r="B224" s="496"/>
      <c r="C224" s="496"/>
      <c r="D224" s="496"/>
      <c r="E224" s="496"/>
      <c r="F224" s="496"/>
      <c r="G224" s="496"/>
      <c r="H224" s="496"/>
      <c r="I224" s="496"/>
      <c r="J224" s="496"/>
      <c r="K224" s="496"/>
      <c r="L224" s="496"/>
      <c r="M224" s="496"/>
      <c r="N224" s="496"/>
      <c r="O224" s="496"/>
      <c r="P224" s="496"/>
      <c r="Q224" s="496"/>
      <c r="R224" s="496"/>
      <c r="S224" s="496"/>
      <c r="T224" s="496"/>
      <c r="U224" s="496"/>
    </row>
    <row r="225" spans="1:21" x14ac:dyDescent="0.2">
      <c r="A225" s="146"/>
      <c r="D225" s="496"/>
    </row>
    <row r="226" spans="1:21" x14ac:dyDescent="0.2">
      <c r="A226" s="146"/>
      <c r="D226" s="496"/>
    </row>
    <row r="227" spans="1:21" s="123" customFormat="1" x14ac:dyDescent="0.2">
      <c r="A227" s="146"/>
      <c r="B227" s="496"/>
      <c r="C227" s="496"/>
      <c r="D227" s="496"/>
      <c r="E227" s="496"/>
      <c r="F227" s="496"/>
      <c r="G227" s="496"/>
      <c r="H227" s="496"/>
      <c r="I227" s="496"/>
      <c r="J227" s="496"/>
      <c r="K227" s="496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</row>
    <row r="228" spans="1:21" x14ac:dyDescent="0.2">
      <c r="A228" s="146"/>
      <c r="D228" s="496"/>
    </row>
    <row r="229" spans="1:21" x14ac:dyDescent="0.2">
      <c r="A229" s="146"/>
      <c r="D229" s="496"/>
    </row>
    <row r="230" spans="1:21" s="123" customFormat="1" x14ac:dyDescent="0.2">
      <c r="A230" s="14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</row>
    <row r="231" spans="1:21" x14ac:dyDescent="0.2">
      <c r="A231" s="146"/>
      <c r="D231" s="496"/>
    </row>
    <row r="232" spans="1:21" x14ac:dyDescent="0.2">
      <c r="A232" s="146"/>
      <c r="D232" s="496"/>
    </row>
    <row r="233" spans="1:21" s="123" customFormat="1" x14ac:dyDescent="0.2">
      <c r="A233" s="14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</row>
    <row r="234" spans="1:21" x14ac:dyDescent="0.2">
      <c r="A234" s="146"/>
      <c r="D234" s="496"/>
    </row>
    <row r="235" spans="1:21" x14ac:dyDescent="0.2">
      <c r="A235" s="146"/>
      <c r="D235" s="496"/>
    </row>
    <row r="236" spans="1:21" s="123" customFormat="1" x14ac:dyDescent="0.2">
      <c r="A236" s="146"/>
      <c r="B236" s="496"/>
      <c r="C236" s="496"/>
      <c r="D236" s="496"/>
      <c r="E236" s="496"/>
      <c r="F236" s="496"/>
      <c r="G236" s="496"/>
      <c r="H236" s="496"/>
      <c r="I236" s="496"/>
      <c r="J236" s="496"/>
      <c r="K236" s="496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</row>
    <row r="237" spans="1:21" x14ac:dyDescent="0.2">
      <c r="A237" s="146"/>
      <c r="D237" s="496"/>
    </row>
    <row r="238" spans="1:21" x14ac:dyDescent="0.2">
      <c r="A238" s="146"/>
      <c r="D238" s="496"/>
    </row>
    <row r="239" spans="1:21" s="123" customFormat="1" x14ac:dyDescent="0.2">
      <c r="A239" s="146"/>
      <c r="B239" s="496"/>
      <c r="C239" s="496"/>
      <c r="D239" s="496"/>
      <c r="E239" s="496"/>
      <c r="F239" s="496"/>
      <c r="G239" s="496"/>
      <c r="H239" s="496"/>
      <c r="I239" s="496"/>
      <c r="J239" s="496"/>
      <c r="K239" s="496"/>
      <c r="L239" s="496"/>
      <c r="M239" s="496"/>
      <c r="N239" s="496"/>
      <c r="O239" s="496"/>
      <c r="P239" s="496"/>
      <c r="Q239" s="496"/>
      <c r="R239" s="496"/>
      <c r="S239" s="496"/>
      <c r="T239" s="496"/>
      <c r="U239" s="496"/>
    </row>
    <row r="240" spans="1:21" x14ac:dyDescent="0.2">
      <c r="A240" s="146"/>
      <c r="D240" s="496"/>
    </row>
    <row r="241" spans="1:21" x14ac:dyDescent="0.2">
      <c r="A241" s="146"/>
      <c r="D241" s="496"/>
    </row>
    <row r="242" spans="1:21" s="123" customFormat="1" x14ac:dyDescent="0.2">
      <c r="A242" s="146"/>
      <c r="B242" s="496"/>
      <c r="C242" s="496"/>
      <c r="D242" s="496"/>
      <c r="E242" s="496"/>
      <c r="F242" s="496"/>
      <c r="G242" s="496"/>
      <c r="H242" s="496"/>
      <c r="I242" s="496"/>
      <c r="J242" s="496"/>
      <c r="K242" s="496"/>
      <c r="L242" s="496"/>
      <c r="M242" s="496"/>
      <c r="N242" s="496"/>
      <c r="O242" s="496"/>
      <c r="P242" s="496"/>
      <c r="Q242" s="496"/>
      <c r="R242" s="496"/>
      <c r="S242" s="496"/>
      <c r="T242" s="496"/>
      <c r="U242" s="496"/>
    </row>
    <row r="243" spans="1:21" x14ac:dyDescent="0.2">
      <c r="A243" s="146"/>
      <c r="D243" s="496"/>
    </row>
    <row r="244" spans="1:21" x14ac:dyDescent="0.2">
      <c r="A244" s="146"/>
      <c r="D244" s="496"/>
    </row>
    <row r="245" spans="1:21" s="123" customFormat="1" x14ac:dyDescent="0.2">
      <c r="A245" s="146"/>
      <c r="B245" s="496"/>
      <c r="C245" s="496"/>
      <c r="D245" s="496"/>
      <c r="E245" s="496"/>
      <c r="F245" s="496"/>
      <c r="G245" s="496"/>
      <c r="H245" s="496"/>
      <c r="I245" s="496"/>
      <c r="J245" s="496"/>
      <c r="K245" s="496"/>
      <c r="L245" s="496"/>
      <c r="M245" s="496"/>
      <c r="N245" s="496"/>
      <c r="O245" s="496"/>
      <c r="P245" s="496"/>
      <c r="Q245" s="496"/>
      <c r="R245" s="496"/>
      <c r="S245" s="496"/>
      <c r="T245" s="496"/>
      <c r="U245" s="496"/>
    </row>
    <row r="246" spans="1:21" x14ac:dyDescent="0.2">
      <c r="A246" s="146"/>
      <c r="D246" s="496"/>
    </row>
    <row r="247" spans="1:21" x14ac:dyDescent="0.2">
      <c r="A247" s="146"/>
      <c r="D247" s="496"/>
    </row>
    <row r="248" spans="1:21" s="123" customFormat="1" x14ac:dyDescent="0.2">
      <c r="A248" s="146"/>
      <c r="B248" s="496"/>
      <c r="C248" s="496"/>
      <c r="D248" s="496"/>
      <c r="E248" s="496"/>
      <c r="F248" s="496"/>
      <c r="G248" s="496"/>
      <c r="H248" s="496"/>
      <c r="I248" s="496"/>
      <c r="J248" s="496"/>
      <c r="K248" s="496"/>
      <c r="L248" s="496"/>
      <c r="M248" s="496"/>
      <c r="N248" s="496"/>
      <c r="O248" s="496"/>
      <c r="P248" s="496"/>
      <c r="Q248" s="496"/>
      <c r="R248" s="496"/>
      <c r="S248" s="496"/>
      <c r="T248" s="496"/>
      <c r="U248" s="496"/>
    </row>
    <row r="249" spans="1:21" x14ac:dyDescent="0.2">
      <c r="A249" s="146"/>
      <c r="D249" s="496"/>
    </row>
    <row r="250" spans="1:21" x14ac:dyDescent="0.2">
      <c r="A250" s="146"/>
      <c r="D250" s="496"/>
    </row>
    <row r="251" spans="1:21" s="123" customFormat="1" x14ac:dyDescent="0.2">
      <c r="A251" s="146"/>
      <c r="B251" s="496"/>
      <c r="C251" s="496"/>
      <c r="D251" s="496"/>
      <c r="E251" s="496"/>
      <c r="F251" s="496"/>
      <c r="G251" s="496"/>
      <c r="H251" s="496"/>
      <c r="I251" s="496"/>
      <c r="J251" s="496"/>
      <c r="K251" s="496"/>
      <c r="L251" s="496"/>
      <c r="M251" s="496"/>
      <c r="N251" s="496"/>
      <c r="O251" s="496"/>
      <c r="P251" s="496"/>
      <c r="Q251" s="496"/>
      <c r="R251" s="496"/>
      <c r="S251" s="496"/>
      <c r="T251" s="496"/>
      <c r="U251" s="496"/>
    </row>
    <row r="252" spans="1:21" x14ac:dyDescent="0.2">
      <c r="A252" s="146"/>
      <c r="D252" s="496"/>
    </row>
    <row r="253" spans="1:21" x14ac:dyDescent="0.2">
      <c r="A253" s="146"/>
      <c r="D253" s="496"/>
    </row>
    <row r="254" spans="1:21" s="123" customFormat="1" x14ac:dyDescent="0.2">
      <c r="A254" s="146"/>
      <c r="B254" s="496"/>
      <c r="C254" s="496"/>
      <c r="D254" s="496"/>
      <c r="E254" s="496"/>
      <c r="F254" s="496"/>
      <c r="G254" s="496"/>
      <c r="H254" s="496"/>
      <c r="I254" s="496"/>
      <c r="J254" s="496"/>
      <c r="K254" s="496"/>
      <c r="L254" s="496"/>
      <c r="M254" s="496"/>
      <c r="N254" s="496"/>
      <c r="O254" s="496"/>
      <c r="P254" s="496"/>
      <c r="Q254" s="496"/>
      <c r="R254" s="496"/>
      <c r="S254" s="496"/>
      <c r="T254" s="496"/>
      <c r="U254" s="496"/>
    </row>
    <row r="255" spans="1:21" x14ac:dyDescent="0.2">
      <c r="A255" s="146"/>
      <c r="D255" s="496"/>
    </row>
    <row r="256" spans="1:21" x14ac:dyDescent="0.2">
      <c r="A256" s="146"/>
      <c r="D256" s="496"/>
    </row>
    <row r="257" spans="1:21" s="123" customFormat="1" x14ac:dyDescent="0.2">
      <c r="A257" s="146"/>
      <c r="B257" s="496"/>
      <c r="C257" s="496"/>
      <c r="D257" s="496"/>
      <c r="E257" s="496"/>
      <c r="F257" s="496"/>
      <c r="G257" s="496"/>
      <c r="H257" s="496"/>
      <c r="I257" s="496"/>
      <c r="J257" s="496"/>
      <c r="K257" s="496"/>
      <c r="L257" s="496"/>
      <c r="M257" s="496"/>
      <c r="N257" s="496"/>
      <c r="O257" s="496"/>
      <c r="P257" s="496"/>
      <c r="Q257" s="496"/>
      <c r="R257" s="496"/>
      <c r="S257" s="496"/>
      <c r="T257" s="496"/>
      <c r="U257" s="496"/>
    </row>
    <row r="258" spans="1:21" x14ac:dyDescent="0.2">
      <c r="A258" s="146"/>
      <c r="D258" s="496"/>
    </row>
    <row r="259" spans="1:21" x14ac:dyDescent="0.2">
      <c r="A259" s="146"/>
      <c r="D259" s="496"/>
    </row>
    <row r="260" spans="1:21" s="123" customFormat="1" x14ac:dyDescent="0.2">
      <c r="A260" s="146"/>
      <c r="B260" s="496"/>
      <c r="C260" s="496"/>
      <c r="D260" s="496"/>
      <c r="E260" s="496"/>
      <c r="F260" s="496"/>
      <c r="G260" s="496"/>
      <c r="H260" s="496"/>
      <c r="I260" s="496"/>
      <c r="J260" s="496"/>
      <c r="K260" s="496"/>
      <c r="L260" s="496"/>
      <c r="M260" s="496"/>
      <c r="N260" s="496"/>
      <c r="O260" s="496"/>
      <c r="P260" s="496"/>
      <c r="Q260" s="496"/>
      <c r="R260" s="496"/>
      <c r="S260" s="496"/>
      <c r="T260" s="496"/>
      <c r="U260" s="496"/>
    </row>
    <row r="261" spans="1:21" x14ac:dyDescent="0.2">
      <c r="A261" s="146"/>
      <c r="D261" s="496"/>
    </row>
    <row r="262" spans="1:21" x14ac:dyDescent="0.2">
      <c r="A262" s="146"/>
      <c r="D262" s="496"/>
    </row>
    <row r="263" spans="1:21" s="123" customFormat="1" x14ac:dyDescent="0.2">
      <c r="A263" s="146"/>
      <c r="B263" s="496"/>
      <c r="C263" s="496"/>
      <c r="D263" s="496"/>
      <c r="E263" s="496"/>
      <c r="F263" s="496"/>
      <c r="G263" s="496"/>
      <c r="H263" s="496"/>
      <c r="I263" s="496"/>
      <c r="J263" s="496"/>
      <c r="K263" s="496"/>
      <c r="L263" s="496"/>
      <c r="M263" s="496"/>
      <c r="N263" s="496"/>
      <c r="O263" s="496"/>
      <c r="P263" s="496"/>
      <c r="Q263" s="496"/>
      <c r="R263" s="496"/>
      <c r="S263" s="496"/>
      <c r="T263" s="496"/>
      <c r="U263" s="496"/>
    </row>
    <row r="264" spans="1:21" x14ac:dyDescent="0.2">
      <c r="A264" s="146"/>
      <c r="D264" s="496"/>
    </row>
    <row r="265" spans="1:21" x14ac:dyDescent="0.2">
      <c r="A265" s="146"/>
      <c r="D265" s="496"/>
    </row>
    <row r="266" spans="1:21" s="123" customFormat="1" x14ac:dyDescent="0.2">
      <c r="A266" s="146"/>
      <c r="B266" s="496"/>
      <c r="C266" s="496"/>
      <c r="D266" s="496"/>
      <c r="E266" s="496"/>
      <c r="F266" s="496"/>
      <c r="G266" s="496"/>
      <c r="H266" s="496"/>
      <c r="I266" s="496"/>
      <c r="J266" s="496"/>
      <c r="K266" s="496"/>
      <c r="L266" s="496"/>
      <c r="M266" s="496"/>
      <c r="N266" s="496"/>
      <c r="O266" s="496"/>
      <c r="P266" s="496"/>
      <c r="Q266" s="496"/>
      <c r="R266" s="496"/>
      <c r="S266" s="496"/>
      <c r="T266" s="496"/>
      <c r="U266" s="496"/>
    </row>
    <row r="267" spans="1:21" x14ac:dyDescent="0.2">
      <c r="A267" s="146"/>
      <c r="D267" s="496"/>
    </row>
    <row r="268" spans="1:21" x14ac:dyDescent="0.2">
      <c r="A268" s="146"/>
      <c r="D268" s="496"/>
    </row>
    <row r="269" spans="1:21" s="123" customFormat="1" x14ac:dyDescent="0.2">
      <c r="A269" s="146"/>
      <c r="B269" s="496"/>
      <c r="C269" s="496"/>
      <c r="D269" s="496"/>
      <c r="E269" s="496"/>
      <c r="F269" s="496"/>
      <c r="G269" s="496"/>
      <c r="H269" s="496"/>
      <c r="I269" s="496"/>
      <c r="J269" s="496"/>
      <c r="K269" s="496"/>
      <c r="L269" s="496"/>
      <c r="M269" s="496"/>
      <c r="N269" s="496"/>
      <c r="O269" s="496"/>
      <c r="P269" s="496"/>
      <c r="Q269" s="496"/>
      <c r="R269" s="496"/>
      <c r="S269" s="496"/>
      <c r="T269" s="496"/>
      <c r="U269" s="496"/>
    </row>
    <row r="270" spans="1:21" x14ac:dyDescent="0.2">
      <c r="A270" s="146"/>
      <c r="D270" s="496"/>
    </row>
    <row r="271" spans="1:21" x14ac:dyDescent="0.2">
      <c r="A271" s="146"/>
      <c r="D271" s="496"/>
    </row>
    <row r="272" spans="1:21" s="123" customFormat="1" x14ac:dyDescent="0.2">
      <c r="A272" s="146"/>
      <c r="B272" s="496"/>
      <c r="C272" s="496"/>
      <c r="D272" s="496"/>
      <c r="E272" s="496"/>
      <c r="F272" s="496"/>
      <c r="G272" s="496"/>
      <c r="H272" s="496"/>
      <c r="I272" s="496"/>
      <c r="J272" s="496"/>
      <c r="K272" s="496"/>
      <c r="L272" s="496"/>
      <c r="M272" s="496"/>
      <c r="N272" s="496"/>
      <c r="O272" s="496"/>
      <c r="P272" s="496"/>
      <c r="Q272" s="496"/>
      <c r="R272" s="496"/>
      <c r="S272" s="496"/>
      <c r="T272" s="496"/>
      <c r="U272" s="496"/>
    </row>
    <row r="273" spans="1:21" x14ac:dyDescent="0.2">
      <c r="A273" s="146"/>
      <c r="D273" s="496"/>
    </row>
    <row r="274" spans="1:21" x14ac:dyDescent="0.2">
      <c r="A274" s="146"/>
      <c r="D274" s="496"/>
    </row>
    <row r="275" spans="1:21" s="123" customFormat="1" x14ac:dyDescent="0.2">
      <c r="A275" s="146"/>
      <c r="B275" s="496"/>
      <c r="C275" s="496"/>
      <c r="D275" s="496"/>
      <c r="E275" s="496"/>
      <c r="F275" s="496"/>
      <c r="G275" s="496"/>
      <c r="H275" s="496"/>
      <c r="I275" s="496"/>
      <c r="J275" s="496"/>
      <c r="K275" s="496"/>
      <c r="L275" s="496"/>
      <c r="M275" s="496"/>
      <c r="N275" s="496"/>
      <c r="O275" s="496"/>
      <c r="P275" s="496"/>
      <c r="Q275" s="496"/>
      <c r="R275" s="496"/>
      <c r="S275" s="496"/>
      <c r="T275" s="496"/>
      <c r="U275" s="496"/>
    </row>
    <row r="276" spans="1:21" x14ac:dyDescent="0.2">
      <c r="A276" s="146"/>
      <c r="D276" s="496"/>
    </row>
    <row r="277" spans="1:21" x14ac:dyDescent="0.2">
      <c r="A277" s="146"/>
      <c r="D277" s="496"/>
    </row>
    <row r="278" spans="1:21" s="123" customFormat="1" x14ac:dyDescent="0.2">
      <c r="A278" s="146"/>
      <c r="B278" s="496"/>
      <c r="C278" s="496"/>
      <c r="D278" s="496"/>
      <c r="E278" s="496"/>
      <c r="F278" s="496"/>
      <c r="G278" s="496"/>
      <c r="H278" s="496"/>
      <c r="I278" s="496"/>
      <c r="J278" s="496"/>
      <c r="K278" s="496"/>
      <c r="L278" s="496"/>
      <c r="M278" s="496"/>
      <c r="N278" s="496"/>
      <c r="O278" s="496"/>
      <c r="P278" s="496"/>
      <c r="Q278" s="496"/>
      <c r="R278" s="496"/>
      <c r="S278" s="496"/>
      <c r="T278" s="496"/>
      <c r="U278" s="496"/>
    </row>
    <row r="279" spans="1:21" x14ac:dyDescent="0.2">
      <c r="A279" s="146"/>
      <c r="D279" s="496"/>
    </row>
    <row r="280" spans="1:21" x14ac:dyDescent="0.2">
      <c r="A280" s="146"/>
      <c r="D280" s="496"/>
    </row>
    <row r="281" spans="1:21" s="123" customFormat="1" x14ac:dyDescent="0.2">
      <c r="A281" s="146"/>
      <c r="B281" s="496"/>
      <c r="C281" s="496"/>
      <c r="D281" s="496"/>
      <c r="E281" s="496"/>
      <c r="F281" s="496"/>
      <c r="G281" s="496"/>
      <c r="H281" s="496"/>
      <c r="I281" s="496"/>
      <c r="J281" s="496"/>
      <c r="K281" s="496"/>
      <c r="L281" s="496"/>
      <c r="M281" s="496"/>
      <c r="N281" s="496"/>
      <c r="O281" s="496"/>
      <c r="P281" s="496"/>
      <c r="Q281" s="496"/>
      <c r="R281" s="496"/>
      <c r="S281" s="496"/>
      <c r="T281" s="496"/>
      <c r="U281" s="496"/>
    </row>
    <row r="282" spans="1:21" x14ac:dyDescent="0.2">
      <c r="A282" s="146"/>
      <c r="D282" s="496"/>
    </row>
    <row r="283" spans="1:21" x14ac:dyDescent="0.2">
      <c r="A283" s="146"/>
      <c r="D283" s="496"/>
    </row>
    <row r="284" spans="1:21" s="123" customFormat="1" x14ac:dyDescent="0.2">
      <c r="A284" s="146"/>
      <c r="B284" s="496"/>
      <c r="C284" s="496"/>
      <c r="D284" s="496"/>
      <c r="E284" s="496"/>
      <c r="F284" s="496"/>
      <c r="G284" s="496"/>
      <c r="H284" s="496"/>
      <c r="I284" s="496"/>
      <c r="J284" s="496"/>
      <c r="K284" s="496"/>
      <c r="L284" s="496"/>
      <c r="M284" s="496"/>
      <c r="N284" s="496"/>
      <c r="O284" s="496"/>
      <c r="P284" s="496"/>
      <c r="Q284" s="496"/>
      <c r="R284" s="496"/>
      <c r="S284" s="496"/>
      <c r="T284" s="496"/>
      <c r="U284" s="496"/>
    </row>
    <row r="285" spans="1:21" x14ac:dyDescent="0.2">
      <c r="A285" s="146"/>
      <c r="D285" s="496"/>
    </row>
    <row r="286" spans="1:21" x14ac:dyDescent="0.2">
      <c r="A286" s="146"/>
      <c r="D286" s="496"/>
    </row>
    <row r="287" spans="1:21" s="123" customFormat="1" x14ac:dyDescent="0.2">
      <c r="A287" s="146"/>
      <c r="B287" s="496"/>
      <c r="C287" s="496"/>
      <c r="D287" s="496"/>
      <c r="E287" s="496"/>
      <c r="F287" s="496"/>
      <c r="G287" s="496"/>
      <c r="H287" s="496"/>
      <c r="I287" s="496"/>
      <c r="J287" s="496"/>
      <c r="K287" s="496"/>
      <c r="L287" s="496"/>
      <c r="M287" s="496"/>
      <c r="N287" s="496"/>
      <c r="O287" s="496"/>
      <c r="P287" s="496"/>
      <c r="Q287" s="496"/>
      <c r="R287" s="496"/>
      <c r="S287" s="496"/>
      <c r="T287" s="496"/>
      <c r="U287" s="496"/>
    </row>
    <row r="288" spans="1:21" x14ac:dyDescent="0.2">
      <c r="A288" s="146"/>
      <c r="D288" s="496"/>
    </row>
    <row r="289" spans="1:21" x14ac:dyDescent="0.2">
      <c r="A289" s="146"/>
      <c r="D289" s="496"/>
    </row>
    <row r="290" spans="1:21" s="123" customFormat="1" x14ac:dyDescent="0.2">
      <c r="A290" s="146"/>
      <c r="B290" s="496"/>
      <c r="C290" s="496"/>
      <c r="D290" s="496"/>
      <c r="E290" s="496"/>
      <c r="F290" s="496"/>
      <c r="G290" s="496"/>
      <c r="H290" s="496"/>
      <c r="I290" s="496"/>
      <c r="J290" s="496"/>
      <c r="K290" s="496"/>
      <c r="L290" s="496"/>
      <c r="M290" s="496"/>
      <c r="N290" s="496"/>
      <c r="O290" s="496"/>
      <c r="P290" s="496"/>
      <c r="Q290" s="496"/>
      <c r="R290" s="496"/>
      <c r="S290" s="496"/>
      <c r="T290" s="496"/>
      <c r="U290" s="496"/>
    </row>
    <row r="291" spans="1:21" x14ac:dyDescent="0.2">
      <c r="A291" s="146"/>
      <c r="D291" s="496"/>
    </row>
    <row r="292" spans="1:21" x14ac:dyDescent="0.2">
      <c r="A292" s="146"/>
      <c r="D292" s="496"/>
    </row>
    <row r="293" spans="1:21" s="123" customFormat="1" x14ac:dyDescent="0.2">
      <c r="A293" s="146"/>
      <c r="B293" s="496"/>
      <c r="C293" s="496"/>
      <c r="D293" s="496"/>
      <c r="E293" s="496"/>
      <c r="F293" s="496"/>
      <c r="G293" s="496"/>
      <c r="H293" s="496"/>
      <c r="I293" s="496"/>
      <c r="J293" s="496"/>
      <c r="K293" s="496"/>
      <c r="L293" s="496"/>
      <c r="M293" s="496"/>
      <c r="N293" s="496"/>
      <c r="O293" s="496"/>
      <c r="P293" s="496"/>
      <c r="Q293" s="496"/>
      <c r="R293" s="496"/>
      <c r="S293" s="496"/>
      <c r="T293" s="496"/>
      <c r="U293" s="496"/>
    </row>
    <row r="294" spans="1:21" x14ac:dyDescent="0.2">
      <c r="A294" s="146"/>
      <c r="D294" s="496"/>
    </row>
    <row r="295" spans="1:21" x14ac:dyDescent="0.2">
      <c r="A295" s="146"/>
      <c r="D295" s="496"/>
    </row>
    <row r="296" spans="1:21" s="123" customFormat="1" x14ac:dyDescent="0.2">
      <c r="A296" s="146"/>
      <c r="B296" s="496"/>
      <c r="C296" s="496"/>
      <c r="D296" s="496"/>
      <c r="E296" s="496"/>
      <c r="F296" s="496"/>
      <c r="G296" s="496"/>
      <c r="H296" s="496"/>
      <c r="I296" s="496"/>
      <c r="J296" s="496"/>
      <c r="K296" s="496"/>
      <c r="L296" s="496"/>
      <c r="M296" s="496"/>
      <c r="N296" s="496"/>
      <c r="O296" s="496"/>
      <c r="P296" s="496"/>
      <c r="Q296" s="496"/>
      <c r="R296" s="496"/>
      <c r="S296" s="496"/>
      <c r="T296" s="496"/>
      <c r="U296" s="496"/>
    </row>
    <row r="297" spans="1:21" x14ac:dyDescent="0.2">
      <c r="A297" s="146"/>
      <c r="D297" s="496"/>
    </row>
    <row r="298" spans="1:21" x14ac:dyDescent="0.2">
      <c r="A298" s="146"/>
      <c r="D298" s="496"/>
    </row>
    <row r="299" spans="1:21" s="123" customFormat="1" x14ac:dyDescent="0.2">
      <c r="A299" s="146"/>
      <c r="B299" s="496"/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P299" s="496"/>
      <c r="Q299" s="496"/>
      <c r="R299" s="496"/>
      <c r="S299" s="496"/>
      <c r="T299" s="496"/>
      <c r="U299" s="496"/>
    </row>
    <row r="300" spans="1:21" x14ac:dyDescent="0.2">
      <c r="A300" s="146"/>
      <c r="D300" s="496"/>
    </row>
    <row r="301" spans="1:21" x14ac:dyDescent="0.2">
      <c r="A301" s="146"/>
      <c r="D301" s="496"/>
    </row>
    <row r="302" spans="1:21" s="123" customFormat="1" x14ac:dyDescent="0.2">
      <c r="A302" s="146"/>
      <c r="B302" s="496"/>
      <c r="C302" s="496"/>
      <c r="D302" s="496"/>
      <c r="E302" s="496"/>
      <c r="F302" s="496"/>
      <c r="G302" s="496"/>
      <c r="H302" s="496"/>
      <c r="I302" s="496"/>
      <c r="J302" s="496"/>
      <c r="K302" s="496"/>
      <c r="L302" s="496"/>
      <c r="M302" s="496"/>
      <c r="N302" s="496"/>
      <c r="O302" s="496"/>
      <c r="P302" s="496"/>
      <c r="Q302" s="496"/>
      <c r="R302" s="496"/>
      <c r="S302" s="496"/>
      <c r="T302" s="496"/>
      <c r="U302" s="496"/>
    </row>
    <row r="303" spans="1:21" x14ac:dyDescent="0.2">
      <c r="A303" s="146"/>
      <c r="D303" s="496"/>
    </row>
    <row r="304" spans="1:21" x14ac:dyDescent="0.2">
      <c r="A304" s="146"/>
      <c r="D304" s="496"/>
    </row>
    <row r="305" spans="1:21" s="123" customFormat="1" x14ac:dyDescent="0.2">
      <c r="A305" s="146"/>
      <c r="B305" s="496"/>
      <c r="C305" s="496"/>
      <c r="D305" s="496"/>
      <c r="E305" s="496"/>
      <c r="F305" s="496"/>
      <c r="G305" s="496"/>
      <c r="H305" s="496"/>
      <c r="I305" s="496"/>
      <c r="J305" s="496"/>
      <c r="K305" s="496"/>
      <c r="L305" s="496"/>
      <c r="M305" s="496"/>
      <c r="N305" s="496"/>
      <c r="O305" s="496"/>
      <c r="P305" s="496"/>
      <c r="Q305" s="496"/>
      <c r="R305" s="496"/>
      <c r="S305" s="496"/>
      <c r="T305" s="496"/>
      <c r="U305" s="496"/>
    </row>
    <row r="306" spans="1:21" x14ac:dyDescent="0.2">
      <c r="A306" s="146"/>
      <c r="D306" s="496"/>
    </row>
    <row r="307" spans="1:21" x14ac:dyDescent="0.2">
      <c r="A307" s="146"/>
      <c r="D307" s="496"/>
    </row>
    <row r="308" spans="1:21" s="123" customFormat="1" x14ac:dyDescent="0.2">
      <c r="A308" s="146"/>
      <c r="B308" s="496"/>
      <c r="C308" s="496"/>
      <c r="D308" s="496"/>
      <c r="E308" s="496"/>
      <c r="F308" s="496"/>
      <c r="G308" s="496"/>
      <c r="H308" s="496"/>
      <c r="I308" s="496"/>
      <c r="J308" s="496"/>
      <c r="K308" s="496"/>
      <c r="L308" s="496"/>
      <c r="M308" s="496"/>
      <c r="N308" s="496"/>
      <c r="O308" s="496"/>
      <c r="P308" s="496"/>
      <c r="Q308" s="496"/>
      <c r="R308" s="496"/>
      <c r="S308" s="496"/>
      <c r="T308" s="496"/>
      <c r="U308" s="496"/>
    </row>
    <row r="309" spans="1:21" x14ac:dyDescent="0.2">
      <c r="A309" s="146"/>
      <c r="D309" s="496"/>
    </row>
    <row r="310" spans="1:21" x14ac:dyDescent="0.2">
      <c r="A310" s="146"/>
      <c r="D310" s="496"/>
    </row>
    <row r="311" spans="1:21" s="123" customFormat="1" x14ac:dyDescent="0.2">
      <c r="A311" s="146"/>
      <c r="B311" s="496"/>
      <c r="C311" s="496"/>
      <c r="D311" s="496"/>
      <c r="E311" s="496"/>
      <c r="F311" s="496"/>
      <c r="G311" s="496"/>
      <c r="H311" s="496"/>
      <c r="I311" s="496"/>
      <c r="J311" s="496"/>
      <c r="K311" s="496"/>
      <c r="L311" s="496"/>
      <c r="M311" s="496"/>
      <c r="N311" s="496"/>
      <c r="O311" s="496"/>
      <c r="P311" s="496"/>
      <c r="Q311" s="496"/>
      <c r="R311" s="496"/>
      <c r="S311" s="496"/>
      <c r="T311" s="496"/>
      <c r="U311" s="496"/>
    </row>
    <row r="312" spans="1:21" x14ac:dyDescent="0.2">
      <c r="A312" s="146"/>
      <c r="D312" s="496"/>
    </row>
    <row r="313" spans="1:21" x14ac:dyDescent="0.2">
      <c r="A313" s="146"/>
      <c r="D313" s="496"/>
    </row>
    <row r="314" spans="1:21" s="123" customFormat="1" x14ac:dyDescent="0.2">
      <c r="A314" s="146"/>
      <c r="B314" s="496"/>
      <c r="C314" s="496"/>
      <c r="D314" s="496"/>
      <c r="E314" s="496"/>
      <c r="F314" s="496"/>
      <c r="G314" s="496"/>
      <c r="H314" s="496"/>
      <c r="I314" s="496"/>
      <c r="J314" s="496"/>
      <c r="K314" s="496"/>
      <c r="L314" s="496"/>
      <c r="M314" s="496"/>
      <c r="N314" s="496"/>
      <c r="O314" s="496"/>
      <c r="P314" s="496"/>
      <c r="Q314" s="496"/>
      <c r="R314" s="496"/>
      <c r="S314" s="496"/>
      <c r="T314" s="496"/>
      <c r="U314" s="496"/>
    </row>
    <row r="315" spans="1:21" x14ac:dyDescent="0.2">
      <c r="A315" s="146"/>
      <c r="D315" s="496"/>
    </row>
    <row r="316" spans="1:21" x14ac:dyDescent="0.2">
      <c r="A316" s="146"/>
      <c r="D316" s="496"/>
    </row>
    <row r="317" spans="1:21" s="123" customFormat="1" x14ac:dyDescent="0.2">
      <c r="A317" s="146"/>
      <c r="B317" s="496"/>
      <c r="C317" s="496"/>
      <c r="D317" s="496"/>
      <c r="E317" s="496"/>
      <c r="F317" s="496"/>
      <c r="G317" s="496"/>
      <c r="H317" s="496"/>
      <c r="I317" s="496"/>
      <c r="J317" s="496"/>
      <c r="K317" s="496"/>
      <c r="L317" s="496"/>
      <c r="M317" s="496"/>
      <c r="N317" s="496"/>
      <c r="O317" s="496"/>
      <c r="P317" s="496"/>
      <c r="Q317" s="496"/>
      <c r="R317" s="496"/>
      <c r="S317" s="496"/>
      <c r="T317" s="496"/>
      <c r="U317" s="496"/>
    </row>
    <row r="318" spans="1:21" x14ac:dyDescent="0.2">
      <c r="A318" s="146"/>
      <c r="D318" s="496"/>
    </row>
    <row r="319" spans="1:21" x14ac:dyDescent="0.2">
      <c r="A319" s="146"/>
      <c r="D319" s="496"/>
    </row>
    <row r="320" spans="1:21" s="123" customFormat="1" x14ac:dyDescent="0.2">
      <c r="A320" s="146"/>
      <c r="B320" s="496"/>
      <c r="C320" s="496"/>
      <c r="D320" s="496"/>
      <c r="E320" s="496"/>
      <c r="F320" s="496"/>
      <c r="G320" s="496"/>
      <c r="H320" s="496"/>
      <c r="I320" s="496"/>
      <c r="J320" s="496"/>
      <c r="K320" s="496"/>
      <c r="L320" s="496"/>
      <c r="M320" s="496"/>
      <c r="N320" s="496"/>
      <c r="O320" s="496"/>
      <c r="P320" s="496"/>
      <c r="Q320" s="496"/>
      <c r="R320" s="496"/>
      <c r="S320" s="496"/>
      <c r="T320" s="496"/>
      <c r="U320" s="496"/>
    </row>
    <row r="321" spans="1:21" x14ac:dyDescent="0.2">
      <c r="A321" s="146"/>
      <c r="D321" s="496"/>
    </row>
    <row r="322" spans="1:21" x14ac:dyDescent="0.2">
      <c r="A322" s="146"/>
      <c r="D322" s="496"/>
    </row>
    <row r="323" spans="1:21" s="123" customFormat="1" x14ac:dyDescent="0.2">
      <c r="A323" s="146"/>
      <c r="B323" s="496"/>
      <c r="C323" s="496"/>
      <c r="D323" s="496"/>
      <c r="E323" s="496"/>
      <c r="F323" s="496"/>
      <c r="G323" s="496"/>
      <c r="H323" s="496"/>
      <c r="I323" s="496"/>
      <c r="J323" s="496"/>
      <c r="K323" s="496"/>
      <c r="L323" s="496"/>
      <c r="M323" s="496"/>
      <c r="N323" s="496"/>
      <c r="O323" s="496"/>
      <c r="P323" s="496"/>
      <c r="Q323" s="496"/>
      <c r="R323" s="496"/>
      <c r="S323" s="496"/>
      <c r="T323" s="496"/>
      <c r="U323" s="496"/>
    </row>
    <row r="324" spans="1:21" x14ac:dyDescent="0.2">
      <c r="A324" s="146"/>
      <c r="D324" s="496"/>
    </row>
    <row r="325" spans="1:21" x14ac:dyDescent="0.2">
      <c r="A325" s="146"/>
      <c r="D325" s="496"/>
    </row>
    <row r="326" spans="1:21" s="123" customFormat="1" x14ac:dyDescent="0.2">
      <c r="A326" s="146"/>
      <c r="B326" s="496"/>
      <c r="C326" s="496"/>
      <c r="D326" s="496"/>
      <c r="E326" s="496"/>
      <c r="F326" s="496"/>
      <c r="G326" s="496"/>
      <c r="H326" s="496"/>
      <c r="I326" s="496"/>
      <c r="J326" s="496"/>
      <c r="K326" s="496"/>
      <c r="L326" s="496"/>
      <c r="M326" s="496"/>
      <c r="N326" s="496"/>
      <c r="O326" s="496"/>
      <c r="P326" s="496"/>
      <c r="Q326" s="496"/>
      <c r="R326" s="496"/>
      <c r="S326" s="496"/>
      <c r="T326" s="496"/>
      <c r="U326" s="496"/>
    </row>
    <row r="327" spans="1:21" x14ac:dyDescent="0.2">
      <c r="A327" s="146"/>
      <c r="D327" s="496"/>
    </row>
    <row r="328" spans="1:21" x14ac:dyDescent="0.2">
      <c r="A328" s="146"/>
      <c r="D328" s="496"/>
    </row>
    <row r="329" spans="1:21" s="123" customFormat="1" x14ac:dyDescent="0.2">
      <c r="A329" s="146"/>
      <c r="B329" s="496"/>
      <c r="C329" s="496"/>
      <c r="D329" s="496"/>
      <c r="E329" s="496"/>
      <c r="F329" s="496"/>
      <c r="G329" s="496"/>
      <c r="H329" s="496"/>
      <c r="I329" s="496"/>
      <c r="J329" s="496"/>
      <c r="K329" s="496"/>
      <c r="L329" s="496"/>
      <c r="M329" s="496"/>
      <c r="N329" s="496"/>
      <c r="O329" s="496"/>
      <c r="P329" s="496"/>
      <c r="Q329" s="496"/>
      <c r="R329" s="496"/>
      <c r="S329" s="496"/>
      <c r="T329" s="496"/>
      <c r="U329" s="496"/>
    </row>
    <row r="330" spans="1:21" x14ac:dyDescent="0.2">
      <c r="A330" s="146"/>
      <c r="D330" s="496"/>
    </row>
    <row r="331" spans="1:21" x14ac:dyDescent="0.2">
      <c r="A331" s="146"/>
      <c r="D331" s="496"/>
    </row>
    <row r="332" spans="1:21" s="123" customFormat="1" x14ac:dyDescent="0.2">
      <c r="A332" s="146"/>
      <c r="B332" s="496"/>
      <c r="C332" s="496"/>
      <c r="D332" s="496"/>
      <c r="E332" s="496"/>
      <c r="F332" s="496"/>
      <c r="G332" s="496"/>
      <c r="H332" s="496"/>
      <c r="I332" s="496"/>
      <c r="J332" s="496"/>
      <c r="K332" s="496"/>
      <c r="L332" s="496"/>
      <c r="M332" s="496"/>
      <c r="N332" s="496"/>
      <c r="O332" s="496"/>
      <c r="P332" s="496"/>
      <c r="Q332" s="496"/>
      <c r="R332" s="496"/>
      <c r="S332" s="496"/>
      <c r="T332" s="496"/>
      <c r="U332" s="496"/>
    </row>
    <row r="333" spans="1:21" x14ac:dyDescent="0.2">
      <c r="A333" s="146"/>
      <c r="D333" s="496"/>
    </row>
    <row r="334" spans="1:21" x14ac:dyDescent="0.2">
      <c r="A334" s="146"/>
      <c r="D334" s="496"/>
    </row>
    <row r="335" spans="1:21" s="123" customFormat="1" x14ac:dyDescent="0.2">
      <c r="A335" s="146"/>
      <c r="B335" s="496"/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496"/>
      <c r="O335" s="496"/>
      <c r="P335" s="496"/>
      <c r="Q335" s="496"/>
      <c r="R335" s="496"/>
      <c r="S335" s="496"/>
      <c r="T335" s="496"/>
      <c r="U335" s="496"/>
    </row>
    <row r="336" spans="1:21" x14ac:dyDescent="0.2">
      <c r="A336" s="146"/>
      <c r="D336" s="496"/>
    </row>
    <row r="337" spans="1:21" x14ac:dyDescent="0.2">
      <c r="A337" s="146"/>
      <c r="D337" s="496"/>
    </row>
    <row r="338" spans="1:21" s="123" customFormat="1" x14ac:dyDescent="0.2">
      <c r="A338" s="146"/>
      <c r="B338" s="496"/>
      <c r="C338" s="496"/>
      <c r="D338" s="496"/>
      <c r="E338" s="496"/>
      <c r="F338" s="496"/>
      <c r="G338" s="496"/>
      <c r="H338" s="496"/>
      <c r="I338" s="496"/>
      <c r="J338" s="496"/>
      <c r="K338" s="496"/>
      <c r="L338" s="496"/>
      <c r="M338" s="496"/>
      <c r="N338" s="496"/>
      <c r="O338" s="496"/>
      <c r="P338" s="496"/>
      <c r="Q338" s="496"/>
      <c r="R338" s="496"/>
      <c r="S338" s="496"/>
      <c r="T338" s="496"/>
      <c r="U338" s="496"/>
    </row>
    <row r="339" spans="1:21" x14ac:dyDescent="0.2">
      <c r="A339" s="146"/>
      <c r="D339" s="496"/>
    </row>
    <row r="340" spans="1:21" x14ac:dyDescent="0.2">
      <c r="A340" s="146"/>
      <c r="D340" s="496"/>
    </row>
    <row r="341" spans="1:21" s="123" customFormat="1" x14ac:dyDescent="0.2">
      <c r="A341" s="146"/>
      <c r="B341" s="496"/>
      <c r="C341" s="496"/>
      <c r="D341" s="496"/>
      <c r="E341" s="496"/>
      <c r="F341" s="496"/>
      <c r="G341" s="496"/>
      <c r="H341" s="496"/>
      <c r="I341" s="496"/>
      <c r="J341" s="496"/>
      <c r="K341" s="496"/>
      <c r="L341" s="496"/>
      <c r="M341" s="496"/>
      <c r="N341" s="496"/>
      <c r="O341" s="496"/>
      <c r="P341" s="496"/>
      <c r="Q341" s="496"/>
      <c r="R341" s="496"/>
      <c r="S341" s="496"/>
      <c r="T341" s="496"/>
      <c r="U341" s="496"/>
    </row>
    <row r="342" spans="1:21" x14ac:dyDescent="0.2">
      <c r="A342" s="146"/>
      <c r="D342" s="496"/>
    </row>
    <row r="343" spans="1:21" x14ac:dyDescent="0.2">
      <c r="A343" s="146"/>
      <c r="D343" s="496"/>
    </row>
    <row r="344" spans="1:21" s="123" customFormat="1" x14ac:dyDescent="0.2">
      <c r="A344" s="146"/>
      <c r="B344" s="496"/>
      <c r="C344" s="496"/>
      <c r="D344" s="496"/>
      <c r="E344" s="496"/>
      <c r="F344" s="496"/>
      <c r="G344" s="496"/>
      <c r="H344" s="496"/>
      <c r="I344" s="496"/>
      <c r="J344" s="496"/>
      <c r="K344" s="496"/>
      <c r="L344" s="496"/>
      <c r="M344" s="496"/>
      <c r="N344" s="496"/>
      <c r="O344" s="496"/>
      <c r="P344" s="496"/>
      <c r="Q344" s="496"/>
      <c r="R344" s="496"/>
      <c r="S344" s="496"/>
      <c r="T344" s="496"/>
      <c r="U344" s="496"/>
    </row>
    <row r="345" spans="1:21" x14ac:dyDescent="0.2">
      <c r="A345" s="146"/>
      <c r="D345" s="496"/>
    </row>
    <row r="346" spans="1:21" x14ac:dyDescent="0.2">
      <c r="A346" s="146"/>
      <c r="D346" s="496"/>
    </row>
    <row r="347" spans="1:21" s="123" customFormat="1" x14ac:dyDescent="0.2">
      <c r="A347" s="146"/>
      <c r="B347" s="496"/>
      <c r="C347" s="496"/>
      <c r="D347" s="496"/>
      <c r="E347" s="496"/>
      <c r="F347" s="496"/>
      <c r="G347" s="496"/>
      <c r="H347" s="496"/>
      <c r="I347" s="496"/>
      <c r="J347" s="496"/>
      <c r="K347" s="496"/>
      <c r="L347" s="496"/>
      <c r="M347" s="496"/>
      <c r="N347" s="496"/>
      <c r="O347" s="496"/>
      <c r="P347" s="496"/>
      <c r="Q347" s="496"/>
      <c r="R347" s="496"/>
      <c r="S347" s="496"/>
      <c r="T347" s="496"/>
      <c r="U347" s="496"/>
    </row>
    <row r="348" spans="1:21" x14ac:dyDescent="0.2">
      <c r="A348" s="146"/>
      <c r="D348" s="496"/>
    </row>
    <row r="349" spans="1:21" x14ac:dyDescent="0.2">
      <c r="A349" s="146"/>
      <c r="D349" s="496"/>
    </row>
    <row r="350" spans="1:21" s="123" customFormat="1" x14ac:dyDescent="0.2">
      <c r="A350" s="146"/>
      <c r="B350" s="496"/>
      <c r="C350" s="496"/>
      <c r="D350" s="496"/>
      <c r="E350" s="496"/>
      <c r="F350" s="496"/>
      <c r="G350" s="496"/>
      <c r="H350" s="496"/>
      <c r="I350" s="496"/>
      <c r="J350" s="496"/>
      <c r="K350" s="496"/>
      <c r="L350" s="496"/>
      <c r="M350" s="496"/>
      <c r="N350" s="496"/>
      <c r="O350" s="496"/>
      <c r="P350" s="496"/>
      <c r="Q350" s="496"/>
      <c r="R350" s="496"/>
      <c r="S350" s="496"/>
      <c r="T350" s="496"/>
      <c r="U350" s="496"/>
    </row>
    <row r="351" spans="1:21" x14ac:dyDescent="0.2">
      <c r="A351" s="146"/>
      <c r="D351" s="496"/>
    </row>
    <row r="352" spans="1:21" x14ac:dyDescent="0.2">
      <c r="A352" s="146"/>
      <c r="D352" s="496"/>
    </row>
    <row r="353" spans="1:21" s="123" customFormat="1" x14ac:dyDescent="0.2">
      <c r="A353" s="146"/>
      <c r="B353" s="496"/>
      <c r="C353" s="496"/>
      <c r="D353" s="496"/>
      <c r="E353" s="496"/>
      <c r="F353" s="496"/>
      <c r="G353" s="496"/>
      <c r="H353" s="496"/>
      <c r="I353" s="496"/>
      <c r="J353" s="496"/>
      <c r="K353" s="496"/>
      <c r="L353" s="496"/>
      <c r="M353" s="496"/>
      <c r="N353" s="496"/>
      <c r="O353" s="496"/>
      <c r="P353" s="496"/>
      <c r="Q353" s="496"/>
      <c r="R353" s="496"/>
      <c r="S353" s="496"/>
      <c r="T353" s="496"/>
      <c r="U353" s="496"/>
    </row>
    <row r="354" spans="1:21" x14ac:dyDescent="0.2">
      <c r="A354" s="146"/>
      <c r="D354" s="496"/>
    </row>
    <row r="355" spans="1:21" x14ac:dyDescent="0.2">
      <c r="A355" s="146"/>
      <c r="D355" s="496"/>
    </row>
    <row r="356" spans="1:21" s="123" customFormat="1" x14ac:dyDescent="0.2">
      <c r="A356" s="146"/>
      <c r="B356" s="496"/>
      <c r="C356" s="496"/>
      <c r="D356" s="496"/>
      <c r="E356" s="496"/>
      <c r="F356" s="496"/>
      <c r="G356" s="496"/>
      <c r="H356" s="496"/>
      <c r="I356" s="496"/>
      <c r="J356" s="496"/>
      <c r="K356" s="496"/>
      <c r="L356" s="496"/>
      <c r="M356" s="496"/>
      <c r="N356" s="496"/>
      <c r="O356" s="496"/>
      <c r="P356" s="496"/>
      <c r="Q356" s="496"/>
      <c r="R356" s="496"/>
      <c r="S356" s="496"/>
      <c r="T356" s="496"/>
      <c r="U356" s="496"/>
    </row>
    <row r="357" spans="1:21" x14ac:dyDescent="0.2">
      <c r="A357" s="146"/>
      <c r="D357" s="496"/>
    </row>
    <row r="358" spans="1:21" x14ac:dyDescent="0.2">
      <c r="A358" s="146"/>
      <c r="D358" s="496"/>
    </row>
    <row r="359" spans="1:21" s="123" customFormat="1" x14ac:dyDescent="0.2">
      <c r="A359" s="146"/>
      <c r="B359" s="496"/>
      <c r="C359" s="496"/>
      <c r="D359" s="496"/>
      <c r="E359" s="496"/>
      <c r="F359" s="496"/>
      <c r="G359" s="496"/>
      <c r="H359" s="496"/>
      <c r="I359" s="496"/>
      <c r="J359" s="496"/>
      <c r="K359" s="496"/>
      <c r="L359" s="496"/>
      <c r="M359" s="496"/>
      <c r="N359" s="496"/>
      <c r="O359" s="496"/>
      <c r="P359" s="496"/>
      <c r="Q359" s="496"/>
      <c r="R359" s="496"/>
      <c r="S359" s="496"/>
      <c r="T359" s="496"/>
      <c r="U359" s="496"/>
    </row>
    <row r="360" spans="1:21" x14ac:dyDescent="0.2">
      <c r="A360" s="146"/>
      <c r="D360" s="496"/>
    </row>
    <row r="361" spans="1:21" x14ac:dyDescent="0.2">
      <c r="A361" s="146"/>
      <c r="D361" s="496"/>
    </row>
    <row r="362" spans="1:21" s="123" customFormat="1" x14ac:dyDescent="0.2">
      <c r="A362" s="146"/>
      <c r="B362" s="496"/>
      <c r="C362" s="496"/>
      <c r="D362" s="496"/>
      <c r="E362" s="496"/>
      <c r="F362" s="496"/>
      <c r="G362" s="496"/>
      <c r="H362" s="496"/>
      <c r="I362" s="496"/>
      <c r="J362" s="496"/>
      <c r="K362" s="496"/>
      <c r="L362" s="496"/>
      <c r="M362" s="496"/>
      <c r="N362" s="496"/>
      <c r="O362" s="496"/>
      <c r="P362" s="496"/>
      <c r="Q362" s="496"/>
      <c r="R362" s="496"/>
      <c r="S362" s="496"/>
      <c r="T362" s="496"/>
      <c r="U362" s="496"/>
    </row>
    <row r="363" spans="1:21" x14ac:dyDescent="0.2">
      <c r="A363" s="146"/>
      <c r="D363" s="496"/>
    </row>
    <row r="364" spans="1:21" x14ac:dyDescent="0.2">
      <c r="A364" s="146"/>
      <c r="D364" s="496"/>
    </row>
    <row r="365" spans="1:21" s="123" customFormat="1" x14ac:dyDescent="0.2">
      <c r="A365" s="146"/>
      <c r="B365" s="496"/>
      <c r="C365" s="496"/>
      <c r="D365" s="496"/>
      <c r="E365" s="496"/>
      <c r="F365" s="496"/>
      <c r="G365" s="496"/>
      <c r="H365" s="496"/>
      <c r="I365" s="496"/>
      <c r="J365" s="496"/>
      <c r="K365" s="496"/>
      <c r="L365" s="496"/>
      <c r="M365" s="496"/>
      <c r="N365" s="496"/>
      <c r="O365" s="496"/>
      <c r="P365" s="496"/>
      <c r="Q365" s="496"/>
      <c r="R365" s="496"/>
      <c r="S365" s="496"/>
      <c r="T365" s="496"/>
      <c r="U365" s="496"/>
    </row>
    <row r="366" spans="1:21" x14ac:dyDescent="0.2">
      <c r="A366" s="146"/>
      <c r="D366" s="496"/>
    </row>
    <row r="367" spans="1:21" x14ac:dyDescent="0.2">
      <c r="A367" s="146"/>
      <c r="D367" s="496"/>
    </row>
    <row r="368" spans="1:21" s="123" customFormat="1" x14ac:dyDescent="0.2">
      <c r="A368" s="146"/>
      <c r="B368" s="496"/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6"/>
      <c r="N368" s="496"/>
      <c r="O368" s="496"/>
      <c r="P368" s="496"/>
      <c r="Q368" s="496"/>
      <c r="R368" s="496"/>
      <c r="S368" s="496"/>
      <c r="T368" s="496"/>
      <c r="U368" s="496"/>
    </row>
    <row r="369" spans="1:21" x14ac:dyDescent="0.2">
      <c r="A369" s="146"/>
      <c r="D369" s="496"/>
    </row>
    <row r="370" spans="1:21" x14ac:dyDescent="0.2">
      <c r="A370" s="146"/>
      <c r="D370" s="496"/>
    </row>
    <row r="371" spans="1:21" s="123" customFormat="1" x14ac:dyDescent="0.2">
      <c r="A371" s="146"/>
      <c r="B371" s="496"/>
      <c r="C371" s="496"/>
      <c r="D371" s="496"/>
      <c r="E371" s="496"/>
      <c r="F371" s="496"/>
      <c r="G371" s="496"/>
      <c r="H371" s="496"/>
      <c r="I371" s="496"/>
      <c r="J371" s="496"/>
      <c r="K371" s="496"/>
      <c r="L371" s="496"/>
      <c r="M371" s="496"/>
      <c r="N371" s="496"/>
      <c r="O371" s="496"/>
      <c r="P371" s="496"/>
      <c r="Q371" s="496"/>
      <c r="R371" s="496"/>
      <c r="S371" s="496"/>
      <c r="T371" s="496"/>
      <c r="U371" s="496"/>
    </row>
    <row r="372" spans="1:21" x14ac:dyDescent="0.2">
      <c r="A372" s="146"/>
      <c r="D372" s="496"/>
    </row>
    <row r="373" spans="1:21" x14ac:dyDescent="0.2">
      <c r="A373" s="146"/>
      <c r="D373" s="496"/>
    </row>
    <row r="374" spans="1:21" s="123" customFormat="1" x14ac:dyDescent="0.2">
      <c r="A374" s="146"/>
      <c r="B374" s="496"/>
      <c r="C374" s="496"/>
      <c r="D374" s="496"/>
      <c r="E374" s="496"/>
      <c r="F374" s="496"/>
      <c r="G374" s="496"/>
      <c r="H374" s="496"/>
      <c r="I374" s="496"/>
      <c r="J374" s="496"/>
      <c r="K374" s="496"/>
      <c r="L374" s="496"/>
      <c r="M374" s="496"/>
      <c r="N374" s="496"/>
      <c r="O374" s="496"/>
      <c r="P374" s="496"/>
      <c r="Q374" s="496"/>
      <c r="R374" s="496"/>
      <c r="S374" s="496"/>
      <c r="T374" s="496"/>
      <c r="U374" s="496"/>
    </row>
    <row r="375" spans="1:21" x14ac:dyDescent="0.2">
      <c r="A375" s="146"/>
      <c r="D375" s="496"/>
    </row>
    <row r="376" spans="1:21" x14ac:dyDescent="0.2">
      <c r="A376" s="146"/>
      <c r="D376" s="496"/>
    </row>
    <row r="377" spans="1:21" s="123" customFormat="1" x14ac:dyDescent="0.2">
      <c r="A377" s="146"/>
      <c r="B377" s="496"/>
      <c r="C377" s="496"/>
      <c r="D377" s="496"/>
      <c r="E377" s="496"/>
      <c r="F377" s="496"/>
      <c r="G377" s="496"/>
      <c r="H377" s="496"/>
      <c r="I377" s="496"/>
      <c r="J377" s="496"/>
      <c r="K377" s="496"/>
      <c r="L377" s="496"/>
      <c r="M377" s="496"/>
      <c r="N377" s="496"/>
      <c r="O377" s="496"/>
      <c r="P377" s="496"/>
      <c r="Q377" s="496"/>
      <c r="R377" s="496"/>
      <c r="S377" s="496"/>
      <c r="T377" s="496"/>
      <c r="U377" s="496"/>
    </row>
    <row r="378" spans="1:21" x14ac:dyDescent="0.2">
      <c r="A378" s="146"/>
      <c r="D378" s="496"/>
    </row>
    <row r="379" spans="1:21" x14ac:dyDescent="0.2">
      <c r="A379" s="146"/>
      <c r="D379" s="496"/>
    </row>
    <row r="380" spans="1:21" s="123" customFormat="1" x14ac:dyDescent="0.2">
      <c r="A380" s="146"/>
      <c r="B380" s="496"/>
      <c r="C380" s="496"/>
      <c r="D380" s="496"/>
      <c r="E380" s="496"/>
      <c r="F380" s="496"/>
      <c r="G380" s="496"/>
      <c r="H380" s="496"/>
      <c r="I380" s="496"/>
      <c r="J380" s="496"/>
      <c r="K380" s="496"/>
      <c r="L380" s="496"/>
      <c r="M380" s="496"/>
      <c r="N380" s="496"/>
      <c r="O380" s="496"/>
      <c r="P380" s="496"/>
      <c r="Q380" s="496"/>
      <c r="R380" s="496"/>
      <c r="S380" s="496"/>
      <c r="T380" s="496"/>
      <c r="U380" s="496"/>
    </row>
    <row r="381" spans="1:21" x14ac:dyDescent="0.2">
      <c r="A381" s="146"/>
      <c r="D381" s="496"/>
    </row>
    <row r="382" spans="1:21" x14ac:dyDescent="0.2">
      <c r="A382" s="146"/>
      <c r="D382" s="496"/>
    </row>
    <row r="383" spans="1:21" s="123" customFormat="1" x14ac:dyDescent="0.2">
      <c r="A383" s="146"/>
      <c r="B383" s="496"/>
      <c r="C383" s="496"/>
      <c r="D383" s="496"/>
      <c r="E383" s="496"/>
      <c r="F383" s="496"/>
      <c r="G383" s="496"/>
      <c r="H383" s="496"/>
      <c r="I383" s="496"/>
      <c r="J383" s="496"/>
      <c r="K383" s="496"/>
      <c r="L383" s="496"/>
      <c r="M383" s="496"/>
      <c r="N383" s="496"/>
      <c r="O383" s="496"/>
      <c r="P383" s="496"/>
      <c r="Q383" s="496"/>
      <c r="R383" s="496"/>
      <c r="S383" s="496"/>
      <c r="T383" s="496"/>
      <c r="U383" s="496"/>
    </row>
    <row r="384" spans="1:21" x14ac:dyDescent="0.2">
      <c r="A384" s="146"/>
      <c r="D384" s="496"/>
    </row>
    <row r="385" spans="1:21" x14ac:dyDescent="0.2">
      <c r="A385" s="146"/>
      <c r="D385" s="496"/>
    </row>
    <row r="386" spans="1:21" s="123" customFormat="1" x14ac:dyDescent="0.2">
      <c r="A386" s="146"/>
      <c r="B386" s="496"/>
      <c r="C386" s="496"/>
      <c r="D386" s="496"/>
      <c r="E386" s="496"/>
      <c r="F386" s="496"/>
      <c r="G386" s="496"/>
      <c r="H386" s="496"/>
      <c r="I386" s="496"/>
      <c r="J386" s="496"/>
      <c r="K386" s="496"/>
      <c r="L386" s="496"/>
      <c r="M386" s="496"/>
      <c r="N386" s="496"/>
      <c r="O386" s="496"/>
      <c r="P386" s="496"/>
      <c r="Q386" s="496"/>
      <c r="R386" s="496"/>
      <c r="S386" s="496"/>
      <c r="T386" s="496"/>
      <c r="U386" s="496"/>
    </row>
    <row r="387" spans="1:21" x14ac:dyDescent="0.2">
      <c r="A387" s="146"/>
      <c r="D387" s="496"/>
    </row>
    <row r="388" spans="1:21" x14ac:dyDescent="0.2">
      <c r="A388" s="146"/>
      <c r="D388" s="496"/>
    </row>
    <row r="389" spans="1:21" s="123" customFormat="1" x14ac:dyDescent="0.2">
      <c r="A389" s="146"/>
      <c r="B389" s="496"/>
      <c r="C389" s="496"/>
      <c r="D389" s="496"/>
      <c r="E389" s="496"/>
      <c r="F389" s="496"/>
      <c r="G389" s="496"/>
      <c r="H389" s="496"/>
      <c r="I389" s="496"/>
      <c r="J389" s="496"/>
      <c r="K389" s="496"/>
      <c r="L389" s="496"/>
      <c r="M389" s="496"/>
      <c r="N389" s="496"/>
      <c r="O389" s="496"/>
      <c r="P389" s="496"/>
      <c r="Q389" s="496"/>
      <c r="R389" s="496"/>
      <c r="S389" s="496"/>
      <c r="T389" s="496"/>
      <c r="U389" s="496"/>
    </row>
    <row r="390" spans="1:21" x14ac:dyDescent="0.2">
      <c r="A390" s="146"/>
      <c r="D390" s="496"/>
    </row>
    <row r="391" spans="1:21" x14ac:dyDescent="0.2">
      <c r="A391" s="146"/>
      <c r="D391" s="496"/>
    </row>
    <row r="392" spans="1:21" s="123" customFormat="1" x14ac:dyDescent="0.2">
      <c r="A392" s="146"/>
      <c r="B392" s="496"/>
      <c r="C392" s="496"/>
      <c r="D392" s="496"/>
      <c r="E392" s="496"/>
      <c r="F392" s="496"/>
      <c r="G392" s="496"/>
      <c r="H392" s="496"/>
      <c r="I392" s="496"/>
      <c r="J392" s="496"/>
      <c r="K392" s="496"/>
      <c r="L392" s="496"/>
      <c r="M392" s="496"/>
      <c r="N392" s="496"/>
      <c r="O392" s="496"/>
      <c r="P392" s="496"/>
      <c r="Q392" s="496"/>
      <c r="R392" s="496"/>
      <c r="S392" s="496"/>
      <c r="T392" s="496"/>
      <c r="U392" s="496"/>
    </row>
    <row r="393" spans="1:21" x14ac:dyDescent="0.2">
      <c r="A393" s="146"/>
      <c r="D393" s="496"/>
    </row>
    <row r="394" spans="1:21" x14ac:dyDescent="0.2">
      <c r="A394" s="146"/>
      <c r="D394" s="496"/>
    </row>
    <row r="395" spans="1:21" s="123" customFormat="1" x14ac:dyDescent="0.2">
      <c r="A395" s="146"/>
      <c r="B395" s="496"/>
      <c r="C395" s="496"/>
      <c r="D395" s="496"/>
      <c r="E395" s="496"/>
      <c r="F395" s="496"/>
      <c r="G395" s="496"/>
      <c r="H395" s="496"/>
      <c r="I395" s="496"/>
      <c r="J395" s="496"/>
      <c r="K395" s="496"/>
      <c r="L395" s="496"/>
      <c r="M395" s="496"/>
      <c r="N395" s="496"/>
      <c r="O395" s="496"/>
      <c r="P395" s="496"/>
      <c r="Q395" s="496"/>
      <c r="R395" s="496"/>
      <c r="S395" s="496"/>
      <c r="T395" s="496"/>
      <c r="U395" s="496"/>
    </row>
    <row r="396" spans="1:21" x14ac:dyDescent="0.2">
      <c r="A396" s="146"/>
      <c r="D396" s="496"/>
    </row>
    <row r="397" spans="1:21" x14ac:dyDescent="0.2">
      <c r="A397" s="146"/>
      <c r="D397" s="496"/>
    </row>
    <row r="398" spans="1:21" s="123" customFormat="1" x14ac:dyDescent="0.2">
      <c r="A398" s="146"/>
      <c r="B398" s="496"/>
      <c r="C398" s="496"/>
      <c r="D398" s="496"/>
      <c r="E398" s="496"/>
      <c r="F398" s="496"/>
      <c r="G398" s="496"/>
      <c r="H398" s="496"/>
      <c r="I398" s="496"/>
      <c r="J398" s="496"/>
      <c r="K398" s="496"/>
      <c r="L398" s="496"/>
      <c r="M398" s="496"/>
      <c r="N398" s="496"/>
      <c r="O398" s="496"/>
      <c r="P398" s="496"/>
      <c r="Q398" s="496"/>
      <c r="R398" s="496"/>
      <c r="S398" s="496"/>
      <c r="T398" s="496"/>
      <c r="U398" s="496"/>
    </row>
    <row r="399" spans="1:21" x14ac:dyDescent="0.2">
      <c r="A399" s="146"/>
      <c r="D399" s="496"/>
    </row>
    <row r="400" spans="1:21" x14ac:dyDescent="0.2">
      <c r="A400" s="146"/>
      <c r="D400" s="496"/>
    </row>
    <row r="401" spans="1:21" s="123" customFormat="1" x14ac:dyDescent="0.2">
      <c r="A401" s="146"/>
      <c r="B401" s="496"/>
      <c r="C401" s="496"/>
      <c r="D401" s="496"/>
      <c r="E401" s="496"/>
      <c r="F401" s="496"/>
      <c r="G401" s="496"/>
      <c r="H401" s="496"/>
      <c r="I401" s="496"/>
      <c r="J401" s="496"/>
      <c r="K401" s="496"/>
      <c r="L401" s="496"/>
      <c r="M401" s="496"/>
      <c r="N401" s="496"/>
      <c r="O401" s="496"/>
      <c r="P401" s="496"/>
      <c r="Q401" s="496"/>
      <c r="R401" s="496"/>
      <c r="S401" s="496"/>
      <c r="T401" s="496"/>
      <c r="U401" s="496"/>
    </row>
    <row r="402" spans="1:21" x14ac:dyDescent="0.2">
      <c r="A402" s="146"/>
      <c r="D402" s="496"/>
    </row>
    <row r="403" spans="1:21" x14ac:dyDescent="0.2">
      <c r="A403" s="146"/>
      <c r="D403" s="496"/>
    </row>
    <row r="404" spans="1:21" s="123" customFormat="1" x14ac:dyDescent="0.2">
      <c r="A404" s="146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</row>
    <row r="405" spans="1:21" x14ac:dyDescent="0.2">
      <c r="A405" s="146"/>
      <c r="D405" s="496"/>
    </row>
    <row r="406" spans="1:21" x14ac:dyDescent="0.2">
      <c r="A406" s="146"/>
      <c r="D406" s="496"/>
    </row>
    <row r="407" spans="1:21" s="123" customFormat="1" x14ac:dyDescent="0.2">
      <c r="A407" s="146"/>
      <c r="B407" s="496"/>
      <c r="C407" s="496"/>
      <c r="D407" s="496"/>
      <c r="E407" s="496"/>
      <c r="F407" s="496"/>
      <c r="G407" s="496"/>
      <c r="H407" s="496"/>
      <c r="I407" s="496"/>
      <c r="J407" s="496"/>
      <c r="K407" s="496"/>
      <c r="L407" s="496"/>
      <c r="M407" s="496"/>
      <c r="N407" s="496"/>
      <c r="O407" s="496"/>
      <c r="P407" s="496"/>
      <c r="Q407" s="496"/>
      <c r="R407" s="496"/>
      <c r="S407" s="496"/>
      <c r="T407" s="496"/>
      <c r="U407" s="496"/>
    </row>
    <row r="408" spans="1:21" x14ac:dyDescent="0.2">
      <c r="A408" s="146"/>
      <c r="D408" s="496"/>
    </row>
    <row r="409" spans="1:21" x14ac:dyDescent="0.2">
      <c r="A409" s="146"/>
      <c r="D409" s="496"/>
    </row>
    <row r="410" spans="1:21" s="123" customFormat="1" x14ac:dyDescent="0.2">
      <c r="A410" s="146"/>
      <c r="B410" s="496"/>
      <c r="C410" s="496"/>
      <c r="D410" s="496"/>
      <c r="E410" s="496"/>
      <c r="F410" s="496"/>
      <c r="G410" s="496"/>
      <c r="H410" s="496"/>
      <c r="I410" s="496"/>
      <c r="J410" s="496"/>
      <c r="K410" s="496"/>
      <c r="L410" s="496"/>
      <c r="M410" s="496"/>
      <c r="N410" s="496"/>
      <c r="O410" s="496"/>
      <c r="P410" s="496"/>
      <c r="Q410" s="496"/>
      <c r="R410" s="496"/>
      <c r="S410" s="496"/>
      <c r="T410" s="496"/>
      <c r="U410" s="496"/>
    </row>
    <row r="411" spans="1:21" x14ac:dyDescent="0.2">
      <c r="A411" s="146"/>
      <c r="D411" s="496"/>
    </row>
    <row r="412" spans="1:21" x14ac:dyDescent="0.2">
      <c r="A412" s="146"/>
      <c r="D412" s="496"/>
    </row>
    <row r="413" spans="1:21" s="123" customFormat="1" x14ac:dyDescent="0.2">
      <c r="A413" s="146"/>
      <c r="B413" s="496"/>
      <c r="C413" s="496"/>
      <c r="D413" s="496"/>
      <c r="E413" s="496"/>
      <c r="F413" s="496"/>
      <c r="G413" s="496"/>
      <c r="H413" s="496"/>
      <c r="I413" s="496"/>
      <c r="J413" s="496"/>
      <c r="K413" s="496"/>
      <c r="L413" s="496"/>
      <c r="M413" s="496"/>
      <c r="N413" s="496"/>
      <c r="O413" s="496"/>
      <c r="P413" s="496"/>
      <c r="Q413" s="496"/>
      <c r="R413" s="496"/>
      <c r="S413" s="496"/>
      <c r="T413" s="496"/>
      <c r="U413" s="496"/>
    </row>
    <row r="414" spans="1:21" x14ac:dyDescent="0.2">
      <c r="A414" s="146"/>
      <c r="D414" s="496"/>
    </row>
    <row r="415" spans="1:21" x14ac:dyDescent="0.2">
      <c r="A415" s="146"/>
      <c r="D415" s="496"/>
    </row>
    <row r="416" spans="1:21" s="123" customFormat="1" x14ac:dyDescent="0.2">
      <c r="A416" s="146"/>
      <c r="B416" s="496"/>
      <c r="C416" s="496"/>
      <c r="D416" s="496"/>
      <c r="E416" s="496"/>
      <c r="F416" s="496"/>
      <c r="G416" s="496"/>
      <c r="H416" s="496"/>
      <c r="I416" s="496"/>
      <c r="J416" s="496"/>
      <c r="K416" s="496"/>
      <c r="L416" s="496"/>
      <c r="M416" s="496"/>
      <c r="N416" s="496"/>
      <c r="O416" s="496"/>
      <c r="P416" s="496"/>
      <c r="Q416" s="496"/>
      <c r="R416" s="496"/>
      <c r="S416" s="496"/>
      <c r="T416" s="496"/>
      <c r="U416" s="496"/>
    </row>
    <row r="417" spans="1:21" x14ac:dyDescent="0.2">
      <c r="A417" s="146"/>
      <c r="D417" s="496"/>
    </row>
    <row r="418" spans="1:21" x14ac:dyDescent="0.2">
      <c r="A418" s="146"/>
      <c r="D418" s="496"/>
    </row>
    <row r="419" spans="1:21" s="123" customFormat="1" x14ac:dyDescent="0.2">
      <c r="A419" s="146"/>
      <c r="B419" s="496"/>
      <c r="C419" s="496"/>
      <c r="D419" s="496"/>
      <c r="E419" s="496"/>
      <c r="F419" s="496"/>
      <c r="G419" s="496"/>
      <c r="H419" s="496"/>
      <c r="I419" s="496"/>
      <c r="J419" s="496"/>
      <c r="K419" s="496"/>
      <c r="L419" s="496"/>
      <c r="M419" s="496"/>
      <c r="N419" s="496"/>
      <c r="O419" s="496"/>
      <c r="P419" s="496"/>
      <c r="Q419" s="496"/>
      <c r="R419" s="496"/>
      <c r="S419" s="496"/>
      <c r="T419" s="496"/>
      <c r="U419" s="496"/>
    </row>
    <row r="420" spans="1:21" x14ac:dyDescent="0.2">
      <c r="A420" s="146"/>
      <c r="D420" s="496"/>
    </row>
    <row r="421" spans="1:21" x14ac:dyDescent="0.2">
      <c r="A421" s="146"/>
      <c r="D421" s="496"/>
    </row>
    <row r="422" spans="1:21" s="123" customFormat="1" x14ac:dyDescent="0.2">
      <c r="A422" s="146"/>
      <c r="B422" s="496"/>
      <c r="C422" s="496"/>
      <c r="D422" s="496"/>
      <c r="E422" s="496"/>
      <c r="F422" s="496"/>
      <c r="G422" s="496"/>
      <c r="H422" s="496"/>
      <c r="I422" s="496"/>
      <c r="J422" s="496"/>
      <c r="K422" s="496"/>
      <c r="L422" s="496"/>
      <c r="M422" s="496"/>
      <c r="N422" s="496"/>
      <c r="O422" s="496"/>
      <c r="P422" s="496"/>
      <c r="Q422" s="496"/>
      <c r="R422" s="496"/>
      <c r="S422" s="496"/>
      <c r="T422" s="496"/>
      <c r="U422" s="496"/>
    </row>
    <row r="423" spans="1:21" x14ac:dyDescent="0.2">
      <c r="A423" s="146"/>
      <c r="D423" s="496"/>
    </row>
    <row r="424" spans="1:21" x14ac:dyDescent="0.2">
      <c r="A424" s="146"/>
      <c r="D424" s="496"/>
    </row>
    <row r="425" spans="1:21" s="123" customFormat="1" x14ac:dyDescent="0.2">
      <c r="A425" s="146"/>
      <c r="B425" s="496"/>
      <c r="C425" s="496"/>
      <c r="D425" s="496"/>
      <c r="E425" s="496"/>
      <c r="F425" s="496"/>
      <c r="G425" s="496"/>
      <c r="H425" s="496"/>
      <c r="I425" s="496"/>
      <c r="J425" s="496"/>
      <c r="K425" s="496"/>
      <c r="L425" s="496"/>
      <c r="M425" s="496"/>
      <c r="N425" s="496"/>
      <c r="O425" s="496"/>
      <c r="P425" s="496"/>
      <c r="Q425" s="496"/>
      <c r="R425" s="496"/>
      <c r="S425" s="496"/>
      <c r="T425" s="496"/>
      <c r="U425" s="496"/>
    </row>
    <row r="426" spans="1:21" x14ac:dyDescent="0.2">
      <c r="A426" s="146"/>
      <c r="D426" s="496"/>
    </row>
    <row r="427" spans="1:21" x14ac:dyDescent="0.2">
      <c r="A427" s="146"/>
      <c r="D427" s="496"/>
    </row>
    <row r="428" spans="1:21" s="123" customFormat="1" x14ac:dyDescent="0.2">
      <c r="A428" s="146"/>
      <c r="B428" s="496"/>
      <c r="C428" s="496"/>
      <c r="D428" s="496"/>
      <c r="E428" s="496"/>
      <c r="F428" s="496"/>
      <c r="G428" s="496"/>
      <c r="H428" s="496"/>
      <c r="I428" s="496"/>
      <c r="J428" s="496"/>
      <c r="K428" s="496"/>
      <c r="L428" s="496"/>
      <c r="M428" s="496"/>
      <c r="N428" s="496"/>
      <c r="O428" s="496"/>
      <c r="P428" s="496"/>
      <c r="Q428" s="496"/>
      <c r="R428" s="496"/>
      <c r="S428" s="496"/>
      <c r="T428" s="496"/>
      <c r="U428" s="496"/>
    </row>
    <row r="429" spans="1:21" x14ac:dyDescent="0.2">
      <c r="A429" s="146"/>
      <c r="D429" s="496"/>
    </row>
    <row r="430" spans="1:21" x14ac:dyDescent="0.2">
      <c r="A430" s="146"/>
      <c r="D430" s="496"/>
    </row>
    <row r="431" spans="1:21" s="123" customFormat="1" x14ac:dyDescent="0.2">
      <c r="A431" s="146"/>
      <c r="B431" s="496"/>
      <c r="C431" s="496"/>
      <c r="D431" s="496"/>
      <c r="E431" s="496"/>
      <c r="F431" s="496"/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/>
      <c r="T431" s="496"/>
      <c r="U431" s="496"/>
    </row>
    <row r="432" spans="1:21" x14ac:dyDescent="0.2">
      <c r="A432" s="146"/>
      <c r="D432" s="496"/>
    </row>
    <row r="433" spans="1:21" x14ac:dyDescent="0.2">
      <c r="A433" s="146"/>
      <c r="D433" s="496"/>
    </row>
    <row r="434" spans="1:21" s="123" customFormat="1" x14ac:dyDescent="0.2">
      <c r="A434" s="146"/>
      <c r="B434" s="496"/>
      <c r="C434" s="496"/>
      <c r="D434" s="496"/>
      <c r="E434" s="496"/>
      <c r="F434" s="496"/>
      <c r="G434" s="496"/>
      <c r="H434" s="496"/>
      <c r="I434" s="496"/>
      <c r="J434" s="496"/>
      <c r="K434" s="496"/>
      <c r="L434" s="496"/>
      <c r="M434" s="496"/>
      <c r="N434" s="496"/>
      <c r="O434" s="496"/>
      <c r="P434" s="496"/>
      <c r="Q434" s="496"/>
      <c r="R434" s="496"/>
      <c r="S434" s="496"/>
      <c r="T434" s="496"/>
      <c r="U434" s="496"/>
    </row>
    <row r="435" spans="1:21" x14ac:dyDescent="0.2">
      <c r="A435" s="146"/>
      <c r="D435" s="496"/>
    </row>
    <row r="436" spans="1:21" x14ac:dyDescent="0.2">
      <c r="A436" s="146"/>
      <c r="D436" s="496"/>
    </row>
    <row r="437" spans="1:21" s="123" customFormat="1" x14ac:dyDescent="0.2">
      <c r="A437" s="146"/>
      <c r="B437" s="496"/>
      <c r="C437" s="496"/>
      <c r="D437" s="496"/>
      <c r="E437" s="496"/>
      <c r="F437" s="496"/>
      <c r="G437" s="496"/>
      <c r="H437" s="496"/>
      <c r="I437" s="496"/>
      <c r="J437" s="496"/>
      <c r="K437" s="496"/>
      <c r="L437" s="496"/>
      <c r="M437" s="496"/>
      <c r="N437" s="496"/>
      <c r="O437" s="496"/>
      <c r="P437" s="496"/>
      <c r="Q437" s="496"/>
      <c r="R437" s="496"/>
      <c r="S437" s="496"/>
      <c r="T437" s="496"/>
      <c r="U437" s="496"/>
    </row>
    <row r="438" spans="1:21" x14ac:dyDescent="0.2">
      <c r="A438" s="146"/>
      <c r="D438" s="496"/>
    </row>
    <row r="439" spans="1:21" x14ac:dyDescent="0.2">
      <c r="A439" s="146"/>
      <c r="D439" s="496"/>
    </row>
    <row r="440" spans="1:21" s="123" customFormat="1" x14ac:dyDescent="0.2">
      <c r="A440" s="146"/>
      <c r="B440" s="496"/>
      <c r="C440" s="496"/>
      <c r="D440" s="496"/>
      <c r="E440" s="496"/>
      <c r="F440" s="496"/>
      <c r="G440" s="496"/>
      <c r="H440" s="496"/>
      <c r="I440" s="496"/>
      <c r="J440" s="496"/>
      <c r="K440" s="496"/>
      <c r="L440" s="496"/>
      <c r="M440" s="496"/>
      <c r="N440" s="496"/>
      <c r="O440" s="496"/>
      <c r="P440" s="496"/>
      <c r="Q440" s="496"/>
      <c r="R440" s="496"/>
      <c r="S440" s="496"/>
      <c r="T440" s="496"/>
      <c r="U440" s="496"/>
    </row>
    <row r="441" spans="1:21" x14ac:dyDescent="0.2">
      <c r="A441" s="146"/>
      <c r="D441" s="496"/>
    </row>
    <row r="442" spans="1:21" x14ac:dyDescent="0.2">
      <c r="A442" s="146"/>
      <c r="D442" s="496"/>
    </row>
    <row r="443" spans="1:21" s="123" customFormat="1" x14ac:dyDescent="0.2">
      <c r="A443" s="146"/>
      <c r="B443" s="496"/>
      <c r="C443" s="496"/>
      <c r="D443" s="496"/>
      <c r="E443" s="496"/>
      <c r="F443" s="496"/>
      <c r="G443" s="496"/>
      <c r="H443" s="496"/>
      <c r="I443" s="496"/>
      <c r="J443" s="496"/>
      <c r="K443" s="496"/>
      <c r="L443" s="496"/>
      <c r="M443" s="496"/>
      <c r="N443" s="496"/>
      <c r="O443" s="496"/>
      <c r="P443" s="496"/>
      <c r="Q443" s="496"/>
      <c r="R443" s="496"/>
      <c r="S443" s="496"/>
      <c r="T443" s="496"/>
      <c r="U443" s="496"/>
    </row>
    <row r="444" spans="1:21" x14ac:dyDescent="0.2">
      <c r="A444" s="146"/>
      <c r="D444" s="496"/>
    </row>
    <row r="445" spans="1:21" x14ac:dyDescent="0.2">
      <c r="A445" s="146"/>
      <c r="D445" s="496"/>
    </row>
    <row r="446" spans="1:21" s="123" customFormat="1" x14ac:dyDescent="0.2">
      <c r="A446" s="146"/>
      <c r="B446" s="496"/>
      <c r="C446" s="496"/>
      <c r="D446" s="496"/>
      <c r="E446" s="496"/>
      <c r="F446" s="496"/>
      <c r="G446" s="496"/>
      <c r="H446" s="496"/>
      <c r="I446" s="496"/>
      <c r="J446" s="496"/>
      <c r="K446" s="496"/>
      <c r="L446" s="496"/>
      <c r="M446" s="496"/>
      <c r="N446" s="496"/>
      <c r="O446" s="496"/>
      <c r="P446" s="496"/>
      <c r="Q446" s="496"/>
      <c r="R446" s="496"/>
      <c r="S446" s="496"/>
      <c r="T446" s="496"/>
      <c r="U446" s="496"/>
    </row>
    <row r="447" spans="1:21" x14ac:dyDescent="0.2">
      <c r="A447" s="146"/>
      <c r="D447" s="496"/>
    </row>
    <row r="448" spans="1:21" x14ac:dyDescent="0.2">
      <c r="A448" s="146"/>
      <c r="D448" s="496"/>
    </row>
    <row r="449" spans="1:21" s="123" customFormat="1" x14ac:dyDescent="0.2">
      <c r="A449" s="146"/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96"/>
      <c r="O449" s="496"/>
      <c r="P449" s="496"/>
      <c r="Q449" s="496"/>
      <c r="R449" s="496"/>
      <c r="S449" s="496"/>
      <c r="T449" s="496"/>
      <c r="U449" s="496"/>
    </row>
    <row r="450" spans="1:21" x14ac:dyDescent="0.2">
      <c r="A450" s="146"/>
      <c r="D450" s="496"/>
    </row>
    <row r="451" spans="1:21" x14ac:dyDescent="0.2">
      <c r="A451" s="146"/>
      <c r="D451" s="496"/>
    </row>
    <row r="452" spans="1:21" s="123" customFormat="1" x14ac:dyDescent="0.2">
      <c r="A452" s="146"/>
      <c r="B452" s="496"/>
      <c r="C452" s="496"/>
      <c r="D452" s="496"/>
      <c r="E452" s="496"/>
      <c r="F452" s="496"/>
      <c r="G452" s="496"/>
      <c r="H452" s="496"/>
      <c r="I452" s="496"/>
      <c r="J452" s="496"/>
      <c r="K452" s="496"/>
      <c r="L452" s="496"/>
      <c r="M452" s="496"/>
      <c r="N452" s="496"/>
      <c r="O452" s="496"/>
      <c r="P452" s="496"/>
      <c r="Q452" s="496"/>
      <c r="R452" s="496"/>
      <c r="S452" s="496"/>
      <c r="T452" s="496"/>
      <c r="U452" s="496"/>
    </row>
    <row r="453" spans="1:21" x14ac:dyDescent="0.2">
      <c r="A453" s="146"/>
      <c r="D453" s="496"/>
    </row>
    <row r="454" spans="1:21" x14ac:dyDescent="0.2">
      <c r="A454" s="146"/>
      <c r="D454" s="496"/>
    </row>
    <row r="455" spans="1:21" s="123" customFormat="1" x14ac:dyDescent="0.2">
      <c r="A455" s="146"/>
      <c r="B455" s="496"/>
      <c r="C455" s="496"/>
      <c r="D455" s="496"/>
      <c r="E455" s="496"/>
      <c r="F455" s="496"/>
      <c r="G455" s="496"/>
      <c r="H455" s="496"/>
      <c r="I455" s="496"/>
      <c r="J455" s="496"/>
      <c r="K455" s="496"/>
      <c r="L455" s="496"/>
      <c r="M455" s="496"/>
      <c r="N455" s="496"/>
      <c r="O455" s="496"/>
      <c r="P455" s="496"/>
      <c r="Q455" s="496"/>
      <c r="R455" s="496"/>
      <c r="S455" s="496"/>
      <c r="T455" s="496"/>
      <c r="U455" s="496"/>
    </row>
    <row r="456" spans="1:21" x14ac:dyDescent="0.2">
      <c r="A456" s="146"/>
      <c r="D456" s="496"/>
    </row>
    <row r="457" spans="1:21" x14ac:dyDescent="0.2">
      <c r="A457" s="146"/>
      <c r="D457" s="496"/>
    </row>
    <row r="458" spans="1:21" s="123" customFormat="1" x14ac:dyDescent="0.2">
      <c r="A458" s="146"/>
      <c r="B458" s="496"/>
      <c r="C458" s="496"/>
      <c r="D458" s="496"/>
      <c r="E458" s="496"/>
      <c r="F458" s="496"/>
      <c r="G458" s="496"/>
      <c r="H458" s="496"/>
      <c r="I458" s="496"/>
      <c r="J458" s="496"/>
      <c r="K458" s="496"/>
      <c r="L458" s="496"/>
      <c r="M458" s="496"/>
      <c r="N458" s="496"/>
      <c r="O458" s="496"/>
      <c r="P458" s="496"/>
      <c r="Q458" s="496"/>
      <c r="R458" s="496"/>
      <c r="S458" s="496"/>
      <c r="T458" s="496"/>
      <c r="U458" s="496"/>
    </row>
    <row r="459" spans="1:21" x14ac:dyDescent="0.2">
      <c r="A459" s="146"/>
      <c r="D459" s="496"/>
    </row>
    <row r="460" spans="1:21" x14ac:dyDescent="0.2">
      <c r="A460" s="146"/>
      <c r="D460" s="496"/>
    </row>
    <row r="461" spans="1:21" s="123" customFormat="1" x14ac:dyDescent="0.2">
      <c r="A461" s="146"/>
      <c r="B461" s="496"/>
      <c r="C461" s="496"/>
      <c r="D461" s="496"/>
      <c r="E461" s="496"/>
      <c r="F461" s="496"/>
      <c r="G461" s="496"/>
      <c r="H461" s="496"/>
      <c r="I461" s="496"/>
      <c r="J461" s="496"/>
      <c r="K461" s="496"/>
      <c r="L461" s="496"/>
      <c r="M461" s="496"/>
      <c r="N461" s="496"/>
      <c r="O461" s="496"/>
      <c r="P461" s="496"/>
      <c r="Q461" s="496"/>
      <c r="R461" s="496"/>
      <c r="S461" s="496"/>
      <c r="T461" s="496"/>
      <c r="U461" s="496"/>
    </row>
    <row r="462" spans="1:21" x14ac:dyDescent="0.2">
      <c r="A462" s="146"/>
      <c r="D462" s="496"/>
    </row>
    <row r="463" spans="1:21" x14ac:dyDescent="0.2">
      <c r="A463" s="146"/>
      <c r="D463" s="496"/>
    </row>
    <row r="464" spans="1:21" s="123" customFormat="1" x14ac:dyDescent="0.2">
      <c r="A464" s="146"/>
      <c r="B464" s="496"/>
      <c r="C464" s="496"/>
      <c r="D464" s="496"/>
      <c r="E464" s="496"/>
      <c r="F464" s="496"/>
      <c r="G464" s="496"/>
      <c r="H464" s="496"/>
      <c r="I464" s="496"/>
      <c r="J464" s="496"/>
      <c r="K464" s="496"/>
      <c r="L464" s="496"/>
      <c r="M464" s="496"/>
      <c r="N464" s="496"/>
      <c r="O464" s="496"/>
      <c r="P464" s="496"/>
      <c r="Q464" s="496"/>
      <c r="R464" s="496"/>
      <c r="S464" s="496"/>
      <c r="T464" s="496"/>
      <c r="U464" s="496"/>
    </row>
    <row r="465" spans="1:21" x14ac:dyDescent="0.2">
      <c r="A465" s="146"/>
      <c r="D465" s="496"/>
    </row>
    <row r="466" spans="1:21" x14ac:dyDescent="0.2">
      <c r="A466" s="146"/>
      <c r="D466" s="496"/>
    </row>
    <row r="467" spans="1:21" s="123" customFormat="1" x14ac:dyDescent="0.2">
      <c r="A467" s="146"/>
      <c r="B467" s="496"/>
      <c r="C467" s="496"/>
      <c r="D467" s="496"/>
      <c r="E467" s="496"/>
      <c r="F467" s="496"/>
      <c r="G467" s="496"/>
      <c r="H467" s="496"/>
      <c r="I467" s="496"/>
      <c r="J467" s="496"/>
      <c r="K467" s="496"/>
      <c r="L467" s="496"/>
      <c r="M467" s="496"/>
      <c r="N467" s="496"/>
      <c r="O467" s="496"/>
      <c r="P467" s="496"/>
      <c r="Q467" s="496"/>
      <c r="R467" s="496"/>
      <c r="S467" s="496"/>
      <c r="T467" s="496"/>
      <c r="U467" s="496"/>
    </row>
    <row r="468" spans="1:21" x14ac:dyDescent="0.2">
      <c r="A468" s="146"/>
      <c r="D468" s="496"/>
    </row>
    <row r="469" spans="1:21" x14ac:dyDescent="0.2">
      <c r="A469" s="146"/>
      <c r="D469" s="496"/>
    </row>
    <row r="470" spans="1:21" s="123" customFormat="1" x14ac:dyDescent="0.2">
      <c r="A470" s="146"/>
      <c r="B470" s="496"/>
      <c r="C470" s="496"/>
      <c r="D470" s="496"/>
      <c r="E470" s="496"/>
      <c r="F470" s="496"/>
      <c r="G470" s="496"/>
      <c r="H470" s="496"/>
      <c r="I470" s="496"/>
      <c r="J470" s="496"/>
      <c r="K470" s="496"/>
      <c r="L470" s="496"/>
      <c r="M470" s="496"/>
      <c r="N470" s="496"/>
      <c r="O470" s="496"/>
      <c r="P470" s="496"/>
      <c r="Q470" s="496"/>
      <c r="R470" s="496"/>
      <c r="S470" s="496"/>
      <c r="T470" s="496"/>
      <c r="U470" s="496"/>
    </row>
    <row r="471" spans="1:21" x14ac:dyDescent="0.2">
      <c r="A471" s="146"/>
      <c r="D471" s="496"/>
    </row>
    <row r="472" spans="1:21" x14ac:dyDescent="0.2">
      <c r="A472" s="146"/>
      <c r="D472" s="496"/>
    </row>
    <row r="473" spans="1:21" s="123" customFormat="1" x14ac:dyDescent="0.2">
      <c r="A473" s="146"/>
      <c r="B473" s="496"/>
      <c r="C473" s="496"/>
      <c r="D473" s="496"/>
      <c r="E473" s="496"/>
      <c r="F473" s="496"/>
      <c r="G473" s="496"/>
      <c r="H473" s="496"/>
      <c r="I473" s="496"/>
      <c r="J473" s="496"/>
      <c r="K473" s="496"/>
      <c r="L473" s="496"/>
      <c r="M473" s="496"/>
      <c r="N473" s="496"/>
      <c r="O473" s="496"/>
      <c r="P473" s="496"/>
      <c r="Q473" s="496"/>
      <c r="R473" s="496"/>
      <c r="S473" s="496"/>
      <c r="T473" s="496"/>
      <c r="U473" s="496"/>
    </row>
    <row r="474" spans="1:21" x14ac:dyDescent="0.2">
      <c r="A474" s="146"/>
      <c r="D474" s="496"/>
    </row>
    <row r="475" spans="1:21" x14ac:dyDescent="0.2">
      <c r="A475" s="146"/>
      <c r="D475" s="496"/>
    </row>
    <row r="476" spans="1:21" s="123" customFormat="1" x14ac:dyDescent="0.2">
      <c r="A476" s="146"/>
      <c r="B476" s="496"/>
      <c r="C476" s="496"/>
      <c r="D476" s="496"/>
      <c r="E476" s="496"/>
      <c r="F476" s="496"/>
      <c r="G476" s="496"/>
      <c r="H476" s="496"/>
      <c r="I476" s="496"/>
      <c r="J476" s="496"/>
      <c r="K476" s="496"/>
      <c r="L476" s="496"/>
      <c r="M476" s="496"/>
      <c r="N476" s="496"/>
      <c r="O476" s="496"/>
      <c r="P476" s="496"/>
      <c r="Q476" s="496"/>
      <c r="R476" s="496"/>
      <c r="S476" s="496"/>
      <c r="T476" s="496"/>
      <c r="U476" s="496"/>
    </row>
    <row r="477" spans="1:21" x14ac:dyDescent="0.2">
      <c r="A477" s="146"/>
      <c r="D477" s="496"/>
    </row>
    <row r="478" spans="1:21" x14ac:dyDescent="0.2">
      <c r="A478" s="146"/>
      <c r="D478" s="496"/>
    </row>
    <row r="479" spans="1:21" s="123" customFormat="1" x14ac:dyDescent="0.2">
      <c r="A479" s="146"/>
      <c r="B479" s="496"/>
      <c r="C479" s="496"/>
      <c r="D479" s="496"/>
      <c r="E479" s="496"/>
      <c r="F479" s="496"/>
      <c r="G479" s="496"/>
      <c r="H479" s="496"/>
      <c r="I479" s="496"/>
      <c r="J479" s="496"/>
      <c r="K479" s="496"/>
      <c r="L479" s="496"/>
      <c r="M479" s="496"/>
      <c r="N479" s="496"/>
      <c r="O479" s="496"/>
      <c r="P479" s="496"/>
      <c r="Q479" s="496"/>
      <c r="R479" s="496"/>
      <c r="S479" s="496"/>
      <c r="T479" s="496"/>
      <c r="U479" s="496"/>
    </row>
    <row r="480" spans="1:21" x14ac:dyDescent="0.2">
      <c r="A480" s="146"/>
      <c r="D480" s="496"/>
    </row>
    <row r="481" spans="1:21" x14ac:dyDescent="0.2">
      <c r="A481" s="146"/>
      <c r="D481" s="496"/>
    </row>
    <row r="482" spans="1:21" s="123" customFormat="1" x14ac:dyDescent="0.2">
      <c r="A482" s="146"/>
      <c r="B482" s="496"/>
      <c r="C482" s="496"/>
      <c r="D482" s="496"/>
      <c r="E482" s="496"/>
      <c r="F482" s="496"/>
      <c r="G482" s="496"/>
      <c r="H482" s="496"/>
      <c r="I482" s="496"/>
      <c r="J482" s="496"/>
      <c r="K482" s="496"/>
      <c r="L482" s="496"/>
      <c r="M482" s="496"/>
      <c r="N482" s="496"/>
      <c r="O482" s="496"/>
      <c r="P482" s="496"/>
      <c r="Q482" s="496"/>
      <c r="R482" s="496"/>
      <c r="S482" s="496"/>
      <c r="T482" s="496"/>
      <c r="U482" s="496"/>
    </row>
    <row r="483" spans="1:21" x14ac:dyDescent="0.2">
      <c r="A483" s="146"/>
      <c r="D483" s="496"/>
    </row>
    <row r="484" spans="1:21" x14ac:dyDescent="0.2">
      <c r="A484" s="146"/>
      <c r="D484" s="496"/>
    </row>
    <row r="485" spans="1:21" s="123" customFormat="1" x14ac:dyDescent="0.2">
      <c r="A485" s="146"/>
      <c r="B485" s="496"/>
      <c r="C485" s="496"/>
      <c r="D485" s="496"/>
      <c r="E485" s="496"/>
      <c r="F485" s="496"/>
      <c r="G485" s="496"/>
      <c r="H485" s="496"/>
      <c r="I485" s="496"/>
      <c r="J485" s="496"/>
      <c r="K485" s="496"/>
      <c r="L485" s="496"/>
      <c r="M485" s="496"/>
      <c r="N485" s="496"/>
      <c r="O485" s="496"/>
      <c r="P485" s="496"/>
      <c r="Q485" s="496"/>
      <c r="R485" s="496"/>
      <c r="S485" s="496"/>
      <c r="T485" s="496"/>
      <c r="U485" s="496"/>
    </row>
    <row r="486" spans="1:21" x14ac:dyDescent="0.2">
      <c r="A486" s="146"/>
      <c r="D486" s="496"/>
    </row>
    <row r="487" spans="1:21" x14ac:dyDescent="0.2">
      <c r="A487" s="146"/>
      <c r="D487" s="496"/>
    </row>
    <row r="488" spans="1:21" s="123" customFormat="1" x14ac:dyDescent="0.2">
      <c r="A488" s="146"/>
      <c r="B488" s="496"/>
      <c r="C488" s="496"/>
      <c r="D488" s="496"/>
      <c r="E488" s="496"/>
      <c r="F488" s="496"/>
      <c r="G488" s="496"/>
      <c r="H488" s="496"/>
      <c r="I488" s="496"/>
      <c r="J488" s="496"/>
      <c r="K488" s="496"/>
      <c r="L488" s="496"/>
      <c r="M488" s="496"/>
      <c r="N488" s="496"/>
      <c r="O488" s="496"/>
      <c r="P488" s="496"/>
      <c r="Q488" s="496"/>
      <c r="R488" s="496"/>
      <c r="S488" s="496"/>
      <c r="T488" s="496"/>
      <c r="U488" s="496"/>
    </row>
    <row r="489" spans="1:21" x14ac:dyDescent="0.2">
      <c r="A489" s="146"/>
      <c r="D489" s="496"/>
    </row>
    <row r="490" spans="1:21" x14ac:dyDescent="0.2">
      <c r="A490" s="146"/>
      <c r="D490" s="496"/>
    </row>
    <row r="491" spans="1:21" s="123" customFormat="1" x14ac:dyDescent="0.2">
      <c r="A491" s="146"/>
      <c r="B491" s="496"/>
      <c r="C491" s="496"/>
      <c r="D491" s="496"/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496"/>
      <c r="R491" s="496"/>
      <c r="S491" s="496"/>
      <c r="T491" s="496"/>
      <c r="U491" s="496"/>
    </row>
    <row r="492" spans="1:21" x14ac:dyDescent="0.2">
      <c r="A492" s="146"/>
      <c r="D492" s="496"/>
    </row>
    <row r="493" spans="1:21" x14ac:dyDescent="0.2">
      <c r="A493" s="146"/>
      <c r="D493" s="496"/>
    </row>
    <row r="494" spans="1:21" s="123" customFormat="1" x14ac:dyDescent="0.2">
      <c r="A494" s="146"/>
      <c r="B494" s="496"/>
      <c r="C494" s="496"/>
      <c r="D494" s="496"/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496"/>
      <c r="R494" s="496"/>
      <c r="S494" s="496"/>
      <c r="T494" s="496"/>
      <c r="U494" s="496"/>
    </row>
    <row r="495" spans="1:21" x14ac:dyDescent="0.2">
      <c r="A495" s="146"/>
      <c r="D495" s="496"/>
    </row>
    <row r="496" spans="1:21" x14ac:dyDescent="0.2">
      <c r="A496" s="146"/>
      <c r="D496" s="496"/>
    </row>
    <row r="497" spans="1:21" s="123" customFormat="1" x14ac:dyDescent="0.2">
      <c r="A497" s="146"/>
      <c r="B497" s="496"/>
      <c r="C497" s="496"/>
      <c r="D497" s="496"/>
      <c r="E497" s="496"/>
      <c r="F497" s="496"/>
      <c r="G497" s="496"/>
      <c r="H497" s="496"/>
      <c r="I497" s="496"/>
      <c r="J497" s="496"/>
      <c r="K497" s="496"/>
      <c r="L497" s="496"/>
      <c r="M497" s="496"/>
      <c r="N497" s="496"/>
      <c r="O497" s="496"/>
      <c r="P497" s="496"/>
      <c r="Q497" s="496"/>
      <c r="R497" s="496"/>
      <c r="S497" s="496"/>
      <c r="T497" s="496"/>
      <c r="U497" s="496"/>
    </row>
    <row r="498" spans="1:21" x14ac:dyDescent="0.2">
      <c r="A498" s="146"/>
      <c r="D498" s="496"/>
    </row>
    <row r="499" spans="1:21" x14ac:dyDescent="0.2">
      <c r="A499" s="146"/>
      <c r="D499" s="496"/>
    </row>
    <row r="500" spans="1:21" s="123" customFormat="1" x14ac:dyDescent="0.2">
      <c r="A500" s="146"/>
      <c r="B500" s="496"/>
      <c r="C500" s="496"/>
      <c r="D500" s="496"/>
      <c r="E500" s="496"/>
      <c r="F500" s="496"/>
      <c r="G500" s="496"/>
      <c r="H500" s="496"/>
      <c r="I500" s="496"/>
      <c r="J500" s="496"/>
      <c r="K500" s="496"/>
      <c r="L500" s="496"/>
      <c r="M500" s="496"/>
      <c r="N500" s="496"/>
      <c r="O500" s="496"/>
      <c r="P500" s="496"/>
      <c r="Q500" s="496"/>
      <c r="R500" s="496"/>
      <c r="S500" s="496"/>
      <c r="T500" s="496"/>
      <c r="U500" s="496"/>
    </row>
    <row r="501" spans="1:21" x14ac:dyDescent="0.2">
      <c r="A501" s="146"/>
      <c r="D501" s="496"/>
    </row>
    <row r="502" spans="1:21" x14ac:dyDescent="0.2">
      <c r="A502" s="146"/>
      <c r="D502" s="496"/>
    </row>
    <row r="503" spans="1:21" s="123" customFormat="1" x14ac:dyDescent="0.2">
      <c r="A503" s="146"/>
      <c r="B503" s="496"/>
      <c r="C503" s="496"/>
      <c r="D503" s="496"/>
      <c r="E503" s="496"/>
      <c r="F503" s="496"/>
      <c r="G503" s="496"/>
      <c r="H503" s="496"/>
      <c r="I503" s="496"/>
      <c r="J503" s="496"/>
      <c r="K503" s="496"/>
      <c r="L503" s="496"/>
      <c r="M503" s="496"/>
      <c r="N503" s="496"/>
      <c r="O503" s="496"/>
      <c r="P503" s="496"/>
      <c r="Q503" s="496"/>
      <c r="R503" s="496"/>
      <c r="S503" s="496"/>
      <c r="T503" s="496"/>
      <c r="U503" s="496"/>
    </row>
    <row r="504" spans="1:21" x14ac:dyDescent="0.2">
      <c r="A504" s="146"/>
      <c r="D504" s="496"/>
    </row>
    <row r="505" spans="1:21" x14ac:dyDescent="0.2">
      <c r="A505" s="146"/>
      <c r="D505" s="496"/>
    </row>
    <row r="506" spans="1:21" s="123" customFormat="1" x14ac:dyDescent="0.2">
      <c r="A506" s="146"/>
      <c r="B506" s="496"/>
      <c r="C506" s="496"/>
      <c r="D506" s="496"/>
      <c r="E506" s="496"/>
      <c r="F506" s="496"/>
      <c r="G506" s="496"/>
      <c r="H506" s="496"/>
      <c r="I506" s="496"/>
      <c r="J506" s="496"/>
      <c r="K506" s="496"/>
      <c r="L506" s="496"/>
      <c r="M506" s="496"/>
      <c r="N506" s="496"/>
      <c r="O506" s="496"/>
      <c r="P506" s="496"/>
      <c r="Q506" s="496"/>
      <c r="R506" s="496"/>
      <c r="S506" s="496"/>
      <c r="T506" s="496"/>
      <c r="U506" s="496"/>
    </row>
    <row r="507" spans="1:21" x14ac:dyDescent="0.2">
      <c r="A507" s="146"/>
      <c r="D507" s="496"/>
    </row>
    <row r="508" spans="1:21" x14ac:dyDescent="0.2">
      <c r="A508" s="146"/>
      <c r="D508" s="496"/>
    </row>
    <row r="509" spans="1:21" s="123" customFormat="1" x14ac:dyDescent="0.2">
      <c r="A509" s="146"/>
      <c r="B509" s="496"/>
      <c r="C509" s="496"/>
      <c r="D509" s="496"/>
      <c r="E509" s="496"/>
      <c r="F509" s="496"/>
      <c r="G509" s="496"/>
      <c r="H509" s="496"/>
      <c r="I509" s="496"/>
      <c r="J509" s="496"/>
      <c r="K509" s="496"/>
      <c r="L509" s="496"/>
      <c r="M509" s="496"/>
      <c r="N509" s="496"/>
      <c r="O509" s="496"/>
      <c r="P509" s="496"/>
      <c r="Q509" s="496"/>
      <c r="R509" s="496"/>
      <c r="S509" s="496"/>
      <c r="T509" s="496"/>
      <c r="U509" s="496"/>
    </row>
    <row r="510" spans="1:21" x14ac:dyDescent="0.2">
      <c r="A510" s="146"/>
      <c r="D510" s="496"/>
    </row>
    <row r="511" spans="1:21" x14ac:dyDescent="0.2">
      <c r="A511" s="146"/>
      <c r="D511" s="496"/>
    </row>
    <row r="512" spans="1:21" s="123" customFormat="1" x14ac:dyDescent="0.2">
      <c r="A512" s="146"/>
      <c r="B512" s="496"/>
      <c r="C512" s="496"/>
      <c r="D512" s="496"/>
      <c r="E512" s="496"/>
      <c r="F512" s="496"/>
      <c r="G512" s="496"/>
      <c r="H512" s="496"/>
      <c r="I512" s="496"/>
      <c r="J512" s="496"/>
      <c r="K512" s="496"/>
      <c r="L512" s="496"/>
      <c r="M512" s="496"/>
      <c r="N512" s="496"/>
      <c r="O512" s="496"/>
      <c r="P512" s="496"/>
      <c r="Q512" s="496"/>
      <c r="R512" s="496"/>
      <c r="S512" s="496"/>
      <c r="T512" s="496"/>
      <c r="U512" s="496"/>
    </row>
    <row r="513" spans="1:21" x14ac:dyDescent="0.2">
      <c r="A513" s="146"/>
      <c r="D513" s="496"/>
    </row>
    <row r="514" spans="1:21" x14ac:dyDescent="0.2">
      <c r="A514" s="146"/>
      <c r="D514" s="496"/>
    </row>
    <row r="515" spans="1:21" s="123" customFormat="1" x14ac:dyDescent="0.2">
      <c r="A515" s="146"/>
      <c r="B515" s="496"/>
      <c r="C515" s="496"/>
      <c r="D515" s="496"/>
      <c r="E515" s="496"/>
      <c r="F515" s="496"/>
      <c r="G515" s="496"/>
      <c r="H515" s="496"/>
      <c r="I515" s="496"/>
      <c r="J515" s="496"/>
      <c r="K515" s="496"/>
      <c r="L515" s="496"/>
      <c r="M515" s="496"/>
      <c r="N515" s="496"/>
      <c r="O515" s="496"/>
      <c r="P515" s="496"/>
      <c r="Q515" s="496"/>
      <c r="R515" s="496"/>
      <c r="S515" s="496"/>
      <c r="T515" s="496"/>
      <c r="U515" s="496"/>
    </row>
    <row r="516" spans="1:21" x14ac:dyDescent="0.2">
      <c r="A516" s="146"/>
      <c r="D516" s="496"/>
    </row>
    <row r="517" spans="1:21" x14ac:dyDescent="0.2">
      <c r="A517" s="146"/>
      <c r="D517" s="496"/>
    </row>
    <row r="518" spans="1:21" s="123" customFormat="1" x14ac:dyDescent="0.2">
      <c r="A518" s="146"/>
      <c r="B518" s="496"/>
      <c r="C518" s="496"/>
      <c r="D518" s="496"/>
      <c r="E518" s="496"/>
      <c r="F518" s="496"/>
      <c r="G518" s="496"/>
      <c r="H518" s="496"/>
      <c r="I518" s="496"/>
      <c r="J518" s="496"/>
      <c r="K518" s="496"/>
      <c r="L518" s="496"/>
      <c r="M518" s="496"/>
      <c r="N518" s="496"/>
      <c r="O518" s="496"/>
      <c r="P518" s="496"/>
      <c r="Q518" s="496"/>
      <c r="R518" s="496"/>
      <c r="S518" s="496"/>
      <c r="T518" s="496"/>
      <c r="U518" s="496"/>
    </row>
    <row r="519" spans="1:21" x14ac:dyDescent="0.2">
      <c r="A519" s="146"/>
      <c r="D519" s="496"/>
    </row>
    <row r="520" spans="1:21" x14ac:dyDescent="0.2">
      <c r="A520" s="146"/>
      <c r="D520" s="496"/>
    </row>
    <row r="521" spans="1:21" s="123" customFormat="1" x14ac:dyDescent="0.2">
      <c r="A521" s="146"/>
      <c r="B521" s="496"/>
      <c r="C521" s="496"/>
      <c r="D521" s="496"/>
      <c r="E521" s="496"/>
      <c r="F521" s="496"/>
      <c r="G521" s="496"/>
      <c r="H521" s="496"/>
      <c r="I521" s="496"/>
      <c r="J521" s="496"/>
      <c r="K521" s="496"/>
      <c r="L521" s="496"/>
      <c r="M521" s="496"/>
      <c r="N521" s="496"/>
      <c r="O521" s="496"/>
      <c r="P521" s="496"/>
      <c r="Q521" s="496"/>
      <c r="R521" s="496"/>
      <c r="S521" s="496"/>
      <c r="T521" s="496"/>
      <c r="U521" s="496"/>
    </row>
    <row r="522" spans="1:21" x14ac:dyDescent="0.2">
      <c r="A522" s="146"/>
      <c r="D522" s="496"/>
    </row>
    <row r="523" spans="1:21" x14ac:dyDescent="0.2">
      <c r="A523" s="146"/>
      <c r="D523" s="496"/>
    </row>
    <row r="524" spans="1:21" s="123" customFormat="1" x14ac:dyDescent="0.2">
      <c r="A524" s="146"/>
      <c r="B524" s="496"/>
      <c r="C524" s="496"/>
      <c r="D524" s="496"/>
      <c r="E524" s="496"/>
      <c r="F524" s="496"/>
      <c r="G524" s="496"/>
      <c r="H524" s="496"/>
      <c r="I524" s="496"/>
      <c r="J524" s="496"/>
      <c r="K524" s="496"/>
      <c r="L524" s="496"/>
      <c r="M524" s="496"/>
      <c r="N524" s="496"/>
      <c r="O524" s="496"/>
      <c r="P524" s="496"/>
      <c r="Q524" s="496"/>
      <c r="R524" s="496"/>
      <c r="S524" s="496"/>
      <c r="T524" s="496"/>
      <c r="U524" s="496"/>
    </row>
    <row r="525" spans="1:21" x14ac:dyDescent="0.2">
      <c r="A525" s="146"/>
      <c r="D525" s="496"/>
    </row>
    <row r="526" spans="1:21" x14ac:dyDescent="0.2">
      <c r="A526" s="146"/>
      <c r="D526" s="496"/>
    </row>
    <row r="527" spans="1:21" s="123" customFormat="1" x14ac:dyDescent="0.2">
      <c r="A527" s="146"/>
      <c r="B527" s="496"/>
      <c r="C527" s="496"/>
      <c r="D527" s="496"/>
      <c r="E527" s="496"/>
      <c r="F527" s="496"/>
      <c r="G527" s="496"/>
      <c r="H527" s="496"/>
      <c r="I527" s="496"/>
      <c r="J527" s="496"/>
      <c r="K527" s="496"/>
      <c r="L527" s="496"/>
      <c r="M527" s="496"/>
      <c r="N527" s="496"/>
      <c r="O527" s="496"/>
      <c r="P527" s="496"/>
      <c r="Q527" s="496"/>
      <c r="R527" s="496"/>
      <c r="S527" s="496"/>
      <c r="T527" s="496"/>
      <c r="U527" s="496"/>
    </row>
    <row r="528" spans="1:21" x14ac:dyDescent="0.2">
      <c r="A528" s="146"/>
      <c r="D528" s="496"/>
    </row>
    <row r="529" spans="1:21" x14ac:dyDescent="0.2">
      <c r="A529" s="146"/>
      <c r="D529" s="496"/>
    </row>
    <row r="530" spans="1:21" s="123" customFormat="1" x14ac:dyDescent="0.2">
      <c r="A530" s="146"/>
      <c r="B530" s="496"/>
      <c r="C530" s="496"/>
      <c r="D530" s="496"/>
      <c r="E530" s="496"/>
      <c r="F530" s="496"/>
      <c r="G530" s="496"/>
      <c r="H530" s="496"/>
      <c r="I530" s="496"/>
      <c r="J530" s="496"/>
      <c r="K530" s="496"/>
      <c r="L530" s="496"/>
      <c r="M530" s="496"/>
      <c r="N530" s="496"/>
      <c r="O530" s="496"/>
      <c r="P530" s="496"/>
      <c r="Q530" s="496"/>
      <c r="R530" s="496"/>
      <c r="S530" s="496"/>
      <c r="T530" s="496"/>
      <c r="U530" s="496"/>
    </row>
    <row r="531" spans="1:21" x14ac:dyDescent="0.2">
      <c r="A531" s="146"/>
      <c r="D531" s="496"/>
    </row>
    <row r="532" spans="1:21" x14ac:dyDescent="0.2">
      <c r="A532" s="146"/>
      <c r="D532" s="496"/>
    </row>
    <row r="533" spans="1:21" s="123" customFormat="1" x14ac:dyDescent="0.2">
      <c r="A533" s="146"/>
      <c r="B533" s="496"/>
      <c r="C533" s="496"/>
      <c r="D533" s="496"/>
      <c r="E533" s="496"/>
      <c r="F533" s="496"/>
      <c r="G533" s="496"/>
      <c r="H533" s="496"/>
      <c r="I533" s="496"/>
      <c r="J533" s="496"/>
      <c r="K533" s="496"/>
      <c r="L533" s="496"/>
      <c r="M533" s="496"/>
      <c r="N533" s="496"/>
      <c r="O533" s="496"/>
      <c r="P533" s="496"/>
      <c r="Q533" s="496"/>
      <c r="R533" s="496"/>
      <c r="S533" s="496"/>
      <c r="T533" s="496"/>
      <c r="U533" s="496"/>
    </row>
    <row r="534" spans="1:21" x14ac:dyDescent="0.2">
      <c r="A534" s="146"/>
      <c r="D534" s="496"/>
    </row>
    <row r="535" spans="1:21" x14ac:dyDescent="0.2">
      <c r="A535" s="146"/>
      <c r="D535" s="496"/>
    </row>
    <row r="536" spans="1:21" s="123" customFormat="1" x14ac:dyDescent="0.2">
      <c r="A536" s="146"/>
      <c r="B536" s="496"/>
      <c r="C536" s="496"/>
      <c r="D536" s="496"/>
      <c r="E536" s="496"/>
      <c r="F536" s="496"/>
      <c r="G536" s="496"/>
      <c r="H536" s="496"/>
      <c r="I536" s="496"/>
      <c r="J536" s="496"/>
      <c r="K536" s="496"/>
      <c r="L536" s="496"/>
      <c r="M536" s="496"/>
      <c r="N536" s="496"/>
      <c r="O536" s="496"/>
      <c r="P536" s="496"/>
      <c r="Q536" s="496"/>
      <c r="R536" s="496"/>
      <c r="S536" s="496"/>
      <c r="T536" s="496"/>
      <c r="U536" s="496"/>
    </row>
    <row r="537" spans="1:21" x14ac:dyDescent="0.2">
      <c r="A537" s="146"/>
      <c r="D537" s="496"/>
    </row>
    <row r="538" spans="1:21" x14ac:dyDescent="0.2">
      <c r="A538" s="146"/>
      <c r="D538" s="496"/>
    </row>
    <row r="539" spans="1:21" s="123" customFormat="1" x14ac:dyDescent="0.2">
      <c r="A539" s="146"/>
      <c r="B539" s="496"/>
      <c r="C539" s="496"/>
      <c r="D539" s="496"/>
      <c r="E539" s="496"/>
      <c r="F539" s="496"/>
      <c r="G539" s="496"/>
      <c r="H539" s="496"/>
      <c r="I539" s="496"/>
      <c r="J539" s="496"/>
      <c r="K539" s="496"/>
      <c r="L539" s="496"/>
      <c r="M539" s="496"/>
      <c r="N539" s="496"/>
      <c r="O539" s="496"/>
      <c r="P539" s="496"/>
      <c r="Q539" s="496"/>
      <c r="R539" s="496"/>
      <c r="S539" s="496"/>
      <c r="T539" s="496"/>
      <c r="U539" s="496"/>
    </row>
    <row r="540" spans="1:21" x14ac:dyDescent="0.2">
      <c r="A540" s="146"/>
      <c r="D540" s="496"/>
    </row>
    <row r="541" spans="1:21" x14ac:dyDescent="0.2">
      <c r="A541" s="146"/>
      <c r="D541" s="496"/>
    </row>
    <row r="542" spans="1:21" s="123" customFormat="1" x14ac:dyDescent="0.2">
      <c r="A542" s="146"/>
      <c r="B542" s="496"/>
      <c r="C542" s="496"/>
      <c r="D542" s="496"/>
      <c r="E542" s="496"/>
      <c r="F542" s="496"/>
      <c r="G542" s="496"/>
      <c r="H542" s="496"/>
      <c r="I542" s="496"/>
      <c r="J542" s="496"/>
      <c r="K542" s="496"/>
      <c r="L542" s="496"/>
      <c r="M542" s="496"/>
      <c r="N542" s="496"/>
      <c r="O542" s="496"/>
      <c r="P542" s="496"/>
      <c r="Q542" s="496"/>
      <c r="R542" s="496"/>
      <c r="S542" s="496"/>
      <c r="T542" s="496"/>
      <c r="U542" s="496"/>
    </row>
    <row r="543" spans="1:21" x14ac:dyDescent="0.2">
      <c r="A543" s="146"/>
      <c r="D543" s="496"/>
    </row>
    <row r="544" spans="1:21" x14ac:dyDescent="0.2">
      <c r="A544" s="146"/>
      <c r="D544" s="496"/>
    </row>
    <row r="545" spans="1:21" s="123" customFormat="1" x14ac:dyDescent="0.2">
      <c r="A545" s="146"/>
      <c r="B545" s="496"/>
      <c r="C545" s="496"/>
      <c r="D545" s="496"/>
      <c r="E545" s="496"/>
      <c r="F545" s="496"/>
      <c r="G545" s="496"/>
      <c r="H545" s="496"/>
      <c r="I545" s="496"/>
      <c r="J545" s="496"/>
      <c r="K545" s="496"/>
      <c r="L545" s="496"/>
      <c r="M545" s="496"/>
      <c r="N545" s="496"/>
      <c r="O545" s="496"/>
      <c r="P545" s="496"/>
      <c r="Q545" s="496"/>
      <c r="R545" s="496"/>
      <c r="S545" s="496"/>
      <c r="T545" s="496"/>
      <c r="U545" s="496"/>
    </row>
    <row r="546" spans="1:21" x14ac:dyDescent="0.2">
      <c r="A546" s="146"/>
      <c r="D546" s="496"/>
    </row>
    <row r="547" spans="1:21" x14ac:dyDescent="0.2">
      <c r="A547" s="146"/>
      <c r="D547" s="496"/>
    </row>
    <row r="548" spans="1:21" s="123" customFormat="1" x14ac:dyDescent="0.2">
      <c r="A548" s="146"/>
      <c r="B548" s="496"/>
      <c r="C548" s="496"/>
      <c r="D548" s="496"/>
      <c r="E548" s="496"/>
      <c r="F548" s="496"/>
      <c r="G548" s="496"/>
      <c r="H548" s="496"/>
      <c r="I548" s="496"/>
      <c r="J548" s="496"/>
      <c r="K548" s="496"/>
      <c r="L548" s="496"/>
      <c r="M548" s="496"/>
      <c r="N548" s="496"/>
      <c r="O548" s="496"/>
      <c r="P548" s="496"/>
      <c r="Q548" s="496"/>
      <c r="R548" s="496"/>
      <c r="S548" s="496"/>
      <c r="T548" s="496"/>
      <c r="U548" s="496"/>
    </row>
    <row r="549" spans="1:21" x14ac:dyDescent="0.2">
      <c r="A549" s="146"/>
      <c r="D549" s="496"/>
    </row>
    <row r="550" spans="1:21" x14ac:dyDescent="0.2">
      <c r="A550" s="146"/>
      <c r="D550" s="496"/>
    </row>
    <row r="551" spans="1:21" s="123" customFormat="1" x14ac:dyDescent="0.2">
      <c r="A551" s="146"/>
      <c r="B551" s="496"/>
      <c r="C551" s="496"/>
      <c r="D551" s="496"/>
      <c r="E551" s="496"/>
      <c r="F551" s="496"/>
      <c r="G551" s="496"/>
      <c r="H551" s="496"/>
      <c r="I551" s="496"/>
      <c r="J551" s="496"/>
      <c r="K551" s="496"/>
      <c r="L551" s="496"/>
      <c r="M551" s="496"/>
      <c r="N551" s="496"/>
      <c r="O551" s="496"/>
      <c r="P551" s="496"/>
      <c r="Q551" s="496"/>
      <c r="R551" s="496"/>
      <c r="S551" s="496"/>
      <c r="T551" s="496"/>
      <c r="U551" s="496"/>
    </row>
    <row r="552" spans="1:21" x14ac:dyDescent="0.2">
      <c r="A552" s="146"/>
      <c r="D552" s="496"/>
    </row>
    <row r="553" spans="1:21" x14ac:dyDescent="0.2">
      <c r="A553" s="146"/>
      <c r="D553" s="496"/>
    </row>
    <row r="554" spans="1:21" s="123" customFormat="1" x14ac:dyDescent="0.2">
      <c r="A554" s="146"/>
      <c r="B554" s="496"/>
      <c r="C554" s="496"/>
      <c r="D554" s="496"/>
      <c r="E554" s="496"/>
      <c r="F554" s="496"/>
      <c r="G554" s="496"/>
      <c r="H554" s="496"/>
      <c r="I554" s="496"/>
      <c r="J554" s="496"/>
      <c r="K554" s="496"/>
      <c r="L554" s="496"/>
      <c r="M554" s="496"/>
      <c r="N554" s="496"/>
      <c r="O554" s="496"/>
      <c r="P554" s="496"/>
      <c r="Q554" s="496"/>
      <c r="R554" s="496"/>
      <c r="S554" s="496"/>
      <c r="T554" s="496"/>
      <c r="U554" s="496"/>
    </row>
    <row r="555" spans="1:21" x14ac:dyDescent="0.2">
      <c r="A555" s="146"/>
      <c r="D555" s="496"/>
    </row>
    <row r="556" spans="1:21" x14ac:dyDescent="0.2">
      <c r="A556" s="146"/>
      <c r="D556" s="496"/>
    </row>
    <row r="557" spans="1:21" s="123" customFormat="1" x14ac:dyDescent="0.2">
      <c r="A557" s="146"/>
      <c r="B557" s="496"/>
      <c r="C557" s="496"/>
      <c r="D557" s="496"/>
      <c r="E557" s="496"/>
      <c r="F557" s="496"/>
      <c r="G557" s="496"/>
      <c r="H557" s="496"/>
      <c r="I557" s="496"/>
      <c r="J557" s="496"/>
      <c r="K557" s="496"/>
      <c r="L557" s="496"/>
      <c r="M557" s="496"/>
      <c r="N557" s="496"/>
      <c r="O557" s="496"/>
      <c r="P557" s="496"/>
      <c r="Q557" s="496"/>
      <c r="R557" s="496"/>
      <c r="S557" s="496"/>
      <c r="T557" s="496"/>
      <c r="U557" s="496"/>
    </row>
    <row r="558" spans="1:21" x14ac:dyDescent="0.2">
      <c r="A558" s="146"/>
      <c r="D558" s="496"/>
    </row>
    <row r="559" spans="1:21" x14ac:dyDescent="0.2">
      <c r="A559" s="146"/>
      <c r="D559" s="496"/>
    </row>
    <row r="560" spans="1:21" s="123" customFormat="1" x14ac:dyDescent="0.2">
      <c r="A560" s="146"/>
      <c r="B560" s="496"/>
      <c r="C560" s="496"/>
      <c r="D560" s="496"/>
      <c r="E560" s="496"/>
      <c r="F560" s="496"/>
      <c r="G560" s="496"/>
      <c r="H560" s="496"/>
      <c r="I560" s="496"/>
      <c r="J560" s="496"/>
      <c r="K560" s="496"/>
      <c r="L560" s="496"/>
      <c r="M560" s="496"/>
      <c r="N560" s="496"/>
      <c r="O560" s="496"/>
      <c r="P560" s="496"/>
      <c r="Q560" s="496"/>
      <c r="R560" s="496"/>
      <c r="S560" s="496"/>
      <c r="T560" s="496"/>
      <c r="U560" s="496"/>
    </row>
    <row r="561" spans="1:21" x14ac:dyDescent="0.2">
      <c r="A561" s="146"/>
      <c r="D561" s="496"/>
    </row>
    <row r="562" spans="1:21" x14ac:dyDescent="0.2">
      <c r="A562" s="146"/>
      <c r="D562" s="496"/>
    </row>
    <row r="563" spans="1:21" s="123" customFormat="1" x14ac:dyDescent="0.2">
      <c r="A563" s="146"/>
      <c r="B563" s="496"/>
      <c r="C563" s="496"/>
      <c r="D563" s="496"/>
      <c r="E563" s="496"/>
      <c r="F563" s="496"/>
      <c r="G563" s="496"/>
      <c r="H563" s="496"/>
      <c r="I563" s="496"/>
      <c r="J563" s="496"/>
      <c r="K563" s="496"/>
      <c r="L563" s="496"/>
      <c r="M563" s="496"/>
      <c r="N563" s="496"/>
      <c r="O563" s="496"/>
      <c r="P563" s="496"/>
      <c r="Q563" s="496"/>
      <c r="R563" s="496"/>
      <c r="S563" s="496"/>
      <c r="T563" s="496"/>
      <c r="U563" s="496"/>
    </row>
    <row r="564" spans="1:21" x14ac:dyDescent="0.2">
      <c r="A564" s="146"/>
      <c r="D564" s="496"/>
    </row>
    <row r="565" spans="1:21" x14ac:dyDescent="0.2">
      <c r="A565" s="146"/>
      <c r="D565" s="496"/>
    </row>
    <row r="566" spans="1:21" s="123" customFormat="1" x14ac:dyDescent="0.2">
      <c r="A566" s="146"/>
      <c r="B566" s="496"/>
      <c r="C566" s="496"/>
      <c r="D566" s="496"/>
      <c r="E566" s="496"/>
      <c r="F566" s="496"/>
      <c r="G566" s="496"/>
      <c r="H566" s="496"/>
      <c r="I566" s="496"/>
      <c r="J566" s="496"/>
      <c r="K566" s="496"/>
      <c r="L566" s="496"/>
      <c r="M566" s="496"/>
      <c r="N566" s="496"/>
      <c r="O566" s="496"/>
      <c r="P566" s="496"/>
      <c r="Q566" s="496"/>
      <c r="R566" s="496"/>
      <c r="S566" s="496"/>
      <c r="T566" s="496"/>
      <c r="U566" s="496"/>
    </row>
    <row r="567" spans="1:21" x14ac:dyDescent="0.2">
      <c r="A567" s="146"/>
      <c r="D567" s="496"/>
    </row>
    <row r="568" spans="1:21" x14ac:dyDescent="0.2">
      <c r="A568" s="146"/>
      <c r="D568" s="496"/>
    </row>
    <row r="569" spans="1:21" s="123" customFormat="1" x14ac:dyDescent="0.2">
      <c r="A569" s="146"/>
      <c r="B569" s="496"/>
      <c r="C569" s="496"/>
      <c r="D569" s="496"/>
      <c r="E569" s="496"/>
      <c r="F569" s="496"/>
      <c r="G569" s="496"/>
      <c r="H569" s="496"/>
      <c r="I569" s="496"/>
      <c r="J569" s="496"/>
      <c r="K569" s="496"/>
      <c r="L569" s="496"/>
      <c r="M569" s="496"/>
      <c r="N569" s="496"/>
      <c r="O569" s="496"/>
      <c r="P569" s="496"/>
      <c r="Q569" s="496"/>
      <c r="R569" s="496"/>
      <c r="S569" s="496"/>
      <c r="T569" s="496"/>
      <c r="U569" s="496"/>
    </row>
    <row r="570" spans="1:21" x14ac:dyDescent="0.2">
      <c r="A570" s="146"/>
      <c r="D570" s="496"/>
    </row>
    <row r="571" spans="1:21" x14ac:dyDescent="0.2">
      <c r="A571" s="146"/>
      <c r="D571" s="496"/>
    </row>
    <row r="572" spans="1:21" s="123" customFormat="1" x14ac:dyDescent="0.2">
      <c r="A572" s="146"/>
      <c r="B572" s="496"/>
      <c r="C572" s="496"/>
      <c r="D572" s="496"/>
      <c r="E572" s="496"/>
      <c r="F572" s="496"/>
      <c r="G572" s="496"/>
      <c r="H572" s="496"/>
      <c r="I572" s="496"/>
      <c r="J572" s="496"/>
      <c r="K572" s="496"/>
      <c r="L572" s="496"/>
      <c r="M572" s="496"/>
      <c r="N572" s="496"/>
      <c r="O572" s="496"/>
      <c r="P572" s="496"/>
      <c r="Q572" s="496"/>
      <c r="R572" s="496"/>
      <c r="S572" s="496"/>
      <c r="T572" s="496"/>
      <c r="U572" s="496"/>
    </row>
    <row r="573" spans="1:21" x14ac:dyDescent="0.2">
      <c r="A573" s="146"/>
      <c r="D573" s="496"/>
    </row>
    <row r="574" spans="1:21" x14ac:dyDescent="0.2">
      <c r="A574" s="146"/>
      <c r="D574" s="496"/>
    </row>
    <row r="575" spans="1:21" s="123" customFormat="1" x14ac:dyDescent="0.2">
      <c r="A575" s="146"/>
      <c r="B575" s="496"/>
      <c r="C575" s="496"/>
      <c r="D575" s="496"/>
      <c r="E575" s="496"/>
      <c r="F575" s="496"/>
      <c r="G575" s="496"/>
      <c r="H575" s="496"/>
      <c r="I575" s="496"/>
      <c r="J575" s="496"/>
      <c r="K575" s="496"/>
      <c r="L575" s="496"/>
      <c r="M575" s="496"/>
      <c r="N575" s="496"/>
      <c r="O575" s="496"/>
      <c r="P575" s="496"/>
      <c r="Q575" s="496"/>
      <c r="R575" s="496"/>
      <c r="S575" s="496"/>
      <c r="T575" s="496"/>
      <c r="U575" s="496"/>
    </row>
    <row r="576" spans="1:21" x14ac:dyDescent="0.2">
      <c r="A576" s="146"/>
      <c r="D576" s="496"/>
    </row>
    <row r="577" spans="1:21" x14ac:dyDescent="0.2">
      <c r="A577" s="146"/>
      <c r="D577" s="496"/>
    </row>
    <row r="578" spans="1:21" s="123" customFormat="1" x14ac:dyDescent="0.2">
      <c r="A578" s="146"/>
      <c r="B578" s="496"/>
      <c r="C578" s="496"/>
      <c r="D578" s="496"/>
      <c r="E578" s="496"/>
      <c r="F578" s="496"/>
      <c r="G578" s="496"/>
      <c r="H578" s="496"/>
      <c r="I578" s="496"/>
      <c r="J578" s="496"/>
      <c r="K578" s="496"/>
      <c r="L578" s="496"/>
      <c r="M578" s="496"/>
      <c r="N578" s="496"/>
      <c r="O578" s="496"/>
      <c r="P578" s="496"/>
      <c r="Q578" s="496"/>
      <c r="R578" s="496"/>
      <c r="S578" s="496"/>
      <c r="T578" s="496"/>
      <c r="U578" s="496"/>
    </row>
    <row r="579" spans="1:21" x14ac:dyDescent="0.2">
      <c r="A579" s="146"/>
      <c r="D579" s="496"/>
    </row>
    <row r="580" spans="1:21" x14ac:dyDescent="0.2">
      <c r="A580" s="146"/>
      <c r="D580" s="496"/>
    </row>
    <row r="581" spans="1:21" s="123" customFormat="1" x14ac:dyDescent="0.2">
      <c r="A581" s="146"/>
      <c r="B581" s="496"/>
      <c r="C581" s="496"/>
      <c r="D581" s="496"/>
      <c r="E581" s="496"/>
      <c r="F581" s="496"/>
      <c r="G581" s="496"/>
      <c r="H581" s="496"/>
      <c r="I581" s="496"/>
      <c r="J581" s="496"/>
      <c r="K581" s="496"/>
      <c r="L581" s="496"/>
      <c r="M581" s="496"/>
      <c r="N581" s="496"/>
      <c r="O581" s="496"/>
      <c r="P581" s="496"/>
      <c r="Q581" s="496"/>
      <c r="R581" s="496"/>
      <c r="S581" s="496"/>
      <c r="T581" s="496"/>
      <c r="U581" s="496"/>
    </row>
    <row r="582" spans="1:21" x14ac:dyDescent="0.2">
      <c r="A582" s="146"/>
      <c r="D582" s="496"/>
    </row>
    <row r="583" spans="1:21" x14ac:dyDescent="0.2">
      <c r="A583" s="146"/>
      <c r="D583" s="496"/>
    </row>
    <row r="584" spans="1:21" s="123" customFormat="1" x14ac:dyDescent="0.2">
      <c r="A584" s="146"/>
      <c r="B584" s="496"/>
      <c r="C584" s="496"/>
      <c r="D584" s="496"/>
      <c r="E584" s="496"/>
      <c r="F584" s="496"/>
      <c r="G584" s="496"/>
      <c r="H584" s="496"/>
      <c r="I584" s="496"/>
      <c r="J584" s="496"/>
      <c r="K584" s="496"/>
      <c r="L584" s="496"/>
      <c r="M584" s="496"/>
      <c r="N584" s="496"/>
      <c r="O584" s="496"/>
      <c r="P584" s="496"/>
      <c r="Q584" s="496"/>
      <c r="R584" s="496"/>
      <c r="S584" s="496"/>
      <c r="T584" s="496"/>
      <c r="U584" s="496"/>
    </row>
    <row r="585" spans="1:21" x14ac:dyDescent="0.2">
      <c r="A585" s="146"/>
      <c r="D585" s="496"/>
    </row>
    <row r="586" spans="1:21" x14ac:dyDescent="0.2">
      <c r="A586" s="146"/>
      <c r="D586" s="496"/>
    </row>
    <row r="587" spans="1:21" s="123" customFormat="1" x14ac:dyDescent="0.2">
      <c r="A587" s="146"/>
      <c r="B587" s="496"/>
      <c r="C587" s="496"/>
      <c r="D587" s="496"/>
      <c r="E587" s="496"/>
      <c r="F587" s="496"/>
      <c r="G587" s="496"/>
      <c r="H587" s="496"/>
      <c r="I587" s="496"/>
      <c r="J587" s="496"/>
      <c r="K587" s="496"/>
      <c r="L587" s="496"/>
      <c r="M587" s="496"/>
      <c r="N587" s="496"/>
      <c r="O587" s="496"/>
      <c r="P587" s="496"/>
      <c r="Q587" s="496"/>
      <c r="R587" s="496"/>
      <c r="S587" s="496"/>
      <c r="T587" s="496"/>
      <c r="U587" s="496"/>
    </row>
    <row r="588" spans="1:21" x14ac:dyDescent="0.2">
      <c r="A588" s="146"/>
      <c r="D588" s="496"/>
    </row>
    <row r="589" spans="1:21" x14ac:dyDescent="0.2">
      <c r="A589" s="146"/>
      <c r="D589" s="496"/>
    </row>
    <row r="590" spans="1:21" s="123" customFormat="1" x14ac:dyDescent="0.2">
      <c r="A590" s="146"/>
      <c r="B590" s="496"/>
      <c r="C590" s="496"/>
      <c r="D590" s="496"/>
      <c r="E590" s="496"/>
      <c r="F590" s="496"/>
      <c r="G590" s="496"/>
      <c r="H590" s="496"/>
      <c r="I590" s="496"/>
      <c r="J590" s="496"/>
      <c r="K590" s="496"/>
      <c r="L590" s="496"/>
      <c r="M590" s="496"/>
      <c r="N590" s="496"/>
      <c r="O590" s="496"/>
      <c r="P590" s="496"/>
      <c r="Q590" s="496"/>
      <c r="R590" s="496"/>
      <c r="S590" s="496"/>
      <c r="T590" s="496"/>
      <c r="U590" s="496"/>
    </row>
    <row r="591" spans="1:21" x14ac:dyDescent="0.2">
      <c r="A591" s="146"/>
      <c r="D591" s="496"/>
    </row>
    <row r="592" spans="1:21" x14ac:dyDescent="0.2">
      <c r="A592" s="146"/>
      <c r="D592" s="496"/>
    </row>
    <row r="593" spans="1:21" s="123" customFormat="1" x14ac:dyDescent="0.2">
      <c r="A593" s="146"/>
      <c r="B593" s="496"/>
      <c r="C593" s="496"/>
      <c r="D593" s="496"/>
      <c r="E593" s="496"/>
      <c r="F593" s="496"/>
      <c r="G593" s="496"/>
      <c r="H593" s="496"/>
      <c r="I593" s="496"/>
      <c r="J593" s="496"/>
      <c r="K593" s="496"/>
      <c r="L593" s="496"/>
      <c r="M593" s="496"/>
      <c r="N593" s="496"/>
      <c r="O593" s="496"/>
      <c r="P593" s="496"/>
      <c r="Q593" s="496"/>
      <c r="R593" s="496"/>
      <c r="S593" s="496"/>
      <c r="T593" s="496"/>
      <c r="U593" s="496"/>
    </row>
    <row r="594" spans="1:21" x14ac:dyDescent="0.2">
      <c r="A594" s="146"/>
      <c r="D594" s="496"/>
    </row>
    <row r="595" spans="1:21" x14ac:dyDescent="0.2">
      <c r="A595" s="146"/>
      <c r="D595" s="496"/>
    </row>
    <row r="596" spans="1:21" s="123" customFormat="1" x14ac:dyDescent="0.2">
      <c r="A596" s="146"/>
      <c r="B596" s="496"/>
      <c r="C596" s="496"/>
      <c r="D596" s="496"/>
      <c r="E596" s="496"/>
      <c r="F596" s="496"/>
      <c r="G596" s="496"/>
      <c r="H596" s="496"/>
      <c r="I596" s="496"/>
      <c r="J596" s="496"/>
      <c r="K596" s="496"/>
      <c r="L596" s="496"/>
      <c r="M596" s="496"/>
      <c r="N596" s="496"/>
      <c r="O596" s="496"/>
      <c r="P596" s="496"/>
      <c r="Q596" s="496"/>
      <c r="R596" s="496"/>
      <c r="S596" s="496"/>
      <c r="T596" s="496"/>
      <c r="U596" s="496"/>
    </row>
    <row r="597" spans="1:21" x14ac:dyDescent="0.2">
      <c r="A597" s="146"/>
      <c r="D597" s="496"/>
    </row>
    <row r="598" spans="1:21" x14ac:dyDescent="0.2">
      <c r="A598" s="146"/>
      <c r="D598" s="496"/>
    </row>
    <row r="599" spans="1:21" s="123" customFormat="1" x14ac:dyDescent="0.2">
      <c r="A599" s="146"/>
      <c r="B599" s="496"/>
      <c r="C599" s="496"/>
      <c r="D599" s="496"/>
      <c r="E599" s="496"/>
      <c r="F599" s="496"/>
      <c r="G599" s="496"/>
      <c r="H599" s="496"/>
      <c r="I599" s="496"/>
      <c r="J599" s="496"/>
      <c r="K599" s="496"/>
      <c r="L599" s="496"/>
      <c r="M599" s="496"/>
      <c r="N599" s="496"/>
      <c r="O599" s="496"/>
      <c r="P599" s="496"/>
      <c r="Q599" s="496"/>
      <c r="R599" s="496"/>
      <c r="S599" s="496"/>
      <c r="T599" s="496"/>
      <c r="U599" s="496"/>
    </row>
    <row r="600" spans="1:21" x14ac:dyDescent="0.2">
      <c r="A600" s="146"/>
      <c r="D600" s="496"/>
    </row>
    <row r="601" spans="1:21" x14ac:dyDescent="0.2">
      <c r="A601" s="146"/>
      <c r="D601" s="496"/>
    </row>
    <row r="602" spans="1:21" s="123" customFormat="1" x14ac:dyDescent="0.2">
      <c r="A602" s="146"/>
      <c r="B602" s="496"/>
      <c r="C602" s="496"/>
      <c r="D602" s="496"/>
      <c r="E602" s="496"/>
      <c r="F602" s="496"/>
      <c r="G602" s="496"/>
      <c r="H602" s="496"/>
      <c r="I602" s="496"/>
      <c r="J602" s="496"/>
      <c r="K602" s="496"/>
      <c r="L602" s="496"/>
      <c r="M602" s="496"/>
      <c r="N602" s="496"/>
      <c r="O602" s="496"/>
      <c r="P602" s="496"/>
      <c r="Q602" s="496"/>
      <c r="R602" s="496"/>
      <c r="S602" s="496"/>
      <c r="T602" s="496"/>
      <c r="U602" s="496"/>
    </row>
    <row r="603" spans="1:21" x14ac:dyDescent="0.2">
      <c r="A603" s="146"/>
      <c r="D603" s="496"/>
    </row>
    <row r="604" spans="1:21" x14ac:dyDescent="0.2">
      <c r="A604" s="146"/>
      <c r="D604" s="496"/>
    </row>
    <row r="605" spans="1:21" s="123" customFormat="1" x14ac:dyDescent="0.2">
      <c r="A605" s="146"/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96"/>
      <c r="M605" s="496"/>
      <c r="N605" s="496"/>
      <c r="O605" s="496"/>
      <c r="P605" s="496"/>
      <c r="Q605" s="496"/>
      <c r="R605" s="496"/>
      <c r="S605" s="496"/>
      <c r="T605" s="496"/>
      <c r="U605" s="496"/>
    </row>
    <row r="606" spans="1:21" x14ac:dyDescent="0.2">
      <c r="A606" s="146"/>
      <c r="D606" s="496"/>
    </row>
    <row r="607" spans="1:21" x14ac:dyDescent="0.2">
      <c r="A607" s="146"/>
      <c r="D607" s="496"/>
    </row>
    <row r="608" spans="1:21" s="123" customFormat="1" x14ac:dyDescent="0.2">
      <c r="A608" s="146"/>
      <c r="B608" s="496"/>
      <c r="C608" s="496"/>
      <c r="D608" s="496"/>
      <c r="E608" s="496"/>
      <c r="F608" s="496"/>
      <c r="G608" s="496"/>
      <c r="H608" s="496"/>
      <c r="I608" s="496"/>
      <c r="J608" s="496"/>
      <c r="K608" s="496"/>
      <c r="L608" s="496"/>
      <c r="M608" s="496"/>
      <c r="N608" s="496"/>
      <c r="O608" s="496"/>
      <c r="P608" s="496"/>
      <c r="Q608" s="496"/>
      <c r="R608" s="496"/>
      <c r="S608" s="496"/>
      <c r="T608" s="496"/>
      <c r="U608" s="496"/>
    </row>
    <row r="609" spans="1:21" x14ac:dyDescent="0.2">
      <c r="A609" s="146"/>
      <c r="D609" s="496"/>
    </row>
    <row r="610" spans="1:21" x14ac:dyDescent="0.2">
      <c r="A610" s="146"/>
      <c r="D610" s="496"/>
    </row>
    <row r="611" spans="1:21" s="123" customFormat="1" x14ac:dyDescent="0.2">
      <c r="A611" s="146"/>
      <c r="B611" s="496"/>
      <c r="C611" s="496"/>
      <c r="D611" s="496"/>
      <c r="E611" s="496"/>
      <c r="F611" s="496"/>
      <c r="G611" s="496"/>
      <c r="H611" s="496"/>
      <c r="I611" s="496"/>
      <c r="J611" s="496"/>
      <c r="K611" s="496"/>
      <c r="L611" s="496"/>
      <c r="M611" s="496"/>
      <c r="N611" s="496"/>
      <c r="O611" s="496"/>
      <c r="P611" s="496"/>
      <c r="Q611" s="496"/>
      <c r="R611" s="496"/>
      <c r="S611" s="496"/>
      <c r="T611" s="496"/>
      <c r="U611" s="496"/>
    </row>
    <row r="612" spans="1:21" x14ac:dyDescent="0.2">
      <c r="A612" s="146"/>
      <c r="D612" s="496"/>
    </row>
    <row r="613" spans="1:21" x14ac:dyDescent="0.2">
      <c r="A613" s="146"/>
      <c r="D613" s="496"/>
    </row>
    <row r="614" spans="1:21" s="123" customFormat="1" x14ac:dyDescent="0.2">
      <c r="A614" s="146"/>
      <c r="B614" s="496"/>
      <c r="C614" s="496"/>
      <c r="D614" s="496"/>
      <c r="E614" s="496"/>
      <c r="F614" s="496"/>
      <c r="G614" s="496"/>
      <c r="H614" s="496"/>
      <c r="I614" s="496"/>
      <c r="J614" s="496"/>
      <c r="K614" s="496"/>
      <c r="L614" s="496"/>
      <c r="M614" s="496"/>
      <c r="N614" s="496"/>
      <c r="O614" s="496"/>
      <c r="P614" s="496"/>
      <c r="Q614" s="496"/>
      <c r="R614" s="496"/>
      <c r="S614" s="496"/>
      <c r="T614" s="496"/>
      <c r="U614" s="496"/>
    </row>
    <row r="615" spans="1:21" x14ac:dyDescent="0.2">
      <c r="A615" s="146"/>
      <c r="D615" s="496"/>
    </row>
    <row r="616" spans="1:21" x14ac:dyDescent="0.2">
      <c r="A616" s="146"/>
      <c r="D616" s="496"/>
    </row>
    <row r="617" spans="1:21" s="123" customFormat="1" x14ac:dyDescent="0.2">
      <c r="A617" s="146"/>
      <c r="B617" s="496"/>
      <c r="C617" s="496"/>
      <c r="D617" s="496"/>
      <c r="E617" s="496"/>
      <c r="F617" s="496"/>
      <c r="G617" s="496"/>
      <c r="H617" s="496"/>
      <c r="I617" s="496"/>
      <c r="J617" s="496"/>
      <c r="K617" s="496"/>
      <c r="L617" s="496"/>
      <c r="M617" s="496"/>
      <c r="N617" s="496"/>
      <c r="O617" s="496"/>
      <c r="P617" s="496"/>
      <c r="Q617" s="496"/>
      <c r="R617" s="496"/>
      <c r="S617" s="496"/>
      <c r="T617" s="496"/>
      <c r="U617" s="496"/>
    </row>
    <row r="618" spans="1:21" x14ac:dyDescent="0.2">
      <c r="A618" s="146"/>
      <c r="D618" s="496"/>
    </row>
    <row r="619" spans="1:21" x14ac:dyDescent="0.2">
      <c r="A619" s="146"/>
      <c r="D619" s="496"/>
    </row>
    <row r="620" spans="1:21" s="123" customFormat="1" x14ac:dyDescent="0.2">
      <c r="A620" s="146"/>
      <c r="B620" s="496"/>
      <c r="C620" s="496"/>
      <c r="D620" s="496"/>
      <c r="E620" s="496"/>
      <c r="F620" s="496"/>
      <c r="G620" s="496"/>
      <c r="H620" s="496"/>
      <c r="I620" s="496"/>
      <c r="J620" s="496"/>
      <c r="K620" s="496"/>
      <c r="L620" s="496"/>
      <c r="M620" s="496"/>
      <c r="N620" s="496"/>
      <c r="O620" s="496"/>
      <c r="P620" s="496"/>
      <c r="Q620" s="496"/>
      <c r="R620" s="496"/>
      <c r="S620" s="496"/>
      <c r="T620" s="496"/>
      <c r="U620" s="496"/>
    </row>
    <row r="621" spans="1:21" x14ac:dyDescent="0.2">
      <c r="A621" s="146"/>
      <c r="D621" s="496"/>
    </row>
    <row r="622" spans="1:21" x14ac:dyDescent="0.2">
      <c r="A622" s="146"/>
      <c r="D622" s="496"/>
    </row>
    <row r="623" spans="1:21" s="123" customFormat="1" x14ac:dyDescent="0.2">
      <c r="A623" s="146"/>
      <c r="B623" s="496"/>
      <c r="C623" s="496"/>
      <c r="D623" s="496"/>
      <c r="E623" s="496"/>
      <c r="F623" s="496"/>
      <c r="G623" s="496"/>
      <c r="H623" s="496"/>
      <c r="I623" s="496"/>
      <c r="J623" s="496"/>
      <c r="K623" s="496"/>
      <c r="L623" s="496"/>
      <c r="M623" s="496"/>
      <c r="N623" s="496"/>
      <c r="O623" s="496"/>
      <c r="P623" s="496"/>
      <c r="Q623" s="496"/>
      <c r="R623" s="496"/>
      <c r="S623" s="496"/>
      <c r="T623" s="496"/>
      <c r="U623" s="496"/>
    </row>
    <row r="624" spans="1:21" x14ac:dyDescent="0.2">
      <c r="A624" s="146"/>
      <c r="D624" s="496"/>
    </row>
    <row r="625" spans="1:21" x14ac:dyDescent="0.2">
      <c r="A625" s="146"/>
      <c r="D625" s="496"/>
    </row>
    <row r="626" spans="1:21" s="123" customFormat="1" x14ac:dyDescent="0.2">
      <c r="A626" s="146"/>
      <c r="B626" s="496"/>
      <c r="C626" s="496"/>
      <c r="D626" s="496"/>
      <c r="E626" s="496"/>
      <c r="F626" s="496"/>
      <c r="G626" s="496"/>
      <c r="H626" s="496"/>
      <c r="I626" s="496"/>
      <c r="J626" s="496"/>
      <c r="K626" s="496"/>
      <c r="L626" s="496"/>
      <c r="M626" s="496"/>
      <c r="N626" s="496"/>
      <c r="O626" s="496"/>
      <c r="P626" s="496"/>
      <c r="Q626" s="496"/>
      <c r="R626" s="496"/>
      <c r="S626" s="496"/>
      <c r="T626" s="496"/>
      <c r="U626" s="496"/>
    </row>
    <row r="627" spans="1:21" x14ac:dyDescent="0.2">
      <c r="A627" s="146"/>
      <c r="D627" s="496"/>
    </row>
    <row r="628" spans="1:21" x14ac:dyDescent="0.2">
      <c r="A628" s="146"/>
      <c r="D628" s="496"/>
    </row>
    <row r="629" spans="1:21" s="123" customFormat="1" x14ac:dyDescent="0.2">
      <c r="A629" s="146"/>
      <c r="B629" s="496"/>
      <c r="C629" s="496"/>
      <c r="D629" s="496"/>
      <c r="E629" s="496"/>
      <c r="F629" s="496"/>
      <c r="G629" s="496"/>
      <c r="H629" s="496"/>
      <c r="I629" s="496"/>
      <c r="J629" s="496"/>
      <c r="K629" s="496"/>
      <c r="L629" s="496"/>
      <c r="M629" s="496"/>
      <c r="N629" s="496"/>
      <c r="O629" s="496"/>
      <c r="P629" s="496"/>
      <c r="Q629" s="496"/>
      <c r="R629" s="496"/>
      <c r="S629" s="496"/>
      <c r="T629" s="496"/>
      <c r="U629" s="496"/>
    </row>
    <row r="630" spans="1:21" x14ac:dyDescent="0.2">
      <c r="A630" s="146"/>
      <c r="D630" s="496"/>
    </row>
    <row r="631" spans="1:21" x14ac:dyDescent="0.2">
      <c r="A631" s="146"/>
      <c r="D631" s="496"/>
    </row>
    <row r="632" spans="1:21" s="123" customFormat="1" x14ac:dyDescent="0.2">
      <c r="A632" s="146"/>
      <c r="B632" s="496"/>
      <c r="C632" s="496"/>
      <c r="D632" s="496"/>
      <c r="E632" s="496"/>
      <c r="F632" s="496"/>
      <c r="G632" s="496"/>
      <c r="H632" s="496"/>
      <c r="I632" s="496"/>
      <c r="J632" s="496"/>
      <c r="K632" s="496"/>
      <c r="L632" s="496"/>
      <c r="M632" s="496"/>
      <c r="N632" s="496"/>
      <c r="O632" s="496"/>
      <c r="P632" s="496"/>
      <c r="Q632" s="496"/>
      <c r="R632" s="496"/>
      <c r="S632" s="496"/>
      <c r="T632" s="496"/>
      <c r="U632" s="496"/>
    </row>
    <row r="633" spans="1:21" x14ac:dyDescent="0.2">
      <c r="A633" s="146"/>
      <c r="D633" s="496"/>
    </row>
    <row r="634" spans="1:21" x14ac:dyDescent="0.2">
      <c r="A634" s="146"/>
      <c r="D634" s="496"/>
    </row>
    <row r="635" spans="1:21" s="123" customFormat="1" x14ac:dyDescent="0.2">
      <c r="A635" s="146"/>
      <c r="B635" s="496"/>
      <c r="C635" s="496"/>
      <c r="D635" s="496"/>
      <c r="E635" s="496"/>
      <c r="F635" s="496"/>
      <c r="G635" s="496"/>
      <c r="H635" s="496"/>
      <c r="I635" s="496"/>
      <c r="J635" s="496"/>
      <c r="K635" s="496"/>
      <c r="L635" s="496"/>
      <c r="M635" s="496"/>
      <c r="N635" s="496"/>
      <c r="O635" s="496"/>
      <c r="P635" s="496"/>
      <c r="Q635" s="496"/>
      <c r="R635" s="496"/>
      <c r="S635" s="496"/>
      <c r="T635" s="496"/>
      <c r="U635" s="496"/>
    </row>
    <row r="636" spans="1:21" x14ac:dyDescent="0.2">
      <c r="A636" s="146"/>
      <c r="D636" s="496"/>
    </row>
    <row r="637" spans="1:21" x14ac:dyDescent="0.2">
      <c r="A637" s="146"/>
      <c r="D637" s="496"/>
    </row>
    <row r="638" spans="1:21" s="123" customFormat="1" x14ac:dyDescent="0.2">
      <c r="A638" s="146"/>
      <c r="B638" s="496"/>
      <c r="C638" s="496"/>
      <c r="D638" s="496"/>
      <c r="E638" s="496"/>
      <c r="F638" s="496"/>
      <c r="G638" s="496"/>
      <c r="H638" s="496"/>
      <c r="I638" s="496"/>
      <c r="J638" s="496"/>
      <c r="K638" s="496"/>
      <c r="L638" s="496"/>
      <c r="M638" s="496"/>
      <c r="N638" s="496"/>
      <c r="O638" s="496"/>
      <c r="P638" s="496"/>
      <c r="Q638" s="496"/>
      <c r="R638" s="496"/>
      <c r="S638" s="496"/>
      <c r="T638" s="496"/>
      <c r="U638" s="496"/>
    </row>
    <row r="639" spans="1:21" x14ac:dyDescent="0.2">
      <c r="A639" s="146"/>
      <c r="D639" s="496"/>
    </row>
    <row r="640" spans="1:21" x14ac:dyDescent="0.2">
      <c r="A640" s="146"/>
      <c r="D640" s="496"/>
    </row>
    <row r="641" spans="1:21" s="123" customFormat="1" x14ac:dyDescent="0.2">
      <c r="A641" s="146"/>
      <c r="B641" s="496"/>
      <c r="C641" s="496"/>
      <c r="D641" s="496"/>
      <c r="E641" s="496"/>
      <c r="F641" s="496"/>
      <c r="G641" s="496"/>
      <c r="H641" s="496"/>
      <c r="I641" s="496"/>
      <c r="J641" s="496"/>
      <c r="K641" s="496"/>
      <c r="L641" s="496"/>
      <c r="M641" s="496"/>
      <c r="N641" s="496"/>
      <c r="O641" s="496"/>
      <c r="P641" s="496"/>
      <c r="Q641" s="496"/>
      <c r="R641" s="496"/>
      <c r="S641" s="496"/>
      <c r="T641" s="496"/>
      <c r="U641" s="496"/>
    </row>
    <row r="642" spans="1:21" x14ac:dyDescent="0.2">
      <c r="A642" s="146"/>
      <c r="D642" s="496"/>
    </row>
    <row r="643" spans="1:21" x14ac:dyDescent="0.2">
      <c r="A643" s="146"/>
      <c r="D643" s="496"/>
    </row>
    <row r="644" spans="1:21" s="123" customFormat="1" x14ac:dyDescent="0.2">
      <c r="A644" s="146"/>
      <c r="B644" s="496"/>
      <c r="C644" s="496"/>
      <c r="D644" s="496"/>
      <c r="E644" s="496"/>
      <c r="F644" s="496"/>
      <c r="G644" s="496"/>
      <c r="H644" s="496"/>
      <c r="I644" s="496"/>
      <c r="J644" s="496"/>
      <c r="K644" s="496"/>
      <c r="L644" s="496"/>
      <c r="M644" s="496"/>
      <c r="N644" s="496"/>
      <c r="O644" s="496"/>
      <c r="P644" s="496"/>
      <c r="Q644" s="496"/>
      <c r="R644" s="496"/>
      <c r="S644" s="496"/>
      <c r="T644" s="496"/>
      <c r="U644" s="496"/>
    </row>
    <row r="645" spans="1:21" x14ac:dyDescent="0.2">
      <c r="A645" s="146"/>
      <c r="D645" s="496"/>
    </row>
    <row r="646" spans="1:21" x14ac:dyDescent="0.2">
      <c r="A646" s="146"/>
      <c r="D646" s="496"/>
    </row>
    <row r="647" spans="1:21" s="123" customFormat="1" x14ac:dyDescent="0.2">
      <c r="A647" s="146"/>
      <c r="B647" s="496"/>
      <c r="C647" s="496"/>
      <c r="D647" s="496"/>
      <c r="E647" s="496"/>
      <c r="F647" s="496"/>
      <c r="G647" s="496"/>
      <c r="H647" s="496"/>
      <c r="I647" s="496"/>
      <c r="J647" s="496"/>
      <c r="K647" s="496"/>
      <c r="L647" s="496"/>
      <c r="M647" s="496"/>
      <c r="N647" s="496"/>
      <c r="O647" s="496"/>
      <c r="P647" s="496"/>
      <c r="Q647" s="496"/>
      <c r="R647" s="496"/>
      <c r="S647" s="496"/>
      <c r="T647" s="496"/>
      <c r="U647" s="496"/>
    </row>
    <row r="648" spans="1:21" x14ac:dyDescent="0.2">
      <c r="A648" s="146"/>
      <c r="D648" s="496"/>
    </row>
    <row r="649" spans="1:21" x14ac:dyDescent="0.2">
      <c r="A649" s="146"/>
      <c r="D649" s="496"/>
    </row>
    <row r="650" spans="1:21" s="123" customFormat="1" x14ac:dyDescent="0.2">
      <c r="A650" s="146"/>
      <c r="B650" s="496"/>
      <c r="C650" s="496"/>
      <c r="D650" s="496"/>
      <c r="E650" s="496"/>
      <c r="F650" s="496"/>
      <c r="G650" s="496"/>
      <c r="H650" s="496"/>
      <c r="I650" s="496"/>
      <c r="J650" s="496"/>
      <c r="K650" s="496"/>
      <c r="L650" s="496"/>
      <c r="M650" s="496"/>
      <c r="N650" s="496"/>
      <c r="O650" s="496"/>
      <c r="P650" s="496"/>
      <c r="Q650" s="496"/>
      <c r="R650" s="496"/>
      <c r="S650" s="496"/>
      <c r="T650" s="496"/>
      <c r="U650" s="496"/>
    </row>
    <row r="651" spans="1:21" x14ac:dyDescent="0.2">
      <c r="A651" s="146"/>
      <c r="D651" s="496"/>
    </row>
    <row r="652" spans="1:21" x14ac:dyDescent="0.2">
      <c r="A652" s="146"/>
      <c r="D652" s="496"/>
    </row>
    <row r="653" spans="1:21" s="123" customFormat="1" x14ac:dyDescent="0.2">
      <c r="A653" s="146"/>
      <c r="B653" s="496"/>
      <c r="C653" s="496"/>
      <c r="D653" s="496"/>
      <c r="E653" s="496"/>
      <c r="F653" s="496"/>
      <c r="G653" s="496"/>
      <c r="H653" s="496"/>
      <c r="I653" s="496"/>
      <c r="J653" s="496"/>
      <c r="K653" s="496"/>
      <c r="L653" s="496"/>
      <c r="M653" s="496"/>
      <c r="N653" s="496"/>
      <c r="O653" s="496"/>
      <c r="P653" s="496"/>
      <c r="Q653" s="496"/>
      <c r="R653" s="496"/>
      <c r="S653" s="496"/>
      <c r="T653" s="496"/>
      <c r="U653" s="496"/>
    </row>
    <row r="654" spans="1:21" x14ac:dyDescent="0.2">
      <c r="A654" s="146"/>
      <c r="D654" s="496"/>
    </row>
    <row r="655" spans="1:21" x14ac:dyDescent="0.2">
      <c r="A655" s="146"/>
      <c r="D655" s="496"/>
    </row>
    <row r="656" spans="1:21" s="123" customFormat="1" x14ac:dyDescent="0.2">
      <c r="A656" s="146"/>
      <c r="B656" s="496"/>
      <c r="C656" s="496"/>
      <c r="D656" s="496"/>
      <c r="E656" s="496"/>
      <c r="F656" s="496"/>
      <c r="G656" s="496"/>
      <c r="H656" s="496"/>
      <c r="I656" s="496"/>
      <c r="J656" s="496"/>
      <c r="K656" s="496"/>
      <c r="L656" s="496"/>
      <c r="M656" s="496"/>
      <c r="N656" s="496"/>
      <c r="O656" s="496"/>
      <c r="P656" s="496"/>
      <c r="Q656" s="496"/>
      <c r="R656" s="496"/>
      <c r="S656" s="496"/>
      <c r="T656" s="496"/>
      <c r="U656" s="496"/>
    </row>
    <row r="657" spans="1:21" x14ac:dyDescent="0.2">
      <c r="A657" s="146"/>
      <c r="D657" s="496"/>
    </row>
    <row r="658" spans="1:21" x14ac:dyDescent="0.2">
      <c r="A658" s="146"/>
      <c r="D658" s="496"/>
    </row>
    <row r="659" spans="1:21" s="123" customFormat="1" x14ac:dyDescent="0.2">
      <c r="A659" s="146"/>
      <c r="B659" s="496"/>
      <c r="C659" s="496"/>
      <c r="D659" s="496"/>
      <c r="E659" s="496"/>
      <c r="F659" s="496"/>
      <c r="G659" s="496"/>
      <c r="H659" s="496"/>
      <c r="I659" s="496"/>
      <c r="J659" s="496"/>
      <c r="K659" s="496"/>
      <c r="L659" s="496"/>
      <c r="M659" s="496"/>
      <c r="N659" s="496"/>
      <c r="O659" s="496"/>
      <c r="P659" s="496"/>
      <c r="Q659" s="496"/>
      <c r="R659" s="496"/>
      <c r="S659" s="496"/>
      <c r="T659" s="496"/>
      <c r="U659" s="496"/>
    </row>
    <row r="660" spans="1:21" x14ac:dyDescent="0.2">
      <c r="A660" s="146"/>
      <c r="D660" s="496"/>
    </row>
    <row r="661" spans="1:21" x14ac:dyDescent="0.2">
      <c r="A661" s="146"/>
      <c r="D661" s="496"/>
    </row>
    <row r="662" spans="1:21" s="123" customFormat="1" x14ac:dyDescent="0.2">
      <c r="A662" s="146"/>
      <c r="B662" s="496"/>
      <c r="C662" s="496"/>
      <c r="D662" s="496"/>
      <c r="E662" s="496"/>
      <c r="F662" s="496"/>
      <c r="G662" s="496"/>
      <c r="H662" s="496"/>
      <c r="I662" s="496"/>
      <c r="J662" s="496"/>
      <c r="K662" s="496"/>
      <c r="L662" s="496"/>
      <c r="M662" s="496"/>
      <c r="N662" s="496"/>
      <c r="O662" s="496"/>
      <c r="P662" s="496"/>
      <c r="Q662" s="496"/>
      <c r="R662" s="496"/>
      <c r="S662" s="496"/>
      <c r="T662" s="496"/>
      <c r="U662" s="496"/>
    </row>
    <row r="663" spans="1:21" x14ac:dyDescent="0.2">
      <c r="A663" s="146"/>
      <c r="D663" s="496"/>
    </row>
    <row r="664" spans="1:21" x14ac:dyDescent="0.2">
      <c r="A664" s="146"/>
      <c r="D664" s="496"/>
    </row>
    <row r="665" spans="1:21" s="123" customFormat="1" x14ac:dyDescent="0.2">
      <c r="A665" s="146"/>
      <c r="B665" s="496"/>
      <c r="C665" s="496"/>
      <c r="D665" s="496"/>
      <c r="E665" s="496"/>
      <c r="F665" s="496"/>
      <c r="G665" s="496"/>
      <c r="H665" s="496"/>
      <c r="I665" s="496"/>
      <c r="J665" s="496"/>
      <c r="K665" s="496"/>
      <c r="L665" s="496"/>
      <c r="M665" s="496"/>
      <c r="N665" s="496"/>
      <c r="O665" s="496"/>
      <c r="P665" s="496"/>
      <c r="Q665" s="496"/>
      <c r="R665" s="496"/>
      <c r="S665" s="496"/>
      <c r="T665" s="496"/>
      <c r="U665" s="496"/>
    </row>
    <row r="666" spans="1:21" x14ac:dyDescent="0.2">
      <c r="A666" s="146"/>
      <c r="D666" s="496"/>
    </row>
    <row r="667" spans="1:21" x14ac:dyDescent="0.2">
      <c r="A667" s="146"/>
      <c r="D667" s="496"/>
    </row>
    <row r="668" spans="1:21" s="123" customFormat="1" x14ac:dyDescent="0.2">
      <c r="A668" s="146"/>
      <c r="B668" s="496"/>
      <c r="C668" s="496"/>
      <c r="D668" s="496"/>
      <c r="E668" s="496"/>
      <c r="F668" s="496"/>
      <c r="G668" s="496"/>
      <c r="H668" s="496"/>
      <c r="I668" s="496"/>
      <c r="J668" s="496"/>
      <c r="K668" s="496"/>
      <c r="L668" s="496"/>
      <c r="M668" s="496"/>
      <c r="N668" s="496"/>
      <c r="O668" s="496"/>
      <c r="P668" s="496"/>
      <c r="Q668" s="496"/>
      <c r="R668" s="496"/>
      <c r="S668" s="496"/>
      <c r="T668" s="496"/>
      <c r="U668" s="496"/>
    </row>
    <row r="669" spans="1:21" x14ac:dyDescent="0.2">
      <c r="A669" s="146"/>
      <c r="D669" s="496"/>
    </row>
    <row r="670" spans="1:21" x14ac:dyDescent="0.2">
      <c r="A670" s="146"/>
      <c r="D670" s="496"/>
    </row>
    <row r="671" spans="1:21" s="123" customFormat="1" x14ac:dyDescent="0.2">
      <c r="A671" s="146"/>
      <c r="B671" s="496"/>
      <c r="C671" s="496"/>
      <c r="D671" s="496"/>
      <c r="E671" s="496"/>
      <c r="F671" s="496"/>
      <c r="G671" s="496"/>
      <c r="H671" s="496"/>
      <c r="I671" s="496"/>
      <c r="J671" s="496"/>
      <c r="K671" s="496"/>
      <c r="L671" s="496"/>
      <c r="M671" s="496"/>
      <c r="N671" s="496"/>
      <c r="O671" s="496"/>
      <c r="P671" s="496"/>
      <c r="Q671" s="496"/>
      <c r="R671" s="496"/>
      <c r="S671" s="496"/>
      <c r="T671" s="496"/>
      <c r="U671" s="496"/>
    </row>
    <row r="672" spans="1:21" x14ac:dyDescent="0.2">
      <c r="A672" s="146"/>
      <c r="D672" s="496"/>
    </row>
    <row r="673" spans="1:21" x14ac:dyDescent="0.2">
      <c r="A673" s="146"/>
      <c r="D673" s="496"/>
    </row>
    <row r="674" spans="1:21" s="123" customFormat="1" x14ac:dyDescent="0.2">
      <c r="A674" s="146"/>
      <c r="B674" s="496"/>
      <c r="C674" s="496"/>
      <c r="D674" s="496"/>
      <c r="E674" s="496"/>
      <c r="F674" s="496"/>
      <c r="G674" s="496"/>
      <c r="H674" s="496"/>
      <c r="I674" s="496"/>
      <c r="J674" s="496"/>
      <c r="K674" s="496"/>
      <c r="L674" s="496"/>
      <c r="M674" s="496"/>
      <c r="N674" s="496"/>
      <c r="O674" s="496"/>
      <c r="P674" s="496"/>
      <c r="Q674" s="496"/>
      <c r="R674" s="496"/>
      <c r="S674" s="496"/>
      <c r="T674" s="496"/>
      <c r="U674" s="496"/>
    </row>
    <row r="675" spans="1:21" x14ac:dyDescent="0.2">
      <c r="A675" s="146"/>
      <c r="D675" s="496"/>
    </row>
    <row r="676" spans="1:21" x14ac:dyDescent="0.2">
      <c r="A676" s="146"/>
      <c r="D676" s="496"/>
    </row>
    <row r="677" spans="1:21" s="123" customFormat="1" x14ac:dyDescent="0.2">
      <c r="A677" s="146"/>
      <c r="B677" s="496"/>
      <c r="C677" s="496"/>
      <c r="D677" s="496"/>
      <c r="E677" s="496"/>
      <c r="F677" s="496"/>
      <c r="G677" s="496"/>
      <c r="H677" s="496"/>
      <c r="I677" s="496"/>
      <c r="J677" s="496"/>
      <c r="K677" s="496"/>
      <c r="L677" s="496"/>
      <c r="M677" s="496"/>
      <c r="N677" s="496"/>
      <c r="O677" s="496"/>
      <c r="P677" s="496"/>
      <c r="Q677" s="496"/>
      <c r="R677" s="496"/>
      <c r="S677" s="496"/>
      <c r="T677" s="496"/>
      <c r="U677" s="496"/>
    </row>
    <row r="678" spans="1:21" x14ac:dyDescent="0.2">
      <c r="A678" s="146"/>
      <c r="D678" s="496"/>
    </row>
    <row r="679" spans="1:21" x14ac:dyDescent="0.2">
      <c r="A679" s="146"/>
      <c r="D679" s="496"/>
    </row>
    <row r="680" spans="1:21" s="123" customFormat="1" x14ac:dyDescent="0.2">
      <c r="A680" s="146"/>
      <c r="B680" s="496"/>
      <c r="C680" s="496"/>
      <c r="D680" s="496"/>
      <c r="E680" s="496"/>
      <c r="F680" s="496"/>
      <c r="G680" s="496"/>
      <c r="H680" s="496"/>
      <c r="I680" s="496"/>
      <c r="J680" s="496"/>
      <c r="K680" s="496"/>
      <c r="L680" s="496"/>
      <c r="M680" s="496"/>
      <c r="N680" s="496"/>
      <c r="O680" s="496"/>
      <c r="P680" s="496"/>
      <c r="Q680" s="496"/>
      <c r="R680" s="496"/>
      <c r="S680" s="496"/>
      <c r="T680" s="496"/>
      <c r="U680" s="496"/>
    </row>
    <row r="681" spans="1:21" x14ac:dyDescent="0.2">
      <c r="A681" s="146"/>
      <c r="D681" s="496"/>
    </row>
    <row r="682" spans="1:21" x14ac:dyDescent="0.2">
      <c r="A682" s="146"/>
      <c r="D682" s="496"/>
    </row>
    <row r="683" spans="1:21" s="123" customFormat="1" x14ac:dyDescent="0.2">
      <c r="A683" s="146"/>
      <c r="B683" s="496"/>
      <c r="C683" s="496"/>
      <c r="D683" s="496"/>
      <c r="E683" s="496"/>
      <c r="F683" s="496"/>
      <c r="G683" s="496"/>
      <c r="H683" s="496"/>
      <c r="I683" s="496"/>
      <c r="J683" s="496"/>
      <c r="K683" s="496"/>
      <c r="L683" s="496"/>
      <c r="M683" s="496"/>
      <c r="N683" s="496"/>
      <c r="O683" s="496"/>
      <c r="P683" s="496"/>
      <c r="Q683" s="496"/>
      <c r="R683" s="496"/>
      <c r="S683" s="496"/>
      <c r="T683" s="496"/>
      <c r="U683" s="496"/>
    </row>
    <row r="684" spans="1:21" x14ac:dyDescent="0.2">
      <c r="A684" s="146"/>
      <c r="D684" s="496"/>
    </row>
    <row r="685" spans="1:21" x14ac:dyDescent="0.2">
      <c r="A685" s="146"/>
      <c r="D685" s="496"/>
    </row>
    <row r="686" spans="1:21" s="123" customFormat="1" x14ac:dyDescent="0.2">
      <c r="A686" s="146"/>
      <c r="B686" s="496"/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6"/>
      <c r="N686" s="496"/>
      <c r="O686" s="496"/>
      <c r="P686" s="496"/>
      <c r="Q686" s="496"/>
      <c r="R686" s="496"/>
      <c r="S686" s="496"/>
      <c r="T686" s="496"/>
      <c r="U686" s="496"/>
    </row>
    <row r="687" spans="1:21" x14ac:dyDescent="0.2">
      <c r="A687" s="146"/>
      <c r="D687" s="496"/>
    </row>
    <row r="688" spans="1:21" x14ac:dyDescent="0.2">
      <c r="A688" s="146"/>
      <c r="D688" s="496"/>
    </row>
    <row r="689" spans="1:21" s="123" customFormat="1" x14ac:dyDescent="0.2">
      <c r="A689" s="146"/>
      <c r="B689" s="496"/>
      <c r="C689" s="496"/>
      <c r="D689" s="496"/>
      <c r="E689" s="496"/>
      <c r="F689" s="496"/>
      <c r="G689" s="496"/>
      <c r="H689" s="496"/>
      <c r="I689" s="496"/>
      <c r="J689" s="496"/>
      <c r="K689" s="496"/>
      <c r="L689" s="496"/>
      <c r="M689" s="496"/>
      <c r="N689" s="496"/>
      <c r="O689" s="496"/>
      <c r="P689" s="496"/>
      <c r="Q689" s="496"/>
      <c r="R689" s="496"/>
      <c r="S689" s="496"/>
      <c r="T689" s="496"/>
      <c r="U689" s="496"/>
    </row>
    <row r="690" spans="1:21" x14ac:dyDescent="0.2">
      <c r="A690" s="146"/>
      <c r="D690" s="496"/>
    </row>
    <row r="691" spans="1:21" x14ac:dyDescent="0.2">
      <c r="A691" s="146"/>
      <c r="D691" s="496"/>
    </row>
    <row r="692" spans="1:21" s="123" customFormat="1" x14ac:dyDescent="0.2">
      <c r="A692" s="146"/>
      <c r="B692" s="496"/>
      <c r="C692" s="496"/>
      <c r="D692" s="496"/>
      <c r="E692" s="496"/>
      <c r="F692" s="496"/>
      <c r="G692" s="496"/>
      <c r="H692" s="496"/>
      <c r="I692" s="496"/>
      <c r="J692" s="496"/>
      <c r="K692" s="496"/>
      <c r="L692" s="496"/>
      <c r="M692" s="496"/>
      <c r="N692" s="496"/>
      <c r="O692" s="496"/>
      <c r="P692" s="496"/>
      <c r="Q692" s="496"/>
      <c r="R692" s="496"/>
      <c r="S692" s="496"/>
      <c r="T692" s="496"/>
      <c r="U692" s="496"/>
    </row>
    <row r="693" spans="1:21" x14ac:dyDescent="0.2">
      <c r="A693" s="146"/>
      <c r="D693" s="496"/>
    </row>
    <row r="694" spans="1:21" x14ac:dyDescent="0.2">
      <c r="A694" s="146"/>
      <c r="D694" s="496"/>
    </row>
    <row r="695" spans="1:21" s="123" customFormat="1" x14ac:dyDescent="0.2">
      <c r="A695" s="146"/>
      <c r="B695" s="496"/>
      <c r="C695" s="496"/>
      <c r="D695" s="496"/>
      <c r="E695" s="496"/>
      <c r="F695" s="496"/>
      <c r="G695" s="496"/>
      <c r="H695" s="496"/>
      <c r="I695" s="496"/>
      <c r="J695" s="496"/>
      <c r="K695" s="496"/>
      <c r="L695" s="496"/>
      <c r="M695" s="496"/>
      <c r="N695" s="496"/>
      <c r="O695" s="496"/>
      <c r="P695" s="496"/>
      <c r="Q695" s="496"/>
      <c r="R695" s="496"/>
      <c r="S695" s="496"/>
      <c r="T695" s="496"/>
      <c r="U695" s="496"/>
    </row>
    <row r="696" spans="1:21" x14ac:dyDescent="0.2">
      <c r="A696" s="146"/>
      <c r="D696" s="496"/>
    </row>
    <row r="697" spans="1:21" x14ac:dyDescent="0.2">
      <c r="A697" s="146"/>
      <c r="D697" s="496"/>
    </row>
    <row r="698" spans="1:21" s="123" customFormat="1" x14ac:dyDescent="0.2">
      <c r="A698" s="146"/>
      <c r="B698" s="496"/>
      <c r="C698" s="496"/>
      <c r="D698" s="496"/>
      <c r="E698" s="496"/>
      <c r="F698" s="496"/>
      <c r="G698" s="496"/>
      <c r="H698" s="496"/>
      <c r="I698" s="496"/>
      <c r="J698" s="496"/>
      <c r="K698" s="496"/>
      <c r="L698" s="496"/>
      <c r="M698" s="496"/>
      <c r="N698" s="496"/>
      <c r="O698" s="496"/>
      <c r="P698" s="496"/>
      <c r="Q698" s="496"/>
      <c r="R698" s="496"/>
      <c r="S698" s="496"/>
      <c r="T698" s="496"/>
      <c r="U698" s="496"/>
    </row>
    <row r="699" spans="1:21" x14ac:dyDescent="0.2">
      <c r="A699" s="146"/>
      <c r="D699" s="496"/>
    </row>
    <row r="700" spans="1:21" x14ac:dyDescent="0.2">
      <c r="A700" s="146"/>
      <c r="D700" s="496"/>
    </row>
    <row r="701" spans="1:21" s="123" customFormat="1" x14ac:dyDescent="0.2">
      <c r="A701" s="146"/>
      <c r="B701" s="496"/>
      <c r="C701" s="496"/>
      <c r="D701" s="496"/>
      <c r="E701" s="496"/>
      <c r="F701" s="496"/>
      <c r="G701" s="496"/>
      <c r="H701" s="496"/>
      <c r="I701" s="496"/>
      <c r="J701" s="496"/>
      <c r="K701" s="496"/>
      <c r="L701" s="496"/>
      <c r="M701" s="496"/>
      <c r="N701" s="496"/>
      <c r="O701" s="496"/>
      <c r="P701" s="496"/>
      <c r="Q701" s="496"/>
      <c r="R701" s="496"/>
      <c r="S701" s="496"/>
      <c r="T701" s="496"/>
      <c r="U701" s="496"/>
    </row>
    <row r="702" spans="1:21" x14ac:dyDescent="0.2">
      <c r="A702" s="146"/>
      <c r="D702" s="496"/>
    </row>
    <row r="703" spans="1:21" x14ac:dyDescent="0.2">
      <c r="A703" s="146"/>
      <c r="D703" s="496"/>
    </row>
    <row r="704" spans="1:21" s="123" customFormat="1" x14ac:dyDescent="0.2">
      <c r="A704" s="146"/>
      <c r="B704" s="496"/>
      <c r="C704" s="496"/>
      <c r="D704" s="496"/>
      <c r="E704" s="496"/>
      <c r="F704" s="496"/>
      <c r="G704" s="496"/>
      <c r="H704" s="496"/>
      <c r="I704" s="496"/>
      <c r="J704" s="496"/>
      <c r="K704" s="496"/>
      <c r="L704" s="496"/>
      <c r="M704" s="496"/>
      <c r="N704" s="496"/>
      <c r="O704" s="496"/>
      <c r="P704" s="496"/>
      <c r="Q704" s="496"/>
      <c r="R704" s="496"/>
      <c r="S704" s="496"/>
      <c r="T704" s="496"/>
      <c r="U704" s="496"/>
    </row>
    <row r="705" spans="1:21" x14ac:dyDescent="0.2">
      <c r="A705" s="146"/>
      <c r="D705" s="496"/>
    </row>
    <row r="706" spans="1:21" x14ac:dyDescent="0.2">
      <c r="A706" s="146"/>
      <c r="D706" s="496"/>
    </row>
    <row r="707" spans="1:21" s="123" customFormat="1" x14ac:dyDescent="0.2">
      <c r="A707" s="146"/>
      <c r="B707" s="496"/>
      <c r="C707" s="496"/>
      <c r="D707" s="496"/>
      <c r="E707" s="496"/>
      <c r="F707" s="496"/>
      <c r="G707" s="496"/>
      <c r="H707" s="496"/>
      <c r="I707" s="496"/>
      <c r="J707" s="496"/>
      <c r="K707" s="496"/>
      <c r="L707" s="496"/>
      <c r="M707" s="496"/>
      <c r="N707" s="496"/>
      <c r="O707" s="496"/>
      <c r="P707" s="496"/>
      <c r="Q707" s="496"/>
      <c r="R707" s="496"/>
      <c r="S707" s="496"/>
      <c r="T707" s="496"/>
      <c r="U707" s="496"/>
    </row>
    <row r="708" spans="1:21" x14ac:dyDescent="0.2">
      <c r="A708" s="146"/>
      <c r="D708" s="496"/>
    </row>
    <row r="709" spans="1:21" x14ac:dyDescent="0.2">
      <c r="A709" s="146"/>
      <c r="D709" s="496"/>
    </row>
    <row r="710" spans="1:21" s="123" customFormat="1" x14ac:dyDescent="0.2">
      <c r="A710" s="146"/>
      <c r="B710" s="496"/>
      <c r="C710" s="496"/>
      <c r="D710" s="496"/>
      <c r="E710" s="496"/>
      <c r="F710" s="496"/>
      <c r="G710" s="496"/>
      <c r="H710" s="496"/>
      <c r="I710" s="496"/>
      <c r="J710" s="496"/>
      <c r="K710" s="496"/>
      <c r="L710" s="496"/>
      <c r="M710" s="496"/>
      <c r="N710" s="496"/>
      <c r="O710" s="496"/>
      <c r="P710" s="496"/>
      <c r="Q710" s="496"/>
      <c r="R710" s="496"/>
      <c r="S710" s="496"/>
      <c r="T710" s="496"/>
      <c r="U710" s="496"/>
    </row>
    <row r="711" spans="1:21" x14ac:dyDescent="0.2">
      <c r="A711" s="146"/>
      <c r="D711" s="496"/>
    </row>
    <row r="712" spans="1:21" x14ac:dyDescent="0.2">
      <c r="A712" s="146"/>
      <c r="D712" s="496"/>
    </row>
    <row r="713" spans="1:21" s="123" customFormat="1" x14ac:dyDescent="0.2">
      <c r="A713" s="146"/>
      <c r="B713" s="496"/>
      <c r="C713" s="496"/>
      <c r="D713" s="496"/>
      <c r="E713" s="496"/>
      <c r="F713" s="496"/>
      <c r="G713" s="496"/>
      <c r="H713" s="496"/>
      <c r="I713" s="496"/>
      <c r="J713" s="496"/>
      <c r="K713" s="496"/>
      <c r="L713" s="496"/>
      <c r="M713" s="496"/>
      <c r="N713" s="496"/>
      <c r="O713" s="496"/>
      <c r="P713" s="496"/>
      <c r="Q713" s="496"/>
      <c r="R713" s="496"/>
      <c r="S713" s="496"/>
      <c r="T713" s="496"/>
      <c r="U713" s="496"/>
    </row>
    <row r="714" spans="1:21" x14ac:dyDescent="0.2">
      <c r="A714" s="146"/>
      <c r="D714" s="496"/>
    </row>
    <row r="715" spans="1:21" x14ac:dyDescent="0.2">
      <c r="A715" s="146"/>
      <c r="D715" s="496"/>
    </row>
    <row r="716" spans="1:21" s="123" customFormat="1" x14ac:dyDescent="0.2">
      <c r="A716" s="146"/>
      <c r="B716" s="496"/>
      <c r="C716" s="496"/>
      <c r="D716" s="496"/>
      <c r="E716" s="496"/>
      <c r="F716" s="496"/>
      <c r="G716" s="496"/>
      <c r="H716" s="496"/>
      <c r="I716" s="496"/>
      <c r="J716" s="496"/>
      <c r="K716" s="496"/>
      <c r="L716" s="496"/>
      <c r="M716" s="496"/>
      <c r="N716" s="496"/>
      <c r="O716" s="496"/>
      <c r="P716" s="496"/>
      <c r="Q716" s="496"/>
      <c r="R716" s="496"/>
      <c r="S716" s="496"/>
      <c r="T716" s="496"/>
      <c r="U716" s="496"/>
    </row>
    <row r="717" spans="1:21" x14ac:dyDescent="0.2">
      <c r="A717" s="146"/>
      <c r="D717" s="496"/>
    </row>
    <row r="718" spans="1:21" x14ac:dyDescent="0.2">
      <c r="A718" s="146"/>
      <c r="D718" s="496"/>
    </row>
    <row r="719" spans="1:21" s="123" customFormat="1" x14ac:dyDescent="0.2">
      <c r="A719" s="146"/>
      <c r="B719" s="496"/>
      <c r="C719" s="496"/>
      <c r="D719" s="496"/>
      <c r="E719" s="496"/>
      <c r="F719" s="496"/>
      <c r="G719" s="496"/>
      <c r="H719" s="496"/>
      <c r="I719" s="496"/>
      <c r="J719" s="496"/>
      <c r="K719" s="496"/>
      <c r="L719" s="496"/>
      <c r="M719" s="496"/>
      <c r="N719" s="496"/>
      <c r="O719" s="496"/>
      <c r="P719" s="496"/>
      <c r="Q719" s="496"/>
      <c r="R719" s="496"/>
      <c r="S719" s="496"/>
      <c r="T719" s="496"/>
      <c r="U719" s="496"/>
    </row>
    <row r="720" spans="1:21" x14ac:dyDescent="0.2">
      <c r="A720" s="146"/>
      <c r="D720" s="496"/>
    </row>
    <row r="721" spans="1:21" x14ac:dyDescent="0.2">
      <c r="A721" s="146"/>
      <c r="D721" s="496"/>
    </row>
    <row r="722" spans="1:21" s="123" customFormat="1" x14ac:dyDescent="0.2">
      <c r="A722" s="146"/>
      <c r="B722" s="496"/>
      <c r="C722" s="496"/>
      <c r="D722" s="496"/>
      <c r="E722" s="496"/>
      <c r="F722" s="496"/>
      <c r="G722" s="496"/>
      <c r="H722" s="496"/>
      <c r="I722" s="496"/>
      <c r="J722" s="496"/>
      <c r="K722" s="496"/>
      <c r="L722" s="496"/>
      <c r="M722" s="496"/>
      <c r="N722" s="496"/>
      <c r="O722" s="496"/>
      <c r="P722" s="496"/>
      <c r="Q722" s="496"/>
      <c r="R722" s="496"/>
      <c r="S722" s="496"/>
      <c r="T722" s="496"/>
      <c r="U722" s="496"/>
    </row>
    <row r="723" spans="1:21" x14ac:dyDescent="0.2">
      <c r="A723" s="146"/>
      <c r="D723" s="496"/>
    </row>
    <row r="724" spans="1:21" x14ac:dyDescent="0.2">
      <c r="A724" s="146"/>
      <c r="D724" s="496"/>
    </row>
    <row r="725" spans="1:21" s="123" customFormat="1" x14ac:dyDescent="0.2">
      <c r="A725" s="146"/>
      <c r="B725" s="496"/>
      <c r="C725" s="496"/>
      <c r="D725" s="496"/>
      <c r="E725" s="496"/>
      <c r="F725" s="496"/>
      <c r="G725" s="496"/>
      <c r="H725" s="496"/>
      <c r="I725" s="496"/>
      <c r="J725" s="496"/>
      <c r="K725" s="496"/>
      <c r="L725" s="496"/>
      <c r="M725" s="496"/>
      <c r="N725" s="496"/>
      <c r="O725" s="496"/>
      <c r="P725" s="496"/>
      <c r="Q725" s="496"/>
      <c r="R725" s="496"/>
      <c r="S725" s="496"/>
      <c r="T725" s="496"/>
      <c r="U725" s="496"/>
    </row>
    <row r="726" spans="1:21" x14ac:dyDescent="0.2">
      <c r="A726" s="146"/>
      <c r="D726" s="496"/>
    </row>
    <row r="727" spans="1:21" x14ac:dyDescent="0.2">
      <c r="A727" s="146"/>
      <c r="D727" s="496"/>
    </row>
    <row r="728" spans="1:21" s="123" customFormat="1" x14ac:dyDescent="0.2">
      <c r="A728" s="146"/>
      <c r="B728" s="496"/>
      <c r="C728" s="496"/>
      <c r="D728" s="496"/>
      <c r="E728" s="496"/>
      <c r="F728" s="496"/>
      <c r="G728" s="496"/>
      <c r="H728" s="496"/>
      <c r="I728" s="496"/>
      <c r="J728" s="496"/>
      <c r="K728" s="496"/>
      <c r="L728" s="496"/>
      <c r="M728" s="496"/>
      <c r="N728" s="496"/>
      <c r="O728" s="496"/>
      <c r="P728" s="496"/>
      <c r="Q728" s="496"/>
      <c r="R728" s="496"/>
      <c r="S728" s="496"/>
      <c r="T728" s="496"/>
      <c r="U728" s="496"/>
    </row>
    <row r="729" spans="1:21" x14ac:dyDescent="0.2">
      <c r="A729" s="146"/>
      <c r="D729" s="496"/>
    </row>
    <row r="730" spans="1:21" x14ac:dyDescent="0.2">
      <c r="A730" s="146"/>
      <c r="D730" s="496"/>
    </row>
    <row r="731" spans="1:21" s="123" customFormat="1" x14ac:dyDescent="0.2">
      <c r="A731" s="146"/>
      <c r="B731" s="496"/>
      <c r="C731" s="496"/>
      <c r="D731" s="496"/>
      <c r="E731" s="496"/>
      <c r="F731" s="496"/>
      <c r="G731" s="496"/>
      <c r="H731" s="496"/>
      <c r="I731" s="496"/>
      <c r="J731" s="496"/>
      <c r="K731" s="496"/>
      <c r="L731" s="496"/>
      <c r="M731" s="496"/>
      <c r="N731" s="496"/>
      <c r="O731" s="496"/>
      <c r="P731" s="496"/>
      <c r="Q731" s="496"/>
      <c r="R731" s="496"/>
      <c r="S731" s="496"/>
      <c r="T731" s="496"/>
      <c r="U731" s="496"/>
    </row>
    <row r="732" spans="1:21" x14ac:dyDescent="0.2">
      <c r="A732" s="146"/>
      <c r="D732" s="496"/>
    </row>
    <row r="733" spans="1:21" x14ac:dyDescent="0.2">
      <c r="A733" s="146"/>
      <c r="D733" s="496"/>
    </row>
    <row r="734" spans="1:21" s="123" customFormat="1" x14ac:dyDescent="0.2">
      <c r="A734" s="146"/>
      <c r="B734" s="496"/>
      <c r="C734" s="496"/>
      <c r="D734" s="496"/>
      <c r="E734" s="496"/>
      <c r="F734" s="496"/>
      <c r="G734" s="496"/>
      <c r="H734" s="496"/>
      <c r="I734" s="496"/>
      <c r="J734" s="496"/>
      <c r="K734" s="496"/>
      <c r="L734" s="496"/>
      <c r="M734" s="496"/>
      <c r="N734" s="496"/>
      <c r="O734" s="496"/>
      <c r="P734" s="496"/>
      <c r="Q734" s="496"/>
      <c r="R734" s="496"/>
      <c r="S734" s="496"/>
      <c r="T734" s="496"/>
      <c r="U734" s="496"/>
    </row>
    <row r="735" spans="1:21" x14ac:dyDescent="0.2">
      <c r="A735" s="146"/>
      <c r="D735" s="496"/>
    </row>
    <row r="736" spans="1:21" x14ac:dyDescent="0.2">
      <c r="A736" s="146"/>
      <c r="D736" s="496"/>
    </row>
    <row r="737" spans="1:21" s="123" customFormat="1" x14ac:dyDescent="0.2">
      <c r="A737" s="146"/>
      <c r="B737" s="496"/>
      <c r="C737" s="496"/>
      <c r="D737" s="496"/>
      <c r="E737" s="496"/>
      <c r="F737" s="496"/>
      <c r="G737" s="496"/>
      <c r="H737" s="496"/>
      <c r="I737" s="496"/>
      <c r="J737" s="496"/>
      <c r="K737" s="496"/>
      <c r="L737" s="496"/>
      <c r="M737" s="496"/>
      <c r="N737" s="496"/>
      <c r="O737" s="496"/>
      <c r="P737" s="496"/>
      <c r="Q737" s="496"/>
      <c r="R737" s="496"/>
      <c r="S737" s="496"/>
      <c r="T737" s="496"/>
      <c r="U737" s="496"/>
    </row>
    <row r="738" spans="1:21" x14ac:dyDescent="0.2">
      <c r="A738" s="146"/>
      <c r="D738" s="496"/>
    </row>
    <row r="739" spans="1:21" x14ac:dyDescent="0.2">
      <c r="A739" s="146"/>
      <c r="D739" s="496"/>
    </row>
    <row r="740" spans="1:21" s="123" customFormat="1" x14ac:dyDescent="0.2">
      <c r="A740" s="146"/>
      <c r="B740" s="496"/>
      <c r="C740" s="496"/>
      <c r="D740" s="496"/>
      <c r="E740" s="496"/>
      <c r="F740" s="496"/>
      <c r="G740" s="496"/>
      <c r="H740" s="496"/>
      <c r="I740" s="496"/>
      <c r="J740" s="496"/>
      <c r="K740" s="496"/>
      <c r="L740" s="496"/>
      <c r="M740" s="496"/>
      <c r="N740" s="496"/>
      <c r="O740" s="496"/>
      <c r="P740" s="496"/>
      <c r="Q740" s="496"/>
      <c r="R740" s="496"/>
      <c r="S740" s="496"/>
      <c r="T740" s="496"/>
      <c r="U740" s="496"/>
    </row>
    <row r="741" spans="1:21" x14ac:dyDescent="0.2">
      <c r="A741" s="146"/>
      <c r="D741" s="496"/>
    </row>
    <row r="742" spans="1:21" x14ac:dyDescent="0.2">
      <c r="A742" s="146"/>
      <c r="D742" s="496"/>
    </row>
    <row r="743" spans="1:21" s="123" customFormat="1" x14ac:dyDescent="0.2">
      <c r="A743" s="146"/>
      <c r="B743" s="496"/>
      <c r="C743" s="496"/>
      <c r="D743" s="496"/>
      <c r="E743" s="496"/>
      <c r="F743" s="496"/>
      <c r="G743" s="496"/>
      <c r="H743" s="496"/>
      <c r="I743" s="496"/>
      <c r="J743" s="496"/>
      <c r="K743" s="496"/>
      <c r="L743" s="496"/>
      <c r="M743" s="496"/>
      <c r="N743" s="496"/>
      <c r="O743" s="496"/>
      <c r="P743" s="496"/>
      <c r="Q743" s="496"/>
      <c r="R743" s="496"/>
      <c r="S743" s="496"/>
      <c r="T743" s="496"/>
      <c r="U743" s="496"/>
    </row>
    <row r="744" spans="1:21" x14ac:dyDescent="0.2">
      <c r="A744" s="146"/>
      <c r="D744" s="496"/>
    </row>
    <row r="745" spans="1:21" x14ac:dyDescent="0.2">
      <c r="A745" s="146"/>
      <c r="D745" s="496"/>
    </row>
    <row r="746" spans="1:21" s="123" customFormat="1" x14ac:dyDescent="0.2">
      <c r="A746" s="146"/>
      <c r="B746" s="496"/>
      <c r="C746" s="496"/>
      <c r="D746" s="496"/>
      <c r="E746" s="496"/>
      <c r="F746" s="496"/>
      <c r="G746" s="496"/>
      <c r="H746" s="496"/>
      <c r="I746" s="496"/>
      <c r="J746" s="496"/>
      <c r="K746" s="496"/>
      <c r="L746" s="496"/>
      <c r="M746" s="496"/>
      <c r="N746" s="496"/>
      <c r="O746" s="496"/>
      <c r="P746" s="496"/>
      <c r="Q746" s="496"/>
      <c r="R746" s="496"/>
      <c r="S746" s="496"/>
      <c r="T746" s="496"/>
      <c r="U746" s="496"/>
    </row>
    <row r="747" spans="1:21" x14ac:dyDescent="0.2">
      <c r="A747" s="146"/>
      <c r="D747" s="496"/>
    </row>
    <row r="748" spans="1:21" x14ac:dyDescent="0.2">
      <c r="A748" s="146"/>
      <c r="D748" s="496"/>
    </row>
    <row r="749" spans="1:21" s="123" customFormat="1" x14ac:dyDescent="0.2">
      <c r="A749" s="146"/>
      <c r="B749" s="496"/>
      <c r="C749" s="496"/>
      <c r="D749" s="496"/>
      <c r="E749" s="496"/>
      <c r="F749" s="496"/>
      <c r="G749" s="496"/>
      <c r="H749" s="496"/>
      <c r="I749" s="496"/>
      <c r="J749" s="496"/>
      <c r="K749" s="496"/>
      <c r="L749" s="496"/>
      <c r="M749" s="496"/>
      <c r="N749" s="496"/>
      <c r="O749" s="496"/>
      <c r="P749" s="496"/>
      <c r="Q749" s="496"/>
      <c r="R749" s="496"/>
      <c r="S749" s="496"/>
      <c r="T749" s="496"/>
      <c r="U749" s="496"/>
    </row>
    <row r="750" spans="1:21" x14ac:dyDescent="0.2">
      <c r="A750" s="146"/>
      <c r="D750" s="496"/>
    </row>
    <row r="751" spans="1:21" x14ac:dyDescent="0.2">
      <c r="A751" s="146"/>
      <c r="D751" s="496"/>
    </row>
    <row r="752" spans="1:21" s="123" customFormat="1" x14ac:dyDescent="0.2">
      <c r="A752" s="146"/>
      <c r="B752" s="496"/>
      <c r="C752" s="496"/>
      <c r="D752" s="496"/>
      <c r="E752" s="496"/>
      <c r="F752" s="496"/>
      <c r="G752" s="496"/>
      <c r="H752" s="496"/>
      <c r="I752" s="496"/>
      <c r="J752" s="496"/>
      <c r="K752" s="496"/>
      <c r="L752" s="496"/>
      <c r="M752" s="496"/>
      <c r="N752" s="496"/>
      <c r="O752" s="496"/>
      <c r="P752" s="496"/>
      <c r="Q752" s="496"/>
      <c r="R752" s="496"/>
      <c r="S752" s="496"/>
      <c r="T752" s="496"/>
      <c r="U752" s="496"/>
    </row>
    <row r="753" spans="1:21" x14ac:dyDescent="0.2">
      <c r="A753" s="146"/>
      <c r="D753" s="496"/>
    </row>
    <row r="754" spans="1:21" x14ac:dyDescent="0.2">
      <c r="A754" s="146"/>
      <c r="D754" s="496"/>
    </row>
    <row r="755" spans="1:21" s="123" customFormat="1" x14ac:dyDescent="0.2">
      <c r="A755" s="146"/>
      <c r="B755" s="496"/>
      <c r="C755" s="496"/>
      <c r="D755" s="496"/>
      <c r="E755" s="496"/>
      <c r="F755" s="496"/>
      <c r="G755" s="496"/>
      <c r="H755" s="496"/>
      <c r="I755" s="496"/>
      <c r="J755" s="496"/>
      <c r="K755" s="496"/>
      <c r="L755" s="496"/>
      <c r="M755" s="496"/>
      <c r="N755" s="496"/>
      <c r="O755" s="496"/>
      <c r="P755" s="496"/>
      <c r="Q755" s="496"/>
      <c r="R755" s="496"/>
      <c r="S755" s="496"/>
      <c r="T755" s="496"/>
      <c r="U755" s="496"/>
    </row>
    <row r="756" spans="1:21" x14ac:dyDescent="0.2">
      <c r="A756" s="146"/>
      <c r="D756" s="496"/>
    </row>
    <row r="757" spans="1:21" x14ac:dyDescent="0.2">
      <c r="A757" s="146"/>
      <c r="D757" s="496"/>
    </row>
    <row r="758" spans="1:21" s="123" customFormat="1" x14ac:dyDescent="0.2">
      <c r="A758" s="146"/>
      <c r="B758" s="496"/>
      <c r="C758" s="496"/>
      <c r="D758" s="496"/>
      <c r="E758" s="496"/>
      <c r="F758" s="496"/>
      <c r="G758" s="496"/>
      <c r="H758" s="496"/>
      <c r="I758" s="496"/>
      <c r="J758" s="496"/>
      <c r="K758" s="496"/>
      <c r="L758" s="496"/>
      <c r="M758" s="496"/>
      <c r="N758" s="496"/>
      <c r="O758" s="496"/>
      <c r="P758" s="496"/>
      <c r="Q758" s="496"/>
      <c r="R758" s="496"/>
      <c r="S758" s="496"/>
      <c r="T758" s="496"/>
      <c r="U758" s="496"/>
    </row>
    <row r="759" spans="1:21" x14ac:dyDescent="0.2">
      <c r="A759" s="146"/>
      <c r="D759" s="496"/>
    </row>
    <row r="760" spans="1:21" x14ac:dyDescent="0.2">
      <c r="A760" s="146"/>
      <c r="D760" s="496"/>
    </row>
    <row r="761" spans="1:21" s="123" customFormat="1" x14ac:dyDescent="0.2">
      <c r="A761" s="146"/>
      <c r="B761" s="496"/>
      <c r="C761" s="496"/>
      <c r="D761" s="496"/>
      <c r="E761" s="496"/>
      <c r="F761" s="496"/>
      <c r="G761" s="496"/>
      <c r="H761" s="496"/>
      <c r="I761" s="496"/>
      <c r="J761" s="496"/>
      <c r="K761" s="496"/>
      <c r="L761" s="496"/>
      <c r="M761" s="496"/>
      <c r="N761" s="496"/>
      <c r="O761" s="496"/>
      <c r="P761" s="496"/>
      <c r="Q761" s="496"/>
      <c r="R761" s="496"/>
      <c r="S761" s="496"/>
      <c r="T761" s="496"/>
      <c r="U761" s="496"/>
    </row>
    <row r="762" spans="1:21" x14ac:dyDescent="0.2">
      <c r="A762" s="146"/>
      <c r="D762" s="496"/>
    </row>
    <row r="763" spans="1:21" x14ac:dyDescent="0.2">
      <c r="A763" s="146"/>
      <c r="D763" s="496"/>
    </row>
    <row r="764" spans="1:21" s="123" customFormat="1" x14ac:dyDescent="0.2">
      <c r="A764" s="146"/>
      <c r="B764" s="496"/>
      <c r="C764" s="496"/>
      <c r="D764" s="496"/>
      <c r="E764" s="496"/>
      <c r="F764" s="496"/>
      <c r="G764" s="496"/>
      <c r="H764" s="496"/>
      <c r="I764" s="496"/>
      <c r="J764" s="496"/>
      <c r="K764" s="496"/>
      <c r="L764" s="496"/>
      <c r="M764" s="496"/>
      <c r="N764" s="496"/>
      <c r="O764" s="496"/>
      <c r="P764" s="496"/>
      <c r="Q764" s="496"/>
      <c r="R764" s="496"/>
      <c r="S764" s="496"/>
      <c r="T764" s="496"/>
      <c r="U764" s="496"/>
    </row>
    <row r="765" spans="1:21" x14ac:dyDescent="0.2">
      <c r="A765" s="146"/>
      <c r="D765" s="496"/>
    </row>
    <row r="766" spans="1:21" x14ac:dyDescent="0.2">
      <c r="A766" s="146"/>
      <c r="D766" s="496"/>
    </row>
    <row r="767" spans="1:21" s="123" customFormat="1" x14ac:dyDescent="0.2">
      <c r="A767" s="146"/>
      <c r="B767" s="496"/>
      <c r="C767" s="496"/>
      <c r="D767" s="496"/>
      <c r="E767" s="496"/>
      <c r="F767" s="496"/>
      <c r="G767" s="496"/>
      <c r="H767" s="496"/>
      <c r="I767" s="496"/>
      <c r="J767" s="496"/>
      <c r="K767" s="496"/>
      <c r="L767" s="496"/>
      <c r="M767" s="496"/>
      <c r="N767" s="496"/>
      <c r="O767" s="496"/>
      <c r="P767" s="496"/>
      <c r="Q767" s="496"/>
      <c r="R767" s="496"/>
      <c r="S767" s="496"/>
      <c r="T767" s="496"/>
      <c r="U767" s="496"/>
    </row>
    <row r="768" spans="1:21" x14ac:dyDescent="0.2">
      <c r="A768" s="146"/>
      <c r="D768" s="496"/>
    </row>
    <row r="769" spans="1:21" x14ac:dyDescent="0.2">
      <c r="A769" s="146"/>
      <c r="D769" s="496"/>
    </row>
    <row r="770" spans="1:21" s="123" customFormat="1" x14ac:dyDescent="0.2">
      <c r="A770" s="146"/>
      <c r="B770" s="496"/>
      <c r="C770" s="496"/>
      <c r="D770" s="496"/>
      <c r="E770" s="496"/>
      <c r="F770" s="496"/>
      <c r="G770" s="496"/>
      <c r="H770" s="496"/>
      <c r="I770" s="496"/>
      <c r="J770" s="496"/>
      <c r="K770" s="496"/>
      <c r="L770" s="496"/>
      <c r="M770" s="496"/>
      <c r="N770" s="496"/>
      <c r="O770" s="496"/>
      <c r="P770" s="496"/>
      <c r="Q770" s="496"/>
      <c r="R770" s="496"/>
      <c r="S770" s="496"/>
      <c r="T770" s="496"/>
      <c r="U770" s="496"/>
    </row>
    <row r="771" spans="1:21" x14ac:dyDescent="0.2">
      <c r="A771" s="146"/>
      <c r="D771" s="496"/>
    </row>
    <row r="772" spans="1:21" x14ac:dyDescent="0.2">
      <c r="A772" s="146"/>
      <c r="D772" s="496"/>
    </row>
    <row r="773" spans="1:21" s="123" customFormat="1" x14ac:dyDescent="0.2">
      <c r="A773" s="146"/>
      <c r="B773" s="496"/>
      <c r="C773" s="496"/>
      <c r="D773" s="496"/>
      <c r="E773" s="496"/>
      <c r="F773" s="496"/>
      <c r="G773" s="496"/>
      <c r="H773" s="496"/>
      <c r="I773" s="496"/>
      <c r="J773" s="496"/>
      <c r="K773" s="496"/>
      <c r="L773" s="496"/>
      <c r="M773" s="496"/>
      <c r="N773" s="496"/>
      <c r="O773" s="496"/>
      <c r="P773" s="496"/>
      <c r="Q773" s="496"/>
      <c r="R773" s="496"/>
      <c r="S773" s="496"/>
      <c r="T773" s="496"/>
      <c r="U773" s="496"/>
    </row>
    <row r="774" spans="1:21" x14ac:dyDescent="0.2">
      <c r="A774" s="146"/>
      <c r="D774" s="496"/>
    </row>
    <row r="775" spans="1:21" x14ac:dyDescent="0.2">
      <c r="A775" s="146"/>
      <c r="D775" s="496"/>
    </row>
    <row r="776" spans="1:21" s="123" customFormat="1" x14ac:dyDescent="0.2">
      <c r="A776" s="146"/>
      <c r="B776" s="496"/>
      <c r="C776" s="496"/>
      <c r="D776" s="496"/>
      <c r="E776" s="496"/>
      <c r="F776" s="496"/>
      <c r="G776" s="496"/>
      <c r="H776" s="496"/>
      <c r="I776" s="496"/>
      <c r="J776" s="496"/>
      <c r="K776" s="496"/>
      <c r="L776" s="496"/>
      <c r="M776" s="496"/>
      <c r="N776" s="496"/>
      <c r="O776" s="496"/>
      <c r="P776" s="496"/>
      <c r="Q776" s="496"/>
      <c r="R776" s="496"/>
      <c r="S776" s="496"/>
      <c r="T776" s="496"/>
      <c r="U776" s="496"/>
    </row>
    <row r="777" spans="1:21" x14ac:dyDescent="0.2">
      <c r="A777" s="146"/>
      <c r="D777" s="496"/>
    </row>
    <row r="778" spans="1:21" x14ac:dyDescent="0.2">
      <c r="A778" s="146"/>
      <c r="D778" s="496"/>
    </row>
    <row r="779" spans="1:21" s="123" customFormat="1" x14ac:dyDescent="0.2">
      <c r="A779" s="146"/>
      <c r="B779" s="496"/>
      <c r="C779" s="496"/>
      <c r="D779" s="496"/>
      <c r="E779" s="496"/>
      <c r="F779" s="496"/>
      <c r="G779" s="496"/>
      <c r="H779" s="496"/>
      <c r="I779" s="496"/>
      <c r="J779" s="496"/>
      <c r="K779" s="496"/>
      <c r="L779" s="496"/>
      <c r="M779" s="496"/>
      <c r="N779" s="496"/>
      <c r="O779" s="496"/>
      <c r="P779" s="496"/>
      <c r="Q779" s="496"/>
      <c r="R779" s="496"/>
      <c r="S779" s="496"/>
      <c r="T779" s="496"/>
      <c r="U779" s="496"/>
    </row>
    <row r="780" spans="1:21" x14ac:dyDescent="0.2">
      <c r="A780" s="146"/>
      <c r="D780" s="496"/>
    </row>
    <row r="781" spans="1:21" x14ac:dyDescent="0.2">
      <c r="A781" s="146"/>
      <c r="D781" s="496"/>
    </row>
    <row r="782" spans="1:21" s="123" customFormat="1" x14ac:dyDescent="0.2">
      <c r="A782" s="146"/>
      <c r="B782" s="496"/>
      <c r="C782" s="496"/>
      <c r="D782" s="496"/>
      <c r="E782" s="496"/>
      <c r="F782" s="496"/>
      <c r="G782" s="496"/>
      <c r="H782" s="496"/>
      <c r="I782" s="496"/>
      <c r="J782" s="496"/>
      <c r="K782" s="496"/>
      <c r="L782" s="496"/>
      <c r="M782" s="496"/>
      <c r="N782" s="496"/>
      <c r="O782" s="496"/>
      <c r="P782" s="496"/>
      <c r="Q782" s="496"/>
      <c r="R782" s="496"/>
      <c r="S782" s="496"/>
      <c r="T782" s="496"/>
      <c r="U782" s="496"/>
    </row>
    <row r="783" spans="1:21" x14ac:dyDescent="0.2">
      <c r="A783" s="146"/>
      <c r="D783" s="496"/>
    </row>
    <row r="784" spans="1:21" x14ac:dyDescent="0.2">
      <c r="A784" s="146"/>
      <c r="D784" s="496"/>
    </row>
    <row r="785" spans="1:21" s="123" customFormat="1" x14ac:dyDescent="0.2">
      <c r="A785" s="146"/>
      <c r="B785" s="496"/>
      <c r="C785" s="496"/>
      <c r="D785" s="496"/>
      <c r="E785" s="496"/>
      <c r="F785" s="496"/>
      <c r="G785" s="496"/>
      <c r="H785" s="496"/>
      <c r="I785" s="496"/>
      <c r="J785" s="496"/>
      <c r="K785" s="496"/>
      <c r="L785" s="496"/>
      <c r="M785" s="496"/>
      <c r="N785" s="496"/>
      <c r="O785" s="496"/>
      <c r="P785" s="496"/>
      <c r="Q785" s="496"/>
      <c r="R785" s="496"/>
      <c r="S785" s="496"/>
      <c r="T785" s="496"/>
      <c r="U785" s="496"/>
    </row>
    <row r="786" spans="1:21" x14ac:dyDescent="0.2">
      <c r="A786" s="146"/>
      <c r="D786" s="496"/>
    </row>
    <row r="787" spans="1:21" x14ac:dyDescent="0.2">
      <c r="A787" s="146"/>
      <c r="D787" s="496"/>
    </row>
    <row r="788" spans="1:21" s="123" customFormat="1" x14ac:dyDescent="0.2">
      <c r="A788" s="146"/>
      <c r="B788" s="496"/>
      <c r="C788" s="496"/>
      <c r="D788" s="496"/>
      <c r="E788" s="496"/>
      <c r="F788" s="496"/>
      <c r="G788" s="496"/>
      <c r="H788" s="496"/>
      <c r="I788" s="496"/>
      <c r="J788" s="496"/>
      <c r="K788" s="496"/>
      <c r="L788" s="496"/>
      <c r="M788" s="496"/>
      <c r="N788" s="496"/>
      <c r="O788" s="496"/>
      <c r="P788" s="496"/>
      <c r="Q788" s="496"/>
      <c r="R788" s="496"/>
      <c r="S788" s="496"/>
      <c r="T788" s="496"/>
      <c r="U788" s="496"/>
    </row>
    <row r="789" spans="1:21" x14ac:dyDescent="0.2">
      <c r="A789" s="146"/>
      <c r="D789" s="496"/>
    </row>
    <row r="790" spans="1:21" x14ac:dyDescent="0.2">
      <c r="A790" s="146"/>
      <c r="D790" s="496"/>
    </row>
    <row r="791" spans="1:21" s="123" customFormat="1" x14ac:dyDescent="0.2">
      <c r="A791" s="146"/>
      <c r="B791" s="496"/>
      <c r="C791" s="496"/>
      <c r="D791" s="496"/>
      <c r="E791" s="496"/>
      <c r="F791" s="496"/>
      <c r="G791" s="496"/>
      <c r="H791" s="496"/>
      <c r="I791" s="496"/>
      <c r="J791" s="496"/>
      <c r="K791" s="496"/>
      <c r="L791" s="496"/>
      <c r="M791" s="496"/>
      <c r="N791" s="496"/>
      <c r="O791" s="496"/>
      <c r="P791" s="496"/>
      <c r="Q791" s="496"/>
      <c r="R791" s="496"/>
      <c r="S791" s="496"/>
      <c r="T791" s="496"/>
      <c r="U791" s="496"/>
    </row>
    <row r="792" spans="1:21" x14ac:dyDescent="0.2">
      <c r="A792" s="146"/>
      <c r="D792" s="496"/>
    </row>
    <row r="793" spans="1:21" x14ac:dyDescent="0.2">
      <c r="A793" s="146"/>
      <c r="D793" s="496"/>
    </row>
    <row r="794" spans="1:21" s="123" customFormat="1" x14ac:dyDescent="0.2">
      <c r="A794" s="146"/>
      <c r="B794" s="496"/>
      <c r="C794" s="496"/>
      <c r="D794" s="496"/>
      <c r="E794" s="496"/>
      <c r="F794" s="496"/>
      <c r="G794" s="496"/>
      <c r="H794" s="496"/>
      <c r="I794" s="496"/>
      <c r="J794" s="496"/>
      <c r="K794" s="496"/>
      <c r="L794" s="496"/>
      <c r="M794" s="496"/>
      <c r="N794" s="496"/>
      <c r="O794" s="496"/>
      <c r="P794" s="496"/>
      <c r="Q794" s="496"/>
      <c r="R794" s="496"/>
      <c r="S794" s="496"/>
      <c r="T794" s="496"/>
      <c r="U794" s="496"/>
    </row>
    <row r="795" spans="1:21" x14ac:dyDescent="0.2">
      <c r="A795" s="146"/>
      <c r="D795" s="496"/>
    </row>
    <row r="796" spans="1:21" x14ac:dyDescent="0.2">
      <c r="A796" s="146"/>
      <c r="D796" s="496"/>
    </row>
    <row r="797" spans="1:21" s="123" customFormat="1" x14ac:dyDescent="0.2">
      <c r="A797" s="146"/>
      <c r="B797" s="496"/>
      <c r="C797" s="496"/>
      <c r="D797" s="496"/>
      <c r="E797" s="496"/>
      <c r="F797" s="496"/>
      <c r="G797" s="496"/>
      <c r="H797" s="496"/>
      <c r="I797" s="496"/>
      <c r="J797" s="496"/>
      <c r="K797" s="496"/>
      <c r="L797" s="496"/>
      <c r="M797" s="496"/>
      <c r="N797" s="496"/>
      <c r="O797" s="496"/>
      <c r="P797" s="496"/>
      <c r="Q797" s="496"/>
      <c r="R797" s="496"/>
      <c r="S797" s="496"/>
      <c r="T797" s="496"/>
      <c r="U797" s="496"/>
    </row>
    <row r="798" spans="1:21" x14ac:dyDescent="0.2">
      <c r="A798" s="146"/>
      <c r="D798" s="496"/>
    </row>
    <row r="799" spans="1:21" x14ac:dyDescent="0.2">
      <c r="A799" s="146"/>
      <c r="D799" s="496"/>
    </row>
    <row r="800" spans="1:21" s="123" customFormat="1" x14ac:dyDescent="0.2">
      <c r="A800" s="146"/>
      <c r="B800" s="496"/>
      <c r="C800" s="496"/>
      <c r="D800" s="496"/>
      <c r="E800" s="496"/>
      <c r="F800" s="496"/>
      <c r="G800" s="496"/>
      <c r="H800" s="496"/>
      <c r="I800" s="496"/>
      <c r="J800" s="496"/>
      <c r="K800" s="496"/>
      <c r="L800" s="496"/>
      <c r="M800" s="496"/>
      <c r="N800" s="496"/>
      <c r="O800" s="496"/>
      <c r="P800" s="496"/>
      <c r="Q800" s="496"/>
      <c r="R800" s="496"/>
      <c r="S800" s="496"/>
      <c r="T800" s="496"/>
      <c r="U800" s="496"/>
    </row>
    <row r="801" spans="1:21" x14ac:dyDescent="0.2">
      <c r="A801" s="146"/>
      <c r="D801" s="496"/>
    </row>
    <row r="802" spans="1:21" x14ac:dyDescent="0.2">
      <c r="A802" s="146"/>
      <c r="D802" s="496"/>
    </row>
    <row r="803" spans="1:21" s="123" customFormat="1" x14ac:dyDescent="0.2">
      <c r="A803" s="146"/>
      <c r="B803" s="496"/>
      <c r="C803" s="496"/>
      <c r="D803" s="496"/>
      <c r="E803" s="496"/>
      <c r="F803" s="496"/>
      <c r="G803" s="496"/>
      <c r="H803" s="496"/>
      <c r="I803" s="496"/>
      <c r="J803" s="496"/>
      <c r="K803" s="496"/>
      <c r="L803" s="496"/>
      <c r="M803" s="496"/>
      <c r="N803" s="496"/>
      <c r="O803" s="496"/>
      <c r="P803" s="496"/>
      <c r="Q803" s="496"/>
      <c r="R803" s="496"/>
      <c r="S803" s="496"/>
      <c r="T803" s="496"/>
      <c r="U803" s="496"/>
    </row>
    <row r="804" spans="1:21" x14ac:dyDescent="0.2">
      <c r="A804" s="146"/>
      <c r="D804" s="496"/>
    </row>
    <row r="805" spans="1:21" x14ac:dyDescent="0.2">
      <c r="A805" s="146"/>
      <c r="D805" s="496"/>
    </row>
    <row r="806" spans="1:21" s="123" customFormat="1" x14ac:dyDescent="0.2">
      <c r="A806" s="146"/>
      <c r="B806" s="496"/>
      <c r="C806" s="496"/>
      <c r="D806" s="496"/>
      <c r="E806" s="496"/>
      <c r="F806" s="496"/>
      <c r="G806" s="496"/>
      <c r="H806" s="496"/>
      <c r="I806" s="496"/>
      <c r="J806" s="496"/>
      <c r="K806" s="496"/>
      <c r="L806" s="496"/>
      <c r="M806" s="496"/>
      <c r="N806" s="496"/>
      <c r="O806" s="496"/>
      <c r="P806" s="496"/>
      <c r="Q806" s="496"/>
      <c r="R806" s="496"/>
      <c r="S806" s="496"/>
      <c r="T806" s="496"/>
      <c r="U806" s="496"/>
    </row>
    <row r="807" spans="1:21" x14ac:dyDescent="0.2">
      <c r="A807" s="146"/>
      <c r="D807" s="496"/>
    </row>
    <row r="808" spans="1:21" x14ac:dyDescent="0.2">
      <c r="A808" s="146"/>
      <c r="D808" s="496"/>
    </row>
    <row r="809" spans="1:21" s="123" customFormat="1" x14ac:dyDescent="0.2">
      <c r="A809" s="146"/>
      <c r="B809" s="496"/>
      <c r="C809" s="496"/>
      <c r="D809" s="496"/>
      <c r="E809" s="496"/>
      <c r="F809" s="496"/>
      <c r="G809" s="496"/>
      <c r="H809" s="496"/>
      <c r="I809" s="496"/>
      <c r="J809" s="496"/>
      <c r="K809" s="496"/>
      <c r="L809" s="496"/>
      <c r="M809" s="496"/>
      <c r="N809" s="496"/>
      <c r="O809" s="496"/>
      <c r="P809" s="496"/>
      <c r="Q809" s="496"/>
      <c r="R809" s="496"/>
      <c r="S809" s="496"/>
      <c r="T809" s="496"/>
      <c r="U809" s="496"/>
    </row>
    <row r="810" spans="1:21" x14ac:dyDescent="0.2">
      <c r="A810" s="146"/>
      <c r="D810" s="496"/>
    </row>
    <row r="811" spans="1:21" x14ac:dyDescent="0.2">
      <c r="A811" s="146"/>
      <c r="D811" s="496"/>
    </row>
    <row r="812" spans="1:21" s="123" customFormat="1" x14ac:dyDescent="0.2">
      <c r="A812" s="146"/>
      <c r="B812" s="496"/>
      <c r="C812" s="496"/>
      <c r="D812" s="496"/>
      <c r="E812" s="496"/>
      <c r="F812" s="496"/>
      <c r="G812" s="496"/>
      <c r="H812" s="496"/>
      <c r="I812" s="496"/>
      <c r="J812" s="496"/>
      <c r="K812" s="496"/>
      <c r="L812" s="496"/>
      <c r="M812" s="496"/>
      <c r="N812" s="496"/>
      <c r="O812" s="496"/>
      <c r="P812" s="496"/>
      <c r="Q812" s="496"/>
      <c r="R812" s="496"/>
      <c r="S812" s="496"/>
      <c r="T812" s="496"/>
      <c r="U812" s="496"/>
    </row>
    <row r="813" spans="1:21" x14ac:dyDescent="0.2">
      <c r="A813" s="146"/>
      <c r="D813" s="496"/>
    </row>
    <row r="814" spans="1:21" x14ac:dyDescent="0.2">
      <c r="A814" s="146"/>
      <c r="D814" s="496"/>
    </row>
    <row r="815" spans="1:21" s="123" customFormat="1" x14ac:dyDescent="0.2">
      <c r="A815" s="146"/>
      <c r="B815" s="496"/>
      <c r="C815" s="496"/>
      <c r="D815" s="496"/>
      <c r="E815" s="496"/>
      <c r="F815" s="496"/>
      <c r="G815" s="496"/>
      <c r="H815" s="496"/>
      <c r="I815" s="496"/>
      <c r="J815" s="496"/>
      <c r="K815" s="496"/>
      <c r="L815" s="496"/>
      <c r="M815" s="496"/>
      <c r="N815" s="496"/>
      <c r="O815" s="496"/>
      <c r="P815" s="496"/>
      <c r="Q815" s="496"/>
      <c r="R815" s="496"/>
      <c r="S815" s="496"/>
      <c r="T815" s="496"/>
      <c r="U815" s="496"/>
    </row>
    <row r="816" spans="1:21" x14ac:dyDescent="0.2">
      <c r="A816" s="146"/>
      <c r="D816" s="496"/>
    </row>
    <row r="817" spans="1:21" x14ac:dyDescent="0.2">
      <c r="A817" s="146"/>
      <c r="D817" s="496"/>
    </row>
    <row r="818" spans="1:21" s="123" customFormat="1" x14ac:dyDescent="0.2">
      <c r="A818" s="146"/>
      <c r="B818" s="496"/>
      <c r="C818" s="496"/>
      <c r="D818" s="496"/>
      <c r="E818" s="496"/>
      <c r="F818" s="496"/>
      <c r="G818" s="496"/>
      <c r="H818" s="496"/>
      <c r="I818" s="496"/>
      <c r="J818" s="496"/>
      <c r="K818" s="496"/>
      <c r="L818" s="496"/>
      <c r="M818" s="496"/>
      <c r="N818" s="496"/>
      <c r="O818" s="496"/>
      <c r="P818" s="496"/>
      <c r="Q818" s="496"/>
      <c r="R818" s="496"/>
      <c r="S818" s="496"/>
      <c r="T818" s="496"/>
      <c r="U818" s="496"/>
    </row>
    <row r="819" spans="1:21" x14ac:dyDescent="0.2">
      <c r="A819" s="146"/>
      <c r="D819" s="496"/>
    </row>
    <row r="820" spans="1:21" x14ac:dyDescent="0.2">
      <c r="A820" s="146"/>
      <c r="D820" s="496"/>
    </row>
    <row r="821" spans="1:21" s="123" customFormat="1" x14ac:dyDescent="0.2">
      <c r="A821" s="146"/>
      <c r="B821" s="496"/>
      <c r="C821" s="496"/>
      <c r="D821" s="496"/>
      <c r="E821" s="496"/>
      <c r="F821" s="496"/>
      <c r="G821" s="496"/>
      <c r="H821" s="496"/>
      <c r="I821" s="496"/>
      <c r="J821" s="496"/>
      <c r="K821" s="496"/>
      <c r="L821" s="496"/>
      <c r="M821" s="496"/>
      <c r="N821" s="496"/>
      <c r="O821" s="496"/>
      <c r="P821" s="496"/>
      <c r="Q821" s="496"/>
      <c r="R821" s="496"/>
      <c r="S821" s="496"/>
      <c r="T821" s="496"/>
      <c r="U821" s="496"/>
    </row>
    <row r="822" spans="1:21" x14ac:dyDescent="0.2">
      <c r="A822" s="146"/>
      <c r="D822" s="496"/>
    </row>
    <row r="823" spans="1:21" x14ac:dyDescent="0.2">
      <c r="A823" s="146"/>
      <c r="D823" s="496"/>
    </row>
    <row r="824" spans="1:21" s="123" customFormat="1" x14ac:dyDescent="0.2">
      <c r="A824" s="146"/>
      <c r="B824" s="496"/>
      <c r="C824" s="496"/>
      <c r="D824" s="496"/>
      <c r="E824" s="496"/>
      <c r="F824" s="496"/>
      <c r="G824" s="496"/>
      <c r="H824" s="496"/>
      <c r="I824" s="496"/>
      <c r="J824" s="496"/>
      <c r="K824" s="496"/>
      <c r="L824" s="496"/>
      <c r="M824" s="496"/>
      <c r="N824" s="496"/>
      <c r="O824" s="496"/>
      <c r="P824" s="496"/>
      <c r="Q824" s="496"/>
      <c r="R824" s="496"/>
      <c r="S824" s="496"/>
      <c r="T824" s="496"/>
      <c r="U824" s="496"/>
    </row>
    <row r="825" spans="1:21" x14ac:dyDescent="0.2">
      <c r="A825" s="146"/>
      <c r="D825" s="496"/>
    </row>
    <row r="826" spans="1:21" x14ac:dyDescent="0.2">
      <c r="A826" s="146"/>
      <c r="D826" s="496"/>
    </row>
    <row r="827" spans="1:21" s="123" customFormat="1" x14ac:dyDescent="0.2">
      <c r="A827" s="146"/>
      <c r="B827" s="496"/>
      <c r="C827" s="496"/>
      <c r="D827" s="496"/>
      <c r="E827" s="496"/>
      <c r="F827" s="496"/>
      <c r="G827" s="496"/>
      <c r="H827" s="496"/>
      <c r="I827" s="496"/>
      <c r="J827" s="496"/>
      <c r="K827" s="496"/>
      <c r="L827" s="496"/>
      <c r="M827" s="496"/>
      <c r="N827" s="496"/>
      <c r="O827" s="496"/>
      <c r="P827" s="496"/>
      <c r="Q827" s="496"/>
      <c r="R827" s="496"/>
      <c r="S827" s="496"/>
      <c r="T827" s="496"/>
      <c r="U827" s="496"/>
    </row>
    <row r="828" spans="1:21" x14ac:dyDescent="0.2">
      <c r="A828" s="146"/>
      <c r="D828" s="496"/>
    </row>
    <row r="829" spans="1:21" x14ac:dyDescent="0.2">
      <c r="A829" s="146"/>
      <c r="D829" s="496"/>
    </row>
    <row r="830" spans="1:21" s="123" customFormat="1" x14ac:dyDescent="0.2">
      <c r="A830" s="146"/>
      <c r="B830" s="496"/>
      <c r="C830" s="496"/>
      <c r="D830" s="496"/>
      <c r="E830" s="496"/>
      <c r="F830" s="496"/>
      <c r="G830" s="496"/>
      <c r="H830" s="496"/>
      <c r="I830" s="496"/>
      <c r="J830" s="496"/>
      <c r="K830" s="496"/>
      <c r="L830" s="496"/>
      <c r="M830" s="496"/>
      <c r="N830" s="496"/>
      <c r="O830" s="496"/>
      <c r="P830" s="496"/>
      <c r="Q830" s="496"/>
      <c r="R830" s="496"/>
      <c r="S830" s="496"/>
      <c r="T830" s="496"/>
      <c r="U830" s="496"/>
    </row>
    <row r="831" spans="1:21" x14ac:dyDescent="0.2">
      <c r="A831" s="146"/>
      <c r="D831" s="496"/>
    </row>
    <row r="832" spans="1:21" x14ac:dyDescent="0.2">
      <c r="A832" s="146"/>
      <c r="D832" s="496"/>
    </row>
    <row r="833" spans="1:21" s="123" customFormat="1" x14ac:dyDescent="0.2">
      <c r="A833" s="146"/>
      <c r="B833" s="496"/>
      <c r="C833" s="496"/>
      <c r="D833" s="496"/>
      <c r="E833" s="496"/>
      <c r="F833" s="496"/>
      <c r="G833" s="496"/>
      <c r="H833" s="496"/>
      <c r="I833" s="496"/>
      <c r="J833" s="496"/>
      <c r="K833" s="496"/>
      <c r="L833" s="496"/>
      <c r="M833" s="496"/>
      <c r="N833" s="496"/>
      <c r="O833" s="496"/>
      <c r="P833" s="496"/>
      <c r="Q833" s="496"/>
      <c r="R833" s="496"/>
      <c r="S833" s="496"/>
      <c r="T833" s="496"/>
      <c r="U833" s="496"/>
    </row>
    <row r="834" spans="1:21" x14ac:dyDescent="0.2">
      <c r="A834" s="146"/>
      <c r="D834" s="496"/>
    </row>
    <row r="835" spans="1:21" x14ac:dyDescent="0.2">
      <c r="A835" s="146"/>
      <c r="D835" s="496"/>
    </row>
    <row r="836" spans="1:21" s="123" customFormat="1" x14ac:dyDescent="0.2">
      <c r="A836" s="146"/>
      <c r="B836" s="496"/>
      <c r="C836" s="496"/>
      <c r="D836" s="496"/>
      <c r="E836" s="496"/>
      <c r="F836" s="496"/>
      <c r="G836" s="496"/>
      <c r="H836" s="496"/>
      <c r="I836" s="496"/>
      <c r="J836" s="496"/>
      <c r="K836" s="496"/>
      <c r="L836" s="496"/>
      <c r="M836" s="496"/>
      <c r="N836" s="496"/>
      <c r="O836" s="496"/>
      <c r="P836" s="496"/>
      <c r="Q836" s="496"/>
      <c r="R836" s="496"/>
      <c r="S836" s="496"/>
      <c r="T836" s="496"/>
      <c r="U836" s="496"/>
    </row>
    <row r="837" spans="1:21" x14ac:dyDescent="0.2">
      <c r="A837" s="146"/>
      <c r="D837" s="496"/>
    </row>
    <row r="838" spans="1:21" x14ac:dyDescent="0.2">
      <c r="A838" s="146"/>
      <c r="D838" s="496"/>
    </row>
    <row r="839" spans="1:21" s="123" customFormat="1" x14ac:dyDescent="0.2">
      <c r="A839" s="146"/>
      <c r="B839" s="496"/>
      <c r="C839" s="496"/>
      <c r="D839" s="496"/>
      <c r="E839" s="496"/>
      <c r="F839" s="496"/>
      <c r="G839" s="496"/>
      <c r="H839" s="496"/>
      <c r="I839" s="496"/>
      <c r="J839" s="496"/>
      <c r="K839" s="496"/>
      <c r="L839" s="496"/>
      <c r="M839" s="496"/>
      <c r="N839" s="496"/>
      <c r="O839" s="496"/>
      <c r="P839" s="496"/>
      <c r="Q839" s="496"/>
      <c r="R839" s="496"/>
      <c r="S839" s="496"/>
      <c r="T839" s="496"/>
      <c r="U839" s="496"/>
    </row>
    <row r="840" spans="1:21" x14ac:dyDescent="0.2">
      <c r="A840" s="146"/>
      <c r="D840" s="496"/>
    </row>
    <row r="841" spans="1:21" x14ac:dyDescent="0.2">
      <c r="A841" s="146"/>
      <c r="D841" s="496"/>
    </row>
    <row r="842" spans="1:21" s="123" customFormat="1" x14ac:dyDescent="0.2">
      <c r="A842" s="146"/>
      <c r="B842" s="496"/>
      <c r="C842" s="496"/>
      <c r="D842" s="496"/>
      <c r="E842" s="496"/>
      <c r="F842" s="496"/>
      <c r="G842" s="496"/>
      <c r="H842" s="496"/>
      <c r="I842" s="496"/>
      <c r="J842" s="496"/>
      <c r="K842" s="496"/>
      <c r="L842" s="496"/>
      <c r="M842" s="496"/>
      <c r="N842" s="496"/>
      <c r="O842" s="496"/>
      <c r="P842" s="496"/>
      <c r="Q842" s="496"/>
      <c r="R842" s="496"/>
      <c r="S842" s="496"/>
      <c r="T842" s="496"/>
      <c r="U842" s="496"/>
    </row>
    <row r="843" spans="1:21" x14ac:dyDescent="0.2">
      <c r="A843" s="146"/>
      <c r="D843" s="496"/>
    </row>
    <row r="844" spans="1:21" x14ac:dyDescent="0.2">
      <c r="A844" s="146"/>
      <c r="D844" s="496"/>
    </row>
    <row r="845" spans="1:21" s="123" customFormat="1" x14ac:dyDescent="0.2">
      <c r="A845" s="146"/>
      <c r="B845" s="496"/>
      <c r="C845" s="496"/>
      <c r="D845" s="496"/>
      <c r="E845" s="496"/>
      <c r="F845" s="496"/>
      <c r="G845" s="496"/>
      <c r="H845" s="496"/>
      <c r="I845" s="496"/>
      <c r="J845" s="496"/>
      <c r="K845" s="496"/>
      <c r="L845" s="496"/>
      <c r="M845" s="496"/>
      <c r="N845" s="496"/>
      <c r="O845" s="496"/>
      <c r="P845" s="496"/>
      <c r="Q845" s="496"/>
      <c r="R845" s="496"/>
      <c r="S845" s="496"/>
      <c r="T845" s="496"/>
      <c r="U845" s="496"/>
    </row>
    <row r="846" spans="1:21" x14ac:dyDescent="0.2">
      <c r="A846" s="146"/>
      <c r="D846" s="496"/>
    </row>
    <row r="847" spans="1:21" x14ac:dyDescent="0.2">
      <c r="A847" s="146"/>
      <c r="D847" s="496"/>
    </row>
    <row r="848" spans="1:21" s="123" customFormat="1" x14ac:dyDescent="0.2">
      <c r="A848" s="146"/>
      <c r="B848" s="496"/>
      <c r="C848" s="496"/>
      <c r="D848" s="496"/>
      <c r="E848" s="496"/>
      <c r="F848" s="496"/>
      <c r="G848" s="496"/>
      <c r="H848" s="496"/>
      <c r="I848" s="496"/>
      <c r="J848" s="496"/>
      <c r="K848" s="496"/>
      <c r="L848" s="496"/>
      <c r="M848" s="496"/>
      <c r="N848" s="496"/>
      <c r="O848" s="496"/>
      <c r="P848" s="496"/>
      <c r="Q848" s="496"/>
      <c r="R848" s="496"/>
      <c r="S848" s="496"/>
      <c r="T848" s="496"/>
      <c r="U848" s="496"/>
    </row>
    <row r="849" spans="1:21" x14ac:dyDescent="0.2">
      <c r="A849" s="146"/>
      <c r="D849" s="496"/>
    </row>
    <row r="850" spans="1:21" x14ac:dyDescent="0.2">
      <c r="A850" s="146"/>
      <c r="D850" s="496"/>
    </row>
    <row r="851" spans="1:21" s="123" customFormat="1" x14ac:dyDescent="0.2">
      <c r="A851" s="146"/>
      <c r="B851" s="496"/>
      <c r="C851" s="496"/>
      <c r="D851" s="496"/>
      <c r="E851" s="496"/>
      <c r="F851" s="496"/>
      <c r="G851" s="496"/>
      <c r="H851" s="496"/>
      <c r="I851" s="496"/>
      <c r="J851" s="496"/>
      <c r="K851" s="496"/>
      <c r="L851" s="496"/>
      <c r="M851" s="496"/>
      <c r="N851" s="496"/>
      <c r="O851" s="496"/>
      <c r="P851" s="496"/>
      <c r="Q851" s="496"/>
      <c r="R851" s="496"/>
      <c r="S851" s="496"/>
      <c r="T851" s="496"/>
      <c r="U851" s="496"/>
    </row>
    <row r="852" spans="1:21" x14ac:dyDescent="0.2">
      <c r="A852" s="146"/>
      <c r="D852" s="496"/>
    </row>
    <row r="853" spans="1:21" x14ac:dyDescent="0.2">
      <c r="A853" s="146"/>
      <c r="D853" s="496"/>
    </row>
    <row r="854" spans="1:21" s="123" customFormat="1" x14ac:dyDescent="0.2">
      <c r="A854" s="146"/>
      <c r="B854" s="496"/>
      <c r="C854" s="496"/>
      <c r="D854" s="496"/>
      <c r="E854" s="496"/>
      <c r="F854" s="496"/>
      <c r="G854" s="496"/>
      <c r="H854" s="496"/>
      <c r="I854" s="496"/>
      <c r="J854" s="496"/>
      <c r="K854" s="496"/>
      <c r="L854" s="496"/>
      <c r="M854" s="496"/>
      <c r="N854" s="496"/>
      <c r="O854" s="496"/>
      <c r="P854" s="496"/>
      <c r="Q854" s="496"/>
      <c r="R854" s="496"/>
      <c r="S854" s="496"/>
      <c r="T854" s="496"/>
      <c r="U854" s="496"/>
    </row>
    <row r="855" spans="1:21" x14ac:dyDescent="0.2">
      <c r="A855" s="146"/>
      <c r="D855" s="496"/>
    </row>
    <row r="856" spans="1:21" x14ac:dyDescent="0.2">
      <c r="A856" s="146"/>
      <c r="D856" s="496"/>
    </row>
    <row r="857" spans="1:21" s="123" customFormat="1" x14ac:dyDescent="0.2">
      <c r="A857" s="146"/>
      <c r="B857" s="496"/>
      <c r="C857" s="496"/>
      <c r="D857" s="496"/>
      <c r="E857" s="496"/>
      <c r="F857" s="496"/>
      <c r="G857" s="496"/>
      <c r="H857" s="496"/>
      <c r="I857" s="496"/>
      <c r="J857" s="496"/>
      <c r="K857" s="496"/>
      <c r="L857" s="496"/>
      <c r="M857" s="496"/>
      <c r="N857" s="496"/>
      <c r="O857" s="496"/>
      <c r="P857" s="496"/>
      <c r="Q857" s="496"/>
      <c r="R857" s="496"/>
      <c r="S857" s="496"/>
      <c r="T857" s="496"/>
      <c r="U857" s="496"/>
    </row>
    <row r="858" spans="1:21" x14ac:dyDescent="0.2">
      <c r="A858" s="146"/>
      <c r="D858" s="496"/>
    </row>
    <row r="859" spans="1:21" x14ac:dyDescent="0.2">
      <c r="A859" s="146"/>
      <c r="D859" s="496"/>
    </row>
    <row r="860" spans="1:21" s="123" customFormat="1" x14ac:dyDescent="0.2">
      <c r="A860" s="146"/>
      <c r="B860" s="496"/>
      <c r="C860" s="496"/>
      <c r="D860" s="496"/>
      <c r="E860" s="496"/>
      <c r="F860" s="496"/>
      <c r="G860" s="496"/>
      <c r="H860" s="496"/>
      <c r="I860" s="496"/>
      <c r="J860" s="496"/>
      <c r="K860" s="496"/>
      <c r="L860" s="496"/>
      <c r="M860" s="496"/>
      <c r="N860" s="496"/>
      <c r="O860" s="496"/>
      <c r="P860" s="496"/>
      <c r="Q860" s="496"/>
      <c r="R860" s="496"/>
      <c r="S860" s="496"/>
      <c r="T860" s="496"/>
      <c r="U860" s="496"/>
    </row>
    <row r="861" spans="1:21" x14ac:dyDescent="0.2">
      <c r="A861" s="146"/>
      <c r="D861" s="496"/>
    </row>
    <row r="862" spans="1:21" x14ac:dyDescent="0.2">
      <c r="A862" s="146"/>
      <c r="D862" s="496"/>
    </row>
    <row r="863" spans="1:21" s="123" customFormat="1" x14ac:dyDescent="0.2">
      <c r="A863" s="146"/>
      <c r="B863" s="496"/>
      <c r="C863" s="496"/>
      <c r="D863" s="496"/>
      <c r="E863" s="496"/>
      <c r="F863" s="496"/>
      <c r="G863" s="496"/>
      <c r="H863" s="496"/>
      <c r="I863" s="496"/>
      <c r="J863" s="496"/>
      <c r="K863" s="496"/>
      <c r="L863" s="496"/>
      <c r="M863" s="496"/>
      <c r="N863" s="496"/>
      <c r="O863" s="496"/>
      <c r="P863" s="496"/>
      <c r="Q863" s="496"/>
      <c r="R863" s="496"/>
      <c r="S863" s="496"/>
      <c r="T863" s="496"/>
      <c r="U863" s="496"/>
    </row>
    <row r="864" spans="1:21" x14ac:dyDescent="0.2">
      <c r="A864" s="146"/>
      <c r="D864" s="496"/>
    </row>
    <row r="865" spans="1:21" x14ac:dyDescent="0.2">
      <c r="A865" s="146"/>
      <c r="D865" s="496"/>
    </row>
    <row r="866" spans="1:21" s="123" customFormat="1" x14ac:dyDescent="0.2">
      <c r="A866" s="146"/>
      <c r="B866" s="496"/>
      <c r="C866" s="496"/>
      <c r="D866" s="496"/>
      <c r="E866" s="496"/>
      <c r="F866" s="496"/>
      <c r="G866" s="496"/>
      <c r="H866" s="496"/>
      <c r="I866" s="496"/>
      <c r="J866" s="496"/>
      <c r="K866" s="496"/>
      <c r="L866" s="496"/>
      <c r="M866" s="496"/>
      <c r="N866" s="496"/>
      <c r="O866" s="496"/>
      <c r="P866" s="496"/>
      <c r="Q866" s="496"/>
      <c r="R866" s="496"/>
      <c r="S866" s="496"/>
      <c r="T866" s="496"/>
      <c r="U866" s="496"/>
    </row>
    <row r="867" spans="1:21" x14ac:dyDescent="0.2">
      <c r="A867" s="146"/>
      <c r="D867" s="496"/>
    </row>
    <row r="868" spans="1:21" x14ac:dyDescent="0.2">
      <c r="A868" s="146"/>
      <c r="D868" s="496"/>
    </row>
    <row r="869" spans="1:21" s="123" customFormat="1" x14ac:dyDescent="0.2">
      <c r="A869" s="146"/>
      <c r="B869" s="496"/>
      <c r="C869" s="496"/>
      <c r="D869" s="496"/>
      <c r="E869" s="496"/>
      <c r="F869" s="496"/>
      <c r="G869" s="496"/>
      <c r="H869" s="496"/>
      <c r="I869" s="496"/>
      <c r="J869" s="496"/>
      <c r="K869" s="496"/>
      <c r="L869" s="496"/>
      <c r="M869" s="496"/>
      <c r="N869" s="496"/>
      <c r="O869" s="496"/>
      <c r="P869" s="496"/>
      <c r="Q869" s="496"/>
      <c r="R869" s="496"/>
      <c r="S869" s="496"/>
      <c r="T869" s="496"/>
      <c r="U869" s="496"/>
    </row>
    <row r="870" spans="1:21" x14ac:dyDescent="0.2">
      <c r="A870" s="146"/>
      <c r="D870" s="496"/>
    </row>
    <row r="871" spans="1:21" x14ac:dyDescent="0.2">
      <c r="A871" s="146"/>
      <c r="D871" s="496"/>
    </row>
    <row r="872" spans="1:21" s="123" customFormat="1" x14ac:dyDescent="0.2">
      <c r="A872" s="146"/>
      <c r="B872" s="496"/>
      <c r="C872" s="496"/>
      <c r="D872" s="496"/>
      <c r="E872" s="496"/>
      <c r="F872" s="496"/>
      <c r="G872" s="496"/>
      <c r="H872" s="496"/>
      <c r="I872" s="496"/>
      <c r="J872" s="496"/>
      <c r="K872" s="496"/>
      <c r="L872" s="496"/>
      <c r="M872" s="496"/>
      <c r="N872" s="496"/>
      <c r="O872" s="496"/>
      <c r="P872" s="496"/>
      <c r="Q872" s="496"/>
      <c r="R872" s="496"/>
      <c r="S872" s="496"/>
      <c r="T872" s="496"/>
      <c r="U872" s="496"/>
    </row>
    <row r="873" spans="1:21" x14ac:dyDescent="0.2">
      <c r="A873" s="146"/>
      <c r="D873" s="496"/>
    </row>
    <row r="874" spans="1:21" x14ac:dyDescent="0.2">
      <c r="A874" s="146"/>
      <c r="D874" s="496"/>
    </row>
    <row r="875" spans="1:21" x14ac:dyDescent="0.2">
      <c r="A875" s="146"/>
      <c r="D875" s="496"/>
    </row>
    <row r="876" spans="1:21" x14ac:dyDescent="0.2">
      <c r="A876" s="146"/>
      <c r="D876" s="496"/>
    </row>
    <row r="877" spans="1:21" x14ac:dyDescent="0.2">
      <c r="A877" s="146"/>
      <c r="D877" s="496"/>
    </row>
    <row r="878" spans="1:21" x14ac:dyDescent="0.2">
      <c r="A878" s="146"/>
      <c r="D878" s="496"/>
    </row>
    <row r="879" spans="1:21" x14ac:dyDescent="0.2">
      <c r="A879" s="146"/>
      <c r="D879" s="496"/>
    </row>
    <row r="880" spans="1:21" x14ac:dyDescent="0.2">
      <c r="A880" s="146"/>
      <c r="D880" s="496"/>
    </row>
    <row r="881" spans="1:4" x14ac:dyDescent="0.2">
      <c r="A881" s="146"/>
      <c r="D881" s="496"/>
    </row>
    <row r="882" spans="1:4" x14ac:dyDescent="0.2">
      <c r="A882" s="146"/>
      <c r="D882" s="496"/>
    </row>
    <row r="883" spans="1:4" x14ac:dyDescent="0.2">
      <c r="A883" s="146"/>
      <c r="D883" s="496"/>
    </row>
    <row r="884" spans="1:4" x14ac:dyDescent="0.2">
      <c r="A884" s="146"/>
      <c r="D884" s="496"/>
    </row>
    <row r="885" spans="1:4" x14ac:dyDescent="0.2">
      <c r="A885" s="146"/>
      <c r="D885" s="496"/>
    </row>
    <row r="886" spans="1:4" x14ac:dyDescent="0.2">
      <c r="A886" s="146"/>
      <c r="D886" s="496"/>
    </row>
    <row r="887" spans="1:4" x14ac:dyDescent="0.2">
      <c r="A887" s="146"/>
      <c r="D887" s="496"/>
    </row>
    <row r="888" spans="1:4" x14ac:dyDescent="0.2">
      <c r="A888" s="146"/>
      <c r="D888" s="496"/>
    </row>
    <row r="889" spans="1:4" x14ac:dyDescent="0.2">
      <c r="A889" s="146"/>
      <c r="D889" s="496"/>
    </row>
    <row r="890" spans="1:4" x14ac:dyDescent="0.2">
      <c r="A890" s="146"/>
      <c r="D890" s="496"/>
    </row>
    <row r="891" spans="1:4" x14ac:dyDescent="0.2">
      <c r="A891" s="146"/>
      <c r="D891" s="496"/>
    </row>
    <row r="892" spans="1:4" x14ac:dyDescent="0.2">
      <c r="A892" s="146"/>
      <c r="D892" s="496"/>
    </row>
    <row r="893" spans="1:4" x14ac:dyDescent="0.2">
      <c r="A893" s="146"/>
      <c r="D893" s="496"/>
    </row>
    <row r="894" spans="1:4" x14ac:dyDescent="0.2">
      <c r="A894" s="146"/>
      <c r="D894" s="496"/>
    </row>
    <row r="895" spans="1:4" x14ac:dyDescent="0.2">
      <c r="A895" s="146"/>
      <c r="D895" s="496"/>
    </row>
    <row r="896" spans="1:4" x14ac:dyDescent="0.2">
      <c r="A896" s="146"/>
      <c r="D896" s="496"/>
    </row>
    <row r="897" spans="1:4" x14ac:dyDescent="0.2">
      <c r="A897" s="146"/>
      <c r="D897" s="496"/>
    </row>
    <row r="898" spans="1:4" x14ac:dyDescent="0.2">
      <c r="A898" s="146"/>
      <c r="D898" s="496"/>
    </row>
    <row r="899" spans="1:4" x14ac:dyDescent="0.2">
      <c r="A899" s="146"/>
      <c r="D899" s="496"/>
    </row>
    <row r="900" spans="1:4" x14ac:dyDescent="0.2">
      <c r="A900" s="146"/>
      <c r="D900" s="496"/>
    </row>
    <row r="901" spans="1:4" x14ac:dyDescent="0.2">
      <c r="A901" s="146"/>
      <c r="D901" s="496"/>
    </row>
    <row r="902" spans="1:4" x14ac:dyDescent="0.2">
      <c r="A902" s="146"/>
      <c r="D902" s="496"/>
    </row>
    <row r="903" spans="1:4" x14ac:dyDescent="0.2">
      <c r="A903" s="146"/>
      <c r="D903" s="496"/>
    </row>
    <row r="904" spans="1:4" x14ac:dyDescent="0.2">
      <c r="A904" s="146"/>
      <c r="D904" s="496"/>
    </row>
    <row r="905" spans="1:4" x14ac:dyDescent="0.2">
      <c r="A905" s="146"/>
      <c r="D905" s="496"/>
    </row>
    <row r="906" spans="1:4" x14ac:dyDescent="0.2">
      <c r="A906" s="146"/>
      <c r="D906" s="496"/>
    </row>
    <row r="907" spans="1:4" x14ac:dyDescent="0.2">
      <c r="A907" s="146"/>
      <c r="D907" s="496"/>
    </row>
    <row r="908" spans="1:4" x14ac:dyDescent="0.2">
      <c r="A908" s="146"/>
      <c r="D908" s="496"/>
    </row>
    <row r="909" spans="1:4" x14ac:dyDescent="0.2">
      <c r="A909" s="146"/>
      <c r="D909" s="496"/>
    </row>
    <row r="910" spans="1:4" x14ac:dyDescent="0.2">
      <c r="A910" s="146"/>
      <c r="D910" s="496"/>
    </row>
    <row r="911" spans="1:4" x14ac:dyDescent="0.2">
      <c r="A911" s="146"/>
      <c r="D911" s="496"/>
    </row>
    <row r="912" spans="1:4" x14ac:dyDescent="0.2">
      <c r="A912" s="146"/>
      <c r="D912" s="496"/>
    </row>
    <row r="913" spans="1:4" x14ac:dyDescent="0.2">
      <c r="A913" s="146"/>
      <c r="D913" s="496"/>
    </row>
    <row r="914" spans="1:4" x14ac:dyDescent="0.2">
      <c r="A914" s="146"/>
      <c r="D914" s="496"/>
    </row>
    <row r="915" spans="1:4" x14ac:dyDescent="0.2">
      <c r="A915" s="146"/>
      <c r="D915" s="496"/>
    </row>
    <row r="916" spans="1:4" x14ac:dyDescent="0.2">
      <c r="A916" s="146"/>
      <c r="D916" s="496"/>
    </row>
    <row r="917" spans="1:4" x14ac:dyDescent="0.2">
      <c r="A917" s="146"/>
      <c r="D917" s="496"/>
    </row>
    <row r="918" spans="1:4" x14ac:dyDescent="0.2">
      <c r="A918" s="146"/>
      <c r="D918" s="496"/>
    </row>
    <row r="919" spans="1:4" x14ac:dyDescent="0.2">
      <c r="A919" s="146"/>
      <c r="D919" s="496"/>
    </row>
    <row r="920" spans="1:4" x14ac:dyDescent="0.2">
      <c r="A920" s="146"/>
      <c r="D920" s="496"/>
    </row>
    <row r="921" spans="1:4" x14ac:dyDescent="0.2">
      <c r="A921" s="146"/>
      <c r="D921" s="496"/>
    </row>
    <row r="922" spans="1:4" x14ac:dyDescent="0.2">
      <c r="A922" s="146"/>
      <c r="D922" s="496"/>
    </row>
    <row r="923" spans="1:4" x14ac:dyDescent="0.2">
      <c r="A923" s="146"/>
      <c r="D923" s="496"/>
    </row>
    <row r="924" spans="1:4" x14ac:dyDescent="0.2">
      <c r="A924" s="146"/>
      <c r="D924" s="496"/>
    </row>
    <row r="925" spans="1:4" x14ac:dyDescent="0.2">
      <c r="A925" s="146"/>
      <c r="D925" s="496"/>
    </row>
    <row r="926" spans="1:4" x14ac:dyDescent="0.2">
      <c r="A926" s="146"/>
      <c r="D926" s="496"/>
    </row>
    <row r="927" spans="1:4" x14ac:dyDescent="0.2">
      <c r="A927" s="146"/>
      <c r="D927" s="496"/>
    </row>
    <row r="928" spans="1:4" x14ac:dyDescent="0.2">
      <c r="A928" s="146"/>
      <c r="D928" s="496"/>
    </row>
    <row r="929" spans="1:4" x14ac:dyDescent="0.2">
      <c r="A929" s="146"/>
      <c r="D929" s="496"/>
    </row>
    <row r="930" spans="1:4" x14ac:dyDescent="0.2">
      <c r="A930" s="146"/>
      <c r="D930" s="496"/>
    </row>
    <row r="931" spans="1:4" x14ac:dyDescent="0.2">
      <c r="A931" s="146"/>
      <c r="D931" s="496"/>
    </row>
    <row r="932" spans="1:4" x14ac:dyDescent="0.2">
      <c r="A932" s="146"/>
      <c r="D932" s="496"/>
    </row>
    <row r="933" spans="1:4" x14ac:dyDescent="0.2">
      <c r="A933" s="146"/>
      <c r="D933" s="496"/>
    </row>
    <row r="934" spans="1:4" x14ac:dyDescent="0.2">
      <c r="A934" s="146"/>
      <c r="D934" s="496"/>
    </row>
    <row r="935" spans="1:4" x14ac:dyDescent="0.2">
      <c r="A935" s="146"/>
      <c r="D935" s="496"/>
    </row>
    <row r="936" spans="1:4" x14ac:dyDescent="0.2">
      <c r="A936" s="146"/>
      <c r="D936" s="496"/>
    </row>
    <row r="937" spans="1:4" x14ac:dyDescent="0.2">
      <c r="A937" s="146"/>
      <c r="D937" s="496"/>
    </row>
    <row r="938" spans="1:4" x14ac:dyDescent="0.2">
      <c r="A938" s="146"/>
      <c r="D938" s="496"/>
    </row>
    <row r="939" spans="1:4" x14ac:dyDescent="0.2">
      <c r="A939" s="146"/>
      <c r="D939" s="496"/>
    </row>
    <row r="940" spans="1:4" x14ac:dyDescent="0.2">
      <c r="A940" s="146"/>
      <c r="D940" s="496"/>
    </row>
    <row r="941" spans="1:4" x14ac:dyDescent="0.2">
      <c r="A941" s="146"/>
      <c r="D941" s="496"/>
    </row>
    <row r="942" spans="1:4" x14ac:dyDescent="0.2">
      <c r="A942" s="146"/>
      <c r="D942" s="496"/>
    </row>
    <row r="943" spans="1:4" x14ac:dyDescent="0.2">
      <c r="A943" s="146"/>
      <c r="D943" s="496"/>
    </row>
    <row r="944" spans="1:4" x14ac:dyDescent="0.2">
      <c r="A944" s="146"/>
      <c r="D944" s="496"/>
    </row>
    <row r="945" spans="1:4" x14ac:dyDescent="0.2">
      <c r="A945" s="146"/>
      <c r="D945" s="496"/>
    </row>
    <row r="946" spans="1:4" x14ac:dyDescent="0.2">
      <c r="A946" s="146"/>
      <c r="D946" s="496"/>
    </row>
    <row r="947" spans="1:4" x14ac:dyDescent="0.2">
      <c r="A947" s="146"/>
      <c r="D947" s="496"/>
    </row>
    <row r="948" spans="1:4" x14ac:dyDescent="0.2">
      <c r="A948" s="146"/>
      <c r="D948" s="496"/>
    </row>
    <row r="949" spans="1:4" x14ac:dyDescent="0.2">
      <c r="A949" s="146"/>
      <c r="D949" s="496"/>
    </row>
    <row r="950" spans="1:4" x14ac:dyDescent="0.2">
      <c r="A950" s="146"/>
      <c r="D950" s="496"/>
    </row>
    <row r="951" spans="1:4" x14ac:dyDescent="0.2">
      <c r="A951" s="146"/>
      <c r="D951" s="496"/>
    </row>
    <row r="952" spans="1:4" x14ac:dyDescent="0.2">
      <c r="A952" s="146"/>
      <c r="D952" s="496"/>
    </row>
    <row r="953" spans="1:4" x14ac:dyDescent="0.2">
      <c r="A953" s="146"/>
      <c r="D953" s="496"/>
    </row>
    <row r="954" spans="1:4" x14ac:dyDescent="0.2">
      <c r="A954" s="146"/>
      <c r="D954" s="496"/>
    </row>
    <row r="955" spans="1:4" x14ac:dyDescent="0.2">
      <c r="A955" s="146"/>
      <c r="D955" s="496"/>
    </row>
    <row r="956" spans="1:4" x14ac:dyDescent="0.2">
      <c r="A956" s="146"/>
      <c r="D956" s="496"/>
    </row>
    <row r="957" spans="1:4" x14ac:dyDescent="0.2">
      <c r="A957" s="146"/>
      <c r="D957" s="496"/>
    </row>
    <row r="958" spans="1:4" x14ac:dyDescent="0.2">
      <c r="A958" s="146"/>
      <c r="D958" s="496"/>
    </row>
    <row r="959" spans="1:4" x14ac:dyDescent="0.2">
      <c r="A959" s="146"/>
      <c r="D959" s="496"/>
    </row>
    <row r="960" spans="1:4" x14ac:dyDescent="0.2">
      <c r="A960" s="146"/>
      <c r="D960" s="496"/>
    </row>
    <row r="961" spans="1:4" x14ac:dyDescent="0.2">
      <c r="A961" s="146"/>
      <c r="D961" s="496"/>
    </row>
    <row r="962" spans="1:4" x14ac:dyDescent="0.2">
      <c r="A962" s="146"/>
      <c r="D962" s="496"/>
    </row>
    <row r="963" spans="1:4" x14ac:dyDescent="0.2">
      <c r="A963" s="146"/>
      <c r="D963" s="496"/>
    </row>
    <row r="964" spans="1:4" x14ac:dyDescent="0.2">
      <c r="A964" s="146"/>
      <c r="D964" s="496"/>
    </row>
    <row r="965" spans="1:4" x14ac:dyDescent="0.2">
      <c r="A965" s="146"/>
      <c r="D965" s="496"/>
    </row>
    <row r="966" spans="1:4" x14ac:dyDescent="0.2">
      <c r="A966" s="146"/>
      <c r="D966" s="496"/>
    </row>
    <row r="967" spans="1:4" x14ac:dyDescent="0.2">
      <c r="A967" s="146"/>
      <c r="D967" s="496"/>
    </row>
    <row r="968" spans="1:4" x14ac:dyDescent="0.2">
      <c r="A968" s="146"/>
      <c r="D968" s="496"/>
    </row>
    <row r="969" spans="1:4" x14ac:dyDescent="0.2">
      <c r="A969" s="146"/>
      <c r="D969" s="496"/>
    </row>
    <row r="970" spans="1:4" x14ac:dyDescent="0.2">
      <c r="A970" s="146"/>
      <c r="D970" s="496"/>
    </row>
    <row r="971" spans="1:4" x14ac:dyDescent="0.2">
      <c r="A971" s="146"/>
      <c r="D971" s="496"/>
    </row>
    <row r="972" spans="1:4" x14ac:dyDescent="0.2">
      <c r="A972" s="146"/>
      <c r="D972" s="496"/>
    </row>
    <row r="973" spans="1:4" x14ac:dyDescent="0.2">
      <c r="A973" s="146"/>
      <c r="D973" s="496"/>
    </row>
    <row r="974" spans="1:4" x14ac:dyDescent="0.2">
      <c r="A974" s="146"/>
      <c r="D974" s="496"/>
    </row>
    <row r="975" spans="1:4" x14ac:dyDescent="0.2">
      <c r="A975" s="146"/>
      <c r="D975" s="496"/>
    </row>
    <row r="976" spans="1:4" x14ac:dyDescent="0.2">
      <c r="A976" s="146"/>
      <c r="D976" s="496"/>
    </row>
    <row r="977" spans="1:4" x14ac:dyDescent="0.2">
      <c r="A977" s="146"/>
      <c r="D977" s="496"/>
    </row>
    <row r="978" spans="1:4" x14ac:dyDescent="0.2">
      <c r="A978" s="146"/>
      <c r="D978" s="496"/>
    </row>
    <row r="979" spans="1:4" x14ac:dyDescent="0.2">
      <c r="A979" s="146"/>
      <c r="D979" s="496"/>
    </row>
    <row r="980" spans="1:4" x14ac:dyDescent="0.2">
      <c r="A980" s="146"/>
      <c r="D980" s="496"/>
    </row>
    <row r="981" spans="1:4" x14ac:dyDescent="0.2">
      <c r="A981" s="146"/>
      <c r="D981" s="496"/>
    </row>
    <row r="982" spans="1:4" x14ac:dyDescent="0.2">
      <c r="A982" s="146"/>
      <c r="D982" s="496"/>
    </row>
    <row r="983" spans="1:4" x14ac:dyDescent="0.2">
      <c r="A983" s="146"/>
      <c r="D983" s="496"/>
    </row>
    <row r="984" spans="1:4" x14ac:dyDescent="0.2">
      <c r="A984" s="146"/>
      <c r="D984" s="496"/>
    </row>
    <row r="985" spans="1:4" x14ac:dyDescent="0.2">
      <c r="A985" s="146"/>
      <c r="D985" s="496"/>
    </row>
    <row r="986" spans="1:4" x14ac:dyDescent="0.2">
      <c r="A986" s="146"/>
      <c r="D986" s="496"/>
    </row>
    <row r="987" spans="1:4" x14ac:dyDescent="0.2">
      <c r="A987" s="146"/>
      <c r="D987" s="496"/>
    </row>
    <row r="988" spans="1:4" x14ac:dyDescent="0.2">
      <c r="A988" s="146"/>
      <c r="D988" s="496"/>
    </row>
    <row r="989" spans="1:4" x14ac:dyDescent="0.2">
      <c r="A989" s="146"/>
      <c r="D989" s="496"/>
    </row>
    <row r="990" spans="1:4" x14ac:dyDescent="0.2">
      <c r="A990" s="146"/>
      <c r="D990" s="496"/>
    </row>
    <row r="991" spans="1:4" x14ac:dyDescent="0.2">
      <c r="A991" s="146"/>
      <c r="D991" s="496"/>
    </row>
    <row r="992" spans="1:4" x14ac:dyDescent="0.2">
      <c r="A992" s="146"/>
      <c r="D992" s="496"/>
    </row>
    <row r="993" spans="1:4" x14ac:dyDescent="0.2">
      <c r="A993" s="146"/>
      <c r="D993" s="496"/>
    </row>
    <row r="994" spans="1:4" x14ac:dyDescent="0.2">
      <c r="A994" s="146"/>
      <c r="D994" s="496"/>
    </row>
    <row r="995" spans="1:4" x14ac:dyDescent="0.2">
      <c r="A995" s="146"/>
      <c r="D995" s="496"/>
    </row>
    <row r="996" spans="1:4" x14ac:dyDescent="0.2">
      <c r="A996" s="146"/>
      <c r="D996" s="496"/>
    </row>
    <row r="997" spans="1:4" x14ac:dyDescent="0.2">
      <c r="A997" s="146"/>
      <c r="D997" s="496"/>
    </row>
    <row r="998" spans="1:4" x14ac:dyDescent="0.2">
      <c r="A998" s="146"/>
      <c r="D998" s="496"/>
    </row>
    <row r="999" spans="1:4" x14ac:dyDescent="0.2">
      <c r="A999" s="146"/>
      <c r="D999" s="496"/>
    </row>
    <row r="1000" spans="1:4" x14ac:dyDescent="0.2">
      <c r="A1000" s="146"/>
      <c r="D1000" s="496"/>
    </row>
    <row r="1001" spans="1:4" x14ac:dyDescent="0.2">
      <c r="A1001" s="146"/>
      <c r="D1001" s="496"/>
    </row>
    <row r="1002" spans="1:4" x14ac:dyDescent="0.2">
      <c r="A1002" s="146"/>
      <c r="D1002" s="496"/>
    </row>
    <row r="1003" spans="1:4" x14ac:dyDescent="0.2">
      <c r="A1003" s="146"/>
      <c r="D1003" s="496"/>
    </row>
    <row r="1004" spans="1:4" x14ac:dyDescent="0.2">
      <c r="A1004" s="146"/>
      <c r="D1004" s="496"/>
    </row>
    <row r="1005" spans="1:4" x14ac:dyDescent="0.2">
      <c r="A1005" s="146"/>
      <c r="D1005" s="496"/>
    </row>
    <row r="1006" spans="1:4" x14ac:dyDescent="0.2">
      <c r="A1006" s="146"/>
      <c r="D1006" s="496"/>
    </row>
    <row r="1007" spans="1:4" x14ac:dyDescent="0.2">
      <c r="A1007" s="146"/>
      <c r="D1007" s="496"/>
    </row>
    <row r="1008" spans="1:4" x14ac:dyDescent="0.2">
      <c r="A1008" s="146"/>
      <c r="D1008" s="496"/>
    </row>
    <row r="1009" spans="1:4" x14ac:dyDescent="0.2">
      <c r="A1009" s="146"/>
      <c r="D1009" s="496"/>
    </row>
    <row r="1010" spans="1:4" x14ac:dyDescent="0.2">
      <c r="A1010" s="146"/>
      <c r="D1010" s="496"/>
    </row>
    <row r="1011" spans="1:4" x14ac:dyDescent="0.2">
      <c r="A1011" s="146"/>
      <c r="D1011" s="496"/>
    </row>
    <row r="1012" spans="1:4" x14ac:dyDescent="0.2">
      <c r="A1012" s="146"/>
      <c r="D1012" s="496"/>
    </row>
    <row r="1013" spans="1:4" x14ac:dyDescent="0.2">
      <c r="A1013" s="146"/>
      <c r="D1013" s="496"/>
    </row>
    <row r="1014" spans="1:4" x14ac:dyDescent="0.2">
      <c r="A1014" s="146"/>
      <c r="D1014" s="496"/>
    </row>
    <row r="1015" spans="1:4" x14ac:dyDescent="0.2">
      <c r="A1015" s="146"/>
      <c r="D1015" s="496"/>
    </row>
    <row r="1016" spans="1:4" x14ac:dyDescent="0.2">
      <c r="A1016" s="146"/>
      <c r="D1016" s="496"/>
    </row>
    <row r="1017" spans="1:4" x14ac:dyDescent="0.2">
      <c r="A1017" s="146"/>
      <c r="D1017" s="496"/>
    </row>
    <row r="1018" spans="1:4" x14ac:dyDescent="0.2">
      <c r="A1018" s="146"/>
      <c r="D1018" s="496"/>
    </row>
    <row r="1019" spans="1:4" x14ac:dyDescent="0.2">
      <c r="A1019" s="146"/>
      <c r="D1019" s="496"/>
    </row>
    <row r="1020" spans="1:4" x14ac:dyDescent="0.2">
      <c r="A1020" s="146"/>
      <c r="D1020" s="496"/>
    </row>
    <row r="1021" spans="1:4" x14ac:dyDescent="0.2">
      <c r="A1021" s="146"/>
      <c r="D1021" s="496"/>
    </row>
    <row r="1022" spans="1:4" x14ac:dyDescent="0.2">
      <c r="A1022" s="146"/>
      <c r="D1022" s="496"/>
    </row>
    <row r="1023" spans="1:4" x14ac:dyDescent="0.2">
      <c r="A1023" s="146"/>
      <c r="D1023" s="496"/>
    </row>
    <row r="1024" spans="1:4" x14ac:dyDescent="0.2">
      <c r="A1024" s="146"/>
      <c r="D1024" s="496"/>
    </row>
    <row r="1025" spans="1:4" x14ac:dyDescent="0.2">
      <c r="A1025" s="146"/>
      <c r="D1025" s="496"/>
    </row>
    <row r="1026" spans="1:4" x14ac:dyDescent="0.2">
      <c r="A1026" s="146"/>
      <c r="D1026" s="496"/>
    </row>
    <row r="1027" spans="1:4" x14ac:dyDescent="0.2">
      <c r="A1027" s="146"/>
      <c r="D1027" s="496"/>
    </row>
    <row r="1028" spans="1:4" x14ac:dyDescent="0.2">
      <c r="A1028" s="146"/>
      <c r="D1028" s="496"/>
    </row>
    <row r="1029" spans="1:4" x14ac:dyDescent="0.2">
      <c r="A1029" s="146"/>
      <c r="D1029" s="496"/>
    </row>
    <row r="1030" spans="1:4" x14ac:dyDescent="0.2">
      <c r="A1030" s="146"/>
      <c r="D1030" s="496"/>
    </row>
    <row r="1031" spans="1:4" x14ac:dyDescent="0.2">
      <c r="A1031" s="146"/>
      <c r="D1031" s="496"/>
    </row>
    <row r="1032" spans="1:4" x14ac:dyDescent="0.2">
      <c r="A1032" s="146"/>
      <c r="D1032" s="496"/>
    </row>
    <row r="1033" spans="1:4" x14ac:dyDescent="0.2">
      <c r="A1033" s="146"/>
      <c r="D1033" s="496"/>
    </row>
    <row r="1034" spans="1:4" x14ac:dyDescent="0.2">
      <c r="A1034" s="146"/>
      <c r="D1034" s="496"/>
    </row>
    <row r="1035" spans="1:4" x14ac:dyDescent="0.2">
      <c r="A1035" s="146"/>
      <c r="D1035" s="496"/>
    </row>
    <row r="1036" spans="1:4" x14ac:dyDescent="0.2">
      <c r="A1036" s="146"/>
      <c r="D1036" s="496"/>
    </row>
    <row r="1037" spans="1:4" x14ac:dyDescent="0.2">
      <c r="A1037" s="146"/>
      <c r="D1037" s="496"/>
    </row>
    <row r="1038" spans="1:4" x14ac:dyDescent="0.2">
      <c r="A1038" s="146"/>
      <c r="D1038" s="496"/>
    </row>
    <row r="1039" spans="1:4" x14ac:dyDescent="0.2">
      <c r="A1039" s="146"/>
      <c r="D1039" s="496"/>
    </row>
    <row r="1040" spans="1:4" x14ac:dyDescent="0.2">
      <c r="A1040" s="146"/>
      <c r="D1040" s="496"/>
    </row>
    <row r="1041" spans="1:4" x14ac:dyDescent="0.2">
      <c r="A1041" s="146"/>
      <c r="D1041" s="496"/>
    </row>
    <row r="1042" spans="1:4" x14ac:dyDescent="0.2">
      <c r="A1042" s="146"/>
      <c r="D1042" s="496"/>
    </row>
    <row r="1043" spans="1:4" x14ac:dyDescent="0.2">
      <c r="A1043" s="146"/>
      <c r="D1043" s="496"/>
    </row>
    <row r="1044" spans="1:4" x14ac:dyDescent="0.2">
      <c r="A1044" s="146"/>
      <c r="D1044" s="496"/>
    </row>
    <row r="1045" spans="1:4" x14ac:dyDescent="0.2">
      <c r="A1045" s="146"/>
      <c r="D1045" s="496"/>
    </row>
    <row r="1046" spans="1:4" x14ac:dyDescent="0.2">
      <c r="A1046" s="146"/>
      <c r="D1046" s="496"/>
    </row>
    <row r="1047" spans="1:4" x14ac:dyDescent="0.2">
      <c r="A1047" s="146"/>
      <c r="D1047" s="496"/>
    </row>
    <row r="1048" spans="1:4" x14ac:dyDescent="0.2">
      <c r="A1048" s="146"/>
      <c r="D1048" s="496"/>
    </row>
    <row r="1049" spans="1:4" x14ac:dyDescent="0.2">
      <c r="A1049" s="146"/>
      <c r="D1049" s="496"/>
    </row>
    <row r="1050" spans="1:4" x14ac:dyDescent="0.2">
      <c r="A1050" s="146"/>
      <c r="D1050" s="496"/>
    </row>
    <row r="1051" spans="1:4" x14ac:dyDescent="0.2">
      <c r="A1051" s="146"/>
      <c r="D1051" s="496"/>
    </row>
    <row r="1052" spans="1:4" x14ac:dyDescent="0.2">
      <c r="A1052" s="146"/>
      <c r="D1052" s="496"/>
    </row>
    <row r="1053" spans="1:4" x14ac:dyDescent="0.2">
      <c r="A1053" s="146"/>
      <c r="D1053" s="496"/>
    </row>
    <row r="1054" spans="1:4" x14ac:dyDescent="0.2">
      <c r="A1054" s="146"/>
      <c r="D1054" s="496"/>
    </row>
    <row r="1055" spans="1:4" x14ac:dyDescent="0.2">
      <c r="A1055" s="146"/>
      <c r="D1055" s="496"/>
    </row>
    <row r="1056" spans="1:4" x14ac:dyDescent="0.2">
      <c r="A1056" s="146"/>
      <c r="D1056" s="496"/>
    </row>
    <row r="1057" spans="1:4" x14ac:dyDescent="0.2">
      <c r="A1057" s="146"/>
      <c r="D1057" s="496"/>
    </row>
    <row r="1058" spans="1:4" x14ac:dyDescent="0.2">
      <c r="A1058" s="146"/>
      <c r="D1058" s="496"/>
    </row>
    <row r="1059" spans="1:4" x14ac:dyDescent="0.2">
      <c r="A1059" s="146"/>
      <c r="D1059" s="496"/>
    </row>
    <row r="1060" spans="1:4" x14ac:dyDescent="0.2">
      <c r="A1060" s="146"/>
      <c r="D1060" s="496"/>
    </row>
    <row r="1061" spans="1:4" x14ac:dyDescent="0.2">
      <c r="A1061" s="146"/>
      <c r="D1061" s="496"/>
    </row>
    <row r="1062" spans="1:4" x14ac:dyDescent="0.2">
      <c r="A1062" s="146"/>
      <c r="D1062" s="496"/>
    </row>
    <row r="1063" spans="1:4" x14ac:dyDescent="0.2">
      <c r="A1063" s="146"/>
      <c r="D1063" s="496"/>
    </row>
    <row r="1064" spans="1:4" x14ac:dyDescent="0.2">
      <c r="A1064" s="146"/>
      <c r="D1064" s="496"/>
    </row>
    <row r="1065" spans="1:4" x14ac:dyDescent="0.2">
      <c r="A1065" s="146"/>
      <c r="D1065" s="496"/>
    </row>
    <row r="1066" spans="1:4" x14ac:dyDescent="0.2">
      <c r="A1066" s="146"/>
      <c r="D1066" s="496"/>
    </row>
    <row r="1067" spans="1:4" x14ac:dyDescent="0.2">
      <c r="A1067" s="146"/>
      <c r="D1067" s="496"/>
    </row>
    <row r="1068" spans="1:4" x14ac:dyDescent="0.2">
      <c r="A1068" s="146"/>
      <c r="D1068" s="496"/>
    </row>
    <row r="1069" spans="1:4" x14ac:dyDescent="0.2">
      <c r="A1069" s="146"/>
      <c r="D1069" s="496"/>
    </row>
    <row r="1070" spans="1:4" x14ac:dyDescent="0.2">
      <c r="A1070" s="146"/>
      <c r="D1070" s="496"/>
    </row>
    <row r="1071" spans="1:4" x14ac:dyDescent="0.2">
      <c r="A1071" s="146"/>
      <c r="D1071" s="496"/>
    </row>
    <row r="1072" spans="1:4" x14ac:dyDescent="0.2">
      <c r="A1072" s="146"/>
      <c r="D1072" s="496"/>
    </row>
    <row r="1073" spans="1:4" x14ac:dyDescent="0.2">
      <c r="A1073" s="146"/>
      <c r="D1073" s="496"/>
    </row>
    <row r="1074" spans="1:4" x14ac:dyDescent="0.2">
      <c r="A1074" s="146"/>
      <c r="D1074" s="496"/>
    </row>
    <row r="1075" spans="1:4" x14ac:dyDescent="0.2">
      <c r="A1075" s="146"/>
      <c r="D1075" s="496"/>
    </row>
    <row r="1076" spans="1:4" x14ac:dyDescent="0.2">
      <c r="A1076" s="146"/>
      <c r="D1076" s="496"/>
    </row>
    <row r="1077" spans="1:4" x14ac:dyDescent="0.2">
      <c r="A1077" s="146"/>
      <c r="D1077" s="496"/>
    </row>
    <row r="1078" spans="1:4" x14ac:dyDescent="0.2">
      <c r="A1078" s="146"/>
      <c r="D1078" s="496"/>
    </row>
    <row r="1079" spans="1:4" x14ac:dyDescent="0.2">
      <c r="A1079" s="146"/>
      <c r="D1079" s="496"/>
    </row>
    <row r="1080" spans="1:4" x14ac:dyDescent="0.2">
      <c r="A1080" s="146"/>
      <c r="D1080" s="496"/>
    </row>
    <row r="1081" spans="1:4" x14ac:dyDescent="0.2">
      <c r="A1081" s="146"/>
      <c r="D1081" s="496"/>
    </row>
    <row r="1082" spans="1:4" x14ac:dyDescent="0.2">
      <c r="A1082" s="146"/>
      <c r="D1082" s="496"/>
    </row>
    <row r="1083" spans="1:4" x14ac:dyDescent="0.2">
      <c r="A1083" s="146"/>
      <c r="D1083" s="496"/>
    </row>
    <row r="1084" spans="1:4" x14ac:dyDescent="0.2">
      <c r="A1084" s="146"/>
      <c r="D1084" s="496"/>
    </row>
    <row r="1085" spans="1:4" x14ac:dyDescent="0.2">
      <c r="A1085" s="146"/>
      <c r="D1085" s="496"/>
    </row>
    <row r="1086" spans="1:4" x14ac:dyDescent="0.2">
      <c r="A1086" s="146"/>
      <c r="D1086" s="496"/>
    </row>
    <row r="1087" spans="1:4" x14ac:dyDescent="0.2">
      <c r="A1087" s="146"/>
      <c r="D1087" s="496"/>
    </row>
    <row r="1088" spans="1:4" x14ac:dyDescent="0.2">
      <c r="A1088" s="146"/>
      <c r="D1088" s="496"/>
    </row>
    <row r="1089" spans="1:4" x14ac:dyDescent="0.2">
      <c r="A1089" s="146"/>
      <c r="D1089" s="496"/>
    </row>
    <row r="1090" spans="1:4" x14ac:dyDescent="0.2">
      <c r="A1090" s="146"/>
      <c r="D1090" s="496"/>
    </row>
    <row r="1091" spans="1:4" x14ac:dyDescent="0.2">
      <c r="A1091" s="146"/>
      <c r="D1091" s="496"/>
    </row>
    <row r="1092" spans="1:4" x14ac:dyDescent="0.2">
      <c r="A1092" s="146"/>
      <c r="D1092" s="496"/>
    </row>
    <row r="1093" spans="1:4" x14ac:dyDescent="0.2">
      <c r="A1093" s="146"/>
      <c r="D1093" s="496"/>
    </row>
    <row r="1094" spans="1:4" x14ac:dyDescent="0.2">
      <c r="A1094" s="146"/>
      <c r="D1094" s="496"/>
    </row>
    <row r="1095" spans="1:4" x14ac:dyDescent="0.2">
      <c r="A1095" s="146"/>
      <c r="D1095" s="496"/>
    </row>
    <row r="1096" spans="1:4" x14ac:dyDescent="0.2">
      <c r="A1096" s="146"/>
      <c r="D1096" s="496"/>
    </row>
    <row r="1097" spans="1:4" x14ac:dyDescent="0.2">
      <c r="A1097" s="146"/>
      <c r="D1097" s="496"/>
    </row>
    <row r="1098" spans="1:4" x14ac:dyDescent="0.2">
      <c r="A1098" s="146"/>
      <c r="D1098" s="496"/>
    </row>
    <row r="1099" spans="1:4" x14ac:dyDescent="0.2">
      <c r="A1099" s="146"/>
      <c r="D1099" s="496"/>
    </row>
    <row r="1100" spans="1:4" x14ac:dyDescent="0.2">
      <c r="A1100" s="146"/>
      <c r="D1100" s="496"/>
    </row>
    <row r="1101" spans="1:4" x14ac:dyDescent="0.2">
      <c r="A1101" s="146"/>
      <c r="D1101" s="496"/>
    </row>
    <row r="1102" spans="1:4" x14ac:dyDescent="0.2">
      <c r="A1102" s="146"/>
      <c r="D1102" s="496"/>
    </row>
    <row r="1103" spans="1:4" x14ac:dyDescent="0.2">
      <c r="A1103" s="146"/>
      <c r="D1103" s="496"/>
    </row>
    <row r="1104" spans="1:4" x14ac:dyDescent="0.2">
      <c r="A1104" s="146"/>
      <c r="D1104" s="496"/>
    </row>
    <row r="1105" spans="1:4" x14ac:dyDescent="0.2">
      <c r="A1105" s="146"/>
      <c r="D1105" s="496"/>
    </row>
    <row r="1106" spans="1:4" x14ac:dyDescent="0.2">
      <c r="A1106" s="146"/>
      <c r="D1106" s="496"/>
    </row>
    <row r="1107" spans="1:4" x14ac:dyDescent="0.2">
      <c r="A1107" s="146"/>
      <c r="D1107" s="496"/>
    </row>
    <row r="1108" spans="1:4" x14ac:dyDescent="0.2">
      <c r="A1108" s="146"/>
      <c r="D1108" s="496"/>
    </row>
    <row r="1109" spans="1:4" x14ac:dyDescent="0.2">
      <c r="A1109" s="146"/>
      <c r="D1109" s="496"/>
    </row>
    <row r="1110" spans="1:4" x14ac:dyDescent="0.2">
      <c r="A1110" s="146"/>
      <c r="D1110" s="496"/>
    </row>
    <row r="1111" spans="1:4" x14ac:dyDescent="0.2">
      <c r="A1111" s="146"/>
      <c r="D1111" s="496"/>
    </row>
    <row r="1112" spans="1:4" x14ac:dyDescent="0.2">
      <c r="A1112" s="146"/>
      <c r="D1112" s="496"/>
    </row>
    <row r="1113" spans="1:4" x14ac:dyDescent="0.2">
      <c r="A1113" s="146"/>
      <c r="D1113" s="496"/>
    </row>
    <row r="1114" spans="1:4" x14ac:dyDescent="0.2">
      <c r="A1114" s="146"/>
      <c r="D1114" s="496"/>
    </row>
    <row r="1115" spans="1:4" x14ac:dyDescent="0.2">
      <c r="A1115" s="146"/>
      <c r="D1115" s="496"/>
    </row>
    <row r="1116" spans="1:4" x14ac:dyDescent="0.2">
      <c r="A1116" s="146"/>
      <c r="D1116" s="496"/>
    </row>
    <row r="1117" spans="1:4" x14ac:dyDescent="0.2">
      <c r="A1117" s="146"/>
      <c r="D1117" s="496"/>
    </row>
    <row r="1118" spans="1:4" x14ac:dyDescent="0.2">
      <c r="A1118" s="146"/>
      <c r="D1118" s="496"/>
    </row>
    <row r="1119" spans="1:4" x14ac:dyDescent="0.2">
      <c r="A1119" s="146"/>
      <c r="D1119" s="496"/>
    </row>
    <row r="1120" spans="1:4" x14ac:dyDescent="0.2">
      <c r="A1120" s="146"/>
      <c r="D1120" s="496"/>
    </row>
    <row r="1121" spans="1:4" x14ac:dyDescent="0.2">
      <c r="A1121" s="146"/>
      <c r="D1121" s="496"/>
    </row>
    <row r="1122" spans="1:4" x14ac:dyDescent="0.2">
      <c r="A1122" s="146"/>
      <c r="D1122" s="496"/>
    </row>
    <row r="1123" spans="1:4" x14ac:dyDescent="0.2">
      <c r="A1123" s="146"/>
      <c r="D1123" s="496"/>
    </row>
    <row r="1124" spans="1:4" x14ac:dyDescent="0.2">
      <c r="A1124" s="146"/>
      <c r="D1124" s="496"/>
    </row>
    <row r="1125" spans="1:4" x14ac:dyDescent="0.2">
      <c r="A1125" s="146"/>
      <c r="D1125" s="496"/>
    </row>
    <row r="1126" spans="1:4" x14ac:dyDescent="0.2">
      <c r="A1126" s="146"/>
      <c r="D1126" s="496"/>
    </row>
    <row r="1127" spans="1:4" x14ac:dyDescent="0.2">
      <c r="A1127" s="146"/>
      <c r="D1127" s="496"/>
    </row>
    <row r="1128" spans="1:4" x14ac:dyDescent="0.2">
      <c r="A1128" s="146"/>
      <c r="D1128" s="496"/>
    </row>
    <row r="1129" spans="1:4" x14ac:dyDescent="0.2">
      <c r="A1129" s="146"/>
      <c r="D1129" s="496"/>
    </row>
    <row r="1130" spans="1:4" x14ac:dyDescent="0.2">
      <c r="A1130" s="146"/>
      <c r="D1130" s="496"/>
    </row>
    <row r="1131" spans="1:4" x14ac:dyDescent="0.2">
      <c r="A1131" s="146"/>
      <c r="D1131" s="496"/>
    </row>
    <row r="1132" spans="1:4" x14ac:dyDescent="0.2">
      <c r="A1132" s="146"/>
      <c r="D1132" s="496"/>
    </row>
    <row r="1133" spans="1:4" x14ac:dyDescent="0.2">
      <c r="A1133" s="146"/>
      <c r="D1133" s="496"/>
    </row>
    <row r="1134" spans="1:4" x14ac:dyDescent="0.2">
      <c r="A1134" s="146"/>
      <c r="D1134" s="496"/>
    </row>
    <row r="1135" spans="1:4" x14ac:dyDescent="0.2">
      <c r="A1135" s="146"/>
      <c r="D1135" s="496"/>
    </row>
    <row r="1136" spans="1:4" x14ac:dyDescent="0.2">
      <c r="A1136" s="146"/>
      <c r="D1136" s="496"/>
    </row>
    <row r="1137" spans="1:4" x14ac:dyDescent="0.2">
      <c r="A1137" s="146"/>
      <c r="D1137" s="496"/>
    </row>
    <row r="1138" spans="1:4" x14ac:dyDescent="0.2">
      <c r="A1138" s="146"/>
      <c r="D1138" s="496"/>
    </row>
    <row r="1139" spans="1:4" x14ac:dyDescent="0.2">
      <c r="A1139" s="146"/>
      <c r="D1139" s="496"/>
    </row>
    <row r="1140" spans="1:4" x14ac:dyDescent="0.2">
      <c r="A1140" s="146"/>
      <c r="D1140" s="496"/>
    </row>
    <row r="1141" spans="1:4" x14ac:dyDescent="0.2">
      <c r="A1141" s="146"/>
      <c r="D1141" s="496"/>
    </row>
    <row r="1142" spans="1:4" x14ac:dyDescent="0.2">
      <c r="A1142" s="146"/>
      <c r="D1142" s="496"/>
    </row>
    <row r="1143" spans="1:4" x14ac:dyDescent="0.2">
      <c r="A1143" s="146"/>
      <c r="D1143" s="496"/>
    </row>
    <row r="1144" spans="1:4" x14ac:dyDescent="0.2">
      <c r="A1144" s="146"/>
      <c r="D1144" s="496"/>
    </row>
    <row r="1145" spans="1:4" x14ac:dyDescent="0.2">
      <c r="A1145" s="146"/>
      <c r="D1145" s="496"/>
    </row>
    <row r="1146" spans="1:4" x14ac:dyDescent="0.2">
      <c r="A1146" s="146"/>
      <c r="D1146" s="496"/>
    </row>
    <row r="1147" spans="1:4" x14ac:dyDescent="0.2">
      <c r="A1147" s="146"/>
      <c r="D1147" s="496"/>
    </row>
    <row r="1148" spans="1:4" x14ac:dyDescent="0.2">
      <c r="A1148" s="146"/>
      <c r="D1148" s="496"/>
    </row>
    <row r="1149" spans="1:4" x14ac:dyDescent="0.2">
      <c r="A1149" s="146"/>
      <c r="D1149" s="496"/>
    </row>
    <row r="1150" spans="1:4" x14ac:dyDescent="0.2">
      <c r="A1150" s="146"/>
      <c r="D1150" s="496"/>
    </row>
    <row r="1151" spans="1:4" x14ac:dyDescent="0.2">
      <c r="A1151" s="146"/>
      <c r="D1151" s="496"/>
    </row>
    <row r="1152" spans="1:4" x14ac:dyDescent="0.2">
      <c r="A1152" s="146"/>
      <c r="D1152" s="496"/>
    </row>
    <row r="1153" spans="1:4" x14ac:dyDescent="0.2">
      <c r="A1153" s="146"/>
      <c r="D1153" s="496"/>
    </row>
    <row r="1154" spans="1:4" x14ac:dyDescent="0.2">
      <c r="A1154" s="146"/>
      <c r="D1154" s="496"/>
    </row>
    <row r="1155" spans="1:4" x14ac:dyDescent="0.2">
      <c r="A1155" s="146"/>
      <c r="D1155" s="496"/>
    </row>
    <row r="1156" spans="1:4" x14ac:dyDescent="0.2">
      <c r="A1156" s="146"/>
      <c r="D1156" s="496"/>
    </row>
    <row r="1157" spans="1:4" x14ac:dyDescent="0.2">
      <c r="A1157" s="146"/>
      <c r="D1157" s="496"/>
    </row>
    <row r="1158" spans="1:4" x14ac:dyDescent="0.2">
      <c r="A1158" s="146"/>
      <c r="D1158" s="496"/>
    </row>
    <row r="1159" spans="1:4" x14ac:dyDescent="0.2">
      <c r="A1159" s="146"/>
      <c r="D1159" s="496"/>
    </row>
    <row r="1160" spans="1:4" x14ac:dyDescent="0.2">
      <c r="A1160" s="146"/>
      <c r="D1160" s="496"/>
    </row>
    <row r="1161" spans="1:4" x14ac:dyDescent="0.2">
      <c r="A1161" s="146"/>
      <c r="D1161" s="496"/>
    </row>
    <row r="1162" spans="1:4" x14ac:dyDescent="0.2">
      <c r="A1162" s="146"/>
      <c r="D1162" s="496"/>
    </row>
    <row r="1163" spans="1:4" x14ac:dyDescent="0.2">
      <c r="A1163" s="146"/>
      <c r="D1163" s="496"/>
    </row>
    <row r="1164" spans="1:4" x14ac:dyDescent="0.2">
      <c r="A1164" s="146"/>
      <c r="D1164" s="496"/>
    </row>
    <row r="1165" spans="1:4" x14ac:dyDescent="0.2">
      <c r="A1165" s="146"/>
      <c r="D1165" s="496"/>
    </row>
    <row r="1166" spans="1:4" x14ac:dyDescent="0.2">
      <c r="A1166" s="146"/>
      <c r="D1166" s="496"/>
    </row>
    <row r="1167" spans="1:4" x14ac:dyDescent="0.2">
      <c r="A1167" s="146"/>
      <c r="D1167" s="496"/>
    </row>
    <row r="1168" spans="1:4" x14ac:dyDescent="0.2">
      <c r="A1168" s="146"/>
      <c r="D1168" s="496"/>
    </row>
    <row r="1169" spans="1:4" x14ac:dyDescent="0.2">
      <c r="A1169" s="146"/>
      <c r="D1169" s="496"/>
    </row>
    <row r="1170" spans="1:4" x14ac:dyDescent="0.2">
      <c r="A1170" s="146"/>
      <c r="D1170" s="496"/>
    </row>
    <row r="1171" spans="1:4" x14ac:dyDescent="0.2">
      <c r="A1171" s="146"/>
      <c r="D1171" s="496"/>
    </row>
    <row r="1172" spans="1:4" x14ac:dyDescent="0.2">
      <c r="A1172" s="146"/>
      <c r="D1172" s="496"/>
    </row>
    <row r="1173" spans="1:4" x14ac:dyDescent="0.2">
      <c r="A1173" s="146"/>
      <c r="D1173" s="496"/>
    </row>
    <row r="1174" spans="1:4" x14ac:dyDescent="0.2">
      <c r="A1174" s="146"/>
      <c r="D1174" s="496"/>
    </row>
    <row r="1175" spans="1:4" x14ac:dyDescent="0.2">
      <c r="A1175" s="146"/>
      <c r="D1175" s="496"/>
    </row>
    <row r="1176" spans="1:4" x14ac:dyDescent="0.2">
      <c r="A1176" s="146"/>
      <c r="D1176" s="496"/>
    </row>
    <row r="1177" spans="1:4" x14ac:dyDescent="0.2">
      <c r="A1177" s="146"/>
      <c r="D1177" s="496"/>
    </row>
    <row r="1178" spans="1:4" x14ac:dyDescent="0.2">
      <c r="A1178" s="146"/>
      <c r="D1178" s="496"/>
    </row>
    <row r="1179" spans="1:4" x14ac:dyDescent="0.2">
      <c r="A1179" s="146"/>
      <c r="D1179" s="496"/>
    </row>
    <row r="1180" spans="1:4" x14ac:dyDescent="0.2">
      <c r="A1180" s="146"/>
      <c r="D1180" s="496"/>
    </row>
    <row r="1181" spans="1:4" x14ac:dyDescent="0.2">
      <c r="A1181" s="146"/>
      <c r="D1181" s="496"/>
    </row>
    <row r="1182" spans="1:4" x14ac:dyDescent="0.2">
      <c r="A1182" s="146"/>
      <c r="D1182" s="496"/>
    </row>
    <row r="1183" spans="1:4" x14ac:dyDescent="0.2">
      <c r="A1183" s="146"/>
      <c r="D1183" s="496"/>
    </row>
    <row r="1184" spans="1:4" x14ac:dyDescent="0.2">
      <c r="A1184" s="146"/>
      <c r="D1184" s="496"/>
    </row>
    <row r="1185" spans="1:4" x14ac:dyDescent="0.2">
      <c r="A1185" s="146"/>
      <c r="D1185" s="496"/>
    </row>
    <row r="1186" spans="1:4" x14ac:dyDescent="0.2">
      <c r="A1186" s="146"/>
      <c r="D1186" s="496"/>
    </row>
    <row r="1187" spans="1:4" x14ac:dyDescent="0.2">
      <c r="A1187" s="146"/>
      <c r="D1187" s="496"/>
    </row>
    <row r="1188" spans="1:4" x14ac:dyDescent="0.2">
      <c r="A1188" s="146"/>
      <c r="D1188" s="496"/>
    </row>
    <row r="1189" spans="1:4" x14ac:dyDescent="0.2">
      <c r="A1189" s="146"/>
      <c r="D1189" s="496"/>
    </row>
    <row r="1190" spans="1:4" x14ac:dyDescent="0.2">
      <c r="A1190" s="146"/>
      <c r="D1190" s="496"/>
    </row>
    <row r="1191" spans="1:4" x14ac:dyDescent="0.2">
      <c r="A1191" s="146"/>
      <c r="D1191" s="496"/>
    </row>
    <row r="1192" spans="1:4" x14ac:dyDescent="0.2">
      <c r="A1192" s="146"/>
      <c r="D1192" s="496"/>
    </row>
    <row r="1193" spans="1:4" x14ac:dyDescent="0.2">
      <c r="A1193" s="146"/>
      <c r="D1193" s="496"/>
    </row>
    <row r="1194" spans="1:4" x14ac:dyDescent="0.2">
      <c r="A1194" s="146"/>
      <c r="D1194" s="496"/>
    </row>
    <row r="1195" spans="1:4" x14ac:dyDescent="0.2">
      <c r="A1195" s="146"/>
      <c r="D1195" s="496"/>
    </row>
    <row r="1196" spans="1:4" x14ac:dyDescent="0.2">
      <c r="A1196" s="146"/>
      <c r="D1196" s="496"/>
    </row>
    <row r="1197" spans="1:4" x14ac:dyDescent="0.2">
      <c r="A1197" s="146"/>
      <c r="D1197" s="496"/>
    </row>
    <row r="1198" spans="1:4" x14ac:dyDescent="0.2">
      <c r="A1198" s="146"/>
      <c r="D1198" s="496"/>
    </row>
    <row r="1199" spans="1:4" x14ac:dyDescent="0.2">
      <c r="A1199" s="146"/>
      <c r="D1199" s="496"/>
    </row>
    <row r="1200" spans="1:4" x14ac:dyDescent="0.2">
      <c r="A1200" s="146"/>
      <c r="D1200" s="496"/>
    </row>
    <row r="1201" spans="1:4" x14ac:dyDescent="0.2">
      <c r="A1201" s="146"/>
      <c r="D1201" s="496"/>
    </row>
    <row r="1202" spans="1:4" x14ac:dyDescent="0.2">
      <c r="A1202" s="146"/>
      <c r="D1202" s="496"/>
    </row>
    <row r="1203" spans="1:4" x14ac:dyDescent="0.2">
      <c r="A1203" s="146"/>
      <c r="D1203" s="496"/>
    </row>
    <row r="1204" spans="1:4" x14ac:dyDescent="0.2">
      <c r="A1204" s="146"/>
      <c r="D1204" s="496"/>
    </row>
    <row r="1205" spans="1:4" x14ac:dyDescent="0.2">
      <c r="A1205" s="146"/>
      <c r="D1205" s="496"/>
    </row>
    <row r="1206" spans="1:4" x14ac:dyDescent="0.2">
      <c r="A1206" s="146"/>
      <c r="D1206" s="496"/>
    </row>
    <row r="1207" spans="1:4" x14ac:dyDescent="0.2">
      <c r="A1207" s="146"/>
      <c r="D1207" s="496"/>
    </row>
    <row r="1208" spans="1:4" x14ac:dyDescent="0.2">
      <c r="A1208" s="146"/>
      <c r="D1208" s="496"/>
    </row>
    <row r="1209" spans="1:4" x14ac:dyDescent="0.2">
      <c r="A1209" s="146"/>
      <c r="D1209" s="496"/>
    </row>
    <row r="1210" spans="1:4" x14ac:dyDescent="0.2">
      <c r="A1210" s="146"/>
      <c r="D1210" s="496"/>
    </row>
    <row r="1211" spans="1:4" x14ac:dyDescent="0.2">
      <c r="A1211" s="146"/>
      <c r="D1211" s="496"/>
    </row>
    <row r="1212" spans="1:4" x14ac:dyDescent="0.2">
      <c r="A1212" s="146"/>
      <c r="D1212" s="496"/>
    </row>
    <row r="1213" spans="1:4" x14ac:dyDescent="0.2">
      <c r="A1213" s="146"/>
      <c r="D1213" s="496"/>
    </row>
    <row r="1214" spans="1:4" x14ac:dyDescent="0.2">
      <c r="A1214" s="146"/>
      <c r="D1214" s="496"/>
    </row>
    <row r="1215" spans="1:4" x14ac:dyDescent="0.2">
      <c r="A1215" s="146"/>
      <c r="D1215" s="496"/>
    </row>
    <row r="1216" spans="1:4" x14ac:dyDescent="0.2">
      <c r="A1216" s="146"/>
      <c r="D1216" s="496"/>
    </row>
    <row r="1217" spans="1:4" x14ac:dyDescent="0.2">
      <c r="A1217" s="146"/>
      <c r="D1217" s="496"/>
    </row>
    <row r="1218" spans="1:4" x14ac:dyDescent="0.2">
      <c r="A1218" s="146"/>
      <c r="D1218" s="496"/>
    </row>
    <row r="1219" spans="1:4" x14ac:dyDescent="0.2">
      <c r="A1219" s="146"/>
      <c r="D1219" s="496"/>
    </row>
    <row r="1220" spans="1:4" x14ac:dyDescent="0.2">
      <c r="A1220" s="146"/>
      <c r="D1220" s="496"/>
    </row>
    <row r="1221" spans="1:4" x14ac:dyDescent="0.2">
      <c r="A1221" s="146"/>
      <c r="D1221" s="496"/>
    </row>
    <row r="1222" spans="1:4" x14ac:dyDescent="0.2">
      <c r="A1222" s="146"/>
      <c r="D1222" s="496"/>
    </row>
    <row r="1223" spans="1:4" x14ac:dyDescent="0.2">
      <c r="A1223" s="146"/>
      <c r="D1223" s="496"/>
    </row>
    <row r="1224" spans="1:4" x14ac:dyDescent="0.2">
      <c r="A1224" s="146"/>
      <c r="D1224" s="496"/>
    </row>
    <row r="1225" spans="1:4" x14ac:dyDescent="0.2">
      <c r="A1225" s="146"/>
      <c r="D1225" s="496"/>
    </row>
    <row r="1226" spans="1:4" x14ac:dyDescent="0.2">
      <c r="A1226" s="146"/>
      <c r="D1226" s="496"/>
    </row>
    <row r="1227" spans="1:4" x14ac:dyDescent="0.2">
      <c r="A1227" s="146"/>
      <c r="D1227" s="496"/>
    </row>
    <row r="1228" spans="1:4" x14ac:dyDescent="0.2">
      <c r="A1228" s="146"/>
      <c r="D1228" s="496"/>
    </row>
    <row r="1229" spans="1:4" x14ac:dyDescent="0.2">
      <c r="A1229" s="146"/>
      <c r="D1229" s="496"/>
    </row>
    <row r="1230" spans="1:4" x14ac:dyDescent="0.2">
      <c r="A1230" s="146"/>
      <c r="D1230" s="496"/>
    </row>
    <row r="1231" spans="1:4" x14ac:dyDescent="0.2">
      <c r="A1231" s="146"/>
      <c r="D1231" s="496"/>
    </row>
    <row r="1232" spans="1:4" x14ac:dyDescent="0.2">
      <c r="A1232" s="146"/>
      <c r="D1232" s="496"/>
    </row>
    <row r="1233" spans="1:4" x14ac:dyDescent="0.2">
      <c r="A1233" s="146"/>
      <c r="D1233" s="496"/>
    </row>
    <row r="1234" spans="1:4" x14ac:dyDescent="0.2">
      <c r="A1234" s="146"/>
      <c r="D1234" s="496"/>
    </row>
    <row r="1235" spans="1:4" x14ac:dyDescent="0.2">
      <c r="A1235" s="146"/>
      <c r="D1235" s="496"/>
    </row>
    <row r="1236" spans="1:4" x14ac:dyDescent="0.2">
      <c r="A1236" s="146"/>
      <c r="D1236" s="496"/>
    </row>
    <row r="1237" spans="1:4" x14ac:dyDescent="0.2">
      <c r="A1237" s="146"/>
      <c r="D1237" s="496"/>
    </row>
    <row r="1238" spans="1:4" x14ac:dyDescent="0.2">
      <c r="A1238" s="146"/>
      <c r="D1238" s="496"/>
    </row>
    <row r="1239" spans="1:4" x14ac:dyDescent="0.2">
      <c r="A1239" s="146"/>
      <c r="D1239" s="496"/>
    </row>
    <row r="1240" spans="1:4" x14ac:dyDescent="0.2">
      <c r="A1240" s="146"/>
      <c r="D1240" s="496"/>
    </row>
    <row r="1241" spans="1:4" x14ac:dyDescent="0.2">
      <c r="A1241" s="146"/>
      <c r="D1241" s="496"/>
    </row>
    <row r="1242" spans="1:4" x14ac:dyDescent="0.2">
      <c r="A1242" s="146"/>
      <c r="D1242" s="496"/>
    </row>
    <row r="1243" spans="1:4" x14ac:dyDescent="0.2">
      <c r="A1243" s="146"/>
      <c r="D1243" s="496"/>
    </row>
    <row r="1244" spans="1:4" x14ac:dyDescent="0.2">
      <c r="A1244" s="146"/>
      <c r="D1244" s="496"/>
    </row>
    <row r="1245" spans="1:4" x14ac:dyDescent="0.2">
      <c r="A1245" s="146"/>
      <c r="D1245" s="496"/>
    </row>
    <row r="1246" spans="1:4" x14ac:dyDescent="0.2">
      <c r="A1246" s="146"/>
      <c r="D1246" s="496"/>
    </row>
    <row r="1247" spans="1:4" x14ac:dyDescent="0.2">
      <c r="A1247" s="146"/>
      <c r="D1247" s="496"/>
    </row>
    <row r="1248" spans="1:4" x14ac:dyDescent="0.2">
      <c r="A1248" s="146"/>
      <c r="D1248" s="496"/>
    </row>
    <row r="1249" spans="1:4" x14ac:dyDescent="0.2">
      <c r="A1249" s="146"/>
      <c r="D1249" s="496"/>
    </row>
    <row r="1250" spans="1:4" x14ac:dyDescent="0.2">
      <c r="A1250" s="146"/>
      <c r="D1250" s="496"/>
    </row>
    <row r="1251" spans="1:4" x14ac:dyDescent="0.2">
      <c r="A1251" s="146"/>
      <c r="D1251" s="496"/>
    </row>
    <row r="1252" spans="1:4" x14ac:dyDescent="0.2">
      <c r="A1252" s="146"/>
      <c r="D1252" s="496"/>
    </row>
    <row r="1253" spans="1:4" x14ac:dyDescent="0.2">
      <c r="A1253" s="146"/>
      <c r="D1253" s="496"/>
    </row>
    <row r="1254" spans="1:4" x14ac:dyDescent="0.2">
      <c r="A1254" s="146"/>
      <c r="D1254" s="496"/>
    </row>
    <row r="1255" spans="1:4" x14ac:dyDescent="0.2">
      <c r="A1255" s="146"/>
      <c r="D1255" s="496"/>
    </row>
    <row r="1256" spans="1:4" x14ac:dyDescent="0.2">
      <c r="A1256" s="146"/>
      <c r="D1256" s="496"/>
    </row>
    <row r="1257" spans="1:4" x14ac:dyDescent="0.2">
      <c r="A1257" s="146"/>
      <c r="D1257" s="496"/>
    </row>
    <row r="1258" spans="1:4" x14ac:dyDescent="0.2">
      <c r="A1258" s="146"/>
      <c r="D1258" s="496"/>
    </row>
    <row r="1259" spans="1:4" x14ac:dyDescent="0.2">
      <c r="A1259" s="146"/>
      <c r="D1259" s="496"/>
    </row>
    <row r="1260" spans="1:4" x14ac:dyDescent="0.2">
      <c r="A1260" s="146"/>
      <c r="D1260" s="496"/>
    </row>
    <row r="1261" spans="1:4" x14ac:dyDescent="0.2">
      <c r="A1261" s="146"/>
      <c r="D1261" s="496"/>
    </row>
    <row r="1262" spans="1:4" x14ac:dyDescent="0.2">
      <c r="A1262" s="146"/>
      <c r="D1262" s="496"/>
    </row>
    <row r="1263" spans="1:4" x14ac:dyDescent="0.2">
      <c r="A1263" s="146"/>
      <c r="D1263" s="496"/>
    </row>
    <row r="1264" spans="1:4" x14ac:dyDescent="0.2">
      <c r="A1264" s="146"/>
      <c r="D1264" s="496"/>
    </row>
    <row r="1265" spans="1:4" x14ac:dyDescent="0.2">
      <c r="A1265" s="146"/>
      <c r="D1265" s="496"/>
    </row>
    <row r="1266" spans="1:4" x14ac:dyDescent="0.2">
      <c r="A1266" s="146"/>
      <c r="D1266" s="496"/>
    </row>
    <row r="1267" spans="1:4" x14ac:dyDescent="0.2">
      <c r="A1267" s="146"/>
      <c r="D1267" s="496"/>
    </row>
    <row r="1268" spans="1:4" x14ac:dyDescent="0.2">
      <c r="A1268" s="146"/>
      <c r="D1268" s="496"/>
    </row>
    <row r="1269" spans="1:4" x14ac:dyDescent="0.2">
      <c r="A1269" s="146"/>
      <c r="D1269" s="496"/>
    </row>
    <row r="1270" spans="1:4" x14ac:dyDescent="0.2">
      <c r="A1270" s="146"/>
      <c r="D1270" s="496"/>
    </row>
    <row r="1271" spans="1:4" x14ac:dyDescent="0.2">
      <c r="A1271" s="146"/>
      <c r="D1271" s="496"/>
    </row>
    <row r="1272" spans="1:4" x14ac:dyDescent="0.2">
      <c r="A1272" s="146"/>
      <c r="D1272" s="496"/>
    </row>
    <row r="1273" spans="1:4" x14ac:dyDescent="0.2">
      <c r="A1273" s="146"/>
      <c r="D1273" s="496"/>
    </row>
    <row r="1274" spans="1:4" x14ac:dyDescent="0.2">
      <c r="A1274" s="146"/>
      <c r="D1274" s="496"/>
    </row>
    <row r="1275" spans="1:4" x14ac:dyDescent="0.2">
      <c r="A1275" s="146"/>
      <c r="D1275" s="496"/>
    </row>
    <row r="1276" spans="1:4" x14ac:dyDescent="0.2">
      <c r="A1276" s="146"/>
      <c r="D1276" s="496"/>
    </row>
    <row r="1277" spans="1:4" x14ac:dyDescent="0.2">
      <c r="A1277" s="146"/>
      <c r="D1277" s="496"/>
    </row>
    <row r="1278" spans="1:4" x14ac:dyDescent="0.2">
      <c r="A1278" s="146"/>
      <c r="D1278" s="496"/>
    </row>
    <row r="1279" spans="1:4" x14ac:dyDescent="0.2">
      <c r="A1279" s="146"/>
      <c r="D1279" s="496"/>
    </row>
    <row r="1280" spans="1:4" x14ac:dyDescent="0.2">
      <c r="A1280" s="146"/>
      <c r="D1280" s="496"/>
    </row>
    <row r="1281" spans="1:4" x14ac:dyDescent="0.2">
      <c r="A1281" s="146"/>
      <c r="D1281" s="496"/>
    </row>
    <row r="1282" spans="1:4" x14ac:dyDescent="0.2">
      <c r="A1282" s="146"/>
      <c r="D1282" s="496"/>
    </row>
    <row r="1283" spans="1:4" x14ac:dyDescent="0.2">
      <c r="A1283" s="146"/>
      <c r="D1283" s="496"/>
    </row>
    <row r="1284" spans="1:4" x14ac:dyDescent="0.2">
      <c r="A1284" s="146"/>
      <c r="D1284" s="496"/>
    </row>
    <row r="1285" spans="1:4" x14ac:dyDescent="0.2">
      <c r="A1285" s="146"/>
      <c r="D1285" s="496"/>
    </row>
    <row r="1286" spans="1:4" x14ac:dyDescent="0.2">
      <c r="A1286" s="146"/>
      <c r="D1286" s="496"/>
    </row>
    <row r="1287" spans="1:4" x14ac:dyDescent="0.2">
      <c r="A1287" s="146"/>
      <c r="D1287" s="496"/>
    </row>
    <row r="1288" spans="1:4" x14ac:dyDescent="0.2">
      <c r="A1288" s="146"/>
      <c r="D1288" s="496"/>
    </row>
    <row r="1289" spans="1:4" x14ac:dyDescent="0.2">
      <c r="A1289" s="146"/>
      <c r="D1289" s="496"/>
    </row>
    <row r="1290" spans="1:4" x14ac:dyDescent="0.2">
      <c r="A1290" s="146"/>
      <c r="D1290" s="496"/>
    </row>
    <row r="1291" spans="1:4" x14ac:dyDescent="0.2">
      <c r="A1291" s="146"/>
      <c r="D1291" s="496"/>
    </row>
    <row r="1292" spans="1:4" x14ac:dyDescent="0.2">
      <c r="A1292" s="146"/>
      <c r="D1292" s="496"/>
    </row>
    <row r="1293" spans="1:4" x14ac:dyDescent="0.2">
      <c r="A1293" s="146"/>
      <c r="D1293" s="496"/>
    </row>
    <row r="1294" spans="1:4" x14ac:dyDescent="0.2">
      <c r="A1294" s="146"/>
      <c r="D1294" s="496"/>
    </row>
    <row r="1295" spans="1:4" x14ac:dyDescent="0.2">
      <c r="A1295" s="146"/>
      <c r="D1295" s="496"/>
    </row>
    <row r="1296" spans="1:4" x14ac:dyDescent="0.2">
      <c r="A1296" s="146"/>
      <c r="D1296" s="496"/>
    </row>
    <row r="1297" spans="1:4" x14ac:dyDescent="0.2">
      <c r="A1297" s="146"/>
      <c r="D1297" s="496"/>
    </row>
    <row r="1298" spans="1:4" x14ac:dyDescent="0.2">
      <c r="A1298" s="146"/>
      <c r="D1298" s="496"/>
    </row>
    <row r="1299" spans="1:4" x14ac:dyDescent="0.2">
      <c r="A1299" s="146"/>
      <c r="D1299" s="496"/>
    </row>
    <row r="1300" spans="1:4" x14ac:dyDescent="0.2">
      <c r="A1300" s="146"/>
      <c r="D1300" s="496"/>
    </row>
    <row r="1301" spans="1:4" x14ac:dyDescent="0.2">
      <c r="A1301" s="146"/>
      <c r="D1301" s="496"/>
    </row>
    <row r="1302" spans="1:4" x14ac:dyDescent="0.2">
      <c r="A1302" s="146"/>
      <c r="D1302" s="496"/>
    </row>
    <row r="1303" spans="1:4" x14ac:dyDescent="0.2">
      <c r="A1303" s="146"/>
      <c r="D1303" s="496"/>
    </row>
    <row r="1304" spans="1:4" x14ac:dyDescent="0.2">
      <c r="A1304" s="146"/>
      <c r="D1304" s="496"/>
    </row>
    <row r="1305" spans="1:4" x14ac:dyDescent="0.2">
      <c r="A1305" s="146"/>
      <c r="D1305" s="496"/>
    </row>
    <row r="1306" spans="1:4" x14ac:dyDescent="0.2">
      <c r="A1306" s="146"/>
      <c r="D1306" s="496"/>
    </row>
    <row r="1307" spans="1:4" x14ac:dyDescent="0.2">
      <c r="A1307" s="146"/>
      <c r="D1307" s="496"/>
    </row>
    <row r="1308" spans="1:4" x14ac:dyDescent="0.2">
      <c r="A1308" s="146"/>
      <c r="D1308" s="496"/>
    </row>
    <row r="1309" spans="1:4" x14ac:dyDescent="0.2">
      <c r="A1309" s="146"/>
      <c r="D1309" s="496"/>
    </row>
    <row r="1310" spans="1:4" x14ac:dyDescent="0.2">
      <c r="A1310" s="146"/>
      <c r="D1310" s="496"/>
    </row>
    <row r="1311" spans="1:4" x14ac:dyDescent="0.2">
      <c r="A1311" s="146"/>
      <c r="D1311" s="496"/>
    </row>
    <row r="1312" spans="1:4" x14ac:dyDescent="0.2">
      <c r="A1312" s="146"/>
      <c r="D1312" s="496"/>
    </row>
    <row r="1313" spans="1:4" x14ac:dyDescent="0.2">
      <c r="A1313" s="146"/>
      <c r="D1313" s="496"/>
    </row>
    <row r="1314" spans="1:4" x14ac:dyDescent="0.2">
      <c r="A1314" s="146"/>
      <c r="D1314" s="496"/>
    </row>
    <row r="1315" spans="1:4" x14ac:dyDescent="0.2">
      <c r="A1315" s="146"/>
      <c r="D1315" s="496"/>
    </row>
    <row r="1316" spans="1:4" x14ac:dyDescent="0.2">
      <c r="A1316" s="146"/>
      <c r="D1316" s="496"/>
    </row>
    <row r="1317" spans="1:4" x14ac:dyDescent="0.2">
      <c r="A1317" s="146"/>
      <c r="D1317" s="496"/>
    </row>
    <row r="1318" spans="1:4" x14ac:dyDescent="0.2">
      <c r="A1318" s="146"/>
      <c r="D1318" s="496"/>
    </row>
    <row r="1319" spans="1:4" x14ac:dyDescent="0.2">
      <c r="A1319" s="146"/>
      <c r="D1319" s="496"/>
    </row>
    <row r="1320" spans="1:4" x14ac:dyDescent="0.2">
      <c r="A1320" s="146"/>
      <c r="D1320" s="496"/>
    </row>
    <row r="1321" spans="1:4" x14ac:dyDescent="0.2">
      <c r="A1321" s="146"/>
      <c r="D1321" s="496"/>
    </row>
    <row r="1322" spans="1:4" x14ac:dyDescent="0.2">
      <c r="A1322" s="146"/>
      <c r="D1322" s="496"/>
    </row>
    <row r="1323" spans="1:4" x14ac:dyDescent="0.2">
      <c r="A1323" s="146"/>
      <c r="D1323" s="496"/>
    </row>
    <row r="1324" spans="1:4" x14ac:dyDescent="0.2">
      <c r="A1324" s="146"/>
      <c r="D1324" s="496"/>
    </row>
    <row r="1325" spans="1:4" x14ac:dyDescent="0.2">
      <c r="A1325" s="146"/>
      <c r="D1325" s="496"/>
    </row>
    <row r="1326" spans="1:4" x14ac:dyDescent="0.2">
      <c r="A1326" s="146"/>
      <c r="D1326" s="496"/>
    </row>
    <row r="1327" spans="1:4" x14ac:dyDescent="0.2">
      <c r="A1327" s="146"/>
      <c r="D1327" s="496"/>
    </row>
    <row r="1328" spans="1:4" x14ac:dyDescent="0.2">
      <c r="A1328" s="146"/>
      <c r="D1328" s="496"/>
    </row>
    <row r="1329" spans="1:4" x14ac:dyDescent="0.2">
      <c r="A1329" s="146"/>
      <c r="D1329" s="496"/>
    </row>
    <row r="1330" spans="1:4" x14ac:dyDescent="0.2">
      <c r="A1330" s="146"/>
      <c r="D1330" s="496"/>
    </row>
    <row r="1331" spans="1:4" x14ac:dyDescent="0.2">
      <c r="A1331" s="146"/>
      <c r="D1331" s="496"/>
    </row>
    <row r="1332" spans="1:4" x14ac:dyDescent="0.2">
      <c r="A1332" s="146"/>
      <c r="D1332" s="496"/>
    </row>
    <row r="1333" spans="1:4" x14ac:dyDescent="0.2">
      <c r="A1333" s="146"/>
      <c r="D1333" s="496"/>
    </row>
    <row r="1334" spans="1:4" x14ac:dyDescent="0.2">
      <c r="A1334" s="146"/>
      <c r="D1334" s="496"/>
    </row>
    <row r="1335" spans="1:4" x14ac:dyDescent="0.2">
      <c r="A1335" s="146"/>
      <c r="D1335" s="496"/>
    </row>
    <row r="1336" spans="1:4" x14ac:dyDescent="0.2">
      <c r="A1336" s="146"/>
      <c r="D1336" s="496"/>
    </row>
    <row r="1337" spans="1:4" x14ac:dyDescent="0.2">
      <c r="A1337" s="146"/>
      <c r="D1337" s="496"/>
    </row>
    <row r="1338" spans="1:4" x14ac:dyDescent="0.2">
      <c r="A1338" s="146"/>
      <c r="D1338" s="496"/>
    </row>
    <row r="1339" spans="1:4" x14ac:dyDescent="0.2">
      <c r="A1339" s="146"/>
      <c r="D1339" s="496"/>
    </row>
    <row r="1340" spans="1:4" x14ac:dyDescent="0.2">
      <c r="A1340" s="146"/>
      <c r="D1340" s="496"/>
    </row>
    <row r="1341" spans="1:4" x14ac:dyDescent="0.2">
      <c r="A1341" s="146"/>
      <c r="D1341" s="496"/>
    </row>
    <row r="1342" spans="1:4" x14ac:dyDescent="0.2">
      <c r="A1342" s="146"/>
      <c r="D1342" s="496"/>
    </row>
    <row r="1343" spans="1:4" x14ac:dyDescent="0.2">
      <c r="A1343" s="146"/>
      <c r="D1343" s="496"/>
    </row>
    <row r="1344" spans="1:4" x14ac:dyDescent="0.2">
      <c r="A1344" s="146"/>
      <c r="D1344" s="496"/>
    </row>
    <row r="1345" spans="1:4" x14ac:dyDescent="0.2">
      <c r="A1345" s="146"/>
      <c r="D1345" s="496"/>
    </row>
    <row r="1346" spans="1:4" x14ac:dyDescent="0.2">
      <c r="A1346" s="146"/>
      <c r="D1346" s="496"/>
    </row>
    <row r="1347" spans="1:4" x14ac:dyDescent="0.2">
      <c r="A1347" s="146"/>
      <c r="D1347" s="496"/>
    </row>
    <row r="1348" spans="1:4" x14ac:dyDescent="0.2">
      <c r="A1348" s="146"/>
      <c r="D1348" s="496"/>
    </row>
    <row r="1349" spans="1:4" x14ac:dyDescent="0.2">
      <c r="A1349" s="146"/>
      <c r="D1349" s="496"/>
    </row>
    <row r="1350" spans="1:4" x14ac:dyDescent="0.2">
      <c r="A1350" s="146"/>
      <c r="D1350" s="496"/>
    </row>
    <row r="1351" spans="1:4" x14ac:dyDescent="0.2">
      <c r="A1351" s="146"/>
      <c r="D1351" s="496"/>
    </row>
    <row r="1352" spans="1:4" x14ac:dyDescent="0.2">
      <c r="A1352" s="146"/>
      <c r="D1352" s="496"/>
    </row>
    <row r="1353" spans="1:4" x14ac:dyDescent="0.2">
      <c r="A1353" s="146"/>
      <c r="D1353" s="496"/>
    </row>
    <row r="1354" spans="1:4" x14ac:dyDescent="0.2">
      <c r="A1354" s="146"/>
      <c r="D1354" s="496"/>
    </row>
    <row r="1355" spans="1:4" x14ac:dyDescent="0.2">
      <c r="A1355" s="146"/>
      <c r="D1355" s="496"/>
    </row>
    <row r="1356" spans="1:4" x14ac:dyDescent="0.2">
      <c r="A1356" s="146"/>
      <c r="D1356" s="496"/>
    </row>
    <row r="1357" spans="1:4" x14ac:dyDescent="0.2">
      <c r="A1357" s="146"/>
      <c r="D1357" s="496"/>
    </row>
    <row r="1358" spans="1:4" x14ac:dyDescent="0.2">
      <c r="A1358" s="146"/>
      <c r="D1358" s="496"/>
    </row>
    <row r="1359" spans="1:4" x14ac:dyDescent="0.2">
      <c r="A1359" s="146"/>
      <c r="D1359" s="496"/>
    </row>
    <row r="1360" spans="1:4" x14ac:dyDescent="0.2">
      <c r="A1360" s="146"/>
      <c r="D1360" s="496"/>
    </row>
    <row r="1361" spans="1:4" x14ac:dyDescent="0.2">
      <c r="A1361" s="146"/>
      <c r="D1361" s="496"/>
    </row>
    <row r="1362" spans="1:4" x14ac:dyDescent="0.2">
      <c r="A1362" s="146"/>
      <c r="D1362" s="496"/>
    </row>
    <row r="1363" spans="1:4" x14ac:dyDescent="0.2">
      <c r="A1363" s="146"/>
      <c r="D1363" s="496"/>
    </row>
    <row r="1364" spans="1:4" x14ac:dyDescent="0.2">
      <c r="A1364" s="146"/>
      <c r="D1364" s="496"/>
    </row>
    <row r="1365" spans="1:4" x14ac:dyDescent="0.2">
      <c r="A1365" s="146"/>
      <c r="D1365" s="496"/>
    </row>
    <row r="1366" spans="1:4" x14ac:dyDescent="0.2">
      <c r="A1366" s="146"/>
      <c r="D1366" s="496"/>
    </row>
    <row r="1367" spans="1:4" x14ac:dyDescent="0.2">
      <c r="A1367" s="146"/>
      <c r="D1367" s="496"/>
    </row>
    <row r="1368" spans="1:4" x14ac:dyDescent="0.2">
      <c r="A1368" s="146"/>
      <c r="D1368" s="496"/>
    </row>
    <row r="1369" spans="1:4" x14ac:dyDescent="0.2">
      <c r="A1369" s="146"/>
      <c r="D1369" s="496"/>
    </row>
    <row r="1370" spans="1:4" x14ac:dyDescent="0.2">
      <c r="A1370" s="146"/>
      <c r="D1370" s="496"/>
    </row>
    <row r="1371" spans="1:4" x14ac:dyDescent="0.2">
      <c r="A1371" s="146"/>
      <c r="D1371" s="496"/>
    </row>
    <row r="1372" spans="1:4" x14ac:dyDescent="0.2">
      <c r="A1372" s="146"/>
      <c r="D1372" s="496"/>
    </row>
    <row r="1373" spans="1:4" x14ac:dyDescent="0.2">
      <c r="A1373" s="146"/>
      <c r="D1373" s="496"/>
    </row>
    <row r="1374" spans="1:4" x14ac:dyDescent="0.2">
      <c r="A1374" s="146"/>
      <c r="D1374" s="496"/>
    </row>
    <row r="1375" spans="1:4" x14ac:dyDescent="0.2">
      <c r="A1375" s="146"/>
      <c r="D1375" s="496"/>
    </row>
    <row r="1376" spans="1:4" x14ac:dyDescent="0.2">
      <c r="A1376" s="146"/>
      <c r="D1376" s="496"/>
    </row>
    <row r="1377" spans="1:4" x14ac:dyDescent="0.2">
      <c r="A1377" s="146"/>
      <c r="D1377" s="496"/>
    </row>
    <row r="1378" spans="1:4" x14ac:dyDescent="0.2">
      <c r="A1378" s="146"/>
      <c r="D1378" s="496"/>
    </row>
    <row r="1379" spans="1:4" x14ac:dyDescent="0.2">
      <c r="A1379" s="146"/>
      <c r="D1379" s="496"/>
    </row>
    <row r="1380" spans="1:4" x14ac:dyDescent="0.2">
      <c r="A1380" s="146"/>
      <c r="D1380" s="496"/>
    </row>
    <row r="1381" spans="1:4" x14ac:dyDescent="0.2">
      <c r="A1381" s="146"/>
      <c r="D1381" s="496"/>
    </row>
    <row r="1382" spans="1:4" x14ac:dyDescent="0.2">
      <c r="A1382" s="146"/>
      <c r="D1382" s="496"/>
    </row>
    <row r="1383" spans="1:4" x14ac:dyDescent="0.2">
      <c r="A1383" s="146"/>
      <c r="D1383" s="496"/>
    </row>
    <row r="1384" spans="1:4" x14ac:dyDescent="0.2">
      <c r="A1384" s="146"/>
      <c r="D1384" s="496"/>
    </row>
    <row r="1385" spans="1:4" x14ac:dyDescent="0.2">
      <c r="A1385" s="146"/>
      <c r="D1385" s="496"/>
    </row>
    <row r="1386" spans="1:4" x14ac:dyDescent="0.2">
      <c r="A1386" s="146"/>
      <c r="D1386" s="496"/>
    </row>
    <row r="1387" spans="1:4" x14ac:dyDescent="0.2">
      <c r="A1387" s="146"/>
      <c r="D1387" s="496"/>
    </row>
    <row r="1388" spans="1:4" x14ac:dyDescent="0.2">
      <c r="A1388" s="146"/>
      <c r="D1388" s="496"/>
    </row>
    <row r="1389" spans="1:4" x14ac:dyDescent="0.2">
      <c r="A1389" s="146"/>
      <c r="D1389" s="496"/>
    </row>
    <row r="1390" spans="1:4" x14ac:dyDescent="0.2">
      <c r="A1390" s="146"/>
      <c r="D1390" s="496"/>
    </row>
    <row r="1391" spans="1:4" x14ac:dyDescent="0.2">
      <c r="A1391" s="146"/>
      <c r="D1391" s="496"/>
    </row>
    <row r="1392" spans="1:4" x14ac:dyDescent="0.2">
      <c r="A1392" s="146"/>
      <c r="D1392" s="496"/>
    </row>
    <row r="1393" spans="1:4" x14ac:dyDescent="0.2">
      <c r="A1393" s="146"/>
      <c r="D1393" s="496"/>
    </row>
    <row r="1394" spans="1:4" x14ac:dyDescent="0.2">
      <c r="A1394" s="146"/>
      <c r="D1394" s="496"/>
    </row>
    <row r="1395" spans="1:4" x14ac:dyDescent="0.2">
      <c r="A1395" s="146"/>
      <c r="D1395" s="496"/>
    </row>
    <row r="1396" spans="1:4" x14ac:dyDescent="0.2">
      <c r="A1396" s="146"/>
      <c r="D1396" s="496"/>
    </row>
    <row r="1397" spans="1:4" x14ac:dyDescent="0.2">
      <c r="A1397" s="146"/>
      <c r="D1397" s="496"/>
    </row>
    <row r="1398" spans="1:4" x14ac:dyDescent="0.2">
      <c r="A1398" s="146"/>
      <c r="D1398" s="496"/>
    </row>
    <row r="1399" spans="1:4" x14ac:dyDescent="0.2">
      <c r="A1399" s="146"/>
      <c r="D1399" s="496"/>
    </row>
    <row r="1400" spans="1:4" x14ac:dyDescent="0.2">
      <c r="A1400" s="146"/>
      <c r="D1400" s="496"/>
    </row>
    <row r="1401" spans="1:4" x14ac:dyDescent="0.2">
      <c r="A1401" s="146"/>
      <c r="D1401" s="496"/>
    </row>
    <row r="1402" spans="1:4" x14ac:dyDescent="0.2">
      <c r="A1402" s="146"/>
      <c r="D1402" s="496"/>
    </row>
    <row r="1403" spans="1:4" x14ac:dyDescent="0.2">
      <c r="A1403" s="146"/>
      <c r="D1403" s="496"/>
    </row>
    <row r="1404" spans="1:4" x14ac:dyDescent="0.2">
      <c r="A1404" s="146"/>
      <c r="D1404" s="496"/>
    </row>
    <row r="1405" spans="1:4" x14ac:dyDescent="0.2">
      <c r="A1405" s="146"/>
      <c r="D1405" s="496"/>
    </row>
    <row r="1406" spans="1:4" x14ac:dyDescent="0.2">
      <c r="A1406" s="146"/>
      <c r="D1406" s="496"/>
    </row>
    <row r="1407" spans="1:4" x14ac:dyDescent="0.2">
      <c r="A1407" s="146"/>
      <c r="D1407" s="496"/>
    </row>
    <row r="1408" spans="1:4" x14ac:dyDescent="0.2">
      <c r="A1408" s="146"/>
      <c r="D1408" s="496"/>
    </row>
    <row r="1409" spans="1:4" x14ac:dyDescent="0.2">
      <c r="A1409" s="146"/>
      <c r="D1409" s="496"/>
    </row>
    <row r="1410" spans="1:4" x14ac:dyDescent="0.2">
      <c r="A1410" s="146"/>
      <c r="D1410" s="496"/>
    </row>
    <row r="1411" spans="1:4" x14ac:dyDescent="0.2">
      <c r="A1411" s="146"/>
      <c r="D1411" s="496"/>
    </row>
    <row r="1412" spans="1:4" x14ac:dyDescent="0.2">
      <c r="A1412" s="146"/>
      <c r="D1412" s="496"/>
    </row>
    <row r="1413" spans="1:4" x14ac:dyDescent="0.2">
      <c r="A1413" s="146"/>
      <c r="D1413" s="496"/>
    </row>
    <row r="1414" spans="1:4" x14ac:dyDescent="0.2">
      <c r="A1414" s="146"/>
      <c r="D1414" s="496"/>
    </row>
    <row r="1415" spans="1:4" x14ac:dyDescent="0.2">
      <c r="A1415" s="146"/>
      <c r="D1415" s="496"/>
    </row>
    <row r="1416" spans="1:4" x14ac:dyDescent="0.2">
      <c r="A1416" s="146"/>
      <c r="D1416" s="496"/>
    </row>
    <row r="1417" spans="1:4" x14ac:dyDescent="0.2">
      <c r="A1417" s="146"/>
      <c r="D1417" s="496"/>
    </row>
    <row r="1418" spans="1:4" x14ac:dyDescent="0.2">
      <c r="A1418" s="146"/>
      <c r="D1418" s="496"/>
    </row>
    <row r="1419" spans="1:4" x14ac:dyDescent="0.2">
      <c r="A1419" s="146"/>
      <c r="D1419" s="496"/>
    </row>
    <row r="1420" spans="1:4" x14ac:dyDescent="0.2">
      <c r="A1420" s="146"/>
      <c r="D1420" s="496"/>
    </row>
    <row r="1421" spans="1:4" x14ac:dyDescent="0.2">
      <c r="A1421" s="146"/>
      <c r="D1421" s="496"/>
    </row>
    <row r="1422" spans="1:4" x14ac:dyDescent="0.2">
      <c r="A1422" s="146"/>
      <c r="D1422" s="496"/>
    </row>
    <row r="1423" spans="1:4" x14ac:dyDescent="0.2">
      <c r="A1423" s="146"/>
      <c r="D1423" s="496"/>
    </row>
    <row r="1424" spans="1:4" x14ac:dyDescent="0.2">
      <c r="A1424" s="146"/>
      <c r="D1424" s="496"/>
    </row>
    <row r="1425" spans="1:4" x14ac:dyDescent="0.2">
      <c r="A1425" s="146"/>
      <c r="D1425" s="496"/>
    </row>
    <row r="1426" spans="1:4" x14ac:dyDescent="0.2">
      <c r="A1426" s="146"/>
      <c r="D1426" s="496"/>
    </row>
    <row r="1427" spans="1:4" x14ac:dyDescent="0.2">
      <c r="A1427" s="146"/>
      <c r="D1427" s="496"/>
    </row>
    <row r="1428" spans="1:4" x14ac:dyDescent="0.2">
      <c r="A1428" s="146"/>
      <c r="D1428" s="496"/>
    </row>
    <row r="1429" spans="1:4" x14ac:dyDescent="0.2">
      <c r="A1429" s="146"/>
      <c r="D1429" s="496"/>
    </row>
    <row r="1430" spans="1:4" x14ac:dyDescent="0.2">
      <c r="A1430" s="146"/>
      <c r="D1430" s="496"/>
    </row>
    <row r="1431" spans="1:4" x14ac:dyDescent="0.2">
      <c r="A1431" s="146"/>
      <c r="D1431" s="496"/>
    </row>
    <row r="1432" spans="1:4" x14ac:dyDescent="0.2">
      <c r="A1432" s="146"/>
      <c r="D1432" s="496"/>
    </row>
    <row r="1433" spans="1:4" x14ac:dyDescent="0.2">
      <c r="A1433" s="146"/>
      <c r="D1433" s="496"/>
    </row>
    <row r="1434" spans="1:4" x14ac:dyDescent="0.2">
      <c r="A1434" s="146"/>
      <c r="D1434" s="496"/>
    </row>
    <row r="1435" spans="1:4" x14ac:dyDescent="0.2">
      <c r="A1435" s="146"/>
      <c r="D1435" s="496"/>
    </row>
    <row r="1436" spans="1:4" x14ac:dyDescent="0.2">
      <c r="A1436" s="146"/>
      <c r="D1436" s="496"/>
    </row>
    <row r="1437" spans="1:4" x14ac:dyDescent="0.2">
      <c r="A1437" s="146"/>
      <c r="D1437" s="496"/>
    </row>
    <row r="1438" spans="1:4" x14ac:dyDescent="0.2">
      <c r="A1438" s="146"/>
      <c r="D1438" s="496"/>
    </row>
    <row r="1439" spans="1:4" x14ac:dyDescent="0.2">
      <c r="A1439" s="146"/>
      <c r="D1439" s="496"/>
    </row>
    <row r="1440" spans="1:4" x14ac:dyDescent="0.2">
      <c r="A1440" s="146"/>
      <c r="D1440" s="496"/>
    </row>
    <row r="1441" spans="1:4" x14ac:dyDescent="0.2">
      <c r="A1441" s="146"/>
      <c r="D1441" s="496"/>
    </row>
    <row r="1442" spans="1:4" x14ac:dyDescent="0.2">
      <c r="A1442" s="146"/>
      <c r="D1442" s="496"/>
    </row>
    <row r="1443" spans="1:4" x14ac:dyDescent="0.2">
      <c r="A1443" s="146"/>
      <c r="D1443" s="496"/>
    </row>
    <row r="1444" spans="1:4" x14ac:dyDescent="0.2">
      <c r="A1444" s="146"/>
      <c r="D1444" s="496"/>
    </row>
    <row r="1445" spans="1:4" x14ac:dyDescent="0.2">
      <c r="A1445" s="146"/>
      <c r="D1445" s="496"/>
    </row>
    <row r="1446" spans="1:4" x14ac:dyDescent="0.2">
      <c r="A1446" s="146"/>
      <c r="D1446" s="496"/>
    </row>
    <row r="1447" spans="1:4" x14ac:dyDescent="0.2">
      <c r="A1447" s="146"/>
      <c r="D1447" s="496"/>
    </row>
    <row r="1448" spans="1:4" x14ac:dyDescent="0.2">
      <c r="A1448" s="146"/>
      <c r="D1448" s="496"/>
    </row>
    <row r="1449" spans="1:4" x14ac:dyDescent="0.2">
      <c r="A1449" s="146"/>
      <c r="D1449" s="496"/>
    </row>
    <row r="1450" spans="1:4" x14ac:dyDescent="0.2">
      <c r="A1450" s="146"/>
      <c r="D1450" s="496"/>
    </row>
    <row r="1451" spans="1:4" x14ac:dyDescent="0.2">
      <c r="A1451" s="146"/>
      <c r="D1451" s="496"/>
    </row>
    <row r="1452" spans="1:4" x14ac:dyDescent="0.2">
      <c r="A1452" s="146"/>
      <c r="D1452" s="496"/>
    </row>
    <row r="1453" spans="1:4" x14ac:dyDescent="0.2">
      <c r="A1453" s="146"/>
      <c r="D1453" s="496"/>
    </row>
    <row r="1454" spans="1:4" x14ac:dyDescent="0.2">
      <c r="A1454" s="146"/>
      <c r="D1454" s="496"/>
    </row>
    <row r="1455" spans="1:4" x14ac:dyDescent="0.2">
      <c r="A1455" s="146"/>
      <c r="D1455" s="496"/>
    </row>
    <row r="1456" spans="1:4" x14ac:dyDescent="0.2">
      <c r="A1456" s="146"/>
      <c r="D1456" s="496"/>
    </row>
    <row r="1457" spans="1:4" x14ac:dyDescent="0.2">
      <c r="A1457" s="146"/>
      <c r="D1457" s="496"/>
    </row>
    <row r="1458" spans="1:4" x14ac:dyDescent="0.2">
      <c r="A1458" s="146"/>
      <c r="D1458" s="496"/>
    </row>
    <row r="1459" spans="1:4" x14ac:dyDescent="0.2">
      <c r="A1459" s="146"/>
      <c r="D1459" s="496"/>
    </row>
    <row r="1460" spans="1:4" x14ac:dyDescent="0.2">
      <c r="A1460" s="146"/>
      <c r="D1460" s="496"/>
    </row>
    <row r="1461" spans="1:4" x14ac:dyDescent="0.2">
      <c r="A1461" s="146"/>
      <c r="D1461" s="496"/>
    </row>
    <row r="1462" spans="1:4" x14ac:dyDescent="0.2">
      <c r="A1462" s="146"/>
      <c r="D1462" s="496"/>
    </row>
    <row r="1463" spans="1:4" x14ac:dyDescent="0.2">
      <c r="A1463" s="146"/>
      <c r="D1463" s="496"/>
    </row>
    <row r="1464" spans="1:4" x14ac:dyDescent="0.2">
      <c r="A1464" s="146"/>
      <c r="D1464" s="496"/>
    </row>
    <row r="1465" spans="1:4" x14ac:dyDescent="0.2">
      <c r="A1465" s="146"/>
      <c r="D1465" s="496"/>
    </row>
    <row r="1466" spans="1:4" x14ac:dyDescent="0.2">
      <c r="A1466" s="146"/>
      <c r="D1466" s="496"/>
    </row>
    <row r="1467" spans="1:4" x14ac:dyDescent="0.2">
      <c r="A1467" s="146"/>
      <c r="D1467" s="496"/>
    </row>
    <row r="1468" spans="1:4" x14ac:dyDescent="0.2">
      <c r="A1468" s="146"/>
      <c r="D1468" s="496"/>
    </row>
    <row r="1469" spans="1:4" x14ac:dyDescent="0.2">
      <c r="A1469" s="146"/>
      <c r="D1469" s="496"/>
    </row>
    <row r="1470" spans="1:4" x14ac:dyDescent="0.2">
      <c r="A1470" s="146"/>
      <c r="D1470" s="496"/>
    </row>
    <row r="1471" spans="1:4" x14ac:dyDescent="0.2">
      <c r="A1471" s="146"/>
      <c r="D1471" s="496"/>
    </row>
    <row r="1472" spans="1:4" x14ac:dyDescent="0.2">
      <c r="A1472" s="146"/>
      <c r="D1472" s="496"/>
    </row>
    <row r="1473" spans="1:4" x14ac:dyDescent="0.2">
      <c r="A1473" s="146"/>
      <c r="D1473" s="496"/>
    </row>
    <row r="1474" spans="1:4" x14ac:dyDescent="0.2">
      <c r="A1474" s="146"/>
      <c r="D1474" s="496"/>
    </row>
    <row r="1475" spans="1:4" x14ac:dyDescent="0.2">
      <c r="A1475" s="146"/>
      <c r="D1475" s="496"/>
    </row>
    <row r="1476" spans="1:4" x14ac:dyDescent="0.2">
      <c r="A1476" s="146"/>
      <c r="D1476" s="496"/>
    </row>
    <row r="1477" spans="1:4" x14ac:dyDescent="0.2">
      <c r="A1477" s="146"/>
      <c r="D1477" s="496"/>
    </row>
    <row r="1478" spans="1:4" x14ac:dyDescent="0.2">
      <c r="A1478" s="146"/>
      <c r="D1478" s="496"/>
    </row>
    <row r="1479" spans="1:4" x14ac:dyDescent="0.2">
      <c r="A1479" s="146"/>
      <c r="D1479" s="496"/>
    </row>
    <row r="1480" spans="1:4" x14ac:dyDescent="0.2">
      <c r="A1480" s="146"/>
      <c r="D1480" s="496"/>
    </row>
    <row r="1481" spans="1:4" x14ac:dyDescent="0.2">
      <c r="A1481" s="146"/>
      <c r="D1481" s="496"/>
    </row>
    <row r="1482" spans="1:4" x14ac:dyDescent="0.2">
      <c r="A1482" s="146"/>
      <c r="D1482" s="496"/>
    </row>
    <row r="1483" spans="1:4" x14ac:dyDescent="0.2">
      <c r="A1483" s="146"/>
      <c r="D1483" s="496"/>
    </row>
    <row r="1484" spans="1:4" x14ac:dyDescent="0.2">
      <c r="A1484" s="146"/>
      <c r="D1484" s="496"/>
    </row>
    <row r="1485" spans="1:4" x14ac:dyDescent="0.2">
      <c r="A1485" s="146"/>
      <c r="D1485" s="496"/>
    </row>
    <row r="1486" spans="1:4" x14ac:dyDescent="0.2">
      <c r="A1486" s="146"/>
      <c r="D1486" s="496"/>
    </row>
    <row r="1487" spans="1:4" x14ac:dyDescent="0.2">
      <c r="A1487" s="146"/>
      <c r="D1487" s="496"/>
    </row>
    <row r="1488" spans="1:4" x14ac:dyDescent="0.2">
      <c r="A1488" s="146"/>
      <c r="D1488" s="496"/>
    </row>
    <row r="1489" spans="1:4" x14ac:dyDescent="0.2">
      <c r="A1489" s="146"/>
      <c r="D1489" s="496"/>
    </row>
    <row r="1490" spans="1:4" x14ac:dyDescent="0.2">
      <c r="A1490" s="146"/>
      <c r="D1490" s="496"/>
    </row>
    <row r="1491" spans="1:4" x14ac:dyDescent="0.2">
      <c r="A1491" s="146"/>
      <c r="D1491" s="496"/>
    </row>
    <row r="1492" spans="1:4" x14ac:dyDescent="0.2">
      <c r="A1492" s="146"/>
      <c r="D1492" s="496"/>
    </row>
    <row r="1493" spans="1:4" x14ac:dyDescent="0.2">
      <c r="A1493" s="146"/>
      <c r="D1493" s="496"/>
    </row>
    <row r="1494" spans="1:4" x14ac:dyDescent="0.2">
      <c r="A1494" s="146"/>
      <c r="D1494" s="496"/>
    </row>
    <row r="1495" spans="1:4" x14ac:dyDescent="0.2">
      <c r="A1495" s="146"/>
      <c r="D1495" s="496"/>
    </row>
    <row r="1496" spans="1:4" x14ac:dyDescent="0.2">
      <c r="A1496" s="146"/>
      <c r="D1496" s="496"/>
    </row>
    <row r="1497" spans="1:4" x14ac:dyDescent="0.2">
      <c r="A1497" s="146"/>
      <c r="D1497" s="496"/>
    </row>
    <row r="1498" spans="1:4" x14ac:dyDescent="0.2">
      <c r="A1498" s="146"/>
      <c r="D1498" s="496"/>
    </row>
    <row r="1499" spans="1:4" x14ac:dyDescent="0.2">
      <c r="A1499" s="146"/>
      <c r="D1499" s="496"/>
    </row>
    <row r="1500" spans="1:4" x14ac:dyDescent="0.2">
      <c r="A1500" s="146"/>
      <c r="D1500" s="496"/>
    </row>
    <row r="1501" spans="1:4" x14ac:dyDescent="0.2">
      <c r="A1501" s="146"/>
      <c r="D1501" s="496"/>
    </row>
    <row r="1502" spans="1:4" x14ac:dyDescent="0.2">
      <c r="A1502" s="146"/>
      <c r="D1502" s="496"/>
    </row>
    <row r="1503" spans="1:4" x14ac:dyDescent="0.2">
      <c r="A1503" s="146"/>
      <c r="D1503" s="496"/>
    </row>
    <row r="1504" spans="1:4" x14ac:dyDescent="0.2">
      <c r="A1504" s="146"/>
      <c r="D1504" s="496"/>
    </row>
    <row r="1505" spans="1:4" x14ac:dyDescent="0.2">
      <c r="A1505" s="146"/>
      <c r="D1505" s="496"/>
    </row>
    <row r="1506" spans="1:4" x14ac:dyDescent="0.2">
      <c r="A1506" s="146"/>
      <c r="D1506" s="496"/>
    </row>
    <row r="1507" spans="1:4" x14ac:dyDescent="0.2">
      <c r="A1507" s="146"/>
      <c r="D1507" s="496"/>
    </row>
    <row r="1508" spans="1:4" x14ac:dyDescent="0.2">
      <c r="A1508" s="146"/>
      <c r="D1508" s="496"/>
    </row>
    <row r="1509" spans="1:4" x14ac:dyDescent="0.2">
      <c r="A1509" s="146"/>
      <c r="D1509" s="496"/>
    </row>
    <row r="1510" spans="1:4" x14ac:dyDescent="0.2">
      <c r="A1510" s="146"/>
      <c r="D1510" s="496"/>
    </row>
    <row r="1511" spans="1:4" x14ac:dyDescent="0.2">
      <c r="A1511" s="146"/>
      <c r="D1511" s="496"/>
    </row>
    <row r="1512" spans="1:4" x14ac:dyDescent="0.2">
      <c r="A1512" s="146"/>
      <c r="D1512" s="496"/>
    </row>
    <row r="1513" spans="1:4" x14ac:dyDescent="0.2">
      <c r="A1513" s="146"/>
      <c r="D1513" s="496"/>
    </row>
    <row r="1514" spans="1:4" x14ac:dyDescent="0.2">
      <c r="A1514" s="146"/>
      <c r="D1514" s="496"/>
    </row>
    <row r="1515" spans="1:4" x14ac:dyDescent="0.2">
      <c r="A1515" s="146"/>
      <c r="D1515" s="496"/>
    </row>
    <row r="1516" spans="1:4" x14ac:dyDescent="0.2">
      <c r="A1516" s="146"/>
      <c r="D1516" s="496"/>
    </row>
    <row r="1517" spans="1:4" x14ac:dyDescent="0.2">
      <c r="A1517" s="146"/>
      <c r="D1517" s="496"/>
    </row>
    <row r="1518" spans="1:4" x14ac:dyDescent="0.2">
      <c r="A1518" s="146"/>
      <c r="D1518" s="496"/>
    </row>
    <row r="1519" spans="1:4" x14ac:dyDescent="0.2">
      <c r="A1519" s="146"/>
      <c r="D1519" s="496"/>
    </row>
    <row r="1520" spans="1:4" x14ac:dyDescent="0.2">
      <c r="A1520" s="146"/>
      <c r="D1520" s="496"/>
    </row>
    <row r="1521" spans="1:4" x14ac:dyDescent="0.2">
      <c r="A1521" s="146"/>
      <c r="D1521" s="496"/>
    </row>
    <row r="1522" spans="1:4" x14ac:dyDescent="0.2">
      <c r="A1522" s="146"/>
      <c r="D1522" s="496"/>
    </row>
    <row r="1523" spans="1:4" x14ac:dyDescent="0.2">
      <c r="A1523" s="146"/>
      <c r="D1523" s="496"/>
    </row>
    <row r="1524" spans="1:4" x14ac:dyDescent="0.2">
      <c r="A1524" s="146"/>
      <c r="D1524" s="496"/>
    </row>
    <row r="1525" spans="1:4" x14ac:dyDescent="0.2">
      <c r="A1525" s="146"/>
      <c r="D1525" s="496"/>
    </row>
    <row r="1526" spans="1:4" x14ac:dyDescent="0.2">
      <c r="A1526" s="146"/>
      <c r="D1526" s="496"/>
    </row>
    <row r="1527" spans="1:4" x14ac:dyDescent="0.2">
      <c r="A1527" s="146"/>
      <c r="D1527" s="496"/>
    </row>
    <row r="1528" spans="1:4" x14ac:dyDescent="0.2">
      <c r="A1528" s="146"/>
      <c r="D1528" s="496"/>
    </row>
    <row r="1529" spans="1:4" x14ac:dyDescent="0.2">
      <c r="A1529" s="146"/>
      <c r="D1529" s="496"/>
    </row>
    <row r="1530" spans="1:4" x14ac:dyDescent="0.2">
      <c r="A1530" s="146"/>
      <c r="D1530" s="496"/>
    </row>
    <row r="1531" spans="1:4" x14ac:dyDescent="0.2">
      <c r="A1531" s="146"/>
      <c r="D1531" s="496"/>
    </row>
    <row r="1532" spans="1:4" x14ac:dyDescent="0.2">
      <c r="A1532" s="146"/>
      <c r="D1532" s="496"/>
    </row>
    <row r="1533" spans="1:4" x14ac:dyDescent="0.2">
      <c r="A1533" s="146"/>
      <c r="D1533" s="496"/>
    </row>
    <row r="1534" spans="1:4" x14ac:dyDescent="0.2">
      <c r="A1534" s="146"/>
      <c r="D1534" s="496"/>
    </row>
    <row r="1535" spans="1:4" x14ac:dyDescent="0.2">
      <c r="A1535" s="146"/>
      <c r="D1535" s="496"/>
    </row>
    <row r="1536" spans="1:4" x14ac:dyDescent="0.2">
      <c r="A1536" s="146"/>
      <c r="D1536" s="496"/>
    </row>
    <row r="1537" spans="1:4" x14ac:dyDescent="0.2">
      <c r="A1537" s="146"/>
      <c r="D1537" s="496"/>
    </row>
    <row r="1538" spans="1:4" x14ac:dyDescent="0.2">
      <c r="A1538" s="146"/>
      <c r="D1538" s="496"/>
    </row>
    <row r="1539" spans="1:4" x14ac:dyDescent="0.2">
      <c r="A1539" s="146"/>
      <c r="D1539" s="496"/>
    </row>
    <row r="1540" spans="1:4" x14ac:dyDescent="0.2">
      <c r="A1540" s="146"/>
      <c r="D1540" s="496"/>
    </row>
    <row r="1541" spans="1:4" x14ac:dyDescent="0.2">
      <c r="A1541" s="146"/>
      <c r="D1541" s="496"/>
    </row>
    <row r="1542" spans="1:4" x14ac:dyDescent="0.2">
      <c r="A1542" s="146"/>
      <c r="D1542" s="496"/>
    </row>
    <row r="1543" spans="1:4" x14ac:dyDescent="0.2">
      <c r="A1543" s="146"/>
      <c r="D1543" s="496"/>
    </row>
    <row r="1544" spans="1:4" x14ac:dyDescent="0.2">
      <c r="A1544" s="146"/>
      <c r="D1544" s="496"/>
    </row>
    <row r="1545" spans="1:4" x14ac:dyDescent="0.2">
      <c r="A1545" s="146"/>
      <c r="D1545" s="496"/>
    </row>
    <row r="1546" spans="1:4" x14ac:dyDescent="0.2">
      <c r="A1546" s="146"/>
      <c r="D1546" s="496"/>
    </row>
    <row r="1547" spans="1:4" x14ac:dyDescent="0.2">
      <c r="A1547" s="146"/>
      <c r="D1547" s="496"/>
    </row>
    <row r="1548" spans="1:4" x14ac:dyDescent="0.2">
      <c r="A1548" s="146"/>
      <c r="D1548" s="496"/>
    </row>
    <row r="1549" spans="1:4" x14ac:dyDescent="0.2">
      <c r="A1549" s="146"/>
      <c r="D1549" s="496"/>
    </row>
    <row r="1550" spans="1:4" x14ac:dyDescent="0.2">
      <c r="A1550" s="146"/>
      <c r="D1550" s="496"/>
    </row>
    <row r="1551" spans="1:4" x14ac:dyDescent="0.2">
      <c r="A1551" s="146"/>
      <c r="D1551" s="496"/>
    </row>
    <row r="1552" spans="1:4" x14ac:dyDescent="0.2">
      <c r="A1552" s="146"/>
      <c r="D1552" s="496"/>
    </row>
    <row r="1553" spans="1:4" x14ac:dyDescent="0.2">
      <c r="A1553" s="146"/>
      <c r="D1553" s="496"/>
    </row>
    <row r="1554" spans="1:4" x14ac:dyDescent="0.2">
      <c r="A1554" s="146"/>
      <c r="D1554" s="496"/>
    </row>
    <row r="1555" spans="1:4" x14ac:dyDescent="0.2">
      <c r="A1555" s="146"/>
      <c r="D1555" s="496"/>
    </row>
    <row r="1556" spans="1:4" x14ac:dyDescent="0.2">
      <c r="A1556" s="146"/>
      <c r="D1556" s="496"/>
    </row>
    <row r="1557" spans="1:4" x14ac:dyDescent="0.2">
      <c r="A1557" s="146"/>
      <c r="D1557" s="496"/>
    </row>
    <row r="1558" spans="1:4" x14ac:dyDescent="0.2">
      <c r="A1558" s="146"/>
      <c r="D1558" s="496"/>
    </row>
    <row r="1559" spans="1:4" x14ac:dyDescent="0.2">
      <c r="A1559" s="146"/>
      <c r="D1559" s="496"/>
    </row>
    <row r="1560" spans="1:4" x14ac:dyDescent="0.2">
      <c r="A1560" s="146"/>
      <c r="D1560" s="496"/>
    </row>
    <row r="1561" spans="1:4" x14ac:dyDescent="0.2">
      <c r="A1561" s="146"/>
      <c r="D1561" s="496"/>
    </row>
    <row r="1562" spans="1:4" x14ac:dyDescent="0.2">
      <c r="A1562" s="146"/>
      <c r="D1562" s="496"/>
    </row>
    <row r="1563" spans="1:4" x14ac:dyDescent="0.2">
      <c r="A1563" s="146"/>
      <c r="D1563" s="496"/>
    </row>
    <row r="1564" spans="1:4" x14ac:dyDescent="0.2">
      <c r="A1564" s="146"/>
      <c r="D1564" s="496"/>
    </row>
    <row r="1565" spans="1:4" x14ac:dyDescent="0.2">
      <c r="A1565" s="146"/>
      <c r="D1565" s="496"/>
    </row>
    <row r="1566" spans="1:4" x14ac:dyDescent="0.2">
      <c r="A1566" s="146"/>
      <c r="D1566" s="496"/>
    </row>
    <row r="1567" spans="1:4" x14ac:dyDescent="0.2">
      <c r="A1567" s="146"/>
      <c r="D1567" s="496"/>
    </row>
    <row r="1568" spans="1:4" x14ac:dyDescent="0.2">
      <c r="A1568" s="146"/>
      <c r="D1568" s="496"/>
    </row>
    <row r="1569" spans="1:4" x14ac:dyDescent="0.2">
      <c r="A1569" s="146"/>
      <c r="D1569" s="496"/>
    </row>
    <row r="1570" spans="1:4" x14ac:dyDescent="0.2">
      <c r="A1570" s="146"/>
      <c r="D1570" s="496"/>
    </row>
    <row r="1571" spans="1:4" x14ac:dyDescent="0.2">
      <c r="A1571" s="146"/>
      <c r="D1571" s="496"/>
    </row>
    <row r="1572" spans="1:4" x14ac:dyDescent="0.2">
      <c r="A1572" s="146"/>
      <c r="D1572" s="496"/>
    </row>
    <row r="1573" spans="1:4" x14ac:dyDescent="0.2">
      <c r="A1573" s="146"/>
      <c r="D1573" s="496"/>
    </row>
    <row r="1574" spans="1:4" x14ac:dyDescent="0.2">
      <c r="A1574" s="146"/>
      <c r="D1574" s="496"/>
    </row>
    <row r="1575" spans="1:4" x14ac:dyDescent="0.2">
      <c r="A1575" s="146"/>
      <c r="D1575" s="496"/>
    </row>
    <row r="1576" spans="1:4" x14ac:dyDescent="0.2">
      <c r="A1576" s="146"/>
      <c r="D1576" s="496"/>
    </row>
    <row r="1577" spans="1:4" x14ac:dyDescent="0.2">
      <c r="A1577" s="146"/>
      <c r="D1577" s="496"/>
    </row>
    <row r="1578" spans="1:4" x14ac:dyDescent="0.2">
      <c r="A1578" s="146"/>
      <c r="D1578" s="496"/>
    </row>
    <row r="1579" spans="1:4" x14ac:dyDescent="0.2">
      <c r="A1579" s="146"/>
      <c r="D1579" s="496"/>
    </row>
    <row r="1580" spans="1:4" x14ac:dyDescent="0.2">
      <c r="A1580" s="146"/>
      <c r="D1580" s="496"/>
    </row>
    <row r="1581" spans="1:4" x14ac:dyDescent="0.2">
      <c r="A1581" s="146"/>
      <c r="D1581" s="496"/>
    </row>
    <row r="1582" spans="1:4" x14ac:dyDescent="0.2">
      <c r="A1582" s="146"/>
      <c r="D1582" s="496"/>
    </row>
    <row r="1583" spans="1:4" x14ac:dyDescent="0.2">
      <c r="A1583" s="146"/>
      <c r="D1583" s="496"/>
    </row>
    <row r="1584" spans="1:4" x14ac:dyDescent="0.2">
      <c r="A1584" s="146"/>
      <c r="D1584" s="496"/>
    </row>
    <row r="1585" spans="1:4" x14ac:dyDescent="0.2">
      <c r="A1585" s="146"/>
      <c r="D1585" s="496"/>
    </row>
    <row r="1586" spans="1:4" x14ac:dyDescent="0.2">
      <c r="A1586" s="146"/>
      <c r="D1586" s="496"/>
    </row>
    <row r="1587" spans="1:4" x14ac:dyDescent="0.2">
      <c r="A1587" s="146"/>
      <c r="D1587" s="496"/>
    </row>
    <row r="1588" spans="1:4" x14ac:dyDescent="0.2">
      <c r="A1588" s="146"/>
      <c r="D1588" s="496"/>
    </row>
    <row r="1589" spans="1:4" x14ac:dyDescent="0.2">
      <c r="A1589" s="146"/>
      <c r="D1589" s="496"/>
    </row>
    <row r="1590" spans="1:4" x14ac:dyDescent="0.2">
      <c r="A1590" s="146"/>
      <c r="D1590" s="496"/>
    </row>
    <row r="1591" spans="1:4" x14ac:dyDescent="0.2">
      <c r="A1591" s="146"/>
      <c r="D1591" s="496"/>
    </row>
    <row r="1592" spans="1:4" x14ac:dyDescent="0.2">
      <c r="A1592" s="146"/>
      <c r="D1592" s="496"/>
    </row>
    <row r="1593" spans="1:4" x14ac:dyDescent="0.2">
      <c r="A1593" s="146"/>
      <c r="D1593" s="496"/>
    </row>
    <row r="1594" spans="1:4" x14ac:dyDescent="0.2">
      <c r="A1594" s="146"/>
      <c r="D1594" s="496"/>
    </row>
    <row r="1595" spans="1:4" x14ac:dyDescent="0.2">
      <c r="A1595" s="146"/>
      <c r="D1595" s="496"/>
    </row>
    <row r="1596" spans="1:4" x14ac:dyDescent="0.2">
      <c r="A1596" s="146"/>
      <c r="D1596" s="496"/>
    </row>
    <row r="1597" spans="1:4" x14ac:dyDescent="0.2">
      <c r="A1597" s="146"/>
      <c r="D1597" s="496"/>
    </row>
    <row r="1598" spans="1:4" x14ac:dyDescent="0.2">
      <c r="A1598" s="146"/>
      <c r="D1598" s="496"/>
    </row>
    <row r="1599" spans="1:4" x14ac:dyDescent="0.2">
      <c r="A1599" s="146"/>
      <c r="D1599" s="496"/>
    </row>
    <row r="1600" spans="1:4" x14ac:dyDescent="0.2">
      <c r="A1600" s="146"/>
      <c r="D1600" s="496"/>
    </row>
    <row r="1601" spans="1:4" x14ac:dyDescent="0.2">
      <c r="A1601" s="146"/>
      <c r="D1601" s="496"/>
    </row>
    <row r="1602" spans="1:4" x14ac:dyDescent="0.2">
      <c r="A1602" s="146"/>
      <c r="D1602" s="496"/>
    </row>
    <row r="1603" spans="1:4" x14ac:dyDescent="0.2">
      <c r="A1603" s="146"/>
      <c r="D1603" s="496"/>
    </row>
    <row r="1604" spans="1:4" x14ac:dyDescent="0.2">
      <c r="A1604" s="146"/>
      <c r="D1604" s="496"/>
    </row>
    <row r="1605" spans="1:4" x14ac:dyDescent="0.2">
      <c r="A1605" s="146"/>
      <c r="D1605" s="496"/>
    </row>
    <row r="1606" spans="1:4" x14ac:dyDescent="0.2">
      <c r="A1606" s="146"/>
      <c r="D1606" s="496"/>
    </row>
    <row r="1607" spans="1:4" x14ac:dyDescent="0.2">
      <c r="A1607" s="146"/>
      <c r="D1607" s="496"/>
    </row>
    <row r="1608" spans="1:4" x14ac:dyDescent="0.2">
      <c r="A1608" s="146"/>
      <c r="D1608" s="496"/>
    </row>
    <row r="1609" spans="1:4" x14ac:dyDescent="0.2">
      <c r="A1609" s="146"/>
      <c r="D1609" s="496"/>
    </row>
    <row r="1610" spans="1:4" x14ac:dyDescent="0.2">
      <c r="A1610" s="146"/>
      <c r="D1610" s="496"/>
    </row>
    <row r="1611" spans="1:4" x14ac:dyDescent="0.2">
      <c r="A1611" s="146"/>
      <c r="D1611" s="496"/>
    </row>
    <row r="1612" spans="1:4" x14ac:dyDescent="0.2">
      <c r="A1612" s="146"/>
      <c r="D1612" s="496"/>
    </row>
    <row r="1613" spans="1:4" x14ac:dyDescent="0.2">
      <c r="A1613" s="146"/>
      <c r="D1613" s="496"/>
    </row>
    <row r="1614" spans="1:4" x14ac:dyDescent="0.2">
      <c r="A1614" s="146"/>
      <c r="D1614" s="496"/>
    </row>
    <row r="1615" spans="1:4" x14ac:dyDescent="0.2">
      <c r="A1615" s="146"/>
      <c r="D1615" s="496"/>
    </row>
    <row r="1616" spans="1:4" x14ac:dyDescent="0.2">
      <c r="A1616" s="146"/>
      <c r="D1616" s="496"/>
    </row>
    <row r="1617" spans="1:4" x14ac:dyDescent="0.2">
      <c r="A1617" s="146"/>
      <c r="D1617" s="496"/>
    </row>
    <row r="1618" spans="1:4" x14ac:dyDescent="0.2">
      <c r="A1618" s="146"/>
      <c r="D1618" s="496"/>
    </row>
    <row r="1619" spans="1:4" x14ac:dyDescent="0.2">
      <c r="A1619" s="146"/>
      <c r="D1619" s="496"/>
    </row>
    <row r="1620" spans="1:4" x14ac:dyDescent="0.2">
      <c r="A1620" s="146"/>
      <c r="D1620" s="496"/>
    </row>
    <row r="1621" spans="1:4" x14ac:dyDescent="0.2">
      <c r="A1621" s="146"/>
      <c r="D1621" s="496"/>
    </row>
    <row r="1622" spans="1:4" x14ac:dyDescent="0.2">
      <c r="A1622" s="146"/>
      <c r="D1622" s="496"/>
    </row>
    <row r="1623" spans="1:4" x14ac:dyDescent="0.2">
      <c r="A1623" s="146"/>
      <c r="D1623" s="496"/>
    </row>
    <row r="1624" spans="1:4" x14ac:dyDescent="0.2">
      <c r="A1624" s="146"/>
      <c r="D1624" s="496"/>
    </row>
    <row r="1625" spans="1:4" x14ac:dyDescent="0.2">
      <c r="A1625" s="146"/>
      <c r="D1625" s="496"/>
    </row>
    <row r="1626" spans="1:4" x14ac:dyDescent="0.2">
      <c r="A1626" s="146"/>
      <c r="D1626" s="496"/>
    </row>
    <row r="1627" spans="1:4" x14ac:dyDescent="0.2">
      <c r="A1627" s="146"/>
      <c r="D1627" s="496"/>
    </row>
    <row r="1628" spans="1:4" x14ac:dyDescent="0.2">
      <c r="A1628" s="146"/>
      <c r="D1628" s="496"/>
    </row>
    <row r="1629" spans="1:4" x14ac:dyDescent="0.2">
      <c r="A1629" s="146"/>
      <c r="D1629" s="496"/>
    </row>
    <row r="1630" spans="1:4" x14ac:dyDescent="0.2">
      <c r="A1630" s="146"/>
      <c r="D1630" s="496"/>
    </row>
    <row r="1631" spans="1:4" x14ac:dyDescent="0.2">
      <c r="A1631" s="146"/>
      <c r="D1631" s="496"/>
    </row>
    <row r="1632" spans="1:4" x14ac:dyDescent="0.2">
      <c r="A1632" s="146"/>
      <c r="D1632" s="496"/>
    </row>
    <row r="1633" spans="1:4" x14ac:dyDescent="0.2">
      <c r="A1633" s="146"/>
      <c r="D1633" s="496"/>
    </row>
    <row r="1634" spans="1:4" x14ac:dyDescent="0.2">
      <c r="A1634" s="146"/>
      <c r="D1634" s="496"/>
    </row>
    <row r="1635" spans="1:4" x14ac:dyDescent="0.2">
      <c r="A1635" s="146"/>
      <c r="D1635" s="496"/>
    </row>
    <row r="1636" spans="1:4" x14ac:dyDescent="0.2">
      <c r="A1636" s="146"/>
      <c r="D1636" s="496"/>
    </row>
    <row r="1637" spans="1:4" x14ac:dyDescent="0.2">
      <c r="A1637" s="146"/>
      <c r="D1637" s="496"/>
    </row>
    <row r="1638" spans="1:4" x14ac:dyDescent="0.2">
      <c r="A1638" s="146"/>
      <c r="D1638" s="496"/>
    </row>
    <row r="1639" spans="1:4" x14ac:dyDescent="0.2">
      <c r="A1639" s="146"/>
      <c r="D1639" s="496"/>
    </row>
    <row r="1640" spans="1:4" x14ac:dyDescent="0.2">
      <c r="A1640" s="146"/>
      <c r="D1640" s="496"/>
    </row>
    <row r="1641" spans="1:4" x14ac:dyDescent="0.2">
      <c r="A1641" s="146"/>
      <c r="D1641" s="496"/>
    </row>
    <row r="1642" spans="1:4" x14ac:dyDescent="0.2">
      <c r="A1642" s="146"/>
      <c r="D1642" s="496"/>
    </row>
    <row r="1643" spans="1:4" x14ac:dyDescent="0.2">
      <c r="A1643" s="146"/>
      <c r="D1643" s="496"/>
    </row>
    <row r="1644" spans="1:4" x14ac:dyDescent="0.2">
      <c r="A1644" s="146"/>
      <c r="D1644" s="496"/>
    </row>
    <row r="1645" spans="1:4" x14ac:dyDescent="0.2">
      <c r="A1645" s="146"/>
      <c r="D1645" s="496"/>
    </row>
    <row r="1646" spans="1:4" x14ac:dyDescent="0.2">
      <c r="A1646" s="146"/>
      <c r="D1646" s="496"/>
    </row>
    <row r="1647" spans="1:4" x14ac:dyDescent="0.2">
      <c r="A1647" s="146"/>
      <c r="D1647" s="496"/>
    </row>
    <row r="1648" spans="1:4" x14ac:dyDescent="0.2">
      <c r="A1648" s="146"/>
      <c r="D1648" s="496"/>
    </row>
    <row r="1649" spans="1:4" x14ac:dyDescent="0.2">
      <c r="A1649" s="146"/>
      <c r="D1649" s="496"/>
    </row>
    <row r="1650" spans="1:4" x14ac:dyDescent="0.2">
      <c r="A1650" s="146"/>
      <c r="D1650" s="496"/>
    </row>
    <row r="1651" spans="1:4" x14ac:dyDescent="0.2">
      <c r="A1651" s="146"/>
      <c r="D1651" s="496"/>
    </row>
    <row r="1652" spans="1:4" x14ac:dyDescent="0.2">
      <c r="A1652" s="146"/>
      <c r="D1652" s="496"/>
    </row>
    <row r="1653" spans="1:4" x14ac:dyDescent="0.2">
      <c r="A1653" s="146"/>
      <c r="D1653" s="496"/>
    </row>
    <row r="1654" spans="1:4" x14ac:dyDescent="0.2">
      <c r="A1654" s="146"/>
      <c r="D1654" s="496"/>
    </row>
    <row r="1655" spans="1:4" x14ac:dyDescent="0.2">
      <c r="A1655" s="146"/>
      <c r="D1655" s="496"/>
    </row>
    <row r="1656" spans="1:4" x14ac:dyDescent="0.2">
      <c r="A1656" s="146"/>
      <c r="D1656" s="496"/>
    </row>
    <row r="1657" spans="1:4" x14ac:dyDescent="0.2">
      <c r="A1657" s="146"/>
      <c r="D1657" s="496"/>
    </row>
    <row r="1658" spans="1:4" x14ac:dyDescent="0.2">
      <c r="A1658" s="146"/>
      <c r="D1658" s="496"/>
    </row>
    <row r="1659" spans="1:4" x14ac:dyDescent="0.2">
      <c r="A1659" s="146"/>
      <c r="D1659" s="496"/>
    </row>
    <row r="1660" spans="1:4" x14ac:dyDescent="0.2">
      <c r="A1660" s="146"/>
      <c r="D1660" s="496"/>
    </row>
    <row r="1661" spans="1:4" x14ac:dyDescent="0.2">
      <c r="A1661" s="146"/>
      <c r="D1661" s="496"/>
    </row>
    <row r="1662" spans="1:4" x14ac:dyDescent="0.2">
      <c r="A1662" s="146"/>
      <c r="D1662" s="496"/>
    </row>
    <row r="1663" spans="1:4" x14ac:dyDescent="0.2">
      <c r="A1663" s="146"/>
      <c r="D1663" s="496"/>
    </row>
    <row r="1664" spans="1:4" x14ac:dyDescent="0.2">
      <c r="A1664" s="146"/>
      <c r="D1664" s="496"/>
    </row>
    <row r="1665" spans="1:4" x14ac:dyDescent="0.2">
      <c r="A1665" s="146"/>
      <c r="D1665" s="496"/>
    </row>
    <row r="1666" spans="1:4" x14ac:dyDescent="0.2">
      <c r="A1666" s="146"/>
      <c r="D1666" s="496"/>
    </row>
    <row r="1667" spans="1:4" x14ac:dyDescent="0.2">
      <c r="A1667" s="146"/>
      <c r="D1667" s="496"/>
    </row>
    <row r="1668" spans="1:4" x14ac:dyDescent="0.2">
      <c r="A1668" s="146"/>
      <c r="D1668" s="496"/>
    </row>
    <row r="1669" spans="1:4" x14ac:dyDescent="0.2">
      <c r="A1669" s="146"/>
      <c r="D1669" s="496"/>
    </row>
    <row r="1670" spans="1:4" x14ac:dyDescent="0.2">
      <c r="A1670" s="146"/>
      <c r="D1670" s="496"/>
    </row>
    <row r="1671" spans="1:4" x14ac:dyDescent="0.2">
      <c r="A1671" s="146"/>
      <c r="D1671" s="496"/>
    </row>
    <row r="1672" spans="1:4" x14ac:dyDescent="0.2">
      <c r="A1672" s="146"/>
      <c r="D1672" s="496"/>
    </row>
    <row r="1673" spans="1:4" x14ac:dyDescent="0.2">
      <c r="A1673" s="146"/>
      <c r="D1673" s="496"/>
    </row>
    <row r="1674" spans="1:4" x14ac:dyDescent="0.2">
      <c r="A1674" s="146"/>
      <c r="D1674" s="496"/>
    </row>
    <row r="1675" spans="1:4" x14ac:dyDescent="0.2">
      <c r="A1675" s="146"/>
      <c r="D1675" s="496"/>
    </row>
    <row r="1676" spans="1:4" x14ac:dyDescent="0.2">
      <c r="A1676" s="146"/>
      <c r="D1676" s="496"/>
    </row>
    <row r="1677" spans="1:4" x14ac:dyDescent="0.2">
      <c r="A1677" s="146"/>
      <c r="D1677" s="496"/>
    </row>
    <row r="1678" spans="1:4" x14ac:dyDescent="0.2">
      <c r="A1678" s="146"/>
      <c r="D1678" s="496"/>
    </row>
    <row r="1679" spans="1:4" x14ac:dyDescent="0.2">
      <c r="A1679" s="146"/>
      <c r="D1679" s="496"/>
    </row>
    <row r="1680" spans="1:4" x14ac:dyDescent="0.2">
      <c r="A1680" s="146"/>
      <c r="D1680" s="496"/>
    </row>
    <row r="1681" spans="1:4" x14ac:dyDescent="0.2">
      <c r="A1681" s="146"/>
      <c r="D1681" s="496"/>
    </row>
    <row r="1682" spans="1:4" x14ac:dyDescent="0.2">
      <c r="A1682" s="146"/>
      <c r="D1682" s="496"/>
    </row>
    <row r="1683" spans="1:4" x14ac:dyDescent="0.2">
      <c r="A1683" s="146"/>
      <c r="D1683" s="496"/>
    </row>
    <row r="1684" spans="1:4" x14ac:dyDescent="0.2">
      <c r="A1684" s="146"/>
      <c r="D1684" s="496"/>
    </row>
    <row r="1685" spans="1:4" x14ac:dyDescent="0.2">
      <c r="A1685" s="146"/>
      <c r="D1685" s="496"/>
    </row>
    <row r="1686" spans="1:4" x14ac:dyDescent="0.2">
      <c r="A1686" s="146"/>
      <c r="D1686" s="496"/>
    </row>
    <row r="1687" spans="1:4" x14ac:dyDescent="0.2">
      <c r="A1687" s="146"/>
      <c r="D1687" s="496"/>
    </row>
    <row r="1688" spans="1:4" x14ac:dyDescent="0.2">
      <c r="A1688" s="146"/>
      <c r="D1688" s="496"/>
    </row>
    <row r="1689" spans="1:4" x14ac:dyDescent="0.2">
      <c r="A1689" s="146"/>
      <c r="D1689" s="496"/>
    </row>
    <row r="1690" spans="1:4" x14ac:dyDescent="0.2">
      <c r="A1690" s="146"/>
      <c r="D1690" s="496"/>
    </row>
    <row r="1691" spans="1:4" x14ac:dyDescent="0.2">
      <c r="A1691" s="146"/>
      <c r="D1691" s="496"/>
    </row>
    <row r="1692" spans="1:4" x14ac:dyDescent="0.2">
      <c r="A1692" s="146"/>
      <c r="D1692" s="496"/>
    </row>
    <row r="1693" spans="1:4" x14ac:dyDescent="0.2">
      <c r="A1693" s="146"/>
      <c r="D1693" s="496"/>
    </row>
    <row r="1694" spans="1:4" x14ac:dyDescent="0.2">
      <c r="A1694" s="146"/>
      <c r="D1694" s="496"/>
    </row>
    <row r="1695" spans="1:4" x14ac:dyDescent="0.2">
      <c r="A1695" s="146"/>
      <c r="D1695" s="496"/>
    </row>
    <row r="1696" spans="1:4" x14ac:dyDescent="0.2">
      <c r="A1696" s="146"/>
      <c r="D1696" s="496"/>
    </row>
    <row r="1697" spans="1:4" x14ac:dyDescent="0.2">
      <c r="A1697" s="146"/>
      <c r="D1697" s="496"/>
    </row>
    <row r="1698" spans="1:4" x14ac:dyDescent="0.2">
      <c r="A1698" s="146"/>
      <c r="D1698" s="496"/>
    </row>
    <row r="1699" spans="1:4" x14ac:dyDescent="0.2">
      <c r="A1699" s="146"/>
      <c r="D1699" s="496"/>
    </row>
    <row r="1700" spans="1:4" x14ac:dyDescent="0.2">
      <c r="A1700" s="146"/>
      <c r="D1700" s="496"/>
    </row>
    <row r="1701" spans="1:4" x14ac:dyDescent="0.2">
      <c r="A1701" s="146"/>
      <c r="D1701" s="496"/>
    </row>
    <row r="1702" spans="1:4" x14ac:dyDescent="0.2">
      <c r="A1702" s="146"/>
      <c r="D1702" s="496"/>
    </row>
    <row r="1703" spans="1:4" x14ac:dyDescent="0.2">
      <c r="A1703" s="146"/>
      <c r="D1703" s="496"/>
    </row>
    <row r="1704" spans="1:4" x14ac:dyDescent="0.2">
      <c r="A1704" s="146"/>
      <c r="D1704" s="496"/>
    </row>
    <row r="1705" spans="1:4" x14ac:dyDescent="0.2">
      <c r="A1705" s="146"/>
      <c r="D1705" s="496"/>
    </row>
    <row r="1706" spans="1:4" x14ac:dyDescent="0.2">
      <c r="A1706" s="146"/>
      <c r="D1706" s="496"/>
    </row>
    <row r="1707" spans="1:4" x14ac:dyDescent="0.2">
      <c r="A1707" s="146"/>
      <c r="D1707" s="496"/>
    </row>
    <row r="1708" spans="1:4" x14ac:dyDescent="0.2">
      <c r="A1708" s="146"/>
      <c r="D1708" s="496"/>
    </row>
    <row r="1709" spans="1:4" x14ac:dyDescent="0.2">
      <c r="A1709" s="146"/>
      <c r="D1709" s="496"/>
    </row>
    <row r="1710" spans="1:4" x14ac:dyDescent="0.2">
      <c r="A1710" s="146"/>
      <c r="D1710" s="496"/>
    </row>
    <row r="1711" spans="1:4" x14ac:dyDescent="0.2">
      <c r="A1711" s="146"/>
      <c r="D1711" s="496"/>
    </row>
    <row r="1712" spans="1:4" x14ac:dyDescent="0.2">
      <c r="A1712" s="146"/>
      <c r="D1712" s="496"/>
    </row>
    <row r="1713" spans="1:4" x14ac:dyDescent="0.2">
      <c r="A1713" s="146"/>
      <c r="D1713" s="496"/>
    </row>
    <row r="1714" spans="1:4" x14ac:dyDescent="0.2">
      <c r="A1714" s="146"/>
      <c r="D1714" s="496"/>
    </row>
    <row r="1715" spans="1:4" x14ac:dyDescent="0.2">
      <c r="A1715" s="146"/>
      <c r="D1715" s="496"/>
    </row>
    <row r="1716" spans="1:4" x14ac:dyDescent="0.2">
      <c r="A1716" s="146"/>
      <c r="D1716" s="496"/>
    </row>
    <row r="1717" spans="1:4" x14ac:dyDescent="0.2">
      <c r="A1717" s="146"/>
      <c r="D1717" s="496"/>
    </row>
    <row r="1718" spans="1:4" x14ac:dyDescent="0.2">
      <c r="A1718" s="146"/>
      <c r="D1718" s="496"/>
    </row>
    <row r="1719" spans="1:4" x14ac:dyDescent="0.2">
      <c r="A1719" s="146"/>
      <c r="D1719" s="496"/>
    </row>
    <row r="1720" spans="1:4" x14ac:dyDescent="0.2">
      <c r="A1720" s="146"/>
      <c r="D1720" s="496"/>
    </row>
    <row r="1721" spans="1:4" x14ac:dyDescent="0.2">
      <c r="A1721" s="146"/>
      <c r="D1721" s="496"/>
    </row>
    <row r="1722" spans="1:4" x14ac:dyDescent="0.2">
      <c r="A1722" s="146"/>
      <c r="D1722" s="496"/>
    </row>
    <row r="1723" spans="1:4" x14ac:dyDescent="0.2">
      <c r="A1723" s="146"/>
      <c r="D1723" s="496"/>
    </row>
    <row r="1724" spans="1:4" x14ac:dyDescent="0.2">
      <c r="A1724" s="146"/>
      <c r="D1724" s="496"/>
    </row>
    <row r="1725" spans="1:4" x14ac:dyDescent="0.2">
      <c r="A1725" s="146"/>
      <c r="D1725" s="496"/>
    </row>
    <row r="1726" spans="1:4" x14ac:dyDescent="0.2">
      <c r="A1726" s="146"/>
      <c r="D1726" s="496"/>
    </row>
    <row r="1727" spans="1:4" x14ac:dyDescent="0.2">
      <c r="A1727" s="146"/>
      <c r="D1727" s="496"/>
    </row>
    <row r="1728" spans="1:4" x14ac:dyDescent="0.2">
      <c r="A1728" s="146"/>
      <c r="D1728" s="496"/>
    </row>
    <row r="1729" spans="1:4" x14ac:dyDescent="0.2">
      <c r="A1729" s="146"/>
      <c r="D1729" s="496"/>
    </row>
    <row r="1730" spans="1:4" x14ac:dyDescent="0.2">
      <c r="A1730" s="146"/>
      <c r="D1730" s="496"/>
    </row>
    <row r="1731" spans="1:4" x14ac:dyDescent="0.2">
      <c r="A1731" s="146"/>
      <c r="D1731" s="496"/>
    </row>
    <row r="1732" spans="1:4" x14ac:dyDescent="0.2">
      <c r="A1732" s="146"/>
      <c r="D1732" s="496"/>
    </row>
    <row r="1733" spans="1:4" x14ac:dyDescent="0.2">
      <c r="A1733" s="146"/>
      <c r="D1733" s="496"/>
    </row>
    <row r="1734" spans="1:4" x14ac:dyDescent="0.2">
      <c r="A1734" s="146"/>
      <c r="D1734" s="496"/>
    </row>
    <row r="1735" spans="1:4" x14ac:dyDescent="0.2">
      <c r="A1735" s="146"/>
      <c r="D1735" s="496"/>
    </row>
    <row r="1736" spans="1:4" x14ac:dyDescent="0.2">
      <c r="A1736" s="146"/>
      <c r="D1736" s="496"/>
    </row>
    <row r="1737" spans="1:4" x14ac:dyDescent="0.2">
      <c r="A1737" s="146"/>
      <c r="D1737" s="496"/>
    </row>
    <row r="1738" spans="1:4" x14ac:dyDescent="0.2">
      <c r="A1738" s="146"/>
      <c r="D1738" s="496"/>
    </row>
    <row r="1739" spans="1:4" x14ac:dyDescent="0.2">
      <c r="A1739" s="146"/>
      <c r="D1739" s="496"/>
    </row>
    <row r="1740" spans="1:4" x14ac:dyDescent="0.2">
      <c r="A1740" s="146"/>
      <c r="D1740" s="496"/>
    </row>
    <row r="1741" spans="1:4" x14ac:dyDescent="0.2">
      <c r="A1741" s="146"/>
      <c r="D1741" s="496"/>
    </row>
    <row r="1742" spans="1:4" x14ac:dyDescent="0.2">
      <c r="A1742" s="146"/>
      <c r="D1742" s="496"/>
    </row>
    <row r="1743" spans="1:4" x14ac:dyDescent="0.2">
      <c r="A1743" s="146"/>
      <c r="D1743" s="496"/>
    </row>
    <row r="1744" spans="1:4" x14ac:dyDescent="0.2">
      <c r="A1744" s="146"/>
      <c r="D1744" s="496"/>
    </row>
    <row r="1745" spans="1:4" x14ac:dyDescent="0.2">
      <c r="A1745" s="146"/>
      <c r="D1745" s="496"/>
    </row>
    <row r="1746" spans="1:4" x14ac:dyDescent="0.2">
      <c r="A1746" s="146"/>
      <c r="D1746" s="496"/>
    </row>
    <row r="1747" spans="1:4" x14ac:dyDescent="0.2">
      <c r="A1747" s="146"/>
      <c r="D1747" s="496"/>
    </row>
    <row r="1748" spans="1:4" x14ac:dyDescent="0.2">
      <c r="A1748" s="146"/>
      <c r="D1748" s="496"/>
    </row>
    <row r="1749" spans="1:4" x14ac:dyDescent="0.2">
      <c r="A1749" s="146"/>
      <c r="D1749" s="496"/>
    </row>
    <row r="1750" spans="1:4" x14ac:dyDescent="0.2">
      <c r="A1750" s="146"/>
      <c r="D1750" s="496"/>
    </row>
    <row r="1751" spans="1:4" x14ac:dyDescent="0.2">
      <c r="A1751" s="146"/>
      <c r="D1751" s="496"/>
    </row>
    <row r="1752" spans="1:4" x14ac:dyDescent="0.2">
      <c r="A1752" s="146"/>
      <c r="D1752" s="496"/>
    </row>
    <row r="1753" spans="1:4" x14ac:dyDescent="0.2">
      <c r="A1753" s="146"/>
      <c r="D1753" s="496"/>
    </row>
    <row r="1754" spans="1:4" x14ac:dyDescent="0.2">
      <c r="A1754" s="146"/>
      <c r="D1754" s="496"/>
    </row>
    <row r="1755" spans="1:4" x14ac:dyDescent="0.2">
      <c r="A1755" s="146"/>
      <c r="D1755" s="496"/>
    </row>
    <row r="1756" spans="1:4" x14ac:dyDescent="0.2">
      <c r="A1756" s="146"/>
      <c r="D1756" s="496"/>
    </row>
    <row r="1757" spans="1:4" x14ac:dyDescent="0.2">
      <c r="A1757" s="146"/>
      <c r="D1757" s="496"/>
    </row>
    <row r="1758" spans="1:4" x14ac:dyDescent="0.2">
      <c r="A1758" s="146"/>
      <c r="D1758" s="496"/>
    </row>
    <row r="1759" spans="1:4" x14ac:dyDescent="0.2">
      <c r="A1759" s="146"/>
      <c r="D1759" s="496"/>
    </row>
    <row r="1760" spans="1:4" x14ac:dyDescent="0.2">
      <c r="A1760" s="146"/>
      <c r="D1760" s="496"/>
    </row>
    <row r="1761" spans="1:4" x14ac:dyDescent="0.2">
      <c r="A1761" s="146"/>
      <c r="D1761" s="496"/>
    </row>
    <row r="1762" spans="1:4" x14ac:dyDescent="0.2">
      <c r="A1762" s="146"/>
      <c r="D1762" s="496"/>
    </row>
    <row r="1763" spans="1:4" x14ac:dyDescent="0.2">
      <c r="A1763" s="146"/>
      <c r="D1763" s="496"/>
    </row>
    <row r="1764" spans="1:4" x14ac:dyDescent="0.2">
      <c r="A1764" s="146"/>
      <c r="D1764" s="496"/>
    </row>
    <row r="1765" spans="1:4" x14ac:dyDescent="0.2">
      <c r="A1765" s="146"/>
      <c r="D1765" s="496"/>
    </row>
    <row r="1766" spans="1:4" x14ac:dyDescent="0.2">
      <c r="A1766" s="146"/>
      <c r="D1766" s="496"/>
    </row>
    <row r="1767" spans="1:4" x14ac:dyDescent="0.2">
      <c r="A1767" s="146"/>
      <c r="D1767" s="496"/>
    </row>
    <row r="1768" spans="1:4" x14ac:dyDescent="0.2">
      <c r="A1768" s="146"/>
      <c r="D1768" s="496"/>
    </row>
    <row r="1769" spans="1:4" x14ac:dyDescent="0.2">
      <c r="A1769" s="146"/>
      <c r="D1769" s="496"/>
    </row>
    <row r="1770" spans="1:4" x14ac:dyDescent="0.2">
      <c r="A1770" s="146"/>
      <c r="D1770" s="496"/>
    </row>
    <row r="1771" spans="1:4" x14ac:dyDescent="0.2">
      <c r="A1771" s="146"/>
      <c r="D1771" s="496"/>
    </row>
    <row r="1772" spans="1:4" x14ac:dyDescent="0.2">
      <c r="A1772" s="146"/>
      <c r="D1772" s="496"/>
    </row>
    <row r="1773" spans="1:4" x14ac:dyDescent="0.2">
      <c r="A1773" s="146"/>
      <c r="D1773" s="496"/>
    </row>
    <row r="1774" spans="1:4" x14ac:dyDescent="0.2">
      <c r="A1774" s="146"/>
      <c r="D1774" s="496"/>
    </row>
    <row r="1775" spans="1:4" x14ac:dyDescent="0.2">
      <c r="A1775" s="146"/>
      <c r="D1775" s="496"/>
    </row>
    <row r="1776" spans="1:4" x14ac:dyDescent="0.2">
      <c r="A1776" s="146"/>
      <c r="D1776" s="496"/>
    </row>
    <row r="1777" spans="1:4" x14ac:dyDescent="0.2">
      <c r="A1777" s="146"/>
      <c r="D1777" s="496"/>
    </row>
    <row r="1778" spans="1:4" x14ac:dyDescent="0.2">
      <c r="A1778" s="146"/>
      <c r="D1778" s="496"/>
    </row>
    <row r="1779" spans="1:4" x14ac:dyDescent="0.2">
      <c r="A1779" s="146"/>
      <c r="D1779" s="496"/>
    </row>
    <row r="1780" spans="1:4" x14ac:dyDescent="0.2">
      <c r="A1780" s="146"/>
      <c r="D1780" s="496"/>
    </row>
    <row r="1781" spans="1:4" x14ac:dyDescent="0.2">
      <c r="A1781" s="146"/>
      <c r="D1781" s="496"/>
    </row>
    <row r="1782" spans="1:4" x14ac:dyDescent="0.2">
      <c r="A1782" s="146"/>
      <c r="D1782" s="496"/>
    </row>
    <row r="1783" spans="1:4" x14ac:dyDescent="0.2">
      <c r="A1783" s="146"/>
      <c r="D1783" s="496"/>
    </row>
    <row r="1784" spans="1:4" x14ac:dyDescent="0.2">
      <c r="A1784" s="146"/>
      <c r="D1784" s="496"/>
    </row>
    <row r="1785" spans="1:4" x14ac:dyDescent="0.2">
      <c r="A1785" s="146"/>
      <c r="D1785" s="496"/>
    </row>
    <row r="1786" spans="1:4" x14ac:dyDescent="0.2">
      <c r="A1786" s="146"/>
      <c r="D1786" s="496"/>
    </row>
    <row r="1787" spans="1:4" x14ac:dyDescent="0.2">
      <c r="A1787" s="146"/>
      <c r="D1787" s="496"/>
    </row>
    <row r="1788" spans="1:4" x14ac:dyDescent="0.2">
      <c r="A1788" s="146"/>
      <c r="D1788" s="496"/>
    </row>
    <row r="1789" spans="1:4" x14ac:dyDescent="0.2">
      <c r="A1789" s="146"/>
      <c r="D1789" s="496"/>
    </row>
    <row r="1790" spans="1:4" x14ac:dyDescent="0.2">
      <c r="A1790" s="146"/>
      <c r="D1790" s="496"/>
    </row>
    <row r="1791" spans="1:4" x14ac:dyDescent="0.2">
      <c r="A1791" s="146"/>
      <c r="D1791" s="496"/>
    </row>
    <row r="1792" spans="1:4" x14ac:dyDescent="0.2">
      <c r="A1792" s="146"/>
      <c r="D1792" s="496"/>
    </row>
    <row r="1793" spans="1:4" x14ac:dyDescent="0.2">
      <c r="A1793" s="146"/>
      <c r="D1793" s="496"/>
    </row>
    <row r="1794" spans="1:4" x14ac:dyDescent="0.2">
      <c r="A1794" s="146"/>
      <c r="D1794" s="496"/>
    </row>
    <row r="1795" spans="1:4" x14ac:dyDescent="0.2">
      <c r="A1795" s="146"/>
      <c r="D1795" s="496"/>
    </row>
    <row r="1796" spans="1:4" x14ac:dyDescent="0.2">
      <c r="A1796" s="146"/>
      <c r="D1796" s="496"/>
    </row>
    <row r="1797" spans="1:4" x14ac:dyDescent="0.2">
      <c r="A1797" s="146"/>
      <c r="D1797" s="496"/>
    </row>
    <row r="1798" spans="1:4" x14ac:dyDescent="0.2">
      <c r="A1798" s="146"/>
      <c r="D1798" s="496"/>
    </row>
    <row r="1799" spans="1:4" x14ac:dyDescent="0.2">
      <c r="A1799" s="146"/>
      <c r="D1799" s="496"/>
    </row>
    <row r="1800" spans="1:4" x14ac:dyDescent="0.2">
      <c r="A1800" s="146"/>
      <c r="D1800" s="496"/>
    </row>
    <row r="1801" spans="1:4" x14ac:dyDescent="0.2">
      <c r="A1801" s="146"/>
      <c r="D1801" s="496"/>
    </row>
    <row r="1802" spans="1:4" x14ac:dyDescent="0.2">
      <c r="A1802" s="146"/>
      <c r="D1802" s="496"/>
    </row>
    <row r="1803" spans="1:4" x14ac:dyDescent="0.2">
      <c r="A1803" s="146"/>
      <c r="D1803" s="496"/>
    </row>
    <row r="1804" spans="1:4" x14ac:dyDescent="0.2">
      <c r="A1804" s="146"/>
      <c r="D1804" s="496"/>
    </row>
    <row r="1805" spans="1:4" x14ac:dyDescent="0.2">
      <c r="A1805" s="146"/>
      <c r="D1805" s="496"/>
    </row>
    <row r="1806" spans="1:4" x14ac:dyDescent="0.2">
      <c r="A1806" s="146"/>
      <c r="D1806" s="496"/>
    </row>
    <row r="1807" spans="1:4" x14ac:dyDescent="0.2">
      <c r="A1807" s="146"/>
      <c r="D1807" s="496"/>
    </row>
    <row r="1808" spans="1:4" x14ac:dyDescent="0.2">
      <c r="A1808" s="146"/>
      <c r="D1808" s="496"/>
    </row>
    <row r="1809" spans="1:4" x14ac:dyDescent="0.2">
      <c r="A1809" s="146"/>
      <c r="D1809" s="496"/>
    </row>
    <row r="1810" spans="1:4" x14ac:dyDescent="0.2">
      <c r="A1810" s="146"/>
      <c r="D1810" s="496"/>
    </row>
    <row r="1811" spans="1:4" x14ac:dyDescent="0.2">
      <c r="A1811" s="146"/>
      <c r="D1811" s="496"/>
    </row>
    <row r="1812" spans="1:4" x14ac:dyDescent="0.2">
      <c r="A1812" s="146"/>
      <c r="D1812" s="496"/>
    </row>
    <row r="1813" spans="1:4" x14ac:dyDescent="0.2">
      <c r="A1813" s="146"/>
      <c r="D1813" s="496"/>
    </row>
    <row r="1814" spans="1:4" x14ac:dyDescent="0.2">
      <c r="A1814" s="146"/>
      <c r="D1814" s="496"/>
    </row>
    <row r="1815" spans="1:4" x14ac:dyDescent="0.2">
      <c r="A1815" s="146"/>
      <c r="D1815" s="496"/>
    </row>
    <row r="1816" spans="1:4" x14ac:dyDescent="0.2">
      <c r="A1816" s="146"/>
      <c r="D1816" s="496"/>
    </row>
    <row r="1817" spans="1:4" x14ac:dyDescent="0.2">
      <c r="A1817" s="146"/>
      <c r="D1817" s="496"/>
    </row>
    <row r="1818" spans="1:4" x14ac:dyDescent="0.2">
      <c r="A1818" s="146"/>
      <c r="D1818" s="496"/>
    </row>
    <row r="1819" spans="1:4" x14ac:dyDescent="0.2">
      <c r="A1819" s="146"/>
      <c r="D1819" s="496"/>
    </row>
    <row r="1820" spans="1:4" x14ac:dyDescent="0.2">
      <c r="A1820" s="146"/>
      <c r="D1820" s="496"/>
    </row>
    <row r="1821" spans="1:4" x14ac:dyDescent="0.2">
      <c r="A1821" s="146"/>
      <c r="D1821" s="496"/>
    </row>
    <row r="1822" spans="1:4" x14ac:dyDescent="0.2">
      <c r="A1822" s="146"/>
      <c r="D1822" s="496"/>
    </row>
    <row r="1823" spans="1:4" x14ac:dyDescent="0.2">
      <c r="A1823" s="146"/>
      <c r="D1823" s="496"/>
    </row>
    <row r="1824" spans="1:4" x14ac:dyDescent="0.2">
      <c r="A1824" s="146"/>
      <c r="D1824" s="496"/>
    </row>
    <row r="1825" spans="1:4" x14ac:dyDescent="0.2">
      <c r="A1825" s="146"/>
      <c r="D1825" s="496"/>
    </row>
    <row r="1826" spans="1:4" x14ac:dyDescent="0.2">
      <c r="A1826" s="146"/>
      <c r="D1826" s="496"/>
    </row>
    <row r="1827" spans="1:4" x14ac:dyDescent="0.2">
      <c r="A1827" s="146"/>
      <c r="D1827" s="496"/>
    </row>
    <row r="1828" spans="1:4" x14ac:dyDescent="0.2">
      <c r="A1828" s="146"/>
      <c r="D1828" s="496"/>
    </row>
    <row r="1829" spans="1:4" x14ac:dyDescent="0.2">
      <c r="A1829" s="146"/>
      <c r="D1829" s="496"/>
    </row>
    <row r="1830" spans="1:4" x14ac:dyDescent="0.2">
      <c r="A1830" s="146"/>
      <c r="D1830" s="496"/>
    </row>
    <row r="1831" spans="1:4" x14ac:dyDescent="0.2">
      <c r="A1831" s="146"/>
      <c r="D1831" s="496"/>
    </row>
    <row r="1832" spans="1:4" x14ac:dyDescent="0.2">
      <c r="A1832" s="146"/>
      <c r="D1832" s="496"/>
    </row>
    <row r="1833" spans="1:4" x14ac:dyDescent="0.2">
      <c r="A1833" s="146"/>
      <c r="D1833" s="496"/>
    </row>
    <row r="1834" spans="1:4" x14ac:dyDescent="0.2">
      <c r="A1834" s="146"/>
      <c r="D1834" s="496"/>
    </row>
    <row r="1835" spans="1:4" x14ac:dyDescent="0.2">
      <c r="A1835" s="146"/>
      <c r="D1835" s="496"/>
    </row>
    <row r="1836" spans="1:4" x14ac:dyDescent="0.2">
      <c r="A1836" s="146"/>
      <c r="D1836" s="496"/>
    </row>
    <row r="1837" spans="1:4" x14ac:dyDescent="0.2">
      <c r="A1837" s="146"/>
      <c r="D1837" s="496"/>
    </row>
    <row r="1838" spans="1:4" x14ac:dyDescent="0.2">
      <c r="A1838" s="146"/>
      <c r="D1838" s="496"/>
    </row>
    <row r="1839" spans="1:4" x14ac:dyDescent="0.2">
      <c r="A1839" s="146"/>
      <c r="D1839" s="496"/>
    </row>
    <row r="1840" spans="1:4" x14ac:dyDescent="0.2">
      <c r="A1840" s="146"/>
      <c r="D1840" s="496"/>
    </row>
    <row r="1841" spans="1:4" x14ac:dyDescent="0.2">
      <c r="A1841" s="146"/>
      <c r="D1841" s="496"/>
    </row>
    <row r="1842" spans="1:4" x14ac:dyDescent="0.2">
      <c r="A1842" s="146"/>
      <c r="D1842" s="496"/>
    </row>
    <row r="1843" spans="1:4" x14ac:dyDescent="0.2">
      <c r="A1843" s="146"/>
      <c r="D1843" s="496"/>
    </row>
    <row r="1844" spans="1:4" x14ac:dyDescent="0.2">
      <c r="A1844" s="146"/>
      <c r="D1844" s="496"/>
    </row>
    <row r="1845" spans="1:4" x14ac:dyDescent="0.2">
      <c r="A1845" s="146"/>
      <c r="D1845" s="496"/>
    </row>
    <row r="1846" spans="1:4" x14ac:dyDescent="0.2">
      <c r="A1846" s="146"/>
      <c r="D1846" s="496"/>
    </row>
    <row r="1847" spans="1:4" x14ac:dyDescent="0.2">
      <c r="A1847" s="146"/>
      <c r="D1847" s="496"/>
    </row>
    <row r="1848" spans="1:4" x14ac:dyDescent="0.2">
      <c r="A1848" s="146"/>
      <c r="D1848" s="496"/>
    </row>
    <row r="1849" spans="1:4" x14ac:dyDescent="0.2">
      <c r="A1849" s="146"/>
      <c r="D1849" s="496"/>
    </row>
    <row r="1850" spans="1:4" x14ac:dyDescent="0.2">
      <c r="A1850" s="146"/>
      <c r="D1850" s="496"/>
    </row>
    <row r="1851" spans="1:4" x14ac:dyDescent="0.2">
      <c r="A1851" s="146"/>
      <c r="D1851" s="496"/>
    </row>
    <row r="1852" spans="1:4" x14ac:dyDescent="0.2">
      <c r="A1852" s="146"/>
      <c r="D1852" s="496"/>
    </row>
    <row r="1853" spans="1:4" x14ac:dyDescent="0.2">
      <c r="A1853" s="146"/>
      <c r="D1853" s="496"/>
    </row>
    <row r="1854" spans="1:4" x14ac:dyDescent="0.2">
      <c r="A1854" s="146"/>
      <c r="D1854" s="496"/>
    </row>
    <row r="1855" spans="1:4" x14ac:dyDescent="0.2">
      <c r="A1855" s="146"/>
      <c r="D1855" s="496"/>
    </row>
    <row r="1856" spans="1:4" x14ac:dyDescent="0.2">
      <c r="A1856" s="146"/>
      <c r="D1856" s="496"/>
    </row>
    <row r="1857" spans="1:4" x14ac:dyDescent="0.2">
      <c r="A1857" s="146"/>
      <c r="D1857" s="496"/>
    </row>
    <row r="1858" spans="1:4" x14ac:dyDescent="0.2">
      <c r="A1858" s="146"/>
      <c r="D1858" s="496"/>
    </row>
    <row r="1859" spans="1:4" x14ac:dyDescent="0.2">
      <c r="A1859" s="146"/>
      <c r="D1859" s="496"/>
    </row>
    <row r="1860" spans="1:4" x14ac:dyDescent="0.2">
      <c r="A1860" s="146"/>
      <c r="D1860" s="496"/>
    </row>
    <row r="1861" spans="1:4" x14ac:dyDescent="0.2">
      <c r="A1861" s="146"/>
      <c r="D1861" s="496"/>
    </row>
    <row r="1862" spans="1:4" x14ac:dyDescent="0.2">
      <c r="A1862" s="146"/>
      <c r="D1862" s="496"/>
    </row>
    <row r="1863" spans="1:4" x14ac:dyDescent="0.2">
      <c r="A1863" s="146"/>
      <c r="D1863" s="496"/>
    </row>
    <row r="1864" spans="1:4" x14ac:dyDescent="0.2">
      <c r="A1864" s="146"/>
      <c r="D1864" s="496"/>
    </row>
    <row r="1865" spans="1:4" x14ac:dyDescent="0.2">
      <c r="A1865" s="146"/>
      <c r="D1865" s="496"/>
    </row>
    <row r="1866" spans="1:4" x14ac:dyDescent="0.2">
      <c r="A1866" s="146"/>
      <c r="D1866" s="496"/>
    </row>
    <row r="1867" spans="1:4" x14ac:dyDescent="0.2">
      <c r="A1867" s="146"/>
      <c r="D1867" s="496"/>
    </row>
    <row r="1868" spans="1:4" x14ac:dyDescent="0.2">
      <c r="A1868" s="146"/>
      <c r="D1868" s="496"/>
    </row>
    <row r="1869" spans="1:4" x14ac:dyDescent="0.2">
      <c r="A1869" s="146"/>
      <c r="D1869" s="496"/>
    </row>
    <row r="1870" spans="1:4" x14ac:dyDescent="0.2">
      <c r="A1870" s="146"/>
      <c r="D1870" s="496"/>
    </row>
    <row r="1871" spans="1:4" x14ac:dyDescent="0.2">
      <c r="A1871" s="146"/>
      <c r="D1871" s="496"/>
    </row>
    <row r="1872" spans="1:4" x14ac:dyDescent="0.2">
      <c r="A1872" s="146"/>
      <c r="D1872" s="496"/>
    </row>
    <row r="1873" spans="1:4" x14ac:dyDescent="0.2">
      <c r="A1873" s="146"/>
      <c r="D1873" s="496"/>
    </row>
    <row r="1874" spans="1:4" x14ac:dyDescent="0.2">
      <c r="A1874" s="146"/>
      <c r="D1874" s="496"/>
    </row>
    <row r="1875" spans="1:4" x14ac:dyDescent="0.2">
      <c r="A1875" s="146"/>
      <c r="D1875" s="496"/>
    </row>
    <row r="1876" spans="1:4" x14ac:dyDescent="0.2">
      <c r="A1876" s="146"/>
      <c r="D1876" s="496"/>
    </row>
    <row r="1877" spans="1:4" x14ac:dyDescent="0.2">
      <c r="A1877" s="146"/>
      <c r="D1877" s="496"/>
    </row>
    <row r="1878" spans="1:4" x14ac:dyDescent="0.2">
      <c r="A1878" s="146"/>
      <c r="D1878" s="496"/>
    </row>
    <row r="1879" spans="1:4" x14ac:dyDescent="0.2">
      <c r="A1879" s="146"/>
      <c r="D1879" s="496"/>
    </row>
    <row r="1880" spans="1:4" x14ac:dyDescent="0.2">
      <c r="A1880" s="146"/>
      <c r="D1880" s="496"/>
    </row>
    <row r="1881" spans="1:4" x14ac:dyDescent="0.2">
      <c r="A1881" s="146"/>
      <c r="D1881" s="496"/>
    </row>
    <row r="1882" spans="1:4" x14ac:dyDescent="0.2">
      <c r="A1882" s="146"/>
      <c r="D1882" s="496"/>
    </row>
    <row r="1883" spans="1:4" x14ac:dyDescent="0.2">
      <c r="A1883" s="146"/>
      <c r="D1883" s="496"/>
    </row>
    <row r="1884" spans="1:4" x14ac:dyDescent="0.2">
      <c r="A1884" s="146"/>
      <c r="D1884" s="496"/>
    </row>
    <row r="1885" spans="1:4" x14ac:dyDescent="0.2">
      <c r="A1885" s="146"/>
      <c r="D1885" s="496"/>
    </row>
    <row r="1886" spans="1:4" x14ac:dyDescent="0.2">
      <c r="A1886" s="146"/>
      <c r="D1886" s="496"/>
    </row>
    <row r="1887" spans="1:4" x14ac:dyDescent="0.2">
      <c r="A1887" s="146"/>
      <c r="D1887" s="496"/>
    </row>
    <row r="1888" spans="1:4" x14ac:dyDescent="0.2">
      <c r="A1888" s="146"/>
      <c r="D1888" s="496"/>
    </row>
    <row r="1889" spans="1:4" x14ac:dyDescent="0.2">
      <c r="A1889" s="146"/>
      <c r="D1889" s="496"/>
    </row>
    <row r="1890" spans="1:4" x14ac:dyDescent="0.2">
      <c r="A1890" s="146"/>
      <c r="D1890" s="496"/>
    </row>
    <row r="1891" spans="1:4" x14ac:dyDescent="0.2">
      <c r="A1891" s="146"/>
      <c r="D1891" s="496"/>
    </row>
    <row r="1892" spans="1:4" x14ac:dyDescent="0.2">
      <c r="A1892" s="146"/>
      <c r="D1892" s="496"/>
    </row>
    <row r="1893" spans="1:4" x14ac:dyDescent="0.2">
      <c r="A1893" s="146"/>
      <c r="D1893" s="496"/>
    </row>
    <row r="1894" spans="1:4" x14ac:dyDescent="0.2">
      <c r="A1894" s="146"/>
      <c r="D1894" s="496"/>
    </row>
    <row r="1895" spans="1:4" x14ac:dyDescent="0.2">
      <c r="A1895" s="146"/>
      <c r="D1895" s="496"/>
    </row>
    <row r="1896" spans="1:4" x14ac:dyDescent="0.2">
      <c r="A1896" s="146"/>
      <c r="D1896" s="496"/>
    </row>
    <row r="1897" spans="1:4" x14ac:dyDescent="0.2">
      <c r="A1897" s="146"/>
      <c r="D1897" s="496"/>
    </row>
    <row r="1898" spans="1:4" x14ac:dyDescent="0.2">
      <c r="A1898" s="146"/>
      <c r="D1898" s="496"/>
    </row>
    <row r="1899" spans="1:4" x14ac:dyDescent="0.2">
      <c r="A1899" s="146"/>
      <c r="D1899" s="496"/>
    </row>
    <row r="1900" spans="1:4" x14ac:dyDescent="0.2">
      <c r="A1900" s="146"/>
      <c r="D1900" s="496"/>
    </row>
    <row r="1901" spans="1:4" x14ac:dyDescent="0.2">
      <c r="A1901" s="146"/>
      <c r="D1901" s="496"/>
    </row>
    <row r="1902" spans="1:4" x14ac:dyDescent="0.2">
      <c r="A1902" s="146"/>
      <c r="D1902" s="496"/>
    </row>
    <row r="1903" spans="1:4" x14ac:dyDescent="0.2">
      <c r="A1903" s="146"/>
      <c r="D1903" s="496"/>
    </row>
    <row r="1904" spans="1:4" x14ac:dyDescent="0.2">
      <c r="A1904" s="146"/>
      <c r="D1904" s="496"/>
    </row>
    <row r="1905" spans="1:4" x14ac:dyDescent="0.2">
      <c r="A1905" s="146"/>
      <c r="D1905" s="496"/>
    </row>
    <row r="1906" spans="1:4" x14ac:dyDescent="0.2">
      <c r="A1906" s="146"/>
      <c r="D1906" s="496"/>
    </row>
    <row r="1907" spans="1:4" x14ac:dyDescent="0.2">
      <c r="A1907" s="146"/>
      <c r="D1907" s="496"/>
    </row>
    <row r="1908" spans="1:4" x14ac:dyDescent="0.2">
      <c r="A1908" s="146"/>
      <c r="D1908" s="496"/>
    </row>
    <row r="1909" spans="1:4" x14ac:dyDescent="0.2">
      <c r="A1909" s="146"/>
      <c r="D1909" s="496"/>
    </row>
    <row r="1910" spans="1:4" x14ac:dyDescent="0.2">
      <c r="A1910" s="146"/>
      <c r="D1910" s="496"/>
    </row>
    <row r="1911" spans="1:4" x14ac:dyDescent="0.2">
      <c r="A1911" s="146"/>
      <c r="D1911" s="496"/>
    </row>
    <row r="1912" spans="1:4" x14ac:dyDescent="0.2">
      <c r="A1912" s="146"/>
      <c r="D1912" s="496"/>
    </row>
    <row r="1913" spans="1:4" x14ac:dyDescent="0.2">
      <c r="A1913" s="146"/>
      <c r="D1913" s="496"/>
    </row>
    <row r="1914" spans="1:4" x14ac:dyDescent="0.2">
      <c r="A1914" s="146"/>
      <c r="D1914" s="496"/>
    </row>
    <row r="1915" spans="1:4" x14ac:dyDescent="0.2">
      <c r="A1915" s="146"/>
      <c r="D1915" s="496"/>
    </row>
    <row r="1916" spans="1:4" x14ac:dyDescent="0.2">
      <c r="A1916" s="146"/>
      <c r="D1916" s="496"/>
    </row>
    <row r="1917" spans="1:4" x14ac:dyDescent="0.2">
      <c r="A1917" s="146"/>
      <c r="D1917" s="496"/>
    </row>
    <row r="1918" spans="1:4" x14ac:dyDescent="0.2">
      <c r="A1918" s="146"/>
      <c r="D1918" s="496"/>
    </row>
    <row r="1919" spans="1:4" x14ac:dyDescent="0.2">
      <c r="A1919" s="146"/>
      <c r="D1919" s="496"/>
    </row>
    <row r="1920" spans="1:4" x14ac:dyDescent="0.2">
      <c r="A1920" s="146"/>
      <c r="D1920" s="496"/>
    </row>
    <row r="1921" spans="1:4" x14ac:dyDescent="0.2">
      <c r="A1921" s="146"/>
      <c r="D1921" s="496"/>
    </row>
    <row r="1922" spans="1:4" x14ac:dyDescent="0.2">
      <c r="A1922" s="146"/>
      <c r="D1922" s="496"/>
    </row>
    <row r="1923" spans="1:4" x14ac:dyDescent="0.2">
      <c r="A1923" s="146"/>
      <c r="D1923" s="496"/>
    </row>
    <row r="1924" spans="1:4" x14ac:dyDescent="0.2">
      <c r="A1924" s="146"/>
      <c r="D1924" s="496"/>
    </row>
    <row r="1925" spans="1:4" x14ac:dyDescent="0.2">
      <c r="A1925" s="146"/>
      <c r="D1925" s="496"/>
    </row>
    <row r="1926" spans="1:4" x14ac:dyDescent="0.2">
      <c r="A1926" s="146"/>
      <c r="D1926" s="496"/>
    </row>
    <row r="1927" spans="1:4" x14ac:dyDescent="0.2">
      <c r="A1927" s="146"/>
      <c r="D1927" s="496"/>
    </row>
    <row r="1928" spans="1:4" x14ac:dyDescent="0.2">
      <c r="A1928" s="146"/>
      <c r="D1928" s="496"/>
    </row>
    <row r="1929" spans="1:4" x14ac:dyDescent="0.2">
      <c r="A1929" s="146"/>
      <c r="D1929" s="496"/>
    </row>
    <row r="1930" spans="1:4" x14ac:dyDescent="0.2">
      <c r="A1930" s="146"/>
      <c r="D1930" s="496"/>
    </row>
    <row r="1931" spans="1:4" x14ac:dyDescent="0.2">
      <c r="A1931" s="146"/>
      <c r="D1931" s="496"/>
    </row>
    <row r="1932" spans="1:4" x14ac:dyDescent="0.2">
      <c r="A1932" s="146"/>
      <c r="D1932" s="496"/>
    </row>
    <row r="1933" spans="1:4" x14ac:dyDescent="0.2">
      <c r="A1933" s="146"/>
      <c r="D1933" s="496"/>
    </row>
    <row r="1934" spans="1:4" x14ac:dyDescent="0.2">
      <c r="A1934" s="146"/>
      <c r="D1934" s="496"/>
    </row>
    <row r="1935" spans="1:4" x14ac:dyDescent="0.2">
      <c r="A1935" s="146"/>
      <c r="D1935" s="496"/>
    </row>
    <row r="1936" spans="1:4" x14ac:dyDescent="0.2">
      <c r="A1936" s="146"/>
      <c r="D1936" s="496"/>
    </row>
    <row r="1937" spans="1:4" x14ac:dyDescent="0.2">
      <c r="A1937" s="146"/>
      <c r="D1937" s="496"/>
    </row>
    <row r="1938" spans="1:4" x14ac:dyDescent="0.2">
      <c r="A1938" s="146"/>
      <c r="D1938" s="496"/>
    </row>
    <row r="1939" spans="1:4" x14ac:dyDescent="0.2">
      <c r="A1939" s="146"/>
      <c r="D1939" s="496"/>
    </row>
    <row r="1940" spans="1:4" x14ac:dyDescent="0.2">
      <c r="A1940" s="146"/>
      <c r="D1940" s="496"/>
    </row>
    <row r="1941" spans="1:4" x14ac:dyDescent="0.2">
      <c r="A1941" s="146"/>
      <c r="D1941" s="496"/>
    </row>
    <row r="1942" spans="1:4" x14ac:dyDescent="0.2">
      <c r="A1942" s="146"/>
      <c r="D1942" s="496"/>
    </row>
    <row r="1943" spans="1:4" x14ac:dyDescent="0.2">
      <c r="A1943" s="146"/>
      <c r="D1943" s="496"/>
    </row>
    <row r="1944" spans="1:4" x14ac:dyDescent="0.2">
      <c r="A1944" s="146"/>
      <c r="D1944" s="496"/>
    </row>
    <row r="1945" spans="1:4" x14ac:dyDescent="0.2">
      <c r="A1945" s="146"/>
      <c r="D1945" s="496"/>
    </row>
    <row r="1946" spans="1:4" x14ac:dyDescent="0.2">
      <c r="A1946" s="146"/>
      <c r="D1946" s="496"/>
    </row>
    <row r="1947" spans="1:4" x14ac:dyDescent="0.2">
      <c r="A1947" s="146"/>
      <c r="D1947" s="496"/>
    </row>
    <row r="1948" spans="1:4" x14ac:dyDescent="0.2">
      <c r="A1948" s="146"/>
      <c r="D1948" s="496"/>
    </row>
    <row r="1949" spans="1:4" x14ac:dyDescent="0.2">
      <c r="A1949" s="146"/>
      <c r="D1949" s="496"/>
    </row>
    <row r="1950" spans="1:4" x14ac:dyDescent="0.2">
      <c r="A1950" s="146"/>
      <c r="D1950" s="496"/>
    </row>
    <row r="1951" spans="1:4" x14ac:dyDescent="0.2">
      <c r="A1951" s="146"/>
      <c r="D1951" s="496"/>
    </row>
    <row r="1952" spans="1:4" x14ac:dyDescent="0.2">
      <c r="A1952" s="146"/>
      <c r="D1952" s="496"/>
    </row>
    <row r="1953" spans="1:4" x14ac:dyDescent="0.2">
      <c r="A1953" s="146"/>
      <c r="D1953" s="496"/>
    </row>
    <row r="1954" spans="1:4" x14ac:dyDescent="0.2">
      <c r="A1954" s="146"/>
      <c r="D1954" s="496"/>
    </row>
    <row r="1955" spans="1:4" x14ac:dyDescent="0.2">
      <c r="A1955" s="146"/>
      <c r="D1955" s="496"/>
    </row>
    <row r="1956" spans="1:4" x14ac:dyDescent="0.2">
      <c r="A1956" s="146"/>
      <c r="D1956" s="496"/>
    </row>
    <row r="1957" spans="1:4" x14ac:dyDescent="0.2">
      <c r="A1957" s="146"/>
      <c r="D1957" s="496"/>
    </row>
    <row r="1958" spans="1:4" x14ac:dyDescent="0.2">
      <c r="A1958" s="146"/>
      <c r="D1958" s="496"/>
    </row>
    <row r="1959" spans="1:4" x14ac:dyDescent="0.2">
      <c r="A1959" s="146"/>
      <c r="D1959" s="496"/>
    </row>
    <row r="1960" spans="1:4" x14ac:dyDescent="0.2">
      <c r="A1960" s="146"/>
      <c r="D1960" s="496"/>
    </row>
    <row r="1961" spans="1:4" x14ac:dyDescent="0.2">
      <c r="A1961" s="146"/>
      <c r="D1961" s="496"/>
    </row>
    <row r="1962" spans="1:4" x14ac:dyDescent="0.2">
      <c r="A1962" s="146"/>
      <c r="D1962" s="496"/>
    </row>
    <row r="1963" spans="1:4" x14ac:dyDescent="0.2">
      <c r="A1963" s="146"/>
      <c r="D1963" s="496"/>
    </row>
    <row r="1964" spans="1:4" x14ac:dyDescent="0.2">
      <c r="A1964" s="146"/>
      <c r="D1964" s="496"/>
    </row>
    <row r="1965" spans="1:4" x14ac:dyDescent="0.2">
      <c r="A1965" s="146"/>
      <c r="D1965" s="496"/>
    </row>
    <row r="1966" spans="1:4" x14ac:dyDescent="0.2">
      <c r="A1966" s="146"/>
      <c r="D1966" s="496"/>
    </row>
    <row r="1967" spans="1:4" x14ac:dyDescent="0.2">
      <c r="A1967" s="146"/>
      <c r="D1967" s="496"/>
    </row>
    <row r="1968" spans="1:4" x14ac:dyDescent="0.2">
      <c r="A1968" s="146"/>
      <c r="D1968" s="496"/>
    </row>
    <row r="1969" spans="1:4" x14ac:dyDescent="0.2">
      <c r="A1969" s="146"/>
      <c r="D1969" s="496"/>
    </row>
    <row r="1970" spans="1:4" x14ac:dyDescent="0.2">
      <c r="A1970" s="146"/>
      <c r="D1970" s="496"/>
    </row>
    <row r="1971" spans="1:4" x14ac:dyDescent="0.2">
      <c r="A1971" s="146"/>
      <c r="D1971" s="496"/>
    </row>
    <row r="1972" spans="1:4" x14ac:dyDescent="0.2">
      <c r="A1972" s="146"/>
      <c r="D1972" s="496"/>
    </row>
    <row r="1973" spans="1:4" x14ac:dyDescent="0.2">
      <c r="A1973" s="146"/>
      <c r="D1973" s="496"/>
    </row>
    <row r="1974" spans="1:4" x14ac:dyDescent="0.2">
      <c r="A1974" s="146"/>
      <c r="D1974" s="496"/>
    </row>
    <row r="1975" spans="1:4" x14ac:dyDescent="0.2">
      <c r="A1975" s="146"/>
      <c r="D1975" s="496"/>
    </row>
    <row r="1976" spans="1:4" x14ac:dyDescent="0.2">
      <c r="A1976" s="146"/>
      <c r="D1976" s="496"/>
    </row>
    <row r="1977" spans="1:4" x14ac:dyDescent="0.2">
      <c r="A1977" s="146"/>
      <c r="D1977" s="496"/>
    </row>
    <row r="1978" spans="1:4" x14ac:dyDescent="0.2">
      <c r="A1978" s="146"/>
      <c r="D1978" s="496"/>
    </row>
    <row r="1979" spans="1:4" x14ac:dyDescent="0.2">
      <c r="A1979" s="146"/>
      <c r="D1979" s="496"/>
    </row>
    <row r="1980" spans="1:4" x14ac:dyDescent="0.2">
      <c r="A1980" s="146"/>
      <c r="D1980" s="496"/>
    </row>
    <row r="1981" spans="1:4" x14ac:dyDescent="0.2">
      <c r="A1981" s="146"/>
      <c r="D1981" s="496"/>
    </row>
    <row r="1982" spans="1:4" x14ac:dyDescent="0.2">
      <c r="A1982" s="146"/>
      <c r="D1982" s="496"/>
    </row>
    <row r="1983" spans="1:4" x14ac:dyDescent="0.2">
      <c r="A1983" s="146"/>
      <c r="D1983" s="496"/>
    </row>
    <row r="1984" spans="1:4" x14ac:dyDescent="0.2">
      <c r="A1984" s="146"/>
      <c r="D1984" s="496"/>
    </row>
    <row r="1985" spans="1:4" x14ac:dyDescent="0.2">
      <c r="A1985" s="146"/>
      <c r="D1985" s="496"/>
    </row>
    <row r="1986" spans="1:4" x14ac:dyDescent="0.2">
      <c r="A1986" s="146"/>
      <c r="D1986" s="496"/>
    </row>
    <row r="1987" spans="1:4" x14ac:dyDescent="0.2">
      <c r="A1987" s="146"/>
      <c r="D1987" s="496"/>
    </row>
    <row r="1988" spans="1:4" x14ac:dyDescent="0.2">
      <c r="A1988" s="146"/>
      <c r="D1988" s="496"/>
    </row>
    <row r="1989" spans="1:4" x14ac:dyDescent="0.2">
      <c r="A1989" s="146"/>
      <c r="D1989" s="496"/>
    </row>
    <row r="1990" spans="1:4" x14ac:dyDescent="0.2">
      <c r="A1990" s="146"/>
      <c r="D1990" s="496"/>
    </row>
    <row r="1991" spans="1:4" x14ac:dyDescent="0.2">
      <c r="A1991" s="146"/>
      <c r="D1991" s="496"/>
    </row>
    <row r="1992" spans="1:4" x14ac:dyDescent="0.2">
      <c r="A1992" s="146"/>
      <c r="D1992" s="496"/>
    </row>
    <row r="1993" spans="1:4" x14ac:dyDescent="0.2">
      <c r="A1993" s="146"/>
      <c r="D1993" s="496"/>
    </row>
    <row r="1994" spans="1:4" x14ac:dyDescent="0.2">
      <c r="A1994" s="146"/>
      <c r="D1994" s="496"/>
    </row>
    <row r="1995" spans="1:4" x14ac:dyDescent="0.2">
      <c r="A1995" s="146"/>
      <c r="D1995" s="496"/>
    </row>
    <row r="1996" spans="1:4" x14ac:dyDescent="0.2">
      <c r="A1996" s="146"/>
      <c r="D1996" s="496"/>
    </row>
    <row r="1997" spans="1:4" x14ac:dyDescent="0.2">
      <c r="A1997" s="146"/>
      <c r="D1997" s="496"/>
    </row>
    <row r="1998" spans="1:4" x14ac:dyDescent="0.2">
      <c r="A1998" s="146"/>
      <c r="D1998" s="496"/>
    </row>
    <row r="1999" spans="1:4" x14ac:dyDescent="0.2">
      <c r="A1999" s="146"/>
      <c r="D1999" s="496"/>
    </row>
    <row r="2000" spans="1:4" x14ac:dyDescent="0.2">
      <c r="A2000" s="146"/>
      <c r="D2000" s="496"/>
    </row>
    <row r="2001" spans="1:4" x14ac:dyDescent="0.2">
      <c r="A2001" s="146"/>
      <c r="D2001" s="496"/>
    </row>
    <row r="2002" spans="1:4" x14ac:dyDescent="0.2">
      <c r="A2002" s="146"/>
      <c r="D2002" s="496"/>
    </row>
    <row r="2003" spans="1:4" x14ac:dyDescent="0.2">
      <c r="A2003" s="146"/>
      <c r="D2003" s="496"/>
    </row>
    <row r="2004" spans="1:4" x14ac:dyDescent="0.2">
      <c r="A2004" s="146"/>
      <c r="D2004" s="496"/>
    </row>
    <row r="2005" spans="1:4" x14ac:dyDescent="0.2">
      <c r="A2005" s="146"/>
      <c r="D2005" s="496"/>
    </row>
    <row r="2006" spans="1:4" x14ac:dyDescent="0.2">
      <c r="A2006" s="146"/>
      <c r="D2006" s="496"/>
    </row>
    <row r="2007" spans="1:4" x14ac:dyDescent="0.2">
      <c r="A2007" s="146"/>
      <c r="D2007" s="496"/>
    </row>
    <row r="2008" spans="1:4" x14ac:dyDescent="0.2">
      <c r="A2008" s="146"/>
      <c r="D2008" s="496"/>
    </row>
    <row r="2009" spans="1:4" x14ac:dyDescent="0.2">
      <c r="A2009" s="146"/>
      <c r="D2009" s="496"/>
    </row>
    <row r="2010" spans="1:4" x14ac:dyDescent="0.2">
      <c r="A2010" s="146"/>
      <c r="D2010" s="496"/>
    </row>
    <row r="2011" spans="1:4" x14ac:dyDescent="0.2">
      <c r="A2011" s="146"/>
      <c r="D2011" s="496"/>
    </row>
    <row r="2012" spans="1:4" x14ac:dyDescent="0.2">
      <c r="A2012" s="146"/>
      <c r="D2012" s="496"/>
    </row>
    <row r="2013" spans="1:4" x14ac:dyDescent="0.2">
      <c r="A2013" s="146"/>
      <c r="D2013" s="496"/>
    </row>
    <row r="2014" spans="1:4" x14ac:dyDescent="0.2">
      <c r="A2014" s="146"/>
      <c r="D2014" s="496"/>
    </row>
    <row r="2015" spans="1:4" x14ac:dyDescent="0.2">
      <c r="A2015" s="146"/>
      <c r="D2015" s="496"/>
    </row>
    <row r="2016" spans="1:4" x14ac:dyDescent="0.2">
      <c r="A2016" s="146"/>
      <c r="D2016" s="496"/>
    </row>
    <row r="2017" spans="1:4" x14ac:dyDescent="0.2">
      <c r="A2017" s="146"/>
      <c r="D2017" s="496"/>
    </row>
    <row r="2018" spans="1:4" x14ac:dyDescent="0.2">
      <c r="A2018" s="146"/>
      <c r="D2018" s="496"/>
    </row>
    <row r="2019" spans="1:4" x14ac:dyDescent="0.2">
      <c r="A2019" s="146"/>
      <c r="D2019" s="496"/>
    </row>
    <row r="2020" spans="1:4" x14ac:dyDescent="0.2">
      <c r="A2020" s="146"/>
      <c r="D2020" s="496"/>
    </row>
    <row r="2021" spans="1:4" x14ac:dyDescent="0.2">
      <c r="A2021" s="146"/>
      <c r="D2021" s="496"/>
    </row>
    <row r="2022" spans="1:4" x14ac:dyDescent="0.2">
      <c r="A2022" s="146"/>
      <c r="D2022" s="496"/>
    </row>
    <row r="2023" spans="1:4" x14ac:dyDescent="0.2">
      <c r="A2023" s="146"/>
      <c r="D2023" s="496"/>
    </row>
    <row r="2024" spans="1:4" x14ac:dyDescent="0.2">
      <c r="A2024" s="146"/>
      <c r="D2024" s="496"/>
    </row>
    <row r="2025" spans="1:4" x14ac:dyDescent="0.2">
      <c r="A2025" s="146"/>
      <c r="D2025" s="496"/>
    </row>
    <row r="2026" spans="1:4" x14ac:dyDescent="0.2">
      <c r="A2026" s="146"/>
      <c r="D2026" s="496"/>
    </row>
    <row r="2027" spans="1:4" x14ac:dyDescent="0.2">
      <c r="A2027" s="146"/>
      <c r="D2027" s="496"/>
    </row>
    <row r="2028" spans="1:4" x14ac:dyDescent="0.2">
      <c r="A2028" s="146"/>
      <c r="D2028" s="496"/>
    </row>
    <row r="2029" spans="1:4" x14ac:dyDescent="0.2">
      <c r="A2029" s="146"/>
      <c r="D2029" s="496"/>
    </row>
    <row r="2030" spans="1:4" x14ac:dyDescent="0.2">
      <c r="A2030" s="146"/>
      <c r="D2030" s="496"/>
    </row>
    <row r="2031" spans="1:4" x14ac:dyDescent="0.2">
      <c r="A2031" s="146"/>
      <c r="D2031" s="496"/>
    </row>
    <row r="2032" spans="1:4" x14ac:dyDescent="0.2">
      <c r="A2032" s="146"/>
      <c r="D2032" s="496"/>
    </row>
    <row r="2033" spans="1:4" x14ac:dyDescent="0.2">
      <c r="A2033" s="146"/>
      <c r="D2033" s="496"/>
    </row>
    <row r="2034" spans="1:4" x14ac:dyDescent="0.2">
      <c r="A2034" s="146"/>
      <c r="D2034" s="496"/>
    </row>
    <row r="2035" spans="1:4" x14ac:dyDescent="0.2">
      <c r="A2035" s="146"/>
      <c r="D2035" s="496"/>
    </row>
    <row r="2036" spans="1:4" x14ac:dyDescent="0.2">
      <c r="A2036" s="146"/>
      <c r="D2036" s="496"/>
    </row>
    <row r="2037" spans="1:4" x14ac:dyDescent="0.2">
      <c r="A2037" s="146"/>
      <c r="D2037" s="496"/>
    </row>
    <row r="2038" spans="1:4" x14ac:dyDescent="0.2">
      <c r="A2038" s="146"/>
      <c r="D2038" s="496"/>
    </row>
    <row r="2039" spans="1:4" x14ac:dyDescent="0.2">
      <c r="A2039" s="146"/>
      <c r="D2039" s="496"/>
    </row>
    <row r="2040" spans="1:4" x14ac:dyDescent="0.2">
      <c r="A2040" s="146"/>
      <c r="D2040" s="496"/>
    </row>
    <row r="2041" spans="1:4" x14ac:dyDescent="0.2">
      <c r="A2041" s="146"/>
      <c r="D2041" s="496"/>
    </row>
    <row r="2042" spans="1:4" x14ac:dyDescent="0.2">
      <c r="A2042" s="146"/>
      <c r="D2042" s="496"/>
    </row>
    <row r="2043" spans="1:4" x14ac:dyDescent="0.2">
      <c r="A2043" s="146"/>
      <c r="D2043" s="496"/>
    </row>
    <row r="2044" spans="1:4" x14ac:dyDescent="0.2">
      <c r="A2044" s="146"/>
      <c r="D2044" s="496"/>
    </row>
    <row r="2045" spans="1:4" x14ac:dyDescent="0.2">
      <c r="A2045" s="146"/>
      <c r="D2045" s="496"/>
    </row>
    <row r="2046" spans="1:4" x14ac:dyDescent="0.2">
      <c r="A2046" s="146"/>
      <c r="D2046" s="496"/>
    </row>
    <row r="2047" spans="1:4" x14ac:dyDescent="0.2">
      <c r="A2047" s="146"/>
      <c r="D2047" s="496"/>
    </row>
    <row r="2048" spans="1:4" x14ac:dyDescent="0.2">
      <c r="A2048" s="146"/>
      <c r="D2048" s="496"/>
    </row>
    <row r="2049" spans="1:4" x14ac:dyDescent="0.2">
      <c r="A2049" s="146"/>
      <c r="D2049" s="496"/>
    </row>
    <row r="2050" spans="1:4" x14ac:dyDescent="0.2">
      <c r="A2050" s="146"/>
      <c r="D2050" s="496"/>
    </row>
    <row r="2051" spans="1:4" x14ac:dyDescent="0.2">
      <c r="A2051" s="146"/>
      <c r="D2051" s="496"/>
    </row>
    <row r="2052" spans="1:4" x14ac:dyDescent="0.2">
      <c r="A2052" s="146"/>
      <c r="D2052" s="496"/>
    </row>
    <row r="2053" spans="1:4" x14ac:dyDescent="0.2">
      <c r="A2053" s="146"/>
      <c r="D2053" s="496"/>
    </row>
    <row r="2054" spans="1:4" x14ac:dyDescent="0.2">
      <c r="A2054" s="146"/>
      <c r="D2054" s="496"/>
    </row>
    <row r="2055" spans="1:4" x14ac:dyDescent="0.2">
      <c r="A2055" s="146"/>
      <c r="D2055" s="496"/>
    </row>
    <row r="2056" spans="1:4" x14ac:dyDescent="0.2">
      <c r="A2056" s="146"/>
      <c r="D2056" s="496"/>
    </row>
    <row r="2057" spans="1:4" x14ac:dyDescent="0.2">
      <c r="A2057" s="146"/>
      <c r="D2057" s="496"/>
    </row>
    <row r="2058" spans="1:4" x14ac:dyDescent="0.2">
      <c r="A2058" s="146"/>
      <c r="D2058" s="496"/>
    </row>
    <row r="2059" spans="1:4" x14ac:dyDescent="0.2">
      <c r="A2059" s="146"/>
      <c r="D2059" s="496"/>
    </row>
    <row r="2060" spans="1:4" x14ac:dyDescent="0.2">
      <c r="A2060" s="146"/>
      <c r="D2060" s="496"/>
    </row>
    <row r="2061" spans="1:4" x14ac:dyDescent="0.2">
      <c r="A2061" s="146"/>
      <c r="D2061" s="496"/>
    </row>
    <row r="2062" spans="1:4" x14ac:dyDescent="0.2">
      <c r="A2062" s="146"/>
      <c r="D2062" s="496"/>
    </row>
    <row r="2063" spans="1:4" x14ac:dyDescent="0.2">
      <c r="A2063" s="146"/>
      <c r="D2063" s="496"/>
    </row>
    <row r="2064" spans="1:4" x14ac:dyDescent="0.2">
      <c r="A2064" s="146"/>
      <c r="D2064" s="496"/>
    </row>
    <row r="2065" spans="1:4" x14ac:dyDescent="0.2">
      <c r="A2065" s="146"/>
      <c r="D2065" s="496"/>
    </row>
    <row r="2066" spans="1:4" x14ac:dyDescent="0.2">
      <c r="A2066" s="146"/>
      <c r="D2066" s="496"/>
    </row>
    <row r="2067" spans="1:4" x14ac:dyDescent="0.2">
      <c r="A2067" s="146"/>
      <c r="D2067" s="496"/>
    </row>
    <row r="2068" spans="1:4" x14ac:dyDescent="0.2">
      <c r="A2068" s="146"/>
      <c r="D2068" s="496"/>
    </row>
    <row r="2069" spans="1:4" x14ac:dyDescent="0.2">
      <c r="A2069" s="146"/>
      <c r="D2069" s="496"/>
    </row>
    <row r="2070" spans="1:4" x14ac:dyDescent="0.2">
      <c r="A2070" s="146"/>
      <c r="D2070" s="496"/>
    </row>
    <row r="2071" spans="1:4" x14ac:dyDescent="0.2">
      <c r="A2071" s="146"/>
      <c r="D2071" s="496"/>
    </row>
    <row r="2072" spans="1:4" x14ac:dyDescent="0.2">
      <c r="A2072" s="146"/>
      <c r="D2072" s="496"/>
    </row>
    <row r="2073" spans="1:4" x14ac:dyDescent="0.2">
      <c r="A2073" s="146"/>
      <c r="D2073" s="496"/>
    </row>
    <row r="2074" spans="1:4" x14ac:dyDescent="0.2">
      <c r="A2074" s="146"/>
      <c r="D2074" s="496"/>
    </row>
    <row r="2075" spans="1:4" x14ac:dyDescent="0.2">
      <c r="A2075" s="146"/>
      <c r="D2075" s="496"/>
    </row>
    <row r="2076" spans="1:4" x14ac:dyDescent="0.2">
      <c r="A2076" s="146"/>
      <c r="D2076" s="496"/>
    </row>
    <row r="2077" spans="1:4" x14ac:dyDescent="0.2">
      <c r="A2077" s="146"/>
      <c r="D2077" s="496"/>
    </row>
    <row r="2078" spans="1:4" x14ac:dyDescent="0.2">
      <c r="A2078" s="146"/>
      <c r="D2078" s="496"/>
    </row>
    <row r="2079" spans="1:4" x14ac:dyDescent="0.2">
      <c r="A2079" s="146"/>
      <c r="D2079" s="496"/>
    </row>
    <row r="2080" spans="1:4" x14ac:dyDescent="0.2">
      <c r="A2080" s="146"/>
      <c r="D2080" s="496"/>
    </row>
    <row r="2081" spans="1:4" x14ac:dyDescent="0.2">
      <c r="A2081" s="146"/>
      <c r="D2081" s="496"/>
    </row>
    <row r="2082" spans="1:4" x14ac:dyDescent="0.2">
      <c r="A2082" s="146"/>
      <c r="D2082" s="496"/>
    </row>
    <row r="2083" spans="1:4" x14ac:dyDescent="0.2">
      <c r="A2083" s="146"/>
      <c r="D2083" s="496"/>
    </row>
    <row r="2084" spans="1:4" x14ac:dyDescent="0.2">
      <c r="A2084" s="146"/>
      <c r="D2084" s="496"/>
    </row>
    <row r="2085" spans="1:4" x14ac:dyDescent="0.2">
      <c r="A2085" s="146"/>
      <c r="D2085" s="496"/>
    </row>
    <row r="2086" spans="1:4" x14ac:dyDescent="0.2">
      <c r="A2086" s="146"/>
      <c r="D2086" s="496"/>
    </row>
    <row r="2087" spans="1:4" x14ac:dyDescent="0.2">
      <c r="A2087" s="146"/>
      <c r="D2087" s="496"/>
    </row>
    <row r="2088" spans="1:4" x14ac:dyDescent="0.2">
      <c r="A2088" s="146"/>
      <c r="D2088" s="496"/>
    </row>
    <row r="2089" spans="1:4" x14ac:dyDescent="0.2">
      <c r="A2089" s="146"/>
      <c r="D2089" s="496"/>
    </row>
    <row r="2090" spans="1:4" x14ac:dyDescent="0.2">
      <c r="A2090" s="146"/>
      <c r="D2090" s="496"/>
    </row>
    <row r="2091" spans="1:4" x14ac:dyDescent="0.2">
      <c r="A2091" s="146"/>
      <c r="D2091" s="496"/>
    </row>
    <row r="2092" spans="1:4" x14ac:dyDescent="0.2">
      <c r="A2092" s="146"/>
      <c r="D2092" s="496"/>
    </row>
    <row r="2093" spans="1:4" x14ac:dyDescent="0.2">
      <c r="A2093" s="146"/>
      <c r="D2093" s="496"/>
    </row>
    <row r="2094" spans="1:4" x14ac:dyDescent="0.2">
      <c r="A2094" s="146"/>
      <c r="D2094" s="496"/>
    </row>
    <row r="2095" spans="1:4" x14ac:dyDescent="0.2">
      <c r="A2095" s="146"/>
      <c r="D2095" s="496"/>
    </row>
    <row r="2096" spans="1:4" x14ac:dyDescent="0.2">
      <c r="A2096" s="146"/>
      <c r="D2096" s="496"/>
    </row>
    <row r="2097" spans="1:4" x14ac:dyDescent="0.2">
      <c r="A2097" s="146"/>
      <c r="D2097" s="496"/>
    </row>
    <row r="2098" spans="1:4" x14ac:dyDescent="0.2">
      <c r="A2098" s="146"/>
      <c r="D2098" s="496"/>
    </row>
    <row r="2099" spans="1:4" x14ac:dyDescent="0.2">
      <c r="A2099" s="146"/>
      <c r="D2099" s="496"/>
    </row>
    <row r="2100" spans="1:4" x14ac:dyDescent="0.2">
      <c r="A2100" s="146"/>
      <c r="D2100" s="496"/>
    </row>
    <row r="2101" spans="1:4" x14ac:dyDescent="0.2">
      <c r="A2101" s="146"/>
      <c r="D2101" s="496"/>
    </row>
    <row r="2102" spans="1:4" x14ac:dyDescent="0.2">
      <c r="A2102" s="146"/>
      <c r="D2102" s="496"/>
    </row>
    <row r="2103" spans="1:4" x14ac:dyDescent="0.2">
      <c r="A2103" s="146"/>
      <c r="D2103" s="496"/>
    </row>
    <row r="2104" spans="1:4" x14ac:dyDescent="0.2">
      <c r="A2104" s="146"/>
      <c r="D2104" s="496"/>
    </row>
    <row r="2105" spans="1:4" x14ac:dyDescent="0.2">
      <c r="A2105" s="146"/>
      <c r="D2105" s="496"/>
    </row>
    <row r="2106" spans="1:4" x14ac:dyDescent="0.2">
      <c r="A2106" s="146"/>
      <c r="D2106" s="496"/>
    </row>
    <row r="2107" spans="1:4" x14ac:dyDescent="0.2">
      <c r="A2107" s="146"/>
      <c r="D2107" s="496"/>
    </row>
    <row r="2108" spans="1:4" x14ac:dyDescent="0.2">
      <c r="A2108" s="146"/>
      <c r="D2108" s="496"/>
    </row>
    <row r="2109" spans="1:4" x14ac:dyDescent="0.2">
      <c r="A2109" s="146"/>
      <c r="D2109" s="496"/>
    </row>
    <row r="2110" spans="1:4" x14ac:dyDescent="0.2">
      <c r="A2110" s="146"/>
      <c r="D2110" s="496"/>
    </row>
    <row r="2111" spans="1:4" x14ac:dyDescent="0.2">
      <c r="A2111" s="146"/>
      <c r="D2111" s="496"/>
    </row>
    <row r="2112" spans="1:4" x14ac:dyDescent="0.2">
      <c r="A2112" s="146"/>
      <c r="D2112" s="496"/>
    </row>
    <row r="2113" spans="1:4" x14ac:dyDescent="0.2">
      <c r="A2113" s="146"/>
      <c r="D2113" s="496"/>
    </row>
    <row r="2114" spans="1:4" x14ac:dyDescent="0.2">
      <c r="A2114" s="146"/>
      <c r="D2114" s="496"/>
    </row>
    <row r="2115" spans="1:4" x14ac:dyDescent="0.2">
      <c r="A2115" s="146"/>
      <c r="D2115" s="496"/>
    </row>
    <row r="2116" spans="1:4" x14ac:dyDescent="0.2">
      <c r="A2116" s="146"/>
      <c r="D2116" s="496"/>
    </row>
    <row r="2117" spans="1:4" x14ac:dyDescent="0.2">
      <c r="A2117" s="146"/>
      <c r="D2117" s="496"/>
    </row>
    <row r="2118" spans="1:4" x14ac:dyDescent="0.2">
      <c r="A2118" s="146"/>
      <c r="D2118" s="496"/>
    </row>
    <row r="2119" spans="1:4" x14ac:dyDescent="0.2">
      <c r="A2119" s="146"/>
      <c r="D2119" s="496"/>
    </row>
    <row r="2120" spans="1:4" x14ac:dyDescent="0.2">
      <c r="A2120" s="146"/>
      <c r="D2120" s="496"/>
    </row>
    <row r="2121" spans="1:4" x14ac:dyDescent="0.2">
      <c r="A2121" s="146"/>
      <c r="D2121" s="496"/>
    </row>
    <row r="2122" spans="1:4" x14ac:dyDescent="0.2">
      <c r="A2122" s="146"/>
      <c r="D2122" s="496"/>
    </row>
    <row r="2123" spans="1:4" x14ac:dyDescent="0.2">
      <c r="A2123" s="146"/>
      <c r="D2123" s="496"/>
    </row>
    <row r="2124" spans="1:4" x14ac:dyDescent="0.2">
      <c r="A2124" s="146"/>
      <c r="D2124" s="496"/>
    </row>
    <row r="2125" spans="1:4" x14ac:dyDescent="0.2">
      <c r="A2125" s="146"/>
      <c r="D2125" s="496"/>
    </row>
    <row r="2126" spans="1:4" x14ac:dyDescent="0.2">
      <c r="A2126" s="146"/>
      <c r="D2126" s="496"/>
    </row>
    <row r="2127" spans="1:4" x14ac:dyDescent="0.2">
      <c r="A2127" s="146"/>
      <c r="D2127" s="496"/>
    </row>
    <row r="2128" spans="1:4" x14ac:dyDescent="0.2">
      <c r="A2128" s="146"/>
      <c r="D2128" s="496"/>
    </row>
    <row r="2129" spans="1:4" x14ac:dyDescent="0.2">
      <c r="A2129" s="146"/>
      <c r="D2129" s="496"/>
    </row>
    <row r="2130" spans="1:4" x14ac:dyDescent="0.2">
      <c r="A2130" s="146"/>
      <c r="D2130" s="496"/>
    </row>
    <row r="2131" spans="1:4" x14ac:dyDescent="0.2">
      <c r="A2131" s="146"/>
      <c r="D2131" s="496"/>
    </row>
    <row r="2132" spans="1:4" x14ac:dyDescent="0.2">
      <c r="A2132" s="146"/>
      <c r="D2132" s="496"/>
    </row>
    <row r="2133" spans="1:4" x14ac:dyDescent="0.2">
      <c r="A2133" s="146"/>
      <c r="D2133" s="496"/>
    </row>
    <row r="2134" spans="1:4" x14ac:dyDescent="0.2">
      <c r="A2134" s="146"/>
      <c r="D2134" s="496"/>
    </row>
    <row r="2135" spans="1:4" x14ac:dyDescent="0.2">
      <c r="A2135" s="146"/>
      <c r="D2135" s="496"/>
    </row>
    <row r="2136" spans="1:4" x14ac:dyDescent="0.2">
      <c r="A2136" s="146"/>
      <c r="D2136" s="496"/>
    </row>
    <row r="2137" spans="1:4" x14ac:dyDescent="0.2">
      <c r="A2137" s="146"/>
      <c r="D2137" s="496"/>
    </row>
    <row r="2138" spans="1:4" x14ac:dyDescent="0.2">
      <c r="A2138" s="146"/>
      <c r="D2138" s="496"/>
    </row>
    <row r="2139" spans="1:4" x14ac:dyDescent="0.2">
      <c r="A2139" s="146"/>
      <c r="D2139" s="496"/>
    </row>
    <row r="2140" spans="1:4" x14ac:dyDescent="0.2">
      <c r="A2140" s="146"/>
      <c r="D2140" s="496"/>
    </row>
    <row r="2141" spans="1:4" x14ac:dyDescent="0.2">
      <c r="A2141" s="146"/>
      <c r="D2141" s="496"/>
    </row>
    <row r="2142" spans="1:4" x14ac:dyDescent="0.2">
      <c r="A2142" s="146"/>
      <c r="D2142" s="496"/>
    </row>
    <row r="2143" spans="1:4" x14ac:dyDescent="0.2">
      <c r="A2143" s="146"/>
      <c r="D2143" s="496"/>
    </row>
    <row r="2144" spans="1:4" x14ac:dyDescent="0.2">
      <c r="A2144" s="146"/>
      <c r="D2144" s="496"/>
    </row>
    <row r="2145" spans="1:4" x14ac:dyDescent="0.2">
      <c r="A2145" s="146"/>
      <c r="D2145" s="496"/>
    </row>
    <row r="2146" spans="1:4" x14ac:dyDescent="0.2">
      <c r="A2146" s="146"/>
      <c r="D2146" s="496"/>
    </row>
    <row r="2147" spans="1:4" x14ac:dyDescent="0.2">
      <c r="A2147" s="146"/>
      <c r="D2147" s="496"/>
    </row>
    <row r="2148" spans="1:4" x14ac:dyDescent="0.2">
      <c r="A2148" s="146"/>
      <c r="D2148" s="496"/>
    </row>
    <row r="2149" spans="1:4" x14ac:dyDescent="0.2">
      <c r="A2149" s="146"/>
      <c r="D2149" s="496"/>
    </row>
    <row r="2150" spans="1:4" x14ac:dyDescent="0.2">
      <c r="A2150" s="146"/>
      <c r="D2150" s="496"/>
    </row>
    <row r="2151" spans="1:4" x14ac:dyDescent="0.2">
      <c r="A2151" s="146"/>
      <c r="D2151" s="496"/>
    </row>
    <row r="2152" spans="1:4" x14ac:dyDescent="0.2">
      <c r="A2152" s="146"/>
      <c r="D2152" s="496"/>
    </row>
    <row r="2153" spans="1:4" x14ac:dyDescent="0.2">
      <c r="A2153" s="146"/>
      <c r="D2153" s="496"/>
    </row>
    <row r="2154" spans="1:4" x14ac:dyDescent="0.2">
      <c r="A2154" s="146"/>
      <c r="D2154" s="496"/>
    </row>
    <row r="2155" spans="1:4" x14ac:dyDescent="0.2">
      <c r="A2155" s="146"/>
      <c r="D2155" s="496"/>
    </row>
    <row r="2156" spans="1:4" x14ac:dyDescent="0.2">
      <c r="A2156" s="146"/>
      <c r="D2156" s="496"/>
    </row>
    <row r="2157" spans="1:4" x14ac:dyDescent="0.2">
      <c r="A2157" s="146"/>
      <c r="D2157" s="496"/>
    </row>
    <row r="2158" spans="1:4" x14ac:dyDescent="0.2">
      <c r="A2158" s="146"/>
      <c r="D2158" s="496"/>
    </row>
    <row r="2159" spans="1:4" x14ac:dyDescent="0.2">
      <c r="A2159" s="146"/>
      <c r="D2159" s="496"/>
    </row>
    <row r="2160" spans="1:4" x14ac:dyDescent="0.2">
      <c r="A2160" s="146"/>
      <c r="D2160" s="496"/>
    </row>
    <row r="2161" spans="1:4" x14ac:dyDescent="0.2">
      <c r="A2161" s="146"/>
      <c r="D2161" s="496"/>
    </row>
    <row r="2162" spans="1:4" x14ac:dyDescent="0.2">
      <c r="A2162" s="146"/>
      <c r="D2162" s="496"/>
    </row>
    <row r="2163" spans="1:4" x14ac:dyDescent="0.2">
      <c r="A2163" s="146"/>
      <c r="D2163" s="496"/>
    </row>
    <row r="2164" spans="1:4" x14ac:dyDescent="0.2">
      <c r="A2164" s="146"/>
      <c r="D2164" s="496"/>
    </row>
    <row r="2165" spans="1:4" x14ac:dyDescent="0.2">
      <c r="A2165" s="146"/>
      <c r="D2165" s="496"/>
    </row>
    <row r="2166" spans="1:4" x14ac:dyDescent="0.2">
      <c r="A2166" s="146"/>
      <c r="D2166" s="496"/>
    </row>
    <row r="2167" spans="1:4" x14ac:dyDescent="0.2">
      <c r="A2167" s="146"/>
      <c r="D2167" s="496"/>
    </row>
    <row r="2168" spans="1:4" x14ac:dyDescent="0.2">
      <c r="A2168" s="146"/>
      <c r="D2168" s="496"/>
    </row>
    <row r="2169" spans="1:4" x14ac:dyDescent="0.2">
      <c r="A2169" s="146"/>
      <c r="D2169" s="496"/>
    </row>
    <row r="2170" spans="1:4" x14ac:dyDescent="0.2">
      <c r="A2170" s="146"/>
      <c r="D2170" s="496"/>
    </row>
    <row r="2171" spans="1:4" x14ac:dyDescent="0.2">
      <c r="A2171" s="146"/>
      <c r="D2171" s="496"/>
    </row>
    <row r="2172" spans="1:4" x14ac:dyDescent="0.2">
      <c r="A2172" s="146"/>
      <c r="D2172" s="496"/>
    </row>
    <row r="2173" spans="1:4" x14ac:dyDescent="0.2">
      <c r="A2173" s="146"/>
      <c r="D2173" s="496"/>
    </row>
    <row r="2174" spans="1:4" x14ac:dyDescent="0.2">
      <c r="A2174" s="146"/>
      <c r="D2174" s="496"/>
    </row>
    <row r="2175" spans="1:4" x14ac:dyDescent="0.2">
      <c r="A2175" s="146"/>
      <c r="D2175" s="496"/>
    </row>
    <row r="2176" spans="1:4" x14ac:dyDescent="0.2">
      <c r="A2176" s="146"/>
      <c r="D2176" s="496"/>
    </row>
    <row r="2177" spans="1:4" x14ac:dyDescent="0.2">
      <c r="A2177" s="146"/>
      <c r="D2177" s="496"/>
    </row>
    <row r="2178" spans="1:4" x14ac:dyDescent="0.2">
      <c r="A2178" s="146"/>
      <c r="D2178" s="496"/>
    </row>
    <row r="2179" spans="1:4" x14ac:dyDescent="0.2">
      <c r="A2179" s="146"/>
      <c r="D2179" s="496"/>
    </row>
    <row r="2180" spans="1:4" x14ac:dyDescent="0.2">
      <c r="A2180" s="146"/>
      <c r="D2180" s="496"/>
    </row>
    <row r="2181" spans="1:4" x14ac:dyDescent="0.2">
      <c r="A2181" s="146"/>
      <c r="D2181" s="496"/>
    </row>
    <row r="2182" spans="1:4" x14ac:dyDescent="0.2">
      <c r="A2182" s="146"/>
      <c r="D2182" s="496"/>
    </row>
    <row r="2183" spans="1:4" x14ac:dyDescent="0.2">
      <c r="A2183" s="146"/>
      <c r="D2183" s="496"/>
    </row>
    <row r="2184" spans="1:4" x14ac:dyDescent="0.2">
      <c r="A2184" s="146"/>
      <c r="D2184" s="496"/>
    </row>
    <row r="2185" spans="1:4" x14ac:dyDescent="0.2">
      <c r="A2185" s="146"/>
      <c r="D2185" s="496"/>
    </row>
    <row r="2186" spans="1:4" x14ac:dyDescent="0.2">
      <c r="A2186" s="146"/>
      <c r="D2186" s="496"/>
    </row>
    <row r="2187" spans="1:4" x14ac:dyDescent="0.2">
      <c r="A2187" s="146"/>
      <c r="D2187" s="496"/>
    </row>
    <row r="2188" spans="1:4" x14ac:dyDescent="0.2">
      <c r="A2188" s="146"/>
      <c r="D2188" s="496"/>
    </row>
    <row r="2189" spans="1:4" x14ac:dyDescent="0.2">
      <c r="A2189" s="146"/>
      <c r="D2189" s="496"/>
    </row>
    <row r="2190" spans="1:4" x14ac:dyDescent="0.2">
      <c r="A2190" s="146"/>
      <c r="D2190" s="496"/>
    </row>
    <row r="2191" spans="1:4" x14ac:dyDescent="0.2">
      <c r="A2191" s="146"/>
      <c r="D2191" s="496"/>
    </row>
    <row r="2192" spans="1:4" x14ac:dyDescent="0.2">
      <c r="A2192" s="146"/>
      <c r="D2192" s="496"/>
    </row>
    <row r="2193" spans="1:4" x14ac:dyDescent="0.2">
      <c r="A2193" s="146"/>
      <c r="D2193" s="496"/>
    </row>
    <row r="2194" spans="1:4" x14ac:dyDescent="0.2">
      <c r="A2194" s="146"/>
      <c r="D2194" s="496"/>
    </row>
    <row r="2195" spans="1:4" x14ac:dyDescent="0.2">
      <c r="A2195" s="146"/>
      <c r="D2195" s="496"/>
    </row>
    <row r="2196" spans="1:4" x14ac:dyDescent="0.2">
      <c r="A2196" s="146"/>
      <c r="D2196" s="496"/>
    </row>
    <row r="2197" spans="1:4" x14ac:dyDescent="0.2">
      <c r="A2197" s="146"/>
      <c r="D2197" s="496"/>
    </row>
    <row r="2198" spans="1:4" x14ac:dyDescent="0.2">
      <c r="A2198" s="146"/>
      <c r="D2198" s="496"/>
    </row>
    <row r="2199" spans="1:4" x14ac:dyDescent="0.2">
      <c r="A2199" s="146"/>
      <c r="D2199" s="496"/>
    </row>
    <row r="2200" spans="1:4" x14ac:dyDescent="0.2">
      <c r="A2200" s="146"/>
      <c r="D2200" s="496"/>
    </row>
    <row r="2201" spans="1:4" x14ac:dyDescent="0.2">
      <c r="A2201" s="146"/>
      <c r="D2201" s="496"/>
    </row>
    <row r="2202" spans="1:4" x14ac:dyDescent="0.2">
      <c r="A2202" s="146"/>
      <c r="D2202" s="496"/>
    </row>
    <row r="2203" spans="1:4" x14ac:dyDescent="0.2">
      <c r="A2203" s="146"/>
      <c r="D2203" s="496"/>
    </row>
    <row r="2204" spans="1:4" x14ac:dyDescent="0.2">
      <c r="A2204" s="146"/>
      <c r="D2204" s="496"/>
    </row>
    <row r="2205" spans="1:4" x14ac:dyDescent="0.2">
      <c r="A2205" s="146"/>
      <c r="D2205" s="496"/>
    </row>
    <row r="2206" spans="1:4" x14ac:dyDescent="0.2">
      <c r="A2206" s="146"/>
      <c r="D2206" s="496"/>
    </row>
    <row r="2207" spans="1:4" x14ac:dyDescent="0.2">
      <c r="A2207" s="146"/>
      <c r="D2207" s="496"/>
    </row>
    <row r="2208" spans="1:4" x14ac:dyDescent="0.2">
      <c r="A2208" s="146"/>
      <c r="D2208" s="496"/>
    </row>
    <row r="2209" spans="1:4" x14ac:dyDescent="0.2">
      <c r="A2209" s="146"/>
      <c r="D2209" s="496"/>
    </row>
    <row r="2210" spans="1:4" x14ac:dyDescent="0.2">
      <c r="A2210" s="146"/>
      <c r="D2210" s="496"/>
    </row>
    <row r="2211" spans="1:4" x14ac:dyDescent="0.2">
      <c r="A2211" s="146"/>
      <c r="D2211" s="496"/>
    </row>
    <row r="2212" spans="1:4" x14ac:dyDescent="0.2">
      <c r="A2212" s="146"/>
      <c r="D2212" s="496"/>
    </row>
    <row r="2213" spans="1:4" x14ac:dyDescent="0.2">
      <c r="A2213" s="146"/>
      <c r="D2213" s="496"/>
    </row>
    <row r="2214" spans="1:4" x14ac:dyDescent="0.2">
      <c r="A2214" s="146"/>
      <c r="D2214" s="496"/>
    </row>
    <row r="2215" spans="1:4" x14ac:dyDescent="0.2">
      <c r="A2215" s="146"/>
      <c r="D2215" s="496"/>
    </row>
    <row r="2216" spans="1:4" x14ac:dyDescent="0.2">
      <c r="A2216" s="146"/>
      <c r="D2216" s="496"/>
    </row>
    <row r="2217" spans="1:4" x14ac:dyDescent="0.2">
      <c r="A2217" s="146"/>
      <c r="D2217" s="496"/>
    </row>
    <row r="2218" spans="1:4" x14ac:dyDescent="0.2">
      <c r="A2218" s="146"/>
      <c r="D2218" s="496"/>
    </row>
    <row r="2219" spans="1:4" x14ac:dyDescent="0.2">
      <c r="A2219" s="146"/>
      <c r="D2219" s="496"/>
    </row>
    <row r="2220" spans="1:4" x14ac:dyDescent="0.2">
      <c r="A2220" s="146"/>
      <c r="D2220" s="496"/>
    </row>
    <row r="2221" spans="1:4" x14ac:dyDescent="0.2">
      <c r="A2221" s="146"/>
      <c r="D2221" s="496"/>
    </row>
    <row r="2222" spans="1:4" x14ac:dyDescent="0.2">
      <c r="A2222" s="146"/>
      <c r="D2222" s="496"/>
    </row>
    <row r="2223" spans="1:4" x14ac:dyDescent="0.2">
      <c r="A2223" s="146"/>
      <c r="D2223" s="496"/>
    </row>
    <row r="2224" spans="1:4" x14ac:dyDescent="0.2">
      <c r="A2224" s="146"/>
      <c r="D2224" s="496"/>
    </row>
    <row r="2225" spans="1:4" x14ac:dyDescent="0.2">
      <c r="A2225" s="146"/>
      <c r="D2225" s="496"/>
    </row>
    <row r="2226" spans="1:4" x14ac:dyDescent="0.2">
      <c r="A2226" s="146"/>
      <c r="D2226" s="496"/>
    </row>
    <row r="2227" spans="1:4" x14ac:dyDescent="0.2">
      <c r="A2227" s="146"/>
      <c r="D2227" s="496"/>
    </row>
    <row r="2228" spans="1:4" x14ac:dyDescent="0.2">
      <c r="A2228" s="146"/>
      <c r="D2228" s="496"/>
    </row>
    <row r="2229" spans="1:4" x14ac:dyDescent="0.2">
      <c r="A2229" s="146"/>
      <c r="D2229" s="496"/>
    </row>
    <row r="2230" spans="1:4" x14ac:dyDescent="0.2">
      <c r="A2230" s="146"/>
      <c r="D2230" s="496"/>
    </row>
    <row r="2231" spans="1:4" x14ac:dyDescent="0.2">
      <c r="A2231" s="146"/>
      <c r="D2231" s="496"/>
    </row>
    <row r="2232" spans="1:4" x14ac:dyDescent="0.2">
      <c r="A2232" s="146"/>
      <c r="D2232" s="496"/>
    </row>
    <row r="2233" spans="1:4" x14ac:dyDescent="0.2">
      <c r="A2233" s="146"/>
      <c r="D2233" s="496"/>
    </row>
    <row r="2234" spans="1:4" x14ac:dyDescent="0.2">
      <c r="A2234" s="146"/>
      <c r="D2234" s="496"/>
    </row>
    <row r="2235" spans="1:4" x14ac:dyDescent="0.2">
      <c r="A2235" s="146"/>
      <c r="D2235" s="496"/>
    </row>
    <row r="2236" spans="1:4" x14ac:dyDescent="0.2">
      <c r="A2236" s="146"/>
      <c r="D2236" s="496"/>
    </row>
    <row r="2237" spans="1:4" x14ac:dyDescent="0.2">
      <c r="A2237" s="146"/>
      <c r="D2237" s="496"/>
    </row>
    <row r="2238" spans="1:4" x14ac:dyDescent="0.2">
      <c r="A2238" s="146"/>
      <c r="D2238" s="496"/>
    </row>
    <row r="2239" spans="1:4" x14ac:dyDescent="0.2">
      <c r="A2239" s="146"/>
      <c r="D2239" s="496"/>
    </row>
    <row r="2240" spans="1:4" x14ac:dyDescent="0.2">
      <c r="A2240" s="146"/>
      <c r="D2240" s="496"/>
    </row>
    <row r="2241" spans="1:4" x14ac:dyDescent="0.2">
      <c r="A2241" s="146"/>
      <c r="D2241" s="496"/>
    </row>
    <row r="2242" spans="1:4" x14ac:dyDescent="0.2">
      <c r="A2242" s="146"/>
      <c r="D2242" s="496"/>
    </row>
    <row r="2243" spans="1:4" x14ac:dyDescent="0.2">
      <c r="A2243" s="146"/>
      <c r="D2243" s="496"/>
    </row>
    <row r="2244" spans="1:4" x14ac:dyDescent="0.2">
      <c r="A2244" s="146"/>
      <c r="D2244" s="496"/>
    </row>
    <row r="2245" spans="1:4" x14ac:dyDescent="0.2">
      <c r="A2245" s="146"/>
      <c r="D2245" s="496"/>
    </row>
    <row r="2246" spans="1:4" x14ac:dyDescent="0.2">
      <c r="A2246" s="146"/>
      <c r="D2246" s="496"/>
    </row>
    <row r="2247" spans="1:4" x14ac:dyDescent="0.2">
      <c r="A2247" s="146"/>
      <c r="D2247" s="496"/>
    </row>
    <row r="2248" spans="1:4" x14ac:dyDescent="0.2">
      <c r="A2248" s="146"/>
      <c r="D2248" s="496"/>
    </row>
    <row r="2249" spans="1:4" x14ac:dyDescent="0.2">
      <c r="A2249" s="146"/>
      <c r="D2249" s="496"/>
    </row>
    <row r="2250" spans="1:4" x14ac:dyDescent="0.2">
      <c r="A2250" s="146"/>
      <c r="D2250" s="496"/>
    </row>
    <row r="2251" spans="1:4" x14ac:dyDescent="0.2">
      <c r="A2251" s="146"/>
      <c r="D2251" s="496"/>
    </row>
    <row r="2252" spans="1:4" x14ac:dyDescent="0.2">
      <c r="A2252" s="146"/>
      <c r="D2252" s="496"/>
    </row>
    <row r="2253" spans="1:4" x14ac:dyDescent="0.2">
      <c r="A2253" s="146"/>
      <c r="D2253" s="496"/>
    </row>
    <row r="2254" spans="1:4" x14ac:dyDescent="0.2">
      <c r="A2254" s="146"/>
      <c r="D2254" s="496"/>
    </row>
    <row r="2255" spans="1:4" x14ac:dyDescent="0.2">
      <c r="A2255" s="146"/>
      <c r="D2255" s="496"/>
    </row>
    <row r="2256" spans="1:4" x14ac:dyDescent="0.2">
      <c r="A2256" s="146"/>
      <c r="D2256" s="496"/>
    </row>
    <row r="2257" spans="1:4" x14ac:dyDescent="0.2">
      <c r="A2257" s="146"/>
      <c r="D2257" s="496"/>
    </row>
    <row r="2258" spans="1:4" x14ac:dyDescent="0.2">
      <c r="A2258" s="146"/>
      <c r="D2258" s="496"/>
    </row>
    <row r="2259" spans="1:4" x14ac:dyDescent="0.2">
      <c r="A2259" s="146"/>
      <c r="D2259" s="496"/>
    </row>
    <row r="2260" spans="1:4" x14ac:dyDescent="0.2">
      <c r="A2260" s="146"/>
      <c r="D2260" s="496"/>
    </row>
    <row r="2261" spans="1:4" x14ac:dyDescent="0.2">
      <c r="A2261" s="146"/>
      <c r="D2261" s="496"/>
    </row>
    <row r="2262" spans="1:4" x14ac:dyDescent="0.2">
      <c r="A2262" s="146"/>
      <c r="D2262" s="496"/>
    </row>
    <row r="2263" spans="1:4" x14ac:dyDescent="0.2">
      <c r="A2263" s="146"/>
      <c r="D2263" s="496"/>
    </row>
    <row r="2264" spans="1:4" x14ac:dyDescent="0.2">
      <c r="A2264" s="146"/>
      <c r="D2264" s="496"/>
    </row>
    <row r="2265" spans="1:4" x14ac:dyDescent="0.2">
      <c r="A2265" s="146"/>
      <c r="D2265" s="496"/>
    </row>
    <row r="2266" spans="1:4" x14ac:dyDescent="0.2">
      <c r="A2266" s="146"/>
      <c r="D2266" s="496"/>
    </row>
    <row r="2267" spans="1:4" x14ac:dyDescent="0.2">
      <c r="A2267" s="146"/>
      <c r="D2267" s="496"/>
    </row>
    <row r="2268" spans="1:4" x14ac:dyDescent="0.2">
      <c r="A2268" s="146"/>
      <c r="D2268" s="496"/>
    </row>
    <row r="2269" spans="1:4" x14ac:dyDescent="0.2">
      <c r="A2269" s="146"/>
      <c r="D2269" s="496"/>
    </row>
    <row r="2270" spans="1:4" x14ac:dyDescent="0.2">
      <c r="A2270" s="146"/>
      <c r="D2270" s="496"/>
    </row>
    <row r="2271" spans="1:4" x14ac:dyDescent="0.2">
      <c r="A2271" s="146"/>
      <c r="D2271" s="496"/>
    </row>
    <row r="2272" spans="1:4" x14ac:dyDescent="0.2">
      <c r="A2272" s="146"/>
      <c r="D2272" s="496"/>
    </row>
    <row r="2273" spans="1:4" x14ac:dyDescent="0.2">
      <c r="A2273" s="146"/>
      <c r="D2273" s="496"/>
    </row>
    <row r="2274" spans="1:4" x14ac:dyDescent="0.2">
      <c r="A2274" s="146"/>
      <c r="D2274" s="496"/>
    </row>
    <row r="2275" spans="1:4" x14ac:dyDescent="0.2">
      <c r="A2275" s="146"/>
      <c r="D2275" s="496"/>
    </row>
    <row r="2276" spans="1:4" x14ac:dyDescent="0.2">
      <c r="A2276" s="146"/>
      <c r="D2276" s="496"/>
    </row>
    <row r="2277" spans="1:4" x14ac:dyDescent="0.2">
      <c r="A2277" s="146"/>
      <c r="D2277" s="496"/>
    </row>
    <row r="2278" spans="1:4" x14ac:dyDescent="0.2">
      <c r="A2278" s="146"/>
      <c r="D2278" s="496"/>
    </row>
    <row r="2279" spans="1:4" x14ac:dyDescent="0.2">
      <c r="A2279" s="146"/>
      <c r="D2279" s="496"/>
    </row>
    <row r="2280" spans="1:4" x14ac:dyDescent="0.2">
      <c r="A2280" s="146"/>
      <c r="D2280" s="496"/>
    </row>
    <row r="2281" spans="1:4" x14ac:dyDescent="0.2">
      <c r="A2281" s="146"/>
      <c r="D2281" s="496"/>
    </row>
    <row r="2282" spans="1:4" x14ac:dyDescent="0.2">
      <c r="A2282" s="146"/>
      <c r="D2282" s="496"/>
    </row>
    <row r="2283" spans="1:4" x14ac:dyDescent="0.2">
      <c r="A2283" s="146"/>
      <c r="D2283" s="496"/>
    </row>
    <row r="2284" spans="1:4" x14ac:dyDescent="0.2">
      <c r="A2284" s="146"/>
      <c r="D2284" s="496"/>
    </row>
    <row r="2285" spans="1:4" x14ac:dyDescent="0.2">
      <c r="A2285" s="146"/>
      <c r="D2285" s="496"/>
    </row>
    <row r="2286" spans="1:4" x14ac:dyDescent="0.2">
      <c r="A2286" s="146"/>
      <c r="D2286" s="496"/>
    </row>
    <row r="2287" spans="1:4" x14ac:dyDescent="0.2">
      <c r="A2287" s="146"/>
      <c r="D2287" s="496"/>
    </row>
    <row r="2288" spans="1:4" x14ac:dyDescent="0.2">
      <c r="A2288" s="146"/>
      <c r="D2288" s="496"/>
    </row>
    <row r="2289" spans="1:4" x14ac:dyDescent="0.2">
      <c r="A2289" s="146"/>
      <c r="D2289" s="496"/>
    </row>
    <row r="2290" spans="1:4" x14ac:dyDescent="0.2">
      <c r="A2290" s="146"/>
      <c r="D2290" s="496"/>
    </row>
    <row r="2291" spans="1:4" x14ac:dyDescent="0.2">
      <c r="A2291" s="146"/>
      <c r="D2291" s="496"/>
    </row>
    <row r="2292" spans="1:4" x14ac:dyDescent="0.2">
      <c r="A2292" s="146"/>
      <c r="D2292" s="496"/>
    </row>
    <row r="2293" spans="1:4" x14ac:dyDescent="0.2">
      <c r="A2293" s="146"/>
      <c r="D2293" s="496"/>
    </row>
    <row r="2294" spans="1:4" x14ac:dyDescent="0.2">
      <c r="A2294" s="146"/>
      <c r="D2294" s="496"/>
    </row>
    <row r="2295" spans="1:4" x14ac:dyDescent="0.2">
      <c r="A2295" s="146"/>
      <c r="D2295" s="496"/>
    </row>
    <row r="2296" spans="1:4" x14ac:dyDescent="0.2">
      <c r="A2296" s="146"/>
      <c r="D2296" s="496"/>
    </row>
    <row r="2297" spans="1:4" x14ac:dyDescent="0.2">
      <c r="A2297" s="146"/>
      <c r="D2297" s="496"/>
    </row>
    <row r="2298" spans="1:4" x14ac:dyDescent="0.2">
      <c r="A2298" s="146"/>
      <c r="D2298" s="496"/>
    </row>
    <row r="2299" spans="1:4" x14ac:dyDescent="0.2">
      <c r="A2299" s="146"/>
      <c r="D2299" s="496"/>
    </row>
    <row r="2300" spans="1:4" x14ac:dyDescent="0.2">
      <c r="A2300" s="146"/>
      <c r="D2300" s="496"/>
    </row>
    <row r="2301" spans="1:4" x14ac:dyDescent="0.2">
      <c r="A2301" s="146"/>
      <c r="D2301" s="496"/>
    </row>
    <row r="2302" spans="1:4" x14ac:dyDescent="0.2">
      <c r="A2302" s="146"/>
      <c r="D2302" s="496"/>
    </row>
    <row r="2303" spans="1:4" x14ac:dyDescent="0.2">
      <c r="A2303" s="146"/>
      <c r="D2303" s="496"/>
    </row>
    <row r="2304" spans="1:4" x14ac:dyDescent="0.2">
      <c r="A2304" s="146"/>
      <c r="D2304" s="496"/>
    </row>
    <row r="2305" spans="1:4" x14ac:dyDescent="0.2">
      <c r="A2305" s="146"/>
      <c r="D2305" s="496"/>
    </row>
    <row r="2306" spans="1:4" x14ac:dyDescent="0.2">
      <c r="A2306" s="146"/>
      <c r="D2306" s="496"/>
    </row>
    <row r="2307" spans="1:4" x14ac:dyDescent="0.2">
      <c r="A2307" s="146"/>
      <c r="D2307" s="496"/>
    </row>
    <row r="2308" spans="1:4" x14ac:dyDescent="0.2">
      <c r="A2308" s="146"/>
      <c r="D2308" s="496"/>
    </row>
    <row r="2309" spans="1:4" x14ac:dyDescent="0.2">
      <c r="A2309" s="146"/>
      <c r="D2309" s="496"/>
    </row>
    <row r="2310" spans="1:4" x14ac:dyDescent="0.2">
      <c r="A2310" s="146"/>
      <c r="D2310" s="496"/>
    </row>
    <row r="2311" spans="1:4" x14ac:dyDescent="0.2">
      <c r="A2311" s="146"/>
      <c r="D2311" s="496"/>
    </row>
    <row r="2312" spans="1:4" x14ac:dyDescent="0.2">
      <c r="A2312" s="146"/>
      <c r="D2312" s="496"/>
    </row>
    <row r="2313" spans="1:4" x14ac:dyDescent="0.2">
      <c r="A2313" s="146"/>
      <c r="D2313" s="496"/>
    </row>
    <row r="2314" spans="1:4" x14ac:dyDescent="0.2">
      <c r="A2314" s="146"/>
      <c r="D2314" s="496"/>
    </row>
    <row r="2315" spans="1:4" x14ac:dyDescent="0.2">
      <c r="A2315" s="146"/>
      <c r="D2315" s="496"/>
    </row>
    <row r="2316" spans="1:4" x14ac:dyDescent="0.2">
      <c r="A2316" s="146"/>
      <c r="D2316" s="496"/>
    </row>
    <row r="2317" spans="1:4" x14ac:dyDescent="0.2">
      <c r="A2317" s="146"/>
      <c r="D2317" s="496"/>
    </row>
    <row r="2318" spans="1:4" x14ac:dyDescent="0.2">
      <c r="A2318" s="146"/>
      <c r="D2318" s="496"/>
    </row>
    <row r="2319" spans="1:4" x14ac:dyDescent="0.2">
      <c r="A2319" s="146"/>
      <c r="D2319" s="496"/>
    </row>
    <row r="2320" spans="1:4" x14ac:dyDescent="0.2">
      <c r="A2320" s="146"/>
      <c r="D2320" s="496"/>
    </row>
    <row r="2321" spans="1:4" x14ac:dyDescent="0.2">
      <c r="A2321" s="146"/>
      <c r="D2321" s="496"/>
    </row>
    <row r="2322" spans="1:4" x14ac:dyDescent="0.2">
      <c r="A2322" s="146"/>
      <c r="D2322" s="496"/>
    </row>
    <row r="2323" spans="1:4" x14ac:dyDescent="0.2">
      <c r="A2323" s="146"/>
      <c r="D2323" s="496"/>
    </row>
    <row r="2324" spans="1:4" x14ac:dyDescent="0.2">
      <c r="A2324" s="146"/>
      <c r="D2324" s="496"/>
    </row>
    <row r="2325" spans="1:4" x14ac:dyDescent="0.2">
      <c r="A2325" s="146"/>
      <c r="D2325" s="496"/>
    </row>
    <row r="2326" spans="1:4" x14ac:dyDescent="0.2">
      <c r="A2326" s="146"/>
      <c r="D2326" s="496"/>
    </row>
    <row r="2327" spans="1:4" x14ac:dyDescent="0.2">
      <c r="A2327" s="146"/>
      <c r="D2327" s="496"/>
    </row>
    <row r="2328" spans="1:4" x14ac:dyDescent="0.2">
      <c r="A2328" s="146"/>
      <c r="D2328" s="496"/>
    </row>
    <row r="2329" spans="1:4" x14ac:dyDescent="0.2">
      <c r="A2329" s="146"/>
      <c r="D2329" s="496"/>
    </row>
    <row r="2330" spans="1:4" x14ac:dyDescent="0.2">
      <c r="A2330" s="146"/>
      <c r="D2330" s="496"/>
    </row>
    <row r="2331" spans="1:4" x14ac:dyDescent="0.2">
      <c r="A2331" s="146"/>
      <c r="D2331" s="496"/>
    </row>
    <row r="2332" spans="1:4" x14ac:dyDescent="0.2">
      <c r="A2332" s="146"/>
      <c r="D2332" s="496"/>
    </row>
    <row r="2333" spans="1:4" x14ac:dyDescent="0.2">
      <c r="A2333" s="146"/>
      <c r="D2333" s="496"/>
    </row>
    <row r="2334" spans="1:4" x14ac:dyDescent="0.2">
      <c r="A2334" s="146"/>
      <c r="D2334" s="496"/>
    </row>
    <row r="2335" spans="1:4" x14ac:dyDescent="0.2">
      <c r="A2335" s="146"/>
      <c r="D2335" s="496"/>
    </row>
    <row r="2336" spans="1:4" x14ac:dyDescent="0.2">
      <c r="A2336" s="146"/>
      <c r="D2336" s="496"/>
    </row>
    <row r="2337" spans="1:4" x14ac:dyDescent="0.2">
      <c r="A2337" s="146"/>
      <c r="D2337" s="496"/>
    </row>
    <row r="2338" spans="1:4" x14ac:dyDescent="0.2">
      <c r="A2338" s="146"/>
      <c r="D2338" s="496"/>
    </row>
    <row r="2339" spans="1:4" x14ac:dyDescent="0.2">
      <c r="A2339" s="146"/>
      <c r="D2339" s="496"/>
    </row>
    <row r="2340" spans="1:4" x14ac:dyDescent="0.2">
      <c r="A2340" s="146"/>
      <c r="D2340" s="496"/>
    </row>
    <row r="2341" spans="1:4" x14ac:dyDescent="0.2">
      <c r="A2341" s="146"/>
      <c r="D2341" s="496"/>
    </row>
    <row r="2342" spans="1:4" x14ac:dyDescent="0.2">
      <c r="A2342" s="146"/>
      <c r="D2342" s="496"/>
    </row>
    <row r="2343" spans="1:4" x14ac:dyDescent="0.2">
      <c r="A2343" s="146"/>
      <c r="D2343" s="496"/>
    </row>
    <row r="2344" spans="1:4" x14ac:dyDescent="0.2">
      <c r="A2344" s="146"/>
      <c r="D2344" s="496"/>
    </row>
    <row r="2345" spans="1:4" x14ac:dyDescent="0.2">
      <c r="A2345" s="146"/>
      <c r="D2345" s="496"/>
    </row>
    <row r="2346" spans="1:4" x14ac:dyDescent="0.2">
      <c r="A2346" s="146"/>
      <c r="D2346" s="496"/>
    </row>
    <row r="2347" spans="1:4" x14ac:dyDescent="0.2">
      <c r="A2347" s="146"/>
      <c r="D2347" s="496"/>
    </row>
    <row r="2348" spans="1:4" x14ac:dyDescent="0.2">
      <c r="A2348" s="146"/>
      <c r="D2348" s="496"/>
    </row>
    <row r="2349" spans="1:4" x14ac:dyDescent="0.2">
      <c r="A2349" s="146"/>
      <c r="D2349" s="496"/>
    </row>
    <row r="2350" spans="1:4" x14ac:dyDescent="0.2">
      <c r="A2350" s="146"/>
      <c r="D2350" s="496"/>
    </row>
    <row r="2351" spans="1:4" x14ac:dyDescent="0.2">
      <c r="A2351" s="146"/>
      <c r="D2351" s="496"/>
    </row>
    <row r="2352" spans="1:4" x14ac:dyDescent="0.2">
      <c r="A2352" s="146"/>
      <c r="D2352" s="496"/>
    </row>
    <row r="2353" spans="1:4" x14ac:dyDescent="0.2">
      <c r="A2353" s="146"/>
      <c r="D2353" s="496"/>
    </row>
    <row r="2354" spans="1:4" x14ac:dyDescent="0.2">
      <c r="A2354" s="146"/>
      <c r="D2354" s="496"/>
    </row>
    <row r="2355" spans="1:4" x14ac:dyDescent="0.2">
      <c r="A2355" s="146"/>
      <c r="D2355" s="496"/>
    </row>
    <row r="2356" spans="1:4" x14ac:dyDescent="0.2">
      <c r="A2356" s="146"/>
      <c r="D2356" s="496"/>
    </row>
    <row r="2357" spans="1:4" x14ac:dyDescent="0.2">
      <c r="A2357" s="146"/>
      <c r="D2357" s="496"/>
    </row>
    <row r="2358" spans="1:4" x14ac:dyDescent="0.2">
      <c r="A2358" s="146"/>
      <c r="D2358" s="496"/>
    </row>
    <row r="2359" spans="1:4" x14ac:dyDescent="0.2">
      <c r="A2359" s="146"/>
      <c r="D2359" s="496"/>
    </row>
    <row r="2360" spans="1:4" x14ac:dyDescent="0.2">
      <c r="A2360" s="146"/>
      <c r="D2360" s="496"/>
    </row>
    <row r="2361" spans="1:4" x14ac:dyDescent="0.2">
      <c r="A2361" s="146"/>
      <c r="D2361" s="496"/>
    </row>
    <row r="2362" spans="1:4" x14ac:dyDescent="0.2">
      <c r="A2362" s="146"/>
      <c r="D2362" s="496"/>
    </row>
    <row r="2363" spans="1:4" x14ac:dyDescent="0.2">
      <c r="A2363" s="146"/>
      <c r="D2363" s="496"/>
    </row>
    <row r="2364" spans="1:4" x14ac:dyDescent="0.2">
      <c r="A2364" s="146"/>
      <c r="D2364" s="496"/>
    </row>
    <row r="2365" spans="1:4" x14ac:dyDescent="0.2">
      <c r="A2365" s="146"/>
      <c r="D2365" s="496"/>
    </row>
    <row r="2366" spans="1:4" x14ac:dyDescent="0.2">
      <c r="A2366" s="146"/>
      <c r="D2366" s="496"/>
    </row>
    <row r="2367" spans="1:4" x14ac:dyDescent="0.2">
      <c r="A2367" s="146"/>
      <c r="D2367" s="496"/>
    </row>
    <row r="2368" spans="1:4" x14ac:dyDescent="0.2">
      <c r="A2368" s="146"/>
      <c r="D2368" s="496"/>
    </row>
    <row r="2369" spans="1:4" x14ac:dyDescent="0.2">
      <c r="A2369" s="146"/>
      <c r="D2369" s="496"/>
    </row>
    <row r="2370" spans="1:4" x14ac:dyDescent="0.2">
      <c r="A2370" s="146"/>
      <c r="D2370" s="496"/>
    </row>
    <row r="2371" spans="1:4" x14ac:dyDescent="0.2">
      <c r="A2371" s="146"/>
      <c r="D2371" s="496"/>
    </row>
    <row r="2372" spans="1:4" x14ac:dyDescent="0.2">
      <c r="A2372" s="146"/>
      <c r="D2372" s="496"/>
    </row>
    <row r="2373" spans="1:4" x14ac:dyDescent="0.2">
      <c r="A2373" s="146"/>
      <c r="D2373" s="496"/>
    </row>
    <row r="2374" spans="1:4" x14ac:dyDescent="0.2">
      <c r="A2374" s="146"/>
      <c r="D2374" s="496"/>
    </row>
    <row r="2375" spans="1:4" x14ac:dyDescent="0.2">
      <c r="A2375" s="146"/>
      <c r="D2375" s="496"/>
    </row>
    <row r="2376" spans="1:4" x14ac:dyDescent="0.2">
      <c r="A2376" s="146"/>
      <c r="D2376" s="496"/>
    </row>
    <row r="2377" spans="1:4" x14ac:dyDescent="0.2">
      <c r="A2377" s="146"/>
      <c r="D2377" s="496"/>
    </row>
    <row r="2378" spans="1:4" x14ac:dyDescent="0.2">
      <c r="A2378" s="146"/>
      <c r="D2378" s="496"/>
    </row>
    <row r="2379" spans="1:4" x14ac:dyDescent="0.2">
      <c r="A2379" s="146"/>
      <c r="D2379" s="496"/>
    </row>
    <row r="2380" spans="1:4" x14ac:dyDescent="0.2">
      <c r="A2380" s="146"/>
      <c r="D2380" s="496"/>
    </row>
    <row r="2381" spans="1:4" x14ac:dyDescent="0.2">
      <c r="A2381" s="146"/>
      <c r="D2381" s="496"/>
    </row>
    <row r="2382" spans="1:4" x14ac:dyDescent="0.2">
      <c r="A2382" s="146"/>
      <c r="D2382" s="496"/>
    </row>
    <row r="2383" spans="1:4" x14ac:dyDescent="0.2">
      <c r="A2383" s="146"/>
      <c r="D2383" s="496"/>
    </row>
    <row r="2384" spans="1:4" x14ac:dyDescent="0.2">
      <c r="A2384" s="146"/>
      <c r="D2384" s="496"/>
    </row>
    <row r="2385" spans="1:4" x14ac:dyDescent="0.2">
      <c r="A2385" s="146"/>
      <c r="D2385" s="496"/>
    </row>
    <row r="2386" spans="1:4" x14ac:dyDescent="0.2">
      <c r="A2386" s="146"/>
      <c r="D2386" s="496"/>
    </row>
    <row r="2387" spans="1:4" x14ac:dyDescent="0.2">
      <c r="A2387" s="146"/>
      <c r="D2387" s="496"/>
    </row>
    <row r="2388" spans="1:4" x14ac:dyDescent="0.2">
      <c r="A2388" s="146"/>
      <c r="D2388" s="496"/>
    </row>
    <row r="2389" spans="1:4" x14ac:dyDescent="0.2">
      <c r="A2389" s="146"/>
      <c r="D2389" s="496"/>
    </row>
    <row r="2390" spans="1:4" x14ac:dyDescent="0.2">
      <c r="A2390" s="146"/>
      <c r="D2390" s="496"/>
    </row>
    <row r="2391" spans="1:4" x14ac:dyDescent="0.2">
      <c r="A2391" s="146"/>
      <c r="D2391" s="496"/>
    </row>
    <row r="2392" spans="1:4" x14ac:dyDescent="0.2">
      <c r="A2392" s="146"/>
      <c r="D2392" s="496"/>
    </row>
    <row r="2393" spans="1:4" x14ac:dyDescent="0.2">
      <c r="A2393" s="146"/>
      <c r="D2393" s="496"/>
    </row>
    <row r="2394" spans="1:4" x14ac:dyDescent="0.2">
      <c r="A2394" s="146"/>
      <c r="D2394" s="496"/>
    </row>
    <row r="2395" spans="1:4" x14ac:dyDescent="0.2">
      <c r="A2395" s="146"/>
      <c r="D2395" s="496"/>
    </row>
    <row r="2396" spans="1:4" x14ac:dyDescent="0.2">
      <c r="A2396" s="146"/>
      <c r="D2396" s="496"/>
    </row>
    <row r="2397" spans="1:4" x14ac:dyDescent="0.2">
      <c r="A2397" s="146"/>
      <c r="D2397" s="496"/>
    </row>
    <row r="2398" spans="1:4" x14ac:dyDescent="0.2">
      <c r="A2398" s="146"/>
      <c r="D2398" s="496"/>
    </row>
    <row r="2399" spans="1:4" x14ac:dyDescent="0.2">
      <c r="A2399" s="146"/>
      <c r="D2399" s="496"/>
    </row>
    <row r="2400" spans="1:4" x14ac:dyDescent="0.2">
      <c r="A2400" s="146"/>
      <c r="D2400" s="496"/>
    </row>
    <row r="2401" spans="1:4" x14ac:dyDescent="0.2">
      <c r="A2401" s="146"/>
      <c r="D2401" s="496"/>
    </row>
    <row r="2402" spans="1:4" x14ac:dyDescent="0.2">
      <c r="A2402" s="146"/>
      <c r="D2402" s="496"/>
    </row>
    <row r="2403" spans="1:4" x14ac:dyDescent="0.2">
      <c r="A2403" s="146"/>
      <c r="D2403" s="496"/>
    </row>
    <row r="2404" spans="1:4" x14ac:dyDescent="0.2">
      <c r="A2404" s="146"/>
      <c r="D2404" s="496"/>
    </row>
    <row r="2405" spans="1:4" x14ac:dyDescent="0.2">
      <c r="A2405" s="146"/>
      <c r="D2405" s="496"/>
    </row>
    <row r="2406" spans="1:4" x14ac:dyDescent="0.2">
      <c r="A2406" s="146"/>
      <c r="D2406" s="496"/>
    </row>
    <row r="2407" spans="1:4" x14ac:dyDescent="0.2">
      <c r="A2407" s="146"/>
      <c r="D2407" s="496"/>
    </row>
    <row r="2408" spans="1:4" x14ac:dyDescent="0.2">
      <c r="A2408" s="146"/>
      <c r="D2408" s="496"/>
    </row>
    <row r="2409" spans="1:4" x14ac:dyDescent="0.2">
      <c r="A2409" s="146"/>
      <c r="D2409" s="496"/>
    </row>
    <row r="2410" spans="1:4" x14ac:dyDescent="0.2">
      <c r="A2410" s="146"/>
      <c r="D2410" s="496"/>
    </row>
    <row r="2411" spans="1:4" x14ac:dyDescent="0.2">
      <c r="A2411" s="146"/>
      <c r="D2411" s="496"/>
    </row>
    <row r="2412" spans="1:4" x14ac:dyDescent="0.2">
      <c r="A2412" s="146"/>
      <c r="D2412" s="496"/>
    </row>
    <row r="2413" spans="1:4" x14ac:dyDescent="0.2">
      <c r="A2413" s="146"/>
      <c r="D2413" s="496"/>
    </row>
    <row r="2414" spans="1:4" x14ac:dyDescent="0.2">
      <c r="A2414" s="146"/>
      <c r="D2414" s="496"/>
    </row>
    <row r="2415" spans="1:4" x14ac:dyDescent="0.2">
      <c r="A2415" s="146"/>
      <c r="D2415" s="496"/>
    </row>
    <row r="2416" spans="1:4" x14ac:dyDescent="0.2">
      <c r="A2416" s="146"/>
      <c r="D2416" s="496"/>
    </row>
    <row r="2417" spans="1:4" x14ac:dyDescent="0.2">
      <c r="A2417" s="146"/>
      <c r="D2417" s="496"/>
    </row>
    <row r="2418" spans="1:4" x14ac:dyDescent="0.2">
      <c r="A2418" s="146"/>
      <c r="D2418" s="496"/>
    </row>
    <row r="2419" spans="1:4" x14ac:dyDescent="0.2">
      <c r="A2419" s="146"/>
      <c r="D2419" s="496"/>
    </row>
    <row r="2420" spans="1:4" x14ac:dyDescent="0.2">
      <c r="A2420" s="146"/>
      <c r="D2420" s="496"/>
    </row>
    <row r="2421" spans="1:4" x14ac:dyDescent="0.2">
      <c r="A2421" s="146"/>
      <c r="D2421" s="496"/>
    </row>
    <row r="2422" spans="1:4" x14ac:dyDescent="0.2">
      <c r="A2422" s="146"/>
      <c r="D2422" s="496"/>
    </row>
    <row r="2423" spans="1:4" x14ac:dyDescent="0.2">
      <c r="A2423" s="146"/>
      <c r="D2423" s="496"/>
    </row>
    <row r="2424" spans="1:4" x14ac:dyDescent="0.2">
      <c r="A2424" s="146"/>
      <c r="D2424" s="496"/>
    </row>
    <row r="2425" spans="1:4" x14ac:dyDescent="0.2">
      <c r="A2425" s="146"/>
      <c r="D2425" s="496"/>
    </row>
    <row r="2426" spans="1:4" x14ac:dyDescent="0.2">
      <c r="A2426" s="146"/>
      <c r="D2426" s="496"/>
    </row>
    <row r="2427" spans="1:4" x14ac:dyDescent="0.2">
      <c r="A2427" s="146"/>
      <c r="D2427" s="496"/>
    </row>
    <row r="2428" spans="1:4" x14ac:dyDescent="0.2">
      <c r="A2428" s="146"/>
      <c r="D2428" s="496"/>
    </row>
    <row r="2429" spans="1:4" x14ac:dyDescent="0.2">
      <c r="A2429" s="146"/>
      <c r="D2429" s="496"/>
    </row>
    <row r="2430" spans="1:4" x14ac:dyDescent="0.2">
      <c r="A2430" s="146"/>
      <c r="D2430" s="496"/>
    </row>
    <row r="2431" spans="1:4" x14ac:dyDescent="0.2">
      <c r="A2431" s="146"/>
      <c r="D2431" s="496"/>
    </row>
    <row r="2432" spans="1:4" x14ac:dyDescent="0.2">
      <c r="A2432" s="146"/>
      <c r="D2432" s="496"/>
    </row>
    <row r="2433" spans="1:4" x14ac:dyDescent="0.2">
      <c r="A2433" s="146"/>
      <c r="D2433" s="496"/>
    </row>
    <row r="2434" spans="1:4" x14ac:dyDescent="0.2">
      <c r="A2434" s="146"/>
      <c r="D2434" s="496"/>
    </row>
    <row r="2435" spans="1:4" x14ac:dyDescent="0.2">
      <c r="A2435" s="146"/>
      <c r="D2435" s="496"/>
    </row>
    <row r="2436" spans="1:4" x14ac:dyDescent="0.2">
      <c r="A2436" s="146"/>
      <c r="D2436" s="496"/>
    </row>
    <row r="2437" spans="1:4" x14ac:dyDescent="0.2">
      <c r="A2437" s="146"/>
      <c r="D2437" s="496"/>
    </row>
    <row r="2438" spans="1:4" x14ac:dyDescent="0.2">
      <c r="A2438" s="146"/>
      <c r="D2438" s="496"/>
    </row>
    <row r="2439" spans="1:4" x14ac:dyDescent="0.2">
      <c r="A2439" s="146"/>
      <c r="D2439" s="496"/>
    </row>
    <row r="2440" spans="1:4" x14ac:dyDescent="0.2">
      <c r="A2440" s="146"/>
      <c r="D2440" s="496"/>
    </row>
    <row r="2441" spans="1:4" x14ac:dyDescent="0.2">
      <c r="A2441" s="146"/>
      <c r="D2441" s="496"/>
    </row>
    <row r="2442" spans="1:4" x14ac:dyDescent="0.2">
      <c r="A2442" s="146"/>
      <c r="D2442" s="496"/>
    </row>
    <row r="2443" spans="1:4" x14ac:dyDescent="0.2">
      <c r="A2443" s="146"/>
      <c r="D2443" s="496"/>
    </row>
    <row r="2444" spans="1:4" x14ac:dyDescent="0.2">
      <c r="A2444" s="146"/>
      <c r="D2444" s="496"/>
    </row>
    <row r="2445" spans="1:4" x14ac:dyDescent="0.2">
      <c r="A2445" s="146"/>
      <c r="D2445" s="496"/>
    </row>
    <row r="2446" spans="1:4" x14ac:dyDescent="0.2">
      <c r="A2446" s="146"/>
      <c r="D2446" s="496"/>
    </row>
    <row r="2447" spans="1:4" x14ac:dyDescent="0.2">
      <c r="A2447" s="146"/>
      <c r="D2447" s="496"/>
    </row>
    <row r="2448" spans="1:4" x14ac:dyDescent="0.2">
      <c r="A2448" s="146"/>
      <c r="D2448" s="496"/>
    </row>
    <row r="2449" spans="1:4" x14ac:dyDescent="0.2">
      <c r="A2449" s="146"/>
      <c r="D2449" s="496"/>
    </row>
    <row r="2450" spans="1:4" x14ac:dyDescent="0.2">
      <c r="A2450" s="146"/>
      <c r="D2450" s="496"/>
    </row>
    <row r="2451" spans="1:4" x14ac:dyDescent="0.2">
      <c r="A2451" s="146"/>
      <c r="D2451" s="496"/>
    </row>
    <row r="2452" spans="1:4" x14ac:dyDescent="0.2">
      <c r="A2452" s="146"/>
      <c r="D2452" s="496"/>
    </row>
    <row r="2453" spans="1:4" x14ac:dyDescent="0.2">
      <c r="A2453" s="146"/>
      <c r="D2453" s="496"/>
    </row>
    <row r="2454" spans="1:4" x14ac:dyDescent="0.2">
      <c r="A2454" s="146"/>
      <c r="D2454" s="496"/>
    </row>
    <row r="2455" spans="1:4" x14ac:dyDescent="0.2">
      <c r="A2455" s="146"/>
      <c r="D2455" s="496"/>
    </row>
    <row r="2456" spans="1:4" x14ac:dyDescent="0.2">
      <c r="A2456" s="146"/>
      <c r="D2456" s="496"/>
    </row>
    <row r="2457" spans="1:4" x14ac:dyDescent="0.2">
      <c r="A2457" s="146"/>
      <c r="D2457" s="496"/>
    </row>
    <row r="2458" spans="1:4" x14ac:dyDescent="0.2">
      <c r="A2458" s="146"/>
      <c r="D2458" s="496"/>
    </row>
    <row r="2459" spans="1:4" x14ac:dyDescent="0.2">
      <c r="A2459" s="146"/>
      <c r="D2459" s="496"/>
    </row>
    <row r="2460" spans="1:4" x14ac:dyDescent="0.2">
      <c r="A2460" s="146"/>
      <c r="D2460" s="496"/>
    </row>
    <row r="2461" spans="1:4" x14ac:dyDescent="0.2">
      <c r="A2461" s="146"/>
      <c r="D2461" s="496"/>
    </row>
    <row r="2462" spans="1:4" x14ac:dyDescent="0.2">
      <c r="A2462" s="146"/>
      <c r="D2462" s="496"/>
    </row>
    <row r="2463" spans="1:4" x14ac:dyDescent="0.2">
      <c r="A2463" s="146"/>
      <c r="D2463" s="496"/>
    </row>
    <row r="2464" spans="1:4" x14ac:dyDescent="0.2">
      <c r="A2464" s="146"/>
      <c r="D2464" s="496"/>
    </row>
    <row r="2465" spans="1:4" x14ac:dyDescent="0.2">
      <c r="A2465" s="146"/>
      <c r="D2465" s="496"/>
    </row>
    <row r="2466" spans="1:4" x14ac:dyDescent="0.2">
      <c r="A2466" s="146"/>
      <c r="D2466" s="496"/>
    </row>
    <row r="2467" spans="1:4" x14ac:dyDescent="0.2">
      <c r="A2467" s="146"/>
      <c r="D2467" s="496"/>
    </row>
    <row r="2468" spans="1:4" x14ac:dyDescent="0.2">
      <c r="A2468" s="146"/>
      <c r="D2468" s="496"/>
    </row>
    <row r="2469" spans="1:4" x14ac:dyDescent="0.2">
      <c r="A2469" s="146"/>
      <c r="D2469" s="496"/>
    </row>
    <row r="2470" spans="1:4" x14ac:dyDescent="0.2">
      <c r="A2470" s="146"/>
      <c r="D2470" s="496"/>
    </row>
    <row r="2471" spans="1:4" x14ac:dyDescent="0.2">
      <c r="A2471" s="146"/>
      <c r="D2471" s="496"/>
    </row>
    <row r="2472" spans="1:4" x14ac:dyDescent="0.2">
      <c r="A2472" s="146"/>
      <c r="D2472" s="496"/>
    </row>
    <row r="2473" spans="1:4" x14ac:dyDescent="0.2">
      <c r="A2473" s="146"/>
      <c r="D2473" s="496"/>
    </row>
    <row r="2474" spans="1:4" x14ac:dyDescent="0.2">
      <c r="A2474" s="146"/>
      <c r="D2474" s="496"/>
    </row>
    <row r="2475" spans="1:4" x14ac:dyDescent="0.2">
      <c r="A2475" s="146"/>
      <c r="D2475" s="496"/>
    </row>
    <row r="2476" spans="1:4" x14ac:dyDescent="0.2">
      <c r="A2476" s="146"/>
      <c r="D2476" s="496"/>
    </row>
    <row r="2477" spans="1:4" x14ac:dyDescent="0.2">
      <c r="A2477" s="146"/>
      <c r="D2477" s="496"/>
    </row>
    <row r="2478" spans="1:4" x14ac:dyDescent="0.2">
      <c r="A2478" s="146"/>
      <c r="D2478" s="496"/>
    </row>
    <row r="2479" spans="1:4" x14ac:dyDescent="0.2">
      <c r="A2479" s="146"/>
      <c r="D2479" s="496"/>
    </row>
    <row r="2480" spans="1:4" x14ac:dyDescent="0.2">
      <c r="A2480" s="146"/>
      <c r="D2480" s="496"/>
    </row>
    <row r="2481" spans="1:4" x14ac:dyDescent="0.2">
      <c r="A2481" s="146"/>
      <c r="D2481" s="496"/>
    </row>
    <row r="2482" spans="1:4" x14ac:dyDescent="0.2">
      <c r="A2482" s="146"/>
      <c r="D2482" s="496"/>
    </row>
    <row r="2483" spans="1:4" x14ac:dyDescent="0.2">
      <c r="A2483" s="146"/>
      <c r="D2483" s="496"/>
    </row>
    <row r="2484" spans="1:4" x14ac:dyDescent="0.2">
      <c r="A2484" s="146"/>
      <c r="D2484" s="496"/>
    </row>
    <row r="2485" spans="1:4" x14ac:dyDescent="0.2">
      <c r="A2485" s="146"/>
      <c r="D2485" s="496"/>
    </row>
    <row r="2486" spans="1:4" x14ac:dyDescent="0.2">
      <c r="A2486" s="146"/>
      <c r="D2486" s="496"/>
    </row>
    <row r="2487" spans="1:4" x14ac:dyDescent="0.2">
      <c r="A2487" s="146"/>
      <c r="D2487" s="496"/>
    </row>
    <row r="2488" spans="1:4" x14ac:dyDescent="0.2">
      <c r="A2488" s="146"/>
      <c r="D2488" s="496"/>
    </row>
    <row r="2489" spans="1:4" x14ac:dyDescent="0.2">
      <c r="A2489" s="146"/>
      <c r="D2489" s="496"/>
    </row>
    <row r="2490" spans="1:4" x14ac:dyDescent="0.2">
      <c r="A2490" s="146"/>
      <c r="D2490" s="496"/>
    </row>
    <row r="2491" spans="1:4" x14ac:dyDescent="0.2">
      <c r="A2491" s="146"/>
      <c r="D2491" s="496"/>
    </row>
    <row r="2492" spans="1:4" x14ac:dyDescent="0.2">
      <c r="A2492" s="146"/>
      <c r="D2492" s="496"/>
    </row>
    <row r="2493" spans="1:4" x14ac:dyDescent="0.2">
      <c r="A2493" s="146"/>
      <c r="D2493" s="496"/>
    </row>
    <row r="2494" spans="1:4" x14ac:dyDescent="0.2">
      <c r="A2494" s="146"/>
      <c r="D2494" s="496"/>
    </row>
    <row r="2495" spans="1:4" x14ac:dyDescent="0.2">
      <c r="A2495" s="146"/>
      <c r="D2495" s="496"/>
    </row>
    <row r="2496" spans="1:4" x14ac:dyDescent="0.2">
      <c r="A2496" s="146"/>
      <c r="D2496" s="496"/>
    </row>
    <row r="2497" spans="1:4" x14ac:dyDescent="0.2">
      <c r="A2497" s="146"/>
      <c r="D2497" s="496"/>
    </row>
    <row r="2498" spans="1:4" x14ac:dyDescent="0.2">
      <c r="A2498" s="146"/>
      <c r="D2498" s="496"/>
    </row>
    <row r="2499" spans="1:4" x14ac:dyDescent="0.2">
      <c r="A2499" s="146"/>
      <c r="D2499" s="496"/>
    </row>
    <row r="2500" spans="1:4" x14ac:dyDescent="0.2">
      <c r="A2500" s="146"/>
      <c r="D2500" s="496"/>
    </row>
    <row r="2501" spans="1:4" x14ac:dyDescent="0.2">
      <c r="A2501" s="146"/>
      <c r="D2501" s="496"/>
    </row>
    <row r="2502" spans="1:4" x14ac:dyDescent="0.2">
      <c r="A2502" s="146"/>
      <c r="D2502" s="496"/>
    </row>
    <row r="2503" spans="1:4" x14ac:dyDescent="0.2">
      <c r="A2503" s="146"/>
      <c r="D2503" s="496"/>
    </row>
    <row r="2504" spans="1:4" x14ac:dyDescent="0.2">
      <c r="A2504" s="146"/>
      <c r="D2504" s="496"/>
    </row>
    <row r="2505" spans="1:4" x14ac:dyDescent="0.2">
      <c r="A2505" s="146"/>
      <c r="D2505" s="496"/>
    </row>
    <row r="2506" spans="1:4" x14ac:dyDescent="0.2">
      <c r="A2506" s="146"/>
      <c r="D2506" s="496"/>
    </row>
    <row r="2507" spans="1:4" x14ac:dyDescent="0.2">
      <c r="A2507" s="146"/>
      <c r="D2507" s="496"/>
    </row>
    <row r="2508" spans="1:4" x14ac:dyDescent="0.2">
      <c r="A2508" s="146"/>
      <c r="D2508" s="496"/>
    </row>
    <row r="2509" spans="1:4" x14ac:dyDescent="0.2">
      <c r="A2509" s="146"/>
      <c r="D2509" s="496"/>
    </row>
    <row r="2510" spans="1:4" x14ac:dyDescent="0.2">
      <c r="A2510" s="146"/>
      <c r="D2510" s="496"/>
    </row>
    <row r="2511" spans="1:4" x14ac:dyDescent="0.2">
      <c r="A2511" s="146"/>
      <c r="D2511" s="496"/>
    </row>
    <row r="2512" spans="1:4" x14ac:dyDescent="0.2">
      <c r="A2512" s="146"/>
      <c r="D2512" s="496"/>
    </row>
    <row r="2513" spans="1:4" x14ac:dyDescent="0.2">
      <c r="A2513" s="146"/>
      <c r="D2513" s="496"/>
    </row>
    <row r="2514" spans="1:4" x14ac:dyDescent="0.2">
      <c r="A2514" s="146"/>
      <c r="D2514" s="496"/>
    </row>
    <row r="2515" spans="1:4" x14ac:dyDescent="0.2">
      <c r="A2515" s="146"/>
      <c r="D2515" s="496"/>
    </row>
    <row r="2516" spans="1:4" x14ac:dyDescent="0.2">
      <c r="A2516" s="146"/>
      <c r="D2516" s="496"/>
    </row>
    <row r="2517" spans="1:4" x14ac:dyDescent="0.2">
      <c r="A2517" s="146"/>
      <c r="D2517" s="496"/>
    </row>
    <row r="2518" spans="1:4" x14ac:dyDescent="0.2">
      <c r="A2518" s="146"/>
      <c r="D2518" s="496"/>
    </row>
    <row r="2519" spans="1:4" x14ac:dyDescent="0.2">
      <c r="A2519" s="146"/>
      <c r="D2519" s="496"/>
    </row>
    <row r="2520" spans="1:4" x14ac:dyDescent="0.2">
      <c r="A2520" s="146"/>
      <c r="D2520" s="496"/>
    </row>
    <row r="2521" spans="1:4" x14ac:dyDescent="0.2">
      <c r="A2521" s="146"/>
      <c r="D2521" s="496"/>
    </row>
    <row r="2522" spans="1:4" x14ac:dyDescent="0.2">
      <c r="A2522" s="146"/>
      <c r="D2522" s="496"/>
    </row>
    <row r="2523" spans="1:4" x14ac:dyDescent="0.2">
      <c r="A2523" s="146"/>
      <c r="D2523" s="496"/>
    </row>
    <row r="2524" spans="1:4" x14ac:dyDescent="0.2">
      <c r="A2524" s="146"/>
      <c r="D2524" s="496"/>
    </row>
    <row r="2525" spans="1:4" x14ac:dyDescent="0.2">
      <c r="A2525" s="146"/>
      <c r="D2525" s="496"/>
    </row>
    <row r="2526" spans="1:4" x14ac:dyDescent="0.2">
      <c r="A2526" s="146"/>
      <c r="D2526" s="496"/>
    </row>
    <row r="2527" spans="1:4" x14ac:dyDescent="0.2">
      <c r="A2527" s="146"/>
      <c r="D2527" s="496"/>
    </row>
    <row r="2528" spans="1:4" x14ac:dyDescent="0.2">
      <c r="A2528" s="146"/>
      <c r="D2528" s="496"/>
    </row>
    <row r="2529" spans="1:4" x14ac:dyDescent="0.2">
      <c r="A2529" s="146"/>
      <c r="D2529" s="496"/>
    </row>
    <row r="2530" spans="1:4" x14ac:dyDescent="0.2">
      <c r="A2530" s="146"/>
      <c r="D2530" s="496"/>
    </row>
    <row r="2531" spans="1:4" x14ac:dyDescent="0.2">
      <c r="A2531" s="146"/>
      <c r="D2531" s="496"/>
    </row>
    <row r="2532" spans="1:4" x14ac:dyDescent="0.2">
      <c r="A2532" s="146"/>
      <c r="D2532" s="496"/>
    </row>
    <row r="2533" spans="1:4" x14ac:dyDescent="0.2">
      <c r="A2533" s="146"/>
      <c r="D2533" s="496"/>
    </row>
    <row r="2534" spans="1:4" x14ac:dyDescent="0.2">
      <c r="A2534" s="146"/>
      <c r="D2534" s="496"/>
    </row>
    <row r="2535" spans="1:4" x14ac:dyDescent="0.2">
      <c r="A2535" s="146"/>
      <c r="D2535" s="496"/>
    </row>
    <row r="2536" spans="1:4" x14ac:dyDescent="0.2">
      <c r="A2536" s="146"/>
      <c r="D2536" s="496"/>
    </row>
    <row r="2537" spans="1:4" x14ac:dyDescent="0.2">
      <c r="A2537" s="146"/>
      <c r="D2537" s="496"/>
    </row>
    <row r="2538" spans="1:4" x14ac:dyDescent="0.2">
      <c r="A2538" s="146"/>
      <c r="D2538" s="496"/>
    </row>
    <row r="2539" spans="1:4" x14ac:dyDescent="0.2">
      <c r="A2539" s="146"/>
      <c r="D2539" s="496"/>
    </row>
    <row r="2540" spans="1:4" x14ac:dyDescent="0.2">
      <c r="A2540" s="146"/>
      <c r="D2540" s="496"/>
    </row>
    <row r="2541" spans="1:4" x14ac:dyDescent="0.2">
      <c r="A2541" s="146"/>
      <c r="D2541" s="496"/>
    </row>
    <row r="2542" spans="1:4" x14ac:dyDescent="0.2">
      <c r="A2542" s="146"/>
      <c r="D2542" s="496"/>
    </row>
    <row r="2543" spans="1:4" x14ac:dyDescent="0.2">
      <c r="A2543" s="146"/>
      <c r="D2543" s="496"/>
    </row>
    <row r="2544" spans="1:4" x14ac:dyDescent="0.2">
      <c r="A2544" s="146"/>
      <c r="D2544" s="496"/>
    </row>
    <row r="2545" spans="1:4" x14ac:dyDescent="0.2">
      <c r="A2545" s="146"/>
      <c r="D2545" s="496"/>
    </row>
    <row r="2546" spans="1:4" x14ac:dyDescent="0.2">
      <c r="A2546" s="146"/>
      <c r="D2546" s="496"/>
    </row>
    <row r="2547" spans="1:4" x14ac:dyDescent="0.2">
      <c r="A2547" s="146"/>
      <c r="D2547" s="496"/>
    </row>
    <row r="2548" spans="1:4" x14ac:dyDescent="0.2">
      <c r="A2548" s="146"/>
      <c r="D2548" s="496"/>
    </row>
    <row r="2549" spans="1:4" x14ac:dyDescent="0.2">
      <c r="A2549" s="146"/>
      <c r="D2549" s="496"/>
    </row>
    <row r="2550" spans="1:4" x14ac:dyDescent="0.2">
      <c r="A2550" s="146"/>
      <c r="D2550" s="496"/>
    </row>
    <row r="2551" spans="1:4" x14ac:dyDescent="0.2">
      <c r="A2551" s="146"/>
      <c r="D2551" s="496"/>
    </row>
    <row r="2552" spans="1:4" x14ac:dyDescent="0.2">
      <c r="A2552" s="146"/>
      <c r="D2552" s="496"/>
    </row>
    <row r="2553" spans="1:4" x14ac:dyDescent="0.2">
      <c r="A2553" s="146"/>
      <c r="D2553" s="496"/>
    </row>
    <row r="2554" spans="1:4" x14ac:dyDescent="0.2">
      <c r="A2554" s="146"/>
      <c r="D2554" s="496"/>
    </row>
    <row r="2555" spans="1:4" x14ac:dyDescent="0.2">
      <c r="A2555" s="146"/>
      <c r="D2555" s="496"/>
    </row>
    <row r="2556" spans="1:4" x14ac:dyDescent="0.2">
      <c r="A2556" s="146"/>
      <c r="D2556" s="496"/>
    </row>
    <row r="2557" spans="1:4" x14ac:dyDescent="0.2">
      <c r="A2557" s="146"/>
      <c r="D2557" s="496"/>
    </row>
    <row r="2558" spans="1:4" x14ac:dyDescent="0.2">
      <c r="A2558" s="146"/>
      <c r="D2558" s="496"/>
    </row>
    <row r="2559" spans="1:4" x14ac:dyDescent="0.2">
      <c r="A2559" s="146"/>
      <c r="D2559" s="496"/>
    </row>
    <row r="2560" spans="1:4" x14ac:dyDescent="0.2">
      <c r="A2560" s="146"/>
      <c r="D2560" s="496"/>
    </row>
    <row r="2561" spans="1:4" x14ac:dyDescent="0.2">
      <c r="A2561" s="146"/>
      <c r="D2561" s="496"/>
    </row>
    <row r="2562" spans="1:4" x14ac:dyDescent="0.2">
      <c r="A2562" s="146"/>
      <c r="D2562" s="496"/>
    </row>
    <row r="2563" spans="1:4" x14ac:dyDescent="0.2">
      <c r="A2563" s="146"/>
      <c r="D2563" s="496"/>
    </row>
    <row r="2564" spans="1:4" x14ac:dyDescent="0.2">
      <c r="A2564" s="146"/>
      <c r="D2564" s="496"/>
    </row>
    <row r="2565" spans="1:4" x14ac:dyDescent="0.2">
      <c r="A2565" s="146"/>
      <c r="D2565" s="496"/>
    </row>
    <row r="2566" spans="1:4" x14ac:dyDescent="0.2">
      <c r="A2566" s="146"/>
      <c r="D2566" s="496"/>
    </row>
    <row r="2567" spans="1:4" x14ac:dyDescent="0.2">
      <c r="A2567" s="146"/>
      <c r="D2567" s="496"/>
    </row>
    <row r="2568" spans="1:4" x14ac:dyDescent="0.2">
      <c r="A2568" s="146"/>
      <c r="D2568" s="496"/>
    </row>
    <row r="2569" spans="1:4" x14ac:dyDescent="0.2">
      <c r="A2569" s="146"/>
      <c r="D2569" s="496"/>
    </row>
    <row r="2570" spans="1:4" x14ac:dyDescent="0.2">
      <c r="A2570" s="146"/>
      <c r="D2570" s="496"/>
    </row>
    <row r="2571" spans="1:4" x14ac:dyDescent="0.2">
      <c r="A2571" s="146"/>
      <c r="D2571" s="496"/>
    </row>
    <row r="2572" spans="1:4" x14ac:dyDescent="0.2">
      <c r="A2572" s="146"/>
      <c r="D2572" s="496"/>
    </row>
    <row r="2573" spans="1:4" x14ac:dyDescent="0.2">
      <c r="A2573" s="146"/>
      <c r="D2573" s="496"/>
    </row>
    <row r="2574" spans="1:4" x14ac:dyDescent="0.2">
      <c r="A2574" s="146"/>
      <c r="D2574" s="496"/>
    </row>
    <row r="2575" spans="1:4" x14ac:dyDescent="0.2">
      <c r="A2575" s="146"/>
      <c r="D2575" s="496"/>
    </row>
    <row r="2576" spans="1:4" x14ac:dyDescent="0.2">
      <c r="A2576" s="146"/>
      <c r="D2576" s="496"/>
    </row>
    <row r="2577" spans="1:4" x14ac:dyDescent="0.2">
      <c r="A2577" s="146"/>
      <c r="D2577" s="496"/>
    </row>
    <row r="2578" spans="1:4" x14ac:dyDescent="0.2">
      <c r="A2578" s="146"/>
      <c r="D2578" s="496"/>
    </row>
    <row r="2579" spans="1:4" x14ac:dyDescent="0.2">
      <c r="A2579" s="146"/>
      <c r="D2579" s="496"/>
    </row>
    <row r="2580" spans="1:4" x14ac:dyDescent="0.2">
      <c r="A2580" s="146"/>
      <c r="D2580" s="496"/>
    </row>
    <row r="2581" spans="1:4" x14ac:dyDescent="0.2">
      <c r="A2581" s="146"/>
      <c r="D2581" s="496"/>
    </row>
    <row r="2582" spans="1:4" x14ac:dyDescent="0.2">
      <c r="A2582" s="146"/>
      <c r="D2582" s="496"/>
    </row>
    <row r="2583" spans="1:4" x14ac:dyDescent="0.2">
      <c r="A2583" s="146"/>
      <c r="D2583" s="496"/>
    </row>
    <row r="2584" spans="1:4" x14ac:dyDescent="0.2">
      <c r="A2584" s="146"/>
      <c r="D2584" s="496"/>
    </row>
    <row r="2585" spans="1:4" x14ac:dyDescent="0.2">
      <c r="A2585" s="146"/>
      <c r="D2585" s="496"/>
    </row>
    <row r="2586" spans="1:4" x14ac:dyDescent="0.2">
      <c r="A2586" s="146"/>
      <c r="D2586" s="496"/>
    </row>
    <row r="2587" spans="1:4" x14ac:dyDescent="0.2">
      <c r="A2587" s="146"/>
      <c r="D2587" s="496"/>
    </row>
    <row r="2588" spans="1:4" x14ac:dyDescent="0.2">
      <c r="A2588" s="146"/>
      <c r="D2588" s="496"/>
    </row>
    <row r="2589" spans="1:4" x14ac:dyDescent="0.2">
      <c r="A2589" s="146"/>
      <c r="D2589" s="496"/>
    </row>
    <row r="2590" spans="1:4" x14ac:dyDescent="0.2">
      <c r="A2590" s="146"/>
      <c r="D2590" s="496"/>
    </row>
    <row r="2591" spans="1:4" x14ac:dyDescent="0.2">
      <c r="A2591" s="146"/>
      <c r="D2591" s="496"/>
    </row>
    <row r="2592" spans="1:4" x14ac:dyDescent="0.2">
      <c r="A2592" s="146"/>
      <c r="D2592" s="496"/>
    </row>
    <row r="2593" spans="1:4" x14ac:dyDescent="0.2">
      <c r="A2593" s="146"/>
      <c r="D2593" s="496"/>
    </row>
    <row r="2594" spans="1:4" x14ac:dyDescent="0.2">
      <c r="A2594" s="146"/>
      <c r="D2594" s="496"/>
    </row>
    <row r="2595" spans="1:4" x14ac:dyDescent="0.2">
      <c r="A2595" s="146"/>
      <c r="D2595" s="496"/>
    </row>
    <row r="2596" spans="1:4" x14ac:dyDescent="0.2">
      <c r="A2596" s="146"/>
      <c r="D2596" s="496"/>
    </row>
    <row r="2597" spans="1:4" x14ac:dyDescent="0.2">
      <c r="A2597" s="146"/>
      <c r="D2597" s="496"/>
    </row>
    <row r="2598" spans="1:4" x14ac:dyDescent="0.2">
      <c r="A2598" s="146"/>
      <c r="D2598" s="496"/>
    </row>
    <row r="2599" spans="1:4" x14ac:dyDescent="0.2">
      <c r="A2599" s="146"/>
      <c r="D2599" s="496"/>
    </row>
    <row r="2600" spans="1:4" x14ac:dyDescent="0.2">
      <c r="A2600" s="146"/>
      <c r="D2600" s="496"/>
    </row>
    <row r="2601" spans="1:4" x14ac:dyDescent="0.2">
      <c r="A2601" s="146"/>
      <c r="D2601" s="496"/>
    </row>
    <row r="2602" spans="1:4" x14ac:dyDescent="0.2">
      <c r="A2602" s="146"/>
      <c r="D2602" s="496"/>
    </row>
    <row r="2603" spans="1:4" x14ac:dyDescent="0.2">
      <c r="A2603" s="146"/>
      <c r="D2603" s="496"/>
    </row>
    <row r="2604" spans="1:4" x14ac:dyDescent="0.2">
      <c r="A2604" s="146"/>
      <c r="D2604" s="496"/>
    </row>
    <row r="2605" spans="1:4" x14ac:dyDescent="0.2">
      <c r="A2605" s="146"/>
      <c r="D2605" s="496"/>
    </row>
    <row r="2606" spans="1:4" x14ac:dyDescent="0.2">
      <c r="A2606" s="146"/>
      <c r="D2606" s="496"/>
    </row>
    <row r="2607" spans="1:4" x14ac:dyDescent="0.2">
      <c r="A2607" s="146"/>
      <c r="D2607" s="496"/>
    </row>
    <row r="2608" spans="1:4" x14ac:dyDescent="0.2">
      <c r="A2608" s="146"/>
      <c r="D2608" s="496"/>
    </row>
    <row r="2609" spans="1:4" x14ac:dyDescent="0.2">
      <c r="A2609" s="146"/>
      <c r="D2609" s="496"/>
    </row>
    <row r="2610" spans="1:4" x14ac:dyDescent="0.2">
      <c r="A2610" s="146"/>
      <c r="D2610" s="496"/>
    </row>
    <row r="2611" spans="1:4" x14ac:dyDescent="0.2">
      <c r="A2611" s="146"/>
      <c r="D2611" s="496"/>
    </row>
    <row r="2612" spans="1:4" x14ac:dyDescent="0.2">
      <c r="A2612" s="146"/>
      <c r="D2612" s="496"/>
    </row>
    <row r="2613" spans="1:4" x14ac:dyDescent="0.2">
      <c r="A2613" s="146"/>
      <c r="D2613" s="496"/>
    </row>
    <row r="2614" spans="1:4" x14ac:dyDescent="0.2">
      <c r="A2614" s="146"/>
      <c r="D2614" s="496"/>
    </row>
    <row r="2615" spans="1:4" x14ac:dyDescent="0.2">
      <c r="A2615" s="146"/>
      <c r="D2615" s="496"/>
    </row>
    <row r="2616" spans="1:4" x14ac:dyDescent="0.2">
      <c r="A2616" s="146"/>
      <c r="D2616" s="496"/>
    </row>
    <row r="2617" spans="1:4" x14ac:dyDescent="0.2">
      <c r="A2617" s="146"/>
      <c r="D2617" s="496"/>
    </row>
    <row r="2618" spans="1:4" x14ac:dyDescent="0.2">
      <c r="A2618" s="146"/>
      <c r="D2618" s="496"/>
    </row>
    <row r="2619" spans="1:4" x14ac:dyDescent="0.2">
      <c r="A2619" s="146"/>
      <c r="D2619" s="496"/>
    </row>
    <row r="2620" spans="1:4" x14ac:dyDescent="0.2">
      <c r="A2620" s="146"/>
      <c r="D2620" s="496"/>
    </row>
    <row r="2621" spans="1:4" x14ac:dyDescent="0.2">
      <c r="A2621" s="146"/>
      <c r="D2621" s="496"/>
    </row>
    <row r="2622" spans="1:4" x14ac:dyDescent="0.2">
      <c r="A2622" s="146"/>
      <c r="D2622" s="496"/>
    </row>
    <row r="2623" spans="1:4" x14ac:dyDescent="0.2">
      <c r="A2623" s="146"/>
      <c r="D2623" s="496"/>
    </row>
    <row r="2624" spans="1:4" x14ac:dyDescent="0.2">
      <c r="A2624" s="146"/>
      <c r="D2624" s="496"/>
    </row>
    <row r="2625" spans="1:4" x14ac:dyDescent="0.2">
      <c r="A2625" s="146"/>
      <c r="D2625" s="496"/>
    </row>
    <row r="2626" spans="1:4" x14ac:dyDescent="0.2">
      <c r="A2626" s="146"/>
      <c r="D2626" s="496"/>
    </row>
    <row r="2627" spans="1:4" x14ac:dyDescent="0.2">
      <c r="A2627" s="146"/>
      <c r="D2627" s="496"/>
    </row>
    <row r="2628" spans="1:4" x14ac:dyDescent="0.2">
      <c r="A2628" s="146"/>
      <c r="D2628" s="496"/>
    </row>
    <row r="2629" spans="1:4" x14ac:dyDescent="0.2">
      <c r="A2629" s="146"/>
      <c r="D2629" s="496"/>
    </row>
    <row r="2630" spans="1:4" x14ac:dyDescent="0.2">
      <c r="A2630" s="146"/>
      <c r="D2630" s="496"/>
    </row>
    <row r="2631" spans="1:4" x14ac:dyDescent="0.2">
      <c r="A2631" s="146"/>
      <c r="D2631" s="496"/>
    </row>
    <row r="2632" spans="1:4" x14ac:dyDescent="0.2">
      <c r="A2632" s="146"/>
      <c r="D2632" s="496"/>
    </row>
    <row r="2633" spans="1:4" x14ac:dyDescent="0.2">
      <c r="A2633" s="146"/>
      <c r="D2633" s="496"/>
    </row>
    <row r="2634" spans="1:4" x14ac:dyDescent="0.2">
      <c r="A2634" s="146"/>
      <c r="D2634" s="496"/>
    </row>
    <row r="2635" spans="1:4" x14ac:dyDescent="0.2">
      <c r="A2635" s="146"/>
      <c r="D2635" s="496"/>
    </row>
    <row r="2636" spans="1:4" x14ac:dyDescent="0.2">
      <c r="A2636" s="146"/>
      <c r="D2636" s="496"/>
    </row>
    <row r="2637" spans="1:4" x14ac:dyDescent="0.2">
      <c r="A2637" s="146"/>
      <c r="D2637" s="496"/>
    </row>
    <row r="2638" spans="1:4" x14ac:dyDescent="0.2">
      <c r="A2638" s="146"/>
      <c r="D2638" s="496"/>
    </row>
    <row r="2639" spans="1:4" x14ac:dyDescent="0.2">
      <c r="A2639" s="146"/>
      <c r="D2639" s="496"/>
    </row>
    <row r="2640" spans="1:4" x14ac:dyDescent="0.2">
      <c r="A2640" s="146"/>
      <c r="D2640" s="496"/>
    </row>
    <row r="2641" spans="1:4" x14ac:dyDescent="0.2">
      <c r="A2641" s="146"/>
      <c r="D2641" s="496"/>
    </row>
    <row r="2642" spans="1:4" x14ac:dyDescent="0.2">
      <c r="A2642" s="146"/>
      <c r="D2642" s="496"/>
    </row>
    <row r="2643" spans="1:4" x14ac:dyDescent="0.2">
      <c r="A2643" s="146"/>
      <c r="D2643" s="496"/>
    </row>
    <row r="2644" spans="1:4" x14ac:dyDescent="0.2">
      <c r="A2644" s="146"/>
      <c r="D2644" s="496"/>
    </row>
    <row r="2645" spans="1:4" x14ac:dyDescent="0.2">
      <c r="A2645" s="146"/>
      <c r="D2645" s="496"/>
    </row>
    <row r="2646" spans="1:4" x14ac:dyDescent="0.2">
      <c r="A2646" s="146"/>
      <c r="D2646" s="496"/>
    </row>
    <row r="2647" spans="1:4" x14ac:dyDescent="0.2">
      <c r="A2647" s="146"/>
      <c r="D2647" s="496"/>
    </row>
    <row r="2648" spans="1:4" x14ac:dyDescent="0.2">
      <c r="A2648" s="146"/>
      <c r="D2648" s="496"/>
    </row>
    <row r="2649" spans="1:4" x14ac:dyDescent="0.2">
      <c r="A2649" s="146"/>
      <c r="D2649" s="496"/>
    </row>
    <row r="2650" spans="1:4" x14ac:dyDescent="0.2">
      <c r="A2650" s="146"/>
      <c r="D2650" s="496"/>
    </row>
    <row r="2651" spans="1:4" x14ac:dyDescent="0.2">
      <c r="A2651" s="146"/>
      <c r="D2651" s="496"/>
    </row>
    <row r="2652" spans="1:4" x14ac:dyDescent="0.2">
      <c r="A2652" s="146"/>
      <c r="D2652" s="496"/>
    </row>
    <row r="2653" spans="1:4" x14ac:dyDescent="0.2">
      <c r="A2653" s="146"/>
      <c r="D2653" s="496"/>
    </row>
    <row r="2654" spans="1:4" x14ac:dyDescent="0.2">
      <c r="A2654" s="146"/>
      <c r="D2654" s="496"/>
    </row>
    <row r="2655" spans="1:4" x14ac:dyDescent="0.2">
      <c r="A2655" s="146"/>
      <c r="D2655" s="496"/>
    </row>
    <row r="2656" spans="1:4" x14ac:dyDescent="0.2">
      <c r="A2656" s="146"/>
      <c r="D2656" s="496"/>
    </row>
    <row r="2657" spans="1:4" x14ac:dyDescent="0.2">
      <c r="A2657" s="146"/>
      <c r="D2657" s="496"/>
    </row>
    <row r="2658" spans="1:4" x14ac:dyDescent="0.2">
      <c r="A2658" s="146"/>
      <c r="D2658" s="496"/>
    </row>
    <row r="2659" spans="1:4" x14ac:dyDescent="0.2">
      <c r="A2659" s="146"/>
      <c r="D2659" s="496"/>
    </row>
    <row r="2660" spans="1:4" x14ac:dyDescent="0.2">
      <c r="A2660" s="146"/>
      <c r="D2660" s="496"/>
    </row>
    <row r="2661" spans="1:4" x14ac:dyDescent="0.2">
      <c r="A2661" s="146"/>
      <c r="D2661" s="496"/>
    </row>
    <row r="2662" spans="1:4" x14ac:dyDescent="0.2">
      <c r="A2662" s="146"/>
      <c r="D2662" s="496"/>
    </row>
    <row r="2663" spans="1:4" x14ac:dyDescent="0.2">
      <c r="A2663" s="146"/>
      <c r="D2663" s="496"/>
    </row>
    <row r="2664" spans="1:4" x14ac:dyDescent="0.2">
      <c r="A2664" s="146"/>
      <c r="D2664" s="496"/>
    </row>
    <row r="2665" spans="1:4" x14ac:dyDescent="0.2">
      <c r="A2665" s="146"/>
      <c r="D2665" s="496"/>
    </row>
    <row r="2666" spans="1:4" x14ac:dyDescent="0.2">
      <c r="A2666" s="146"/>
      <c r="D2666" s="496"/>
    </row>
    <row r="2667" spans="1:4" x14ac:dyDescent="0.2">
      <c r="A2667" s="146"/>
      <c r="D2667" s="496"/>
    </row>
    <row r="2668" spans="1:4" x14ac:dyDescent="0.2">
      <c r="A2668" s="146"/>
      <c r="D2668" s="496"/>
    </row>
    <row r="2669" spans="1:4" x14ac:dyDescent="0.2">
      <c r="A2669" s="146"/>
      <c r="D2669" s="496"/>
    </row>
    <row r="2670" spans="1:4" x14ac:dyDescent="0.2">
      <c r="A2670" s="146"/>
      <c r="D2670" s="496"/>
    </row>
    <row r="2671" spans="1:4" x14ac:dyDescent="0.2">
      <c r="A2671" s="146"/>
      <c r="D2671" s="496"/>
    </row>
    <row r="2672" spans="1:4" x14ac:dyDescent="0.2">
      <c r="A2672" s="146"/>
      <c r="D2672" s="496"/>
    </row>
    <row r="2673" spans="1:4" x14ac:dyDescent="0.2">
      <c r="A2673" s="146"/>
      <c r="D2673" s="496"/>
    </row>
    <row r="2674" spans="1:4" x14ac:dyDescent="0.2">
      <c r="A2674" s="146"/>
      <c r="D2674" s="496"/>
    </row>
    <row r="2675" spans="1:4" x14ac:dyDescent="0.2">
      <c r="A2675" s="146"/>
      <c r="D2675" s="496"/>
    </row>
    <row r="2676" spans="1:4" x14ac:dyDescent="0.2">
      <c r="A2676" s="146"/>
      <c r="D2676" s="496"/>
    </row>
    <row r="2677" spans="1:4" x14ac:dyDescent="0.2">
      <c r="A2677" s="146"/>
      <c r="D2677" s="496"/>
    </row>
    <row r="2678" spans="1:4" x14ac:dyDescent="0.2">
      <c r="A2678" s="146"/>
      <c r="D2678" s="496"/>
    </row>
    <row r="2679" spans="1:4" x14ac:dyDescent="0.2">
      <c r="A2679" s="146"/>
      <c r="D2679" s="496"/>
    </row>
    <row r="2680" spans="1:4" x14ac:dyDescent="0.2">
      <c r="A2680" s="146"/>
      <c r="D2680" s="496"/>
    </row>
    <row r="2681" spans="1:4" x14ac:dyDescent="0.2">
      <c r="A2681" s="146"/>
      <c r="D2681" s="496"/>
    </row>
    <row r="2682" spans="1:4" x14ac:dyDescent="0.2">
      <c r="A2682" s="146"/>
      <c r="D2682" s="496"/>
    </row>
    <row r="2683" spans="1:4" x14ac:dyDescent="0.2">
      <c r="A2683" s="146"/>
      <c r="D2683" s="496"/>
    </row>
    <row r="2684" spans="1:4" x14ac:dyDescent="0.2">
      <c r="A2684" s="146"/>
      <c r="D2684" s="496"/>
    </row>
    <row r="2685" spans="1:4" x14ac:dyDescent="0.2">
      <c r="A2685" s="146"/>
      <c r="D2685" s="496"/>
    </row>
    <row r="2686" spans="1:4" x14ac:dyDescent="0.2">
      <c r="A2686" s="146"/>
      <c r="D2686" s="496"/>
    </row>
    <row r="2687" spans="1:4" x14ac:dyDescent="0.2">
      <c r="A2687" s="146"/>
      <c r="D2687" s="496"/>
    </row>
    <row r="2688" spans="1:4" x14ac:dyDescent="0.2">
      <c r="A2688" s="146"/>
      <c r="D2688" s="496"/>
    </row>
    <row r="2689" spans="1:4" x14ac:dyDescent="0.2">
      <c r="A2689" s="146"/>
      <c r="D2689" s="496"/>
    </row>
    <row r="2690" spans="1:4" x14ac:dyDescent="0.2">
      <c r="A2690" s="146"/>
      <c r="D2690" s="496"/>
    </row>
    <row r="2691" spans="1:4" x14ac:dyDescent="0.2">
      <c r="A2691" s="146"/>
      <c r="D2691" s="496"/>
    </row>
    <row r="2692" spans="1:4" x14ac:dyDescent="0.2">
      <c r="A2692" s="146"/>
      <c r="D2692" s="496"/>
    </row>
    <row r="2693" spans="1:4" x14ac:dyDescent="0.2">
      <c r="A2693" s="146"/>
      <c r="D2693" s="496"/>
    </row>
    <row r="2694" spans="1:4" x14ac:dyDescent="0.2">
      <c r="A2694" s="146"/>
      <c r="D2694" s="496"/>
    </row>
    <row r="2695" spans="1:4" x14ac:dyDescent="0.2">
      <c r="A2695" s="146"/>
      <c r="D2695" s="496"/>
    </row>
    <row r="2696" spans="1:4" x14ac:dyDescent="0.2">
      <c r="A2696" s="146"/>
      <c r="D2696" s="496"/>
    </row>
    <row r="2697" spans="1:4" x14ac:dyDescent="0.2">
      <c r="A2697" s="146"/>
      <c r="D2697" s="496"/>
    </row>
    <row r="2698" spans="1:4" x14ac:dyDescent="0.2">
      <c r="A2698" s="146"/>
      <c r="D2698" s="496"/>
    </row>
    <row r="2699" spans="1:4" x14ac:dyDescent="0.2">
      <c r="A2699" s="146"/>
      <c r="D2699" s="496"/>
    </row>
    <row r="2700" spans="1:4" x14ac:dyDescent="0.2">
      <c r="A2700" s="146"/>
      <c r="D2700" s="496"/>
    </row>
    <row r="2701" spans="1:4" x14ac:dyDescent="0.2">
      <c r="A2701" s="146"/>
      <c r="D2701" s="496"/>
    </row>
    <row r="2702" spans="1:4" x14ac:dyDescent="0.2">
      <c r="A2702" s="146"/>
      <c r="D2702" s="496"/>
    </row>
    <row r="2703" spans="1:4" x14ac:dyDescent="0.2">
      <c r="A2703" s="146"/>
      <c r="D2703" s="496"/>
    </row>
    <row r="2704" spans="1:4" x14ac:dyDescent="0.2">
      <c r="A2704" s="146"/>
      <c r="D2704" s="496"/>
    </row>
    <row r="2705" spans="1:4" x14ac:dyDescent="0.2">
      <c r="A2705" s="146"/>
      <c r="D2705" s="496"/>
    </row>
    <row r="2706" spans="1:4" x14ac:dyDescent="0.2">
      <c r="A2706" s="146"/>
      <c r="D2706" s="496"/>
    </row>
    <row r="2707" spans="1:4" x14ac:dyDescent="0.2">
      <c r="A2707" s="146"/>
      <c r="D2707" s="496"/>
    </row>
    <row r="2708" spans="1:4" x14ac:dyDescent="0.2">
      <c r="A2708" s="146"/>
      <c r="D2708" s="496"/>
    </row>
    <row r="2709" spans="1:4" x14ac:dyDescent="0.2">
      <c r="A2709" s="146"/>
      <c r="D2709" s="496"/>
    </row>
    <row r="2710" spans="1:4" x14ac:dyDescent="0.2">
      <c r="A2710" s="146"/>
      <c r="D2710" s="496"/>
    </row>
    <row r="2711" spans="1:4" x14ac:dyDescent="0.2">
      <c r="A2711" s="146"/>
      <c r="D2711" s="496"/>
    </row>
    <row r="2712" spans="1:4" x14ac:dyDescent="0.2">
      <c r="A2712" s="146"/>
      <c r="D2712" s="496"/>
    </row>
    <row r="2713" spans="1:4" x14ac:dyDescent="0.2">
      <c r="A2713" s="146"/>
      <c r="D2713" s="496"/>
    </row>
    <row r="2714" spans="1:4" x14ac:dyDescent="0.2">
      <c r="A2714" s="146"/>
      <c r="D2714" s="496"/>
    </row>
    <row r="2715" spans="1:4" x14ac:dyDescent="0.2">
      <c r="A2715" s="146"/>
      <c r="D2715" s="496"/>
    </row>
    <row r="2716" spans="1:4" x14ac:dyDescent="0.2">
      <c r="A2716" s="146"/>
      <c r="D2716" s="496"/>
    </row>
    <row r="2717" spans="1:4" x14ac:dyDescent="0.2">
      <c r="A2717" s="146"/>
      <c r="D2717" s="496"/>
    </row>
    <row r="2718" spans="1:4" x14ac:dyDescent="0.2">
      <c r="A2718" s="146"/>
      <c r="D2718" s="496"/>
    </row>
    <row r="2719" spans="1:4" x14ac:dyDescent="0.2">
      <c r="A2719" s="146"/>
      <c r="D2719" s="496"/>
    </row>
    <row r="2720" spans="1:4" x14ac:dyDescent="0.2">
      <c r="A2720" s="146"/>
      <c r="D2720" s="496"/>
    </row>
    <row r="2721" spans="1:4" x14ac:dyDescent="0.2">
      <c r="A2721" s="146"/>
      <c r="D2721" s="496"/>
    </row>
    <row r="2722" spans="1:4" x14ac:dyDescent="0.2">
      <c r="A2722" s="146"/>
      <c r="D2722" s="496"/>
    </row>
    <row r="2723" spans="1:4" x14ac:dyDescent="0.2">
      <c r="A2723" s="146"/>
      <c r="D2723" s="496"/>
    </row>
    <row r="2724" spans="1:4" x14ac:dyDescent="0.2">
      <c r="A2724" s="146"/>
      <c r="D2724" s="496"/>
    </row>
    <row r="2725" spans="1:4" x14ac:dyDescent="0.2">
      <c r="A2725" s="146"/>
      <c r="D2725" s="496"/>
    </row>
    <row r="2726" spans="1:4" x14ac:dyDescent="0.2">
      <c r="A2726" s="146"/>
      <c r="D2726" s="496"/>
    </row>
    <row r="2727" spans="1:4" x14ac:dyDescent="0.2">
      <c r="A2727" s="146"/>
      <c r="D2727" s="496"/>
    </row>
    <row r="2728" spans="1:4" x14ac:dyDescent="0.2">
      <c r="A2728" s="146"/>
      <c r="D2728" s="496"/>
    </row>
    <row r="2729" spans="1:4" x14ac:dyDescent="0.2">
      <c r="A2729" s="146"/>
      <c r="D2729" s="496"/>
    </row>
    <row r="2730" spans="1:4" x14ac:dyDescent="0.2">
      <c r="A2730" s="146"/>
      <c r="D2730" s="496"/>
    </row>
    <row r="2731" spans="1:4" x14ac:dyDescent="0.2">
      <c r="A2731" s="146"/>
      <c r="D2731" s="496"/>
    </row>
    <row r="2732" spans="1:4" x14ac:dyDescent="0.2">
      <c r="A2732" s="146"/>
      <c r="D2732" s="496"/>
    </row>
    <row r="2733" spans="1:4" x14ac:dyDescent="0.2">
      <c r="A2733" s="146"/>
      <c r="D2733" s="496"/>
    </row>
    <row r="2734" spans="1:4" x14ac:dyDescent="0.2">
      <c r="A2734" s="146"/>
      <c r="D2734" s="496"/>
    </row>
    <row r="2735" spans="1:4" x14ac:dyDescent="0.2">
      <c r="A2735" s="146"/>
      <c r="D2735" s="496"/>
    </row>
    <row r="2736" spans="1:4" x14ac:dyDescent="0.2">
      <c r="A2736" s="146"/>
      <c r="D2736" s="496"/>
    </row>
    <row r="2737" spans="1:4" x14ac:dyDescent="0.2">
      <c r="A2737" s="146"/>
      <c r="D2737" s="496"/>
    </row>
    <row r="2738" spans="1:4" x14ac:dyDescent="0.2">
      <c r="A2738" s="146"/>
      <c r="D2738" s="496"/>
    </row>
    <row r="2739" spans="1:4" x14ac:dyDescent="0.2">
      <c r="A2739" s="146"/>
      <c r="D2739" s="496"/>
    </row>
    <row r="2740" spans="1:4" x14ac:dyDescent="0.2">
      <c r="A2740" s="146"/>
      <c r="D2740" s="496"/>
    </row>
    <row r="2741" spans="1:4" x14ac:dyDescent="0.2">
      <c r="A2741" s="146"/>
      <c r="D2741" s="496"/>
    </row>
    <row r="2742" spans="1:4" x14ac:dyDescent="0.2">
      <c r="A2742" s="146"/>
      <c r="D2742" s="496"/>
    </row>
    <row r="2743" spans="1:4" x14ac:dyDescent="0.2">
      <c r="A2743" s="146"/>
      <c r="D2743" s="496"/>
    </row>
    <row r="2744" spans="1:4" x14ac:dyDescent="0.2">
      <c r="A2744" s="146"/>
      <c r="D2744" s="496"/>
    </row>
    <row r="2745" spans="1:4" x14ac:dyDescent="0.2">
      <c r="A2745" s="146"/>
      <c r="D2745" s="496"/>
    </row>
    <row r="2746" spans="1:4" x14ac:dyDescent="0.2">
      <c r="A2746" s="146"/>
      <c r="D2746" s="496"/>
    </row>
    <row r="2747" spans="1:4" x14ac:dyDescent="0.2">
      <c r="A2747" s="146"/>
      <c r="D2747" s="496"/>
    </row>
    <row r="2748" spans="1:4" x14ac:dyDescent="0.2">
      <c r="A2748" s="146"/>
      <c r="D2748" s="496"/>
    </row>
    <row r="2749" spans="1:4" x14ac:dyDescent="0.2">
      <c r="A2749" s="146"/>
      <c r="D2749" s="496"/>
    </row>
    <row r="2750" spans="1:4" x14ac:dyDescent="0.2">
      <c r="A2750" s="146"/>
      <c r="D2750" s="496"/>
    </row>
    <row r="2751" spans="1:4" x14ac:dyDescent="0.2">
      <c r="A2751" s="146"/>
      <c r="D2751" s="496"/>
    </row>
    <row r="2752" spans="1:4" x14ac:dyDescent="0.2">
      <c r="A2752" s="146"/>
      <c r="D2752" s="496"/>
    </row>
    <row r="2753" spans="1:4" x14ac:dyDescent="0.2">
      <c r="A2753" s="146"/>
      <c r="D2753" s="496"/>
    </row>
    <row r="2754" spans="1:4" x14ac:dyDescent="0.2">
      <c r="A2754" s="146"/>
      <c r="D2754" s="496"/>
    </row>
    <row r="2755" spans="1:4" x14ac:dyDescent="0.2">
      <c r="A2755" s="146"/>
      <c r="D2755" s="496"/>
    </row>
    <row r="2756" spans="1:4" x14ac:dyDescent="0.2">
      <c r="A2756" s="146"/>
      <c r="D2756" s="496"/>
    </row>
    <row r="2757" spans="1:4" x14ac:dyDescent="0.2">
      <c r="A2757" s="146"/>
      <c r="D2757" s="496"/>
    </row>
    <row r="2758" spans="1:4" x14ac:dyDescent="0.2">
      <c r="A2758" s="146"/>
      <c r="D2758" s="496"/>
    </row>
    <row r="2759" spans="1:4" x14ac:dyDescent="0.2">
      <c r="A2759" s="146"/>
      <c r="D2759" s="496"/>
    </row>
    <row r="2760" spans="1:4" x14ac:dyDescent="0.2">
      <c r="A2760" s="146"/>
      <c r="D2760" s="496"/>
    </row>
    <row r="2761" spans="1:4" x14ac:dyDescent="0.2">
      <c r="A2761" s="146"/>
      <c r="D2761" s="496"/>
    </row>
    <row r="2762" spans="1:4" x14ac:dyDescent="0.2">
      <c r="A2762" s="146"/>
      <c r="D2762" s="496"/>
    </row>
    <row r="2763" spans="1:4" x14ac:dyDescent="0.2">
      <c r="A2763" s="146"/>
      <c r="D2763" s="496"/>
    </row>
    <row r="2764" spans="1:4" x14ac:dyDescent="0.2">
      <c r="A2764" s="146"/>
      <c r="D2764" s="496"/>
    </row>
    <row r="2765" spans="1:4" x14ac:dyDescent="0.2">
      <c r="A2765" s="146"/>
      <c r="D2765" s="496"/>
    </row>
    <row r="2766" spans="1:4" x14ac:dyDescent="0.2">
      <c r="A2766" s="146"/>
      <c r="D2766" s="496"/>
    </row>
    <row r="2767" spans="1:4" x14ac:dyDescent="0.2">
      <c r="A2767" s="146"/>
      <c r="D2767" s="496"/>
    </row>
    <row r="2768" spans="1:4" x14ac:dyDescent="0.2">
      <c r="A2768" s="146"/>
      <c r="D2768" s="496"/>
    </row>
    <row r="2769" spans="1:4" x14ac:dyDescent="0.2">
      <c r="A2769" s="146"/>
      <c r="D2769" s="496"/>
    </row>
    <row r="2770" spans="1:4" x14ac:dyDescent="0.2">
      <c r="A2770" s="146"/>
      <c r="D2770" s="496"/>
    </row>
    <row r="2771" spans="1:4" x14ac:dyDescent="0.2">
      <c r="A2771" s="146"/>
      <c r="D2771" s="496"/>
    </row>
    <row r="2772" spans="1:4" x14ac:dyDescent="0.2">
      <c r="A2772" s="146"/>
      <c r="D2772" s="496"/>
    </row>
    <row r="2773" spans="1:4" x14ac:dyDescent="0.2">
      <c r="A2773" s="146"/>
      <c r="D2773" s="496"/>
    </row>
    <row r="2774" spans="1:4" x14ac:dyDescent="0.2">
      <c r="A2774" s="146"/>
      <c r="D2774" s="496"/>
    </row>
    <row r="2775" spans="1:4" x14ac:dyDescent="0.2">
      <c r="A2775" s="146"/>
      <c r="D2775" s="496"/>
    </row>
    <row r="2776" spans="1:4" x14ac:dyDescent="0.2">
      <c r="A2776" s="146"/>
      <c r="D2776" s="496"/>
    </row>
    <row r="2777" spans="1:4" x14ac:dyDescent="0.2">
      <c r="A2777" s="146"/>
      <c r="D2777" s="496"/>
    </row>
    <row r="2778" spans="1:4" x14ac:dyDescent="0.2">
      <c r="A2778" s="146"/>
      <c r="D2778" s="496"/>
    </row>
    <row r="2779" spans="1:4" x14ac:dyDescent="0.2">
      <c r="A2779" s="146"/>
      <c r="D2779" s="496"/>
    </row>
    <row r="2780" spans="1:4" x14ac:dyDescent="0.2">
      <c r="A2780" s="146"/>
      <c r="D2780" s="496"/>
    </row>
    <row r="2781" spans="1:4" x14ac:dyDescent="0.2">
      <c r="A2781" s="146"/>
      <c r="D2781" s="496"/>
    </row>
    <row r="2782" spans="1:4" x14ac:dyDescent="0.2">
      <c r="A2782" s="146"/>
      <c r="D2782" s="496"/>
    </row>
    <row r="2783" spans="1:4" x14ac:dyDescent="0.2">
      <c r="A2783" s="146"/>
      <c r="D2783" s="496"/>
    </row>
    <row r="2784" spans="1:4" x14ac:dyDescent="0.2">
      <c r="A2784" s="146"/>
      <c r="D2784" s="496"/>
    </row>
    <row r="2785" spans="1:4" x14ac:dyDescent="0.2">
      <c r="A2785" s="146"/>
      <c r="D2785" s="496"/>
    </row>
    <row r="2786" spans="1:4" x14ac:dyDescent="0.2">
      <c r="A2786" s="146"/>
      <c r="D2786" s="496"/>
    </row>
    <row r="2787" spans="1:4" x14ac:dyDescent="0.2">
      <c r="A2787" s="146"/>
      <c r="D2787" s="496"/>
    </row>
    <row r="2788" spans="1:4" x14ac:dyDescent="0.2">
      <c r="A2788" s="146"/>
      <c r="D2788" s="496"/>
    </row>
    <row r="2789" spans="1:4" x14ac:dyDescent="0.2">
      <c r="A2789" s="146"/>
      <c r="D2789" s="496"/>
    </row>
    <row r="2790" spans="1:4" x14ac:dyDescent="0.2">
      <c r="A2790" s="146"/>
      <c r="D2790" s="496"/>
    </row>
    <row r="2791" spans="1:4" x14ac:dyDescent="0.2">
      <c r="A2791" s="146"/>
      <c r="D2791" s="496"/>
    </row>
    <row r="2792" spans="1:4" x14ac:dyDescent="0.2">
      <c r="A2792" s="146"/>
      <c r="D2792" s="496"/>
    </row>
    <row r="2793" spans="1:4" x14ac:dyDescent="0.2">
      <c r="A2793" s="146"/>
      <c r="D2793" s="496"/>
    </row>
    <row r="2794" spans="1:4" x14ac:dyDescent="0.2">
      <c r="A2794" s="146"/>
      <c r="D2794" s="496"/>
    </row>
    <row r="2795" spans="1:4" x14ac:dyDescent="0.2">
      <c r="A2795" s="146"/>
      <c r="D2795" s="496"/>
    </row>
    <row r="2796" spans="1:4" x14ac:dyDescent="0.2">
      <c r="A2796" s="146"/>
      <c r="D2796" s="496"/>
    </row>
    <row r="2797" spans="1:4" x14ac:dyDescent="0.2">
      <c r="A2797" s="146"/>
      <c r="D2797" s="496"/>
    </row>
    <row r="2798" spans="1:4" x14ac:dyDescent="0.2">
      <c r="A2798" s="146"/>
      <c r="D2798" s="496"/>
    </row>
    <row r="2799" spans="1:4" x14ac:dyDescent="0.2">
      <c r="A2799" s="146"/>
      <c r="D2799" s="496"/>
    </row>
    <row r="2800" spans="1:4" x14ac:dyDescent="0.2">
      <c r="A2800" s="146"/>
      <c r="D2800" s="496"/>
    </row>
    <row r="2801" spans="1:4" x14ac:dyDescent="0.2">
      <c r="A2801" s="146"/>
      <c r="D2801" s="496"/>
    </row>
    <row r="2802" spans="1:4" x14ac:dyDescent="0.2">
      <c r="A2802" s="146"/>
      <c r="D2802" s="496"/>
    </row>
    <row r="2803" spans="1:4" x14ac:dyDescent="0.2">
      <c r="A2803" s="146"/>
      <c r="D2803" s="496"/>
    </row>
    <row r="2804" spans="1:4" x14ac:dyDescent="0.2">
      <c r="A2804" s="146"/>
      <c r="D2804" s="496"/>
    </row>
    <row r="2805" spans="1:4" x14ac:dyDescent="0.2">
      <c r="A2805" s="146"/>
      <c r="D2805" s="496"/>
    </row>
    <row r="2806" spans="1:4" x14ac:dyDescent="0.2">
      <c r="A2806" s="146"/>
      <c r="D2806" s="496"/>
    </row>
    <row r="2807" spans="1:4" x14ac:dyDescent="0.2">
      <c r="A2807" s="146"/>
      <c r="D2807" s="496"/>
    </row>
    <row r="2808" spans="1:4" x14ac:dyDescent="0.2">
      <c r="A2808" s="146"/>
      <c r="D2808" s="496"/>
    </row>
    <row r="2809" spans="1:4" x14ac:dyDescent="0.2">
      <c r="A2809" s="146"/>
      <c r="D2809" s="496"/>
    </row>
    <row r="2810" spans="1:4" x14ac:dyDescent="0.2">
      <c r="A2810" s="146"/>
      <c r="D2810" s="496"/>
    </row>
    <row r="2811" spans="1:4" x14ac:dyDescent="0.2">
      <c r="A2811" s="146"/>
      <c r="D2811" s="496"/>
    </row>
    <row r="2812" spans="1:4" x14ac:dyDescent="0.2">
      <c r="A2812" s="146"/>
      <c r="D2812" s="496"/>
    </row>
    <row r="2813" spans="1:4" x14ac:dyDescent="0.2">
      <c r="A2813" s="146"/>
      <c r="D2813" s="496"/>
    </row>
    <row r="2814" spans="1:4" x14ac:dyDescent="0.2">
      <c r="A2814" s="146"/>
      <c r="D2814" s="496"/>
    </row>
    <row r="2815" spans="1:4" x14ac:dyDescent="0.2">
      <c r="A2815" s="146"/>
      <c r="D2815" s="496"/>
    </row>
    <row r="2816" spans="1:4" x14ac:dyDescent="0.2">
      <c r="A2816" s="146"/>
      <c r="D2816" s="496"/>
    </row>
    <row r="2817" spans="1:4" x14ac:dyDescent="0.2">
      <c r="A2817" s="146"/>
      <c r="D2817" s="496"/>
    </row>
    <row r="2818" spans="1:4" x14ac:dyDescent="0.2">
      <c r="A2818" s="146"/>
      <c r="D2818" s="496"/>
    </row>
    <row r="2819" spans="1:4" x14ac:dyDescent="0.2">
      <c r="A2819" s="146"/>
      <c r="D2819" s="496"/>
    </row>
    <row r="2820" spans="1:4" x14ac:dyDescent="0.2">
      <c r="A2820" s="146"/>
      <c r="D2820" s="496"/>
    </row>
    <row r="2821" spans="1:4" x14ac:dyDescent="0.2">
      <c r="A2821" s="146"/>
      <c r="D2821" s="496"/>
    </row>
    <row r="2822" spans="1:4" x14ac:dyDescent="0.2">
      <c r="A2822" s="146"/>
      <c r="D2822" s="496"/>
    </row>
    <row r="2823" spans="1:4" x14ac:dyDescent="0.2">
      <c r="A2823" s="146"/>
      <c r="D2823" s="496"/>
    </row>
    <row r="2824" spans="1:4" x14ac:dyDescent="0.2">
      <c r="A2824" s="146"/>
      <c r="D2824" s="496"/>
    </row>
    <row r="2825" spans="1:4" x14ac:dyDescent="0.2">
      <c r="A2825" s="146"/>
      <c r="D2825" s="496"/>
    </row>
    <row r="2826" spans="1:4" x14ac:dyDescent="0.2">
      <c r="A2826" s="146"/>
      <c r="D2826" s="496"/>
    </row>
    <row r="2827" spans="1:4" x14ac:dyDescent="0.2">
      <c r="A2827" s="146"/>
      <c r="D2827" s="496"/>
    </row>
    <row r="2828" spans="1:4" x14ac:dyDescent="0.2">
      <c r="A2828" s="146"/>
      <c r="D2828" s="496"/>
    </row>
    <row r="2829" spans="1:4" x14ac:dyDescent="0.2">
      <c r="A2829" s="146"/>
      <c r="D2829" s="496"/>
    </row>
    <row r="2830" spans="1:4" x14ac:dyDescent="0.2">
      <c r="A2830" s="146"/>
      <c r="D2830" s="496"/>
    </row>
    <row r="2831" spans="1:4" x14ac:dyDescent="0.2">
      <c r="A2831" s="146"/>
      <c r="D2831" s="496"/>
    </row>
    <row r="2832" spans="1:4" x14ac:dyDescent="0.2">
      <c r="A2832" s="146"/>
      <c r="D2832" s="496"/>
    </row>
    <row r="2833" spans="1:4" x14ac:dyDescent="0.2">
      <c r="A2833" s="146"/>
      <c r="D2833" s="496"/>
    </row>
    <row r="2834" spans="1:4" x14ac:dyDescent="0.2">
      <c r="A2834" s="146"/>
      <c r="D2834" s="496"/>
    </row>
    <row r="2835" spans="1:4" x14ac:dyDescent="0.2">
      <c r="A2835" s="146"/>
      <c r="D2835" s="496"/>
    </row>
    <row r="2836" spans="1:4" x14ac:dyDescent="0.2">
      <c r="A2836" s="146"/>
      <c r="D2836" s="496"/>
    </row>
    <row r="2837" spans="1:4" x14ac:dyDescent="0.2">
      <c r="A2837" s="146"/>
      <c r="D2837" s="496"/>
    </row>
    <row r="2838" spans="1:4" x14ac:dyDescent="0.2">
      <c r="A2838" s="146"/>
      <c r="D2838" s="496"/>
    </row>
    <row r="2839" spans="1:4" x14ac:dyDescent="0.2">
      <c r="A2839" s="146"/>
      <c r="D2839" s="496"/>
    </row>
    <row r="2840" spans="1:4" x14ac:dyDescent="0.2">
      <c r="A2840" s="146"/>
      <c r="D2840" s="496"/>
    </row>
    <row r="2841" spans="1:4" x14ac:dyDescent="0.2">
      <c r="A2841" s="146"/>
      <c r="D2841" s="496"/>
    </row>
    <row r="2842" spans="1:4" x14ac:dyDescent="0.2">
      <c r="A2842" s="146"/>
      <c r="D2842" s="496"/>
    </row>
    <row r="2843" spans="1:4" x14ac:dyDescent="0.2">
      <c r="A2843" s="146"/>
      <c r="D2843" s="496"/>
    </row>
    <row r="2844" spans="1:4" x14ac:dyDescent="0.2">
      <c r="A2844" s="146"/>
      <c r="D2844" s="496"/>
    </row>
    <row r="2845" spans="1:4" x14ac:dyDescent="0.2">
      <c r="A2845" s="146"/>
      <c r="D2845" s="496"/>
    </row>
    <row r="2846" spans="1:4" x14ac:dyDescent="0.2">
      <c r="A2846" s="146"/>
      <c r="D2846" s="496"/>
    </row>
    <row r="2847" spans="1:4" x14ac:dyDescent="0.2">
      <c r="A2847" s="146"/>
      <c r="D2847" s="496"/>
    </row>
    <row r="2848" spans="1:4" x14ac:dyDescent="0.2">
      <c r="A2848" s="146"/>
      <c r="D2848" s="496"/>
    </row>
    <row r="2849" spans="1:4" x14ac:dyDescent="0.2">
      <c r="A2849" s="146"/>
      <c r="D2849" s="496"/>
    </row>
    <row r="2850" spans="1:4" x14ac:dyDescent="0.2">
      <c r="A2850" s="146"/>
      <c r="D2850" s="496"/>
    </row>
    <row r="2851" spans="1:4" x14ac:dyDescent="0.2">
      <c r="A2851" s="146"/>
      <c r="D2851" s="496"/>
    </row>
    <row r="2852" spans="1:4" x14ac:dyDescent="0.2">
      <c r="A2852" s="146"/>
      <c r="D2852" s="496"/>
    </row>
    <row r="2853" spans="1:4" x14ac:dyDescent="0.2">
      <c r="A2853" s="146"/>
      <c r="D2853" s="496"/>
    </row>
    <row r="2854" spans="1:4" x14ac:dyDescent="0.2">
      <c r="A2854" s="146"/>
      <c r="D2854" s="496"/>
    </row>
    <row r="2855" spans="1:4" x14ac:dyDescent="0.2">
      <c r="A2855" s="146"/>
      <c r="D2855" s="496"/>
    </row>
    <row r="2856" spans="1:4" x14ac:dyDescent="0.2">
      <c r="A2856" s="146"/>
      <c r="D2856" s="496"/>
    </row>
    <row r="2857" spans="1:4" x14ac:dyDescent="0.2">
      <c r="A2857" s="146"/>
      <c r="D2857" s="496"/>
    </row>
    <row r="2858" spans="1:4" x14ac:dyDescent="0.2">
      <c r="A2858" s="146"/>
      <c r="D2858" s="496"/>
    </row>
    <row r="2859" spans="1:4" x14ac:dyDescent="0.2">
      <c r="A2859" s="146"/>
      <c r="D2859" s="496"/>
    </row>
    <row r="2860" spans="1:4" x14ac:dyDescent="0.2">
      <c r="A2860" s="146"/>
      <c r="D2860" s="496"/>
    </row>
    <row r="2861" spans="1:4" x14ac:dyDescent="0.2">
      <c r="A2861" s="146"/>
      <c r="D2861" s="496"/>
    </row>
    <row r="2862" spans="1:4" x14ac:dyDescent="0.2">
      <c r="A2862" s="146"/>
      <c r="D2862" s="496"/>
    </row>
    <row r="2863" spans="1:4" x14ac:dyDescent="0.2">
      <c r="A2863" s="146"/>
      <c r="D2863" s="496"/>
    </row>
    <row r="2864" spans="1:4" x14ac:dyDescent="0.2">
      <c r="A2864" s="146"/>
      <c r="D2864" s="496"/>
    </row>
    <row r="2865" spans="1:4" x14ac:dyDescent="0.2">
      <c r="A2865" s="146"/>
      <c r="D2865" s="496"/>
    </row>
    <row r="2866" spans="1:4" x14ac:dyDescent="0.2">
      <c r="A2866" s="146"/>
      <c r="D2866" s="496"/>
    </row>
    <row r="2867" spans="1:4" x14ac:dyDescent="0.2">
      <c r="A2867" s="146"/>
      <c r="D2867" s="496"/>
    </row>
    <row r="2868" spans="1:4" x14ac:dyDescent="0.2">
      <c r="A2868" s="146"/>
      <c r="D2868" s="496"/>
    </row>
    <row r="2869" spans="1:4" x14ac:dyDescent="0.2">
      <c r="A2869" s="146"/>
      <c r="D2869" s="496"/>
    </row>
    <row r="2870" spans="1:4" x14ac:dyDescent="0.2">
      <c r="A2870" s="146"/>
      <c r="D2870" s="496"/>
    </row>
    <row r="2871" spans="1:4" x14ac:dyDescent="0.2">
      <c r="A2871" s="146"/>
      <c r="D2871" s="496"/>
    </row>
    <row r="2872" spans="1:4" x14ac:dyDescent="0.2">
      <c r="A2872" s="146"/>
      <c r="D2872" s="496"/>
    </row>
    <row r="2873" spans="1:4" x14ac:dyDescent="0.2">
      <c r="A2873" s="146"/>
      <c r="D2873" s="496"/>
    </row>
    <row r="2874" spans="1:4" x14ac:dyDescent="0.2">
      <c r="A2874" s="146"/>
      <c r="D2874" s="496"/>
    </row>
    <row r="2875" spans="1:4" x14ac:dyDescent="0.2">
      <c r="A2875" s="146"/>
      <c r="D2875" s="496"/>
    </row>
    <row r="2876" spans="1:4" x14ac:dyDescent="0.2">
      <c r="A2876" s="146"/>
      <c r="D2876" s="496"/>
    </row>
    <row r="2877" spans="1:4" x14ac:dyDescent="0.2">
      <c r="A2877" s="146"/>
      <c r="D2877" s="496"/>
    </row>
    <row r="2878" spans="1:4" x14ac:dyDescent="0.2">
      <c r="A2878" s="146"/>
      <c r="D2878" s="496"/>
    </row>
    <row r="2879" spans="1:4" x14ac:dyDescent="0.2">
      <c r="A2879" s="146"/>
      <c r="D2879" s="496"/>
    </row>
    <row r="2880" spans="1:4" x14ac:dyDescent="0.2">
      <c r="A2880" s="146"/>
      <c r="D2880" s="496"/>
    </row>
    <row r="2881" spans="1:4" x14ac:dyDescent="0.2">
      <c r="A2881" s="146"/>
      <c r="D2881" s="496"/>
    </row>
    <row r="2882" spans="1:4" x14ac:dyDescent="0.2">
      <c r="A2882" s="146"/>
      <c r="D2882" s="496"/>
    </row>
    <row r="2883" spans="1:4" x14ac:dyDescent="0.2">
      <c r="A2883" s="146"/>
      <c r="D2883" s="496"/>
    </row>
    <row r="2884" spans="1:4" x14ac:dyDescent="0.2">
      <c r="A2884" s="146"/>
      <c r="D2884" s="496"/>
    </row>
    <row r="2885" spans="1:4" x14ac:dyDescent="0.2">
      <c r="A2885" s="146"/>
      <c r="D2885" s="496"/>
    </row>
    <row r="2886" spans="1:4" x14ac:dyDescent="0.2">
      <c r="A2886" s="146"/>
      <c r="D2886" s="496"/>
    </row>
    <row r="2887" spans="1:4" x14ac:dyDescent="0.2">
      <c r="A2887" s="146"/>
      <c r="D2887" s="496"/>
    </row>
    <row r="2888" spans="1:4" x14ac:dyDescent="0.2">
      <c r="A2888" s="146"/>
      <c r="D2888" s="496"/>
    </row>
    <row r="2889" spans="1:4" x14ac:dyDescent="0.2">
      <c r="A2889" s="146"/>
      <c r="D2889" s="496"/>
    </row>
    <row r="2890" spans="1:4" x14ac:dyDescent="0.2">
      <c r="A2890" s="146"/>
      <c r="D2890" s="496"/>
    </row>
    <row r="2891" spans="1:4" x14ac:dyDescent="0.2">
      <c r="A2891" s="146"/>
      <c r="D2891" s="496"/>
    </row>
    <row r="2892" spans="1:4" x14ac:dyDescent="0.2">
      <c r="A2892" s="146"/>
      <c r="D2892" s="496"/>
    </row>
    <row r="2893" spans="1:4" x14ac:dyDescent="0.2">
      <c r="A2893" s="146"/>
      <c r="D2893" s="496"/>
    </row>
    <row r="2894" spans="1:4" x14ac:dyDescent="0.2">
      <c r="A2894" s="146"/>
      <c r="D2894" s="496"/>
    </row>
    <row r="2895" spans="1:4" x14ac:dyDescent="0.2">
      <c r="A2895" s="146"/>
      <c r="D2895" s="496"/>
    </row>
    <row r="2896" spans="1:4" x14ac:dyDescent="0.2">
      <c r="A2896" s="146"/>
      <c r="D2896" s="496"/>
    </row>
    <row r="2897" spans="1:4" x14ac:dyDescent="0.2">
      <c r="A2897" s="146"/>
      <c r="D2897" s="496"/>
    </row>
    <row r="2898" spans="1:4" x14ac:dyDescent="0.2">
      <c r="A2898" s="146"/>
      <c r="D2898" s="496"/>
    </row>
    <row r="2899" spans="1:4" x14ac:dyDescent="0.2">
      <c r="A2899" s="146"/>
      <c r="D2899" s="496"/>
    </row>
    <row r="2900" spans="1:4" x14ac:dyDescent="0.2">
      <c r="A2900" s="146"/>
      <c r="D2900" s="496"/>
    </row>
    <row r="2901" spans="1:4" x14ac:dyDescent="0.2">
      <c r="A2901" s="146"/>
      <c r="D2901" s="496"/>
    </row>
    <row r="2902" spans="1:4" x14ac:dyDescent="0.2">
      <c r="A2902" s="146"/>
      <c r="D2902" s="496"/>
    </row>
    <row r="2903" spans="1:4" x14ac:dyDescent="0.2">
      <c r="A2903" s="146"/>
      <c r="D2903" s="496"/>
    </row>
    <row r="2904" spans="1:4" x14ac:dyDescent="0.2">
      <c r="A2904" s="146"/>
      <c r="D2904" s="496"/>
    </row>
    <row r="2905" spans="1:4" x14ac:dyDescent="0.2">
      <c r="A2905" s="146"/>
      <c r="D2905" s="496"/>
    </row>
    <row r="2906" spans="1:4" x14ac:dyDescent="0.2">
      <c r="A2906" s="146"/>
      <c r="D2906" s="496"/>
    </row>
    <row r="2907" spans="1:4" x14ac:dyDescent="0.2">
      <c r="A2907" s="146"/>
      <c r="D2907" s="496"/>
    </row>
    <row r="2908" spans="1:4" x14ac:dyDescent="0.2">
      <c r="A2908" s="146"/>
      <c r="D2908" s="496"/>
    </row>
    <row r="2909" spans="1:4" x14ac:dyDescent="0.2">
      <c r="A2909" s="146"/>
      <c r="D2909" s="496"/>
    </row>
    <row r="2910" spans="1:4" x14ac:dyDescent="0.2">
      <c r="A2910" s="146"/>
      <c r="D2910" s="496"/>
    </row>
    <row r="2911" spans="1:4" x14ac:dyDescent="0.2">
      <c r="A2911" s="146"/>
      <c r="D2911" s="496"/>
    </row>
    <row r="2912" spans="1:4" x14ac:dyDescent="0.2">
      <c r="A2912" s="146"/>
      <c r="D2912" s="496"/>
    </row>
    <row r="2913" spans="1:4" x14ac:dyDescent="0.2">
      <c r="A2913" s="146"/>
      <c r="D2913" s="496"/>
    </row>
    <row r="2914" spans="1:4" x14ac:dyDescent="0.2">
      <c r="A2914" s="146"/>
      <c r="D2914" s="496"/>
    </row>
    <row r="2915" spans="1:4" x14ac:dyDescent="0.2">
      <c r="A2915" s="146"/>
      <c r="D2915" s="496"/>
    </row>
    <row r="2916" spans="1:4" x14ac:dyDescent="0.2">
      <c r="A2916" s="146"/>
      <c r="D2916" s="496"/>
    </row>
    <row r="2917" spans="1:4" x14ac:dyDescent="0.2">
      <c r="A2917" s="146"/>
      <c r="D2917" s="496"/>
    </row>
    <row r="2918" spans="1:4" x14ac:dyDescent="0.2">
      <c r="A2918" s="146"/>
      <c r="D2918" s="496"/>
    </row>
    <row r="2919" spans="1:4" x14ac:dyDescent="0.2">
      <c r="A2919" s="146"/>
      <c r="D2919" s="496"/>
    </row>
    <row r="2920" spans="1:4" x14ac:dyDescent="0.2">
      <c r="A2920" s="146"/>
      <c r="D2920" s="496"/>
    </row>
    <row r="2921" spans="1:4" x14ac:dyDescent="0.2">
      <c r="A2921" s="146"/>
      <c r="D2921" s="496"/>
    </row>
    <row r="2922" spans="1:4" x14ac:dyDescent="0.2">
      <c r="A2922" s="146"/>
      <c r="D2922" s="496"/>
    </row>
    <row r="2923" spans="1:4" x14ac:dyDescent="0.2">
      <c r="A2923" s="146"/>
      <c r="D2923" s="496"/>
    </row>
    <row r="2924" spans="1:4" x14ac:dyDescent="0.2">
      <c r="A2924" s="146"/>
      <c r="D2924" s="496"/>
    </row>
    <row r="2925" spans="1:4" x14ac:dyDescent="0.2">
      <c r="A2925" s="146"/>
      <c r="D2925" s="496"/>
    </row>
    <row r="2926" spans="1:4" x14ac:dyDescent="0.2">
      <c r="A2926" s="146"/>
      <c r="D2926" s="496"/>
    </row>
    <row r="2927" spans="1:4" x14ac:dyDescent="0.2">
      <c r="A2927" s="146"/>
      <c r="D2927" s="496"/>
    </row>
    <row r="2928" spans="1:4" x14ac:dyDescent="0.2">
      <c r="A2928" s="146"/>
      <c r="D2928" s="496"/>
    </row>
    <row r="2929" spans="1:4" x14ac:dyDescent="0.2">
      <c r="A2929" s="146"/>
      <c r="D2929" s="496"/>
    </row>
    <row r="2930" spans="1:4" x14ac:dyDescent="0.2">
      <c r="A2930" s="146"/>
      <c r="D2930" s="496"/>
    </row>
    <row r="2931" spans="1:4" x14ac:dyDescent="0.2">
      <c r="A2931" s="146"/>
      <c r="D2931" s="496"/>
    </row>
    <row r="2932" spans="1:4" x14ac:dyDescent="0.2">
      <c r="A2932" s="146"/>
      <c r="D2932" s="496"/>
    </row>
    <row r="2933" spans="1:4" x14ac:dyDescent="0.2">
      <c r="A2933" s="146"/>
      <c r="D2933" s="496"/>
    </row>
    <row r="2934" spans="1:4" x14ac:dyDescent="0.2">
      <c r="A2934" s="146"/>
      <c r="D2934" s="496"/>
    </row>
    <row r="2935" spans="1:4" x14ac:dyDescent="0.2">
      <c r="A2935" s="146"/>
      <c r="D2935" s="496"/>
    </row>
    <row r="2936" spans="1:4" x14ac:dyDescent="0.2">
      <c r="A2936" s="146"/>
      <c r="D2936" s="496"/>
    </row>
    <row r="2937" spans="1:4" x14ac:dyDescent="0.2">
      <c r="A2937" s="146"/>
      <c r="D2937" s="496"/>
    </row>
    <row r="2938" spans="1:4" x14ac:dyDescent="0.2">
      <c r="A2938" s="146"/>
      <c r="D2938" s="496"/>
    </row>
    <row r="2939" spans="1:4" x14ac:dyDescent="0.2">
      <c r="A2939" s="146"/>
      <c r="D2939" s="496"/>
    </row>
    <row r="2940" spans="1:4" x14ac:dyDescent="0.2">
      <c r="A2940" s="146"/>
      <c r="D2940" s="496"/>
    </row>
    <row r="2941" spans="1:4" x14ac:dyDescent="0.2">
      <c r="A2941" s="146"/>
      <c r="D2941" s="496"/>
    </row>
    <row r="2942" spans="1:4" x14ac:dyDescent="0.2">
      <c r="A2942" s="146"/>
      <c r="D2942" s="496"/>
    </row>
    <row r="2943" spans="1:4" x14ac:dyDescent="0.2">
      <c r="A2943" s="146"/>
      <c r="D2943" s="496"/>
    </row>
    <row r="2944" spans="1:4" x14ac:dyDescent="0.2">
      <c r="A2944" s="146"/>
      <c r="D2944" s="496"/>
    </row>
    <row r="2945" spans="1:4" x14ac:dyDescent="0.2">
      <c r="A2945" s="146"/>
      <c r="D2945" s="496"/>
    </row>
    <row r="2946" spans="1:4" x14ac:dyDescent="0.2">
      <c r="A2946" s="146"/>
      <c r="D2946" s="496"/>
    </row>
    <row r="2947" spans="1:4" x14ac:dyDescent="0.2">
      <c r="A2947" s="146"/>
      <c r="D2947" s="496"/>
    </row>
    <row r="2948" spans="1:4" x14ac:dyDescent="0.2">
      <c r="A2948" s="146"/>
      <c r="D2948" s="496"/>
    </row>
    <row r="2949" spans="1:4" x14ac:dyDescent="0.2">
      <c r="A2949" s="146"/>
      <c r="D2949" s="496"/>
    </row>
    <row r="2950" spans="1:4" x14ac:dyDescent="0.2">
      <c r="A2950" s="146"/>
      <c r="D2950" s="496"/>
    </row>
    <row r="2951" spans="1:4" x14ac:dyDescent="0.2">
      <c r="A2951" s="146"/>
      <c r="D2951" s="496"/>
    </row>
    <row r="2952" spans="1:4" x14ac:dyDescent="0.2">
      <c r="A2952" s="146"/>
      <c r="D2952" s="496"/>
    </row>
    <row r="2953" spans="1:4" x14ac:dyDescent="0.2">
      <c r="A2953" s="146"/>
      <c r="D2953" s="496"/>
    </row>
    <row r="2954" spans="1:4" x14ac:dyDescent="0.2">
      <c r="A2954" s="146"/>
      <c r="D2954" s="496"/>
    </row>
    <row r="2955" spans="1:4" x14ac:dyDescent="0.2">
      <c r="A2955" s="146"/>
      <c r="D2955" s="496"/>
    </row>
    <row r="2956" spans="1:4" x14ac:dyDescent="0.2">
      <c r="A2956" s="146"/>
      <c r="D2956" s="496"/>
    </row>
    <row r="2957" spans="1:4" x14ac:dyDescent="0.2">
      <c r="A2957" s="146"/>
      <c r="D2957" s="496"/>
    </row>
    <row r="2958" spans="1:4" x14ac:dyDescent="0.2">
      <c r="A2958" s="146"/>
      <c r="D2958" s="496"/>
    </row>
    <row r="2959" spans="1:4" x14ac:dyDescent="0.2">
      <c r="A2959" s="146"/>
      <c r="D2959" s="496"/>
    </row>
    <row r="2960" spans="1:4" x14ac:dyDescent="0.2">
      <c r="A2960" s="146"/>
      <c r="D2960" s="496"/>
    </row>
    <row r="2961" spans="1:4" x14ac:dyDescent="0.2">
      <c r="A2961" s="146"/>
      <c r="D2961" s="496"/>
    </row>
    <row r="2962" spans="1:4" x14ac:dyDescent="0.2">
      <c r="A2962" s="146"/>
      <c r="D2962" s="496"/>
    </row>
    <row r="2963" spans="1:4" x14ac:dyDescent="0.2">
      <c r="A2963" s="146"/>
      <c r="D2963" s="496"/>
    </row>
    <row r="2964" spans="1:4" x14ac:dyDescent="0.2">
      <c r="A2964" s="146"/>
      <c r="D2964" s="496"/>
    </row>
    <row r="2965" spans="1:4" x14ac:dyDescent="0.2">
      <c r="A2965" s="146"/>
      <c r="D2965" s="496"/>
    </row>
    <row r="2966" spans="1:4" x14ac:dyDescent="0.2">
      <c r="A2966" s="146"/>
      <c r="D2966" s="496"/>
    </row>
    <row r="2967" spans="1:4" x14ac:dyDescent="0.2">
      <c r="A2967" s="146"/>
      <c r="D2967" s="496"/>
    </row>
    <row r="2968" spans="1:4" x14ac:dyDescent="0.2">
      <c r="A2968" s="146"/>
      <c r="D2968" s="496"/>
    </row>
    <row r="2969" spans="1:4" x14ac:dyDescent="0.2">
      <c r="A2969" s="146"/>
      <c r="D2969" s="496"/>
    </row>
    <row r="2970" spans="1:4" x14ac:dyDescent="0.2">
      <c r="A2970" s="146"/>
      <c r="D2970" s="496"/>
    </row>
    <row r="2971" spans="1:4" x14ac:dyDescent="0.2">
      <c r="A2971" s="146"/>
      <c r="D2971" s="496"/>
    </row>
    <row r="2972" spans="1:4" x14ac:dyDescent="0.2">
      <c r="A2972" s="146"/>
      <c r="D2972" s="496"/>
    </row>
    <row r="2973" spans="1:4" x14ac:dyDescent="0.2">
      <c r="A2973" s="146"/>
      <c r="D2973" s="496"/>
    </row>
    <row r="2974" spans="1:4" x14ac:dyDescent="0.2">
      <c r="A2974" s="146"/>
      <c r="D2974" s="496"/>
    </row>
    <row r="2975" spans="1:4" x14ac:dyDescent="0.2">
      <c r="A2975" s="146"/>
      <c r="D2975" s="496"/>
    </row>
    <row r="2976" spans="1:4" x14ac:dyDescent="0.2">
      <c r="A2976" s="146"/>
      <c r="D2976" s="496"/>
    </row>
    <row r="2977" spans="1:4" x14ac:dyDescent="0.2">
      <c r="A2977" s="146"/>
      <c r="D2977" s="496"/>
    </row>
    <row r="2978" spans="1:4" x14ac:dyDescent="0.2">
      <c r="A2978" s="146"/>
      <c r="D2978" s="496"/>
    </row>
    <row r="2979" spans="1:4" x14ac:dyDescent="0.2">
      <c r="A2979" s="146"/>
      <c r="D2979" s="496"/>
    </row>
    <row r="2980" spans="1:4" x14ac:dyDescent="0.2">
      <c r="A2980" s="146"/>
      <c r="D2980" s="496"/>
    </row>
    <row r="2981" spans="1:4" x14ac:dyDescent="0.2">
      <c r="A2981" s="146"/>
      <c r="D2981" s="496"/>
    </row>
    <row r="2982" spans="1:4" x14ac:dyDescent="0.2">
      <c r="A2982" s="146"/>
      <c r="D2982" s="496"/>
    </row>
    <row r="2983" spans="1:4" x14ac:dyDescent="0.2">
      <c r="A2983" s="146"/>
      <c r="D2983" s="496"/>
    </row>
    <row r="2984" spans="1:4" x14ac:dyDescent="0.2">
      <c r="A2984" s="146"/>
      <c r="D2984" s="496"/>
    </row>
    <row r="2985" spans="1:4" x14ac:dyDescent="0.2">
      <c r="A2985" s="146"/>
      <c r="D2985" s="496"/>
    </row>
    <row r="2986" spans="1:4" x14ac:dyDescent="0.2">
      <c r="A2986" s="146"/>
      <c r="D2986" s="496"/>
    </row>
    <row r="2987" spans="1:4" x14ac:dyDescent="0.2">
      <c r="A2987" s="146"/>
      <c r="D2987" s="496"/>
    </row>
    <row r="2988" spans="1:4" x14ac:dyDescent="0.2">
      <c r="A2988" s="146"/>
      <c r="D2988" s="496"/>
    </row>
    <row r="2989" spans="1:4" x14ac:dyDescent="0.2">
      <c r="A2989" s="146"/>
      <c r="D2989" s="496"/>
    </row>
    <row r="2990" spans="1:4" x14ac:dyDescent="0.2">
      <c r="A2990" s="146"/>
      <c r="D2990" s="496"/>
    </row>
    <row r="2991" spans="1:4" x14ac:dyDescent="0.2">
      <c r="A2991" s="146"/>
      <c r="D2991" s="496"/>
    </row>
    <row r="2992" spans="1:4" x14ac:dyDescent="0.2">
      <c r="A2992" s="146"/>
      <c r="D2992" s="496"/>
    </row>
    <row r="2993" spans="1:4" x14ac:dyDescent="0.2">
      <c r="A2993" s="146"/>
      <c r="D2993" s="496"/>
    </row>
    <row r="2994" spans="1:4" x14ac:dyDescent="0.2">
      <c r="A2994" s="146"/>
      <c r="D2994" s="496"/>
    </row>
    <row r="2995" spans="1:4" x14ac:dyDescent="0.2">
      <c r="A2995" s="146"/>
      <c r="D2995" s="496"/>
    </row>
    <row r="2996" spans="1:4" x14ac:dyDescent="0.2">
      <c r="A2996" s="146"/>
      <c r="D2996" s="496"/>
    </row>
    <row r="2997" spans="1:4" x14ac:dyDescent="0.2">
      <c r="A2997" s="146"/>
      <c r="D2997" s="496"/>
    </row>
    <row r="2998" spans="1:4" x14ac:dyDescent="0.2">
      <c r="A2998" s="146"/>
      <c r="D2998" s="496"/>
    </row>
    <row r="2999" spans="1:4" x14ac:dyDescent="0.2">
      <c r="A2999" s="146"/>
      <c r="D2999" s="496"/>
    </row>
    <row r="3000" spans="1:4" x14ac:dyDescent="0.2">
      <c r="A3000" s="146"/>
      <c r="D3000" s="496"/>
    </row>
    <row r="3001" spans="1:4" x14ac:dyDescent="0.2">
      <c r="A3001" s="146"/>
      <c r="D3001" s="496"/>
    </row>
    <row r="3002" spans="1:4" x14ac:dyDescent="0.2">
      <c r="A3002" s="146"/>
      <c r="D3002" s="496"/>
    </row>
    <row r="3003" spans="1:4" x14ac:dyDescent="0.2">
      <c r="A3003" s="146"/>
      <c r="D3003" s="496"/>
    </row>
    <row r="3004" spans="1:4" x14ac:dyDescent="0.2">
      <c r="A3004" s="146"/>
      <c r="D3004" s="496"/>
    </row>
    <row r="3005" spans="1:4" x14ac:dyDescent="0.2">
      <c r="A3005" s="146"/>
      <c r="D3005" s="496"/>
    </row>
    <row r="3006" spans="1:4" x14ac:dyDescent="0.2">
      <c r="A3006" s="146"/>
      <c r="D3006" s="496"/>
    </row>
    <row r="3007" spans="1:4" x14ac:dyDescent="0.2">
      <c r="A3007" s="146"/>
      <c r="D3007" s="496"/>
    </row>
    <row r="3008" spans="1:4" x14ac:dyDescent="0.2">
      <c r="A3008" s="146"/>
      <c r="D3008" s="496"/>
    </row>
    <row r="3009" spans="1:4" x14ac:dyDescent="0.2">
      <c r="A3009" s="146"/>
      <c r="D3009" s="496"/>
    </row>
    <row r="3010" spans="1:4" x14ac:dyDescent="0.2">
      <c r="A3010" s="146"/>
      <c r="D3010" s="496"/>
    </row>
    <row r="3011" spans="1:4" x14ac:dyDescent="0.2">
      <c r="A3011" s="146"/>
      <c r="D3011" s="496"/>
    </row>
    <row r="3012" spans="1:4" x14ac:dyDescent="0.2">
      <c r="A3012" s="146"/>
      <c r="D3012" s="496"/>
    </row>
    <row r="3013" spans="1:4" x14ac:dyDescent="0.2">
      <c r="A3013" s="146"/>
      <c r="D3013" s="496"/>
    </row>
    <row r="3014" spans="1:4" x14ac:dyDescent="0.2">
      <c r="A3014" s="146"/>
      <c r="D3014" s="496"/>
    </row>
    <row r="3015" spans="1:4" x14ac:dyDescent="0.2">
      <c r="A3015" s="146"/>
      <c r="D3015" s="496"/>
    </row>
    <row r="3016" spans="1:4" x14ac:dyDescent="0.2">
      <c r="A3016" s="146"/>
      <c r="D3016" s="496"/>
    </row>
    <row r="3017" spans="1:4" x14ac:dyDescent="0.2">
      <c r="A3017" s="146"/>
      <c r="D3017" s="496"/>
    </row>
    <row r="3018" spans="1:4" x14ac:dyDescent="0.2">
      <c r="A3018" s="146"/>
      <c r="D3018" s="496"/>
    </row>
    <row r="3019" spans="1:4" x14ac:dyDescent="0.2">
      <c r="A3019" s="146"/>
      <c r="D3019" s="496"/>
    </row>
    <row r="3020" spans="1:4" x14ac:dyDescent="0.2">
      <c r="A3020" s="146"/>
      <c r="D3020" s="496"/>
    </row>
    <row r="3021" spans="1:4" x14ac:dyDescent="0.2">
      <c r="A3021" s="146"/>
      <c r="D3021" s="496"/>
    </row>
    <row r="3022" spans="1:4" x14ac:dyDescent="0.2">
      <c r="A3022" s="146"/>
      <c r="D3022" s="496"/>
    </row>
    <row r="3023" spans="1:4" x14ac:dyDescent="0.2">
      <c r="A3023" s="146"/>
      <c r="D3023" s="496"/>
    </row>
    <row r="3024" spans="1:4" x14ac:dyDescent="0.2">
      <c r="A3024" s="146"/>
      <c r="D3024" s="496"/>
    </row>
    <row r="3025" spans="1:4" x14ac:dyDescent="0.2">
      <c r="A3025" s="146"/>
      <c r="D3025" s="496"/>
    </row>
    <row r="3026" spans="1:4" x14ac:dyDescent="0.2">
      <c r="A3026" s="146"/>
      <c r="D3026" s="496"/>
    </row>
    <row r="3027" spans="1:4" x14ac:dyDescent="0.2">
      <c r="A3027" s="146"/>
      <c r="D3027" s="496"/>
    </row>
    <row r="3028" spans="1:4" x14ac:dyDescent="0.2">
      <c r="A3028" s="146"/>
      <c r="D3028" s="496"/>
    </row>
    <row r="3029" spans="1:4" x14ac:dyDescent="0.2">
      <c r="A3029" s="146"/>
      <c r="D3029" s="496"/>
    </row>
    <row r="3030" spans="1:4" x14ac:dyDescent="0.2">
      <c r="A3030" s="146"/>
      <c r="D3030" s="496"/>
    </row>
    <row r="3031" spans="1:4" x14ac:dyDescent="0.2">
      <c r="A3031" s="146"/>
      <c r="D3031" s="496"/>
    </row>
    <row r="3032" spans="1:4" x14ac:dyDescent="0.2">
      <c r="A3032" s="146"/>
      <c r="D3032" s="496"/>
    </row>
    <row r="3033" spans="1:4" x14ac:dyDescent="0.2">
      <c r="A3033" s="146"/>
      <c r="D3033" s="496"/>
    </row>
    <row r="3034" spans="1:4" x14ac:dyDescent="0.2">
      <c r="A3034" s="146"/>
      <c r="D3034" s="496"/>
    </row>
    <row r="3035" spans="1:4" x14ac:dyDescent="0.2">
      <c r="A3035" s="146"/>
      <c r="D3035" s="496"/>
    </row>
    <row r="3036" spans="1:4" x14ac:dyDescent="0.2">
      <c r="A3036" s="146"/>
      <c r="D3036" s="496"/>
    </row>
    <row r="3037" spans="1:4" x14ac:dyDescent="0.2">
      <c r="A3037" s="146"/>
      <c r="D3037" s="496"/>
    </row>
    <row r="3038" spans="1:4" x14ac:dyDescent="0.2">
      <c r="A3038" s="146"/>
      <c r="D3038" s="496"/>
    </row>
    <row r="3039" spans="1:4" x14ac:dyDescent="0.2">
      <c r="A3039" s="146"/>
      <c r="D3039" s="496"/>
    </row>
    <row r="3040" spans="1:4" x14ac:dyDescent="0.2">
      <c r="A3040" s="146"/>
      <c r="D3040" s="496"/>
    </row>
    <row r="3041" spans="1:4" x14ac:dyDescent="0.2">
      <c r="A3041" s="146"/>
      <c r="D3041" s="496"/>
    </row>
    <row r="3042" spans="1:4" x14ac:dyDescent="0.2">
      <c r="A3042" s="146"/>
      <c r="D3042" s="496"/>
    </row>
    <row r="3043" spans="1:4" x14ac:dyDescent="0.2">
      <c r="A3043" s="146"/>
      <c r="D3043" s="496"/>
    </row>
    <row r="3044" spans="1:4" x14ac:dyDescent="0.2">
      <c r="A3044" s="146"/>
      <c r="D3044" s="496"/>
    </row>
    <row r="3045" spans="1:4" x14ac:dyDescent="0.2">
      <c r="A3045" s="146"/>
      <c r="D3045" s="496"/>
    </row>
    <row r="3046" spans="1:4" x14ac:dyDescent="0.2">
      <c r="A3046" s="146"/>
      <c r="D3046" s="496"/>
    </row>
    <row r="3047" spans="1:4" x14ac:dyDescent="0.2">
      <c r="A3047" s="146"/>
      <c r="D3047" s="496"/>
    </row>
    <row r="3048" spans="1:4" x14ac:dyDescent="0.2">
      <c r="A3048" s="146"/>
      <c r="D3048" s="496"/>
    </row>
    <row r="3049" spans="1:4" x14ac:dyDescent="0.2">
      <c r="A3049" s="146"/>
      <c r="D3049" s="496"/>
    </row>
    <row r="3050" spans="1:4" x14ac:dyDescent="0.2">
      <c r="A3050" s="146"/>
      <c r="D3050" s="496"/>
    </row>
    <row r="3051" spans="1:4" x14ac:dyDescent="0.2">
      <c r="A3051" s="146"/>
      <c r="D3051" s="496"/>
    </row>
    <row r="3052" spans="1:4" x14ac:dyDescent="0.2">
      <c r="A3052" s="146"/>
      <c r="D3052" s="496"/>
    </row>
    <row r="3053" spans="1:4" x14ac:dyDescent="0.2">
      <c r="A3053" s="146"/>
      <c r="D3053" s="496"/>
    </row>
    <row r="3054" spans="1:4" x14ac:dyDescent="0.2">
      <c r="A3054" s="146"/>
      <c r="D3054" s="496"/>
    </row>
    <row r="3055" spans="1:4" x14ac:dyDescent="0.2">
      <c r="A3055" s="146"/>
      <c r="D3055" s="496"/>
    </row>
    <row r="3056" spans="1:4" x14ac:dyDescent="0.2">
      <c r="A3056" s="146"/>
      <c r="D3056" s="496"/>
    </row>
    <row r="3057" spans="1:4" x14ac:dyDescent="0.2">
      <c r="A3057" s="146"/>
      <c r="D3057" s="496"/>
    </row>
    <row r="3058" spans="1:4" x14ac:dyDescent="0.2">
      <c r="A3058" s="146"/>
      <c r="D3058" s="496"/>
    </row>
    <row r="3059" spans="1:4" x14ac:dyDescent="0.2">
      <c r="A3059" s="146"/>
      <c r="D3059" s="496"/>
    </row>
    <row r="3060" spans="1:4" x14ac:dyDescent="0.2">
      <c r="A3060" s="146"/>
      <c r="D3060" s="496"/>
    </row>
    <row r="3061" spans="1:4" x14ac:dyDescent="0.2">
      <c r="A3061" s="146"/>
      <c r="D3061" s="496"/>
    </row>
    <row r="3062" spans="1:4" x14ac:dyDescent="0.2">
      <c r="A3062" s="146"/>
      <c r="D3062" s="496"/>
    </row>
    <row r="3063" spans="1:4" x14ac:dyDescent="0.2">
      <c r="A3063" s="146"/>
      <c r="D3063" s="496"/>
    </row>
    <row r="3064" spans="1:4" x14ac:dyDescent="0.2">
      <c r="A3064" s="146"/>
      <c r="D3064" s="496"/>
    </row>
    <row r="3065" spans="1:4" x14ac:dyDescent="0.2">
      <c r="A3065" s="146"/>
      <c r="D3065" s="496"/>
    </row>
    <row r="3066" spans="1:4" x14ac:dyDescent="0.2">
      <c r="A3066" s="146"/>
      <c r="D3066" s="496"/>
    </row>
    <row r="3067" spans="1:4" x14ac:dyDescent="0.2">
      <c r="A3067" s="146"/>
      <c r="D3067" s="496"/>
    </row>
    <row r="3068" spans="1:4" x14ac:dyDescent="0.2">
      <c r="A3068" s="146"/>
      <c r="D3068" s="496"/>
    </row>
    <row r="3069" spans="1:4" x14ac:dyDescent="0.2">
      <c r="A3069" s="146"/>
      <c r="D3069" s="496"/>
    </row>
    <row r="3070" spans="1:4" x14ac:dyDescent="0.2">
      <c r="A3070" s="146"/>
      <c r="D3070" s="496"/>
    </row>
    <row r="3071" spans="1:4" x14ac:dyDescent="0.2">
      <c r="A3071" s="146"/>
      <c r="D3071" s="496"/>
    </row>
    <row r="3072" spans="1:4" x14ac:dyDescent="0.2">
      <c r="A3072" s="146"/>
      <c r="D3072" s="496"/>
    </row>
    <row r="3073" spans="1:4" x14ac:dyDescent="0.2">
      <c r="A3073" s="146"/>
      <c r="D3073" s="496"/>
    </row>
    <row r="3074" spans="1:4" x14ac:dyDescent="0.2">
      <c r="A3074" s="146"/>
      <c r="D3074" s="496"/>
    </row>
    <row r="3075" spans="1:4" x14ac:dyDescent="0.2">
      <c r="A3075" s="146"/>
      <c r="D3075" s="496"/>
    </row>
    <row r="3076" spans="1:4" x14ac:dyDescent="0.2">
      <c r="A3076" s="146"/>
      <c r="D3076" s="496"/>
    </row>
    <row r="3077" spans="1:4" x14ac:dyDescent="0.2">
      <c r="A3077" s="146"/>
      <c r="D3077" s="496"/>
    </row>
    <row r="3078" spans="1:4" x14ac:dyDescent="0.2">
      <c r="A3078" s="146"/>
      <c r="D3078" s="496"/>
    </row>
    <row r="3079" spans="1:4" x14ac:dyDescent="0.2">
      <c r="A3079" s="146"/>
      <c r="D3079" s="496"/>
    </row>
    <row r="3080" spans="1:4" x14ac:dyDescent="0.2">
      <c r="A3080" s="146"/>
      <c r="D3080" s="496"/>
    </row>
    <row r="3081" spans="1:4" x14ac:dyDescent="0.2">
      <c r="A3081" s="146"/>
      <c r="D3081" s="496"/>
    </row>
    <row r="3082" spans="1:4" x14ac:dyDescent="0.2">
      <c r="A3082" s="146"/>
      <c r="D3082" s="496"/>
    </row>
    <row r="3083" spans="1:4" x14ac:dyDescent="0.2">
      <c r="A3083" s="146"/>
      <c r="D3083" s="496"/>
    </row>
    <row r="3084" spans="1:4" x14ac:dyDescent="0.2">
      <c r="A3084" s="146"/>
      <c r="D3084" s="496"/>
    </row>
    <row r="3085" spans="1:4" x14ac:dyDescent="0.2">
      <c r="A3085" s="146"/>
      <c r="D3085" s="496"/>
    </row>
    <row r="3086" spans="1:4" x14ac:dyDescent="0.2">
      <c r="A3086" s="146"/>
      <c r="D3086" s="496"/>
    </row>
    <row r="3087" spans="1:4" x14ac:dyDescent="0.2">
      <c r="A3087" s="146"/>
      <c r="D3087" s="496"/>
    </row>
    <row r="3088" spans="1:4" x14ac:dyDescent="0.2">
      <c r="A3088" s="146"/>
      <c r="D3088" s="496"/>
    </row>
    <row r="3089" spans="1:4" x14ac:dyDescent="0.2">
      <c r="A3089" s="146"/>
      <c r="D3089" s="496"/>
    </row>
    <row r="3090" spans="1:4" x14ac:dyDescent="0.2">
      <c r="A3090" s="146"/>
      <c r="D3090" s="496"/>
    </row>
    <row r="3091" spans="1:4" x14ac:dyDescent="0.2">
      <c r="A3091" s="146"/>
      <c r="D3091" s="496"/>
    </row>
    <row r="3092" spans="1:4" x14ac:dyDescent="0.2">
      <c r="A3092" s="146"/>
      <c r="D3092" s="496"/>
    </row>
    <row r="3093" spans="1:4" x14ac:dyDescent="0.2">
      <c r="A3093" s="146"/>
      <c r="D3093" s="496"/>
    </row>
    <row r="3094" spans="1:4" x14ac:dyDescent="0.2">
      <c r="A3094" s="146"/>
      <c r="D3094" s="496"/>
    </row>
    <row r="3095" spans="1:4" x14ac:dyDescent="0.2">
      <c r="A3095" s="146"/>
      <c r="D3095" s="496"/>
    </row>
    <row r="3096" spans="1:4" x14ac:dyDescent="0.2">
      <c r="A3096" s="146"/>
      <c r="D3096" s="496"/>
    </row>
    <row r="3097" spans="1:4" x14ac:dyDescent="0.2">
      <c r="A3097" s="146"/>
      <c r="D3097" s="496"/>
    </row>
    <row r="3098" spans="1:4" x14ac:dyDescent="0.2">
      <c r="A3098" s="146"/>
      <c r="D3098" s="496"/>
    </row>
    <row r="3099" spans="1:4" x14ac:dyDescent="0.2">
      <c r="A3099" s="146"/>
      <c r="D3099" s="496"/>
    </row>
    <row r="3100" spans="1:4" x14ac:dyDescent="0.2">
      <c r="A3100" s="146"/>
      <c r="D3100" s="496"/>
    </row>
    <row r="3101" spans="1:4" x14ac:dyDescent="0.2">
      <c r="A3101" s="146"/>
      <c r="D3101" s="496"/>
    </row>
    <row r="3102" spans="1:4" x14ac:dyDescent="0.2">
      <c r="A3102" s="146"/>
      <c r="D3102" s="496"/>
    </row>
    <row r="3103" spans="1:4" x14ac:dyDescent="0.2">
      <c r="A3103" s="146"/>
      <c r="D3103" s="496"/>
    </row>
    <row r="3104" spans="1:4" x14ac:dyDescent="0.2">
      <c r="A3104" s="146"/>
      <c r="D3104" s="496"/>
    </row>
    <row r="3105" spans="1:4" x14ac:dyDescent="0.2">
      <c r="A3105" s="146"/>
      <c r="D3105" s="496"/>
    </row>
    <row r="3106" spans="1:4" x14ac:dyDescent="0.2">
      <c r="A3106" s="146"/>
      <c r="D3106" s="496"/>
    </row>
    <row r="3107" spans="1:4" x14ac:dyDescent="0.2">
      <c r="A3107" s="146"/>
      <c r="D3107" s="496"/>
    </row>
    <row r="3108" spans="1:4" x14ac:dyDescent="0.2">
      <c r="A3108" s="146"/>
      <c r="D3108" s="496"/>
    </row>
    <row r="3109" spans="1:4" x14ac:dyDescent="0.2">
      <c r="A3109" s="146"/>
      <c r="D3109" s="496"/>
    </row>
    <row r="3110" spans="1:4" x14ac:dyDescent="0.2">
      <c r="A3110" s="146"/>
      <c r="D3110" s="496"/>
    </row>
    <row r="3111" spans="1:4" x14ac:dyDescent="0.2">
      <c r="A3111" s="146"/>
      <c r="D3111" s="496"/>
    </row>
    <row r="3112" spans="1:4" x14ac:dyDescent="0.2">
      <c r="A3112" s="146"/>
      <c r="D3112" s="496"/>
    </row>
    <row r="3113" spans="1:4" x14ac:dyDescent="0.2">
      <c r="A3113" s="146"/>
      <c r="D3113" s="496"/>
    </row>
    <row r="3114" spans="1:4" x14ac:dyDescent="0.2">
      <c r="A3114" s="146"/>
      <c r="D3114" s="496"/>
    </row>
    <row r="3115" spans="1:4" x14ac:dyDescent="0.2">
      <c r="A3115" s="146"/>
      <c r="D3115" s="496"/>
    </row>
    <row r="3116" spans="1:4" x14ac:dyDescent="0.2">
      <c r="A3116" s="146"/>
      <c r="D3116" s="496"/>
    </row>
    <row r="3117" spans="1:4" x14ac:dyDescent="0.2">
      <c r="A3117" s="146"/>
      <c r="D3117" s="496"/>
    </row>
    <row r="3118" spans="1:4" x14ac:dyDescent="0.2">
      <c r="A3118" s="146"/>
      <c r="D3118" s="496"/>
    </row>
    <row r="3119" spans="1:4" x14ac:dyDescent="0.2">
      <c r="A3119" s="146"/>
      <c r="D3119" s="496"/>
    </row>
    <row r="3120" spans="1:4" x14ac:dyDescent="0.2">
      <c r="A3120" s="146"/>
      <c r="D3120" s="496"/>
    </row>
    <row r="3121" spans="1:4" x14ac:dyDescent="0.2">
      <c r="A3121" s="146"/>
      <c r="D3121" s="496"/>
    </row>
    <row r="3122" spans="1:4" x14ac:dyDescent="0.2">
      <c r="A3122" s="146"/>
      <c r="D3122" s="496"/>
    </row>
    <row r="3123" spans="1:4" x14ac:dyDescent="0.2">
      <c r="A3123" s="146"/>
      <c r="D3123" s="496"/>
    </row>
    <row r="3124" spans="1:4" x14ac:dyDescent="0.2">
      <c r="A3124" s="146"/>
      <c r="D3124" s="496"/>
    </row>
    <row r="3125" spans="1:4" x14ac:dyDescent="0.2">
      <c r="A3125" s="146"/>
      <c r="D3125" s="496"/>
    </row>
    <row r="3126" spans="1:4" x14ac:dyDescent="0.2">
      <c r="A3126" s="146"/>
      <c r="D3126" s="496"/>
    </row>
    <row r="3127" spans="1:4" x14ac:dyDescent="0.2">
      <c r="A3127" s="146"/>
      <c r="D3127" s="496"/>
    </row>
    <row r="3128" spans="1:4" x14ac:dyDescent="0.2">
      <c r="A3128" s="146"/>
      <c r="D3128" s="496"/>
    </row>
    <row r="3129" spans="1:4" x14ac:dyDescent="0.2">
      <c r="A3129" s="146"/>
      <c r="D3129" s="496"/>
    </row>
    <row r="3130" spans="1:4" x14ac:dyDescent="0.2">
      <c r="A3130" s="146"/>
      <c r="D3130" s="496"/>
    </row>
    <row r="3131" spans="1:4" x14ac:dyDescent="0.2">
      <c r="A3131" s="146"/>
      <c r="D3131" s="496"/>
    </row>
    <row r="3132" spans="1:4" x14ac:dyDescent="0.2">
      <c r="A3132" s="146"/>
      <c r="D3132" s="496"/>
    </row>
    <row r="3133" spans="1:4" x14ac:dyDescent="0.2">
      <c r="A3133" s="146"/>
      <c r="D3133" s="496"/>
    </row>
    <row r="3134" spans="1:4" x14ac:dyDescent="0.2">
      <c r="A3134" s="146"/>
      <c r="D3134" s="496"/>
    </row>
    <row r="3135" spans="1:4" x14ac:dyDescent="0.2">
      <c r="A3135" s="146"/>
      <c r="D3135" s="496"/>
    </row>
    <row r="3136" spans="1:4" x14ac:dyDescent="0.2">
      <c r="A3136" s="146"/>
      <c r="D3136" s="496"/>
    </row>
    <row r="3137" spans="1:4" x14ac:dyDescent="0.2">
      <c r="A3137" s="146"/>
      <c r="D3137" s="496"/>
    </row>
    <row r="3138" spans="1:4" x14ac:dyDescent="0.2">
      <c r="A3138" s="146"/>
      <c r="D3138" s="496"/>
    </row>
    <row r="3139" spans="1:4" x14ac:dyDescent="0.2">
      <c r="A3139" s="146"/>
      <c r="D3139" s="496"/>
    </row>
    <row r="3140" spans="1:4" x14ac:dyDescent="0.2">
      <c r="A3140" s="146"/>
      <c r="D3140" s="496"/>
    </row>
    <row r="3141" spans="1:4" x14ac:dyDescent="0.2">
      <c r="A3141" s="146"/>
      <c r="D3141" s="496"/>
    </row>
    <row r="3142" spans="1:4" x14ac:dyDescent="0.2">
      <c r="A3142" s="146"/>
      <c r="D3142" s="496"/>
    </row>
    <row r="3143" spans="1:4" x14ac:dyDescent="0.2">
      <c r="A3143" s="146"/>
      <c r="D3143" s="496"/>
    </row>
    <row r="3144" spans="1:4" x14ac:dyDescent="0.2">
      <c r="A3144" s="146"/>
      <c r="D3144" s="496"/>
    </row>
    <row r="3145" spans="1:4" x14ac:dyDescent="0.2">
      <c r="A3145" s="146"/>
      <c r="D3145" s="496"/>
    </row>
    <row r="3146" spans="1:4" x14ac:dyDescent="0.2">
      <c r="A3146" s="146"/>
      <c r="D3146" s="496"/>
    </row>
    <row r="3147" spans="1:4" x14ac:dyDescent="0.2">
      <c r="A3147" s="146"/>
      <c r="D3147" s="496"/>
    </row>
    <row r="3148" spans="1:4" x14ac:dyDescent="0.2">
      <c r="A3148" s="146"/>
      <c r="D3148" s="496"/>
    </row>
    <row r="3149" spans="1:4" x14ac:dyDescent="0.2">
      <c r="A3149" s="146"/>
      <c r="D3149" s="496"/>
    </row>
    <row r="3150" spans="1:4" x14ac:dyDescent="0.2">
      <c r="A3150" s="146"/>
      <c r="D3150" s="496"/>
    </row>
    <row r="3151" spans="1:4" x14ac:dyDescent="0.2">
      <c r="A3151" s="146"/>
      <c r="D3151" s="496"/>
    </row>
    <row r="3152" spans="1:4" x14ac:dyDescent="0.2">
      <c r="A3152" s="146"/>
      <c r="D3152" s="496"/>
    </row>
    <row r="3153" spans="1:4" x14ac:dyDescent="0.2">
      <c r="A3153" s="146"/>
      <c r="D3153" s="496"/>
    </row>
    <row r="3154" spans="1:4" x14ac:dyDescent="0.2">
      <c r="A3154" s="146"/>
      <c r="D3154" s="496"/>
    </row>
    <row r="3155" spans="1:4" x14ac:dyDescent="0.2">
      <c r="A3155" s="146"/>
      <c r="D3155" s="496"/>
    </row>
    <row r="3156" spans="1:4" x14ac:dyDescent="0.2">
      <c r="A3156" s="146"/>
      <c r="D3156" s="496"/>
    </row>
    <row r="3157" spans="1:4" x14ac:dyDescent="0.2">
      <c r="A3157" s="146"/>
      <c r="D3157" s="496"/>
    </row>
    <row r="3158" spans="1:4" x14ac:dyDescent="0.2">
      <c r="A3158" s="146"/>
      <c r="D3158" s="496"/>
    </row>
    <row r="3159" spans="1:4" x14ac:dyDescent="0.2">
      <c r="A3159" s="146"/>
      <c r="D3159" s="496"/>
    </row>
    <row r="3160" spans="1:4" x14ac:dyDescent="0.2">
      <c r="A3160" s="146"/>
      <c r="D3160" s="496"/>
    </row>
    <row r="3161" spans="1:4" x14ac:dyDescent="0.2">
      <c r="A3161" s="146"/>
      <c r="D3161" s="496"/>
    </row>
    <row r="3162" spans="1:4" x14ac:dyDescent="0.2">
      <c r="A3162" s="146"/>
      <c r="D3162" s="496"/>
    </row>
    <row r="3163" spans="1:4" x14ac:dyDescent="0.2">
      <c r="A3163" s="146"/>
      <c r="D3163" s="496"/>
    </row>
    <row r="3164" spans="1:4" x14ac:dyDescent="0.2">
      <c r="A3164" s="146"/>
      <c r="D3164" s="496"/>
    </row>
    <row r="3165" spans="1:4" x14ac:dyDescent="0.2">
      <c r="A3165" s="146"/>
      <c r="D3165" s="496"/>
    </row>
    <row r="3166" spans="1:4" x14ac:dyDescent="0.2">
      <c r="A3166" s="146"/>
      <c r="D3166" s="496"/>
    </row>
    <row r="3167" spans="1:4" x14ac:dyDescent="0.2">
      <c r="A3167" s="146"/>
      <c r="D3167" s="496"/>
    </row>
    <row r="3168" spans="1:4" x14ac:dyDescent="0.2">
      <c r="A3168" s="146"/>
      <c r="D3168" s="496"/>
    </row>
    <row r="3169" spans="1:4" x14ac:dyDescent="0.2">
      <c r="A3169" s="146"/>
      <c r="D3169" s="496"/>
    </row>
    <row r="3170" spans="1:4" x14ac:dyDescent="0.2">
      <c r="A3170" s="146"/>
      <c r="D3170" s="496"/>
    </row>
    <row r="3171" spans="1:4" x14ac:dyDescent="0.2">
      <c r="A3171" s="146"/>
      <c r="D3171" s="496"/>
    </row>
    <row r="3172" spans="1:4" x14ac:dyDescent="0.2">
      <c r="A3172" s="146"/>
      <c r="D3172" s="496"/>
    </row>
    <row r="3173" spans="1:4" x14ac:dyDescent="0.2">
      <c r="A3173" s="146"/>
      <c r="D3173" s="496"/>
    </row>
    <row r="3174" spans="1:4" x14ac:dyDescent="0.2">
      <c r="A3174" s="146"/>
      <c r="D3174" s="496"/>
    </row>
    <row r="3175" spans="1:4" x14ac:dyDescent="0.2">
      <c r="A3175" s="146"/>
      <c r="D3175" s="496"/>
    </row>
    <row r="3176" spans="1:4" x14ac:dyDescent="0.2">
      <c r="A3176" s="146"/>
      <c r="D3176" s="496"/>
    </row>
    <row r="3177" spans="1:4" x14ac:dyDescent="0.2">
      <c r="A3177" s="146"/>
      <c r="D3177" s="496"/>
    </row>
    <row r="3178" spans="1:4" x14ac:dyDescent="0.2">
      <c r="A3178" s="146"/>
      <c r="D3178" s="496"/>
    </row>
    <row r="3179" spans="1:4" x14ac:dyDescent="0.2">
      <c r="A3179" s="146"/>
      <c r="D3179" s="496"/>
    </row>
    <row r="3180" spans="1:4" x14ac:dyDescent="0.2">
      <c r="A3180" s="146"/>
      <c r="D3180" s="496"/>
    </row>
    <row r="3181" spans="1:4" x14ac:dyDescent="0.2">
      <c r="A3181" s="146"/>
      <c r="D3181" s="496"/>
    </row>
    <row r="3182" spans="1:4" x14ac:dyDescent="0.2">
      <c r="A3182" s="146"/>
      <c r="D3182" s="496"/>
    </row>
    <row r="3183" spans="1:4" x14ac:dyDescent="0.2">
      <c r="A3183" s="146"/>
      <c r="D3183" s="496"/>
    </row>
    <row r="3184" spans="1:4" x14ac:dyDescent="0.2">
      <c r="A3184" s="146"/>
      <c r="D3184" s="496"/>
    </row>
    <row r="3185" spans="1:4" x14ac:dyDescent="0.2">
      <c r="A3185" s="146"/>
      <c r="D3185" s="496"/>
    </row>
    <row r="3186" spans="1:4" x14ac:dyDescent="0.2">
      <c r="A3186" s="146"/>
      <c r="D3186" s="496"/>
    </row>
    <row r="3187" spans="1:4" x14ac:dyDescent="0.2">
      <c r="A3187" s="146"/>
      <c r="D3187" s="496"/>
    </row>
    <row r="3188" spans="1:4" x14ac:dyDescent="0.2">
      <c r="A3188" s="146"/>
      <c r="D3188" s="496"/>
    </row>
    <row r="3189" spans="1:4" x14ac:dyDescent="0.2">
      <c r="A3189" s="146"/>
      <c r="D3189" s="496"/>
    </row>
    <row r="3190" spans="1:4" x14ac:dyDescent="0.2">
      <c r="A3190" s="146"/>
      <c r="D3190" s="496"/>
    </row>
    <row r="3191" spans="1:4" x14ac:dyDescent="0.2">
      <c r="A3191" s="146"/>
      <c r="D3191" s="496"/>
    </row>
    <row r="3192" spans="1:4" x14ac:dyDescent="0.2">
      <c r="A3192" s="146"/>
      <c r="D3192" s="496"/>
    </row>
    <row r="3193" spans="1:4" x14ac:dyDescent="0.2">
      <c r="A3193" s="146"/>
      <c r="D3193" s="496"/>
    </row>
    <row r="3194" spans="1:4" x14ac:dyDescent="0.2">
      <c r="A3194" s="146"/>
      <c r="D3194" s="496"/>
    </row>
    <row r="3195" spans="1:4" x14ac:dyDescent="0.2">
      <c r="A3195" s="146"/>
      <c r="D3195" s="496"/>
    </row>
    <row r="3196" spans="1:4" x14ac:dyDescent="0.2">
      <c r="A3196" s="146"/>
      <c r="D3196" s="496"/>
    </row>
    <row r="3197" spans="1:4" x14ac:dyDescent="0.2">
      <c r="A3197" s="146"/>
      <c r="D3197" s="496"/>
    </row>
    <row r="3198" spans="1:4" x14ac:dyDescent="0.2">
      <c r="A3198" s="146"/>
      <c r="D3198" s="496"/>
    </row>
    <row r="3199" spans="1:4" x14ac:dyDescent="0.2">
      <c r="A3199" s="146"/>
      <c r="D3199" s="496"/>
    </row>
    <row r="3200" spans="1:4" x14ac:dyDescent="0.2">
      <c r="A3200" s="146"/>
      <c r="D3200" s="496"/>
    </row>
    <row r="3201" spans="1:4" x14ac:dyDescent="0.2">
      <c r="A3201" s="146"/>
      <c r="D3201" s="496"/>
    </row>
    <row r="3202" spans="1:4" x14ac:dyDescent="0.2">
      <c r="A3202" s="146"/>
      <c r="D3202" s="496"/>
    </row>
    <row r="3203" spans="1:4" x14ac:dyDescent="0.2">
      <c r="A3203" s="146"/>
      <c r="D3203" s="496"/>
    </row>
    <row r="3204" spans="1:4" x14ac:dyDescent="0.2">
      <c r="A3204" s="146"/>
      <c r="D3204" s="496"/>
    </row>
    <row r="3205" spans="1:4" x14ac:dyDescent="0.2">
      <c r="A3205" s="146"/>
      <c r="D3205" s="496"/>
    </row>
    <row r="3206" spans="1:4" x14ac:dyDescent="0.2">
      <c r="A3206" s="146"/>
      <c r="D3206" s="496"/>
    </row>
    <row r="3207" spans="1:4" x14ac:dyDescent="0.2">
      <c r="A3207" s="146"/>
      <c r="D3207" s="496"/>
    </row>
    <row r="3208" spans="1:4" x14ac:dyDescent="0.2">
      <c r="A3208" s="146"/>
      <c r="D3208" s="496"/>
    </row>
    <row r="3209" spans="1:4" x14ac:dyDescent="0.2">
      <c r="A3209" s="146"/>
      <c r="D3209" s="496"/>
    </row>
    <row r="3210" spans="1:4" x14ac:dyDescent="0.2">
      <c r="A3210" s="146"/>
      <c r="D3210" s="496"/>
    </row>
    <row r="3211" spans="1:4" x14ac:dyDescent="0.2">
      <c r="A3211" s="146"/>
      <c r="D3211" s="496"/>
    </row>
    <row r="3212" spans="1:4" x14ac:dyDescent="0.2">
      <c r="A3212" s="146"/>
      <c r="D3212" s="496"/>
    </row>
    <row r="3213" spans="1:4" x14ac:dyDescent="0.2">
      <c r="A3213" s="146"/>
      <c r="D3213" s="496"/>
    </row>
    <row r="3214" spans="1:4" x14ac:dyDescent="0.2">
      <c r="A3214" s="146"/>
      <c r="D3214" s="496"/>
    </row>
    <row r="3215" spans="1:4" x14ac:dyDescent="0.2">
      <c r="A3215" s="146"/>
      <c r="D3215" s="496"/>
    </row>
    <row r="3216" spans="1:4" x14ac:dyDescent="0.2">
      <c r="A3216" s="146"/>
      <c r="D3216" s="496"/>
    </row>
    <row r="3217" spans="1:4" x14ac:dyDescent="0.2">
      <c r="A3217" s="146"/>
      <c r="D3217" s="496"/>
    </row>
    <row r="3218" spans="1:4" x14ac:dyDescent="0.2">
      <c r="A3218" s="146"/>
      <c r="D3218" s="496"/>
    </row>
    <row r="3219" spans="1:4" x14ac:dyDescent="0.2">
      <c r="A3219" s="146"/>
      <c r="D3219" s="496"/>
    </row>
    <row r="3220" spans="1:4" x14ac:dyDescent="0.2">
      <c r="A3220" s="146"/>
      <c r="D3220" s="496"/>
    </row>
    <row r="3221" spans="1:4" x14ac:dyDescent="0.2">
      <c r="A3221" s="146"/>
      <c r="D3221" s="496"/>
    </row>
    <row r="3222" spans="1:4" x14ac:dyDescent="0.2">
      <c r="A3222" s="146"/>
      <c r="D3222" s="496"/>
    </row>
    <row r="3223" spans="1:4" x14ac:dyDescent="0.2">
      <c r="A3223" s="146"/>
      <c r="D3223" s="496"/>
    </row>
    <row r="3224" spans="1:4" x14ac:dyDescent="0.2">
      <c r="A3224" s="146"/>
      <c r="D3224" s="496"/>
    </row>
    <row r="3225" spans="1:4" x14ac:dyDescent="0.2">
      <c r="A3225" s="146"/>
      <c r="D3225" s="496"/>
    </row>
    <row r="3226" spans="1:4" x14ac:dyDescent="0.2">
      <c r="A3226" s="146"/>
      <c r="D3226" s="496"/>
    </row>
    <row r="3227" spans="1:4" x14ac:dyDescent="0.2">
      <c r="A3227" s="146"/>
      <c r="D3227" s="496"/>
    </row>
    <row r="3228" spans="1:4" x14ac:dyDescent="0.2">
      <c r="A3228" s="146"/>
      <c r="D3228" s="496"/>
    </row>
    <row r="3229" spans="1:4" x14ac:dyDescent="0.2">
      <c r="A3229" s="146"/>
      <c r="D3229" s="496"/>
    </row>
    <row r="3230" spans="1:4" x14ac:dyDescent="0.2">
      <c r="A3230" s="146"/>
      <c r="D3230" s="496"/>
    </row>
    <row r="3231" spans="1:4" x14ac:dyDescent="0.2">
      <c r="A3231" s="146"/>
      <c r="D3231" s="496"/>
    </row>
    <row r="3232" spans="1:4" x14ac:dyDescent="0.2">
      <c r="A3232" s="146"/>
      <c r="D3232" s="496"/>
    </row>
    <row r="3233" spans="1:4" x14ac:dyDescent="0.2">
      <c r="A3233" s="146"/>
      <c r="D3233" s="496"/>
    </row>
    <row r="3234" spans="1:4" x14ac:dyDescent="0.2">
      <c r="A3234" s="146"/>
      <c r="D3234" s="496"/>
    </row>
    <row r="3235" spans="1:4" x14ac:dyDescent="0.2">
      <c r="A3235" s="146"/>
      <c r="D3235" s="496"/>
    </row>
    <row r="3236" spans="1:4" x14ac:dyDescent="0.2">
      <c r="A3236" s="146"/>
      <c r="D3236" s="496"/>
    </row>
    <row r="3237" spans="1:4" x14ac:dyDescent="0.2">
      <c r="A3237" s="146"/>
      <c r="D3237" s="496"/>
    </row>
    <row r="3238" spans="1:4" x14ac:dyDescent="0.2">
      <c r="A3238" s="146"/>
      <c r="D3238" s="496"/>
    </row>
    <row r="3239" spans="1:4" x14ac:dyDescent="0.2">
      <c r="A3239" s="146"/>
      <c r="D3239" s="496"/>
    </row>
    <row r="3240" spans="1:4" x14ac:dyDescent="0.2">
      <c r="A3240" s="146"/>
      <c r="D3240" s="496"/>
    </row>
    <row r="3241" spans="1:4" x14ac:dyDescent="0.2">
      <c r="A3241" s="146"/>
      <c r="D3241" s="496"/>
    </row>
    <row r="3242" spans="1:4" x14ac:dyDescent="0.2">
      <c r="A3242" s="146"/>
      <c r="D3242" s="496"/>
    </row>
    <row r="3243" spans="1:4" x14ac:dyDescent="0.2">
      <c r="A3243" s="146"/>
      <c r="D3243" s="496"/>
    </row>
    <row r="3244" spans="1:4" x14ac:dyDescent="0.2">
      <c r="A3244" s="146"/>
      <c r="D3244" s="496"/>
    </row>
    <row r="3245" spans="1:4" x14ac:dyDescent="0.2">
      <c r="A3245" s="146"/>
      <c r="D3245" s="496"/>
    </row>
    <row r="3246" spans="1:4" x14ac:dyDescent="0.2">
      <c r="A3246" s="146"/>
      <c r="D3246" s="496"/>
    </row>
    <row r="3247" spans="1:4" x14ac:dyDescent="0.2">
      <c r="A3247" s="146"/>
      <c r="D3247" s="496"/>
    </row>
    <row r="3248" spans="1:4" x14ac:dyDescent="0.2">
      <c r="A3248" s="146"/>
      <c r="D3248" s="496"/>
    </row>
    <row r="3249" spans="1:4" x14ac:dyDescent="0.2">
      <c r="A3249" s="146"/>
      <c r="D3249" s="496"/>
    </row>
    <row r="3250" spans="1:4" x14ac:dyDescent="0.2">
      <c r="A3250" s="146"/>
      <c r="D3250" s="496"/>
    </row>
    <row r="3251" spans="1:4" x14ac:dyDescent="0.2">
      <c r="A3251" s="146"/>
      <c r="D3251" s="496"/>
    </row>
    <row r="3252" spans="1:4" x14ac:dyDescent="0.2">
      <c r="A3252" s="146"/>
      <c r="D3252" s="496"/>
    </row>
    <row r="3253" spans="1:4" x14ac:dyDescent="0.2">
      <c r="A3253" s="146"/>
      <c r="D3253" s="496"/>
    </row>
    <row r="3254" spans="1:4" x14ac:dyDescent="0.2">
      <c r="A3254" s="146"/>
      <c r="D3254" s="496"/>
    </row>
    <row r="3255" spans="1:4" x14ac:dyDescent="0.2">
      <c r="A3255" s="146"/>
      <c r="D3255" s="496"/>
    </row>
    <row r="3256" spans="1:4" x14ac:dyDescent="0.2">
      <c r="A3256" s="146"/>
      <c r="D3256" s="496"/>
    </row>
    <row r="3257" spans="1:4" x14ac:dyDescent="0.2">
      <c r="A3257" s="146"/>
      <c r="D3257" s="496"/>
    </row>
    <row r="3258" spans="1:4" x14ac:dyDescent="0.2">
      <c r="A3258" s="146"/>
      <c r="D3258" s="496"/>
    </row>
    <row r="3259" spans="1:4" x14ac:dyDescent="0.2">
      <c r="A3259" s="146"/>
      <c r="D3259" s="496"/>
    </row>
    <row r="3260" spans="1:4" x14ac:dyDescent="0.2">
      <c r="A3260" s="146"/>
      <c r="D3260" s="496"/>
    </row>
    <row r="3261" spans="1:4" x14ac:dyDescent="0.2">
      <c r="A3261" s="146"/>
      <c r="D3261" s="496"/>
    </row>
    <row r="3262" spans="1:4" x14ac:dyDescent="0.2">
      <c r="A3262" s="146"/>
      <c r="D3262" s="496"/>
    </row>
    <row r="3263" spans="1:4" x14ac:dyDescent="0.2">
      <c r="A3263" s="146"/>
      <c r="D3263" s="496"/>
    </row>
    <row r="3264" spans="1:4" x14ac:dyDescent="0.2">
      <c r="A3264" s="146"/>
      <c r="D3264" s="496"/>
    </row>
    <row r="3265" spans="1:4" x14ac:dyDescent="0.2">
      <c r="A3265" s="146"/>
      <c r="D3265" s="496"/>
    </row>
    <row r="3266" spans="1:4" x14ac:dyDescent="0.2">
      <c r="A3266" s="146"/>
      <c r="D3266" s="496"/>
    </row>
    <row r="3267" spans="1:4" x14ac:dyDescent="0.2">
      <c r="A3267" s="146"/>
      <c r="D3267" s="496"/>
    </row>
    <row r="3268" spans="1:4" x14ac:dyDescent="0.2">
      <c r="A3268" s="146"/>
      <c r="D3268" s="496"/>
    </row>
    <row r="3269" spans="1:4" x14ac:dyDescent="0.2">
      <c r="A3269" s="146"/>
      <c r="D3269" s="496"/>
    </row>
    <row r="3270" spans="1:4" x14ac:dyDescent="0.2">
      <c r="A3270" s="146"/>
      <c r="D3270" s="496"/>
    </row>
    <row r="3271" spans="1:4" x14ac:dyDescent="0.2">
      <c r="A3271" s="146"/>
      <c r="D3271" s="496"/>
    </row>
    <row r="3272" spans="1:4" x14ac:dyDescent="0.2">
      <c r="A3272" s="146"/>
      <c r="D3272" s="496"/>
    </row>
    <row r="3273" spans="1:4" x14ac:dyDescent="0.2">
      <c r="A3273" s="146"/>
      <c r="D3273" s="496"/>
    </row>
    <row r="3274" spans="1:4" x14ac:dyDescent="0.2">
      <c r="A3274" s="146"/>
      <c r="D3274" s="496"/>
    </row>
    <row r="3275" spans="1:4" x14ac:dyDescent="0.2">
      <c r="A3275" s="146"/>
      <c r="D3275" s="496"/>
    </row>
    <row r="3276" spans="1:4" x14ac:dyDescent="0.2">
      <c r="A3276" s="146"/>
      <c r="D3276" s="496"/>
    </row>
    <row r="3277" spans="1:4" x14ac:dyDescent="0.2">
      <c r="A3277" s="146"/>
      <c r="D3277" s="496"/>
    </row>
    <row r="3278" spans="1:4" x14ac:dyDescent="0.2">
      <c r="A3278" s="146"/>
      <c r="D3278" s="496"/>
    </row>
    <row r="3279" spans="1:4" x14ac:dyDescent="0.2">
      <c r="A3279" s="146"/>
      <c r="D3279" s="496"/>
    </row>
    <row r="3280" spans="1:4" x14ac:dyDescent="0.2">
      <c r="A3280" s="146"/>
      <c r="D3280" s="496"/>
    </row>
    <row r="3281" spans="1:4" x14ac:dyDescent="0.2">
      <c r="A3281" s="146"/>
      <c r="D3281" s="496"/>
    </row>
    <row r="3282" spans="1:4" x14ac:dyDescent="0.2">
      <c r="A3282" s="146"/>
      <c r="D3282" s="496"/>
    </row>
    <row r="3283" spans="1:4" x14ac:dyDescent="0.2">
      <c r="A3283" s="146"/>
      <c r="D3283" s="496"/>
    </row>
    <row r="3284" spans="1:4" x14ac:dyDescent="0.2">
      <c r="A3284" s="146"/>
      <c r="D3284" s="496"/>
    </row>
    <row r="3285" spans="1:4" x14ac:dyDescent="0.2">
      <c r="A3285" s="146"/>
      <c r="D3285" s="496"/>
    </row>
    <row r="3286" spans="1:4" x14ac:dyDescent="0.2">
      <c r="A3286" s="146"/>
      <c r="D3286" s="496"/>
    </row>
    <row r="3287" spans="1:4" x14ac:dyDescent="0.2">
      <c r="A3287" s="146"/>
      <c r="D3287" s="496"/>
    </row>
    <row r="3288" spans="1:4" x14ac:dyDescent="0.2">
      <c r="A3288" s="146"/>
      <c r="D3288" s="496"/>
    </row>
    <row r="3289" spans="1:4" x14ac:dyDescent="0.2">
      <c r="A3289" s="146"/>
      <c r="D3289" s="496"/>
    </row>
    <row r="3290" spans="1:4" x14ac:dyDescent="0.2">
      <c r="A3290" s="146"/>
      <c r="D3290" s="496"/>
    </row>
    <row r="3291" spans="1:4" x14ac:dyDescent="0.2">
      <c r="A3291" s="146"/>
      <c r="D3291" s="496"/>
    </row>
    <row r="3292" spans="1:4" x14ac:dyDescent="0.2">
      <c r="A3292" s="146"/>
      <c r="D3292" s="496"/>
    </row>
    <row r="3293" spans="1:4" x14ac:dyDescent="0.2">
      <c r="A3293" s="146"/>
      <c r="D3293" s="496"/>
    </row>
    <row r="3294" spans="1:4" x14ac:dyDescent="0.2">
      <c r="A3294" s="146"/>
      <c r="D3294" s="496"/>
    </row>
    <row r="3295" spans="1:4" x14ac:dyDescent="0.2">
      <c r="A3295" s="146"/>
      <c r="D3295" s="496"/>
    </row>
    <row r="3296" spans="1:4" x14ac:dyDescent="0.2">
      <c r="A3296" s="146"/>
      <c r="D3296" s="496"/>
    </row>
    <row r="3297" spans="1:4" x14ac:dyDescent="0.2">
      <c r="A3297" s="146"/>
      <c r="D3297" s="496"/>
    </row>
    <row r="3298" spans="1:4" x14ac:dyDescent="0.2">
      <c r="A3298" s="146"/>
      <c r="D3298" s="496"/>
    </row>
    <row r="3299" spans="1:4" x14ac:dyDescent="0.2">
      <c r="A3299" s="146"/>
      <c r="D3299" s="496"/>
    </row>
    <row r="3300" spans="1:4" x14ac:dyDescent="0.2">
      <c r="A3300" s="146"/>
      <c r="D3300" s="496"/>
    </row>
    <row r="3301" spans="1:4" x14ac:dyDescent="0.2">
      <c r="A3301" s="146"/>
      <c r="D3301" s="496"/>
    </row>
    <row r="3302" spans="1:4" x14ac:dyDescent="0.2">
      <c r="A3302" s="146"/>
      <c r="D3302" s="496"/>
    </row>
    <row r="3303" spans="1:4" x14ac:dyDescent="0.2">
      <c r="A3303" s="146"/>
      <c r="D3303" s="496"/>
    </row>
    <row r="3304" spans="1:4" x14ac:dyDescent="0.2">
      <c r="A3304" s="146"/>
      <c r="D3304" s="496"/>
    </row>
    <row r="3305" spans="1:4" x14ac:dyDescent="0.2">
      <c r="A3305" s="146"/>
      <c r="D3305" s="496"/>
    </row>
    <row r="3306" spans="1:4" x14ac:dyDescent="0.2">
      <c r="A3306" s="146"/>
      <c r="D3306" s="496"/>
    </row>
    <row r="3307" spans="1:4" x14ac:dyDescent="0.2">
      <c r="A3307" s="146"/>
      <c r="D3307" s="496"/>
    </row>
    <row r="3308" spans="1:4" x14ac:dyDescent="0.2">
      <c r="A3308" s="146"/>
      <c r="D3308" s="496"/>
    </row>
    <row r="3309" spans="1:4" x14ac:dyDescent="0.2">
      <c r="A3309" s="146"/>
      <c r="D3309" s="496"/>
    </row>
    <row r="3310" spans="1:4" x14ac:dyDescent="0.2">
      <c r="A3310" s="146"/>
      <c r="D3310" s="496"/>
    </row>
    <row r="3311" spans="1:4" x14ac:dyDescent="0.2">
      <c r="A3311" s="146"/>
      <c r="D3311" s="496"/>
    </row>
    <row r="3312" spans="1:4" x14ac:dyDescent="0.2">
      <c r="A3312" s="146"/>
      <c r="D3312" s="496"/>
    </row>
    <row r="3313" spans="1:4" x14ac:dyDescent="0.2">
      <c r="A3313" s="146"/>
      <c r="D3313" s="496"/>
    </row>
    <row r="3314" spans="1:4" x14ac:dyDescent="0.2">
      <c r="A3314" s="146"/>
      <c r="D3314" s="496"/>
    </row>
    <row r="3315" spans="1:4" x14ac:dyDescent="0.2">
      <c r="A3315" s="146"/>
      <c r="D3315" s="496"/>
    </row>
    <row r="3316" spans="1:4" x14ac:dyDescent="0.2">
      <c r="A3316" s="146"/>
      <c r="D3316" s="496"/>
    </row>
    <row r="3317" spans="1:4" x14ac:dyDescent="0.2">
      <c r="A3317" s="146"/>
      <c r="D3317" s="496"/>
    </row>
    <row r="3318" spans="1:4" x14ac:dyDescent="0.2">
      <c r="A3318" s="146"/>
      <c r="D3318" s="496"/>
    </row>
    <row r="3319" spans="1:4" x14ac:dyDescent="0.2">
      <c r="A3319" s="146"/>
      <c r="D3319" s="496"/>
    </row>
    <row r="3320" spans="1:4" x14ac:dyDescent="0.2">
      <c r="A3320" s="146"/>
      <c r="D3320" s="496"/>
    </row>
    <row r="3321" spans="1:4" x14ac:dyDescent="0.2">
      <c r="A3321" s="146"/>
      <c r="D3321" s="496"/>
    </row>
    <row r="3322" spans="1:4" x14ac:dyDescent="0.2">
      <c r="A3322" s="146"/>
      <c r="D3322" s="496"/>
    </row>
    <row r="3323" spans="1:4" x14ac:dyDescent="0.2">
      <c r="A3323" s="146"/>
      <c r="D3323" s="496"/>
    </row>
    <row r="3324" spans="1:4" x14ac:dyDescent="0.2">
      <c r="A3324" s="146"/>
      <c r="D3324" s="496"/>
    </row>
    <row r="3325" spans="1:4" x14ac:dyDescent="0.2">
      <c r="A3325" s="146"/>
      <c r="D3325" s="496"/>
    </row>
    <row r="3326" spans="1:4" x14ac:dyDescent="0.2">
      <c r="A3326" s="146"/>
      <c r="D3326" s="496"/>
    </row>
    <row r="3327" spans="1:4" x14ac:dyDescent="0.2">
      <c r="A3327" s="146"/>
      <c r="D3327" s="496"/>
    </row>
    <row r="3328" spans="1:4" x14ac:dyDescent="0.2">
      <c r="A3328" s="146"/>
      <c r="D3328" s="496"/>
    </row>
    <row r="3329" spans="1:4" x14ac:dyDescent="0.2">
      <c r="A3329" s="146"/>
      <c r="D3329" s="496"/>
    </row>
    <row r="3330" spans="1:4" x14ac:dyDescent="0.2">
      <c r="A3330" s="146"/>
      <c r="D3330" s="496"/>
    </row>
    <row r="3331" spans="1:4" x14ac:dyDescent="0.2">
      <c r="A3331" s="146"/>
      <c r="D3331" s="496"/>
    </row>
    <row r="3332" spans="1:4" x14ac:dyDescent="0.2">
      <c r="A3332" s="146"/>
      <c r="D3332" s="496"/>
    </row>
    <row r="3333" spans="1:4" x14ac:dyDescent="0.2">
      <c r="A3333" s="146"/>
      <c r="D3333" s="496"/>
    </row>
    <row r="3334" spans="1:4" x14ac:dyDescent="0.2">
      <c r="A3334" s="146"/>
      <c r="D3334" s="496"/>
    </row>
    <row r="3335" spans="1:4" x14ac:dyDescent="0.2">
      <c r="A3335" s="146"/>
      <c r="D3335" s="496"/>
    </row>
    <row r="3336" spans="1:4" x14ac:dyDescent="0.2">
      <c r="A3336" s="146"/>
      <c r="D3336" s="496"/>
    </row>
    <row r="3337" spans="1:4" x14ac:dyDescent="0.2">
      <c r="A3337" s="146"/>
      <c r="D3337" s="496"/>
    </row>
    <row r="3338" spans="1:4" x14ac:dyDescent="0.2">
      <c r="A3338" s="146"/>
      <c r="D3338" s="496"/>
    </row>
    <row r="3339" spans="1:4" x14ac:dyDescent="0.2">
      <c r="A3339" s="146"/>
      <c r="D3339" s="496"/>
    </row>
    <row r="3340" spans="1:4" x14ac:dyDescent="0.2">
      <c r="A3340" s="146"/>
      <c r="D3340" s="496"/>
    </row>
    <row r="3341" spans="1:4" x14ac:dyDescent="0.2">
      <c r="A3341" s="146"/>
      <c r="D3341" s="496"/>
    </row>
    <row r="3342" spans="1:4" x14ac:dyDescent="0.2">
      <c r="A3342" s="146"/>
      <c r="D3342" s="496"/>
    </row>
    <row r="3343" spans="1:4" x14ac:dyDescent="0.2">
      <c r="A3343" s="146"/>
      <c r="D3343" s="496"/>
    </row>
    <row r="3344" spans="1:4" x14ac:dyDescent="0.2">
      <c r="A3344" s="146"/>
      <c r="D3344" s="496"/>
    </row>
    <row r="3345" spans="1:4" x14ac:dyDescent="0.2">
      <c r="A3345" s="146"/>
      <c r="D3345" s="496"/>
    </row>
    <row r="3346" spans="1:4" x14ac:dyDescent="0.2">
      <c r="A3346" s="146"/>
      <c r="D3346" s="496"/>
    </row>
    <row r="3347" spans="1:4" x14ac:dyDescent="0.2">
      <c r="A3347" s="146"/>
      <c r="D3347" s="496"/>
    </row>
    <row r="3348" spans="1:4" x14ac:dyDescent="0.2">
      <c r="A3348" s="146"/>
      <c r="D3348" s="496"/>
    </row>
    <row r="3349" spans="1:4" x14ac:dyDescent="0.2">
      <c r="A3349" s="146"/>
      <c r="D3349" s="496"/>
    </row>
    <row r="3350" spans="1:4" x14ac:dyDescent="0.2">
      <c r="A3350" s="146"/>
      <c r="D3350" s="496"/>
    </row>
    <row r="3351" spans="1:4" x14ac:dyDescent="0.2">
      <c r="A3351" s="146"/>
      <c r="D3351" s="496"/>
    </row>
    <row r="3352" spans="1:4" x14ac:dyDescent="0.2">
      <c r="A3352" s="146"/>
      <c r="D3352" s="496"/>
    </row>
    <row r="3353" spans="1:4" x14ac:dyDescent="0.2">
      <c r="A3353" s="146"/>
      <c r="D3353" s="496"/>
    </row>
    <row r="3354" spans="1:4" x14ac:dyDescent="0.2">
      <c r="A3354" s="146"/>
      <c r="D3354" s="496"/>
    </row>
    <row r="3355" spans="1:4" x14ac:dyDescent="0.2">
      <c r="A3355" s="146"/>
      <c r="D3355" s="496"/>
    </row>
    <row r="3356" spans="1:4" x14ac:dyDescent="0.2">
      <c r="A3356" s="146"/>
      <c r="D3356" s="496"/>
    </row>
    <row r="3357" spans="1:4" x14ac:dyDescent="0.2">
      <c r="A3357" s="146"/>
      <c r="D3357" s="496"/>
    </row>
    <row r="3358" spans="1:4" x14ac:dyDescent="0.2">
      <c r="A3358" s="146"/>
      <c r="D3358" s="496"/>
    </row>
    <row r="3359" spans="1:4" x14ac:dyDescent="0.2">
      <c r="A3359" s="146"/>
      <c r="D3359" s="496"/>
    </row>
    <row r="3360" spans="1:4" x14ac:dyDescent="0.2">
      <c r="A3360" s="146"/>
      <c r="D3360" s="496"/>
    </row>
    <row r="3361" spans="1:4" x14ac:dyDescent="0.2">
      <c r="A3361" s="146"/>
      <c r="D3361" s="496"/>
    </row>
    <row r="3362" spans="1:4" x14ac:dyDescent="0.2">
      <c r="A3362" s="146"/>
      <c r="D3362" s="496"/>
    </row>
    <row r="3363" spans="1:4" x14ac:dyDescent="0.2">
      <c r="A3363" s="146"/>
      <c r="D3363" s="496"/>
    </row>
    <row r="3364" spans="1:4" x14ac:dyDescent="0.2">
      <c r="A3364" s="146"/>
      <c r="D3364" s="496"/>
    </row>
    <row r="3365" spans="1:4" x14ac:dyDescent="0.2">
      <c r="A3365" s="146"/>
      <c r="D3365" s="496"/>
    </row>
    <row r="3366" spans="1:4" x14ac:dyDescent="0.2">
      <c r="A3366" s="146"/>
      <c r="D3366" s="496"/>
    </row>
    <row r="3367" spans="1:4" x14ac:dyDescent="0.2">
      <c r="A3367" s="146"/>
      <c r="D3367" s="496"/>
    </row>
    <row r="3368" spans="1:4" x14ac:dyDescent="0.2">
      <c r="A3368" s="146"/>
      <c r="D3368" s="496"/>
    </row>
    <row r="3369" spans="1:4" x14ac:dyDescent="0.2">
      <c r="A3369" s="146"/>
      <c r="D3369" s="496"/>
    </row>
    <row r="3370" spans="1:4" x14ac:dyDescent="0.2">
      <c r="A3370" s="146"/>
      <c r="D3370" s="496"/>
    </row>
    <row r="3371" spans="1:4" x14ac:dyDescent="0.2">
      <c r="A3371" s="146"/>
      <c r="D3371" s="496"/>
    </row>
    <row r="3372" spans="1:4" x14ac:dyDescent="0.2">
      <c r="A3372" s="146"/>
      <c r="D3372" s="496"/>
    </row>
    <row r="3373" spans="1:4" x14ac:dyDescent="0.2">
      <c r="A3373" s="146"/>
      <c r="D3373" s="496"/>
    </row>
    <row r="3374" spans="1:4" x14ac:dyDescent="0.2">
      <c r="A3374" s="146"/>
      <c r="D3374" s="496"/>
    </row>
    <row r="3375" spans="1:4" x14ac:dyDescent="0.2">
      <c r="A3375" s="146"/>
      <c r="D3375" s="496"/>
    </row>
    <row r="3376" spans="1:4" x14ac:dyDescent="0.2">
      <c r="A3376" s="146"/>
      <c r="D3376" s="496"/>
    </row>
    <row r="3377" spans="1:4" x14ac:dyDescent="0.2">
      <c r="A3377" s="146"/>
      <c r="D3377" s="496"/>
    </row>
    <row r="3378" spans="1:4" x14ac:dyDescent="0.2">
      <c r="A3378" s="146"/>
      <c r="D3378" s="496"/>
    </row>
    <row r="3379" spans="1:4" x14ac:dyDescent="0.2">
      <c r="A3379" s="146"/>
      <c r="D3379" s="496"/>
    </row>
    <row r="3380" spans="1:4" x14ac:dyDescent="0.2">
      <c r="A3380" s="146"/>
      <c r="D3380" s="496"/>
    </row>
    <row r="3381" spans="1:4" x14ac:dyDescent="0.2">
      <c r="A3381" s="146"/>
      <c r="D3381" s="496"/>
    </row>
    <row r="3382" spans="1:4" x14ac:dyDescent="0.2">
      <c r="A3382" s="146"/>
      <c r="D3382" s="496"/>
    </row>
    <row r="3383" spans="1:4" x14ac:dyDescent="0.2">
      <c r="A3383" s="146"/>
      <c r="D3383" s="496"/>
    </row>
    <row r="3384" spans="1:4" x14ac:dyDescent="0.2">
      <c r="A3384" s="146"/>
      <c r="D3384" s="496"/>
    </row>
    <row r="3385" spans="1:4" x14ac:dyDescent="0.2">
      <c r="A3385" s="146"/>
      <c r="D3385" s="496"/>
    </row>
    <row r="3386" spans="1:4" x14ac:dyDescent="0.2">
      <c r="A3386" s="146"/>
      <c r="D3386" s="496"/>
    </row>
    <row r="3387" spans="1:4" x14ac:dyDescent="0.2">
      <c r="A3387" s="146"/>
      <c r="D3387" s="496"/>
    </row>
    <row r="3388" spans="1:4" x14ac:dyDescent="0.2">
      <c r="A3388" s="146"/>
      <c r="D3388" s="496"/>
    </row>
    <row r="3389" spans="1:4" x14ac:dyDescent="0.2">
      <c r="A3389" s="146"/>
      <c r="D3389" s="496"/>
    </row>
    <row r="3390" spans="1:4" x14ac:dyDescent="0.2">
      <c r="A3390" s="146"/>
      <c r="D3390" s="496"/>
    </row>
    <row r="3391" spans="1:4" x14ac:dyDescent="0.2">
      <c r="A3391" s="146"/>
      <c r="D3391" s="496"/>
    </row>
    <row r="3392" spans="1:4" x14ac:dyDescent="0.2">
      <c r="A3392" s="146"/>
      <c r="D3392" s="496"/>
    </row>
    <row r="3393" spans="1:4" x14ac:dyDescent="0.2">
      <c r="A3393" s="146"/>
      <c r="D3393" s="496"/>
    </row>
    <row r="3394" spans="1:4" x14ac:dyDescent="0.2">
      <c r="A3394" s="146"/>
      <c r="D3394" s="496"/>
    </row>
    <row r="3395" spans="1:4" x14ac:dyDescent="0.2">
      <c r="A3395" s="146"/>
      <c r="D3395" s="496"/>
    </row>
    <row r="3396" spans="1:4" x14ac:dyDescent="0.2">
      <c r="A3396" s="146"/>
      <c r="D3396" s="496"/>
    </row>
    <row r="3397" spans="1:4" x14ac:dyDescent="0.2">
      <c r="A3397" s="146"/>
      <c r="D3397" s="496"/>
    </row>
    <row r="3398" spans="1:4" x14ac:dyDescent="0.2">
      <c r="A3398" s="146"/>
      <c r="D3398" s="496"/>
    </row>
    <row r="3399" spans="1:4" x14ac:dyDescent="0.2">
      <c r="A3399" s="146"/>
      <c r="D3399" s="496"/>
    </row>
    <row r="3400" spans="1:4" x14ac:dyDescent="0.2">
      <c r="A3400" s="146"/>
      <c r="D3400" s="496"/>
    </row>
    <row r="3401" spans="1:4" x14ac:dyDescent="0.2">
      <c r="A3401" s="146"/>
      <c r="D3401" s="496"/>
    </row>
    <row r="3402" spans="1:4" x14ac:dyDescent="0.2">
      <c r="A3402" s="146"/>
      <c r="D3402" s="496"/>
    </row>
    <row r="3403" spans="1:4" x14ac:dyDescent="0.2">
      <c r="A3403" s="146"/>
      <c r="D3403" s="496"/>
    </row>
    <row r="3404" spans="1:4" x14ac:dyDescent="0.2">
      <c r="A3404" s="146"/>
      <c r="D3404" s="496"/>
    </row>
    <row r="3405" spans="1:4" x14ac:dyDescent="0.2">
      <c r="A3405" s="146"/>
      <c r="D3405" s="496"/>
    </row>
    <row r="3406" spans="1:4" x14ac:dyDescent="0.2">
      <c r="A3406" s="146"/>
      <c r="D3406" s="496"/>
    </row>
    <row r="3407" spans="1:4" x14ac:dyDescent="0.2">
      <c r="A3407" s="146"/>
      <c r="D3407" s="496"/>
    </row>
    <row r="3408" spans="1:4" x14ac:dyDescent="0.2">
      <c r="A3408" s="146"/>
      <c r="D3408" s="496"/>
    </row>
    <row r="3409" spans="1:4" x14ac:dyDescent="0.2">
      <c r="A3409" s="146"/>
      <c r="D3409" s="496"/>
    </row>
    <row r="3410" spans="1:4" x14ac:dyDescent="0.2">
      <c r="A3410" s="146"/>
      <c r="D3410" s="496"/>
    </row>
    <row r="3411" spans="1:4" x14ac:dyDescent="0.2">
      <c r="A3411" s="146"/>
      <c r="D3411" s="496"/>
    </row>
    <row r="3412" spans="1:4" x14ac:dyDescent="0.2">
      <c r="A3412" s="146"/>
      <c r="D3412" s="496"/>
    </row>
    <row r="3413" spans="1:4" x14ac:dyDescent="0.2">
      <c r="A3413" s="146"/>
      <c r="D3413" s="496"/>
    </row>
    <row r="3414" spans="1:4" x14ac:dyDescent="0.2">
      <c r="A3414" s="146"/>
      <c r="D3414" s="496"/>
    </row>
    <row r="3415" spans="1:4" x14ac:dyDescent="0.2">
      <c r="A3415" s="146"/>
      <c r="D3415" s="496"/>
    </row>
    <row r="3416" spans="1:4" x14ac:dyDescent="0.2">
      <c r="A3416" s="146"/>
      <c r="D3416" s="496"/>
    </row>
    <row r="3417" spans="1:4" x14ac:dyDescent="0.2">
      <c r="A3417" s="146"/>
      <c r="D3417" s="496"/>
    </row>
    <row r="3418" spans="1:4" x14ac:dyDescent="0.2">
      <c r="A3418" s="146"/>
      <c r="D3418" s="496"/>
    </row>
    <row r="3419" spans="1:4" x14ac:dyDescent="0.2">
      <c r="A3419" s="146"/>
      <c r="D3419" s="496"/>
    </row>
    <row r="3420" spans="1:4" x14ac:dyDescent="0.2">
      <c r="A3420" s="146"/>
      <c r="D3420" s="496"/>
    </row>
    <row r="3421" spans="1:4" x14ac:dyDescent="0.2">
      <c r="A3421" s="146"/>
      <c r="D3421" s="496"/>
    </row>
    <row r="3422" spans="1:4" x14ac:dyDescent="0.2">
      <c r="A3422" s="146"/>
      <c r="D3422" s="496"/>
    </row>
    <row r="3423" spans="1:4" x14ac:dyDescent="0.2">
      <c r="A3423" s="146"/>
      <c r="D3423" s="496"/>
    </row>
    <row r="3424" spans="1:4" x14ac:dyDescent="0.2">
      <c r="A3424" s="146"/>
      <c r="D3424" s="496"/>
    </row>
    <row r="3425" spans="1:4" x14ac:dyDescent="0.2">
      <c r="A3425" s="146"/>
      <c r="D3425" s="496"/>
    </row>
    <row r="3426" spans="1:4" x14ac:dyDescent="0.2">
      <c r="A3426" s="146"/>
      <c r="D3426" s="496"/>
    </row>
    <row r="3427" spans="1:4" x14ac:dyDescent="0.2">
      <c r="A3427" s="146"/>
      <c r="D3427" s="496"/>
    </row>
    <row r="3428" spans="1:4" x14ac:dyDescent="0.2">
      <c r="A3428" s="146"/>
      <c r="D3428" s="496"/>
    </row>
    <row r="3429" spans="1:4" x14ac:dyDescent="0.2">
      <c r="A3429" s="146"/>
      <c r="D3429" s="496"/>
    </row>
    <row r="3430" spans="1:4" x14ac:dyDescent="0.2">
      <c r="A3430" s="146"/>
      <c r="D3430" s="496"/>
    </row>
    <row r="3431" spans="1:4" x14ac:dyDescent="0.2">
      <c r="A3431" s="146"/>
      <c r="D3431" s="496"/>
    </row>
    <row r="3432" spans="1:4" x14ac:dyDescent="0.2">
      <c r="A3432" s="146"/>
      <c r="D3432" s="496"/>
    </row>
    <row r="3433" spans="1:4" x14ac:dyDescent="0.2">
      <c r="A3433" s="146"/>
      <c r="D3433" s="496"/>
    </row>
    <row r="3434" spans="1:4" x14ac:dyDescent="0.2">
      <c r="A3434" s="146"/>
      <c r="D3434" s="496"/>
    </row>
    <row r="3435" spans="1:4" x14ac:dyDescent="0.2">
      <c r="A3435" s="146"/>
      <c r="D3435" s="496"/>
    </row>
    <row r="3436" spans="1:4" x14ac:dyDescent="0.2">
      <c r="A3436" s="146"/>
      <c r="D3436" s="496"/>
    </row>
    <row r="3437" spans="1:4" x14ac:dyDescent="0.2">
      <c r="A3437" s="146"/>
      <c r="D3437" s="496"/>
    </row>
    <row r="3438" spans="1:4" x14ac:dyDescent="0.2">
      <c r="A3438" s="146"/>
      <c r="D3438" s="496"/>
    </row>
    <row r="3439" spans="1:4" x14ac:dyDescent="0.2">
      <c r="A3439" s="146"/>
      <c r="D3439" s="496"/>
    </row>
    <row r="3440" spans="1:4" x14ac:dyDescent="0.2">
      <c r="A3440" s="146"/>
      <c r="D3440" s="496"/>
    </row>
    <row r="3441" spans="1:4" x14ac:dyDescent="0.2">
      <c r="A3441" s="146"/>
      <c r="D3441" s="496"/>
    </row>
    <row r="3442" spans="1:4" x14ac:dyDescent="0.2">
      <c r="A3442" s="146"/>
      <c r="D3442" s="496"/>
    </row>
    <row r="3443" spans="1:4" x14ac:dyDescent="0.2">
      <c r="A3443" s="146"/>
      <c r="D3443" s="496"/>
    </row>
    <row r="3444" spans="1:4" x14ac:dyDescent="0.2">
      <c r="A3444" s="146"/>
      <c r="D3444" s="496"/>
    </row>
    <row r="3445" spans="1:4" x14ac:dyDescent="0.2">
      <c r="A3445" s="146"/>
      <c r="D3445" s="496"/>
    </row>
    <row r="3446" spans="1:4" x14ac:dyDescent="0.2">
      <c r="A3446" s="146"/>
      <c r="D3446" s="496"/>
    </row>
    <row r="3447" spans="1:4" x14ac:dyDescent="0.2">
      <c r="A3447" s="146"/>
      <c r="D3447" s="496"/>
    </row>
    <row r="3448" spans="1:4" x14ac:dyDescent="0.2">
      <c r="A3448" s="146"/>
      <c r="D3448" s="496"/>
    </row>
    <row r="3449" spans="1:4" x14ac:dyDescent="0.2">
      <c r="A3449" s="146"/>
      <c r="D3449" s="496"/>
    </row>
    <row r="3450" spans="1:4" x14ac:dyDescent="0.2">
      <c r="A3450" s="146"/>
      <c r="D3450" s="496"/>
    </row>
    <row r="3451" spans="1:4" x14ac:dyDescent="0.2">
      <c r="A3451" s="146"/>
      <c r="D3451" s="496"/>
    </row>
    <row r="3452" spans="1:4" x14ac:dyDescent="0.2">
      <c r="A3452" s="146"/>
      <c r="D3452" s="496"/>
    </row>
    <row r="3453" spans="1:4" x14ac:dyDescent="0.2">
      <c r="A3453" s="146"/>
      <c r="D3453" s="496"/>
    </row>
    <row r="3454" spans="1:4" x14ac:dyDescent="0.2">
      <c r="A3454" s="146"/>
      <c r="D3454" s="496"/>
    </row>
    <row r="3455" spans="1:4" x14ac:dyDescent="0.2">
      <c r="A3455" s="146"/>
      <c r="D3455" s="496"/>
    </row>
    <row r="3456" spans="1:4" x14ac:dyDescent="0.2">
      <c r="A3456" s="146"/>
      <c r="D3456" s="496"/>
    </row>
    <row r="3457" spans="1:4" x14ac:dyDescent="0.2">
      <c r="A3457" s="146"/>
      <c r="D3457" s="496"/>
    </row>
    <row r="3458" spans="1:4" x14ac:dyDescent="0.2">
      <c r="A3458" s="146"/>
      <c r="D3458" s="496"/>
    </row>
    <row r="3459" spans="1:4" x14ac:dyDescent="0.2">
      <c r="A3459" s="146"/>
      <c r="D3459" s="496"/>
    </row>
    <row r="3460" spans="1:4" x14ac:dyDescent="0.2">
      <c r="A3460" s="146"/>
      <c r="D3460" s="496"/>
    </row>
    <row r="3461" spans="1:4" x14ac:dyDescent="0.2">
      <c r="A3461" s="146"/>
      <c r="D3461" s="496"/>
    </row>
    <row r="3462" spans="1:4" x14ac:dyDescent="0.2">
      <c r="A3462" s="146"/>
      <c r="D3462" s="496"/>
    </row>
    <row r="3463" spans="1:4" x14ac:dyDescent="0.2">
      <c r="A3463" s="146"/>
      <c r="D3463" s="496"/>
    </row>
    <row r="3464" spans="1:4" x14ac:dyDescent="0.2">
      <c r="A3464" s="146"/>
      <c r="D3464" s="496"/>
    </row>
    <row r="3465" spans="1:4" x14ac:dyDescent="0.2">
      <c r="A3465" s="146"/>
      <c r="D3465" s="496"/>
    </row>
    <row r="3466" spans="1:4" x14ac:dyDescent="0.2">
      <c r="A3466" s="146"/>
      <c r="D3466" s="496"/>
    </row>
    <row r="3467" spans="1:4" x14ac:dyDescent="0.2">
      <c r="A3467" s="146"/>
      <c r="D3467" s="496"/>
    </row>
    <row r="3468" spans="1:4" x14ac:dyDescent="0.2">
      <c r="A3468" s="146"/>
      <c r="D3468" s="496"/>
    </row>
    <row r="3469" spans="1:4" x14ac:dyDescent="0.2">
      <c r="A3469" s="146"/>
      <c r="D3469" s="496"/>
    </row>
    <row r="3470" spans="1:4" x14ac:dyDescent="0.2">
      <c r="A3470" s="146"/>
      <c r="D3470" s="496"/>
    </row>
    <row r="3471" spans="1:4" x14ac:dyDescent="0.2">
      <c r="A3471" s="146"/>
      <c r="D3471" s="496"/>
    </row>
    <row r="3472" spans="1:4" x14ac:dyDescent="0.2">
      <c r="A3472" s="146"/>
      <c r="D3472" s="496"/>
    </row>
    <row r="3473" spans="1:4" x14ac:dyDescent="0.2">
      <c r="A3473" s="146"/>
      <c r="D3473" s="496"/>
    </row>
    <row r="3474" spans="1:4" x14ac:dyDescent="0.2">
      <c r="A3474" s="146"/>
      <c r="D3474" s="496"/>
    </row>
    <row r="3475" spans="1:4" x14ac:dyDescent="0.2">
      <c r="A3475" s="146"/>
      <c r="D3475" s="496"/>
    </row>
    <row r="3476" spans="1:4" x14ac:dyDescent="0.2">
      <c r="A3476" s="146"/>
      <c r="D3476" s="496"/>
    </row>
    <row r="3477" spans="1:4" x14ac:dyDescent="0.2">
      <c r="A3477" s="146"/>
      <c r="D3477" s="496"/>
    </row>
    <row r="3478" spans="1:4" x14ac:dyDescent="0.2">
      <c r="A3478" s="146"/>
      <c r="D3478" s="496"/>
    </row>
    <row r="3479" spans="1:4" x14ac:dyDescent="0.2">
      <c r="A3479" s="146"/>
      <c r="D3479" s="496"/>
    </row>
    <row r="3480" spans="1:4" x14ac:dyDescent="0.2">
      <c r="A3480" s="146"/>
      <c r="D3480" s="496"/>
    </row>
    <row r="3481" spans="1:4" x14ac:dyDescent="0.2">
      <c r="A3481" s="146"/>
      <c r="D3481" s="496"/>
    </row>
    <row r="3482" spans="1:4" x14ac:dyDescent="0.2">
      <c r="A3482" s="146"/>
      <c r="D3482" s="496"/>
    </row>
    <row r="3483" spans="1:4" x14ac:dyDescent="0.2">
      <c r="A3483" s="146"/>
      <c r="D3483" s="496"/>
    </row>
    <row r="3484" spans="1:4" x14ac:dyDescent="0.2">
      <c r="A3484" s="146"/>
      <c r="D3484" s="496"/>
    </row>
    <row r="3485" spans="1:4" x14ac:dyDescent="0.2">
      <c r="A3485" s="146"/>
      <c r="D3485" s="496"/>
    </row>
    <row r="3486" spans="1:4" x14ac:dyDescent="0.2">
      <c r="A3486" s="146"/>
      <c r="D3486" s="496"/>
    </row>
    <row r="3487" spans="1:4" x14ac:dyDescent="0.2">
      <c r="A3487" s="146"/>
      <c r="D3487" s="496"/>
    </row>
    <row r="3488" spans="1:4" x14ac:dyDescent="0.2">
      <c r="A3488" s="146"/>
      <c r="D3488" s="496"/>
    </row>
    <row r="3489" spans="1:4" x14ac:dyDescent="0.2">
      <c r="A3489" s="146"/>
      <c r="D3489" s="496"/>
    </row>
    <row r="3490" spans="1:4" x14ac:dyDescent="0.2">
      <c r="A3490" s="146"/>
      <c r="D3490" s="496"/>
    </row>
    <row r="3491" spans="1:4" x14ac:dyDescent="0.2">
      <c r="A3491" s="146"/>
      <c r="D3491" s="496"/>
    </row>
    <row r="3492" spans="1:4" x14ac:dyDescent="0.2">
      <c r="A3492" s="146"/>
      <c r="D3492" s="496"/>
    </row>
    <row r="3493" spans="1:4" x14ac:dyDescent="0.2">
      <c r="A3493" s="146"/>
      <c r="D3493" s="496"/>
    </row>
    <row r="3494" spans="1:4" x14ac:dyDescent="0.2">
      <c r="A3494" s="146"/>
      <c r="D3494" s="496"/>
    </row>
    <row r="3495" spans="1:4" x14ac:dyDescent="0.2">
      <c r="A3495" s="146"/>
      <c r="D3495" s="496"/>
    </row>
    <row r="3496" spans="1:4" x14ac:dyDescent="0.2">
      <c r="A3496" s="146"/>
      <c r="D3496" s="496"/>
    </row>
    <row r="3497" spans="1:4" x14ac:dyDescent="0.2">
      <c r="A3497" s="146"/>
      <c r="D3497" s="496"/>
    </row>
    <row r="3498" spans="1:4" x14ac:dyDescent="0.2">
      <c r="A3498" s="146"/>
      <c r="D3498" s="496"/>
    </row>
    <row r="3499" spans="1:4" x14ac:dyDescent="0.2">
      <c r="A3499" s="146"/>
      <c r="D3499" s="496"/>
    </row>
    <row r="3500" spans="1:4" x14ac:dyDescent="0.2">
      <c r="A3500" s="146"/>
      <c r="D3500" s="496"/>
    </row>
    <row r="3501" spans="1:4" x14ac:dyDescent="0.2">
      <c r="A3501" s="146"/>
      <c r="D3501" s="496"/>
    </row>
    <row r="3502" spans="1:4" x14ac:dyDescent="0.2">
      <c r="A3502" s="146"/>
      <c r="D3502" s="496"/>
    </row>
    <row r="3503" spans="1:4" x14ac:dyDescent="0.2">
      <c r="A3503" s="146"/>
      <c r="D3503" s="496"/>
    </row>
    <row r="3504" spans="1:4" x14ac:dyDescent="0.2">
      <c r="A3504" s="146"/>
      <c r="D3504" s="496"/>
    </row>
    <row r="3505" spans="1:4" x14ac:dyDescent="0.2">
      <c r="A3505" s="146"/>
      <c r="D3505" s="496"/>
    </row>
    <row r="3506" spans="1:4" x14ac:dyDescent="0.2">
      <c r="A3506" s="146"/>
      <c r="D3506" s="496"/>
    </row>
    <row r="3507" spans="1:4" x14ac:dyDescent="0.2">
      <c r="A3507" s="146"/>
      <c r="D3507" s="496"/>
    </row>
    <row r="3508" spans="1:4" x14ac:dyDescent="0.2">
      <c r="A3508" s="146"/>
      <c r="D3508" s="496"/>
    </row>
    <row r="3509" spans="1:4" x14ac:dyDescent="0.2">
      <c r="A3509" s="146"/>
      <c r="D3509" s="496"/>
    </row>
    <row r="3510" spans="1:4" x14ac:dyDescent="0.2">
      <c r="A3510" s="146"/>
      <c r="D3510" s="496"/>
    </row>
    <row r="3511" spans="1:4" x14ac:dyDescent="0.2">
      <c r="A3511" s="146"/>
      <c r="D3511" s="496"/>
    </row>
    <row r="3512" spans="1:4" x14ac:dyDescent="0.2">
      <c r="A3512" s="146"/>
      <c r="D3512" s="496"/>
    </row>
    <row r="3513" spans="1:4" x14ac:dyDescent="0.2">
      <c r="A3513" s="146"/>
      <c r="D3513" s="496"/>
    </row>
    <row r="3514" spans="1:4" x14ac:dyDescent="0.2">
      <c r="A3514" s="146"/>
      <c r="D3514" s="496"/>
    </row>
    <row r="3515" spans="1:4" x14ac:dyDescent="0.2">
      <c r="A3515" s="146"/>
      <c r="D3515" s="496"/>
    </row>
    <row r="3516" spans="1:4" x14ac:dyDescent="0.2">
      <c r="A3516" s="146"/>
      <c r="D3516" s="496"/>
    </row>
    <row r="3517" spans="1:4" x14ac:dyDescent="0.2">
      <c r="A3517" s="146"/>
      <c r="D3517" s="496"/>
    </row>
    <row r="3518" spans="1:4" x14ac:dyDescent="0.2">
      <c r="A3518" s="146"/>
      <c r="D3518" s="496"/>
    </row>
    <row r="3519" spans="1:4" x14ac:dyDescent="0.2">
      <c r="A3519" s="146"/>
      <c r="D3519" s="496"/>
    </row>
    <row r="3520" spans="1:4" x14ac:dyDescent="0.2">
      <c r="A3520" s="146"/>
      <c r="D3520" s="496"/>
    </row>
    <row r="3521" spans="1:4" x14ac:dyDescent="0.2">
      <c r="A3521" s="146"/>
      <c r="D3521" s="496"/>
    </row>
    <row r="3522" spans="1:4" x14ac:dyDescent="0.2">
      <c r="A3522" s="146"/>
      <c r="D3522" s="496"/>
    </row>
    <row r="3523" spans="1:4" x14ac:dyDescent="0.2">
      <c r="A3523" s="146"/>
      <c r="D3523" s="496"/>
    </row>
    <row r="3524" spans="1:4" x14ac:dyDescent="0.2">
      <c r="A3524" s="146"/>
      <c r="D3524" s="496"/>
    </row>
    <row r="3525" spans="1:4" x14ac:dyDescent="0.2">
      <c r="A3525" s="146"/>
      <c r="D3525" s="496"/>
    </row>
    <row r="3526" spans="1:4" x14ac:dyDescent="0.2">
      <c r="A3526" s="146"/>
      <c r="D3526" s="496"/>
    </row>
    <row r="3527" spans="1:4" x14ac:dyDescent="0.2">
      <c r="A3527" s="146"/>
      <c r="D3527" s="496"/>
    </row>
    <row r="3528" spans="1:4" x14ac:dyDescent="0.2">
      <c r="A3528" s="146"/>
      <c r="D3528" s="496"/>
    </row>
    <row r="3529" spans="1:4" x14ac:dyDescent="0.2">
      <c r="A3529" s="146"/>
      <c r="D3529" s="496"/>
    </row>
    <row r="3530" spans="1:4" x14ac:dyDescent="0.2">
      <c r="A3530" s="146"/>
      <c r="D3530" s="496"/>
    </row>
    <row r="3531" spans="1:4" x14ac:dyDescent="0.2">
      <c r="A3531" s="146"/>
      <c r="D3531" s="496"/>
    </row>
    <row r="3532" spans="1:4" x14ac:dyDescent="0.2">
      <c r="A3532" s="146"/>
      <c r="D3532" s="496"/>
    </row>
    <row r="3533" spans="1:4" x14ac:dyDescent="0.2">
      <c r="A3533" s="146"/>
      <c r="D3533" s="496"/>
    </row>
    <row r="3534" spans="1:4" x14ac:dyDescent="0.2">
      <c r="A3534" s="146"/>
      <c r="D3534" s="496"/>
    </row>
    <row r="3535" spans="1:4" x14ac:dyDescent="0.2">
      <c r="A3535" s="146"/>
      <c r="D3535" s="496"/>
    </row>
    <row r="3536" spans="1:4" x14ac:dyDescent="0.2">
      <c r="A3536" s="146"/>
      <c r="D3536" s="496"/>
    </row>
    <row r="3537" spans="1:4" x14ac:dyDescent="0.2">
      <c r="A3537" s="146"/>
      <c r="D3537" s="496"/>
    </row>
    <row r="3538" spans="1:4" x14ac:dyDescent="0.2">
      <c r="A3538" s="146"/>
      <c r="D3538" s="496"/>
    </row>
    <row r="3539" spans="1:4" x14ac:dyDescent="0.2">
      <c r="A3539" s="146"/>
      <c r="D3539" s="496"/>
    </row>
    <row r="3540" spans="1:4" x14ac:dyDescent="0.2">
      <c r="A3540" s="146"/>
      <c r="D3540" s="496"/>
    </row>
    <row r="3541" spans="1:4" x14ac:dyDescent="0.2">
      <c r="A3541" s="146"/>
      <c r="D3541" s="496"/>
    </row>
    <row r="3542" spans="1:4" x14ac:dyDescent="0.2">
      <c r="A3542" s="146"/>
      <c r="D3542" s="496"/>
    </row>
    <row r="3543" spans="1:4" x14ac:dyDescent="0.2">
      <c r="A3543" s="146"/>
      <c r="D3543" s="496"/>
    </row>
    <row r="3544" spans="1:4" x14ac:dyDescent="0.2">
      <c r="A3544" s="146"/>
      <c r="D3544" s="496"/>
    </row>
    <row r="3545" spans="1:4" x14ac:dyDescent="0.2">
      <c r="A3545" s="146"/>
      <c r="D3545" s="496"/>
    </row>
    <row r="3546" spans="1:4" x14ac:dyDescent="0.2">
      <c r="A3546" s="146"/>
      <c r="D3546" s="496"/>
    </row>
    <row r="3547" spans="1:4" x14ac:dyDescent="0.2">
      <c r="A3547" s="146"/>
      <c r="D3547" s="496"/>
    </row>
    <row r="3548" spans="1:4" x14ac:dyDescent="0.2">
      <c r="A3548" s="146"/>
      <c r="D3548" s="496"/>
    </row>
    <row r="3549" spans="1:4" x14ac:dyDescent="0.2">
      <c r="A3549" s="146"/>
      <c r="D3549" s="496"/>
    </row>
    <row r="3550" spans="1:4" x14ac:dyDescent="0.2">
      <c r="A3550" s="146"/>
      <c r="D3550" s="496"/>
    </row>
    <row r="3551" spans="1:4" x14ac:dyDescent="0.2">
      <c r="A3551" s="146"/>
      <c r="D3551" s="496"/>
    </row>
    <row r="3552" spans="1:4" x14ac:dyDescent="0.2">
      <c r="A3552" s="146"/>
      <c r="D3552" s="496"/>
    </row>
    <row r="3553" spans="1:4" x14ac:dyDescent="0.2">
      <c r="A3553" s="146"/>
      <c r="D3553" s="496"/>
    </row>
    <row r="3554" spans="1:4" x14ac:dyDescent="0.2">
      <c r="A3554" s="146"/>
      <c r="D3554" s="496"/>
    </row>
    <row r="3555" spans="1:4" x14ac:dyDescent="0.2">
      <c r="A3555" s="146"/>
      <c r="D3555" s="496"/>
    </row>
    <row r="3556" spans="1:4" x14ac:dyDescent="0.2">
      <c r="A3556" s="146"/>
      <c r="D3556" s="496"/>
    </row>
    <row r="3557" spans="1:4" x14ac:dyDescent="0.2">
      <c r="A3557" s="146"/>
      <c r="D3557" s="496"/>
    </row>
    <row r="3558" spans="1:4" x14ac:dyDescent="0.2">
      <c r="A3558" s="146"/>
      <c r="D3558" s="496"/>
    </row>
    <row r="3559" spans="1:4" x14ac:dyDescent="0.2">
      <c r="A3559" s="146"/>
      <c r="D3559" s="496"/>
    </row>
    <row r="3560" spans="1:4" x14ac:dyDescent="0.2">
      <c r="A3560" s="146"/>
      <c r="D3560" s="496"/>
    </row>
    <row r="3561" spans="1:4" x14ac:dyDescent="0.2">
      <c r="A3561" s="146"/>
      <c r="D3561" s="496"/>
    </row>
    <row r="3562" spans="1:4" x14ac:dyDescent="0.2">
      <c r="A3562" s="146"/>
      <c r="D3562" s="496"/>
    </row>
    <row r="3563" spans="1:4" x14ac:dyDescent="0.2">
      <c r="A3563" s="146"/>
      <c r="D3563" s="496"/>
    </row>
    <row r="3564" spans="1:4" x14ac:dyDescent="0.2">
      <c r="A3564" s="146"/>
      <c r="D3564" s="496"/>
    </row>
    <row r="3565" spans="1:4" x14ac:dyDescent="0.2">
      <c r="A3565" s="146"/>
      <c r="D3565" s="496"/>
    </row>
    <row r="3566" spans="1:4" x14ac:dyDescent="0.2">
      <c r="A3566" s="146"/>
      <c r="D3566" s="496"/>
    </row>
    <row r="3567" spans="1:4" x14ac:dyDescent="0.2">
      <c r="A3567" s="146"/>
      <c r="D3567" s="496"/>
    </row>
    <row r="3568" spans="1:4" x14ac:dyDescent="0.2">
      <c r="A3568" s="146"/>
      <c r="D3568" s="496"/>
    </row>
    <row r="3569" spans="1:4" x14ac:dyDescent="0.2">
      <c r="A3569" s="146"/>
      <c r="D3569" s="496"/>
    </row>
    <row r="3570" spans="1:4" x14ac:dyDescent="0.2">
      <c r="A3570" s="146"/>
      <c r="D3570" s="496"/>
    </row>
    <row r="3571" spans="1:4" x14ac:dyDescent="0.2">
      <c r="A3571" s="146"/>
      <c r="D3571" s="496"/>
    </row>
    <row r="3572" spans="1:4" x14ac:dyDescent="0.2">
      <c r="A3572" s="146"/>
      <c r="D3572" s="496"/>
    </row>
    <row r="3573" spans="1:4" x14ac:dyDescent="0.2">
      <c r="A3573" s="146"/>
      <c r="D3573" s="496"/>
    </row>
    <row r="3574" spans="1:4" x14ac:dyDescent="0.2">
      <c r="A3574" s="146"/>
      <c r="D3574" s="496"/>
    </row>
    <row r="3575" spans="1:4" x14ac:dyDescent="0.2">
      <c r="A3575" s="146"/>
      <c r="D3575" s="496"/>
    </row>
    <row r="3576" spans="1:4" x14ac:dyDescent="0.2">
      <c r="A3576" s="146"/>
      <c r="D3576" s="496"/>
    </row>
    <row r="3577" spans="1:4" x14ac:dyDescent="0.2">
      <c r="A3577" s="146"/>
      <c r="D3577" s="496"/>
    </row>
    <row r="3578" spans="1:4" x14ac:dyDescent="0.2">
      <c r="A3578" s="146"/>
      <c r="D3578" s="496"/>
    </row>
    <row r="3579" spans="1:4" x14ac:dyDescent="0.2">
      <c r="A3579" s="146"/>
      <c r="D3579" s="496"/>
    </row>
    <row r="3580" spans="1:4" x14ac:dyDescent="0.2">
      <c r="A3580" s="146"/>
      <c r="D3580" s="496"/>
    </row>
    <row r="3581" spans="1:4" x14ac:dyDescent="0.2">
      <c r="A3581" s="146"/>
      <c r="D3581" s="496"/>
    </row>
    <row r="3582" spans="1:4" x14ac:dyDescent="0.2">
      <c r="A3582" s="146"/>
      <c r="D3582" s="496"/>
    </row>
    <row r="3583" spans="1:4" x14ac:dyDescent="0.2">
      <c r="A3583" s="146"/>
      <c r="D3583" s="496"/>
    </row>
    <row r="3584" spans="1:4" x14ac:dyDescent="0.2">
      <c r="A3584" s="146"/>
      <c r="D3584" s="496"/>
    </row>
    <row r="3585" spans="1:4" x14ac:dyDescent="0.2">
      <c r="A3585" s="146"/>
      <c r="D3585" s="496"/>
    </row>
    <row r="3586" spans="1:4" x14ac:dyDescent="0.2">
      <c r="A3586" s="146"/>
      <c r="D3586" s="496"/>
    </row>
    <row r="3587" spans="1:4" x14ac:dyDescent="0.2">
      <c r="A3587" s="146"/>
      <c r="D3587" s="496"/>
    </row>
    <row r="3588" spans="1:4" x14ac:dyDescent="0.2">
      <c r="A3588" s="146"/>
      <c r="D3588" s="496"/>
    </row>
    <row r="3589" spans="1:4" x14ac:dyDescent="0.2">
      <c r="A3589" s="146"/>
      <c r="D3589" s="496"/>
    </row>
    <row r="3590" spans="1:4" x14ac:dyDescent="0.2">
      <c r="A3590" s="146"/>
      <c r="D3590" s="496"/>
    </row>
    <row r="3591" spans="1:4" x14ac:dyDescent="0.2">
      <c r="A3591" s="146"/>
      <c r="D3591" s="496"/>
    </row>
    <row r="3592" spans="1:4" x14ac:dyDescent="0.2">
      <c r="A3592" s="146"/>
      <c r="D3592" s="496"/>
    </row>
    <row r="3593" spans="1:4" x14ac:dyDescent="0.2">
      <c r="A3593" s="146"/>
      <c r="D3593" s="496"/>
    </row>
    <row r="3594" spans="1:4" x14ac:dyDescent="0.2">
      <c r="A3594" s="146"/>
      <c r="D3594" s="496"/>
    </row>
    <row r="3595" spans="1:4" x14ac:dyDescent="0.2">
      <c r="A3595" s="146"/>
      <c r="D3595" s="496"/>
    </row>
    <row r="3596" spans="1:4" x14ac:dyDescent="0.2">
      <c r="A3596" s="146"/>
      <c r="D3596" s="496"/>
    </row>
    <row r="3597" spans="1:4" x14ac:dyDescent="0.2">
      <c r="A3597" s="146"/>
      <c r="D3597" s="496"/>
    </row>
    <row r="3598" spans="1:4" x14ac:dyDescent="0.2">
      <c r="A3598" s="146"/>
      <c r="D3598" s="496"/>
    </row>
    <row r="3599" spans="1:4" x14ac:dyDescent="0.2">
      <c r="A3599" s="146"/>
      <c r="D3599" s="496"/>
    </row>
    <row r="3600" spans="1:4" x14ac:dyDescent="0.2">
      <c r="A3600" s="146"/>
      <c r="D3600" s="496"/>
    </row>
    <row r="3601" spans="1:4" x14ac:dyDescent="0.2">
      <c r="A3601" s="146"/>
      <c r="D3601" s="496"/>
    </row>
    <row r="3602" spans="1:4" x14ac:dyDescent="0.2">
      <c r="A3602" s="146"/>
      <c r="D3602" s="496"/>
    </row>
    <row r="3603" spans="1:4" x14ac:dyDescent="0.2">
      <c r="A3603" s="146"/>
      <c r="D3603" s="496"/>
    </row>
    <row r="3604" spans="1:4" x14ac:dyDescent="0.2">
      <c r="A3604" s="146"/>
      <c r="D3604" s="496"/>
    </row>
    <row r="3605" spans="1:4" x14ac:dyDescent="0.2">
      <c r="A3605" s="146"/>
      <c r="D3605" s="496"/>
    </row>
    <row r="3606" spans="1:4" x14ac:dyDescent="0.2">
      <c r="A3606" s="146"/>
      <c r="D3606" s="496"/>
    </row>
    <row r="3607" spans="1:4" x14ac:dyDescent="0.2">
      <c r="A3607" s="146"/>
      <c r="D3607" s="496"/>
    </row>
    <row r="3608" spans="1:4" x14ac:dyDescent="0.2">
      <c r="A3608" s="146"/>
      <c r="D3608" s="496"/>
    </row>
    <row r="3609" spans="1:4" x14ac:dyDescent="0.2">
      <c r="A3609" s="146"/>
      <c r="D3609" s="496"/>
    </row>
    <row r="3610" spans="1:4" x14ac:dyDescent="0.2">
      <c r="A3610" s="146"/>
      <c r="D3610" s="496"/>
    </row>
    <row r="3611" spans="1:4" x14ac:dyDescent="0.2">
      <c r="A3611" s="146"/>
      <c r="D3611" s="496"/>
    </row>
    <row r="3612" spans="1:4" x14ac:dyDescent="0.2">
      <c r="A3612" s="146"/>
      <c r="D3612" s="496"/>
    </row>
    <row r="3613" spans="1:4" x14ac:dyDescent="0.2">
      <c r="A3613" s="146"/>
      <c r="D3613" s="496"/>
    </row>
    <row r="3614" spans="1:4" x14ac:dyDescent="0.2">
      <c r="A3614" s="146"/>
      <c r="D3614" s="496"/>
    </row>
    <row r="3615" spans="1:4" x14ac:dyDescent="0.2">
      <c r="A3615" s="146"/>
      <c r="D3615" s="496"/>
    </row>
    <row r="3616" spans="1:4" x14ac:dyDescent="0.2">
      <c r="A3616" s="146"/>
      <c r="D3616" s="496"/>
    </row>
    <row r="3617" spans="1:4" x14ac:dyDescent="0.2">
      <c r="A3617" s="146"/>
      <c r="D3617" s="496"/>
    </row>
    <row r="3618" spans="1:4" x14ac:dyDescent="0.2">
      <c r="A3618" s="146"/>
      <c r="D3618" s="496"/>
    </row>
    <row r="3619" spans="1:4" x14ac:dyDescent="0.2">
      <c r="A3619" s="146"/>
      <c r="D3619" s="496"/>
    </row>
    <row r="3620" spans="1:4" x14ac:dyDescent="0.2">
      <c r="A3620" s="146"/>
      <c r="D3620" s="496"/>
    </row>
    <row r="3621" spans="1:4" x14ac:dyDescent="0.2">
      <c r="A3621" s="146"/>
      <c r="D3621" s="496"/>
    </row>
    <row r="3622" spans="1:4" x14ac:dyDescent="0.2">
      <c r="A3622" s="146"/>
      <c r="D3622" s="496"/>
    </row>
    <row r="3623" spans="1:4" x14ac:dyDescent="0.2">
      <c r="A3623" s="146"/>
      <c r="D3623" s="496"/>
    </row>
    <row r="3624" spans="1:4" x14ac:dyDescent="0.2">
      <c r="A3624" s="146"/>
      <c r="D3624" s="496"/>
    </row>
    <row r="3625" spans="1:4" x14ac:dyDescent="0.2">
      <c r="A3625" s="146"/>
      <c r="D3625" s="496"/>
    </row>
    <row r="3626" spans="1:4" x14ac:dyDescent="0.2">
      <c r="A3626" s="146"/>
      <c r="D3626" s="496"/>
    </row>
    <row r="3627" spans="1:4" x14ac:dyDescent="0.2">
      <c r="A3627" s="146"/>
      <c r="D3627" s="496"/>
    </row>
    <row r="3628" spans="1:4" x14ac:dyDescent="0.2">
      <c r="A3628" s="146"/>
      <c r="D3628" s="496"/>
    </row>
    <row r="3629" spans="1:4" x14ac:dyDescent="0.2">
      <c r="A3629" s="146"/>
      <c r="D3629" s="496"/>
    </row>
    <row r="3630" spans="1:4" x14ac:dyDescent="0.2">
      <c r="A3630" s="146"/>
      <c r="D3630" s="496"/>
    </row>
    <row r="3631" spans="1:4" x14ac:dyDescent="0.2">
      <c r="A3631" s="146"/>
      <c r="D3631" s="496"/>
    </row>
    <row r="3632" spans="1:4" x14ac:dyDescent="0.2">
      <c r="A3632" s="146"/>
      <c r="D3632" s="496"/>
    </row>
    <row r="3633" spans="1:4" x14ac:dyDescent="0.2">
      <c r="A3633" s="146"/>
      <c r="D3633" s="496"/>
    </row>
    <row r="3634" spans="1:4" x14ac:dyDescent="0.2">
      <c r="A3634" s="146"/>
      <c r="D3634" s="496"/>
    </row>
    <row r="3635" spans="1:4" x14ac:dyDescent="0.2">
      <c r="A3635" s="146"/>
      <c r="D3635" s="496"/>
    </row>
    <row r="3636" spans="1:4" x14ac:dyDescent="0.2">
      <c r="A3636" s="146"/>
      <c r="D3636" s="496"/>
    </row>
    <row r="3637" spans="1:4" x14ac:dyDescent="0.2">
      <c r="A3637" s="146"/>
      <c r="D3637" s="496"/>
    </row>
    <row r="3638" spans="1:4" x14ac:dyDescent="0.2">
      <c r="A3638" s="146"/>
      <c r="D3638" s="496"/>
    </row>
    <row r="3639" spans="1:4" x14ac:dyDescent="0.2">
      <c r="A3639" s="146"/>
      <c r="D3639" s="496"/>
    </row>
    <row r="3640" spans="1:4" x14ac:dyDescent="0.2">
      <c r="A3640" s="146"/>
      <c r="D3640" s="496"/>
    </row>
    <row r="3641" spans="1:4" x14ac:dyDescent="0.2">
      <c r="A3641" s="146"/>
      <c r="D3641" s="496"/>
    </row>
    <row r="3642" spans="1:4" x14ac:dyDescent="0.2">
      <c r="A3642" s="146"/>
      <c r="D3642" s="496"/>
    </row>
    <row r="3643" spans="1:4" x14ac:dyDescent="0.2">
      <c r="A3643" s="146"/>
      <c r="D3643" s="496"/>
    </row>
    <row r="3644" spans="1:4" x14ac:dyDescent="0.2">
      <c r="A3644" s="146"/>
      <c r="D3644" s="496"/>
    </row>
    <row r="3645" spans="1:4" x14ac:dyDescent="0.2">
      <c r="A3645" s="146"/>
      <c r="D3645" s="496"/>
    </row>
    <row r="3646" spans="1:4" x14ac:dyDescent="0.2">
      <c r="A3646" s="146"/>
      <c r="D3646" s="496"/>
    </row>
    <row r="3647" spans="1:4" x14ac:dyDescent="0.2">
      <c r="A3647" s="146"/>
      <c r="D3647" s="496"/>
    </row>
    <row r="3648" spans="1:4" x14ac:dyDescent="0.2">
      <c r="A3648" s="146"/>
      <c r="D3648" s="496"/>
    </row>
    <row r="3649" spans="1:4" x14ac:dyDescent="0.2">
      <c r="A3649" s="146"/>
      <c r="D3649" s="496"/>
    </row>
    <row r="3650" spans="1:4" x14ac:dyDescent="0.2">
      <c r="A3650" s="146"/>
      <c r="D3650" s="496"/>
    </row>
    <row r="3651" spans="1:4" x14ac:dyDescent="0.2">
      <c r="A3651" s="146"/>
      <c r="D3651" s="496"/>
    </row>
    <row r="3652" spans="1:4" x14ac:dyDescent="0.2">
      <c r="A3652" s="146"/>
      <c r="D3652" s="496"/>
    </row>
    <row r="3653" spans="1:4" x14ac:dyDescent="0.2">
      <c r="A3653" s="146"/>
      <c r="D3653" s="496"/>
    </row>
    <row r="3654" spans="1:4" x14ac:dyDescent="0.2">
      <c r="A3654" s="146"/>
      <c r="D3654" s="496"/>
    </row>
    <row r="3655" spans="1:4" x14ac:dyDescent="0.2">
      <c r="A3655" s="146"/>
      <c r="D3655" s="496"/>
    </row>
    <row r="3656" spans="1:4" x14ac:dyDescent="0.2">
      <c r="A3656" s="146"/>
      <c r="D3656" s="496"/>
    </row>
    <row r="3657" spans="1:4" x14ac:dyDescent="0.2">
      <c r="A3657" s="146"/>
      <c r="D3657" s="496"/>
    </row>
    <row r="3658" spans="1:4" x14ac:dyDescent="0.2">
      <c r="A3658" s="146"/>
      <c r="D3658" s="496"/>
    </row>
    <row r="3659" spans="1:4" x14ac:dyDescent="0.2">
      <c r="A3659" s="146"/>
      <c r="D3659" s="496"/>
    </row>
    <row r="3660" spans="1:4" x14ac:dyDescent="0.2">
      <c r="A3660" s="146"/>
      <c r="D3660" s="496"/>
    </row>
    <row r="3661" spans="1:4" x14ac:dyDescent="0.2">
      <c r="A3661" s="146"/>
      <c r="D3661" s="496"/>
    </row>
    <row r="3662" spans="1:4" x14ac:dyDescent="0.2">
      <c r="A3662" s="146"/>
      <c r="D3662" s="496"/>
    </row>
    <row r="3663" spans="1:4" x14ac:dyDescent="0.2">
      <c r="A3663" s="146"/>
      <c r="D3663" s="496"/>
    </row>
    <row r="3664" spans="1:4" x14ac:dyDescent="0.2">
      <c r="A3664" s="146"/>
      <c r="D3664" s="496"/>
    </row>
    <row r="3665" spans="1:4" x14ac:dyDescent="0.2">
      <c r="A3665" s="146"/>
      <c r="D3665" s="496"/>
    </row>
    <row r="3666" spans="1:4" x14ac:dyDescent="0.2">
      <c r="A3666" s="146"/>
      <c r="D3666" s="496"/>
    </row>
    <row r="3667" spans="1:4" x14ac:dyDescent="0.2">
      <c r="A3667" s="146"/>
      <c r="D3667" s="496"/>
    </row>
    <row r="3668" spans="1:4" x14ac:dyDescent="0.2">
      <c r="A3668" s="146"/>
      <c r="D3668" s="496"/>
    </row>
    <row r="3669" spans="1:4" x14ac:dyDescent="0.2">
      <c r="A3669" s="146"/>
      <c r="D3669" s="496"/>
    </row>
    <row r="3670" spans="1:4" x14ac:dyDescent="0.2">
      <c r="A3670" s="146"/>
      <c r="D3670" s="496"/>
    </row>
    <row r="3671" spans="1:4" x14ac:dyDescent="0.2">
      <c r="A3671" s="146"/>
      <c r="D3671" s="496"/>
    </row>
    <row r="3672" spans="1:4" x14ac:dyDescent="0.2">
      <c r="A3672" s="146"/>
      <c r="D3672" s="496"/>
    </row>
    <row r="3673" spans="1:4" x14ac:dyDescent="0.2">
      <c r="A3673" s="146"/>
      <c r="D3673" s="496"/>
    </row>
    <row r="3674" spans="1:4" x14ac:dyDescent="0.2">
      <c r="A3674" s="146"/>
      <c r="D3674" s="496"/>
    </row>
    <row r="3675" spans="1:4" x14ac:dyDescent="0.2">
      <c r="A3675" s="146"/>
      <c r="D3675" s="496"/>
    </row>
    <row r="3676" spans="1:4" x14ac:dyDescent="0.2">
      <c r="A3676" s="146"/>
      <c r="D3676" s="496"/>
    </row>
    <row r="3677" spans="1:4" x14ac:dyDescent="0.2">
      <c r="A3677" s="146"/>
      <c r="D3677" s="496"/>
    </row>
    <row r="3678" spans="1:4" x14ac:dyDescent="0.2">
      <c r="A3678" s="146"/>
      <c r="D3678" s="496"/>
    </row>
    <row r="3679" spans="1:4" x14ac:dyDescent="0.2">
      <c r="A3679" s="146"/>
      <c r="D3679" s="496"/>
    </row>
    <row r="3680" spans="1:4" x14ac:dyDescent="0.2">
      <c r="A3680" s="146"/>
      <c r="D3680" s="496"/>
    </row>
    <row r="3681" spans="1:4" x14ac:dyDescent="0.2">
      <c r="A3681" s="146"/>
      <c r="D3681" s="496"/>
    </row>
    <row r="3682" spans="1:4" x14ac:dyDescent="0.2">
      <c r="A3682" s="146"/>
      <c r="D3682" s="496"/>
    </row>
    <row r="3683" spans="1:4" x14ac:dyDescent="0.2">
      <c r="A3683" s="146"/>
      <c r="D3683" s="496"/>
    </row>
    <row r="3684" spans="1:4" x14ac:dyDescent="0.2">
      <c r="A3684" s="146"/>
      <c r="D3684" s="496"/>
    </row>
    <row r="3685" spans="1:4" x14ac:dyDescent="0.2">
      <c r="A3685" s="146"/>
      <c r="D3685" s="496"/>
    </row>
    <row r="3686" spans="1:4" x14ac:dyDescent="0.2">
      <c r="A3686" s="146"/>
      <c r="D3686" s="496"/>
    </row>
    <row r="3687" spans="1:4" x14ac:dyDescent="0.2">
      <c r="A3687" s="146"/>
      <c r="D3687" s="496"/>
    </row>
    <row r="3688" spans="1:4" x14ac:dyDescent="0.2">
      <c r="A3688" s="146"/>
      <c r="D3688" s="496"/>
    </row>
    <row r="3689" spans="1:4" x14ac:dyDescent="0.2">
      <c r="A3689" s="146"/>
      <c r="D3689" s="496"/>
    </row>
    <row r="3690" spans="1:4" x14ac:dyDescent="0.2">
      <c r="A3690" s="146"/>
      <c r="D3690" s="496"/>
    </row>
    <row r="3691" spans="1:4" x14ac:dyDescent="0.2">
      <c r="A3691" s="146"/>
      <c r="D3691" s="496"/>
    </row>
    <row r="3692" spans="1:4" x14ac:dyDescent="0.2">
      <c r="A3692" s="146"/>
      <c r="D3692" s="496"/>
    </row>
    <row r="3693" spans="1:4" x14ac:dyDescent="0.2">
      <c r="A3693" s="146"/>
      <c r="D3693" s="496"/>
    </row>
    <row r="3694" spans="1:4" x14ac:dyDescent="0.2">
      <c r="A3694" s="146"/>
      <c r="D3694" s="496"/>
    </row>
    <row r="3695" spans="1:4" x14ac:dyDescent="0.2">
      <c r="A3695" s="146"/>
      <c r="D3695" s="496"/>
    </row>
    <row r="3696" spans="1:4" x14ac:dyDescent="0.2">
      <c r="A3696" s="146"/>
      <c r="D3696" s="496"/>
    </row>
    <row r="3697" spans="1:4" x14ac:dyDescent="0.2">
      <c r="A3697" s="146"/>
      <c r="D3697" s="496"/>
    </row>
    <row r="3698" spans="1:4" x14ac:dyDescent="0.2">
      <c r="A3698" s="146"/>
      <c r="D3698" s="496"/>
    </row>
    <row r="3699" spans="1:4" x14ac:dyDescent="0.2">
      <c r="A3699" s="146"/>
      <c r="D3699" s="496"/>
    </row>
    <row r="3700" spans="1:4" x14ac:dyDescent="0.2">
      <c r="A3700" s="146"/>
      <c r="D3700" s="496"/>
    </row>
    <row r="3701" spans="1:4" x14ac:dyDescent="0.2">
      <c r="A3701" s="146"/>
      <c r="D3701" s="496"/>
    </row>
    <row r="3702" spans="1:4" x14ac:dyDescent="0.2">
      <c r="A3702" s="146"/>
      <c r="D3702" s="496"/>
    </row>
    <row r="3703" spans="1:4" x14ac:dyDescent="0.2">
      <c r="A3703" s="146"/>
      <c r="D3703" s="496"/>
    </row>
    <row r="3704" spans="1:4" x14ac:dyDescent="0.2">
      <c r="A3704" s="146"/>
      <c r="D3704" s="496"/>
    </row>
    <row r="3705" spans="1:4" x14ac:dyDescent="0.2">
      <c r="A3705" s="146"/>
      <c r="D3705" s="496"/>
    </row>
    <row r="3706" spans="1:4" x14ac:dyDescent="0.2">
      <c r="A3706" s="146"/>
      <c r="D3706" s="496"/>
    </row>
    <row r="3707" spans="1:4" x14ac:dyDescent="0.2">
      <c r="A3707" s="146"/>
      <c r="D3707" s="496"/>
    </row>
    <row r="3708" spans="1:4" x14ac:dyDescent="0.2">
      <c r="A3708" s="146"/>
      <c r="D3708" s="496"/>
    </row>
    <row r="3709" spans="1:4" x14ac:dyDescent="0.2">
      <c r="A3709" s="146"/>
      <c r="D3709" s="496"/>
    </row>
    <row r="3710" spans="1:4" x14ac:dyDescent="0.2">
      <c r="A3710" s="146"/>
      <c r="D3710" s="496"/>
    </row>
    <row r="3711" spans="1:4" x14ac:dyDescent="0.2">
      <c r="A3711" s="146"/>
      <c r="D3711" s="496"/>
    </row>
    <row r="3712" spans="1:4" x14ac:dyDescent="0.2">
      <c r="A3712" s="146"/>
      <c r="D3712" s="496"/>
    </row>
    <row r="3713" spans="1:4" x14ac:dyDescent="0.2">
      <c r="A3713" s="146"/>
      <c r="D3713" s="496"/>
    </row>
    <row r="3714" spans="1:4" x14ac:dyDescent="0.2">
      <c r="A3714" s="146"/>
      <c r="D3714" s="496"/>
    </row>
    <row r="3715" spans="1:4" x14ac:dyDescent="0.2">
      <c r="A3715" s="146"/>
      <c r="D3715" s="496"/>
    </row>
    <row r="3716" spans="1:4" x14ac:dyDescent="0.2">
      <c r="A3716" s="146"/>
      <c r="D3716" s="496"/>
    </row>
    <row r="3717" spans="1:4" x14ac:dyDescent="0.2">
      <c r="A3717" s="146"/>
      <c r="D3717" s="496"/>
    </row>
    <row r="3718" spans="1:4" x14ac:dyDescent="0.2">
      <c r="A3718" s="146"/>
      <c r="D3718" s="496"/>
    </row>
    <row r="3719" spans="1:4" x14ac:dyDescent="0.2">
      <c r="A3719" s="146"/>
      <c r="D3719" s="496"/>
    </row>
    <row r="3720" spans="1:4" x14ac:dyDescent="0.2">
      <c r="A3720" s="146"/>
      <c r="D3720" s="496"/>
    </row>
    <row r="3721" spans="1:4" x14ac:dyDescent="0.2">
      <c r="A3721" s="146"/>
      <c r="D3721" s="496"/>
    </row>
    <row r="3722" spans="1:4" x14ac:dyDescent="0.2">
      <c r="A3722" s="146"/>
      <c r="D3722" s="496"/>
    </row>
    <row r="3723" spans="1:4" x14ac:dyDescent="0.2">
      <c r="A3723" s="146"/>
      <c r="D3723" s="496"/>
    </row>
    <row r="3724" spans="1:4" x14ac:dyDescent="0.2">
      <c r="A3724" s="146"/>
      <c r="D3724" s="496"/>
    </row>
    <row r="3725" spans="1:4" x14ac:dyDescent="0.2">
      <c r="A3725" s="146"/>
      <c r="D3725" s="496"/>
    </row>
    <row r="3726" spans="1:4" x14ac:dyDescent="0.2">
      <c r="A3726" s="146"/>
      <c r="D3726" s="496"/>
    </row>
    <row r="3727" spans="1:4" x14ac:dyDescent="0.2">
      <c r="A3727" s="146"/>
      <c r="D3727" s="496"/>
    </row>
    <row r="3728" spans="1:4" x14ac:dyDescent="0.2">
      <c r="A3728" s="146"/>
      <c r="D3728" s="496"/>
    </row>
    <row r="3729" spans="1:4" x14ac:dyDescent="0.2">
      <c r="A3729" s="146"/>
      <c r="D3729" s="496"/>
    </row>
    <row r="3730" spans="1:4" x14ac:dyDescent="0.2">
      <c r="A3730" s="146"/>
      <c r="D3730" s="496"/>
    </row>
    <row r="3731" spans="1:4" x14ac:dyDescent="0.2">
      <c r="A3731" s="146"/>
      <c r="D3731" s="496"/>
    </row>
    <row r="3732" spans="1:4" x14ac:dyDescent="0.2">
      <c r="A3732" s="146"/>
      <c r="D3732" s="496"/>
    </row>
    <row r="3733" spans="1:4" x14ac:dyDescent="0.2">
      <c r="A3733" s="146"/>
      <c r="D3733" s="496"/>
    </row>
    <row r="3734" spans="1:4" x14ac:dyDescent="0.2">
      <c r="A3734" s="146"/>
      <c r="D3734" s="496"/>
    </row>
    <row r="3735" spans="1:4" x14ac:dyDescent="0.2">
      <c r="A3735" s="146"/>
      <c r="D3735" s="496"/>
    </row>
    <row r="3736" spans="1:4" x14ac:dyDescent="0.2">
      <c r="A3736" s="146"/>
      <c r="D3736" s="496"/>
    </row>
    <row r="3737" spans="1:4" x14ac:dyDescent="0.2">
      <c r="A3737" s="146"/>
      <c r="D3737" s="496"/>
    </row>
    <row r="3738" spans="1:4" x14ac:dyDescent="0.2">
      <c r="A3738" s="146"/>
      <c r="D3738" s="496"/>
    </row>
    <row r="3739" spans="1:4" x14ac:dyDescent="0.2">
      <c r="A3739" s="146"/>
      <c r="D3739" s="496"/>
    </row>
    <row r="3740" spans="1:4" x14ac:dyDescent="0.2">
      <c r="A3740" s="146"/>
      <c r="D3740" s="496"/>
    </row>
    <row r="3741" spans="1:4" x14ac:dyDescent="0.2">
      <c r="A3741" s="146"/>
      <c r="D3741" s="496"/>
    </row>
    <row r="3742" spans="1:4" x14ac:dyDescent="0.2">
      <c r="A3742" s="146"/>
      <c r="D3742" s="496"/>
    </row>
    <row r="3743" spans="1:4" x14ac:dyDescent="0.2">
      <c r="A3743" s="146"/>
      <c r="D3743" s="496"/>
    </row>
    <row r="3744" spans="1:4" x14ac:dyDescent="0.2">
      <c r="A3744" s="146"/>
      <c r="D3744" s="496"/>
    </row>
    <row r="3745" spans="1:4" x14ac:dyDescent="0.2">
      <c r="A3745" s="146"/>
      <c r="D3745" s="496"/>
    </row>
    <row r="3746" spans="1:4" x14ac:dyDescent="0.2">
      <c r="A3746" s="146"/>
      <c r="D3746" s="496"/>
    </row>
    <row r="3747" spans="1:4" x14ac:dyDescent="0.2">
      <c r="A3747" s="146"/>
      <c r="D3747" s="496"/>
    </row>
    <row r="3748" spans="1:4" x14ac:dyDescent="0.2">
      <c r="A3748" s="146"/>
      <c r="D3748" s="496"/>
    </row>
    <row r="3749" spans="1:4" x14ac:dyDescent="0.2">
      <c r="A3749" s="146"/>
      <c r="D3749" s="496"/>
    </row>
    <row r="3750" spans="1:4" x14ac:dyDescent="0.2">
      <c r="A3750" s="146"/>
      <c r="D3750" s="496"/>
    </row>
    <row r="3751" spans="1:4" x14ac:dyDescent="0.2">
      <c r="A3751" s="146"/>
      <c r="D3751" s="496"/>
    </row>
    <row r="3752" spans="1:4" x14ac:dyDescent="0.2">
      <c r="A3752" s="146"/>
      <c r="D3752" s="496"/>
    </row>
    <row r="3753" spans="1:4" x14ac:dyDescent="0.2">
      <c r="A3753" s="146"/>
      <c r="D3753" s="496"/>
    </row>
    <row r="3754" spans="1:4" x14ac:dyDescent="0.2">
      <c r="A3754" s="146"/>
      <c r="D3754" s="496"/>
    </row>
    <row r="3755" spans="1:4" x14ac:dyDescent="0.2">
      <c r="A3755" s="146"/>
      <c r="D3755" s="496"/>
    </row>
    <row r="3756" spans="1:4" x14ac:dyDescent="0.2">
      <c r="A3756" s="146"/>
      <c r="D3756" s="496"/>
    </row>
    <row r="3757" spans="1:4" x14ac:dyDescent="0.2">
      <c r="A3757" s="146"/>
      <c r="D3757" s="496"/>
    </row>
    <row r="3758" spans="1:4" x14ac:dyDescent="0.2">
      <c r="A3758" s="146"/>
      <c r="D3758" s="496"/>
    </row>
    <row r="3759" spans="1:4" x14ac:dyDescent="0.2">
      <c r="A3759" s="146"/>
      <c r="D3759" s="496"/>
    </row>
    <row r="3760" spans="1:4" x14ac:dyDescent="0.2">
      <c r="A3760" s="146"/>
      <c r="D3760" s="496"/>
    </row>
    <row r="3761" spans="1:4" x14ac:dyDescent="0.2">
      <c r="A3761" s="146"/>
      <c r="D3761" s="496"/>
    </row>
    <row r="3762" spans="1:4" x14ac:dyDescent="0.2">
      <c r="A3762" s="146"/>
      <c r="D3762" s="496"/>
    </row>
    <row r="3763" spans="1:4" x14ac:dyDescent="0.2">
      <c r="A3763" s="146"/>
      <c r="D3763" s="496"/>
    </row>
    <row r="3764" spans="1:4" x14ac:dyDescent="0.2">
      <c r="A3764" s="146"/>
      <c r="D3764" s="496"/>
    </row>
    <row r="3765" spans="1:4" x14ac:dyDescent="0.2">
      <c r="A3765" s="146"/>
      <c r="D3765" s="496"/>
    </row>
    <row r="3766" spans="1:4" x14ac:dyDescent="0.2">
      <c r="A3766" s="146"/>
      <c r="D3766" s="496"/>
    </row>
    <row r="3767" spans="1:4" x14ac:dyDescent="0.2">
      <c r="A3767" s="146"/>
      <c r="D3767" s="496"/>
    </row>
    <row r="3768" spans="1:4" x14ac:dyDescent="0.2">
      <c r="A3768" s="146"/>
      <c r="D3768" s="496"/>
    </row>
    <row r="3769" spans="1:4" x14ac:dyDescent="0.2">
      <c r="A3769" s="146"/>
      <c r="D3769" s="496"/>
    </row>
    <row r="3770" spans="1:4" x14ac:dyDescent="0.2">
      <c r="A3770" s="146"/>
      <c r="D3770" s="496"/>
    </row>
    <row r="3771" spans="1:4" x14ac:dyDescent="0.2">
      <c r="A3771" s="146"/>
      <c r="D3771" s="496"/>
    </row>
    <row r="3772" spans="1:4" x14ac:dyDescent="0.2">
      <c r="A3772" s="146"/>
      <c r="D3772" s="496"/>
    </row>
    <row r="3773" spans="1:4" x14ac:dyDescent="0.2">
      <c r="A3773" s="146"/>
      <c r="D3773" s="496"/>
    </row>
    <row r="3774" spans="1:4" x14ac:dyDescent="0.2">
      <c r="A3774" s="146"/>
      <c r="D3774" s="496"/>
    </row>
    <row r="3775" spans="1:4" x14ac:dyDescent="0.2">
      <c r="A3775" s="146"/>
      <c r="D3775" s="496"/>
    </row>
    <row r="3776" spans="1:4" x14ac:dyDescent="0.2">
      <c r="A3776" s="146"/>
      <c r="D3776" s="496"/>
    </row>
    <row r="3777" spans="1:4" x14ac:dyDescent="0.2">
      <c r="A3777" s="146"/>
      <c r="D3777" s="496"/>
    </row>
    <row r="3778" spans="1:4" x14ac:dyDescent="0.2">
      <c r="A3778" s="146"/>
      <c r="D3778" s="496"/>
    </row>
    <row r="3779" spans="1:4" x14ac:dyDescent="0.2">
      <c r="A3779" s="146"/>
      <c r="D3779" s="496"/>
    </row>
    <row r="3780" spans="1:4" x14ac:dyDescent="0.2">
      <c r="A3780" s="146"/>
      <c r="D3780" s="496"/>
    </row>
    <row r="3781" spans="1:4" x14ac:dyDescent="0.2">
      <c r="A3781" s="146"/>
      <c r="D3781" s="496"/>
    </row>
    <row r="3782" spans="1:4" x14ac:dyDescent="0.2">
      <c r="A3782" s="146"/>
      <c r="D3782" s="496"/>
    </row>
    <row r="3783" spans="1:4" x14ac:dyDescent="0.2">
      <c r="A3783" s="146"/>
      <c r="D3783" s="496"/>
    </row>
    <row r="3784" spans="1:4" x14ac:dyDescent="0.2">
      <c r="A3784" s="146"/>
      <c r="D3784" s="496"/>
    </row>
    <row r="3785" spans="1:4" x14ac:dyDescent="0.2">
      <c r="A3785" s="146"/>
      <c r="D3785" s="496"/>
    </row>
    <row r="3786" spans="1:4" x14ac:dyDescent="0.2">
      <c r="A3786" s="146"/>
      <c r="D3786" s="496"/>
    </row>
    <row r="3787" spans="1:4" x14ac:dyDescent="0.2">
      <c r="A3787" s="146"/>
      <c r="D3787" s="496"/>
    </row>
    <row r="3788" spans="1:4" x14ac:dyDescent="0.2">
      <c r="A3788" s="146"/>
      <c r="D3788" s="496"/>
    </row>
    <row r="3789" spans="1:4" x14ac:dyDescent="0.2">
      <c r="A3789" s="146"/>
      <c r="D3789" s="496"/>
    </row>
    <row r="3790" spans="1:4" x14ac:dyDescent="0.2">
      <c r="A3790" s="146"/>
      <c r="D3790" s="496"/>
    </row>
    <row r="3791" spans="1:4" x14ac:dyDescent="0.2">
      <c r="A3791" s="146"/>
      <c r="D3791" s="496"/>
    </row>
    <row r="3792" spans="1:4" x14ac:dyDescent="0.2">
      <c r="A3792" s="146"/>
      <c r="D3792" s="496"/>
    </row>
    <row r="3793" spans="1:4" x14ac:dyDescent="0.2">
      <c r="A3793" s="146"/>
      <c r="D3793" s="496"/>
    </row>
    <row r="3794" spans="1:4" x14ac:dyDescent="0.2">
      <c r="A3794" s="146"/>
      <c r="D3794" s="496"/>
    </row>
    <row r="3795" spans="1:4" x14ac:dyDescent="0.2">
      <c r="A3795" s="146"/>
      <c r="D3795" s="496"/>
    </row>
    <row r="3796" spans="1:4" x14ac:dyDescent="0.2">
      <c r="A3796" s="146"/>
      <c r="D3796" s="496"/>
    </row>
    <row r="3797" spans="1:4" x14ac:dyDescent="0.2">
      <c r="A3797" s="146"/>
      <c r="D3797" s="496"/>
    </row>
    <row r="3798" spans="1:4" x14ac:dyDescent="0.2">
      <c r="A3798" s="146"/>
      <c r="D3798" s="496"/>
    </row>
    <row r="3799" spans="1:4" x14ac:dyDescent="0.2">
      <c r="A3799" s="146"/>
      <c r="D3799" s="496"/>
    </row>
    <row r="3800" spans="1:4" x14ac:dyDescent="0.2">
      <c r="A3800" s="146"/>
      <c r="D3800" s="496"/>
    </row>
    <row r="3801" spans="1:4" x14ac:dyDescent="0.2">
      <c r="A3801" s="146"/>
      <c r="D3801" s="496"/>
    </row>
    <row r="3802" spans="1:4" x14ac:dyDescent="0.2">
      <c r="A3802" s="146"/>
      <c r="D3802" s="496"/>
    </row>
    <row r="3803" spans="1:4" x14ac:dyDescent="0.2">
      <c r="A3803" s="146"/>
      <c r="D3803" s="496"/>
    </row>
    <row r="3804" spans="1:4" x14ac:dyDescent="0.2">
      <c r="A3804" s="146"/>
      <c r="D3804" s="496"/>
    </row>
    <row r="3805" spans="1:4" x14ac:dyDescent="0.2">
      <c r="A3805" s="146"/>
      <c r="D3805" s="496"/>
    </row>
    <row r="3806" spans="1:4" x14ac:dyDescent="0.2">
      <c r="A3806" s="146"/>
      <c r="D3806" s="496"/>
    </row>
    <row r="3807" spans="1:4" x14ac:dyDescent="0.2">
      <c r="A3807" s="146"/>
      <c r="D3807" s="496"/>
    </row>
    <row r="3808" spans="1:4" x14ac:dyDescent="0.2">
      <c r="A3808" s="146"/>
      <c r="D3808" s="496"/>
    </row>
    <row r="3809" spans="1:4" x14ac:dyDescent="0.2">
      <c r="A3809" s="146"/>
      <c r="D3809" s="496"/>
    </row>
    <row r="3810" spans="1:4" x14ac:dyDescent="0.2">
      <c r="A3810" s="146"/>
      <c r="D3810" s="496"/>
    </row>
    <row r="3811" spans="1:4" x14ac:dyDescent="0.2">
      <c r="A3811" s="146"/>
      <c r="D3811" s="496"/>
    </row>
    <row r="3812" spans="1:4" x14ac:dyDescent="0.2">
      <c r="A3812" s="146"/>
      <c r="D3812" s="496"/>
    </row>
    <row r="3813" spans="1:4" x14ac:dyDescent="0.2">
      <c r="A3813" s="146"/>
      <c r="D3813" s="496"/>
    </row>
    <row r="3814" spans="1:4" x14ac:dyDescent="0.2">
      <c r="A3814" s="146"/>
      <c r="D3814" s="496"/>
    </row>
    <row r="3815" spans="1:4" x14ac:dyDescent="0.2">
      <c r="A3815" s="146"/>
      <c r="D3815" s="496"/>
    </row>
    <row r="3816" spans="1:4" x14ac:dyDescent="0.2">
      <c r="A3816" s="146"/>
      <c r="D3816" s="496"/>
    </row>
    <row r="3817" spans="1:4" x14ac:dyDescent="0.2">
      <c r="A3817" s="146"/>
      <c r="D3817" s="496"/>
    </row>
    <row r="3818" spans="1:4" x14ac:dyDescent="0.2">
      <c r="A3818" s="146"/>
      <c r="D3818" s="496"/>
    </row>
    <row r="3819" spans="1:4" x14ac:dyDescent="0.2">
      <c r="A3819" s="146"/>
      <c r="D3819" s="496"/>
    </row>
    <row r="3820" spans="1:4" x14ac:dyDescent="0.2">
      <c r="A3820" s="146"/>
      <c r="D3820" s="496"/>
    </row>
    <row r="3821" spans="1:4" x14ac:dyDescent="0.2">
      <c r="A3821" s="146"/>
      <c r="D3821" s="496"/>
    </row>
    <row r="3822" spans="1:4" x14ac:dyDescent="0.2">
      <c r="A3822" s="146"/>
      <c r="D3822" s="496"/>
    </row>
    <row r="3823" spans="1:4" x14ac:dyDescent="0.2">
      <c r="A3823" s="146"/>
      <c r="D3823" s="496"/>
    </row>
    <row r="3824" spans="1:4" x14ac:dyDescent="0.2">
      <c r="A3824" s="146"/>
      <c r="D3824" s="496"/>
    </row>
    <row r="3825" spans="1:4" x14ac:dyDescent="0.2">
      <c r="A3825" s="146"/>
      <c r="D3825" s="496"/>
    </row>
    <row r="3826" spans="1:4" x14ac:dyDescent="0.2">
      <c r="A3826" s="146"/>
      <c r="D3826" s="496"/>
    </row>
    <row r="3827" spans="1:4" x14ac:dyDescent="0.2">
      <c r="A3827" s="146"/>
      <c r="D3827" s="496"/>
    </row>
    <row r="3828" spans="1:4" x14ac:dyDescent="0.2">
      <c r="A3828" s="146"/>
      <c r="D3828" s="496"/>
    </row>
    <row r="3829" spans="1:4" x14ac:dyDescent="0.2">
      <c r="A3829" s="146"/>
      <c r="D3829" s="496"/>
    </row>
    <row r="3830" spans="1:4" x14ac:dyDescent="0.2">
      <c r="A3830" s="146"/>
      <c r="D3830" s="496"/>
    </row>
    <row r="3831" spans="1:4" x14ac:dyDescent="0.2">
      <c r="A3831" s="146"/>
      <c r="D3831" s="496"/>
    </row>
    <row r="3832" spans="1:4" x14ac:dyDescent="0.2">
      <c r="A3832" s="146"/>
      <c r="D3832" s="496"/>
    </row>
    <row r="3833" spans="1:4" x14ac:dyDescent="0.2">
      <c r="A3833" s="146"/>
      <c r="D3833" s="496"/>
    </row>
    <row r="3834" spans="1:4" x14ac:dyDescent="0.2">
      <c r="A3834" s="146"/>
      <c r="D3834" s="496"/>
    </row>
    <row r="3835" spans="1:4" x14ac:dyDescent="0.2">
      <c r="A3835" s="146"/>
      <c r="D3835" s="496"/>
    </row>
    <row r="3836" spans="1:4" x14ac:dyDescent="0.2">
      <c r="A3836" s="146"/>
      <c r="D3836" s="496"/>
    </row>
    <row r="3837" spans="1:4" x14ac:dyDescent="0.2">
      <c r="A3837" s="146"/>
      <c r="D3837" s="496"/>
    </row>
    <row r="3838" spans="1:4" x14ac:dyDescent="0.2">
      <c r="A3838" s="146"/>
      <c r="D3838" s="496"/>
    </row>
    <row r="3839" spans="1:4" x14ac:dyDescent="0.2">
      <c r="A3839" s="146"/>
      <c r="D3839" s="496"/>
    </row>
    <row r="3840" spans="1:4" x14ac:dyDescent="0.2">
      <c r="A3840" s="146"/>
      <c r="D3840" s="496"/>
    </row>
    <row r="3841" spans="1:4" x14ac:dyDescent="0.2">
      <c r="A3841" s="146"/>
      <c r="D3841" s="496"/>
    </row>
    <row r="3842" spans="1:4" x14ac:dyDescent="0.2">
      <c r="A3842" s="146"/>
      <c r="D3842" s="496"/>
    </row>
    <row r="3843" spans="1:4" x14ac:dyDescent="0.2">
      <c r="A3843" s="146"/>
      <c r="D3843" s="496"/>
    </row>
    <row r="3844" spans="1:4" x14ac:dyDescent="0.2">
      <c r="A3844" s="146"/>
      <c r="D3844" s="496"/>
    </row>
    <row r="3845" spans="1:4" x14ac:dyDescent="0.2">
      <c r="A3845" s="146"/>
      <c r="D3845" s="496"/>
    </row>
    <row r="3846" spans="1:4" x14ac:dyDescent="0.2">
      <c r="A3846" s="146"/>
      <c r="D3846" s="496"/>
    </row>
    <row r="3847" spans="1:4" x14ac:dyDescent="0.2">
      <c r="A3847" s="146"/>
      <c r="D3847" s="496"/>
    </row>
    <row r="3848" spans="1:4" x14ac:dyDescent="0.2">
      <c r="A3848" s="146"/>
      <c r="D3848" s="496"/>
    </row>
    <row r="3849" spans="1:4" x14ac:dyDescent="0.2">
      <c r="A3849" s="146"/>
      <c r="D3849" s="496"/>
    </row>
    <row r="3850" spans="1:4" x14ac:dyDescent="0.2">
      <c r="A3850" s="146"/>
      <c r="D3850" s="496"/>
    </row>
    <row r="3851" spans="1:4" x14ac:dyDescent="0.2">
      <c r="A3851" s="146"/>
      <c r="D3851" s="496"/>
    </row>
    <row r="3852" spans="1:4" x14ac:dyDescent="0.2">
      <c r="A3852" s="146"/>
      <c r="D3852" s="496"/>
    </row>
    <row r="3853" spans="1:4" x14ac:dyDescent="0.2">
      <c r="A3853" s="146"/>
      <c r="D3853" s="496"/>
    </row>
    <row r="3854" spans="1:4" x14ac:dyDescent="0.2">
      <c r="A3854" s="146"/>
      <c r="D3854" s="496"/>
    </row>
    <row r="3855" spans="1:4" x14ac:dyDescent="0.2">
      <c r="A3855" s="146"/>
      <c r="D3855" s="496"/>
    </row>
    <row r="3856" spans="1:4" x14ac:dyDescent="0.2">
      <c r="A3856" s="146"/>
      <c r="D3856" s="496"/>
    </row>
    <row r="3857" spans="1:4" x14ac:dyDescent="0.2">
      <c r="A3857" s="146"/>
      <c r="D3857" s="496"/>
    </row>
    <row r="3858" spans="1:4" x14ac:dyDescent="0.2">
      <c r="A3858" s="146"/>
      <c r="D3858" s="496"/>
    </row>
    <row r="3859" spans="1:4" x14ac:dyDescent="0.2">
      <c r="A3859" s="146"/>
      <c r="D3859" s="496"/>
    </row>
    <row r="3860" spans="1:4" x14ac:dyDescent="0.2">
      <c r="A3860" s="146"/>
      <c r="D3860" s="496"/>
    </row>
    <row r="3861" spans="1:4" x14ac:dyDescent="0.2">
      <c r="A3861" s="146"/>
      <c r="D3861" s="496"/>
    </row>
    <row r="3862" spans="1:4" x14ac:dyDescent="0.2">
      <c r="A3862" s="146"/>
      <c r="D3862" s="496"/>
    </row>
    <row r="3863" spans="1:4" x14ac:dyDescent="0.2">
      <c r="A3863" s="146"/>
      <c r="D3863" s="496"/>
    </row>
    <row r="3864" spans="1:4" x14ac:dyDescent="0.2">
      <c r="A3864" s="146"/>
      <c r="D3864" s="496"/>
    </row>
    <row r="3865" spans="1:4" x14ac:dyDescent="0.2">
      <c r="A3865" s="146"/>
      <c r="D3865" s="496"/>
    </row>
    <row r="3866" spans="1:4" x14ac:dyDescent="0.2">
      <c r="A3866" s="146"/>
      <c r="D3866" s="496"/>
    </row>
    <row r="3867" spans="1:4" x14ac:dyDescent="0.2">
      <c r="A3867" s="146"/>
      <c r="D3867" s="496"/>
    </row>
    <row r="3868" spans="1:4" x14ac:dyDescent="0.2">
      <c r="A3868" s="146"/>
      <c r="D3868" s="496"/>
    </row>
    <row r="3869" spans="1:4" x14ac:dyDescent="0.2">
      <c r="A3869" s="146"/>
      <c r="D3869" s="496"/>
    </row>
    <row r="3870" spans="1:4" x14ac:dyDescent="0.2">
      <c r="A3870" s="146"/>
      <c r="D3870" s="496"/>
    </row>
    <row r="3871" spans="1:4" x14ac:dyDescent="0.2">
      <c r="A3871" s="146"/>
      <c r="D3871" s="496"/>
    </row>
    <row r="3872" spans="1:4" x14ac:dyDescent="0.2">
      <c r="A3872" s="146"/>
      <c r="D3872" s="496"/>
    </row>
    <row r="3873" spans="1:4" x14ac:dyDescent="0.2">
      <c r="A3873" s="146"/>
      <c r="D3873" s="496"/>
    </row>
    <row r="3874" spans="1:4" x14ac:dyDescent="0.2">
      <c r="A3874" s="146"/>
      <c r="D3874" s="496"/>
    </row>
    <row r="3875" spans="1:4" x14ac:dyDescent="0.2">
      <c r="A3875" s="146"/>
      <c r="D3875" s="496"/>
    </row>
    <row r="3876" spans="1:4" x14ac:dyDescent="0.2">
      <c r="A3876" s="146"/>
      <c r="D3876" s="496"/>
    </row>
    <row r="3877" spans="1:4" x14ac:dyDescent="0.2">
      <c r="A3877" s="146"/>
      <c r="D3877" s="496"/>
    </row>
    <row r="3878" spans="1:4" x14ac:dyDescent="0.2">
      <c r="A3878" s="146"/>
      <c r="D3878" s="496"/>
    </row>
    <row r="3879" spans="1:4" x14ac:dyDescent="0.2">
      <c r="A3879" s="146"/>
      <c r="D3879" s="496"/>
    </row>
    <row r="3880" spans="1:4" x14ac:dyDescent="0.2">
      <c r="A3880" s="146"/>
      <c r="D3880" s="496"/>
    </row>
    <row r="3881" spans="1:4" x14ac:dyDescent="0.2">
      <c r="A3881" s="146"/>
      <c r="D3881" s="496"/>
    </row>
    <row r="3882" spans="1:4" x14ac:dyDescent="0.2">
      <c r="A3882" s="146"/>
      <c r="D3882" s="496"/>
    </row>
    <row r="3883" spans="1:4" x14ac:dyDescent="0.2">
      <c r="A3883" s="146"/>
      <c r="D3883" s="496"/>
    </row>
    <row r="3884" spans="1:4" x14ac:dyDescent="0.2">
      <c r="A3884" s="146"/>
      <c r="D3884" s="496"/>
    </row>
    <row r="3885" spans="1:4" x14ac:dyDescent="0.2">
      <c r="A3885" s="146"/>
      <c r="D3885" s="496"/>
    </row>
    <row r="3886" spans="1:4" x14ac:dyDescent="0.2">
      <c r="A3886" s="146"/>
      <c r="D3886" s="496"/>
    </row>
    <row r="3887" spans="1:4" x14ac:dyDescent="0.2">
      <c r="A3887" s="146"/>
      <c r="D3887" s="496"/>
    </row>
    <row r="3888" spans="1:4" x14ac:dyDescent="0.2">
      <c r="A3888" s="146"/>
      <c r="D3888" s="496"/>
    </row>
    <row r="3889" spans="1:4" x14ac:dyDescent="0.2">
      <c r="A3889" s="146"/>
      <c r="D3889" s="496"/>
    </row>
    <row r="3890" spans="1:4" x14ac:dyDescent="0.2">
      <c r="A3890" s="146"/>
      <c r="D3890" s="496"/>
    </row>
    <row r="3891" spans="1:4" x14ac:dyDescent="0.2">
      <c r="A3891" s="146"/>
      <c r="D3891" s="496"/>
    </row>
    <row r="3892" spans="1:4" x14ac:dyDescent="0.2">
      <c r="A3892" s="146"/>
      <c r="D3892" s="496"/>
    </row>
    <row r="3893" spans="1:4" x14ac:dyDescent="0.2">
      <c r="A3893" s="146"/>
      <c r="D3893" s="496"/>
    </row>
    <row r="3894" spans="1:4" x14ac:dyDescent="0.2">
      <c r="A3894" s="146"/>
      <c r="D3894" s="496"/>
    </row>
    <row r="3895" spans="1:4" x14ac:dyDescent="0.2">
      <c r="A3895" s="146"/>
      <c r="D3895" s="496"/>
    </row>
    <row r="3896" spans="1:4" x14ac:dyDescent="0.2">
      <c r="A3896" s="146"/>
      <c r="D3896" s="496"/>
    </row>
    <row r="3897" spans="1:4" x14ac:dyDescent="0.2">
      <c r="A3897" s="146"/>
      <c r="D3897" s="496"/>
    </row>
    <row r="3898" spans="1:4" x14ac:dyDescent="0.2">
      <c r="A3898" s="146"/>
      <c r="D3898" s="496"/>
    </row>
    <row r="3899" spans="1:4" x14ac:dyDescent="0.2">
      <c r="A3899" s="146"/>
      <c r="D3899" s="496"/>
    </row>
    <row r="3900" spans="1:4" x14ac:dyDescent="0.2">
      <c r="A3900" s="146"/>
      <c r="D3900" s="496"/>
    </row>
    <row r="3901" spans="1:4" x14ac:dyDescent="0.2">
      <c r="A3901" s="146"/>
      <c r="D3901" s="496"/>
    </row>
    <row r="3902" spans="1:4" x14ac:dyDescent="0.2">
      <c r="A3902" s="146"/>
      <c r="D3902" s="496"/>
    </row>
    <row r="3903" spans="1:4" x14ac:dyDescent="0.2">
      <c r="A3903" s="146"/>
      <c r="D3903" s="496"/>
    </row>
    <row r="3904" spans="1:4" x14ac:dyDescent="0.2">
      <c r="A3904" s="146"/>
      <c r="D3904" s="496"/>
    </row>
    <row r="3905" spans="1:4" x14ac:dyDescent="0.2">
      <c r="A3905" s="146"/>
      <c r="D3905" s="496"/>
    </row>
    <row r="3906" spans="1:4" x14ac:dyDescent="0.2">
      <c r="A3906" s="146"/>
      <c r="D3906" s="496"/>
    </row>
    <row r="3907" spans="1:4" x14ac:dyDescent="0.2">
      <c r="A3907" s="146"/>
      <c r="D3907" s="496"/>
    </row>
    <row r="3908" spans="1:4" x14ac:dyDescent="0.2">
      <c r="A3908" s="146"/>
      <c r="D3908" s="496"/>
    </row>
    <row r="3909" spans="1:4" x14ac:dyDescent="0.2">
      <c r="A3909" s="146"/>
      <c r="D3909" s="496"/>
    </row>
    <row r="3910" spans="1:4" x14ac:dyDescent="0.2">
      <c r="A3910" s="146"/>
      <c r="D3910" s="496"/>
    </row>
    <row r="3911" spans="1:4" x14ac:dyDescent="0.2">
      <c r="A3911" s="146"/>
      <c r="D3911" s="496"/>
    </row>
    <row r="3912" spans="1:4" x14ac:dyDescent="0.2">
      <c r="A3912" s="146"/>
      <c r="D3912" s="496"/>
    </row>
    <row r="3913" spans="1:4" x14ac:dyDescent="0.2">
      <c r="A3913" s="146"/>
      <c r="D3913" s="496"/>
    </row>
    <row r="3914" spans="1:4" x14ac:dyDescent="0.2">
      <c r="A3914" s="146"/>
      <c r="D3914" s="496"/>
    </row>
    <row r="3915" spans="1:4" x14ac:dyDescent="0.2">
      <c r="A3915" s="146"/>
      <c r="D3915" s="496"/>
    </row>
    <row r="3916" spans="1:4" x14ac:dyDescent="0.2">
      <c r="A3916" s="146"/>
      <c r="D3916" s="496"/>
    </row>
    <row r="3917" spans="1:4" x14ac:dyDescent="0.2">
      <c r="A3917" s="146"/>
      <c r="D3917" s="496"/>
    </row>
    <row r="3918" spans="1:4" x14ac:dyDescent="0.2">
      <c r="A3918" s="146"/>
      <c r="D3918" s="496"/>
    </row>
    <row r="3919" spans="1:4" x14ac:dyDescent="0.2">
      <c r="A3919" s="146"/>
      <c r="D3919" s="496"/>
    </row>
    <row r="3920" spans="1:4" x14ac:dyDescent="0.2">
      <c r="A3920" s="146"/>
      <c r="D3920" s="496"/>
    </row>
    <row r="3921" spans="1:4" x14ac:dyDescent="0.2">
      <c r="A3921" s="146"/>
      <c r="D3921" s="496"/>
    </row>
    <row r="3922" spans="1:4" x14ac:dyDescent="0.2">
      <c r="A3922" s="146"/>
      <c r="D3922" s="496"/>
    </row>
    <row r="3923" spans="1:4" x14ac:dyDescent="0.2">
      <c r="A3923" s="146"/>
      <c r="D3923" s="496"/>
    </row>
    <row r="3924" spans="1:4" x14ac:dyDescent="0.2">
      <c r="A3924" s="146"/>
      <c r="D3924" s="496"/>
    </row>
    <row r="3925" spans="1:4" x14ac:dyDescent="0.2">
      <c r="A3925" s="146"/>
      <c r="D3925" s="496"/>
    </row>
    <row r="3926" spans="1:4" x14ac:dyDescent="0.2">
      <c r="A3926" s="146"/>
      <c r="D3926" s="496"/>
    </row>
    <row r="3927" spans="1:4" x14ac:dyDescent="0.2">
      <c r="A3927" s="146"/>
      <c r="D3927" s="496"/>
    </row>
    <row r="3928" spans="1:4" x14ac:dyDescent="0.2">
      <c r="A3928" s="146"/>
      <c r="D3928" s="496"/>
    </row>
    <row r="3929" spans="1:4" x14ac:dyDescent="0.2">
      <c r="A3929" s="146"/>
      <c r="D3929" s="496"/>
    </row>
    <row r="3930" spans="1:4" x14ac:dyDescent="0.2">
      <c r="A3930" s="146"/>
      <c r="D3930" s="496"/>
    </row>
    <row r="3931" spans="1:4" x14ac:dyDescent="0.2">
      <c r="A3931" s="146"/>
      <c r="D3931" s="496"/>
    </row>
    <row r="3932" spans="1:4" x14ac:dyDescent="0.2">
      <c r="A3932" s="146"/>
      <c r="D3932" s="496"/>
    </row>
    <row r="3933" spans="1:4" x14ac:dyDescent="0.2">
      <c r="A3933" s="146"/>
      <c r="D3933" s="496"/>
    </row>
    <row r="3934" spans="1:4" x14ac:dyDescent="0.2">
      <c r="A3934" s="146"/>
      <c r="D3934" s="496"/>
    </row>
    <row r="3935" spans="1:4" x14ac:dyDescent="0.2">
      <c r="A3935" s="146"/>
      <c r="D3935" s="496"/>
    </row>
    <row r="3936" spans="1:4" x14ac:dyDescent="0.2">
      <c r="A3936" s="146"/>
      <c r="D3936" s="496"/>
    </row>
    <row r="3937" spans="1:4" x14ac:dyDescent="0.2">
      <c r="A3937" s="146"/>
      <c r="D3937" s="496"/>
    </row>
    <row r="3938" spans="1:4" x14ac:dyDescent="0.2">
      <c r="A3938" s="146"/>
      <c r="D3938" s="496"/>
    </row>
    <row r="3939" spans="1:4" x14ac:dyDescent="0.2">
      <c r="A3939" s="146"/>
      <c r="D3939" s="496"/>
    </row>
    <row r="3940" spans="1:4" x14ac:dyDescent="0.2">
      <c r="A3940" s="146"/>
      <c r="D3940" s="496"/>
    </row>
    <row r="3941" spans="1:4" x14ac:dyDescent="0.2">
      <c r="A3941" s="146"/>
      <c r="D3941" s="496"/>
    </row>
    <row r="3942" spans="1:4" x14ac:dyDescent="0.2">
      <c r="A3942" s="146"/>
      <c r="D3942" s="496"/>
    </row>
    <row r="3943" spans="1:4" x14ac:dyDescent="0.2">
      <c r="A3943" s="146"/>
      <c r="D3943" s="496"/>
    </row>
    <row r="3944" spans="1:4" x14ac:dyDescent="0.2">
      <c r="A3944" s="146"/>
      <c r="D3944" s="496"/>
    </row>
    <row r="3945" spans="1:4" x14ac:dyDescent="0.2">
      <c r="A3945" s="146"/>
      <c r="D3945" s="496"/>
    </row>
    <row r="3946" spans="1:4" x14ac:dyDescent="0.2">
      <c r="A3946" s="146"/>
      <c r="D3946" s="496"/>
    </row>
    <row r="3947" spans="1:4" x14ac:dyDescent="0.2">
      <c r="A3947" s="146"/>
      <c r="D3947" s="496"/>
    </row>
    <row r="3948" spans="1:4" x14ac:dyDescent="0.2">
      <c r="A3948" s="146"/>
      <c r="D3948" s="496"/>
    </row>
    <row r="3949" spans="1:4" x14ac:dyDescent="0.2">
      <c r="A3949" s="146"/>
      <c r="D3949" s="496"/>
    </row>
    <row r="3950" spans="1:4" x14ac:dyDescent="0.2">
      <c r="A3950" s="146"/>
      <c r="D3950" s="496"/>
    </row>
    <row r="3951" spans="1:4" x14ac:dyDescent="0.2">
      <c r="A3951" s="146"/>
      <c r="D3951" s="496"/>
    </row>
    <row r="3952" spans="1:4" x14ac:dyDescent="0.2">
      <c r="A3952" s="146"/>
      <c r="D3952" s="496"/>
    </row>
    <row r="3953" spans="1:4" x14ac:dyDescent="0.2">
      <c r="A3953" s="146"/>
      <c r="D3953" s="496"/>
    </row>
    <row r="3954" spans="1:4" x14ac:dyDescent="0.2">
      <c r="A3954" s="146"/>
      <c r="D3954" s="496"/>
    </row>
    <row r="3955" spans="1:4" x14ac:dyDescent="0.2">
      <c r="A3955" s="146"/>
      <c r="D3955" s="496"/>
    </row>
    <row r="3956" spans="1:4" x14ac:dyDescent="0.2">
      <c r="A3956" s="146"/>
      <c r="D3956" s="496"/>
    </row>
    <row r="3957" spans="1:4" x14ac:dyDescent="0.2">
      <c r="A3957" s="146"/>
      <c r="D3957" s="496"/>
    </row>
    <row r="3958" spans="1:4" x14ac:dyDescent="0.2">
      <c r="A3958" s="146"/>
      <c r="D3958" s="496"/>
    </row>
    <row r="3959" spans="1:4" x14ac:dyDescent="0.2">
      <c r="A3959" s="146"/>
      <c r="D3959" s="496"/>
    </row>
    <row r="3960" spans="1:4" x14ac:dyDescent="0.2">
      <c r="A3960" s="146"/>
      <c r="D3960" s="496"/>
    </row>
    <row r="3961" spans="1:4" x14ac:dyDescent="0.2">
      <c r="A3961" s="146"/>
      <c r="D3961" s="496"/>
    </row>
    <row r="3962" spans="1:4" x14ac:dyDescent="0.2">
      <c r="A3962" s="146"/>
      <c r="D3962" s="496"/>
    </row>
    <row r="3963" spans="1:4" x14ac:dyDescent="0.2">
      <c r="A3963" s="146"/>
      <c r="D3963" s="496"/>
    </row>
    <row r="3964" spans="1:4" x14ac:dyDescent="0.2">
      <c r="A3964" s="146"/>
      <c r="D3964" s="496"/>
    </row>
    <row r="3965" spans="1:4" x14ac:dyDescent="0.2">
      <c r="A3965" s="146"/>
      <c r="D3965" s="496"/>
    </row>
    <row r="3966" spans="1:4" x14ac:dyDescent="0.2">
      <c r="A3966" s="146"/>
      <c r="D3966" s="496"/>
    </row>
    <row r="3967" spans="1:4" x14ac:dyDescent="0.2">
      <c r="A3967" s="146"/>
      <c r="D3967" s="496"/>
    </row>
    <row r="3968" spans="1:4" x14ac:dyDescent="0.2">
      <c r="A3968" s="146"/>
      <c r="D3968" s="496"/>
    </row>
    <row r="3969" spans="1:4" x14ac:dyDescent="0.2">
      <c r="A3969" s="146"/>
      <c r="D3969" s="496"/>
    </row>
    <row r="3970" spans="1:4" x14ac:dyDescent="0.2">
      <c r="A3970" s="146"/>
      <c r="D3970" s="496"/>
    </row>
    <row r="3971" spans="1:4" x14ac:dyDescent="0.2">
      <c r="A3971" s="146"/>
      <c r="D3971" s="496"/>
    </row>
    <row r="3972" spans="1:4" x14ac:dyDescent="0.2">
      <c r="A3972" s="146"/>
      <c r="D3972" s="496"/>
    </row>
    <row r="3973" spans="1:4" x14ac:dyDescent="0.2">
      <c r="A3973" s="146"/>
      <c r="D3973" s="496"/>
    </row>
    <row r="3974" spans="1:4" x14ac:dyDescent="0.2">
      <c r="A3974" s="146"/>
      <c r="D3974" s="496"/>
    </row>
    <row r="3975" spans="1:4" x14ac:dyDescent="0.2">
      <c r="A3975" s="146"/>
      <c r="D3975" s="496"/>
    </row>
    <row r="3976" spans="1:4" x14ac:dyDescent="0.2">
      <c r="A3976" s="146"/>
      <c r="D3976" s="496"/>
    </row>
    <row r="3977" spans="1:4" x14ac:dyDescent="0.2">
      <c r="A3977" s="146"/>
      <c r="D3977" s="496"/>
    </row>
    <row r="3978" spans="1:4" x14ac:dyDescent="0.2">
      <c r="A3978" s="146"/>
      <c r="D3978" s="496"/>
    </row>
    <row r="3979" spans="1:4" x14ac:dyDescent="0.2">
      <c r="A3979" s="146"/>
      <c r="D3979" s="496"/>
    </row>
    <row r="3980" spans="1:4" x14ac:dyDescent="0.2">
      <c r="A3980" s="146"/>
      <c r="D3980" s="496"/>
    </row>
    <row r="3981" spans="1:4" x14ac:dyDescent="0.2">
      <c r="A3981" s="146"/>
      <c r="D3981" s="496"/>
    </row>
    <row r="3982" spans="1:4" x14ac:dyDescent="0.2">
      <c r="A3982" s="146"/>
      <c r="D3982" s="496"/>
    </row>
    <row r="3983" spans="1:4" x14ac:dyDescent="0.2">
      <c r="A3983" s="146"/>
      <c r="D3983" s="496"/>
    </row>
    <row r="3984" spans="1:4" x14ac:dyDescent="0.2">
      <c r="A3984" s="146"/>
      <c r="D3984" s="496"/>
    </row>
    <row r="3985" spans="1:4" x14ac:dyDescent="0.2">
      <c r="A3985" s="146"/>
      <c r="D3985" s="496"/>
    </row>
    <row r="3986" spans="1:4" x14ac:dyDescent="0.2">
      <c r="A3986" s="146"/>
      <c r="D3986" s="496"/>
    </row>
    <row r="3987" spans="1:4" x14ac:dyDescent="0.2">
      <c r="A3987" s="146"/>
      <c r="D3987" s="496"/>
    </row>
    <row r="3988" spans="1:4" x14ac:dyDescent="0.2">
      <c r="A3988" s="146"/>
      <c r="D3988" s="496"/>
    </row>
    <row r="3989" spans="1:4" x14ac:dyDescent="0.2">
      <c r="A3989" s="146"/>
      <c r="D3989" s="496"/>
    </row>
    <row r="3990" spans="1:4" x14ac:dyDescent="0.2">
      <c r="A3990" s="146"/>
      <c r="D3990" s="496"/>
    </row>
    <row r="3991" spans="1:4" x14ac:dyDescent="0.2">
      <c r="A3991" s="146"/>
      <c r="D3991" s="496"/>
    </row>
    <row r="3992" spans="1:4" x14ac:dyDescent="0.2">
      <c r="A3992" s="146"/>
      <c r="D3992" s="496"/>
    </row>
    <row r="3993" spans="1:4" x14ac:dyDescent="0.2">
      <c r="A3993" s="146"/>
      <c r="D3993" s="496"/>
    </row>
    <row r="3994" spans="1:4" x14ac:dyDescent="0.2">
      <c r="A3994" s="146"/>
      <c r="D3994" s="496"/>
    </row>
    <row r="3995" spans="1:4" x14ac:dyDescent="0.2">
      <c r="A3995" s="146"/>
      <c r="D3995" s="496"/>
    </row>
    <row r="3996" spans="1:4" x14ac:dyDescent="0.2">
      <c r="A3996" s="146"/>
      <c r="D3996" s="496"/>
    </row>
    <row r="3997" spans="1:4" x14ac:dyDescent="0.2">
      <c r="A3997" s="146"/>
      <c r="D3997" s="496"/>
    </row>
    <row r="3998" spans="1:4" x14ac:dyDescent="0.2">
      <c r="A3998" s="146"/>
      <c r="D3998" s="496"/>
    </row>
    <row r="3999" spans="1:4" x14ac:dyDescent="0.2">
      <c r="A3999" s="146"/>
      <c r="D3999" s="496"/>
    </row>
    <row r="4000" spans="1:4" x14ac:dyDescent="0.2">
      <c r="A4000" s="146"/>
      <c r="D4000" s="496"/>
    </row>
    <row r="4001" spans="1:4" x14ac:dyDescent="0.2">
      <c r="A4001" s="146"/>
      <c r="D4001" s="496"/>
    </row>
    <row r="4002" spans="1:4" x14ac:dyDescent="0.2">
      <c r="A4002" s="146"/>
      <c r="D4002" s="496"/>
    </row>
    <row r="4003" spans="1:4" x14ac:dyDescent="0.2">
      <c r="A4003" s="146"/>
      <c r="D4003" s="496"/>
    </row>
    <row r="4004" spans="1:4" x14ac:dyDescent="0.2">
      <c r="A4004" s="146"/>
      <c r="D4004" s="496"/>
    </row>
    <row r="4005" spans="1:4" x14ac:dyDescent="0.2">
      <c r="A4005" s="146"/>
      <c r="D4005" s="496"/>
    </row>
    <row r="4006" spans="1:4" x14ac:dyDescent="0.2">
      <c r="A4006" s="146"/>
      <c r="D4006" s="496"/>
    </row>
    <row r="4007" spans="1:4" x14ac:dyDescent="0.2">
      <c r="A4007" s="146"/>
      <c r="D4007" s="496"/>
    </row>
    <row r="4008" spans="1:4" x14ac:dyDescent="0.2">
      <c r="A4008" s="146"/>
      <c r="D4008" s="496"/>
    </row>
    <row r="4009" spans="1:4" x14ac:dyDescent="0.2">
      <c r="A4009" s="146"/>
      <c r="D4009" s="496"/>
    </row>
    <row r="4010" spans="1:4" x14ac:dyDescent="0.2">
      <c r="A4010" s="146"/>
      <c r="D4010" s="496"/>
    </row>
    <row r="4011" spans="1:4" x14ac:dyDescent="0.2">
      <c r="A4011" s="146"/>
      <c r="D4011" s="496"/>
    </row>
    <row r="4012" spans="1:4" x14ac:dyDescent="0.2">
      <c r="A4012" s="146"/>
      <c r="D4012" s="496"/>
    </row>
    <row r="4013" spans="1:4" x14ac:dyDescent="0.2">
      <c r="A4013" s="146"/>
      <c r="D4013" s="496"/>
    </row>
    <row r="4014" spans="1:4" x14ac:dyDescent="0.2">
      <c r="A4014" s="146"/>
      <c r="D4014" s="496"/>
    </row>
    <row r="4015" spans="1:4" x14ac:dyDescent="0.2">
      <c r="A4015" s="146"/>
      <c r="D4015" s="496"/>
    </row>
    <row r="4016" spans="1:4" x14ac:dyDescent="0.2">
      <c r="A4016" s="146"/>
      <c r="D4016" s="496"/>
    </row>
    <row r="4017" spans="1:4" x14ac:dyDescent="0.2">
      <c r="A4017" s="146"/>
      <c r="D4017" s="496"/>
    </row>
    <row r="4018" spans="1:4" x14ac:dyDescent="0.2">
      <c r="A4018" s="146"/>
      <c r="D4018" s="496"/>
    </row>
    <row r="4019" spans="1:4" x14ac:dyDescent="0.2">
      <c r="A4019" s="146"/>
      <c r="D4019" s="496"/>
    </row>
    <row r="4020" spans="1:4" x14ac:dyDescent="0.2">
      <c r="A4020" s="146"/>
      <c r="D4020" s="496"/>
    </row>
    <row r="4021" spans="1:4" x14ac:dyDescent="0.2">
      <c r="A4021" s="146"/>
      <c r="D4021" s="496"/>
    </row>
    <row r="4022" spans="1:4" x14ac:dyDescent="0.2">
      <c r="A4022" s="146"/>
      <c r="D4022" s="496"/>
    </row>
    <row r="4023" spans="1:4" x14ac:dyDescent="0.2">
      <c r="A4023" s="146"/>
      <c r="D4023" s="496"/>
    </row>
    <row r="4024" spans="1:4" x14ac:dyDescent="0.2">
      <c r="A4024" s="146"/>
      <c r="D4024" s="496"/>
    </row>
    <row r="4025" spans="1:4" x14ac:dyDescent="0.2">
      <c r="A4025" s="146"/>
      <c r="D4025" s="496"/>
    </row>
    <row r="4026" spans="1:4" x14ac:dyDescent="0.2">
      <c r="A4026" s="146"/>
      <c r="D4026" s="496"/>
    </row>
    <row r="4027" spans="1:4" x14ac:dyDescent="0.2">
      <c r="A4027" s="146"/>
      <c r="D4027" s="496"/>
    </row>
    <row r="4028" spans="1:4" x14ac:dyDescent="0.2">
      <c r="A4028" s="146"/>
      <c r="D4028" s="496"/>
    </row>
    <row r="4029" spans="1:4" x14ac:dyDescent="0.2">
      <c r="A4029" s="146"/>
      <c r="D4029" s="496"/>
    </row>
    <row r="4030" spans="1:4" x14ac:dyDescent="0.2">
      <c r="A4030" s="146"/>
      <c r="D4030" s="496"/>
    </row>
    <row r="4031" spans="1:4" x14ac:dyDescent="0.2">
      <c r="A4031" s="146"/>
      <c r="D4031" s="496"/>
    </row>
    <row r="4032" spans="1:4" x14ac:dyDescent="0.2">
      <c r="A4032" s="146"/>
      <c r="D4032" s="496"/>
    </row>
    <row r="4033" spans="1:4" x14ac:dyDescent="0.2">
      <c r="A4033" s="146"/>
      <c r="D4033" s="496"/>
    </row>
    <row r="4034" spans="1:4" x14ac:dyDescent="0.2">
      <c r="A4034" s="146"/>
      <c r="D4034" s="496"/>
    </row>
    <row r="4035" spans="1:4" x14ac:dyDescent="0.2">
      <c r="A4035" s="146"/>
      <c r="D4035" s="496"/>
    </row>
    <row r="4036" spans="1:4" x14ac:dyDescent="0.2">
      <c r="A4036" s="146"/>
      <c r="D4036" s="496"/>
    </row>
    <row r="4037" spans="1:4" x14ac:dyDescent="0.2">
      <c r="A4037" s="146"/>
      <c r="D4037" s="496"/>
    </row>
    <row r="4038" spans="1:4" x14ac:dyDescent="0.2">
      <c r="A4038" s="146"/>
      <c r="D4038" s="496"/>
    </row>
    <row r="4039" spans="1:4" x14ac:dyDescent="0.2">
      <c r="A4039" s="146"/>
      <c r="D4039" s="496"/>
    </row>
    <row r="4040" spans="1:4" x14ac:dyDescent="0.2">
      <c r="A4040" s="146"/>
      <c r="D4040" s="496"/>
    </row>
    <row r="4041" spans="1:4" x14ac:dyDescent="0.2">
      <c r="A4041" s="146"/>
      <c r="D4041" s="496"/>
    </row>
    <row r="4042" spans="1:4" x14ac:dyDescent="0.2">
      <c r="A4042" s="146"/>
      <c r="D4042" s="496"/>
    </row>
    <row r="4043" spans="1:4" x14ac:dyDescent="0.2">
      <c r="A4043" s="146"/>
      <c r="D4043" s="496"/>
    </row>
    <row r="4044" spans="1:4" x14ac:dyDescent="0.2">
      <c r="A4044" s="146"/>
      <c r="D4044" s="496"/>
    </row>
    <row r="4045" spans="1:4" x14ac:dyDescent="0.2">
      <c r="A4045" s="146"/>
      <c r="D4045" s="496"/>
    </row>
    <row r="4046" spans="1:4" x14ac:dyDescent="0.2">
      <c r="A4046" s="146"/>
      <c r="D4046" s="496"/>
    </row>
    <row r="4047" spans="1:4" x14ac:dyDescent="0.2">
      <c r="A4047" s="146"/>
      <c r="D4047" s="496"/>
    </row>
    <row r="4048" spans="1:4" x14ac:dyDescent="0.2">
      <c r="A4048" s="146"/>
      <c r="D4048" s="496"/>
    </row>
    <row r="4049" spans="1:4" x14ac:dyDescent="0.2">
      <c r="A4049" s="146"/>
      <c r="D4049" s="496"/>
    </row>
    <row r="4050" spans="1:4" x14ac:dyDescent="0.2">
      <c r="A4050" s="146"/>
      <c r="D4050" s="496"/>
    </row>
    <row r="4051" spans="1:4" x14ac:dyDescent="0.2">
      <c r="A4051" s="146"/>
      <c r="D4051" s="496"/>
    </row>
    <row r="4052" spans="1:4" x14ac:dyDescent="0.2">
      <c r="A4052" s="146"/>
      <c r="D4052" s="496"/>
    </row>
    <row r="4053" spans="1:4" x14ac:dyDescent="0.2">
      <c r="A4053" s="146"/>
      <c r="D4053" s="496"/>
    </row>
    <row r="4054" spans="1:4" x14ac:dyDescent="0.2">
      <c r="A4054" s="146"/>
      <c r="D4054" s="496"/>
    </row>
    <row r="4055" spans="1:4" x14ac:dyDescent="0.2">
      <c r="A4055" s="146"/>
      <c r="D4055" s="496"/>
    </row>
    <row r="4056" spans="1:4" x14ac:dyDescent="0.2">
      <c r="A4056" s="146"/>
      <c r="D4056" s="496"/>
    </row>
    <row r="4057" spans="1:4" x14ac:dyDescent="0.2">
      <c r="A4057" s="146"/>
      <c r="D4057" s="496"/>
    </row>
    <row r="4058" spans="1:4" x14ac:dyDescent="0.2">
      <c r="A4058" s="146"/>
      <c r="D4058" s="496"/>
    </row>
    <row r="4059" spans="1:4" x14ac:dyDescent="0.2">
      <c r="A4059" s="146"/>
      <c r="D4059" s="496"/>
    </row>
    <row r="4060" spans="1:4" x14ac:dyDescent="0.2">
      <c r="A4060" s="146"/>
      <c r="D4060" s="496"/>
    </row>
    <row r="4061" spans="1:4" x14ac:dyDescent="0.2">
      <c r="A4061" s="146"/>
      <c r="D4061" s="496"/>
    </row>
    <row r="4062" spans="1:4" x14ac:dyDescent="0.2">
      <c r="A4062" s="146"/>
      <c r="D4062" s="496"/>
    </row>
    <row r="4063" spans="1:4" x14ac:dyDescent="0.2">
      <c r="A4063" s="146"/>
      <c r="D4063" s="496"/>
    </row>
    <row r="4064" spans="1:4" x14ac:dyDescent="0.2">
      <c r="A4064" s="146"/>
      <c r="D4064" s="496"/>
    </row>
    <row r="4065" spans="1:4" x14ac:dyDescent="0.2">
      <c r="A4065" s="146"/>
      <c r="D4065" s="496"/>
    </row>
    <row r="4066" spans="1:4" x14ac:dyDescent="0.2">
      <c r="A4066" s="146"/>
      <c r="D4066" s="496"/>
    </row>
    <row r="4067" spans="1:4" x14ac:dyDescent="0.2">
      <c r="A4067" s="146"/>
      <c r="D4067" s="496"/>
    </row>
    <row r="4068" spans="1:4" x14ac:dyDescent="0.2">
      <c r="A4068" s="146"/>
      <c r="D4068" s="496"/>
    </row>
    <row r="4069" spans="1:4" x14ac:dyDescent="0.2">
      <c r="A4069" s="146"/>
      <c r="D4069" s="496"/>
    </row>
    <row r="4070" spans="1:4" x14ac:dyDescent="0.2">
      <c r="A4070" s="146"/>
      <c r="D4070" s="496"/>
    </row>
    <row r="4071" spans="1:4" x14ac:dyDescent="0.2">
      <c r="A4071" s="146"/>
      <c r="D4071" s="496"/>
    </row>
    <row r="4072" spans="1:4" x14ac:dyDescent="0.2">
      <c r="A4072" s="146"/>
      <c r="D4072" s="496"/>
    </row>
    <row r="4073" spans="1:4" x14ac:dyDescent="0.2">
      <c r="A4073" s="146"/>
      <c r="D4073" s="496"/>
    </row>
    <row r="4074" spans="1:4" x14ac:dyDescent="0.2">
      <c r="A4074" s="146"/>
      <c r="D4074" s="496"/>
    </row>
    <row r="4075" spans="1:4" x14ac:dyDescent="0.2">
      <c r="A4075" s="146"/>
      <c r="D4075" s="496"/>
    </row>
    <row r="4076" spans="1:4" x14ac:dyDescent="0.2">
      <c r="A4076" s="146"/>
      <c r="D4076" s="496"/>
    </row>
    <row r="4077" spans="1:4" x14ac:dyDescent="0.2">
      <c r="A4077" s="146"/>
      <c r="D4077" s="496"/>
    </row>
    <row r="4078" spans="1:4" x14ac:dyDescent="0.2">
      <c r="A4078" s="146"/>
      <c r="D4078" s="496"/>
    </row>
    <row r="4079" spans="1:4" x14ac:dyDescent="0.2">
      <c r="A4079" s="146"/>
      <c r="D4079" s="496"/>
    </row>
    <row r="4080" spans="1:4" x14ac:dyDescent="0.2">
      <c r="A4080" s="146"/>
      <c r="D4080" s="496"/>
    </row>
    <row r="4081" spans="1:4" x14ac:dyDescent="0.2">
      <c r="A4081" s="146"/>
      <c r="D4081" s="496"/>
    </row>
    <row r="4082" spans="1:4" x14ac:dyDescent="0.2">
      <c r="A4082" s="146"/>
      <c r="D4082" s="496"/>
    </row>
    <row r="4083" spans="1:4" x14ac:dyDescent="0.2">
      <c r="A4083" s="146"/>
      <c r="D4083" s="496"/>
    </row>
    <row r="4084" spans="1:4" x14ac:dyDescent="0.2">
      <c r="A4084" s="146"/>
      <c r="D4084" s="496"/>
    </row>
    <row r="4085" spans="1:4" x14ac:dyDescent="0.2">
      <c r="A4085" s="146"/>
      <c r="D4085" s="496"/>
    </row>
    <row r="4086" spans="1:4" x14ac:dyDescent="0.2">
      <c r="A4086" s="146"/>
      <c r="D4086" s="496"/>
    </row>
    <row r="4087" spans="1:4" x14ac:dyDescent="0.2">
      <c r="A4087" s="146"/>
      <c r="D4087" s="496"/>
    </row>
    <row r="4088" spans="1:4" x14ac:dyDescent="0.2">
      <c r="A4088" s="146"/>
      <c r="D4088" s="496"/>
    </row>
    <row r="4089" spans="1:4" x14ac:dyDescent="0.2">
      <c r="A4089" s="146"/>
      <c r="D4089" s="496"/>
    </row>
    <row r="4090" spans="1:4" x14ac:dyDescent="0.2">
      <c r="A4090" s="146"/>
      <c r="D4090" s="496"/>
    </row>
    <row r="4091" spans="1:4" x14ac:dyDescent="0.2">
      <c r="A4091" s="146"/>
      <c r="D4091" s="496"/>
    </row>
    <row r="4092" spans="1:4" x14ac:dyDescent="0.2">
      <c r="A4092" s="146"/>
      <c r="D4092" s="496"/>
    </row>
    <row r="4093" spans="1:4" x14ac:dyDescent="0.2">
      <c r="A4093" s="146"/>
      <c r="D4093" s="496"/>
    </row>
    <row r="4094" spans="1:4" x14ac:dyDescent="0.2">
      <c r="A4094" s="146"/>
      <c r="D4094" s="496"/>
    </row>
    <row r="4095" spans="1:4" x14ac:dyDescent="0.2">
      <c r="A4095" s="146"/>
      <c r="D4095" s="496"/>
    </row>
    <row r="4096" spans="1:4" x14ac:dyDescent="0.2">
      <c r="A4096" s="146"/>
      <c r="D4096" s="496"/>
    </row>
    <row r="4097" spans="1:4" x14ac:dyDescent="0.2">
      <c r="A4097" s="146"/>
      <c r="D4097" s="496"/>
    </row>
    <row r="4098" spans="1:4" x14ac:dyDescent="0.2">
      <c r="A4098" s="146"/>
      <c r="D4098" s="496"/>
    </row>
    <row r="4099" spans="1:4" x14ac:dyDescent="0.2">
      <c r="A4099" s="146"/>
      <c r="D4099" s="496"/>
    </row>
    <row r="4100" spans="1:4" x14ac:dyDescent="0.2">
      <c r="A4100" s="146"/>
      <c r="D4100" s="496"/>
    </row>
    <row r="4101" spans="1:4" x14ac:dyDescent="0.2">
      <c r="A4101" s="146"/>
      <c r="D4101" s="496"/>
    </row>
    <row r="4102" spans="1:4" x14ac:dyDescent="0.2">
      <c r="A4102" s="146"/>
      <c r="D4102" s="496"/>
    </row>
    <row r="4103" spans="1:4" x14ac:dyDescent="0.2">
      <c r="A4103" s="146"/>
      <c r="D4103" s="496"/>
    </row>
    <row r="4104" spans="1:4" x14ac:dyDescent="0.2">
      <c r="A4104" s="146"/>
      <c r="D4104" s="496"/>
    </row>
    <row r="4105" spans="1:4" x14ac:dyDescent="0.2">
      <c r="A4105" s="146"/>
      <c r="D4105" s="496"/>
    </row>
    <row r="4106" spans="1:4" x14ac:dyDescent="0.2">
      <c r="A4106" s="146"/>
      <c r="D4106" s="496"/>
    </row>
    <row r="4107" spans="1:4" x14ac:dyDescent="0.2">
      <c r="A4107" s="146"/>
      <c r="D4107" s="496"/>
    </row>
    <row r="4108" spans="1:4" x14ac:dyDescent="0.2">
      <c r="A4108" s="146"/>
      <c r="D4108" s="496"/>
    </row>
    <row r="4109" spans="1:4" x14ac:dyDescent="0.2">
      <c r="A4109" s="146"/>
      <c r="D4109" s="496"/>
    </row>
    <row r="4110" spans="1:4" x14ac:dyDescent="0.2">
      <c r="A4110" s="146"/>
      <c r="D4110" s="496"/>
    </row>
    <row r="4111" spans="1:4" x14ac:dyDescent="0.2">
      <c r="A4111" s="146"/>
      <c r="D4111" s="496"/>
    </row>
    <row r="4112" spans="1:4" x14ac:dyDescent="0.2">
      <c r="A4112" s="146"/>
      <c r="D4112" s="496"/>
    </row>
    <row r="4113" spans="1:4" x14ac:dyDescent="0.2">
      <c r="A4113" s="146"/>
      <c r="D4113" s="496"/>
    </row>
    <row r="4114" spans="1:4" x14ac:dyDescent="0.2">
      <c r="A4114" s="146"/>
      <c r="D4114" s="496"/>
    </row>
    <row r="4115" spans="1:4" x14ac:dyDescent="0.2">
      <c r="A4115" s="146"/>
      <c r="D4115" s="496"/>
    </row>
    <row r="4116" spans="1:4" x14ac:dyDescent="0.2">
      <c r="A4116" s="146"/>
      <c r="D4116" s="496"/>
    </row>
    <row r="4117" spans="1:4" x14ac:dyDescent="0.2">
      <c r="A4117" s="146"/>
      <c r="D4117" s="496"/>
    </row>
    <row r="4118" spans="1:4" x14ac:dyDescent="0.2">
      <c r="A4118" s="146"/>
      <c r="D4118" s="496"/>
    </row>
    <row r="4119" spans="1:4" x14ac:dyDescent="0.2">
      <c r="A4119" s="146"/>
      <c r="D4119" s="496"/>
    </row>
    <row r="4120" spans="1:4" x14ac:dyDescent="0.2">
      <c r="A4120" s="146"/>
      <c r="D4120" s="496"/>
    </row>
    <row r="4121" spans="1:4" x14ac:dyDescent="0.2">
      <c r="A4121" s="146"/>
      <c r="D4121" s="496"/>
    </row>
    <row r="4122" spans="1:4" x14ac:dyDescent="0.2">
      <c r="A4122" s="146"/>
      <c r="D4122" s="496"/>
    </row>
    <row r="4123" spans="1:4" x14ac:dyDescent="0.2">
      <c r="A4123" s="146"/>
      <c r="D4123" s="496"/>
    </row>
    <row r="4124" spans="1:4" x14ac:dyDescent="0.2">
      <c r="A4124" s="146"/>
      <c r="D4124" s="496"/>
    </row>
    <row r="4125" spans="1:4" x14ac:dyDescent="0.2">
      <c r="A4125" s="146"/>
      <c r="D4125" s="496"/>
    </row>
    <row r="4126" spans="1:4" x14ac:dyDescent="0.2">
      <c r="A4126" s="146"/>
      <c r="D4126" s="496"/>
    </row>
    <row r="4127" spans="1:4" x14ac:dyDescent="0.2">
      <c r="A4127" s="146"/>
      <c r="D4127" s="496"/>
    </row>
    <row r="4128" spans="1:4" x14ac:dyDescent="0.2">
      <c r="A4128" s="146"/>
      <c r="D4128" s="496"/>
    </row>
    <row r="4129" spans="1:4" x14ac:dyDescent="0.2">
      <c r="A4129" s="146"/>
      <c r="D4129" s="496"/>
    </row>
    <row r="4130" spans="1:4" x14ac:dyDescent="0.2">
      <c r="A4130" s="146"/>
      <c r="D4130" s="496"/>
    </row>
    <row r="4131" spans="1:4" x14ac:dyDescent="0.2">
      <c r="A4131" s="146"/>
      <c r="D4131" s="496"/>
    </row>
    <row r="4132" spans="1:4" x14ac:dyDescent="0.2">
      <c r="A4132" s="146"/>
      <c r="D4132" s="496"/>
    </row>
    <row r="4133" spans="1:4" x14ac:dyDescent="0.2">
      <c r="A4133" s="146"/>
      <c r="D4133" s="496"/>
    </row>
    <row r="4134" spans="1:4" x14ac:dyDescent="0.2">
      <c r="A4134" s="146"/>
      <c r="D4134" s="496"/>
    </row>
    <row r="4135" spans="1:4" x14ac:dyDescent="0.2">
      <c r="A4135" s="146"/>
      <c r="D4135" s="496"/>
    </row>
    <row r="4136" spans="1:4" x14ac:dyDescent="0.2">
      <c r="A4136" s="146"/>
      <c r="D4136" s="496"/>
    </row>
    <row r="4137" spans="1:4" x14ac:dyDescent="0.2">
      <c r="A4137" s="146"/>
      <c r="D4137" s="496"/>
    </row>
    <row r="4138" spans="1:4" x14ac:dyDescent="0.2">
      <c r="A4138" s="146"/>
      <c r="D4138" s="496"/>
    </row>
    <row r="4139" spans="1:4" x14ac:dyDescent="0.2">
      <c r="A4139" s="146"/>
      <c r="D4139" s="496"/>
    </row>
    <row r="4140" spans="1:4" x14ac:dyDescent="0.2">
      <c r="A4140" s="146"/>
      <c r="D4140" s="496"/>
    </row>
    <row r="4141" spans="1:4" x14ac:dyDescent="0.2">
      <c r="A4141" s="146"/>
      <c r="D4141" s="496"/>
    </row>
    <row r="4142" spans="1:4" x14ac:dyDescent="0.2">
      <c r="A4142" s="146"/>
      <c r="D4142" s="496"/>
    </row>
    <row r="4143" spans="1:4" x14ac:dyDescent="0.2">
      <c r="A4143" s="146"/>
      <c r="D4143" s="496"/>
    </row>
    <row r="4144" spans="1:4" x14ac:dyDescent="0.2">
      <c r="A4144" s="146"/>
      <c r="D4144" s="496"/>
    </row>
    <row r="4145" spans="1:4" x14ac:dyDescent="0.2">
      <c r="A4145" s="146"/>
      <c r="D4145" s="496"/>
    </row>
    <row r="4146" spans="1:4" x14ac:dyDescent="0.2">
      <c r="A4146" s="146"/>
      <c r="D4146" s="496"/>
    </row>
    <row r="4147" spans="1:4" x14ac:dyDescent="0.2">
      <c r="A4147" s="146"/>
      <c r="D4147" s="496"/>
    </row>
    <row r="4148" spans="1:4" x14ac:dyDescent="0.2">
      <c r="A4148" s="146"/>
      <c r="D4148" s="496"/>
    </row>
    <row r="4149" spans="1:4" x14ac:dyDescent="0.2">
      <c r="A4149" s="146"/>
      <c r="D4149" s="496"/>
    </row>
    <row r="4150" spans="1:4" x14ac:dyDescent="0.2">
      <c r="A4150" s="146"/>
      <c r="D4150" s="496"/>
    </row>
    <row r="4151" spans="1:4" x14ac:dyDescent="0.2">
      <c r="A4151" s="146"/>
      <c r="D4151" s="496"/>
    </row>
    <row r="4152" spans="1:4" x14ac:dyDescent="0.2">
      <c r="A4152" s="146"/>
      <c r="D4152" s="496"/>
    </row>
    <row r="4153" spans="1:4" x14ac:dyDescent="0.2">
      <c r="A4153" s="146"/>
      <c r="D4153" s="496"/>
    </row>
    <row r="4154" spans="1:4" x14ac:dyDescent="0.2">
      <c r="A4154" s="146"/>
      <c r="D4154" s="496"/>
    </row>
    <row r="4155" spans="1:4" x14ac:dyDescent="0.2">
      <c r="A4155" s="146"/>
      <c r="D4155" s="496"/>
    </row>
    <row r="4156" spans="1:4" x14ac:dyDescent="0.2">
      <c r="A4156" s="146"/>
      <c r="D4156" s="496"/>
    </row>
    <row r="4157" spans="1:4" x14ac:dyDescent="0.2">
      <c r="A4157" s="146"/>
      <c r="D4157" s="496"/>
    </row>
    <row r="4158" spans="1:4" x14ac:dyDescent="0.2">
      <c r="A4158" s="146"/>
      <c r="D4158" s="496"/>
    </row>
    <row r="4159" spans="1:4" x14ac:dyDescent="0.2">
      <c r="A4159" s="146"/>
      <c r="D4159" s="496"/>
    </row>
    <row r="4160" spans="1:4" x14ac:dyDescent="0.2">
      <c r="A4160" s="146"/>
      <c r="D4160" s="496"/>
    </row>
    <row r="4161" spans="1:4" x14ac:dyDescent="0.2">
      <c r="A4161" s="146"/>
      <c r="D4161" s="496"/>
    </row>
    <row r="4162" spans="1:4" x14ac:dyDescent="0.2">
      <c r="A4162" s="146"/>
      <c r="D4162" s="496"/>
    </row>
    <row r="4163" spans="1:4" x14ac:dyDescent="0.2">
      <c r="A4163" s="146"/>
      <c r="D4163" s="496"/>
    </row>
    <row r="4164" spans="1:4" x14ac:dyDescent="0.2">
      <c r="A4164" s="146"/>
      <c r="D4164" s="496"/>
    </row>
    <row r="4165" spans="1:4" x14ac:dyDescent="0.2">
      <c r="A4165" s="146"/>
      <c r="D4165" s="496"/>
    </row>
    <row r="4166" spans="1:4" x14ac:dyDescent="0.2">
      <c r="A4166" s="146"/>
      <c r="D4166" s="496"/>
    </row>
    <row r="4167" spans="1:4" x14ac:dyDescent="0.2">
      <c r="A4167" s="146"/>
      <c r="D4167" s="496"/>
    </row>
    <row r="4168" spans="1:4" x14ac:dyDescent="0.2">
      <c r="A4168" s="146"/>
      <c r="D4168" s="496"/>
    </row>
    <row r="4169" spans="1:4" x14ac:dyDescent="0.2">
      <c r="A4169" s="146"/>
      <c r="D4169" s="496"/>
    </row>
    <row r="4170" spans="1:4" x14ac:dyDescent="0.2">
      <c r="A4170" s="146"/>
      <c r="D4170" s="496"/>
    </row>
    <row r="4171" spans="1:4" x14ac:dyDescent="0.2">
      <c r="A4171" s="146"/>
      <c r="D4171" s="496"/>
    </row>
    <row r="4172" spans="1:4" x14ac:dyDescent="0.2">
      <c r="A4172" s="146"/>
      <c r="D4172" s="496"/>
    </row>
    <row r="4173" spans="1:4" x14ac:dyDescent="0.2">
      <c r="A4173" s="146"/>
      <c r="D4173" s="496"/>
    </row>
    <row r="4174" spans="1:4" x14ac:dyDescent="0.2">
      <c r="A4174" s="146"/>
      <c r="D4174" s="496"/>
    </row>
    <row r="4175" spans="1:4" x14ac:dyDescent="0.2">
      <c r="A4175" s="146"/>
      <c r="D4175" s="496"/>
    </row>
    <row r="4176" spans="1:4" x14ac:dyDescent="0.2">
      <c r="A4176" s="146"/>
      <c r="D4176" s="496"/>
    </row>
    <row r="4177" spans="1:4" x14ac:dyDescent="0.2">
      <c r="A4177" s="146"/>
      <c r="D4177" s="496"/>
    </row>
    <row r="4178" spans="1:4" x14ac:dyDescent="0.2">
      <c r="A4178" s="146"/>
      <c r="D4178" s="496"/>
    </row>
    <row r="4179" spans="1:4" x14ac:dyDescent="0.2">
      <c r="A4179" s="146"/>
      <c r="D4179" s="496"/>
    </row>
    <row r="4180" spans="1:4" x14ac:dyDescent="0.2">
      <c r="A4180" s="146"/>
      <c r="D4180" s="496"/>
    </row>
    <row r="4181" spans="1:4" x14ac:dyDescent="0.2">
      <c r="A4181" s="146"/>
      <c r="D4181" s="496"/>
    </row>
    <row r="4182" spans="1:4" x14ac:dyDescent="0.2">
      <c r="A4182" s="146"/>
      <c r="D4182" s="496"/>
    </row>
    <row r="4183" spans="1:4" x14ac:dyDescent="0.2">
      <c r="A4183" s="146"/>
      <c r="D4183" s="496"/>
    </row>
    <row r="4184" spans="1:4" x14ac:dyDescent="0.2">
      <c r="A4184" s="146"/>
      <c r="D4184" s="496"/>
    </row>
    <row r="4185" spans="1:4" x14ac:dyDescent="0.2">
      <c r="A4185" s="146"/>
      <c r="D4185" s="496"/>
    </row>
    <row r="4186" spans="1:4" x14ac:dyDescent="0.2">
      <c r="A4186" s="146"/>
      <c r="D4186" s="496"/>
    </row>
    <row r="4187" spans="1:4" x14ac:dyDescent="0.2">
      <c r="A4187" s="146"/>
      <c r="D4187" s="496"/>
    </row>
    <row r="4188" spans="1:4" x14ac:dyDescent="0.2">
      <c r="A4188" s="146"/>
      <c r="D4188" s="496"/>
    </row>
    <row r="4189" spans="1:4" x14ac:dyDescent="0.2">
      <c r="A4189" s="146"/>
      <c r="D4189" s="496"/>
    </row>
    <row r="4190" spans="1:4" x14ac:dyDescent="0.2">
      <c r="A4190" s="146"/>
      <c r="D4190" s="496"/>
    </row>
    <row r="4191" spans="1:4" x14ac:dyDescent="0.2">
      <c r="A4191" s="146"/>
      <c r="D4191" s="496"/>
    </row>
    <row r="4192" spans="1:4" x14ac:dyDescent="0.2">
      <c r="A4192" s="146"/>
      <c r="D4192" s="496"/>
    </row>
    <row r="4193" spans="1:4" x14ac:dyDescent="0.2">
      <c r="A4193" s="146"/>
      <c r="D4193" s="496"/>
    </row>
    <row r="4194" spans="1:4" x14ac:dyDescent="0.2">
      <c r="A4194" s="146"/>
      <c r="D4194" s="496"/>
    </row>
    <row r="4195" spans="1:4" x14ac:dyDescent="0.2">
      <c r="A4195" s="146"/>
      <c r="D4195" s="496"/>
    </row>
    <row r="4196" spans="1:4" x14ac:dyDescent="0.2">
      <c r="A4196" s="146"/>
      <c r="D4196" s="496"/>
    </row>
    <row r="4197" spans="1:4" x14ac:dyDescent="0.2">
      <c r="A4197" s="146"/>
      <c r="D4197" s="496"/>
    </row>
    <row r="4198" spans="1:4" x14ac:dyDescent="0.2">
      <c r="A4198" s="146"/>
      <c r="D4198" s="496"/>
    </row>
    <row r="4199" spans="1:4" x14ac:dyDescent="0.2">
      <c r="A4199" s="146"/>
      <c r="D4199" s="496"/>
    </row>
    <row r="4200" spans="1:4" x14ac:dyDescent="0.2">
      <c r="A4200" s="146"/>
      <c r="D4200" s="496"/>
    </row>
    <row r="4201" spans="1:4" x14ac:dyDescent="0.2">
      <c r="A4201" s="146"/>
      <c r="D4201" s="496"/>
    </row>
    <row r="4202" spans="1:4" x14ac:dyDescent="0.2">
      <c r="A4202" s="146"/>
      <c r="D4202" s="496"/>
    </row>
    <row r="4203" spans="1:4" x14ac:dyDescent="0.2">
      <c r="A4203" s="146"/>
      <c r="D4203" s="496"/>
    </row>
    <row r="4204" spans="1:4" x14ac:dyDescent="0.2">
      <c r="A4204" s="146"/>
      <c r="D4204" s="496"/>
    </row>
    <row r="4205" spans="1:4" x14ac:dyDescent="0.2">
      <c r="A4205" s="146"/>
      <c r="D4205" s="496"/>
    </row>
    <row r="4206" spans="1:4" x14ac:dyDescent="0.2">
      <c r="A4206" s="146"/>
      <c r="D4206" s="496"/>
    </row>
    <row r="4207" spans="1:4" x14ac:dyDescent="0.2">
      <c r="A4207" s="146"/>
      <c r="D4207" s="496"/>
    </row>
    <row r="4208" spans="1:4" x14ac:dyDescent="0.2">
      <c r="A4208" s="146"/>
      <c r="D4208" s="496"/>
    </row>
    <row r="4209" spans="1:4" x14ac:dyDescent="0.2">
      <c r="A4209" s="146"/>
      <c r="D4209" s="496"/>
    </row>
    <row r="4210" spans="1:4" x14ac:dyDescent="0.2">
      <c r="A4210" s="146"/>
      <c r="D4210" s="496"/>
    </row>
    <row r="4211" spans="1:4" x14ac:dyDescent="0.2">
      <c r="A4211" s="146"/>
      <c r="D4211" s="496"/>
    </row>
    <row r="4212" spans="1:4" x14ac:dyDescent="0.2">
      <c r="A4212" s="146"/>
      <c r="D4212" s="496"/>
    </row>
    <row r="4213" spans="1:4" x14ac:dyDescent="0.2">
      <c r="A4213" s="146"/>
      <c r="D4213" s="496"/>
    </row>
    <row r="4214" spans="1:4" x14ac:dyDescent="0.2">
      <c r="A4214" s="146"/>
      <c r="D4214" s="496"/>
    </row>
    <row r="4215" spans="1:4" x14ac:dyDescent="0.2">
      <c r="A4215" s="146"/>
      <c r="D4215" s="496"/>
    </row>
    <row r="4216" spans="1:4" x14ac:dyDescent="0.2">
      <c r="A4216" s="146"/>
      <c r="D4216" s="496"/>
    </row>
    <row r="4217" spans="1:4" x14ac:dyDescent="0.2">
      <c r="A4217" s="146"/>
      <c r="D4217" s="496"/>
    </row>
    <row r="4218" spans="1:4" x14ac:dyDescent="0.2">
      <c r="A4218" s="146"/>
      <c r="D4218" s="496"/>
    </row>
    <row r="4219" spans="1:4" x14ac:dyDescent="0.2">
      <c r="A4219" s="146"/>
      <c r="D4219" s="496"/>
    </row>
    <row r="4220" spans="1:4" x14ac:dyDescent="0.2">
      <c r="A4220" s="146"/>
      <c r="D4220" s="496"/>
    </row>
    <row r="4221" spans="1:4" x14ac:dyDescent="0.2">
      <c r="A4221" s="146"/>
      <c r="D4221" s="496"/>
    </row>
    <row r="4222" spans="1:4" x14ac:dyDescent="0.2">
      <c r="A4222" s="146"/>
      <c r="D4222" s="496"/>
    </row>
    <row r="4223" spans="1:4" x14ac:dyDescent="0.2">
      <c r="A4223" s="146"/>
      <c r="D4223" s="496"/>
    </row>
    <row r="4224" spans="1:4" x14ac:dyDescent="0.2">
      <c r="A4224" s="146"/>
      <c r="D4224" s="496"/>
    </row>
    <row r="4225" spans="1:4" x14ac:dyDescent="0.2">
      <c r="A4225" s="146"/>
      <c r="D4225" s="496"/>
    </row>
    <row r="4226" spans="1:4" x14ac:dyDescent="0.2">
      <c r="A4226" s="146"/>
      <c r="D4226" s="496"/>
    </row>
    <row r="4227" spans="1:4" x14ac:dyDescent="0.2">
      <c r="A4227" s="146"/>
      <c r="D4227" s="496"/>
    </row>
    <row r="4228" spans="1:4" x14ac:dyDescent="0.2">
      <c r="A4228" s="146"/>
      <c r="D4228" s="496"/>
    </row>
    <row r="4229" spans="1:4" x14ac:dyDescent="0.2">
      <c r="A4229" s="146"/>
      <c r="D4229" s="496"/>
    </row>
    <row r="4230" spans="1:4" x14ac:dyDescent="0.2">
      <c r="A4230" s="146"/>
      <c r="D4230" s="496"/>
    </row>
    <row r="4231" spans="1:4" x14ac:dyDescent="0.2">
      <c r="A4231" s="146"/>
      <c r="D4231" s="496"/>
    </row>
    <row r="4232" spans="1:4" x14ac:dyDescent="0.2">
      <c r="A4232" s="146"/>
      <c r="D4232" s="496"/>
    </row>
    <row r="4233" spans="1:4" x14ac:dyDescent="0.2">
      <c r="A4233" s="146"/>
      <c r="D4233" s="496"/>
    </row>
    <row r="4234" spans="1:4" x14ac:dyDescent="0.2">
      <c r="A4234" s="146"/>
      <c r="D4234" s="496"/>
    </row>
    <row r="4235" spans="1:4" x14ac:dyDescent="0.2">
      <c r="A4235" s="146"/>
      <c r="D4235" s="496"/>
    </row>
    <row r="4236" spans="1:4" x14ac:dyDescent="0.2">
      <c r="A4236" s="146"/>
      <c r="D4236" s="496"/>
    </row>
    <row r="4237" spans="1:4" x14ac:dyDescent="0.2">
      <c r="A4237" s="146"/>
      <c r="D4237" s="496"/>
    </row>
    <row r="4238" spans="1:4" x14ac:dyDescent="0.2">
      <c r="A4238" s="146"/>
      <c r="D4238" s="496"/>
    </row>
    <row r="4239" spans="1:4" x14ac:dyDescent="0.2">
      <c r="A4239" s="146"/>
      <c r="D4239" s="496"/>
    </row>
    <row r="4240" spans="1:4" x14ac:dyDescent="0.2">
      <c r="A4240" s="146"/>
      <c r="D4240" s="496"/>
    </row>
    <row r="4241" spans="1:4" x14ac:dyDescent="0.2">
      <c r="A4241" s="146"/>
      <c r="D4241" s="496"/>
    </row>
    <row r="4242" spans="1:4" x14ac:dyDescent="0.2">
      <c r="A4242" s="146"/>
      <c r="D4242" s="496"/>
    </row>
    <row r="4243" spans="1:4" x14ac:dyDescent="0.2">
      <c r="A4243" s="146"/>
      <c r="D4243" s="496"/>
    </row>
    <row r="4244" spans="1:4" x14ac:dyDescent="0.2">
      <c r="A4244" s="146"/>
      <c r="D4244" s="496"/>
    </row>
    <row r="4245" spans="1:4" x14ac:dyDescent="0.2">
      <c r="A4245" s="146"/>
      <c r="D4245" s="496"/>
    </row>
    <row r="4246" spans="1:4" x14ac:dyDescent="0.2">
      <c r="A4246" s="146"/>
      <c r="D4246" s="496"/>
    </row>
    <row r="4247" spans="1:4" x14ac:dyDescent="0.2">
      <c r="A4247" s="146"/>
      <c r="D4247" s="496"/>
    </row>
    <row r="4248" spans="1:4" x14ac:dyDescent="0.2">
      <c r="A4248" s="146"/>
      <c r="D4248" s="496"/>
    </row>
    <row r="4249" spans="1:4" x14ac:dyDescent="0.2">
      <c r="A4249" s="146"/>
      <c r="D4249" s="496"/>
    </row>
    <row r="4250" spans="1:4" x14ac:dyDescent="0.2">
      <c r="A4250" s="146"/>
      <c r="D4250" s="496"/>
    </row>
    <row r="4251" spans="1:4" x14ac:dyDescent="0.2">
      <c r="A4251" s="146"/>
      <c r="D4251" s="496"/>
    </row>
    <row r="4252" spans="1:4" x14ac:dyDescent="0.2">
      <c r="A4252" s="146"/>
      <c r="D4252" s="496"/>
    </row>
    <row r="4253" spans="1:4" x14ac:dyDescent="0.2">
      <c r="A4253" s="146"/>
      <c r="D4253" s="496"/>
    </row>
    <row r="4254" spans="1:4" x14ac:dyDescent="0.2">
      <c r="A4254" s="146"/>
      <c r="D4254" s="496"/>
    </row>
    <row r="4255" spans="1:4" x14ac:dyDescent="0.2">
      <c r="A4255" s="146"/>
      <c r="D4255" s="496"/>
    </row>
    <row r="4256" spans="1:4" x14ac:dyDescent="0.2">
      <c r="A4256" s="146"/>
      <c r="D4256" s="496"/>
    </row>
    <row r="4257" spans="1:4" x14ac:dyDescent="0.2">
      <c r="A4257" s="146"/>
      <c r="D4257" s="496"/>
    </row>
    <row r="4258" spans="1:4" x14ac:dyDescent="0.2">
      <c r="A4258" s="146"/>
      <c r="D4258" s="496"/>
    </row>
    <row r="4259" spans="1:4" x14ac:dyDescent="0.2">
      <c r="A4259" s="146"/>
      <c r="D4259" s="496"/>
    </row>
    <row r="4260" spans="1:4" x14ac:dyDescent="0.2">
      <c r="A4260" s="146"/>
      <c r="D4260" s="496"/>
    </row>
    <row r="4261" spans="1:4" x14ac:dyDescent="0.2">
      <c r="A4261" s="146"/>
      <c r="D4261" s="496"/>
    </row>
    <row r="4262" spans="1:4" x14ac:dyDescent="0.2">
      <c r="A4262" s="146"/>
      <c r="D4262" s="496"/>
    </row>
    <row r="4263" spans="1:4" x14ac:dyDescent="0.2">
      <c r="A4263" s="146"/>
      <c r="D4263" s="496"/>
    </row>
    <row r="4264" spans="1:4" x14ac:dyDescent="0.2">
      <c r="A4264" s="146"/>
      <c r="D4264" s="496"/>
    </row>
    <row r="4265" spans="1:4" x14ac:dyDescent="0.2">
      <c r="A4265" s="146"/>
      <c r="D4265" s="496"/>
    </row>
    <row r="4266" spans="1:4" x14ac:dyDescent="0.2">
      <c r="A4266" s="146"/>
      <c r="D4266" s="496"/>
    </row>
    <row r="4267" spans="1:4" x14ac:dyDescent="0.2">
      <c r="A4267" s="146"/>
      <c r="D4267" s="496"/>
    </row>
    <row r="4268" spans="1:4" x14ac:dyDescent="0.2">
      <c r="A4268" s="146"/>
      <c r="D4268" s="496"/>
    </row>
    <row r="4269" spans="1:4" x14ac:dyDescent="0.2">
      <c r="A4269" s="146"/>
      <c r="D4269" s="496"/>
    </row>
    <row r="4270" spans="1:4" x14ac:dyDescent="0.2">
      <c r="A4270" s="146"/>
      <c r="D4270" s="496"/>
    </row>
    <row r="4271" spans="1:4" x14ac:dyDescent="0.2">
      <c r="A4271" s="146"/>
      <c r="D4271" s="496"/>
    </row>
    <row r="4272" spans="1:4" x14ac:dyDescent="0.2">
      <c r="A4272" s="146"/>
      <c r="D4272" s="496"/>
    </row>
    <row r="4273" spans="1:4" x14ac:dyDescent="0.2">
      <c r="A4273" s="146"/>
      <c r="D4273" s="496"/>
    </row>
    <row r="4274" spans="1:4" x14ac:dyDescent="0.2">
      <c r="A4274" s="146"/>
      <c r="D4274" s="496"/>
    </row>
    <row r="4275" spans="1:4" x14ac:dyDescent="0.2">
      <c r="A4275" s="146"/>
      <c r="D4275" s="496"/>
    </row>
    <row r="4276" spans="1:4" x14ac:dyDescent="0.2">
      <c r="A4276" s="146"/>
      <c r="D4276" s="496"/>
    </row>
    <row r="4277" spans="1:4" x14ac:dyDescent="0.2">
      <c r="A4277" s="146"/>
      <c r="D4277" s="496"/>
    </row>
    <row r="4278" spans="1:4" x14ac:dyDescent="0.2">
      <c r="A4278" s="146"/>
      <c r="D4278" s="496"/>
    </row>
    <row r="4279" spans="1:4" x14ac:dyDescent="0.2">
      <c r="A4279" s="146"/>
      <c r="D4279" s="496"/>
    </row>
    <row r="4280" spans="1:4" x14ac:dyDescent="0.2">
      <c r="A4280" s="146"/>
      <c r="D4280" s="496"/>
    </row>
    <row r="4281" spans="1:4" x14ac:dyDescent="0.2">
      <c r="A4281" s="146"/>
      <c r="D4281" s="496"/>
    </row>
    <row r="4282" spans="1:4" x14ac:dyDescent="0.2">
      <c r="A4282" s="146"/>
      <c r="D4282" s="496"/>
    </row>
    <row r="4283" spans="1:4" x14ac:dyDescent="0.2">
      <c r="A4283" s="146"/>
      <c r="D4283" s="496"/>
    </row>
    <row r="4284" spans="1:4" x14ac:dyDescent="0.2">
      <c r="A4284" s="146"/>
      <c r="D4284" s="496"/>
    </row>
    <row r="4285" spans="1:4" x14ac:dyDescent="0.2">
      <c r="A4285" s="146"/>
      <c r="D4285" s="496"/>
    </row>
    <row r="4286" spans="1:4" x14ac:dyDescent="0.2">
      <c r="A4286" s="146"/>
      <c r="D4286" s="496"/>
    </row>
    <row r="4287" spans="1:4" x14ac:dyDescent="0.2">
      <c r="A4287" s="146"/>
      <c r="D4287" s="496"/>
    </row>
    <row r="4288" spans="1:4" x14ac:dyDescent="0.2">
      <c r="A4288" s="146"/>
      <c r="D4288" s="496"/>
    </row>
    <row r="4289" spans="1:4" x14ac:dyDescent="0.2">
      <c r="A4289" s="146"/>
      <c r="D4289" s="496"/>
    </row>
    <row r="4290" spans="1:4" x14ac:dyDescent="0.2">
      <c r="A4290" s="146"/>
      <c r="D4290" s="496"/>
    </row>
    <row r="4291" spans="1:4" x14ac:dyDescent="0.2">
      <c r="A4291" s="146"/>
      <c r="D4291" s="496"/>
    </row>
    <row r="4292" spans="1:4" x14ac:dyDescent="0.2">
      <c r="A4292" s="146"/>
      <c r="D4292" s="496"/>
    </row>
    <row r="4293" spans="1:4" x14ac:dyDescent="0.2">
      <c r="A4293" s="146"/>
      <c r="D4293" s="496"/>
    </row>
    <row r="4294" spans="1:4" x14ac:dyDescent="0.2">
      <c r="A4294" s="146"/>
      <c r="D4294" s="496"/>
    </row>
    <row r="4295" spans="1:4" x14ac:dyDescent="0.2">
      <c r="A4295" s="146"/>
      <c r="D4295" s="496"/>
    </row>
    <row r="4296" spans="1:4" x14ac:dyDescent="0.2">
      <c r="A4296" s="146"/>
      <c r="D4296" s="496"/>
    </row>
    <row r="4297" spans="1:4" x14ac:dyDescent="0.2">
      <c r="A4297" s="146"/>
      <c r="D4297" s="496"/>
    </row>
    <row r="4298" spans="1:4" x14ac:dyDescent="0.2">
      <c r="A4298" s="146"/>
      <c r="D4298" s="496"/>
    </row>
    <row r="4299" spans="1:4" x14ac:dyDescent="0.2">
      <c r="A4299" s="146"/>
      <c r="D4299" s="496"/>
    </row>
    <row r="4300" spans="1:4" x14ac:dyDescent="0.2">
      <c r="A4300" s="146"/>
      <c r="D4300" s="496"/>
    </row>
    <row r="4301" spans="1:4" x14ac:dyDescent="0.2">
      <c r="A4301" s="146"/>
      <c r="D4301" s="496"/>
    </row>
    <row r="4302" spans="1:4" x14ac:dyDescent="0.2">
      <c r="A4302" s="146"/>
      <c r="D4302" s="496"/>
    </row>
    <row r="4303" spans="1:4" x14ac:dyDescent="0.2">
      <c r="A4303" s="146"/>
      <c r="D4303" s="496"/>
    </row>
    <row r="4304" spans="1:4" x14ac:dyDescent="0.2">
      <c r="A4304" s="146"/>
      <c r="D4304" s="496"/>
    </row>
    <row r="4305" spans="1:4" x14ac:dyDescent="0.2">
      <c r="A4305" s="146"/>
      <c r="D4305" s="496"/>
    </row>
    <row r="4306" spans="1:4" x14ac:dyDescent="0.2">
      <c r="A4306" s="146"/>
      <c r="D4306" s="496"/>
    </row>
    <row r="4307" spans="1:4" x14ac:dyDescent="0.2">
      <c r="A4307" s="146"/>
      <c r="D4307" s="496"/>
    </row>
    <row r="4308" spans="1:4" x14ac:dyDescent="0.2">
      <c r="A4308" s="146"/>
      <c r="D4308" s="496"/>
    </row>
    <row r="4309" spans="1:4" x14ac:dyDescent="0.2">
      <c r="A4309" s="146"/>
      <c r="D4309" s="496"/>
    </row>
    <row r="4310" spans="1:4" x14ac:dyDescent="0.2">
      <c r="A4310" s="146"/>
      <c r="D4310" s="496"/>
    </row>
    <row r="4311" spans="1:4" x14ac:dyDescent="0.2">
      <c r="A4311" s="146"/>
      <c r="D4311" s="496"/>
    </row>
    <row r="4312" spans="1:4" x14ac:dyDescent="0.2">
      <c r="A4312" s="146"/>
      <c r="D4312" s="496"/>
    </row>
    <row r="4313" spans="1:4" x14ac:dyDescent="0.2">
      <c r="A4313" s="146"/>
      <c r="D4313" s="496"/>
    </row>
    <row r="4314" spans="1:4" x14ac:dyDescent="0.2">
      <c r="A4314" s="146"/>
      <c r="D4314" s="496"/>
    </row>
    <row r="4315" spans="1:4" x14ac:dyDescent="0.2">
      <c r="A4315" s="146"/>
      <c r="D4315" s="496"/>
    </row>
    <row r="4316" spans="1:4" x14ac:dyDescent="0.2">
      <c r="A4316" s="146"/>
      <c r="D4316" s="496"/>
    </row>
    <row r="4317" spans="1:4" x14ac:dyDescent="0.2">
      <c r="A4317" s="146"/>
      <c r="D4317" s="496"/>
    </row>
    <row r="4318" spans="1:4" x14ac:dyDescent="0.2">
      <c r="A4318" s="146"/>
      <c r="D4318" s="496"/>
    </row>
    <row r="4319" spans="1:4" x14ac:dyDescent="0.2">
      <c r="A4319" s="146"/>
      <c r="D4319" s="496"/>
    </row>
    <row r="4320" spans="1:4" x14ac:dyDescent="0.2">
      <c r="A4320" s="146"/>
      <c r="D4320" s="496"/>
    </row>
    <row r="4321" spans="1:4" x14ac:dyDescent="0.2">
      <c r="A4321" s="146"/>
      <c r="D4321" s="496"/>
    </row>
    <row r="4322" spans="1:4" x14ac:dyDescent="0.2">
      <c r="A4322" s="146"/>
      <c r="D4322" s="496"/>
    </row>
    <row r="4323" spans="1:4" x14ac:dyDescent="0.2">
      <c r="A4323" s="146"/>
      <c r="D4323" s="496"/>
    </row>
    <row r="4324" spans="1:4" x14ac:dyDescent="0.2">
      <c r="A4324" s="146"/>
      <c r="D4324" s="496"/>
    </row>
    <row r="4325" spans="1:4" x14ac:dyDescent="0.2">
      <c r="A4325" s="146"/>
      <c r="D4325" s="496"/>
    </row>
    <row r="4326" spans="1:4" x14ac:dyDescent="0.2">
      <c r="A4326" s="146"/>
      <c r="D4326" s="496"/>
    </row>
    <row r="4327" spans="1:4" x14ac:dyDescent="0.2">
      <c r="A4327" s="146"/>
      <c r="D4327" s="496"/>
    </row>
    <row r="4328" spans="1:4" x14ac:dyDescent="0.2">
      <c r="A4328" s="146"/>
      <c r="D4328" s="496"/>
    </row>
    <row r="4329" spans="1:4" x14ac:dyDescent="0.2">
      <c r="A4329" s="146"/>
      <c r="D4329" s="496"/>
    </row>
    <row r="4330" spans="1:4" x14ac:dyDescent="0.2">
      <c r="A4330" s="146"/>
      <c r="D4330" s="496"/>
    </row>
    <row r="4331" spans="1:4" x14ac:dyDescent="0.2">
      <c r="A4331" s="146"/>
      <c r="D4331" s="496"/>
    </row>
    <row r="4332" spans="1:4" x14ac:dyDescent="0.2">
      <c r="A4332" s="146"/>
      <c r="D4332" s="496"/>
    </row>
    <row r="4333" spans="1:4" x14ac:dyDescent="0.2">
      <c r="A4333" s="146"/>
      <c r="D4333" s="496"/>
    </row>
    <row r="4334" spans="1:4" x14ac:dyDescent="0.2">
      <c r="A4334" s="146"/>
      <c r="D4334" s="496"/>
    </row>
    <row r="4335" spans="1:4" x14ac:dyDescent="0.2">
      <c r="A4335" s="146"/>
      <c r="D4335" s="496"/>
    </row>
    <row r="4336" spans="1:4" x14ac:dyDescent="0.2">
      <c r="A4336" s="146"/>
      <c r="D4336" s="496"/>
    </row>
    <row r="4337" spans="1:4" x14ac:dyDescent="0.2">
      <c r="A4337" s="146"/>
      <c r="D4337" s="496"/>
    </row>
    <row r="4338" spans="1:4" x14ac:dyDescent="0.2">
      <c r="A4338" s="146"/>
      <c r="D4338" s="496"/>
    </row>
    <row r="4339" spans="1:4" x14ac:dyDescent="0.2">
      <c r="A4339" s="146"/>
      <c r="D4339" s="496"/>
    </row>
    <row r="4340" spans="1:4" x14ac:dyDescent="0.2">
      <c r="A4340" s="146"/>
      <c r="D4340" s="496"/>
    </row>
    <row r="4341" spans="1:4" x14ac:dyDescent="0.2">
      <c r="A4341" s="146"/>
      <c r="D4341" s="496"/>
    </row>
    <row r="4342" spans="1:4" x14ac:dyDescent="0.2">
      <c r="A4342" s="146"/>
      <c r="D4342" s="496"/>
    </row>
    <row r="4343" spans="1:4" x14ac:dyDescent="0.2">
      <c r="A4343" s="146"/>
      <c r="D4343" s="496"/>
    </row>
    <row r="4344" spans="1:4" x14ac:dyDescent="0.2">
      <c r="A4344" s="146"/>
      <c r="D4344" s="496"/>
    </row>
    <row r="4345" spans="1:4" x14ac:dyDescent="0.2">
      <c r="A4345" s="146"/>
      <c r="D4345" s="496"/>
    </row>
    <row r="4346" spans="1:4" x14ac:dyDescent="0.2">
      <c r="A4346" s="146"/>
      <c r="D4346" s="496"/>
    </row>
    <row r="4347" spans="1:4" x14ac:dyDescent="0.2">
      <c r="A4347" s="146"/>
      <c r="D4347" s="496"/>
    </row>
    <row r="4348" spans="1:4" x14ac:dyDescent="0.2">
      <c r="A4348" s="146"/>
      <c r="D4348" s="496"/>
    </row>
    <row r="4349" spans="1:4" x14ac:dyDescent="0.2">
      <c r="A4349" s="146"/>
      <c r="D4349" s="496"/>
    </row>
    <row r="4350" spans="1:4" x14ac:dyDescent="0.2">
      <c r="A4350" s="146"/>
      <c r="D4350" s="496"/>
    </row>
    <row r="4351" spans="1:4" x14ac:dyDescent="0.2">
      <c r="A4351" s="146"/>
      <c r="D4351" s="496"/>
    </row>
    <row r="4352" spans="1:4" x14ac:dyDescent="0.2">
      <c r="A4352" s="146"/>
      <c r="D4352" s="496"/>
    </row>
    <row r="4353" spans="1:4" x14ac:dyDescent="0.2">
      <c r="A4353" s="146"/>
      <c r="D4353" s="496"/>
    </row>
    <row r="4354" spans="1:4" x14ac:dyDescent="0.2">
      <c r="A4354" s="146"/>
      <c r="D4354" s="496"/>
    </row>
    <row r="4355" spans="1:4" x14ac:dyDescent="0.2">
      <c r="A4355" s="146"/>
      <c r="D4355" s="496"/>
    </row>
    <row r="4356" spans="1:4" x14ac:dyDescent="0.2">
      <c r="A4356" s="146"/>
      <c r="D4356" s="496"/>
    </row>
    <row r="4357" spans="1:4" x14ac:dyDescent="0.2">
      <c r="A4357" s="146"/>
      <c r="D4357" s="496"/>
    </row>
    <row r="4358" spans="1:4" x14ac:dyDescent="0.2">
      <c r="A4358" s="146"/>
      <c r="D4358" s="496"/>
    </row>
    <row r="4359" spans="1:4" x14ac:dyDescent="0.2">
      <c r="A4359" s="146"/>
      <c r="D4359" s="496"/>
    </row>
    <row r="4360" spans="1:4" x14ac:dyDescent="0.2">
      <c r="A4360" s="146"/>
      <c r="D4360" s="496"/>
    </row>
    <row r="4361" spans="1:4" x14ac:dyDescent="0.2">
      <c r="A4361" s="146"/>
      <c r="D4361" s="496"/>
    </row>
    <row r="4362" spans="1:4" x14ac:dyDescent="0.2">
      <c r="A4362" s="146"/>
      <c r="D4362" s="496"/>
    </row>
    <row r="4363" spans="1:4" x14ac:dyDescent="0.2">
      <c r="A4363" s="146"/>
      <c r="D4363" s="496"/>
    </row>
    <row r="4364" spans="1:4" x14ac:dyDescent="0.2">
      <c r="A4364" s="146"/>
      <c r="D4364" s="496"/>
    </row>
    <row r="4365" spans="1:4" x14ac:dyDescent="0.2">
      <c r="A4365" s="146"/>
      <c r="D4365" s="496"/>
    </row>
    <row r="4366" spans="1:4" x14ac:dyDescent="0.2">
      <c r="A4366" s="146"/>
      <c r="D4366" s="496"/>
    </row>
    <row r="4367" spans="1:4" x14ac:dyDescent="0.2">
      <c r="A4367" s="146"/>
      <c r="D4367" s="496"/>
    </row>
    <row r="4368" spans="1:4" x14ac:dyDescent="0.2">
      <c r="A4368" s="146"/>
      <c r="D4368" s="496"/>
    </row>
    <row r="4369" spans="1:4" x14ac:dyDescent="0.2">
      <c r="A4369" s="146"/>
      <c r="D4369" s="496"/>
    </row>
    <row r="4370" spans="1:4" x14ac:dyDescent="0.2">
      <c r="A4370" s="146"/>
      <c r="D4370" s="496"/>
    </row>
    <row r="4371" spans="1:4" x14ac:dyDescent="0.2">
      <c r="A4371" s="146"/>
      <c r="D4371" s="496"/>
    </row>
    <row r="4372" spans="1:4" x14ac:dyDescent="0.2">
      <c r="A4372" s="146"/>
      <c r="D4372" s="496"/>
    </row>
    <row r="4373" spans="1:4" x14ac:dyDescent="0.2">
      <c r="A4373" s="146"/>
      <c r="D4373" s="496"/>
    </row>
    <row r="4374" spans="1:4" x14ac:dyDescent="0.2">
      <c r="A4374" s="146"/>
      <c r="D4374" s="496"/>
    </row>
    <row r="4375" spans="1:4" x14ac:dyDescent="0.2">
      <c r="A4375" s="146"/>
      <c r="D4375" s="496"/>
    </row>
    <row r="4376" spans="1:4" x14ac:dyDescent="0.2">
      <c r="A4376" s="146"/>
      <c r="D4376" s="496"/>
    </row>
    <row r="4377" spans="1:4" x14ac:dyDescent="0.2">
      <c r="A4377" s="146"/>
      <c r="D4377" s="496"/>
    </row>
    <row r="4378" spans="1:4" x14ac:dyDescent="0.2">
      <c r="A4378" s="146"/>
      <c r="D4378" s="496"/>
    </row>
    <row r="4379" spans="1:4" x14ac:dyDescent="0.2">
      <c r="A4379" s="146"/>
      <c r="D4379" s="496"/>
    </row>
    <row r="4380" spans="1:4" x14ac:dyDescent="0.2">
      <c r="A4380" s="146"/>
      <c r="D4380" s="496"/>
    </row>
    <row r="4381" spans="1:4" x14ac:dyDescent="0.2">
      <c r="A4381" s="146"/>
      <c r="D4381" s="496"/>
    </row>
    <row r="4382" spans="1:4" x14ac:dyDescent="0.2">
      <c r="A4382" s="146"/>
      <c r="D4382" s="496"/>
    </row>
    <row r="4383" spans="1:4" x14ac:dyDescent="0.2">
      <c r="A4383" s="146"/>
      <c r="D4383" s="496"/>
    </row>
    <row r="4384" spans="1:4" x14ac:dyDescent="0.2">
      <c r="A4384" s="146"/>
      <c r="D4384" s="496"/>
    </row>
    <row r="4385" spans="1:4" x14ac:dyDescent="0.2">
      <c r="A4385" s="146"/>
      <c r="D4385" s="496"/>
    </row>
    <row r="4386" spans="1:4" x14ac:dyDescent="0.2">
      <c r="A4386" s="146"/>
      <c r="D4386" s="496"/>
    </row>
    <row r="4387" spans="1:4" x14ac:dyDescent="0.2">
      <c r="A4387" s="146"/>
      <c r="D4387" s="496"/>
    </row>
    <row r="4388" spans="1:4" x14ac:dyDescent="0.2">
      <c r="A4388" s="146"/>
      <c r="D4388" s="496"/>
    </row>
    <row r="4389" spans="1:4" x14ac:dyDescent="0.2">
      <c r="A4389" s="146"/>
      <c r="D4389" s="496"/>
    </row>
    <row r="4390" spans="1:4" x14ac:dyDescent="0.2">
      <c r="A4390" s="146"/>
      <c r="D4390" s="496"/>
    </row>
    <row r="4391" spans="1:4" x14ac:dyDescent="0.2">
      <c r="A4391" s="146"/>
      <c r="D4391" s="496"/>
    </row>
    <row r="4392" spans="1:4" x14ac:dyDescent="0.2">
      <c r="A4392" s="146"/>
      <c r="D4392" s="496"/>
    </row>
    <row r="4393" spans="1:4" x14ac:dyDescent="0.2">
      <c r="A4393" s="146"/>
      <c r="D4393" s="496"/>
    </row>
    <row r="4394" spans="1:4" x14ac:dyDescent="0.2">
      <c r="A4394" s="146"/>
      <c r="D4394" s="496"/>
    </row>
    <row r="4395" spans="1:4" x14ac:dyDescent="0.2">
      <c r="A4395" s="146"/>
      <c r="D4395" s="496"/>
    </row>
    <row r="4396" spans="1:4" x14ac:dyDescent="0.2">
      <c r="A4396" s="146"/>
      <c r="D4396" s="496"/>
    </row>
    <row r="4397" spans="1:4" x14ac:dyDescent="0.2">
      <c r="A4397" s="146"/>
      <c r="D4397" s="496"/>
    </row>
    <row r="4398" spans="1:4" x14ac:dyDescent="0.2">
      <c r="A4398" s="146"/>
      <c r="D4398" s="496"/>
    </row>
    <row r="4399" spans="1:4" x14ac:dyDescent="0.2">
      <c r="A4399" s="146"/>
      <c r="D4399" s="496"/>
    </row>
    <row r="4400" spans="1:4" x14ac:dyDescent="0.2">
      <c r="A4400" s="146"/>
      <c r="D4400" s="496"/>
    </row>
    <row r="4401" spans="1:4" x14ac:dyDescent="0.2">
      <c r="A4401" s="146"/>
      <c r="D4401" s="496"/>
    </row>
    <row r="4402" spans="1:4" x14ac:dyDescent="0.2">
      <c r="A4402" s="146"/>
      <c r="D4402" s="496"/>
    </row>
    <row r="4403" spans="1:4" x14ac:dyDescent="0.2">
      <c r="A4403" s="146"/>
      <c r="D4403" s="496"/>
    </row>
    <row r="4404" spans="1:4" x14ac:dyDescent="0.2">
      <c r="A4404" s="146"/>
      <c r="D4404" s="496"/>
    </row>
    <row r="4405" spans="1:4" x14ac:dyDescent="0.2">
      <c r="A4405" s="146"/>
      <c r="D4405" s="496"/>
    </row>
    <row r="4406" spans="1:4" x14ac:dyDescent="0.2">
      <c r="A4406" s="146"/>
      <c r="D4406" s="496"/>
    </row>
    <row r="4407" spans="1:4" x14ac:dyDescent="0.2">
      <c r="A4407" s="146"/>
      <c r="D4407" s="496"/>
    </row>
    <row r="4408" spans="1:4" x14ac:dyDescent="0.2">
      <c r="A4408" s="146"/>
      <c r="D4408" s="496"/>
    </row>
    <row r="4409" spans="1:4" x14ac:dyDescent="0.2">
      <c r="A4409" s="146"/>
      <c r="D4409" s="496"/>
    </row>
    <row r="4410" spans="1:4" x14ac:dyDescent="0.2">
      <c r="A4410" s="146"/>
      <c r="D4410" s="496"/>
    </row>
    <row r="4411" spans="1:4" x14ac:dyDescent="0.2">
      <c r="A4411" s="146"/>
      <c r="D4411" s="496"/>
    </row>
    <row r="4412" spans="1:4" x14ac:dyDescent="0.2">
      <c r="A4412" s="146"/>
      <c r="D4412" s="496"/>
    </row>
    <row r="4413" spans="1:4" x14ac:dyDescent="0.2">
      <c r="A4413" s="146"/>
      <c r="D4413" s="496"/>
    </row>
    <row r="4414" spans="1:4" x14ac:dyDescent="0.2">
      <c r="A4414" s="146"/>
      <c r="D4414" s="496"/>
    </row>
    <row r="4415" spans="1:4" x14ac:dyDescent="0.2">
      <c r="A4415" s="146"/>
      <c r="D4415" s="496"/>
    </row>
    <row r="4416" spans="1:4" x14ac:dyDescent="0.2">
      <c r="A4416" s="146"/>
      <c r="D4416" s="496"/>
    </row>
    <row r="4417" spans="1:4" x14ac:dyDescent="0.2">
      <c r="A4417" s="146"/>
      <c r="D4417" s="496"/>
    </row>
    <row r="4418" spans="1:4" x14ac:dyDescent="0.2">
      <c r="A4418" s="146"/>
      <c r="D4418" s="496"/>
    </row>
    <row r="4419" spans="1:4" x14ac:dyDescent="0.2">
      <c r="A4419" s="146"/>
      <c r="D4419" s="496"/>
    </row>
    <row r="4420" spans="1:4" x14ac:dyDescent="0.2">
      <c r="A4420" s="146"/>
      <c r="D4420" s="496"/>
    </row>
    <row r="4421" spans="1:4" x14ac:dyDescent="0.2">
      <c r="A4421" s="146"/>
      <c r="D4421" s="496"/>
    </row>
    <row r="4422" spans="1:4" x14ac:dyDescent="0.2">
      <c r="A4422" s="146"/>
      <c r="D4422" s="496"/>
    </row>
    <row r="4423" spans="1:4" x14ac:dyDescent="0.2">
      <c r="A4423" s="146"/>
      <c r="D4423" s="496"/>
    </row>
    <row r="4424" spans="1:4" x14ac:dyDescent="0.2">
      <c r="A4424" s="146"/>
      <c r="D4424" s="496"/>
    </row>
    <row r="4425" spans="1:4" x14ac:dyDescent="0.2">
      <c r="A4425" s="146"/>
      <c r="D4425" s="496"/>
    </row>
    <row r="4426" spans="1:4" x14ac:dyDescent="0.2">
      <c r="A4426" s="146"/>
      <c r="D4426" s="496"/>
    </row>
    <row r="4427" spans="1:4" x14ac:dyDescent="0.2">
      <c r="A4427" s="146"/>
      <c r="D4427" s="496"/>
    </row>
    <row r="4428" spans="1:4" x14ac:dyDescent="0.2">
      <c r="A4428" s="146"/>
      <c r="D4428" s="496"/>
    </row>
    <row r="4429" spans="1:4" x14ac:dyDescent="0.2">
      <c r="A4429" s="146"/>
      <c r="D4429" s="496"/>
    </row>
    <row r="4430" spans="1:4" x14ac:dyDescent="0.2">
      <c r="A4430" s="146"/>
      <c r="D4430" s="496"/>
    </row>
    <row r="4431" spans="1:4" x14ac:dyDescent="0.2">
      <c r="A4431" s="146"/>
      <c r="D4431" s="496"/>
    </row>
    <row r="4432" spans="1:4" x14ac:dyDescent="0.2">
      <c r="A4432" s="146"/>
      <c r="D4432" s="496"/>
    </row>
    <row r="4433" spans="1:4" x14ac:dyDescent="0.2">
      <c r="A4433" s="146"/>
      <c r="D4433" s="496"/>
    </row>
    <row r="4434" spans="1:4" x14ac:dyDescent="0.2">
      <c r="A4434" s="146"/>
      <c r="D4434" s="496"/>
    </row>
    <row r="4435" spans="1:4" x14ac:dyDescent="0.2">
      <c r="A4435" s="146"/>
      <c r="D4435" s="496"/>
    </row>
    <row r="4436" spans="1:4" x14ac:dyDescent="0.2">
      <c r="A4436" s="146"/>
      <c r="D4436" s="496"/>
    </row>
    <row r="4437" spans="1:4" x14ac:dyDescent="0.2">
      <c r="A4437" s="146"/>
      <c r="D4437" s="496"/>
    </row>
    <row r="4438" spans="1:4" x14ac:dyDescent="0.2">
      <c r="A4438" s="146"/>
      <c r="D4438" s="496"/>
    </row>
    <row r="4439" spans="1:4" x14ac:dyDescent="0.2">
      <c r="A4439" s="146"/>
      <c r="D4439" s="496"/>
    </row>
    <row r="4440" spans="1:4" x14ac:dyDescent="0.2">
      <c r="A4440" s="146"/>
      <c r="D4440" s="496"/>
    </row>
    <row r="4441" spans="1:4" x14ac:dyDescent="0.2">
      <c r="A4441" s="146"/>
      <c r="D4441" s="496"/>
    </row>
    <row r="4442" spans="1:4" x14ac:dyDescent="0.2">
      <c r="A4442" s="146"/>
      <c r="D4442" s="496"/>
    </row>
    <row r="4443" spans="1:4" x14ac:dyDescent="0.2">
      <c r="A4443" s="146"/>
      <c r="D4443" s="496"/>
    </row>
    <row r="4444" spans="1:4" x14ac:dyDescent="0.2">
      <c r="A4444" s="146"/>
      <c r="D4444" s="496"/>
    </row>
    <row r="4445" spans="1:4" x14ac:dyDescent="0.2">
      <c r="A4445" s="146"/>
      <c r="D4445" s="496"/>
    </row>
    <row r="4446" spans="1:4" x14ac:dyDescent="0.2">
      <c r="A4446" s="146"/>
      <c r="D4446" s="496"/>
    </row>
    <row r="4447" spans="1:4" x14ac:dyDescent="0.2">
      <c r="A4447" s="146"/>
      <c r="D4447" s="496"/>
    </row>
    <row r="4448" spans="1:4" x14ac:dyDescent="0.2">
      <c r="A4448" s="146"/>
      <c r="D4448" s="496"/>
    </row>
    <row r="4449" spans="1:4" x14ac:dyDescent="0.2">
      <c r="A4449" s="146"/>
      <c r="D4449" s="496"/>
    </row>
    <row r="4450" spans="1:4" x14ac:dyDescent="0.2">
      <c r="A4450" s="146"/>
      <c r="D4450" s="496"/>
    </row>
    <row r="4451" spans="1:4" x14ac:dyDescent="0.2">
      <c r="A4451" s="146"/>
      <c r="D4451" s="496"/>
    </row>
    <row r="4452" spans="1:4" x14ac:dyDescent="0.2">
      <c r="A4452" s="146"/>
      <c r="D4452" s="496"/>
    </row>
    <row r="4453" spans="1:4" x14ac:dyDescent="0.2">
      <c r="A4453" s="146"/>
      <c r="D4453" s="496"/>
    </row>
    <row r="4454" spans="1:4" x14ac:dyDescent="0.2">
      <c r="A4454" s="146"/>
      <c r="D4454" s="496"/>
    </row>
    <row r="4455" spans="1:4" x14ac:dyDescent="0.2">
      <c r="A4455" s="146"/>
      <c r="D4455" s="496"/>
    </row>
    <row r="4456" spans="1:4" x14ac:dyDescent="0.2">
      <c r="A4456" s="146"/>
      <c r="D4456" s="496"/>
    </row>
    <row r="4457" spans="1:4" x14ac:dyDescent="0.2">
      <c r="A4457" s="146"/>
      <c r="D4457" s="496"/>
    </row>
    <row r="4458" spans="1:4" x14ac:dyDescent="0.2">
      <c r="A4458" s="146"/>
      <c r="D4458" s="496"/>
    </row>
    <row r="4459" spans="1:4" x14ac:dyDescent="0.2">
      <c r="A4459" s="146"/>
      <c r="D4459" s="496"/>
    </row>
    <row r="4460" spans="1:4" x14ac:dyDescent="0.2">
      <c r="A4460" s="146"/>
      <c r="D4460" s="496"/>
    </row>
    <row r="4461" spans="1:4" x14ac:dyDescent="0.2">
      <c r="A4461" s="146"/>
      <c r="D4461" s="496"/>
    </row>
    <row r="4462" spans="1:4" x14ac:dyDescent="0.2">
      <c r="A4462" s="146"/>
      <c r="D4462" s="496"/>
    </row>
    <row r="4463" spans="1:4" x14ac:dyDescent="0.2">
      <c r="A4463" s="146"/>
      <c r="D4463" s="496"/>
    </row>
    <row r="4464" spans="1:4" x14ac:dyDescent="0.2">
      <c r="A4464" s="146"/>
      <c r="D4464" s="496"/>
    </row>
    <row r="4465" spans="1:4" x14ac:dyDescent="0.2">
      <c r="A4465" s="146"/>
      <c r="D4465" s="496"/>
    </row>
    <row r="4466" spans="1:4" x14ac:dyDescent="0.2">
      <c r="A4466" s="146"/>
      <c r="D4466" s="496"/>
    </row>
    <row r="4467" spans="1:4" x14ac:dyDescent="0.2">
      <c r="A4467" s="146"/>
      <c r="D4467" s="496"/>
    </row>
    <row r="4468" spans="1:4" x14ac:dyDescent="0.2">
      <c r="A4468" s="146"/>
      <c r="D4468" s="496"/>
    </row>
    <row r="4469" spans="1:4" x14ac:dyDescent="0.2">
      <c r="A4469" s="146"/>
      <c r="D4469" s="496"/>
    </row>
    <row r="4470" spans="1:4" x14ac:dyDescent="0.2">
      <c r="A4470" s="146"/>
      <c r="D4470" s="496"/>
    </row>
    <row r="4471" spans="1:4" x14ac:dyDescent="0.2">
      <c r="A4471" s="146"/>
      <c r="D4471" s="496"/>
    </row>
    <row r="4472" spans="1:4" x14ac:dyDescent="0.2">
      <c r="A4472" s="146"/>
      <c r="D4472" s="496"/>
    </row>
    <row r="4473" spans="1:4" x14ac:dyDescent="0.2">
      <c r="A4473" s="146"/>
      <c r="D4473" s="496"/>
    </row>
    <row r="4474" spans="1:4" x14ac:dyDescent="0.2">
      <c r="A4474" s="146"/>
      <c r="D4474" s="496"/>
    </row>
    <row r="4475" spans="1:4" x14ac:dyDescent="0.2">
      <c r="A4475" s="146"/>
      <c r="D4475" s="496"/>
    </row>
    <row r="4476" spans="1:4" x14ac:dyDescent="0.2">
      <c r="A4476" s="146"/>
      <c r="D4476" s="496"/>
    </row>
    <row r="4477" spans="1:4" x14ac:dyDescent="0.2">
      <c r="A4477" s="146"/>
      <c r="D4477" s="496"/>
    </row>
    <row r="4478" spans="1:4" x14ac:dyDescent="0.2">
      <c r="A4478" s="146"/>
      <c r="D4478" s="496"/>
    </row>
    <row r="4479" spans="1:4" x14ac:dyDescent="0.2">
      <c r="A4479" s="146"/>
      <c r="D4479" s="496"/>
    </row>
    <row r="4480" spans="1:4" x14ac:dyDescent="0.2">
      <c r="A4480" s="146"/>
      <c r="D4480" s="496"/>
    </row>
    <row r="4481" spans="1:4" x14ac:dyDescent="0.2">
      <c r="A4481" s="146"/>
      <c r="D4481" s="496"/>
    </row>
    <row r="4482" spans="1:4" x14ac:dyDescent="0.2">
      <c r="A4482" s="146"/>
      <c r="D4482" s="496"/>
    </row>
    <row r="4483" spans="1:4" x14ac:dyDescent="0.2">
      <c r="A4483" s="146"/>
      <c r="D4483" s="496"/>
    </row>
    <row r="4484" spans="1:4" x14ac:dyDescent="0.2">
      <c r="A4484" s="146"/>
      <c r="D4484" s="496"/>
    </row>
    <row r="4485" spans="1:4" x14ac:dyDescent="0.2">
      <c r="A4485" s="146"/>
      <c r="D4485" s="496"/>
    </row>
    <row r="4486" spans="1:4" x14ac:dyDescent="0.2">
      <c r="A4486" s="146"/>
      <c r="D4486" s="496"/>
    </row>
    <row r="4487" spans="1:4" x14ac:dyDescent="0.2">
      <c r="A4487" s="146"/>
      <c r="D4487" s="496"/>
    </row>
    <row r="4488" spans="1:4" x14ac:dyDescent="0.2">
      <c r="A4488" s="146"/>
      <c r="D4488" s="496"/>
    </row>
    <row r="4489" spans="1:4" x14ac:dyDescent="0.2">
      <c r="A4489" s="146"/>
      <c r="D4489" s="496"/>
    </row>
    <row r="4490" spans="1:4" x14ac:dyDescent="0.2">
      <c r="A4490" s="146"/>
      <c r="D4490" s="496"/>
    </row>
    <row r="4491" spans="1:4" x14ac:dyDescent="0.2">
      <c r="A4491" s="146"/>
      <c r="D4491" s="496"/>
    </row>
    <row r="4492" spans="1:4" x14ac:dyDescent="0.2">
      <c r="A4492" s="146"/>
      <c r="D4492" s="496"/>
    </row>
    <row r="4493" spans="1:4" x14ac:dyDescent="0.2">
      <c r="A4493" s="146"/>
      <c r="D4493" s="496"/>
    </row>
    <row r="4494" spans="1:4" x14ac:dyDescent="0.2">
      <c r="A4494" s="146"/>
      <c r="D4494" s="496"/>
    </row>
    <row r="4495" spans="1:4" x14ac:dyDescent="0.2">
      <c r="A4495" s="146"/>
      <c r="D4495" s="496"/>
    </row>
    <row r="4496" spans="1:4" x14ac:dyDescent="0.2">
      <c r="A4496" s="146"/>
      <c r="D4496" s="496"/>
    </row>
    <row r="4497" spans="1:4" x14ac:dyDescent="0.2">
      <c r="A4497" s="146"/>
      <c r="D4497" s="496"/>
    </row>
    <row r="4498" spans="1:4" x14ac:dyDescent="0.2">
      <c r="A4498" s="146"/>
      <c r="D4498" s="496"/>
    </row>
    <row r="4499" spans="1:4" x14ac:dyDescent="0.2">
      <c r="A4499" s="146"/>
      <c r="D4499" s="496"/>
    </row>
    <row r="4500" spans="1:4" x14ac:dyDescent="0.2">
      <c r="A4500" s="146"/>
      <c r="D4500" s="496"/>
    </row>
    <row r="4501" spans="1:4" x14ac:dyDescent="0.2">
      <c r="A4501" s="146"/>
      <c r="D4501" s="496"/>
    </row>
    <row r="4502" spans="1:4" x14ac:dyDescent="0.2">
      <c r="A4502" s="146"/>
      <c r="D4502" s="496"/>
    </row>
    <row r="4503" spans="1:4" x14ac:dyDescent="0.2">
      <c r="A4503" s="146"/>
      <c r="D4503" s="496"/>
    </row>
    <row r="4504" spans="1:4" x14ac:dyDescent="0.2">
      <c r="A4504" s="146"/>
      <c r="D4504" s="496"/>
    </row>
    <row r="4505" spans="1:4" x14ac:dyDescent="0.2">
      <c r="A4505" s="146"/>
      <c r="D4505" s="496"/>
    </row>
    <row r="4506" spans="1:4" x14ac:dyDescent="0.2">
      <c r="A4506" s="146"/>
      <c r="D4506" s="496"/>
    </row>
    <row r="4507" spans="1:4" x14ac:dyDescent="0.2">
      <c r="A4507" s="146"/>
      <c r="D4507" s="496"/>
    </row>
    <row r="4508" spans="1:4" x14ac:dyDescent="0.2">
      <c r="A4508" s="146"/>
      <c r="D4508" s="496"/>
    </row>
    <row r="4509" spans="1:4" x14ac:dyDescent="0.2">
      <c r="A4509" s="146"/>
      <c r="D4509" s="496"/>
    </row>
    <row r="4510" spans="1:4" x14ac:dyDescent="0.2">
      <c r="A4510" s="146"/>
      <c r="D4510" s="496"/>
    </row>
    <row r="4511" spans="1:4" x14ac:dyDescent="0.2">
      <c r="A4511" s="146"/>
      <c r="D4511" s="496"/>
    </row>
    <row r="4512" spans="1:4" x14ac:dyDescent="0.2">
      <c r="A4512" s="146"/>
      <c r="D4512" s="496"/>
    </row>
    <row r="4513" spans="1:4" x14ac:dyDescent="0.2">
      <c r="A4513" s="146"/>
      <c r="D4513" s="496"/>
    </row>
    <row r="4514" spans="1:4" x14ac:dyDescent="0.2">
      <c r="A4514" s="146"/>
      <c r="D4514" s="496"/>
    </row>
    <row r="4515" spans="1:4" x14ac:dyDescent="0.2">
      <c r="A4515" s="146"/>
      <c r="D4515" s="496"/>
    </row>
    <row r="4516" spans="1:4" x14ac:dyDescent="0.2">
      <c r="A4516" s="146"/>
      <c r="D4516" s="496"/>
    </row>
    <row r="4517" spans="1:4" x14ac:dyDescent="0.2">
      <c r="A4517" s="146"/>
      <c r="D4517" s="496"/>
    </row>
    <row r="4518" spans="1:4" x14ac:dyDescent="0.2">
      <c r="A4518" s="146"/>
      <c r="D4518" s="496"/>
    </row>
    <row r="4519" spans="1:4" x14ac:dyDescent="0.2">
      <c r="A4519" s="146"/>
      <c r="D4519" s="496"/>
    </row>
    <row r="4520" spans="1:4" x14ac:dyDescent="0.2">
      <c r="A4520" s="146"/>
      <c r="D4520" s="496"/>
    </row>
    <row r="4521" spans="1:4" x14ac:dyDescent="0.2">
      <c r="A4521" s="146"/>
      <c r="D4521" s="496"/>
    </row>
    <row r="4522" spans="1:4" x14ac:dyDescent="0.2">
      <c r="A4522" s="146"/>
      <c r="D4522" s="496"/>
    </row>
    <row r="4523" spans="1:4" x14ac:dyDescent="0.2">
      <c r="A4523" s="146"/>
      <c r="D4523" s="496"/>
    </row>
    <row r="4524" spans="1:4" x14ac:dyDescent="0.2">
      <c r="A4524" s="146"/>
      <c r="D4524" s="496"/>
    </row>
    <row r="4525" spans="1:4" x14ac:dyDescent="0.2">
      <c r="A4525" s="146"/>
      <c r="D4525" s="496"/>
    </row>
    <row r="4526" spans="1:4" x14ac:dyDescent="0.2">
      <c r="A4526" s="146"/>
      <c r="D4526" s="496"/>
    </row>
    <row r="4527" spans="1:4" x14ac:dyDescent="0.2">
      <c r="A4527" s="146"/>
      <c r="D4527" s="496"/>
    </row>
    <row r="4528" spans="1:4" x14ac:dyDescent="0.2">
      <c r="A4528" s="146"/>
      <c r="D4528" s="496"/>
    </row>
    <row r="4529" spans="1:4" x14ac:dyDescent="0.2">
      <c r="A4529" s="146"/>
      <c r="D4529" s="496"/>
    </row>
    <row r="4530" spans="1:4" x14ac:dyDescent="0.2">
      <c r="A4530" s="146"/>
      <c r="D4530" s="496"/>
    </row>
    <row r="4531" spans="1:4" x14ac:dyDescent="0.2">
      <c r="A4531" s="146"/>
      <c r="D4531" s="496"/>
    </row>
    <row r="4532" spans="1:4" x14ac:dyDescent="0.2">
      <c r="A4532" s="146"/>
      <c r="D4532" s="496"/>
    </row>
    <row r="4533" spans="1:4" x14ac:dyDescent="0.2">
      <c r="A4533" s="146"/>
      <c r="D4533" s="496"/>
    </row>
    <row r="4534" spans="1:4" x14ac:dyDescent="0.2">
      <c r="A4534" s="146"/>
      <c r="D4534" s="496"/>
    </row>
    <row r="4535" spans="1:4" x14ac:dyDescent="0.2">
      <c r="A4535" s="146"/>
      <c r="D4535" s="496"/>
    </row>
    <row r="4536" spans="1:4" x14ac:dyDescent="0.2">
      <c r="A4536" s="146"/>
      <c r="D4536" s="496"/>
    </row>
    <row r="4537" spans="1:4" x14ac:dyDescent="0.2">
      <c r="A4537" s="146"/>
      <c r="D4537" s="496"/>
    </row>
    <row r="4538" spans="1:4" x14ac:dyDescent="0.2">
      <c r="A4538" s="146"/>
      <c r="D4538" s="496"/>
    </row>
    <row r="4539" spans="1:4" x14ac:dyDescent="0.2">
      <c r="A4539" s="146"/>
      <c r="D4539" s="496"/>
    </row>
    <row r="4540" spans="1:4" x14ac:dyDescent="0.2">
      <c r="A4540" s="146"/>
      <c r="D4540" s="496"/>
    </row>
    <row r="4541" spans="1:4" x14ac:dyDescent="0.2">
      <c r="A4541" s="146"/>
      <c r="D4541" s="496"/>
    </row>
    <row r="4542" spans="1:4" x14ac:dyDescent="0.2">
      <c r="A4542" s="146"/>
      <c r="D4542" s="496"/>
    </row>
    <row r="4543" spans="1:4" x14ac:dyDescent="0.2">
      <c r="A4543" s="146"/>
      <c r="D4543" s="496"/>
    </row>
    <row r="4544" spans="1:4" x14ac:dyDescent="0.2">
      <c r="A4544" s="146"/>
      <c r="D4544" s="496"/>
    </row>
    <row r="4545" spans="1:4" x14ac:dyDescent="0.2">
      <c r="A4545" s="146"/>
      <c r="D4545" s="496"/>
    </row>
    <row r="4546" spans="1:4" x14ac:dyDescent="0.2">
      <c r="A4546" s="146"/>
      <c r="D4546" s="496"/>
    </row>
    <row r="4547" spans="1:4" x14ac:dyDescent="0.2">
      <c r="A4547" s="146"/>
      <c r="D4547" s="496"/>
    </row>
    <row r="4548" spans="1:4" x14ac:dyDescent="0.2">
      <c r="A4548" s="146"/>
      <c r="D4548" s="496"/>
    </row>
    <row r="4549" spans="1:4" x14ac:dyDescent="0.2">
      <c r="A4549" s="146"/>
      <c r="D4549" s="496"/>
    </row>
    <row r="4550" spans="1:4" x14ac:dyDescent="0.2">
      <c r="A4550" s="146"/>
      <c r="D4550" s="496"/>
    </row>
    <row r="4551" spans="1:4" x14ac:dyDescent="0.2">
      <c r="A4551" s="146"/>
      <c r="D4551" s="496"/>
    </row>
    <row r="4552" spans="1:4" x14ac:dyDescent="0.2">
      <c r="A4552" s="146"/>
      <c r="D4552" s="496"/>
    </row>
    <row r="4553" spans="1:4" x14ac:dyDescent="0.2">
      <c r="A4553" s="146"/>
      <c r="D4553" s="496"/>
    </row>
    <row r="4554" spans="1:4" x14ac:dyDescent="0.2">
      <c r="A4554" s="146"/>
      <c r="D4554" s="496"/>
    </row>
    <row r="4555" spans="1:4" x14ac:dyDescent="0.2">
      <c r="A4555" s="146"/>
      <c r="D4555" s="496"/>
    </row>
    <row r="4556" spans="1:4" x14ac:dyDescent="0.2">
      <c r="A4556" s="146"/>
      <c r="D4556" s="496"/>
    </row>
    <row r="4557" spans="1:4" x14ac:dyDescent="0.2">
      <c r="A4557" s="146"/>
      <c r="D4557" s="496"/>
    </row>
    <row r="4558" spans="1:4" x14ac:dyDescent="0.2">
      <c r="A4558" s="146"/>
      <c r="D4558" s="496"/>
    </row>
    <row r="4559" spans="1:4" x14ac:dyDescent="0.2">
      <c r="A4559" s="146"/>
      <c r="D4559" s="496"/>
    </row>
    <row r="4560" spans="1:4" x14ac:dyDescent="0.2">
      <c r="A4560" s="146"/>
      <c r="D4560" s="496"/>
    </row>
    <row r="4561" spans="1:4" x14ac:dyDescent="0.2">
      <c r="A4561" s="146"/>
      <c r="D4561" s="496"/>
    </row>
    <row r="4562" spans="1:4" x14ac:dyDescent="0.2">
      <c r="A4562" s="146"/>
      <c r="D4562" s="496"/>
    </row>
    <row r="4563" spans="1:4" x14ac:dyDescent="0.2">
      <c r="A4563" s="146"/>
      <c r="D4563" s="496"/>
    </row>
    <row r="4564" spans="1:4" x14ac:dyDescent="0.2">
      <c r="A4564" s="146"/>
      <c r="D4564" s="496"/>
    </row>
    <row r="4565" spans="1:4" x14ac:dyDescent="0.2">
      <c r="A4565" s="146"/>
      <c r="D4565" s="496"/>
    </row>
    <row r="4566" spans="1:4" x14ac:dyDescent="0.2">
      <c r="A4566" s="146"/>
      <c r="D4566" s="496"/>
    </row>
    <row r="4567" spans="1:4" x14ac:dyDescent="0.2">
      <c r="A4567" s="146"/>
      <c r="D4567" s="496"/>
    </row>
    <row r="4568" spans="1:4" x14ac:dyDescent="0.2">
      <c r="A4568" s="146"/>
      <c r="D4568" s="496"/>
    </row>
    <row r="4569" spans="1:4" x14ac:dyDescent="0.2">
      <c r="A4569" s="146"/>
      <c r="D4569" s="496"/>
    </row>
    <row r="4570" spans="1:4" x14ac:dyDescent="0.2">
      <c r="A4570" s="146"/>
      <c r="D4570" s="496"/>
    </row>
    <row r="4571" spans="1:4" x14ac:dyDescent="0.2">
      <c r="A4571" s="146"/>
      <c r="D4571" s="496"/>
    </row>
    <row r="4572" spans="1:4" x14ac:dyDescent="0.2">
      <c r="A4572" s="146"/>
      <c r="D4572" s="496"/>
    </row>
    <row r="4573" spans="1:4" x14ac:dyDescent="0.2">
      <c r="A4573" s="146"/>
      <c r="D4573" s="496"/>
    </row>
    <row r="4574" spans="1:4" x14ac:dyDescent="0.2">
      <c r="A4574" s="146"/>
      <c r="D4574" s="496"/>
    </row>
    <row r="4575" spans="1:4" x14ac:dyDescent="0.2">
      <c r="A4575" s="146"/>
      <c r="D4575" s="496"/>
    </row>
    <row r="4576" spans="1:4" x14ac:dyDescent="0.2">
      <c r="A4576" s="146"/>
      <c r="D4576" s="496"/>
    </row>
    <row r="4577" spans="1:4" x14ac:dyDescent="0.2">
      <c r="A4577" s="146"/>
      <c r="D4577" s="496"/>
    </row>
    <row r="4578" spans="1:4" x14ac:dyDescent="0.2">
      <c r="A4578" s="146"/>
      <c r="D4578" s="496"/>
    </row>
    <row r="4579" spans="1:4" x14ac:dyDescent="0.2">
      <c r="A4579" s="146"/>
      <c r="D4579" s="496"/>
    </row>
    <row r="4580" spans="1:4" x14ac:dyDescent="0.2">
      <c r="A4580" s="146"/>
      <c r="D4580" s="496"/>
    </row>
    <row r="4581" spans="1:4" x14ac:dyDescent="0.2">
      <c r="A4581" s="146"/>
      <c r="D4581" s="496"/>
    </row>
    <row r="4582" spans="1:4" x14ac:dyDescent="0.2">
      <c r="A4582" s="146"/>
      <c r="D4582" s="496"/>
    </row>
    <row r="4583" spans="1:4" x14ac:dyDescent="0.2">
      <c r="A4583" s="146"/>
      <c r="D4583" s="496"/>
    </row>
    <row r="4584" spans="1:4" x14ac:dyDescent="0.2">
      <c r="A4584" s="146"/>
      <c r="D4584" s="496"/>
    </row>
    <row r="4585" spans="1:4" x14ac:dyDescent="0.2">
      <c r="A4585" s="146"/>
      <c r="D4585" s="496"/>
    </row>
    <row r="4586" spans="1:4" x14ac:dyDescent="0.2">
      <c r="A4586" s="146"/>
      <c r="D4586" s="496"/>
    </row>
    <row r="4587" spans="1:4" x14ac:dyDescent="0.2">
      <c r="A4587" s="146"/>
      <c r="D4587" s="496"/>
    </row>
    <row r="4588" spans="1:4" x14ac:dyDescent="0.2">
      <c r="A4588" s="146"/>
      <c r="D4588" s="496"/>
    </row>
    <row r="4589" spans="1:4" x14ac:dyDescent="0.2">
      <c r="A4589" s="146"/>
      <c r="D4589" s="496"/>
    </row>
    <row r="4590" spans="1:4" x14ac:dyDescent="0.2">
      <c r="A4590" s="146"/>
      <c r="D4590" s="496"/>
    </row>
    <row r="4591" spans="1:4" x14ac:dyDescent="0.2">
      <c r="A4591" s="146"/>
      <c r="D4591" s="496"/>
    </row>
    <row r="4592" spans="1:4" x14ac:dyDescent="0.2">
      <c r="A4592" s="146"/>
      <c r="D4592" s="496"/>
    </row>
    <row r="4593" spans="1:4" x14ac:dyDescent="0.2">
      <c r="A4593" s="146"/>
      <c r="D4593" s="496"/>
    </row>
    <row r="4594" spans="1:4" x14ac:dyDescent="0.2">
      <c r="A4594" s="146"/>
      <c r="D4594" s="496"/>
    </row>
    <row r="4595" spans="1:4" x14ac:dyDescent="0.2">
      <c r="A4595" s="146"/>
      <c r="D4595" s="496"/>
    </row>
    <row r="4596" spans="1:4" x14ac:dyDescent="0.2">
      <c r="A4596" s="146"/>
      <c r="D4596" s="496"/>
    </row>
    <row r="4597" spans="1:4" x14ac:dyDescent="0.2">
      <c r="A4597" s="146"/>
      <c r="D4597" s="496"/>
    </row>
    <row r="4598" spans="1:4" x14ac:dyDescent="0.2">
      <c r="A4598" s="146"/>
      <c r="D4598" s="496"/>
    </row>
    <row r="4599" spans="1:4" x14ac:dyDescent="0.2">
      <c r="A4599" s="146"/>
      <c r="D4599" s="496"/>
    </row>
    <row r="4600" spans="1:4" x14ac:dyDescent="0.2">
      <c r="A4600" s="146"/>
      <c r="D4600" s="496"/>
    </row>
    <row r="4601" spans="1:4" x14ac:dyDescent="0.2">
      <c r="A4601" s="146"/>
      <c r="D4601" s="496"/>
    </row>
    <row r="4602" spans="1:4" x14ac:dyDescent="0.2">
      <c r="A4602" s="146"/>
      <c r="D4602" s="496"/>
    </row>
    <row r="4603" spans="1:4" x14ac:dyDescent="0.2">
      <c r="A4603" s="146"/>
      <c r="D4603" s="496"/>
    </row>
    <row r="4604" spans="1:4" x14ac:dyDescent="0.2">
      <c r="A4604" s="146"/>
      <c r="D4604" s="496"/>
    </row>
    <row r="4605" spans="1:4" x14ac:dyDescent="0.2">
      <c r="A4605" s="146"/>
      <c r="D4605" s="496"/>
    </row>
    <row r="4606" spans="1:4" x14ac:dyDescent="0.2">
      <c r="A4606" s="146"/>
      <c r="D4606" s="496"/>
    </row>
    <row r="4607" spans="1:4" x14ac:dyDescent="0.2">
      <c r="A4607" s="146"/>
      <c r="D4607" s="496"/>
    </row>
    <row r="4608" spans="1:4" x14ac:dyDescent="0.2">
      <c r="A4608" s="146"/>
      <c r="D4608" s="496"/>
    </row>
    <row r="4609" spans="1:4" x14ac:dyDescent="0.2">
      <c r="A4609" s="146"/>
      <c r="D4609" s="496"/>
    </row>
    <row r="4610" spans="1:4" x14ac:dyDescent="0.2">
      <c r="A4610" s="146"/>
      <c r="D4610" s="496"/>
    </row>
    <row r="4611" spans="1:4" x14ac:dyDescent="0.2">
      <c r="A4611" s="146"/>
      <c r="D4611" s="496"/>
    </row>
    <row r="4612" spans="1:4" x14ac:dyDescent="0.2">
      <c r="A4612" s="146"/>
      <c r="D4612" s="496"/>
    </row>
    <row r="4613" spans="1:4" x14ac:dyDescent="0.2">
      <c r="A4613" s="146"/>
      <c r="D4613" s="496"/>
    </row>
    <row r="4614" spans="1:4" x14ac:dyDescent="0.2">
      <c r="A4614" s="146"/>
      <c r="D4614" s="496"/>
    </row>
    <row r="4615" spans="1:4" x14ac:dyDescent="0.2">
      <c r="A4615" s="146"/>
      <c r="D4615" s="496"/>
    </row>
    <row r="4616" spans="1:4" x14ac:dyDescent="0.2">
      <c r="A4616" s="146"/>
      <c r="D4616" s="496"/>
    </row>
    <row r="4617" spans="1:4" x14ac:dyDescent="0.2">
      <c r="A4617" s="146"/>
      <c r="D4617" s="496"/>
    </row>
    <row r="4618" spans="1:4" x14ac:dyDescent="0.2">
      <c r="A4618" s="146"/>
      <c r="D4618" s="496"/>
    </row>
    <row r="4619" spans="1:4" x14ac:dyDescent="0.2">
      <c r="A4619" s="146"/>
      <c r="D4619" s="496"/>
    </row>
    <row r="4620" spans="1:4" x14ac:dyDescent="0.2">
      <c r="A4620" s="146"/>
      <c r="D4620" s="496"/>
    </row>
    <row r="4621" spans="1:4" x14ac:dyDescent="0.2">
      <c r="A4621" s="146"/>
      <c r="D4621" s="496"/>
    </row>
    <row r="4622" spans="1:4" x14ac:dyDescent="0.2">
      <c r="A4622" s="146"/>
      <c r="D4622" s="496"/>
    </row>
    <row r="4623" spans="1:4" x14ac:dyDescent="0.2">
      <c r="A4623" s="146"/>
      <c r="D4623" s="496"/>
    </row>
    <row r="4624" spans="1:4" x14ac:dyDescent="0.2">
      <c r="A4624" s="146"/>
      <c r="D4624" s="496"/>
    </row>
    <row r="4625" spans="1:4" x14ac:dyDescent="0.2">
      <c r="A4625" s="146"/>
      <c r="D4625" s="496"/>
    </row>
    <row r="4626" spans="1:4" x14ac:dyDescent="0.2">
      <c r="A4626" s="146"/>
      <c r="D4626" s="496"/>
    </row>
    <row r="4627" spans="1:4" x14ac:dyDescent="0.2">
      <c r="A4627" s="146"/>
      <c r="D4627" s="496"/>
    </row>
    <row r="4628" spans="1:4" x14ac:dyDescent="0.2">
      <c r="A4628" s="146"/>
      <c r="D4628" s="496"/>
    </row>
    <row r="4629" spans="1:4" x14ac:dyDescent="0.2">
      <c r="A4629" s="146"/>
      <c r="D4629" s="496"/>
    </row>
    <row r="4630" spans="1:4" x14ac:dyDescent="0.2">
      <c r="A4630" s="146"/>
      <c r="D4630" s="496"/>
    </row>
    <row r="4631" spans="1:4" x14ac:dyDescent="0.2">
      <c r="A4631" s="146"/>
      <c r="D4631" s="496"/>
    </row>
    <row r="4632" spans="1:4" x14ac:dyDescent="0.2">
      <c r="A4632" s="146"/>
      <c r="D4632" s="496"/>
    </row>
    <row r="4633" spans="1:4" x14ac:dyDescent="0.2">
      <c r="A4633" s="146"/>
      <c r="D4633" s="496"/>
    </row>
    <row r="4634" spans="1:4" x14ac:dyDescent="0.2">
      <c r="A4634" s="146"/>
      <c r="D4634" s="496"/>
    </row>
    <row r="4635" spans="1:4" x14ac:dyDescent="0.2">
      <c r="A4635" s="146"/>
      <c r="D4635" s="496"/>
    </row>
    <row r="4636" spans="1:4" x14ac:dyDescent="0.2">
      <c r="A4636" s="146"/>
      <c r="D4636" s="496"/>
    </row>
    <row r="4637" spans="1:4" x14ac:dyDescent="0.2">
      <c r="A4637" s="146"/>
      <c r="D4637" s="496"/>
    </row>
    <row r="4638" spans="1:4" x14ac:dyDescent="0.2">
      <c r="A4638" s="146"/>
      <c r="D4638" s="496"/>
    </row>
    <row r="4639" spans="1:4" x14ac:dyDescent="0.2">
      <c r="A4639" s="146"/>
      <c r="D4639" s="496"/>
    </row>
    <row r="4640" spans="1:4" x14ac:dyDescent="0.2">
      <c r="A4640" s="146"/>
      <c r="D4640" s="496"/>
    </row>
    <row r="4641" spans="1:4" x14ac:dyDescent="0.2">
      <c r="A4641" s="146"/>
      <c r="D4641" s="496"/>
    </row>
    <row r="4642" spans="1:4" x14ac:dyDescent="0.2">
      <c r="A4642" s="146"/>
      <c r="D4642" s="496"/>
    </row>
    <row r="4643" spans="1:4" x14ac:dyDescent="0.2">
      <c r="A4643" s="146"/>
      <c r="D4643" s="496"/>
    </row>
    <row r="4644" spans="1:4" x14ac:dyDescent="0.2">
      <c r="A4644" s="146"/>
      <c r="D4644" s="496"/>
    </row>
    <row r="4645" spans="1:4" x14ac:dyDescent="0.2">
      <c r="A4645" s="146"/>
      <c r="D4645" s="496"/>
    </row>
    <row r="4646" spans="1:4" x14ac:dyDescent="0.2">
      <c r="A4646" s="146"/>
      <c r="D4646" s="496"/>
    </row>
    <row r="4647" spans="1:4" x14ac:dyDescent="0.2">
      <c r="A4647" s="146"/>
      <c r="D4647" s="496"/>
    </row>
    <row r="4648" spans="1:4" x14ac:dyDescent="0.2">
      <c r="A4648" s="146"/>
      <c r="D4648" s="496"/>
    </row>
    <row r="4649" spans="1:4" x14ac:dyDescent="0.2">
      <c r="A4649" s="146"/>
      <c r="D4649" s="496"/>
    </row>
    <row r="4650" spans="1:4" x14ac:dyDescent="0.2">
      <c r="A4650" s="146"/>
      <c r="D4650" s="496"/>
    </row>
    <row r="4651" spans="1:4" x14ac:dyDescent="0.2">
      <c r="A4651" s="146"/>
      <c r="D4651" s="496"/>
    </row>
    <row r="4652" spans="1:4" x14ac:dyDescent="0.2">
      <c r="A4652" s="146"/>
      <c r="D4652" s="496"/>
    </row>
    <row r="4653" spans="1:4" x14ac:dyDescent="0.2">
      <c r="A4653" s="146"/>
      <c r="D4653" s="496"/>
    </row>
    <row r="4654" spans="1:4" x14ac:dyDescent="0.2">
      <c r="A4654" s="146"/>
      <c r="D4654" s="496"/>
    </row>
    <row r="4655" spans="1:4" x14ac:dyDescent="0.2">
      <c r="A4655" s="146"/>
      <c r="D4655" s="496"/>
    </row>
    <row r="4656" spans="1:4" x14ac:dyDescent="0.2">
      <c r="A4656" s="146"/>
      <c r="D4656" s="496"/>
    </row>
    <row r="4657" spans="1:4" x14ac:dyDescent="0.2">
      <c r="A4657" s="146"/>
      <c r="D4657" s="496"/>
    </row>
    <row r="4658" spans="1:4" x14ac:dyDescent="0.2">
      <c r="A4658" s="146"/>
      <c r="D4658" s="496"/>
    </row>
    <row r="4659" spans="1:4" x14ac:dyDescent="0.2">
      <c r="A4659" s="146"/>
      <c r="D4659" s="496"/>
    </row>
    <row r="4660" spans="1:4" x14ac:dyDescent="0.2">
      <c r="A4660" s="146"/>
      <c r="D4660" s="496"/>
    </row>
    <row r="4661" spans="1:4" x14ac:dyDescent="0.2">
      <c r="A4661" s="146"/>
      <c r="D4661" s="496"/>
    </row>
    <row r="4662" spans="1:4" x14ac:dyDescent="0.2">
      <c r="A4662" s="146"/>
      <c r="D4662" s="496"/>
    </row>
    <row r="4663" spans="1:4" x14ac:dyDescent="0.2">
      <c r="A4663" s="146"/>
      <c r="D4663" s="496"/>
    </row>
    <row r="4664" spans="1:4" x14ac:dyDescent="0.2">
      <c r="A4664" s="146"/>
      <c r="D4664" s="496"/>
    </row>
    <row r="4665" spans="1:4" x14ac:dyDescent="0.2">
      <c r="A4665" s="146"/>
      <c r="D4665" s="496"/>
    </row>
    <row r="4666" spans="1:4" x14ac:dyDescent="0.2">
      <c r="A4666" s="146"/>
      <c r="D4666" s="496"/>
    </row>
    <row r="4667" spans="1:4" x14ac:dyDescent="0.2">
      <c r="A4667" s="146"/>
      <c r="D4667" s="496"/>
    </row>
    <row r="4668" spans="1:4" x14ac:dyDescent="0.2">
      <c r="A4668" s="146"/>
      <c r="D4668" s="496"/>
    </row>
    <row r="4669" spans="1:4" x14ac:dyDescent="0.2">
      <c r="A4669" s="146"/>
      <c r="D4669" s="496"/>
    </row>
    <row r="4670" spans="1:4" x14ac:dyDescent="0.2">
      <c r="A4670" s="146"/>
      <c r="D4670" s="496"/>
    </row>
    <row r="4671" spans="1:4" x14ac:dyDescent="0.2">
      <c r="A4671" s="146"/>
      <c r="D4671" s="496"/>
    </row>
    <row r="4672" spans="1:4" x14ac:dyDescent="0.2">
      <c r="A4672" s="146"/>
      <c r="D4672" s="496"/>
    </row>
    <row r="4673" spans="1:4" x14ac:dyDescent="0.2">
      <c r="A4673" s="146"/>
      <c r="D4673" s="496"/>
    </row>
    <row r="4674" spans="1:4" x14ac:dyDescent="0.2">
      <c r="A4674" s="146"/>
      <c r="D4674" s="496"/>
    </row>
    <row r="4675" spans="1:4" x14ac:dyDescent="0.2">
      <c r="A4675" s="146"/>
      <c r="D4675" s="496"/>
    </row>
    <row r="4676" spans="1:4" x14ac:dyDescent="0.2">
      <c r="A4676" s="146"/>
      <c r="D4676" s="496"/>
    </row>
    <row r="4677" spans="1:4" x14ac:dyDescent="0.2">
      <c r="A4677" s="146"/>
      <c r="D4677" s="496"/>
    </row>
    <row r="4678" spans="1:4" x14ac:dyDescent="0.2">
      <c r="A4678" s="146"/>
      <c r="D4678" s="496"/>
    </row>
    <row r="4679" spans="1:4" x14ac:dyDescent="0.2">
      <c r="A4679" s="146"/>
      <c r="D4679" s="496"/>
    </row>
    <row r="4680" spans="1:4" x14ac:dyDescent="0.2">
      <c r="A4680" s="146"/>
      <c r="D4680" s="496"/>
    </row>
    <row r="4681" spans="1:4" x14ac:dyDescent="0.2">
      <c r="A4681" s="146"/>
      <c r="D4681" s="496"/>
    </row>
    <row r="4682" spans="1:4" x14ac:dyDescent="0.2">
      <c r="A4682" s="146"/>
      <c r="D4682" s="496"/>
    </row>
    <row r="4683" spans="1:4" x14ac:dyDescent="0.2">
      <c r="A4683" s="146"/>
      <c r="D4683" s="496"/>
    </row>
    <row r="4684" spans="1:4" x14ac:dyDescent="0.2">
      <c r="A4684" s="146"/>
      <c r="D4684" s="496"/>
    </row>
    <row r="4685" spans="1:4" x14ac:dyDescent="0.2">
      <c r="A4685" s="146"/>
      <c r="D4685" s="496"/>
    </row>
    <row r="4686" spans="1:4" x14ac:dyDescent="0.2">
      <c r="A4686" s="146"/>
      <c r="D4686" s="496"/>
    </row>
    <row r="4687" spans="1:4" x14ac:dyDescent="0.2">
      <c r="A4687" s="146"/>
      <c r="D4687" s="496"/>
    </row>
    <row r="4688" spans="1:4" x14ac:dyDescent="0.2">
      <c r="A4688" s="146"/>
      <c r="D4688" s="496"/>
    </row>
    <row r="4689" spans="1:4" x14ac:dyDescent="0.2">
      <c r="A4689" s="146"/>
      <c r="D4689" s="496"/>
    </row>
    <row r="4690" spans="1:4" x14ac:dyDescent="0.2">
      <c r="A4690" s="146"/>
      <c r="D4690" s="496"/>
    </row>
    <row r="4691" spans="1:4" x14ac:dyDescent="0.2">
      <c r="A4691" s="146"/>
      <c r="D4691" s="496"/>
    </row>
    <row r="4692" spans="1:4" x14ac:dyDescent="0.2">
      <c r="A4692" s="146"/>
      <c r="D4692" s="496"/>
    </row>
    <row r="4693" spans="1:4" x14ac:dyDescent="0.2">
      <c r="A4693" s="146"/>
      <c r="D4693" s="496"/>
    </row>
    <row r="4694" spans="1:4" x14ac:dyDescent="0.2">
      <c r="A4694" s="146"/>
      <c r="D4694" s="496"/>
    </row>
    <row r="4695" spans="1:4" x14ac:dyDescent="0.2">
      <c r="A4695" s="146"/>
      <c r="D4695" s="496"/>
    </row>
    <row r="4696" spans="1:4" x14ac:dyDescent="0.2">
      <c r="A4696" s="146"/>
      <c r="D4696" s="496"/>
    </row>
    <row r="4697" spans="1:4" x14ac:dyDescent="0.2">
      <c r="A4697" s="146"/>
      <c r="D4697" s="496"/>
    </row>
    <row r="4698" spans="1:4" x14ac:dyDescent="0.2">
      <c r="A4698" s="146"/>
      <c r="D4698" s="496"/>
    </row>
    <row r="4699" spans="1:4" x14ac:dyDescent="0.2">
      <c r="A4699" s="146"/>
      <c r="D4699" s="496"/>
    </row>
    <row r="4700" spans="1:4" x14ac:dyDescent="0.2">
      <c r="A4700" s="146"/>
      <c r="D4700" s="496"/>
    </row>
    <row r="4701" spans="1:4" x14ac:dyDescent="0.2">
      <c r="A4701" s="146"/>
      <c r="D4701" s="496"/>
    </row>
    <row r="4702" spans="1:4" x14ac:dyDescent="0.2">
      <c r="A4702" s="146"/>
      <c r="D4702" s="496"/>
    </row>
    <row r="4703" spans="1:4" x14ac:dyDescent="0.2">
      <c r="A4703" s="146"/>
      <c r="D4703" s="496"/>
    </row>
    <row r="4704" spans="1:4" x14ac:dyDescent="0.2">
      <c r="A4704" s="146"/>
      <c r="D4704" s="496"/>
    </row>
    <row r="4705" spans="1:4" x14ac:dyDescent="0.2">
      <c r="A4705" s="146"/>
      <c r="D4705" s="496"/>
    </row>
    <row r="4706" spans="1:4" x14ac:dyDescent="0.2">
      <c r="A4706" s="146"/>
      <c r="D4706" s="496"/>
    </row>
    <row r="4707" spans="1:4" x14ac:dyDescent="0.2">
      <c r="A4707" s="146"/>
      <c r="D4707" s="496"/>
    </row>
    <row r="4708" spans="1:4" x14ac:dyDescent="0.2">
      <c r="A4708" s="146"/>
      <c r="D4708" s="496"/>
    </row>
    <row r="4709" spans="1:4" x14ac:dyDescent="0.2">
      <c r="A4709" s="146"/>
      <c r="D4709" s="496"/>
    </row>
    <row r="4710" spans="1:4" x14ac:dyDescent="0.2">
      <c r="A4710" s="146"/>
      <c r="D4710" s="496"/>
    </row>
    <row r="4711" spans="1:4" x14ac:dyDescent="0.2">
      <c r="A4711" s="146"/>
      <c r="D4711" s="496"/>
    </row>
    <row r="4712" spans="1:4" x14ac:dyDescent="0.2">
      <c r="A4712" s="146"/>
      <c r="D4712" s="496"/>
    </row>
    <row r="4713" spans="1:4" x14ac:dyDescent="0.2">
      <c r="A4713" s="146"/>
      <c r="D4713" s="496"/>
    </row>
    <row r="4714" spans="1:4" x14ac:dyDescent="0.2">
      <c r="A4714" s="146"/>
      <c r="D4714" s="496"/>
    </row>
    <row r="4715" spans="1:4" x14ac:dyDescent="0.2">
      <c r="A4715" s="146"/>
      <c r="D4715" s="496"/>
    </row>
    <row r="4716" spans="1:4" x14ac:dyDescent="0.2">
      <c r="A4716" s="146"/>
      <c r="D4716" s="496"/>
    </row>
    <row r="4717" spans="1:4" x14ac:dyDescent="0.2">
      <c r="A4717" s="146"/>
      <c r="D4717" s="496"/>
    </row>
    <row r="4718" spans="1:4" x14ac:dyDescent="0.2">
      <c r="A4718" s="146"/>
      <c r="D4718" s="496"/>
    </row>
    <row r="4719" spans="1:4" x14ac:dyDescent="0.2">
      <c r="A4719" s="146"/>
      <c r="D4719" s="496"/>
    </row>
    <row r="4720" spans="1:4" x14ac:dyDescent="0.2">
      <c r="A4720" s="146"/>
      <c r="D4720" s="496"/>
    </row>
    <row r="4721" spans="1:4" x14ac:dyDescent="0.2">
      <c r="A4721" s="146"/>
      <c r="D4721" s="496"/>
    </row>
    <row r="4722" spans="1:4" x14ac:dyDescent="0.2">
      <c r="A4722" s="146"/>
      <c r="D4722" s="496"/>
    </row>
    <row r="4723" spans="1:4" x14ac:dyDescent="0.2">
      <c r="A4723" s="146"/>
      <c r="D4723" s="496"/>
    </row>
    <row r="4724" spans="1:4" x14ac:dyDescent="0.2">
      <c r="A4724" s="146"/>
      <c r="D4724" s="496"/>
    </row>
    <row r="4725" spans="1:4" x14ac:dyDescent="0.2">
      <c r="A4725" s="146"/>
      <c r="D4725" s="496"/>
    </row>
    <row r="4726" spans="1:4" x14ac:dyDescent="0.2">
      <c r="A4726" s="146"/>
      <c r="D4726" s="496"/>
    </row>
    <row r="4727" spans="1:4" x14ac:dyDescent="0.2">
      <c r="A4727" s="146"/>
      <c r="D4727" s="496"/>
    </row>
    <row r="4728" spans="1:4" x14ac:dyDescent="0.2">
      <c r="A4728" s="146"/>
      <c r="D4728" s="496"/>
    </row>
    <row r="4729" spans="1:4" x14ac:dyDescent="0.2">
      <c r="A4729" s="146"/>
      <c r="D4729" s="496"/>
    </row>
    <row r="4730" spans="1:4" x14ac:dyDescent="0.2">
      <c r="A4730" s="146"/>
      <c r="D4730" s="496"/>
    </row>
    <row r="4731" spans="1:4" x14ac:dyDescent="0.2">
      <c r="A4731" s="146"/>
      <c r="D4731" s="496"/>
    </row>
    <row r="4732" spans="1:4" x14ac:dyDescent="0.2">
      <c r="A4732" s="146"/>
      <c r="D4732" s="496"/>
    </row>
    <row r="4733" spans="1:4" x14ac:dyDescent="0.2">
      <c r="A4733" s="146"/>
      <c r="D4733" s="496"/>
    </row>
    <row r="4734" spans="1:4" x14ac:dyDescent="0.2">
      <c r="A4734" s="146"/>
      <c r="D4734" s="496"/>
    </row>
    <row r="4735" spans="1:4" x14ac:dyDescent="0.2">
      <c r="A4735" s="146"/>
      <c r="D4735" s="496"/>
    </row>
    <row r="4736" spans="1:4" x14ac:dyDescent="0.2">
      <c r="A4736" s="146"/>
      <c r="D4736" s="496"/>
    </row>
    <row r="4737" spans="1:4" x14ac:dyDescent="0.2">
      <c r="A4737" s="146"/>
      <c r="D4737" s="496"/>
    </row>
    <row r="4738" spans="1:4" x14ac:dyDescent="0.2">
      <c r="A4738" s="146"/>
      <c r="D4738" s="496"/>
    </row>
    <row r="4739" spans="1:4" x14ac:dyDescent="0.2">
      <c r="A4739" s="146"/>
      <c r="D4739" s="496"/>
    </row>
    <row r="4740" spans="1:4" x14ac:dyDescent="0.2">
      <c r="A4740" s="146"/>
      <c r="D4740" s="496"/>
    </row>
    <row r="4741" spans="1:4" x14ac:dyDescent="0.2">
      <c r="A4741" s="146"/>
      <c r="D4741" s="496"/>
    </row>
    <row r="4742" spans="1:4" x14ac:dyDescent="0.2">
      <c r="A4742" s="146"/>
      <c r="D4742" s="496"/>
    </row>
    <row r="4743" spans="1:4" x14ac:dyDescent="0.2">
      <c r="A4743" s="146"/>
      <c r="D4743" s="496"/>
    </row>
    <row r="4744" spans="1:4" x14ac:dyDescent="0.2">
      <c r="A4744" s="146"/>
      <c r="D4744" s="496"/>
    </row>
    <row r="4745" spans="1:4" x14ac:dyDescent="0.2">
      <c r="A4745" s="146"/>
      <c r="D4745" s="496"/>
    </row>
    <row r="4746" spans="1:4" x14ac:dyDescent="0.2">
      <c r="A4746" s="146"/>
      <c r="D4746" s="496"/>
    </row>
    <row r="4747" spans="1:4" x14ac:dyDescent="0.2">
      <c r="A4747" s="146"/>
      <c r="D4747" s="496"/>
    </row>
    <row r="4748" spans="1:4" x14ac:dyDescent="0.2">
      <c r="A4748" s="146"/>
      <c r="D4748" s="496"/>
    </row>
    <row r="4749" spans="1:4" x14ac:dyDescent="0.2">
      <c r="A4749" s="146"/>
      <c r="D4749" s="496"/>
    </row>
    <row r="4750" spans="1:4" x14ac:dyDescent="0.2">
      <c r="A4750" s="146"/>
      <c r="D4750" s="496"/>
    </row>
    <row r="4751" spans="1:4" x14ac:dyDescent="0.2">
      <c r="A4751" s="146"/>
      <c r="D4751" s="496"/>
    </row>
    <row r="4752" spans="1:4" x14ac:dyDescent="0.2">
      <c r="A4752" s="146"/>
      <c r="D4752" s="496"/>
    </row>
    <row r="4753" spans="1:4" x14ac:dyDescent="0.2">
      <c r="A4753" s="146"/>
      <c r="D4753" s="496"/>
    </row>
    <row r="4754" spans="1:4" x14ac:dyDescent="0.2">
      <c r="A4754" s="146"/>
      <c r="D4754" s="496"/>
    </row>
    <row r="4755" spans="1:4" x14ac:dyDescent="0.2">
      <c r="A4755" s="146"/>
      <c r="D4755" s="496"/>
    </row>
    <row r="4756" spans="1:4" x14ac:dyDescent="0.2">
      <c r="A4756" s="146"/>
      <c r="D4756" s="496"/>
    </row>
    <row r="4757" spans="1:4" x14ac:dyDescent="0.2">
      <c r="A4757" s="146"/>
      <c r="D4757" s="496"/>
    </row>
    <row r="4758" spans="1:4" x14ac:dyDescent="0.2">
      <c r="A4758" s="146"/>
      <c r="D4758" s="496"/>
    </row>
    <row r="4759" spans="1:4" x14ac:dyDescent="0.2">
      <c r="A4759" s="146"/>
      <c r="D4759" s="496"/>
    </row>
    <row r="4760" spans="1:4" x14ac:dyDescent="0.2">
      <c r="A4760" s="146"/>
      <c r="D4760" s="496"/>
    </row>
    <row r="4761" spans="1:4" x14ac:dyDescent="0.2">
      <c r="A4761" s="146"/>
      <c r="D4761" s="496"/>
    </row>
    <row r="4762" spans="1:4" x14ac:dyDescent="0.2">
      <c r="A4762" s="146"/>
      <c r="D4762" s="496"/>
    </row>
    <row r="4763" spans="1:4" x14ac:dyDescent="0.2">
      <c r="A4763" s="146"/>
      <c r="D4763" s="496"/>
    </row>
    <row r="4764" spans="1:4" x14ac:dyDescent="0.2">
      <c r="A4764" s="146"/>
      <c r="D4764" s="496"/>
    </row>
    <row r="4765" spans="1:4" x14ac:dyDescent="0.2">
      <c r="A4765" s="146"/>
      <c r="D4765" s="496"/>
    </row>
    <row r="4766" spans="1:4" x14ac:dyDescent="0.2">
      <c r="A4766" s="146"/>
      <c r="D4766" s="496"/>
    </row>
    <row r="4767" spans="1:4" x14ac:dyDescent="0.2">
      <c r="A4767" s="146"/>
      <c r="D4767" s="496"/>
    </row>
    <row r="4768" spans="1:4" x14ac:dyDescent="0.2">
      <c r="A4768" s="146"/>
      <c r="D4768" s="496"/>
    </row>
    <row r="4769" spans="1:4" x14ac:dyDescent="0.2">
      <c r="A4769" s="146"/>
      <c r="D4769" s="496"/>
    </row>
    <row r="4770" spans="1:4" x14ac:dyDescent="0.2">
      <c r="A4770" s="146"/>
      <c r="D4770" s="496"/>
    </row>
    <row r="4771" spans="1:4" x14ac:dyDescent="0.2">
      <c r="A4771" s="146"/>
      <c r="D4771" s="496"/>
    </row>
    <row r="4772" spans="1:4" x14ac:dyDescent="0.2">
      <c r="A4772" s="146"/>
      <c r="D4772" s="496"/>
    </row>
    <row r="4773" spans="1:4" x14ac:dyDescent="0.2">
      <c r="A4773" s="146"/>
      <c r="D4773" s="496"/>
    </row>
    <row r="4774" spans="1:4" x14ac:dyDescent="0.2">
      <c r="A4774" s="146"/>
      <c r="D4774" s="496"/>
    </row>
    <row r="4775" spans="1:4" x14ac:dyDescent="0.2">
      <c r="A4775" s="146"/>
      <c r="D4775" s="496"/>
    </row>
    <row r="4776" spans="1:4" x14ac:dyDescent="0.2">
      <c r="A4776" s="146"/>
      <c r="D4776" s="496"/>
    </row>
    <row r="4777" spans="1:4" x14ac:dyDescent="0.2">
      <c r="A4777" s="146"/>
      <c r="D4777" s="496"/>
    </row>
    <row r="4778" spans="1:4" x14ac:dyDescent="0.2">
      <c r="A4778" s="146"/>
      <c r="D4778" s="496"/>
    </row>
    <row r="4779" spans="1:4" x14ac:dyDescent="0.2">
      <c r="A4779" s="146"/>
      <c r="D4779" s="496"/>
    </row>
    <row r="4780" spans="1:4" x14ac:dyDescent="0.2">
      <c r="A4780" s="146"/>
      <c r="D4780" s="496"/>
    </row>
    <row r="4781" spans="1:4" x14ac:dyDescent="0.2">
      <c r="A4781" s="146"/>
      <c r="D4781" s="496"/>
    </row>
    <row r="4782" spans="1:4" x14ac:dyDescent="0.2">
      <c r="A4782" s="146"/>
      <c r="D4782" s="496"/>
    </row>
    <row r="4783" spans="1:4" x14ac:dyDescent="0.2">
      <c r="A4783" s="146"/>
      <c r="D4783" s="496"/>
    </row>
    <row r="4784" spans="1:4" x14ac:dyDescent="0.2">
      <c r="A4784" s="146"/>
      <c r="D4784" s="496"/>
    </row>
    <row r="4785" spans="1:4" x14ac:dyDescent="0.2">
      <c r="A4785" s="146"/>
      <c r="D4785" s="496"/>
    </row>
    <row r="4786" spans="1:4" x14ac:dyDescent="0.2">
      <c r="A4786" s="146"/>
      <c r="D4786" s="496"/>
    </row>
    <row r="4787" spans="1:4" x14ac:dyDescent="0.2">
      <c r="A4787" s="146"/>
      <c r="D4787" s="496"/>
    </row>
    <row r="4788" spans="1:4" x14ac:dyDescent="0.2">
      <c r="A4788" s="146"/>
      <c r="D4788" s="496"/>
    </row>
    <row r="4789" spans="1:4" x14ac:dyDescent="0.2">
      <c r="A4789" s="146"/>
      <c r="D4789" s="496"/>
    </row>
    <row r="4790" spans="1:4" x14ac:dyDescent="0.2">
      <c r="A4790" s="146"/>
      <c r="D4790" s="496"/>
    </row>
    <row r="4791" spans="1:4" x14ac:dyDescent="0.2">
      <c r="A4791" s="146"/>
      <c r="D4791" s="496"/>
    </row>
    <row r="4792" spans="1:4" x14ac:dyDescent="0.2">
      <c r="A4792" s="146"/>
      <c r="D4792" s="496"/>
    </row>
    <row r="4793" spans="1:4" x14ac:dyDescent="0.2">
      <c r="A4793" s="146"/>
      <c r="D4793" s="496"/>
    </row>
    <row r="4794" spans="1:4" x14ac:dyDescent="0.2">
      <c r="A4794" s="146"/>
      <c r="D4794" s="496"/>
    </row>
    <row r="4795" spans="1:4" x14ac:dyDescent="0.2">
      <c r="A4795" s="146"/>
      <c r="D4795" s="496"/>
    </row>
    <row r="4796" spans="1:4" x14ac:dyDescent="0.2">
      <c r="A4796" s="146"/>
      <c r="D4796" s="496"/>
    </row>
    <row r="4797" spans="1:4" x14ac:dyDescent="0.2">
      <c r="A4797" s="146"/>
      <c r="D4797" s="496"/>
    </row>
    <row r="4798" spans="1:4" x14ac:dyDescent="0.2">
      <c r="A4798" s="146"/>
      <c r="D4798" s="496"/>
    </row>
    <row r="4799" spans="1:4" x14ac:dyDescent="0.2">
      <c r="A4799" s="146"/>
      <c r="D4799" s="496"/>
    </row>
    <row r="4800" spans="1:4" x14ac:dyDescent="0.2">
      <c r="A4800" s="146"/>
      <c r="D4800" s="496"/>
    </row>
    <row r="4801" spans="1:4" x14ac:dyDescent="0.2">
      <c r="A4801" s="146"/>
      <c r="D4801" s="496"/>
    </row>
    <row r="4802" spans="1:4" x14ac:dyDescent="0.2">
      <c r="A4802" s="146"/>
      <c r="D4802" s="496"/>
    </row>
    <row r="4803" spans="1:4" x14ac:dyDescent="0.2">
      <c r="A4803" s="146"/>
      <c r="D4803" s="496"/>
    </row>
    <row r="4804" spans="1:4" x14ac:dyDescent="0.2">
      <c r="A4804" s="146"/>
      <c r="D4804" s="496"/>
    </row>
    <row r="4805" spans="1:4" x14ac:dyDescent="0.2">
      <c r="A4805" s="146"/>
      <c r="D4805" s="496"/>
    </row>
    <row r="4806" spans="1:4" x14ac:dyDescent="0.2">
      <c r="A4806" s="146"/>
      <c r="D4806" s="496"/>
    </row>
    <row r="4807" spans="1:4" x14ac:dyDescent="0.2">
      <c r="A4807" s="146"/>
      <c r="D4807" s="496"/>
    </row>
    <row r="4808" spans="1:4" x14ac:dyDescent="0.2">
      <c r="A4808" s="146"/>
      <c r="D4808" s="496"/>
    </row>
    <row r="4809" spans="1:4" x14ac:dyDescent="0.2">
      <c r="A4809" s="146"/>
      <c r="D4809" s="496"/>
    </row>
    <row r="4810" spans="1:4" x14ac:dyDescent="0.2">
      <c r="A4810" s="146"/>
      <c r="D4810" s="496"/>
    </row>
    <row r="4811" spans="1:4" x14ac:dyDescent="0.2">
      <c r="A4811" s="146"/>
      <c r="D4811" s="496"/>
    </row>
    <row r="4812" spans="1:4" x14ac:dyDescent="0.2">
      <c r="A4812" s="146"/>
      <c r="D4812" s="496"/>
    </row>
    <row r="4813" spans="1:4" x14ac:dyDescent="0.2">
      <c r="A4813" s="146"/>
      <c r="D4813" s="496"/>
    </row>
    <row r="4814" spans="1:4" x14ac:dyDescent="0.2">
      <c r="A4814" s="146"/>
      <c r="D4814" s="496"/>
    </row>
    <row r="4815" spans="1:4" x14ac:dyDescent="0.2">
      <c r="A4815" s="146"/>
      <c r="D4815" s="496"/>
    </row>
    <row r="4816" spans="1:4" x14ac:dyDescent="0.2">
      <c r="A4816" s="146"/>
      <c r="D4816" s="496"/>
    </row>
    <row r="4817" spans="1:4" x14ac:dyDescent="0.2">
      <c r="A4817" s="146"/>
      <c r="D4817" s="496"/>
    </row>
    <row r="4818" spans="1:4" x14ac:dyDescent="0.2">
      <c r="A4818" s="146"/>
      <c r="D4818" s="496"/>
    </row>
    <row r="4819" spans="1:4" x14ac:dyDescent="0.2">
      <c r="A4819" s="146"/>
      <c r="D4819" s="496"/>
    </row>
    <row r="4820" spans="1:4" x14ac:dyDescent="0.2">
      <c r="A4820" s="146"/>
      <c r="D4820" s="496"/>
    </row>
    <row r="4821" spans="1:4" x14ac:dyDescent="0.2">
      <c r="A4821" s="146"/>
      <c r="D4821" s="496"/>
    </row>
    <row r="4822" spans="1:4" x14ac:dyDescent="0.2">
      <c r="A4822" s="146"/>
      <c r="D4822" s="496"/>
    </row>
    <row r="4823" spans="1:4" x14ac:dyDescent="0.2">
      <c r="A4823" s="146"/>
      <c r="D4823" s="496"/>
    </row>
    <row r="4824" spans="1:4" x14ac:dyDescent="0.2">
      <c r="A4824" s="146"/>
      <c r="D4824" s="496"/>
    </row>
    <row r="4825" spans="1:4" x14ac:dyDescent="0.2">
      <c r="A4825" s="146"/>
      <c r="D4825" s="496"/>
    </row>
    <row r="4826" spans="1:4" x14ac:dyDescent="0.2">
      <c r="A4826" s="146"/>
      <c r="D4826" s="496"/>
    </row>
    <row r="4827" spans="1:4" x14ac:dyDescent="0.2">
      <c r="A4827" s="146"/>
      <c r="D4827" s="496"/>
    </row>
    <row r="4828" spans="1:4" x14ac:dyDescent="0.2">
      <c r="A4828" s="146"/>
      <c r="D4828" s="496"/>
    </row>
    <row r="4829" spans="1:4" x14ac:dyDescent="0.2">
      <c r="A4829" s="146"/>
      <c r="D4829" s="496"/>
    </row>
    <row r="4830" spans="1:4" x14ac:dyDescent="0.2">
      <c r="A4830" s="146"/>
      <c r="D4830" s="496"/>
    </row>
    <row r="4831" spans="1:4" x14ac:dyDescent="0.2">
      <c r="A4831" s="146"/>
      <c r="D4831" s="496"/>
    </row>
    <row r="4832" spans="1:4" x14ac:dyDescent="0.2">
      <c r="A4832" s="146"/>
      <c r="D4832" s="496"/>
    </row>
    <row r="4833" spans="1:4" x14ac:dyDescent="0.2">
      <c r="A4833" s="146"/>
      <c r="D4833" s="496"/>
    </row>
    <row r="4834" spans="1:4" x14ac:dyDescent="0.2">
      <c r="A4834" s="146"/>
      <c r="D4834" s="496"/>
    </row>
    <row r="4835" spans="1:4" x14ac:dyDescent="0.2">
      <c r="A4835" s="146"/>
      <c r="D4835" s="496"/>
    </row>
    <row r="4836" spans="1:4" x14ac:dyDescent="0.2">
      <c r="A4836" s="146"/>
      <c r="D4836" s="496"/>
    </row>
    <row r="4837" spans="1:4" x14ac:dyDescent="0.2">
      <c r="A4837" s="146"/>
      <c r="D4837" s="496"/>
    </row>
    <row r="4838" spans="1:4" x14ac:dyDescent="0.2">
      <c r="A4838" s="146"/>
      <c r="D4838" s="496"/>
    </row>
    <row r="4839" spans="1:4" x14ac:dyDescent="0.2">
      <c r="A4839" s="146"/>
      <c r="D4839" s="496"/>
    </row>
    <row r="4840" spans="1:4" x14ac:dyDescent="0.2">
      <c r="A4840" s="146"/>
      <c r="D4840" s="496"/>
    </row>
    <row r="4841" spans="1:4" x14ac:dyDescent="0.2">
      <c r="A4841" s="146"/>
      <c r="D4841" s="496"/>
    </row>
    <row r="4842" spans="1:4" x14ac:dyDescent="0.2">
      <c r="A4842" s="146"/>
      <c r="D4842" s="496"/>
    </row>
    <row r="4843" spans="1:4" x14ac:dyDescent="0.2">
      <c r="A4843" s="146"/>
      <c r="D4843" s="496"/>
    </row>
    <row r="4844" spans="1:4" x14ac:dyDescent="0.2">
      <c r="A4844" s="146"/>
      <c r="D4844" s="496"/>
    </row>
    <row r="4845" spans="1:4" x14ac:dyDescent="0.2">
      <c r="A4845" s="146"/>
      <c r="D4845" s="496"/>
    </row>
    <row r="4846" spans="1:4" x14ac:dyDescent="0.2">
      <c r="A4846" s="146"/>
      <c r="D4846" s="496"/>
    </row>
    <row r="4847" spans="1:4" x14ac:dyDescent="0.2">
      <c r="A4847" s="146"/>
      <c r="D4847" s="496"/>
    </row>
    <row r="4848" spans="1:4" x14ac:dyDescent="0.2">
      <c r="A4848" s="146"/>
      <c r="D4848" s="496"/>
    </row>
    <row r="4849" spans="1:4" x14ac:dyDescent="0.2">
      <c r="A4849" s="146"/>
      <c r="D4849" s="496"/>
    </row>
    <row r="4850" spans="1:4" x14ac:dyDescent="0.2">
      <c r="A4850" s="146"/>
      <c r="D4850" s="496"/>
    </row>
    <row r="4851" spans="1:4" x14ac:dyDescent="0.2">
      <c r="A4851" s="146"/>
      <c r="D4851" s="496"/>
    </row>
    <row r="4852" spans="1:4" x14ac:dyDescent="0.2">
      <c r="A4852" s="146"/>
      <c r="D4852" s="496"/>
    </row>
    <row r="4853" spans="1:4" x14ac:dyDescent="0.2">
      <c r="A4853" s="146"/>
      <c r="D4853" s="496"/>
    </row>
    <row r="4854" spans="1:4" x14ac:dyDescent="0.2">
      <c r="A4854" s="146"/>
      <c r="D4854" s="496"/>
    </row>
    <row r="4855" spans="1:4" x14ac:dyDescent="0.2">
      <c r="A4855" s="146"/>
      <c r="D4855" s="496"/>
    </row>
    <row r="4856" spans="1:4" x14ac:dyDescent="0.2">
      <c r="A4856" s="146"/>
      <c r="D4856" s="496"/>
    </row>
    <row r="4857" spans="1:4" x14ac:dyDescent="0.2">
      <c r="A4857" s="146"/>
      <c r="D4857" s="496"/>
    </row>
    <row r="4858" spans="1:4" x14ac:dyDescent="0.2">
      <c r="A4858" s="146"/>
      <c r="D4858" s="496"/>
    </row>
    <row r="4859" spans="1:4" x14ac:dyDescent="0.2">
      <c r="A4859" s="146"/>
      <c r="D4859" s="496"/>
    </row>
    <row r="4860" spans="1:4" x14ac:dyDescent="0.2">
      <c r="A4860" s="146"/>
      <c r="D4860" s="496"/>
    </row>
    <row r="4861" spans="1:4" x14ac:dyDescent="0.2">
      <c r="A4861" s="146"/>
      <c r="D4861" s="496"/>
    </row>
    <row r="4862" spans="1:4" x14ac:dyDescent="0.2">
      <c r="A4862" s="146"/>
      <c r="D4862" s="496"/>
    </row>
    <row r="4863" spans="1:4" x14ac:dyDescent="0.2">
      <c r="A4863" s="146"/>
      <c r="D4863" s="496"/>
    </row>
    <row r="4864" spans="1:4" x14ac:dyDescent="0.2">
      <c r="A4864" s="146"/>
      <c r="D4864" s="496"/>
    </row>
    <row r="4865" spans="1:4" x14ac:dyDescent="0.2">
      <c r="A4865" s="146"/>
      <c r="D4865" s="496"/>
    </row>
    <row r="4866" spans="1:4" x14ac:dyDescent="0.2">
      <c r="A4866" s="146"/>
      <c r="D4866" s="496"/>
    </row>
    <row r="4867" spans="1:4" x14ac:dyDescent="0.2">
      <c r="A4867" s="146"/>
      <c r="D4867" s="496"/>
    </row>
    <row r="4868" spans="1:4" x14ac:dyDescent="0.2">
      <c r="A4868" s="146"/>
      <c r="D4868" s="496"/>
    </row>
    <row r="4869" spans="1:4" x14ac:dyDescent="0.2">
      <c r="A4869" s="146"/>
      <c r="D4869" s="496"/>
    </row>
    <row r="4870" spans="1:4" x14ac:dyDescent="0.2">
      <c r="A4870" s="146"/>
      <c r="D4870" s="496"/>
    </row>
    <row r="4871" spans="1:4" x14ac:dyDescent="0.2">
      <c r="A4871" s="146"/>
      <c r="D4871" s="496"/>
    </row>
    <row r="4872" spans="1:4" x14ac:dyDescent="0.2">
      <c r="A4872" s="146"/>
      <c r="D4872" s="496"/>
    </row>
    <row r="4873" spans="1:4" x14ac:dyDescent="0.2">
      <c r="A4873" s="146"/>
      <c r="D4873" s="496"/>
    </row>
    <row r="4874" spans="1:4" x14ac:dyDescent="0.2">
      <c r="A4874" s="146"/>
      <c r="D4874" s="496"/>
    </row>
    <row r="4875" spans="1:4" x14ac:dyDescent="0.2">
      <c r="A4875" s="146"/>
      <c r="D4875" s="496"/>
    </row>
    <row r="4876" spans="1:4" x14ac:dyDescent="0.2">
      <c r="A4876" s="146"/>
      <c r="D4876" s="496"/>
    </row>
    <row r="4877" spans="1:4" x14ac:dyDescent="0.2">
      <c r="A4877" s="146"/>
      <c r="D4877" s="496"/>
    </row>
    <row r="4878" spans="1:4" x14ac:dyDescent="0.2">
      <c r="A4878" s="146"/>
      <c r="D4878" s="496"/>
    </row>
    <row r="4879" spans="1:4" x14ac:dyDescent="0.2">
      <c r="A4879" s="146"/>
      <c r="D4879" s="496"/>
    </row>
    <row r="4880" spans="1:4" x14ac:dyDescent="0.2">
      <c r="A4880" s="146"/>
      <c r="D4880" s="496"/>
    </row>
    <row r="4881" spans="1:4" x14ac:dyDescent="0.2">
      <c r="A4881" s="146"/>
      <c r="D4881" s="496"/>
    </row>
    <row r="4882" spans="1:4" x14ac:dyDescent="0.2">
      <c r="A4882" s="146"/>
      <c r="D4882" s="496"/>
    </row>
    <row r="4883" spans="1:4" x14ac:dyDescent="0.2">
      <c r="A4883" s="146"/>
      <c r="D4883" s="496"/>
    </row>
    <row r="4884" spans="1:4" x14ac:dyDescent="0.2">
      <c r="A4884" s="146"/>
      <c r="D4884" s="496"/>
    </row>
    <row r="4885" spans="1:4" x14ac:dyDescent="0.2">
      <c r="A4885" s="146"/>
      <c r="D4885" s="496"/>
    </row>
    <row r="4886" spans="1:4" x14ac:dyDescent="0.2">
      <c r="A4886" s="146"/>
      <c r="D4886" s="496"/>
    </row>
    <row r="4887" spans="1:4" x14ac:dyDescent="0.2">
      <c r="A4887" s="146"/>
      <c r="D4887" s="496"/>
    </row>
    <row r="4888" spans="1:4" x14ac:dyDescent="0.2">
      <c r="A4888" s="146"/>
      <c r="D4888" s="496"/>
    </row>
    <row r="4889" spans="1:4" x14ac:dyDescent="0.2">
      <c r="A4889" s="146"/>
      <c r="D4889" s="496"/>
    </row>
    <row r="4890" spans="1:4" x14ac:dyDescent="0.2">
      <c r="A4890" s="146"/>
      <c r="D4890" s="496"/>
    </row>
    <row r="4891" spans="1:4" x14ac:dyDescent="0.2">
      <c r="A4891" s="146"/>
      <c r="D4891" s="496"/>
    </row>
    <row r="4892" spans="1:4" x14ac:dyDescent="0.2">
      <c r="A4892" s="146"/>
      <c r="D4892" s="496"/>
    </row>
    <row r="4893" spans="1:4" x14ac:dyDescent="0.2">
      <c r="A4893" s="146"/>
      <c r="D4893" s="496"/>
    </row>
    <row r="4894" spans="1:4" x14ac:dyDescent="0.2">
      <c r="A4894" s="146"/>
      <c r="D4894" s="496"/>
    </row>
    <row r="4895" spans="1:4" x14ac:dyDescent="0.2">
      <c r="A4895" s="146"/>
      <c r="D4895" s="496"/>
    </row>
    <row r="4896" spans="1:4" x14ac:dyDescent="0.2">
      <c r="A4896" s="146"/>
      <c r="D4896" s="496"/>
    </row>
    <row r="4897" spans="1:4" x14ac:dyDescent="0.2">
      <c r="A4897" s="146"/>
      <c r="D4897" s="496"/>
    </row>
    <row r="4898" spans="1:4" x14ac:dyDescent="0.2">
      <c r="A4898" s="146"/>
      <c r="D4898" s="496"/>
    </row>
    <row r="4899" spans="1:4" x14ac:dyDescent="0.2">
      <c r="A4899" s="146"/>
      <c r="D4899" s="496"/>
    </row>
    <row r="4900" spans="1:4" x14ac:dyDescent="0.2">
      <c r="A4900" s="146"/>
      <c r="D4900" s="496"/>
    </row>
    <row r="4901" spans="1:4" x14ac:dyDescent="0.2">
      <c r="A4901" s="146"/>
      <c r="D4901" s="496"/>
    </row>
    <row r="4902" spans="1:4" x14ac:dyDescent="0.2">
      <c r="A4902" s="146"/>
      <c r="D4902" s="496"/>
    </row>
    <row r="4903" spans="1:4" x14ac:dyDescent="0.2">
      <c r="A4903" s="146"/>
      <c r="D4903" s="496"/>
    </row>
    <row r="4904" spans="1:4" x14ac:dyDescent="0.2">
      <c r="A4904" s="146"/>
      <c r="D4904" s="496"/>
    </row>
    <row r="4905" spans="1:4" x14ac:dyDescent="0.2">
      <c r="A4905" s="146"/>
      <c r="D4905" s="496"/>
    </row>
    <row r="4906" spans="1:4" x14ac:dyDescent="0.2">
      <c r="A4906" s="146"/>
      <c r="D4906" s="496"/>
    </row>
    <row r="4907" spans="1:4" x14ac:dyDescent="0.2">
      <c r="A4907" s="146"/>
      <c r="D4907" s="496"/>
    </row>
    <row r="4908" spans="1:4" x14ac:dyDescent="0.2">
      <c r="A4908" s="146"/>
      <c r="D4908" s="496"/>
    </row>
    <row r="4909" spans="1:4" x14ac:dyDescent="0.2">
      <c r="A4909" s="146"/>
      <c r="D4909" s="496"/>
    </row>
    <row r="4910" spans="1:4" x14ac:dyDescent="0.2">
      <c r="A4910" s="146"/>
      <c r="D4910" s="496"/>
    </row>
    <row r="4911" spans="1:4" x14ac:dyDescent="0.2">
      <c r="A4911" s="146"/>
      <c r="D4911" s="496"/>
    </row>
    <row r="4912" spans="1:4" x14ac:dyDescent="0.2">
      <c r="A4912" s="146"/>
      <c r="D4912" s="496"/>
    </row>
    <row r="4913" spans="1:4" x14ac:dyDescent="0.2">
      <c r="A4913" s="146"/>
      <c r="D4913" s="496"/>
    </row>
    <row r="4914" spans="1:4" x14ac:dyDescent="0.2">
      <c r="A4914" s="146"/>
      <c r="D4914" s="496"/>
    </row>
    <row r="4915" spans="1:4" x14ac:dyDescent="0.2">
      <c r="A4915" s="146"/>
      <c r="D4915" s="496"/>
    </row>
    <row r="4916" spans="1:4" x14ac:dyDescent="0.2">
      <c r="A4916" s="146"/>
      <c r="D4916" s="496"/>
    </row>
    <row r="4917" spans="1:4" x14ac:dyDescent="0.2">
      <c r="A4917" s="146"/>
      <c r="D4917" s="496"/>
    </row>
    <row r="4918" spans="1:4" x14ac:dyDescent="0.2">
      <c r="A4918" s="146"/>
      <c r="D4918" s="496"/>
    </row>
    <row r="4919" spans="1:4" x14ac:dyDescent="0.2">
      <c r="A4919" s="146"/>
      <c r="D4919" s="496"/>
    </row>
    <row r="4920" spans="1:4" x14ac:dyDescent="0.2">
      <c r="A4920" s="146"/>
      <c r="D4920" s="496"/>
    </row>
    <row r="4921" spans="1:4" x14ac:dyDescent="0.2">
      <c r="A4921" s="146"/>
      <c r="D4921" s="496"/>
    </row>
    <row r="4922" spans="1:4" x14ac:dyDescent="0.2">
      <c r="A4922" s="146"/>
      <c r="D4922" s="496"/>
    </row>
    <row r="4923" spans="1:4" x14ac:dyDescent="0.2">
      <c r="A4923" s="146"/>
      <c r="D4923" s="496"/>
    </row>
    <row r="4924" spans="1:4" x14ac:dyDescent="0.2">
      <c r="A4924" s="146"/>
      <c r="D4924" s="496"/>
    </row>
    <row r="4925" spans="1:4" x14ac:dyDescent="0.2">
      <c r="A4925" s="146"/>
      <c r="D4925" s="496"/>
    </row>
    <row r="4926" spans="1:4" x14ac:dyDescent="0.2">
      <c r="A4926" s="146"/>
      <c r="D4926" s="496"/>
    </row>
    <row r="4927" spans="1:4" x14ac:dyDescent="0.2">
      <c r="A4927" s="146"/>
      <c r="D4927" s="496"/>
    </row>
    <row r="4928" spans="1:4" x14ac:dyDescent="0.2">
      <c r="A4928" s="146"/>
      <c r="D4928" s="496"/>
    </row>
    <row r="4929" spans="1:4" x14ac:dyDescent="0.2">
      <c r="A4929" s="146"/>
      <c r="D4929" s="496"/>
    </row>
    <row r="4930" spans="1:4" x14ac:dyDescent="0.2">
      <c r="A4930" s="146"/>
      <c r="D4930" s="496"/>
    </row>
    <row r="4931" spans="1:4" x14ac:dyDescent="0.2">
      <c r="A4931" s="146"/>
      <c r="D4931" s="496"/>
    </row>
    <row r="4932" spans="1:4" x14ac:dyDescent="0.2">
      <c r="A4932" s="146"/>
      <c r="D4932" s="496"/>
    </row>
    <row r="4933" spans="1:4" x14ac:dyDescent="0.2">
      <c r="A4933" s="146"/>
      <c r="D4933" s="496"/>
    </row>
    <row r="4934" spans="1:4" x14ac:dyDescent="0.2">
      <c r="A4934" s="146"/>
      <c r="D4934" s="496"/>
    </row>
    <row r="4935" spans="1:4" x14ac:dyDescent="0.2">
      <c r="A4935" s="146"/>
      <c r="D4935" s="496"/>
    </row>
    <row r="4936" spans="1:4" x14ac:dyDescent="0.2">
      <c r="A4936" s="146"/>
      <c r="D4936" s="496"/>
    </row>
    <row r="4937" spans="1:4" x14ac:dyDescent="0.2">
      <c r="A4937" s="146"/>
      <c r="D4937" s="496"/>
    </row>
    <row r="4938" spans="1:4" x14ac:dyDescent="0.2">
      <c r="A4938" s="146"/>
      <c r="D4938" s="496"/>
    </row>
    <row r="4939" spans="1:4" x14ac:dyDescent="0.2">
      <c r="A4939" s="146"/>
      <c r="D4939" s="496"/>
    </row>
    <row r="4940" spans="1:4" x14ac:dyDescent="0.2">
      <c r="A4940" s="146"/>
      <c r="D4940" s="496"/>
    </row>
    <row r="4941" spans="1:4" x14ac:dyDescent="0.2">
      <c r="A4941" s="146"/>
      <c r="D4941" s="496"/>
    </row>
    <row r="4942" spans="1:4" x14ac:dyDescent="0.2">
      <c r="A4942" s="146"/>
      <c r="D4942" s="496"/>
    </row>
    <row r="4943" spans="1:4" x14ac:dyDescent="0.2">
      <c r="A4943" s="146"/>
      <c r="D4943" s="496"/>
    </row>
    <row r="4944" spans="1:4" x14ac:dyDescent="0.2">
      <c r="A4944" s="146"/>
      <c r="D4944" s="496"/>
    </row>
    <row r="4945" spans="1:4" x14ac:dyDescent="0.2">
      <c r="A4945" s="146"/>
      <c r="D4945" s="496"/>
    </row>
    <row r="4946" spans="1:4" x14ac:dyDescent="0.2">
      <c r="A4946" s="146"/>
      <c r="D4946" s="496"/>
    </row>
    <row r="4947" spans="1:4" x14ac:dyDescent="0.2">
      <c r="A4947" s="146"/>
      <c r="D4947" s="496"/>
    </row>
    <row r="4948" spans="1:4" x14ac:dyDescent="0.2">
      <c r="A4948" s="146"/>
      <c r="D4948" s="496"/>
    </row>
    <row r="4949" spans="1:4" x14ac:dyDescent="0.2">
      <c r="A4949" s="146"/>
      <c r="D4949" s="496"/>
    </row>
    <row r="4950" spans="1:4" x14ac:dyDescent="0.2">
      <c r="A4950" s="146"/>
      <c r="D4950" s="496"/>
    </row>
    <row r="4951" spans="1:4" x14ac:dyDescent="0.2">
      <c r="A4951" s="146"/>
      <c r="D4951" s="496"/>
    </row>
    <row r="4952" spans="1:4" x14ac:dyDescent="0.2">
      <c r="A4952" s="146"/>
      <c r="D4952" s="496"/>
    </row>
    <row r="4953" spans="1:4" x14ac:dyDescent="0.2">
      <c r="A4953" s="146"/>
      <c r="D4953" s="496"/>
    </row>
    <row r="4954" spans="1:4" x14ac:dyDescent="0.2">
      <c r="A4954" s="146"/>
      <c r="D4954" s="496"/>
    </row>
    <row r="4955" spans="1:4" x14ac:dyDescent="0.2">
      <c r="A4955" s="146"/>
      <c r="D4955" s="496"/>
    </row>
    <row r="4956" spans="1:4" x14ac:dyDescent="0.2">
      <c r="A4956" s="146"/>
      <c r="D4956" s="496"/>
    </row>
    <row r="4957" spans="1:4" x14ac:dyDescent="0.2">
      <c r="A4957" s="146"/>
      <c r="D4957" s="496"/>
    </row>
    <row r="4958" spans="1:4" x14ac:dyDescent="0.2">
      <c r="A4958" s="146"/>
      <c r="D4958" s="496"/>
    </row>
    <row r="4959" spans="1:4" x14ac:dyDescent="0.2">
      <c r="A4959" s="146"/>
      <c r="D4959" s="496"/>
    </row>
    <row r="4960" spans="1:4" x14ac:dyDescent="0.2">
      <c r="A4960" s="146"/>
      <c r="D4960" s="496"/>
    </row>
    <row r="4961" spans="1:4" x14ac:dyDescent="0.2">
      <c r="A4961" s="146"/>
      <c r="D4961" s="496"/>
    </row>
    <row r="4962" spans="1:4" x14ac:dyDescent="0.2">
      <c r="A4962" s="146"/>
      <c r="D4962" s="496"/>
    </row>
    <row r="4963" spans="1:4" x14ac:dyDescent="0.2">
      <c r="A4963" s="146"/>
      <c r="D4963" s="496"/>
    </row>
    <row r="4964" spans="1:4" x14ac:dyDescent="0.2">
      <c r="A4964" s="146"/>
      <c r="D4964" s="496"/>
    </row>
    <row r="4965" spans="1:4" x14ac:dyDescent="0.2">
      <c r="A4965" s="146"/>
      <c r="D4965" s="496"/>
    </row>
    <row r="4966" spans="1:4" x14ac:dyDescent="0.2">
      <c r="A4966" s="146"/>
      <c r="D4966" s="496"/>
    </row>
    <row r="4967" spans="1:4" x14ac:dyDescent="0.2">
      <c r="A4967" s="146"/>
      <c r="D4967" s="496"/>
    </row>
    <row r="4968" spans="1:4" x14ac:dyDescent="0.2">
      <c r="A4968" s="146"/>
      <c r="D4968" s="496"/>
    </row>
    <row r="4969" spans="1:4" x14ac:dyDescent="0.2">
      <c r="A4969" s="146"/>
      <c r="D4969" s="496"/>
    </row>
    <row r="4970" spans="1:4" x14ac:dyDescent="0.2">
      <c r="A4970" s="146"/>
      <c r="D4970" s="496"/>
    </row>
    <row r="4971" spans="1:4" x14ac:dyDescent="0.2">
      <c r="A4971" s="146"/>
      <c r="D4971" s="496"/>
    </row>
    <row r="4972" spans="1:4" x14ac:dyDescent="0.2">
      <c r="A4972" s="146"/>
      <c r="D4972" s="496"/>
    </row>
    <row r="4973" spans="1:4" x14ac:dyDescent="0.2">
      <c r="A4973" s="146"/>
      <c r="D4973" s="496"/>
    </row>
    <row r="4974" spans="1:4" x14ac:dyDescent="0.2">
      <c r="A4974" s="146"/>
      <c r="D4974" s="496"/>
    </row>
    <row r="4975" spans="1:4" x14ac:dyDescent="0.2">
      <c r="A4975" s="146"/>
      <c r="D4975" s="496"/>
    </row>
    <row r="4976" spans="1:4" x14ac:dyDescent="0.2">
      <c r="A4976" s="146"/>
      <c r="D4976" s="496"/>
    </row>
    <row r="4977" spans="1:4" x14ac:dyDescent="0.2">
      <c r="A4977" s="146"/>
      <c r="D4977" s="496"/>
    </row>
    <row r="4978" spans="1:4" x14ac:dyDescent="0.2">
      <c r="A4978" s="146"/>
      <c r="D4978" s="496"/>
    </row>
    <row r="4979" spans="1:4" x14ac:dyDescent="0.2">
      <c r="A4979" s="146"/>
      <c r="D4979" s="496"/>
    </row>
    <row r="4980" spans="1:4" x14ac:dyDescent="0.2">
      <c r="A4980" s="146"/>
      <c r="D4980" s="496"/>
    </row>
    <row r="4981" spans="1:4" x14ac:dyDescent="0.2">
      <c r="A4981" s="146"/>
      <c r="D4981" s="496"/>
    </row>
    <row r="4982" spans="1:4" x14ac:dyDescent="0.2">
      <c r="A4982" s="146"/>
      <c r="D4982" s="496"/>
    </row>
    <row r="4983" spans="1:4" x14ac:dyDescent="0.2">
      <c r="A4983" s="146"/>
      <c r="D4983" s="496"/>
    </row>
    <row r="4984" spans="1:4" x14ac:dyDescent="0.2">
      <c r="A4984" s="146"/>
      <c r="D4984" s="496"/>
    </row>
    <row r="4985" spans="1:4" x14ac:dyDescent="0.2">
      <c r="A4985" s="146"/>
      <c r="D4985" s="496"/>
    </row>
    <row r="4986" spans="1:4" x14ac:dyDescent="0.2">
      <c r="A4986" s="146"/>
      <c r="D4986" s="496"/>
    </row>
    <row r="4987" spans="1:4" x14ac:dyDescent="0.2">
      <c r="A4987" s="146"/>
      <c r="D4987" s="496"/>
    </row>
    <row r="4988" spans="1:4" x14ac:dyDescent="0.2">
      <c r="A4988" s="146"/>
      <c r="D4988" s="496"/>
    </row>
    <row r="4989" spans="1:4" x14ac:dyDescent="0.2">
      <c r="A4989" s="146"/>
      <c r="D4989" s="496"/>
    </row>
    <row r="4990" spans="1:4" x14ac:dyDescent="0.2">
      <c r="A4990" s="146"/>
      <c r="D4990" s="496"/>
    </row>
    <row r="4991" spans="1:4" x14ac:dyDescent="0.2">
      <c r="A4991" s="146"/>
      <c r="D4991" s="496"/>
    </row>
    <row r="4992" spans="1:4" x14ac:dyDescent="0.2">
      <c r="A4992" s="146"/>
      <c r="D4992" s="496"/>
    </row>
    <row r="4993" spans="1:4" x14ac:dyDescent="0.2">
      <c r="A4993" s="146"/>
      <c r="D4993" s="496"/>
    </row>
    <row r="4994" spans="1:4" x14ac:dyDescent="0.2">
      <c r="A4994" s="146"/>
      <c r="D4994" s="496"/>
    </row>
    <row r="4995" spans="1:4" x14ac:dyDescent="0.2">
      <c r="A4995" s="146"/>
      <c r="D4995" s="496"/>
    </row>
    <row r="4996" spans="1:4" x14ac:dyDescent="0.2">
      <c r="A4996" s="146"/>
      <c r="D4996" s="496"/>
    </row>
    <row r="4997" spans="1:4" x14ac:dyDescent="0.2">
      <c r="A4997" s="146"/>
      <c r="D4997" s="496"/>
    </row>
    <row r="4998" spans="1:4" x14ac:dyDescent="0.2">
      <c r="A4998" s="146"/>
      <c r="D4998" s="496"/>
    </row>
    <row r="4999" spans="1:4" x14ac:dyDescent="0.2">
      <c r="A4999" s="146"/>
      <c r="D4999" s="496"/>
    </row>
    <row r="5000" spans="1:4" x14ac:dyDescent="0.2">
      <c r="A5000" s="146"/>
      <c r="D5000" s="496"/>
    </row>
    <row r="5001" spans="1:4" x14ac:dyDescent="0.2">
      <c r="A5001" s="146"/>
      <c r="D5001" s="496"/>
    </row>
    <row r="5002" spans="1:4" x14ac:dyDescent="0.2">
      <c r="A5002" s="146"/>
      <c r="D5002" s="496"/>
    </row>
    <row r="5003" spans="1:4" x14ac:dyDescent="0.2">
      <c r="A5003" s="146"/>
      <c r="D5003" s="496"/>
    </row>
    <row r="5004" spans="1:4" x14ac:dyDescent="0.2">
      <c r="A5004" s="146"/>
      <c r="D5004" s="496"/>
    </row>
    <row r="5005" spans="1:4" x14ac:dyDescent="0.2">
      <c r="A5005" s="146"/>
      <c r="D5005" s="496"/>
    </row>
    <row r="5006" spans="1:4" x14ac:dyDescent="0.2">
      <c r="A5006" s="146"/>
      <c r="D5006" s="496"/>
    </row>
    <row r="5007" spans="1:4" x14ac:dyDescent="0.2">
      <c r="A5007" s="146"/>
      <c r="D5007" s="496"/>
    </row>
    <row r="5008" spans="1:4" x14ac:dyDescent="0.2">
      <c r="A5008" s="146"/>
      <c r="D5008" s="496"/>
    </row>
    <row r="5009" spans="1:4" x14ac:dyDescent="0.2">
      <c r="A5009" s="146"/>
      <c r="D5009" s="496"/>
    </row>
    <row r="5010" spans="1:4" x14ac:dyDescent="0.2">
      <c r="A5010" s="146"/>
      <c r="D5010" s="496"/>
    </row>
    <row r="5011" spans="1:4" x14ac:dyDescent="0.2">
      <c r="A5011" s="146"/>
      <c r="D5011" s="496"/>
    </row>
    <row r="5012" spans="1:4" x14ac:dyDescent="0.2">
      <c r="A5012" s="146"/>
      <c r="D5012" s="496"/>
    </row>
    <row r="5013" spans="1:4" x14ac:dyDescent="0.2">
      <c r="A5013" s="146"/>
      <c r="D5013" s="496"/>
    </row>
    <row r="5014" spans="1:4" x14ac:dyDescent="0.2">
      <c r="A5014" s="146"/>
      <c r="D5014" s="496"/>
    </row>
    <row r="5015" spans="1:4" x14ac:dyDescent="0.2">
      <c r="A5015" s="146"/>
      <c r="D5015" s="496"/>
    </row>
    <row r="5016" spans="1:4" x14ac:dyDescent="0.2">
      <c r="A5016" s="146"/>
      <c r="D5016" s="496"/>
    </row>
    <row r="5017" spans="1:4" x14ac:dyDescent="0.2">
      <c r="A5017" s="146"/>
      <c r="D5017" s="496"/>
    </row>
    <row r="5018" spans="1:4" x14ac:dyDescent="0.2">
      <c r="A5018" s="146"/>
      <c r="D5018" s="496"/>
    </row>
    <row r="5019" spans="1:4" x14ac:dyDescent="0.2">
      <c r="A5019" s="146"/>
      <c r="D5019" s="496"/>
    </row>
    <row r="5020" spans="1:4" x14ac:dyDescent="0.2">
      <c r="A5020" s="146"/>
      <c r="D5020" s="496"/>
    </row>
    <row r="5021" spans="1:4" x14ac:dyDescent="0.2">
      <c r="A5021" s="146"/>
      <c r="D5021" s="496"/>
    </row>
    <row r="5022" spans="1:4" x14ac:dyDescent="0.2">
      <c r="A5022" s="146"/>
      <c r="D5022" s="496"/>
    </row>
    <row r="5023" spans="1:4" x14ac:dyDescent="0.2">
      <c r="A5023" s="146"/>
      <c r="D5023" s="496"/>
    </row>
    <row r="5024" spans="1:4" x14ac:dyDescent="0.2">
      <c r="A5024" s="146"/>
      <c r="D5024" s="496"/>
    </row>
    <row r="5025" spans="1:4" x14ac:dyDescent="0.2">
      <c r="A5025" s="146"/>
      <c r="D5025" s="496"/>
    </row>
    <row r="5026" spans="1:4" x14ac:dyDescent="0.2">
      <c r="A5026" s="146"/>
      <c r="D5026" s="496"/>
    </row>
    <row r="5027" spans="1:4" x14ac:dyDescent="0.2">
      <c r="A5027" s="146"/>
      <c r="D5027" s="496"/>
    </row>
    <row r="5028" spans="1:4" x14ac:dyDescent="0.2">
      <c r="A5028" s="146"/>
      <c r="D5028" s="496"/>
    </row>
    <row r="5029" spans="1:4" x14ac:dyDescent="0.2">
      <c r="A5029" s="146"/>
      <c r="D5029" s="496"/>
    </row>
    <row r="5030" spans="1:4" x14ac:dyDescent="0.2">
      <c r="A5030" s="146"/>
      <c r="D5030" s="496"/>
    </row>
    <row r="5031" spans="1:4" x14ac:dyDescent="0.2">
      <c r="A5031" s="146"/>
      <c r="D5031" s="496"/>
    </row>
    <row r="5032" spans="1:4" x14ac:dyDescent="0.2">
      <c r="A5032" s="146"/>
      <c r="D5032" s="496"/>
    </row>
    <row r="5033" spans="1:4" x14ac:dyDescent="0.2">
      <c r="A5033" s="146"/>
      <c r="D5033" s="496"/>
    </row>
    <row r="5034" spans="1:4" x14ac:dyDescent="0.2">
      <c r="A5034" s="146"/>
      <c r="D5034" s="496"/>
    </row>
    <row r="5035" spans="1:4" x14ac:dyDescent="0.2">
      <c r="A5035" s="146"/>
      <c r="D5035" s="496"/>
    </row>
    <row r="5036" spans="1:4" x14ac:dyDescent="0.2">
      <c r="A5036" s="146"/>
      <c r="D5036" s="496"/>
    </row>
    <row r="5037" spans="1:4" x14ac:dyDescent="0.2">
      <c r="A5037" s="146"/>
      <c r="D5037" s="496"/>
    </row>
    <row r="5038" spans="1:4" x14ac:dyDescent="0.2">
      <c r="A5038" s="146"/>
      <c r="D5038" s="496"/>
    </row>
    <row r="5039" spans="1:4" x14ac:dyDescent="0.2">
      <c r="A5039" s="146"/>
      <c r="D5039" s="496"/>
    </row>
    <row r="5040" spans="1:4" x14ac:dyDescent="0.2">
      <c r="A5040" s="146"/>
      <c r="D5040" s="496"/>
    </row>
    <row r="5041" spans="1:4" x14ac:dyDescent="0.2">
      <c r="A5041" s="146"/>
      <c r="D5041" s="496"/>
    </row>
    <row r="5042" spans="1:4" x14ac:dyDescent="0.2">
      <c r="A5042" s="146"/>
      <c r="D5042" s="496"/>
    </row>
    <row r="5043" spans="1:4" x14ac:dyDescent="0.2">
      <c r="A5043" s="146"/>
      <c r="D5043" s="496"/>
    </row>
    <row r="5044" spans="1:4" x14ac:dyDescent="0.2">
      <c r="A5044" s="146"/>
      <c r="D5044" s="496"/>
    </row>
    <row r="5045" spans="1:4" x14ac:dyDescent="0.2">
      <c r="A5045" s="146"/>
      <c r="D5045" s="496"/>
    </row>
    <row r="5046" spans="1:4" x14ac:dyDescent="0.2">
      <c r="A5046" s="146"/>
      <c r="D5046" s="496"/>
    </row>
    <row r="5047" spans="1:4" x14ac:dyDescent="0.2">
      <c r="A5047" s="146"/>
      <c r="D5047" s="496"/>
    </row>
    <row r="5048" spans="1:4" x14ac:dyDescent="0.2">
      <c r="A5048" s="146"/>
      <c r="D5048" s="496"/>
    </row>
    <row r="5049" spans="1:4" x14ac:dyDescent="0.2">
      <c r="A5049" s="146"/>
      <c r="D5049" s="496"/>
    </row>
    <row r="5050" spans="1:4" x14ac:dyDescent="0.2">
      <c r="A5050" s="146"/>
      <c r="D5050" s="496"/>
    </row>
    <row r="5051" spans="1:4" x14ac:dyDescent="0.2">
      <c r="A5051" s="146"/>
      <c r="D5051" s="496"/>
    </row>
    <row r="5052" spans="1:4" x14ac:dyDescent="0.2">
      <c r="A5052" s="146"/>
      <c r="D5052" s="496"/>
    </row>
    <row r="5053" spans="1:4" x14ac:dyDescent="0.2">
      <c r="A5053" s="146"/>
      <c r="D5053" s="496"/>
    </row>
    <row r="5054" spans="1:4" x14ac:dyDescent="0.2">
      <c r="A5054" s="146"/>
      <c r="D5054" s="496"/>
    </row>
    <row r="5055" spans="1:4" x14ac:dyDescent="0.2">
      <c r="A5055" s="146"/>
      <c r="D5055" s="496"/>
    </row>
    <row r="5056" spans="1:4" x14ac:dyDescent="0.2">
      <c r="A5056" s="146"/>
      <c r="D5056" s="496"/>
    </row>
    <row r="5057" spans="1:4" x14ac:dyDescent="0.2">
      <c r="A5057" s="146"/>
      <c r="D5057" s="496"/>
    </row>
    <row r="5058" spans="1:4" x14ac:dyDescent="0.2">
      <c r="A5058" s="146"/>
      <c r="D5058" s="496"/>
    </row>
    <row r="5059" spans="1:4" x14ac:dyDescent="0.2">
      <c r="A5059" s="146"/>
      <c r="D5059" s="496"/>
    </row>
    <row r="5060" spans="1:4" x14ac:dyDescent="0.2">
      <c r="A5060" s="146"/>
      <c r="D5060" s="496"/>
    </row>
    <row r="5061" spans="1:4" x14ac:dyDescent="0.2">
      <c r="A5061" s="146"/>
      <c r="D5061" s="496"/>
    </row>
    <row r="5062" spans="1:4" x14ac:dyDescent="0.2">
      <c r="A5062" s="146"/>
      <c r="D5062" s="496"/>
    </row>
    <row r="5063" spans="1:4" x14ac:dyDescent="0.2">
      <c r="A5063" s="146"/>
      <c r="D5063" s="496"/>
    </row>
    <row r="5064" spans="1:4" x14ac:dyDescent="0.2">
      <c r="A5064" s="146"/>
      <c r="D5064" s="496"/>
    </row>
    <row r="5065" spans="1:4" x14ac:dyDescent="0.2">
      <c r="A5065" s="146"/>
      <c r="D5065" s="496"/>
    </row>
    <row r="5066" spans="1:4" x14ac:dyDescent="0.2">
      <c r="A5066" s="146"/>
      <c r="D5066" s="496"/>
    </row>
    <row r="5067" spans="1:4" x14ac:dyDescent="0.2">
      <c r="A5067" s="146"/>
      <c r="D5067" s="496"/>
    </row>
    <row r="5068" spans="1:4" x14ac:dyDescent="0.2">
      <c r="A5068" s="146"/>
      <c r="D5068" s="496"/>
    </row>
    <row r="5069" spans="1:4" x14ac:dyDescent="0.2">
      <c r="A5069" s="146"/>
      <c r="D5069" s="496"/>
    </row>
    <row r="5070" spans="1:4" x14ac:dyDescent="0.2">
      <c r="A5070" s="146"/>
      <c r="D5070" s="496"/>
    </row>
    <row r="5071" spans="1:4" x14ac:dyDescent="0.2">
      <c r="A5071" s="146"/>
      <c r="D5071" s="496"/>
    </row>
    <row r="5072" spans="1:4" x14ac:dyDescent="0.2">
      <c r="A5072" s="146"/>
      <c r="D5072" s="496"/>
    </row>
    <row r="5073" spans="1:4" x14ac:dyDescent="0.2">
      <c r="A5073" s="146"/>
      <c r="D5073" s="496"/>
    </row>
    <row r="5074" spans="1:4" x14ac:dyDescent="0.2">
      <c r="A5074" s="146"/>
      <c r="D5074" s="496"/>
    </row>
    <row r="5075" spans="1:4" x14ac:dyDescent="0.2">
      <c r="A5075" s="146"/>
      <c r="D5075" s="496"/>
    </row>
    <row r="5076" spans="1:4" x14ac:dyDescent="0.2">
      <c r="A5076" s="146"/>
      <c r="D5076" s="496"/>
    </row>
    <row r="5077" spans="1:4" x14ac:dyDescent="0.2">
      <c r="A5077" s="146"/>
      <c r="D5077" s="496"/>
    </row>
    <row r="5078" spans="1:4" x14ac:dyDescent="0.2">
      <c r="A5078" s="146"/>
      <c r="D5078" s="496"/>
    </row>
    <row r="5079" spans="1:4" x14ac:dyDescent="0.2">
      <c r="A5079" s="146"/>
      <c r="D5079" s="496"/>
    </row>
    <row r="5080" spans="1:4" x14ac:dyDescent="0.2">
      <c r="A5080" s="146"/>
      <c r="D5080" s="496"/>
    </row>
    <row r="5081" spans="1:4" x14ac:dyDescent="0.2">
      <c r="A5081" s="146"/>
      <c r="D5081" s="496"/>
    </row>
    <row r="5082" spans="1:4" x14ac:dyDescent="0.2">
      <c r="A5082" s="146"/>
      <c r="D5082" s="496"/>
    </row>
    <row r="5083" spans="1:4" x14ac:dyDescent="0.2">
      <c r="A5083" s="146"/>
      <c r="D5083" s="496"/>
    </row>
    <row r="5084" spans="1:4" x14ac:dyDescent="0.2">
      <c r="A5084" s="146"/>
      <c r="D5084" s="496"/>
    </row>
    <row r="5085" spans="1:4" x14ac:dyDescent="0.2">
      <c r="A5085" s="146"/>
      <c r="D5085" s="496"/>
    </row>
    <row r="5086" spans="1:4" x14ac:dyDescent="0.2">
      <c r="A5086" s="146"/>
      <c r="D5086" s="496"/>
    </row>
    <row r="5087" spans="1:4" x14ac:dyDescent="0.2">
      <c r="A5087" s="146"/>
      <c r="D5087" s="496"/>
    </row>
    <row r="5088" spans="1:4" x14ac:dyDescent="0.2">
      <c r="A5088" s="146"/>
      <c r="D5088" s="496"/>
    </row>
    <row r="5089" spans="1:4" x14ac:dyDescent="0.2">
      <c r="A5089" s="146"/>
      <c r="D5089" s="496"/>
    </row>
    <row r="5090" spans="1:4" x14ac:dyDescent="0.2">
      <c r="A5090" s="146"/>
      <c r="D5090" s="496"/>
    </row>
    <row r="5091" spans="1:4" x14ac:dyDescent="0.2">
      <c r="A5091" s="146"/>
      <c r="D5091" s="496"/>
    </row>
    <row r="5092" spans="1:4" x14ac:dyDescent="0.2">
      <c r="A5092" s="146"/>
      <c r="D5092" s="496"/>
    </row>
    <row r="5093" spans="1:4" x14ac:dyDescent="0.2">
      <c r="A5093" s="146"/>
      <c r="D5093" s="496"/>
    </row>
    <row r="5094" spans="1:4" x14ac:dyDescent="0.2">
      <c r="A5094" s="146"/>
      <c r="D5094" s="496"/>
    </row>
    <row r="5095" spans="1:4" x14ac:dyDescent="0.2">
      <c r="A5095" s="146"/>
      <c r="D5095" s="496"/>
    </row>
    <row r="5096" spans="1:4" x14ac:dyDescent="0.2">
      <c r="A5096" s="146"/>
      <c r="D5096" s="496"/>
    </row>
    <row r="5097" spans="1:4" x14ac:dyDescent="0.2">
      <c r="A5097" s="146"/>
      <c r="D5097" s="496"/>
    </row>
    <row r="5098" spans="1:4" x14ac:dyDescent="0.2">
      <c r="A5098" s="146"/>
      <c r="D5098" s="496"/>
    </row>
    <row r="5099" spans="1:4" x14ac:dyDescent="0.2">
      <c r="A5099" s="146"/>
      <c r="D5099" s="496"/>
    </row>
    <row r="5100" spans="1:4" x14ac:dyDescent="0.2">
      <c r="A5100" s="146"/>
      <c r="D5100" s="496"/>
    </row>
    <row r="5101" spans="1:4" x14ac:dyDescent="0.2">
      <c r="A5101" s="146"/>
      <c r="D5101" s="496"/>
    </row>
    <row r="5102" spans="1:4" x14ac:dyDescent="0.2">
      <c r="A5102" s="146"/>
      <c r="D5102" s="496"/>
    </row>
    <row r="5103" spans="1:4" x14ac:dyDescent="0.2">
      <c r="A5103" s="146"/>
      <c r="D5103" s="496"/>
    </row>
    <row r="5104" spans="1:4" x14ac:dyDescent="0.2">
      <c r="A5104" s="146"/>
      <c r="D5104" s="496"/>
    </row>
    <row r="5105" spans="1:4" x14ac:dyDescent="0.2">
      <c r="A5105" s="146"/>
      <c r="D5105" s="496"/>
    </row>
    <row r="5106" spans="1:4" x14ac:dyDescent="0.2">
      <c r="A5106" s="146"/>
      <c r="D5106" s="496"/>
    </row>
    <row r="5107" spans="1:4" x14ac:dyDescent="0.2">
      <c r="A5107" s="146"/>
      <c r="D5107" s="496"/>
    </row>
    <row r="5108" spans="1:4" x14ac:dyDescent="0.2">
      <c r="A5108" s="146"/>
      <c r="D5108" s="496"/>
    </row>
    <row r="5109" spans="1:4" x14ac:dyDescent="0.2">
      <c r="A5109" s="146"/>
      <c r="D5109" s="496"/>
    </row>
    <row r="5110" spans="1:4" x14ac:dyDescent="0.2">
      <c r="A5110" s="146"/>
      <c r="D5110" s="496"/>
    </row>
    <row r="5111" spans="1:4" x14ac:dyDescent="0.2">
      <c r="A5111" s="146"/>
      <c r="D5111" s="496"/>
    </row>
    <row r="5112" spans="1:4" x14ac:dyDescent="0.2">
      <c r="A5112" s="146"/>
      <c r="D5112" s="496"/>
    </row>
    <row r="5113" spans="1:4" x14ac:dyDescent="0.2">
      <c r="A5113" s="146"/>
      <c r="D5113" s="496"/>
    </row>
    <row r="5114" spans="1:4" x14ac:dyDescent="0.2">
      <c r="A5114" s="146"/>
      <c r="D5114" s="496"/>
    </row>
    <row r="5115" spans="1:4" x14ac:dyDescent="0.2">
      <c r="A5115" s="146"/>
      <c r="D5115" s="496"/>
    </row>
    <row r="5116" spans="1:4" x14ac:dyDescent="0.2">
      <c r="A5116" s="146"/>
      <c r="D5116" s="496"/>
    </row>
    <row r="5117" spans="1:4" x14ac:dyDescent="0.2">
      <c r="A5117" s="146"/>
      <c r="D5117" s="496"/>
    </row>
    <row r="5118" spans="1:4" x14ac:dyDescent="0.2">
      <c r="A5118" s="146"/>
      <c r="D5118" s="496"/>
    </row>
    <row r="5119" spans="1:4" x14ac:dyDescent="0.2">
      <c r="A5119" s="146"/>
      <c r="D5119" s="496"/>
    </row>
    <row r="5120" spans="1:4" x14ac:dyDescent="0.2">
      <c r="A5120" s="146"/>
      <c r="D5120" s="496"/>
    </row>
    <row r="5121" spans="1:4" x14ac:dyDescent="0.2">
      <c r="A5121" s="146"/>
      <c r="D5121" s="496"/>
    </row>
    <row r="5122" spans="1:4" x14ac:dyDescent="0.2">
      <c r="A5122" s="146"/>
      <c r="D5122" s="496"/>
    </row>
    <row r="5123" spans="1:4" x14ac:dyDescent="0.2">
      <c r="A5123" s="146"/>
      <c r="D5123" s="496"/>
    </row>
    <row r="5124" spans="1:4" x14ac:dyDescent="0.2">
      <c r="A5124" s="146"/>
      <c r="D5124" s="496"/>
    </row>
    <row r="5125" spans="1:4" x14ac:dyDescent="0.2">
      <c r="A5125" s="146"/>
      <c r="D5125" s="496"/>
    </row>
    <row r="5126" spans="1:4" x14ac:dyDescent="0.2">
      <c r="A5126" s="146"/>
      <c r="D5126" s="496"/>
    </row>
    <row r="5127" spans="1:4" x14ac:dyDescent="0.2">
      <c r="A5127" s="146"/>
      <c r="D5127" s="496"/>
    </row>
    <row r="5128" spans="1:4" x14ac:dyDescent="0.2">
      <c r="A5128" s="146"/>
      <c r="D5128" s="496"/>
    </row>
    <row r="5129" spans="1:4" x14ac:dyDescent="0.2">
      <c r="A5129" s="146"/>
      <c r="D5129" s="496"/>
    </row>
    <row r="5130" spans="1:4" x14ac:dyDescent="0.2">
      <c r="A5130" s="146"/>
      <c r="D5130" s="496"/>
    </row>
    <row r="5131" spans="1:4" x14ac:dyDescent="0.2">
      <c r="A5131" s="146"/>
      <c r="D5131" s="496"/>
    </row>
    <row r="5132" spans="1:4" x14ac:dyDescent="0.2">
      <c r="A5132" s="146"/>
      <c r="D5132" s="496"/>
    </row>
    <row r="5133" spans="1:4" x14ac:dyDescent="0.2">
      <c r="A5133" s="146"/>
      <c r="D5133" s="496"/>
    </row>
    <row r="5134" spans="1:4" x14ac:dyDescent="0.2">
      <c r="A5134" s="146"/>
      <c r="D5134" s="496"/>
    </row>
    <row r="5135" spans="1:4" x14ac:dyDescent="0.2">
      <c r="A5135" s="146"/>
      <c r="D5135" s="496"/>
    </row>
    <row r="5136" spans="1:4" x14ac:dyDescent="0.2">
      <c r="A5136" s="146"/>
      <c r="D5136" s="496"/>
    </row>
    <row r="5137" spans="1:4" x14ac:dyDescent="0.2">
      <c r="A5137" s="146"/>
      <c r="D5137" s="496"/>
    </row>
    <row r="5138" spans="1:4" x14ac:dyDescent="0.2">
      <c r="A5138" s="146"/>
      <c r="D5138" s="496"/>
    </row>
    <row r="5139" spans="1:4" x14ac:dyDescent="0.2">
      <c r="A5139" s="146"/>
      <c r="D5139" s="496"/>
    </row>
    <row r="5140" spans="1:4" x14ac:dyDescent="0.2">
      <c r="A5140" s="146"/>
      <c r="D5140" s="496"/>
    </row>
    <row r="5141" spans="1:4" x14ac:dyDescent="0.2">
      <c r="A5141" s="146"/>
      <c r="D5141" s="496"/>
    </row>
    <row r="5142" spans="1:4" x14ac:dyDescent="0.2">
      <c r="A5142" s="146"/>
      <c r="D5142" s="496"/>
    </row>
    <row r="5143" spans="1:4" x14ac:dyDescent="0.2">
      <c r="A5143" s="146"/>
      <c r="D5143" s="496"/>
    </row>
    <row r="5144" spans="1:4" x14ac:dyDescent="0.2">
      <c r="A5144" s="146"/>
      <c r="D5144" s="496"/>
    </row>
    <row r="5145" spans="1:4" x14ac:dyDescent="0.2">
      <c r="A5145" s="146"/>
      <c r="D5145" s="496"/>
    </row>
    <row r="5146" spans="1:4" x14ac:dyDescent="0.2">
      <c r="A5146" s="146"/>
      <c r="D5146" s="496"/>
    </row>
    <row r="5147" spans="1:4" x14ac:dyDescent="0.2">
      <c r="A5147" s="146"/>
      <c r="D5147" s="496"/>
    </row>
    <row r="5148" spans="1:4" x14ac:dyDescent="0.2">
      <c r="A5148" s="146"/>
      <c r="D5148" s="496"/>
    </row>
    <row r="5149" spans="1:4" x14ac:dyDescent="0.2">
      <c r="A5149" s="146"/>
      <c r="D5149" s="496"/>
    </row>
    <row r="5150" spans="1:4" x14ac:dyDescent="0.2">
      <c r="A5150" s="146"/>
      <c r="D5150" s="496"/>
    </row>
    <row r="5151" spans="1:4" x14ac:dyDescent="0.2">
      <c r="A5151" s="146"/>
      <c r="D5151" s="496"/>
    </row>
    <row r="5152" spans="1:4" x14ac:dyDescent="0.2">
      <c r="A5152" s="146"/>
      <c r="D5152" s="496"/>
    </row>
    <row r="5153" spans="1:4" x14ac:dyDescent="0.2">
      <c r="A5153" s="146"/>
      <c r="D5153" s="496"/>
    </row>
    <row r="5154" spans="1:4" x14ac:dyDescent="0.2">
      <c r="A5154" s="146"/>
      <c r="D5154" s="496"/>
    </row>
    <row r="5155" spans="1:4" x14ac:dyDescent="0.2">
      <c r="A5155" s="146"/>
      <c r="D5155" s="496"/>
    </row>
    <row r="5156" spans="1:4" x14ac:dyDescent="0.2">
      <c r="A5156" s="146"/>
      <c r="D5156" s="496"/>
    </row>
    <row r="5157" spans="1:4" x14ac:dyDescent="0.2">
      <c r="A5157" s="146"/>
      <c r="D5157" s="496"/>
    </row>
    <row r="5158" spans="1:4" x14ac:dyDescent="0.2">
      <c r="A5158" s="146"/>
      <c r="D5158" s="496"/>
    </row>
    <row r="5159" spans="1:4" x14ac:dyDescent="0.2">
      <c r="A5159" s="146"/>
      <c r="D5159" s="496"/>
    </row>
    <row r="5160" spans="1:4" x14ac:dyDescent="0.2">
      <c r="A5160" s="146"/>
      <c r="D5160" s="496"/>
    </row>
    <row r="5161" spans="1:4" x14ac:dyDescent="0.2">
      <c r="A5161" s="146"/>
      <c r="D5161" s="496"/>
    </row>
    <row r="5162" spans="1:4" x14ac:dyDescent="0.2">
      <c r="A5162" s="146"/>
      <c r="D5162" s="496"/>
    </row>
    <row r="5163" spans="1:4" x14ac:dyDescent="0.2">
      <c r="A5163" s="146"/>
      <c r="D5163" s="496"/>
    </row>
    <row r="5164" spans="1:4" x14ac:dyDescent="0.2">
      <c r="A5164" s="146"/>
      <c r="D5164" s="496"/>
    </row>
    <row r="5165" spans="1:4" x14ac:dyDescent="0.2">
      <c r="A5165" s="146"/>
      <c r="D5165" s="496"/>
    </row>
    <row r="5166" spans="1:4" x14ac:dyDescent="0.2">
      <c r="A5166" s="146"/>
      <c r="D5166" s="496"/>
    </row>
    <row r="5167" spans="1:4" x14ac:dyDescent="0.2">
      <c r="A5167" s="146"/>
      <c r="D5167" s="496"/>
    </row>
    <row r="5168" spans="1:4" x14ac:dyDescent="0.2">
      <c r="A5168" s="146"/>
      <c r="D5168" s="496"/>
    </row>
    <row r="5169" spans="1:4" x14ac:dyDescent="0.2">
      <c r="A5169" s="146"/>
      <c r="D5169" s="496"/>
    </row>
    <row r="5170" spans="1:4" x14ac:dyDescent="0.2">
      <c r="A5170" s="146"/>
      <c r="D5170" s="496"/>
    </row>
    <row r="5171" spans="1:4" x14ac:dyDescent="0.2">
      <c r="A5171" s="146"/>
      <c r="D5171" s="496"/>
    </row>
    <row r="5172" spans="1:4" x14ac:dyDescent="0.2">
      <c r="A5172" s="146"/>
      <c r="D5172" s="496"/>
    </row>
    <row r="5173" spans="1:4" x14ac:dyDescent="0.2">
      <c r="A5173" s="146"/>
      <c r="D5173" s="496"/>
    </row>
    <row r="5174" spans="1:4" x14ac:dyDescent="0.2">
      <c r="A5174" s="146"/>
      <c r="D5174" s="496"/>
    </row>
    <row r="5175" spans="1:4" x14ac:dyDescent="0.2">
      <c r="A5175" s="146"/>
      <c r="D5175" s="496"/>
    </row>
    <row r="5176" spans="1:4" x14ac:dyDescent="0.2">
      <c r="A5176" s="146"/>
      <c r="D5176" s="496"/>
    </row>
    <row r="5177" spans="1:4" x14ac:dyDescent="0.2">
      <c r="A5177" s="146"/>
      <c r="D5177" s="496"/>
    </row>
    <row r="5178" spans="1:4" x14ac:dyDescent="0.2">
      <c r="A5178" s="146"/>
      <c r="D5178" s="496"/>
    </row>
    <row r="5179" spans="1:4" x14ac:dyDescent="0.2">
      <c r="A5179" s="146"/>
      <c r="D5179" s="496"/>
    </row>
    <row r="5180" spans="1:4" x14ac:dyDescent="0.2">
      <c r="A5180" s="146"/>
      <c r="D5180" s="496"/>
    </row>
    <row r="5181" spans="1:4" x14ac:dyDescent="0.2">
      <c r="A5181" s="146"/>
      <c r="D5181" s="496"/>
    </row>
    <row r="5182" spans="1:4" x14ac:dyDescent="0.2">
      <c r="A5182" s="146"/>
      <c r="D5182" s="496"/>
    </row>
    <row r="5183" spans="1:4" x14ac:dyDescent="0.2">
      <c r="A5183" s="146"/>
      <c r="D5183" s="496"/>
    </row>
    <row r="5184" spans="1:4" x14ac:dyDescent="0.2">
      <c r="A5184" s="146"/>
      <c r="D5184" s="496"/>
    </row>
    <row r="5185" spans="1:4" x14ac:dyDescent="0.2">
      <c r="A5185" s="146"/>
      <c r="D5185" s="496"/>
    </row>
    <row r="5186" spans="1:4" x14ac:dyDescent="0.2">
      <c r="A5186" s="146"/>
      <c r="D5186" s="496"/>
    </row>
    <row r="5187" spans="1:4" x14ac:dyDescent="0.2">
      <c r="A5187" s="146"/>
      <c r="D5187" s="496"/>
    </row>
    <row r="5188" spans="1:4" x14ac:dyDescent="0.2">
      <c r="A5188" s="146"/>
      <c r="D5188" s="496"/>
    </row>
    <row r="5189" spans="1:4" x14ac:dyDescent="0.2">
      <c r="A5189" s="146"/>
      <c r="D5189" s="496"/>
    </row>
    <row r="5190" spans="1:4" x14ac:dyDescent="0.2">
      <c r="A5190" s="146"/>
      <c r="D5190" s="496"/>
    </row>
    <row r="5191" spans="1:4" x14ac:dyDescent="0.2">
      <c r="A5191" s="146"/>
      <c r="D5191" s="496"/>
    </row>
    <row r="5192" spans="1:4" x14ac:dyDescent="0.2">
      <c r="A5192" s="146"/>
      <c r="D5192" s="496"/>
    </row>
    <row r="5193" spans="1:4" x14ac:dyDescent="0.2">
      <c r="A5193" s="146"/>
      <c r="D5193" s="496"/>
    </row>
    <row r="5194" spans="1:4" x14ac:dyDescent="0.2">
      <c r="A5194" s="146"/>
      <c r="D5194" s="496"/>
    </row>
    <row r="5195" spans="1:4" x14ac:dyDescent="0.2">
      <c r="A5195" s="146"/>
      <c r="D5195" s="496"/>
    </row>
    <row r="5196" spans="1:4" x14ac:dyDescent="0.2">
      <c r="A5196" s="146"/>
      <c r="D5196" s="496"/>
    </row>
    <row r="5197" spans="1:4" x14ac:dyDescent="0.2">
      <c r="A5197" s="146"/>
      <c r="D5197" s="496"/>
    </row>
    <row r="5198" spans="1:4" x14ac:dyDescent="0.2">
      <c r="A5198" s="146"/>
      <c r="D5198" s="496"/>
    </row>
    <row r="5199" spans="1:4" x14ac:dyDescent="0.2">
      <c r="A5199" s="146"/>
      <c r="D5199" s="496"/>
    </row>
    <row r="5200" spans="1:4" x14ac:dyDescent="0.2">
      <c r="A5200" s="146"/>
      <c r="D5200" s="496"/>
    </row>
    <row r="5201" spans="1:4" x14ac:dyDescent="0.2">
      <c r="A5201" s="146"/>
      <c r="D5201" s="496"/>
    </row>
    <row r="5202" spans="1:4" x14ac:dyDescent="0.2">
      <c r="A5202" s="146"/>
      <c r="D5202" s="496"/>
    </row>
    <row r="5203" spans="1:4" x14ac:dyDescent="0.2">
      <c r="A5203" s="146"/>
      <c r="D5203" s="496"/>
    </row>
    <row r="5204" spans="1:4" x14ac:dyDescent="0.2">
      <c r="A5204" s="146"/>
      <c r="D5204" s="496"/>
    </row>
    <row r="5205" spans="1:4" x14ac:dyDescent="0.2">
      <c r="A5205" s="146"/>
      <c r="D5205" s="496"/>
    </row>
    <row r="5206" spans="1:4" x14ac:dyDescent="0.2">
      <c r="A5206" s="146"/>
      <c r="D5206" s="496"/>
    </row>
    <row r="5207" spans="1:4" x14ac:dyDescent="0.2">
      <c r="A5207" s="146"/>
      <c r="D5207" s="496"/>
    </row>
    <row r="5208" spans="1:4" x14ac:dyDescent="0.2">
      <c r="A5208" s="146"/>
      <c r="D5208" s="496"/>
    </row>
    <row r="5209" spans="1:4" x14ac:dyDescent="0.2">
      <c r="A5209" s="146"/>
      <c r="D5209" s="496"/>
    </row>
    <row r="5210" spans="1:4" x14ac:dyDescent="0.2">
      <c r="A5210" s="146"/>
      <c r="D5210" s="496"/>
    </row>
    <row r="5211" spans="1:4" x14ac:dyDescent="0.2">
      <c r="A5211" s="146"/>
      <c r="D5211" s="496"/>
    </row>
    <row r="5212" spans="1:4" x14ac:dyDescent="0.2">
      <c r="A5212" s="146"/>
      <c r="D5212" s="496"/>
    </row>
    <row r="5213" spans="1:4" x14ac:dyDescent="0.2">
      <c r="A5213" s="146"/>
      <c r="D5213" s="496"/>
    </row>
    <row r="5214" spans="1:4" x14ac:dyDescent="0.2">
      <c r="A5214" s="146"/>
      <c r="D5214" s="496"/>
    </row>
    <row r="5215" spans="1:4" x14ac:dyDescent="0.2">
      <c r="A5215" s="146"/>
      <c r="D5215" s="496"/>
    </row>
    <row r="5216" spans="1:4" x14ac:dyDescent="0.2">
      <c r="A5216" s="146"/>
      <c r="D5216" s="496"/>
    </row>
    <row r="5217" spans="1:4" x14ac:dyDescent="0.2">
      <c r="A5217" s="146"/>
      <c r="D5217" s="496"/>
    </row>
    <row r="5218" spans="1:4" x14ac:dyDescent="0.2">
      <c r="A5218" s="146"/>
      <c r="D5218" s="496"/>
    </row>
    <row r="5219" spans="1:4" x14ac:dyDescent="0.2">
      <c r="A5219" s="146"/>
      <c r="D5219" s="496"/>
    </row>
    <row r="5220" spans="1:4" x14ac:dyDescent="0.2">
      <c r="A5220" s="146"/>
      <c r="D5220" s="496"/>
    </row>
    <row r="5221" spans="1:4" x14ac:dyDescent="0.2">
      <c r="A5221" s="146"/>
      <c r="D5221" s="496"/>
    </row>
    <row r="5222" spans="1:4" x14ac:dyDescent="0.2">
      <c r="A5222" s="146"/>
      <c r="D5222" s="496"/>
    </row>
    <row r="5223" spans="1:4" x14ac:dyDescent="0.2">
      <c r="A5223" s="146"/>
      <c r="D5223" s="496"/>
    </row>
    <row r="5224" spans="1:4" x14ac:dyDescent="0.2">
      <c r="A5224" s="146"/>
      <c r="D5224" s="496"/>
    </row>
    <row r="5225" spans="1:4" x14ac:dyDescent="0.2">
      <c r="A5225" s="146"/>
      <c r="D5225" s="496"/>
    </row>
    <row r="5226" spans="1:4" x14ac:dyDescent="0.2">
      <c r="A5226" s="146"/>
      <c r="D5226" s="496"/>
    </row>
    <row r="5227" spans="1:4" x14ac:dyDescent="0.2">
      <c r="A5227" s="146"/>
      <c r="D5227" s="496"/>
    </row>
    <row r="5228" spans="1:4" x14ac:dyDescent="0.2">
      <c r="A5228" s="146"/>
      <c r="D5228" s="496"/>
    </row>
    <row r="5229" spans="1:4" x14ac:dyDescent="0.2">
      <c r="A5229" s="146"/>
      <c r="D5229" s="496"/>
    </row>
    <row r="5230" spans="1:4" x14ac:dyDescent="0.2">
      <c r="A5230" s="146"/>
      <c r="D5230" s="496"/>
    </row>
    <row r="5231" spans="1:4" x14ac:dyDescent="0.2">
      <c r="A5231" s="146"/>
      <c r="D5231" s="496"/>
    </row>
    <row r="5232" spans="1:4" x14ac:dyDescent="0.2">
      <c r="A5232" s="146"/>
      <c r="D5232" s="496"/>
    </row>
    <row r="5233" spans="1:4" x14ac:dyDescent="0.2">
      <c r="A5233" s="146"/>
      <c r="D5233" s="496"/>
    </row>
    <row r="5234" spans="1:4" x14ac:dyDescent="0.2">
      <c r="A5234" s="146"/>
      <c r="D5234" s="496"/>
    </row>
    <row r="5235" spans="1:4" x14ac:dyDescent="0.2">
      <c r="A5235" s="146"/>
      <c r="D5235" s="496"/>
    </row>
    <row r="5236" spans="1:4" x14ac:dyDescent="0.2">
      <c r="A5236" s="146"/>
      <c r="D5236" s="496"/>
    </row>
    <row r="5237" spans="1:4" x14ac:dyDescent="0.2">
      <c r="A5237" s="146"/>
      <c r="D5237" s="496"/>
    </row>
    <row r="5238" spans="1:4" x14ac:dyDescent="0.2">
      <c r="A5238" s="146"/>
      <c r="D5238" s="496"/>
    </row>
    <row r="5239" spans="1:4" x14ac:dyDescent="0.2">
      <c r="A5239" s="146"/>
      <c r="D5239" s="496"/>
    </row>
    <row r="5240" spans="1:4" x14ac:dyDescent="0.2">
      <c r="A5240" s="146"/>
      <c r="D5240" s="496"/>
    </row>
    <row r="5241" spans="1:4" x14ac:dyDescent="0.2">
      <c r="A5241" s="146"/>
      <c r="D5241" s="496"/>
    </row>
    <row r="5242" spans="1:4" x14ac:dyDescent="0.2">
      <c r="A5242" s="146"/>
      <c r="D5242" s="496"/>
    </row>
    <row r="5243" spans="1:4" x14ac:dyDescent="0.2">
      <c r="A5243" s="146"/>
      <c r="D5243" s="496"/>
    </row>
    <row r="5244" spans="1:4" x14ac:dyDescent="0.2">
      <c r="A5244" s="146"/>
      <c r="D5244" s="496"/>
    </row>
    <row r="5245" spans="1:4" x14ac:dyDescent="0.2">
      <c r="A5245" s="146"/>
      <c r="D5245" s="496"/>
    </row>
    <row r="5246" spans="1:4" x14ac:dyDescent="0.2">
      <c r="A5246" s="146"/>
      <c r="D5246" s="496"/>
    </row>
    <row r="5247" spans="1:4" x14ac:dyDescent="0.2">
      <c r="A5247" s="146"/>
      <c r="D5247" s="496"/>
    </row>
    <row r="5248" spans="1:4" x14ac:dyDescent="0.2">
      <c r="A5248" s="146"/>
      <c r="D5248" s="496"/>
    </row>
    <row r="5249" spans="1:4" x14ac:dyDescent="0.2">
      <c r="A5249" s="146"/>
      <c r="D5249" s="496"/>
    </row>
    <row r="5250" spans="1:4" x14ac:dyDescent="0.2">
      <c r="A5250" s="146"/>
      <c r="D5250" s="496"/>
    </row>
    <row r="5251" spans="1:4" x14ac:dyDescent="0.2">
      <c r="A5251" s="146"/>
      <c r="D5251" s="496"/>
    </row>
    <row r="5252" spans="1:4" x14ac:dyDescent="0.2">
      <c r="A5252" s="146"/>
      <c r="D5252" s="496"/>
    </row>
    <row r="5253" spans="1:4" x14ac:dyDescent="0.2">
      <c r="A5253" s="146"/>
      <c r="D5253" s="496"/>
    </row>
    <row r="5254" spans="1:4" x14ac:dyDescent="0.2">
      <c r="A5254" s="146"/>
      <c r="D5254" s="496"/>
    </row>
    <row r="5255" spans="1:4" x14ac:dyDescent="0.2">
      <c r="A5255" s="146"/>
      <c r="D5255" s="496"/>
    </row>
    <row r="5256" spans="1:4" x14ac:dyDescent="0.2">
      <c r="A5256" s="146"/>
      <c r="D5256" s="496"/>
    </row>
    <row r="5257" spans="1:4" x14ac:dyDescent="0.2">
      <c r="A5257" s="146"/>
      <c r="D5257" s="496"/>
    </row>
    <row r="5258" spans="1:4" x14ac:dyDescent="0.2">
      <c r="A5258" s="146"/>
      <c r="D5258" s="496"/>
    </row>
    <row r="5259" spans="1:4" x14ac:dyDescent="0.2">
      <c r="A5259" s="146"/>
      <c r="D5259" s="496"/>
    </row>
    <row r="5260" spans="1:4" x14ac:dyDescent="0.2">
      <c r="A5260" s="146"/>
      <c r="D5260" s="496"/>
    </row>
    <row r="5261" spans="1:4" x14ac:dyDescent="0.2">
      <c r="A5261" s="146"/>
      <c r="D5261" s="496"/>
    </row>
    <row r="5262" spans="1:4" x14ac:dyDescent="0.2">
      <c r="A5262" s="146"/>
      <c r="D5262" s="496"/>
    </row>
    <row r="5263" spans="1:4" x14ac:dyDescent="0.2">
      <c r="A5263" s="146"/>
      <c r="D5263" s="496"/>
    </row>
    <row r="5264" spans="1:4" x14ac:dyDescent="0.2">
      <c r="A5264" s="146"/>
      <c r="D5264" s="496"/>
    </row>
    <row r="5265" spans="1:4" x14ac:dyDescent="0.2">
      <c r="A5265" s="146"/>
      <c r="D5265" s="496"/>
    </row>
    <row r="5266" spans="1:4" x14ac:dyDescent="0.2">
      <c r="A5266" s="146"/>
      <c r="D5266" s="496"/>
    </row>
    <row r="5267" spans="1:4" x14ac:dyDescent="0.2">
      <c r="A5267" s="146"/>
      <c r="D5267" s="496"/>
    </row>
    <row r="5268" spans="1:4" x14ac:dyDescent="0.2">
      <c r="A5268" s="146"/>
      <c r="D5268" s="496"/>
    </row>
    <row r="5269" spans="1:4" x14ac:dyDescent="0.2">
      <c r="A5269" s="146"/>
      <c r="D5269" s="496"/>
    </row>
    <row r="5270" spans="1:4" x14ac:dyDescent="0.2">
      <c r="A5270" s="146"/>
      <c r="D5270" s="496"/>
    </row>
    <row r="5271" spans="1:4" x14ac:dyDescent="0.2">
      <c r="A5271" s="146"/>
      <c r="D5271" s="496"/>
    </row>
    <row r="5272" spans="1:4" x14ac:dyDescent="0.2">
      <c r="A5272" s="146"/>
      <c r="D5272" s="496"/>
    </row>
    <row r="5273" spans="1:4" x14ac:dyDescent="0.2">
      <c r="A5273" s="146"/>
      <c r="D5273" s="496"/>
    </row>
    <row r="5274" spans="1:4" x14ac:dyDescent="0.2">
      <c r="A5274" s="146"/>
      <c r="D5274" s="496"/>
    </row>
    <row r="5275" spans="1:4" x14ac:dyDescent="0.2">
      <c r="A5275" s="146"/>
      <c r="D5275" s="496"/>
    </row>
    <row r="5276" spans="1:4" x14ac:dyDescent="0.2">
      <c r="A5276" s="146"/>
      <c r="D5276" s="496"/>
    </row>
    <row r="5277" spans="1:4" x14ac:dyDescent="0.2">
      <c r="A5277" s="146"/>
      <c r="D5277" s="496"/>
    </row>
    <row r="5278" spans="1:4" x14ac:dyDescent="0.2">
      <c r="A5278" s="146"/>
      <c r="D5278" s="496"/>
    </row>
    <row r="5279" spans="1:4" x14ac:dyDescent="0.2">
      <c r="A5279" s="146"/>
      <c r="D5279" s="496"/>
    </row>
    <row r="5280" spans="1:4" x14ac:dyDescent="0.2">
      <c r="A5280" s="146"/>
      <c r="D5280" s="496"/>
    </row>
    <row r="5281" spans="1:4" x14ac:dyDescent="0.2">
      <c r="A5281" s="146"/>
      <c r="D5281" s="496"/>
    </row>
    <row r="5282" spans="1:4" x14ac:dyDescent="0.2">
      <c r="A5282" s="146"/>
      <c r="D5282" s="496"/>
    </row>
    <row r="5283" spans="1:4" x14ac:dyDescent="0.2">
      <c r="A5283" s="146"/>
      <c r="D5283" s="496"/>
    </row>
    <row r="5284" spans="1:4" x14ac:dyDescent="0.2">
      <c r="A5284" s="146"/>
      <c r="D5284" s="496"/>
    </row>
    <row r="5285" spans="1:4" x14ac:dyDescent="0.2">
      <c r="A5285" s="146"/>
      <c r="D5285" s="496"/>
    </row>
    <row r="5286" spans="1:4" x14ac:dyDescent="0.2">
      <c r="A5286" s="146"/>
      <c r="D5286" s="496"/>
    </row>
    <row r="5287" spans="1:4" x14ac:dyDescent="0.2">
      <c r="A5287" s="146"/>
      <c r="D5287" s="496"/>
    </row>
    <row r="5288" spans="1:4" x14ac:dyDescent="0.2">
      <c r="A5288" s="146"/>
      <c r="D5288" s="496"/>
    </row>
    <row r="5289" spans="1:4" x14ac:dyDescent="0.2">
      <c r="A5289" s="146"/>
      <c r="D5289" s="496"/>
    </row>
    <row r="5290" spans="1:4" x14ac:dyDescent="0.2">
      <c r="A5290" s="146"/>
      <c r="D5290" s="496"/>
    </row>
    <row r="5291" spans="1:4" x14ac:dyDescent="0.2">
      <c r="A5291" s="146"/>
      <c r="D5291" s="496"/>
    </row>
    <row r="5292" spans="1:4" x14ac:dyDescent="0.2">
      <c r="A5292" s="146"/>
      <c r="D5292" s="496"/>
    </row>
    <row r="5293" spans="1:4" x14ac:dyDescent="0.2">
      <c r="A5293" s="146"/>
      <c r="D5293" s="496"/>
    </row>
    <row r="5294" spans="1:4" x14ac:dyDescent="0.2">
      <c r="A5294" s="146"/>
      <c r="D5294" s="496"/>
    </row>
    <row r="5295" spans="1:4" x14ac:dyDescent="0.2">
      <c r="A5295" s="146"/>
      <c r="D5295" s="496"/>
    </row>
    <row r="5296" spans="1:4" x14ac:dyDescent="0.2">
      <c r="A5296" s="146"/>
      <c r="D5296" s="496"/>
    </row>
    <row r="5297" spans="1:4" x14ac:dyDescent="0.2">
      <c r="A5297" s="146"/>
      <c r="D5297" s="496"/>
    </row>
    <row r="5298" spans="1:4" x14ac:dyDescent="0.2">
      <c r="A5298" s="146"/>
      <c r="D5298" s="496"/>
    </row>
    <row r="5299" spans="1:4" x14ac:dyDescent="0.2">
      <c r="A5299" s="146"/>
      <c r="D5299" s="496"/>
    </row>
    <row r="5300" spans="1:4" x14ac:dyDescent="0.2">
      <c r="A5300" s="146"/>
      <c r="D5300" s="496"/>
    </row>
    <row r="5301" spans="1:4" x14ac:dyDescent="0.2">
      <c r="A5301" s="146"/>
      <c r="D5301" s="496"/>
    </row>
    <row r="5302" spans="1:4" x14ac:dyDescent="0.2">
      <c r="A5302" s="146"/>
      <c r="D5302" s="496"/>
    </row>
    <row r="5303" spans="1:4" x14ac:dyDescent="0.2">
      <c r="A5303" s="146"/>
      <c r="D5303" s="496"/>
    </row>
    <row r="5304" spans="1:4" x14ac:dyDescent="0.2">
      <c r="A5304" s="146"/>
      <c r="D5304" s="496"/>
    </row>
    <row r="5305" spans="1:4" x14ac:dyDescent="0.2">
      <c r="A5305" s="146"/>
      <c r="D5305" s="496"/>
    </row>
    <row r="5306" spans="1:4" x14ac:dyDescent="0.2">
      <c r="A5306" s="146"/>
      <c r="D5306" s="496"/>
    </row>
    <row r="5307" spans="1:4" x14ac:dyDescent="0.2">
      <c r="A5307" s="146"/>
      <c r="D5307" s="496"/>
    </row>
    <row r="5308" spans="1:4" x14ac:dyDescent="0.2">
      <c r="A5308" s="146"/>
      <c r="D5308" s="496"/>
    </row>
    <row r="5309" spans="1:4" x14ac:dyDescent="0.2">
      <c r="A5309" s="146"/>
      <c r="D5309" s="496"/>
    </row>
    <row r="5310" spans="1:4" x14ac:dyDescent="0.2">
      <c r="A5310" s="146"/>
      <c r="D5310" s="496"/>
    </row>
    <row r="5311" spans="1:4" x14ac:dyDescent="0.2">
      <c r="A5311" s="146"/>
      <c r="D5311" s="496"/>
    </row>
    <row r="5312" spans="1:4" x14ac:dyDescent="0.2">
      <c r="A5312" s="146"/>
      <c r="D5312" s="496"/>
    </row>
    <row r="5313" spans="1:4" x14ac:dyDescent="0.2">
      <c r="A5313" s="146"/>
      <c r="D5313" s="496"/>
    </row>
    <row r="5314" spans="1:4" x14ac:dyDescent="0.2">
      <c r="A5314" s="146"/>
      <c r="D5314" s="496"/>
    </row>
    <row r="5315" spans="1:4" x14ac:dyDescent="0.2">
      <c r="A5315" s="146"/>
      <c r="D5315" s="496"/>
    </row>
    <row r="5316" spans="1:4" x14ac:dyDescent="0.2">
      <c r="A5316" s="146"/>
      <c r="D5316" s="496"/>
    </row>
    <row r="5317" spans="1:4" x14ac:dyDescent="0.2">
      <c r="A5317" s="146"/>
      <c r="D5317" s="496"/>
    </row>
    <row r="5318" spans="1:4" x14ac:dyDescent="0.2">
      <c r="A5318" s="146"/>
      <c r="D5318" s="496"/>
    </row>
    <row r="5319" spans="1:4" x14ac:dyDescent="0.2">
      <c r="A5319" s="146"/>
      <c r="D5319" s="496"/>
    </row>
    <row r="5320" spans="1:4" x14ac:dyDescent="0.2">
      <c r="A5320" s="146"/>
      <c r="D5320" s="496"/>
    </row>
    <row r="5321" spans="1:4" x14ac:dyDescent="0.2">
      <c r="A5321" s="146"/>
      <c r="D5321" s="496"/>
    </row>
    <row r="5322" spans="1:4" x14ac:dyDescent="0.2">
      <c r="A5322" s="146"/>
      <c r="D5322" s="496"/>
    </row>
    <row r="5323" spans="1:4" x14ac:dyDescent="0.2">
      <c r="A5323" s="146"/>
      <c r="D5323" s="496"/>
    </row>
    <row r="5324" spans="1:4" x14ac:dyDescent="0.2">
      <c r="A5324" s="146"/>
      <c r="D5324" s="496"/>
    </row>
    <row r="5325" spans="1:4" x14ac:dyDescent="0.2">
      <c r="A5325" s="146"/>
      <c r="D5325" s="496"/>
    </row>
    <row r="5326" spans="1:4" x14ac:dyDescent="0.2">
      <c r="A5326" s="146"/>
      <c r="D5326" s="496"/>
    </row>
    <row r="5327" spans="1:4" x14ac:dyDescent="0.2">
      <c r="A5327" s="146"/>
      <c r="D5327" s="496"/>
    </row>
    <row r="5328" spans="1:4" x14ac:dyDescent="0.2">
      <c r="A5328" s="146"/>
      <c r="D5328" s="496"/>
    </row>
    <row r="5329" spans="1:4" x14ac:dyDescent="0.2">
      <c r="A5329" s="146"/>
      <c r="D5329" s="496"/>
    </row>
    <row r="5330" spans="1:4" x14ac:dyDescent="0.2">
      <c r="A5330" s="146"/>
      <c r="D5330" s="496"/>
    </row>
    <row r="5331" spans="1:4" x14ac:dyDescent="0.2">
      <c r="A5331" s="146"/>
      <c r="D5331" s="496"/>
    </row>
    <row r="5332" spans="1:4" x14ac:dyDescent="0.2">
      <c r="A5332" s="146"/>
      <c r="D5332" s="496"/>
    </row>
    <row r="5333" spans="1:4" x14ac:dyDescent="0.2">
      <c r="A5333" s="146"/>
      <c r="D5333" s="496"/>
    </row>
    <row r="5334" spans="1:4" x14ac:dyDescent="0.2">
      <c r="A5334" s="146"/>
      <c r="D5334" s="496"/>
    </row>
    <row r="5335" spans="1:4" x14ac:dyDescent="0.2">
      <c r="A5335" s="146"/>
      <c r="D5335" s="496"/>
    </row>
    <row r="5336" spans="1:4" x14ac:dyDescent="0.2">
      <c r="A5336" s="146"/>
      <c r="D5336" s="496"/>
    </row>
    <row r="5337" spans="1:4" x14ac:dyDescent="0.2">
      <c r="A5337" s="146"/>
      <c r="D5337" s="496"/>
    </row>
    <row r="5338" spans="1:4" x14ac:dyDescent="0.2">
      <c r="A5338" s="146"/>
      <c r="D5338" s="496"/>
    </row>
    <row r="5339" spans="1:4" x14ac:dyDescent="0.2">
      <c r="A5339" s="146"/>
      <c r="D5339" s="496"/>
    </row>
    <row r="5340" spans="1:4" x14ac:dyDescent="0.2">
      <c r="A5340" s="146"/>
      <c r="D5340" s="496"/>
    </row>
    <row r="5341" spans="1:4" x14ac:dyDescent="0.2">
      <c r="A5341" s="146"/>
      <c r="D5341" s="496"/>
    </row>
    <row r="5342" spans="1:4" x14ac:dyDescent="0.2">
      <c r="A5342" s="146"/>
      <c r="D5342" s="496"/>
    </row>
    <row r="5343" spans="1:4" x14ac:dyDescent="0.2">
      <c r="A5343" s="146"/>
      <c r="D5343" s="496"/>
    </row>
    <row r="5344" spans="1:4" x14ac:dyDescent="0.2">
      <c r="A5344" s="146"/>
      <c r="D5344" s="496"/>
    </row>
    <row r="5345" spans="1:4" x14ac:dyDescent="0.2">
      <c r="A5345" s="146"/>
      <c r="D5345" s="496"/>
    </row>
    <row r="5346" spans="1:4" x14ac:dyDescent="0.2">
      <c r="A5346" s="146"/>
      <c r="D5346" s="496"/>
    </row>
    <row r="5347" spans="1:4" x14ac:dyDescent="0.2">
      <c r="A5347" s="146"/>
      <c r="D5347" s="496"/>
    </row>
    <row r="5348" spans="1:4" x14ac:dyDescent="0.2">
      <c r="A5348" s="146"/>
      <c r="D5348" s="496"/>
    </row>
    <row r="5349" spans="1:4" x14ac:dyDescent="0.2">
      <c r="A5349" s="146"/>
      <c r="D5349" s="496"/>
    </row>
    <row r="5350" spans="1:4" x14ac:dyDescent="0.2">
      <c r="A5350" s="146"/>
      <c r="D5350" s="496"/>
    </row>
    <row r="5351" spans="1:4" x14ac:dyDescent="0.2">
      <c r="A5351" s="146"/>
      <c r="D5351" s="496"/>
    </row>
    <row r="5352" spans="1:4" x14ac:dyDescent="0.2">
      <c r="A5352" s="146"/>
      <c r="D5352" s="496"/>
    </row>
    <row r="5353" spans="1:4" x14ac:dyDescent="0.2">
      <c r="A5353" s="146"/>
      <c r="D5353" s="496"/>
    </row>
    <row r="5354" spans="1:4" x14ac:dyDescent="0.2">
      <c r="A5354" s="146"/>
      <c r="D5354" s="496"/>
    </row>
    <row r="5355" spans="1:4" x14ac:dyDescent="0.2">
      <c r="A5355" s="146"/>
      <c r="D5355" s="496"/>
    </row>
    <row r="5356" spans="1:4" x14ac:dyDescent="0.2">
      <c r="A5356" s="146"/>
      <c r="D5356" s="496"/>
    </row>
    <row r="5357" spans="1:4" x14ac:dyDescent="0.2">
      <c r="A5357" s="146"/>
      <c r="D5357" s="496"/>
    </row>
    <row r="5358" spans="1:4" x14ac:dyDescent="0.2">
      <c r="A5358" s="146"/>
      <c r="D5358" s="496"/>
    </row>
    <row r="5359" spans="1:4" x14ac:dyDescent="0.2">
      <c r="A5359" s="146"/>
      <c r="D5359" s="496"/>
    </row>
    <row r="5360" spans="1:4" x14ac:dyDescent="0.2">
      <c r="A5360" s="146"/>
      <c r="D5360" s="496"/>
    </row>
    <row r="5361" spans="1:4" x14ac:dyDescent="0.2">
      <c r="A5361" s="146"/>
      <c r="D5361" s="496"/>
    </row>
    <row r="5362" spans="1:4" x14ac:dyDescent="0.2">
      <c r="A5362" s="146"/>
      <c r="D5362" s="496"/>
    </row>
    <row r="5363" spans="1:4" x14ac:dyDescent="0.2">
      <c r="A5363" s="146"/>
      <c r="D5363" s="496"/>
    </row>
    <row r="5364" spans="1:4" x14ac:dyDescent="0.2">
      <c r="A5364" s="146"/>
      <c r="D5364" s="496"/>
    </row>
    <row r="5365" spans="1:4" x14ac:dyDescent="0.2">
      <c r="A5365" s="146"/>
      <c r="D5365" s="496"/>
    </row>
    <row r="5366" spans="1:4" x14ac:dyDescent="0.2">
      <c r="A5366" s="146"/>
      <c r="D5366" s="496"/>
    </row>
    <row r="5367" spans="1:4" x14ac:dyDescent="0.2">
      <c r="A5367" s="146"/>
      <c r="D5367" s="496"/>
    </row>
    <row r="5368" spans="1:4" x14ac:dyDescent="0.2">
      <c r="A5368" s="146"/>
      <c r="D5368" s="496"/>
    </row>
    <row r="5369" spans="1:4" x14ac:dyDescent="0.2">
      <c r="A5369" s="146"/>
      <c r="D5369" s="496"/>
    </row>
    <row r="5370" spans="1:4" x14ac:dyDescent="0.2">
      <c r="A5370" s="146"/>
      <c r="D5370" s="496"/>
    </row>
    <row r="5371" spans="1:4" x14ac:dyDescent="0.2">
      <c r="A5371" s="146"/>
      <c r="D5371" s="496"/>
    </row>
    <row r="5372" spans="1:4" x14ac:dyDescent="0.2">
      <c r="A5372" s="146"/>
      <c r="D5372" s="496"/>
    </row>
    <row r="5373" spans="1:4" x14ac:dyDescent="0.2">
      <c r="A5373" s="146"/>
      <c r="D5373" s="496"/>
    </row>
    <row r="5374" spans="1:4" x14ac:dyDescent="0.2">
      <c r="A5374" s="146"/>
      <c r="D5374" s="496"/>
    </row>
    <row r="5375" spans="1:4" x14ac:dyDescent="0.2">
      <c r="A5375" s="146"/>
      <c r="D5375" s="496"/>
    </row>
    <row r="5376" spans="1:4" x14ac:dyDescent="0.2">
      <c r="A5376" s="146"/>
      <c r="D5376" s="496"/>
    </row>
    <row r="5377" spans="1:4" x14ac:dyDescent="0.2">
      <c r="A5377" s="146"/>
      <c r="D5377" s="496"/>
    </row>
    <row r="5378" spans="1:4" x14ac:dyDescent="0.2">
      <c r="A5378" s="146"/>
      <c r="D5378" s="496"/>
    </row>
    <row r="5379" spans="1:4" x14ac:dyDescent="0.2">
      <c r="A5379" s="146"/>
      <c r="D5379" s="496"/>
    </row>
    <row r="5380" spans="1:4" x14ac:dyDescent="0.2">
      <c r="A5380" s="146"/>
      <c r="D5380" s="496"/>
    </row>
    <row r="5381" spans="1:4" x14ac:dyDescent="0.2">
      <c r="A5381" s="146"/>
      <c r="D5381" s="496"/>
    </row>
    <row r="5382" spans="1:4" x14ac:dyDescent="0.2">
      <c r="A5382" s="146"/>
      <c r="D5382" s="496"/>
    </row>
    <row r="5383" spans="1:4" x14ac:dyDescent="0.2">
      <c r="A5383" s="146"/>
      <c r="D5383" s="496"/>
    </row>
    <row r="5384" spans="1:4" x14ac:dyDescent="0.2">
      <c r="A5384" s="146"/>
      <c r="D5384" s="496"/>
    </row>
    <row r="5385" spans="1:4" x14ac:dyDescent="0.2">
      <c r="A5385" s="146"/>
      <c r="D5385" s="496"/>
    </row>
    <row r="5386" spans="1:4" x14ac:dyDescent="0.2">
      <c r="A5386" s="146"/>
      <c r="D5386" s="496"/>
    </row>
    <row r="5387" spans="1:4" x14ac:dyDescent="0.2">
      <c r="A5387" s="146"/>
      <c r="D5387" s="496"/>
    </row>
    <row r="5388" spans="1:4" x14ac:dyDescent="0.2">
      <c r="A5388" s="146"/>
      <c r="D5388" s="496"/>
    </row>
    <row r="5389" spans="1:4" x14ac:dyDescent="0.2">
      <c r="A5389" s="146"/>
      <c r="D5389" s="496"/>
    </row>
    <row r="5390" spans="1:4" x14ac:dyDescent="0.2">
      <c r="A5390" s="146"/>
      <c r="D5390" s="496"/>
    </row>
    <row r="5391" spans="1:4" x14ac:dyDescent="0.2">
      <c r="A5391" s="146"/>
      <c r="D5391" s="496"/>
    </row>
    <row r="5392" spans="1:4" x14ac:dyDescent="0.2">
      <c r="A5392" s="146"/>
      <c r="D5392" s="496"/>
    </row>
    <row r="5393" spans="1:4" x14ac:dyDescent="0.2">
      <c r="A5393" s="146"/>
      <c r="D5393" s="496"/>
    </row>
    <row r="5394" spans="1:4" x14ac:dyDescent="0.2">
      <c r="A5394" s="146"/>
      <c r="D5394" s="496"/>
    </row>
    <row r="5395" spans="1:4" x14ac:dyDescent="0.2">
      <c r="A5395" s="146"/>
      <c r="D5395" s="496"/>
    </row>
    <row r="5396" spans="1:4" x14ac:dyDescent="0.2">
      <c r="A5396" s="146"/>
      <c r="D5396" s="496"/>
    </row>
    <row r="5397" spans="1:4" x14ac:dyDescent="0.2">
      <c r="A5397" s="146"/>
      <c r="D5397" s="496"/>
    </row>
    <row r="5398" spans="1:4" x14ac:dyDescent="0.2">
      <c r="A5398" s="146"/>
      <c r="D5398" s="496"/>
    </row>
    <row r="5399" spans="1:4" x14ac:dyDescent="0.2">
      <c r="A5399" s="146"/>
      <c r="D5399" s="496"/>
    </row>
    <row r="5400" spans="1:4" x14ac:dyDescent="0.2">
      <c r="A5400" s="146"/>
      <c r="D5400" s="496"/>
    </row>
    <row r="5401" spans="1:4" x14ac:dyDescent="0.2">
      <c r="A5401" s="146"/>
      <c r="D5401" s="496"/>
    </row>
    <row r="5402" spans="1:4" x14ac:dyDescent="0.2">
      <c r="A5402" s="146"/>
      <c r="D5402" s="496"/>
    </row>
    <row r="5403" spans="1:4" x14ac:dyDescent="0.2">
      <c r="A5403" s="146"/>
      <c r="D5403" s="496"/>
    </row>
    <row r="5404" spans="1:4" x14ac:dyDescent="0.2">
      <c r="A5404" s="146"/>
      <c r="D5404" s="496"/>
    </row>
    <row r="5405" spans="1:4" x14ac:dyDescent="0.2">
      <c r="A5405" s="146"/>
      <c r="D5405" s="496"/>
    </row>
    <row r="5406" spans="1:4" x14ac:dyDescent="0.2">
      <c r="A5406" s="146"/>
      <c r="D5406" s="496"/>
    </row>
    <row r="5407" spans="1:4" x14ac:dyDescent="0.2">
      <c r="A5407" s="146"/>
      <c r="D5407" s="496"/>
    </row>
    <row r="5408" spans="1:4" x14ac:dyDescent="0.2">
      <c r="A5408" s="146"/>
      <c r="D5408" s="496"/>
    </row>
    <row r="5409" spans="1:4" x14ac:dyDescent="0.2">
      <c r="A5409" s="146"/>
      <c r="D5409" s="496"/>
    </row>
    <row r="5410" spans="1:4" x14ac:dyDescent="0.2">
      <c r="A5410" s="146"/>
      <c r="D5410" s="496"/>
    </row>
    <row r="5411" spans="1:4" x14ac:dyDescent="0.2">
      <c r="A5411" s="146"/>
      <c r="D5411" s="496"/>
    </row>
    <row r="5412" spans="1:4" x14ac:dyDescent="0.2">
      <c r="A5412" s="146"/>
      <c r="D5412" s="496"/>
    </row>
    <row r="5413" spans="1:4" x14ac:dyDescent="0.2">
      <c r="A5413" s="146"/>
      <c r="D5413" s="496"/>
    </row>
    <row r="5414" spans="1:4" x14ac:dyDescent="0.2">
      <c r="A5414" s="146"/>
      <c r="D5414" s="496"/>
    </row>
    <row r="5415" spans="1:4" x14ac:dyDescent="0.2">
      <c r="A5415" s="146"/>
      <c r="D5415" s="496"/>
    </row>
    <row r="5416" spans="1:4" x14ac:dyDescent="0.2">
      <c r="A5416" s="146"/>
      <c r="D5416" s="496"/>
    </row>
    <row r="5417" spans="1:4" x14ac:dyDescent="0.2">
      <c r="A5417" s="146"/>
      <c r="D5417" s="496"/>
    </row>
    <row r="5418" spans="1:4" x14ac:dyDescent="0.2">
      <c r="A5418" s="146"/>
      <c r="D5418" s="496"/>
    </row>
    <row r="5419" spans="1:4" x14ac:dyDescent="0.2">
      <c r="A5419" s="146"/>
      <c r="D5419" s="496"/>
    </row>
    <row r="5420" spans="1:4" x14ac:dyDescent="0.2">
      <c r="A5420" s="146"/>
      <c r="D5420" s="496"/>
    </row>
    <row r="5421" spans="1:4" x14ac:dyDescent="0.2">
      <c r="A5421" s="146"/>
      <c r="D5421" s="496"/>
    </row>
    <row r="5422" spans="1:4" x14ac:dyDescent="0.2">
      <c r="A5422" s="146"/>
      <c r="D5422" s="496"/>
    </row>
    <row r="5423" spans="1:4" x14ac:dyDescent="0.2">
      <c r="A5423" s="146"/>
      <c r="D5423" s="496"/>
    </row>
    <row r="5424" spans="1:4" x14ac:dyDescent="0.2">
      <c r="A5424" s="146"/>
      <c r="D5424" s="496"/>
    </row>
    <row r="5425" spans="1:4" x14ac:dyDescent="0.2">
      <c r="A5425" s="146"/>
      <c r="D5425" s="496"/>
    </row>
    <row r="5426" spans="1:4" x14ac:dyDescent="0.2">
      <c r="A5426" s="146"/>
      <c r="D5426" s="496"/>
    </row>
    <row r="5427" spans="1:4" x14ac:dyDescent="0.2">
      <c r="A5427" s="146"/>
      <c r="D5427" s="496"/>
    </row>
    <row r="5428" spans="1:4" x14ac:dyDescent="0.2">
      <c r="A5428" s="146"/>
      <c r="D5428" s="496"/>
    </row>
    <row r="5429" spans="1:4" x14ac:dyDescent="0.2">
      <c r="A5429" s="146"/>
      <c r="D5429" s="496"/>
    </row>
    <row r="5430" spans="1:4" x14ac:dyDescent="0.2">
      <c r="A5430" s="146"/>
      <c r="D5430" s="496"/>
    </row>
    <row r="5431" spans="1:4" x14ac:dyDescent="0.2">
      <c r="A5431" s="146"/>
      <c r="D5431" s="496"/>
    </row>
    <row r="5432" spans="1:4" x14ac:dyDescent="0.2">
      <c r="A5432" s="146"/>
      <c r="D5432" s="496"/>
    </row>
    <row r="5433" spans="1:4" x14ac:dyDescent="0.2">
      <c r="A5433" s="146"/>
      <c r="D5433" s="496"/>
    </row>
    <row r="5434" spans="1:4" x14ac:dyDescent="0.2">
      <c r="A5434" s="146"/>
      <c r="D5434" s="496"/>
    </row>
    <row r="5435" spans="1:4" x14ac:dyDescent="0.2">
      <c r="A5435" s="146"/>
      <c r="D5435" s="496"/>
    </row>
    <row r="5436" spans="1:4" x14ac:dyDescent="0.2">
      <c r="A5436" s="146"/>
      <c r="D5436" s="496"/>
    </row>
    <row r="5437" spans="1:4" x14ac:dyDescent="0.2">
      <c r="A5437" s="146"/>
      <c r="D5437" s="496"/>
    </row>
    <row r="5438" spans="1:4" x14ac:dyDescent="0.2">
      <c r="A5438" s="146"/>
      <c r="D5438" s="496"/>
    </row>
    <row r="5439" spans="1:4" x14ac:dyDescent="0.2">
      <c r="A5439" s="146"/>
      <c r="D5439" s="496"/>
    </row>
    <row r="5440" spans="1:4" x14ac:dyDescent="0.2">
      <c r="A5440" s="146"/>
      <c r="D5440" s="496"/>
    </row>
    <row r="5441" spans="1:4" x14ac:dyDescent="0.2">
      <c r="A5441" s="146"/>
      <c r="D5441" s="496"/>
    </row>
    <row r="5442" spans="1:4" x14ac:dyDescent="0.2">
      <c r="A5442" s="146"/>
      <c r="D5442" s="496"/>
    </row>
    <row r="5443" spans="1:4" x14ac:dyDescent="0.2">
      <c r="A5443" s="146"/>
      <c r="D5443" s="496"/>
    </row>
    <row r="5444" spans="1:4" x14ac:dyDescent="0.2">
      <c r="A5444" s="146"/>
      <c r="D5444" s="496"/>
    </row>
    <row r="5445" spans="1:4" x14ac:dyDescent="0.2">
      <c r="A5445" s="146"/>
      <c r="D5445" s="496"/>
    </row>
    <row r="5446" spans="1:4" x14ac:dyDescent="0.2">
      <c r="A5446" s="146"/>
      <c r="D5446" s="496"/>
    </row>
    <row r="5447" spans="1:4" x14ac:dyDescent="0.2">
      <c r="A5447" s="146"/>
      <c r="D5447" s="496"/>
    </row>
    <row r="5448" spans="1:4" x14ac:dyDescent="0.2">
      <c r="A5448" s="146"/>
      <c r="D5448" s="496"/>
    </row>
    <row r="5449" spans="1:4" x14ac:dyDescent="0.2">
      <c r="A5449" s="146"/>
      <c r="D5449" s="496"/>
    </row>
    <row r="5450" spans="1:4" x14ac:dyDescent="0.2">
      <c r="A5450" s="146"/>
      <c r="D5450" s="496"/>
    </row>
    <row r="5451" spans="1:4" x14ac:dyDescent="0.2">
      <c r="A5451" s="146"/>
      <c r="D5451" s="496"/>
    </row>
    <row r="5452" spans="1:4" x14ac:dyDescent="0.2">
      <c r="A5452" s="146"/>
      <c r="D5452" s="496"/>
    </row>
    <row r="5453" spans="1:4" x14ac:dyDescent="0.2">
      <c r="A5453" s="146"/>
      <c r="D5453" s="496"/>
    </row>
    <row r="5454" spans="1:4" x14ac:dyDescent="0.2">
      <c r="A5454" s="146"/>
      <c r="D5454" s="496"/>
    </row>
    <row r="5455" spans="1:4" x14ac:dyDescent="0.2">
      <c r="A5455" s="146"/>
      <c r="D5455" s="496"/>
    </row>
    <row r="5456" spans="1:4" x14ac:dyDescent="0.2">
      <c r="A5456" s="146"/>
      <c r="D5456" s="496"/>
    </row>
    <row r="5457" spans="1:4" x14ac:dyDescent="0.2">
      <c r="A5457" s="146"/>
      <c r="D5457" s="496"/>
    </row>
    <row r="5458" spans="1:4" x14ac:dyDescent="0.2">
      <c r="A5458" s="146"/>
      <c r="D5458" s="496"/>
    </row>
    <row r="5459" spans="1:4" x14ac:dyDescent="0.2">
      <c r="A5459" s="146"/>
      <c r="D5459" s="496"/>
    </row>
    <row r="5460" spans="1:4" x14ac:dyDescent="0.2">
      <c r="A5460" s="146"/>
      <c r="D5460" s="496"/>
    </row>
    <row r="5461" spans="1:4" x14ac:dyDescent="0.2">
      <c r="A5461" s="146"/>
      <c r="D5461" s="496"/>
    </row>
    <row r="5462" spans="1:4" x14ac:dyDescent="0.2">
      <c r="A5462" s="146"/>
      <c r="D5462" s="496"/>
    </row>
    <row r="5463" spans="1:4" x14ac:dyDescent="0.2">
      <c r="A5463" s="146"/>
      <c r="D5463" s="496"/>
    </row>
    <row r="5464" spans="1:4" x14ac:dyDescent="0.2">
      <c r="A5464" s="146"/>
      <c r="D5464" s="496"/>
    </row>
    <row r="5465" spans="1:4" x14ac:dyDescent="0.2">
      <c r="A5465" s="146"/>
      <c r="D5465" s="496"/>
    </row>
    <row r="5466" spans="1:4" x14ac:dyDescent="0.2">
      <c r="A5466" s="146"/>
      <c r="D5466" s="496"/>
    </row>
    <row r="5467" spans="1:4" x14ac:dyDescent="0.2">
      <c r="A5467" s="146"/>
      <c r="D5467" s="496"/>
    </row>
    <row r="5468" spans="1:4" x14ac:dyDescent="0.2">
      <c r="A5468" s="146"/>
      <c r="D5468" s="496"/>
    </row>
    <row r="5469" spans="1:4" x14ac:dyDescent="0.2">
      <c r="A5469" s="146"/>
      <c r="D5469" s="496"/>
    </row>
    <row r="5470" spans="1:4" x14ac:dyDescent="0.2">
      <c r="A5470" s="146"/>
      <c r="D5470" s="496"/>
    </row>
    <row r="5471" spans="1:4" x14ac:dyDescent="0.2">
      <c r="A5471" s="146"/>
      <c r="D5471" s="496"/>
    </row>
    <row r="5472" spans="1:4" x14ac:dyDescent="0.2">
      <c r="A5472" s="146"/>
      <c r="D5472" s="496"/>
    </row>
    <row r="5473" spans="1:4" x14ac:dyDescent="0.2">
      <c r="A5473" s="146"/>
      <c r="D5473" s="496"/>
    </row>
    <row r="5474" spans="1:4" x14ac:dyDescent="0.2">
      <c r="A5474" s="146"/>
      <c r="D5474" s="496"/>
    </row>
    <row r="5475" spans="1:4" x14ac:dyDescent="0.2">
      <c r="A5475" s="146"/>
      <c r="D5475" s="496"/>
    </row>
    <row r="5476" spans="1:4" x14ac:dyDescent="0.2">
      <c r="A5476" s="146"/>
      <c r="D5476" s="496"/>
    </row>
    <row r="5477" spans="1:4" x14ac:dyDescent="0.2">
      <c r="A5477" s="146"/>
      <c r="D5477" s="496"/>
    </row>
    <row r="5478" spans="1:4" x14ac:dyDescent="0.2">
      <c r="A5478" s="146"/>
      <c r="D5478" s="496"/>
    </row>
    <row r="5479" spans="1:4" x14ac:dyDescent="0.2">
      <c r="A5479" s="146"/>
      <c r="D5479" s="496"/>
    </row>
    <row r="5480" spans="1:4" x14ac:dyDescent="0.2">
      <c r="A5480" s="146"/>
      <c r="D5480" s="496"/>
    </row>
    <row r="5481" spans="1:4" x14ac:dyDescent="0.2">
      <c r="A5481" s="146"/>
      <c r="D5481" s="496"/>
    </row>
    <row r="5482" spans="1:4" x14ac:dyDescent="0.2">
      <c r="A5482" s="146"/>
      <c r="D5482" s="496"/>
    </row>
    <row r="5483" spans="1:4" x14ac:dyDescent="0.2">
      <c r="A5483" s="146"/>
      <c r="D5483" s="496"/>
    </row>
    <row r="5484" spans="1:4" x14ac:dyDescent="0.2">
      <c r="A5484" s="146"/>
      <c r="D5484" s="496"/>
    </row>
    <row r="5485" spans="1:4" x14ac:dyDescent="0.2">
      <c r="A5485" s="146"/>
      <c r="D5485" s="496"/>
    </row>
    <row r="5486" spans="1:4" x14ac:dyDescent="0.2">
      <c r="A5486" s="146"/>
      <c r="D5486" s="496"/>
    </row>
    <row r="5487" spans="1:4" x14ac:dyDescent="0.2">
      <c r="A5487" s="146"/>
      <c r="D5487" s="496"/>
    </row>
    <row r="5488" spans="1:4" x14ac:dyDescent="0.2">
      <c r="A5488" s="146"/>
      <c r="D5488" s="496"/>
    </row>
    <row r="5489" spans="1:4" x14ac:dyDescent="0.2">
      <c r="A5489" s="146"/>
      <c r="D5489" s="496"/>
    </row>
    <row r="5490" spans="1:4" x14ac:dyDescent="0.2">
      <c r="A5490" s="146"/>
      <c r="D5490" s="496"/>
    </row>
    <row r="5491" spans="1:4" x14ac:dyDescent="0.2">
      <c r="A5491" s="146"/>
      <c r="D5491" s="496"/>
    </row>
    <row r="5492" spans="1:4" x14ac:dyDescent="0.2">
      <c r="A5492" s="146"/>
      <c r="D5492" s="496"/>
    </row>
    <row r="5493" spans="1:4" x14ac:dyDescent="0.2">
      <c r="A5493" s="146"/>
      <c r="D5493" s="496"/>
    </row>
    <row r="5494" spans="1:4" x14ac:dyDescent="0.2">
      <c r="A5494" s="146"/>
      <c r="D5494" s="496"/>
    </row>
    <row r="5495" spans="1:4" x14ac:dyDescent="0.2">
      <c r="A5495" s="146"/>
      <c r="D5495" s="496"/>
    </row>
    <row r="5496" spans="1:4" x14ac:dyDescent="0.2">
      <c r="A5496" s="146"/>
      <c r="D5496" s="496"/>
    </row>
    <row r="5497" spans="1:4" x14ac:dyDescent="0.2">
      <c r="A5497" s="146"/>
      <c r="D5497" s="496"/>
    </row>
    <row r="5498" spans="1:4" x14ac:dyDescent="0.2">
      <c r="A5498" s="146"/>
      <c r="D5498" s="496"/>
    </row>
    <row r="5499" spans="1:4" x14ac:dyDescent="0.2">
      <c r="A5499" s="146"/>
      <c r="D5499" s="496"/>
    </row>
    <row r="5500" spans="1:4" x14ac:dyDescent="0.2">
      <c r="A5500" s="146"/>
      <c r="D5500" s="496"/>
    </row>
    <row r="5501" spans="1:4" x14ac:dyDescent="0.2">
      <c r="A5501" s="146"/>
      <c r="D5501" s="496"/>
    </row>
    <row r="5502" spans="1:4" x14ac:dyDescent="0.2">
      <c r="A5502" s="146"/>
      <c r="D5502" s="496"/>
    </row>
    <row r="5503" spans="1:4" x14ac:dyDescent="0.2">
      <c r="A5503" s="146"/>
      <c r="D5503" s="496"/>
    </row>
    <row r="5504" spans="1:4" x14ac:dyDescent="0.2">
      <c r="A5504" s="146"/>
      <c r="D5504" s="496"/>
    </row>
    <row r="5505" spans="1:4" x14ac:dyDescent="0.2">
      <c r="A5505" s="146"/>
      <c r="D5505" s="496"/>
    </row>
    <row r="5506" spans="1:4" x14ac:dyDescent="0.2">
      <c r="A5506" s="146"/>
      <c r="D5506" s="496"/>
    </row>
    <row r="5507" spans="1:4" x14ac:dyDescent="0.2">
      <c r="A5507" s="146"/>
      <c r="D5507" s="496"/>
    </row>
    <row r="5508" spans="1:4" x14ac:dyDescent="0.2">
      <c r="A5508" s="146"/>
      <c r="D5508" s="496"/>
    </row>
    <row r="5509" spans="1:4" x14ac:dyDescent="0.2">
      <c r="A5509" s="146"/>
      <c r="D5509" s="496"/>
    </row>
    <row r="5510" spans="1:4" x14ac:dyDescent="0.2">
      <c r="A5510" s="146"/>
      <c r="D5510" s="496"/>
    </row>
    <row r="5511" spans="1:4" x14ac:dyDescent="0.2">
      <c r="A5511" s="146"/>
      <c r="D5511" s="496"/>
    </row>
    <row r="5512" spans="1:4" x14ac:dyDescent="0.2">
      <c r="A5512" s="146"/>
      <c r="D5512" s="496"/>
    </row>
    <row r="5513" spans="1:4" x14ac:dyDescent="0.2">
      <c r="A5513" s="146"/>
      <c r="D5513" s="496"/>
    </row>
    <row r="5514" spans="1:4" x14ac:dyDescent="0.2">
      <c r="A5514" s="146"/>
      <c r="D5514" s="496"/>
    </row>
    <row r="5515" spans="1:4" x14ac:dyDescent="0.2">
      <c r="A5515" s="146"/>
      <c r="D5515" s="496"/>
    </row>
    <row r="5516" spans="1:4" x14ac:dyDescent="0.2">
      <c r="A5516" s="146"/>
      <c r="D5516" s="496"/>
    </row>
    <row r="5517" spans="1:4" x14ac:dyDescent="0.2">
      <c r="A5517" s="146"/>
      <c r="D5517" s="496"/>
    </row>
    <row r="5518" spans="1:4" x14ac:dyDescent="0.2">
      <c r="A5518" s="146"/>
      <c r="D5518" s="496"/>
    </row>
    <row r="5519" spans="1:4" x14ac:dyDescent="0.2">
      <c r="A5519" s="146"/>
      <c r="D5519" s="496"/>
    </row>
    <row r="5520" spans="1:4" x14ac:dyDescent="0.2">
      <c r="A5520" s="146"/>
      <c r="D5520" s="496"/>
    </row>
    <row r="5521" spans="1:4" x14ac:dyDescent="0.2">
      <c r="A5521" s="146"/>
      <c r="D5521" s="496"/>
    </row>
    <row r="5522" spans="1:4" x14ac:dyDescent="0.2">
      <c r="A5522" s="146"/>
      <c r="D5522" s="496"/>
    </row>
    <row r="5523" spans="1:4" x14ac:dyDescent="0.2">
      <c r="A5523" s="146"/>
      <c r="D5523" s="496"/>
    </row>
    <row r="5524" spans="1:4" x14ac:dyDescent="0.2">
      <c r="A5524" s="146"/>
      <c r="D5524" s="496"/>
    </row>
    <row r="5525" spans="1:4" x14ac:dyDescent="0.2">
      <c r="A5525" s="146"/>
      <c r="D5525" s="496"/>
    </row>
    <row r="5526" spans="1:4" x14ac:dyDescent="0.2">
      <c r="A5526" s="146"/>
      <c r="D5526" s="496"/>
    </row>
    <row r="5527" spans="1:4" x14ac:dyDescent="0.2">
      <c r="A5527" s="146"/>
      <c r="D5527" s="496"/>
    </row>
    <row r="5528" spans="1:4" x14ac:dyDescent="0.2">
      <c r="A5528" s="146"/>
      <c r="D5528" s="496"/>
    </row>
    <row r="5529" spans="1:4" x14ac:dyDescent="0.2">
      <c r="A5529" s="146"/>
      <c r="D5529" s="496"/>
    </row>
    <row r="5530" spans="1:4" x14ac:dyDescent="0.2">
      <c r="A5530" s="146"/>
      <c r="D5530" s="496"/>
    </row>
    <row r="5531" spans="1:4" x14ac:dyDescent="0.2">
      <c r="A5531" s="146"/>
      <c r="D5531" s="496"/>
    </row>
    <row r="5532" spans="1:4" x14ac:dyDescent="0.2">
      <c r="A5532" s="146"/>
      <c r="D5532" s="496"/>
    </row>
    <row r="5533" spans="1:4" x14ac:dyDescent="0.2">
      <c r="A5533" s="146"/>
      <c r="D5533" s="496"/>
    </row>
    <row r="5534" spans="1:4" x14ac:dyDescent="0.2">
      <c r="A5534" s="146"/>
      <c r="D5534" s="496"/>
    </row>
    <row r="5535" spans="1:4" x14ac:dyDescent="0.2">
      <c r="A5535" s="146"/>
      <c r="D5535" s="496"/>
    </row>
    <row r="5536" spans="1:4" x14ac:dyDescent="0.2">
      <c r="A5536" s="146"/>
      <c r="D5536" s="496"/>
    </row>
    <row r="5537" spans="1:4" x14ac:dyDescent="0.2">
      <c r="A5537" s="146"/>
      <c r="D5537" s="496"/>
    </row>
    <row r="5538" spans="1:4" x14ac:dyDescent="0.2">
      <c r="A5538" s="146"/>
      <c r="D5538" s="496"/>
    </row>
    <row r="5539" spans="1:4" x14ac:dyDescent="0.2">
      <c r="A5539" s="146"/>
      <c r="D5539" s="496"/>
    </row>
    <row r="5540" spans="1:4" x14ac:dyDescent="0.2">
      <c r="A5540" s="146"/>
      <c r="D5540" s="496"/>
    </row>
    <row r="5541" spans="1:4" x14ac:dyDescent="0.2">
      <c r="A5541" s="146"/>
      <c r="D5541" s="496"/>
    </row>
    <row r="5542" spans="1:4" x14ac:dyDescent="0.2">
      <c r="A5542" s="146"/>
      <c r="D5542" s="496"/>
    </row>
    <row r="5543" spans="1:4" x14ac:dyDescent="0.2">
      <c r="A5543" s="146"/>
      <c r="D5543" s="496"/>
    </row>
    <row r="5544" spans="1:4" x14ac:dyDescent="0.2">
      <c r="A5544" s="146"/>
      <c r="D5544" s="496"/>
    </row>
    <row r="5545" spans="1:4" x14ac:dyDescent="0.2">
      <c r="A5545" s="146"/>
      <c r="D5545" s="496"/>
    </row>
    <row r="5546" spans="1:4" x14ac:dyDescent="0.2">
      <c r="A5546" s="146"/>
      <c r="D5546" s="496"/>
    </row>
    <row r="5547" spans="1:4" x14ac:dyDescent="0.2">
      <c r="A5547" s="146"/>
      <c r="D5547" s="496"/>
    </row>
    <row r="5548" spans="1:4" x14ac:dyDescent="0.2">
      <c r="A5548" s="146"/>
      <c r="D5548" s="496"/>
    </row>
    <row r="5549" spans="1:4" x14ac:dyDescent="0.2">
      <c r="A5549" s="146"/>
      <c r="D5549" s="496"/>
    </row>
    <row r="5550" spans="1:4" x14ac:dyDescent="0.2">
      <c r="A5550" s="146"/>
      <c r="D5550" s="496"/>
    </row>
    <row r="5551" spans="1:4" x14ac:dyDescent="0.2">
      <c r="A5551" s="146"/>
      <c r="D5551" s="496"/>
    </row>
    <row r="5552" spans="1:4" x14ac:dyDescent="0.2">
      <c r="A5552" s="146"/>
      <c r="D5552" s="496"/>
    </row>
    <row r="5553" spans="1:4" x14ac:dyDescent="0.2">
      <c r="A5553" s="146"/>
      <c r="D5553" s="496"/>
    </row>
    <row r="5554" spans="1:4" x14ac:dyDescent="0.2">
      <c r="A5554" s="146"/>
      <c r="D5554" s="496"/>
    </row>
    <row r="5555" spans="1:4" x14ac:dyDescent="0.2">
      <c r="A5555" s="146"/>
      <c r="D5555" s="496"/>
    </row>
    <row r="5556" spans="1:4" x14ac:dyDescent="0.2">
      <c r="A5556" s="146"/>
      <c r="D5556" s="496"/>
    </row>
    <row r="5557" spans="1:4" x14ac:dyDescent="0.2">
      <c r="A5557" s="146"/>
      <c r="D5557" s="496"/>
    </row>
    <row r="5558" spans="1:4" x14ac:dyDescent="0.2">
      <c r="A5558" s="146"/>
      <c r="D5558" s="496"/>
    </row>
    <row r="5559" spans="1:4" x14ac:dyDescent="0.2">
      <c r="A5559" s="146"/>
      <c r="D5559" s="496"/>
    </row>
    <row r="5560" spans="1:4" x14ac:dyDescent="0.2">
      <c r="A5560" s="146"/>
      <c r="D5560" s="496"/>
    </row>
    <row r="5561" spans="1:4" x14ac:dyDescent="0.2">
      <c r="A5561" s="146"/>
      <c r="D5561" s="496"/>
    </row>
    <row r="5562" spans="1:4" x14ac:dyDescent="0.2">
      <c r="A5562" s="146"/>
      <c r="D5562" s="496"/>
    </row>
    <row r="5563" spans="1:4" x14ac:dyDescent="0.2">
      <c r="A5563" s="146"/>
      <c r="D5563" s="496"/>
    </row>
    <row r="5564" spans="1:4" x14ac:dyDescent="0.2">
      <c r="A5564" s="146"/>
      <c r="D5564" s="496"/>
    </row>
    <row r="5565" spans="1:4" x14ac:dyDescent="0.2">
      <c r="A5565" s="146"/>
      <c r="D5565" s="496"/>
    </row>
    <row r="5566" spans="1:4" x14ac:dyDescent="0.2">
      <c r="A5566" s="146"/>
      <c r="D5566" s="496"/>
    </row>
    <row r="5567" spans="1:4" x14ac:dyDescent="0.2">
      <c r="A5567" s="146"/>
      <c r="D5567" s="496"/>
    </row>
    <row r="5568" spans="1:4" x14ac:dyDescent="0.2">
      <c r="A5568" s="146"/>
      <c r="D5568" s="496"/>
    </row>
    <row r="5569" spans="1:4" x14ac:dyDescent="0.2">
      <c r="A5569" s="146"/>
      <c r="D5569" s="496"/>
    </row>
    <row r="5570" spans="1:4" x14ac:dyDescent="0.2">
      <c r="A5570" s="146"/>
      <c r="D5570" s="496"/>
    </row>
    <row r="5571" spans="1:4" x14ac:dyDescent="0.2">
      <c r="A5571" s="146"/>
      <c r="D5571" s="496"/>
    </row>
    <row r="5572" spans="1:4" x14ac:dyDescent="0.2">
      <c r="A5572" s="146"/>
      <c r="D5572" s="496"/>
    </row>
    <row r="5573" spans="1:4" x14ac:dyDescent="0.2">
      <c r="A5573" s="146"/>
      <c r="D5573" s="496"/>
    </row>
    <row r="5574" spans="1:4" x14ac:dyDescent="0.2">
      <c r="A5574" s="146"/>
      <c r="D5574" s="496"/>
    </row>
    <row r="5575" spans="1:4" x14ac:dyDescent="0.2">
      <c r="A5575" s="146"/>
      <c r="D5575" s="496"/>
    </row>
    <row r="5576" spans="1:4" x14ac:dyDescent="0.2">
      <c r="A5576" s="146"/>
      <c r="D5576" s="496"/>
    </row>
    <row r="5577" spans="1:4" x14ac:dyDescent="0.2">
      <c r="A5577" s="146"/>
      <c r="D5577" s="496"/>
    </row>
    <row r="5578" spans="1:4" x14ac:dyDescent="0.2">
      <c r="A5578" s="146"/>
      <c r="D5578" s="496"/>
    </row>
    <row r="5579" spans="1:4" x14ac:dyDescent="0.2">
      <c r="A5579" s="146"/>
      <c r="D5579" s="496"/>
    </row>
    <row r="5580" spans="1:4" x14ac:dyDescent="0.2">
      <c r="A5580" s="146"/>
      <c r="D5580" s="496"/>
    </row>
    <row r="5581" spans="1:4" x14ac:dyDescent="0.2">
      <c r="A5581" s="146"/>
      <c r="D5581" s="496"/>
    </row>
    <row r="5582" spans="1:4" x14ac:dyDescent="0.2">
      <c r="A5582" s="146"/>
      <c r="D5582" s="496"/>
    </row>
    <row r="5583" spans="1:4" x14ac:dyDescent="0.2">
      <c r="A5583" s="146"/>
      <c r="D5583" s="496"/>
    </row>
    <row r="5584" spans="1:4" x14ac:dyDescent="0.2">
      <c r="A5584" s="146"/>
      <c r="D5584" s="496"/>
    </row>
    <row r="5585" spans="1:4" x14ac:dyDescent="0.2">
      <c r="A5585" s="146"/>
      <c r="D5585" s="496"/>
    </row>
    <row r="5586" spans="1:4" x14ac:dyDescent="0.2">
      <c r="A5586" s="146"/>
      <c r="D5586" s="496"/>
    </row>
    <row r="5587" spans="1:4" x14ac:dyDescent="0.2">
      <c r="A5587" s="146"/>
      <c r="D5587" s="496"/>
    </row>
    <row r="5588" spans="1:4" x14ac:dyDescent="0.2">
      <c r="A5588" s="146"/>
      <c r="D5588" s="496"/>
    </row>
    <row r="5589" spans="1:4" x14ac:dyDescent="0.2">
      <c r="A5589" s="146"/>
      <c r="D5589" s="496"/>
    </row>
    <row r="5590" spans="1:4" x14ac:dyDescent="0.2">
      <c r="A5590" s="146"/>
      <c r="D5590" s="496"/>
    </row>
    <row r="5591" spans="1:4" x14ac:dyDescent="0.2">
      <c r="A5591" s="146"/>
      <c r="D5591" s="496"/>
    </row>
    <row r="5592" spans="1:4" x14ac:dyDescent="0.2">
      <c r="A5592" s="146"/>
      <c r="D5592" s="496"/>
    </row>
    <row r="5593" spans="1:4" x14ac:dyDescent="0.2">
      <c r="A5593" s="146"/>
      <c r="D5593" s="496"/>
    </row>
    <row r="5594" spans="1:4" x14ac:dyDescent="0.2">
      <c r="A5594" s="146"/>
      <c r="D5594" s="496"/>
    </row>
    <row r="5595" spans="1:4" x14ac:dyDescent="0.2">
      <c r="A5595" s="146"/>
      <c r="D5595" s="496"/>
    </row>
    <row r="5596" spans="1:4" x14ac:dyDescent="0.2">
      <c r="A5596" s="146"/>
      <c r="D5596" s="496"/>
    </row>
    <row r="5597" spans="1:4" x14ac:dyDescent="0.2">
      <c r="A5597" s="146"/>
      <c r="D5597" s="496"/>
    </row>
    <row r="5598" spans="1:4" x14ac:dyDescent="0.2">
      <c r="A5598" s="146"/>
      <c r="D5598" s="496"/>
    </row>
    <row r="5599" spans="1:4" x14ac:dyDescent="0.2">
      <c r="A5599" s="146"/>
      <c r="D5599" s="496"/>
    </row>
    <row r="5600" spans="1:4" x14ac:dyDescent="0.2">
      <c r="A5600" s="146"/>
      <c r="D5600" s="496"/>
    </row>
    <row r="5601" spans="1:4" x14ac:dyDescent="0.2">
      <c r="A5601" s="146"/>
      <c r="D5601" s="496"/>
    </row>
    <row r="5602" spans="1:4" x14ac:dyDescent="0.2">
      <c r="A5602" s="146"/>
      <c r="D5602" s="496"/>
    </row>
    <row r="5603" spans="1:4" x14ac:dyDescent="0.2">
      <c r="A5603" s="146"/>
      <c r="D5603" s="496"/>
    </row>
    <row r="5604" spans="1:4" x14ac:dyDescent="0.2">
      <c r="A5604" s="146"/>
      <c r="D5604" s="496"/>
    </row>
    <row r="5605" spans="1:4" x14ac:dyDescent="0.2">
      <c r="A5605" s="146"/>
      <c r="D5605" s="496"/>
    </row>
    <row r="5606" spans="1:4" x14ac:dyDescent="0.2">
      <c r="A5606" s="146"/>
      <c r="D5606" s="496"/>
    </row>
    <row r="5607" spans="1:4" x14ac:dyDescent="0.2">
      <c r="A5607" s="146"/>
      <c r="D5607" s="496"/>
    </row>
    <row r="5608" spans="1:4" x14ac:dyDescent="0.2">
      <c r="A5608" s="146"/>
      <c r="D5608" s="496"/>
    </row>
    <row r="5609" spans="1:4" x14ac:dyDescent="0.2">
      <c r="A5609" s="146"/>
      <c r="D5609" s="496"/>
    </row>
    <row r="5610" spans="1:4" x14ac:dyDescent="0.2">
      <c r="A5610" s="146"/>
      <c r="D5610" s="496"/>
    </row>
    <row r="5611" spans="1:4" x14ac:dyDescent="0.2">
      <c r="A5611" s="146"/>
      <c r="D5611" s="496"/>
    </row>
    <row r="5612" spans="1:4" x14ac:dyDescent="0.2">
      <c r="A5612" s="146"/>
      <c r="D5612" s="496"/>
    </row>
    <row r="5613" spans="1:4" x14ac:dyDescent="0.2">
      <c r="A5613" s="146"/>
      <c r="D5613" s="496"/>
    </row>
    <row r="5614" spans="1:4" x14ac:dyDescent="0.2">
      <c r="A5614" s="146"/>
      <c r="D5614" s="496"/>
    </row>
    <row r="5615" spans="1:4" x14ac:dyDescent="0.2">
      <c r="A5615" s="146"/>
      <c r="D5615" s="496"/>
    </row>
    <row r="5616" spans="1:4" x14ac:dyDescent="0.2">
      <c r="A5616" s="146"/>
      <c r="D5616" s="496"/>
    </row>
    <row r="5617" spans="1:4" x14ac:dyDescent="0.2">
      <c r="A5617" s="146"/>
      <c r="D5617" s="496"/>
    </row>
    <row r="5618" spans="1:4" x14ac:dyDescent="0.2">
      <c r="A5618" s="146"/>
      <c r="D5618" s="496"/>
    </row>
    <row r="5619" spans="1:4" x14ac:dyDescent="0.2">
      <c r="A5619" s="146"/>
      <c r="D5619" s="496"/>
    </row>
    <row r="5620" spans="1:4" x14ac:dyDescent="0.2">
      <c r="A5620" s="146"/>
      <c r="D5620" s="496"/>
    </row>
    <row r="5621" spans="1:4" x14ac:dyDescent="0.2">
      <c r="A5621" s="146"/>
      <c r="D5621" s="496"/>
    </row>
    <row r="5622" spans="1:4" x14ac:dyDescent="0.2">
      <c r="A5622" s="146"/>
      <c r="D5622" s="496"/>
    </row>
    <row r="5623" spans="1:4" x14ac:dyDescent="0.2">
      <c r="A5623" s="146"/>
      <c r="D5623" s="496"/>
    </row>
    <row r="5624" spans="1:4" x14ac:dyDescent="0.2">
      <c r="A5624" s="146"/>
      <c r="D5624" s="496"/>
    </row>
    <row r="5625" spans="1:4" x14ac:dyDescent="0.2">
      <c r="A5625" s="146"/>
      <c r="D5625" s="496"/>
    </row>
    <row r="5626" spans="1:4" x14ac:dyDescent="0.2">
      <c r="A5626" s="146"/>
      <c r="D5626" s="496"/>
    </row>
    <row r="5627" spans="1:4" x14ac:dyDescent="0.2">
      <c r="A5627" s="146"/>
      <c r="D5627" s="496"/>
    </row>
    <row r="5628" spans="1:4" x14ac:dyDescent="0.2">
      <c r="A5628" s="146"/>
      <c r="D5628" s="496"/>
    </row>
    <row r="5629" spans="1:4" x14ac:dyDescent="0.2">
      <c r="A5629" s="146"/>
      <c r="D5629" s="496"/>
    </row>
    <row r="5630" spans="1:4" x14ac:dyDescent="0.2">
      <c r="A5630" s="146"/>
      <c r="D5630" s="496"/>
    </row>
    <row r="5631" spans="1:4" x14ac:dyDescent="0.2">
      <c r="A5631" s="146"/>
      <c r="D5631" s="496"/>
    </row>
    <row r="5632" spans="1:4" x14ac:dyDescent="0.2">
      <c r="A5632" s="146"/>
      <c r="D5632" s="496"/>
    </row>
    <row r="5633" spans="1:4" x14ac:dyDescent="0.2">
      <c r="A5633" s="146"/>
      <c r="D5633" s="496"/>
    </row>
    <row r="5634" spans="1:4" x14ac:dyDescent="0.2">
      <c r="A5634" s="146"/>
      <c r="D5634" s="496"/>
    </row>
    <row r="5635" spans="1:4" x14ac:dyDescent="0.2">
      <c r="A5635" s="146"/>
      <c r="D5635" s="496"/>
    </row>
    <row r="5636" spans="1:4" x14ac:dyDescent="0.2">
      <c r="A5636" s="146"/>
      <c r="D5636" s="496"/>
    </row>
    <row r="5637" spans="1:4" x14ac:dyDescent="0.2">
      <c r="A5637" s="146"/>
      <c r="D5637" s="496"/>
    </row>
    <row r="5638" spans="1:4" x14ac:dyDescent="0.2">
      <c r="A5638" s="146"/>
      <c r="D5638" s="496"/>
    </row>
    <row r="5639" spans="1:4" x14ac:dyDescent="0.2">
      <c r="A5639" s="146"/>
      <c r="D5639" s="496"/>
    </row>
    <row r="5640" spans="1:4" x14ac:dyDescent="0.2">
      <c r="A5640" s="146"/>
      <c r="D5640" s="496"/>
    </row>
    <row r="5641" spans="1:4" x14ac:dyDescent="0.2">
      <c r="A5641" s="146"/>
      <c r="D5641" s="496"/>
    </row>
    <row r="5642" spans="1:4" x14ac:dyDescent="0.2">
      <c r="A5642" s="146"/>
      <c r="D5642" s="496"/>
    </row>
    <row r="5643" spans="1:4" x14ac:dyDescent="0.2">
      <c r="A5643" s="146"/>
      <c r="D5643" s="496"/>
    </row>
    <row r="5644" spans="1:4" x14ac:dyDescent="0.2">
      <c r="A5644" s="146"/>
      <c r="D5644" s="496"/>
    </row>
    <row r="5645" spans="1:4" x14ac:dyDescent="0.2">
      <c r="A5645" s="146"/>
      <c r="D5645" s="496"/>
    </row>
    <row r="5646" spans="1:4" x14ac:dyDescent="0.2">
      <c r="A5646" s="146"/>
      <c r="D5646" s="496"/>
    </row>
    <row r="5647" spans="1:4" x14ac:dyDescent="0.2">
      <c r="A5647" s="146"/>
      <c r="D5647" s="496"/>
    </row>
    <row r="5648" spans="1:4" x14ac:dyDescent="0.2">
      <c r="A5648" s="146"/>
      <c r="D5648" s="496"/>
    </row>
    <row r="5649" spans="1:4" x14ac:dyDescent="0.2">
      <c r="A5649" s="146"/>
      <c r="D5649" s="496"/>
    </row>
    <row r="5650" spans="1:4" x14ac:dyDescent="0.2">
      <c r="A5650" s="146"/>
      <c r="D5650" s="496"/>
    </row>
    <row r="5651" spans="1:4" x14ac:dyDescent="0.2">
      <c r="A5651" s="146"/>
      <c r="D5651" s="496"/>
    </row>
    <row r="5652" spans="1:4" x14ac:dyDescent="0.2">
      <c r="A5652" s="146"/>
      <c r="D5652" s="496"/>
    </row>
    <row r="5653" spans="1:4" x14ac:dyDescent="0.2">
      <c r="A5653" s="146"/>
      <c r="D5653" s="496"/>
    </row>
    <row r="5654" spans="1:4" x14ac:dyDescent="0.2">
      <c r="A5654" s="146"/>
      <c r="D5654" s="496"/>
    </row>
    <row r="5655" spans="1:4" x14ac:dyDescent="0.2">
      <c r="A5655" s="146"/>
      <c r="D5655" s="496"/>
    </row>
    <row r="5656" spans="1:4" x14ac:dyDescent="0.2">
      <c r="A5656" s="146"/>
      <c r="D5656" s="496"/>
    </row>
    <row r="5657" spans="1:4" x14ac:dyDescent="0.2">
      <c r="A5657" s="146"/>
      <c r="D5657" s="496"/>
    </row>
    <row r="5658" spans="1:4" x14ac:dyDescent="0.2">
      <c r="A5658" s="146"/>
      <c r="D5658" s="496"/>
    </row>
    <row r="5659" spans="1:4" x14ac:dyDescent="0.2">
      <c r="A5659" s="146"/>
      <c r="D5659" s="496"/>
    </row>
    <row r="5660" spans="1:4" x14ac:dyDescent="0.2">
      <c r="A5660" s="146"/>
      <c r="D5660" s="496"/>
    </row>
    <row r="5661" spans="1:4" x14ac:dyDescent="0.2">
      <c r="A5661" s="146"/>
      <c r="D5661" s="496"/>
    </row>
    <row r="5662" spans="1:4" x14ac:dyDescent="0.2">
      <c r="A5662" s="146"/>
      <c r="D5662" s="496"/>
    </row>
    <row r="5663" spans="1:4" x14ac:dyDescent="0.2">
      <c r="A5663" s="146"/>
      <c r="D5663" s="496"/>
    </row>
    <row r="5664" spans="1:4" x14ac:dyDescent="0.2">
      <c r="A5664" s="146"/>
      <c r="D5664" s="496"/>
    </row>
    <row r="5665" spans="1:4" x14ac:dyDescent="0.2">
      <c r="A5665" s="146"/>
      <c r="D5665" s="496"/>
    </row>
    <row r="5666" spans="1:4" x14ac:dyDescent="0.2">
      <c r="A5666" s="146"/>
      <c r="D5666" s="496"/>
    </row>
    <row r="5667" spans="1:4" x14ac:dyDescent="0.2">
      <c r="A5667" s="146"/>
      <c r="D5667" s="496"/>
    </row>
    <row r="5668" spans="1:4" x14ac:dyDescent="0.2">
      <c r="A5668" s="146"/>
      <c r="D5668" s="496"/>
    </row>
    <row r="5669" spans="1:4" x14ac:dyDescent="0.2">
      <c r="A5669" s="146"/>
      <c r="D5669" s="496"/>
    </row>
    <row r="5670" spans="1:4" x14ac:dyDescent="0.2">
      <c r="A5670" s="146"/>
      <c r="D5670" s="496"/>
    </row>
    <row r="5671" spans="1:4" x14ac:dyDescent="0.2">
      <c r="A5671" s="146"/>
      <c r="D5671" s="496"/>
    </row>
    <row r="5672" spans="1:4" x14ac:dyDescent="0.2">
      <c r="A5672" s="146"/>
      <c r="D5672" s="496"/>
    </row>
    <row r="5673" spans="1:4" x14ac:dyDescent="0.2">
      <c r="A5673" s="146"/>
      <c r="D5673" s="496"/>
    </row>
    <row r="5674" spans="1:4" x14ac:dyDescent="0.2">
      <c r="A5674" s="146"/>
      <c r="D5674" s="496"/>
    </row>
    <row r="5675" spans="1:4" x14ac:dyDescent="0.2">
      <c r="A5675" s="146"/>
      <c r="D5675" s="496"/>
    </row>
    <row r="5676" spans="1:4" x14ac:dyDescent="0.2">
      <c r="A5676" s="146"/>
      <c r="D5676" s="496"/>
    </row>
    <row r="5677" spans="1:4" x14ac:dyDescent="0.2">
      <c r="A5677" s="146"/>
      <c r="D5677" s="496"/>
    </row>
    <row r="5678" spans="1:4" x14ac:dyDescent="0.2">
      <c r="A5678" s="146"/>
      <c r="D5678" s="496"/>
    </row>
    <row r="5679" spans="1:4" x14ac:dyDescent="0.2">
      <c r="A5679" s="146"/>
      <c r="D5679" s="496"/>
    </row>
    <row r="5680" spans="1:4" x14ac:dyDescent="0.2">
      <c r="A5680" s="146"/>
      <c r="D5680" s="496"/>
    </row>
    <row r="5681" spans="1:4" x14ac:dyDescent="0.2">
      <c r="A5681" s="146"/>
      <c r="D5681" s="496"/>
    </row>
    <row r="5682" spans="1:4" x14ac:dyDescent="0.2">
      <c r="A5682" s="146"/>
      <c r="D5682" s="496"/>
    </row>
    <row r="5683" spans="1:4" x14ac:dyDescent="0.2">
      <c r="A5683" s="146"/>
      <c r="D5683" s="496"/>
    </row>
    <row r="5684" spans="1:4" x14ac:dyDescent="0.2">
      <c r="A5684" s="146"/>
      <c r="D5684" s="496"/>
    </row>
    <row r="5685" spans="1:4" x14ac:dyDescent="0.2">
      <c r="A5685" s="146"/>
      <c r="D5685" s="496"/>
    </row>
    <row r="5686" spans="1:4" x14ac:dyDescent="0.2">
      <c r="A5686" s="146"/>
      <c r="D5686" s="496"/>
    </row>
    <row r="5687" spans="1:4" x14ac:dyDescent="0.2">
      <c r="A5687" s="146"/>
      <c r="D5687" s="496"/>
    </row>
    <row r="5688" spans="1:4" x14ac:dyDescent="0.2">
      <c r="A5688" s="146"/>
      <c r="D5688" s="496"/>
    </row>
    <row r="5689" spans="1:4" x14ac:dyDescent="0.2">
      <c r="A5689" s="146"/>
      <c r="D5689" s="496"/>
    </row>
    <row r="5690" spans="1:4" x14ac:dyDescent="0.2">
      <c r="A5690" s="146"/>
      <c r="D5690" s="496"/>
    </row>
    <row r="5691" spans="1:4" x14ac:dyDescent="0.2">
      <c r="A5691" s="146"/>
      <c r="D5691" s="496"/>
    </row>
    <row r="5692" spans="1:4" x14ac:dyDescent="0.2">
      <c r="A5692" s="146"/>
      <c r="D5692" s="496"/>
    </row>
    <row r="5693" spans="1:4" x14ac:dyDescent="0.2">
      <c r="A5693" s="146"/>
      <c r="D5693" s="496"/>
    </row>
    <row r="5694" spans="1:4" x14ac:dyDescent="0.2">
      <c r="A5694" s="146"/>
      <c r="D5694" s="496"/>
    </row>
    <row r="5695" spans="1:4" x14ac:dyDescent="0.2">
      <c r="A5695" s="146"/>
      <c r="D5695" s="496"/>
    </row>
    <row r="5696" spans="1:4" x14ac:dyDescent="0.2">
      <c r="A5696" s="146"/>
      <c r="D5696" s="496"/>
    </row>
    <row r="5697" spans="1:4" x14ac:dyDescent="0.2">
      <c r="A5697" s="146"/>
      <c r="D5697" s="496"/>
    </row>
    <row r="5698" spans="1:4" x14ac:dyDescent="0.2">
      <c r="A5698" s="146"/>
      <c r="D5698" s="496"/>
    </row>
    <row r="5699" spans="1:4" x14ac:dyDescent="0.2">
      <c r="A5699" s="146"/>
      <c r="D5699" s="496"/>
    </row>
    <row r="5700" spans="1:4" x14ac:dyDescent="0.2">
      <c r="A5700" s="146"/>
      <c r="D5700" s="496"/>
    </row>
    <row r="5701" spans="1:4" x14ac:dyDescent="0.2">
      <c r="A5701" s="146"/>
      <c r="D5701" s="496"/>
    </row>
    <row r="5702" spans="1:4" x14ac:dyDescent="0.2">
      <c r="A5702" s="146"/>
      <c r="D5702" s="496"/>
    </row>
    <row r="5703" spans="1:4" x14ac:dyDescent="0.2">
      <c r="A5703" s="146"/>
      <c r="D5703" s="496"/>
    </row>
    <row r="5704" spans="1:4" x14ac:dyDescent="0.2">
      <c r="A5704" s="146"/>
      <c r="D5704" s="496"/>
    </row>
    <row r="5705" spans="1:4" x14ac:dyDescent="0.2">
      <c r="A5705" s="146"/>
      <c r="D5705" s="496"/>
    </row>
    <row r="5706" spans="1:4" x14ac:dyDescent="0.2">
      <c r="A5706" s="146"/>
      <c r="D5706" s="496"/>
    </row>
    <row r="5707" spans="1:4" x14ac:dyDescent="0.2">
      <c r="A5707" s="146"/>
      <c r="D5707" s="496"/>
    </row>
    <row r="5708" spans="1:4" x14ac:dyDescent="0.2">
      <c r="A5708" s="146"/>
      <c r="D5708" s="496"/>
    </row>
    <row r="5709" spans="1:4" x14ac:dyDescent="0.2">
      <c r="A5709" s="146"/>
      <c r="D5709" s="496"/>
    </row>
    <row r="5710" spans="1:4" x14ac:dyDescent="0.2">
      <c r="A5710" s="146"/>
      <c r="D5710" s="496"/>
    </row>
    <row r="5711" spans="1:4" x14ac:dyDescent="0.2">
      <c r="A5711" s="146"/>
      <c r="D5711" s="496"/>
    </row>
    <row r="5712" spans="1:4" x14ac:dyDescent="0.2">
      <c r="A5712" s="146"/>
      <c r="D5712" s="496"/>
    </row>
    <row r="5713" spans="1:4" x14ac:dyDescent="0.2">
      <c r="A5713" s="146"/>
      <c r="D5713" s="496"/>
    </row>
    <row r="5714" spans="1:4" x14ac:dyDescent="0.2">
      <c r="A5714" s="146"/>
      <c r="D5714" s="496"/>
    </row>
    <row r="5715" spans="1:4" x14ac:dyDescent="0.2">
      <c r="A5715" s="146"/>
      <c r="D5715" s="496"/>
    </row>
    <row r="5716" spans="1:4" x14ac:dyDescent="0.2">
      <c r="A5716" s="146"/>
      <c r="D5716" s="496"/>
    </row>
    <row r="5717" spans="1:4" x14ac:dyDescent="0.2">
      <c r="A5717" s="146"/>
      <c r="D5717" s="496"/>
    </row>
    <row r="5718" spans="1:4" x14ac:dyDescent="0.2">
      <c r="A5718" s="146"/>
      <c r="D5718" s="496"/>
    </row>
    <row r="5719" spans="1:4" x14ac:dyDescent="0.2">
      <c r="A5719" s="146"/>
      <c r="D5719" s="496"/>
    </row>
    <row r="5720" spans="1:4" x14ac:dyDescent="0.2">
      <c r="A5720" s="146"/>
      <c r="D5720" s="496"/>
    </row>
    <row r="5721" spans="1:4" x14ac:dyDescent="0.2">
      <c r="A5721" s="146"/>
      <c r="D5721" s="496"/>
    </row>
    <row r="5722" spans="1:4" x14ac:dyDescent="0.2">
      <c r="A5722" s="146"/>
      <c r="D5722" s="496"/>
    </row>
    <row r="5723" spans="1:4" x14ac:dyDescent="0.2">
      <c r="A5723" s="146"/>
      <c r="D5723" s="496"/>
    </row>
    <row r="5724" spans="1:4" x14ac:dyDescent="0.2">
      <c r="A5724" s="146"/>
      <c r="D5724" s="496"/>
    </row>
    <row r="5725" spans="1:4" x14ac:dyDescent="0.2">
      <c r="A5725" s="146"/>
      <c r="D5725" s="496"/>
    </row>
    <row r="5726" spans="1:4" x14ac:dyDescent="0.2">
      <c r="A5726" s="146"/>
      <c r="D5726" s="496"/>
    </row>
    <row r="5727" spans="1:4" x14ac:dyDescent="0.2">
      <c r="A5727" s="146"/>
      <c r="D5727" s="496"/>
    </row>
    <row r="5728" spans="1:4" x14ac:dyDescent="0.2">
      <c r="A5728" s="146"/>
      <c r="D5728" s="496"/>
    </row>
    <row r="5729" spans="1:4" x14ac:dyDescent="0.2">
      <c r="A5729" s="146"/>
      <c r="D5729" s="496"/>
    </row>
    <row r="5730" spans="1:4" x14ac:dyDescent="0.2">
      <c r="A5730" s="146"/>
      <c r="D5730" s="496"/>
    </row>
    <row r="5731" spans="1:4" x14ac:dyDescent="0.2">
      <c r="A5731" s="146"/>
      <c r="D5731" s="496"/>
    </row>
    <row r="5732" spans="1:4" x14ac:dyDescent="0.2">
      <c r="A5732" s="146"/>
      <c r="D5732" s="496"/>
    </row>
    <row r="5733" spans="1:4" x14ac:dyDescent="0.2">
      <c r="A5733" s="146"/>
      <c r="D5733" s="496"/>
    </row>
    <row r="5734" spans="1:4" x14ac:dyDescent="0.2">
      <c r="A5734" s="146"/>
      <c r="D5734" s="496"/>
    </row>
    <row r="5735" spans="1:4" x14ac:dyDescent="0.2">
      <c r="A5735" s="146"/>
      <c r="D5735" s="496"/>
    </row>
    <row r="5736" spans="1:4" x14ac:dyDescent="0.2">
      <c r="A5736" s="146"/>
      <c r="D5736" s="496"/>
    </row>
    <row r="5737" spans="1:4" x14ac:dyDescent="0.2">
      <c r="A5737" s="146"/>
      <c r="D5737" s="496"/>
    </row>
    <row r="5738" spans="1:4" x14ac:dyDescent="0.2">
      <c r="A5738" s="146"/>
      <c r="D5738" s="496"/>
    </row>
    <row r="5739" spans="1:4" x14ac:dyDescent="0.2">
      <c r="A5739" s="146"/>
      <c r="D5739" s="496"/>
    </row>
    <row r="5740" spans="1:4" x14ac:dyDescent="0.2">
      <c r="A5740" s="146"/>
      <c r="D5740" s="496"/>
    </row>
    <row r="5741" spans="1:4" x14ac:dyDescent="0.2">
      <c r="A5741" s="146"/>
      <c r="D5741" s="496"/>
    </row>
    <row r="5742" spans="1:4" x14ac:dyDescent="0.2">
      <c r="A5742" s="146"/>
      <c r="D5742" s="496"/>
    </row>
    <row r="5743" spans="1:4" x14ac:dyDescent="0.2">
      <c r="A5743" s="146"/>
      <c r="D5743" s="496"/>
    </row>
    <row r="5744" spans="1:4" x14ac:dyDescent="0.2">
      <c r="A5744" s="146"/>
      <c r="D5744" s="496"/>
    </row>
    <row r="5745" spans="1:4" x14ac:dyDescent="0.2">
      <c r="A5745" s="146"/>
      <c r="D5745" s="496"/>
    </row>
    <row r="5746" spans="1:4" x14ac:dyDescent="0.2">
      <c r="A5746" s="146"/>
      <c r="D5746" s="496"/>
    </row>
    <row r="5747" spans="1:4" x14ac:dyDescent="0.2">
      <c r="A5747" s="146"/>
      <c r="D5747" s="496"/>
    </row>
    <row r="5748" spans="1:4" x14ac:dyDescent="0.2">
      <c r="A5748" s="146"/>
      <c r="D5748" s="496"/>
    </row>
    <row r="5749" spans="1:4" x14ac:dyDescent="0.2">
      <c r="A5749" s="146"/>
      <c r="D5749" s="496"/>
    </row>
    <row r="5750" spans="1:4" x14ac:dyDescent="0.2">
      <c r="A5750" s="146"/>
      <c r="D5750" s="496"/>
    </row>
    <row r="5751" spans="1:4" x14ac:dyDescent="0.2">
      <c r="A5751" s="146"/>
      <c r="D5751" s="496"/>
    </row>
    <row r="5752" spans="1:4" x14ac:dyDescent="0.2">
      <c r="A5752" s="146"/>
      <c r="D5752" s="496"/>
    </row>
    <row r="5753" spans="1:4" x14ac:dyDescent="0.2">
      <c r="A5753" s="146"/>
      <c r="D5753" s="496"/>
    </row>
    <row r="5754" spans="1:4" x14ac:dyDescent="0.2">
      <c r="A5754" s="146"/>
      <c r="D5754" s="496"/>
    </row>
    <row r="5755" spans="1:4" x14ac:dyDescent="0.2">
      <c r="A5755" s="146"/>
      <c r="D5755" s="496"/>
    </row>
    <row r="5756" spans="1:4" x14ac:dyDescent="0.2">
      <c r="A5756" s="146"/>
      <c r="D5756" s="496"/>
    </row>
    <row r="5757" spans="1:4" x14ac:dyDescent="0.2">
      <c r="A5757" s="146"/>
      <c r="D5757" s="496"/>
    </row>
    <row r="5758" spans="1:4" x14ac:dyDescent="0.2">
      <c r="A5758" s="146"/>
      <c r="D5758" s="496"/>
    </row>
    <row r="5759" spans="1:4" x14ac:dyDescent="0.2">
      <c r="A5759" s="146"/>
      <c r="D5759" s="496"/>
    </row>
    <row r="5760" spans="1:4" x14ac:dyDescent="0.2">
      <c r="A5760" s="146"/>
      <c r="D5760" s="496"/>
    </row>
    <row r="5761" spans="1:4" x14ac:dyDescent="0.2">
      <c r="A5761" s="146"/>
      <c r="D5761" s="496"/>
    </row>
    <row r="5762" spans="1:4" x14ac:dyDescent="0.2">
      <c r="A5762" s="146"/>
      <c r="D5762" s="496"/>
    </row>
    <row r="5763" spans="1:4" x14ac:dyDescent="0.2">
      <c r="A5763" s="146"/>
      <c r="D5763" s="496"/>
    </row>
    <row r="5764" spans="1:4" x14ac:dyDescent="0.2">
      <c r="A5764" s="146"/>
      <c r="D5764" s="496"/>
    </row>
    <row r="5765" spans="1:4" x14ac:dyDescent="0.2">
      <c r="A5765" s="146"/>
      <c r="D5765" s="496"/>
    </row>
    <row r="5766" spans="1:4" x14ac:dyDescent="0.2">
      <c r="A5766" s="146"/>
      <c r="D5766" s="496"/>
    </row>
    <row r="5767" spans="1:4" x14ac:dyDescent="0.2">
      <c r="A5767" s="146"/>
      <c r="D5767" s="496"/>
    </row>
    <row r="5768" spans="1:4" x14ac:dyDescent="0.2">
      <c r="A5768" s="146"/>
      <c r="D5768" s="496"/>
    </row>
    <row r="5769" spans="1:4" x14ac:dyDescent="0.2">
      <c r="A5769" s="146"/>
      <c r="D5769" s="496"/>
    </row>
    <row r="5770" spans="1:4" x14ac:dyDescent="0.2">
      <c r="A5770" s="146"/>
      <c r="D5770" s="496"/>
    </row>
    <row r="5771" spans="1:4" x14ac:dyDescent="0.2">
      <c r="A5771" s="146"/>
      <c r="D5771" s="496"/>
    </row>
    <row r="5772" spans="1:4" x14ac:dyDescent="0.2">
      <c r="A5772" s="146"/>
      <c r="D5772" s="496"/>
    </row>
    <row r="5773" spans="1:4" x14ac:dyDescent="0.2">
      <c r="A5773" s="146"/>
      <c r="D5773" s="496"/>
    </row>
    <row r="5774" spans="1:4" x14ac:dyDescent="0.2">
      <c r="A5774" s="146"/>
      <c r="D5774" s="496"/>
    </row>
    <row r="5775" spans="1:4" x14ac:dyDescent="0.2">
      <c r="A5775" s="146"/>
      <c r="D5775" s="496"/>
    </row>
    <row r="5776" spans="1:4" x14ac:dyDescent="0.2">
      <c r="A5776" s="146"/>
      <c r="D5776" s="496"/>
    </row>
    <row r="5777" spans="1:4" x14ac:dyDescent="0.2">
      <c r="A5777" s="146"/>
      <c r="D5777" s="496"/>
    </row>
    <row r="5778" spans="1:4" x14ac:dyDescent="0.2">
      <c r="A5778" s="146"/>
      <c r="D5778" s="496"/>
    </row>
    <row r="5779" spans="1:4" x14ac:dyDescent="0.2">
      <c r="A5779" s="146"/>
      <c r="D5779" s="496"/>
    </row>
    <row r="5780" spans="1:4" x14ac:dyDescent="0.2">
      <c r="A5780" s="146"/>
      <c r="D5780" s="496"/>
    </row>
    <row r="5781" spans="1:4" x14ac:dyDescent="0.2">
      <c r="A5781" s="146"/>
      <c r="D5781" s="496"/>
    </row>
    <row r="5782" spans="1:4" x14ac:dyDescent="0.2">
      <c r="A5782" s="146"/>
      <c r="D5782" s="496"/>
    </row>
    <row r="5783" spans="1:4" x14ac:dyDescent="0.2">
      <c r="A5783" s="146"/>
      <c r="D5783" s="496"/>
    </row>
    <row r="5784" spans="1:4" x14ac:dyDescent="0.2">
      <c r="A5784" s="146"/>
      <c r="D5784" s="496"/>
    </row>
    <row r="5785" spans="1:4" x14ac:dyDescent="0.2">
      <c r="A5785" s="146"/>
      <c r="D5785" s="496"/>
    </row>
    <row r="5786" spans="1:4" x14ac:dyDescent="0.2">
      <c r="A5786" s="146"/>
      <c r="D5786" s="496"/>
    </row>
    <row r="5787" spans="1:4" x14ac:dyDescent="0.2">
      <c r="A5787" s="146"/>
      <c r="D5787" s="496"/>
    </row>
    <row r="5788" spans="1:4" x14ac:dyDescent="0.2">
      <c r="A5788" s="146"/>
      <c r="D5788" s="496"/>
    </row>
    <row r="5789" spans="1:4" x14ac:dyDescent="0.2">
      <c r="A5789" s="146"/>
      <c r="D5789" s="496"/>
    </row>
    <row r="5790" spans="1:4" x14ac:dyDescent="0.2">
      <c r="A5790" s="146"/>
      <c r="D5790" s="496"/>
    </row>
    <row r="5791" spans="1:4" x14ac:dyDescent="0.2">
      <c r="A5791" s="146"/>
      <c r="D5791" s="496"/>
    </row>
    <row r="5792" spans="1:4" x14ac:dyDescent="0.2">
      <c r="A5792" s="146"/>
      <c r="D5792" s="496"/>
    </row>
    <row r="5793" spans="1:4" x14ac:dyDescent="0.2">
      <c r="A5793" s="146"/>
      <c r="D5793" s="496"/>
    </row>
    <row r="5794" spans="1:4" x14ac:dyDescent="0.2">
      <c r="A5794" s="146"/>
      <c r="D5794" s="496"/>
    </row>
    <row r="5795" spans="1:4" x14ac:dyDescent="0.2">
      <c r="A5795" s="146"/>
      <c r="D5795" s="496"/>
    </row>
    <row r="5796" spans="1:4" x14ac:dyDescent="0.2">
      <c r="A5796" s="146"/>
      <c r="D5796" s="496"/>
    </row>
    <row r="5797" spans="1:4" x14ac:dyDescent="0.2">
      <c r="A5797" s="146"/>
      <c r="D5797" s="496"/>
    </row>
    <row r="5798" spans="1:4" x14ac:dyDescent="0.2">
      <c r="A5798" s="146"/>
      <c r="D5798" s="496"/>
    </row>
    <row r="5799" spans="1:4" x14ac:dyDescent="0.2">
      <c r="A5799" s="146"/>
      <c r="D5799" s="496"/>
    </row>
    <row r="5800" spans="1:4" x14ac:dyDescent="0.2">
      <c r="A5800" s="146"/>
      <c r="D5800" s="496"/>
    </row>
    <row r="5801" spans="1:4" x14ac:dyDescent="0.2">
      <c r="A5801" s="146"/>
      <c r="D5801" s="496"/>
    </row>
    <row r="5802" spans="1:4" x14ac:dyDescent="0.2">
      <c r="A5802" s="146"/>
      <c r="D5802" s="496"/>
    </row>
    <row r="5803" spans="1:4" x14ac:dyDescent="0.2">
      <c r="A5803" s="146"/>
      <c r="D5803" s="496"/>
    </row>
    <row r="5804" spans="1:4" x14ac:dyDescent="0.2">
      <c r="A5804" s="146"/>
      <c r="D5804" s="496"/>
    </row>
    <row r="5805" spans="1:4" x14ac:dyDescent="0.2">
      <c r="A5805" s="146"/>
      <c r="D5805" s="496"/>
    </row>
    <row r="5806" spans="1:4" x14ac:dyDescent="0.2">
      <c r="A5806" s="146"/>
      <c r="D5806" s="496"/>
    </row>
    <row r="5807" spans="1:4" x14ac:dyDescent="0.2">
      <c r="A5807" s="146"/>
      <c r="D5807" s="496"/>
    </row>
    <row r="5808" spans="1:4" x14ac:dyDescent="0.2">
      <c r="A5808" s="146"/>
      <c r="D5808" s="496"/>
    </row>
    <row r="5809" spans="1:4" x14ac:dyDescent="0.2">
      <c r="A5809" s="146"/>
      <c r="D5809" s="496"/>
    </row>
    <row r="5810" spans="1:4" x14ac:dyDescent="0.2">
      <c r="A5810" s="146"/>
      <c r="D5810" s="496"/>
    </row>
    <row r="5811" spans="1:4" x14ac:dyDescent="0.2">
      <c r="A5811" s="146"/>
      <c r="D5811" s="496"/>
    </row>
    <row r="5812" spans="1:4" x14ac:dyDescent="0.2">
      <c r="A5812" s="146"/>
      <c r="D5812" s="496"/>
    </row>
    <row r="5813" spans="1:4" x14ac:dyDescent="0.2">
      <c r="A5813" s="146"/>
      <c r="D5813" s="496"/>
    </row>
    <row r="5814" spans="1:4" x14ac:dyDescent="0.2">
      <c r="A5814" s="146"/>
      <c r="D5814" s="496"/>
    </row>
    <row r="5815" spans="1:4" x14ac:dyDescent="0.2">
      <c r="A5815" s="146"/>
      <c r="D5815" s="496"/>
    </row>
    <row r="5816" spans="1:4" x14ac:dyDescent="0.2">
      <c r="A5816" s="146"/>
      <c r="D5816" s="496"/>
    </row>
    <row r="5817" spans="1:4" x14ac:dyDescent="0.2">
      <c r="A5817" s="146"/>
      <c r="D5817" s="496"/>
    </row>
    <row r="5818" spans="1:4" x14ac:dyDescent="0.2">
      <c r="A5818" s="146"/>
      <c r="D5818" s="496"/>
    </row>
    <row r="5819" spans="1:4" x14ac:dyDescent="0.2">
      <c r="A5819" s="146"/>
      <c r="D5819" s="496"/>
    </row>
    <row r="5820" spans="1:4" x14ac:dyDescent="0.2">
      <c r="A5820" s="146"/>
      <c r="D5820" s="496"/>
    </row>
    <row r="5821" spans="1:4" x14ac:dyDescent="0.2">
      <c r="A5821" s="146"/>
      <c r="D5821" s="496"/>
    </row>
    <row r="5822" spans="1:4" x14ac:dyDescent="0.2">
      <c r="A5822" s="146"/>
      <c r="D5822" s="496"/>
    </row>
    <row r="5823" spans="1:4" x14ac:dyDescent="0.2">
      <c r="A5823" s="146"/>
      <c r="D5823" s="496"/>
    </row>
    <row r="5824" spans="1:4" x14ac:dyDescent="0.2">
      <c r="A5824" s="146"/>
      <c r="D5824" s="496"/>
    </row>
    <row r="5825" spans="1:4" x14ac:dyDescent="0.2">
      <c r="A5825" s="146"/>
      <c r="D5825" s="496"/>
    </row>
    <row r="5826" spans="1:4" x14ac:dyDescent="0.2">
      <c r="A5826" s="146"/>
      <c r="D5826" s="496"/>
    </row>
    <row r="5827" spans="1:4" x14ac:dyDescent="0.2">
      <c r="A5827" s="146"/>
      <c r="D5827" s="496"/>
    </row>
    <row r="5828" spans="1:4" x14ac:dyDescent="0.2">
      <c r="A5828" s="146"/>
      <c r="D5828" s="496"/>
    </row>
    <row r="5829" spans="1:4" x14ac:dyDescent="0.2">
      <c r="A5829" s="146"/>
      <c r="D5829" s="496"/>
    </row>
    <row r="5830" spans="1:4" x14ac:dyDescent="0.2">
      <c r="A5830" s="146"/>
      <c r="D5830" s="496"/>
    </row>
    <row r="5831" spans="1:4" x14ac:dyDescent="0.2">
      <c r="A5831" s="146"/>
      <c r="D5831" s="496"/>
    </row>
    <row r="5832" spans="1:4" x14ac:dyDescent="0.2">
      <c r="A5832" s="146"/>
      <c r="D5832" s="496"/>
    </row>
    <row r="5833" spans="1:4" x14ac:dyDescent="0.2">
      <c r="A5833" s="146"/>
      <c r="D5833" s="496"/>
    </row>
    <row r="5834" spans="1:4" x14ac:dyDescent="0.2">
      <c r="A5834" s="146"/>
      <c r="D5834" s="496"/>
    </row>
    <row r="5835" spans="1:4" x14ac:dyDescent="0.2">
      <c r="A5835" s="146"/>
      <c r="D5835" s="496"/>
    </row>
    <row r="5836" spans="1:4" x14ac:dyDescent="0.2">
      <c r="A5836" s="146"/>
      <c r="D5836" s="496"/>
    </row>
    <row r="5837" spans="1:4" x14ac:dyDescent="0.2">
      <c r="A5837" s="146"/>
      <c r="D5837" s="496"/>
    </row>
    <row r="5838" spans="1:4" x14ac:dyDescent="0.2">
      <c r="A5838" s="146"/>
      <c r="D5838" s="496"/>
    </row>
    <row r="5839" spans="1:4" x14ac:dyDescent="0.2">
      <c r="A5839" s="146"/>
      <c r="D5839" s="496"/>
    </row>
    <row r="5840" spans="1:4" x14ac:dyDescent="0.2">
      <c r="A5840" s="146"/>
      <c r="D5840" s="496"/>
    </row>
    <row r="5841" spans="1:4" x14ac:dyDescent="0.2">
      <c r="A5841" s="146"/>
      <c r="D5841" s="496"/>
    </row>
    <row r="5842" spans="1:4" x14ac:dyDescent="0.2">
      <c r="A5842" s="146"/>
      <c r="D5842" s="496"/>
    </row>
    <row r="5843" spans="1:4" x14ac:dyDescent="0.2">
      <c r="A5843" s="146"/>
      <c r="D5843" s="496"/>
    </row>
    <row r="5844" spans="1:4" x14ac:dyDescent="0.2">
      <c r="A5844" s="146"/>
      <c r="D5844" s="496"/>
    </row>
    <row r="5845" spans="1:4" x14ac:dyDescent="0.2">
      <c r="A5845" s="146"/>
      <c r="D5845" s="496"/>
    </row>
    <row r="5846" spans="1:4" x14ac:dyDescent="0.2">
      <c r="A5846" s="146"/>
      <c r="D5846" s="496"/>
    </row>
    <row r="5847" spans="1:4" x14ac:dyDescent="0.2">
      <c r="A5847" s="146"/>
      <c r="D5847" s="496"/>
    </row>
    <row r="5848" spans="1:4" x14ac:dyDescent="0.2">
      <c r="A5848" s="146"/>
      <c r="D5848" s="496"/>
    </row>
    <row r="5849" spans="1:4" x14ac:dyDescent="0.2">
      <c r="A5849" s="146"/>
      <c r="D5849" s="496"/>
    </row>
    <row r="5850" spans="1:4" x14ac:dyDescent="0.2">
      <c r="A5850" s="146"/>
      <c r="D5850" s="496"/>
    </row>
    <row r="5851" spans="1:4" x14ac:dyDescent="0.2">
      <c r="A5851" s="146"/>
      <c r="D5851" s="496"/>
    </row>
    <row r="5852" spans="1:4" x14ac:dyDescent="0.2">
      <c r="A5852" s="146"/>
      <c r="D5852" s="496"/>
    </row>
    <row r="5853" spans="1:4" x14ac:dyDescent="0.2">
      <c r="A5853" s="146"/>
      <c r="D5853" s="496"/>
    </row>
    <row r="5854" spans="1:4" x14ac:dyDescent="0.2">
      <c r="A5854" s="146"/>
      <c r="D5854" s="496"/>
    </row>
    <row r="5855" spans="1:4" x14ac:dyDescent="0.2">
      <c r="A5855" s="146"/>
      <c r="D5855" s="496"/>
    </row>
    <row r="5856" spans="1:4" x14ac:dyDescent="0.2">
      <c r="A5856" s="146"/>
      <c r="D5856" s="496"/>
    </row>
    <row r="5857" spans="1:4" x14ac:dyDescent="0.2">
      <c r="A5857" s="146"/>
      <c r="D5857" s="496"/>
    </row>
    <row r="5858" spans="1:4" x14ac:dyDescent="0.2">
      <c r="A5858" s="146"/>
      <c r="D5858" s="496"/>
    </row>
    <row r="5859" spans="1:4" x14ac:dyDescent="0.2">
      <c r="A5859" s="146"/>
      <c r="D5859" s="496"/>
    </row>
    <row r="5860" spans="1:4" x14ac:dyDescent="0.2">
      <c r="A5860" s="146"/>
      <c r="D5860" s="496"/>
    </row>
    <row r="5861" spans="1:4" x14ac:dyDescent="0.2">
      <c r="A5861" s="146"/>
      <c r="D5861" s="496"/>
    </row>
    <row r="5862" spans="1:4" x14ac:dyDescent="0.2">
      <c r="A5862" s="146"/>
      <c r="D5862" s="496"/>
    </row>
    <row r="5863" spans="1:4" x14ac:dyDescent="0.2">
      <c r="A5863" s="146"/>
      <c r="D5863" s="496"/>
    </row>
    <row r="5864" spans="1:4" x14ac:dyDescent="0.2">
      <c r="A5864" s="146"/>
      <c r="D5864" s="496"/>
    </row>
    <row r="5865" spans="1:4" x14ac:dyDescent="0.2">
      <c r="A5865" s="146"/>
      <c r="D5865" s="496"/>
    </row>
    <row r="5866" spans="1:4" x14ac:dyDescent="0.2">
      <c r="A5866" s="146"/>
      <c r="D5866" s="496"/>
    </row>
    <row r="5867" spans="1:4" x14ac:dyDescent="0.2">
      <c r="A5867" s="146"/>
      <c r="D5867" s="496"/>
    </row>
    <row r="5868" spans="1:4" x14ac:dyDescent="0.2">
      <c r="A5868" s="146"/>
      <c r="D5868" s="496"/>
    </row>
    <row r="5869" spans="1:4" x14ac:dyDescent="0.2">
      <c r="A5869" s="146"/>
      <c r="D5869" s="496"/>
    </row>
    <row r="5870" spans="1:4" x14ac:dyDescent="0.2">
      <c r="A5870" s="146"/>
      <c r="D5870" s="496"/>
    </row>
    <row r="5871" spans="1:4" x14ac:dyDescent="0.2">
      <c r="A5871" s="146"/>
      <c r="D5871" s="496"/>
    </row>
    <row r="5872" spans="1:4" x14ac:dyDescent="0.2">
      <c r="A5872" s="146"/>
      <c r="D5872" s="496"/>
    </row>
    <row r="5873" spans="1:4" x14ac:dyDescent="0.2">
      <c r="A5873" s="146"/>
      <c r="D5873" s="496"/>
    </row>
    <row r="5874" spans="1:4" x14ac:dyDescent="0.2">
      <c r="A5874" s="146"/>
      <c r="D5874" s="496"/>
    </row>
    <row r="5875" spans="1:4" x14ac:dyDescent="0.2">
      <c r="A5875" s="146"/>
      <c r="D5875" s="496"/>
    </row>
    <row r="5876" spans="1:4" x14ac:dyDescent="0.2">
      <c r="A5876" s="146"/>
      <c r="D5876" s="496"/>
    </row>
    <row r="5877" spans="1:4" x14ac:dyDescent="0.2">
      <c r="A5877" s="146"/>
      <c r="D5877" s="496"/>
    </row>
    <row r="5878" spans="1:4" x14ac:dyDescent="0.2">
      <c r="A5878" s="146"/>
      <c r="D5878" s="496"/>
    </row>
    <row r="5879" spans="1:4" x14ac:dyDescent="0.2">
      <c r="A5879" s="146"/>
      <c r="D5879" s="496"/>
    </row>
    <row r="5880" spans="1:4" x14ac:dyDescent="0.2">
      <c r="A5880" s="146"/>
      <c r="D5880" s="496"/>
    </row>
    <row r="5881" spans="1:4" x14ac:dyDescent="0.2">
      <c r="A5881" s="146"/>
      <c r="D5881" s="496"/>
    </row>
    <row r="5882" spans="1:4" x14ac:dyDescent="0.2">
      <c r="A5882" s="146"/>
      <c r="D5882" s="496"/>
    </row>
    <row r="5883" spans="1:4" x14ac:dyDescent="0.2">
      <c r="A5883" s="146"/>
      <c r="D5883" s="496"/>
    </row>
    <row r="5884" spans="1:4" x14ac:dyDescent="0.2">
      <c r="A5884" s="146"/>
      <c r="D5884" s="496"/>
    </row>
    <row r="5885" spans="1:4" x14ac:dyDescent="0.2">
      <c r="A5885" s="146"/>
      <c r="D5885" s="496"/>
    </row>
    <row r="5886" spans="1:4" x14ac:dyDescent="0.2">
      <c r="A5886" s="146"/>
      <c r="D5886" s="496"/>
    </row>
    <row r="5887" spans="1:4" x14ac:dyDescent="0.2">
      <c r="A5887" s="146"/>
      <c r="D5887" s="496"/>
    </row>
    <row r="5888" spans="1:4" x14ac:dyDescent="0.2">
      <c r="A5888" s="146"/>
      <c r="D5888" s="496"/>
    </row>
    <row r="5889" spans="1:4" x14ac:dyDescent="0.2">
      <c r="A5889" s="146"/>
      <c r="D5889" s="496"/>
    </row>
    <row r="5890" spans="1:4" x14ac:dyDescent="0.2">
      <c r="A5890" s="146"/>
      <c r="D5890" s="496"/>
    </row>
    <row r="5891" spans="1:4" x14ac:dyDescent="0.2">
      <c r="A5891" s="146"/>
      <c r="D5891" s="496"/>
    </row>
    <row r="5892" spans="1:4" x14ac:dyDescent="0.2">
      <c r="A5892" s="146"/>
      <c r="D5892" s="496"/>
    </row>
    <row r="5893" spans="1:4" x14ac:dyDescent="0.2">
      <c r="A5893" s="146"/>
      <c r="D5893" s="496"/>
    </row>
    <row r="5894" spans="1:4" x14ac:dyDescent="0.2">
      <c r="A5894" s="146"/>
      <c r="D5894" s="496"/>
    </row>
    <row r="5895" spans="1:4" x14ac:dyDescent="0.2">
      <c r="A5895" s="146"/>
      <c r="D5895" s="496"/>
    </row>
    <row r="5896" spans="1:4" x14ac:dyDescent="0.2">
      <c r="A5896" s="146"/>
      <c r="D5896" s="496"/>
    </row>
    <row r="5897" spans="1:4" x14ac:dyDescent="0.2">
      <c r="A5897" s="146"/>
      <c r="D5897" s="496"/>
    </row>
    <row r="5898" spans="1:4" x14ac:dyDescent="0.2">
      <c r="A5898" s="146"/>
      <c r="D5898" s="496"/>
    </row>
    <row r="5899" spans="1:4" x14ac:dyDescent="0.2">
      <c r="A5899" s="146"/>
      <c r="D5899" s="496"/>
    </row>
    <row r="5900" spans="1:4" x14ac:dyDescent="0.2">
      <c r="A5900" s="146"/>
      <c r="D5900" s="496"/>
    </row>
    <row r="5901" spans="1:4" x14ac:dyDescent="0.2">
      <c r="A5901" s="146"/>
      <c r="D5901" s="496"/>
    </row>
    <row r="5902" spans="1:4" x14ac:dyDescent="0.2">
      <c r="A5902" s="146"/>
      <c r="D5902" s="496"/>
    </row>
    <row r="5903" spans="1:4" x14ac:dyDescent="0.2">
      <c r="A5903" s="146"/>
      <c r="D5903" s="496"/>
    </row>
    <row r="5904" spans="1:4" x14ac:dyDescent="0.2">
      <c r="A5904" s="146"/>
      <c r="D5904" s="496"/>
    </row>
    <row r="5905" spans="1:4" x14ac:dyDescent="0.2">
      <c r="A5905" s="146"/>
      <c r="D5905" s="496"/>
    </row>
    <row r="5906" spans="1:4" x14ac:dyDescent="0.2">
      <c r="A5906" s="146"/>
      <c r="D5906" s="496"/>
    </row>
    <row r="5907" spans="1:4" x14ac:dyDescent="0.2">
      <c r="A5907" s="146"/>
      <c r="D5907" s="496"/>
    </row>
    <row r="5908" spans="1:4" x14ac:dyDescent="0.2">
      <c r="A5908" s="146"/>
      <c r="D5908" s="496"/>
    </row>
    <row r="5909" spans="1:4" x14ac:dyDescent="0.2">
      <c r="A5909" s="146"/>
      <c r="D5909" s="496"/>
    </row>
    <row r="5910" spans="1:4" x14ac:dyDescent="0.2">
      <c r="A5910" s="146"/>
      <c r="D5910" s="496"/>
    </row>
    <row r="5911" spans="1:4" x14ac:dyDescent="0.2">
      <c r="A5911" s="146"/>
      <c r="D5911" s="496"/>
    </row>
    <row r="5912" spans="1:4" x14ac:dyDescent="0.2">
      <c r="A5912" s="146"/>
      <c r="D5912" s="496"/>
    </row>
    <row r="5913" spans="1:4" x14ac:dyDescent="0.2">
      <c r="A5913" s="146"/>
      <c r="D5913" s="496"/>
    </row>
    <row r="5914" spans="1:4" x14ac:dyDescent="0.2">
      <c r="A5914" s="146"/>
      <c r="D5914" s="496"/>
    </row>
    <row r="5915" spans="1:4" x14ac:dyDescent="0.2">
      <c r="A5915" s="146"/>
      <c r="D5915" s="496"/>
    </row>
    <row r="5916" spans="1:4" x14ac:dyDescent="0.2">
      <c r="A5916" s="146"/>
      <c r="D5916" s="496"/>
    </row>
    <row r="5917" spans="1:4" x14ac:dyDescent="0.2">
      <c r="A5917" s="146"/>
      <c r="D5917" s="496"/>
    </row>
    <row r="5918" spans="1:4" x14ac:dyDescent="0.2">
      <c r="A5918" s="146"/>
      <c r="D5918" s="496"/>
    </row>
    <row r="5919" spans="1:4" x14ac:dyDescent="0.2">
      <c r="A5919" s="146"/>
      <c r="D5919" s="496"/>
    </row>
    <row r="5920" spans="1:4" x14ac:dyDescent="0.2">
      <c r="A5920" s="146"/>
      <c r="D5920" s="496"/>
    </row>
    <row r="5921" spans="1:4" x14ac:dyDescent="0.2">
      <c r="A5921" s="146"/>
      <c r="D5921" s="496"/>
    </row>
    <row r="5922" spans="1:4" x14ac:dyDescent="0.2">
      <c r="A5922" s="146"/>
      <c r="D5922" s="496"/>
    </row>
    <row r="5923" spans="1:4" x14ac:dyDescent="0.2">
      <c r="A5923" s="146"/>
      <c r="D5923" s="496"/>
    </row>
    <row r="5924" spans="1:4" x14ac:dyDescent="0.2">
      <c r="A5924" s="146"/>
      <c r="D5924" s="496"/>
    </row>
    <row r="5925" spans="1:4" x14ac:dyDescent="0.2">
      <c r="A5925" s="146"/>
      <c r="D5925" s="496"/>
    </row>
    <row r="5926" spans="1:4" x14ac:dyDescent="0.2">
      <c r="A5926" s="146"/>
      <c r="D5926" s="496"/>
    </row>
    <row r="5927" spans="1:4" x14ac:dyDescent="0.2">
      <c r="A5927" s="146"/>
      <c r="D5927" s="496"/>
    </row>
    <row r="5928" spans="1:4" x14ac:dyDescent="0.2">
      <c r="A5928" s="146"/>
      <c r="D5928" s="496"/>
    </row>
    <row r="5929" spans="1:4" x14ac:dyDescent="0.2">
      <c r="A5929" s="146"/>
      <c r="D5929" s="496"/>
    </row>
    <row r="5930" spans="1:4" x14ac:dyDescent="0.2">
      <c r="A5930" s="146"/>
      <c r="D5930" s="496"/>
    </row>
    <row r="5931" spans="1:4" x14ac:dyDescent="0.2">
      <c r="A5931" s="146"/>
      <c r="D5931" s="496"/>
    </row>
    <row r="5932" spans="1:4" x14ac:dyDescent="0.2">
      <c r="A5932" s="146"/>
      <c r="D5932" s="496"/>
    </row>
    <row r="5933" spans="1:4" x14ac:dyDescent="0.2">
      <c r="A5933" s="146"/>
      <c r="D5933" s="496"/>
    </row>
    <row r="5934" spans="1:4" x14ac:dyDescent="0.2">
      <c r="A5934" s="146"/>
      <c r="D5934" s="496"/>
    </row>
    <row r="5935" spans="1:4" x14ac:dyDescent="0.2">
      <c r="A5935" s="146"/>
      <c r="D5935" s="496"/>
    </row>
    <row r="5936" spans="1:4" x14ac:dyDescent="0.2">
      <c r="A5936" s="146"/>
      <c r="D5936" s="496"/>
    </row>
    <row r="5937" spans="1:4" x14ac:dyDescent="0.2">
      <c r="A5937" s="146"/>
      <c r="D5937" s="496"/>
    </row>
    <row r="5938" spans="1:4" x14ac:dyDescent="0.2">
      <c r="A5938" s="146"/>
      <c r="D5938" s="496"/>
    </row>
    <row r="5939" spans="1:4" x14ac:dyDescent="0.2">
      <c r="A5939" s="146"/>
      <c r="D5939" s="496"/>
    </row>
    <row r="5940" spans="1:4" x14ac:dyDescent="0.2">
      <c r="A5940" s="146"/>
      <c r="D5940" s="496"/>
    </row>
    <row r="5941" spans="1:4" x14ac:dyDescent="0.2">
      <c r="A5941" s="146"/>
      <c r="D5941" s="496"/>
    </row>
    <row r="5942" spans="1:4" x14ac:dyDescent="0.2">
      <c r="A5942" s="146"/>
      <c r="D5942" s="496"/>
    </row>
    <row r="5943" spans="1:4" x14ac:dyDescent="0.2">
      <c r="A5943" s="146"/>
      <c r="D5943" s="496"/>
    </row>
    <row r="5944" spans="1:4" x14ac:dyDescent="0.2">
      <c r="A5944" s="146"/>
      <c r="D5944" s="496"/>
    </row>
    <row r="5945" spans="1:4" x14ac:dyDescent="0.2">
      <c r="A5945" s="146"/>
      <c r="D5945" s="496"/>
    </row>
    <row r="5946" spans="1:4" x14ac:dyDescent="0.2">
      <c r="A5946" s="146"/>
      <c r="D5946" s="496"/>
    </row>
    <row r="5947" spans="1:4" x14ac:dyDescent="0.2">
      <c r="A5947" s="146"/>
      <c r="D5947" s="496"/>
    </row>
    <row r="5948" spans="1:4" x14ac:dyDescent="0.2">
      <c r="A5948" s="146"/>
      <c r="D5948" s="496"/>
    </row>
    <row r="5949" spans="1:4" x14ac:dyDescent="0.2">
      <c r="A5949" s="146"/>
      <c r="D5949" s="496"/>
    </row>
    <row r="5950" spans="1:4" x14ac:dyDescent="0.2">
      <c r="A5950" s="146"/>
      <c r="D5950" s="496"/>
    </row>
    <row r="5951" spans="1:4" x14ac:dyDescent="0.2">
      <c r="A5951" s="146"/>
      <c r="D5951" s="496"/>
    </row>
    <row r="5952" spans="1:4" x14ac:dyDescent="0.2">
      <c r="A5952" s="146"/>
      <c r="D5952" s="496"/>
    </row>
    <row r="5953" spans="1:4" x14ac:dyDescent="0.2">
      <c r="A5953" s="146"/>
      <c r="D5953" s="496"/>
    </row>
    <row r="5954" spans="1:4" x14ac:dyDescent="0.2">
      <c r="A5954" s="146"/>
      <c r="D5954" s="496"/>
    </row>
    <row r="5955" spans="1:4" x14ac:dyDescent="0.2">
      <c r="A5955" s="146"/>
      <c r="D5955" s="496"/>
    </row>
    <row r="5956" spans="1:4" x14ac:dyDescent="0.2">
      <c r="A5956" s="146"/>
      <c r="D5956" s="496"/>
    </row>
    <row r="5957" spans="1:4" x14ac:dyDescent="0.2">
      <c r="A5957" s="146"/>
      <c r="D5957" s="496"/>
    </row>
    <row r="5958" spans="1:4" x14ac:dyDescent="0.2">
      <c r="A5958" s="146"/>
      <c r="D5958" s="496"/>
    </row>
    <row r="5959" spans="1:4" x14ac:dyDescent="0.2">
      <c r="A5959" s="146"/>
      <c r="D5959" s="496"/>
    </row>
    <row r="5960" spans="1:4" x14ac:dyDescent="0.2">
      <c r="A5960" s="146"/>
      <c r="D5960" s="496"/>
    </row>
    <row r="5961" spans="1:4" x14ac:dyDescent="0.2">
      <c r="A5961" s="146"/>
      <c r="D5961" s="496"/>
    </row>
    <row r="5962" spans="1:4" x14ac:dyDescent="0.2">
      <c r="A5962" s="146"/>
      <c r="D5962" s="496"/>
    </row>
    <row r="5963" spans="1:4" x14ac:dyDescent="0.2">
      <c r="A5963" s="146"/>
      <c r="D5963" s="496"/>
    </row>
    <row r="5964" spans="1:4" x14ac:dyDescent="0.2">
      <c r="A5964" s="146"/>
      <c r="D5964" s="496"/>
    </row>
    <row r="5965" spans="1:4" x14ac:dyDescent="0.2">
      <c r="A5965" s="146"/>
      <c r="D5965" s="496"/>
    </row>
    <row r="5966" spans="1:4" x14ac:dyDescent="0.2">
      <c r="A5966" s="146"/>
      <c r="D5966" s="496"/>
    </row>
    <row r="5967" spans="1:4" x14ac:dyDescent="0.2">
      <c r="A5967" s="146"/>
      <c r="D5967" s="496"/>
    </row>
    <row r="5968" spans="1:4" x14ac:dyDescent="0.2">
      <c r="A5968" s="146"/>
      <c r="D5968" s="496"/>
    </row>
    <row r="5969" spans="1:4" x14ac:dyDescent="0.2">
      <c r="A5969" s="146"/>
      <c r="D5969" s="496"/>
    </row>
    <row r="5970" spans="1:4" x14ac:dyDescent="0.2">
      <c r="A5970" s="146"/>
      <c r="D5970" s="496"/>
    </row>
    <row r="5971" spans="1:4" x14ac:dyDescent="0.2">
      <c r="A5971" s="146"/>
      <c r="D5971" s="496"/>
    </row>
    <row r="5972" spans="1:4" x14ac:dyDescent="0.2">
      <c r="A5972" s="146"/>
      <c r="D5972" s="496"/>
    </row>
    <row r="5973" spans="1:4" x14ac:dyDescent="0.2">
      <c r="A5973" s="146"/>
      <c r="D5973" s="496"/>
    </row>
    <row r="5974" spans="1:4" x14ac:dyDescent="0.2">
      <c r="A5974" s="146"/>
      <c r="D5974" s="496"/>
    </row>
    <row r="5975" spans="1:4" x14ac:dyDescent="0.2">
      <c r="A5975" s="146"/>
      <c r="D5975" s="496"/>
    </row>
    <row r="5976" spans="1:4" x14ac:dyDescent="0.2">
      <c r="A5976" s="146"/>
      <c r="D5976" s="496"/>
    </row>
    <row r="5977" spans="1:4" x14ac:dyDescent="0.2">
      <c r="A5977" s="146"/>
      <c r="D5977" s="496"/>
    </row>
    <row r="5978" spans="1:4" x14ac:dyDescent="0.2">
      <c r="A5978" s="146"/>
      <c r="D5978" s="496"/>
    </row>
    <row r="5979" spans="1:4" x14ac:dyDescent="0.2">
      <c r="A5979" s="146"/>
      <c r="D5979" s="496"/>
    </row>
    <row r="5980" spans="1:4" x14ac:dyDescent="0.2">
      <c r="A5980" s="146"/>
      <c r="D5980" s="496"/>
    </row>
    <row r="5981" spans="1:4" x14ac:dyDescent="0.2">
      <c r="A5981" s="146"/>
      <c r="D5981" s="496"/>
    </row>
    <row r="5982" spans="1:4" x14ac:dyDescent="0.2">
      <c r="A5982" s="146"/>
      <c r="D5982" s="496"/>
    </row>
    <row r="5983" spans="1:4" x14ac:dyDescent="0.2">
      <c r="A5983" s="146"/>
      <c r="D5983" s="496"/>
    </row>
    <row r="5984" spans="1:4" x14ac:dyDescent="0.2">
      <c r="A5984" s="146"/>
      <c r="D5984" s="496"/>
    </row>
    <row r="5985" spans="1:4" x14ac:dyDescent="0.2">
      <c r="A5985" s="146"/>
      <c r="D5985" s="496"/>
    </row>
    <row r="5986" spans="1:4" x14ac:dyDescent="0.2">
      <c r="A5986" s="146"/>
      <c r="D5986" s="496"/>
    </row>
    <row r="5987" spans="1:4" x14ac:dyDescent="0.2">
      <c r="A5987" s="146"/>
      <c r="D5987" s="496"/>
    </row>
    <row r="5988" spans="1:4" x14ac:dyDescent="0.2">
      <c r="A5988" s="146"/>
      <c r="D5988" s="496"/>
    </row>
    <row r="5989" spans="1:4" x14ac:dyDescent="0.2">
      <c r="A5989" s="146"/>
      <c r="D5989" s="496"/>
    </row>
    <row r="5990" spans="1:4" x14ac:dyDescent="0.2">
      <c r="A5990" s="146"/>
      <c r="D5990" s="496"/>
    </row>
    <row r="5991" spans="1:4" x14ac:dyDescent="0.2">
      <c r="A5991" s="146"/>
      <c r="D5991" s="496"/>
    </row>
    <row r="5992" spans="1:4" x14ac:dyDescent="0.2">
      <c r="A5992" s="146"/>
      <c r="D5992" s="496"/>
    </row>
    <row r="5993" spans="1:4" x14ac:dyDescent="0.2">
      <c r="A5993" s="146"/>
      <c r="D5993" s="496"/>
    </row>
    <row r="5994" spans="1:4" x14ac:dyDescent="0.2">
      <c r="A5994" s="146"/>
      <c r="D5994" s="496"/>
    </row>
    <row r="5995" spans="1:4" x14ac:dyDescent="0.2">
      <c r="A5995" s="146"/>
      <c r="D5995" s="496"/>
    </row>
    <row r="5996" spans="1:4" x14ac:dyDescent="0.2">
      <c r="A5996" s="146"/>
      <c r="D5996" s="496"/>
    </row>
    <row r="5997" spans="1:4" x14ac:dyDescent="0.2">
      <c r="A5997" s="146"/>
      <c r="D5997" s="496"/>
    </row>
    <row r="5998" spans="1:4" x14ac:dyDescent="0.2">
      <c r="A5998" s="146"/>
      <c r="D5998" s="496"/>
    </row>
    <row r="5999" spans="1:4" x14ac:dyDescent="0.2">
      <c r="A5999" s="146"/>
      <c r="D5999" s="496"/>
    </row>
    <row r="6000" spans="1:4" x14ac:dyDescent="0.2">
      <c r="A6000" s="146"/>
      <c r="D6000" s="496"/>
    </row>
    <row r="6001" spans="1:4" x14ac:dyDescent="0.2">
      <c r="A6001" s="146"/>
      <c r="D6001" s="496"/>
    </row>
    <row r="6002" spans="1:4" x14ac:dyDescent="0.2">
      <c r="A6002" s="146"/>
      <c r="D6002" s="496"/>
    </row>
    <row r="6003" spans="1:4" x14ac:dyDescent="0.2">
      <c r="A6003" s="146"/>
      <c r="D6003" s="496"/>
    </row>
    <row r="6004" spans="1:4" x14ac:dyDescent="0.2">
      <c r="A6004" s="146"/>
      <c r="D6004" s="496"/>
    </row>
    <row r="6005" spans="1:4" x14ac:dyDescent="0.2">
      <c r="A6005" s="146"/>
      <c r="D6005" s="496"/>
    </row>
    <row r="6006" spans="1:4" x14ac:dyDescent="0.2">
      <c r="A6006" s="146"/>
      <c r="D6006" s="496"/>
    </row>
    <row r="6007" spans="1:4" x14ac:dyDescent="0.2">
      <c r="A6007" s="146"/>
      <c r="D6007" s="496"/>
    </row>
    <row r="6008" spans="1:4" x14ac:dyDescent="0.2">
      <c r="A6008" s="146"/>
      <c r="D6008" s="496"/>
    </row>
    <row r="6009" spans="1:4" x14ac:dyDescent="0.2">
      <c r="A6009" s="146"/>
      <c r="D6009" s="496"/>
    </row>
    <row r="6010" spans="1:4" x14ac:dyDescent="0.2">
      <c r="A6010" s="146"/>
      <c r="D6010" s="496"/>
    </row>
    <row r="6011" spans="1:4" x14ac:dyDescent="0.2">
      <c r="A6011" s="146"/>
      <c r="D6011" s="496"/>
    </row>
    <row r="6012" spans="1:4" x14ac:dyDescent="0.2">
      <c r="A6012" s="146"/>
      <c r="D6012" s="496"/>
    </row>
    <row r="6013" spans="1:4" x14ac:dyDescent="0.2">
      <c r="A6013" s="146"/>
      <c r="D6013" s="496"/>
    </row>
    <row r="6014" spans="1:4" x14ac:dyDescent="0.2">
      <c r="A6014" s="146"/>
      <c r="D6014" s="496"/>
    </row>
    <row r="6015" spans="1:4" x14ac:dyDescent="0.2">
      <c r="A6015" s="146"/>
      <c r="D6015" s="496"/>
    </row>
    <row r="6016" spans="1:4" x14ac:dyDescent="0.2">
      <c r="A6016" s="146"/>
      <c r="D6016" s="496"/>
    </row>
    <row r="6017" spans="1:4" x14ac:dyDescent="0.2">
      <c r="A6017" s="146"/>
      <c r="D6017" s="496"/>
    </row>
    <row r="6018" spans="1:4" x14ac:dyDescent="0.2">
      <c r="A6018" s="146"/>
      <c r="D6018" s="496"/>
    </row>
    <row r="6019" spans="1:4" x14ac:dyDescent="0.2">
      <c r="A6019" s="146"/>
      <c r="D6019" s="496"/>
    </row>
    <row r="6020" spans="1:4" x14ac:dyDescent="0.2">
      <c r="A6020" s="146"/>
      <c r="D6020" s="496"/>
    </row>
    <row r="6021" spans="1:4" x14ac:dyDescent="0.2">
      <c r="A6021" s="146"/>
      <c r="D6021" s="496"/>
    </row>
    <row r="6022" spans="1:4" x14ac:dyDescent="0.2">
      <c r="A6022" s="146"/>
      <c r="D6022" s="496"/>
    </row>
    <row r="6023" spans="1:4" x14ac:dyDescent="0.2">
      <c r="A6023" s="146"/>
      <c r="D6023" s="496"/>
    </row>
    <row r="6024" spans="1:4" x14ac:dyDescent="0.2">
      <c r="A6024" s="146"/>
      <c r="D6024" s="496"/>
    </row>
    <row r="6025" spans="1:4" x14ac:dyDescent="0.2">
      <c r="A6025" s="146"/>
      <c r="D6025" s="496"/>
    </row>
    <row r="6026" spans="1:4" x14ac:dyDescent="0.2">
      <c r="A6026" s="146"/>
      <c r="D6026" s="496"/>
    </row>
    <row r="6027" spans="1:4" x14ac:dyDescent="0.2">
      <c r="A6027" s="146"/>
      <c r="D6027" s="496"/>
    </row>
    <row r="6028" spans="1:4" x14ac:dyDescent="0.2">
      <c r="A6028" s="146"/>
      <c r="D6028" s="496"/>
    </row>
    <row r="6029" spans="1:4" x14ac:dyDescent="0.2">
      <c r="A6029" s="146"/>
      <c r="D6029" s="496"/>
    </row>
    <row r="6030" spans="1:4" x14ac:dyDescent="0.2">
      <c r="A6030" s="146"/>
      <c r="D6030" s="496"/>
    </row>
    <row r="6031" spans="1:4" x14ac:dyDescent="0.2">
      <c r="A6031" s="146"/>
      <c r="D6031" s="496"/>
    </row>
    <row r="6032" spans="1:4" x14ac:dyDescent="0.2">
      <c r="A6032" s="146"/>
      <c r="D6032" s="496"/>
    </row>
    <row r="6033" spans="1:4" x14ac:dyDescent="0.2">
      <c r="A6033" s="146"/>
      <c r="D6033" s="496"/>
    </row>
    <row r="6034" spans="1:4" x14ac:dyDescent="0.2">
      <c r="A6034" s="146"/>
      <c r="D6034" s="496"/>
    </row>
    <row r="6035" spans="1:4" x14ac:dyDescent="0.2">
      <c r="A6035" s="146"/>
      <c r="D6035" s="496"/>
    </row>
    <row r="6036" spans="1:4" x14ac:dyDescent="0.2">
      <c r="A6036" s="146"/>
      <c r="D6036" s="496"/>
    </row>
    <row r="6037" spans="1:4" x14ac:dyDescent="0.2">
      <c r="A6037" s="146"/>
      <c r="D6037" s="496"/>
    </row>
    <row r="6038" spans="1:4" x14ac:dyDescent="0.2">
      <c r="A6038" s="146"/>
      <c r="D6038" s="496"/>
    </row>
    <row r="6039" spans="1:4" x14ac:dyDescent="0.2">
      <c r="A6039" s="146"/>
      <c r="D6039" s="496"/>
    </row>
    <row r="6040" spans="1:4" x14ac:dyDescent="0.2">
      <c r="A6040" s="146"/>
      <c r="D6040" s="496"/>
    </row>
    <row r="6041" spans="1:4" x14ac:dyDescent="0.2">
      <c r="A6041" s="146"/>
      <c r="D6041" s="496"/>
    </row>
    <row r="6042" spans="1:4" x14ac:dyDescent="0.2">
      <c r="A6042" s="146"/>
      <c r="D6042" s="496"/>
    </row>
    <row r="6043" spans="1:4" x14ac:dyDescent="0.2">
      <c r="A6043" s="146"/>
      <c r="D6043" s="496"/>
    </row>
    <row r="6044" spans="1:4" x14ac:dyDescent="0.2">
      <c r="A6044" s="146"/>
      <c r="D6044" s="496"/>
    </row>
    <row r="6045" spans="1:4" x14ac:dyDescent="0.2">
      <c r="A6045" s="146"/>
      <c r="D6045" s="496"/>
    </row>
    <row r="6046" spans="1:4" x14ac:dyDescent="0.2">
      <c r="A6046" s="146"/>
      <c r="D6046" s="496"/>
    </row>
    <row r="6047" spans="1:4" x14ac:dyDescent="0.2">
      <c r="A6047" s="146"/>
      <c r="D6047" s="496"/>
    </row>
    <row r="6048" spans="1:4" x14ac:dyDescent="0.2">
      <c r="A6048" s="146"/>
      <c r="D6048" s="496"/>
    </row>
    <row r="6049" spans="1:4" x14ac:dyDescent="0.2">
      <c r="A6049" s="146"/>
      <c r="D6049" s="496"/>
    </row>
    <row r="6050" spans="1:4" x14ac:dyDescent="0.2">
      <c r="A6050" s="146"/>
      <c r="D6050" s="496"/>
    </row>
    <row r="6051" spans="1:4" x14ac:dyDescent="0.2">
      <c r="A6051" s="146"/>
      <c r="D6051" s="496"/>
    </row>
    <row r="6052" spans="1:4" x14ac:dyDescent="0.2">
      <c r="A6052" s="146"/>
      <c r="D6052" s="496"/>
    </row>
    <row r="6053" spans="1:4" x14ac:dyDescent="0.2">
      <c r="A6053" s="146"/>
      <c r="D6053" s="496"/>
    </row>
    <row r="6054" spans="1:4" x14ac:dyDescent="0.2">
      <c r="A6054" s="146"/>
      <c r="D6054" s="496"/>
    </row>
    <row r="6055" spans="1:4" x14ac:dyDescent="0.2">
      <c r="A6055" s="146"/>
      <c r="D6055" s="496"/>
    </row>
    <row r="6056" spans="1:4" x14ac:dyDescent="0.2">
      <c r="A6056" s="146"/>
      <c r="D6056" s="496"/>
    </row>
    <row r="6057" spans="1:4" x14ac:dyDescent="0.2">
      <c r="A6057" s="146"/>
      <c r="D6057" s="496"/>
    </row>
    <row r="6058" spans="1:4" x14ac:dyDescent="0.2">
      <c r="A6058" s="146"/>
      <c r="D6058" s="496"/>
    </row>
    <row r="6059" spans="1:4" x14ac:dyDescent="0.2">
      <c r="A6059" s="146"/>
      <c r="D6059" s="496"/>
    </row>
    <row r="6060" spans="1:4" x14ac:dyDescent="0.2">
      <c r="A6060" s="146"/>
      <c r="D6060" s="496"/>
    </row>
    <row r="6061" spans="1:4" x14ac:dyDescent="0.2">
      <c r="A6061" s="146"/>
      <c r="D6061" s="496"/>
    </row>
    <row r="6062" spans="1:4" x14ac:dyDescent="0.2">
      <c r="A6062" s="146"/>
      <c r="D6062" s="496"/>
    </row>
    <row r="6063" spans="1:4" x14ac:dyDescent="0.2">
      <c r="A6063" s="146"/>
      <c r="D6063" s="496"/>
    </row>
    <row r="6064" spans="1:4" x14ac:dyDescent="0.2">
      <c r="A6064" s="146"/>
      <c r="D6064" s="496"/>
    </row>
    <row r="6065" spans="1:4" x14ac:dyDescent="0.2">
      <c r="A6065" s="146"/>
      <c r="D6065" s="496"/>
    </row>
    <row r="6066" spans="1:4" x14ac:dyDescent="0.2">
      <c r="A6066" s="146"/>
      <c r="D6066" s="496"/>
    </row>
    <row r="6067" spans="1:4" x14ac:dyDescent="0.2">
      <c r="A6067" s="146"/>
      <c r="D6067" s="496"/>
    </row>
    <row r="6068" spans="1:4" x14ac:dyDescent="0.2">
      <c r="A6068" s="146"/>
      <c r="D6068" s="496"/>
    </row>
    <row r="6069" spans="1:4" x14ac:dyDescent="0.2">
      <c r="A6069" s="146"/>
      <c r="D6069" s="496"/>
    </row>
    <row r="6070" spans="1:4" x14ac:dyDescent="0.2">
      <c r="A6070" s="146"/>
      <c r="D6070" s="496"/>
    </row>
    <row r="6071" spans="1:4" x14ac:dyDescent="0.2">
      <c r="A6071" s="146"/>
      <c r="D6071" s="496"/>
    </row>
    <row r="6072" spans="1:4" x14ac:dyDescent="0.2">
      <c r="A6072" s="146"/>
      <c r="D6072" s="496"/>
    </row>
    <row r="6073" spans="1:4" x14ac:dyDescent="0.2">
      <c r="A6073" s="146"/>
      <c r="D6073" s="496"/>
    </row>
    <row r="6074" spans="1:4" x14ac:dyDescent="0.2">
      <c r="A6074" s="146"/>
      <c r="D6074" s="496"/>
    </row>
    <row r="6075" spans="1:4" x14ac:dyDescent="0.2">
      <c r="A6075" s="146"/>
      <c r="D6075" s="496"/>
    </row>
    <row r="6076" spans="1:4" x14ac:dyDescent="0.2">
      <c r="A6076" s="146"/>
      <c r="D6076" s="496"/>
    </row>
    <row r="6077" spans="1:4" x14ac:dyDescent="0.2">
      <c r="A6077" s="146"/>
      <c r="D6077" s="496"/>
    </row>
    <row r="6078" spans="1:4" x14ac:dyDescent="0.2">
      <c r="A6078" s="146"/>
      <c r="D6078" s="496"/>
    </row>
    <row r="6079" spans="1:4" x14ac:dyDescent="0.2">
      <c r="A6079" s="146"/>
      <c r="D6079" s="496"/>
    </row>
    <row r="6080" spans="1:4" x14ac:dyDescent="0.2">
      <c r="A6080" s="146"/>
      <c r="D6080" s="496"/>
    </row>
    <row r="6081" spans="1:4" x14ac:dyDescent="0.2">
      <c r="A6081" s="146"/>
      <c r="D6081" s="496"/>
    </row>
    <row r="6082" spans="1:4" x14ac:dyDescent="0.2">
      <c r="A6082" s="146"/>
      <c r="D6082" s="496"/>
    </row>
    <row r="6083" spans="1:4" x14ac:dyDescent="0.2">
      <c r="A6083" s="146"/>
      <c r="D6083" s="496"/>
    </row>
    <row r="6084" spans="1:4" x14ac:dyDescent="0.2">
      <c r="A6084" s="146"/>
      <c r="D6084" s="496"/>
    </row>
    <row r="6085" spans="1:4" x14ac:dyDescent="0.2">
      <c r="A6085" s="146"/>
      <c r="D6085" s="496"/>
    </row>
    <row r="6086" spans="1:4" x14ac:dyDescent="0.2">
      <c r="A6086" s="146"/>
      <c r="D6086" s="496"/>
    </row>
    <row r="6087" spans="1:4" x14ac:dyDescent="0.2">
      <c r="A6087" s="146"/>
      <c r="D6087" s="496"/>
    </row>
    <row r="6088" spans="1:4" x14ac:dyDescent="0.2">
      <c r="A6088" s="146"/>
      <c r="D6088" s="496"/>
    </row>
    <row r="6089" spans="1:4" x14ac:dyDescent="0.2">
      <c r="A6089" s="146"/>
      <c r="D6089" s="496"/>
    </row>
    <row r="6090" spans="1:4" x14ac:dyDescent="0.2">
      <c r="A6090" s="146"/>
      <c r="D6090" s="496"/>
    </row>
    <row r="6091" spans="1:4" x14ac:dyDescent="0.2">
      <c r="A6091" s="146"/>
      <c r="D6091" s="496"/>
    </row>
    <row r="6092" spans="1:4" x14ac:dyDescent="0.2">
      <c r="A6092" s="146"/>
      <c r="D6092" s="496"/>
    </row>
    <row r="6093" spans="1:4" x14ac:dyDescent="0.2">
      <c r="A6093" s="146"/>
      <c r="D6093" s="496"/>
    </row>
    <row r="6094" spans="1:4" x14ac:dyDescent="0.2">
      <c r="A6094" s="146"/>
      <c r="D6094" s="496"/>
    </row>
    <row r="6095" spans="1:4" x14ac:dyDescent="0.2">
      <c r="A6095" s="146"/>
      <c r="D6095" s="496"/>
    </row>
    <row r="6096" spans="1:4" x14ac:dyDescent="0.2">
      <c r="A6096" s="146"/>
      <c r="D6096" s="496"/>
    </row>
    <row r="6097" spans="1:4" x14ac:dyDescent="0.2">
      <c r="A6097" s="146"/>
      <c r="D6097" s="496"/>
    </row>
    <row r="6098" spans="1:4" x14ac:dyDescent="0.2">
      <c r="A6098" s="146"/>
      <c r="D6098" s="496"/>
    </row>
    <row r="6099" spans="1:4" x14ac:dyDescent="0.2">
      <c r="A6099" s="146"/>
      <c r="D6099" s="496"/>
    </row>
    <row r="6100" spans="1:4" x14ac:dyDescent="0.2">
      <c r="A6100" s="146"/>
      <c r="D6100" s="496"/>
    </row>
    <row r="6101" spans="1:4" x14ac:dyDescent="0.2">
      <c r="A6101" s="146"/>
      <c r="D6101" s="496"/>
    </row>
    <row r="6102" spans="1:4" x14ac:dyDescent="0.2">
      <c r="A6102" s="146"/>
      <c r="D6102" s="496"/>
    </row>
    <row r="6103" spans="1:4" x14ac:dyDescent="0.2">
      <c r="A6103" s="146"/>
      <c r="D6103" s="496"/>
    </row>
    <row r="6104" spans="1:4" x14ac:dyDescent="0.2">
      <c r="A6104" s="146"/>
      <c r="D6104" s="496"/>
    </row>
    <row r="6105" spans="1:4" x14ac:dyDescent="0.2">
      <c r="A6105" s="146"/>
      <c r="D6105" s="496"/>
    </row>
    <row r="6106" spans="1:4" x14ac:dyDescent="0.2">
      <c r="A6106" s="146"/>
      <c r="D6106" s="496"/>
    </row>
    <row r="6107" spans="1:4" x14ac:dyDescent="0.2">
      <c r="A6107" s="146"/>
      <c r="D6107" s="496"/>
    </row>
    <row r="6108" spans="1:4" x14ac:dyDescent="0.2">
      <c r="A6108" s="146"/>
      <c r="D6108" s="496"/>
    </row>
    <row r="6109" spans="1:4" x14ac:dyDescent="0.2">
      <c r="A6109" s="146"/>
      <c r="D6109" s="496"/>
    </row>
    <row r="6110" spans="1:4" x14ac:dyDescent="0.2">
      <c r="A6110" s="146"/>
      <c r="D6110" s="496"/>
    </row>
    <row r="6111" spans="1:4" x14ac:dyDescent="0.2">
      <c r="A6111" s="146"/>
      <c r="D6111" s="496"/>
    </row>
    <row r="6112" spans="1:4" x14ac:dyDescent="0.2">
      <c r="A6112" s="146"/>
      <c r="D6112" s="496"/>
    </row>
    <row r="6113" spans="1:4" x14ac:dyDescent="0.2">
      <c r="A6113" s="146"/>
      <c r="D6113" s="496"/>
    </row>
    <row r="6114" spans="1:4" x14ac:dyDescent="0.2">
      <c r="A6114" s="146"/>
      <c r="D6114" s="496"/>
    </row>
    <row r="6115" spans="1:4" x14ac:dyDescent="0.2">
      <c r="A6115" s="146"/>
      <c r="D6115" s="496"/>
    </row>
    <row r="6116" spans="1:4" x14ac:dyDescent="0.2">
      <c r="A6116" s="146"/>
      <c r="D6116" s="496"/>
    </row>
    <row r="6117" spans="1:4" x14ac:dyDescent="0.2">
      <c r="A6117" s="146"/>
      <c r="D6117" s="496"/>
    </row>
    <row r="6118" spans="1:4" x14ac:dyDescent="0.2">
      <c r="A6118" s="146"/>
      <c r="D6118" s="496"/>
    </row>
    <row r="6119" spans="1:4" x14ac:dyDescent="0.2">
      <c r="A6119" s="146"/>
      <c r="D6119" s="496"/>
    </row>
    <row r="6120" spans="1:4" x14ac:dyDescent="0.2">
      <c r="A6120" s="146"/>
      <c r="D6120" s="496"/>
    </row>
    <row r="6121" spans="1:4" x14ac:dyDescent="0.2">
      <c r="A6121" s="146"/>
      <c r="D6121" s="496"/>
    </row>
    <row r="6122" spans="1:4" x14ac:dyDescent="0.2">
      <c r="A6122" s="146"/>
      <c r="D6122" s="496"/>
    </row>
    <row r="6123" spans="1:4" x14ac:dyDescent="0.2">
      <c r="A6123" s="146"/>
      <c r="D6123" s="496"/>
    </row>
    <row r="6124" spans="1:4" x14ac:dyDescent="0.2">
      <c r="A6124" s="146"/>
      <c r="D6124" s="496"/>
    </row>
    <row r="6125" spans="1:4" x14ac:dyDescent="0.2">
      <c r="A6125" s="146"/>
      <c r="D6125" s="496"/>
    </row>
    <row r="6126" spans="1:4" x14ac:dyDescent="0.2">
      <c r="A6126" s="146"/>
      <c r="D6126" s="496"/>
    </row>
    <row r="6127" spans="1:4" x14ac:dyDescent="0.2">
      <c r="A6127" s="146"/>
      <c r="D6127" s="496"/>
    </row>
    <row r="6128" spans="1:4" x14ac:dyDescent="0.2">
      <c r="A6128" s="146"/>
      <c r="D6128" s="496"/>
    </row>
    <row r="6129" spans="1:4" x14ac:dyDescent="0.2">
      <c r="A6129" s="146"/>
      <c r="D6129" s="496"/>
    </row>
    <row r="6130" spans="1:4" x14ac:dyDescent="0.2">
      <c r="A6130" s="146"/>
      <c r="D6130" s="496"/>
    </row>
    <row r="6131" spans="1:4" x14ac:dyDescent="0.2">
      <c r="A6131" s="146"/>
      <c r="D6131" s="496"/>
    </row>
    <row r="6132" spans="1:4" x14ac:dyDescent="0.2">
      <c r="A6132" s="146"/>
      <c r="D6132" s="496"/>
    </row>
    <row r="6133" spans="1:4" x14ac:dyDescent="0.2">
      <c r="A6133" s="146"/>
      <c r="D6133" s="496"/>
    </row>
    <row r="6134" spans="1:4" x14ac:dyDescent="0.2">
      <c r="A6134" s="146"/>
      <c r="D6134" s="496"/>
    </row>
    <row r="6135" spans="1:4" x14ac:dyDescent="0.2">
      <c r="A6135" s="146"/>
      <c r="D6135" s="496"/>
    </row>
    <row r="6136" spans="1:4" x14ac:dyDescent="0.2">
      <c r="A6136" s="146"/>
      <c r="D6136" s="496"/>
    </row>
    <row r="6137" spans="1:4" x14ac:dyDescent="0.2">
      <c r="A6137" s="146"/>
      <c r="D6137" s="496"/>
    </row>
    <row r="6138" spans="1:4" x14ac:dyDescent="0.2">
      <c r="A6138" s="146"/>
      <c r="D6138" s="496"/>
    </row>
    <row r="6139" spans="1:4" x14ac:dyDescent="0.2">
      <c r="A6139" s="146"/>
      <c r="D6139" s="496"/>
    </row>
    <row r="6140" spans="1:4" x14ac:dyDescent="0.2">
      <c r="A6140" s="146"/>
      <c r="D6140" s="496"/>
    </row>
    <row r="6141" spans="1:4" x14ac:dyDescent="0.2">
      <c r="A6141" s="146"/>
      <c r="D6141" s="496"/>
    </row>
    <row r="6142" spans="1:4" x14ac:dyDescent="0.2">
      <c r="A6142" s="146"/>
      <c r="D6142" s="496"/>
    </row>
    <row r="6143" spans="1:4" x14ac:dyDescent="0.2">
      <c r="A6143" s="146"/>
      <c r="D6143" s="496"/>
    </row>
    <row r="6144" spans="1:4" x14ac:dyDescent="0.2">
      <c r="A6144" s="146"/>
      <c r="D6144" s="496"/>
    </row>
    <row r="6145" spans="1:4" x14ac:dyDescent="0.2">
      <c r="A6145" s="146"/>
      <c r="D6145" s="496"/>
    </row>
    <row r="6146" spans="1:4" x14ac:dyDescent="0.2">
      <c r="A6146" s="146"/>
      <c r="D6146" s="496"/>
    </row>
    <row r="6147" spans="1:4" x14ac:dyDescent="0.2">
      <c r="A6147" s="146"/>
      <c r="D6147" s="496"/>
    </row>
    <row r="6148" spans="1:4" x14ac:dyDescent="0.2">
      <c r="A6148" s="146"/>
      <c r="D6148" s="496"/>
    </row>
    <row r="6149" spans="1:4" x14ac:dyDescent="0.2">
      <c r="A6149" s="146"/>
      <c r="D6149" s="496"/>
    </row>
    <row r="6150" spans="1:4" x14ac:dyDescent="0.2">
      <c r="A6150" s="146"/>
      <c r="D6150" s="496"/>
    </row>
    <row r="6151" spans="1:4" x14ac:dyDescent="0.2">
      <c r="A6151" s="146"/>
      <c r="D6151" s="496"/>
    </row>
    <row r="6152" spans="1:4" x14ac:dyDescent="0.2">
      <c r="A6152" s="146"/>
      <c r="D6152" s="496"/>
    </row>
    <row r="6153" spans="1:4" x14ac:dyDescent="0.2">
      <c r="A6153" s="146"/>
      <c r="D6153" s="496"/>
    </row>
    <row r="6154" spans="1:4" x14ac:dyDescent="0.2">
      <c r="A6154" s="146"/>
      <c r="D6154" s="496"/>
    </row>
    <row r="6155" spans="1:4" x14ac:dyDescent="0.2">
      <c r="A6155" s="146"/>
      <c r="D6155" s="496"/>
    </row>
    <row r="6156" spans="1:4" x14ac:dyDescent="0.2">
      <c r="A6156" s="146"/>
      <c r="D6156" s="496"/>
    </row>
    <row r="6157" spans="1:4" x14ac:dyDescent="0.2">
      <c r="A6157" s="146"/>
      <c r="D6157" s="496"/>
    </row>
    <row r="6158" spans="1:4" x14ac:dyDescent="0.2">
      <c r="A6158" s="146"/>
      <c r="D6158" s="496"/>
    </row>
    <row r="6159" spans="1:4" x14ac:dyDescent="0.2">
      <c r="A6159" s="146"/>
      <c r="D6159" s="496"/>
    </row>
    <row r="6160" spans="1:4" x14ac:dyDescent="0.2">
      <c r="A6160" s="146"/>
      <c r="D6160" s="496"/>
    </row>
    <row r="6161" spans="1:4" x14ac:dyDescent="0.2">
      <c r="A6161" s="146"/>
      <c r="D6161" s="496"/>
    </row>
    <row r="6162" spans="1:4" x14ac:dyDescent="0.2">
      <c r="A6162" s="146"/>
      <c r="D6162" s="496"/>
    </row>
    <row r="6163" spans="1:4" x14ac:dyDescent="0.2">
      <c r="A6163" s="146"/>
      <c r="D6163" s="496"/>
    </row>
    <row r="6164" spans="1:4" x14ac:dyDescent="0.2">
      <c r="A6164" s="146"/>
      <c r="D6164" s="496"/>
    </row>
    <row r="6165" spans="1:4" x14ac:dyDescent="0.2">
      <c r="A6165" s="146"/>
      <c r="D6165" s="496"/>
    </row>
    <row r="6166" spans="1:4" x14ac:dyDescent="0.2">
      <c r="A6166" s="146"/>
      <c r="D6166" s="496"/>
    </row>
    <row r="6167" spans="1:4" x14ac:dyDescent="0.2">
      <c r="A6167" s="146"/>
      <c r="D6167" s="496"/>
    </row>
    <row r="6168" spans="1:4" x14ac:dyDescent="0.2">
      <c r="A6168" s="146"/>
      <c r="D6168" s="496"/>
    </row>
    <row r="6169" spans="1:4" x14ac:dyDescent="0.2">
      <c r="A6169" s="146"/>
      <c r="D6169" s="496"/>
    </row>
    <row r="6170" spans="1:4" x14ac:dyDescent="0.2">
      <c r="A6170" s="146"/>
      <c r="D6170" s="496"/>
    </row>
    <row r="6171" spans="1:4" x14ac:dyDescent="0.2">
      <c r="A6171" s="146"/>
      <c r="D6171" s="496"/>
    </row>
    <row r="6172" spans="1:4" x14ac:dyDescent="0.2">
      <c r="A6172" s="146"/>
      <c r="D6172" s="496"/>
    </row>
    <row r="6173" spans="1:4" x14ac:dyDescent="0.2">
      <c r="A6173" s="146"/>
      <c r="D6173" s="496"/>
    </row>
    <row r="6174" spans="1:4" x14ac:dyDescent="0.2">
      <c r="A6174" s="146"/>
      <c r="D6174" s="496"/>
    </row>
    <row r="6175" spans="1:4" x14ac:dyDescent="0.2">
      <c r="A6175" s="146"/>
      <c r="D6175" s="496"/>
    </row>
    <row r="6176" spans="1:4" x14ac:dyDescent="0.2">
      <c r="A6176" s="146"/>
      <c r="D6176" s="496"/>
    </row>
    <row r="6177" spans="1:4" x14ac:dyDescent="0.2">
      <c r="A6177" s="146"/>
      <c r="D6177" s="496"/>
    </row>
    <row r="6178" spans="1:4" x14ac:dyDescent="0.2">
      <c r="A6178" s="146"/>
      <c r="D6178" s="496"/>
    </row>
    <row r="6179" spans="1:4" x14ac:dyDescent="0.2">
      <c r="A6179" s="146"/>
      <c r="D6179" s="496"/>
    </row>
    <row r="6180" spans="1:4" x14ac:dyDescent="0.2">
      <c r="A6180" s="146"/>
      <c r="D6180" s="496"/>
    </row>
    <row r="6181" spans="1:4" x14ac:dyDescent="0.2">
      <c r="A6181" s="146"/>
      <c r="D6181" s="496"/>
    </row>
    <row r="6182" spans="1:4" x14ac:dyDescent="0.2">
      <c r="A6182" s="146"/>
      <c r="D6182" s="496"/>
    </row>
    <row r="6183" spans="1:4" x14ac:dyDescent="0.2">
      <c r="A6183" s="146"/>
      <c r="D6183" s="496"/>
    </row>
    <row r="6184" spans="1:4" x14ac:dyDescent="0.2">
      <c r="A6184" s="146"/>
      <c r="D6184" s="496"/>
    </row>
    <row r="6185" spans="1:4" x14ac:dyDescent="0.2">
      <c r="A6185" s="146"/>
      <c r="D6185" s="496"/>
    </row>
    <row r="6186" spans="1:4" x14ac:dyDescent="0.2">
      <c r="A6186" s="146"/>
      <c r="D6186" s="496"/>
    </row>
    <row r="6187" spans="1:4" x14ac:dyDescent="0.2">
      <c r="A6187" s="146"/>
      <c r="D6187" s="496"/>
    </row>
    <row r="6188" spans="1:4" x14ac:dyDescent="0.2">
      <c r="A6188" s="146"/>
      <c r="D6188" s="496"/>
    </row>
    <row r="6189" spans="1:4" x14ac:dyDescent="0.2">
      <c r="A6189" s="146"/>
      <c r="D6189" s="496"/>
    </row>
    <row r="6190" spans="1:4" x14ac:dyDescent="0.2">
      <c r="A6190" s="146"/>
      <c r="D6190" s="496"/>
    </row>
    <row r="6191" spans="1:4" x14ac:dyDescent="0.2">
      <c r="A6191" s="146"/>
      <c r="D6191" s="496"/>
    </row>
    <row r="6192" spans="1:4" x14ac:dyDescent="0.2">
      <c r="A6192" s="146"/>
      <c r="D6192" s="496"/>
    </row>
    <row r="6193" spans="1:4" x14ac:dyDescent="0.2">
      <c r="A6193" s="146"/>
      <c r="D6193" s="496"/>
    </row>
    <row r="6194" spans="1:4" x14ac:dyDescent="0.2">
      <c r="A6194" s="146"/>
      <c r="D6194" s="496"/>
    </row>
    <row r="6195" spans="1:4" x14ac:dyDescent="0.2">
      <c r="A6195" s="146"/>
      <c r="D6195" s="496"/>
    </row>
    <row r="6196" spans="1:4" x14ac:dyDescent="0.2">
      <c r="A6196" s="146"/>
      <c r="D6196" s="496"/>
    </row>
    <row r="6197" spans="1:4" x14ac:dyDescent="0.2">
      <c r="A6197" s="146"/>
      <c r="D6197" s="496"/>
    </row>
    <row r="6198" spans="1:4" x14ac:dyDescent="0.2">
      <c r="A6198" s="146"/>
      <c r="D6198" s="496"/>
    </row>
    <row r="6199" spans="1:4" x14ac:dyDescent="0.2">
      <c r="A6199" s="146"/>
      <c r="D6199" s="496"/>
    </row>
    <row r="6200" spans="1:4" x14ac:dyDescent="0.2">
      <c r="A6200" s="146"/>
      <c r="D6200" s="496"/>
    </row>
    <row r="6201" spans="1:4" x14ac:dyDescent="0.2">
      <c r="A6201" s="146"/>
      <c r="D6201" s="496"/>
    </row>
    <row r="6202" spans="1:4" x14ac:dyDescent="0.2">
      <c r="A6202" s="146"/>
      <c r="D6202" s="496"/>
    </row>
    <row r="6203" spans="1:4" x14ac:dyDescent="0.2">
      <c r="A6203" s="146"/>
      <c r="D6203" s="496"/>
    </row>
    <row r="6204" spans="1:4" x14ac:dyDescent="0.2">
      <c r="A6204" s="146"/>
      <c r="D6204" s="496"/>
    </row>
    <row r="6205" spans="1:4" x14ac:dyDescent="0.2">
      <c r="A6205" s="146"/>
      <c r="D6205" s="496"/>
    </row>
    <row r="6206" spans="1:4" x14ac:dyDescent="0.2">
      <c r="A6206" s="146"/>
      <c r="D6206" s="496"/>
    </row>
    <row r="6207" spans="1:4" x14ac:dyDescent="0.2">
      <c r="A6207" s="146"/>
      <c r="D6207" s="496"/>
    </row>
    <row r="6208" spans="1:4" x14ac:dyDescent="0.2">
      <c r="A6208" s="146"/>
      <c r="D6208" s="496"/>
    </row>
    <row r="6209" spans="1:4" x14ac:dyDescent="0.2">
      <c r="A6209" s="146"/>
      <c r="D6209" s="496"/>
    </row>
    <row r="6210" spans="1:4" x14ac:dyDescent="0.2">
      <c r="A6210" s="146"/>
      <c r="D6210" s="496"/>
    </row>
    <row r="6211" spans="1:4" x14ac:dyDescent="0.2">
      <c r="A6211" s="146"/>
      <c r="D6211" s="496"/>
    </row>
    <row r="6212" spans="1:4" x14ac:dyDescent="0.2">
      <c r="A6212" s="146"/>
      <c r="D6212" s="496"/>
    </row>
    <row r="6213" spans="1:4" x14ac:dyDescent="0.2">
      <c r="A6213" s="146"/>
      <c r="D6213" s="496"/>
    </row>
    <row r="6214" spans="1:4" x14ac:dyDescent="0.2">
      <c r="A6214" s="146"/>
      <c r="D6214" s="496"/>
    </row>
    <row r="6215" spans="1:4" x14ac:dyDescent="0.2">
      <c r="A6215" s="146"/>
      <c r="D6215" s="496"/>
    </row>
    <row r="6216" spans="1:4" x14ac:dyDescent="0.2">
      <c r="A6216" s="146"/>
      <c r="D6216" s="496"/>
    </row>
    <row r="6217" spans="1:4" x14ac:dyDescent="0.2">
      <c r="A6217" s="146"/>
      <c r="D6217" s="496"/>
    </row>
    <row r="6218" spans="1:4" x14ac:dyDescent="0.2">
      <c r="A6218" s="146"/>
      <c r="D6218" s="496"/>
    </row>
    <row r="6219" spans="1:4" x14ac:dyDescent="0.2">
      <c r="A6219" s="146"/>
      <c r="D6219" s="496"/>
    </row>
    <row r="6220" spans="1:4" x14ac:dyDescent="0.2">
      <c r="A6220" s="146"/>
      <c r="D6220" s="496"/>
    </row>
    <row r="6221" spans="1:4" x14ac:dyDescent="0.2">
      <c r="A6221" s="146"/>
      <c r="D6221" s="496"/>
    </row>
    <row r="6222" spans="1:4" x14ac:dyDescent="0.2">
      <c r="A6222" s="146"/>
      <c r="D6222" s="496"/>
    </row>
    <row r="6223" spans="1:4" x14ac:dyDescent="0.2">
      <c r="A6223" s="146"/>
      <c r="D6223" s="496"/>
    </row>
    <row r="6224" spans="1:4" x14ac:dyDescent="0.2">
      <c r="A6224" s="146"/>
      <c r="D6224" s="496"/>
    </row>
    <row r="6225" spans="1:4" x14ac:dyDescent="0.2">
      <c r="A6225" s="146"/>
      <c r="D6225" s="496"/>
    </row>
    <row r="6226" spans="1:4" x14ac:dyDescent="0.2">
      <c r="A6226" s="146"/>
      <c r="D6226" s="496"/>
    </row>
    <row r="6227" spans="1:4" x14ac:dyDescent="0.2">
      <c r="A6227" s="146"/>
      <c r="D6227" s="496"/>
    </row>
    <row r="6228" spans="1:4" x14ac:dyDescent="0.2">
      <c r="A6228" s="146"/>
      <c r="D6228" s="496"/>
    </row>
    <row r="6229" spans="1:4" x14ac:dyDescent="0.2">
      <c r="A6229" s="146"/>
      <c r="D6229" s="496"/>
    </row>
    <row r="6230" spans="1:4" x14ac:dyDescent="0.2">
      <c r="A6230" s="146"/>
      <c r="D6230" s="496"/>
    </row>
    <row r="6231" spans="1:4" x14ac:dyDescent="0.2">
      <c r="A6231" s="146"/>
      <c r="D6231" s="496"/>
    </row>
    <row r="6232" spans="1:4" x14ac:dyDescent="0.2">
      <c r="A6232" s="146"/>
      <c r="D6232" s="496"/>
    </row>
    <row r="6233" spans="1:4" x14ac:dyDescent="0.2">
      <c r="A6233" s="146"/>
      <c r="D6233" s="496"/>
    </row>
    <row r="6234" spans="1:4" x14ac:dyDescent="0.2">
      <c r="A6234" s="146"/>
      <c r="D6234" s="496"/>
    </row>
    <row r="6235" spans="1:4" x14ac:dyDescent="0.2">
      <c r="A6235" s="146"/>
      <c r="D6235" s="496"/>
    </row>
    <row r="6236" spans="1:4" x14ac:dyDescent="0.2">
      <c r="A6236" s="146"/>
      <c r="D6236" s="496"/>
    </row>
    <row r="6237" spans="1:4" x14ac:dyDescent="0.2">
      <c r="A6237" s="146"/>
      <c r="D6237" s="496"/>
    </row>
    <row r="6238" spans="1:4" x14ac:dyDescent="0.2">
      <c r="A6238" s="146"/>
      <c r="D6238" s="496"/>
    </row>
    <row r="6239" spans="1:4" x14ac:dyDescent="0.2">
      <c r="A6239" s="146"/>
      <c r="D6239" s="496"/>
    </row>
    <row r="6240" spans="1:4" x14ac:dyDescent="0.2">
      <c r="A6240" s="146"/>
      <c r="D6240" s="496"/>
    </row>
    <row r="6241" spans="1:4" x14ac:dyDescent="0.2">
      <c r="A6241" s="146"/>
      <c r="D6241" s="496"/>
    </row>
    <row r="6242" spans="1:4" x14ac:dyDescent="0.2">
      <c r="A6242" s="146"/>
      <c r="D6242" s="496"/>
    </row>
    <row r="6243" spans="1:4" x14ac:dyDescent="0.2">
      <c r="A6243" s="146"/>
      <c r="D6243" s="496"/>
    </row>
    <row r="6244" spans="1:4" x14ac:dyDescent="0.2">
      <c r="A6244" s="146"/>
      <c r="D6244" s="496"/>
    </row>
    <row r="6245" spans="1:4" x14ac:dyDescent="0.2">
      <c r="A6245" s="146"/>
      <c r="D6245" s="496"/>
    </row>
    <row r="6246" spans="1:4" x14ac:dyDescent="0.2">
      <c r="A6246" s="146"/>
      <c r="D6246" s="496"/>
    </row>
    <row r="6247" spans="1:4" x14ac:dyDescent="0.2">
      <c r="A6247" s="146"/>
      <c r="D6247" s="496"/>
    </row>
    <row r="6248" spans="1:4" x14ac:dyDescent="0.2">
      <c r="A6248" s="146"/>
      <c r="D6248" s="496"/>
    </row>
    <row r="6249" spans="1:4" x14ac:dyDescent="0.2">
      <c r="A6249" s="146"/>
      <c r="D6249" s="496"/>
    </row>
    <row r="6250" spans="1:4" x14ac:dyDescent="0.2">
      <c r="A6250" s="146"/>
      <c r="D6250" s="496"/>
    </row>
    <row r="6251" spans="1:4" x14ac:dyDescent="0.2">
      <c r="A6251" s="146"/>
      <c r="D6251" s="496"/>
    </row>
    <row r="6252" spans="1:4" x14ac:dyDescent="0.2">
      <c r="A6252" s="146"/>
      <c r="D6252" s="496"/>
    </row>
    <row r="6253" spans="1:4" x14ac:dyDescent="0.2">
      <c r="A6253" s="146"/>
      <c r="D6253" s="496"/>
    </row>
    <row r="6254" spans="1:4" x14ac:dyDescent="0.2">
      <c r="A6254" s="146"/>
      <c r="D6254" s="496"/>
    </row>
    <row r="6255" spans="1:4" x14ac:dyDescent="0.2">
      <c r="A6255" s="146"/>
      <c r="D6255" s="496"/>
    </row>
    <row r="6256" spans="1:4" x14ac:dyDescent="0.2">
      <c r="A6256" s="146"/>
      <c r="D6256" s="496"/>
    </row>
    <row r="6257" spans="1:4" x14ac:dyDescent="0.2">
      <c r="A6257" s="146"/>
      <c r="D6257" s="496"/>
    </row>
    <row r="6258" spans="1:4" x14ac:dyDescent="0.2">
      <c r="A6258" s="146"/>
      <c r="D6258" s="496"/>
    </row>
    <row r="6259" spans="1:4" x14ac:dyDescent="0.2">
      <c r="A6259" s="146"/>
      <c r="D6259" s="496"/>
    </row>
    <row r="6260" spans="1:4" x14ac:dyDescent="0.2">
      <c r="A6260" s="146"/>
      <c r="D6260" s="496"/>
    </row>
    <row r="6261" spans="1:4" x14ac:dyDescent="0.2">
      <c r="A6261" s="146"/>
      <c r="D6261" s="496"/>
    </row>
    <row r="6262" spans="1:4" x14ac:dyDescent="0.2">
      <c r="A6262" s="146"/>
      <c r="D6262" s="496"/>
    </row>
    <row r="6263" spans="1:4" x14ac:dyDescent="0.2">
      <c r="A6263" s="146"/>
      <c r="D6263" s="496"/>
    </row>
    <row r="6264" spans="1:4" x14ac:dyDescent="0.2">
      <c r="A6264" s="146"/>
      <c r="D6264" s="496"/>
    </row>
    <row r="6265" spans="1:4" x14ac:dyDescent="0.2">
      <c r="A6265" s="146"/>
      <c r="D6265" s="496"/>
    </row>
    <row r="6266" spans="1:4" x14ac:dyDescent="0.2">
      <c r="A6266" s="146"/>
      <c r="D6266" s="496"/>
    </row>
    <row r="6267" spans="1:4" x14ac:dyDescent="0.2">
      <c r="A6267" s="146"/>
      <c r="D6267" s="496"/>
    </row>
    <row r="6268" spans="1:4" x14ac:dyDescent="0.2">
      <c r="A6268" s="146"/>
      <c r="D6268" s="496"/>
    </row>
    <row r="6269" spans="1:4" x14ac:dyDescent="0.2">
      <c r="A6269" s="146"/>
      <c r="D6269" s="496"/>
    </row>
    <row r="6270" spans="1:4" x14ac:dyDescent="0.2">
      <c r="A6270" s="146"/>
      <c r="D6270" s="496"/>
    </row>
    <row r="6271" spans="1:4" x14ac:dyDescent="0.2">
      <c r="A6271" s="146"/>
      <c r="D6271" s="496"/>
    </row>
    <row r="6272" spans="1:4" x14ac:dyDescent="0.2">
      <c r="A6272" s="146"/>
      <c r="D6272" s="496"/>
    </row>
    <row r="6273" spans="1:4" x14ac:dyDescent="0.2">
      <c r="A6273" s="146"/>
      <c r="D6273" s="496"/>
    </row>
    <row r="6274" spans="1:4" x14ac:dyDescent="0.2">
      <c r="A6274" s="146"/>
      <c r="D6274" s="496"/>
    </row>
    <row r="6275" spans="1:4" x14ac:dyDescent="0.2">
      <c r="A6275" s="146"/>
      <c r="D6275" s="496"/>
    </row>
    <row r="6276" spans="1:4" x14ac:dyDescent="0.2">
      <c r="A6276" s="146"/>
      <c r="D6276" s="496"/>
    </row>
    <row r="6277" spans="1:4" x14ac:dyDescent="0.2">
      <c r="A6277" s="146"/>
      <c r="D6277" s="496"/>
    </row>
    <row r="6278" spans="1:4" x14ac:dyDescent="0.2">
      <c r="A6278" s="146"/>
      <c r="D6278" s="496"/>
    </row>
    <row r="6279" spans="1:4" x14ac:dyDescent="0.2">
      <c r="A6279" s="146"/>
      <c r="D6279" s="496"/>
    </row>
    <row r="6280" spans="1:4" x14ac:dyDescent="0.2">
      <c r="A6280" s="146"/>
      <c r="D6280" s="496"/>
    </row>
    <row r="6281" spans="1:4" x14ac:dyDescent="0.2">
      <c r="A6281" s="146"/>
      <c r="D6281" s="496"/>
    </row>
    <row r="6282" spans="1:4" x14ac:dyDescent="0.2">
      <c r="A6282" s="146"/>
      <c r="D6282" s="496"/>
    </row>
    <row r="6283" spans="1:4" x14ac:dyDescent="0.2">
      <c r="A6283" s="146"/>
      <c r="D6283" s="496"/>
    </row>
    <row r="6284" spans="1:4" x14ac:dyDescent="0.2">
      <c r="A6284" s="146"/>
      <c r="D6284" s="496"/>
    </row>
    <row r="6285" spans="1:4" x14ac:dyDescent="0.2">
      <c r="A6285" s="146"/>
      <c r="D6285" s="496"/>
    </row>
    <row r="6286" spans="1:4" x14ac:dyDescent="0.2">
      <c r="A6286" s="146"/>
      <c r="D6286" s="496"/>
    </row>
    <row r="6287" spans="1:4" x14ac:dyDescent="0.2">
      <c r="A6287" s="146"/>
      <c r="D6287" s="496"/>
    </row>
    <row r="6288" spans="1:4" x14ac:dyDescent="0.2">
      <c r="A6288" s="146"/>
      <c r="D6288" s="496"/>
    </row>
    <row r="6289" spans="1:4" x14ac:dyDescent="0.2">
      <c r="A6289" s="146"/>
      <c r="D6289" s="496"/>
    </row>
    <row r="6290" spans="1:4" x14ac:dyDescent="0.2">
      <c r="A6290" s="146"/>
      <c r="D6290" s="496"/>
    </row>
    <row r="6291" spans="1:4" x14ac:dyDescent="0.2">
      <c r="A6291" s="146"/>
      <c r="D6291" s="496"/>
    </row>
    <row r="6292" spans="1:4" x14ac:dyDescent="0.2">
      <c r="A6292" s="146"/>
      <c r="D6292" s="496"/>
    </row>
    <row r="6293" spans="1:4" x14ac:dyDescent="0.2">
      <c r="A6293" s="146"/>
      <c r="D6293" s="496"/>
    </row>
    <row r="6294" spans="1:4" x14ac:dyDescent="0.2">
      <c r="A6294" s="146"/>
      <c r="D6294" s="496"/>
    </row>
    <row r="6295" spans="1:4" x14ac:dyDescent="0.2">
      <c r="A6295" s="146"/>
      <c r="D6295" s="496"/>
    </row>
    <row r="6296" spans="1:4" x14ac:dyDescent="0.2">
      <c r="A6296" s="146"/>
      <c r="D6296" s="496"/>
    </row>
    <row r="6297" spans="1:4" x14ac:dyDescent="0.2">
      <c r="A6297" s="146"/>
      <c r="D6297" s="496"/>
    </row>
    <row r="6298" spans="1:4" x14ac:dyDescent="0.2">
      <c r="A6298" s="146"/>
      <c r="D6298" s="496"/>
    </row>
    <row r="6299" spans="1:4" x14ac:dyDescent="0.2">
      <c r="A6299" s="146"/>
      <c r="D6299" s="496"/>
    </row>
    <row r="6300" spans="1:4" x14ac:dyDescent="0.2">
      <c r="A6300" s="146"/>
      <c r="D6300" s="496"/>
    </row>
    <row r="6301" spans="1:4" x14ac:dyDescent="0.2">
      <c r="A6301" s="146"/>
      <c r="D6301" s="496"/>
    </row>
    <row r="6302" spans="1:4" x14ac:dyDescent="0.2">
      <c r="A6302" s="146"/>
      <c r="D6302" s="496"/>
    </row>
    <row r="6303" spans="1:4" x14ac:dyDescent="0.2">
      <c r="A6303" s="146"/>
      <c r="D6303" s="496"/>
    </row>
    <row r="6304" spans="1:4" x14ac:dyDescent="0.2">
      <c r="A6304" s="146"/>
      <c r="D6304" s="496"/>
    </row>
    <row r="6305" spans="1:4" x14ac:dyDescent="0.2">
      <c r="A6305" s="146"/>
      <c r="D6305" s="496"/>
    </row>
    <row r="6306" spans="1:4" x14ac:dyDescent="0.2">
      <c r="A6306" s="146"/>
      <c r="D6306" s="496"/>
    </row>
    <row r="6307" spans="1:4" x14ac:dyDescent="0.2">
      <c r="A6307" s="146"/>
      <c r="D6307" s="496"/>
    </row>
    <row r="6308" spans="1:4" x14ac:dyDescent="0.2">
      <c r="A6308" s="146"/>
      <c r="D6308" s="496"/>
    </row>
    <row r="6309" spans="1:4" x14ac:dyDescent="0.2">
      <c r="A6309" s="146"/>
      <c r="D6309" s="496"/>
    </row>
    <row r="6310" spans="1:4" x14ac:dyDescent="0.2">
      <c r="A6310" s="146"/>
      <c r="D6310" s="496"/>
    </row>
    <row r="6311" spans="1:4" x14ac:dyDescent="0.2">
      <c r="A6311" s="146"/>
      <c r="D6311" s="496"/>
    </row>
    <row r="6312" spans="1:4" x14ac:dyDescent="0.2">
      <c r="A6312" s="146"/>
      <c r="D6312" s="496"/>
    </row>
    <row r="6313" spans="1:4" x14ac:dyDescent="0.2">
      <c r="A6313" s="146"/>
      <c r="D6313" s="496"/>
    </row>
    <row r="6314" spans="1:4" x14ac:dyDescent="0.2">
      <c r="A6314" s="146"/>
      <c r="D6314" s="496"/>
    </row>
    <row r="6315" spans="1:4" x14ac:dyDescent="0.2">
      <c r="A6315" s="146"/>
      <c r="D6315" s="496"/>
    </row>
    <row r="6316" spans="1:4" x14ac:dyDescent="0.2">
      <c r="A6316" s="146"/>
      <c r="D6316" s="496"/>
    </row>
    <row r="6317" spans="1:4" x14ac:dyDescent="0.2">
      <c r="A6317" s="146"/>
      <c r="D6317" s="496"/>
    </row>
    <row r="6318" spans="1:4" x14ac:dyDescent="0.2">
      <c r="A6318" s="146"/>
      <c r="D6318" s="496"/>
    </row>
    <row r="6319" spans="1:4" x14ac:dyDescent="0.2">
      <c r="A6319" s="146"/>
      <c r="D6319" s="496"/>
    </row>
    <row r="6320" spans="1:4" x14ac:dyDescent="0.2">
      <c r="A6320" s="146"/>
      <c r="D6320" s="496"/>
    </row>
    <row r="6321" spans="1:4" x14ac:dyDescent="0.2">
      <c r="A6321" s="146"/>
      <c r="D6321" s="496"/>
    </row>
    <row r="6322" spans="1:4" x14ac:dyDescent="0.2">
      <c r="A6322" s="146"/>
      <c r="D6322" s="496"/>
    </row>
    <row r="6323" spans="1:4" x14ac:dyDescent="0.2">
      <c r="A6323" s="146"/>
      <c r="D6323" s="496"/>
    </row>
    <row r="6324" spans="1:4" x14ac:dyDescent="0.2">
      <c r="A6324" s="146"/>
      <c r="D6324" s="496"/>
    </row>
    <row r="6325" spans="1:4" x14ac:dyDescent="0.2">
      <c r="A6325" s="146"/>
      <c r="D6325" s="496"/>
    </row>
    <row r="6326" spans="1:4" x14ac:dyDescent="0.2">
      <c r="A6326" s="146"/>
      <c r="D6326" s="496"/>
    </row>
    <row r="6327" spans="1:4" x14ac:dyDescent="0.2">
      <c r="A6327" s="146"/>
      <c r="D6327" s="496"/>
    </row>
    <row r="6328" spans="1:4" x14ac:dyDescent="0.2">
      <c r="A6328" s="146"/>
      <c r="D6328" s="496"/>
    </row>
    <row r="6329" spans="1:4" x14ac:dyDescent="0.2">
      <c r="A6329" s="146"/>
      <c r="D6329" s="496"/>
    </row>
    <row r="6330" spans="1:4" x14ac:dyDescent="0.2">
      <c r="A6330" s="146"/>
      <c r="D6330" s="496"/>
    </row>
    <row r="6331" spans="1:4" x14ac:dyDescent="0.2">
      <c r="A6331" s="146"/>
      <c r="D6331" s="496"/>
    </row>
    <row r="6332" spans="1:4" x14ac:dyDescent="0.2">
      <c r="A6332" s="146"/>
      <c r="D6332" s="496"/>
    </row>
    <row r="6333" spans="1:4" x14ac:dyDescent="0.2">
      <c r="A6333" s="146"/>
      <c r="D6333" s="496"/>
    </row>
    <row r="6334" spans="1:4" x14ac:dyDescent="0.2">
      <c r="A6334" s="146"/>
      <c r="D6334" s="496"/>
    </row>
    <row r="6335" spans="1:4" x14ac:dyDescent="0.2">
      <c r="A6335" s="146"/>
      <c r="D6335" s="496"/>
    </row>
    <row r="6336" spans="1:4" x14ac:dyDescent="0.2">
      <c r="A6336" s="146"/>
      <c r="D6336" s="496"/>
    </row>
    <row r="6337" spans="1:4" x14ac:dyDescent="0.2">
      <c r="A6337" s="146"/>
      <c r="D6337" s="496"/>
    </row>
    <row r="6338" spans="1:4" x14ac:dyDescent="0.2">
      <c r="A6338" s="146"/>
      <c r="D6338" s="496"/>
    </row>
    <row r="6339" spans="1:4" x14ac:dyDescent="0.2">
      <c r="A6339" s="146"/>
      <c r="D6339" s="496"/>
    </row>
    <row r="6340" spans="1:4" x14ac:dyDescent="0.2">
      <c r="A6340" s="146"/>
      <c r="D6340" s="496"/>
    </row>
    <row r="6341" spans="1:4" x14ac:dyDescent="0.2">
      <c r="A6341" s="146"/>
      <c r="D6341" s="496"/>
    </row>
    <row r="6342" spans="1:4" x14ac:dyDescent="0.2">
      <c r="A6342" s="146"/>
      <c r="D6342" s="496"/>
    </row>
    <row r="6343" spans="1:4" x14ac:dyDescent="0.2">
      <c r="A6343" s="146"/>
      <c r="D6343" s="496"/>
    </row>
    <row r="6344" spans="1:4" x14ac:dyDescent="0.2">
      <c r="A6344" s="146"/>
      <c r="D6344" s="496"/>
    </row>
    <row r="6345" spans="1:4" x14ac:dyDescent="0.2">
      <c r="A6345" s="146"/>
      <c r="D6345" s="496"/>
    </row>
    <row r="6346" spans="1:4" x14ac:dyDescent="0.2">
      <c r="A6346" s="146"/>
      <c r="D6346" s="496"/>
    </row>
    <row r="6347" spans="1:4" x14ac:dyDescent="0.2">
      <c r="A6347" s="146"/>
      <c r="D6347" s="496"/>
    </row>
    <row r="6348" spans="1:4" x14ac:dyDescent="0.2">
      <c r="A6348" s="146"/>
      <c r="D6348" s="496"/>
    </row>
    <row r="6349" spans="1:4" x14ac:dyDescent="0.2">
      <c r="A6349" s="146"/>
      <c r="D6349" s="496"/>
    </row>
    <row r="6350" spans="1:4" x14ac:dyDescent="0.2">
      <c r="A6350" s="146"/>
      <c r="D6350" s="496"/>
    </row>
    <row r="6351" spans="1:4" x14ac:dyDescent="0.2">
      <c r="A6351" s="146"/>
      <c r="D6351" s="496"/>
    </row>
    <row r="6352" spans="1:4" x14ac:dyDescent="0.2">
      <c r="A6352" s="146"/>
      <c r="D6352" s="496"/>
    </row>
    <row r="6353" spans="1:4" x14ac:dyDescent="0.2">
      <c r="A6353" s="146"/>
      <c r="D6353" s="496"/>
    </row>
    <row r="6354" spans="1:4" x14ac:dyDescent="0.2">
      <c r="A6354" s="146"/>
      <c r="D6354" s="496"/>
    </row>
    <row r="6355" spans="1:4" x14ac:dyDescent="0.2">
      <c r="A6355" s="146"/>
      <c r="D6355" s="496"/>
    </row>
    <row r="6356" spans="1:4" x14ac:dyDescent="0.2">
      <c r="A6356" s="146"/>
      <c r="D6356" s="496"/>
    </row>
    <row r="6357" spans="1:4" x14ac:dyDescent="0.2">
      <c r="A6357" s="146"/>
      <c r="D6357" s="496"/>
    </row>
    <row r="6358" spans="1:4" x14ac:dyDescent="0.2">
      <c r="A6358" s="146"/>
      <c r="D6358" s="496"/>
    </row>
    <row r="6359" spans="1:4" x14ac:dyDescent="0.2">
      <c r="A6359" s="146"/>
      <c r="D6359" s="496"/>
    </row>
    <row r="6360" spans="1:4" x14ac:dyDescent="0.2">
      <c r="A6360" s="146"/>
      <c r="D6360" s="496"/>
    </row>
    <row r="6361" spans="1:4" x14ac:dyDescent="0.2">
      <c r="A6361" s="146"/>
      <c r="D6361" s="496"/>
    </row>
    <row r="6362" spans="1:4" x14ac:dyDescent="0.2">
      <c r="A6362" s="146"/>
      <c r="D6362" s="496"/>
    </row>
    <row r="6363" spans="1:4" x14ac:dyDescent="0.2">
      <c r="A6363" s="146"/>
      <c r="D6363" s="496"/>
    </row>
    <row r="6364" spans="1:4" x14ac:dyDescent="0.2">
      <c r="A6364" s="146"/>
      <c r="D6364" s="496"/>
    </row>
    <row r="6365" spans="1:4" x14ac:dyDescent="0.2">
      <c r="A6365" s="146"/>
      <c r="D6365" s="496"/>
    </row>
    <row r="6366" spans="1:4" x14ac:dyDescent="0.2">
      <c r="A6366" s="146"/>
      <c r="D6366" s="496"/>
    </row>
    <row r="6367" spans="1:4" x14ac:dyDescent="0.2">
      <c r="A6367" s="146"/>
      <c r="D6367" s="496"/>
    </row>
    <row r="6368" spans="1:4" x14ac:dyDescent="0.2">
      <c r="A6368" s="146"/>
      <c r="D6368" s="496"/>
    </row>
    <row r="6369" spans="1:4" x14ac:dyDescent="0.2">
      <c r="A6369" s="146"/>
      <c r="D6369" s="496"/>
    </row>
    <row r="6370" spans="1:4" x14ac:dyDescent="0.2">
      <c r="A6370" s="146"/>
      <c r="D6370" s="496"/>
    </row>
    <row r="6371" spans="1:4" x14ac:dyDescent="0.2">
      <c r="A6371" s="146"/>
      <c r="D6371" s="496"/>
    </row>
    <row r="6372" spans="1:4" x14ac:dyDescent="0.2">
      <c r="A6372" s="146"/>
      <c r="D6372" s="496"/>
    </row>
    <row r="6373" spans="1:4" x14ac:dyDescent="0.2">
      <c r="A6373" s="146"/>
      <c r="D6373" s="496"/>
    </row>
    <row r="6374" spans="1:4" x14ac:dyDescent="0.2">
      <c r="A6374" s="146"/>
      <c r="D6374" s="496"/>
    </row>
    <row r="6375" spans="1:4" x14ac:dyDescent="0.2">
      <c r="A6375" s="146"/>
      <c r="D6375" s="496"/>
    </row>
    <row r="6376" spans="1:4" x14ac:dyDescent="0.2">
      <c r="A6376" s="146"/>
      <c r="D6376" s="496"/>
    </row>
    <row r="6377" spans="1:4" x14ac:dyDescent="0.2">
      <c r="A6377" s="146"/>
      <c r="D6377" s="496"/>
    </row>
    <row r="6378" spans="1:4" x14ac:dyDescent="0.2">
      <c r="A6378" s="146"/>
      <c r="D6378" s="496"/>
    </row>
    <row r="6379" spans="1:4" x14ac:dyDescent="0.2">
      <c r="A6379" s="146"/>
      <c r="D6379" s="496"/>
    </row>
    <row r="6380" spans="1:4" x14ac:dyDescent="0.2">
      <c r="A6380" s="146"/>
      <c r="D6380" s="496"/>
    </row>
    <row r="6381" spans="1:4" x14ac:dyDescent="0.2">
      <c r="A6381" s="146"/>
      <c r="D6381" s="496"/>
    </row>
    <row r="6382" spans="1:4" x14ac:dyDescent="0.2">
      <c r="A6382" s="146"/>
      <c r="D6382" s="496"/>
    </row>
    <row r="6383" spans="1:4" x14ac:dyDescent="0.2">
      <c r="A6383" s="146"/>
      <c r="D6383" s="496"/>
    </row>
    <row r="6384" spans="1:4" x14ac:dyDescent="0.2">
      <c r="A6384" s="146"/>
      <c r="D6384" s="496"/>
    </row>
    <row r="6385" spans="1:4" x14ac:dyDescent="0.2">
      <c r="A6385" s="146"/>
      <c r="D6385" s="496"/>
    </row>
    <row r="6386" spans="1:4" x14ac:dyDescent="0.2">
      <c r="A6386" s="146"/>
      <c r="D6386" s="496"/>
    </row>
    <row r="6387" spans="1:4" x14ac:dyDescent="0.2">
      <c r="A6387" s="146"/>
      <c r="D6387" s="496"/>
    </row>
    <row r="6388" spans="1:4" x14ac:dyDescent="0.2">
      <c r="A6388" s="146"/>
      <c r="D6388" s="496"/>
    </row>
    <row r="6389" spans="1:4" x14ac:dyDescent="0.2">
      <c r="A6389" s="146"/>
      <c r="D6389" s="496"/>
    </row>
    <row r="6390" spans="1:4" x14ac:dyDescent="0.2">
      <c r="A6390" s="146"/>
      <c r="D6390" s="496"/>
    </row>
    <row r="6391" spans="1:4" x14ac:dyDescent="0.2">
      <c r="A6391" s="146"/>
      <c r="D6391" s="496"/>
    </row>
    <row r="6392" spans="1:4" x14ac:dyDescent="0.2">
      <c r="A6392" s="146"/>
      <c r="D6392" s="496"/>
    </row>
    <row r="6393" spans="1:4" x14ac:dyDescent="0.2">
      <c r="A6393" s="146"/>
      <c r="D6393" s="496"/>
    </row>
    <row r="6394" spans="1:4" x14ac:dyDescent="0.2">
      <c r="A6394" s="146"/>
      <c r="D6394" s="496"/>
    </row>
    <row r="6395" spans="1:4" x14ac:dyDescent="0.2">
      <c r="A6395" s="146"/>
      <c r="D6395" s="496"/>
    </row>
    <row r="6396" spans="1:4" x14ac:dyDescent="0.2">
      <c r="A6396" s="146"/>
      <c r="D6396" s="496"/>
    </row>
    <row r="6397" spans="1:4" x14ac:dyDescent="0.2">
      <c r="A6397" s="146"/>
      <c r="D6397" s="496"/>
    </row>
    <row r="6398" spans="1:4" x14ac:dyDescent="0.2">
      <c r="A6398" s="146"/>
      <c r="D6398" s="496"/>
    </row>
    <row r="6399" spans="1:4" x14ac:dyDescent="0.2">
      <c r="A6399" s="146"/>
      <c r="D6399" s="496"/>
    </row>
    <row r="6400" spans="1:4" x14ac:dyDescent="0.2">
      <c r="A6400" s="146"/>
      <c r="D6400" s="496"/>
    </row>
    <row r="6401" spans="1:4" x14ac:dyDescent="0.2">
      <c r="A6401" s="146"/>
      <c r="D6401" s="496"/>
    </row>
    <row r="6402" spans="1:4" x14ac:dyDescent="0.2">
      <c r="A6402" s="146"/>
      <c r="D6402" s="496"/>
    </row>
    <row r="6403" spans="1:4" x14ac:dyDescent="0.2">
      <c r="A6403" s="146"/>
      <c r="D6403" s="496"/>
    </row>
    <row r="6404" spans="1:4" x14ac:dyDescent="0.2">
      <c r="A6404" s="146"/>
      <c r="D6404" s="496"/>
    </row>
    <row r="6405" spans="1:4" x14ac:dyDescent="0.2">
      <c r="A6405" s="146"/>
      <c r="D6405" s="496"/>
    </row>
    <row r="6406" spans="1:4" x14ac:dyDescent="0.2">
      <c r="A6406" s="146"/>
      <c r="D6406" s="496"/>
    </row>
    <row r="6407" spans="1:4" x14ac:dyDescent="0.2">
      <c r="A6407" s="146"/>
      <c r="D6407" s="496"/>
    </row>
    <row r="6408" spans="1:4" x14ac:dyDescent="0.2">
      <c r="A6408" s="146"/>
      <c r="D6408" s="496"/>
    </row>
    <row r="6409" spans="1:4" x14ac:dyDescent="0.2">
      <c r="A6409" s="146"/>
      <c r="D6409" s="496"/>
    </row>
    <row r="6410" spans="1:4" x14ac:dyDescent="0.2">
      <c r="A6410" s="146"/>
      <c r="D6410" s="496"/>
    </row>
    <row r="6411" spans="1:4" x14ac:dyDescent="0.2">
      <c r="A6411" s="146"/>
      <c r="D6411" s="496"/>
    </row>
    <row r="6412" spans="1:4" x14ac:dyDescent="0.2">
      <c r="A6412" s="146"/>
      <c r="D6412" s="496"/>
    </row>
    <row r="6413" spans="1:4" x14ac:dyDescent="0.2">
      <c r="A6413" s="146"/>
      <c r="D6413" s="496"/>
    </row>
    <row r="6414" spans="1:4" x14ac:dyDescent="0.2">
      <c r="A6414" s="146"/>
      <c r="D6414" s="496"/>
    </row>
    <row r="6415" spans="1:4" x14ac:dyDescent="0.2">
      <c r="A6415" s="146"/>
      <c r="D6415" s="496"/>
    </row>
    <row r="6416" spans="1:4" x14ac:dyDescent="0.2">
      <c r="A6416" s="146"/>
      <c r="D6416" s="496"/>
    </row>
    <row r="6417" spans="1:4" x14ac:dyDescent="0.2">
      <c r="A6417" s="146"/>
      <c r="D6417" s="496"/>
    </row>
    <row r="6418" spans="1:4" x14ac:dyDescent="0.2">
      <c r="A6418" s="146"/>
      <c r="D6418" s="496"/>
    </row>
    <row r="6419" spans="1:4" x14ac:dyDescent="0.2">
      <c r="A6419" s="146"/>
      <c r="D6419" s="496"/>
    </row>
    <row r="6420" spans="1:4" x14ac:dyDescent="0.2">
      <c r="A6420" s="146"/>
      <c r="D6420" s="496"/>
    </row>
    <row r="6421" spans="1:4" x14ac:dyDescent="0.2">
      <c r="A6421" s="146"/>
      <c r="D6421" s="496"/>
    </row>
    <row r="6422" spans="1:4" x14ac:dyDescent="0.2">
      <c r="A6422" s="146"/>
      <c r="D6422" s="496"/>
    </row>
    <row r="6423" spans="1:4" x14ac:dyDescent="0.2">
      <c r="A6423" s="146"/>
      <c r="D6423" s="496"/>
    </row>
    <row r="6424" spans="1:4" x14ac:dyDescent="0.2">
      <c r="A6424" s="146"/>
      <c r="D6424" s="496"/>
    </row>
    <row r="6425" spans="1:4" x14ac:dyDescent="0.2">
      <c r="A6425" s="146"/>
      <c r="D6425" s="496"/>
    </row>
    <row r="6426" spans="1:4" x14ac:dyDescent="0.2">
      <c r="A6426" s="146"/>
      <c r="D6426" s="496"/>
    </row>
    <row r="6427" spans="1:4" x14ac:dyDescent="0.2">
      <c r="A6427" s="146"/>
      <c r="D6427" s="496"/>
    </row>
    <row r="6428" spans="1:4" x14ac:dyDescent="0.2">
      <c r="A6428" s="146"/>
      <c r="D6428" s="496"/>
    </row>
    <row r="6429" spans="1:4" x14ac:dyDescent="0.2">
      <c r="A6429" s="146"/>
      <c r="D6429" s="496"/>
    </row>
    <row r="6430" spans="1:4" x14ac:dyDescent="0.2">
      <c r="A6430" s="146"/>
      <c r="D6430" s="496"/>
    </row>
    <row r="6431" spans="1:4" x14ac:dyDescent="0.2">
      <c r="A6431" s="146"/>
      <c r="D6431" s="496"/>
    </row>
    <row r="6432" spans="1:4" x14ac:dyDescent="0.2">
      <c r="A6432" s="146"/>
      <c r="D6432" s="496"/>
    </row>
    <row r="6433" spans="1:4" x14ac:dyDescent="0.2">
      <c r="A6433" s="146"/>
      <c r="D6433" s="496"/>
    </row>
    <row r="6434" spans="1:4" x14ac:dyDescent="0.2">
      <c r="A6434" s="146"/>
      <c r="D6434" s="496"/>
    </row>
    <row r="6435" spans="1:4" x14ac:dyDescent="0.2">
      <c r="A6435" s="146"/>
      <c r="D6435" s="496"/>
    </row>
    <row r="6436" spans="1:4" x14ac:dyDescent="0.2">
      <c r="A6436" s="146"/>
      <c r="D6436" s="496"/>
    </row>
    <row r="6437" spans="1:4" x14ac:dyDescent="0.2">
      <c r="A6437" s="146"/>
      <c r="D6437" s="496"/>
    </row>
    <row r="6438" spans="1:4" x14ac:dyDescent="0.2">
      <c r="A6438" s="146"/>
      <c r="D6438" s="496"/>
    </row>
    <row r="6439" spans="1:4" x14ac:dyDescent="0.2">
      <c r="A6439" s="146"/>
      <c r="D6439" s="496"/>
    </row>
    <row r="6440" spans="1:4" x14ac:dyDescent="0.2">
      <c r="A6440" s="146"/>
      <c r="D6440" s="496"/>
    </row>
    <row r="6441" spans="1:4" x14ac:dyDescent="0.2">
      <c r="A6441" s="146"/>
      <c r="D6441" s="496"/>
    </row>
    <row r="6442" spans="1:4" x14ac:dyDescent="0.2">
      <c r="A6442" s="146"/>
      <c r="D6442" s="496"/>
    </row>
    <row r="6443" spans="1:4" x14ac:dyDescent="0.2">
      <c r="A6443" s="146"/>
      <c r="D6443" s="496"/>
    </row>
    <row r="6444" spans="1:4" x14ac:dyDescent="0.2">
      <c r="A6444" s="146"/>
      <c r="D6444" s="496"/>
    </row>
    <row r="6445" spans="1:4" x14ac:dyDescent="0.2">
      <c r="A6445" s="146"/>
      <c r="D6445" s="496"/>
    </row>
    <row r="6446" spans="1:4" x14ac:dyDescent="0.2">
      <c r="A6446" s="146"/>
      <c r="D6446" s="496"/>
    </row>
    <row r="6447" spans="1:4" x14ac:dyDescent="0.2">
      <c r="A6447" s="146"/>
      <c r="D6447" s="496"/>
    </row>
    <row r="6448" spans="1:4" x14ac:dyDescent="0.2">
      <c r="A6448" s="146"/>
      <c r="D6448" s="496"/>
    </row>
    <row r="6449" spans="1:4" x14ac:dyDescent="0.2">
      <c r="A6449" s="146"/>
      <c r="D6449" s="496"/>
    </row>
    <row r="6450" spans="1:4" x14ac:dyDescent="0.2">
      <c r="A6450" s="146"/>
      <c r="D6450" s="496"/>
    </row>
    <row r="6451" spans="1:4" x14ac:dyDescent="0.2">
      <c r="A6451" s="146"/>
      <c r="D6451" s="496"/>
    </row>
    <row r="6452" spans="1:4" x14ac:dyDescent="0.2">
      <c r="A6452" s="146"/>
      <c r="D6452" s="496"/>
    </row>
    <row r="6453" spans="1:4" x14ac:dyDescent="0.2">
      <c r="A6453" s="146"/>
      <c r="D6453" s="496"/>
    </row>
    <row r="6454" spans="1:4" x14ac:dyDescent="0.2">
      <c r="A6454" s="146"/>
      <c r="D6454" s="496"/>
    </row>
    <row r="6455" spans="1:4" x14ac:dyDescent="0.2">
      <c r="A6455" s="146"/>
      <c r="D6455" s="496"/>
    </row>
    <row r="6456" spans="1:4" x14ac:dyDescent="0.2">
      <c r="A6456" s="146"/>
      <c r="D6456" s="496"/>
    </row>
    <row r="6457" spans="1:4" x14ac:dyDescent="0.2">
      <c r="A6457" s="146"/>
      <c r="D6457" s="496"/>
    </row>
    <row r="6458" spans="1:4" x14ac:dyDescent="0.2">
      <c r="A6458" s="146"/>
      <c r="D6458" s="496"/>
    </row>
    <row r="6459" spans="1:4" x14ac:dyDescent="0.2">
      <c r="A6459" s="146"/>
      <c r="D6459" s="496"/>
    </row>
    <row r="6460" spans="1:4" x14ac:dyDescent="0.2">
      <c r="A6460" s="146"/>
      <c r="D6460" s="496"/>
    </row>
    <row r="6461" spans="1:4" x14ac:dyDescent="0.2">
      <c r="A6461" s="146"/>
      <c r="D6461" s="496"/>
    </row>
    <row r="6462" spans="1:4" x14ac:dyDescent="0.2">
      <c r="A6462" s="146"/>
      <c r="D6462" s="496"/>
    </row>
    <row r="6463" spans="1:4" x14ac:dyDescent="0.2">
      <c r="A6463" s="146"/>
      <c r="D6463" s="496"/>
    </row>
    <row r="6464" spans="1:4" x14ac:dyDescent="0.2">
      <c r="A6464" s="146"/>
      <c r="D6464" s="496"/>
    </row>
    <row r="6465" spans="1:4" x14ac:dyDescent="0.2">
      <c r="A6465" s="146"/>
      <c r="D6465" s="496"/>
    </row>
    <row r="6466" spans="1:4" x14ac:dyDescent="0.2">
      <c r="A6466" s="146"/>
      <c r="D6466" s="496"/>
    </row>
    <row r="6467" spans="1:4" x14ac:dyDescent="0.2">
      <c r="A6467" s="146"/>
      <c r="D6467" s="496"/>
    </row>
    <row r="6468" spans="1:4" x14ac:dyDescent="0.2">
      <c r="A6468" s="146"/>
      <c r="D6468" s="496"/>
    </row>
    <row r="6469" spans="1:4" x14ac:dyDescent="0.2">
      <c r="A6469" s="146"/>
      <c r="D6469" s="496"/>
    </row>
    <row r="6470" spans="1:4" x14ac:dyDescent="0.2">
      <c r="A6470" s="146"/>
      <c r="D6470" s="496"/>
    </row>
    <row r="6471" spans="1:4" x14ac:dyDescent="0.2">
      <c r="A6471" s="146"/>
      <c r="D6471" s="496"/>
    </row>
    <row r="6472" spans="1:4" x14ac:dyDescent="0.2">
      <c r="A6472" s="146"/>
      <c r="D6472" s="496"/>
    </row>
    <row r="6473" spans="1:4" x14ac:dyDescent="0.2">
      <c r="A6473" s="146"/>
      <c r="D6473" s="496"/>
    </row>
    <row r="6474" spans="1:4" x14ac:dyDescent="0.2">
      <c r="A6474" s="146"/>
      <c r="D6474" s="496"/>
    </row>
    <row r="6475" spans="1:4" x14ac:dyDescent="0.2">
      <c r="A6475" s="146"/>
      <c r="D6475" s="496"/>
    </row>
    <row r="6476" spans="1:4" x14ac:dyDescent="0.2">
      <c r="A6476" s="146"/>
      <c r="D6476" s="496"/>
    </row>
    <row r="6477" spans="1:4" x14ac:dyDescent="0.2">
      <c r="A6477" s="146"/>
      <c r="D6477" s="496"/>
    </row>
    <row r="6478" spans="1:4" x14ac:dyDescent="0.2">
      <c r="A6478" s="146"/>
      <c r="D6478" s="496"/>
    </row>
    <row r="6479" spans="1:4" x14ac:dyDescent="0.2">
      <c r="A6479" s="146"/>
      <c r="D6479" s="496"/>
    </row>
    <row r="6480" spans="1:4" x14ac:dyDescent="0.2">
      <c r="A6480" s="146"/>
      <c r="D6480" s="496"/>
    </row>
    <row r="6481" spans="1:4" x14ac:dyDescent="0.2">
      <c r="A6481" s="146"/>
      <c r="D6481" s="496"/>
    </row>
    <row r="6482" spans="1:4" x14ac:dyDescent="0.2">
      <c r="A6482" s="146"/>
      <c r="D6482" s="496"/>
    </row>
    <row r="6483" spans="1:4" x14ac:dyDescent="0.2">
      <c r="A6483" s="146"/>
      <c r="D6483" s="496"/>
    </row>
    <row r="6484" spans="1:4" x14ac:dyDescent="0.2">
      <c r="A6484" s="146"/>
      <c r="D6484" s="496"/>
    </row>
    <row r="6485" spans="1:4" x14ac:dyDescent="0.2">
      <c r="A6485" s="146"/>
      <c r="D6485" s="496"/>
    </row>
    <row r="6486" spans="1:4" x14ac:dyDescent="0.2">
      <c r="A6486" s="146"/>
      <c r="D6486" s="496"/>
    </row>
    <row r="6487" spans="1:4" x14ac:dyDescent="0.2">
      <c r="A6487" s="146"/>
      <c r="D6487" s="496"/>
    </row>
    <row r="6488" spans="1:4" x14ac:dyDescent="0.2">
      <c r="A6488" s="146"/>
      <c r="D6488" s="496"/>
    </row>
    <row r="6489" spans="1:4" x14ac:dyDescent="0.2">
      <c r="A6489" s="146"/>
      <c r="D6489" s="496"/>
    </row>
    <row r="6490" spans="1:4" x14ac:dyDescent="0.2">
      <c r="A6490" s="146"/>
      <c r="D6490" s="496"/>
    </row>
    <row r="6491" spans="1:4" x14ac:dyDescent="0.2">
      <c r="A6491" s="146"/>
      <c r="D6491" s="496"/>
    </row>
    <row r="6492" spans="1:4" x14ac:dyDescent="0.2">
      <c r="A6492" s="146"/>
      <c r="D6492" s="496"/>
    </row>
    <row r="6493" spans="1:4" x14ac:dyDescent="0.2">
      <c r="A6493" s="146"/>
      <c r="D6493" s="496"/>
    </row>
    <row r="6494" spans="1:4" x14ac:dyDescent="0.2">
      <c r="A6494" s="146"/>
      <c r="D6494" s="496"/>
    </row>
    <row r="6495" spans="1:4" x14ac:dyDescent="0.2">
      <c r="A6495" s="146"/>
      <c r="D6495" s="496"/>
    </row>
    <row r="6496" spans="1:4" x14ac:dyDescent="0.2">
      <c r="A6496" s="146"/>
      <c r="D6496" s="496"/>
    </row>
    <row r="6497" spans="1:4" x14ac:dyDescent="0.2">
      <c r="A6497" s="146"/>
      <c r="D6497" s="496"/>
    </row>
    <row r="6498" spans="1:4" x14ac:dyDescent="0.2">
      <c r="A6498" s="146"/>
      <c r="D6498" s="496"/>
    </row>
    <row r="6499" spans="1:4" x14ac:dyDescent="0.2">
      <c r="A6499" s="146"/>
      <c r="D6499" s="496"/>
    </row>
    <row r="6500" spans="1:4" x14ac:dyDescent="0.2">
      <c r="A6500" s="146"/>
      <c r="D6500" s="496"/>
    </row>
    <row r="6501" spans="1:4" x14ac:dyDescent="0.2">
      <c r="A6501" s="146"/>
      <c r="D6501" s="496"/>
    </row>
    <row r="6502" spans="1:4" x14ac:dyDescent="0.2">
      <c r="A6502" s="146"/>
      <c r="D6502" s="496"/>
    </row>
    <row r="6503" spans="1:4" x14ac:dyDescent="0.2">
      <c r="A6503" s="146"/>
      <c r="D6503" s="496"/>
    </row>
    <row r="6504" spans="1:4" x14ac:dyDescent="0.2">
      <c r="A6504" s="146"/>
      <c r="D6504" s="496"/>
    </row>
    <row r="6505" spans="1:4" x14ac:dyDescent="0.2">
      <c r="A6505" s="146"/>
      <c r="D6505" s="496"/>
    </row>
    <row r="6506" spans="1:4" x14ac:dyDescent="0.2">
      <c r="A6506" s="146"/>
      <c r="D6506" s="496"/>
    </row>
    <row r="6507" spans="1:4" x14ac:dyDescent="0.2">
      <c r="A6507" s="146"/>
      <c r="D6507" s="496"/>
    </row>
    <row r="6508" spans="1:4" x14ac:dyDescent="0.2">
      <c r="A6508" s="146"/>
      <c r="D6508" s="496"/>
    </row>
    <row r="6509" spans="1:4" x14ac:dyDescent="0.2">
      <c r="A6509" s="146"/>
      <c r="D6509" s="496"/>
    </row>
    <row r="6510" spans="1:4" x14ac:dyDescent="0.2">
      <c r="A6510" s="146"/>
      <c r="D6510" s="496"/>
    </row>
    <row r="6511" spans="1:4" x14ac:dyDescent="0.2">
      <c r="A6511" s="146"/>
      <c r="D6511" s="496"/>
    </row>
    <row r="6512" spans="1:4" x14ac:dyDescent="0.2">
      <c r="A6512" s="146"/>
      <c r="D6512" s="496"/>
    </row>
    <row r="6513" spans="1:4" x14ac:dyDescent="0.2">
      <c r="A6513" s="146"/>
      <c r="D6513" s="496"/>
    </row>
    <row r="6514" spans="1:4" x14ac:dyDescent="0.2">
      <c r="A6514" s="146"/>
      <c r="D6514" s="496"/>
    </row>
    <row r="6515" spans="1:4" x14ac:dyDescent="0.2">
      <c r="A6515" s="146"/>
      <c r="D6515" s="496"/>
    </row>
    <row r="6516" spans="1:4" x14ac:dyDescent="0.2">
      <c r="A6516" s="146"/>
      <c r="D6516" s="496"/>
    </row>
    <row r="6517" spans="1:4" x14ac:dyDescent="0.2">
      <c r="A6517" s="146"/>
      <c r="D6517" s="496"/>
    </row>
    <row r="6518" spans="1:4" x14ac:dyDescent="0.2">
      <c r="A6518" s="146"/>
      <c r="D6518" s="496"/>
    </row>
    <row r="6519" spans="1:4" x14ac:dyDescent="0.2">
      <c r="A6519" s="146"/>
      <c r="D6519" s="496"/>
    </row>
    <row r="6520" spans="1:4" x14ac:dyDescent="0.2">
      <c r="A6520" s="146"/>
      <c r="D6520" s="496"/>
    </row>
    <row r="6521" spans="1:4" x14ac:dyDescent="0.2">
      <c r="A6521" s="146"/>
      <c r="D6521" s="496"/>
    </row>
    <row r="6522" spans="1:4" x14ac:dyDescent="0.2">
      <c r="A6522" s="146"/>
      <c r="D6522" s="496"/>
    </row>
    <row r="6523" spans="1:4" x14ac:dyDescent="0.2">
      <c r="A6523" s="146"/>
      <c r="D6523" s="496"/>
    </row>
    <row r="6524" spans="1:4" x14ac:dyDescent="0.2">
      <c r="A6524" s="146"/>
      <c r="D6524" s="496"/>
    </row>
    <row r="6525" spans="1:4" x14ac:dyDescent="0.2">
      <c r="A6525" s="146"/>
      <c r="D6525" s="496"/>
    </row>
    <row r="6526" spans="1:4" x14ac:dyDescent="0.2">
      <c r="A6526" s="146"/>
      <c r="D6526" s="496"/>
    </row>
    <row r="6527" spans="1:4" x14ac:dyDescent="0.2">
      <c r="A6527" s="146"/>
      <c r="D6527" s="496"/>
    </row>
    <row r="6528" spans="1:4" x14ac:dyDescent="0.2">
      <c r="A6528" s="146"/>
      <c r="D6528" s="496"/>
    </row>
    <row r="6529" spans="1:4" x14ac:dyDescent="0.2">
      <c r="A6529" s="146"/>
      <c r="D6529" s="496"/>
    </row>
    <row r="6530" spans="1:4" x14ac:dyDescent="0.2">
      <c r="A6530" s="146"/>
      <c r="D6530" s="496"/>
    </row>
    <row r="6531" spans="1:4" x14ac:dyDescent="0.2">
      <c r="A6531" s="146"/>
      <c r="D6531" s="496"/>
    </row>
    <row r="6532" spans="1:4" x14ac:dyDescent="0.2">
      <c r="A6532" s="146"/>
      <c r="D6532" s="496"/>
    </row>
    <row r="6533" spans="1:4" x14ac:dyDescent="0.2">
      <c r="A6533" s="146"/>
      <c r="D6533" s="496"/>
    </row>
    <row r="6534" spans="1:4" x14ac:dyDescent="0.2">
      <c r="A6534" s="146"/>
      <c r="D6534" s="496"/>
    </row>
    <row r="6535" spans="1:4" x14ac:dyDescent="0.2">
      <c r="A6535" s="146"/>
      <c r="D6535" s="496"/>
    </row>
    <row r="6536" spans="1:4" x14ac:dyDescent="0.2">
      <c r="A6536" s="146"/>
      <c r="D6536" s="496"/>
    </row>
    <row r="6537" spans="1:4" x14ac:dyDescent="0.2">
      <c r="A6537" s="146"/>
      <c r="D6537" s="496"/>
    </row>
    <row r="6538" spans="1:4" x14ac:dyDescent="0.2">
      <c r="A6538" s="146"/>
      <c r="D6538" s="496"/>
    </row>
    <row r="6539" spans="1:4" x14ac:dyDescent="0.2">
      <c r="A6539" s="146"/>
      <c r="D6539" s="496"/>
    </row>
    <row r="6540" spans="1:4" x14ac:dyDescent="0.2">
      <c r="A6540" s="146"/>
      <c r="D6540" s="496"/>
    </row>
    <row r="6541" spans="1:4" x14ac:dyDescent="0.2">
      <c r="A6541" s="146"/>
      <c r="D6541" s="496"/>
    </row>
    <row r="6542" spans="1:4" x14ac:dyDescent="0.2">
      <c r="A6542" s="146"/>
      <c r="D6542" s="496"/>
    </row>
    <row r="6543" spans="1:4" x14ac:dyDescent="0.2">
      <c r="A6543" s="146"/>
      <c r="D6543" s="496"/>
    </row>
    <row r="6544" spans="1:4" x14ac:dyDescent="0.2">
      <c r="A6544" s="146"/>
      <c r="D6544" s="496"/>
    </row>
    <row r="6545" spans="1:4" x14ac:dyDescent="0.2">
      <c r="A6545" s="146"/>
      <c r="D6545" s="496"/>
    </row>
    <row r="6546" spans="1:4" x14ac:dyDescent="0.2">
      <c r="A6546" s="146"/>
      <c r="D6546" s="496"/>
    </row>
    <row r="6547" spans="1:4" x14ac:dyDescent="0.2">
      <c r="A6547" s="146"/>
      <c r="D6547" s="496"/>
    </row>
    <row r="6548" spans="1:4" x14ac:dyDescent="0.2">
      <c r="A6548" s="146"/>
      <c r="D6548" s="496"/>
    </row>
    <row r="6549" spans="1:4" x14ac:dyDescent="0.2">
      <c r="A6549" s="146"/>
      <c r="D6549" s="496"/>
    </row>
    <row r="6550" spans="1:4" x14ac:dyDescent="0.2">
      <c r="A6550" s="146"/>
      <c r="D6550" s="496"/>
    </row>
    <row r="6551" spans="1:4" x14ac:dyDescent="0.2">
      <c r="A6551" s="146"/>
      <c r="D6551" s="496"/>
    </row>
    <row r="6552" spans="1:4" x14ac:dyDescent="0.2">
      <c r="A6552" s="146"/>
      <c r="D6552" s="496"/>
    </row>
    <row r="6553" spans="1:4" x14ac:dyDescent="0.2">
      <c r="A6553" s="146"/>
      <c r="D6553" s="496"/>
    </row>
    <row r="6554" spans="1:4" x14ac:dyDescent="0.2">
      <c r="A6554" s="146"/>
      <c r="D6554" s="496"/>
    </row>
    <row r="6555" spans="1:4" x14ac:dyDescent="0.2">
      <c r="A6555" s="146"/>
      <c r="D6555" s="496"/>
    </row>
    <row r="6556" spans="1:4" x14ac:dyDescent="0.2">
      <c r="A6556" s="146"/>
      <c r="D6556" s="496"/>
    </row>
    <row r="6557" spans="1:4" x14ac:dyDescent="0.2">
      <c r="A6557" s="146"/>
      <c r="D6557" s="496"/>
    </row>
    <row r="6558" spans="1:4" x14ac:dyDescent="0.2">
      <c r="A6558" s="146"/>
      <c r="D6558" s="496"/>
    </row>
    <row r="6559" spans="1:4" x14ac:dyDescent="0.2">
      <c r="A6559" s="146"/>
      <c r="D6559" s="496"/>
    </row>
    <row r="6560" spans="1:4" x14ac:dyDescent="0.2">
      <c r="A6560" s="146"/>
      <c r="D6560" s="496"/>
    </row>
    <row r="6561" spans="1:4" x14ac:dyDescent="0.2">
      <c r="A6561" s="146"/>
      <c r="D6561" s="496"/>
    </row>
    <row r="6562" spans="1:4" x14ac:dyDescent="0.2">
      <c r="A6562" s="146"/>
      <c r="D6562" s="496"/>
    </row>
    <row r="6563" spans="1:4" x14ac:dyDescent="0.2">
      <c r="A6563" s="146"/>
      <c r="D6563" s="496"/>
    </row>
    <row r="6564" spans="1:4" x14ac:dyDescent="0.2">
      <c r="A6564" s="146"/>
      <c r="D6564" s="496"/>
    </row>
    <row r="6565" spans="1:4" x14ac:dyDescent="0.2">
      <c r="A6565" s="146"/>
      <c r="D6565" s="496"/>
    </row>
    <row r="6566" spans="1:4" x14ac:dyDescent="0.2">
      <c r="A6566" s="146"/>
      <c r="D6566" s="496"/>
    </row>
    <row r="6567" spans="1:4" x14ac:dyDescent="0.2">
      <c r="A6567" s="146"/>
      <c r="D6567" s="496"/>
    </row>
    <row r="6568" spans="1:4" x14ac:dyDescent="0.2">
      <c r="A6568" s="146"/>
      <c r="D6568" s="496"/>
    </row>
    <row r="6569" spans="1:4" x14ac:dyDescent="0.2">
      <c r="A6569" s="146"/>
      <c r="D6569" s="496"/>
    </row>
    <row r="6570" spans="1:4" x14ac:dyDescent="0.2">
      <c r="A6570" s="146"/>
      <c r="D6570" s="496"/>
    </row>
    <row r="6571" spans="1:4" x14ac:dyDescent="0.2">
      <c r="A6571" s="146"/>
      <c r="D6571" s="496"/>
    </row>
    <row r="6572" spans="1:4" x14ac:dyDescent="0.2">
      <c r="A6572" s="146"/>
      <c r="D6572" s="496"/>
    </row>
    <row r="6573" spans="1:4" x14ac:dyDescent="0.2">
      <c r="A6573" s="146"/>
      <c r="D6573" s="496"/>
    </row>
    <row r="6574" spans="1:4" x14ac:dyDescent="0.2">
      <c r="A6574" s="146"/>
      <c r="D6574" s="496"/>
    </row>
    <row r="6575" spans="1:4" x14ac:dyDescent="0.2">
      <c r="A6575" s="146"/>
      <c r="D6575" s="496"/>
    </row>
    <row r="6576" spans="1:4" x14ac:dyDescent="0.2">
      <c r="A6576" s="146"/>
      <c r="D6576" s="496"/>
    </row>
    <row r="6577" spans="1:4" x14ac:dyDescent="0.2">
      <c r="A6577" s="146"/>
      <c r="D6577" s="496"/>
    </row>
    <row r="6578" spans="1:4" x14ac:dyDescent="0.2">
      <c r="A6578" s="146"/>
      <c r="D6578" s="496"/>
    </row>
    <row r="6579" spans="1:4" x14ac:dyDescent="0.2">
      <c r="A6579" s="146"/>
      <c r="D6579" s="496"/>
    </row>
    <row r="6580" spans="1:4" x14ac:dyDescent="0.2">
      <c r="A6580" s="146"/>
      <c r="D6580" s="496"/>
    </row>
    <row r="6581" spans="1:4" x14ac:dyDescent="0.2">
      <c r="A6581" s="146"/>
      <c r="D6581" s="496"/>
    </row>
    <row r="6582" spans="1:4" x14ac:dyDescent="0.2">
      <c r="A6582" s="146"/>
      <c r="D6582" s="496"/>
    </row>
    <row r="6583" spans="1:4" x14ac:dyDescent="0.2">
      <c r="A6583" s="146"/>
      <c r="D6583" s="496"/>
    </row>
    <row r="6584" spans="1:4" x14ac:dyDescent="0.2">
      <c r="A6584" s="146"/>
      <c r="D6584" s="496"/>
    </row>
    <row r="6585" spans="1:4" x14ac:dyDescent="0.2">
      <c r="A6585" s="146"/>
      <c r="D6585" s="496"/>
    </row>
    <row r="6586" spans="1:4" x14ac:dyDescent="0.2">
      <c r="A6586" s="146"/>
      <c r="D6586" s="496"/>
    </row>
    <row r="6587" spans="1:4" x14ac:dyDescent="0.2">
      <c r="A6587" s="146"/>
      <c r="D6587" s="496"/>
    </row>
    <row r="6588" spans="1:4" x14ac:dyDescent="0.2">
      <c r="A6588" s="146"/>
      <c r="D6588" s="496"/>
    </row>
    <row r="6589" spans="1:4" x14ac:dyDescent="0.2">
      <c r="A6589" s="146"/>
      <c r="D6589" s="496"/>
    </row>
    <row r="6590" spans="1:4" x14ac:dyDescent="0.2">
      <c r="A6590" s="146"/>
      <c r="D6590" s="496"/>
    </row>
    <row r="6591" spans="1:4" x14ac:dyDescent="0.2">
      <c r="A6591" s="146"/>
      <c r="D6591" s="496"/>
    </row>
    <row r="6592" spans="1:4" x14ac:dyDescent="0.2">
      <c r="A6592" s="146"/>
      <c r="D6592" s="496"/>
    </row>
    <row r="6593" spans="1:4" x14ac:dyDescent="0.2">
      <c r="A6593" s="146"/>
      <c r="D6593" s="496"/>
    </row>
    <row r="6594" spans="1:4" x14ac:dyDescent="0.2">
      <c r="A6594" s="146"/>
      <c r="D6594" s="496"/>
    </row>
    <row r="6595" spans="1:4" x14ac:dyDescent="0.2">
      <c r="A6595" s="146"/>
      <c r="D6595" s="496"/>
    </row>
    <row r="6596" spans="1:4" x14ac:dyDescent="0.2">
      <c r="A6596" s="146"/>
      <c r="D6596" s="496"/>
    </row>
    <row r="6597" spans="1:4" x14ac:dyDescent="0.2">
      <c r="A6597" s="146"/>
      <c r="D6597" s="496"/>
    </row>
    <row r="6598" spans="1:4" x14ac:dyDescent="0.2">
      <c r="A6598" s="146"/>
      <c r="D6598" s="496"/>
    </row>
    <row r="6599" spans="1:4" x14ac:dyDescent="0.2">
      <c r="A6599" s="146"/>
      <c r="D6599" s="496"/>
    </row>
    <row r="6600" spans="1:4" x14ac:dyDescent="0.2">
      <c r="A6600" s="146"/>
      <c r="D6600" s="496"/>
    </row>
    <row r="6601" spans="1:4" x14ac:dyDescent="0.2">
      <c r="A6601" s="146"/>
      <c r="D6601" s="496"/>
    </row>
    <row r="6602" spans="1:4" x14ac:dyDescent="0.2">
      <c r="A6602" s="146"/>
      <c r="D6602" s="496"/>
    </row>
    <row r="6603" spans="1:4" x14ac:dyDescent="0.2">
      <c r="A6603" s="146"/>
      <c r="D6603" s="496"/>
    </row>
    <row r="6604" spans="1:4" x14ac:dyDescent="0.2">
      <c r="A6604" s="146"/>
      <c r="D6604" s="496"/>
    </row>
    <row r="6605" spans="1:4" x14ac:dyDescent="0.2">
      <c r="A6605" s="146"/>
      <c r="D6605" s="496"/>
    </row>
    <row r="6606" spans="1:4" x14ac:dyDescent="0.2">
      <c r="A6606" s="146"/>
      <c r="D6606" s="496"/>
    </row>
    <row r="6607" spans="1:4" x14ac:dyDescent="0.2">
      <c r="A6607" s="146"/>
      <c r="D6607" s="496"/>
    </row>
    <row r="6608" spans="1:4" x14ac:dyDescent="0.2">
      <c r="A6608" s="146"/>
      <c r="D6608" s="496"/>
    </row>
    <row r="6609" spans="1:4" x14ac:dyDescent="0.2">
      <c r="A6609" s="146"/>
      <c r="D6609" s="496"/>
    </row>
    <row r="6610" spans="1:4" x14ac:dyDescent="0.2">
      <c r="A6610" s="146"/>
      <c r="D6610" s="496"/>
    </row>
    <row r="6611" spans="1:4" x14ac:dyDescent="0.2">
      <c r="A6611" s="146"/>
      <c r="D6611" s="496"/>
    </row>
    <row r="6612" spans="1:4" x14ac:dyDescent="0.2">
      <c r="A6612" s="146"/>
      <c r="D6612" s="496"/>
    </row>
    <row r="6613" spans="1:4" x14ac:dyDescent="0.2">
      <c r="A6613" s="146"/>
      <c r="D6613" s="496"/>
    </row>
    <row r="6614" spans="1:4" x14ac:dyDescent="0.2">
      <c r="A6614" s="146"/>
      <c r="D6614" s="496"/>
    </row>
    <row r="6615" spans="1:4" x14ac:dyDescent="0.2">
      <c r="A6615" s="146"/>
      <c r="D6615" s="496"/>
    </row>
    <row r="6616" spans="1:4" x14ac:dyDescent="0.2">
      <c r="A6616" s="146"/>
      <c r="D6616" s="496"/>
    </row>
    <row r="6617" spans="1:4" x14ac:dyDescent="0.2">
      <c r="A6617" s="146"/>
      <c r="D6617" s="496"/>
    </row>
    <row r="6618" spans="1:4" x14ac:dyDescent="0.2">
      <c r="A6618" s="146"/>
      <c r="D6618" s="496"/>
    </row>
    <row r="6619" spans="1:4" x14ac:dyDescent="0.2">
      <c r="A6619" s="146"/>
      <c r="D6619" s="496"/>
    </row>
    <row r="6620" spans="1:4" x14ac:dyDescent="0.2">
      <c r="A6620" s="146"/>
      <c r="D6620" s="496"/>
    </row>
    <row r="6621" spans="1:4" x14ac:dyDescent="0.2">
      <c r="A6621" s="146"/>
      <c r="D6621" s="496"/>
    </row>
    <row r="6622" spans="1:4" x14ac:dyDescent="0.2">
      <c r="A6622" s="146"/>
      <c r="D6622" s="496"/>
    </row>
    <row r="6623" spans="1:4" x14ac:dyDescent="0.2">
      <c r="A6623" s="146"/>
      <c r="D6623" s="496"/>
    </row>
    <row r="6624" spans="1:4" x14ac:dyDescent="0.2">
      <c r="A6624" s="146"/>
      <c r="D6624" s="496"/>
    </row>
    <row r="6625" spans="1:4" x14ac:dyDescent="0.2">
      <c r="A6625" s="146"/>
      <c r="D6625" s="496"/>
    </row>
    <row r="6626" spans="1:4" x14ac:dyDescent="0.2">
      <c r="A6626" s="146"/>
      <c r="D6626" s="496"/>
    </row>
    <row r="6627" spans="1:4" x14ac:dyDescent="0.2">
      <c r="A6627" s="146"/>
      <c r="D6627" s="496"/>
    </row>
    <row r="6628" spans="1:4" x14ac:dyDescent="0.2">
      <c r="A6628" s="146"/>
      <c r="D6628" s="496"/>
    </row>
    <row r="6629" spans="1:4" x14ac:dyDescent="0.2">
      <c r="A6629" s="146"/>
      <c r="D6629" s="496"/>
    </row>
    <row r="6630" spans="1:4" x14ac:dyDescent="0.2">
      <c r="A6630" s="146"/>
      <c r="D6630" s="496"/>
    </row>
    <row r="6631" spans="1:4" x14ac:dyDescent="0.2">
      <c r="A6631" s="146"/>
      <c r="D6631" s="496"/>
    </row>
    <row r="6632" spans="1:4" x14ac:dyDescent="0.2">
      <c r="A6632" s="146"/>
      <c r="D6632" s="496"/>
    </row>
    <row r="6633" spans="1:4" x14ac:dyDescent="0.2">
      <c r="A6633" s="146"/>
      <c r="D6633" s="496"/>
    </row>
    <row r="6634" spans="1:4" x14ac:dyDescent="0.2">
      <c r="A6634" s="146"/>
      <c r="D6634" s="496"/>
    </row>
    <row r="6635" spans="1:4" x14ac:dyDescent="0.2">
      <c r="A6635" s="146"/>
      <c r="D6635" s="496"/>
    </row>
    <row r="6636" spans="1:4" x14ac:dyDescent="0.2">
      <c r="A6636" s="146"/>
      <c r="D6636" s="496"/>
    </row>
    <row r="6637" spans="1:4" x14ac:dyDescent="0.2">
      <c r="A6637" s="146"/>
      <c r="D6637" s="496"/>
    </row>
    <row r="6638" spans="1:4" x14ac:dyDescent="0.2">
      <c r="A6638" s="146"/>
      <c r="D6638" s="496"/>
    </row>
    <row r="6639" spans="1:4" x14ac:dyDescent="0.2">
      <c r="A6639" s="146"/>
      <c r="D6639" s="496"/>
    </row>
    <row r="6640" spans="1:4" x14ac:dyDescent="0.2">
      <c r="A6640" s="146"/>
      <c r="D6640" s="496"/>
    </row>
    <row r="6641" spans="1:4" x14ac:dyDescent="0.2">
      <c r="A6641" s="146"/>
      <c r="D6641" s="496"/>
    </row>
    <row r="6642" spans="1:4" x14ac:dyDescent="0.2">
      <c r="A6642" s="146"/>
      <c r="D6642" s="496"/>
    </row>
    <row r="6643" spans="1:4" x14ac:dyDescent="0.2">
      <c r="A6643" s="146"/>
      <c r="D6643" s="496"/>
    </row>
    <row r="6644" spans="1:4" x14ac:dyDescent="0.2">
      <c r="A6644" s="146"/>
      <c r="D6644" s="496"/>
    </row>
    <row r="6645" spans="1:4" x14ac:dyDescent="0.2">
      <c r="A6645" s="146"/>
      <c r="D6645" s="496"/>
    </row>
    <row r="6646" spans="1:4" x14ac:dyDescent="0.2">
      <c r="A6646" s="146"/>
      <c r="D6646" s="496"/>
    </row>
    <row r="6647" spans="1:4" x14ac:dyDescent="0.2">
      <c r="A6647" s="146"/>
      <c r="D6647" s="496"/>
    </row>
    <row r="6648" spans="1:4" x14ac:dyDescent="0.2">
      <c r="A6648" s="146"/>
      <c r="D6648" s="496"/>
    </row>
    <row r="6649" spans="1:4" x14ac:dyDescent="0.2">
      <c r="A6649" s="146"/>
      <c r="D6649" s="496"/>
    </row>
    <row r="6650" spans="1:4" x14ac:dyDescent="0.2">
      <c r="A6650" s="146"/>
      <c r="D6650" s="496"/>
    </row>
    <row r="6651" spans="1:4" x14ac:dyDescent="0.2">
      <c r="A6651" s="146"/>
      <c r="D6651" s="496"/>
    </row>
    <row r="6652" spans="1:4" x14ac:dyDescent="0.2">
      <c r="A6652" s="146"/>
      <c r="D6652" s="496"/>
    </row>
    <row r="6653" spans="1:4" x14ac:dyDescent="0.2">
      <c r="A6653" s="146"/>
      <c r="D6653" s="496"/>
    </row>
    <row r="6654" spans="1:4" x14ac:dyDescent="0.2">
      <c r="A6654" s="146"/>
      <c r="D6654" s="496"/>
    </row>
    <row r="6655" spans="1:4" x14ac:dyDescent="0.2">
      <c r="A6655" s="146"/>
      <c r="D6655" s="496"/>
    </row>
    <row r="6656" spans="1:4" x14ac:dyDescent="0.2">
      <c r="A6656" s="146"/>
      <c r="D6656" s="496"/>
    </row>
    <row r="6657" spans="1:4" x14ac:dyDescent="0.2">
      <c r="A6657" s="146"/>
      <c r="D6657" s="496"/>
    </row>
    <row r="6658" spans="1:4" x14ac:dyDescent="0.2">
      <c r="A6658" s="146"/>
      <c r="D6658" s="496"/>
    </row>
    <row r="6659" spans="1:4" x14ac:dyDescent="0.2">
      <c r="A6659" s="146"/>
      <c r="D6659" s="496"/>
    </row>
    <row r="6660" spans="1:4" x14ac:dyDescent="0.2">
      <c r="A6660" s="146"/>
      <c r="D6660" s="496"/>
    </row>
    <row r="6661" spans="1:4" x14ac:dyDescent="0.2">
      <c r="A6661" s="146"/>
      <c r="D6661" s="496"/>
    </row>
    <row r="6662" spans="1:4" x14ac:dyDescent="0.2">
      <c r="A6662" s="146"/>
      <c r="D6662" s="496"/>
    </row>
    <row r="6663" spans="1:4" x14ac:dyDescent="0.2">
      <c r="A6663" s="146"/>
      <c r="D6663" s="496"/>
    </row>
    <row r="6664" spans="1:4" x14ac:dyDescent="0.2">
      <c r="A6664" s="146"/>
      <c r="D6664" s="496"/>
    </row>
    <row r="6665" spans="1:4" x14ac:dyDescent="0.2">
      <c r="A6665" s="146"/>
      <c r="D6665" s="496"/>
    </row>
    <row r="6666" spans="1:4" x14ac:dyDescent="0.2">
      <c r="A6666" s="146"/>
      <c r="D6666" s="496"/>
    </row>
    <row r="6667" spans="1:4" x14ac:dyDescent="0.2">
      <c r="A6667" s="146"/>
      <c r="D6667" s="496"/>
    </row>
    <row r="6668" spans="1:4" x14ac:dyDescent="0.2">
      <c r="A6668" s="146"/>
      <c r="D6668" s="496"/>
    </row>
    <row r="6669" spans="1:4" x14ac:dyDescent="0.2">
      <c r="A6669" s="146"/>
      <c r="D6669" s="496"/>
    </row>
    <row r="6670" spans="1:4" x14ac:dyDescent="0.2">
      <c r="A6670" s="146"/>
      <c r="D6670" s="496"/>
    </row>
    <row r="6671" spans="1:4" x14ac:dyDescent="0.2">
      <c r="A6671" s="146"/>
      <c r="D6671" s="496"/>
    </row>
    <row r="6672" spans="1:4" x14ac:dyDescent="0.2">
      <c r="A6672" s="146"/>
      <c r="D6672" s="496"/>
    </row>
    <row r="6673" spans="1:4" x14ac:dyDescent="0.2">
      <c r="A6673" s="146"/>
      <c r="D6673" s="496"/>
    </row>
    <row r="6674" spans="1:4" x14ac:dyDescent="0.2">
      <c r="A6674" s="146"/>
      <c r="D6674" s="496"/>
    </row>
    <row r="6675" spans="1:4" x14ac:dyDescent="0.2">
      <c r="A6675" s="146"/>
      <c r="D6675" s="496"/>
    </row>
    <row r="6676" spans="1:4" x14ac:dyDescent="0.2">
      <c r="A6676" s="146"/>
      <c r="D6676" s="496"/>
    </row>
    <row r="6677" spans="1:4" x14ac:dyDescent="0.2">
      <c r="A6677" s="146"/>
      <c r="D6677" s="496"/>
    </row>
    <row r="6678" spans="1:4" x14ac:dyDescent="0.2">
      <c r="A6678" s="146"/>
      <c r="D6678" s="496"/>
    </row>
    <row r="6679" spans="1:4" x14ac:dyDescent="0.2">
      <c r="A6679" s="146"/>
      <c r="D6679" s="496"/>
    </row>
    <row r="6680" spans="1:4" x14ac:dyDescent="0.2">
      <c r="A6680" s="146"/>
      <c r="D6680" s="496"/>
    </row>
    <row r="6681" spans="1:4" x14ac:dyDescent="0.2">
      <c r="A6681" s="146"/>
      <c r="D6681" s="496"/>
    </row>
    <row r="6682" spans="1:4" x14ac:dyDescent="0.2">
      <c r="A6682" s="146"/>
      <c r="D6682" s="496"/>
    </row>
    <row r="6683" spans="1:4" x14ac:dyDescent="0.2">
      <c r="A6683" s="146"/>
      <c r="D6683" s="496"/>
    </row>
    <row r="6684" spans="1:4" x14ac:dyDescent="0.2">
      <c r="A6684" s="146"/>
      <c r="D6684" s="496"/>
    </row>
    <row r="6685" spans="1:4" x14ac:dyDescent="0.2">
      <c r="A6685" s="146"/>
      <c r="D6685" s="496"/>
    </row>
    <row r="6686" spans="1:4" x14ac:dyDescent="0.2">
      <c r="A6686" s="146"/>
      <c r="D6686" s="496"/>
    </row>
    <row r="6687" spans="1:4" x14ac:dyDescent="0.2">
      <c r="A6687" s="146"/>
      <c r="D6687" s="496"/>
    </row>
    <row r="6688" spans="1:4" x14ac:dyDescent="0.2">
      <c r="A6688" s="146"/>
      <c r="D6688" s="496"/>
    </row>
    <row r="6689" spans="1:4" x14ac:dyDescent="0.2">
      <c r="A6689" s="146"/>
      <c r="D6689" s="496"/>
    </row>
    <row r="6690" spans="1:4" x14ac:dyDescent="0.2">
      <c r="A6690" s="146"/>
      <c r="D6690" s="496"/>
    </row>
    <row r="6691" spans="1:4" x14ac:dyDescent="0.2">
      <c r="A6691" s="146"/>
      <c r="D6691" s="496"/>
    </row>
    <row r="6692" spans="1:4" x14ac:dyDescent="0.2">
      <c r="A6692" s="146"/>
      <c r="D6692" s="496"/>
    </row>
    <row r="6693" spans="1:4" x14ac:dyDescent="0.2">
      <c r="A6693" s="146"/>
      <c r="D6693" s="496"/>
    </row>
    <row r="6694" spans="1:4" x14ac:dyDescent="0.2">
      <c r="A6694" s="146"/>
      <c r="D6694" s="496"/>
    </row>
    <row r="6695" spans="1:4" x14ac:dyDescent="0.2">
      <c r="A6695" s="146"/>
      <c r="D6695" s="496"/>
    </row>
    <row r="6696" spans="1:4" x14ac:dyDescent="0.2">
      <c r="A6696" s="146"/>
      <c r="D6696" s="496"/>
    </row>
    <row r="6697" spans="1:4" x14ac:dyDescent="0.2">
      <c r="A6697" s="146"/>
      <c r="D6697" s="496"/>
    </row>
    <row r="6698" spans="1:4" x14ac:dyDescent="0.2">
      <c r="A6698" s="146"/>
      <c r="D6698" s="496"/>
    </row>
    <row r="6699" spans="1:4" x14ac:dyDescent="0.2">
      <c r="A6699" s="146"/>
      <c r="D6699" s="496"/>
    </row>
    <row r="6700" spans="1:4" x14ac:dyDescent="0.2">
      <c r="A6700" s="146"/>
      <c r="D6700" s="496"/>
    </row>
    <row r="6701" spans="1:4" x14ac:dyDescent="0.2">
      <c r="A6701" s="146"/>
      <c r="D6701" s="496"/>
    </row>
    <row r="6702" spans="1:4" x14ac:dyDescent="0.2">
      <c r="A6702" s="146"/>
      <c r="D6702" s="496"/>
    </row>
    <row r="6703" spans="1:4" x14ac:dyDescent="0.2">
      <c r="A6703" s="146"/>
      <c r="D6703" s="496"/>
    </row>
    <row r="6704" spans="1:4" x14ac:dyDescent="0.2">
      <c r="A6704" s="146"/>
      <c r="D6704" s="496"/>
    </row>
    <row r="6705" spans="1:4" x14ac:dyDescent="0.2">
      <c r="A6705" s="146"/>
      <c r="D6705" s="496"/>
    </row>
    <row r="6706" spans="1:4" x14ac:dyDescent="0.2">
      <c r="A6706" s="146"/>
      <c r="D6706" s="496"/>
    </row>
    <row r="6707" spans="1:4" x14ac:dyDescent="0.2">
      <c r="A6707" s="146"/>
      <c r="D6707" s="496"/>
    </row>
    <row r="6708" spans="1:4" x14ac:dyDescent="0.2">
      <c r="A6708" s="146"/>
      <c r="D6708" s="496"/>
    </row>
    <row r="6709" spans="1:4" x14ac:dyDescent="0.2">
      <c r="A6709" s="146"/>
      <c r="D6709" s="496"/>
    </row>
    <row r="6710" spans="1:4" x14ac:dyDescent="0.2">
      <c r="A6710" s="146"/>
      <c r="D6710" s="496"/>
    </row>
    <row r="6711" spans="1:4" x14ac:dyDescent="0.2">
      <c r="A6711" s="146"/>
      <c r="D6711" s="496"/>
    </row>
    <row r="6712" spans="1:4" x14ac:dyDescent="0.2">
      <c r="A6712" s="146"/>
      <c r="D6712" s="496"/>
    </row>
    <row r="6713" spans="1:4" x14ac:dyDescent="0.2">
      <c r="A6713" s="146"/>
      <c r="D6713" s="496"/>
    </row>
    <row r="6714" spans="1:4" x14ac:dyDescent="0.2">
      <c r="A6714" s="146"/>
      <c r="D6714" s="496"/>
    </row>
    <row r="6715" spans="1:4" x14ac:dyDescent="0.2">
      <c r="A6715" s="146"/>
      <c r="D6715" s="496"/>
    </row>
    <row r="6716" spans="1:4" x14ac:dyDescent="0.2">
      <c r="A6716" s="146"/>
      <c r="D6716" s="496"/>
    </row>
    <row r="6717" spans="1:4" x14ac:dyDescent="0.2">
      <c r="A6717" s="146"/>
      <c r="D6717" s="496"/>
    </row>
    <row r="6718" spans="1:4" x14ac:dyDescent="0.2">
      <c r="A6718" s="146"/>
      <c r="D6718" s="496"/>
    </row>
    <row r="6719" spans="1:4" x14ac:dyDescent="0.2">
      <c r="A6719" s="146"/>
      <c r="D6719" s="496"/>
    </row>
    <row r="6720" spans="1:4" x14ac:dyDescent="0.2">
      <c r="A6720" s="146"/>
      <c r="D6720" s="496"/>
    </row>
    <row r="6721" spans="1:4" x14ac:dyDescent="0.2">
      <c r="A6721" s="146"/>
      <c r="D6721" s="496"/>
    </row>
    <row r="6722" spans="1:4" x14ac:dyDescent="0.2">
      <c r="A6722" s="146"/>
      <c r="D6722" s="496"/>
    </row>
    <row r="6723" spans="1:4" x14ac:dyDescent="0.2">
      <c r="A6723" s="146"/>
      <c r="D6723" s="496"/>
    </row>
    <row r="6724" spans="1:4" x14ac:dyDescent="0.2">
      <c r="A6724" s="146"/>
      <c r="D6724" s="496"/>
    </row>
    <row r="6725" spans="1:4" x14ac:dyDescent="0.2">
      <c r="A6725" s="146"/>
      <c r="D6725" s="496"/>
    </row>
    <row r="6726" spans="1:4" x14ac:dyDescent="0.2">
      <c r="A6726" s="146"/>
      <c r="D6726" s="496"/>
    </row>
    <row r="6727" spans="1:4" x14ac:dyDescent="0.2">
      <c r="A6727" s="146"/>
      <c r="D6727" s="496"/>
    </row>
    <row r="6728" spans="1:4" x14ac:dyDescent="0.2">
      <c r="A6728" s="146"/>
      <c r="D6728" s="496"/>
    </row>
    <row r="6729" spans="1:4" x14ac:dyDescent="0.2">
      <c r="A6729" s="146"/>
      <c r="D6729" s="496"/>
    </row>
    <row r="6730" spans="1:4" x14ac:dyDescent="0.2">
      <c r="A6730" s="146"/>
      <c r="D6730" s="496"/>
    </row>
    <row r="6731" spans="1:4" x14ac:dyDescent="0.2">
      <c r="A6731" s="146"/>
      <c r="D6731" s="496"/>
    </row>
    <row r="6732" spans="1:4" x14ac:dyDescent="0.2">
      <c r="A6732" s="146"/>
      <c r="D6732" s="496"/>
    </row>
    <row r="6733" spans="1:4" x14ac:dyDescent="0.2">
      <c r="A6733" s="146"/>
      <c r="D6733" s="496"/>
    </row>
    <row r="6734" spans="1:4" x14ac:dyDescent="0.2">
      <c r="A6734" s="146"/>
      <c r="D6734" s="496"/>
    </row>
    <row r="6735" spans="1:4" x14ac:dyDescent="0.2">
      <c r="A6735" s="146"/>
      <c r="D6735" s="496"/>
    </row>
    <row r="6736" spans="1:4" x14ac:dyDescent="0.2">
      <c r="A6736" s="146"/>
      <c r="D6736" s="496"/>
    </row>
    <row r="6737" spans="1:4" x14ac:dyDescent="0.2">
      <c r="A6737" s="146"/>
      <c r="D6737" s="496"/>
    </row>
    <row r="6738" spans="1:4" x14ac:dyDescent="0.2">
      <c r="A6738" s="146"/>
      <c r="D6738" s="496"/>
    </row>
    <row r="6739" spans="1:4" x14ac:dyDescent="0.2">
      <c r="A6739" s="146"/>
      <c r="D6739" s="496"/>
    </row>
    <row r="6740" spans="1:4" x14ac:dyDescent="0.2">
      <c r="A6740" s="146"/>
      <c r="D6740" s="496"/>
    </row>
    <row r="6741" spans="1:4" x14ac:dyDescent="0.2">
      <c r="A6741" s="146"/>
      <c r="D6741" s="496"/>
    </row>
    <row r="6742" spans="1:4" x14ac:dyDescent="0.2">
      <c r="A6742" s="146"/>
      <c r="D6742" s="496"/>
    </row>
    <row r="6743" spans="1:4" x14ac:dyDescent="0.2">
      <c r="A6743" s="146"/>
      <c r="D6743" s="496"/>
    </row>
    <row r="6744" spans="1:4" x14ac:dyDescent="0.2">
      <c r="A6744" s="146"/>
      <c r="D6744" s="496"/>
    </row>
    <row r="6745" spans="1:4" x14ac:dyDescent="0.2">
      <c r="A6745" s="146"/>
      <c r="D6745" s="496"/>
    </row>
    <row r="6746" spans="1:4" x14ac:dyDescent="0.2">
      <c r="A6746" s="146"/>
      <c r="D6746" s="496"/>
    </row>
    <row r="6747" spans="1:4" x14ac:dyDescent="0.2">
      <c r="A6747" s="146"/>
      <c r="D6747" s="496"/>
    </row>
    <row r="6748" spans="1:4" x14ac:dyDescent="0.2">
      <c r="A6748" s="146"/>
      <c r="D6748" s="496"/>
    </row>
    <row r="6749" spans="1:4" x14ac:dyDescent="0.2">
      <c r="A6749" s="146"/>
      <c r="D6749" s="496"/>
    </row>
    <row r="6750" spans="1:4" x14ac:dyDescent="0.2">
      <c r="A6750" s="146"/>
      <c r="D6750" s="496"/>
    </row>
    <row r="6751" spans="1:4" x14ac:dyDescent="0.2">
      <c r="A6751" s="146"/>
      <c r="D6751" s="496"/>
    </row>
    <row r="6752" spans="1:4" x14ac:dyDescent="0.2">
      <c r="A6752" s="146"/>
      <c r="D6752" s="496"/>
    </row>
    <row r="6753" spans="1:4" x14ac:dyDescent="0.2">
      <c r="A6753" s="146"/>
      <c r="D6753" s="496"/>
    </row>
    <row r="6754" spans="1:4" x14ac:dyDescent="0.2">
      <c r="A6754" s="146"/>
      <c r="D6754" s="496"/>
    </row>
    <row r="6755" spans="1:4" x14ac:dyDescent="0.2">
      <c r="A6755" s="146"/>
      <c r="D6755" s="496"/>
    </row>
    <row r="6756" spans="1:4" x14ac:dyDescent="0.2">
      <c r="A6756" s="146"/>
      <c r="D6756" s="496"/>
    </row>
    <row r="6757" spans="1:4" x14ac:dyDescent="0.2">
      <c r="A6757" s="146"/>
      <c r="D6757" s="496"/>
    </row>
    <row r="6758" spans="1:4" x14ac:dyDescent="0.2">
      <c r="A6758" s="146"/>
      <c r="D6758" s="496"/>
    </row>
    <row r="6759" spans="1:4" x14ac:dyDescent="0.2">
      <c r="A6759" s="146"/>
      <c r="D6759" s="496"/>
    </row>
    <row r="6760" spans="1:4" x14ac:dyDescent="0.2">
      <c r="A6760" s="146"/>
      <c r="D6760" s="496"/>
    </row>
    <row r="6761" spans="1:4" x14ac:dyDescent="0.2">
      <c r="A6761" s="146"/>
      <c r="D6761" s="496"/>
    </row>
    <row r="6762" spans="1:4" x14ac:dyDescent="0.2">
      <c r="A6762" s="146"/>
      <c r="D6762" s="496"/>
    </row>
    <row r="6763" spans="1:4" x14ac:dyDescent="0.2">
      <c r="A6763" s="146"/>
      <c r="D6763" s="496"/>
    </row>
    <row r="6764" spans="1:4" x14ac:dyDescent="0.2">
      <c r="A6764" s="146"/>
      <c r="D6764" s="496"/>
    </row>
    <row r="6765" spans="1:4" x14ac:dyDescent="0.2">
      <c r="A6765" s="146"/>
      <c r="D6765" s="496"/>
    </row>
    <row r="6766" spans="1:4" x14ac:dyDescent="0.2">
      <c r="A6766" s="146"/>
      <c r="D6766" s="496"/>
    </row>
    <row r="6767" spans="1:4" x14ac:dyDescent="0.2">
      <c r="A6767" s="146"/>
      <c r="D6767" s="496"/>
    </row>
    <row r="6768" spans="1:4" x14ac:dyDescent="0.2">
      <c r="A6768" s="146"/>
      <c r="D6768" s="496"/>
    </row>
    <row r="6769" spans="1:4" x14ac:dyDescent="0.2">
      <c r="A6769" s="146"/>
      <c r="D6769" s="496"/>
    </row>
    <row r="6770" spans="1:4" x14ac:dyDescent="0.2">
      <c r="A6770" s="146"/>
      <c r="D6770" s="496"/>
    </row>
    <row r="6771" spans="1:4" x14ac:dyDescent="0.2">
      <c r="A6771" s="146"/>
      <c r="D6771" s="496"/>
    </row>
    <row r="6772" spans="1:4" x14ac:dyDescent="0.2">
      <c r="A6772" s="146"/>
      <c r="D6772" s="496"/>
    </row>
    <row r="6773" spans="1:4" x14ac:dyDescent="0.2">
      <c r="A6773" s="146"/>
      <c r="D6773" s="496"/>
    </row>
    <row r="6774" spans="1:4" x14ac:dyDescent="0.2">
      <c r="A6774" s="146"/>
      <c r="D6774" s="496"/>
    </row>
    <row r="6775" spans="1:4" x14ac:dyDescent="0.2">
      <c r="A6775" s="146"/>
      <c r="D6775" s="496"/>
    </row>
    <row r="6776" spans="1:4" x14ac:dyDescent="0.2">
      <c r="A6776" s="146"/>
      <c r="D6776" s="496"/>
    </row>
    <row r="6777" spans="1:4" x14ac:dyDescent="0.2">
      <c r="A6777" s="146"/>
      <c r="D6777" s="496"/>
    </row>
    <row r="6778" spans="1:4" x14ac:dyDescent="0.2">
      <c r="A6778" s="146"/>
      <c r="D6778" s="496"/>
    </row>
    <row r="6779" spans="1:4" x14ac:dyDescent="0.2">
      <c r="A6779" s="146"/>
      <c r="D6779" s="496"/>
    </row>
    <row r="6780" spans="1:4" x14ac:dyDescent="0.2">
      <c r="A6780" s="146"/>
      <c r="D6780" s="496"/>
    </row>
    <row r="6781" spans="1:4" x14ac:dyDescent="0.2">
      <c r="A6781" s="146"/>
      <c r="D6781" s="496"/>
    </row>
    <row r="6782" spans="1:4" x14ac:dyDescent="0.2">
      <c r="A6782" s="146"/>
      <c r="D6782" s="496"/>
    </row>
    <row r="6783" spans="1:4" x14ac:dyDescent="0.2">
      <c r="A6783" s="146"/>
      <c r="D6783" s="496"/>
    </row>
    <row r="6784" spans="1:4" x14ac:dyDescent="0.2">
      <c r="A6784" s="146"/>
      <c r="D6784" s="496"/>
    </row>
    <row r="6785" spans="1:4" x14ac:dyDescent="0.2">
      <c r="A6785" s="146"/>
      <c r="D6785" s="496"/>
    </row>
    <row r="6786" spans="1:4" x14ac:dyDescent="0.2">
      <c r="A6786" s="146"/>
      <c r="D6786" s="496"/>
    </row>
    <row r="6787" spans="1:4" x14ac:dyDescent="0.2">
      <c r="A6787" s="146"/>
      <c r="D6787" s="496"/>
    </row>
    <row r="6788" spans="1:4" x14ac:dyDescent="0.2">
      <c r="A6788" s="146"/>
      <c r="D6788" s="496"/>
    </row>
    <row r="6789" spans="1:4" x14ac:dyDescent="0.2">
      <c r="A6789" s="146"/>
      <c r="D6789" s="496"/>
    </row>
    <row r="6790" spans="1:4" x14ac:dyDescent="0.2">
      <c r="A6790" s="146"/>
      <c r="D6790" s="496"/>
    </row>
    <row r="6791" spans="1:4" x14ac:dyDescent="0.2">
      <c r="A6791" s="146"/>
      <c r="D6791" s="496"/>
    </row>
    <row r="6792" spans="1:4" x14ac:dyDescent="0.2">
      <c r="A6792" s="146"/>
      <c r="D6792" s="496"/>
    </row>
    <row r="6793" spans="1:4" x14ac:dyDescent="0.2">
      <c r="A6793" s="146"/>
      <c r="D6793" s="496"/>
    </row>
    <row r="6794" spans="1:4" x14ac:dyDescent="0.2">
      <c r="A6794" s="146"/>
      <c r="D6794" s="496"/>
    </row>
    <row r="6795" spans="1:4" x14ac:dyDescent="0.2">
      <c r="A6795" s="146"/>
      <c r="D6795" s="496"/>
    </row>
    <row r="6796" spans="1:4" x14ac:dyDescent="0.2">
      <c r="A6796" s="146"/>
      <c r="D6796" s="496"/>
    </row>
    <row r="6797" spans="1:4" x14ac:dyDescent="0.2">
      <c r="A6797" s="146"/>
      <c r="D6797" s="496"/>
    </row>
    <row r="6798" spans="1:4" x14ac:dyDescent="0.2">
      <c r="A6798" s="146"/>
      <c r="D6798" s="496"/>
    </row>
    <row r="6799" spans="1:4" x14ac:dyDescent="0.2">
      <c r="A6799" s="146"/>
      <c r="D6799" s="496"/>
    </row>
    <row r="6800" spans="1:4" x14ac:dyDescent="0.2">
      <c r="A6800" s="146"/>
      <c r="D6800" s="496"/>
    </row>
    <row r="6801" spans="1:4" x14ac:dyDescent="0.2">
      <c r="A6801" s="146"/>
      <c r="D6801" s="496"/>
    </row>
    <row r="6802" spans="1:4" x14ac:dyDescent="0.2">
      <c r="A6802" s="146"/>
      <c r="D6802" s="496"/>
    </row>
    <row r="6803" spans="1:4" x14ac:dyDescent="0.2">
      <c r="A6803" s="146"/>
      <c r="D6803" s="496"/>
    </row>
    <row r="6804" spans="1:4" x14ac:dyDescent="0.2">
      <c r="A6804" s="146"/>
      <c r="D6804" s="496"/>
    </row>
    <row r="6805" spans="1:4" x14ac:dyDescent="0.2">
      <c r="A6805" s="146"/>
      <c r="D6805" s="496"/>
    </row>
    <row r="6806" spans="1:4" x14ac:dyDescent="0.2">
      <c r="A6806" s="146"/>
      <c r="D6806" s="496"/>
    </row>
    <row r="6807" spans="1:4" x14ac:dyDescent="0.2">
      <c r="A6807" s="146"/>
      <c r="D6807" s="496"/>
    </row>
    <row r="6808" spans="1:4" x14ac:dyDescent="0.2">
      <c r="A6808" s="146"/>
      <c r="D6808" s="496"/>
    </row>
    <row r="6809" spans="1:4" x14ac:dyDescent="0.2">
      <c r="A6809" s="146"/>
      <c r="D6809" s="496"/>
    </row>
    <row r="6810" spans="1:4" x14ac:dyDescent="0.2">
      <c r="A6810" s="146"/>
      <c r="D6810" s="496"/>
    </row>
    <row r="6811" spans="1:4" x14ac:dyDescent="0.2">
      <c r="A6811" s="146"/>
      <c r="D6811" s="496"/>
    </row>
    <row r="6812" spans="1:4" x14ac:dyDescent="0.2">
      <c r="A6812" s="146"/>
      <c r="D6812" s="496"/>
    </row>
    <row r="6813" spans="1:4" x14ac:dyDescent="0.2">
      <c r="A6813" s="146"/>
      <c r="D6813" s="496"/>
    </row>
    <row r="6814" spans="1:4" x14ac:dyDescent="0.2">
      <c r="A6814" s="146"/>
      <c r="D6814" s="496"/>
    </row>
    <row r="6815" spans="1:4" x14ac:dyDescent="0.2">
      <c r="A6815" s="146"/>
      <c r="D6815" s="496"/>
    </row>
    <row r="6816" spans="1:4" x14ac:dyDescent="0.2">
      <c r="A6816" s="146"/>
      <c r="D6816" s="496"/>
    </row>
    <row r="6817" spans="1:4" x14ac:dyDescent="0.2">
      <c r="A6817" s="146"/>
      <c r="D6817" s="496"/>
    </row>
    <row r="6818" spans="1:4" x14ac:dyDescent="0.2">
      <c r="A6818" s="146"/>
      <c r="D6818" s="496"/>
    </row>
    <row r="6819" spans="1:4" x14ac:dyDescent="0.2">
      <c r="A6819" s="146"/>
      <c r="D6819" s="496"/>
    </row>
    <row r="6820" spans="1:4" x14ac:dyDescent="0.2">
      <c r="A6820" s="146"/>
      <c r="D6820" s="496"/>
    </row>
    <row r="6821" spans="1:4" x14ac:dyDescent="0.2">
      <c r="A6821" s="146"/>
      <c r="D6821" s="496"/>
    </row>
    <row r="6822" spans="1:4" x14ac:dyDescent="0.2">
      <c r="A6822" s="146"/>
      <c r="D6822" s="496"/>
    </row>
    <row r="6823" spans="1:4" x14ac:dyDescent="0.2">
      <c r="A6823" s="146"/>
      <c r="D6823" s="496"/>
    </row>
    <row r="6824" spans="1:4" x14ac:dyDescent="0.2">
      <c r="A6824" s="146"/>
      <c r="D6824" s="496"/>
    </row>
    <row r="6825" spans="1:4" x14ac:dyDescent="0.2">
      <c r="A6825" s="146"/>
      <c r="D6825" s="496"/>
    </row>
    <row r="6826" spans="1:4" x14ac:dyDescent="0.2">
      <c r="A6826" s="146"/>
      <c r="D6826" s="496"/>
    </row>
    <row r="6827" spans="1:4" x14ac:dyDescent="0.2">
      <c r="A6827" s="146"/>
      <c r="D6827" s="496"/>
    </row>
    <row r="6828" spans="1:4" x14ac:dyDescent="0.2">
      <c r="A6828" s="146"/>
      <c r="D6828" s="496"/>
    </row>
    <row r="6829" spans="1:4" x14ac:dyDescent="0.2">
      <c r="A6829" s="146"/>
      <c r="D6829" s="496"/>
    </row>
    <row r="6830" spans="1:4" x14ac:dyDescent="0.2">
      <c r="A6830" s="146"/>
      <c r="D6830" s="496"/>
    </row>
    <row r="6831" spans="1:4" x14ac:dyDescent="0.2">
      <c r="A6831" s="146"/>
      <c r="D6831" s="496"/>
    </row>
    <row r="6832" spans="1:4" x14ac:dyDescent="0.2">
      <c r="A6832" s="146"/>
      <c r="D6832" s="496"/>
    </row>
    <row r="6833" spans="1:4" x14ac:dyDescent="0.2">
      <c r="A6833" s="146"/>
      <c r="D6833" s="496"/>
    </row>
    <row r="6834" spans="1:4" x14ac:dyDescent="0.2">
      <c r="A6834" s="146"/>
      <c r="D6834" s="496"/>
    </row>
    <row r="6835" spans="1:4" x14ac:dyDescent="0.2">
      <c r="A6835" s="146"/>
      <c r="D6835" s="496"/>
    </row>
    <row r="6836" spans="1:4" x14ac:dyDescent="0.2">
      <c r="A6836" s="146"/>
      <c r="D6836" s="496"/>
    </row>
    <row r="6837" spans="1:4" x14ac:dyDescent="0.2">
      <c r="A6837" s="146"/>
      <c r="D6837" s="496"/>
    </row>
    <row r="6838" spans="1:4" x14ac:dyDescent="0.2">
      <c r="A6838" s="146"/>
      <c r="D6838" s="496"/>
    </row>
    <row r="6839" spans="1:4" x14ac:dyDescent="0.2">
      <c r="A6839" s="146"/>
      <c r="D6839" s="496"/>
    </row>
    <row r="6840" spans="1:4" x14ac:dyDescent="0.2">
      <c r="A6840" s="146"/>
      <c r="D6840" s="496"/>
    </row>
    <row r="6841" spans="1:4" x14ac:dyDescent="0.2">
      <c r="A6841" s="146"/>
      <c r="D6841" s="496"/>
    </row>
    <row r="6842" spans="1:4" x14ac:dyDescent="0.2">
      <c r="A6842" s="146"/>
      <c r="D6842" s="496"/>
    </row>
    <row r="6843" spans="1:4" x14ac:dyDescent="0.2">
      <c r="A6843" s="146"/>
      <c r="D6843" s="496"/>
    </row>
    <row r="6844" spans="1:4" x14ac:dyDescent="0.2">
      <c r="A6844" s="146"/>
      <c r="D6844" s="496"/>
    </row>
    <row r="6845" spans="1:4" x14ac:dyDescent="0.2">
      <c r="A6845" s="146"/>
      <c r="D6845" s="496"/>
    </row>
    <row r="6846" spans="1:4" x14ac:dyDescent="0.2">
      <c r="A6846" s="146"/>
      <c r="D6846" s="496"/>
    </row>
    <row r="6847" spans="1:4" x14ac:dyDescent="0.2">
      <c r="A6847" s="146"/>
      <c r="D6847" s="496"/>
    </row>
    <row r="6848" spans="1:4" x14ac:dyDescent="0.2">
      <c r="A6848" s="146"/>
      <c r="D6848" s="496"/>
    </row>
    <row r="6849" spans="1:4" x14ac:dyDescent="0.2">
      <c r="A6849" s="146"/>
      <c r="D6849" s="496"/>
    </row>
    <row r="6850" spans="1:4" x14ac:dyDescent="0.2">
      <c r="A6850" s="146"/>
      <c r="D6850" s="496"/>
    </row>
    <row r="6851" spans="1:4" x14ac:dyDescent="0.2">
      <c r="A6851" s="146"/>
      <c r="D6851" s="496"/>
    </row>
    <row r="6852" spans="1:4" x14ac:dyDescent="0.2">
      <c r="A6852" s="146"/>
      <c r="D6852" s="496"/>
    </row>
    <row r="6853" spans="1:4" x14ac:dyDescent="0.2">
      <c r="A6853" s="146"/>
      <c r="D6853" s="496"/>
    </row>
    <row r="6854" spans="1:4" x14ac:dyDescent="0.2">
      <c r="A6854" s="146"/>
      <c r="D6854" s="496"/>
    </row>
    <row r="6855" spans="1:4" x14ac:dyDescent="0.2">
      <c r="A6855" s="146"/>
      <c r="D6855" s="496"/>
    </row>
    <row r="6856" spans="1:4" x14ac:dyDescent="0.2">
      <c r="A6856" s="146"/>
      <c r="D6856" s="496"/>
    </row>
    <row r="6857" spans="1:4" x14ac:dyDescent="0.2">
      <c r="A6857" s="146"/>
      <c r="D6857" s="496"/>
    </row>
    <row r="6858" spans="1:4" x14ac:dyDescent="0.2">
      <c r="A6858" s="146"/>
      <c r="D6858" s="496"/>
    </row>
    <row r="6859" spans="1:4" x14ac:dyDescent="0.2">
      <c r="A6859" s="146"/>
      <c r="D6859" s="496"/>
    </row>
    <row r="6860" spans="1:4" x14ac:dyDescent="0.2">
      <c r="A6860" s="146"/>
      <c r="D6860" s="496"/>
    </row>
    <row r="6861" spans="1:4" x14ac:dyDescent="0.2">
      <c r="A6861" s="146"/>
      <c r="D6861" s="496"/>
    </row>
    <row r="6862" spans="1:4" x14ac:dyDescent="0.2">
      <c r="A6862" s="146"/>
      <c r="D6862" s="496"/>
    </row>
    <row r="6863" spans="1:4" x14ac:dyDescent="0.2">
      <c r="A6863" s="146"/>
      <c r="D6863" s="496"/>
    </row>
    <row r="6864" spans="1:4" x14ac:dyDescent="0.2">
      <c r="A6864" s="146"/>
      <c r="D6864" s="496"/>
    </row>
    <row r="6865" spans="1:4" x14ac:dyDescent="0.2">
      <c r="A6865" s="146"/>
      <c r="D6865" s="496"/>
    </row>
    <row r="6866" spans="1:4" x14ac:dyDescent="0.2">
      <c r="A6866" s="146"/>
      <c r="D6866" s="496"/>
    </row>
    <row r="6867" spans="1:4" x14ac:dyDescent="0.2">
      <c r="A6867" s="146"/>
      <c r="D6867" s="496"/>
    </row>
    <row r="6868" spans="1:4" x14ac:dyDescent="0.2">
      <c r="A6868" s="146"/>
      <c r="D6868" s="496"/>
    </row>
    <row r="6869" spans="1:4" x14ac:dyDescent="0.2">
      <c r="A6869" s="146"/>
      <c r="D6869" s="496"/>
    </row>
    <row r="6870" spans="1:4" x14ac:dyDescent="0.2">
      <c r="A6870" s="146"/>
      <c r="D6870" s="496"/>
    </row>
    <row r="6871" spans="1:4" x14ac:dyDescent="0.2">
      <c r="A6871" s="146"/>
      <c r="D6871" s="496"/>
    </row>
    <row r="6872" spans="1:4" x14ac:dyDescent="0.2">
      <c r="A6872" s="146"/>
      <c r="D6872" s="496"/>
    </row>
    <row r="6873" spans="1:4" x14ac:dyDescent="0.2">
      <c r="A6873" s="146"/>
      <c r="D6873" s="496"/>
    </row>
    <row r="6874" spans="1:4" x14ac:dyDescent="0.2">
      <c r="A6874" s="146"/>
      <c r="D6874" s="496"/>
    </row>
    <row r="6875" spans="1:4" x14ac:dyDescent="0.2">
      <c r="A6875" s="146"/>
      <c r="D6875" s="496"/>
    </row>
    <row r="6876" spans="1:4" x14ac:dyDescent="0.2">
      <c r="A6876" s="146"/>
      <c r="D6876" s="496"/>
    </row>
    <row r="6877" spans="1:4" x14ac:dyDescent="0.2">
      <c r="A6877" s="146"/>
      <c r="D6877" s="496"/>
    </row>
    <row r="6878" spans="1:4" x14ac:dyDescent="0.2">
      <c r="A6878" s="146"/>
      <c r="D6878" s="496"/>
    </row>
    <row r="6879" spans="1:4" x14ac:dyDescent="0.2">
      <c r="A6879" s="146"/>
      <c r="D6879" s="496"/>
    </row>
    <row r="6880" spans="1:4" x14ac:dyDescent="0.2">
      <c r="A6880" s="146"/>
      <c r="D6880" s="496"/>
    </row>
    <row r="6881" spans="1:4" x14ac:dyDescent="0.2">
      <c r="A6881" s="146"/>
      <c r="D6881" s="496"/>
    </row>
    <row r="6882" spans="1:4" x14ac:dyDescent="0.2">
      <c r="A6882" s="146"/>
      <c r="D6882" s="496"/>
    </row>
    <row r="6883" spans="1:4" x14ac:dyDescent="0.2">
      <c r="A6883" s="146"/>
      <c r="D6883" s="496"/>
    </row>
    <row r="6884" spans="1:4" x14ac:dyDescent="0.2">
      <c r="A6884" s="146"/>
      <c r="D6884" s="496"/>
    </row>
    <row r="6885" spans="1:4" x14ac:dyDescent="0.2">
      <c r="A6885" s="146"/>
      <c r="D6885" s="496"/>
    </row>
    <row r="6886" spans="1:4" x14ac:dyDescent="0.2">
      <c r="A6886" s="146"/>
      <c r="D6886" s="496"/>
    </row>
    <row r="6887" spans="1:4" x14ac:dyDescent="0.2">
      <c r="A6887" s="146"/>
      <c r="D6887" s="496"/>
    </row>
    <row r="6888" spans="1:4" x14ac:dyDescent="0.2">
      <c r="A6888" s="146"/>
      <c r="D6888" s="496"/>
    </row>
    <row r="6889" spans="1:4" x14ac:dyDescent="0.2">
      <c r="A6889" s="146"/>
      <c r="D6889" s="496"/>
    </row>
    <row r="6890" spans="1:4" x14ac:dyDescent="0.2">
      <c r="A6890" s="146"/>
      <c r="D6890" s="496"/>
    </row>
    <row r="6891" spans="1:4" x14ac:dyDescent="0.2">
      <c r="A6891" s="146"/>
      <c r="D6891" s="496"/>
    </row>
    <row r="6892" spans="1:4" x14ac:dyDescent="0.2">
      <c r="A6892" s="146"/>
      <c r="D6892" s="496"/>
    </row>
    <row r="6893" spans="1:4" x14ac:dyDescent="0.2">
      <c r="A6893" s="146"/>
      <c r="D6893" s="496"/>
    </row>
    <row r="6894" spans="1:4" x14ac:dyDescent="0.2">
      <c r="A6894" s="146"/>
      <c r="D6894" s="496"/>
    </row>
    <row r="6895" spans="1:4" x14ac:dyDescent="0.2">
      <c r="A6895" s="146"/>
      <c r="D6895" s="496"/>
    </row>
    <row r="6896" spans="1:4" x14ac:dyDescent="0.2">
      <c r="A6896" s="146"/>
      <c r="D6896" s="496"/>
    </row>
    <row r="6897" spans="1:4" x14ac:dyDescent="0.2">
      <c r="A6897" s="146"/>
      <c r="D6897" s="496"/>
    </row>
    <row r="6898" spans="1:4" x14ac:dyDescent="0.2">
      <c r="A6898" s="146"/>
      <c r="D6898" s="496"/>
    </row>
    <row r="6899" spans="1:4" x14ac:dyDescent="0.2">
      <c r="A6899" s="146"/>
      <c r="D6899" s="496"/>
    </row>
    <row r="6900" spans="1:4" x14ac:dyDescent="0.2">
      <c r="A6900" s="146"/>
      <c r="D6900" s="496"/>
    </row>
    <row r="6901" spans="1:4" x14ac:dyDescent="0.2">
      <c r="A6901" s="146"/>
      <c r="D6901" s="496"/>
    </row>
    <row r="6902" spans="1:4" x14ac:dyDescent="0.2">
      <c r="A6902" s="146"/>
      <c r="D6902" s="496"/>
    </row>
    <row r="6903" spans="1:4" x14ac:dyDescent="0.2">
      <c r="A6903" s="146"/>
      <c r="D6903" s="496"/>
    </row>
    <row r="6904" spans="1:4" x14ac:dyDescent="0.2">
      <c r="A6904" s="146"/>
      <c r="D6904" s="496"/>
    </row>
    <row r="6905" spans="1:4" x14ac:dyDescent="0.2">
      <c r="A6905" s="146"/>
      <c r="D6905" s="496"/>
    </row>
    <row r="6906" spans="1:4" x14ac:dyDescent="0.2">
      <c r="A6906" s="146"/>
      <c r="D6906" s="496"/>
    </row>
    <row r="6907" spans="1:4" x14ac:dyDescent="0.2">
      <c r="A6907" s="146"/>
      <c r="D6907" s="496"/>
    </row>
    <row r="6908" spans="1:4" x14ac:dyDescent="0.2">
      <c r="A6908" s="146"/>
      <c r="D6908" s="496"/>
    </row>
    <row r="6909" spans="1:4" x14ac:dyDescent="0.2">
      <c r="A6909" s="146"/>
      <c r="D6909" s="496"/>
    </row>
    <row r="6910" spans="1:4" x14ac:dyDescent="0.2">
      <c r="A6910" s="146"/>
      <c r="D6910" s="496"/>
    </row>
    <row r="6911" spans="1:4" x14ac:dyDescent="0.2">
      <c r="A6911" s="146"/>
      <c r="D6911" s="496"/>
    </row>
    <row r="6912" spans="1:4" x14ac:dyDescent="0.2">
      <c r="A6912" s="146"/>
      <c r="D6912" s="496"/>
    </row>
    <row r="6913" spans="1:4" x14ac:dyDescent="0.2">
      <c r="A6913" s="146"/>
      <c r="D6913" s="496"/>
    </row>
    <row r="6914" spans="1:4" x14ac:dyDescent="0.2">
      <c r="A6914" s="146"/>
      <c r="D6914" s="496"/>
    </row>
    <row r="6915" spans="1:4" x14ac:dyDescent="0.2">
      <c r="A6915" s="146"/>
      <c r="D6915" s="496"/>
    </row>
    <row r="6916" spans="1:4" x14ac:dyDescent="0.2">
      <c r="A6916" s="146"/>
      <c r="D6916" s="496"/>
    </row>
    <row r="6917" spans="1:4" x14ac:dyDescent="0.2">
      <c r="A6917" s="146"/>
      <c r="D6917" s="496"/>
    </row>
    <row r="6918" spans="1:4" x14ac:dyDescent="0.2">
      <c r="A6918" s="146"/>
      <c r="D6918" s="496"/>
    </row>
    <row r="6919" spans="1:4" x14ac:dyDescent="0.2">
      <c r="A6919" s="146"/>
      <c r="D6919" s="496"/>
    </row>
    <row r="6920" spans="1:4" x14ac:dyDescent="0.2">
      <c r="A6920" s="146"/>
      <c r="D6920" s="496"/>
    </row>
    <row r="6921" spans="1:4" x14ac:dyDescent="0.2">
      <c r="A6921" s="146"/>
      <c r="D6921" s="496"/>
    </row>
    <row r="6922" spans="1:4" x14ac:dyDescent="0.2">
      <c r="A6922" s="146"/>
      <c r="D6922" s="496"/>
    </row>
    <row r="6923" spans="1:4" x14ac:dyDescent="0.2">
      <c r="A6923" s="146"/>
      <c r="D6923" s="496"/>
    </row>
    <row r="6924" spans="1:4" x14ac:dyDescent="0.2">
      <c r="A6924" s="146"/>
      <c r="D6924" s="496"/>
    </row>
    <row r="6925" spans="1:4" x14ac:dyDescent="0.2">
      <c r="A6925" s="146"/>
      <c r="D6925" s="496"/>
    </row>
    <row r="6926" spans="1:4" x14ac:dyDescent="0.2">
      <c r="A6926" s="146"/>
      <c r="D6926" s="496"/>
    </row>
    <row r="6927" spans="1:4" x14ac:dyDescent="0.2">
      <c r="A6927" s="146"/>
      <c r="D6927" s="496"/>
    </row>
    <row r="6928" spans="1:4" x14ac:dyDescent="0.2">
      <c r="A6928" s="146"/>
      <c r="D6928" s="496"/>
    </row>
    <row r="6929" spans="1:4" x14ac:dyDescent="0.2">
      <c r="A6929" s="146"/>
      <c r="D6929" s="496"/>
    </row>
    <row r="6930" spans="1:4" x14ac:dyDescent="0.2">
      <c r="A6930" s="146"/>
      <c r="D6930" s="496"/>
    </row>
    <row r="6931" spans="1:4" x14ac:dyDescent="0.2">
      <c r="A6931" s="146"/>
      <c r="D6931" s="496"/>
    </row>
    <row r="6932" spans="1:4" x14ac:dyDescent="0.2">
      <c r="A6932" s="146"/>
      <c r="D6932" s="496"/>
    </row>
    <row r="6933" spans="1:4" x14ac:dyDescent="0.2">
      <c r="A6933" s="146"/>
      <c r="D6933" s="496"/>
    </row>
    <row r="6934" spans="1:4" x14ac:dyDescent="0.2">
      <c r="A6934" s="146"/>
      <c r="D6934" s="496"/>
    </row>
    <row r="6935" spans="1:4" x14ac:dyDescent="0.2">
      <c r="A6935" s="146"/>
      <c r="D6935" s="496"/>
    </row>
    <row r="6936" spans="1:4" x14ac:dyDescent="0.2">
      <c r="A6936" s="146"/>
      <c r="D6936" s="496"/>
    </row>
    <row r="6937" spans="1:4" x14ac:dyDescent="0.2">
      <c r="A6937" s="146"/>
      <c r="D6937" s="496"/>
    </row>
    <row r="6938" spans="1:4" x14ac:dyDescent="0.2">
      <c r="A6938" s="146"/>
      <c r="D6938" s="496"/>
    </row>
    <row r="6939" spans="1:4" x14ac:dyDescent="0.2">
      <c r="A6939" s="146"/>
      <c r="D6939" s="496"/>
    </row>
    <row r="6940" spans="1:4" x14ac:dyDescent="0.2">
      <c r="A6940" s="146"/>
      <c r="D6940" s="496"/>
    </row>
    <row r="6941" spans="1:4" x14ac:dyDescent="0.2">
      <c r="A6941" s="146"/>
      <c r="D6941" s="496"/>
    </row>
    <row r="6942" spans="1:4" x14ac:dyDescent="0.2">
      <c r="A6942" s="146"/>
      <c r="D6942" s="496"/>
    </row>
    <row r="6943" spans="1:4" x14ac:dyDescent="0.2">
      <c r="A6943" s="146"/>
      <c r="D6943" s="496"/>
    </row>
    <row r="6944" spans="1:4" x14ac:dyDescent="0.2">
      <c r="A6944" s="146"/>
      <c r="D6944" s="496"/>
    </row>
    <row r="6945" spans="1:4" x14ac:dyDescent="0.2">
      <c r="A6945" s="146"/>
      <c r="D6945" s="496"/>
    </row>
    <row r="6946" spans="1:4" x14ac:dyDescent="0.2">
      <c r="A6946" s="146"/>
      <c r="D6946" s="496"/>
    </row>
    <row r="6947" spans="1:4" x14ac:dyDescent="0.2">
      <c r="A6947" s="146"/>
      <c r="D6947" s="496"/>
    </row>
    <row r="6948" spans="1:4" x14ac:dyDescent="0.2">
      <c r="A6948" s="146"/>
      <c r="D6948" s="496"/>
    </row>
    <row r="6949" spans="1:4" x14ac:dyDescent="0.2">
      <c r="A6949" s="146"/>
      <c r="D6949" s="496"/>
    </row>
    <row r="6950" spans="1:4" x14ac:dyDescent="0.2">
      <c r="A6950" s="146"/>
      <c r="D6950" s="496"/>
    </row>
    <row r="6951" spans="1:4" x14ac:dyDescent="0.2">
      <c r="A6951" s="146"/>
      <c r="D6951" s="496"/>
    </row>
    <row r="6952" spans="1:4" x14ac:dyDescent="0.2">
      <c r="A6952" s="146"/>
      <c r="D6952" s="496"/>
    </row>
    <row r="6953" spans="1:4" x14ac:dyDescent="0.2">
      <c r="A6953" s="146"/>
      <c r="D6953" s="496"/>
    </row>
    <row r="6954" spans="1:4" x14ac:dyDescent="0.2">
      <c r="A6954" s="146"/>
      <c r="D6954" s="496"/>
    </row>
    <row r="6955" spans="1:4" x14ac:dyDescent="0.2">
      <c r="A6955" s="146"/>
      <c r="D6955" s="496"/>
    </row>
    <row r="6956" spans="1:4" x14ac:dyDescent="0.2">
      <c r="A6956" s="146"/>
      <c r="D6956" s="496"/>
    </row>
    <row r="6957" spans="1:4" x14ac:dyDescent="0.2">
      <c r="A6957" s="146"/>
      <c r="D6957" s="496"/>
    </row>
    <row r="6958" spans="1:4" x14ac:dyDescent="0.2">
      <c r="A6958" s="146"/>
      <c r="D6958" s="496"/>
    </row>
    <row r="6959" spans="1:4" x14ac:dyDescent="0.2">
      <c r="A6959" s="146"/>
      <c r="D6959" s="496"/>
    </row>
    <row r="6960" spans="1:4" x14ac:dyDescent="0.2">
      <c r="A6960" s="146"/>
      <c r="D6960" s="496"/>
    </row>
    <row r="6961" spans="1:4" x14ac:dyDescent="0.2">
      <c r="A6961" s="146"/>
      <c r="D6961" s="496"/>
    </row>
    <row r="6962" spans="1:4" x14ac:dyDescent="0.2">
      <c r="A6962" s="146"/>
      <c r="D6962" s="496"/>
    </row>
    <row r="6963" spans="1:4" x14ac:dyDescent="0.2">
      <c r="A6963" s="146"/>
      <c r="D6963" s="496"/>
    </row>
    <row r="6964" spans="1:4" x14ac:dyDescent="0.2">
      <c r="A6964" s="146"/>
      <c r="D6964" s="496"/>
    </row>
    <row r="6965" spans="1:4" x14ac:dyDescent="0.2">
      <c r="A6965" s="146"/>
      <c r="D6965" s="496"/>
    </row>
    <row r="6966" spans="1:4" x14ac:dyDescent="0.2">
      <c r="A6966" s="146"/>
      <c r="D6966" s="496"/>
    </row>
    <row r="6967" spans="1:4" x14ac:dyDescent="0.2">
      <c r="A6967" s="146"/>
      <c r="D6967" s="496"/>
    </row>
    <row r="6968" spans="1:4" x14ac:dyDescent="0.2">
      <c r="A6968" s="146"/>
      <c r="D6968" s="496"/>
    </row>
    <row r="6969" spans="1:4" x14ac:dyDescent="0.2">
      <c r="A6969" s="146"/>
      <c r="D6969" s="496"/>
    </row>
    <row r="6970" spans="1:4" x14ac:dyDescent="0.2">
      <c r="A6970" s="146"/>
      <c r="D6970" s="496"/>
    </row>
    <row r="6971" spans="1:4" x14ac:dyDescent="0.2">
      <c r="A6971" s="146"/>
      <c r="D6971" s="496"/>
    </row>
    <row r="6972" spans="1:4" x14ac:dyDescent="0.2">
      <c r="A6972" s="146"/>
      <c r="D6972" s="496"/>
    </row>
    <row r="6973" spans="1:4" x14ac:dyDescent="0.2">
      <c r="A6973" s="146"/>
      <c r="D6973" s="496"/>
    </row>
    <row r="6974" spans="1:4" x14ac:dyDescent="0.2">
      <c r="A6974" s="146"/>
      <c r="D6974" s="496"/>
    </row>
    <row r="6975" spans="1:4" x14ac:dyDescent="0.2">
      <c r="A6975" s="146"/>
      <c r="D6975" s="496"/>
    </row>
    <row r="6976" spans="1:4" x14ac:dyDescent="0.2">
      <c r="A6976" s="146"/>
      <c r="D6976" s="496"/>
    </row>
    <row r="6977" spans="1:4" x14ac:dyDescent="0.2">
      <c r="A6977" s="146"/>
      <c r="D6977" s="496"/>
    </row>
    <row r="6978" spans="1:4" x14ac:dyDescent="0.2">
      <c r="A6978" s="146"/>
      <c r="D6978" s="496"/>
    </row>
    <row r="6979" spans="1:4" x14ac:dyDescent="0.2">
      <c r="A6979" s="146"/>
      <c r="D6979" s="496"/>
    </row>
    <row r="6980" spans="1:4" x14ac:dyDescent="0.2">
      <c r="A6980" s="146"/>
      <c r="D6980" s="496"/>
    </row>
    <row r="6981" spans="1:4" x14ac:dyDescent="0.2">
      <c r="A6981" s="146"/>
      <c r="D6981" s="496"/>
    </row>
    <row r="6982" spans="1:4" x14ac:dyDescent="0.2">
      <c r="A6982" s="146"/>
      <c r="D6982" s="496"/>
    </row>
    <row r="6983" spans="1:4" x14ac:dyDescent="0.2">
      <c r="A6983" s="146"/>
      <c r="D6983" s="496"/>
    </row>
    <row r="6984" spans="1:4" x14ac:dyDescent="0.2">
      <c r="A6984" s="146"/>
      <c r="D6984" s="496"/>
    </row>
    <row r="6985" spans="1:4" x14ac:dyDescent="0.2">
      <c r="A6985" s="146"/>
      <c r="D6985" s="496"/>
    </row>
    <row r="6986" spans="1:4" x14ac:dyDescent="0.2">
      <c r="A6986" s="146"/>
      <c r="D6986" s="496"/>
    </row>
    <row r="6987" spans="1:4" x14ac:dyDescent="0.2">
      <c r="A6987" s="146"/>
      <c r="D6987" s="496"/>
    </row>
    <row r="6988" spans="1:4" x14ac:dyDescent="0.2">
      <c r="A6988" s="146"/>
      <c r="D6988" s="496"/>
    </row>
    <row r="6989" spans="1:4" x14ac:dyDescent="0.2">
      <c r="A6989" s="146"/>
      <c r="D6989" s="496"/>
    </row>
    <row r="6990" spans="1:4" x14ac:dyDescent="0.2">
      <c r="A6990" s="146"/>
      <c r="D6990" s="496"/>
    </row>
    <row r="6991" spans="1:4" x14ac:dyDescent="0.2">
      <c r="A6991" s="146"/>
      <c r="D6991" s="496"/>
    </row>
    <row r="6992" spans="1:4" x14ac:dyDescent="0.2">
      <c r="A6992" s="146"/>
      <c r="D6992" s="496"/>
    </row>
    <row r="6993" spans="1:4" x14ac:dyDescent="0.2">
      <c r="A6993" s="146"/>
      <c r="D6993" s="496"/>
    </row>
    <row r="6994" spans="1:4" x14ac:dyDescent="0.2">
      <c r="A6994" s="146"/>
      <c r="D6994" s="496"/>
    </row>
    <row r="6995" spans="1:4" x14ac:dyDescent="0.2">
      <c r="A6995" s="146"/>
      <c r="D6995" s="496"/>
    </row>
    <row r="6996" spans="1:4" x14ac:dyDescent="0.2">
      <c r="A6996" s="146"/>
      <c r="D6996" s="496"/>
    </row>
    <row r="6997" spans="1:4" x14ac:dyDescent="0.2">
      <c r="A6997" s="146"/>
      <c r="D6997" s="496"/>
    </row>
    <row r="6998" spans="1:4" x14ac:dyDescent="0.2">
      <c r="A6998" s="146"/>
      <c r="D6998" s="496"/>
    </row>
    <row r="6999" spans="1:4" x14ac:dyDescent="0.2">
      <c r="A6999" s="146"/>
      <c r="D6999" s="496"/>
    </row>
    <row r="7000" spans="1:4" x14ac:dyDescent="0.2">
      <c r="A7000" s="146"/>
      <c r="D7000" s="496"/>
    </row>
    <row r="7001" spans="1:4" x14ac:dyDescent="0.2">
      <c r="A7001" s="146"/>
      <c r="D7001" s="496"/>
    </row>
    <row r="7002" spans="1:4" x14ac:dyDescent="0.2">
      <c r="A7002" s="146"/>
      <c r="D7002" s="496"/>
    </row>
    <row r="7003" spans="1:4" x14ac:dyDescent="0.2">
      <c r="A7003" s="146"/>
      <c r="D7003" s="496"/>
    </row>
    <row r="7004" spans="1:4" x14ac:dyDescent="0.2">
      <c r="A7004" s="146"/>
      <c r="D7004" s="496"/>
    </row>
    <row r="7005" spans="1:4" x14ac:dyDescent="0.2">
      <c r="A7005" s="146"/>
      <c r="D7005" s="496"/>
    </row>
    <row r="7006" spans="1:4" x14ac:dyDescent="0.2">
      <c r="A7006" s="146"/>
      <c r="D7006" s="496"/>
    </row>
    <row r="7007" spans="1:4" x14ac:dyDescent="0.2">
      <c r="A7007" s="146"/>
      <c r="D7007" s="496"/>
    </row>
    <row r="7008" spans="1:4" x14ac:dyDescent="0.2">
      <c r="A7008" s="146"/>
      <c r="D7008" s="496"/>
    </row>
    <row r="7009" spans="1:4" x14ac:dyDescent="0.2">
      <c r="A7009" s="146"/>
      <c r="D7009" s="496"/>
    </row>
    <row r="7010" spans="1:4" x14ac:dyDescent="0.2">
      <c r="A7010" s="146"/>
      <c r="D7010" s="496"/>
    </row>
    <row r="7011" spans="1:4" x14ac:dyDescent="0.2">
      <c r="A7011" s="146"/>
      <c r="D7011" s="496"/>
    </row>
    <row r="7012" spans="1:4" x14ac:dyDescent="0.2">
      <c r="A7012" s="146"/>
      <c r="D7012" s="496"/>
    </row>
    <row r="7013" spans="1:4" x14ac:dyDescent="0.2">
      <c r="A7013" s="146"/>
      <c r="D7013" s="496"/>
    </row>
    <row r="7014" spans="1:4" x14ac:dyDescent="0.2">
      <c r="A7014" s="146"/>
      <c r="D7014" s="496"/>
    </row>
    <row r="7015" spans="1:4" x14ac:dyDescent="0.2">
      <c r="A7015" s="146"/>
      <c r="D7015" s="496"/>
    </row>
    <row r="7016" spans="1:4" x14ac:dyDescent="0.2">
      <c r="A7016" s="146"/>
      <c r="D7016" s="496"/>
    </row>
    <row r="7017" spans="1:4" x14ac:dyDescent="0.2">
      <c r="A7017" s="146"/>
      <c r="D7017" s="496"/>
    </row>
    <row r="7018" spans="1:4" x14ac:dyDescent="0.2">
      <c r="A7018" s="146"/>
      <c r="D7018" s="496"/>
    </row>
    <row r="7019" spans="1:4" x14ac:dyDescent="0.2">
      <c r="A7019" s="146"/>
      <c r="D7019" s="496"/>
    </row>
    <row r="7020" spans="1:4" x14ac:dyDescent="0.2">
      <c r="A7020" s="146"/>
      <c r="D7020" s="496"/>
    </row>
    <row r="7021" spans="1:4" x14ac:dyDescent="0.2">
      <c r="A7021" s="146"/>
      <c r="D7021" s="496"/>
    </row>
    <row r="7022" spans="1:4" x14ac:dyDescent="0.2">
      <c r="A7022" s="146"/>
      <c r="D7022" s="496"/>
    </row>
    <row r="7023" spans="1:4" x14ac:dyDescent="0.2">
      <c r="A7023" s="146"/>
      <c r="D7023" s="496"/>
    </row>
    <row r="7024" spans="1:4" x14ac:dyDescent="0.2">
      <c r="A7024" s="146"/>
      <c r="D7024" s="496"/>
    </row>
    <row r="7025" spans="1:4" x14ac:dyDescent="0.2">
      <c r="A7025" s="146"/>
      <c r="D7025" s="496"/>
    </row>
    <row r="7026" spans="1:4" x14ac:dyDescent="0.2">
      <c r="A7026" s="146"/>
      <c r="D7026" s="496"/>
    </row>
    <row r="7027" spans="1:4" x14ac:dyDescent="0.2">
      <c r="A7027" s="146"/>
      <c r="D7027" s="496"/>
    </row>
    <row r="7028" spans="1:4" x14ac:dyDescent="0.2">
      <c r="A7028" s="146"/>
      <c r="D7028" s="496"/>
    </row>
    <row r="7029" spans="1:4" x14ac:dyDescent="0.2">
      <c r="A7029" s="146"/>
      <c r="D7029" s="496"/>
    </row>
    <row r="7030" spans="1:4" x14ac:dyDescent="0.2">
      <c r="A7030" s="146"/>
      <c r="D7030" s="496"/>
    </row>
    <row r="7031" spans="1:4" x14ac:dyDescent="0.2">
      <c r="A7031" s="146"/>
      <c r="D7031" s="496"/>
    </row>
    <row r="7032" spans="1:4" x14ac:dyDescent="0.2">
      <c r="A7032" s="146"/>
      <c r="D7032" s="496"/>
    </row>
    <row r="7033" spans="1:4" x14ac:dyDescent="0.2">
      <c r="A7033" s="146"/>
      <c r="D7033" s="496"/>
    </row>
    <row r="7034" spans="1:4" x14ac:dyDescent="0.2">
      <c r="A7034" s="146"/>
      <c r="D7034" s="496"/>
    </row>
    <row r="7035" spans="1:4" x14ac:dyDescent="0.2">
      <c r="A7035" s="146"/>
      <c r="D7035" s="496"/>
    </row>
    <row r="7036" spans="1:4" x14ac:dyDescent="0.2">
      <c r="A7036" s="146"/>
      <c r="D7036" s="496"/>
    </row>
    <row r="7037" spans="1:4" x14ac:dyDescent="0.2">
      <c r="A7037" s="146"/>
      <c r="D7037" s="496"/>
    </row>
    <row r="7038" spans="1:4" x14ac:dyDescent="0.2">
      <c r="A7038" s="146"/>
      <c r="D7038" s="496"/>
    </row>
    <row r="7039" spans="1:4" x14ac:dyDescent="0.2">
      <c r="A7039" s="146"/>
      <c r="D7039" s="496"/>
    </row>
    <row r="7040" spans="1:4" x14ac:dyDescent="0.2">
      <c r="A7040" s="146"/>
      <c r="D7040" s="496"/>
    </row>
    <row r="7041" spans="1:4" x14ac:dyDescent="0.2">
      <c r="A7041" s="146"/>
      <c r="D7041" s="496"/>
    </row>
    <row r="7042" spans="1:4" x14ac:dyDescent="0.2">
      <c r="A7042" s="146"/>
      <c r="D7042" s="496"/>
    </row>
    <row r="7043" spans="1:4" x14ac:dyDescent="0.2">
      <c r="A7043" s="146"/>
      <c r="D7043" s="496"/>
    </row>
    <row r="7044" spans="1:4" x14ac:dyDescent="0.2">
      <c r="A7044" s="146"/>
      <c r="D7044" s="496"/>
    </row>
    <row r="7045" spans="1:4" x14ac:dyDescent="0.2">
      <c r="A7045" s="146"/>
      <c r="D7045" s="496"/>
    </row>
    <row r="7046" spans="1:4" x14ac:dyDescent="0.2">
      <c r="A7046" s="146"/>
      <c r="D7046" s="496"/>
    </row>
    <row r="7047" spans="1:4" x14ac:dyDescent="0.2">
      <c r="A7047" s="146"/>
      <c r="D7047" s="496"/>
    </row>
    <row r="7048" spans="1:4" x14ac:dyDescent="0.2">
      <c r="A7048" s="146"/>
      <c r="D7048" s="496"/>
    </row>
    <row r="7049" spans="1:4" x14ac:dyDescent="0.2">
      <c r="A7049" s="146"/>
      <c r="D7049" s="496"/>
    </row>
    <row r="7050" spans="1:4" x14ac:dyDescent="0.2">
      <c r="A7050" s="146"/>
      <c r="D7050" s="496"/>
    </row>
    <row r="7051" spans="1:4" x14ac:dyDescent="0.2">
      <c r="A7051" s="146"/>
      <c r="D7051" s="496"/>
    </row>
    <row r="7052" spans="1:4" x14ac:dyDescent="0.2">
      <c r="A7052" s="146"/>
      <c r="D7052" s="496"/>
    </row>
    <row r="7053" spans="1:4" x14ac:dyDescent="0.2">
      <c r="A7053" s="146"/>
      <c r="D7053" s="496"/>
    </row>
    <row r="7054" spans="1:4" x14ac:dyDescent="0.2">
      <c r="A7054" s="146"/>
      <c r="D7054" s="496"/>
    </row>
    <row r="7055" spans="1:4" x14ac:dyDescent="0.2">
      <c r="A7055" s="146"/>
      <c r="D7055" s="496"/>
    </row>
    <row r="7056" spans="1:4" x14ac:dyDescent="0.2">
      <c r="A7056" s="146"/>
      <c r="D7056" s="496"/>
    </row>
    <row r="7057" spans="1:4" x14ac:dyDescent="0.2">
      <c r="A7057" s="146"/>
      <c r="D7057" s="496"/>
    </row>
    <row r="7058" spans="1:4" x14ac:dyDescent="0.2">
      <c r="A7058" s="146"/>
      <c r="D7058" s="496"/>
    </row>
    <row r="7059" spans="1:4" x14ac:dyDescent="0.2">
      <c r="A7059" s="146"/>
      <c r="D7059" s="496"/>
    </row>
    <row r="7060" spans="1:4" x14ac:dyDescent="0.2">
      <c r="A7060" s="146"/>
      <c r="D7060" s="496"/>
    </row>
    <row r="7061" spans="1:4" x14ac:dyDescent="0.2">
      <c r="A7061" s="146"/>
      <c r="D7061" s="496"/>
    </row>
    <row r="7062" spans="1:4" x14ac:dyDescent="0.2">
      <c r="A7062" s="146"/>
      <c r="D7062" s="496"/>
    </row>
    <row r="7063" spans="1:4" x14ac:dyDescent="0.2">
      <c r="A7063" s="146"/>
      <c r="D7063" s="496"/>
    </row>
    <row r="7064" spans="1:4" x14ac:dyDescent="0.2">
      <c r="A7064" s="146"/>
      <c r="D7064" s="496"/>
    </row>
    <row r="7065" spans="1:4" x14ac:dyDescent="0.2">
      <c r="A7065" s="146"/>
      <c r="D7065" s="496"/>
    </row>
    <row r="7066" spans="1:4" x14ac:dyDescent="0.2">
      <c r="A7066" s="146"/>
      <c r="D7066" s="496"/>
    </row>
    <row r="7067" spans="1:4" x14ac:dyDescent="0.2">
      <c r="A7067" s="146"/>
      <c r="D7067" s="496"/>
    </row>
    <row r="7068" spans="1:4" x14ac:dyDescent="0.2">
      <c r="A7068" s="146"/>
      <c r="D7068" s="496"/>
    </row>
    <row r="7069" spans="1:4" x14ac:dyDescent="0.2">
      <c r="A7069" s="146"/>
      <c r="D7069" s="496"/>
    </row>
    <row r="7070" spans="1:4" x14ac:dyDescent="0.2">
      <c r="A7070" s="146"/>
      <c r="D7070" s="496"/>
    </row>
    <row r="7071" spans="1:4" x14ac:dyDescent="0.2">
      <c r="A7071" s="146"/>
      <c r="D7071" s="496"/>
    </row>
    <row r="7072" spans="1:4" x14ac:dyDescent="0.2">
      <c r="A7072" s="146"/>
      <c r="D7072" s="496"/>
    </row>
    <row r="7073" spans="1:4" x14ac:dyDescent="0.2">
      <c r="A7073" s="146"/>
      <c r="D7073" s="496"/>
    </row>
    <row r="7074" spans="1:4" x14ac:dyDescent="0.2">
      <c r="A7074" s="146"/>
      <c r="D7074" s="496"/>
    </row>
    <row r="7075" spans="1:4" x14ac:dyDescent="0.2">
      <c r="A7075" s="146"/>
      <c r="D7075" s="496"/>
    </row>
    <row r="7076" spans="1:4" x14ac:dyDescent="0.2">
      <c r="A7076" s="146"/>
      <c r="D7076" s="496"/>
    </row>
    <row r="7077" spans="1:4" x14ac:dyDescent="0.2">
      <c r="A7077" s="146"/>
      <c r="D7077" s="496"/>
    </row>
    <row r="7078" spans="1:4" x14ac:dyDescent="0.2">
      <c r="A7078" s="146"/>
      <c r="D7078" s="496"/>
    </row>
    <row r="7079" spans="1:4" x14ac:dyDescent="0.2">
      <c r="A7079" s="146"/>
      <c r="D7079" s="496"/>
    </row>
    <row r="7080" spans="1:4" x14ac:dyDescent="0.2">
      <c r="A7080" s="146"/>
      <c r="D7080" s="496"/>
    </row>
    <row r="7081" spans="1:4" x14ac:dyDescent="0.2">
      <c r="A7081" s="146"/>
      <c r="D7081" s="496"/>
    </row>
    <row r="7082" spans="1:4" x14ac:dyDescent="0.2">
      <c r="A7082" s="146"/>
      <c r="D7082" s="496"/>
    </row>
    <row r="7083" spans="1:4" x14ac:dyDescent="0.2">
      <c r="A7083" s="146"/>
      <c r="D7083" s="496"/>
    </row>
    <row r="7084" spans="1:4" x14ac:dyDescent="0.2">
      <c r="A7084" s="146"/>
      <c r="D7084" s="496"/>
    </row>
    <row r="7085" spans="1:4" x14ac:dyDescent="0.2">
      <c r="A7085" s="146"/>
      <c r="D7085" s="496"/>
    </row>
    <row r="7086" spans="1:4" x14ac:dyDescent="0.2">
      <c r="A7086" s="146"/>
      <c r="D7086" s="496"/>
    </row>
    <row r="7087" spans="1:4" x14ac:dyDescent="0.2">
      <c r="A7087" s="146"/>
      <c r="D7087" s="496"/>
    </row>
    <row r="7088" spans="1:4" x14ac:dyDescent="0.2">
      <c r="A7088" s="146"/>
      <c r="D7088" s="496"/>
    </row>
    <row r="7089" spans="1:4" x14ac:dyDescent="0.2">
      <c r="A7089" s="146"/>
      <c r="D7089" s="496"/>
    </row>
    <row r="7090" spans="1:4" x14ac:dyDescent="0.2">
      <c r="A7090" s="146"/>
      <c r="D7090" s="496"/>
    </row>
    <row r="7091" spans="1:4" x14ac:dyDescent="0.2">
      <c r="A7091" s="146"/>
      <c r="D7091" s="496"/>
    </row>
    <row r="7092" spans="1:4" x14ac:dyDescent="0.2">
      <c r="A7092" s="146"/>
      <c r="D7092" s="496"/>
    </row>
    <row r="7093" spans="1:4" x14ac:dyDescent="0.2">
      <c r="A7093" s="146"/>
      <c r="D7093" s="496"/>
    </row>
    <row r="7094" spans="1:4" x14ac:dyDescent="0.2">
      <c r="A7094" s="146"/>
      <c r="D7094" s="496"/>
    </row>
    <row r="7095" spans="1:4" x14ac:dyDescent="0.2">
      <c r="A7095" s="146"/>
      <c r="D7095" s="496"/>
    </row>
    <row r="7096" spans="1:4" x14ac:dyDescent="0.2">
      <c r="A7096" s="146"/>
      <c r="D7096" s="496"/>
    </row>
    <row r="7097" spans="1:4" x14ac:dyDescent="0.2">
      <c r="A7097" s="146"/>
      <c r="D7097" s="496"/>
    </row>
    <row r="7098" spans="1:4" x14ac:dyDescent="0.2">
      <c r="A7098" s="146"/>
      <c r="D7098" s="496"/>
    </row>
    <row r="7099" spans="1:4" x14ac:dyDescent="0.2">
      <c r="A7099" s="146"/>
      <c r="D7099" s="496"/>
    </row>
    <row r="7100" spans="1:4" x14ac:dyDescent="0.2">
      <c r="A7100" s="146"/>
      <c r="D7100" s="496"/>
    </row>
    <row r="7101" spans="1:4" x14ac:dyDescent="0.2">
      <c r="A7101" s="146"/>
      <c r="D7101" s="496"/>
    </row>
    <row r="7102" spans="1:4" x14ac:dyDescent="0.2">
      <c r="A7102" s="146"/>
      <c r="D7102" s="496"/>
    </row>
    <row r="7103" spans="1:4" x14ac:dyDescent="0.2">
      <c r="A7103" s="146"/>
      <c r="D7103" s="496"/>
    </row>
    <row r="7104" spans="1:4" x14ac:dyDescent="0.2">
      <c r="A7104" s="146"/>
      <c r="D7104" s="496"/>
    </row>
    <row r="7105" spans="1:4" x14ac:dyDescent="0.2">
      <c r="A7105" s="146"/>
      <c r="D7105" s="496"/>
    </row>
    <row r="7106" spans="1:4" x14ac:dyDescent="0.2">
      <c r="A7106" s="146"/>
      <c r="D7106" s="496"/>
    </row>
    <row r="7107" spans="1:4" x14ac:dyDescent="0.2">
      <c r="A7107" s="146"/>
      <c r="D7107" s="496"/>
    </row>
    <row r="7108" spans="1:4" x14ac:dyDescent="0.2">
      <c r="A7108" s="146"/>
      <c r="D7108" s="496"/>
    </row>
    <row r="7109" spans="1:4" x14ac:dyDescent="0.2">
      <c r="A7109" s="146"/>
      <c r="D7109" s="496"/>
    </row>
    <row r="7110" spans="1:4" x14ac:dyDescent="0.2">
      <c r="A7110" s="146"/>
      <c r="D7110" s="496"/>
    </row>
    <row r="7111" spans="1:4" x14ac:dyDescent="0.2">
      <c r="A7111" s="146"/>
      <c r="D7111" s="496"/>
    </row>
    <row r="7112" spans="1:4" x14ac:dyDescent="0.2">
      <c r="A7112" s="146"/>
      <c r="D7112" s="496"/>
    </row>
    <row r="7113" spans="1:4" x14ac:dyDescent="0.2">
      <c r="A7113" s="146"/>
      <c r="D7113" s="496"/>
    </row>
    <row r="7114" spans="1:4" x14ac:dyDescent="0.2">
      <c r="A7114" s="146"/>
      <c r="D7114" s="496"/>
    </row>
    <row r="7115" spans="1:4" x14ac:dyDescent="0.2">
      <c r="A7115" s="146"/>
      <c r="D7115" s="496"/>
    </row>
    <row r="7116" spans="1:4" x14ac:dyDescent="0.2">
      <c r="A7116" s="146"/>
      <c r="D7116" s="496"/>
    </row>
    <row r="7117" spans="1:4" x14ac:dyDescent="0.2">
      <c r="A7117" s="146"/>
      <c r="D7117" s="496"/>
    </row>
    <row r="7118" spans="1:4" x14ac:dyDescent="0.2">
      <c r="A7118" s="146"/>
      <c r="D7118" s="496"/>
    </row>
    <row r="7119" spans="1:4" x14ac:dyDescent="0.2">
      <c r="A7119" s="146"/>
      <c r="D7119" s="496"/>
    </row>
    <row r="7120" spans="1:4" x14ac:dyDescent="0.2">
      <c r="A7120" s="146"/>
      <c r="D7120" s="496"/>
    </row>
    <row r="7121" spans="1:4" x14ac:dyDescent="0.2">
      <c r="A7121" s="146"/>
      <c r="D7121" s="496"/>
    </row>
    <row r="7122" spans="1:4" x14ac:dyDescent="0.2">
      <c r="A7122" s="146"/>
      <c r="D7122" s="496"/>
    </row>
    <row r="7123" spans="1:4" x14ac:dyDescent="0.2">
      <c r="A7123" s="146"/>
      <c r="D7123" s="496"/>
    </row>
    <row r="7124" spans="1:4" x14ac:dyDescent="0.2">
      <c r="A7124" s="146"/>
      <c r="D7124" s="496"/>
    </row>
    <row r="7125" spans="1:4" x14ac:dyDescent="0.2">
      <c r="A7125" s="146"/>
      <c r="D7125" s="496"/>
    </row>
    <row r="7126" spans="1:4" x14ac:dyDescent="0.2">
      <c r="A7126" s="146"/>
      <c r="D7126" s="496"/>
    </row>
    <row r="7127" spans="1:4" x14ac:dyDescent="0.2">
      <c r="A7127" s="146"/>
      <c r="D7127" s="496"/>
    </row>
    <row r="7128" spans="1:4" x14ac:dyDescent="0.2">
      <c r="A7128" s="146"/>
      <c r="D7128" s="496"/>
    </row>
    <row r="7129" spans="1:4" x14ac:dyDescent="0.2">
      <c r="A7129" s="146"/>
      <c r="D7129" s="496"/>
    </row>
    <row r="7130" spans="1:4" x14ac:dyDescent="0.2">
      <c r="A7130" s="146"/>
      <c r="D7130" s="496"/>
    </row>
    <row r="7131" spans="1:4" x14ac:dyDescent="0.2">
      <c r="A7131" s="146"/>
      <c r="D7131" s="496"/>
    </row>
    <row r="7132" spans="1:4" x14ac:dyDescent="0.2">
      <c r="A7132" s="146"/>
      <c r="D7132" s="496"/>
    </row>
    <row r="7133" spans="1:4" x14ac:dyDescent="0.2">
      <c r="A7133" s="146"/>
      <c r="D7133" s="496"/>
    </row>
    <row r="7134" spans="1:4" x14ac:dyDescent="0.2">
      <c r="A7134" s="146"/>
      <c r="D7134" s="496"/>
    </row>
    <row r="7135" spans="1:4" x14ac:dyDescent="0.2">
      <c r="A7135" s="146"/>
      <c r="D7135" s="496"/>
    </row>
    <row r="7136" spans="1:4" x14ac:dyDescent="0.2">
      <c r="A7136" s="146"/>
      <c r="D7136" s="496"/>
    </row>
    <row r="7137" spans="1:4" x14ac:dyDescent="0.2">
      <c r="A7137" s="146"/>
      <c r="D7137" s="496"/>
    </row>
    <row r="7138" spans="1:4" x14ac:dyDescent="0.2">
      <c r="A7138" s="146"/>
      <c r="D7138" s="496"/>
    </row>
    <row r="7139" spans="1:4" x14ac:dyDescent="0.2">
      <c r="A7139" s="146"/>
      <c r="D7139" s="496"/>
    </row>
    <row r="7140" spans="1:4" x14ac:dyDescent="0.2">
      <c r="A7140" s="146"/>
      <c r="D7140" s="496"/>
    </row>
    <row r="7141" spans="1:4" x14ac:dyDescent="0.2">
      <c r="A7141" s="146"/>
      <c r="D7141" s="496"/>
    </row>
    <row r="7142" spans="1:4" x14ac:dyDescent="0.2">
      <c r="A7142" s="146"/>
      <c r="D7142" s="496"/>
    </row>
    <row r="7143" spans="1:4" x14ac:dyDescent="0.2">
      <c r="A7143" s="146"/>
      <c r="D7143" s="496"/>
    </row>
    <row r="7144" spans="1:4" x14ac:dyDescent="0.2">
      <c r="A7144" s="146"/>
      <c r="D7144" s="496"/>
    </row>
    <row r="7145" spans="1:4" x14ac:dyDescent="0.2">
      <c r="A7145" s="146"/>
      <c r="D7145" s="496"/>
    </row>
    <row r="7146" spans="1:4" x14ac:dyDescent="0.2">
      <c r="A7146" s="146"/>
      <c r="D7146" s="496"/>
    </row>
    <row r="7147" spans="1:4" x14ac:dyDescent="0.2">
      <c r="A7147" s="146"/>
      <c r="D7147" s="496"/>
    </row>
    <row r="7148" spans="1:4" x14ac:dyDescent="0.2">
      <c r="A7148" s="146"/>
      <c r="D7148" s="496"/>
    </row>
    <row r="7149" spans="1:4" x14ac:dyDescent="0.2">
      <c r="A7149" s="146"/>
      <c r="D7149" s="496"/>
    </row>
    <row r="7150" spans="1:4" x14ac:dyDescent="0.2">
      <c r="A7150" s="146"/>
      <c r="D7150" s="496"/>
    </row>
    <row r="7151" spans="1:4" x14ac:dyDescent="0.2">
      <c r="A7151" s="146"/>
      <c r="D7151" s="496"/>
    </row>
    <row r="7152" spans="1:4" x14ac:dyDescent="0.2">
      <c r="A7152" s="146"/>
      <c r="D7152" s="496"/>
    </row>
    <row r="7153" spans="1:4" x14ac:dyDescent="0.2">
      <c r="A7153" s="146"/>
      <c r="D7153" s="496"/>
    </row>
    <row r="7154" spans="1:4" x14ac:dyDescent="0.2">
      <c r="A7154" s="146"/>
      <c r="D7154" s="496"/>
    </row>
    <row r="7155" spans="1:4" x14ac:dyDescent="0.2">
      <c r="A7155" s="146"/>
      <c r="D7155" s="496"/>
    </row>
    <row r="7156" spans="1:4" x14ac:dyDescent="0.2">
      <c r="A7156" s="146"/>
      <c r="D7156" s="496"/>
    </row>
    <row r="7157" spans="1:4" x14ac:dyDescent="0.2">
      <c r="A7157" s="146"/>
      <c r="D7157" s="496"/>
    </row>
    <row r="7158" spans="1:4" x14ac:dyDescent="0.2">
      <c r="A7158" s="146"/>
      <c r="D7158" s="496"/>
    </row>
    <row r="7159" spans="1:4" x14ac:dyDescent="0.2">
      <c r="A7159" s="146"/>
      <c r="D7159" s="496"/>
    </row>
    <row r="7160" spans="1:4" x14ac:dyDescent="0.2">
      <c r="A7160" s="146"/>
      <c r="D7160" s="496"/>
    </row>
    <row r="7161" spans="1:4" x14ac:dyDescent="0.2">
      <c r="A7161" s="146"/>
      <c r="D7161" s="496"/>
    </row>
    <row r="7162" spans="1:4" x14ac:dyDescent="0.2">
      <c r="A7162" s="146"/>
      <c r="D7162" s="496"/>
    </row>
    <row r="7163" spans="1:4" x14ac:dyDescent="0.2">
      <c r="A7163" s="146"/>
      <c r="D7163" s="496"/>
    </row>
    <row r="7164" spans="1:4" x14ac:dyDescent="0.2">
      <c r="A7164" s="146"/>
      <c r="D7164" s="496"/>
    </row>
    <row r="7165" spans="1:4" x14ac:dyDescent="0.2">
      <c r="A7165" s="146"/>
      <c r="D7165" s="496"/>
    </row>
    <row r="7166" spans="1:4" x14ac:dyDescent="0.2">
      <c r="A7166" s="146"/>
      <c r="D7166" s="496"/>
    </row>
    <row r="7167" spans="1:4" x14ac:dyDescent="0.2">
      <c r="A7167" s="146"/>
      <c r="D7167" s="496"/>
    </row>
    <row r="7168" spans="1:4" x14ac:dyDescent="0.2">
      <c r="A7168" s="146"/>
      <c r="D7168" s="496"/>
    </row>
    <row r="7169" spans="1:4" x14ac:dyDescent="0.2">
      <c r="A7169" s="146"/>
      <c r="D7169" s="496"/>
    </row>
    <row r="7170" spans="1:4" x14ac:dyDescent="0.2">
      <c r="A7170" s="146"/>
      <c r="D7170" s="496"/>
    </row>
    <row r="7171" spans="1:4" x14ac:dyDescent="0.2">
      <c r="A7171" s="146"/>
      <c r="D7171" s="496"/>
    </row>
    <row r="7172" spans="1:4" x14ac:dyDescent="0.2">
      <c r="A7172" s="146"/>
      <c r="D7172" s="496"/>
    </row>
    <row r="7173" spans="1:4" x14ac:dyDescent="0.2">
      <c r="A7173" s="146"/>
      <c r="D7173" s="496"/>
    </row>
    <row r="7174" spans="1:4" x14ac:dyDescent="0.2">
      <c r="A7174" s="146"/>
      <c r="D7174" s="496"/>
    </row>
    <row r="7175" spans="1:4" x14ac:dyDescent="0.2">
      <c r="A7175" s="146"/>
      <c r="D7175" s="496"/>
    </row>
    <row r="7176" spans="1:4" x14ac:dyDescent="0.2">
      <c r="A7176" s="146"/>
      <c r="D7176" s="496"/>
    </row>
    <row r="7177" spans="1:4" x14ac:dyDescent="0.2">
      <c r="A7177" s="146"/>
      <c r="D7177" s="496"/>
    </row>
    <row r="7178" spans="1:4" x14ac:dyDescent="0.2">
      <c r="A7178" s="146"/>
      <c r="D7178" s="496"/>
    </row>
    <row r="7179" spans="1:4" x14ac:dyDescent="0.2">
      <c r="A7179" s="146"/>
      <c r="D7179" s="496"/>
    </row>
    <row r="7180" spans="1:4" x14ac:dyDescent="0.2">
      <c r="A7180" s="146"/>
      <c r="D7180" s="496"/>
    </row>
    <row r="7181" spans="1:4" x14ac:dyDescent="0.2">
      <c r="A7181" s="146"/>
      <c r="D7181" s="496"/>
    </row>
    <row r="7182" spans="1:4" x14ac:dyDescent="0.2">
      <c r="A7182" s="146"/>
      <c r="D7182" s="496"/>
    </row>
    <row r="7183" spans="1:4" x14ac:dyDescent="0.2">
      <c r="A7183" s="146"/>
      <c r="D7183" s="496"/>
    </row>
    <row r="7184" spans="1:4" x14ac:dyDescent="0.2">
      <c r="A7184" s="146"/>
      <c r="D7184" s="496"/>
    </row>
    <row r="7185" spans="1:4" x14ac:dyDescent="0.2">
      <c r="A7185" s="146"/>
      <c r="D7185" s="496"/>
    </row>
    <row r="7186" spans="1:4" x14ac:dyDescent="0.2">
      <c r="A7186" s="146"/>
      <c r="D7186" s="496"/>
    </row>
    <row r="7187" spans="1:4" x14ac:dyDescent="0.2">
      <c r="A7187" s="146"/>
      <c r="D7187" s="496"/>
    </row>
    <row r="7188" spans="1:4" x14ac:dyDescent="0.2">
      <c r="A7188" s="146"/>
      <c r="D7188" s="496"/>
    </row>
    <row r="7189" spans="1:4" x14ac:dyDescent="0.2">
      <c r="A7189" s="146"/>
      <c r="D7189" s="496"/>
    </row>
    <row r="7190" spans="1:4" x14ac:dyDescent="0.2">
      <c r="A7190" s="146"/>
      <c r="D7190" s="496"/>
    </row>
    <row r="7191" spans="1:4" x14ac:dyDescent="0.2">
      <c r="A7191" s="146"/>
      <c r="D7191" s="496"/>
    </row>
    <row r="7192" spans="1:4" x14ac:dyDescent="0.2">
      <c r="A7192" s="146"/>
      <c r="D7192" s="496"/>
    </row>
    <row r="7193" spans="1:4" x14ac:dyDescent="0.2">
      <c r="A7193" s="146"/>
      <c r="D7193" s="496"/>
    </row>
    <row r="7194" spans="1:4" x14ac:dyDescent="0.2">
      <c r="A7194" s="146"/>
      <c r="D7194" s="496"/>
    </row>
    <row r="7195" spans="1:4" x14ac:dyDescent="0.2">
      <c r="A7195" s="146"/>
      <c r="D7195" s="496"/>
    </row>
    <row r="7196" spans="1:4" x14ac:dyDescent="0.2">
      <c r="A7196" s="146"/>
      <c r="D7196" s="496"/>
    </row>
    <row r="7197" spans="1:4" x14ac:dyDescent="0.2">
      <c r="A7197" s="146"/>
      <c r="D7197" s="496"/>
    </row>
    <row r="7198" spans="1:4" x14ac:dyDescent="0.2">
      <c r="A7198" s="146"/>
      <c r="D7198" s="496"/>
    </row>
    <row r="7199" spans="1:4" x14ac:dyDescent="0.2">
      <c r="A7199" s="146"/>
      <c r="D7199" s="496"/>
    </row>
    <row r="7200" spans="1:4" x14ac:dyDescent="0.2">
      <c r="A7200" s="146"/>
      <c r="D7200" s="496"/>
    </row>
    <row r="7201" spans="1:4" x14ac:dyDescent="0.2">
      <c r="A7201" s="146"/>
      <c r="D7201" s="496"/>
    </row>
    <row r="7202" spans="1:4" x14ac:dyDescent="0.2">
      <c r="A7202" s="146"/>
      <c r="D7202" s="496"/>
    </row>
    <row r="7203" spans="1:4" x14ac:dyDescent="0.2">
      <c r="A7203" s="146"/>
      <c r="D7203" s="496"/>
    </row>
    <row r="7204" spans="1:4" x14ac:dyDescent="0.2">
      <c r="A7204" s="146"/>
      <c r="D7204" s="496"/>
    </row>
    <row r="7205" spans="1:4" x14ac:dyDescent="0.2">
      <c r="A7205" s="146"/>
      <c r="D7205" s="496"/>
    </row>
    <row r="7206" spans="1:4" x14ac:dyDescent="0.2">
      <c r="A7206" s="146"/>
      <c r="D7206" s="496"/>
    </row>
    <row r="7207" spans="1:4" x14ac:dyDescent="0.2">
      <c r="A7207" s="146"/>
      <c r="D7207" s="496"/>
    </row>
    <row r="7208" spans="1:4" x14ac:dyDescent="0.2">
      <c r="A7208" s="146"/>
      <c r="D7208" s="496"/>
    </row>
    <row r="7209" spans="1:4" x14ac:dyDescent="0.2">
      <c r="A7209" s="146"/>
      <c r="D7209" s="496"/>
    </row>
    <row r="7210" spans="1:4" x14ac:dyDescent="0.2">
      <c r="A7210" s="146"/>
      <c r="D7210" s="496"/>
    </row>
    <row r="7211" spans="1:4" x14ac:dyDescent="0.2">
      <c r="A7211" s="146"/>
      <c r="D7211" s="496"/>
    </row>
    <row r="7212" spans="1:4" x14ac:dyDescent="0.2">
      <c r="A7212" s="146"/>
      <c r="D7212" s="496"/>
    </row>
    <row r="7213" spans="1:4" x14ac:dyDescent="0.2">
      <c r="A7213" s="146"/>
      <c r="D7213" s="496"/>
    </row>
    <row r="7214" spans="1:4" x14ac:dyDescent="0.2">
      <c r="A7214" s="146"/>
      <c r="D7214" s="496"/>
    </row>
    <row r="7215" spans="1:4" x14ac:dyDescent="0.2">
      <c r="A7215" s="146"/>
      <c r="D7215" s="496"/>
    </row>
    <row r="7216" spans="1:4" x14ac:dyDescent="0.2">
      <c r="A7216" s="146"/>
      <c r="D7216" s="496"/>
    </row>
    <row r="7217" spans="1:4" x14ac:dyDescent="0.2">
      <c r="A7217" s="146"/>
      <c r="D7217" s="496"/>
    </row>
    <row r="7218" spans="1:4" x14ac:dyDescent="0.2">
      <c r="A7218" s="146"/>
      <c r="D7218" s="496"/>
    </row>
    <row r="7219" spans="1:4" x14ac:dyDescent="0.2">
      <c r="A7219" s="146"/>
      <c r="D7219" s="496"/>
    </row>
    <row r="7220" spans="1:4" x14ac:dyDescent="0.2">
      <c r="A7220" s="146"/>
      <c r="D7220" s="496"/>
    </row>
    <row r="7221" spans="1:4" x14ac:dyDescent="0.2">
      <c r="A7221" s="146"/>
      <c r="D7221" s="496"/>
    </row>
    <row r="7222" spans="1:4" x14ac:dyDescent="0.2">
      <c r="A7222" s="146"/>
      <c r="D7222" s="496"/>
    </row>
    <row r="7223" spans="1:4" x14ac:dyDescent="0.2">
      <c r="A7223" s="146"/>
      <c r="D7223" s="496"/>
    </row>
    <row r="7224" spans="1:4" x14ac:dyDescent="0.2">
      <c r="A7224" s="146"/>
      <c r="D7224" s="496"/>
    </row>
    <row r="7225" spans="1:4" x14ac:dyDescent="0.2">
      <c r="A7225" s="146"/>
      <c r="D7225" s="496"/>
    </row>
    <row r="7226" spans="1:4" x14ac:dyDescent="0.2">
      <c r="A7226" s="146"/>
      <c r="D7226" s="496"/>
    </row>
    <row r="7227" spans="1:4" x14ac:dyDescent="0.2">
      <c r="A7227" s="146"/>
      <c r="D7227" s="496"/>
    </row>
    <row r="7228" spans="1:4" x14ac:dyDescent="0.2">
      <c r="A7228" s="146"/>
      <c r="D7228" s="496"/>
    </row>
    <row r="7229" spans="1:4" x14ac:dyDescent="0.2">
      <c r="A7229" s="146"/>
      <c r="D7229" s="496"/>
    </row>
    <row r="7230" spans="1:4" x14ac:dyDescent="0.2">
      <c r="A7230" s="146"/>
      <c r="D7230" s="496"/>
    </row>
    <row r="7231" spans="1:4" x14ac:dyDescent="0.2">
      <c r="A7231" s="146"/>
      <c r="D7231" s="496"/>
    </row>
    <row r="7232" spans="1:4" x14ac:dyDescent="0.2">
      <c r="A7232" s="146"/>
      <c r="D7232" s="496"/>
    </row>
    <row r="7233" spans="1:4" x14ac:dyDescent="0.2">
      <c r="A7233" s="146"/>
      <c r="D7233" s="496"/>
    </row>
    <row r="7234" spans="1:4" x14ac:dyDescent="0.2">
      <c r="A7234" s="146"/>
      <c r="D7234" s="496"/>
    </row>
    <row r="7235" spans="1:4" x14ac:dyDescent="0.2">
      <c r="A7235" s="146"/>
      <c r="D7235" s="496"/>
    </row>
    <row r="7236" spans="1:4" x14ac:dyDescent="0.2">
      <c r="A7236" s="146"/>
      <c r="D7236" s="496"/>
    </row>
    <row r="7237" spans="1:4" x14ac:dyDescent="0.2">
      <c r="A7237" s="146"/>
      <c r="D7237" s="496"/>
    </row>
    <row r="7238" spans="1:4" x14ac:dyDescent="0.2">
      <c r="A7238" s="146"/>
      <c r="D7238" s="496"/>
    </row>
    <row r="7239" spans="1:4" x14ac:dyDescent="0.2">
      <c r="A7239" s="146"/>
      <c r="D7239" s="496"/>
    </row>
    <row r="7240" spans="1:4" x14ac:dyDescent="0.2">
      <c r="A7240" s="146"/>
      <c r="D7240" s="496"/>
    </row>
    <row r="7241" spans="1:4" x14ac:dyDescent="0.2">
      <c r="A7241" s="146"/>
      <c r="D7241" s="496"/>
    </row>
    <row r="7242" spans="1:4" x14ac:dyDescent="0.2">
      <c r="A7242" s="146"/>
      <c r="D7242" s="496"/>
    </row>
    <row r="7243" spans="1:4" x14ac:dyDescent="0.2">
      <c r="A7243" s="146"/>
      <c r="D7243" s="496"/>
    </row>
    <row r="7244" spans="1:4" x14ac:dyDescent="0.2">
      <c r="A7244" s="146"/>
      <c r="D7244" s="496"/>
    </row>
    <row r="7245" spans="1:4" x14ac:dyDescent="0.2">
      <c r="A7245" s="146"/>
      <c r="D7245" s="496"/>
    </row>
    <row r="7246" spans="1:4" x14ac:dyDescent="0.2">
      <c r="A7246" s="146"/>
      <c r="D7246" s="496"/>
    </row>
    <row r="7247" spans="1:4" x14ac:dyDescent="0.2">
      <c r="A7247" s="146"/>
      <c r="D7247" s="496"/>
    </row>
    <row r="7248" spans="1:4" x14ac:dyDescent="0.2">
      <c r="A7248" s="146"/>
      <c r="D7248" s="496"/>
    </row>
    <row r="7249" spans="1:4" x14ac:dyDescent="0.2">
      <c r="A7249" s="146"/>
      <c r="D7249" s="496"/>
    </row>
    <row r="7250" spans="1:4" x14ac:dyDescent="0.2">
      <c r="A7250" s="146"/>
      <c r="D7250" s="496"/>
    </row>
    <row r="7251" spans="1:4" x14ac:dyDescent="0.2">
      <c r="A7251" s="146"/>
      <c r="D7251" s="496"/>
    </row>
    <row r="7252" spans="1:4" x14ac:dyDescent="0.2">
      <c r="A7252" s="146"/>
      <c r="D7252" s="496"/>
    </row>
    <row r="7253" spans="1:4" x14ac:dyDescent="0.2">
      <c r="A7253" s="146"/>
      <c r="D7253" s="496"/>
    </row>
    <row r="7254" spans="1:4" x14ac:dyDescent="0.2">
      <c r="A7254" s="146"/>
      <c r="D7254" s="496"/>
    </row>
    <row r="7255" spans="1:4" x14ac:dyDescent="0.2">
      <c r="A7255" s="146"/>
      <c r="D7255" s="496"/>
    </row>
    <row r="7256" spans="1:4" x14ac:dyDescent="0.2">
      <c r="A7256" s="146"/>
      <c r="D7256" s="496"/>
    </row>
    <row r="7257" spans="1:4" x14ac:dyDescent="0.2">
      <c r="A7257" s="146"/>
      <c r="D7257" s="496"/>
    </row>
    <row r="7258" spans="1:4" x14ac:dyDescent="0.2">
      <c r="A7258" s="146"/>
      <c r="D7258" s="496"/>
    </row>
    <row r="7259" spans="1:4" x14ac:dyDescent="0.2">
      <c r="A7259" s="146"/>
      <c r="D7259" s="496"/>
    </row>
    <row r="7260" spans="1:4" x14ac:dyDescent="0.2">
      <c r="A7260" s="146"/>
      <c r="D7260" s="496"/>
    </row>
    <row r="7261" spans="1:4" x14ac:dyDescent="0.2">
      <c r="A7261" s="146"/>
      <c r="D7261" s="496"/>
    </row>
    <row r="7262" spans="1:4" x14ac:dyDescent="0.2">
      <c r="A7262" s="146"/>
      <c r="D7262" s="496"/>
    </row>
    <row r="7263" spans="1:4" x14ac:dyDescent="0.2">
      <c r="A7263" s="146"/>
      <c r="D7263" s="496"/>
    </row>
    <row r="7264" spans="1:4" x14ac:dyDescent="0.2">
      <c r="A7264" s="146"/>
      <c r="D7264" s="496"/>
    </row>
    <row r="7265" spans="1:4" x14ac:dyDescent="0.2">
      <c r="A7265" s="146"/>
      <c r="D7265" s="496"/>
    </row>
    <row r="7266" spans="1:4" x14ac:dyDescent="0.2">
      <c r="A7266" s="146"/>
      <c r="D7266" s="496"/>
    </row>
    <row r="7267" spans="1:4" x14ac:dyDescent="0.2">
      <c r="A7267" s="146"/>
      <c r="D7267" s="496"/>
    </row>
    <row r="7268" spans="1:4" x14ac:dyDescent="0.2">
      <c r="A7268" s="146"/>
      <c r="D7268" s="496"/>
    </row>
    <row r="7269" spans="1:4" x14ac:dyDescent="0.2">
      <c r="A7269" s="146"/>
      <c r="D7269" s="496"/>
    </row>
    <row r="7270" spans="1:4" x14ac:dyDescent="0.2">
      <c r="A7270" s="146"/>
      <c r="D7270" s="496"/>
    </row>
    <row r="7271" spans="1:4" x14ac:dyDescent="0.2">
      <c r="A7271" s="146"/>
      <c r="D7271" s="496"/>
    </row>
    <row r="7272" spans="1:4" x14ac:dyDescent="0.2">
      <c r="A7272" s="146"/>
      <c r="D7272" s="496"/>
    </row>
    <row r="7273" spans="1:4" x14ac:dyDescent="0.2">
      <c r="A7273" s="146"/>
      <c r="D7273" s="496"/>
    </row>
    <row r="7274" spans="1:4" x14ac:dyDescent="0.2">
      <c r="A7274" s="146"/>
      <c r="D7274" s="496"/>
    </row>
    <row r="7275" spans="1:4" x14ac:dyDescent="0.2">
      <c r="A7275" s="146"/>
      <c r="D7275" s="496"/>
    </row>
    <row r="7276" spans="1:4" x14ac:dyDescent="0.2">
      <c r="A7276" s="146"/>
      <c r="D7276" s="496"/>
    </row>
    <row r="7277" spans="1:4" x14ac:dyDescent="0.2">
      <c r="A7277" s="146"/>
      <c r="D7277" s="496"/>
    </row>
    <row r="7278" spans="1:4" x14ac:dyDescent="0.2">
      <c r="A7278" s="146"/>
      <c r="D7278" s="496"/>
    </row>
    <row r="7279" spans="1:4" x14ac:dyDescent="0.2">
      <c r="A7279" s="146"/>
      <c r="D7279" s="496"/>
    </row>
    <row r="7280" spans="1:4" x14ac:dyDescent="0.2">
      <c r="A7280" s="146"/>
      <c r="D7280" s="496"/>
    </row>
    <row r="7281" spans="1:4" x14ac:dyDescent="0.2">
      <c r="A7281" s="146"/>
      <c r="D7281" s="496"/>
    </row>
    <row r="7282" spans="1:4" x14ac:dyDescent="0.2">
      <c r="A7282" s="146"/>
      <c r="D7282" s="496"/>
    </row>
    <row r="7283" spans="1:4" x14ac:dyDescent="0.2">
      <c r="A7283" s="146"/>
      <c r="D7283" s="496"/>
    </row>
    <row r="7284" spans="1:4" x14ac:dyDescent="0.2">
      <c r="A7284" s="146"/>
      <c r="D7284" s="496"/>
    </row>
    <row r="7285" spans="1:4" x14ac:dyDescent="0.2">
      <c r="A7285" s="146"/>
      <c r="D7285" s="496"/>
    </row>
    <row r="7286" spans="1:4" x14ac:dyDescent="0.2">
      <c r="A7286" s="146"/>
      <c r="D7286" s="496"/>
    </row>
    <row r="7287" spans="1:4" x14ac:dyDescent="0.2">
      <c r="A7287" s="146"/>
      <c r="D7287" s="496"/>
    </row>
    <row r="7288" spans="1:4" x14ac:dyDescent="0.2">
      <c r="A7288" s="146"/>
      <c r="D7288" s="496"/>
    </row>
    <row r="7289" spans="1:4" x14ac:dyDescent="0.2">
      <c r="A7289" s="146"/>
      <c r="D7289" s="496"/>
    </row>
    <row r="7290" spans="1:4" x14ac:dyDescent="0.2">
      <c r="A7290" s="146"/>
      <c r="D7290" s="496"/>
    </row>
    <row r="7291" spans="1:4" x14ac:dyDescent="0.2">
      <c r="A7291" s="146"/>
      <c r="D7291" s="496"/>
    </row>
    <row r="7292" spans="1:4" x14ac:dyDescent="0.2">
      <c r="A7292" s="146"/>
      <c r="D7292" s="496"/>
    </row>
    <row r="7293" spans="1:4" x14ac:dyDescent="0.2">
      <c r="A7293" s="146"/>
      <c r="D7293" s="496"/>
    </row>
    <row r="7294" spans="1:4" x14ac:dyDescent="0.2">
      <c r="A7294" s="146"/>
      <c r="D7294" s="496"/>
    </row>
    <row r="7295" spans="1:4" x14ac:dyDescent="0.2">
      <c r="A7295" s="146"/>
      <c r="D7295" s="496"/>
    </row>
    <row r="7296" spans="1:4" x14ac:dyDescent="0.2">
      <c r="A7296" s="146"/>
      <c r="D7296" s="496"/>
    </row>
    <row r="7297" spans="1:4" x14ac:dyDescent="0.2">
      <c r="A7297" s="146"/>
      <c r="D7297" s="496"/>
    </row>
    <row r="7298" spans="1:4" x14ac:dyDescent="0.2">
      <c r="A7298" s="146"/>
      <c r="D7298" s="496"/>
    </row>
    <row r="7299" spans="1:4" x14ac:dyDescent="0.2">
      <c r="A7299" s="146"/>
      <c r="D7299" s="496"/>
    </row>
    <row r="7300" spans="1:4" x14ac:dyDescent="0.2">
      <c r="A7300" s="146"/>
      <c r="D7300" s="496"/>
    </row>
    <row r="7301" spans="1:4" x14ac:dyDescent="0.2">
      <c r="A7301" s="146"/>
      <c r="D7301" s="496"/>
    </row>
    <row r="7302" spans="1:4" x14ac:dyDescent="0.2">
      <c r="A7302" s="146"/>
      <c r="D7302" s="496"/>
    </row>
    <row r="7303" spans="1:4" x14ac:dyDescent="0.2">
      <c r="A7303" s="146"/>
      <c r="D7303" s="496"/>
    </row>
    <row r="7304" spans="1:4" x14ac:dyDescent="0.2">
      <c r="A7304" s="146"/>
      <c r="D7304" s="496"/>
    </row>
    <row r="7305" spans="1:4" x14ac:dyDescent="0.2">
      <c r="A7305" s="146"/>
      <c r="D7305" s="496"/>
    </row>
    <row r="7306" spans="1:4" x14ac:dyDescent="0.2">
      <c r="A7306" s="146"/>
      <c r="D7306" s="496"/>
    </row>
    <row r="7307" spans="1:4" x14ac:dyDescent="0.2">
      <c r="A7307" s="146"/>
      <c r="D7307" s="496"/>
    </row>
    <row r="7308" spans="1:4" x14ac:dyDescent="0.2">
      <c r="A7308" s="146"/>
      <c r="D7308" s="496"/>
    </row>
    <row r="7309" spans="1:4" x14ac:dyDescent="0.2">
      <c r="A7309" s="146"/>
      <c r="D7309" s="496"/>
    </row>
    <row r="7310" spans="1:4" x14ac:dyDescent="0.2">
      <c r="A7310" s="146"/>
      <c r="D7310" s="496"/>
    </row>
    <row r="7311" spans="1:4" x14ac:dyDescent="0.2">
      <c r="A7311" s="146"/>
      <c r="D7311" s="496"/>
    </row>
    <row r="7312" spans="1:4" x14ac:dyDescent="0.2">
      <c r="A7312" s="146"/>
      <c r="D7312" s="496"/>
    </row>
    <row r="7313" spans="1:4" x14ac:dyDescent="0.2">
      <c r="A7313" s="146"/>
      <c r="D7313" s="496"/>
    </row>
    <row r="7314" spans="1:4" x14ac:dyDescent="0.2">
      <c r="A7314" s="146"/>
      <c r="D7314" s="496"/>
    </row>
    <row r="7315" spans="1:4" x14ac:dyDescent="0.2">
      <c r="A7315" s="146"/>
      <c r="D7315" s="496"/>
    </row>
    <row r="7316" spans="1:4" x14ac:dyDescent="0.2">
      <c r="A7316" s="146"/>
      <c r="D7316" s="496"/>
    </row>
    <row r="7317" spans="1:4" x14ac:dyDescent="0.2">
      <c r="A7317" s="146"/>
      <c r="D7317" s="496"/>
    </row>
    <row r="7318" spans="1:4" x14ac:dyDescent="0.2">
      <c r="A7318" s="146"/>
      <c r="D7318" s="496"/>
    </row>
    <row r="7319" spans="1:4" x14ac:dyDescent="0.2">
      <c r="A7319" s="146"/>
      <c r="D7319" s="496"/>
    </row>
    <row r="7320" spans="1:4" x14ac:dyDescent="0.2">
      <c r="A7320" s="146"/>
      <c r="D7320" s="496"/>
    </row>
    <row r="7321" spans="1:4" x14ac:dyDescent="0.2">
      <c r="A7321" s="146"/>
      <c r="D7321" s="496"/>
    </row>
    <row r="7322" spans="1:4" x14ac:dyDescent="0.2">
      <c r="A7322" s="146"/>
      <c r="D7322" s="496"/>
    </row>
    <row r="7323" spans="1:4" x14ac:dyDescent="0.2">
      <c r="A7323" s="146"/>
      <c r="D7323" s="496"/>
    </row>
    <row r="7324" spans="1:4" x14ac:dyDescent="0.2">
      <c r="A7324" s="146"/>
      <c r="D7324" s="496"/>
    </row>
    <row r="7325" spans="1:4" x14ac:dyDescent="0.2">
      <c r="A7325" s="146"/>
      <c r="D7325" s="496"/>
    </row>
    <row r="7326" spans="1:4" x14ac:dyDescent="0.2">
      <c r="A7326" s="146"/>
      <c r="D7326" s="496"/>
    </row>
    <row r="7327" spans="1:4" x14ac:dyDescent="0.2">
      <c r="A7327" s="146"/>
      <c r="D7327" s="496"/>
    </row>
    <row r="7328" spans="1:4" x14ac:dyDescent="0.2">
      <c r="A7328" s="146"/>
      <c r="D7328" s="496"/>
    </row>
    <row r="7329" spans="1:4" x14ac:dyDescent="0.2">
      <c r="A7329" s="146"/>
      <c r="D7329" s="496"/>
    </row>
    <row r="7330" spans="1:4" x14ac:dyDescent="0.2">
      <c r="A7330" s="146"/>
      <c r="D7330" s="496"/>
    </row>
    <row r="7331" spans="1:4" x14ac:dyDescent="0.2">
      <c r="A7331" s="146"/>
      <c r="D7331" s="496"/>
    </row>
    <row r="7332" spans="1:4" x14ac:dyDescent="0.2">
      <c r="A7332" s="146"/>
      <c r="D7332" s="496"/>
    </row>
    <row r="7333" spans="1:4" x14ac:dyDescent="0.2">
      <c r="A7333" s="146"/>
      <c r="D7333" s="496"/>
    </row>
    <row r="7334" spans="1:4" x14ac:dyDescent="0.2">
      <c r="A7334" s="146"/>
      <c r="D7334" s="496"/>
    </row>
    <row r="7335" spans="1:4" x14ac:dyDescent="0.2">
      <c r="A7335" s="146"/>
      <c r="D7335" s="496"/>
    </row>
    <row r="7336" spans="1:4" x14ac:dyDescent="0.2">
      <c r="A7336" s="146"/>
      <c r="D7336" s="496"/>
    </row>
    <row r="7337" spans="1:4" x14ac:dyDescent="0.2">
      <c r="A7337" s="146"/>
      <c r="D7337" s="496"/>
    </row>
    <row r="7338" spans="1:4" x14ac:dyDescent="0.2">
      <c r="A7338" s="146"/>
      <c r="D7338" s="496"/>
    </row>
    <row r="7339" spans="1:4" x14ac:dyDescent="0.2">
      <c r="A7339" s="146"/>
      <c r="D7339" s="496"/>
    </row>
    <row r="7340" spans="1:4" x14ac:dyDescent="0.2">
      <c r="A7340" s="146"/>
      <c r="D7340" s="496"/>
    </row>
    <row r="7341" spans="1:4" x14ac:dyDescent="0.2">
      <c r="A7341" s="146"/>
      <c r="D7341" s="496"/>
    </row>
    <row r="7342" spans="1:4" x14ac:dyDescent="0.2">
      <c r="A7342" s="146"/>
      <c r="D7342" s="496"/>
    </row>
    <row r="7343" spans="1:4" x14ac:dyDescent="0.2">
      <c r="A7343" s="146"/>
      <c r="D7343" s="496"/>
    </row>
    <row r="7344" spans="1:4" x14ac:dyDescent="0.2">
      <c r="A7344" s="146"/>
      <c r="D7344" s="496"/>
    </row>
    <row r="7345" spans="1:4" x14ac:dyDescent="0.2">
      <c r="A7345" s="146"/>
      <c r="D7345" s="496"/>
    </row>
    <row r="7346" spans="1:4" x14ac:dyDescent="0.2">
      <c r="A7346" s="146"/>
      <c r="D7346" s="496"/>
    </row>
    <row r="7347" spans="1:4" x14ac:dyDescent="0.2">
      <c r="A7347" s="146"/>
      <c r="D7347" s="496"/>
    </row>
    <row r="7348" spans="1:4" x14ac:dyDescent="0.2">
      <c r="A7348" s="146"/>
      <c r="D7348" s="496"/>
    </row>
    <row r="7349" spans="1:4" x14ac:dyDescent="0.2">
      <c r="A7349" s="146"/>
      <c r="D7349" s="496"/>
    </row>
    <row r="7350" spans="1:4" x14ac:dyDescent="0.2">
      <c r="A7350" s="146"/>
      <c r="D7350" s="496"/>
    </row>
    <row r="7351" spans="1:4" x14ac:dyDescent="0.2">
      <c r="A7351" s="146"/>
      <c r="D7351" s="496"/>
    </row>
    <row r="7352" spans="1:4" x14ac:dyDescent="0.2">
      <c r="A7352" s="146"/>
      <c r="D7352" s="496"/>
    </row>
    <row r="7353" spans="1:4" x14ac:dyDescent="0.2">
      <c r="A7353" s="146"/>
      <c r="D7353" s="496"/>
    </row>
    <row r="7354" spans="1:4" x14ac:dyDescent="0.2">
      <c r="A7354" s="146"/>
      <c r="D7354" s="496"/>
    </row>
    <row r="7355" spans="1:4" x14ac:dyDescent="0.2">
      <c r="A7355" s="146"/>
      <c r="D7355" s="496"/>
    </row>
    <row r="7356" spans="1:4" x14ac:dyDescent="0.2">
      <c r="A7356" s="146"/>
      <c r="D7356" s="496"/>
    </row>
    <row r="7357" spans="1:4" x14ac:dyDescent="0.2">
      <c r="A7357" s="146"/>
      <c r="D7357" s="496"/>
    </row>
    <row r="7358" spans="1:4" x14ac:dyDescent="0.2">
      <c r="A7358" s="146"/>
      <c r="D7358" s="496"/>
    </row>
    <row r="7359" spans="1:4" x14ac:dyDescent="0.2">
      <c r="A7359" s="146"/>
      <c r="D7359" s="496"/>
    </row>
    <row r="7360" spans="1:4" x14ac:dyDescent="0.2">
      <c r="A7360" s="146"/>
      <c r="D7360" s="496"/>
    </row>
    <row r="7361" spans="1:4" x14ac:dyDescent="0.2">
      <c r="A7361" s="146"/>
      <c r="D7361" s="496"/>
    </row>
    <row r="7362" spans="1:4" x14ac:dyDescent="0.2">
      <c r="A7362" s="146"/>
      <c r="D7362" s="496"/>
    </row>
    <row r="7363" spans="1:4" x14ac:dyDescent="0.2">
      <c r="A7363" s="146"/>
      <c r="D7363" s="496"/>
    </row>
    <row r="7364" spans="1:4" x14ac:dyDescent="0.2">
      <c r="A7364" s="146"/>
      <c r="D7364" s="496"/>
    </row>
    <row r="7365" spans="1:4" x14ac:dyDescent="0.2">
      <c r="A7365" s="146"/>
      <c r="D7365" s="496"/>
    </row>
    <row r="7366" spans="1:4" x14ac:dyDescent="0.2">
      <c r="A7366" s="146"/>
      <c r="D7366" s="496"/>
    </row>
    <row r="7367" spans="1:4" x14ac:dyDescent="0.2">
      <c r="A7367" s="146"/>
      <c r="D7367" s="496"/>
    </row>
    <row r="7368" spans="1:4" x14ac:dyDescent="0.2">
      <c r="A7368" s="146"/>
      <c r="D7368" s="496"/>
    </row>
    <row r="7369" spans="1:4" x14ac:dyDescent="0.2">
      <c r="A7369" s="146"/>
      <c r="D7369" s="496"/>
    </row>
    <row r="7370" spans="1:4" x14ac:dyDescent="0.2">
      <c r="A7370" s="146"/>
      <c r="D7370" s="496"/>
    </row>
    <row r="7371" spans="1:4" x14ac:dyDescent="0.2">
      <c r="A7371" s="146"/>
      <c r="D7371" s="496"/>
    </row>
    <row r="7372" spans="1:4" x14ac:dyDescent="0.2">
      <c r="A7372" s="146"/>
      <c r="D7372" s="496"/>
    </row>
    <row r="7373" spans="1:4" x14ac:dyDescent="0.2">
      <c r="A7373" s="146"/>
      <c r="D7373" s="496"/>
    </row>
    <row r="7374" spans="1:4" x14ac:dyDescent="0.2">
      <c r="A7374" s="146"/>
      <c r="D7374" s="496"/>
    </row>
    <row r="7375" spans="1:4" x14ac:dyDescent="0.2">
      <c r="A7375" s="146"/>
      <c r="D7375" s="496"/>
    </row>
    <row r="7376" spans="1:4" x14ac:dyDescent="0.2">
      <c r="A7376" s="146"/>
      <c r="D7376" s="496"/>
    </row>
    <row r="7377" spans="1:4" x14ac:dyDescent="0.2">
      <c r="A7377" s="146"/>
      <c r="D7377" s="496"/>
    </row>
    <row r="7378" spans="1:4" x14ac:dyDescent="0.2">
      <c r="A7378" s="146"/>
      <c r="D7378" s="496"/>
    </row>
    <row r="7379" spans="1:4" x14ac:dyDescent="0.2">
      <c r="A7379" s="146"/>
      <c r="D7379" s="496"/>
    </row>
    <row r="7380" spans="1:4" x14ac:dyDescent="0.2">
      <c r="A7380" s="146"/>
      <c r="D7380" s="496"/>
    </row>
    <row r="7381" spans="1:4" x14ac:dyDescent="0.2">
      <c r="A7381" s="146"/>
      <c r="D7381" s="496"/>
    </row>
    <row r="7382" spans="1:4" x14ac:dyDescent="0.2">
      <c r="A7382" s="146"/>
      <c r="D7382" s="496"/>
    </row>
    <row r="7383" spans="1:4" x14ac:dyDescent="0.2">
      <c r="A7383" s="146"/>
      <c r="D7383" s="496"/>
    </row>
    <row r="7384" spans="1:4" x14ac:dyDescent="0.2">
      <c r="A7384" s="146"/>
      <c r="D7384" s="496"/>
    </row>
    <row r="7385" spans="1:4" x14ac:dyDescent="0.2">
      <c r="A7385" s="146"/>
      <c r="D7385" s="496"/>
    </row>
    <row r="7386" spans="1:4" x14ac:dyDescent="0.2">
      <c r="A7386" s="146"/>
      <c r="D7386" s="496"/>
    </row>
    <row r="7387" spans="1:4" x14ac:dyDescent="0.2">
      <c r="A7387" s="146"/>
      <c r="D7387" s="496"/>
    </row>
    <row r="7388" spans="1:4" x14ac:dyDescent="0.2">
      <c r="A7388" s="146"/>
      <c r="D7388" s="496"/>
    </row>
    <row r="7389" spans="1:4" x14ac:dyDescent="0.2">
      <c r="A7389" s="146"/>
      <c r="D7389" s="496"/>
    </row>
    <row r="7390" spans="1:4" x14ac:dyDescent="0.2">
      <c r="A7390" s="146"/>
      <c r="D7390" s="496"/>
    </row>
    <row r="7391" spans="1:4" x14ac:dyDescent="0.2">
      <c r="A7391" s="146"/>
      <c r="D7391" s="496"/>
    </row>
    <row r="7392" spans="1:4" x14ac:dyDescent="0.2">
      <c r="A7392" s="146"/>
      <c r="D7392" s="496"/>
    </row>
    <row r="7393" spans="1:4" x14ac:dyDescent="0.2">
      <c r="A7393" s="146"/>
      <c r="D7393" s="496"/>
    </row>
    <row r="7394" spans="1:4" x14ac:dyDescent="0.2">
      <c r="A7394" s="146"/>
      <c r="D7394" s="496"/>
    </row>
    <row r="7395" spans="1:4" x14ac:dyDescent="0.2">
      <c r="A7395" s="146"/>
      <c r="D7395" s="496"/>
    </row>
    <row r="7396" spans="1:4" x14ac:dyDescent="0.2">
      <c r="A7396" s="146"/>
      <c r="D7396" s="496"/>
    </row>
    <row r="7397" spans="1:4" x14ac:dyDescent="0.2">
      <c r="A7397" s="146"/>
      <c r="D7397" s="496"/>
    </row>
    <row r="7398" spans="1:4" x14ac:dyDescent="0.2">
      <c r="A7398" s="146"/>
      <c r="D7398" s="496"/>
    </row>
    <row r="7399" spans="1:4" x14ac:dyDescent="0.2">
      <c r="A7399" s="146"/>
      <c r="D7399" s="496"/>
    </row>
    <row r="7400" spans="1:4" x14ac:dyDescent="0.2">
      <c r="A7400" s="146"/>
      <c r="D7400" s="496"/>
    </row>
    <row r="7401" spans="1:4" x14ac:dyDescent="0.2">
      <c r="A7401" s="146"/>
      <c r="D7401" s="496"/>
    </row>
    <row r="7402" spans="1:4" x14ac:dyDescent="0.2">
      <c r="A7402" s="146"/>
      <c r="D7402" s="496"/>
    </row>
    <row r="7403" spans="1:4" x14ac:dyDescent="0.2">
      <c r="A7403" s="146"/>
      <c r="D7403" s="496"/>
    </row>
    <row r="7404" spans="1:4" x14ac:dyDescent="0.2">
      <c r="A7404" s="146"/>
      <c r="D7404" s="496"/>
    </row>
    <row r="7405" spans="1:4" x14ac:dyDescent="0.2">
      <c r="A7405" s="146"/>
      <c r="D7405" s="496"/>
    </row>
    <row r="7406" spans="1:4" x14ac:dyDescent="0.2">
      <c r="A7406" s="146"/>
      <c r="D7406" s="496"/>
    </row>
    <row r="7407" spans="1:4" x14ac:dyDescent="0.2">
      <c r="A7407" s="146"/>
      <c r="D7407" s="496"/>
    </row>
    <row r="7408" spans="1:4" x14ac:dyDescent="0.2">
      <c r="A7408" s="146"/>
      <c r="D7408" s="496"/>
    </row>
    <row r="7409" spans="1:4" x14ac:dyDescent="0.2">
      <c r="A7409" s="146"/>
      <c r="D7409" s="496"/>
    </row>
    <row r="7410" spans="1:4" x14ac:dyDescent="0.2">
      <c r="A7410" s="146"/>
      <c r="D7410" s="496"/>
    </row>
    <row r="7411" spans="1:4" x14ac:dyDescent="0.2">
      <c r="A7411" s="146"/>
      <c r="D7411" s="496"/>
    </row>
    <row r="7412" spans="1:4" x14ac:dyDescent="0.2">
      <c r="A7412" s="146"/>
      <c r="D7412" s="496"/>
    </row>
    <row r="7413" spans="1:4" x14ac:dyDescent="0.2">
      <c r="A7413" s="146"/>
      <c r="D7413" s="496"/>
    </row>
    <row r="7414" spans="1:4" x14ac:dyDescent="0.2">
      <c r="A7414" s="146"/>
      <c r="D7414" s="496"/>
    </row>
    <row r="7415" spans="1:4" x14ac:dyDescent="0.2">
      <c r="A7415" s="146"/>
      <c r="D7415" s="496"/>
    </row>
    <row r="7416" spans="1:4" x14ac:dyDescent="0.2">
      <c r="A7416" s="146"/>
      <c r="D7416" s="496"/>
    </row>
    <row r="7417" spans="1:4" x14ac:dyDescent="0.2">
      <c r="A7417" s="146"/>
      <c r="D7417" s="496"/>
    </row>
    <row r="7418" spans="1:4" x14ac:dyDescent="0.2">
      <c r="A7418" s="146"/>
      <c r="D7418" s="496"/>
    </row>
    <row r="7419" spans="1:4" x14ac:dyDescent="0.2">
      <c r="A7419" s="146"/>
      <c r="D7419" s="496"/>
    </row>
    <row r="7420" spans="1:4" x14ac:dyDescent="0.2">
      <c r="A7420" s="146"/>
      <c r="D7420" s="496"/>
    </row>
    <row r="7421" spans="1:4" x14ac:dyDescent="0.2">
      <c r="A7421" s="146"/>
      <c r="D7421" s="496"/>
    </row>
    <row r="7422" spans="1:4" x14ac:dyDescent="0.2">
      <c r="A7422" s="146"/>
      <c r="D7422" s="496"/>
    </row>
    <row r="7423" spans="1:4" x14ac:dyDescent="0.2">
      <c r="A7423" s="146"/>
      <c r="D7423" s="496"/>
    </row>
    <row r="7424" spans="1:4" x14ac:dyDescent="0.2">
      <c r="A7424" s="146"/>
      <c r="D7424" s="496"/>
    </row>
    <row r="7425" spans="1:4" x14ac:dyDescent="0.2">
      <c r="A7425" s="146"/>
      <c r="D7425" s="496"/>
    </row>
    <row r="7426" spans="1:4" x14ac:dyDescent="0.2">
      <c r="A7426" s="146"/>
      <c r="D7426" s="496"/>
    </row>
    <row r="7427" spans="1:4" x14ac:dyDescent="0.2">
      <c r="A7427" s="146"/>
      <c r="D7427" s="496"/>
    </row>
    <row r="7428" spans="1:4" x14ac:dyDescent="0.2">
      <c r="A7428" s="146"/>
      <c r="D7428" s="496"/>
    </row>
    <row r="7429" spans="1:4" x14ac:dyDescent="0.2">
      <c r="A7429" s="146"/>
      <c r="D7429" s="496"/>
    </row>
    <row r="7430" spans="1:4" x14ac:dyDescent="0.2">
      <c r="A7430" s="146"/>
      <c r="D7430" s="496"/>
    </row>
    <row r="7431" spans="1:4" x14ac:dyDescent="0.2">
      <c r="A7431" s="146"/>
      <c r="D7431" s="496"/>
    </row>
    <row r="7432" spans="1:4" x14ac:dyDescent="0.2">
      <c r="A7432" s="146"/>
      <c r="D7432" s="496"/>
    </row>
    <row r="7433" spans="1:4" x14ac:dyDescent="0.2">
      <c r="A7433" s="146"/>
      <c r="D7433" s="496"/>
    </row>
    <row r="7434" spans="1:4" x14ac:dyDescent="0.2">
      <c r="A7434" s="146"/>
      <c r="D7434" s="496"/>
    </row>
    <row r="7435" spans="1:4" x14ac:dyDescent="0.2">
      <c r="A7435" s="146"/>
      <c r="D7435" s="496"/>
    </row>
    <row r="7436" spans="1:4" x14ac:dyDescent="0.2">
      <c r="A7436" s="146"/>
      <c r="D7436" s="496"/>
    </row>
    <row r="7437" spans="1:4" x14ac:dyDescent="0.2">
      <c r="A7437" s="146"/>
      <c r="D7437" s="496"/>
    </row>
    <row r="7438" spans="1:4" x14ac:dyDescent="0.2">
      <c r="A7438" s="146"/>
      <c r="D7438" s="496"/>
    </row>
    <row r="7439" spans="1:4" x14ac:dyDescent="0.2">
      <c r="A7439" s="146"/>
      <c r="D7439" s="496"/>
    </row>
    <row r="7440" spans="1:4" x14ac:dyDescent="0.2">
      <c r="A7440" s="146"/>
      <c r="D7440" s="496"/>
    </row>
    <row r="7441" spans="1:4" x14ac:dyDescent="0.2">
      <c r="A7441" s="146"/>
      <c r="D7441" s="496"/>
    </row>
    <row r="7442" spans="1:4" x14ac:dyDescent="0.2">
      <c r="A7442" s="146"/>
      <c r="D7442" s="496"/>
    </row>
    <row r="7443" spans="1:4" x14ac:dyDescent="0.2">
      <c r="A7443" s="146"/>
      <c r="D7443" s="496"/>
    </row>
    <row r="7444" spans="1:4" x14ac:dyDescent="0.2">
      <c r="A7444" s="146"/>
      <c r="D7444" s="496"/>
    </row>
    <row r="7445" spans="1:4" x14ac:dyDescent="0.2">
      <c r="A7445" s="146"/>
      <c r="D7445" s="496"/>
    </row>
    <row r="7446" spans="1:4" x14ac:dyDescent="0.2">
      <c r="A7446" s="146"/>
      <c r="D7446" s="496"/>
    </row>
    <row r="7447" spans="1:4" x14ac:dyDescent="0.2">
      <c r="A7447" s="146"/>
      <c r="D7447" s="496"/>
    </row>
    <row r="7448" spans="1:4" x14ac:dyDescent="0.2">
      <c r="A7448" s="146"/>
      <c r="D7448" s="496"/>
    </row>
    <row r="7449" spans="1:4" x14ac:dyDescent="0.2">
      <c r="A7449" s="146"/>
      <c r="D7449" s="496"/>
    </row>
    <row r="7450" spans="1:4" x14ac:dyDescent="0.2">
      <c r="A7450" s="146"/>
      <c r="D7450" s="496"/>
    </row>
    <row r="7451" spans="1:4" x14ac:dyDescent="0.2">
      <c r="A7451" s="146"/>
      <c r="D7451" s="496"/>
    </row>
    <row r="7452" spans="1:4" x14ac:dyDescent="0.2">
      <c r="A7452" s="146"/>
      <c r="D7452" s="496"/>
    </row>
    <row r="7453" spans="1:4" x14ac:dyDescent="0.2">
      <c r="A7453" s="146"/>
      <c r="D7453" s="496"/>
    </row>
    <row r="7454" spans="1:4" x14ac:dyDescent="0.2">
      <c r="A7454" s="146"/>
      <c r="D7454" s="496"/>
    </row>
    <row r="7455" spans="1:4" x14ac:dyDescent="0.2">
      <c r="A7455" s="146"/>
      <c r="D7455" s="496"/>
    </row>
    <row r="7456" spans="1:4" x14ac:dyDescent="0.2">
      <c r="A7456" s="146"/>
      <c r="D7456" s="496"/>
    </row>
    <row r="7457" spans="1:4" x14ac:dyDescent="0.2">
      <c r="A7457" s="146"/>
      <c r="D7457" s="496"/>
    </row>
    <row r="7458" spans="1:4" x14ac:dyDescent="0.2">
      <c r="A7458" s="146"/>
      <c r="D7458" s="496"/>
    </row>
    <row r="7459" spans="1:4" x14ac:dyDescent="0.2">
      <c r="A7459" s="146"/>
      <c r="D7459" s="496"/>
    </row>
    <row r="7460" spans="1:4" x14ac:dyDescent="0.2">
      <c r="A7460" s="146"/>
      <c r="D7460" s="496"/>
    </row>
    <row r="7461" spans="1:4" x14ac:dyDescent="0.2">
      <c r="A7461" s="146"/>
      <c r="D7461" s="496"/>
    </row>
    <row r="7462" spans="1:4" x14ac:dyDescent="0.2">
      <c r="A7462" s="146"/>
      <c r="D7462" s="496"/>
    </row>
    <row r="7463" spans="1:4" x14ac:dyDescent="0.2">
      <c r="A7463" s="146"/>
      <c r="D7463" s="496"/>
    </row>
    <row r="7464" spans="1:4" x14ac:dyDescent="0.2">
      <c r="A7464" s="146"/>
      <c r="D7464" s="496"/>
    </row>
    <row r="7465" spans="1:4" x14ac:dyDescent="0.2">
      <c r="A7465" s="146"/>
      <c r="D7465" s="496"/>
    </row>
    <row r="7466" spans="1:4" x14ac:dyDescent="0.2">
      <c r="A7466" s="146"/>
      <c r="D7466" s="496"/>
    </row>
    <row r="7467" spans="1:4" x14ac:dyDescent="0.2">
      <c r="A7467" s="146"/>
      <c r="D7467" s="496"/>
    </row>
    <row r="7468" spans="1:4" x14ac:dyDescent="0.2">
      <c r="A7468" s="146"/>
      <c r="D7468" s="496"/>
    </row>
    <row r="7469" spans="1:4" x14ac:dyDescent="0.2">
      <c r="A7469" s="146"/>
      <c r="D7469" s="496"/>
    </row>
    <row r="7470" spans="1:4" x14ac:dyDescent="0.2">
      <c r="A7470" s="146"/>
      <c r="D7470" s="496"/>
    </row>
    <row r="7471" spans="1:4" x14ac:dyDescent="0.2">
      <c r="A7471" s="146"/>
      <c r="D7471" s="496"/>
    </row>
    <row r="7472" spans="1:4" x14ac:dyDescent="0.2">
      <c r="A7472" s="146"/>
      <c r="D7472" s="496"/>
    </row>
    <row r="7473" spans="1:4" x14ac:dyDescent="0.2">
      <c r="A7473" s="146"/>
      <c r="D7473" s="496"/>
    </row>
    <row r="7474" spans="1:4" x14ac:dyDescent="0.2">
      <c r="A7474" s="146"/>
      <c r="D7474" s="496"/>
    </row>
    <row r="7475" spans="1:4" x14ac:dyDescent="0.2">
      <c r="A7475" s="146"/>
      <c r="D7475" s="496"/>
    </row>
    <row r="7476" spans="1:4" x14ac:dyDescent="0.2">
      <c r="A7476" s="146"/>
      <c r="D7476" s="496"/>
    </row>
    <row r="7477" spans="1:4" x14ac:dyDescent="0.2">
      <c r="A7477" s="146"/>
      <c r="D7477" s="496"/>
    </row>
    <row r="7478" spans="1:4" x14ac:dyDescent="0.2">
      <c r="A7478" s="146"/>
      <c r="D7478" s="496"/>
    </row>
    <row r="7479" spans="1:4" x14ac:dyDescent="0.2">
      <c r="A7479" s="146"/>
      <c r="D7479" s="496"/>
    </row>
    <row r="7480" spans="1:4" x14ac:dyDescent="0.2">
      <c r="A7480" s="146"/>
      <c r="D7480" s="496"/>
    </row>
    <row r="7481" spans="1:4" x14ac:dyDescent="0.2">
      <c r="A7481" s="146"/>
      <c r="D7481" s="496"/>
    </row>
    <row r="7482" spans="1:4" x14ac:dyDescent="0.2">
      <c r="A7482" s="146"/>
      <c r="D7482" s="496"/>
    </row>
    <row r="7483" spans="1:4" x14ac:dyDescent="0.2">
      <c r="A7483" s="146"/>
      <c r="D7483" s="496"/>
    </row>
    <row r="7484" spans="1:4" x14ac:dyDescent="0.2">
      <c r="A7484" s="146"/>
      <c r="D7484" s="496"/>
    </row>
    <row r="7485" spans="1:4" x14ac:dyDescent="0.2">
      <c r="A7485" s="146"/>
      <c r="D7485" s="496"/>
    </row>
    <row r="7486" spans="1:4" x14ac:dyDescent="0.2">
      <c r="A7486" s="146"/>
      <c r="D7486" s="496"/>
    </row>
    <row r="7487" spans="1:4" x14ac:dyDescent="0.2">
      <c r="A7487" s="146"/>
      <c r="D7487" s="496"/>
    </row>
    <row r="7488" spans="1:4" x14ac:dyDescent="0.2">
      <c r="A7488" s="146"/>
      <c r="D7488" s="496"/>
    </row>
    <row r="7489" spans="1:4" x14ac:dyDescent="0.2">
      <c r="A7489" s="146"/>
      <c r="D7489" s="496"/>
    </row>
    <row r="7490" spans="1:4" x14ac:dyDescent="0.2">
      <c r="A7490" s="146"/>
      <c r="D7490" s="496"/>
    </row>
    <row r="7491" spans="1:4" x14ac:dyDescent="0.2">
      <c r="A7491" s="146"/>
      <c r="D7491" s="496"/>
    </row>
    <row r="7492" spans="1:4" x14ac:dyDescent="0.2">
      <c r="A7492" s="146"/>
      <c r="D7492" s="496"/>
    </row>
    <row r="7493" spans="1:4" x14ac:dyDescent="0.2">
      <c r="A7493" s="146"/>
      <c r="D7493" s="496"/>
    </row>
    <row r="7494" spans="1:4" x14ac:dyDescent="0.2">
      <c r="A7494" s="146"/>
      <c r="D7494" s="496"/>
    </row>
    <row r="7495" spans="1:4" x14ac:dyDescent="0.2">
      <c r="A7495" s="146"/>
      <c r="D7495" s="496"/>
    </row>
    <row r="7496" spans="1:4" x14ac:dyDescent="0.2">
      <c r="A7496" s="146"/>
      <c r="D7496" s="496"/>
    </row>
    <row r="7497" spans="1:4" x14ac:dyDescent="0.2">
      <c r="A7497" s="146"/>
      <c r="D7497" s="496"/>
    </row>
    <row r="7498" spans="1:4" x14ac:dyDescent="0.2">
      <c r="A7498" s="146"/>
      <c r="D7498" s="496"/>
    </row>
    <row r="7499" spans="1:4" x14ac:dyDescent="0.2">
      <c r="A7499" s="146"/>
      <c r="D7499" s="496"/>
    </row>
    <row r="7500" spans="1:4" x14ac:dyDescent="0.2">
      <c r="A7500" s="146"/>
      <c r="D7500" s="496"/>
    </row>
    <row r="7501" spans="1:4" x14ac:dyDescent="0.2">
      <c r="A7501" s="146"/>
      <c r="D7501" s="496"/>
    </row>
    <row r="7502" spans="1:4" x14ac:dyDescent="0.2">
      <c r="A7502" s="146"/>
      <c r="D7502" s="496"/>
    </row>
    <row r="7503" spans="1:4" x14ac:dyDescent="0.2">
      <c r="A7503" s="146"/>
      <c r="D7503" s="496"/>
    </row>
    <row r="7504" spans="1:4" x14ac:dyDescent="0.2">
      <c r="A7504" s="146"/>
      <c r="D7504" s="496"/>
    </row>
    <row r="7505" spans="1:4" x14ac:dyDescent="0.2">
      <c r="A7505" s="146"/>
      <c r="D7505" s="496"/>
    </row>
    <row r="7506" spans="1:4" x14ac:dyDescent="0.2">
      <c r="A7506" s="146"/>
      <c r="D7506" s="496"/>
    </row>
    <row r="7507" spans="1:4" x14ac:dyDescent="0.2">
      <c r="A7507" s="146"/>
      <c r="D7507" s="496"/>
    </row>
    <row r="7508" spans="1:4" x14ac:dyDescent="0.2">
      <c r="A7508" s="146"/>
      <c r="D7508" s="496"/>
    </row>
    <row r="7509" spans="1:4" x14ac:dyDescent="0.2">
      <c r="A7509" s="146"/>
      <c r="D7509" s="496"/>
    </row>
    <row r="7510" spans="1:4" x14ac:dyDescent="0.2">
      <c r="A7510" s="146"/>
      <c r="D7510" s="496"/>
    </row>
    <row r="7511" spans="1:4" x14ac:dyDescent="0.2">
      <c r="A7511" s="146"/>
      <c r="D7511" s="496"/>
    </row>
    <row r="7512" spans="1:4" x14ac:dyDescent="0.2">
      <c r="A7512" s="146"/>
      <c r="D7512" s="496"/>
    </row>
    <row r="7513" spans="1:4" x14ac:dyDescent="0.2">
      <c r="A7513" s="146"/>
      <c r="D7513" s="496"/>
    </row>
    <row r="7514" spans="1:4" x14ac:dyDescent="0.2">
      <c r="A7514" s="146"/>
      <c r="D7514" s="496"/>
    </row>
    <row r="7515" spans="1:4" x14ac:dyDescent="0.2">
      <c r="A7515" s="146"/>
      <c r="D7515" s="496"/>
    </row>
    <row r="7516" spans="1:4" x14ac:dyDescent="0.2">
      <c r="A7516" s="146"/>
      <c r="D7516" s="496"/>
    </row>
    <row r="7517" spans="1:4" x14ac:dyDescent="0.2">
      <c r="A7517" s="146"/>
      <c r="D7517" s="496"/>
    </row>
    <row r="7518" spans="1:4" x14ac:dyDescent="0.2">
      <c r="A7518" s="146"/>
      <c r="D7518" s="496"/>
    </row>
    <row r="7519" spans="1:4" x14ac:dyDescent="0.2">
      <c r="A7519" s="146"/>
      <c r="D7519" s="496"/>
    </row>
    <row r="7520" spans="1:4" x14ac:dyDescent="0.2">
      <c r="A7520" s="146"/>
      <c r="D7520" s="496"/>
    </row>
    <row r="7521" spans="1:4" x14ac:dyDescent="0.2">
      <c r="A7521" s="146"/>
      <c r="D7521" s="496"/>
    </row>
    <row r="7522" spans="1:4" x14ac:dyDescent="0.2">
      <c r="A7522" s="146"/>
      <c r="D7522" s="496"/>
    </row>
    <row r="7523" spans="1:4" x14ac:dyDescent="0.2">
      <c r="A7523" s="146"/>
      <c r="D7523" s="496"/>
    </row>
    <row r="7524" spans="1:4" x14ac:dyDescent="0.2">
      <c r="A7524" s="146"/>
      <c r="D7524" s="496"/>
    </row>
    <row r="7525" spans="1:4" x14ac:dyDescent="0.2">
      <c r="A7525" s="146"/>
      <c r="D7525" s="496"/>
    </row>
    <row r="7526" spans="1:4" x14ac:dyDescent="0.2">
      <c r="A7526" s="146"/>
      <c r="D7526" s="496"/>
    </row>
    <row r="7527" spans="1:4" x14ac:dyDescent="0.2">
      <c r="A7527" s="146"/>
      <c r="D7527" s="496"/>
    </row>
    <row r="7528" spans="1:4" x14ac:dyDescent="0.2">
      <c r="A7528" s="146"/>
      <c r="D7528" s="496"/>
    </row>
    <row r="7529" spans="1:4" x14ac:dyDescent="0.2">
      <c r="A7529" s="146"/>
      <c r="D7529" s="496"/>
    </row>
    <row r="7530" spans="1:4" x14ac:dyDescent="0.2">
      <c r="A7530" s="146"/>
      <c r="D7530" s="496"/>
    </row>
    <row r="7531" spans="1:4" x14ac:dyDescent="0.2">
      <c r="A7531" s="146"/>
      <c r="D7531" s="496"/>
    </row>
    <row r="7532" spans="1:4" x14ac:dyDescent="0.2">
      <c r="A7532" s="146"/>
      <c r="D7532" s="496"/>
    </row>
    <row r="7533" spans="1:4" x14ac:dyDescent="0.2">
      <c r="A7533" s="146"/>
      <c r="D7533" s="496"/>
    </row>
    <row r="7534" spans="1:4" x14ac:dyDescent="0.2">
      <c r="A7534" s="146"/>
      <c r="D7534" s="496"/>
    </row>
    <row r="7535" spans="1:4" x14ac:dyDescent="0.2">
      <c r="A7535" s="146"/>
      <c r="D7535" s="496"/>
    </row>
    <row r="7536" spans="1:4" x14ac:dyDescent="0.2">
      <c r="A7536" s="146"/>
      <c r="D7536" s="496"/>
    </row>
    <row r="7537" spans="1:4" x14ac:dyDescent="0.2">
      <c r="A7537" s="146"/>
      <c r="D7537" s="496"/>
    </row>
    <row r="7538" spans="1:4" x14ac:dyDescent="0.2">
      <c r="A7538" s="146"/>
      <c r="D7538" s="496"/>
    </row>
    <row r="7539" spans="1:4" x14ac:dyDescent="0.2">
      <c r="A7539" s="146"/>
      <c r="D7539" s="496"/>
    </row>
    <row r="7540" spans="1:4" x14ac:dyDescent="0.2">
      <c r="A7540" s="146"/>
      <c r="D7540" s="496"/>
    </row>
    <row r="7541" spans="1:4" x14ac:dyDescent="0.2">
      <c r="A7541" s="146"/>
      <c r="D7541" s="496"/>
    </row>
    <row r="7542" spans="1:4" x14ac:dyDescent="0.2">
      <c r="A7542" s="146"/>
      <c r="D7542" s="496"/>
    </row>
    <row r="7543" spans="1:4" x14ac:dyDescent="0.2">
      <c r="A7543" s="146"/>
      <c r="D7543" s="496"/>
    </row>
    <row r="7544" spans="1:4" x14ac:dyDescent="0.2">
      <c r="A7544" s="146"/>
      <c r="D7544" s="496"/>
    </row>
    <row r="7545" spans="1:4" x14ac:dyDescent="0.2">
      <c r="A7545" s="146"/>
      <c r="D7545" s="496"/>
    </row>
    <row r="7546" spans="1:4" x14ac:dyDescent="0.2">
      <c r="A7546" s="146"/>
      <c r="D7546" s="496"/>
    </row>
    <row r="7547" spans="1:4" x14ac:dyDescent="0.2">
      <c r="A7547" s="146"/>
      <c r="D7547" s="496"/>
    </row>
    <row r="7548" spans="1:4" x14ac:dyDescent="0.2">
      <c r="A7548" s="146"/>
      <c r="D7548" s="496"/>
    </row>
    <row r="7549" spans="1:4" x14ac:dyDescent="0.2">
      <c r="A7549" s="146"/>
      <c r="D7549" s="496"/>
    </row>
    <row r="7550" spans="1:4" x14ac:dyDescent="0.2">
      <c r="A7550" s="146"/>
      <c r="D7550" s="496"/>
    </row>
    <row r="7551" spans="1:4" x14ac:dyDescent="0.2">
      <c r="A7551" s="146"/>
      <c r="D7551" s="496"/>
    </row>
    <row r="7552" spans="1:4" x14ac:dyDescent="0.2">
      <c r="A7552" s="146"/>
      <c r="D7552" s="496"/>
    </row>
    <row r="7553" spans="1:4" x14ac:dyDescent="0.2">
      <c r="A7553" s="146"/>
      <c r="D7553" s="496"/>
    </row>
    <row r="7554" spans="1:4" x14ac:dyDescent="0.2">
      <c r="A7554" s="146"/>
      <c r="D7554" s="496"/>
    </row>
    <row r="7555" spans="1:4" x14ac:dyDescent="0.2">
      <c r="A7555" s="146"/>
      <c r="D7555" s="496"/>
    </row>
    <row r="7556" spans="1:4" x14ac:dyDescent="0.2">
      <c r="A7556" s="146"/>
      <c r="D7556" s="496"/>
    </row>
    <row r="7557" spans="1:4" x14ac:dyDescent="0.2">
      <c r="A7557" s="146"/>
      <c r="D7557" s="496"/>
    </row>
    <row r="7558" spans="1:4" x14ac:dyDescent="0.2">
      <c r="A7558" s="146"/>
      <c r="D7558" s="496"/>
    </row>
    <row r="7559" spans="1:4" x14ac:dyDescent="0.2">
      <c r="A7559" s="146"/>
      <c r="D7559" s="496"/>
    </row>
    <row r="7560" spans="1:4" x14ac:dyDescent="0.2">
      <c r="A7560" s="146"/>
      <c r="D7560" s="496"/>
    </row>
    <row r="7561" spans="1:4" x14ac:dyDescent="0.2">
      <c r="A7561" s="146"/>
      <c r="D7561" s="496"/>
    </row>
    <row r="7562" spans="1:4" x14ac:dyDescent="0.2">
      <c r="A7562" s="146"/>
      <c r="D7562" s="496"/>
    </row>
    <row r="7563" spans="1:4" x14ac:dyDescent="0.2">
      <c r="A7563" s="146"/>
      <c r="D7563" s="496"/>
    </row>
    <row r="7564" spans="1:4" x14ac:dyDescent="0.2">
      <c r="A7564" s="146"/>
      <c r="D7564" s="496"/>
    </row>
    <row r="7565" spans="1:4" x14ac:dyDescent="0.2">
      <c r="A7565" s="146"/>
      <c r="D7565" s="496"/>
    </row>
    <row r="7566" spans="1:4" x14ac:dyDescent="0.2">
      <c r="A7566" s="146"/>
      <c r="D7566" s="496"/>
    </row>
    <row r="7567" spans="1:4" x14ac:dyDescent="0.2">
      <c r="A7567" s="146"/>
      <c r="D7567" s="496"/>
    </row>
    <row r="7568" spans="1:4" x14ac:dyDescent="0.2">
      <c r="A7568" s="146"/>
      <c r="D7568" s="496"/>
    </row>
    <row r="7569" spans="1:4" x14ac:dyDescent="0.2">
      <c r="A7569" s="146"/>
      <c r="D7569" s="496"/>
    </row>
    <row r="7570" spans="1:4" x14ac:dyDescent="0.2">
      <c r="A7570" s="146"/>
      <c r="D7570" s="496"/>
    </row>
    <row r="7571" spans="1:4" x14ac:dyDescent="0.2">
      <c r="A7571" s="146"/>
      <c r="D7571" s="496"/>
    </row>
    <row r="7572" spans="1:4" x14ac:dyDescent="0.2">
      <c r="A7572" s="146"/>
      <c r="D7572" s="496"/>
    </row>
    <row r="7573" spans="1:4" x14ac:dyDescent="0.2">
      <c r="A7573" s="146"/>
      <c r="D7573" s="496"/>
    </row>
    <row r="7574" spans="1:4" x14ac:dyDescent="0.2">
      <c r="A7574" s="146"/>
      <c r="D7574" s="496"/>
    </row>
    <row r="7575" spans="1:4" x14ac:dyDescent="0.2">
      <c r="A7575" s="146"/>
      <c r="D7575" s="496"/>
    </row>
    <row r="7576" spans="1:4" x14ac:dyDescent="0.2">
      <c r="A7576" s="146"/>
      <c r="D7576" s="496"/>
    </row>
    <row r="7577" spans="1:4" x14ac:dyDescent="0.2">
      <c r="A7577" s="146"/>
      <c r="D7577" s="496"/>
    </row>
    <row r="7578" spans="1:4" x14ac:dyDescent="0.2">
      <c r="A7578" s="146"/>
      <c r="D7578" s="496"/>
    </row>
    <row r="7579" spans="1:4" x14ac:dyDescent="0.2">
      <c r="A7579" s="146"/>
      <c r="D7579" s="496"/>
    </row>
    <row r="7580" spans="1:4" x14ac:dyDescent="0.2">
      <c r="A7580" s="146"/>
      <c r="D7580" s="496"/>
    </row>
    <row r="7581" spans="1:4" x14ac:dyDescent="0.2">
      <c r="A7581" s="146"/>
      <c r="D7581" s="496"/>
    </row>
    <row r="7582" spans="1:4" x14ac:dyDescent="0.2">
      <c r="A7582" s="146"/>
      <c r="D7582" s="496"/>
    </row>
    <row r="7583" spans="1:4" x14ac:dyDescent="0.2">
      <c r="A7583" s="146"/>
      <c r="D7583" s="496"/>
    </row>
    <row r="7584" spans="1:4" x14ac:dyDescent="0.2">
      <c r="A7584" s="146"/>
      <c r="D7584" s="496"/>
    </row>
    <row r="7585" spans="1:4" x14ac:dyDescent="0.2">
      <c r="A7585" s="146"/>
      <c r="D7585" s="496"/>
    </row>
    <row r="7586" spans="1:4" x14ac:dyDescent="0.2">
      <c r="A7586" s="146"/>
      <c r="D7586" s="496"/>
    </row>
    <row r="7587" spans="1:4" x14ac:dyDescent="0.2">
      <c r="A7587" s="146"/>
      <c r="D7587" s="496"/>
    </row>
    <row r="7588" spans="1:4" x14ac:dyDescent="0.2">
      <c r="A7588" s="146"/>
      <c r="D7588" s="496"/>
    </row>
    <row r="7589" spans="1:4" x14ac:dyDescent="0.2">
      <c r="A7589" s="146"/>
      <c r="D7589" s="496"/>
    </row>
    <row r="7590" spans="1:4" x14ac:dyDescent="0.2">
      <c r="A7590" s="146"/>
      <c r="D7590" s="496"/>
    </row>
    <row r="7591" spans="1:4" x14ac:dyDescent="0.2">
      <c r="A7591" s="146"/>
      <c r="D7591" s="496"/>
    </row>
    <row r="7592" spans="1:4" x14ac:dyDescent="0.2">
      <c r="A7592" s="146"/>
      <c r="D7592" s="496"/>
    </row>
    <row r="7593" spans="1:4" x14ac:dyDescent="0.2">
      <c r="A7593" s="146"/>
      <c r="D7593" s="496"/>
    </row>
    <row r="7594" spans="1:4" x14ac:dyDescent="0.2">
      <c r="A7594" s="146"/>
      <c r="D7594" s="496"/>
    </row>
    <row r="7595" spans="1:4" x14ac:dyDescent="0.2">
      <c r="A7595" s="146"/>
      <c r="D7595" s="496"/>
    </row>
    <row r="7596" spans="1:4" x14ac:dyDescent="0.2">
      <c r="A7596" s="146"/>
      <c r="D7596" s="496"/>
    </row>
    <row r="7597" spans="1:4" x14ac:dyDescent="0.2">
      <c r="A7597" s="146"/>
      <c r="D7597" s="496"/>
    </row>
    <row r="7598" spans="1:4" x14ac:dyDescent="0.2">
      <c r="A7598" s="146"/>
      <c r="D7598" s="496"/>
    </row>
    <row r="7599" spans="1:4" x14ac:dyDescent="0.2">
      <c r="A7599" s="146"/>
      <c r="D7599" s="496"/>
    </row>
    <row r="7600" spans="1:4" x14ac:dyDescent="0.2">
      <c r="A7600" s="146"/>
      <c r="D7600" s="496"/>
    </row>
    <row r="7601" spans="1:4" x14ac:dyDescent="0.2">
      <c r="A7601" s="146"/>
      <c r="D7601" s="496"/>
    </row>
    <row r="7602" spans="1:4" x14ac:dyDescent="0.2">
      <c r="A7602" s="146"/>
      <c r="D7602" s="496"/>
    </row>
    <row r="7603" spans="1:4" x14ac:dyDescent="0.2">
      <c r="A7603" s="146"/>
      <c r="D7603" s="496"/>
    </row>
    <row r="7604" spans="1:4" x14ac:dyDescent="0.2">
      <c r="A7604" s="146"/>
      <c r="D7604" s="496"/>
    </row>
    <row r="7605" spans="1:4" x14ac:dyDescent="0.2">
      <c r="A7605" s="146"/>
      <c r="D7605" s="496"/>
    </row>
    <row r="7606" spans="1:4" x14ac:dyDescent="0.2">
      <c r="A7606" s="146"/>
      <c r="D7606" s="496"/>
    </row>
    <row r="7607" spans="1:4" x14ac:dyDescent="0.2">
      <c r="A7607" s="146"/>
      <c r="D7607" s="496"/>
    </row>
    <row r="7608" spans="1:4" x14ac:dyDescent="0.2">
      <c r="A7608" s="146"/>
      <c r="D7608" s="496"/>
    </row>
    <row r="7609" spans="1:4" x14ac:dyDescent="0.2">
      <c r="A7609" s="146"/>
      <c r="D7609" s="496"/>
    </row>
    <row r="7610" spans="1:4" x14ac:dyDescent="0.2">
      <c r="A7610" s="146"/>
      <c r="D7610" s="496"/>
    </row>
    <row r="7611" spans="1:4" x14ac:dyDescent="0.2">
      <c r="A7611" s="146"/>
      <c r="D7611" s="496"/>
    </row>
    <row r="7612" spans="1:4" x14ac:dyDescent="0.2">
      <c r="A7612" s="146"/>
      <c r="D7612" s="496"/>
    </row>
    <row r="7613" spans="1:4" x14ac:dyDescent="0.2">
      <c r="A7613" s="146"/>
      <c r="D7613" s="496"/>
    </row>
    <row r="7614" spans="1:4" x14ac:dyDescent="0.2">
      <c r="A7614" s="146"/>
      <c r="D7614" s="496"/>
    </row>
    <row r="7615" spans="1:4" x14ac:dyDescent="0.2">
      <c r="A7615" s="146"/>
      <c r="D7615" s="496"/>
    </row>
    <row r="7616" spans="1:4" x14ac:dyDescent="0.2">
      <c r="A7616" s="146"/>
      <c r="D7616" s="496"/>
    </row>
    <row r="7617" spans="1:4" x14ac:dyDescent="0.2">
      <c r="A7617" s="146"/>
      <c r="D7617" s="496"/>
    </row>
    <row r="7618" spans="1:4" x14ac:dyDescent="0.2">
      <c r="A7618" s="146"/>
      <c r="D7618" s="496"/>
    </row>
    <row r="7619" spans="1:4" x14ac:dyDescent="0.2">
      <c r="A7619" s="146"/>
      <c r="D7619" s="496"/>
    </row>
    <row r="7620" spans="1:4" x14ac:dyDescent="0.2">
      <c r="A7620" s="146"/>
      <c r="D7620" s="496"/>
    </row>
    <row r="7621" spans="1:4" x14ac:dyDescent="0.2">
      <c r="A7621" s="146"/>
      <c r="D7621" s="496"/>
    </row>
    <row r="7622" spans="1:4" x14ac:dyDescent="0.2">
      <c r="A7622" s="146"/>
      <c r="D7622" s="496"/>
    </row>
    <row r="7623" spans="1:4" x14ac:dyDescent="0.2">
      <c r="A7623" s="146"/>
      <c r="D7623" s="496"/>
    </row>
    <row r="7624" spans="1:4" x14ac:dyDescent="0.2">
      <c r="A7624" s="146"/>
      <c r="D7624" s="496"/>
    </row>
    <row r="7625" spans="1:4" x14ac:dyDescent="0.2">
      <c r="A7625" s="146"/>
      <c r="D7625" s="496"/>
    </row>
    <row r="7626" spans="1:4" x14ac:dyDescent="0.2">
      <c r="A7626" s="146"/>
      <c r="D7626" s="496"/>
    </row>
    <row r="7627" spans="1:4" x14ac:dyDescent="0.2">
      <c r="A7627" s="146"/>
      <c r="D7627" s="496"/>
    </row>
    <row r="7628" spans="1:4" x14ac:dyDescent="0.2">
      <c r="A7628" s="146"/>
      <c r="D7628" s="496"/>
    </row>
    <row r="7629" spans="1:4" x14ac:dyDescent="0.2">
      <c r="A7629" s="146"/>
      <c r="D7629" s="496"/>
    </row>
    <row r="7630" spans="1:4" x14ac:dyDescent="0.2">
      <c r="A7630" s="146"/>
      <c r="D7630" s="496"/>
    </row>
    <row r="7631" spans="1:4" x14ac:dyDescent="0.2">
      <c r="A7631" s="146"/>
      <c r="D7631" s="496"/>
    </row>
    <row r="7632" spans="1:4" x14ac:dyDescent="0.2">
      <c r="A7632" s="146"/>
      <c r="D7632" s="496"/>
    </row>
    <row r="7633" spans="1:4" x14ac:dyDescent="0.2">
      <c r="A7633" s="146"/>
      <c r="D7633" s="496"/>
    </row>
    <row r="7634" spans="1:4" x14ac:dyDescent="0.2">
      <c r="A7634" s="146"/>
      <c r="D7634" s="496"/>
    </row>
    <row r="7635" spans="1:4" x14ac:dyDescent="0.2">
      <c r="A7635" s="146"/>
      <c r="D7635" s="496"/>
    </row>
    <row r="7636" spans="1:4" x14ac:dyDescent="0.2">
      <c r="A7636" s="146"/>
      <c r="D7636" s="496"/>
    </row>
    <row r="7637" spans="1:4" x14ac:dyDescent="0.2">
      <c r="A7637" s="146"/>
      <c r="D7637" s="496"/>
    </row>
    <row r="7638" spans="1:4" x14ac:dyDescent="0.2">
      <c r="A7638" s="146"/>
      <c r="D7638" s="496"/>
    </row>
    <row r="7639" spans="1:4" x14ac:dyDescent="0.2">
      <c r="A7639" s="146"/>
      <c r="D7639" s="496"/>
    </row>
    <row r="7640" spans="1:4" x14ac:dyDescent="0.2">
      <c r="A7640" s="146"/>
      <c r="D7640" s="496"/>
    </row>
    <row r="7641" spans="1:4" x14ac:dyDescent="0.2">
      <c r="A7641" s="146"/>
      <c r="D7641" s="496"/>
    </row>
    <row r="7642" spans="1:4" x14ac:dyDescent="0.2">
      <c r="A7642" s="146"/>
      <c r="D7642" s="496"/>
    </row>
    <row r="7643" spans="1:4" x14ac:dyDescent="0.2">
      <c r="A7643" s="146"/>
      <c r="D7643" s="496"/>
    </row>
    <row r="7644" spans="1:4" x14ac:dyDescent="0.2">
      <c r="A7644" s="146"/>
      <c r="D7644" s="496"/>
    </row>
    <row r="7645" spans="1:4" x14ac:dyDescent="0.2">
      <c r="A7645" s="146"/>
      <c r="D7645" s="496"/>
    </row>
    <row r="7646" spans="1:4" x14ac:dyDescent="0.2">
      <c r="A7646" s="146"/>
      <c r="D7646" s="496"/>
    </row>
    <row r="7647" spans="1:4" x14ac:dyDescent="0.2">
      <c r="A7647" s="146"/>
      <c r="D7647" s="496"/>
    </row>
    <row r="7648" spans="1:4" x14ac:dyDescent="0.2">
      <c r="A7648" s="146"/>
      <c r="D7648" s="496"/>
    </row>
    <row r="7649" spans="1:4" x14ac:dyDescent="0.2">
      <c r="A7649" s="146"/>
      <c r="D7649" s="496"/>
    </row>
    <row r="7650" spans="1:4" x14ac:dyDescent="0.2">
      <c r="A7650" s="146"/>
      <c r="D7650" s="496"/>
    </row>
    <row r="7651" spans="1:4" x14ac:dyDescent="0.2">
      <c r="A7651" s="146"/>
      <c r="D7651" s="496"/>
    </row>
    <row r="7652" spans="1:4" x14ac:dyDescent="0.2">
      <c r="A7652" s="146"/>
      <c r="D7652" s="496"/>
    </row>
    <row r="7653" spans="1:4" x14ac:dyDescent="0.2">
      <c r="A7653" s="146"/>
      <c r="D7653" s="496"/>
    </row>
    <row r="7654" spans="1:4" x14ac:dyDescent="0.2">
      <c r="A7654" s="146"/>
      <c r="D7654" s="496"/>
    </row>
    <row r="7655" spans="1:4" x14ac:dyDescent="0.2">
      <c r="A7655" s="146"/>
      <c r="D7655" s="496"/>
    </row>
    <row r="7656" spans="1:4" x14ac:dyDescent="0.2">
      <c r="A7656" s="146"/>
      <c r="D7656" s="496"/>
    </row>
    <row r="7657" spans="1:4" x14ac:dyDescent="0.2">
      <c r="A7657" s="146"/>
      <c r="D7657" s="496"/>
    </row>
    <row r="7658" spans="1:4" x14ac:dyDescent="0.2">
      <c r="A7658" s="146"/>
      <c r="D7658" s="496"/>
    </row>
    <row r="7659" spans="1:4" x14ac:dyDescent="0.2">
      <c r="A7659" s="146"/>
      <c r="D7659" s="496"/>
    </row>
    <row r="7660" spans="1:4" x14ac:dyDescent="0.2">
      <c r="A7660" s="146"/>
      <c r="D7660" s="496"/>
    </row>
    <row r="7661" spans="1:4" x14ac:dyDescent="0.2">
      <c r="A7661" s="146"/>
      <c r="D7661" s="496"/>
    </row>
    <row r="7662" spans="1:4" x14ac:dyDescent="0.2">
      <c r="A7662" s="146"/>
      <c r="D7662" s="496"/>
    </row>
    <row r="7663" spans="1:4" x14ac:dyDescent="0.2">
      <c r="A7663" s="146"/>
      <c r="D7663" s="496"/>
    </row>
    <row r="7664" spans="1:4" x14ac:dyDescent="0.2">
      <c r="A7664" s="146"/>
      <c r="D7664" s="496"/>
    </row>
    <row r="7665" spans="1:4" x14ac:dyDescent="0.2">
      <c r="A7665" s="146"/>
      <c r="D7665" s="496"/>
    </row>
    <row r="7666" spans="1:4" x14ac:dyDescent="0.2">
      <c r="A7666" s="146"/>
      <c r="D7666" s="496"/>
    </row>
    <row r="7667" spans="1:4" x14ac:dyDescent="0.2">
      <c r="A7667" s="146"/>
      <c r="D7667" s="496"/>
    </row>
    <row r="7668" spans="1:4" x14ac:dyDescent="0.2">
      <c r="A7668" s="146"/>
      <c r="D7668" s="496"/>
    </row>
    <row r="7669" spans="1:4" x14ac:dyDescent="0.2">
      <c r="A7669" s="146"/>
      <c r="D7669" s="496"/>
    </row>
    <row r="7670" spans="1:4" x14ac:dyDescent="0.2">
      <c r="A7670" s="146"/>
      <c r="D7670" s="496"/>
    </row>
    <row r="7671" spans="1:4" x14ac:dyDescent="0.2">
      <c r="A7671" s="146"/>
      <c r="D7671" s="496"/>
    </row>
    <row r="7672" spans="1:4" x14ac:dyDescent="0.2">
      <c r="A7672" s="146"/>
      <c r="D7672" s="496"/>
    </row>
    <row r="7673" spans="1:4" x14ac:dyDescent="0.2">
      <c r="A7673" s="146"/>
      <c r="D7673" s="496"/>
    </row>
    <row r="7674" spans="1:4" x14ac:dyDescent="0.2">
      <c r="A7674" s="146"/>
      <c r="D7674" s="496"/>
    </row>
    <row r="7675" spans="1:4" x14ac:dyDescent="0.2">
      <c r="A7675" s="146"/>
      <c r="D7675" s="496"/>
    </row>
    <row r="7676" spans="1:4" x14ac:dyDescent="0.2">
      <c r="A7676" s="146"/>
      <c r="D7676" s="496"/>
    </row>
    <row r="7677" spans="1:4" x14ac:dyDescent="0.2">
      <c r="A7677" s="146"/>
      <c r="D7677" s="496"/>
    </row>
    <row r="7678" spans="1:4" x14ac:dyDescent="0.2">
      <c r="A7678" s="146"/>
      <c r="D7678" s="496"/>
    </row>
    <row r="7679" spans="1:4" x14ac:dyDescent="0.2">
      <c r="A7679" s="146"/>
      <c r="D7679" s="496"/>
    </row>
    <row r="7680" spans="1:4" x14ac:dyDescent="0.2">
      <c r="A7680" s="146"/>
      <c r="D7680" s="496"/>
    </row>
    <row r="7681" spans="1:4" x14ac:dyDescent="0.2">
      <c r="A7681" s="146"/>
      <c r="D7681" s="496"/>
    </row>
    <row r="7682" spans="1:4" x14ac:dyDescent="0.2">
      <c r="A7682" s="146"/>
      <c r="D7682" s="496"/>
    </row>
    <row r="7683" spans="1:4" x14ac:dyDescent="0.2">
      <c r="A7683" s="146"/>
      <c r="D7683" s="496"/>
    </row>
    <row r="7684" spans="1:4" x14ac:dyDescent="0.2">
      <c r="A7684" s="146"/>
      <c r="D7684" s="496"/>
    </row>
    <row r="7685" spans="1:4" x14ac:dyDescent="0.2">
      <c r="A7685" s="146"/>
      <c r="D7685" s="496"/>
    </row>
    <row r="7686" spans="1:4" x14ac:dyDescent="0.2">
      <c r="A7686" s="146"/>
      <c r="D7686" s="496"/>
    </row>
    <row r="7687" spans="1:4" x14ac:dyDescent="0.2">
      <c r="A7687" s="146"/>
      <c r="D7687" s="496"/>
    </row>
    <row r="7688" spans="1:4" x14ac:dyDescent="0.2">
      <c r="A7688" s="146"/>
      <c r="D7688" s="496"/>
    </row>
    <row r="7689" spans="1:4" x14ac:dyDescent="0.2">
      <c r="A7689" s="146"/>
      <c r="D7689" s="496"/>
    </row>
    <row r="7690" spans="1:4" x14ac:dyDescent="0.2">
      <c r="A7690" s="146"/>
      <c r="D7690" s="496"/>
    </row>
    <row r="7691" spans="1:4" x14ac:dyDescent="0.2">
      <c r="A7691" s="146"/>
      <c r="D7691" s="496"/>
    </row>
    <row r="7692" spans="1:4" x14ac:dyDescent="0.2">
      <c r="A7692" s="146"/>
      <c r="D7692" s="496"/>
    </row>
    <row r="7693" spans="1:4" x14ac:dyDescent="0.2">
      <c r="A7693" s="146"/>
      <c r="D7693" s="496"/>
    </row>
    <row r="7694" spans="1:4" x14ac:dyDescent="0.2">
      <c r="A7694" s="146"/>
      <c r="D7694" s="496"/>
    </row>
    <row r="7695" spans="1:4" x14ac:dyDescent="0.2">
      <c r="A7695" s="146"/>
      <c r="D7695" s="496"/>
    </row>
    <row r="7696" spans="1:4" x14ac:dyDescent="0.2">
      <c r="A7696" s="146"/>
      <c r="D7696" s="496"/>
    </row>
    <row r="7697" spans="1:4" x14ac:dyDescent="0.2">
      <c r="A7697" s="146"/>
      <c r="D7697" s="496"/>
    </row>
    <row r="7698" spans="1:4" x14ac:dyDescent="0.2">
      <c r="A7698" s="146"/>
      <c r="D7698" s="496"/>
    </row>
    <row r="7699" spans="1:4" x14ac:dyDescent="0.2">
      <c r="A7699" s="146"/>
      <c r="D7699" s="496"/>
    </row>
    <row r="7700" spans="1:4" x14ac:dyDescent="0.2">
      <c r="A7700" s="146"/>
      <c r="D7700" s="496"/>
    </row>
    <row r="7701" spans="1:4" x14ac:dyDescent="0.2">
      <c r="A7701" s="146"/>
      <c r="D7701" s="496"/>
    </row>
    <row r="7702" spans="1:4" x14ac:dyDescent="0.2">
      <c r="A7702" s="146"/>
      <c r="D7702" s="496"/>
    </row>
    <row r="7703" spans="1:4" x14ac:dyDescent="0.2">
      <c r="A7703" s="146"/>
      <c r="D7703" s="496"/>
    </row>
    <row r="7704" spans="1:4" x14ac:dyDescent="0.2">
      <c r="A7704" s="146"/>
      <c r="D7704" s="496"/>
    </row>
    <row r="7705" spans="1:4" x14ac:dyDescent="0.2">
      <c r="A7705" s="146"/>
      <c r="D7705" s="496"/>
    </row>
    <row r="7706" spans="1:4" x14ac:dyDescent="0.2">
      <c r="A7706" s="146"/>
      <c r="D7706" s="496"/>
    </row>
    <row r="7707" spans="1:4" x14ac:dyDescent="0.2">
      <c r="A7707" s="146"/>
      <c r="D7707" s="496"/>
    </row>
    <row r="7708" spans="1:4" x14ac:dyDescent="0.2">
      <c r="A7708" s="146"/>
      <c r="D7708" s="496"/>
    </row>
    <row r="7709" spans="1:4" x14ac:dyDescent="0.2">
      <c r="A7709" s="146"/>
      <c r="D7709" s="496"/>
    </row>
    <row r="7710" spans="1:4" x14ac:dyDescent="0.2">
      <c r="A7710" s="146"/>
      <c r="D7710" s="496"/>
    </row>
    <row r="7711" spans="1:4" x14ac:dyDescent="0.2">
      <c r="A7711" s="146"/>
      <c r="D7711" s="496"/>
    </row>
    <row r="7712" spans="1:4" x14ac:dyDescent="0.2">
      <c r="A7712" s="146"/>
      <c r="D7712" s="496"/>
    </row>
    <row r="7713" spans="1:4" x14ac:dyDescent="0.2">
      <c r="A7713" s="146"/>
      <c r="D7713" s="496"/>
    </row>
    <row r="7714" spans="1:4" x14ac:dyDescent="0.2">
      <c r="A7714" s="146"/>
      <c r="D7714" s="496"/>
    </row>
    <row r="7715" spans="1:4" x14ac:dyDescent="0.2">
      <c r="A7715" s="146"/>
      <c r="D7715" s="496"/>
    </row>
    <row r="7716" spans="1:4" x14ac:dyDescent="0.2">
      <c r="A7716" s="146"/>
      <c r="D7716" s="496"/>
    </row>
    <row r="7717" spans="1:4" x14ac:dyDescent="0.2">
      <c r="A7717" s="146"/>
      <c r="D7717" s="496"/>
    </row>
    <row r="7718" spans="1:4" x14ac:dyDescent="0.2">
      <c r="A7718" s="146"/>
      <c r="D7718" s="496"/>
    </row>
    <row r="7719" spans="1:4" x14ac:dyDescent="0.2">
      <c r="A7719" s="146"/>
      <c r="D7719" s="496"/>
    </row>
    <row r="7720" spans="1:4" x14ac:dyDescent="0.2">
      <c r="A7720" s="146"/>
      <c r="D7720" s="496"/>
    </row>
    <row r="7721" spans="1:4" x14ac:dyDescent="0.2">
      <c r="A7721" s="146"/>
      <c r="D7721" s="496"/>
    </row>
    <row r="7722" spans="1:4" x14ac:dyDescent="0.2">
      <c r="A7722" s="146"/>
      <c r="D7722" s="496"/>
    </row>
    <row r="7723" spans="1:4" x14ac:dyDescent="0.2">
      <c r="A7723" s="146"/>
      <c r="D7723" s="496"/>
    </row>
    <row r="7724" spans="1:4" x14ac:dyDescent="0.2">
      <c r="A7724" s="146"/>
      <c r="D7724" s="496"/>
    </row>
    <row r="7725" spans="1:4" x14ac:dyDescent="0.2">
      <c r="A7725" s="146"/>
      <c r="D7725" s="496"/>
    </row>
    <row r="7726" spans="1:4" x14ac:dyDescent="0.2">
      <c r="A7726" s="146"/>
      <c r="D7726" s="496"/>
    </row>
    <row r="7727" spans="1:4" x14ac:dyDescent="0.2">
      <c r="A7727" s="146"/>
      <c r="D7727" s="496"/>
    </row>
    <row r="7728" spans="1:4" x14ac:dyDescent="0.2">
      <c r="A7728" s="146"/>
      <c r="D7728" s="496"/>
    </row>
    <row r="7729" spans="1:4" x14ac:dyDescent="0.2">
      <c r="A7729" s="146"/>
      <c r="D7729" s="496"/>
    </row>
    <row r="7730" spans="1:4" x14ac:dyDescent="0.2">
      <c r="A7730" s="146"/>
      <c r="D7730" s="496"/>
    </row>
    <row r="7731" spans="1:4" x14ac:dyDescent="0.2">
      <c r="A7731" s="146"/>
      <c r="D7731" s="496"/>
    </row>
    <row r="7732" spans="1:4" x14ac:dyDescent="0.2">
      <c r="A7732" s="146"/>
      <c r="D7732" s="496"/>
    </row>
    <row r="7733" spans="1:4" x14ac:dyDescent="0.2">
      <c r="A7733" s="146"/>
      <c r="D7733" s="496"/>
    </row>
    <row r="7734" spans="1:4" x14ac:dyDescent="0.2">
      <c r="A7734" s="146"/>
      <c r="D7734" s="496"/>
    </row>
    <row r="7735" spans="1:4" x14ac:dyDescent="0.2">
      <c r="A7735" s="146"/>
      <c r="D7735" s="496"/>
    </row>
    <row r="7736" spans="1:4" x14ac:dyDescent="0.2">
      <c r="A7736" s="146"/>
      <c r="D7736" s="496"/>
    </row>
    <row r="7737" spans="1:4" x14ac:dyDescent="0.2">
      <c r="A7737" s="146"/>
      <c r="D7737" s="496"/>
    </row>
    <row r="7738" spans="1:4" x14ac:dyDescent="0.2">
      <c r="A7738" s="146"/>
      <c r="D7738" s="496"/>
    </row>
    <row r="7739" spans="1:4" x14ac:dyDescent="0.2">
      <c r="A7739" s="146"/>
      <c r="D7739" s="496"/>
    </row>
    <row r="7740" spans="1:4" x14ac:dyDescent="0.2">
      <c r="A7740" s="146"/>
      <c r="D7740" s="496"/>
    </row>
    <row r="7741" spans="1:4" x14ac:dyDescent="0.2">
      <c r="A7741" s="146"/>
      <c r="D7741" s="496"/>
    </row>
    <row r="7742" spans="1:4" x14ac:dyDescent="0.2">
      <c r="A7742" s="146"/>
      <c r="D7742" s="496"/>
    </row>
    <row r="7743" spans="1:4" x14ac:dyDescent="0.2">
      <c r="A7743" s="146"/>
      <c r="D7743" s="496"/>
    </row>
    <row r="7744" spans="1:4" x14ac:dyDescent="0.2">
      <c r="A7744" s="146"/>
      <c r="D7744" s="496"/>
    </row>
    <row r="7745" spans="1:4" x14ac:dyDescent="0.2">
      <c r="A7745" s="146"/>
      <c r="D7745" s="496"/>
    </row>
    <row r="7746" spans="1:4" x14ac:dyDescent="0.2">
      <c r="A7746" s="146"/>
      <c r="D7746" s="496"/>
    </row>
    <row r="7747" spans="1:4" x14ac:dyDescent="0.2">
      <c r="A7747" s="146"/>
      <c r="D7747" s="496"/>
    </row>
    <row r="7748" spans="1:4" x14ac:dyDescent="0.2">
      <c r="A7748" s="146"/>
      <c r="D7748" s="496"/>
    </row>
    <row r="7749" spans="1:4" x14ac:dyDescent="0.2">
      <c r="A7749" s="146"/>
      <c r="D7749" s="496"/>
    </row>
    <row r="7750" spans="1:4" x14ac:dyDescent="0.2">
      <c r="A7750" s="146"/>
      <c r="D7750" s="496"/>
    </row>
    <row r="7751" spans="1:4" x14ac:dyDescent="0.2">
      <c r="A7751" s="146"/>
      <c r="D7751" s="496"/>
    </row>
    <row r="7752" spans="1:4" x14ac:dyDescent="0.2">
      <c r="A7752" s="146"/>
      <c r="D7752" s="496"/>
    </row>
    <row r="7753" spans="1:4" x14ac:dyDescent="0.2">
      <c r="A7753" s="146"/>
      <c r="D7753" s="496"/>
    </row>
    <row r="7754" spans="1:4" x14ac:dyDescent="0.2">
      <c r="A7754" s="146"/>
      <c r="D7754" s="496"/>
    </row>
    <row r="7755" spans="1:4" x14ac:dyDescent="0.2">
      <c r="A7755" s="146"/>
      <c r="D7755" s="496"/>
    </row>
    <row r="7756" spans="1:4" x14ac:dyDescent="0.2">
      <c r="A7756" s="146"/>
      <c r="D7756" s="496"/>
    </row>
    <row r="7757" spans="1:4" x14ac:dyDescent="0.2">
      <c r="A7757" s="146"/>
      <c r="D7757" s="496"/>
    </row>
    <row r="7758" spans="1:4" x14ac:dyDescent="0.2">
      <c r="A7758" s="146"/>
      <c r="D7758" s="496"/>
    </row>
    <row r="7759" spans="1:4" x14ac:dyDescent="0.2">
      <c r="A7759" s="146"/>
      <c r="D7759" s="496"/>
    </row>
    <row r="7760" spans="1:4" x14ac:dyDescent="0.2">
      <c r="A7760" s="146"/>
      <c r="D7760" s="496"/>
    </row>
    <row r="7761" spans="1:4" x14ac:dyDescent="0.2">
      <c r="A7761" s="146"/>
      <c r="D7761" s="496"/>
    </row>
    <row r="7762" spans="1:4" x14ac:dyDescent="0.2">
      <c r="A7762" s="146"/>
      <c r="D7762" s="496"/>
    </row>
    <row r="7763" spans="1:4" x14ac:dyDescent="0.2">
      <c r="A7763" s="146"/>
      <c r="D7763" s="496"/>
    </row>
    <row r="7764" spans="1:4" x14ac:dyDescent="0.2">
      <c r="A7764" s="146"/>
      <c r="D7764" s="496"/>
    </row>
    <row r="7765" spans="1:4" x14ac:dyDescent="0.2">
      <c r="A7765" s="146"/>
      <c r="D7765" s="496"/>
    </row>
    <row r="7766" spans="1:4" x14ac:dyDescent="0.2">
      <c r="A7766" s="146"/>
      <c r="D7766" s="496"/>
    </row>
    <row r="7767" spans="1:4" x14ac:dyDescent="0.2">
      <c r="A7767" s="146"/>
      <c r="D7767" s="496"/>
    </row>
    <row r="7768" spans="1:4" x14ac:dyDescent="0.2">
      <c r="A7768" s="146"/>
      <c r="D7768" s="496"/>
    </row>
    <row r="7769" spans="1:4" x14ac:dyDescent="0.2">
      <c r="A7769" s="146"/>
      <c r="D7769" s="496"/>
    </row>
    <row r="7770" spans="1:4" x14ac:dyDescent="0.2">
      <c r="A7770" s="146"/>
      <c r="D7770" s="496"/>
    </row>
    <row r="7771" spans="1:4" x14ac:dyDescent="0.2">
      <c r="A7771" s="146"/>
      <c r="D7771" s="496"/>
    </row>
    <row r="7772" spans="1:4" x14ac:dyDescent="0.2">
      <c r="A7772" s="146"/>
      <c r="D7772" s="496"/>
    </row>
    <row r="7773" spans="1:4" x14ac:dyDescent="0.2">
      <c r="A7773" s="146"/>
      <c r="D7773" s="496"/>
    </row>
    <row r="7774" spans="1:4" x14ac:dyDescent="0.2">
      <c r="A7774" s="146"/>
      <c r="D7774" s="496"/>
    </row>
    <row r="7775" spans="1:4" x14ac:dyDescent="0.2">
      <c r="A7775" s="146"/>
      <c r="D7775" s="496"/>
    </row>
    <row r="7776" spans="1:4" x14ac:dyDescent="0.2">
      <c r="A7776" s="146"/>
      <c r="D7776" s="496"/>
    </row>
    <row r="7777" spans="1:4" x14ac:dyDescent="0.2">
      <c r="A7777" s="146"/>
      <c r="D7777" s="496"/>
    </row>
    <row r="7778" spans="1:4" x14ac:dyDescent="0.2">
      <c r="A7778" s="146"/>
      <c r="D7778" s="496"/>
    </row>
    <row r="7779" spans="1:4" x14ac:dyDescent="0.2">
      <c r="A7779" s="146"/>
      <c r="D7779" s="496"/>
    </row>
    <row r="7780" spans="1:4" x14ac:dyDescent="0.2">
      <c r="A7780" s="146"/>
      <c r="D7780" s="496"/>
    </row>
    <row r="7781" spans="1:4" x14ac:dyDescent="0.2">
      <c r="A7781" s="146"/>
      <c r="D7781" s="496"/>
    </row>
    <row r="7782" spans="1:4" x14ac:dyDescent="0.2">
      <c r="A7782" s="146"/>
      <c r="D7782" s="496"/>
    </row>
    <row r="7783" spans="1:4" x14ac:dyDescent="0.2">
      <c r="A7783" s="146"/>
      <c r="D7783" s="496"/>
    </row>
    <row r="7784" spans="1:4" x14ac:dyDescent="0.2">
      <c r="A7784" s="146"/>
      <c r="D7784" s="496"/>
    </row>
    <row r="7785" spans="1:4" x14ac:dyDescent="0.2">
      <c r="A7785" s="146"/>
      <c r="D7785" s="496"/>
    </row>
    <row r="7786" spans="1:4" x14ac:dyDescent="0.2">
      <c r="A7786" s="146"/>
      <c r="D7786" s="496"/>
    </row>
    <row r="7787" spans="1:4" x14ac:dyDescent="0.2">
      <c r="A7787" s="146"/>
      <c r="D7787" s="496"/>
    </row>
    <row r="7788" spans="1:4" x14ac:dyDescent="0.2">
      <c r="A7788" s="146"/>
      <c r="D7788" s="496"/>
    </row>
    <row r="7789" spans="1:4" x14ac:dyDescent="0.2">
      <c r="A7789" s="146"/>
      <c r="D7789" s="496"/>
    </row>
    <row r="7790" spans="1:4" x14ac:dyDescent="0.2">
      <c r="A7790" s="146"/>
      <c r="D7790" s="496"/>
    </row>
    <row r="7791" spans="1:4" x14ac:dyDescent="0.2">
      <c r="A7791" s="146"/>
      <c r="D7791" s="496"/>
    </row>
    <row r="7792" spans="1:4" x14ac:dyDescent="0.2">
      <c r="A7792" s="146"/>
      <c r="D7792" s="496"/>
    </row>
    <row r="7793" spans="1:4" x14ac:dyDescent="0.2">
      <c r="A7793" s="146"/>
      <c r="D7793" s="496"/>
    </row>
    <row r="7794" spans="1:4" x14ac:dyDescent="0.2">
      <c r="A7794" s="146"/>
      <c r="D7794" s="496"/>
    </row>
    <row r="7795" spans="1:4" x14ac:dyDescent="0.2">
      <c r="A7795" s="146"/>
      <c r="D7795" s="496"/>
    </row>
    <row r="7796" spans="1:4" x14ac:dyDescent="0.2">
      <c r="A7796" s="146"/>
      <c r="D7796" s="496"/>
    </row>
    <row r="7797" spans="1:4" x14ac:dyDescent="0.2">
      <c r="A7797" s="146"/>
      <c r="D7797" s="496"/>
    </row>
    <row r="7798" spans="1:4" x14ac:dyDescent="0.2">
      <c r="A7798" s="146"/>
      <c r="D7798" s="496"/>
    </row>
    <row r="7799" spans="1:4" x14ac:dyDescent="0.2">
      <c r="A7799" s="146"/>
      <c r="D7799" s="496"/>
    </row>
    <row r="7800" spans="1:4" x14ac:dyDescent="0.2">
      <c r="A7800" s="146"/>
      <c r="D7800" s="496"/>
    </row>
    <row r="7801" spans="1:4" x14ac:dyDescent="0.2">
      <c r="A7801" s="146"/>
      <c r="D7801" s="496"/>
    </row>
    <row r="7802" spans="1:4" x14ac:dyDescent="0.2">
      <c r="A7802" s="146"/>
      <c r="D7802" s="496"/>
    </row>
    <row r="7803" spans="1:4" x14ac:dyDescent="0.2">
      <c r="A7803" s="146"/>
      <c r="D7803" s="496"/>
    </row>
    <row r="7804" spans="1:4" x14ac:dyDescent="0.2">
      <c r="A7804" s="146"/>
      <c r="D7804" s="496"/>
    </row>
    <row r="7805" spans="1:4" x14ac:dyDescent="0.2">
      <c r="A7805" s="146"/>
      <c r="D7805" s="496"/>
    </row>
    <row r="7806" spans="1:4" x14ac:dyDescent="0.2">
      <c r="A7806" s="146"/>
      <c r="D7806" s="496"/>
    </row>
    <row r="7807" spans="1:4" x14ac:dyDescent="0.2">
      <c r="A7807" s="146"/>
      <c r="D7807" s="496"/>
    </row>
    <row r="7808" spans="1:4" x14ac:dyDescent="0.2">
      <c r="A7808" s="146"/>
      <c r="D7808" s="496"/>
    </row>
    <row r="7809" spans="1:4" x14ac:dyDescent="0.2">
      <c r="A7809" s="146"/>
      <c r="D7809" s="496"/>
    </row>
    <row r="7810" spans="1:4" x14ac:dyDescent="0.2">
      <c r="A7810" s="146"/>
      <c r="D7810" s="496"/>
    </row>
    <row r="7811" spans="1:4" x14ac:dyDescent="0.2">
      <c r="A7811" s="146"/>
      <c r="D7811" s="496"/>
    </row>
    <row r="7812" spans="1:4" x14ac:dyDescent="0.2">
      <c r="A7812" s="146"/>
      <c r="D7812" s="496"/>
    </row>
    <row r="7813" spans="1:4" x14ac:dyDescent="0.2">
      <c r="A7813" s="146"/>
      <c r="D7813" s="496"/>
    </row>
    <row r="7814" spans="1:4" x14ac:dyDescent="0.2">
      <c r="A7814" s="146"/>
      <c r="D7814" s="496"/>
    </row>
    <row r="7815" spans="1:4" x14ac:dyDescent="0.2">
      <c r="A7815" s="146"/>
      <c r="D7815" s="496"/>
    </row>
    <row r="7816" spans="1:4" x14ac:dyDescent="0.2">
      <c r="A7816" s="146"/>
      <c r="D7816" s="496"/>
    </row>
    <row r="7817" spans="1:4" x14ac:dyDescent="0.2">
      <c r="A7817" s="146"/>
      <c r="D7817" s="496"/>
    </row>
    <row r="7818" spans="1:4" x14ac:dyDescent="0.2">
      <c r="A7818" s="146"/>
      <c r="D7818" s="496"/>
    </row>
    <row r="7819" spans="1:4" x14ac:dyDescent="0.2">
      <c r="A7819" s="146"/>
      <c r="D7819" s="496"/>
    </row>
    <row r="7820" spans="1:4" x14ac:dyDescent="0.2">
      <c r="A7820" s="146"/>
      <c r="D7820" s="496"/>
    </row>
    <row r="7821" spans="1:4" x14ac:dyDescent="0.2">
      <c r="A7821" s="146"/>
      <c r="D7821" s="496"/>
    </row>
    <row r="7822" spans="1:4" x14ac:dyDescent="0.2">
      <c r="A7822" s="146"/>
      <c r="D7822" s="496"/>
    </row>
    <row r="7823" spans="1:4" x14ac:dyDescent="0.2">
      <c r="A7823" s="146"/>
      <c r="D7823" s="496"/>
    </row>
    <row r="7824" spans="1:4" x14ac:dyDescent="0.2">
      <c r="A7824" s="146"/>
      <c r="D7824" s="496"/>
    </row>
    <row r="7825" spans="1:4" x14ac:dyDescent="0.2">
      <c r="A7825" s="146"/>
      <c r="D7825" s="496"/>
    </row>
    <row r="7826" spans="1:4" x14ac:dyDescent="0.2">
      <c r="A7826" s="146"/>
      <c r="D7826" s="496"/>
    </row>
    <row r="7827" spans="1:4" x14ac:dyDescent="0.2">
      <c r="A7827" s="146"/>
      <c r="D7827" s="496"/>
    </row>
    <row r="7828" spans="1:4" x14ac:dyDescent="0.2">
      <c r="A7828" s="146"/>
      <c r="D7828" s="496"/>
    </row>
    <row r="7829" spans="1:4" x14ac:dyDescent="0.2">
      <c r="A7829" s="146"/>
      <c r="D7829" s="496"/>
    </row>
    <row r="7830" spans="1:4" x14ac:dyDescent="0.2">
      <c r="A7830" s="146"/>
      <c r="D7830" s="496"/>
    </row>
    <row r="7831" spans="1:4" x14ac:dyDescent="0.2">
      <c r="A7831" s="146"/>
      <c r="D7831" s="496"/>
    </row>
    <row r="7832" spans="1:4" x14ac:dyDescent="0.2">
      <c r="A7832" s="146"/>
      <c r="D7832" s="496"/>
    </row>
    <row r="7833" spans="1:4" x14ac:dyDescent="0.2">
      <c r="A7833" s="146"/>
      <c r="D7833" s="496"/>
    </row>
    <row r="7834" spans="1:4" x14ac:dyDescent="0.2">
      <c r="A7834" s="146"/>
      <c r="D7834" s="496"/>
    </row>
    <row r="7835" spans="1:4" x14ac:dyDescent="0.2">
      <c r="A7835" s="146"/>
      <c r="D7835" s="496"/>
    </row>
    <row r="7836" spans="1:4" x14ac:dyDescent="0.2">
      <c r="A7836" s="146"/>
      <c r="D7836" s="496"/>
    </row>
    <row r="7837" spans="1:4" x14ac:dyDescent="0.2">
      <c r="A7837" s="146"/>
      <c r="D7837" s="496"/>
    </row>
    <row r="7838" spans="1:4" x14ac:dyDescent="0.2">
      <c r="A7838" s="146"/>
      <c r="D7838" s="496"/>
    </row>
    <row r="7839" spans="1:4" x14ac:dyDescent="0.2">
      <c r="A7839" s="146"/>
      <c r="D7839" s="496"/>
    </row>
    <row r="7840" spans="1:4" x14ac:dyDescent="0.2">
      <c r="A7840" s="146"/>
      <c r="D7840" s="496"/>
    </row>
    <row r="7841" spans="1:4" x14ac:dyDescent="0.2">
      <c r="A7841" s="146"/>
      <c r="D7841" s="496"/>
    </row>
    <row r="7842" spans="1:4" x14ac:dyDescent="0.2">
      <c r="A7842" s="146"/>
      <c r="D7842" s="496"/>
    </row>
    <row r="7843" spans="1:4" x14ac:dyDescent="0.2">
      <c r="A7843" s="146"/>
      <c r="D7843" s="496"/>
    </row>
    <row r="7844" spans="1:4" x14ac:dyDescent="0.2">
      <c r="A7844" s="146"/>
      <c r="D7844" s="496"/>
    </row>
    <row r="7845" spans="1:4" x14ac:dyDescent="0.2">
      <c r="A7845" s="146"/>
      <c r="D7845" s="496"/>
    </row>
    <row r="7846" spans="1:4" x14ac:dyDescent="0.2">
      <c r="A7846" s="146"/>
      <c r="D7846" s="496"/>
    </row>
    <row r="7847" spans="1:4" x14ac:dyDescent="0.2">
      <c r="A7847" s="146"/>
      <c r="D7847" s="496"/>
    </row>
    <row r="7848" spans="1:4" x14ac:dyDescent="0.2">
      <c r="A7848" s="146"/>
      <c r="D7848" s="496"/>
    </row>
    <row r="7849" spans="1:4" x14ac:dyDescent="0.2">
      <c r="A7849" s="146"/>
      <c r="D7849" s="496"/>
    </row>
    <row r="7850" spans="1:4" x14ac:dyDescent="0.2">
      <c r="A7850" s="146"/>
      <c r="D7850" s="496"/>
    </row>
    <row r="7851" spans="1:4" x14ac:dyDescent="0.2">
      <c r="A7851" s="146"/>
      <c r="D7851" s="496"/>
    </row>
    <row r="7852" spans="1:4" x14ac:dyDescent="0.2">
      <c r="A7852" s="146"/>
      <c r="D7852" s="496"/>
    </row>
    <row r="7853" spans="1:4" x14ac:dyDescent="0.2">
      <c r="A7853" s="146"/>
      <c r="D7853" s="496"/>
    </row>
    <row r="7854" spans="1:4" x14ac:dyDescent="0.2">
      <c r="A7854" s="146"/>
      <c r="D7854" s="496"/>
    </row>
    <row r="7855" spans="1:4" x14ac:dyDescent="0.2">
      <c r="A7855" s="146"/>
      <c r="D7855" s="496"/>
    </row>
    <row r="7856" spans="1:4" x14ac:dyDescent="0.2">
      <c r="A7856" s="146"/>
      <c r="D7856" s="496"/>
    </row>
    <row r="7857" spans="1:4" x14ac:dyDescent="0.2">
      <c r="A7857" s="146"/>
      <c r="D7857" s="496"/>
    </row>
    <row r="7858" spans="1:4" x14ac:dyDescent="0.2">
      <c r="A7858" s="146"/>
      <c r="D7858" s="496"/>
    </row>
    <row r="7859" spans="1:4" x14ac:dyDescent="0.2">
      <c r="A7859" s="146"/>
      <c r="D7859" s="496"/>
    </row>
    <row r="7860" spans="1:4" x14ac:dyDescent="0.2">
      <c r="A7860" s="146"/>
      <c r="D7860" s="496"/>
    </row>
    <row r="7861" spans="1:4" x14ac:dyDescent="0.2">
      <c r="A7861" s="146"/>
      <c r="D7861" s="496"/>
    </row>
    <row r="7862" spans="1:4" x14ac:dyDescent="0.2">
      <c r="A7862" s="146"/>
      <c r="D7862" s="496"/>
    </row>
    <row r="7863" spans="1:4" x14ac:dyDescent="0.2">
      <c r="A7863" s="146"/>
      <c r="D7863" s="496"/>
    </row>
    <row r="7864" spans="1:4" x14ac:dyDescent="0.2">
      <c r="A7864" s="146"/>
      <c r="D7864" s="496"/>
    </row>
    <row r="7865" spans="1:4" x14ac:dyDescent="0.2">
      <c r="A7865" s="146"/>
      <c r="D7865" s="496"/>
    </row>
    <row r="7866" spans="1:4" x14ac:dyDescent="0.2">
      <c r="A7866" s="146"/>
      <c r="D7866" s="496"/>
    </row>
    <row r="7867" spans="1:4" x14ac:dyDescent="0.2">
      <c r="A7867" s="146"/>
      <c r="D7867" s="496"/>
    </row>
    <row r="7868" spans="1:4" x14ac:dyDescent="0.2">
      <c r="A7868" s="146"/>
      <c r="D7868" s="496"/>
    </row>
    <row r="7869" spans="1:4" x14ac:dyDescent="0.2">
      <c r="A7869" s="146"/>
      <c r="D7869" s="496"/>
    </row>
    <row r="7870" spans="1:4" x14ac:dyDescent="0.2">
      <c r="A7870" s="146"/>
      <c r="D7870" s="496"/>
    </row>
    <row r="7871" spans="1:4" x14ac:dyDescent="0.2">
      <c r="A7871" s="146"/>
      <c r="D7871" s="496"/>
    </row>
    <row r="7872" spans="1:4" x14ac:dyDescent="0.2">
      <c r="A7872" s="146"/>
      <c r="D7872" s="496"/>
    </row>
    <row r="7873" spans="1:4" x14ac:dyDescent="0.2">
      <c r="A7873" s="146"/>
      <c r="D7873" s="496"/>
    </row>
    <row r="7874" spans="1:4" x14ac:dyDescent="0.2">
      <c r="A7874" s="146"/>
      <c r="D7874" s="496"/>
    </row>
    <row r="7875" spans="1:4" x14ac:dyDescent="0.2">
      <c r="A7875" s="146"/>
      <c r="D7875" s="496"/>
    </row>
    <row r="7876" spans="1:4" x14ac:dyDescent="0.2">
      <c r="A7876" s="146"/>
      <c r="D7876" s="496"/>
    </row>
    <row r="7877" spans="1:4" x14ac:dyDescent="0.2">
      <c r="A7877" s="146"/>
      <c r="D7877" s="496"/>
    </row>
    <row r="7878" spans="1:4" x14ac:dyDescent="0.2">
      <c r="A7878" s="146"/>
      <c r="D7878" s="496"/>
    </row>
    <row r="7879" spans="1:4" x14ac:dyDescent="0.2">
      <c r="A7879" s="146"/>
      <c r="D7879" s="496"/>
    </row>
    <row r="7880" spans="1:4" x14ac:dyDescent="0.2">
      <c r="A7880" s="146"/>
      <c r="D7880" s="496"/>
    </row>
    <row r="7881" spans="1:4" x14ac:dyDescent="0.2">
      <c r="A7881" s="146"/>
      <c r="D7881" s="496"/>
    </row>
    <row r="7882" spans="1:4" x14ac:dyDescent="0.2">
      <c r="A7882" s="146"/>
      <c r="D7882" s="496"/>
    </row>
    <row r="7883" spans="1:4" x14ac:dyDescent="0.2">
      <c r="A7883" s="146"/>
      <c r="D7883" s="496"/>
    </row>
    <row r="7884" spans="1:4" x14ac:dyDescent="0.2">
      <c r="A7884" s="146"/>
      <c r="D7884" s="496"/>
    </row>
    <row r="7885" spans="1:4" x14ac:dyDescent="0.2">
      <c r="A7885" s="146"/>
      <c r="D7885" s="496"/>
    </row>
    <row r="7886" spans="1:4" x14ac:dyDescent="0.2">
      <c r="A7886" s="146"/>
      <c r="D7886" s="496"/>
    </row>
    <row r="7887" spans="1:4" x14ac:dyDescent="0.2">
      <c r="A7887" s="146"/>
      <c r="D7887" s="496"/>
    </row>
    <row r="7888" spans="1:4" x14ac:dyDescent="0.2">
      <c r="A7888" s="146"/>
      <c r="D7888" s="496"/>
    </row>
    <row r="7889" spans="1:4" x14ac:dyDescent="0.2">
      <c r="A7889" s="146"/>
      <c r="D7889" s="496"/>
    </row>
    <row r="7890" spans="1:4" x14ac:dyDescent="0.2">
      <c r="A7890" s="146"/>
      <c r="D7890" s="496"/>
    </row>
    <row r="7891" spans="1:4" x14ac:dyDescent="0.2">
      <c r="A7891" s="146"/>
      <c r="D7891" s="496"/>
    </row>
    <row r="7892" spans="1:4" x14ac:dyDescent="0.2">
      <c r="A7892" s="146"/>
      <c r="D7892" s="496"/>
    </row>
    <row r="7893" spans="1:4" x14ac:dyDescent="0.2">
      <c r="A7893" s="146"/>
      <c r="D7893" s="496"/>
    </row>
    <row r="7894" spans="1:4" x14ac:dyDescent="0.2">
      <c r="A7894" s="146"/>
      <c r="D7894" s="496"/>
    </row>
    <row r="7895" spans="1:4" x14ac:dyDescent="0.2">
      <c r="A7895" s="146"/>
      <c r="D7895" s="496"/>
    </row>
    <row r="7896" spans="1:4" x14ac:dyDescent="0.2">
      <c r="A7896" s="146"/>
      <c r="D7896" s="496"/>
    </row>
    <row r="7897" spans="1:4" x14ac:dyDescent="0.2">
      <c r="A7897" s="146"/>
      <c r="D7897" s="496"/>
    </row>
    <row r="7898" spans="1:4" x14ac:dyDescent="0.2">
      <c r="A7898" s="146"/>
      <c r="D7898" s="496"/>
    </row>
    <row r="7899" spans="1:4" x14ac:dyDescent="0.2">
      <c r="A7899" s="146"/>
      <c r="D7899" s="496"/>
    </row>
    <row r="7900" spans="1:4" x14ac:dyDescent="0.2">
      <c r="A7900" s="146"/>
      <c r="D7900" s="496"/>
    </row>
    <row r="7901" spans="1:4" x14ac:dyDescent="0.2">
      <c r="A7901" s="146"/>
      <c r="D7901" s="496"/>
    </row>
    <row r="7902" spans="1:4" x14ac:dyDescent="0.2">
      <c r="A7902" s="146"/>
      <c r="D7902" s="496"/>
    </row>
    <row r="7903" spans="1:4" x14ac:dyDescent="0.2">
      <c r="A7903" s="146"/>
      <c r="D7903" s="496"/>
    </row>
    <row r="7904" spans="1:4" x14ac:dyDescent="0.2">
      <c r="A7904" s="146"/>
      <c r="D7904" s="496"/>
    </row>
    <row r="7905" spans="1:4" x14ac:dyDescent="0.2">
      <c r="A7905" s="146"/>
      <c r="D7905" s="496"/>
    </row>
    <row r="7906" spans="1:4" x14ac:dyDescent="0.2">
      <c r="A7906" s="146"/>
      <c r="D7906" s="496"/>
    </row>
    <row r="7907" spans="1:4" x14ac:dyDescent="0.2">
      <c r="A7907" s="146"/>
      <c r="D7907" s="496"/>
    </row>
    <row r="7908" spans="1:4" x14ac:dyDescent="0.2">
      <c r="A7908" s="146"/>
      <c r="D7908" s="496"/>
    </row>
    <row r="7909" spans="1:4" x14ac:dyDescent="0.2">
      <c r="A7909" s="146"/>
      <c r="D7909" s="496"/>
    </row>
    <row r="7910" spans="1:4" x14ac:dyDescent="0.2">
      <c r="A7910" s="146"/>
      <c r="D7910" s="496"/>
    </row>
    <row r="7911" spans="1:4" x14ac:dyDescent="0.2">
      <c r="A7911" s="146"/>
      <c r="D7911" s="496"/>
    </row>
    <row r="7912" spans="1:4" x14ac:dyDescent="0.2">
      <c r="A7912" s="146"/>
      <c r="D7912" s="496"/>
    </row>
    <row r="7913" spans="1:4" x14ac:dyDescent="0.2">
      <c r="A7913" s="146"/>
      <c r="D7913" s="496"/>
    </row>
    <row r="7914" spans="1:4" x14ac:dyDescent="0.2">
      <c r="A7914" s="146"/>
      <c r="D7914" s="496"/>
    </row>
    <row r="7915" spans="1:4" x14ac:dyDescent="0.2">
      <c r="A7915" s="146"/>
      <c r="D7915" s="496"/>
    </row>
    <row r="7916" spans="1:4" x14ac:dyDescent="0.2">
      <c r="A7916" s="146"/>
      <c r="D7916" s="496"/>
    </row>
    <row r="7917" spans="1:4" x14ac:dyDescent="0.2">
      <c r="A7917" s="146"/>
      <c r="D7917" s="496"/>
    </row>
    <row r="7918" spans="1:4" x14ac:dyDescent="0.2">
      <c r="A7918" s="146"/>
      <c r="D7918" s="496"/>
    </row>
    <row r="7919" spans="1:4" x14ac:dyDescent="0.2">
      <c r="A7919" s="146"/>
      <c r="D7919" s="496"/>
    </row>
    <row r="7920" spans="1:4" x14ac:dyDescent="0.2">
      <c r="A7920" s="146"/>
      <c r="D7920" s="496"/>
    </row>
    <row r="7921" spans="1:4" x14ac:dyDescent="0.2">
      <c r="A7921" s="146"/>
      <c r="D7921" s="496"/>
    </row>
    <row r="7922" spans="1:4" x14ac:dyDescent="0.2">
      <c r="A7922" s="146"/>
      <c r="D7922" s="496"/>
    </row>
    <row r="7923" spans="1:4" x14ac:dyDescent="0.2">
      <c r="A7923" s="146"/>
      <c r="D7923" s="496"/>
    </row>
    <row r="7924" spans="1:4" x14ac:dyDescent="0.2">
      <c r="A7924" s="146"/>
      <c r="D7924" s="496"/>
    </row>
    <row r="7925" spans="1:4" x14ac:dyDescent="0.2">
      <c r="A7925" s="146"/>
      <c r="D7925" s="496"/>
    </row>
    <row r="7926" spans="1:4" x14ac:dyDescent="0.2">
      <c r="A7926" s="146"/>
      <c r="D7926" s="496"/>
    </row>
    <row r="7927" spans="1:4" x14ac:dyDescent="0.2">
      <c r="A7927" s="146"/>
      <c r="D7927" s="496"/>
    </row>
    <row r="7928" spans="1:4" x14ac:dyDescent="0.2">
      <c r="A7928" s="146"/>
      <c r="D7928" s="496"/>
    </row>
    <row r="7929" spans="1:4" x14ac:dyDescent="0.2">
      <c r="A7929" s="146"/>
      <c r="D7929" s="496"/>
    </row>
    <row r="7930" spans="1:4" x14ac:dyDescent="0.2">
      <c r="A7930" s="146"/>
      <c r="D7930" s="496"/>
    </row>
    <row r="7931" spans="1:4" x14ac:dyDescent="0.2">
      <c r="A7931" s="146"/>
      <c r="D7931" s="496"/>
    </row>
    <row r="7932" spans="1:4" x14ac:dyDescent="0.2">
      <c r="A7932" s="146"/>
      <c r="D7932" s="496"/>
    </row>
    <row r="7933" spans="1:4" x14ac:dyDescent="0.2">
      <c r="A7933" s="146"/>
      <c r="D7933" s="496"/>
    </row>
    <row r="7934" spans="1:4" x14ac:dyDescent="0.2">
      <c r="A7934" s="146"/>
      <c r="D7934" s="496"/>
    </row>
    <row r="7935" spans="1:4" x14ac:dyDescent="0.2">
      <c r="A7935" s="146"/>
      <c r="D7935" s="496"/>
    </row>
    <row r="7936" spans="1:4" x14ac:dyDescent="0.2">
      <c r="A7936" s="146"/>
      <c r="D7936" s="496"/>
    </row>
    <row r="7937" spans="1:4" x14ac:dyDescent="0.2">
      <c r="A7937" s="146"/>
      <c r="D7937" s="496"/>
    </row>
    <row r="7938" spans="1:4" x14ac:dyDescent="0.2">
      <c r="A7938" s="146"/>
      <c r="D7938" s="496"/>
    </row>
    <row r="7939" spans="1:4" x14ac:dyDescent="0.2">
      <c r="A7939" s="146"/>
      <c r="D7939" s="496"/>
    </row>
    <row r="7940" spans="1:4" x14ac:dyDescent="0.2">
      <c r="A7940" s="146"/>
      <c r="D7940" s="496"/>
    </row>
    <row r="7941" spans="1:4" x14ac:dyDescent="0.2">
      <c r="A7941" s="146"/>
      <c r="D7941" s="496"/>
    </row>
    <row r="7942" spans="1:4" x14ac:dyDescent="0.2">
      <c r="A7942" s="146"/>
      <c r="D7942" s="496"/>
    </row>
    <row r="7943" spans="1:4" x14ac:dyDescent="0.2">
      <c r="A7943" s="146"/>
      <c r="D7943" s="496"/>
    </row>
    <row r="7944" spans="1:4" x14ac:dyDescent="0.2">
      <c r="A7944" s="146"/>
      <c r="D7944" s="496"/>
    </row>
    <row r="7945" spans="1:4" x14ac:dyDescent="0.2">
      <c r="A7945" s="146"/>
      <c r="D7945" s="496"/>
    </row>
    <row r="7946" spans="1:4" x14ac:dyDescent="0.2">
      <c r="A7946" s="146"/>
      <c r="D7946" s="496"/>
    </row>
    <row r="7947" spans="1:4" x14ac:dyDescent="0.2">
      <c r="A7947" s="146"/>
      <c r="D7947" s="496"/>
    </row>
    <row r="7948" spans="1:4" x14ac:dyDescent="0.2">
      <c r="A7948" s="146"/>
      <c r="D7948" s="496"/>
    </row>
    <row r="7949" spans="1:4" x14ac:dyDescent="0.2">
      <c r="A7949" s="146"/>
      <c r="D7949" s="496"/>
    </row>
    <row r="7950" spans="1:4" x14ac:dyDescent="0.2">
      <c r="A7950" s="146"/>
      <c r="D7950" s="496"/>
    </row>
    <row r="7951" spans="1:4" x14ac:dyDescent="0.2">
      <c r="A7951" s="146"/>
      <c r="D7951" s="496"/>
    </row>
    <row r="7952" spans="1:4" x14ac:dyDescent="0.2">
      <c r="A7952" s="146"/>
      <c r="D7952" s="496"/>
    </row>
    <row r="7953" spans="1:4" x14ac:dyDescent="0.2">
      <c r="A7953" s="146"/>
      <c r="D7953" s="496"/>
    </row>
    <row r="7954" spans="1:4" x14ac:dyDescent="0.2">
      <c r="A7954" s="146"/>
      <c r="D7954" s="496"/>
    </row>
    <row r="7955" spans="1:4" x14ac:dyDescent="0.2">
      <c r="A7955" s="146"/>
      <c r="D7955" s="496"/>
    </row>
    <row r="7956" spans="1:4" x14ac:dyDescent="0.2">
      <c r="A7956" s="146"/>
      <c r="D7956" s="496"/>
    </row>
    <row r="7957" spans="1:4" x14ac:dyDescent="0.2">
      <c r="A7957" s="146"/>
      <c r="D7957" s="496"/>
    </row>
    <row r="7958" spans="1:4" x14ac:dyDescent="0.2">
      <c r="A7958" s="146"/>
      <c r="D7958" s="496"/>
    </row>
    <row r="7959" spans="1:4" x14ac:dyDescent="0.2">
      <c r="A7959" s="146"/>
      <c r="D7959" s="496"/>
    </row>
    <row r="7960" spans="1:4" x14ac:dyDescent="0.2">
      <c r="A7960" s="146"/>
      <c r="D7960" s="496"/>
    </row>
    <row r="7961" spans="1:4" x14ac:dyDescent="0.2">
      <c r="A7961" s="146"/>
      <c r="D7961" s="496"/>
    </row>
    <row r="7962" spans="1:4" x14ac:dyDescent="0.2">
      <c r="A7962" s="146"/>
      <c r="D7962" s="496"/>
    </row>
    <row r="7963" spans="1:4" x14ac:dyDescent="0.2">
      <c r="A7963" s="146"/>
      <c r="D7963" s="496"/>
    </row>
    <row r="7964" spans="1:4" x14ac:dyDescent="0.2">
      <c r="A7964" s="146"/>
      <c r="D7964" s="496"/>
    </row>
    <row r="7965" spans="1:4" x14ac:dyDescent="0.2">
      <c r="A7965" s="146"/>
      <c r="D7965" s="496"/>
    </row>
    <row r="7966" spans="1:4" x14ac:dyDescent="0.2">
      <c r="A7966" s="146"/>
      <c r="D7966" s="496"/>
    </row>
    <row r="7967" spans="1:4" x14ac:dyDescent="0.2">
      <c r="A7967" s="146"/>
      <c r="D7967" s="496"/>
    </row>
    <row r="7968" spans="1:4" x14ac:dyDescent="0.2">
      <c r="A7968" s="146"/>
      <c r="D7968" s="496"/>
    </row>
    <row r="7969" spans="1:4" x14ac:dyDescent="0.2">
      <c r="A7969" s="146"/>
      <c r="D7969" s="496"/>
    </row>
    <row r="7970" spans="1:4" x14ac:dyDescent="0.2">
      <c r="A7970" s="146"/>
      <c r="D7970" s="496"/>
    </row>
    <row r="7971" spans="1:4" x14ac:dyDescent="0.2">
      <c r="A7971" s="146"/>
      <c r="D7971" s="496"/>
    </row>
    <row r="7972" spans="1:4" x14ac:dyDescent="0.2">
      <c r="A7972" s="146"/>
      <c r="D7972" s="496"/>
    </row>
    <row r="7973" spans="1:4" x14ac:dyDescent="0.2">
      <c r="A7973" s="146"/>
      <c r="D7973" s="496"/>
    </row>
    <row r="7974" spans="1:4" x14ac:dyDescent="0.2">
      <c r="A7974" s="146"/>
      <c r="D7974" s="496"/>
    </row>
    <row r="7975" spans="1:4" x14ac:dyDescent="0.2">
      <c r="A7975" s="146"/>
      <c r="D7975" s="496"/>
    </row>
    <row r="7976" spans="1:4" x14ac:dyDescent="0.2">
      <c r="A7976" s="146"/>
      <c r="D7976" s="496"/>
    </row>
    <row r="7977" spans="1:4" x14ac:dyDescent="0.2">
      <c r="A7977" s="146"/>
      <c r="D7977" s="496"/>
    </row>
    <row r="7978" spans="1:4" x14ac:dyDescent="0.2">
      <c r="A7978" s="146"/>
      <c r="D7978" s="496"/>
    </row>
    <row r="7979" spans="1:4" x14ac:dyDescent="0.2">
      <c r="A7979" s="146"/>
      <c r="D7979" s="496"/>
    </row>
    <row r="7980" spans="1:4" x14ac:dyDescent="0.2">
      <c r="A7980" s="146"/>
      <c r="D7980" s="496"/>
    </row>
    <row r="7981" spans="1:4" x14ac:dyDescent="0.2">
      <c r="A7981" s="146"/>
      <c r="D7981" s="496"/>
    </row>
    <row r="7982" spans="1:4" x14ac:dyDescent="0.2">
      <c r="A7982" s="146"/>
      <c r="D7982" s="496"/>
    </row>
    <row r="7983" spans="1:4" x14ac:dyDescent="0.2">
      <c r="A7983" s="146"/>
      <c r="D7983" s="496"/>
    </row>
    <row r="7984" spans="1:4" x14ac:dyDescent="0.2">
      <c r="A7984" s="146"/>
      <c r="D7984" s="496"/>
    </row>
    <row r="7985" spans="1:4" x14ac:dyDescent="0.2">
      <c r="A7985" s="146"/>
      <c r="D7985" s="496"/>
    </row>
    <row r="7986" spans="1:4" x14ac:dyDescent="0.2">
      <c r="A7986" s="146"/>
      <c r="D7986" s="496"/>
    </row>
    <row r="7987" spans="1:4" x14ac:dyDescent="0.2">
      <c r="A7987" s="146"/>
      <c r="D7987" s="496"/>
    </row>
    <row r="7988" spans="1:4" x14ac:dyDescent="0.2">
      <c r="A7988" s="146"/>
      <c r="D7988" s="496"/>
    </row>
    <row r="7989" spans="1:4" x14ac:dyDescent="0.2">
      <c r="A7989" s="146"/>
      <c r="D7989" s="496"/>
    </row>
    <row r="7990" spans="1:4" x14ac:dyDescent="0.2">
      <c r="A7990" s="146"/>
      <c r="D7990" s="496"/>
    </row>
    <row r="7991" spans="1:4" x14ac:dyDescent="0.2">
      <c r="A7991" s="146"/>
      <c r="D7991" s="496"/>
    </row>
    <row r="7992" spans="1:4" x14ac:dyDescent="0.2">
      <c r="A7992" s="146"/>
      <c r="D7992" s="496"/>
    </row>
    <row r="7993" spans="1:4" x14ac:dyDescent="0.2">
      <c r="A7993" s="146"/>
      <c r="D7993" s="496"/>
    </row>
    <row r="7994" spans="1:4" x14ac:dyDescent="0.2">
      <c r="A7994" s="146"/>
      <c r="D7994" s="496"/>
    </row>
    <row r="7995" spans="1:4" x14ac:dyDescent="0.2">
      <c r="A7995" s="146"/>
      <c r="D7995" s="496"/>
    </row>
    <row r="7996" spans="1:4" x14ac:dyDescent="0.2">
      <c r="A7996" s="146"/>
      <c r="D7996" s="496"/>
    </row>
    <row r="7997" spans="1:4" x14ac:dyDescent="0.2">
      <c r="A7997" s="146"/>
      <c r="D7997" s="496"/>
    </row>
    <row r="7998" spans="1:4" x14ac:dyDescent="0.2">
      <c r="A7998" s="146"/>
      <c r="D7998" s="496"/>
    </row>
    <row r="7999" spans="1:4" x14ac:dyDescent="0.2">
      <c r="A7999" s="146"/>
      <c r="D7999" s="496"/>
    </row>
    <row r="8000" spans="1:4" x14ac:dyDescent="0.2">
      <c r="A8000" s="146"/>
      <c r="D8000" s="496"/>
    </row>
    <row r="8001" spans="1:4" x14ac:dyDescent="0.2">
      <c r="A8001" s="146"/>
      <c r="D8001" s="496"/>
    </row>
    <row r="8002" spans="1:4" x14ac:dyDescent="0.2">
      <c r="A8002" s="146"/>
      <c r="D8002" s="496"/>
    </row>
    <row r="8003" spans="1:4" x14ac:dyDescent="0.2">
      <c r="A8003" s="146"/>
      <c r="D8003" s="496"/>
    </row>
    <row r="8004" spans="1:4" x14ac:dyDescent="0.2">
      <c r="A8004" s="146"/>
      <c r="D8004" s="496"/>
    </row>
    <row r="8005" spans="1:4" x14ac:dyDescent="0.2">
      <c r="A8005" s="146"/>
      <c r="D8005" s="496"/>
    </row>
    <row r="8006" spans="1:4" x14ac:dyDescent="0.2">
      <c r="A8006" s="146"/>
      <c r="D8006" s="496"/>
    </row>
    <row r="8007" spans="1:4" x14ac:dyDescent="0.2">
      <c r="A8007" s="146"/>
      <c r="D8007" s="496"/>
    </row>
    <row r="8008" spans="1:4" x14ac:dyDescent="0.2">
      <c r="A8008" s="146"/>
      <c r="D8008" s="496"/>
    </row>
    <row r="8009" spans="1:4" x14ac:dyDescent="0.2">
      <c r="A8009" s="146"/>
      <c r="D8009" s="496"/>
    </row>
    <row r="8010" spans="1:4" x14ac:dyDescent="0.2">
      <c r="A8010" s="146"/>
      <c r="D8010" s="496"/>
    </row>
    <row r="8011" spans="1:4" x14ac:dyDescent="0.2">
      <c r="A8011" s="146"/>
      <c r="D8011" s="496"/>
    </row>
    <row r="8012" spans="1:4" x14ac:dyDescent="0.2">
      <c r="A8012" s="146"/>
      <c r="D8012" s="496"/>
    </row>
    <row r="8013" spans="1:4" x14ac:dyDescent="0.2">
      <c r="A8013" s="146"/>
      <c r="D8013" s="496"/>
    </row>
    <row r="8014" spans="1:4" x14ac:dyDescent="0.2">
      <c r="A8014" s="146"/>
      <c r="D8014" s="496"/>
    </row>
    <row r="8015" spans="1:4" x14ac:dyDescent="0.2">
      <c r="A8015" s="146"/>
      <c r="D8015" s="496"/>
    </row>
    <row r="8016" spans="1:4" x14ac:dyDescent="0.2">
      <c r="A8016" s="146"/>
      <c r="D8016" s="496"/>
    </row>
    <row r="8017" spans="1:4" x14ac:dyDescent="0.2">
      <c r="A8017" s="146"/>
      <c r="D8017" s="496"/>
    </row>
    <row r="8018" spans="1:4" x14ac:dyDescent="0.2">
      <c r="A8018" s="146"/>
      <c r="D8018" s="496"/>
    </row>
    <row r="8019" spans="1:4" x14ac:dyDescent="0.2">
      <c r="A8019" s="146"/>
      <c r="D8019" s="496"/>
    </row>
    <row r="8020" spans="1:4" x14ac:dyDescent="0.2">
      <c r="A8020" s="146"/>
      <c r="D8020" s="496"/>
    </row>
    <row r="8021" spans="1:4" x14ac:dyDescent="0.2">
      <c r="A8021" s="146"/>
      <c r="D8021" s="496"/>
    </row>
    <row r="8022" spans="1:4" x14ac:dyDescent="0.2">
      <c r="A8022" s="146"/>
      <c r="D8022" s="496"/>
    </row>
    <row r="8023" spans="1:4" x14ac:dyDescent="0.2">
      <c r="A8023" s="146"/>
      <c r="D8023" s="496"/>
    </row>
    <row r="8024" spans="1:4" x14ac:dyDescent="0.2">
      <c r="A8024" s="146"/>
      <c r="D8024" s="496"/>
    </row>
    <row r="8025" spans="1:4" x14ac:dyDescent="0.2">
      <c r="A8025" s="146"/>
      <c r="D8025" s="496"/>
    </row>
    <row r="8026" spans="1:4" x14ac:dyDescent="0.2">
      <c r="A8026" s="146"/>
      <c r="D8026" s="496"/>
    </row>
    <row r="8027" spans="1:4" x14ac:dyDescent="0.2">
      <c r="A8027" s="146"/>
      <c r="D8027" s="496"/>
    </row>
    <row r="8028" spans="1:4" x14ac:dyDescent="0.2">
      <c r="A8028" s="146"/>
      <c r="D8028" s="496"/>
    </row>
    <row r="8029" spans="1:4" x14ac:dyDescent="0.2">
      <c r="A8029" s="146"/>
      <c r="D8029" s="496"/>
    </row>
    <row r="8030" spans="1:4" x14ac:dyDescent="0.2">
      <c r="A8030" s="146"/>
      <c r="D8030" s="496"/>
    </row>
    <row r="8031" spans="1:4" x14ac:dyDescent="0.2">
      <c r="A8031" s="146"/>
      <c r="D8031" s="496"/>
    </row>
    <row r="8032" spans="1:4" x14ac:dyDescent="0.2">
      <c r="A8032" s="146"/>
      <c r="D8032" s="496"/>
    </row>
    <row r="8033" spans="1:4" x14ac:dyDescent="0.2">
      <c r="A8033" s="146"/>
      <c r="D8033" s="496"/>
    </row>
    <row r="8034" spans="1:4" x14ac:dyDescent="0.2">
      <c r="A8034" s="146"/>
      <c r="D8034" s="496"/>
    </row>
    <row r="8035" spans="1:4" x14ac:dyDescent="0.2">
      <c r="A8035" s="146"/>
      <c r="D8035" s="496"/>
    </row>
    <row r="8036" spans="1:4" x14ac:dyDescent="0.2">
      <c r="A8036" s="146"/>
      <c r="D8036" s="496"/>
    </row>
    <row r="8037" spans="1:4" x14ac:dyDescent="0.2">
      <c r="A8037" s="146"/>
      <c r="D8037" s="496"/>
    </row>
    <row r="8038" spans="1:4" x14ac:dyDescent="0.2">
      <c r="A8038" s="146"/>
      <c r="D8038" s="496"/>
    </row>
    <row r="8039" spans="1:4" x14ac:dyDescent="0.2">
      <c r="A8039" s="146"/>
      <c r="D8039" s="496"/>
    </row>
    <row r="8040" spans="1:4" x14ac:dyDescent="0.2">
      <c r="A8040" s="146"/>
      <c r="D8040" s="496"/>
    </row>
    <row r="8041" spans="1:4" x14ac:dyDescent="0.2">
      <c r="A8041" s="146"/>
      <c r="D8041" s="496"/>
    </row>
    <row r="8042" spans="1:4" x14ac:dyDescent="0.2">
      <c r="A8042" s="146"/>
      <c r="D8042" s="496"/>
    </row>
    <row r="8043" spans="1:4" x14ac:dyDescent="0.2">
      <c r="A8043" s="146"/>
      <c r="D8043" s="496"/>
    </row>
    <row r="8044" spans="1:4" x14ac:dyDescent="0.2">
      <c r="A8044" s="146"/>
      <c r="D8044" s="496"/>
    </row>
    <row r="8045" spans="1:4" x14ac:dyDescent="0.2">
      <c r="A8045" s="146"/>
      <c r="D8045" s="496"/>
    </row>
    <row r="8046" spans="1:4" x14ac:dyDescent="0.2">
      <c r="A8046" s="146"/>
      <c r="D8046" s="496"/>
    </row>
    <row r="8047" spans="1:4" x14ac:dyDescent="0.2">
      <c r="A8047" s="146"/>
      <c r="D8047" s="496"/>
    </row>
    <row r="8048" spans="1:4" x14ac:dyDescent="0.2">
      <c r="A8048" s="146"/>
      <c r="D8048" s="496"/>
    </row>
    <row r="8049" spans="1:4" x14ac:dyDescent="0.2">
      <c r="A8049" s="146"/>
      <c r="D8049" s="496"/>
    </row>
    <row r="8050" spans="1:4" x14ac:dyDescent="0.2">
      <c r="A8050" s="146"/>
      <c r="D8050" s="496"/>
    </row>
    <row r="8051" spans="1:4" x14ac:dyDescent="0.2">
      <c r="A8051" s="146"/>
      <c r="D8051" s="496"/>
    </row>
    <row r="8052" spans="1:4" x14ac:dyDescent="0.2">
      <c r="A8052" s="146"/>
      <c r="D8052" s="496"/>
    </row>
    <row r="8053" spans="1:4" x14ac:dyDescent="0.2">
      <c r="A8053" s="146"/>
      <c r="D8053" s="496"/>
    </row>
    <row r="8054" spans="1:4" x14ac:dyDescent="0.2">
      <c r="A8054" s="146"/>
      <c r="D8054" s="496"/>
    </row>
    <row r="8055" spans="1:4" x14ac:dyDescent="0.2">
      <c r="A8055" s="146"/>
      <c r="D8055" s="496"/>
    </row>
    <row r="8056" spans="1:4" x14ac:dyDescent="0.2">
      <c r="A8056" s="146"/>
      <c r="D8056" s="496"/>
    </row>
    <row r="8057" spans="1:4" x14ac:dyDescent="0.2">
      <c r="A8057" s="146"/>
      <c r="D8057" s="496"/>
    </row>
    <row r="8058" spans="1:4" x14ac:dyDescent="0.2">
      <c r="A8058" s="146"/>
      <c r="D8058" s="496"/>
    </row>
    <row r="8059" spans="1:4" x14ac:dyDescent="0.2">
      <c r="A8059" s="146"/>
      <c r="D8059" s="496"/>
    </row>
    <row r="8060" spans="1:4" x14ac:dyDescent="0.2">
      <c r="A8060" s="146"/>
      <c r="D8060" s="496"/>
    </row>
    <row r="8061" spans="1:4" x14ac:dyDescent="0.2">
      <c r="A8061" s="146"/>
      <c r="D8061" s="496"/>
    </row>
    <row r="8062" spans="1:4" x14ac:dyDescent="0.2">
      <c r="A8062" s="146"/>
      <c r="D8062" s="496"/>
    </row>
    <row r="8063" spans="1:4" x14ac:dyDescent="0.2">
      <c r="A8063" s="146"/>
      <c r="D8063" s="496"/>
    </row>
    <row r="8064" spans="1:4" x14ac:dyDescent="0.2">
      <c r="A8064" s="146"/>
      <c r="D8064" s="496"/>
    </row>
    <row r="8065" spans="1:4" x14ac:dyDescent="0.2">
      <c r="A8065" s="146"/>
      <c r="D8065" s="496"/>
    </row>
    <row r="8066" spans="1:4" x14ac:dyDescent="0.2">
      <c r="A8066" s="146"/>
      <c r="D8066" s="496"/>
    </row>
    <row r="8067" spans="1:4" x14ac:dyDescent="0.2">
      <c r="A8067" s="146"/>
      <c r="D8067" s="496"/>
    </row>
    <row r="8068" spans="1:4" x14ac:dyDescent="0.2">
      <c r="A8068" s="146"/>
      <c r="D8068" s="496"/>
    </row>
    <row r="8069" spans="1:4" x14ac:dyDescent="0.2">
      <c r="A8069" s="146"/>
      <c r="D8069" s="496"/>
    </row>
    <row r="8070" spans="1:4" x14ac:dyDescent="0.2">
      <c r="A8070" s="146"/>
      <c r="D8070" s="496"/>
    </row>
    <row r="8071" spans="1:4" x14ac:dyDescent="0.2">
      <c r="A8071" s="146"/>
      <c r="D8071" s="496"/>
    </row>
    <row r="8072" spans="1:4" x14ac:dyDescent="0.2">
      <c r="A8072" s="146"/>
      <c r="D8072" s="496"/>
    </row>
    <row r="8073" spans="1:4" x14ac:dyDescent="0.2">
      <c r="A8073" s="146"/>
      <c r="D8073" s="496"/>
    </row>
    <row r="8074" spans="1:4" x14ac:dyDescent="0.2">
      <c r="A8074" s="146"/>
      <c r="D8074" s="496"/>
    </row>
    <row r="8075" spans="1:4" x14ac:dyDescent="0.2">
      <c r="A8075" s="146"/>
      <c r="D8075" s="496"/>
    </row>
    <row r="8076" spans="1:4" x14ac:dyDescent="0.2">
      <c r="A8076" s="146"/>
      <c r="D8076" s="496"/>
    </row>
    <row r="8077" spans="1:4" x14ac:dyDescent="0.2">
      <c r="A8077" s="146"/>
      <c r="D8077" s="496"/>
    </row>
    <row r="8078" spans="1:4" x14ac:dyDescent="0.2">
      <c r="A8078" s="146"/>
      <c r="D8078" s="496"/>
    </row>
    <row r="8079" spans="1:4" x14ac:dyDescent="0.2">
      <c r="A8079" s="146"/>
      <c r="D8079" s="496"/>
    </row>
    <row r="8080" spans="1:4" x14ac:dyDescent="0.2">
      <c r="A8080" s="146"/>
      <c r="D8080" s="496"/>
    </row>
    <row r="8081" spans="1:4" x14ac:dyDescent="0.2">
      <c r="A8081" s="146"/>
      <c r="D8081" s="496"/>
    </row>
    <row r="8082" spans="1:4" x14ac:dyDescent="0.2">
      <c r="A8082" s="146"/>
      <c r="D8082" s="496"/>
    </row>
    <row r="8083" spans="1:4" x14ac:dyDescent="0.2">
      <c r="A8083" s="146"/>
      <c r="D8083" s="496"/>
    </row>
    <row r="8084" spans="1:4" x14ac:dyDescent="0.2">
      <c r="A8084" s="146"/>
      <c r="D8084" s="496"/>
    </row>
    <row r="8085" spans="1:4" x14ac:dyDescent="0.2">
      <c r="A8085" s="146"/>
      <c r="D8085" s="496"/>
    </row>
    <row r="8086" spans="1:4" x14ac:dyDescent="0.2">
      <c r="A8086" s="146"/>
      <c r="D8086" s="496"/>
    </row>
    <row r="8087" spans="1:4" x14ac:dyDescent="0.2">
      <c r="A8087" s="146"/>
      <c r="D8087" s="496"/>
    </row>
    <row r="8088" spans="1:4" x14ac:dyDescent="0.2">
      <c r="A8088" s="146"/>
      <c r="D8088" s="496"/>
    </row>
    <row r="8089" spans="1:4" x14ac:dyDescent="0.2">
      <c r="A8089" s="146"/>
      <c r="D8089" s="496"/>
    </row>
    <row r="8090" spans="1:4" x14ac:dyDescent="0.2">
      <c r="A8090" s="146"/>
      <c r="D8090" s="496"/>
    </row>
    <row r="8091" spans="1:4" x14ac:dyDescent="0.2">
      <c r="A8091" s="146"/>
      <c r="D8091" s="496"/>
    </row>
    <row r="8092" spans="1:4" x14ac:dyDescent="0.2">
      <c r="A8092" s="146"/>
      <c r="D8092" s="496"/>
    </row>
    <row r="8093" spans="1:4" x14ac:dyDescent="0.2">
      <c r="A8093" s="146"/>
      <c r="D8093" s="496"/>
    </row>
    <row r="8094" spans="1:4" x14ac:dyDescent="0.2">
      <c r="A8094" s="146"/>
      <c r="D8094" s="496"/>
    </row>
    <row r="8095" spans="1:4" x14ac:dyDescent="0.2">
      <c r="A8095" s="146"/>
      <c r="D8095" s="496"/>
    </row>
    <row r="8096" spans="1:4" x14ac:dyDescent="0.2">
      <c r="A8096" s="146"/>
      <c r="D8096" s="496"/>
    </row>
    <row r="8097" spans="1:4" x14ac:dyDescent="0.2">
      <c r="A8097" s="146"/>
      <c r="D8097" s="496"/>
    </row>
    <row r="8098" spans="1:4" x14ac:dyDescent="0.2">
      <c r="A8098" s="146"/>
      <c r="D8098" s="496"/>
    </row>
    <row r="8099" spans="1:4" x14ac:dyDescent="0.2">
      <c r="A8099" s="146"/>
      <c r="D8099" s="496"/>
    </row>
    <row r="8100" spans="1:4" x14ac:dyDescent="0.2">
      <c r="A8100" s="146"/>
      <c r="D8100" s="496"/>
    </row>
    <row r="8101" spans="1:4" x14ac:dyDescent="0.2">
      <c r="A8101" s="146"/>
      <c r="D8101" s="496"/>
    </row>
    <row r="8102" spans="1:4" x14ac:dyDescent="0.2">
      <c r="A8102" s="146"/>
      <c r="D8102" s="496"/>
    </row>
    <row r="8103" spans="1:4" x14ac:dyDescent="0.2">
      <c r="A8103" s="146"/>
      <c r="D8103" s="496"/>
    </row>
    <row r="8104" spans="1:4" x14ac:dyDescent="0.2">
      <c r="A8104" s="146"/>
      <c r="D8104" s="496"/>
    </row>
    <row r="8105" spans="1:4" x14ac:dyDescent="0.2">
      <c r="A8105" s="146"/>
      <c r="D8105" s="496"/>
    </row>
    <row r="8106" spans="1:4" x14ac:dyDescent="0.2">
      <c r="A8106" s="146"/>
      <c r="D8106" s="496"/>
    </row>
    <row r="8107" spans="1:4" x14ac:dyDescent="0.2">
      <c r="A8107" s="146"/>
      <c r="D8107" s="496"/>
    </row>
    <row r="8108" spans="1:4" x14ac:dyDescent="0.2">
      <c r="A8108" s="146"/>
      <c r="D8108" s="496"/>
    </row>
    <row r="8109" spans="1:4" x14ac:dyDescent="0.2">
      <c r="A8109" s="146"/>
      <c r="D8109" s="496"/>
    </row>
    <row r="8110" spans="1:4" x14ac:dyDescent="0.2">
      <c r="A8110" s="146"/>
      <c r="D8110" s="496"/>
    </row>
    <row r="8111" spans="1:4" x14ac:dyDescent="0.2">
      <c r="A8111" s="146"/>
      <c r="D8111" s="496"/>
    </row>
    <row r="8112" spans="1:4" x14ac:dyDescent="0.2">
      <c r="A8112" s="146"/>
      <c r="D8112" s="496"/>
    </row>
    <row r="8113" spans="1:4" x14ac:dyDescent="0.2">
      <c r="A8113" s="146"/>
      <c r="D8113" s="496"/>
    </row>
    <row r="8114" spans="1:4" x14ac:dyDescent="0.2">
      <c r="A8114" s="146"/>
      <c r="D8114" s="496"/>
    </row>
    <row r="8115" spans="1:4" x14ac:dyDescent="0.2">
      <c r="A8115" s="146"/>
      <c r="D8115" s="496"/>
    </row>
    <row r="8116" spans="1:4" x14ac:dyDescent="0.2">
      <c r="A8116" s="146"/>
      <c r="D8116" s="496"/>
    </row>
    <row r="8117" spans="1:4" x14ac:dyDescent="0.2">
      <c r="A8117" s="146"/>
      <c r="D8117" s="496"/>
    </row>
    <row r="8118" spans="1:4" x14ac:dyDescent="0.2">
      <c r="A8118" s="146"/>
      <c r="D8118" s="496"/>
    </row>
    <row r="8119" spans="1:4" x14ac:dyDescent="0.2">
      <c r="A8119" s="146"/>
      <c r="D8119" s="496"/>
    </row>
    <row r="8120" spans="1:4" x14ac:dyDescent="0.2">
      <c r="A8120" s="146"/>
      <c r="D8120" s="496"/>
    </row>
    <row r="8121" spans="1:4" x14ac:dyDescent="0.2">
      <c r="A8121" s="146"/>
      <c r="D8121" s="496"/>
    </row>
    <row r="8122" spans="1:4" x14ac:dyDescent="0.2">
      <c r="A8122" s="146"/>
      <c r="D8122" s="496"/>
    </row>
    <row r="8123" spans="1:4" x14ac:dyDescent="0.2">
      <c r="A8123" s="146"/>
      <c r="D8123" s="496"/>
    </row>
    <row r="8124" spans="1:4" x14ac:dyDescent="0.2">
      <c r="A8124" s="146"/>
      <c r="D8124" s="496"/>
    </row>
    <row r="8125" spans="1:4" x14ac:dyDescent="0.2">
      <c r="A8125" s="146"/>
      <c r="D8125" s="496"/>
    </row>
    <row r="8126" spans="1:4" x14ac:dyDescent="0.2">
      <c r="A8126" s="146"/>
      <c r="D8126" s="496"/>
    </row>
    <row r="8127" spans="1:4" x14ac:dyDescent="0.2">
      <c r="A8127" s="146"/>
      <c r="D8127" s="496"/>
    </row>
    <row r="8128" spans="1:4" x14ac:dyDescent="0.2">
      <c r="A8128" s="146"/>
      <c r="D8128" s="496"/>
    </row>
    <row r="8129" spans="1:4" x14ac:dyDescent="0.2">
      <c r="A8129" s="146"/>
      <c r="D8129" s="496"/>
    </row>
    <row r="8130" spans="1:4" x14ac:dyDescent="0.2">
      <c r="A8130" s="146"/>
      <c r="D8130" s="496"/>
    </row>
    <row r="8131" spans="1:4" x14ac:dyDescent="0.2">
      <c r="A8131" s="146"/>
      <c r="D8131" s="496"/>
    </row>
    <row r="8132" spans="1:4" x14ac:dyDescent="0.2">
      <c r="A8132" s="146"/>
      <c r="D8132" s="496"/>
    </row>
    <row r="8133" spans="1:4" x14ac:dyDescent="0.2">
      <c r="A8133" s="146"/>
      <c r="D8133" s="496"/>
    </row>
    <row r="8134" spans="1:4" x14ac:dyDescent="0.2">
      <c r="A8134" s="146"/>
      <c r="D8134" s="496"/>
    </row>
    <row r="8135" spans="1:4" x14ac:dyDescent="0.2">
      <c r="A8135" s="146"/>
      <c r="D8135" s="496"/>
    </row>
    <row r="8136" spans="1:4" x14ac:dyDescent="0.2">
      <c r="A8136" s="146"/>
      <c r="D8136" s="496"/>
    </row>
    <row r="8137" spans="1:4" x14ac:dyDescent="0.2">
      <c r="A8137" s="146"/>
      <c r="D8137" s="496"/>
    </row>
    <row r="8138" spans="1:4" x14ac:dyDescent="0.2">
      <c r="A8138" s="146"/>
      <c r="D8138" s="496"/>
    </row>
    <row r="8139" spans="1:4" x14ac:dyDescent="0.2">
      <c r="A8139" s="146"/>
      <c r="D8139" s="496"/>
    </row>
    <row r="8140" spans="1:4" x14ac:dyDescent="0.2">
      <c r="A8140" s="146"/>
      <c r="D8140" s="496"/>
    </row>
    <row r="8141" spans="1:4" x14ac:dyDescent="0.2">
      <c r="A8141" s="146"/>
      <c r="D8141" s="496"/>
    </row>
    <row r="8142" spans="1:4" x14ac:dyDescent="0.2">
      <c r="A8142" s="146"/>
      <c r="D8142" s="496"/>
    </row>
    <row r="8143" spans="1:4" x14ac:dyDescent="0.2">
      <c r="A8143" s="146"/>
      <c r="D8143" s="496"/>
    </row>
    <row r="8144" spans="1:4" x14ac:dyDescent="0.2">
      <c r="A8144" s="146"/>
      <c r="D8144" s="496"/>
    </row>
    <row r="8145" spans="1:4" x14ac:dyDescent="0.2">
      <c r="A8145" s="146"/>
      <c r="D8145" s="496"/>
    </row>
    <row r="8146" spans="1:4" x14ac:dyDescent="0.2">
      <c r="A8146" s="146"/>
      <c r="D8146" s="496"/>
    </row>
    <row r="8147" spans="1:4" x14ac:dyDescent="0.2">
      <c r="A8147" s="146"/>
      <c r="D8147" s="496"/>
    </row>
    <row r="8148" spans="1:4" x14ac:dyDescent="0.2">
      <c r="A8148" s="146"/>
      <c r="D8148" s="496"/>
    </row>
    <row r="8149" spans="1:4" x14ac:dyDescent="0.2">
      <c r="A8149" s="146"/>
      <c r="D8149" s="496"/>
    </row>
    <row r="8150" spans="1:4" x14ac:dyDescent="0.2">
      <c r="A8150" s="146"/>
      <c r="D8150" s="496"/>
    </row>
    <row r="8151" spans="1:4" x14ac:dyDescent="0.2">
      <c r="A8151" s="146"/>
      <c r="D8151" s="496"/>
    </row>
    <row r="8152" spans="1:4" x14ac:dyDescent="0.2">
      <c r="A8152" s="146"/>
      <c r="D8152" s="496"/>
    </row>
    <row r="8153" spans="1:4" x14ac:dyDescent="0.2">
      <c r="A8153" s="146"/>
      <c r="D8153" s="496"/>
    </row>
    <row r="8154" spans="1:4" x14ac:dyDescent="0.2">
      <c r="A8154" s="146"/>
      <c r="D8154" s="496"/>
    </row>
    <row r="8155" spans="1:4" x14ac:dyDescent="0.2">
      <c r="A8155" s="146"/>
      <c r="D8155" s="496"/>
    </row>
    <row r="8156" spans="1:4" x14ac:dyDescent="0.2">
      <c r="A8156" s="146"/>
      <c r="D8156" s="496"/>
    </row>
    <row r="8157" spans="1:4" x14ac:dyDescent="0.2">
      <c r="A8157" s="146"/>
      <c r="D8157" s="496"/>
    </row>
    <row r="8158" spans="1:4" x14ac:dyDescent="0.2">
      <c r="A8158" s="146"/>
      <c r="D8158" s="496"/>
    </row>
    <row r="8159" spans="1:4" x14ac:dyDescent="0.2">
      <c r="A8159" s="146"/>
      <c r="D8159" s="496"/>
    </row>
    <row r="8160" spans="1:4" x14ac:dyDescent="0.2">
      <c r="A8160" s="146"/>
      <c r="D8160" s="496"/>
    </row>
    <row r="8161" spans="1:4" x14ac:dyDescent="0.2">
      <c r="A8161" s="146"/>
      <c r="D8161" s="496"/>
    </row>
    <row r="8162" spans="1:4" x14ac:dyDescent="0.2">
      <c r="A8162" s="146"/>
      <c r="D8162" s="496"/>
    </row>
    <row r="8163" spans="1:4" x14ac:dyDescent="0.2">
      <c r="A8163" s="146"/>
      <c r="D8163" s="496"/>
    </row>
    <row r="8164" spans="1:4" x14ac:dyDescent="0.2">
      <c r="A8164" s="146"/>
      <c r="D8164" s="496"/>
    </row>
    <row r="8165" spans="1:4" x14ac:dyDescent="0.2">
      <c r="A8165" s="146"/>
      <c r="D8165" s="496"/>
    </row>
    <row r="8166" spans="1:4" x14ac:dyDescent="0.2">
      <c r="A8166" s="146"/>
      <c r="D8166" s="496"/>
    </row>
    <row r="8167" spans="1:4" x14ac:dyDescent="0.2">
      <c r="A8167" s="146"/>
      <c r="D8167" s="496"/>
    </row>
    <row r="8168" spans="1:4" x14ac:dyDescent="0.2">
      <c r="A8168" s="146"/>
      <c r="D8168" s="496"/>
    </row>
    <row r="8169" spans="1:4" x14ac:dyDescent="0.2">
      <c r="A8169" s="146"/>
      <c r="D8169" s="496"/>
    </row>
    <row r="8170" spans="1:4" x14ac:dyDescent="0.2">
      <c r="A8170" s="146"/>
      <c r="D8170" s="496"/>
    </row>
    <row r="8171" spans="1:4" x14ac:dyDescent="0.2">
      <c r="A8171" s="146"/>
      <c r="D8171" s="496"/>
    </row>
    <row r="8172" spans="1:4" x14ac:dyDescent="0.2">
      <c r="A8172" s="146"/>
      <c r="D8172" s="496"/>
    </row>
    <row r="8173" spans="1:4" x14ac:dyDescent="0.2">
      <c r="A8173" s="146"/>
      <c r="D8173" s="496"/>
    </row>
    <row r="8174" spans="1:4" x14ac:dyDescent="0.2">
      <c r="A8174" s="146"/>
      <c r="D8174" s="496"/>
    </row>
    <row r="8175" spans="1:4" x14ac:dyDescent="0.2">
      <c r="A8175" s="146"/>
      <c r="D8175" s="496"/>
    </row>
    <row r="8176" spans="1:4" x14ac:dyDescent="0.2">
      <c r="A8176" s="146"/>
      <c r="D8176" s="496"/>
    </row>
    <row r="8177" spans="1:4" x14ac:dyDescent="0.2">
      <c r="A8177" s="146"/>
      <c r="D8177" s="496"/>
    </row>
    <row r="8178" spans="1:4" x14ac:dyDescent="0.2">
      <c r="A8178" s="146"/>
      <c r="D8178" s="496"/>
    </row>
    <row r="8179" spans="1:4" x14ac:dyDescent="0.2">
      <c r="A8179" s="146"/>
      <c r="D8179" s="496"/>
    </row>
    <row r="8180" spans="1:4" x14ac:dyDescent="0.2">
      <c r="A8180" s="146"/>
      <c r="D8180" s="496"/>
    </row>
    <row r="8181" spans="1:4" x14ac:dyDescent="0.2">
      <c r="A8181" s="146"/>
      <c r="D8181" s="496"/>
    </row>
    <row r="8182" spans="1:4" x14ac:dyDescent="0.2">
      <c r="A8182" s="146"/>
      <c r="D8182" s="496"/>
    </row>
    <row r="8183" spans="1:4" x14ac:dyDescent="0.2">
      <c r="A8183" s="146"/>
      <c r="D8183" s="496"/>
    </row>
    <row r="8184" spans="1:4" x14ac:dyDescent="0.2">
      <c r="A8184" s="146"/>
      <c r="D8184" s="496"/>
    </row>
    <row r="8185" spans="1:4" x14ac:dyDescent="0.2">
      <c r="A8185" s="146"/>
      <c r="D8185" s="496"/>
    </row>
    <row r="8186" spans="1:4" x14ac:dyDescent="0.2">
      <c r="A8186" s="146"/>
      <c r="D8186" s="496"/>
    </row>
    <row r="8187" spans="1:4" x14ac:dyDescent="0.2">
      <c r="A8187" s="146"/>
      <c r="D8187" s="496"/>
    </row>
    <row r="8188" spans="1:4" x14ac:dyDescent="0.2">
      <c r="A8188" s="146"/>
      <c r="D8188" s="496"/>
    </row>
    <row r="8189" spans="1:4" x14ac:dyDescent="0.2">
      <c r="A8189" s="146"/>
      <c r="D8189" s="496"/>
    </row>
    <row r="8190" spans="1:4" x14ac:dyDescent="0.2">
      <c r="A8190" s="146"/>
      <c r="D8190" s="496"/>
    </row>
    <row r="8191" spans="1:4" x14ac:dyDescent="0.2">
      <c r="A8191" s="146"/>
      <c r="D8191" s="496"/>
    </row>
    <row r="8192" spans="1:4" x14ac:dyDescent="0.2">
      <c r="A8192" s="146"/>
      <c r="D8192" s="496"/>
    </row>
    <row r="8193" spans="1:4" x14ac:dyDescent="0.2">
      <c r="A8193" s="146"/>
      <c r="D8193" s="496"/>
    </row>
    <row r="8194" spans="1:4" x14ac:dyDescent="0.2">
      <c r="A8194" s="146"/>
      <c r="D8194" s="496"/>
    </row>
    <row r="8195" spans="1:4" x14ac:dyDescent="0.2">
      <c r="A8195" s="146"/>
      <c r="D8195" s="496"/>
    </row>
    <row r="8196" spans="1:4" x14ac:dyDescent="0.2">
      <c r="A8196" s="146"/>
      <c r="D8196" s="496"/>
    </row>
    <row r="8197" spans="1:4" x14ac:dyDescent="0.2">
      <c r="A8197" s="146"/>
      <c r="D8197" s="496"/>
    </row>
    <row r="8198" spans="1:4" x14ac:dyDescent="0.2">
      <c r="A8198" s="146"/>
      <c r="D8198" s="496"/>
    </row>
    <row r="8199" spans="1:4" x14ac:dyDescent="0.2">
      <c r="A8199" s="146"/>
      <c r="D8199" s="496"/>
    </row>
    <row r="8200" spans="1:4" x14ac:dyDescent="0.2">
      <c r="A8200" s="146"/>
      <c r="D8200" s="496"/>
    </row>
    <row r="8201" spans="1:4" x14ac:dyDescent="0.2">
      <c r="A8201" s="146"/>
      <c r="D8201" s="496"/>
    </row>
    <row r="8202" spans="1:4" x14ac:dyDescent="0.2">
      <c r="A8202" s="146"/>
      <c r="D8202" s="496"/>
    </row>
    <row r="8203" spans="1:4" x14ac:dyDescent="0.2">
      <c r="A8203" s="146"/>
      <c r="D8203" s="496"/>
    </row>
    <row r="8204" spans="1:4" x14ac:dyDescent="0.2">
      <c r="A8204" s="146"/>
      <c r="D8204" s="496"/>
    </row>
    <row r="8205" spans="1:4" x14ac:dyDescent="0.2">
      <c r="A8205" s="146"/>
      <c r="D8205" s="496"/>
    </row>
    <row r="8206" spans="1:4" x14ac:dyDescent="0.2">
      <c r="A8206" s="146"/>
      <c r="D8206" s="496"/>
    </row>
    <row r="8207" spans="1:4" x14ac:dyDescent="0.2">
      <c r="A8207" s="146"/>
      <c r="D8207" s="496"/>
    </row>
    <row r="8208" spans="1:4" x14ac:dyDescent="0.2">
      <c r="A8208" s="146"/>
      <c r="D8208" s="496"/>
    </row>
    <row r="8209" spans="1:4" x14ac:dyDescent="0.2">
      <c r="A8209" s="146"/>
      <c r="D8209" s="496"/>
    </row>
    <row r="8210" spans="1:4" x14ac:dyDescent="0.2">
      <c r="A8210" s="146"/>
      <c r="D8210" s="496"/>
    </row>
    <row r="8211" spans="1:4" x14ac:dyDescent="0.2">
      <c r="A8211" s="146"/>
      <c r="D8211" s="496"/>
    </row>
    <row r="8212" spans="1:4" x14ac:dyDescent="0.2">
      <c r="A8212" s="146"/>
      <c r="D8212" s="496"/>
    </row>
    <row r="8213" spans="1:4" x14ac:dyDescent="0.2">
      <c r="A8213" s="146"/>
      <c r="D8213" s="496"/>
    </row>
    <row r="8214" spans="1:4" x14ac:dyDescent="0.2">
      <c r="A8214" s="146"/>
      <c r="D8214" s="496"/>
    </row>
    <row r="8215" spans="1:4" x14ac:dyDescent="0.2">
      <c r="A8215" s="146"/>
      <c r="D8215" s="496"/>
    </row>
    <row r="8216" spans="1:4" x14ac:dyDescent="0.2">
      <c r="A8216" s="146"/>
      <c r="D8216" s="496"/>
    </row>
    <row r="8217" spans="1:4" x14ac:dyDescent="0.2">
      <c r="A8217" s="146"/>
      <c r="D8217" s="496"/>
    </row>
    <row r="8218" spans="1:4" x14ac:dyDescent="0.2">
      <c r="A8218" s="146"/>
      <c r="D8218" s="496"/>
    </row>
    <row r="8219" spans="1:4" x14ac:dyDescent="0.2">
      <c r="A8219" s="146"/>
      <c r="D8219" s="496"/>
    </row>
    <row r="8220" spans="1:4" x14ac:dyDescent="0.2">
      <c r="A8220" s="146"/>
      <c r="D8220" s="496"/>
    </row>
    <row r="8221" spans="1:4" x14ac:dyDescent="0.2">
      <c r="A8221" s="146"/>
      <c r="D8221" s="496"/>
    </row>
    <row r="8222" spans="1:4" x14ac:dyDescent="0.2">
      <c r="A8222" s="146"/>
      <c r="D8222" s="496"/>
    </row>
    <row r="8223" spans="1:4" x14ac:dyDescent="0.2">
      <c r="A8223" s="146"/>
      <c r="D8223" s="496"/>
    </row>
    <row r="8224" spans="1:4" x14ac:dyDescent="0.2">
      <c r="A8224" s="146"/>
      <c r="D8224" s="496"/>
    </row>
    <row r="8225" spans="1:4" x14ac:dyDescent="0.2">
      <c r="A8225" s="146"/>
      <c r="D8225" s="496"/>
    </row>
    <row r="8226" spans="1:4" x14ac:dyDescent="0.2">
      <c r="A8226" s="146"/>
      <c r="D8226" s="496"/>
    </row>
    <row r="8227" spans="1:4" x14ac:dyDescent="0.2">
      <c r="A8227" s="146"/>
      <c r="D8227" s="496"/>
    </row>
    <row r="8228" spans="1:4" x14ac:dyDescent="0.2">
      <c r="A8228" s="146"/>
      <c r="D8228" s="496"/>
    </row>
    <row r="8229" spans="1:4" x14ac:dyDescent="0.2">
      <c r="A8229" s="146"/>
      <c r="D8229" s="496"/>
    </row>
    <row r="8230" spans="1:4" x14ac:dyDescent="0.2">
      <c r="A8230" s="146"/>
      <c r="D8230" s="496"/>
    </row>
    <row r="8231" spans="1:4" x14ac:dyDescent="0.2">
      <c r="A8231" s="146"/>
      <c r="D8231" s="496"/>
    </row>
    <row r="8232" spans="1:4" x14ac:dyDescent="0.2">
      <c r="A8232" s="146"/>
      <c r="D8232" s="496"/>
    </row>
    <row r="8233" spans="1:4" x14ac:dyDescent="0.2">
      <c r="A8233" s="146"/>
      <c r="D8233" s="496"/>
    </row>
    <row r="8234" spans="1:4" x14ac:dyDescent="0.2">
      <c r="A8234" s="146"/>
      <c r="D8234" s="496"/>
    </row>
    <row r="8235" spans="1:4" x14ac:dyDescent="0.2">
      <c r="A8235" s="146"/>
      <c r="D8235" s="496"/>
    </row>
    <row r="8236" spans="1:4" x14ac:dyDescent="0.2">
      <c r="A8236" s="146"/>
      <c r="D8236" s="496"/>
    </row>
    <row r="8237" spans="1:4" x14ac:dyDescent="0.2">
      <c r="A8237" s="146"/>
      <c r="D8237" s="496"/>
    </row>
    <row r="8238" spans="1:4" x14ac:dyDescent="0.2">
      <c r="A8238" s="146"/>
      <c r="D8238" s="496"/>
    </row>
    <row r="8239" spans="1:4" x14ac:dyDescent="0.2">
      <c r="A8239" s="146"/>
      <c r="D8239" s="496"/>
    </row>
    <row r="8240" spans="1:4" x14ac:dyDescent="0.2">
      <c r="A8240" s="146"/>
      <c r="D8240" s="496"/>
    </row>
    <row r="8241" spans="1:4" x14ac:dyDescent="0.2">
      <c r="A8241" s="146"/>
      <c r="D8241" s="496"/>
    </row>
    <row r="8242" spans="1:4" x14ac:dyDescent="0.2">
      <c r="A8242" s="146"/>
      <c r="D8242" s="496"/>
    </row>
    <row r="8243" spans="1:4" x14ac:dyDescent="0.2">
      <c r="A8243" s="146"/>
      <c r="D8243" s="496"/>
    </row>
    <row r="8244" spans="1:4" x14ac:dyDescent="0.2">
      <c r="A8244" s="146"/>
      <c r="D8244" s="496"/>
    </row>
    <row r="8245" spans="1:4" x14ac:dyDescent="0.2">
      <c r="A8245" s="146"/>
      <c r="D8245" s="496"/>
    </row>
    <row r="8246" spans="1:4" x14ac:dyDescent="0.2">
      <c r="A8246" s="146"/>
      <c r="D8246" s="496"/>
    </row>
    <row r="8247" spans="1:4" x14ac:dyDescent="0.2">
      <c r="A8247" s="146"/>
      <c r="D8247" s="496"/>
    </row>
    <row r="8248" spans="1:4" x14ac:dyDescent="0.2">
      <c r="A8248" s="146"/>
      <c r="D8248" s="496"/>
    </row>
    <row r="8249" spans="1:4" x14ac:dyDescent="0.2">
      <c r="A8249" s="146"/>
      <c r="D8249" s="496"/>
    </row>
    <row r="8250" spans="1:4" x14ac:dyDescent="0.2">
      <c r="A8250" s="146"/>
      <c r="D8250" s="496"/>
    </row>
    <row r="8251" spans="1:4" x14ac:dyDescent="0.2">
      <c r="A8251" s="146"/>
      <c r="D8251" s="496"/>
    </row>
    <row r="8252" spans="1:4" x14ac:dyDescent="0.2">
      <c r="A8252" s="146"/>
      <c r="D8252" s="496"/>
    </row>
    <row r="8253" spans="1:4" x14ac:dyDescent="0.2">
      <c r="A8253" s="146"/>
      <c r="D8253" s="496"/>
    </row>
    <row r="8254" spans="1:4" x14ac:dyDescent="0.2">
      <c r="A8254" s="146"/>
      <c r="D8254" s="496"/>
    </row>
    <row r="8255" spans="1:4" x14ac:dyDescent="0.2">
      <c r="A8255" s="146"/>
      <c r="D8255" s="496"/>
    </row>
    <row r="8256" spans="1:4" x14ac:dyDescent="0.2">
      <c r="A8256" s="146"/>
      <c r="D8256" s="496"/>
    </row>
    <row r="8257" spans="1:4" x14ac:dyDescent="0.2">
      <c r="A8257" s="146"/>
      <c r="D8257" s="496"/>
    </row>
    <row r="8258" spans="1:4" x14ac:dyDescent="0.2">
      <c r="A8258" s="146"/>
      <c r="D8258" s="496"/>
    </row>
    <row r="8259" spans="1:4" x14ac:dyDescent="0.2">
      <c r="A8259" s="146"/>
      <c r="D8259" s="496"/>
    </row>
    <row r="8260" spans="1:4" x14ac:dyDescent="0.2">
      <c r="A8260" s="146"/>
      <c r="D8260" s="496"/>
    </row>
    <row r="8261" spans="1:4" x14ac:dyDescent="0.2">
      <c r="A8261" s="146"/>
      <c r="D8261" s="496"/>
    </row>
    <row r="8262" spans="1:4" x14ac:dyDescent="0.2">
      <c r="A8262" s="146"/>
      <c r="D8262" s="496"/>
    </row>
    <row r="8263" spans="1:4" x14ac:dyDescent="0.2">
      <c r="A8263" s="146"/>
      <c r="D8263" s="496"/>
    </row>
    <row r="8264" spans="1:4" x14ac:dyDescent="0.2">
      <c r="A8264" s="146"/>
      <c r="D8264" s="496"/>
    </row>
    <row r="8265" spans="1:4" x14ac:dyDescent="0.2">
      <c r="A8265" s="146"/>
      <c r="D8265" s="496"/>
    </row>
    <row r="8266" spans="1:4" x14ac:dyDescent="0.2">
      <c r="A8266" s="146"/>
      <c r="D8266" s="496"/>
    </row>
    <row r="8267" spans="1:4" x14ac:dyDescent="0.2">
      <c r="A8267" s="146"/>
      <c r="D8267" s="496"/>
    </row>
    <row r="8268" spans="1:4" x14ac:dyDescent="0.2">
      <c r="A8268" s="146"/>
      <c r="D8268" s="496"/>
    </row>
    <row r="8269" spans="1:4" x14ac:dyDescent="0.2">
      <c r="A8269" s="146"/>
      <c r="D8269" s="496"/>
    </row>
    <row r="8270" spans="1:4" x14ac:dyDescent="0.2">
      <c r="A8270" s="146"/>
      <c r="D8270" s="496"/>
    </row>
    <row r="8271" spans="1:4" x14ac:dyDescent="0.2">
      <c r="A8271" s="146"/>
      <c r="D8271" s="496"/>
    </row>
    <row r="8272" spans="1:4" x14ac:dyDescent="0.2">
      <c r="A8272" s="146"/>
      <c r="D8272" s="496"/>
    </row>
    <row r="8273" spans="1:4" x14ac:dyDescent="0.2">
      <c r="A8273" s="146"/>
      <c r="D8273" s="496"/>
    </row>
    <row r="8274" spans="1:4" x14ac:dyDescent="0.2">
      <c r="A8274" s="146"/>
      <c r="D8274" s="496"/>
    </row>
    <row r="8275" spans="1:4" x14ac:dyDescent="0.2">
      <c r="A8275" s="146"/>
      <c r="D8275" s="496"/>
    </row>
    <row r="8276" spans="1:4" x14ac:dyDescent="0.2">
      <c r="A8276" s="146"/>
      <c r="D8276" s="496"/>
    </row>
    <row r="8277" spans="1:4" x14ac:dyDescent="0.2">
      <c r="A8277" s="146"/>
      <c r="D8277" s="496"/>
    </row>
    <row r="8278" spans="1:4" x14ac:dyDescent="0.2">
      <c r="A8278" s="146"/>
      <c r="D8278" s="496"/>
    </row>
    <row r="8279" spans="1:4" x14ac:dyDescent="0.2">
      <c r="A8279" s="146"/>
      <c r="D8279" s="496"/>
    </row>
    <row r="8280" spans="1:4" x14ac:dyDescent="0.2">
      <c r="A8280" s="146"/>
      <c r="D8280" s="496"/>
    </row>
    <row r="8281" spans="1:4" x14ac:dyDescent="0.2">
      <c r="A8281" s="146"/>
      <c r="D8281" s="496"/>
    </row>
    <row r="8282" spans="1:4" x14ac:dyDescent="0.2">
      <c r="A8282" s="146"/>
      <c r="D8282" s="496"/>
    </row>
    <row r="8283" spans="1:4" x14ac:dyDescent="0.2">
      <c r="A8283" s="146"/>
      <c r="D8283" s="496"/>
    </row>
    <row r="8284" spans="1:4" x14ac:dyDescent="0.2">
      <c r="A8284" s="146"/>
      <c r="D8284" s="496"/>
    </row>
    <row r="8285" spans="1:4" x14ac:dyDescent="0.2">
      <c r="A8285" s="146"/>
      <c r="D8285" s="496"/>
    </row>
    <row r="8286" spans="1:4" x14ac:dyDescent="0.2">
      <c r="A8286" s="146"/>
      <c r="D8286" s="496"/>
    </row>
    <row r="8287" spans="1:4" x14ac:dyDescent="0.2">
      <c r="A8287" s="146"/>
      <c r="D8287" s="496"/>
    </row>
    <row r="8288" spans="1:4" x14ac:dyDescent="0.2">
      <c r="A8288" s="146"/>
      <c r="D8288" s="496"/>
    </row>
    <row r="8289" spans="1:4" x14ac:dyDescent="0.2">
      <c r="A8289" s="146"/>
      <c r="D8289" s="496"/>
    </row>
    <row r="8290" spans="1:4" x14ac:dyDescent="0.2">
      <c r="A8290" s="146"/>
      <c r="D8290" s="496"/>
    </row>
    <row r="8291" spans="1:4" x14ac:dyDescent="0.2">
      <c r="A8291" s="146"/>
      <c r="D8291" s="496"/>
    </row>
    <row r="8292" spans="1:4" x14ac:dyDescent="0.2">
      <c r="A8292" s="146"/>
      <c r="D8292" s="496"/>
    </row>
    <row r="8293" spans="1:4" x14ac:dyDescent="0.2">
      <c r="A8293" s="146"/>
      <c r="D8293" s="496"/>
    </row>
    <row r="8294" spans="1:4" x14ac:dyDescent="0.2">
      <c r="A8294" s="146"/>
      <c r="D8294" s="496"/>
    </row>
    <row r="8295" spans="1:4" x14ac:dyDescent="0.2">
      <c r="A8295" s="146"/>
      <c r="D8295" s="496"/>
    </row>
    <row r="8296" spans="1:4" x14ac:dyDescent="0.2">
      <c r="A8296" s="146"/>
      <c r="D8296" s="496"/>
    </row>
    <row r="8297" spans="1:4" x14ac:dyDescent="0.2">
      <c r="A8297" s="146"/>
      <c r="D8297" s="496"/>
    </row>
    <row r="8298" spans="1:4" x14ac:dyDescent="0.2">
      <c r="A8298" s="146"/>
      <c r="D8298" s="496"/>
    </row>
    <row r="8299" spans="1:4" x14ac:dyDescent="0.2">
      <c r="A8299" s="146"/>
      <c r="D8299" s="496"/>
    </row>
    <row r="8300" spans="1:4" x14ac:dyDescent="0.2">
      <c r="A8300" s="146"/>
      <c r="D8300" s="496"/>
    </row>
    <row r="8301" spans="1:4" x14ac:dyDescent="0.2">
      <c r="A8301" s="146"/>
      <c r="D8301" s="496"/>
    </row>
    <row r="8302" spans="1:4" x14ac:dyDescent="0.2">
      <c r="A8302" s="146"/>
      <c r="D8302" s="496"/>
    </row>
    <row r="8303" spans="1:4" x14ac:dyDescent="0.2">
      <c r="A8303" s="146"/>
      <c r="D8303" s="496"/>
    </row>
    <row r="8304" spans="1:4" x14ac:dyDescent="0.2">
      <c r="A8304" s="146"/>
      <c r="D8304" s="496"/>
    </row>
    <row r="8305" spans="1:4" x14ac:dyDescent="0.2">
      <c r="A8305" s="146"/>
      <c r="D8305" s="496"/>
    </row>
    <row r="8306" spans="1:4" x14ac:dyDescent="0.2">
      <c r="A8306" s="146"/>
      <c r="D8306" s="496"/>
    </row>
    <row r="8307" spans="1:4" x14ac:dyDescent="0.2">
      <c r="A8307" s="146"/>
      <c r="D8307" s="496"/>
    </row>
    <row r="8308" spans="1:4" x14ac:dyDescent="0.2">
      <c r="A8308" s="146"/>
      <c r="D8308" s="496"/>
    </row>
    <row r="8309" spans="1:4" x14ac:dyDescent="0.2">
      <c r="A8309" s="146"/>
      <c r="D8309" s="496"/>
    </row>
    <row r="8310" spans="1:4" x14ac:dyDescent="0.2">
      <c r="A8310" s="146"/>
      <c r="D8310" s="496"/>
    </row>
    <row r="8311" spans="1:4" x14ac:dyDescent="0.2">
      <c r="A8311" s="146"/>
      <c r="D8311" s="496"/>
    </row>
    <row r="8312" spans="1:4" x14ac:dyDescent="0.2">
      <c r="A8312" s="146"/>
      <c r="D8312" s="496"/>
    </row>
    <row r="8313" spans="1:4" x14ac:dyDescent="0.2">
      <c r="A8313" s="146"/>
      <c r="D8313" s="496"/>
    </row>
    <row r="8314" spans="1:4" x14ac:dyDescent="0.2">
      <c r="A8314" s="146"/>
      <c r="D8314" s="496"/>
    </row>
    <row r="8315" spans="1:4" x14ac:dyDescent="0.2">
      <c r="A8315" s="146"/>
      <c r="D8315" s="496"/>
    </row>
    <row r="8316" spans="1:4" x14ac:dyDescent="0.2">
      <c r="A8316" s="146"/>
      <c r="D8316" s="496"/>
    </row>
    <row r="8317" spans="1:4" x14ac:dyDescent="0.2">
      <c r="A8317" s="146"/>
      <c r="D8317" s="496"/>
    </row>
    <row r="8318" spans="1:4" x14ac:dyDescent="0.2">
      <c r="A8318" s="146"/>
      <c r="D8318" s="496"/>
    </row>
    <row r="8319" spans="1:4" x14ac:dyDescent="0.2">
      <c r="A8319" s="146"/>
      <c r="D8319" s="496"/>
    </row>
    <row r="8320" spans="1:4" x14ac:dyDescent="0.2">
      <c r="A8320" s="146"/>
      <c r="D8320" s="496"/>
    </row>
    <row r="8321" spans="1:4" x14ac:dyDescent="0.2">
      <c r="A8321" s="146"/>
      <c r="D8321" s="496"/>
    </row>
    <row r="8322" spans="1:4" x14ac:dyDescent="0.2">
      <c r="A8322" s="146"/>
      <c r="D8322" s="496"/>
    </row>
    <row r="8323" spans="1:4" x14ac:dyDescent="0.2">
      <c r="A8323" s="146"/>
      <c r="D8323" s="496"/>
    </row>
    <row r="8324" spans="1:4" x14ac:dyDescent="0.2">
      <c r="A8324" s="146"/>
      <c r="D8324" s="496"/>
    </row>
    <row r="8325" spans="1:4" x14ac:dyDescent="0.2">
      <c r="A8325" s="146"/>
      <c r="D8325" s="496"/>
    </row>
    <row r="8326" spans="1:4" x14ac:dyDescent="0.2">
      <c r="A8326" s="146"/>
      <c r="D8326" s="496"/>
    </row>
    <row r="8327" spans="1:4" x14ac:dyDescent="0.2">
      <c r="A8327" s="146"/>
      <c r="D8327" s="496"/>
    </row>
    <row r="8328" spans="1:4" x14ac:dyDescent="0.2">
      <c r="A8328" s="146"/>
      <c r="D8328" s="496"/>
    </row>
    <row r="8329" spans="1:4" x14ac:dyDescent="0.2">
      <c r="A8329" s="146"/>
      <c r="D8329" s="496"/>
    </row>
    <row r="8330" spans="1:4" x14ac:dyDescent="0.2">
      <c r="A8330" s="146"/>
      <c r="D8330" s="496"/>
    </row>
    <row r="8331" spans="1:4" x14ac:dyDescent="0.2">
      <c r="A8331" s="146"/>
      <c r="D8331" s="496"/>
    </row>
    <row r="8332" spans="1:4" x14ac:dyDescent="0.2">
      <c r="A8332" s="146"/>
      <c r="D8332" s="496"/>
    </row>
    <row r="8333" spans="1:4" x14ac:dyDescent="0.2">
      <c r="A8333" s="146"/>
      <c r="D8333" s="496"/>
    </row>
    <row r="8334" spans="1:4" x14ac:dyDescent="0.2">
      <c r="A8334" s="146"/>
      <c r="D8334" s="496"/>
    </row>
    <row r="8335" spans="1:4" x14ac:dyDescent="0.2">
      <c r="A8335" s="146"/>
      <c r="D8335" s="496"/>
    </row>
    <row r="8336" spans="1:4" x14ac:dyDescent="0.2">
      <c r="A8336" s="146"/>
      <c r="D8336" s="496"/>
    </row>
    <row r="8337" spans="1:4" x14ac:dyDescent="0.2">
      <c r="A8337" s="146"/>
      <c r="D8337" s="496"/>
    </row>
    <row r="8338" spans="1:4" x14ac:dyDescent="0.2">
      <c r="A8338" s="146"/>
      <c r="D8338" s="496"/>
    </row>
    <row r="8339" spans="1:4" x14ac:dyDescent="0.2">
      <c r="A8339" s="146"/>
      <c r="D8339" s="496"/>
    </row>
    <row r="8340" spans="1:4" x14ac:dyDescent="0.2">
      <c r="A8340" s="146"/>
      <c r="D8340" s="496"/>
    </row>
    <row r="8341" spans="1:4" x14ac:dyDescent="0.2">
      <c r="A8341" s="146"/>
      <c r="D8341" s="496"/>
    </row>
    <row r="8342" spans="1:4" x14ac:dyDescent="0.2">
      <c r="A8342" s="146"/>
      <c r="D8342" s="496"/>
    </row>
    <row r="8343" spans="1:4" x14ac:dyDescent="0.2">
      <c r="A8343" s="146"/>
      <c r="D8343" s="496"/>
    </row>
    <row r="8344" spans="1:4" x14ac:dyDescent="0.2">
      <c r="A8344" s="146"/>
      <c r="D8344" s="496"/>
    </row>
    <row r="8345" spans="1:4" x14ac:dyDescent="0.2">
      <c r="A8345" s="146"/>
      <c r="D8345" s="496"/>
    </row>
    <row r="8346" spans="1:4" x14ac:dyDescent="0.2">
      <c r="A8346" s="146"/>
      <c r="D8346" s="496"/>
    </row>
    <row r="8347" spans="1:4" x14ac:dyDescent="0.2">
      <c r="A8347" s="146"/>
      <c r="D8347" s="496"/>
    </row>
    <row r="8348" spans="1:4" x14ac:dyDescent="0.2">
      <c r="A8348" s="146"/>
      <c r="D8348" s="496"/>
    </row>
    <row r="8349" spans="1:4" x14ac:dyDescent="0.2">
      <c r="A8349" s="146"/>
      <c r="D8349" s="496"/>
    </row>
    <row r="8350" spans="1:4" x14ac:dyDescent="0.2">
      <c r="A8350" s="146"/>
      <c r="D8350" s="496"/>
    </row>
    <row r="8351" spans="1:4" x14ac:dyDescent="0.2">
      <c r="A8351" s="146"/>
      <c r="D8351" s="496"/>
    </row>
    <row r="8352" spans="1:4" x14ac:dyDescent="0.2">
      <c r="A8352" s="146"/>
      <c r="D8352" s="496"/>
    </row>
    <row r="8353" spans="1:4" x14ac:dyDescent="0.2">
      <c r="A8353" s="146"/>
      <c r="D8353" s="496"/>
    </row>
    <row r="8354" spans="1:4" x14ac:dyDescent="0.2">
      <c r="A8354" s="146"/>
      <c r="D8354" s="496"/>
    </row>
    <row r="8355" spans="1:4" x14ac:dyDescent="0.2">
      <c r="A8355" s="146"/>
      <c r="D8355" s="496"/>
    </row>
    <row r="8356" spans="1:4" x14ac:dyDescent="0.2">
      <c r="A8356" s="146"/>
      <c r="D8356" s="496"/>
    </row>
    <row r="8357" spans="1:4" x14ac:dyDescent="0.2">
      <c r="A8357" s="146"/>
      <c r="D8357" s="496"/>
    </row>
    <row r="8358" spans="1:4" x14ac:dyDescent="0.2">
      <c r="A8358" s="146"/>
      <c r="D8358" s="496"/>
    </row>
    <row r="8359" spans="1:4" x14ac:dyDescent="0.2">
      <c r="A8359" s="146"/>
      <c r="D8359" s="496"/>
    </row>
    <row r="8360" spans="1:4" x14ac:dyDescent="0.2">
      <c r="A8360" s="146"/>
      <c r="D8360" s="496"/>
    </row>
    <row r="8361" spans="1:4" x14ac:dyDescent="0.2">
      <c r="A8361" s="146"/>
      <c r="D8361" s="496"/>
    </row>
    <row r="8362" spans="1:4" x14ac:dyDescent="0.2">
      <c r="A8362" s="146"/>
      <c r="D8362" s="496"/>
    </row>
    <row r="8363" spans="1:4" x14ac:dyDescent="0.2">
      <c r="A8363" s="146"/>
      <c r="D8363" s="496"/>
    </row>
    <row r="8364" spans="1:4" x14ac:dyDescent="0.2">
      <c r="A8364" s="146"/>
      <c r="D8364" s="496"/>
    </row>
    <row r="8365" spans="1:4" x14ac:dyDescent="0.2">
      <c r="A8365" s="146"/>
      <c r="D8365" s="496"/>
    </row>
    <row r="8366" spans="1:4" x14ac:dyDescent="0.2">
      <c r="A8366" s="146"/>
      <c r="D8366" s="496"/>
    </row>
    <row r="8367" spans="1:4" x14ac:dyDescent="0.2">
      <c r="A8367" s="146"/>
      <c r="D8367" s="496"/>
    </row>
    <row r="8368" spans="1:4" x14ac:dyDescent="0.2">
      <c r="A8368" s="146"/>
      <c r="D8368" s="496"/>
    </row>
    <row r="8369" spans="1:4" x14ac:dyDescent="0.2">
      <c r="A8369" s="146"/>
      <c r="D8369" s="496"/>
    </row>
    <row r="8370" spans="1:4" x14ac:dyDescent="0.2">
      <c r="A8370" s="146"/>
      <c r="D8370" s="496"/>
    </row>
    <row r="8371" spans="1:4" x14ac:dyDescent="0.2">
      <c r="A8371" s="146"/>
      <c r="D8371" s="496"/>
    </row>
    <row r="8372" spans="1:4" x14ac:dyDescent="0.2">
      <c r="A8372" s="146"/>
      <c r="D8372" s="496"/>
    </row>
    <row r="8373" spans="1:4" x14ac:dyDescent="0.2">
      <c r="A8373" s="146"/>
      <c r="D8373" s="496"/>
    </row>
    <row r="8374" spans="1:4" x14ac:dyDescent="0.2">
      <c r="A8374" s="146"/>
      <c r="D8374" s="496"/>
    </row>
    <row r="8375" spans="1:4" x14ac:dyDescent="0.2">
      <c r="A8375" s="146"/>
      <c r="D8375" s="496"/>
    </row>
    <row r="8376" spans="1:4" x14ac:dyDescent="0.2">
      <c r="A8376" s="146"/>
      <c r="D8376" s="496"/>
    </row>
    <row r="8377" spans="1:4" x14ac:dyDescent="0.2">
      <c r="A8377" s="146"/>
      <c r="D8377" s="496"/>
    </row>
    <row r="8378" spans="1:4" x14ac:dyDescent="0.2">
      <c r="A8378" s="146"/>
      <c r="D8378" s="496"/>
    </row>
    <row r="8379" spans="1:4" x14ac:dyDescent="0.2">
      <c r="A8379" s="146"/>
      <c r="D8379" s="496"/>
    </row>
    <row r="8380" spans="1:4" x14ac:dyDescent="0.2">
      <c r="A8380" s="146"/>
      <c r="D8380" s="496"/>
    </row>
    <row r="8381" spans="1:4" x14ac:dyDescent="0.2">
      <c r="A8381" s="146"/>
      <c r="D8381" s="496"/>
    </row>
    <row r="8382" spans="1:4" x14ac:dyDescent="0.2">
      <c r="A8382" s="146"/>
      <c r="D8382" s="496"/>
    </row>
    <row r="8383" spans="1:4" x14ac:dyDescent="0.2">
      <c r="A8383" s="146"/>
      <c r="D8383" s="496"/>
    </row>
    <row r="8384" spans="1:4" x14ac:dyDescent="0.2">
      <c r="A8384" s="146"/>
      <c r="D8384" s="496"/>
    </row>
    <row r="8385" spans="1:4" x14ac:dyDescent="0.2">
      <c r="A8385" s="146"/>
      <c r="D8385" s="496"/>
    </row>
    <row r="8386" spans="1:4" x14ac:dyDescent="0.2">
      <c r="A8386" s="146"/>
      <c r="D8386" s="496"/>
    </row>
    <row r="8387" spans="1:4" x14ac:dyDescent="0.2">
      <c r="A8387" s="146"/>
      <c r="D8387" s="496"/>
    </row>
    <row r="8388" spans="1:4" x14ac:dyDescent="0.2">
      <c r="A8388" s="146"/>
      <c r="D8388" s="496"/>
    </row>
    <row r="8389" spans="1:4" x14ac:dyDescent="0.2">
      <c r="A8389" s="146"/>
      <c r="D8389" s="496"/>
    </row>
    <row r="8390" spans="1:4" x14ac:dyDescent="0.2">
      <c r="A8390" s="146"/>
      <c r="D8390" s="496"/>
    </row>
    <row r="8391" spans="1:4" x14ac:dyDescent="0.2">
      <c r="A8391" s="146"/>
      <c r="D8391" s="496"/>
    </row>
    <row r="8392" spans="1:4" x14ac:dyDescent="0.2">
      <c r="A8392" s="146"/>
      <c r="D8392" s="496"/>
    </row>
    <row r="8393" spans="1:4" x14ac:dyDescent="0.2">
      <c r="A8393" s="146"/>
      <c r="D8393" s="496"/>
    </row>
    <row r="8394" spans="1:4" x14ac:dyDescent="0.2">
      <c r="A8394" s="146"/>
      <c r="D8394" s="496"/>
    </row>
    <row r="8395" spans="1:4" x14ac:dyDescent="0.2">
      <c r="A8395" s="146"/>
      <c r="D8395" s="496"/>
    </row>
    <row r="8396" spans="1:4" x14ac:dyDescent="0.2">
      <c r="A8396" s="146"/>
      <c r="D8396" s="496"/>
    </row>
    <row r="8397" spans="1:4" x14ac:dyDescent="0.2">
      <c r="A8397" s="146"/>
      <c r="D8397" s="496"/>
    </row>
    <row r="8398" spans="1:4" x14ac:dyDescent="0.2">
      <c r="A8398" s="146"/>
      <c r="D8398" s="496"/>
    </row>
    <row r="8399" spans="1:4" x14ac:dyDescent="0.2">
      <c r="A8399" s="146"/>
      <c r="D8399" s="496"/>
    </row>
    <row r="8400" spans="1:4" x14ac:dyDescent="0.2">
      <c r="A8400" s="146"/>
      <c r="D8400" s="496"/>
    </row>
    <row r="8401" spans="1:4" x14ac:dyDescent="0.2">
      <c r="A8401" s="146"/>
      <c r="D8401" s="496"/>
    </row>
    <row r="8402" spans="1:4" x14ac:dyDescent="0.2">
      <c r="A8402" s="146"/>
      <c r="D8402" s="496"/>
    </row>
    <row r="8403" spans="1:4" x14ac:dyDescent="0.2">
      <c r="A8403" s="146"/>
      <c r="D8403" s="496"/>
    </row>
    <row r="8404" spans="1:4" x14ac:dyDescent="0.2">
      <c r="A8404" s="146"/>
      <c r="D8404" s="496"/>
    </row>
    <row r="8405" spans="1:4" x14ac:dyDescent="0.2">
      <c r="A8405" s="146"/>
      <c r="D8405" s="496"/>
    </row>
    <row r="8406" spans="1:4" x14ac:dyDescent="0.2">
      <c r="A8406" s="146"/>
      <c r="D8406" s="496"/>
    </row>
    <row r="8407" spans="1:4" x14ac:dyDescent="0.2">
      <c r="A8407" s="146"/>
      <c r="D8407" s="496"/>
    </row>
    <row r="8408" spans="1:4" x14ac:dyDescent="0.2">
      <c r="A8408" s="146"/>
      <c r="D8408" s="496"/>
    </row>
    <row r="8409" spans="1:4" x14ac:dyDescent="0.2">
      <c r="A8409" s="146"/>
      <c r="D8409" s="496"/>
    </row>
    <row r="8410" spans="1:4" x14ac:dyDescent="0.2">
      <c r="A8410" s="146"/>
      <c r="D8410" s="496"/>
    </row>
    <row r="8411" spans="1:4" x14ac:dyDescent="0.2">
      <c r="A8411" s="146"/>
      <c r="D8411" s="496"/>
    </row>
    <row r="8412" spans="1:4" x14ac:dyDescent="0.2">
      <c r="A8412" s="146"/>
      <c r="D8412" s="496"/>
    </row>
    <row r="8413" spans="1:4" x14ac:dyDescent="0.2">
      <c r="A8413" s="146"/>
      <c r="D8413" s="496"/>
    </row>
    <row r="8414" spans="1:4" x14ac:dyDescent="0.2">
      <c r="A8414" s="146"/>
      <c r="D8414" s="496"/>
    </row>
    <row r="8415" spans="1:4" x14ac:dyDescent="0.2">
      <c r="A8415" s="146"/>
      <c r="D8415" s="496"/>
    </row>
    <row r="8416" spans="1:4" x14ac:dyDescent="0.2">
      <c r="A8416" s="146"/>
      <c r="D8416" s="496"/>
    </row>
    <row r="8417" spans="1:4" x14ac:dyDescent="0.2">
      <c r="A8417" s="146"/>
      <c r="D8417" s="496"/>
    </row>
    <row r="8418" spans="1:4" x14ac:dyDescent="0.2">
      <c r="A8418" s="146"/>
      <c r="D8418" s="496"/>
    </row>
    <row r="8419" spans="1:4" x14ac:dyDescent="0.2">
      <c r="A8419" s="146"/>
      <c r="D8419" s="496"/>
    </row>
    <row r="8420" spans="1:4" x14ac:dyDescent="0.2">
      <c r="A8420" s="146"/>
      <c r="D8420" s="496"/>
    </row>
    <row r="8421" spans="1:4" x14ac:dyDescent="0.2">
      <c r="A8421" s="146"/>
      <c r="D8421" s="496"/>
    </row>
    <row r="8422" spans="1:4" x14ac:dyDescent="0.2">
      <c r="A8422" s="146"/>
      <c r="D8422" s="496"/>
    </row>
    <row r="8423" spans="1:4" x14ac:dyDescent="0.2">
      <c r="A8423" s="146"/>
      <c r="D8423" s="496"/>
    </row>
    <row r="8424" spans="1:4" x14ac:dyDescent="0.2">
      <c r="A8424" s="146"/>
      <c r="D8424" s="496"/>
    </row>
    <row r="8425" spans="1:4" x14ac:dyDescent="0.2">
      <c r="A8425" s="146"/>
      <c r="D8425" s="496"/>
    </row>
    <row r="8426" spans="1:4" x14ac:dyDescent="0.2">
      <c r="A8426" s="146"/>
      <c r="D8426" s="496"/>
    </row>
    <row r="8427" spans="1:4" x14ac:dyDescent="0.2">
      <c r="A8427" s="146"/>
      <c r="D8427" s="496"/>
    </row>
    <row r="8428" spans="1:4" x14ac:dyDescent="0.2">
      <c r="A8428" s="146"/>
      <c r="D8428" s="496"/>
    </row>
    <row r="8429" spans="1:4" x14ac:dyDescent="0.2">
      <c r="A8429" s="146"/>
      <c r="D8429" s="496"/>
    </row>
    <row r="8430" spans="1:4" x14ac:dyDescent="0.2">
      <c r="A8430" s="146"/>
      <c r="D8430" s="496"/>
    </row>
    <row r="8431" spans="1:4" x14ac:dyDescent="0.2">
      <c r="A8431" s="146"/>
      <c r="D8431" s="496"/>
    </row>
    <row r="8432" spans="1:4" x14ac:dyDescent="0.2">
      <c r="A8432" s="146"/>
      <c r="D8432" s="496"/>
    </row>
    <row r="8433" spans="1:4" x14ac:dyDescent="0.2">
      <c r="A8433" s="146"/>
      <c r="D8433" s="496"/>
    </row>
    <row r="8434" spans="1:4" x14ac:dyDescent="0.2">
      <c r="A8434" s="146"/>
      <c r="D8434" s="496"/>
    </row>
    <row r="8435" spans="1:4" x14ac:dyDescent="0.2">
      <c r="A8435" s="146"/>
      <c r="D8435" s="496"/>
    </row>
    <row r="8436" spans="1:4" x14ac:dyDescent="0.2">
      <c r="A8436" s="146"/>
      <c r="D8436" s="496"/>
    </row>
    <row r="8437" spans="1:4" x14ac:dyDescent="0.2">
      <c r="A8437" s="146"/>
      <c r="D8437" s="496"/>
    </row>
    <row r="8438" spans="1:4" x14ac:dyDescent="0.2">
      <c r="A8438" s="146"/>
      <c r="D8438" s="496"/>
    </row>
    <row r="8439" spans="1:4" x14ac:dyDescent="0.2">
      <c r="A8439" s="146"/>
      <c r="D8439" s="496"/>
    </row>
    <row r="8440" spans="1:4" x14ac:dyDescent="0.2">
      <c r="A8440" s="146"/>
      <c r="D8440" s="496"/>
    </row>
    <row r="8441" spans="1:4" x14ac:dyDescent="0.2">
      <c r="A8441" s="146"/>
      <c r="D8441" s="496"/>
    </row>
    <row r="8442" spans="1:4" x14ac:dyDescent="0.2">
      <c r="A8442" s="146"/>
      <c r="D8442" s="496"/>
    </row>
    <row r="8443" spans="1:4" x14ac:dyDescent="0.2">
      <c r="A8443" s="146"/>
      <c r="D8443" s="496"/>
    </row>
    <row r="8444" spans="1:4" x14ac:dyDescent="0.2">
      <c r="A8444" s="146"/>
      <c r="D8444" s="496"/>
    </row>
    <row r="8445" spans="1:4" x14ac:dyDescent="0.2">
      <c r="A8445" s="146"/>
      <c r="D8445" s="496"/>
    </row>
    <row r="8446" spans="1:4" x14ac:dyDescent="0.2">
      <c r="A8446" s="146"/>
      <c r="D8446" s="496"/>
    </row>
    <row r="8447" spans="1:4" x14ac:dyDescent="0.2">
      <c r="A8447" s="146"/>
      <c r="D8447" s="496"/>
    </row>
    <row r="8448" spans="1:4" x14ac:dyDescent="0.2">
      <c r="A8448" s="146"/>
      <c r="D8448" s="496"/>
    </row>
    <row r="8449" spans="1:4" x14ac:dyDescent="0.2">
      <c r="A8449" s="146"/>
      <c r="D8449" s="496"/>
    </row>
    <row r="8450" spans="1:4" x14ac:dyDescent="0.2">
      <c r="A8450" s="146"/>
      <c r="D8450" s="496"/>
    </row>
    <row r="8451" spans="1:4" x14ac:dyDescent="0.2">
      <c r="A8451" s="146"/>
      <c r="D8451" s="496"/>
    </row>
    <row r="8452" spans="1:4" x14ac:dyDescent="0.2">
      <c r="A8452" s="146"/>
      <c r="D8452" s="496"/>
    </row>
    <row r="8453" spans="1:4" x14ac:dyDescent="0.2">
      <c r="A8453" s="146"/>
      <c r="D8453" s="496"/>
    </row>
    <row r="8454" spans="1:4" x14ac:dyDescent="0.2">
      <c r="A8454" s="146"/>
      <c r="D8454" s="496"/>
    </row>
    <row r="8455" spans="1:4" x14ac:dyDescent="0.2">
      <c r="A8455" s="146"/>
      <c r="D8455" s="496"/>
    </row>
    <row r="8456" spans="1:4" x14ac:dyDescent="0.2">
      <c r="A8456" s="146"/>
      <c r="D8456" s="496"/>
    </row>
    <row r="8457" spans="1:4" x14ac:dyDescent="0.2">
      <c r="A8457" s="146"/>
      <c r="D8457" s="496"/>
    </row>
    <row r="8458" spans="1:4" x14ac:dyDescent="0.2">
      <c r="A8458" s="146"/>
      <c r="D8458" s="496"/>
    </row>
    <row r="8459" spans="1:4" x14ac:dyDescent="0.2">
      <c r="A8459" s="146"/>
      <c r="D8459" s="496"/>
    </row>
    <row r="8460" spans="1:4" x14ac:dyDescent="0.2">
      <c r="A8460" s="146"/>
      <c r="D8460" s="496"/>
    </row>
    <row r="8461" spans="1:4" x14ac:dyDescent="0.2">
      <c r="A8461" s="146"/>
      <c r="D8461" s="496"/>
    </row>
    <row r="8462" spans="1:4" x14ac:dyDescent="0.2">
      <c r="A8462" s="146"/>
      <c r="D8462" s="496"/>
    </row>
    <row r="8463" spans="1:4" x14ac:dyDescent="0.2">
      <c r="A8463" s="146"/>
      <c r="D8463" s="496"/>
    </row>
    <row r="8464" spans="1:4" x14ac:dyDescent="0.2">
      <c r="A8464" s="146"/>
      <c r="D8464" s="496"/>
    </row>
    <row r="8465" spans="1:4" x14ac:dyDescent="0.2">
      <c r="A8465" s="146"/>
      <c r="D8465" s="496"/>
    </row>
    <row r="8466" spans="1:4" x14ac:dyDescent="0.2">
      <c r="A8466" s="146"/>
      <c r="D8466" s="496"/>
    </row>
    <row r="8467" spans="1:4" x14ac:dyDescent="0.2">
      <c r="A8467" s="146"/>
      <c r="D8467" s="496"/>
    </row>
    <row r="8468" spans="1:4" x14ac:dyDescent="0.2">
      <c r="A8468" s="146"/>
      <c r="D8468" s="496"/>
    </row>
    <row r="8469" spans="1:4" x14ac:dyDescent="0.2">
      <c r="A8469" s="146"/>
      <c r="D8469" s="496"/>
    </row>
    <row r="8470" spans="1:4" x14ac:dyDescent="0.2">
      <c r="A8470" s="146"/>
      <c r="D8470" s="496"/>
    </row>
    <row r="8471" spans="1:4" x14ac:dyDescent="0.2">
      <c r="A8471" s="146"/>
      <c r="D8471" s="496"/>
    </row>
    <row r="8472" spans="1:4" x14ac:dyDescent="0.2">
      <c r="A8472" s="146"/>
      <c r="D8472" s="496"/>
    </row>
    <row r="8473" spans="1:4" x14ac:dyDescent="0.2">
      <c r="A8473" s="146"/>
      <c r="D8473" s="496"/>
    </row>
    <row r="8474" spans="1:4" x14ac:dyDescent="0.2">
      <c r="A8474" s="146"/>
      <c r="D8474" s="496"/>
    </row>
    <row r="8475" spans="1:4" x14ac:dyDescent="0.2">
      <c r="A8475" s="146"/>
      <c r="D8475" s="496"/>
    </row>
    <row r="8476" spans="1:4" x14ac:dyDescent="0.2">
      <c r="A8476" s="146"/>
      <c r="D8476" s="496"/>
    </row>
    <row r="8477" spans="1:4" x14ac:dyDescent="0.2">
      <c r="A8477" s="146"/>
      <c r="D8477" s="496"/>
    </row>
    <row r="8478" spans="1:4" x14ac:dyDescent="0.2">
      <c r="A8478" s="146"/>
      <c r="D8478" s="496"/>
    </row>
    <row r="8479" spans="1:4" x14ac:dyDescent="0.2">
      <c r="A8479" s="146"/>
      <c r="D8479" s="496"/>
    </row>
    <row r="8480" spans="1:4" x14ac:dyDescent="0.2">
      <c r="A8480" s="146"/>
      <c r="D8480" s="496"/>
    </row>
    <row r="8481" spans="1:4" x14ac:dyDescent="0.2">
      <c r="A8481" s="146"/>
      <c r="D8481" s="496"/>
    </row>
    <row r="8482" spans="1:4" x14ac:dyDescent="0.2">
      <c r="A8482" s="146"/>
      <c r="D8482" s="496"/>
    </row>
    <row r="8483" spans="1:4" x14ac:dyDescent="0.2">
      <c r="A8483" s="146"/>
      <c r="D8483" s="496"/>
    </row>
    <row r="8484" spans="1:4" x14ac:dyDescent="0.2">
      <c r="A8484" s="146"/>
      <c r="D8484" s="496"/>
    </row>
    <row r="8485" spans="1:4" x14ac:dyDescent="0.2">
      <c r="A8485" s="146"/>
      <c r="D8485" s="496"/>
    </row>
    <row r="8486" spans="1:4" x14ac:dyDescent="0.2">
      <c r="A8486" s="146"/>
      <c r="D8486" s="496"/>
    </row>
    <row r="8487" spans="1:4" x14ac:dyDescent="0.2">
      <c r="A8487" s="146"/>
      <c r="D8487" s="496"/>
    </row>
    <row r="8488" spans="1:4" x14ac:dyDescent="0.2">
      <c r="A8488" s="146"/>
      <c r="D8488" s="496"/>
    </row>
    <row r="8489" spans="1:4" x14ac:dyDescent="0.2">
      <c r="A8489" s="146"/>
      <c r="D8489" s="496"/>
    </row>
    <row r="8490" spans="1:4" x14ac:dyDescent="0.2">
      <c r="A8490" s="146"/>
      <c r="D8490" s="496"/>
    </row>
    <row r="8491" spans="1:4" x14ac:dyDescent="0.2">
      <c r="A8491" s="146"/>
      <c r="D8491" s="496"/>
    </row>
    <row r="8492" spans="1:4" x14ac:dyDescent="0.2">
      <c r="A8492" s="146"/>
      <c r="D8492" s="496"/>
    </row>
    <row r="8493" spans="1:4" x14ac:dyDescent="0.2">
      <c r="A8493" s="146"/>
      <c r="D8493" s="496"/>
    </row>
    <row r="8494" spans="1:4" x14ac:dyDescent="0.2">
      <c r="A8494" s="146"/>
      <c r="D8494" s="496"/>
    </row>
    <row r="8495" spans="1:4" x14ac:dyDescent="0.2">
      <c r="A8495" s="146"/>
      <c r="D8495" s="496"/>
    </row>
    <row r="8496" spans="1:4" x14ac:dyDescent="0.2">
      <c r="A8496" s="146"/>
      <c r="D8496" s="496"/>
    </row>
    <row r="8497" spans="1:4" x14ac:dyDescent="0.2">
      <c r="A8497" s="146"/>
      <c r="D8497" s="496"/>
    </row>
    <row r="8498" spans="1:4" x14ac:dyDescent="0.2">
      <c r="A8498" s="146"/>
      <c r="D8498" s="496"/>
    </row>
    <row r="8499" spans="1:4" x14ac:dyDescent="0.2">
      <c r="A8499" s="146"/>
      <c r="D8499" s="496"/>
    </row>
    <row r="8500" spans="1:4" x14ac:dyDescent="0.2">
      <c r="A8500" s="146"/>
      <c r="D8500" s="496"/>
    </row>
    <row r="8501" spans="1:4" x14ac:dyDescent="0.2">
      <c r="A8501" s="146"/>
      <c r="D8501" s="496"/>
    </row>
    <row r="8502" spans="1:4" x14ac:dyDescent="0.2">
      <c r="A8502" s="146"/>
      <c r="D8502" s="496"/>
    </row>
    <row r="8503" spans="1:4" x14ac:dyDescent="0.2">
      <c r="A8503" s="146"/>
      <c r="D8503" s="496"/>
    </row>
    <row r="8504" spans="1:4" x14ac:dyDescent="0.2">
      <c r="A8504" s="146"/>
      <c r="D8504" s="496"/>
    </row>
    <row r="8505" spans="1:4" x14ac:dyDescent="0.2">
      <c r="A8505" s="146"/>
      <c r="D8505" s="496"/>
    </row>
    <row r="8506" spans="1:4" x14ac:dyDescent="0.2">
      <c r="A8506" s="146"/>
      <c r="D8506" s="496"/>
    </row>
    <row r="8507" spans="1:4" x14ac:dyDescent="0.2">
      <c r="A8507" s="146"/>
      <c r="D8507" s="496"/>
    </row>
    <row r="8508" spans="1:4" x14ac:dyDescent="0.2">
      <c r="A8508" s="146"/>
      <c r="D8508" s="496"/>
    </row>
    <row r="8509" spans="1:4" x14ac:dyDescent="0.2">
      <c r="A8509" s="146"/>
      <c r="D8509" s="496"/>
    </row>
    <row r="8510" spans="1:4" x14ac:dyDescent="0.2">
      <c r="A8510" s="146"/>
      <c r="D8510" s="496"/>
    </row>
    <row r="8511" spans="1:4" x14ac:dyDescent="0.2">
      <c r="A8511" s="146"/>
      <c r="D8511" s="496"/>
    </row>
    <row r="8512" spans="1:4" x14ac:dyDescent="0.2">
      <c r="A8512" s="146"/>
      <c r="D8512" s="496"/>
    </row>
    <row r="8513" spans="1:4" x14ac:dyDescent="0.2">
      <c r="A8513" s="146"/>
      <c r="D8513" s="496"/>
    </row>
    <row r="8514" spans="1:4" x14ac:dyDescent="0.2">
      <c r="A8514" s="146"/>
      <c r="D8514" s="496"/>
    </row>
    <row r="8515" spans="1:4" x14ac:dyDescent="0.2">
      <c r="A8515" s="146"/>
      <c r="D8515" s="496"/>
    </row>
    <row r="8516" spans="1:4" x14ac:dyDescent="0.2">
      <c r="A8516" s="146"/>
      <c r="D8516" s="496"/>
    </row>
    <row r="8517" spans="1:4" x14ac:dyDescent="0.2">
      <c r="A8517" s="146"/>
      <c r="D8517" s="496"/>
    </row>
    <row r="8518" spans="1:4" x14ac:dyDescent="0.2">
      <c r="A8518" s="146"/>
      <c r="D8518" s="496"/>
    </row>
    <row r="8519" spans="1:4" x14ac:dyDescent="0.2">
      <c r="A8519" s="146"/>
      <c r="D8519" s="496"/>
    </row>
    <row r="8520" spans="1:4" x14ac:dyDescent="0.2">
      <c r="A8520" s="146"/>
      <c r="D8520" s="496"/>
    </row>
    <row r="8521" spans="1:4" x14ac:dyDescent="0.2">
      <c r="A8521" s="146"/>
      <c r="D8521" s="496"/>
    </row>
    <row r="8522" spans="1:4" x14ac:dyDescent="0.2">
      <c r="A8522" s="146"/>
      <c r="D8522" s="496"/>
    </row>
    <row r="8523" spans="1:4" x14ac:dyDescent="0.2">
      <c r="A8523" s="146"/>
      <c r="D8523" s="496"/>
    </row>
    <row r="8524" spans="1:4" x14ac:dyDescent="0.2">
      <c r="A8524" s="146"/>
      <c r="D8524" s="496"/>
    </row>
    <row r="8525" spans="1:4" x14ac:dyDescent="0.2">
      <c r="A8525" s="146"/>
      <c r="D8525" s="496"/>
    </row>
    <row r="8526" spans="1:4" x14ac:dyDescent="0.2">
      <c r="A8526" s="146"/>
      <c r="D8526" s="496"/>
    </row>
    <row r="8527" spans="1:4" x14ac:dyDescent="0.2">
      <c r="A8527" s="146"/>
      <c r="D8527" s="496"/>
    </row>
    <row r="8528" spans="1:4" x14ac:dyDescent="0.2">
      <c r="A8528" s="146"/>
      <c r="D8528" s="496"/>
    </row>
    <row r="8529" spans="1:4" x14ac:dyDescent="0.2">
      <c r="A8529" s="146"/>
      <c r="D8529" s="496"/>
    </row>
    <row r="8530" spans="1:4" x14ac:dyDescent="0.2">
      <c r="A8530" s="146"/>
      <c r="D8530" s="496"/>
    </row>
    <row r="8531" spans="1:4" x14ac:dyDescent="0.2">
      <c r="A8531" s="146"/>
      <c r="D8531" s="496"/>
    </row>
    <row r="8532" spans="1:4" x14ac:dyDescent="0.2">
      <c r="A8532" s="146"/>
      <c r="D8532" s="496"/>
    </row>
    <row r="8533" spans="1:4" x14ac:dyDescent="0.2">
      <c r="A8533" s="146"/>
      <c r="D8533" s="496"/>
    </row>
    <row r="8534" spans="1:4" x14ac:dyDescent="0.2">
      <c r="A8534" s="146"/>
      <c r="D8534" s="496"/>
    </row>
    <row r="8535" spans="1:4" x14ac:dyDescent="0.2">
      <c r="A8535" s="146"/>
      <c r="D8535" s="496"/>
    </row>
    <row r="8536" spans="1:4" x14ac:dyDescent="0.2">
      <c r="A8536" s="146"/>
      <c r="D8536" s="496"/>
    </row>
    <row r="8537" spans="1:4" x14ac:dyDescent="0.2">
      <c r="A8537" s="146"/>
      <c r="D8537" s="496"/>
    </row>
    <row r="8538" spans="1:4" x14ac:dyDescent="0.2">
      <c r="A8538" s="146"/>
      <c r="D8538" s="496"/>
    </row>
    <row r="8539" spans="1:4" x14ac:dyDescent="0.2">
      <c r="A8539" s="146"/>
      <c r="D8539" s="496"/>
    </row>
    <row r="8540" spans="1:4" x14ac:dyDescent="0.2">
      <c r="A8540" s="146"/>
      <c r="D8540" s="496"/>
    </row>
    <row r="8541" spans="1:4" x14ac:dyDescent="0.2">
      <c r="A8541" s="146"/>
      <c r="D8541" s="496"/>
    </row>
    <row r="8542" spans="1:4" x14ac:dyDescent="0.2">
      <c r="A8542" s="146"/>
      <c r="D8542" s="496"/>
    </row>
    <row r="8543" spans="1:4" x14ac:dyDescent="0.2">
      <c r="A8543" s="146"/>
      <c r="D8543" s="496"/>
    </row>
    <row r="8544" spans="1:4" x14ac:dyDescent="0.2">
      <c r="A8544" s="146"/>
      <c r="D8544" s="496"/>
    </row>
    <row r="8545" spans="1:4" x14ac:dyDescent="0.2">
      <c r="A8545" s="146"/>
      <c r="D8545" s="496"/>
    </row>
    <row r="8546" spans="1:4" x14ac:dyDescent="0.2">
      <c r="A8546" s="146"/>
      <c r="D8546" s="496"/>
    </row>
    <row r="8547" spans="1:4" x14ac:dyDescent="0.2">
      <c r="A8547" s="146"/>
      <c r="D8547" s="496"/>
    </row>
    <row r="8548" spans="1:4" x14ac:dyDescent="0.2">
      <c r="A8548" s="146"/>
      <c r="D8548" s="496"/>
    </row>
    <row r="8549" spans="1:4" x14ac:dyDescent="0.2">
      <c r="A8549" s="146"/>
      <c r="D8549" s="496"/>
    </row>
    <row r="8550" spans="1:4" x14ac:dyDescent="0.2">
      <c r="A8550" s="146"/>
      <c r="D8550" s="496"/>
    </row>
    <row r="8551" spans="1:4" x14ac:dyDescent="0.2">
      <c r="A8551" s="146"/>
      <c r="D8551" s="496"/>
    </row>
    <row r="8552" spans="1:4" x14ac:dyDescent="0.2">
      <c r="A8552" s="146"/>
      <c r="D8552" s="496"/>
    </row>
    <row r="8553" spans="1:4" x14ac:dyDescent="0.2">
      <c r="A8553" s="146"/>
      <c r="D8553" s="496"/>
    </row>
    <row r="8554" spans="1:4" x14ac:dyDescent="0.2">
      <c r="A8554" s="146"/>
      <c r="D8554" s="496"/>
    </row>
    <row r="8555" spans="1:4" x14ac:dyDescent="0.2">
      <c r="A8555" s="146"/>
      <c r="D8555" s="496"/>
    </row>
    <row r="8556" spans="1:4" x14ac:dyDescent="0.2">
      <c r="A8556" s="146"/>
      <c r="D8556" s="496"/>
    </row>
    <row r="8557" spans="1:4" x14ac:dyDescent="0.2">
      <c r="A8557" s="146"/>
      <c r="D8557" s="496"/>
    </row>
    <row r="8558" spans="1:4" x14ac:dyDescent="0.2">
      <c r="A8558" s="146"/>
      <c r="D8558" s="496"/>
    </row>
    <row r="8559" spans="1:4" x14ac:dyDescent="0.2">
      <c r="A8559" s="146"/>
      <c r="D8559" s="496"/>
    </row>
    <row r="8560" spans="1:4" x14ac:dyDescent="0.2">
      <c r="A8560" s="146"/>
      <c r="D8560" s="496"/>
    </row>
    <row r="8561" spans="1:4" x14ac:dyDescent="0.2">
      <c r="A8561" s="146"/>
      <c r="D8561" s="496"/>
    </row>
    <row r="8562" spans="1:4" x14ac:dyDescent="0.2">
      <c r="A8562" s="146"/>
      <c r="D8562" s="496"/>
    </row>
    <row r="8563" spans="1:4" x14ac:dyDescent="0.2">
      <c r="A8563" s="146"/>
      <c r="D8563" s="496"/>
    </row>
    <row r="8564" spans="1:4" x14ac:dyDescent="0.2">
      <c r="A8564" s="146"/>
      <c r="D8564" s="496"/>
    </row>
    <row r="8565" spans="1:4" x14ac:dyDescent="0.2">
      <c r="A8565" s="146"/>
      <c r="D8565" s="496"/>
    </row>
    <row r="8566" spans="1:4" x14ac:dyDescent="0.2">
      <c r="A8566" s="146"/>
      <c r="D8566" s="496"/>
    </row>
    <row r="8567" spans="1:4" x14ac:dyDescent="0.2">
      <c r="A8567" s="146"/>
      <c r="D8567" s="496"/>
    </row>
    <row r="8568" spans="1:4" x14ac:dyDescent="0.2">
      <c r="A8568" s="146"/>
      <c r="D8568" s="496"/>
    </row>
    <row r="8569" spans="1:4" x14ac:dyDescent="0.2">
      <c r="A8569" s="146"/>
      <c r="D8569" s="496"/>
    </row>
    <row r="8570" spans="1:4" x14ac:dyDescent="0.2">
      <c r="A8570" s="146"/>
      <c r="D8570" s="496"/>
    </row>
    <row r="8571" spans="1:4" x14ac:dyDescent="0.2">
      <c r="A8571" s="146"/>
      <c r="D8571" s="496"/>
    </row>
    <row r="8572" spans="1:4" x14ac:dyDescent="0.2">
      <c r="A8572" s="146"/>
      <c r="D8572" s="496"/>
    </row>
    <row r="8573" spans="1:4" x14ac:dyDescent="0.2">
      <c r="A8573" s="146"/>
      <c r="D8573" s="496"/>
    </row>
    <row r="8574" spans="1:4" x14ac:dyDescent="0.2">
      <c r="A8574" s="146"/>
      <c r="D8574" s="496"/>
    </row>
    <row r="8575" spans="1:4" x14ac:dyDescent="0.2">
      <c r="A8575" s="146"/>
      <c r="D8575" s="496"/>
    </row>
    <row r="8576" spans="1:4" x14ac:dyDescent="0.2">
      <c r="A8576" s="146"/>
      <c r="D8576" s="496"/>
    </row>
    <row r="8577" spans="1:4" x14ac:dyDescent="0.2">
      <c r="A8577" s="146"/>
      <c r="D8577" s="496"/>
    </row>
    <row r="8578" spans="1:4" x14ac:dyDescent="0.2">
      <c r="A8578" s="146"/>
      <c r="D8578" s="496"/>
    </row>
    <row r="8579" spans="1:4" x14ac:dyDescent="0.2">
      <c r="A8579" s="146"/>
      <c r="D8579" s="496"/>
    </row>
    <row r="8580" spans="1:4" x14ac:dyDescent="0.2">
      <c r="A8580" s="146"/>
      <c r="D8580" s="496"/>
    </row>
    <row r="8581" spans="1:4" x14ac:dyDescent="0.2">
      <c r="A8581" s="146"/>
      <c r="D8581" s="496"/>
    </row>
    <row r="8582" spans="1:4" x14ac:dyDescent="0.2">
      <c r="A8582" s="146"/>
      <c r="D8582" s="496"/>
    </row>
    <row r="8583" spans="1:4" x14ac:dyDescent="0.2">
      <c r="A8583" s="146"/>
      <c r="D8583" s="496"/>
    </row>
    <row r="8584" spans="1:4" x14ac:dyDescent="0.2">
      <c r="A8584" s="146"/>
      <c r="D8584" s="496"/>
    </row>
    <row r="8585" spans="1:4" x14ac:dyDescent="0.2">
      <c r="A8585" s="146"/>
      <c r="D8585" s="496"/>
    </row>
    <row r="8586" spans="1:4" x14ac:dyDescent="0.2">
      <c r="A8586" s="146"/>
      <c r="D8586" s="496"/>
    </row>
    <row r="8587" spans="1:4" x14ac:dyDescent="0.2">
      <c r="A8587" s="146"/>
      <c r="D8587" s="496"/>
    </row>
    <row r="8588" spans="1:4" x14ac:dyDescent="0.2">
      <c r="A8588" s="146"/>
      <c r="D8588" s="496"/>
    </row>
    <row r="8589" spans="1:4" x14ac:dyDescent="0.2">
      <c r="A8589" s="146"/>
      <c r="D8589" s="496"/>
    </row>
    <row r="8590" spans="1:4" x14ac:dyDescent="0.2">
      <c r="A8590" s="146"/>
      <c r="D8590" s="496"/>
    </row>
    <row r="8591" spans="1:4" x14ac:dyDescent="0.2">
      <c r="A8591" s="146"/>
      <c r="D8591" s="496"/>
    </row>
    <row r="8592" spans="1:4" x14ac:dyDescent="0.2">
      <c r="A8592" s="146"/>
      <c r="D8592" s="496"/>
    </row>
    <row r="8593" spans="1:4" x14ac:dyDescent="0.2">
      <c r="A8593" s="146"/>
      <c r="D8593" s="496"/>
    </row>
    <row r="8594" spans="1:4" x14ac:dyDescent="0.2">
      <c r="A8594" s="146"/>
      <c r="D8594" s="496"/>
    </row>
    <row r="8595" spans="1:4" x14ac:dyDescent="0.2">
      <c r="A8595" s="146"/>
      <c r="D8595" s="496"/>
    </row>
    <row r="8596" spans="1:4" x14ac:dyDescent="0.2">
      <c r="A8596" s="146"/>
      <c r="D8596" s="496"/>
    </row>
    <row r="8597" spans="1:4" x14ac:dyDescent="0.2">
      <c r="A8597" s="146"/>
      <c r="D8597" s="496"/>
    </row>
    <row r="8598" spans="1:4" x14ac:dyDescent="0.2">
      <c r="A8598" s="146"/>
      <c r="D8598" s="496"/>
    </row>
    <row r="8599" spans="1:4" x14ac:dyDescent="0.2">
      <c r="A8599" s="146"/>
      <c r="D8599" s="496"/>
    </row>
    <row r="8600" spans="1:4" x14ac:dyDescent="0.2">
      <c r="A8600" s="146"/>
      <c r="D8600" s="496"/>
    </row>
    <row r="8601" spans="1:4" x14ac:dyDescent="0.2">
      <c r="A8601" s="146"/>
      <c r="D8601" s="496"/>
    </row>
    <row r="8602" spans="1:4" x14ac:dyDescent="0.2">
      <c r="A8602" s="146"/>
      <c r="D8602" s="496"/>
    </row>
    <row r="8603" spans="1:4" x14ac:dyDescent="0.2">
      <c r="A8603" s="146"/>
      <c r="D8603" s="496"/>
    </row>
    <row r="8604" spans="1:4" x14ac:dyDescent="0.2">
      <c r="A8604" s="146"/>
      <c r="D8604" s="496"/>
    </row>
    <row r="8605" spans="1:4" x14ac:dyDescent="0.2">
      <c r="A8605" s="146"/>
      <c r="D8605" s="496"/>
    </row>
    <row r="8606" spans="1:4" x14ac:dyDescent="0.2">
      <c r="A8606" s="146"/>
      <c r="D8606" s="496"/>
    </row>
    <row r="8607" spans="1:4" x14ac:dyDescent="0.2">
      <c r="A8607" s="146"/>
      <c r="D8607" s="496"/>
    </row>
    <row r="8608" spans="1:4" x14ac:dyDescent="0.2">
      <c r="A8608" s="146"/>
      <c r="D8608" s="496"/>
    </row>
    <row r="8609" spans="1:4" x14ac:dyDescent="0.2">
      <c r="A8609" s="146"/>
      <c r="D8609" s="496"/>
    </row>
    <row r="8610" spans="1:4" x14ac:dyDescent="0.2">
      <c r="A8610" s="146"/>
      <c r="D8610" s="496"/>
    </row>
    <row r="8611" spans="1:4" x14ac:dyDescent="0.2">
      <c r="A8611" s="146"/>
      <c r="D8611" s="496"/>
    </row>
    <row r="8612" spans="1:4" x14ac:dyDescent="0.2">
      <c r="A8612" s="146"/>
      <c r="D8612" s="496"/>
    </row>
    <row r="8613" spans="1:4" x14ac:dyDescent="0.2">
      <c r="A8613" s="146"/>
      <c r="D8613" s="496"/>
    </row>
    <row r="8614" spans="1:4" x14ac:dyDescent="0.2">
      <c r="A8614" s="146"/>
      <c r="D8614" s="496"/>
    </row>
    <row r="8615" spans="1:4" x14ac:dyDescent="0.2">
      <c r="A8615" s="146"/>
      <c r="D8615" s="496"/>
    </row>
    <row r="8616" spans="1:4" x14ac:dyDescent="0.2">
      <c r="A8616" s="146"/>
      <c r="D8616" s="496"/>
    </row>
    <row r="8617" spans="1:4" x14ac:dyDescent="0.2">
      <c r="A8617" s="146"/>
      <c r="D8617" s="496"/>
    </row>
    <row r="8618" spans="1:4" x14ac:dyDescent="0.2">
      <c r="A8618" s="146"/>
      <c r="D8618" s="496"/>
    </row>
    <row r="8619" spans="1:4" x14ac:dyDescent="0.2">
      <c r="A8619" s="146"/>
      <c r="D8619" s="496"/>
    </row>
    <row r="8620" spans="1:4" x14ac:dyDescent="0.2">
      <c r="A8620" s="146"/>
      <c r="D8620" s="496"/>
    </row>
    <row r="8621" spans="1:4" x14ac:dyDescent="0.2">
      <c r="A8621" s="146"/>
      <c r="D8621" s="496"/>
    </row>
    <row r="8622" spans="1:4" x14ac:dyDescent="0.2">
      <c r="A8622" s="146"/>
      <c r="D8622" s="496"/>
    </row>
    <row r="8623" spans="1:4" x14ac:dyDescent="0.2">
      <c r="A8623" s="146"/>
      <c r="D8623" s="496"/>
    </row>
    <row r="8624" spans="1:4" x14ac:dyDescent="0.2">
      <c r="A8624" s="146"/>
      <c r="D8624" s="496"/>
    </row>
    <row r="8625" spans="1:4" x14ac:dyDescent="0.2">
      <c r="A8625" s="146"/>
      <c r="D8625" s="496"/>
    </row>
    <row r="8626" spans="1:4" x14ac:dyDescent="0.2">
      <c r="A8626" s="146"/>
      <c r="D8626" s="496"/>
    </row>
    <row r="8627" spans="1:4" x14ac:dyDescent="0.2">
      <c r="A8627" s="146"/>
      <c r="D8627" s="496"/>
    </row>
    <row r="8628" spans="1:4" x14ac:dyDescent="0.2">
      <c r="A8628" s="146"/>
      <c r="D8628" s="496"/>
    </row>
    <row r="8629" spans="1:4" x14ac:dyDescent="0.2">
      <c r="A8629" s="146"/>
      <c r="D8629" s="496"/>
    </row>
    <row r="8630" spans="1:4" x14ac:dyDescent="0.2">
      <c r="A8630" s="146"/>
      <c r="D8630" s="496"/>
    </row>
    <row r="8631" spans="1:4" x14ac:dyDescent="0.2">
      <c r="A8631" s="146"/>
      <c r="D8631" s="496"/>
    </row>
    <row r="8632" spans="1:4" x14ac:dyDescent="0.2">
      <c r="A8632" s="146"/>
      <c r="D8632" s="496"/>
    </row>
    <row r="8633" spans="1:4" x14ac:dyDescent="0.2">
      <c r="A8633" s="146"/>
      <c r="D8633" s="496"/>
    </row>
    <row r="8634" spans="1:4" x14ac:dyDescent="0.2">
      <c r="A8634" s="146"/>
      <c r="D8634" s="496"/>
    </row>
    <row r="8635" spans="1:4" x14ac:dyDescent="0.2">
      <c r="A8635" s="146"/>
      <c r="D8635" s="496"/>
    </row>
    <row r="8636" spans="1:4" x14ac:dyDescent="0.2">
      <c r="A8636" s="146"/>
      <c r="D8636" s="496"/>
    </row>
    <row r="8637" spans="1:4" x14ac:dyDescent="0.2">
      <c r="A8637" s="146"/>
      <c r="D8637" s="496"/>
    </row>
    <row r="8638" spans="1:4" x14ac:dyDescent="0.2">
      <c r="A8638" s="146"/>
      <c r="D8638" s="496"/>
    </row>
    <row r="8639" spans="1:4" x14ac:dyDescent="0.2">
      <c r="A8639" s="146"/>
      <c r="D8639" s="496"/>
    </row>
    <row r="8640" spans="1:4" x14ac:dyDescent="0.2">
      <c r="A8640" s="146"/>
      <c r="D8640" s="496"/>
    </row>
    <row r="8641" spans="1:4" x14ac:dyDescent="0.2">
      <c r="A8641" s="146"/>
      <c r="D8641" s="496"/>
    </row>
    <row r="8642" spans="1:4" x14ac:dyDescent="0.2">
      <c r="A8642" s="146"/>
      <c r="D8642" s="496"/>
    </row>
    <row r="8643" spans="1:4" x14ac:dyDescent="0.2">
      <c r="A8643" s="146"/>
      <c r="D8643" s="496"/>
    </row>
    <row r="8644" spans="1:4" x14ac:dyDescent="0.2">
      <c r="A8644" s="146"/>
      <c r="D8644" s="496"/>
    </row>
    <row r="8645" spans="1:4" x14ac:dyDescent="0.2">
      <c r="A8645" s="146"/>
      <c r="D8645" s="496"/>
    </row>
    <row r="8646" spans="1:4" x14ac:dyDescent="0.2">
      <c r="A8646" s="146"/>
      <c r="D8646" s="496"/>
    </row>
    <row r="8647" spans="1:4" x14ac:dyDescent="0.2">
      <c r="A8647" s="146"/>
      <c r="D8647" s="496"/>
    </row>
    <row r="8648" spans="1:4" x14ac:dyDescent="0.2">
      <c r="A8648" s="146"/>
      <c r="D8648" s="496"/>
    </row>
    <row r="8649" spans="1:4" x14ac:dyDescent="0.2">
      <c r="A8649" s="146"/>
      <c r="D8649" s="496"/>
    </row>
    <row r="8650" spans="1:4" x14ac:dyDescent="0.2">
      <c r="A8650" s="146"/>
      <c r="D8650" s="496"/>
    </row>
    <row r="8651" spans="1:4" x14ac:dyDescent="0.2">
      <c r="A8651" s="146"/>
      <c r="D8651" s="496"/>
    </row>
    <row r="8652" spans="1:4" x14ac:dyDescent="0.2">
      <c r="A8652" s="146"/>
      <c r="D8652" s="496"/>
    </row>
    <row r="8653" spans="1:4" x14ac:dyDescent="0.2">
      <c r="A8653" s="146"/>
      <c r="D8653" s="496"/>
    </row>
    <row r="8654" spans="1:4" x14ac:dyDescent="0.2">
      <c r="A8654" s="146"/>
      <c r="D8654" s="496"/>
    </row>
    <row r="8655" spans="1:4" x14ac:dyDescent="0.2">
      <c r="A8655" s="146"/>
      <c r="D8655" s="496"/>
    </row>
    <row r="8656" spans="1:4" x14ac:dyDescent="0.2">
      <c r="A8656" s="146"/>
      <c r="D8656" s="496"/>
    </row>
    <row r="8657" spans="1:4" x14ac:dyDescent="0.2">
      <c r="A8657" s="146"/>
      <c r="D8657" s="496"/>
    </row>
    <row r="8658" spans="1:4" x14ac:dyDescent="0.2">
      <c r="A8658" s="146"/>
      <c r="D8658" s="496"/>
    </row>
    <row r="8659" spans="1:4" x14ac:dyDescent="0.2">
      <c r="A8659" s="146"/>
      <c r="D8659" s="496"/>
    </row>
    <row r="8660" spans="1:4" x14ac:dyDescent="0.2">
      <c r="A8660" s="146"/>
      <c r="D8660" s="496"/>
    </row>
    <row r="8661" spans="1:4" x14ac:dyDescent="0.2">
      <c r="A8661" s="146"/>
      <c r="D8661" s="496"/>
    </row>
    <row r="8662" spans="1:4" x14ac:dyDescent="0.2">
      <c r="A8662" s="146"/>
      <c r="D8662" s="496"/>
    </row>
    <row r="8663" spans="1:4" x14ac:dyDescent="0.2">
      <c r="A8663" s="146"/>
      <c r="D8663" s="496"/>
    </row>
    <row r="8664" spans="1:4" x14ac:dyDescent="0.2">
      <c r="A8664" s="146"/>
      <c r="D8664" s="496"/>
    </row>
    <row r="8665" spans="1:4" x14ac:dyDescent="0.2">
      <c r="A8665" s="146"/>
      <c r="D8665" s="496"/>
    </row>
    <row r="8666" spans="1:4" x14ac:dyDescent="0.2">
      <c r="A8666" s="146"/>
      <c r="D8666" s="496"/>
    </row>
    <row r="8667" spans="1:4" x14ac:dyDescent="0.2">
      <c r="A8667" s="146"/>
      <c r="D8667" s="496"/>
    </row>
    <row r="8668" spans="1:4" x14ac:dyDescent="0.2">
      <c r="A8668" s="146"/>
      <c r="D8668" s="496"/>
    </row>
    <row r="8669" spans="1:4" x14ac:dyDescent="0.2">
      <c r="A8669" s="146"/>
      <c r="D8669" s="496"/>
    </row>
    <row r="8670" spans="1:4" x14ac:dyDescent="0.2">
      <c r="A8670" s="146"/>
      <c r="D8670" s="496"/>
    </row>
    <row r="8671" spans="1:4" x14ac:dyDescent="0.2">
      <c r="A8671" s="146"/>
      <c r="D8671" s="496"/>
    </row>
    <row r="8672" spans="1:4" x14ac:dyDescent="0.2">
      <c r="A8672" s="146"/>
      <c r="D8672" s="496"/>
    </row>
    <row r="8673" spans="1:4" x14ac:dyDescent="0.2">
      <c r="A8673" s="146"/>
      <c r="D8673" s="496"/>
    </row>
    <row r="8674" spans="1:4" x14ac:dyDescent="0.2">
      <c r="A8674" s="146"/>
      <c r="D8674" s="496"/>
    </row>
    <row r="8675" spans="1:4" x14ac:dyDescent="0.2">
      <c r="A8675" s="146"/>
      <c r="D8675" s="496"/>
    </row>
    <row r="8676" spans="1:4" x14ac:dyDescent="0.2">
      <c r="A8676" s="146"/>
      <c r="D8676" s="496"/>
    </row>
    <row r="8677" spans="1:4" x14ac:dyDescent="0.2">
      <c r="A8677" s="146"/>
      <c r="D8677" s="496"/>
    </row>
    <row r="8678" spans="1:4" x14ac:dyDescent="0.2">
      <c r="A8678" s="146"/>
      <c r="D8678" s="496"/>
    </row>
    <row r="8679" spans="1:4" x14ac:dyDescent="0.2">
      <c r="A8679" s="146"/>
      <c r="D8679" s="496"/>
    </row>
    <row r="8680" spans="1:4" x14ac:dyDescent="0.2">
      <c r="A8680" s="146"/>
      <c r="D8680" s="496"/>
    </row>
    <row r="8681" spans="1:4" x14ac:dyDescent="0.2">
      <c r="A8681" s="146"/>
      <c r="D8681" s="496"/>
    </row>
    <row r="8682" spans="1:4" x14ac:dyDescent="0.2">
      <c r="A8682" s="146"/>
      <c r="D8682" s="496"/>
    </row>
    <row r="8683" spans="1:4" x14ac:dyDescent="0.2">
      <c r="A8683" s="146"/>
      <c r="D8683" s="496"/>
    </row>
    <row r="8684" spans="1:4" x14ac:dyDescent="0.2">
      <c r="A8684" s="146"/>
      <c r="D8684" s="496"/>
    </row>
    <row r="8685" spans="1:4" x14ac:dyDescent="0.2">
      <c r="A8685" s="146"/>
      <c r="D8685" s="496"/>
    </row>
    <row r="8686" spans="1:4" x14ac:dyDescent="0.2">
      <c r="A8686" s="146"/>
      <c r="D8686" s="496"/>
    </row>
    <row r="8687" spans="1:4" x14ac:dyDescent="0.2">
      <c r="A8687" s="146"/>
      <c r="D8687" s="496"/>
    </row>
    <row r="8688" spans="1:4" x14ac:dyDescent="0.2">
      <c r="A8688" s="146"/>
      <c r="D8688" s="496"/>
    </row>
    <row r="8689" spans="1:4" x14ac:dyDescent="0.2">
      <c r="A8689" s="146"/>
      <c r="D8689" s="496"/>
    </row>
    <row r="8690" spans="1:4" x14ac:dyDescent="0.2">
      <c r="A8690" s="146"/>
      <c r="D8690" s="496"/>
    </row>
    <row r="8691" spans="1:4" x14ac:dyDescent="0.2">
      <c r="A8691" s="146"/>
      <c r="D8691" s="496"/>
    </row>
    <row r="8692" spans="1:4" x14ac:dyDescent="0.2">
      <c r="A8692" s="146"/>
      <c r="D8692" s="496"/>
    </row>
    <row r="8693" spans="1:4" x14ac:dyDescent="0.2">
      <c r="A8693" s="146"/>
      <c r="D8693" s="496"/>
    </row>
    <row r="8694" spans="1:4" x14ac:dyDescent="0.2">
      <c r="A8694" s="146"/>
      <c r="D8694" s="496"/>
    </row>
    <row r="8695" spans="1:4" x14ac:dyDescent="0.2">
      <c r="A8695" s="146"/>
      <c r="D8695" s="496"/>
    </row>
    <row r="8696" spans="1:4" x14ac:dyDescent="0.2">
      <c r="A8696" s="146"/>
      <c r="D8696" s="496"/>
    </row>
    <row r="8697" spans="1:4" x14ac:dyDescent="0.2">
      <c r="A8697" s="146"/>
      <c r="D8697" s="496"/>
    </row>
    <row r="8698" spans="1:4" x14ac:dyDescent="0.2">
      <c r="A8698" s="146"/>
      <c r="D8698" s="496"/>
    </row>
    <row r="8699" spans="1:4" x14ac:dyDescent="0.2">
      <c r="A8699" s="146"/>
      <c r="D8699" s="496"/>
    </row>
    <row r="8700" spans="1:4" x14ac:dyDescent="0.2">
      <c r="A8700" s="146"/>
      <c r="D8700" s="496"/>
    </row>
    <row r="8701" spans="1:4" x14ac:dyDescent="0.2">
      <c r="A8701" s="146"/>
      <c r="D8701" s="496"/>
    </row>
    <row r="8702" spans="1:4" x14ac:dyDescent="0.2">
      <c r="A8702" s="146"/>
      <c r="D8702" s="496"/>
    </row>
    <row r="8703" spans="1:4" x14ac:dyDescent="0.2">
      <c r="A8703" s="146"/>
      <c r="D8703" s="496"/>
    </row>
    <row r="8704" spans="1:4" x14ac:dyDescent="0.2">
      <c r="A8704" s="146"/>
      <c r="D8704" s="496"/>
    </row>
    <row r="8705" spans="1:4" x14ac:dyDescent="0.2">
      <c r="A8705" s="146"/>
      <c r="D8705" s="496"/>
    </row>
    <row r="8706" spans="1:4" x14ac:dyDescent="0.2">
      <c r="A8706" s="146"/>
      <c r="D8706" s="496"/>
    </row>
    <row r="8707" spans="1:4" x14ac:dyDescent="0.2">
      <c r="A8707" s="146"/>
      <c r="D8707" s="496"/>
    </row>
    <row r="8708" spans="1:4" x14ac:dyDescent="0.2">
      <c r="A8708" s="146"/>
      <c r="D8708" s="496"/>
    </row>
    <row r="8709" spans="1:4" x14ac:dyDescent="0.2">
      <c r="A8709" s="146"/>
      <c r="D8709" s="496"/>
    </row>
    <row r="8710" spans="1:4" x14ac:dyDescent="0.2">
      <c r="A8710" s="146"/>
      <c r="D8710" s="496"/>
    </row>
    <row r="8711" spans="1:4" x14ac:dyDescent="0.2">
      <c r="A8711" s="146"/>
      <c r="D8711" s="496"/>
    </row>
    <row r="8712" spans="1:4" x14ac:dyDescent="0.2">
      <c r="A8712" s="146"/>
      <c r="D8712" s="496"/>
    </row>
    <row r="8713" spans="1:4" x14ac:dyDescent="0.2">
      <c r="A8713" s="146"/>
      <c r="D8713" s="496"/>
    </row>
    <row r="8714" spans="1:4" x14ac:dyDescent="0.2">
      <c r="A8714" s="146"/>
      <c r="D8714" s="496"/>
    </row>
    <row r="8715" spans="1:4" x14ac:dyDescent="0.2">
      <c r="A8715" s="146"/>
      <c r="D8715" s="496"/>
    </row>
    <row r="8716" spans="1:4" x14ac:dyDescent="0.2">
      <c r="A8716" s="146"/>
      <c r="D8716" s="496"/>
    </row>
    <row r="8717" spans="1:4" x14ac:dyDescent="0.2">
      <c r="A8717" s="146"/>
      <c r="D8717" s="496"/>
    </row>
    <row r="8718" spans="1:4" x14ac:dyDescent="0.2">
      <c r="A8718" s="146"/>
      <c r="D8718" s="496"/>
    </row>
    <row r="8719" spans="1:4" x14ac:dyDescent="0.2">
      <c r="A8719" s="146"/>
      <c r="D8719" s="496"/>
    </row>
    <row r="8720" spans="1:4" x14ac:dyDescent="0.2">
      <c r="A8720" s="146"/>
      <c r="D8720" s="496"/>
    </row>
    <row r="8721" spans="1:4" x14ac:dyDescent="0.2">
      <c r="A8721" s="146"/>
      <c r="D8721" s="496"/>
    </row>
    <row r="8722" spans="1:4" x14ac:dyDescent="0.2">
      <c r="A8722" s="146"/>
      <c r="D8722" s="496"/>
    </row>
    <row r="8723" spans="1:4" x14ac:dyDescent="0.2">
      <c r="A8723" s="146"/>
      <c r="D8723" s="496"/>
    </row>
    <row r="8724" spans="1:4" x14ac:dyDescent="0.2">
      <c r="A8724" s="146"/>
      <c r="D8724" s="496"/>
    </row>
    <row r="8725" spans="1:4" x14ac:dyDescent="0.2">
      <c r="A8725" s="146"/>
      <c r="D8725" s="496"/>
    </row>
    <row r="8726" spans="1:4" x14ac:dyDescent="0.2">
      <c r="A8726" s="146"/>
      <c r="D8726" s="496"/>
    </row>
    <row r="8727" spans="1:4" x14ac:dyDescent="0.2">
      <c r="A8727" s="146"/>
      <c r="D8727" s="496"/>
    </row>
    <row r="8728" spans="1:4" x14ac:dyDescent="0.2">
      <c r="A8728" s="146"/>
      <c r="D8728" s="496"/>
    </row>
    <row r="8729" spans="1:4" x14ac:dyDescent="0.2">
      <c r="A8729" s="146"/>
      <c r="D8729" s="496"/>
    </row>
    <row r="8730" spans="1:4" x14ac:dyDescent="0.2">
      <c r="A8730" s="146"/>
      <c r="D8730" s="496"/>
    </row>
    <row r="8731" spans="1:4" x14ac:dyDescent="0.2">
      <c r="A8731" s="146"/>
      <c r="D8731" s="496"/>
    </row>
    <row r="8732" spans="1:4" x14ac:dyDescent="0.2">
      <c r="A8732" s="146"/>
      <c r="D8732" s="496"/>
    </row>
    <row r="8733" spans="1:4" x14ac:dyDescent="0.2">
      <c r="A8733" s="146"/>
      <c r="D8733" s="496"/>
    </row>
    <row r="8734" spans="1:4" x14ac:dyDescent="0.2">
      <c r="A8734" s="146"/>
      <c r="D8734" s="496"/>
    </row>
    <row r="8735" spans="1:4" x14ac:dyDescent="0.2">
      <c r="A8735" s="146"/>
      <c r="D8735" s="496"/>
    </row>
    <row r="8736" spans="1:4" x14ac:dyDescent="0.2">
      <c r="A8736" s="146"/>
      <c r="D8736" s="496"/>
    </row>
    <row r="8737" spans="1:4" x14ac:dyDescent="0.2">
      <c r="A8737" s="146"/>
      <c r="D8737" s="496"/>
    </row>
    <row r="8738" spans="1:4" x14ac:dyDescent="0.2">
      <c r="A8738" s="146"/>
      <c r="D8738" s="496"/>
    </row>
    <row r="8739" spans="1:4" x14ac:dyDescent="0.2">
      <c r="A8739" s="146"/>
      <c r="D8739" s="496"/>
    </row>
    <row r="8740" spans="1:4" x14ac:dyDescent="0.2">
      <c r="A8740" s="146"/>
      <c r="D8740" s="496"/>
    </row>
    <row r="8741" spans="1:4" x14ac:dyDescent="0.2">
      <c r="A8741" s="146"/>
      <c r="D8741" s="496"/>
    </row>
    <row r="8742" spans="1:4" x14ac:dyDescent="0.2">
      <c r="A8742" s="146"/>
      <c r="D8742" s="496"/>
    </row>
    <row r="8743" spans="1:4" x14ac:dyDescent="0.2">
      <c r="A8743" s="146"/>
      <c r="D8743" s="496"/>
    </row>
    <row r="8744" spans="1:4" x14ac:dyDescent="0.2">
      <c r="A8744" s="146"/>
      <c r="D8744" s="496"/>
    </row>
    <row r="8745" spans="1:4" x14ac:dyDescent="0.2">
      <c r="A8745" s="146"/>
      <c r="D8745" s="496"/>
    </row>
    <row r="8746" spans="1:4" x14ac:dyDescent="0.2">
      <c r="A8746" s="146"/>
      <c r="D8746" s="496"/>
    </row>
    <row r="8747" spans="1:4" x14ac:dyDescent="0.2">
      <c r="A8747" s="146"/>
      <c r="D8747" s="496"/>
    </row>
    <row r="8748" spans="1:4" x14ac:dyDescent="0.2">
      <c r="A8748" s="146"/>
      <c r="D8748" s="496"/>
    </row>
    <row r="8749" spans="1:4" x14ac:dyDescent="0.2">
      <c r="A8749" s="146"/>
      <c r="D8749" s="496"/>
    </row>
    <row r="8750" spans="1:4" x14ac:dyDescent="0.2">
      <c r="A8750" s="146"/>
      <c r="D8750" s="496"/>
    </row>
    <row r="8751" spans="1:4" x14ac:dyDescent="0.2">
      <c r="A8751" s="146"/>
      <c r="D8751" s="496"/>
    </row>
    <row r="8752" spans="1:4" x14ac:dyDescent="0.2">
      <c r="A8752" s="146"/>
      <c r="D8752" s="496"/>
    </row>
    <row r="8753" spans="1:4" x14ac:dyDescent="0.2">
      <c r="A8753" s="146"/>
      <c r="D8753" s="496"/>
    </row>
    <row r="8754" spans="1:4" x14ac:dyDescent="0.2">
      <c r="A8754" s="146"/>
      <c r="D8754" s="496"/>
    </row>
    <row r="8755" spans="1:4" x14ac:dyDescent="0.2">
      <c r="A8755" s="146"/>
      <c r="D8755" s="496"/>
    </row>
    <row r="8756" spans="1:4" x14ac:dyDescent="0.2">
      <c r="A8756" s="146"/>
      <c r="D8756" s="496"/>
    </row>
    <row r="8757" spans="1:4" x14ac:dyDescent="0.2">
      <c r="A8757" s="146"/>
      <c r="D8757" s="496"/>
    </row>
    <row r="8758" spans="1:4" x14ac:dyDescent="0.2">
      <c r="A8758" s="146"/>
      <c r="D8758" s="496"/>
    </row>
    <row r="8759" spans="1:4" x14ac:dyDescent="0.2">
      <c r="A8759" s="146"/>
      <c r="D8759" s="496"/>
    </row>
    <row r="8760" spans="1:4" x14ac:dyDescent="0.2">
      <c r="A8760" s="146"/>
      <c r="D8760" s="496"/>
    </row>
    <row r="8761" spans="1:4" x14ac:dyDescent="0.2">
      <c r="A8761" s="146"/>
      <c r="D8761" s="496"/>
    </row>
    <row r="8762" spans="1:4" x14ac:dyDescent="0.2">
      <c r="A8762" s="146"/>
      <c r="D8762" s="496"/>
    </row>
    <row r="8763" spans="1:4" x14ac:dyDescent="0.2">
      <c r="A8763" s="146"/>
      <c r="D8763" s="496"/>
    </row>
    <row r="8764" spans="1:4" x14ac:dyDescent="0.2">
      <c r="A8764" s="146"/>
      <c r="D8764" s="496"/>
    </row>
    <row r="8765" spans="1:4" x14ac:dyDescent="0.2">
      <c r="A8765" s="146"/>
      <c r="D8765" s="496"/>
    </row>
    <row r="8766" spans="1:4" x14ac:dyDescent="0.2">
      <c r="A8766" s="146"/>
      <c r="D8766" s="496"/>
    </row>
    <row r="8767" spans="1:4" x14ac:dyDescent="0.2">
      <c r="A8767" s="146"/>
      <c r="D8767" s="496"/>
    </row>
    <row r="8768" spans="1:4" x14ac:dyDescent="0.2">
      <c r="A8768" s="146"/>
      <c r="D8768" s="496"/>
    </row>
    <row r="8769" spans="1:4" x14ac:dyDescent="0.2">
      <c r="A8769" s="146"/>
      <c r="D8769" s="496"/>
    </row>
    <row r="8770" spans="1:4" x14ac:dyDescent="0.2">
      <c r="A8770" s="146"/>
      <c r="D8770" s="496"/>
    </row>
    <row r="8771" spans="1:4" x14ac:dyDescent="0.2">
      <c r="A8771" s="146"/>
      <c r="D8771" s="496"/>
    </row>
    <row r="8772" spans="1:4" x14ac:dyDescent="0.2">
      <c r="A8772" s="146"/>
      <c r="D8772" s="496"/>
    </row>
    <row r="8773" spans="1:4" x14ac:dyDescent="0.2">
      <c r="A8773" s="146"/>
      <c r="D8773" s="496"/>
    </row>
    <row r="8774" spans="1:4" x14ac:dyDescent="0.2">
      <c r="A8774" s="146"/>
      <c r="D8774" s="496"/>
    </row>
    <row r="8775" spans="1:4" x14ac:dyDescent="0.2">
      <c r="A8775" s="146"/>
      <c r="D8775" s="496"/>
    </row>
    <row r="8776" spans="1:4" x14ac:dyDescent="0.2">
      <c r="A8776" s="146"/>
      <c r="D8776" s="496"/>
    </row>
    <row r="8777" spans="1:4" x14ac:dyDescent="0.2">
      <c r="A8777" s="146"/>
      <c r="D8777" s="496"/>
    </row>
    <row r="8778" spans="1:4" x14ac:dyDescent="0.2">
      <c r="A8778" s="146"/>
      <c r="D8778" s="496"/>
    </row>
    <row r="8779" spans="1:4" x14ac:dyDescent="0.2">
      <c r="A8779" s="146"/>
      <c r="D8779" s="496"/>
    </row>
    <row r="8780" spans="1:4" x14ac:dyDescent="0.2">
      <c r="A8780" s="146"/>
      <c r="D8780" s="496"/>
    </row>
    <row r="8781" spans="1:4" x14ac:dyDescent="0.2">
      <c r="A8781" s="146"/>
      <c r="D8781" s="496"/>
    </row>
    <row r="8782" spans="1:4" x14ac:dyDescent="0.2">
      <c r="A8782" s="146"/>
      <c r="D8782" s="496"/>
    </row>
    <row r="8783" spans="1:4" x14ac:dyDescent="0.2">
      <c r="A8783" s="146"/>
      <c r="D8783" s="496"/>
    </row>
    <row r="8784" spans="1:4" x14ac:dyDescent="0.2">
      <c r="A8784" s="146"/>
      <c r="D8784" s="496"/>
    </row>
    <row r="8785" spans="1:4" x14ac:dyDescent="0.2">
      <c r="A8785" s="146"/>
      <c r="D8785" s="496"/>
    </row>
    <row r="8786" spans="1:4" x14ac:dyDescent="0.2">
      <c r="A8786" s="146"/>
      <c r="D8786" s="496"/>
    </row>
    <row r="8787" spans="1:4" x14ac:dyDescent="0.2">
      <c r="A8787" s="146"/>
      <c r="D8787" s="496"/>
    </row>
    <row r="8788" spans="1:4" x14ac:dyDescent="0.2">
      <c r="A8788" s="146"/>
      <c r="D8788" s="496"/>
    </row>
    <row r="8789" spans="1:4" x14ac:dyDescent="0.2">
      <c r="A8789" s="146"/>
      <c r="D8789" s="496"/>
    </row>
    <row r="8790" spans="1:4" x14ac:dyDescent="0.2">
      <c r="A8790" s="146"/>
      <c r="D8790" s="496"/>
    </row>
    <row r="8791" spans="1:4" x14ac:dyDescent="0.2">
      <c r="A8791" s="146"/>
      <c r="D8791" s="496"/>
    </row>
    <row r="8792" spans="1:4" x14ac:dyDescent="0.2">
      <c r="A8792" s="146"/>
      <c r="D8792" s="496"/>
    </row>
    <row r="8793" spans="1:4" x14ac:dyDescent="0.2">
      <c r="A8793" s="146"/>
      <c r="D8793" s="496"/>
    </row>
    <row r="8794" spans="1:4" x14ac:dyDescent="0.2">
      <c r="A8794" s="146"/>
      <c r="D8794" s="496"/>
    </row>
    <row r="8795" spans="1:4" x14ac:dyDescent="0.2">
      <c r="A8795" s="146"/>
      <c r="D8795" s="496"/>
    </row>
    <row r="8796" spans="1:4" x14ac:dyDescent="0.2">
      <c r="A8796" s="146"/>
      <c r="D8796" s="496"/>
    </row>
    <row r="8797" spans="1:4" x14ac:dyDescent="0.2">
      <c r="A8797" s="146"/>
      <c r="D8797" s="496"/>
    </row>
    <row r="8798" spans="1:4" x14ac:dyDescent="0.2">
      <c r="A8798" s="146"/>
      <c r="D8798" s="496"/>
    </row>
    <row r="8799" spans="1:4" x14ac:dyDescent="0.2">
      <c r="A8799" s="146"/>
      <c r="D8799" s="496"/>
    </row>
    <row r="8800" spans="1:4" x14ac:dyDescent="0.2">
      <c r="A8800" s="146"/>
      <c r="D8800" s="496"/>
    </row>
    <row r="8801" spans="1:4" x14ac:dyDescent="0.2">
      <c r="A8801" s="146"/>
      <c r="D8801" s="496"/>
    </row>
    <row r="8802" spans="1:4" x14ac:dyDescent="0.2">
      <c r="A8802" s="146"/>
      <c r="D8802" s="496"/>
    </row>
    <row r="8803" spans="1:4" x14ac:dyDescent="0.2">
      <c r="A8803" s="146"/>
      <c r="D8803" s="496"/>
    </row>
    <row r="8804" spans="1:4" x14ac:dyDescent="0.2">
      <c r="A8804" s="146"/>
      <c r="D8804" s="496"/>
    </row>
    <row r="8805" spans="1:4" x14ac:dyDescent="0.2">
      <c r="A8805" s="146"/>
      <c r="D8805" s="496"/>
    </row>
    <row r="8806" spans="1:4" x14ac:dyDescent="0.2">
      <c r="A8806" s="146"/>
      <c r="D8806" s="496"/>
    </row>
    <row r="8807" spans="1:4" x14ac:dyDescent="0.2">
      <c r="A8807" s="146"/>
      <c r="D8807" s="496"/>
    </row>
    <row r="8808" spans="1:4" x14ac:dyDescent="0.2">
      <c r="A8808" s="146"/>
      <c r="D8808" s="496"/>
    </row>
    <row r="8809" spans="1:4" x14ac:dyDescent="0.2">
      <c r="A8809" s="146"/>
      <c r="D8809" s="496"/>
    </row>
    <row r="8810" spans="1:4" x14ac:dyDescent="0.2">
      <c r="A8810" s="146"/>
      <c r="D8810" s="496"/>
    </row>
    <row r="8811" spans="1:4" x14ac:dyDescent="0.2">
      <c r="A8811" s="146"/>
      <c r="D8811" s="496"/>
    </row>
    <row r="8812" spans="1:4" x14ac:dyDescent="0.2">
      <c r="A8812" s="146"/>
      <c r="D8812" s="496"/>
    </row>
    <row r="8813" spans="1:4" x14ac:dyDescent="0.2">
      <c r="A8813" s="146"/>
      <c r="D8813" s="496"/>
    </row>
    <row r="8814" spans="1:4" x14ac:dyDescent="0.2">
      <c r="A8814" s="146"/>
      <c r="D8814" s="496"/>
    </row>
    <row r="8815" spans="1:4" x14ac:dyDescent="0.2">
      <c r="A8815" s="146"/>
      <c r="D8815" s="496"/>
    </row>
    <row r="8816" spans="1:4" x14ac:dyDescent="0.2">
      <c r="A8816" s="146"/>
      <c r="D8816" s="496"/>
    </row>
    <row r="8817" spans="1:4" x14ac:dyDescent="0.2">
      <c r="A8817" s="146"/>
      <c r="D8817" s="496"/>
    </row>
    <row r="8818" spans="1:4" x14ac:dyDescent="0.2">
      <c r="A8818" s="146"/>
      <c r="D8818" s="496"/>
    </row>
    <row r="8819" spans="1:4" x14ac:dyDescent="0.2">
      <c r="A8819" s="146"/>
      <c r="D8819" s="496"/>
    </row>
    <row r="8820" spans="1:4" x14ac:dyDescent="0.2">
      <c r="A8820" s="146"/>
      <c r="D8820" s="496"/>
    </row>
    <row r="8821" spans="1:4" x14ac:dyDescent="0.2">
      <c r="A8821" s="146"/>
      <c r="D8821" s="496"/>
    </row>
    <row r="8822" spans="1:4" x14ac:dyDescent="0.2">
      <c r="A8822" s="146"/>
      <c r="D8822" s="496"/>
    </row>
    <row r="8823" spans="1:4" x14ac:dyDescent="0.2">
      <c r="A8823" s="146"/>
      <c r="D8823" s="496"/>
    </row>
    <row r="8824" spans="1:4" x14ac:dyDescent="0.2">
      <c r="A8824" s="146"/>
      <c r="D8824" s="496"/>
    </row>
    <row r="8825" spans="1:4" x14ac:dyDescent="0.2">
      <c r="A8825" s="146"/>
      <c r="D8825" s="496"/>
    </row>
    <row r="8826" spans="1:4" x14ac:dyDescent="0.2">
      <c r="A8826" s="146"/>
      <c r="D8826" s="496"/>
    </row>
    <row r="8827" spans="1:4" x14ac:dyDescent="0.2">
      <c r="A8827" s="146"/>
      <c r="D8827" s="496"/>
    </row>
    <row r="8828" spans="1:4" x14ac:dyDescent="0.2">
      <c r="A8828" s="146"/>
      <c r="D8828" s="496"/>
    </row>
    <row r="8829" spans="1:4" x14ac:dyDescent="0.2">
      <c r="A8829" s="146"/>
      <c r="D8829" s="496"/>
    </row>
    <row r="8830" spans="1:4" x14ac:dyDescent="0.2">
      <c r="A8830" s="146"/>
      <c r="D8830" s="496"/>
    </row>
    <row r="8831" spans="1:4" x14ac:dyDescent="0.2">
      <c r="A8831" s="146"/>
      <c r="D8831" s="496"/>
    </row>
    <row r="8832" spans="1:4" x14ac:dyDescent="0.2">
      <c r="A8832" s="146"/>
      <c r="D8832" s="496"/>
    </row>
    <row r="8833" spans="1:4" x14ac:dyDescent="0.2">
      <c r="A8833" s="146"/>
      <c r="D8833" s="496"/>
    </row>
    <row r="8834" spans="1:4" x14ac:dyDescent="0.2">
      <c r="A8834" s="146"/>
      <c r="D8834" s="496"/>
    </row>
    <row r="8835" spans="1:4" x14ac:dyDescent="0.2">
      <c r="A8835" s="146"/>
      <c r="D8835" s="496"/>
    </row>
    <row r="8836" spans="1:4" x14ac:dyDescent="0.2">
      <c r="A8836" s="146"/>
      <c r="D8836" s="496"/>
    </row>
    <row r="8837" spans="1:4" x14ac:dyDescent="0.2">
      <c r="A8837" s="146"/>
      <c r="D8837" s="496"/>
    </row>
    <row r="8838" spans="1:4" x14ac:dyDescent="0.2">
      <c r="A8838" s="146"/>
      <c r="D8838" s="496"/>
    </row>
    <row r="8839" spans="1:4" x14ac:dyDescent="0.2">
      <c r="A8839" s="146"/>
      <c r="D8839" s="496"/>
    </row>
    <row r="8840" spans="1:4" x14ac:dyDescent="0.2">
      <c r="A8840" s="146"/>
      <c r="D8840" s="496"/>
    </row>
    <row r="8841" spans="1:4" x14ac:dyDescent="0.2">
      <c r="A8841" s="146"/>
      <c r="D8841" s="496"/>
    </row>
    <row r="8842" spans="1:4" x14ac:dyDescent="0.2">
      <c r="A8842" s="146"/>
      <c r="D8842" s="496"/>
    </row>
    <row r="8843" spans="1:4" x14ac:dyDescent="0.2">
      <c r="A8843" s="146"/>
      <c r="D8843" s="496"/>
    </row>
    <row r="8844" spans="1:4" x14ac:dyDescent="0.2">
      <c r="A8844" s="146"/>
      <c r="D8844" s="496"/>
    </row>
    <row r="8845" spans="1:4" x14ac:dyDescent="0.2">
      <c r="A8845" s="146"/>
      <c r="D8845" s="496"/>
    </row>
    <row r="8846" spans="1:4" x14ac:dyDescent="0.2">
      <c r="A8846" s="146"/>
      <c r="D8846" s="496"/>
    </row>
    <row r="8847" spans="1:4" x14ac:dyDescent="0.2">
      <c r="A8847" s="146"/>
      <c r="D8847" s="496"/>
    </row>
    <row r="8848" spans="1:4" x14ac:dyDescent="0.2">
      <c r="A8848" s="146"/>
      <c r="D8848" s="496"/>
    </row>
    <row r="8849" spans="1:4" x14ac:dyDescent="0.2">
      <c r="A8849" s="146"/>
      <c r="D8849" s="496"/>
    </row>
    <row r="8850" spans="1:4" x14ac:dyDescent="0.2">
      <c r="A8850" s="146"/>
      <c r="D8850" s="496"/>
    </row>
    <row r="8851" spans="1:4" x14ac:dyDescent="0.2">
      <c r="A8851" s="146"/>
      <c r="D8851" s="496"/>
    </row>
    <row r="8852" spans="1:4" x14ac:dyDescent="0.2">
      <c r="A8852" s="146"/>
      <c r="D8852" s="496"/>
    </row>
    <row r="8853" spans="1:4" x14ac:dyDescent="0.2">
      <c r="A8853" s="146"/>
      <c r="D8853" s="496"/>
    </row>
    <row r="8854" spans="1:4" x14ac:dyDescent="0.2">
      <c r="A8854" s="146"/>
      <c r="D8854" s="496"/>
    </row>
    <row r="8855" spans="1:4" x14ac:dyDescent="0.2">
      <c r="A8855" s="146"/>
      <c r="D8855" s="496"/>
    </row>
    <row r="8856" spans="1:4" x14ac:dyDescent="0.2">
      <c r="A8856" s="146"/>
      <c r="D8856" s="496"/>
    </row>
    <row r="8857" spans="1:4" x14ac:dyDescent="0.2">
      <c r="A8857" s="146"/>
      <c r="D8857" s="496"/>
    </row>
    <row r="8858" spans="1:4" x14ac:dyDescent="0.2">
      <c r="A8858" s="146"/>
      <c r="D8858" s="496"/>
    </row>
    <row r="8859" spans="1:4" x14ac:dyDescent="0.2">
      <c r="A8859" s="146"/>
      <c r="D8859" s="496"/>
    </row>
    <row r="8860" spans="1:4" x14ac:dyDescent="0.2">
      <c r="A8860" s="146"/>
      <c r="D8860" s="496"/>
    </row>
    <row r="8861" spans="1:4" x14ac:dyDescent="0.2">
      <c r="A8861" s="146"/>
      <c r="D8861" s="496"/>
    </row>
    <row r="8862" spans="1:4" x14ac:dyDescent="0.2">
      <c r="A8862" s="146"/>
      <c r="D8862" s="496"/>
    </row>
    <row r="8863" spans="1:4" x14ac:dyDescent="0.2">
      <c r="A8863" s="146"/>
      <c r="D8863" s="496"/>
    </row>
    <row r="8864" spans="1:4" x14ac:dyDescent="0.2">
      <c r="A8864" s="146"/>
      <c r="D8864" s="496"/>
    </row>
    <row r="8865" spans="1:4" x14ac:dyDescent="0.2">
      <c r="A8865" s="146"/>
      <c r="D8865" s="496"/>
    </row>
    <row r="8866" spans="1:4" x14ac:dyDescent="0.2">
      <c r="A8866" s="146"/>
      <c r="D8866" s="496"/>
    </row>
    <row r="8867" spans="1:4" x14ac:dyDescent="0.2">
      <c r="A8867" s="146"/>
      <c r="D8867" s="496"/>
    </row>
    <row r="8868" spans="1:4" x14ac:dyDescent="0.2">
      <c r="A8868" s="146"/>
      <c r="D8868" s="496"/>
    </row>
    <row r="8869" spans="1:4" x14ac:dyDescent="0.2">
      <c r="A8869" s="146"/>
      <c r="D8869" s="496"/>
    </row>
    <row r="8870" spans="1:4" x14ac:dyDescent="0.2">
      <c r="A8870" s="146"/>
      <c r="D8870" s="496"/>
    </row>
    <row r="8871" spans="1:4" x14ac:dyDescent="0.2">
      <c r="A8871" s="146"/>
      <c r="D8871" s="496"/>
    </row>
    <row r="8872" spans="1:4" x14ac:dyDescent="0.2">
      <c r="A8872" s="146"/>
      <c r="D8872" s="496"/>
    </row>
    <row r="8873" spans="1:4" x14ac:dyDescent="0.2">
      <c r="A8873" s="146"/>
      <c r="D8873" s="496"/>
    </row>
    <row r="8874" spans="1:4" x14ac:dyDescent="0.2">
      <c r="A8874" s="146"/>
      <c r="D8874" s="496"/>
    </row>
    <row r="8875" spans="1:4" x14ac:dyDescent="0.2">
      <c r="A8875" s="146"/>
      <c r="D8875" s="496"/>
    </row>
    <row r="8876" spans="1:4" x14ac:dyDescent="0.2">
      <c r="A8876" s="146"/>
      <c r="D8876" s="496"/>
    </row>
    <row r="8877" spans="1:4" x14ac:dyDescent="0.2">
      <c r="A8877" s="146"/>
      <c r="D8877" s="496"/>
    </row>
    <row r="8878" spans="1:4" x14ac:dyDescent="0.2">
      <c r="A8878" s="146"/>
      <c r="D8878" s="496"/>
    </row>
    <row r="8879" spans="1:4" x14ac:dyDescent="0.2">
      <c r="A8879" s="146"/>
      <c r="D8879" s="496"/>
    </row>
    <row r="8880" spans="1:4" x14ac:dyDescent="0.2">
      <c r="A8880" s="146"/>
      <c r="D8880" s="496"/>
    </row>
    <row r="8881" spans="1:4" x14ac:dyDescent="0.2">
      <c r="A8881" s="146"/>
      <c r="D8881" s="496"/>
    </row>
    <row r="8882" spans="1:4" x14ac:dyDescent="0.2">
      <c r="A8882" s="146"/>
      <c r="D8882" s="496"/>
    </row>
    <row r="8883" spans="1:4" x14ac:dyDescent="0.2">
      <c r="A8883" s="146"/>
      <c r="D8883" s="496"/>
    </row>
    <row r="8884" spans="1:4" x14ac:dyDescent="0.2">
      <c r="A8884" s="146"/>
      <c r="D8884" s="496"/>
    </row>
    <row r="8885" spans="1:4" x14ac:dyDescent="0.2">
      <c r="A8885" s="146"/>
      <c r="D8885" s="496"/>
    </row>
    <row r="8886" spans="1:4" x14ac:dyDescent="0.2">
      <c r="A8886" s="146"/>
      <c r="D8886" s="496"/>
    </row>
    <row r="8887" spans="1:4" x14ac:dyDescent="0.2">
      <c r="A8887" s="146"/>
      <c r="D8887" s="496"/>
    </row>
    <row r="8888" spans="1:4" x14ac:dyDescent="0.2">
      <c r="A8888" s="146"/>
      <c r="D8888" s="496"/>
    </row>
    <row r="8889" spans="1:4" x14ac:dyDescent="0.2">
      <c r="A8889" s="146"/>
      <c r="D8889" s="496"/>
    </row>
    <row r="8890" spans="1:4" x14ac:dyDescent="0.2">
      <c r="A8890" s="146"/>
      <c r="D8890" s="496"/>
    </row>
    <row r="8891" spans="1:4" x14ac:dyDescent="0.2">
      <c r="A8891" s="146"/>
      <c r="D8891" s="496"/>
    </row>
    <row r="8892" spans="1:4" x14ac:dyDescent="0.2">
      <c r="A8892" s="146"/>
      <c r="D8892" s="496"/>
    </row>
    <row r="8893" spans="1:4" x14ac:dyDescent="0.2">
      <c r="A8893" s="146"/>
      <c r="D8893" s="496"/>
    </row>
    <row r="8894" spans="1:4" x14ac:dyDescent="0.2">
      <c r="A8894" s="146"/>
      <c r="D8894" s="496"/>
    </row>
    <row r="8895" spans="1:4" x14ac:dyDescent="0.2">
      <c r="A8895" s="146"/>
      <c r="D8895" s="496"/>
    </row>
    <row r="8896" spans="1:4" x14ac:dyDescent="0.2">
      <c r="A8896" s="146"/>
      <c r="D8896" s="496"/>
    </row>
    <row r="8897" spans="1:4" x14ac:dyDescent="0.2">
      <c r="A8897" s="146"/>
      <c r="D8897" s="496"/>
    </row>
    <row r="8898" spans="1:4" x14ac:dyDescent="0.2">
      <c r="A8898" s="146"/>
      <c r="D8898" s="496"/>
    </row>
    <row r="8899" spans="1:4" x14ac:dyDescent="0.2">
      <c r="A8899" s="146"/>
      <c r="D8899" s="496"/>
    </row>
    <row r="8900" spans="1:4" x14ac:dyDescent="0.2">
      <c r="A8900" s="146"/>
      <c r="D8900" s="496"/>
    </row>
    <row r="8901" spans="1:4" x14ac:dyDescent="0.2">
      <c r="A8901" s="146"/>
      <c r="D8901" s="496"/>
    </row>
    <row r="8902" spans="1:4" x14ac:dyDescent="0.2">
      <c r="A8902" s="146"/>
      <c r="D8902" s="496"/>
    </row>
    <row r="8903" spans="1:4" x14ac:dyDescent="0.2">
      <c r="A8903" s="146"/>
      <c r="D8903" s="496"/>
    </row>
    <row r="8904" spans="1:4" x14ac:dyDescent="0.2">
      <c r="A8904" s="146"/>
      <c r="D8904" s="496"/>
    </row>
    <row r="8905" spans="1:4" x14ac:dyDescent="0.2">
      <c r="A8905" s="146"/>
      <c r="D8905" s="496"/>
    </row>
    <row r="8906" spans="1:4" x14ac:dyDescent="0.2">
      <c r="A8906" s="146"/>
      <c r="D8906" s="496"/>
    </row>
    <row r="8907" spans="1:4" x14ac:dyDescent="0.2">
      <c r="A8907" s="146"/>
      <c r="D8907" s="496"/>
    </row>
    <row r="8908" spans="1:4" x14ac:dyDescent="0.2">
      <c r="A8908" s="146"/>
      <c r="D8908" s="496"/>
    </row>
    <row r="8909" spans="1:4" x14ac:dyDescent="0.2">
      <c r="A8909" s="146"/>
      <c r="D8909" s="496"/>
    </row>
    <row r="8910" spans="1:4" x14ac:dyDescent="0.2">
      <c r="A8910" s="146"/>
      <c r="D8910" s="496"/>
    </row>
    <row r="8911" spans="1:4" x14ac:dyDescent="0.2">
      <c r="A8911" s="146"/>
      <c r="D8911" s="496"/>
    </row>
    <row r="8912" spans="1:4" x14ac:dyDescent="0.2">
      <c r="A8912" s="146"/>
      <c r="D8912" s="496"/>
    </row>
    <row r="8913" spans="1:4" x14ac:dyDescent="0.2">
      <c r="A8913" s="146"/>
      <c r="D8913" s="496"/>
    </row>
    <row r="8914" spans="1:4" x14ac:dyDescent="0.2">
      <c r="A8914" s="146"/>
      <c r="D8914" s="496"/>
    </row>
    <row r="8915" spans="1:4" x14ac:dyDescent="0.2">
      <c r="A8915" s="146"/>
      <c r="D8915" s="496"/>
    </row>
    <row r="8916" spans="1:4" x14ac:dyDescent="0.2">
      <c r="A8916" s="146"/>
      <c r="D8916" s="496"/>
    </row>
    <row r="8917" spans="1:4" x14ac:dyDescent="0.2">
      <c r="A8917" s="146"/>
      <c r="D8917" s="496"/>
    </row>
    <row r="8918" spans="1:4" x14ac:dyDescent="0.2">
      <c r="A8918" s="146"/>
      <c r="D8918" s="496"/>
    </row>
    <row r="8919" spans="1:4" x14ac:dyDescent="0.2">
      <c r="A8919" s="146"/>
      <c r="D8919" s="496"/>
    </row>
    <row r="8920" spans="1:4" x14ac:dyDescent="0.2">
      <c r="A8920" s="146"/>
      <c r="D8920" s="496"/>
    </row>
    <row r="8921" spans="1:4" x14ac:dyDescent="0.2">
      <c r="A8921" s="146"/>
      <c r="D8921" s="496"/>
    </row>
    <row r="8922" spans="1:4" x14ac:dyDescent="0.2">
      <c r="A8922" s="146"/>
      <c r="D8922" s="496"/>
    </row>
    <row r="8923" spans="1:4" x14ac:dyDescent="0.2">
      <c r="A8923" s="146"/>
      <c r="D8923" s="496"/>
    </row>
    <row r="8924" spans="1:4" x14ac:dyDescent="0.2">
      <c r="A8924" s="146"/>
      <c r="D8924" s="496"/>
    </row>
    <row r="8925" spans="1:4" x14ac:dyDescent="0.2">
      <c r="A8925" s="146"/>
      <c r="D8925" s="496"/>
    </row>
    <row r="8926" spans="1:4" x14ac:dyDescent="0.2">
      <c r="A8926" s="146"/>
      <c r="D8926" s="496"/>
    </row>
    <row r="8927" spans="1:4" x14ac:dyDescent="0.2">
      <c r="A8927" s="146"/>
      <c r="D8927" s="496"/>
    </row>
    <row r="8928" spans="1:4" x14ac:dyDescent="0.2">
      <c r="A8928" s="146"/>
      <c r="D8928" s="496"/>
    </row>
    <row r="8929" spans="1:4" x14ac:dyDescent="0.2">
      <c r="A8929" s="146"/>
      <c r="D8929" s="496"/>
    </row>
    <row r="8930" spans="1:4" x14ac:dyDescent="0.2">
      <c r="A8930" s="146"/>
      <c r="D8930" s="496"/>
    </row>
    <row r="8931" spans="1:4" x14ac:dyDescent="0.2">
      <c r="A8931" s="146"/>
      <c r="D8931" s="496"/>
    </row>
    <row r="8932" spans="1:4" x14ac:dyDescent="0.2">
      <c r="A8932" s="146"/>
      <c r="D8932" s="496"/>
    </row>
    <row r="8933" spans="1:4" x14ac:dyDescent="0.2">
      <c r="A8933" s="146"/>
      <c r="D8933" s="496"/>
    </row>
    <row r="8934" spans="1:4" x14ac:dyDescent="0.2">
      <c r="A8934" s="146"/>
      <c r="D8934" s="496"/>
    </row>
    <row r="8935" spans="1:4" x14ac:dyDescent="0.2">
      <c r="A8935" s="146"/>
      <c r="D8935" s="496"/>
    </row>
    <row r="8936" spans="1:4" x14ac:dyDescent="0.2">
      <c r="A8936" s="146"/>
      <c r="D8936" s="496"/>
    </row>
    <row r="8937" spans="1:4" x14ac:dyDescent="0.2">
      <c r="A8937" s="146"/>
      <c r="D8937" s="496"/>
    </row>
    <row r="8938" spans="1:4" x14ac:dyDescent="0.2">
      <c r="A8938" s="146"/>
      <c r="D8938" s="496"/>
    </row>
    <row r="8939" spans="1:4" x14ac:dyDescent="0.2">
      <c r="A8939" s="146"/>
      <c r="D8939" s="496"/>
    </row>
    <row r="8940" spans="1:4" x14ac:dyDescent="0.2">
      <c r="A8940" s="146"/>
      <c r="D8940" s="496"/>
    </row>
    <row r="8941" spans="1:4" x14ac:dyDescent="0.2">
      <c r="A8941" s="146"/>
      <c r="D8941" s="496"/>
    </row>
    <row r="8942" spans="1:4" x14ac:dyDescent="0.2">
      <c r="A8942" s="146"/>
      <c r="D8942" s="496"/>
    </row>
    <row r="8943" spans="1:4" x14ac:dyDescent="0.2">
      <c r="A8943" s="146"/>
      <c r="D8943" s="496"/>
    </row>
    <row r="8944" spans="1:4" x14ac:dyDescent="0.2">
      <c r="A8944" s="146"/>
      <c r="D8944" s="496"/>
    </row>
    <row r="8945" spans="1:4" x14ac:dyDescent="0.2">
      <c r="A8945" s="146"/>
      <c r="D8945" s="496"/>
    </row>
    <row r="8946" spans="1:4" x14ac:dyDescent="0.2">
      <c r="A8946" s="146"/>
      <c r="D8946" s="496"/>
    </row>
    <row r="8947" spans="1:4" x14ac:dyDescent="0.2">
      <c r="A8947" s="146"/>
      <c r="D8947" s="496"/>
    </row>
    <row r="8948" spans="1:4" x14ac:dyDescent="0.2">
      <c r="A8948" s="146"/>
      <c r="D8948" s="496"/>
    </row>
    <row r="8949" spans="1:4" x14ac:dyDescent="0.2">
      <c r="A8949" s="146"/>
      <c r="D8949" s="496"/>
    </row>
    <row r="8950" spans="1:4" x14ac:dyDescent="0.2">
      <c r="A8950" s="146"/>
      <c r="D8950" s="496"/>
    </row>
    <row r="8951" spans="1:4" x14ac:dyDescent="0.2">
      <c r="A8951" s="146"/>
      <c r="D8951" s="496"/>
    </row>
    <row r="8952" spans="1:4" x14ac:dyDescent="0.2">
      <c r="A8952" s="146"/>
      <c r="D8952" s="496"/>
    </row>
    <row r="8953" spans="1:4" x14ac:dyDescent="0.2">
      <c r="A8953" s="146"/>
      <c r="D8953" s="496"/>
    </row>
    <row r="8954" spans="1:4" x14ac:dyDescent="0.2">
      <c r="A8954" s="146"/>
      <c r="D8954" s="496"/>
    </row>
    <row r="8955" spans="1:4" x14ac:dyDescent="0.2">
      <c r="A8955" s="146"/>
      <c r="D8955" s="496"/>
    </row>
    <row r="8956" spans="1:4" x14ac:dyDescent="0.2">
      <c r="A8956" s="146"/>
      <c r="D8956" s="496"/>
    </row>
    <row r="8957" spans="1:4" x14ac:dyDescent="0.2">
      <c r="A8957" s="146"/>
      <c r="D8957" s="496"/>
    </row>
    <row r="8958" spans="1:4" x14ac:dyDescent="0.2">
      <c r="A8958" s="146"/>
      <c r="D8958" s="496"/>
    </row>
    <row r="8959" spans="1:4" x14ac:dyDescent="0.2">
      <c r="A8959" s="146"/>
      <c r="D8959" s="496"/>
    </row>
    <row r="8960" spans="1:4" x14ac:dyDescent="0.2">
      <c r="A8960" s="146"/>
      <c r="D8960" s="496"/>
    </row>
    <row r="8961" spans="1:4" x14ac:dyDescent="0.2">
      <c r="A8961" s="146"/>
      <c r="D8961" s="496"/>
    </row>
    <row r="8962" spans="1:4" x14ac:dyDescent="0.2">
      <c r="A8962" s="146"/>
      <c r="D8962" s="496"/>
    </row>
    <row r="8963" spans="1:4" x14ac:dyDescent="0.2">
      <c r="A8963" s="146"/>
      <c r="D8963" s="496"/>
    </row>
    <row r="8964" spans="1:4" x14ac:dyDescent="0.2">
      <c r="A8964" s="146"/>
      <c r="D8964" s="496"/>
    </row>
    <row r="8965" spans="1:4" x14ac:dyDescent="0.2">
      <c r="A8965" s="146"/>
      <c r="D8965" s="496"/>
    </row>
    <row r="8966" spans="1:4" x14ac:dyDescent="0.2">
      <c r="A8966" s="146"/>
      <c r="D8966" s="496"/>
    </row>
    <row r="8967" spans="1:4" x14ac:dyDescent="0.2">
      <c r="A8967" s="146"/>
      <c r="D8967" s="496"/>
    </row>
    <row r="8968" spans="1:4" x14ac:dyDescent="0.2">
      <c r="A8968" s="146"/>
      <c r="D8968" s="496"/>
    </row>
    <row r="8969" spans="1:4" x14ac:dyDescent="0.2">
      <c r="A8969" s="146"/>
      <c r="D8969" s="496"/>
    </row>
    <row r="8970" spans="1:4" x14ac:dyDescent="0.2">
      <c r="A8970" s="146"/>
      <c r="D8970" s="496"/>
    </row>
    <row r="8971" spans="1:4" x14ac:dyDescent="0.2">
      <c r="A8971" s="146"/>
      <c r="D8971" s="496"/>
    </row>
    <row r="8972" spans="1:4" x14ac:dyDescent="0.2">
      <c r="A8972" s="146"/>
      <c r="D8972" s="496"/>
    </row>
    <row r="8973" spans="1:4" x14ac:dyDescent="0.2">
      <c r="A8973" s="146"/>
      <c r="D8973" s="496"/>
    </row>
    <row r="8974" spans="1:4" x14ac:dyDescent="0.2">
      <c r="A8974" s="146"/>
      <c r="D8974" s="496"/>
    </row>
    <row r="8975" spans="1:4" x14ac:dyDescent="0.2">
      <c r="A8975" s="146"/>
      <c r="D8975" s="496"/>
    </row>
    <row r="8976" spans="1:4" x14ac:dyDescent="0.2">
      <c r="A8976" s="146"/>
      <c r="D8976" s="496"/>
    </row>
    <row r="8977" spans="1:4" x14ac:dyDescent="0.2">
      <c r="A8977" s="146"/>
      <c r="D8977" s="496"/>
    </row>
    <row r="8978" spans="1:4" x14ac:dyDescent="0.2">
      <c r="A8978" s="146"/>
      <c r="D8978" s="496"/>
    </row>
    <row r="8979" spans="1:4" x14ac:dyDescent="0.2">
      <c r="A8979" s="146"/>
      <c r="D8979" s="496"/>
    </row>
    <row r="8980" spans="1:4" x14ac:dyDescent="0.2">
      <c r="A8980" s="146"/>
      <c r="D8980" s="496"/>
    </row>
    <row r="8981" spans="1:4" x14ac:dyDescent="0.2">
      <c r="A8981" s="146"/>
      <c r="D8981" s="496"/>
    </row>
    <row r="8982" spans="1:4" x14ac:dyDescent="0.2">
      <c r="A8982" s="146"/>
      <c r="D8982" s="496"/>
    </row>
    <row r="8983" spans="1:4" x14ac:dyDescent="0.2">
      <c r="A8983" s="146"/>
      <c r="D8983" s="496"/>
    </row>
    <row r="8984" spans="1:4" x14ac:dyDescent="0.2">
      <c r="A8984" s="146"/>
      <c r="D8984" s="496"/>
    </row>
    <row r="8985" spans="1:4" x14ac:dyDescent="0.2">
      <c r="A8985" s="146"/>
      <c r="D8985" s="496"/>
    </row>
    <row r="8986" spans="1:4" x14ac:dyDescent="0.2">
      <c r="A8986" s="146"/>
      <c r="D8986" s="496"/>
    </row>
    <row r="8987" spans="1:4" x14ac:dyDescent="0.2">
      <c r="A8987" s="146"/>
      <c r="D8987" s="496"/>
    </row>
    <row r="8988" spans="1:4" x14ac:dyDescent="0.2">
      <c r="A8988" s="146"/>
      <c r="D8988" s="496"/>
    </row>
    <row r="8989" spans="1:4" x14ac:dyDescent="0.2">
      <c r="A8989" s="146"/>
      <c r="D8989" s="496"/>
    </row>
    <row r="8990" spans="1:4" x14ac:dyDescent="0.2">
      <c r="A8990" s="146"/>
      <c r="D8990" s="496"/>
    </row>
    <row r="8991" spans="1:4" x14ac:dyDescent="0.2">
      <c r="A8991" s="146"/>
      <c r="D8991" s="496"/>
    </row>
    <row r="8992" spans="1:4" x14ac:dyDescent="0.2">
      <c r="A8992" s="146"/>
      <c r="D8992" s="496"/>
    </row>
    <row r="8993" spans="1:4" x14ac:dyDescent="0.2">
      <c r="A8993" s="146"/>
      <c r="D8993" s="496"/>
    </row>
    <row r="8994" spans="1:4" x14ac:dyDescent="0.2">
      <c r="A8994" s="146"/>
      <c r="D8994" s="496"/>
    </row>
    <row r="8995" spans="1:4" x14ac:dyDescent="0.2">
      <c r="A8995" s="146"/>
      <c r="D8995" s="496"/>
    </row>
    <row r="8996" spans="1:4" x14ac:dyDescent="0.2">
      <c r="A8996" s="146"/>
      <c r="D8996" s="496"/>
    </row>
    <row r="8997" spans="1:4" x14ac:dyDescent="0.2">
      <c r="A8997" s="146"/>
      <c r="D8997" s="496"/>
    </row>
    <row r="8998" spans="1:4" x14ac:dyDescent="0.2">
      <c r="A8998" s="146"/>
      <c r="D8998" s="496"/>
    </row>
    <row r="8999" spans="1:4" x14ac:dyDescent="0.2">
      <c r="A8999" s="146"/>
      <c r="D8999" s="496"/>
    </row>
    <row r="9000" spans="1:4" x14ac:dyDescent="0.2">
      <c r="A9000" s="146"/>
      <c r="D9000" s="496"/>
    </row>
    <row r="9001" spans="1:4" x14ac:dyDescent="0.2">
      <c r="A9001" s="146"/>
      <c r="D9001" s="496"/>
    </row>
    <row r="9002" spans="1:4" x14ac:dyDescent="0.2">
      <c r="A9002" s="146"/>
      <c r="D9002" s="496"/>
    </row>
    <row r="9003" spans="1:4" x14ac:dyDescent="0.2">
      <c r="A9003" s="146"/>
      <c r="D9003" s="496"/>
    </row>
    <row r="9004" spans="1:4" x14ac:dyDescent="0.2">
      <c r="A9004" s="146"/>
      <c r="D9004" s="496"/>
    </row>
    <row r="9005" spans="1:4" x14ac:dyDescent="0.2">
      <c r="A9005" s="146"/>
      <c r="D9005" s="496"/>
    </row>
    <row r="9006" spans="1:4" x14ac:dyDescent="0.2">
      <c r="A9006" s="146"/>
      <c r="D9006" s="496"/>
    </row>
    <row r="9007" spans="1:4" x14ac:dyDescent="0.2">
      <c r="A9007" s="146"/>
      <c r="D9007" s="496"/>
    </row>
    <row r="9008" spans="1:4" x14ac:dyDescent="0.2">
      <c r="A9008" s="146"/>
      <c r="D9008" s="496"/>
    </row>
    <row r="9009" spans="1:4" x14ac:dyDescent="0.2">
      <c r="A9009" s="146"/>
      <c r="D9009" s="496"/>
    </row>
    <row r="9010" spans="1:4" x14ac:dyDescent="0.2">
      <c r="A9010" s="146"/>
      <c r="D9010" s="496"/>
    </row>
    <row r="9011" spans="1:4" x14ac:dyDescent="0.2">
      <c r="A9011" s="146"/>
      <c r="D9011" s="496"/>
    </row>
    <row r="9012" spans="1:4" x14ac:dyDescent="0.2">
      <c r="A9012" s="146"/>
      <c r="D9012" s="496"/>
    </row>
    <row r="9013" spans="1:4" x14ac:dyDescent="0.2">
      <c r="A9013" s="146"/>
      <c r="D9013" s="496"/>
    </row>
    <row r="9014" spans="1:4" x14ac:dyDescent="0.2">
      <c r="A9014" s="146"/>
      <c r="D9014" s="496"/>
    </row>
    <row r="9015" spans="1:4" x14ac:dyDescent="0.2">
      <c r="A9015" s="146"/>
      <c r="D9015" s="496"/>
    </row>
    <row r="9016" spans="1:4" x14ac:dyDescent="0.2">
      <c r="A9016" s="146"/>
      <c r="D9016" s="496"/>
    </row>
    <row r="9017" spans="1:4" x14ac:dyDescent="0.2">
      <c r="A9017" s="146"/>
      <c r="D9017" s="496"/>
    </row>
    <row r="9018" spans="1:4" x14ac:dyDescent="0.2">
      <c r="A9018" s="146"/>
      <c r="D9018" s="496"/>
    </row>
    <row r="9019" spans="1:4" x14ac:dyDescent="0.2">
      <c r="A9019" s="146"/>
      <c r="D9019" s="496"/>
    </row>
    <row r="9020" spans="1:4" x14ac:dyDescent="0.2">
      <c r="A9020" s="146"/>
      <c r="D9020" s="496"/>
    </row>
    <row r="9021" spans="1:4" x14ac:dyDescent="0.2">
      <c r="A9021" s="146"/>
      <c r="D9021" s="496"/>
    </row>
    <row r="9022" spans="1:4" x14ac:dyDescent="0.2">
      <c r="A9022" s="146"/>
      <c r="D9022" s="496"/>
    </row>
    <row r="9023" spans="1:4" x14ac:dyDescent="0.2">
      <c r="A9023" s="146"/>
      <c r="D9023" s="496"/>
    </row>
    <row r="9024" spans="1:4" x14ac:dyDescent="0.2">
      <c r="A9024" s="146"/>
      <c r="D9024" s="496"/>
    </row>
    <row r="9025" spans="1:4" x14ac:dyDescent="0.2">
      <c r="A9025" s="146"/>
      <c r="D9025" s="496"/>
    </row>
    <row r="9026" spans="1:4" x14ac:dyDescent="0.2">
      <c r="A9026" s="146"/>
      <c r="D9026" s="496"/>
    </row>
    <row r="9027" spans="1:4" x14ac:dyDescent="0.2">
      <c r="A9027" s="146"/>
      <c r="D9027" s="496"/>
    </row>
    <row r="9028" spans="1:4" x14ac:dyDescent="0.2">
      <c r="A9028" s="146"/>
      <c r="D9028" s="496"/>
    </row>
    <row r="9029" spans="1:4" x14ac:dyDescent="0.2">
      <c r="A9029" s="146"/>
      <c r="D9029" s="496"/>
    </row>
    <row r="9030" spans="1:4" x14ac:dyDescent="0.2">
      <c r="A9030" s="146"/>
      <c r="D9030" s="496"/>
    </row>
    <row r="9031" spans="1:4" x14ac:dyDescent="0.2">
      <c r="A9031" s="146"/>
      <c r="D9031" s="496"/>
    </row>
    <row r="9032" spans="1:4" x14ac:dyDescent="0.2">
      <c r="A9032" s="146"/>
      <c r="D9032" s="496"/>
    </row>
    <row r="9033" spans="1:4" x14ac:dyDescent="0.2">
      <c r="A9033" s="146"/>
      <c r="D9033" s="496"/>
    </row>
    <row r="9034" spans="1:4" x14ac:dyDescent="0.2">
      <c r="A9034" s="146"/>
      <c r="D9034" s="496"/>
    </row>
    <row r="9035" spans="1:4" x14ac:dyDescent="0.2">
      <c r="A9035" s="146"/>
      <c r="D9035" s="496"/>
    </row>
    <row r="9036" spans="1:4" x14ac:dyDescent="0.2">
      <c r="A9036" s="146"/>
      <c r="D9036" s="496"/>
    </row>
    <row r="9037" spans="1:4" x14ac:dyDescent="0.2">
      <c r="A9037" s="146"/>
      <c r="D9037" s="496"/>
    </row>
    <row r="9038" spans="1:4" x14ac:dyDescent="0.2">
      <c r="A9038" s="146"/>
      <c r="D9038" s="496"/>
    </row>
    <row r="9039" spans="1:4" x14ac:dyDescent="0.2">
      <c r="A9039" s="146"/>
      <c r="D9039" s="496"/>
    </row>
    <row r="9040" spans="1:4" x14ac:dyDescent="0.2">
      <c r="A9040" s="146"/>
      <c r="D9040" s="496"/>
    </row>
    <row r="9041" spans="1:4" x14ac:dyDescent="0.2">
      <c r="A9041" s="146"/>
      <c r="D9041" s="496"/>
    </row>
    <row r="9042" spans="1:4" x14ac:dyDescent="0.2">
      <c r="A9042" s="146"/>
      <c r="D9042" s="496"/>
    </row>
    <row r="9043" spans="1:4" x14ac:dyDescent="0.2">
      <c r="A9043" s="146"/>
      <c r="D9043" s="496"/>
    </row>
    <row r="9044" spans="1:4" x14ac:dyDescent="0.2">
      <c r="A9044" s="146"/>
      <c r="D9044" s="496"/>
    </row>
    <row r="9045" spans="1:4" x14ac:dyDescent="0.2">
      <c r="A9045" s="146"/>
      <c r="D9045" s="496"/>
    </row>
    <row r="9046" spans="1:4" x14ac:dyDescent="0.2">
      <c r="A9046" s="146"/>
      <c r="D9046" s="496"/>
    </row>
    <row r="9047" spans="1:4" x14ac:dyDescent="0.2">
      <c r="A9047" s="146"/>
      <c r="D9047" s="496"/>
    </row>
    <row r="9048" spans="1:4" x14ac:dyDescent="0.2">
      <c r="A9048" s="146"/>
      <c r="D9048" s="496"/>
    </row>
    <row r="9049" spans="1:4" x14ac:dyDescent="0.2">
      <c r="A9049" s="146"/>
      <c r="D9049" s="496"/>
    </row>
    <row r="9050" spans="1:4" x14ac:dyDescent="0.2">
      <c r="A9050" s="146"/>
      <c r="D9050" s="496"/>
    </row>
    <row r="9051" spans="1:4" x14ac:dyDescent="0.2">
      <c r="A9051" s="146"/>
      <c r="D9051" s="496"/>
    </row>
    <row r="9052" spans="1:4" x14ac:dyDescent="0.2">
      <c r="A9052" s="146"/>
      <c r="D9052" s="496"/>
    </row>
    <row r="9053" spans="1:4" x14ac:dyDescent="0.2">
      <c r="A9053" s="146"/>
      <c r="D9053" s="496"/>
    </row>
    <row r="9054" spans="1:4" x14ac:dyDescent="0.2">
      <c r="A9054" s="146"/>
      <c r="D9054" s="496"/>
    </row>
    <row r="9055" spans="1:4" x14ac:dyDescent="0.2">
      <c r="A9055" s="146"/>
      <c r="D9055" s="496"/>
    </row>
    <row r="9056" spans="1:4" x14ac:dyDescent="0.2">
      <c r="A9056" s="146"/>
      <c r="D9056" s="496"/>
    </row>
    <row r="9057" spans="1:4" x14ac:dyDescent="0.2">
      <c r="A9057" s="146"/>
      <c r="D9057" s="496"/>
    </row>
    <row r="9058" spans="1:4" x14ac:dyDescent="0.2">
      <c r="A9058" s="146"/>
      <c r="D9058" s="496"/>
    </row>
    <row r="9059" spans="1:4" x14ac:dyDescent="0.2">
      <c r="A9059" s="146"/>
      <c r="D9059" s="496"/>
    </row>
    <row r="9060" spans="1:4" x14ac:dyDescent="0.2">
      <c r="A9060" s="146"/>
      <c r="D9060" s="496"/>
    </row>
    <row r="9061" spans="1:4" x14ac:dyDescent="0.2">
      <c r="A9061" s="146"/>
      <c r="D9061" s="496"/>
    </row>
    <row r="9062" spans="1:4" x14ac:dyDescent="0.2">
      <c r="A9062" s="146"/>
      <c r="D9062" s="496"/>
    </row>
    <row r="9063" spans="1:4" x14ac:dyDescent="0.2">
      <c r="A9063" s="146"/>
      <c r="D9063" s="496"/>
    </row>
    <row r="9064" spans="1:4" x14ac:dyDescent="0.2">
      <c r="A9064" s="146"/>
      <c r="D9064" s="496"/>
    </row>
    <row r="9065" spans="1:4" x14ac:dyDescent="0.2">
      <c r="A9065" s="146"/>
      <c r="D9065" s="496"/>
    </row>
    <row r="9066" spans="1:4" x14ac:dyDescent="0.2">
      <c r="A9066" s="146"/>
      <c r="D9066" s="496"/>
    </row>
    <row r="9067" spans="1:4" x14ac:dyDescent="0.2">
      <c r="A9067" s="146"/>
      <c r="D9067" s="496"/>
    </row>
    <row r="9068" spans="1:4" x14ac:dyDescent="0.2">
      <c r="A9068" s="146"/>
      <c r="D9068" s="496"/>
    </row>
    <row r="9069" spans="1:4" x14ac:dyDescent="0.2">
      <c r="A9069" s="146"/>
      <c r="D9069" s="496"/>
    </row>
    <row r="9070" spans="1:4" x14ac:dyDescent="0.2">
      <c r="A9070" s="146"/>
      <c r="D9070" s="496"/>
    </row>
    <row r="9071" spans="1:4" x14ac:dyDescent="0.2">
      <c r="A9071" s="146"/>
      <c r="D9071" s="496"/>
    </row>
    <row r="9072" spans="1:4" x14ac:dyDescent="0.2">
      <c r="A9072" s="146"/>
      <c r="D9072" s="496"/>
    </row>
    <row r="9073" spans="1:4" x14ac:dyDescent="0.2">
      <c r="A9073" s="146"/>
      <c r="D9073" s="496"/>
    </row>
    <row r="9074" spans="1:4" x14ac:dyDescent="0.2">
      <c r="A9074" s="146"/>
      <c r="D9074" s="496"/>
    </row>
    <row r="9075" spans="1:4" x14ac:dyDescent="0.2">
      <c r="A9075" s="146"/>
      <c r="D9075" s="496"/>
    </row>
    <row r="9076" spans="1:4" x14ac:dyDescent="0.2">
      <c r="A9076" s="146"/>
      <c r="D9076" s="496"/>
    </row>
    <row r="9077" spans="1:4" x14ac:dyDescent="0.2">
      <c r="A9077" s="146"/>
      <c r="D9077" s="496"/>
    </row>
    <row r="9078" spans="1:4" x14ac:dyDescent="0.2">
      <c r="A9078" s="146"/>
      <c r="D9078" s="496"/>
    </row>
    <row r="9079" spans="1:4" x14ac:dyDescent="0.2">
      <c r="A9079" s="146"/>
      <c r="D9079" s="496"/>
    </row>
    <row r="9080" spans="1:4" x14ac:dyDescent="0.2">
      <c r="A9080" s="146"/>
      <c r="D9080" s="496"/>
    </row>
    <row r="9081" spans="1:4" x14ac:dyDescent="0.2">
      <c r="A9081" s="146"/>
      <c r="D9081" s="496"/>
    </row>
    <row r="9082" spans="1:4" x14ac:dyDescent="0.2">
      <c r="A9082" s="146"/>
      <c r="D9082" s="496"/>
    </row>
    <row r="9083" spans="1:4" x14ac:dyDescent="0.2">
      <c r="A9083" s="146"/>
      <c r="D9083" s="496"/>
    </row>
    <row r="9084" spans="1:4" x14ac:dyDescent="0.2">
      <c r="A9084" s="146"/>
      <c r="D9084" s="496"/>
    </row>
    <row r="9085" spans="1:4" x14ac:dyDescent="0.2">
      <c r="A9085" s="146"/>
      <c r="D9085" s="496"/>
    </row>
    <row r="9086" spans="1:4" x14ac:dyDescent="0.2">
      <c r="A9086" s="146"/>
      <c r="D9086" s="496"/>
    </row>
    <row r="9087" spans="1:4" x14ac:dyDescent="0.2">
      <c r="A9087" s="146"/>
      <c r="D9087" s="496"/>
    </row>
    <row r="9088" spans="1:4" x14ac:dyDescent="0.2">
      <c r="A9088" s="146"/>
      <c r="D9088" s="496"/>
    </row>
    <row r="9089" spans="1:4" x14ac:dyDescent="0.2">
      <c r="A9089" s="146"/>
      <c r="D9089" s="496"/>
    </row>
    <row r="9090" spans="1:4" x14ac:dyDescent="0.2">
      <c r="A9090" s="146"/>
      <c r="D9090" s="496"/>
    </row>
    <row r="9091" spans="1:4" x14ac:dyDescent="0.2">
      <c r="A9091" s="146"/>
      <c r="D9091" s="496"/>
    </row>
    <row r="9092" spans="1:4" x14ac:dyDescent="0.2">
      <c r="A9092" s="146"/>
      <c r="D9092" s="496"/>
    </row>
    <row r="9093" spans="1:4" x14ac:dyDescent="0.2">
      <c r="A9093" s="146"/>
      <c r="D9093" s="496"/>
    </row>
    <row r="9094" spans="1:4" x14ac:dyDescent="0.2">
      <c r="A9094" s="146"/>
      <c r="D9094" s="496"/>
    </row>
    <row r="9095" spans="1:4" x14ac:dyDescent="0.2">
      <c r="A9095" s="146"/>
      <c r="D9095" s="496"/>
    </row>
    <row r="9096" spans="1:4" x14ac:dyDescent="0.2">
      <c r="A9096" s="146"/>
      <c r="D9096" s="496"/>
    </row>
    <row r="9097" spans="1:4" x14ac:dyDescent="0.2">
      <c r="A9097" s="146"/>
      <c r="D9097" s="496"/>
    </row>
    <row r="9098" spans="1:4" x14ac:dyDescent="0.2">
      <c r="A9098" s="146"/>
      <c r="D9098" s="496"/>
    </row>
    <row r="9099" spans="1:4" x14ac:dyDescent="0.2">
      <c r="A9099" s="146"/>
      <c r="D9099" s="496"/>
    </row>
    <row r="9100" spans="1:4" x14ac:dyDescent="0.2">
      <c r="A9100" s="146"/>
      <c r="D9100" s="496"/>
    </row>
    <row r="9101" spans="1:4" x14ac:dyDescent="0.2">
      <c r="A9101" s="146"/>
      <c r="D9101" s="496"/>
    </row>
    <row r="9102" spans="1:4" x14ac:dyDescent="0.2">
      <c r="A9102" s="146"/>
      <c r="D9102" s="496"/>
    </row>
    <row r="9103" spans="1:4" x14ac:dyDescent="0.2">
      <c r="A9103" s="146"/>
      <c r="D9103" s="496"/>
    </row>
    <row r="9104" spans="1:4" x14ac:dyDescent="0.2">
      <c r="A9104" s="146"/>
      <c r="D9104" s="496"/>
    </row>
    <row r="9105" spans="1:4" x14ac:dyDescent="0.2">
      <c r="A9105" s="146"/>
      <c r="D9105" s="496"/>
    </row>
    <row r="9106" spans="1:4" x14ac:dyDescent="0.2">
      <c r="A9106" s="146"/>
      <c r="D9106" s="496"/>
    </row>
    <row r="9107" spans="1:4" x14ac:dyDescent="0.2">
      <c r="A9107" s="146"/>
      <c r="D9107" s="496"/>
    </row>
    <row r="9108" spans="1:4" x14ac:dyDescent="0.2">
      <c r="A9108" s="146"/>
      <c r="D9108" s="496"/>
    </row>
    <row r="9109" spans="1:4" x14ac:dyDescent="0.2">
      <c r="A9109" s="146"/>
      <c r="D9109" s="496"/>
    </row>
    <row r="9110" spans="1:4" x14ac:dyDescent="0.2">
      <c r="A9110" s="146"/>
      <c r="D9110" s="496"/>
    </row>
    <row r="9111" spans="1:4" x14ac:dyDescent="0.2">
      <c r="A9111" s="146"/>
      <c r="D9111" s="496"/>
    </row>
    <row r="9112" spans="1:4" x14ac:dyDescent="0.2">
      <c r="A9112" s="146"/>
      <c r="D9112" s="496"/>
    </row>
    <row r="9113" spans="1:4" x14ac:dyDescent="0.2">
      <c r="A9113" s="146"/>
      <c r="D9113" s="496"/>
    </row>
    <row r="9114" spans="1:4" x14ac:dyDescent="0.2">
      <c r="A9114" s="146"/>
      <c r="D9114" s="496"/>
    </row>
    <row r="9115" spans="1:4" x14ac:dyDescent="0.2">
      <c r="A9115" s="146"/>
      <c r="D9115" s="496"/>
    </row>
    <row r="9116" spans="1:4" x14ac:dyDescent="0.2">
      <c r="A9116" s="146"/>
      <c r="D9116" s="496"/>
    </row>
    <row r="9117" spans="1:4" x14ac:dyDescent="0.2">
      <c r="A9117" s="146"/>
      <c r="D9117" s="496"/>
    </row>
    <row r="9118" spans="1:4" x14ac:dyDescent="0.2">
      <c r="A9118" s="146"/>
      <c r="D9118" s="496"/>
    </row>
    <row r="9119" spans="1:4" x14ac:dyDescent="0.2">
      <c r="A9119" s="146"/>
      <c r="D9119" s="496"/>
    </row>
    <row r="9120" spans="1:4" x14ac:dyDescent="0.2">
      <c r="A9120" s="146"/>
      <c r="D9120" s="496"/>
    </row>
    <row r="9121" spans="1:4" x14ac:dyDescent="0.2">
      <c r="A9121" s="146"/>
      <c r="D9121" s="496"/>
    </row>
    <row r="9122" spans="1:4" x14ac:dyDescent="0.2">
      <c r="A9122" s="146"/>
      <c r="D9122" s="496"/>
    </row>
    <row r="9123" spans="1:4" x14ac:dyDescent="0.2">
      <c r="A9123" s="146"/>
      <c r="D9123" s="496"/>
    </row>
    <row r="9124" spans="1:4" x14ac:dyDescent="0.2">
      <c r="A9124" s="146"/>
      <c r="D9124" s="496"/>
    </row>
    <row r="9125" spans="1:4" x14ac:dyDescent="0.2">
      <c r="A9125" s="146"/>
      <c r="D9125" s="496"/>
    </row>
    <row r="9126" spans="1:4" x14ac:dyDescent="0.2">
      <c r="A9126" s="146"/>
      <c r="D9126" s="496"/>
    </row>
    <row r="9127" spans="1:4" x14ac:dyDescent="0.2">
      <c r="A9127" s="146"/>
      <c r="D9127" s="496"/>
    </row>
    <row r="9128" spans="1:4" x14ac:dyDescent="0.2">
      <c r="A9128" s="146"/>
      <c r="D9128" s="496"/>
    </row>
    <row r="9129" spans="1:4" x14ac:dyDescent="0.2">
      <c r="A9129" s="146"/>
      <c r="D9129" s="496"/>
    </row>
    <row r="9130" spans="1:4" x14ac:dyDescent="0.2">
      <c r="A9130" s="146"/>
      <c r="D9130" s="496"/>
    </row>
    <row r="9131" spans="1:4" x14ac:dyDescent="0.2">
      <c r="A9131" s="146"/>
      <c r="D9131" s="496"/>
    </row>
    <row r="9132" spans="1:4" x14ac:dyDescent="0.2">
      <c r="A9132" s="146"/>
      <c r="D9132" s="496"/>
    </row>
    <row r="9133" spans="1:4" x14ac:dyDescent="0.2">
      <c r="A9133" s="146"/>
      <c r="D9133" s="496"/>
    </row>
    <row r="9134" spans="1:4" x14ac:dyDescent="0.2">
      <c r="A9134" s="146"/>
      <c r="D9134" s="496"/>
    </row>
    <row r="9135" spans="1:4" x14ac:dyDescent="0.2">
      <c r="A9135" s="146"/>
      <c r="D9135" s="496"/>
    </row>
    <row r="9136" spans="1:4" x14ac:dyDescent="0.2">
      <c r="A9136" s="146"/>
      <c r="D9136" s="496"/>
    </row>
    <row r="9137" spans="1:4" x14ac:dyDescent="0.2">
      <c r="A9137" s="146"/>
      <c r="D9137" s="496"/>
    </row>
    <row r="9138" spans="1:4" x14ac:dyDescent="0.2">
      <c r="A9138" s="146"/>
      <c r="D9138" s="496"/>
    </row>
    <row r="9139" spans="1:4" x14ac:dyDescent="0.2">
      <c r="A9139" s="146"/>
      <c r="D9139" s="496"/>
    </row>
    <row r="9140" spans="1:4" x14ac:dyDescent="0.2">
      <c r="A9140" s="146"/>
      <c r="D9140" s="496"/>
    </row>
    <row r="9141" spans="1:4" x14ac:dyDescent="0.2">
      <c r="A9141" s="146"/>
      <c r="D9141" s="496"/>
    </row>
    <row r="9142" spans="1:4" x14ac:dyDescent="0.2">
      <c r="A9142" s="146"/>
      <c r="D9142" s="496"/>
    </row>
    <row r="9143" spans="1:4" x14ac:dyDescent="0.2">
      <c r="A9143" s="146"/>
      <c r="D9143" s="496"/>
    </row>
    <row r="9144" spans="1:4" x14ac:dyDescent="0.2">
      <c r="A9144" s="146"/>
      <c r="D9144" s="496"/>
    </row>
    <row r="9145" spans="1:4" x14ac:dyDescent="0.2">
      <c r="A9145" s="146"/>
      <c r="D9145" s="496"/>
    </row>
    <row r="9146" spans="1:4" x14ac:dyDescent="0.2">
      <c r="A9146" s="146"/>
      <c r="D9146" s="496"/>
    </row>
    <row r="9147" spans="1:4" x14ac:dyDescent="0.2">
      <c r="A9147" s="146"/>
      <c r="D9147" s="496"/>
    </row>
    <row r="9148" spans="1:4" x14ac:dyDescent="0.2">
      <c r="A9148" s="146"/>
      <c r="D9148" s="496"/>
    </row>
    <row r="9149" spans="1:4" x14ac:dyDescent="0.2">
      <c r="A9149" s="146"/>
      <c r="D9149" s="496"/>
    </row>
    <row r="9150" spans="1:4" x14ac:dyDescent="0.2">
      <c r="A9150" s="146"/>
      <c r="D9150" s="496"/>
    </row>
    <row r="9151" spans="1:4" x14ac:dyDescent="0.2">
      <c r="A9151" s="146"/>
      <c r="D9151" s="496"/>
    </row>
    <row r="9152" spans="1:4" x14ac:dyDescent="0.2">
      <c r="A9152" s="146"/>
      <c r="D9152" s="496"/>
    </row>
    <row r="9153" spans="1:4" x14ac:dyDescent="0.2">
      <c r="A9153" s="146"/>
      <c r="D9153" s="496"/>
    </row>
    <row r="9154" spans="1:4" x14ac:dyDescent="0.2">
      <c r="A9154" s="146"/>
      <c r="D9154" s="496"/>
    </row>
    <row r="9155" spans="1:4" x14ac:dyDescent="0.2">
      <c r="A9155" s="146"/>
      <c r="D9155" s="496"/>
    </row>
    <row r="9156" spans="1:4" x14ac:dyDescent="0.2">
      <c r="A9156" s="146"/>
      <c r="D9156" s="496"/>
    </row>
    <row r="9157" spans="1:4" x14ac:dyDescent="0.2">
      <c r="A9157" s="146"/>
      <c r="D9157" s="496"/>
    </row>
    <row r="9158" spans="1:4" x14ac:dyDescent="0.2">
      <c r="A9158" s="146"/>
      <c r="D9158" s="496"/>
    </row>
    <row r="9159" spans="1:4" x14ac:dyDescent="0.2">
      <c r="A9159" s="146"/>
      <c r="D9159" s="496"/>
    </row>
    <row r="9160" spans="1:4" x14ac:dyDescent="0.2">
      <c r="A9160" s="146"/>
      <c r="D9160" s="496"/>
    </row>
    <row r="9161" spans="1:4" x14ac:dyDescent="0.2">
      <c r="A9161" s="146"/>
      <c r="D9161" s="496"/>
    </row>
    <row r="9162" spans="1:4" x14ac:dyDescent="0.2">
      <c r="A9162" s="146"/>
      <c r="D9162" s="496"/>
    </row>
    <row r="9163" spans="1:4" x14ac:dyDescent="0.2">
      <c r="A9163" s="146"/>
      <c r="D9163" s="496"/>
    </row>
    <row r="9164" spans="1:4" x14ac:dyDescent="0.2">
      <c r="A9164" s="146"/>
      <c r="D9164" s="496"/>
    </row>
    <row r="9165" spans="1:4" x14ac:dyDescent="0.2">
      <c r="A9165" s="146"/>
      <c r="D9165" s="496"/>
    </row>
    <row r="9166" spans="1:4" x14ac:dyDescent="0.2">
      <c r="A9166" s="146"/>
      <c r="D9166" s="496"/>
    </row>
    <row r="9167" spans="1:4" x14ac:dyDescent="0.2">
      <c r="A9167" s="146"/>
      <c r="D9167" s="496"/>
    </row>
    <row r="9168" spans="1:4" x14ac:dyDescent="0.2">
      <c r="A9168" s="146"/>
      <c r="D9168" s="496"/>
    </row>
    <row r="9169" spans="1:4" x14ac:dyDescent="0.2">
      <c r="A9169" s="146"/>
      <c r="D9169" s="496"/>
    </row>
    <row r="9170" spans="1:4" x14ac:dyDescent="0.2">
      <c r="A9170" s="146"/>
      <c r="D9170" s="496"/>
    </row>
    <row r="9171" spans="1:4" x14ac:dyDescent="0.2">
      <c r="A9171" s="146"/>
      <c r="D9171" s="496"/>
    </row>
    <row r="9172" spans="1:4" x14ac:dyDescent="0.2">
      <c r="A9172" s="146"/>
      <c r="D9172" s="496"/>
    </row>
    <row r="9173" spans="1:4" x14ac:dyDescent="0.2">
      <c r="A9173" s="146"/>
      <c r="D9173" s="496"/>
    </row>
    <row r="9174" spans="1:4" x14ac:dyDescent="0.2">
      <c r="A9174" s="146"/>
      <c r="D9174" s="496"/>
    </row>
    <row r="9175" spans="1:4" x14ac:dyDescent="0.2">
      <c r="A9175" s="146"/>
      <c r="D9175" s="496"/>
    </row>
    <row r="9176" spans="1:4" x14ac:dyDescent="0.2">
      <c r="A9176" s="146"/>
      <c r="D9176" s="496"/>
    </row>
    <row r="9177" spans="1:4" x14ac:dyDescent="0.2">
      <c r="A9177" s="146"/>
      <c r="D9177" s="496"/>
    </row>
    <row r="9178" spans="1:4" x14ac:dyDescent="0.2">
      <c r="A9178" s="146"/>
      <c r="D9178" s="496"/>
    </row>
    <row r="9179" spans="1:4" x14ac:dyDescent="0.2">
      <c r="A9179" s="146"/>
      <c r="D9179" s="496"/>
    </row>
    <row r="9180" spans="1:4" x14ac:dyDescent="0.2">
      <c r="A9180" s="146"/>
      <c r="D9180" s="496"/>
    </row>
    <row r="9181" spans="1:4" x14ac:dyDescent="0.2">
      <c r="A9181" s="146"/>
      <c r="D9181" s="496"/>
    </row>
    <row r="9182" spans="1:4" x14ac:dyDescent="0.2">
      <c r="A9182" s="146"/>
      <c r="D9182" s="496"/>
    </row>
    <row r="9183" spans="1:4" x14ac:dyDescent="0.2">
      <c r="A9183" s="146"/>
      <c r="D9183" s="496"/>
    </row>
    <row r="9184" spans="1:4" x14ac:dyDescent="0.2">
      <c r="A9184" s="146"/>
      <c r="D9184" s="496"/>
    </row>
    <row r="9185" spans="1:4" x14ac:dyDescent="0.2">
      <c r="A9185" s="146"/>
      <c r="D9185" s="496"/>
    </row>
    <row r="9186" spans="1:4" x14ac:dyDescent="0.2">
      <c r="A9186" s="146"/>
      <c r="D9186" s="496"/>
    </row>
    <row r="9187" spans="1:4" x14ac:dyDescent="0.2">
      <c r="A9187" s="146"/>
      <c r="D9187" s="496"/>
    </row>
    <row r="9188" spans="1:4" x14ac:dyDescent="0.2">
      <c r="A9188" s="146"/>
      <c r="D9188" s="496"/>
    </row>
    <row r="9189" spans="1:4" x14ac:dyDescent="0.2">
      <c r="A9189" s="146"/>
      <c r="D9189" s="496"/>
    </row>
    <row r="9190" spans="1:4" x14ac:dyDescent="0.2">
      <c r="A9190" s="146"/>
      <c r="D9190" s="496"/>
    </row>
    <row r="9191" spans="1:4" x14ac:dyDescent="0.2">
      <c r="A9191" s="146"/>
      <c r="D9191" s="496"/>
    </row>
    <row r="9192" spans="1:4" x14ac:dyDescent="0.2">
      <c r="A9192" s="146"/>
      <c r="D9192" s="496"/>
    </row>
    <row r="9193" spans="1:4" x14ac:dyDescent="0.2">
      <c r="A9193" s="146"/>
      <c r="D9193" s="496"/>
    </row>
    <row r="9194" spans="1:4" x14ac:dyDescent="0.2">
      <c r="A9194" s="146"/>
      <c r="D9194" s="496"/>
    </row>
    <row r="9195" spans="1:4" x14ac:dyDescent="0.2">
      <c r="A9195" s="146"/>
      <c r="D9195" s="496"/>
    </row>
    <row r="9196" spans="1:4" x14ac:dyDescent="0.2">
      <c r="A9196" s="146"/>
      <c r="D9196" s="496"/>
    </row>
    <row r="9197" spans="1:4" x14ac:dyDescent="0.2">
      <c r="A9197" s="146"/>
      <c r="D9197" s="496"/>
    </row>
    <row r="9198" spans="1:4" x14ac:dyDescent="0.2">
      <c r="A9198" s="146"/>
      <c r="D9198" s="496"/>
    </row>
    <row r="9199" spans="1:4" x14ac:dyDescent="0.2">
      <c r="A9199" s="146"/>
      <c r="D9199" s="496"/>
    </row>
    <row r="9200" spans="1:4" x14ac:dyDescent="0.2">
      <c r="A9200" s="146"/>
      <c r="D9200" s="496"/>
    </row>
    <row r="9201" spans="1:4" x14ac:dyDescent="0.2">
      <c r="A9201" s="146"/>
      <c r="D9201" s="496"/>
    </row>
    <row r="9202" spans="1:4" x14ac:dyDescent="0.2">
      <c r="A9202" s="146"/>
      <c r="D9202" s="496"/>
    </row>
    <row r="9203" spans="1:4" x14ac:dyDescent="0.2">
      <c r="A9203" s="146"/>
      <c r="D9203" s="496"/>
    </row>
    <row r="9204" spans="1:4" x14ac:dyDescent="0.2">
      <c r="A9204" s="146"/>
      <c r="D9204" s="496"/>
    </row>
    <row r="9205" spans="1:4" x14ac:dyDescent="0.2">
      <c r="A9205" s="146"/>
      <c r="D9205" s="496"/>
    </row>
    <row r="9206" spans="1:4" x14ac:dyDescent="0.2">
      <c r="A9206" s="146"/>
      <c r="D9206" s="496"/>
    </row>
    <row r="9207" spans="1:4" x14ac:dyDescent="0.2">
      <c r="A9207" s="146"/>
      <c r="D9207" s="496"/>
    </row>
    <row r="9208" spans="1:4" x14ac:dyDescent="0.2">
      <c r="A9208" s="146"/>
      <c r="D9208" s="496"/>
    </row>
    <row r="9209" spans="1:4" x14ac:dyDescent="0.2">
      <c r="A9209" s="146"/>
      <c r="D9209" s="496"/>
    </row>
    <row r="9210" spans="1:4" x14ac:dyDescent="0.2">
      <c r="A9210" s="146"/>
      <c r="D9210" s="496"/>
    </row>
    <row r="9211" spans="1:4" x14ac:dyDescent="0.2">
      <c r="A9211" s="146"/>
      <c r="D9211" s="496"/>
    </row>
    <row r="9212" spans="1:4" x14ac:dyDescent="0.2">
      <c r="A9212" s="146"/>
      <c r="D9212" s="496"/>
    </row>
    <row r="9213" spans="1:4" x14ac:dyDescent="0.2">
      <c r="A9213" s="146"/>
      <c r="D9213" s="496"/>
    </row>
    <row r="9214" spans="1:4" x14ac:dyDescent="0.2">
      <c r="A9214" s="146"/>
      <c r="D9214" s="496"/>
    </row>
    <row r="9215" spans="1:4" x14ac:dyDescent="0.2">
      <c r="A9215" s="146"/>
      <c r="D9215" s="496"/>
    </row>
    <row r="9216" spans="1:4" x14ac:dyDescent="0.2">
      <c r="A9216" s="146"/>
      <c r="D9216" s="496"/>
    </row>
    <row r="9217" spans="1:4" x14ac:dyDescent="0.2">
      <c r="A9217" s="146"/>
      <c r="D9217" s="496"/>
    </row>
    <row r="9218" spans="1:4" x14ac:dyDescent="0.2">
      <c r="A9218" s="146"/>
      <c r="D9218" s="496"/>
    </row>
    <row r="9219" spans="1:4" x14ac:dyDescent="0.2">
      <c r="A9219" s="146"/>
      <c r="D9219" s="496"/>
    </row>
    <row r="9220" spans="1:4" x14ac:dyDescent="0.2">
      <c r="A9220" s="146"/>
      <c r="D9220" s="496"/>
    </row>
    <row r="9221" spans="1:4" x14ac:dyDescent="0.2">
      <c r="A9221" s="146"/>
      <c r="D9221" s="496"/>
    </row>
    <row r="9222" spans="1:4" x14ac:dyDescent="0.2">
      <c r="A9222" s="146"/>
      <c r="D9222" s="496"/>
    </row>
    <row r="9223" spans="1:4" x14ac:dyDescent="0.2">
      <c r="A9223" s="146"/>
      <c r="D9223" s="496"/>
    </row>
    <row r="9224" spans="1:4" x14ac:dyDescent="0.2">
      <c r="A9224" s="146"/>
      <c r="D9224" s="496"/>
    </row>
    <row r="9225" spans="1:4" x14ac:dyDescent="0.2">
      <c r="A9225" s="146"/>
      <c r="D9225" s="496"/>
    </row>
    <row r="9226" spans="1:4" x14ac:dyDescent="0.2">
      <c r="A9226" s="146"/>
      <c r="D9226" s="496"/>
    </row>
    <row r="9227" spans="1:4" x14ac:dyDescent="0.2">
      <c r="A9227" s="146"/>
      <c r="D9227" s="496"/>
    </row>
    <row r="9228" spans="1:4" x14ac:dyDescent="0.2">
      <c r="A9228" s="146"/>
      <c r="D9228" s="496"/>
    </row>
    <row r="9229" spans="1:4" x14ac:dyDescent="0.2">
      <c r="A9229" s="146"/>
      <c r="D9229" s="496"/>
    </row>
    <row r="9230" spans="1:4" x14ac:dyDescent="0.2">
      <c r="A9230" s="146"/>
      <c r="D9230" s="496"/>
    </row>
    <row r="9231" spans="1:4" x14ac:dyDescent="0.2">
      <c r="A9231" s="146"/>
      <c r="D9231" s="496"/>
    </row>
    <row r="9232" spans="1:4" x14ac:dyDescent="0.2">
      <c r="A9232" s="146"/>
      <c r="D9232" s="496"/>
    </row>
    <row r="9233" spans="1:4" x14ac:dyDescent="0.2">
      <c r="A9233" s="146"/>
      <c r="D9233" s="496"/>
    </row>
    <row r="9234" spans="1:4" x14ac:dyDescent="0.2">
      <c r="A9234" s="146"/>
      <c r="D9234" s="496"/>
    </row>
    <row r="9235" spans="1:4" x14ac:dyDescent="0.2">
      <c r="A9235" s="146"/>
      <c r="D9235" s="496"/>
    </row>
    <row r="9236" spans="1:4" x14ac:dyDescent="0.2">
      <c r="A9236" s="146"/>
      <c r="D9236" s="496"/>
    </row>
    <row r="9237" spans="1:4" x14ac:dyDescent="0.2">
      <c r="A9237" s="146"/>
      <c r="D9237" s="496"/>
    </row>
    <row r="9238" spans="1:4" x14ac:dyDescent="0.2">
      <c r="A9238" s="146"/>
      <c r="D9238" s="496"/>
    </row>
    <row r="9239" spans="1:4" x14ac:dyDescent="0.2">
      <c r="A9239" s="146"/>
      <c r="D9239" s="496"/>
    </row>
    <row r="9240" spans="1:4" x14ac:dyDescent="0.2">
      <c r="A9240" s="146"/>
      <c r="D9240" s="496"/>
    </row>
    <row r="9241" spans="1:4" x14ac:dyDescent="0.2">
      <c r="A9241" s="146"/>
      <c r="D9241" s="496"/>
    </row>
    <row r="9242" spans="1:4" x14ac:dyDescent="0.2">
      <c r="A9242" s="146"/>
      <c r="D9242" s="496"/>
    </row>
    <row r="9243" spans="1:4" x14ac:dyDescent="0.2">
      <c r="A9243" s="146"/>
      <c r="D9243" s="496"/>
    </row>
    <row r="9244" spans="1:4" x14ac:dyDescent="0.2">
      <c r="A9244" s="146"/>
      <c r="D9244" s="496"/>
    </row>
    <row r="9245" spans="1:4" x14ac:dyDescent="0.2">
      <c r="A9245" s="146"/>
      <c r="D9245" s="496"/>
    </row>
    <row r="9246" spans="1:4" x14ac:dyDescent="0.2">
      <c r="A9246" s="146"/>
      <c r="D9246" s="496"/>
    </row>
    <row r="9247" spans="1:4" x14ac:dyDescent="0.2">
      <c r="A9247" s="146"/>
      <c r="D9247" s="496"/>
    </row>
    <row r="9248" spans="1:4" x14ac:dyDescent="0.2">
      <c r="A9248" s="146"/>
      <c r="D9248" s="496"/>
    </row>
    <row r="9249" spans="1:4" x14ac:dyDescent="0.2">
      <c r="A9249" s="146"/>
      <c r="D9249" s="496"/>
    </row>
    <row r="9250" spans="1:4" x14ac:dyDescent="0.2">
      <c r="A9250" s="146"/>
      <c r="D9250" s="496"/>
    </row>
    <row r="9251" spans="1:4" x14ac:dyDescent="0.2">
      <c r="A9251" s="146"/>
      <c r="D9251" s="496"/>
    </row>
    <row r="9252" spans="1:4" x14ac:dyDescent="0.2">
      <c r="A9252" s="146"/>
      <c r="D9252" s="496"/>
    </row>
    <row r="9253" spans="1:4" x14ac:dyDescent="0.2">
      <c r="A9253" s="146"/>
      <c r="D9253" s="496"/>
    </row>
    <row r="9254" spans="1:4" x14ac:dyDescent="0.2">
      <c r="A9254" s="146"/>
      <c r="D9254" s="496"/>
    </row>
    <row r="9255" spans="1:4" x14ac:dyDescent="0.2">
      <c r="A9255" s="146"/>
      <c r="D9255" s="496"/>
    </row>
    <row r="9256" spans="1:4" x14ac:dyDescent="0.2">
      <c r="A9256" s="146"/>
      <c r="D9256" s="496"/>
    </row>
    <row r="9257" spans="1:4" x14ac:dyDescent="0.2">
      <c r="A9257" s="146"/>
      <c r="D9257" s="496"/>
    </row>
    <row r="9258" spans="1:4" x14ac:dyDescent="0.2">
      <c r="A9258" s="146"/>
      <c r="D9258" s="496"/>
    </row>
    <row r="9259" spans="1:4" x14ac:dyDescent="0.2">
      <c r="A9259" s="146"/>
      <c r="D9259" s="496"/>
    </row>
    <row r="9260" spans="1:4" x14ac:dyDescent="0.2">
      <c r="A9260" s="146"/>
      <c r="D9260" s="496"/>
    </row>
    <row r="9261" spans="1:4" x14ac:dyDescent="0.2">
      <c r="A9261" s="146"/>
      <c r="D9261" s="496"/>
    </row>
    <row r="9262" spans="1:4" x14ac:dyDescent="0.2">
      <c r="A9262" s="146"/>
      <c r="D9262" s="496"/>
    </row>
    <row r="9263" spans="1:4" x14ac:dyDescent="0.2">
      <c r="A9263" s="146"/>
      <c r="D9263" s="496"/>
    </row>
    <row r="9264" spans="1:4" x14ac:dyDescent="0.2">
      <c r="A9264" s="146"/>
      <c r="D9264" s="496"/>
    </row>
    <row r="9265" spans="1:4" x14ac:dyDescent="0.2">
      <c r="A9265" s="146"/>
      <c r="D9265" s="496"/>
    </row>
    <row r="9266" spans="1:4" x14ac:dyDescent="0.2">
      <c r="A9266" s="146"/>
      <c r="D9266" s="496"/>
    </row>
    <row r="9267" spans="1:4" x14ac:dyDescent="0.2">
      <c r="A9267" s="146"/>
      <c r="D9267" s="496"/>
    </row>
    <row r="9268" spans="1:4" x14ac:dyDescent="0.2">
      <c r="A9268" s="146"/>
      <c r="D9268" s="496"/>
    </row>
    <row r="9269" spans="1:4" x14ac:dyDescent="0.2">
      <c r="A9269" s="146"/>
      <c r="D9269" s="496"/>
    </row>
    <row r="9270" spans="1:4" x14ac:dyDescent="0.2">
      <c r="A9270" s="146"/>
      <c r="D9270" s="496"/>
    </row>
    <row r="9271" spans="1:4" x14ac:dyDescent="0.2">
      <c r="A9271" s="146"/>
      <c r="D9271" s="496"/>
    </row>
    <row r="9272" spans="1:4" x14ac:dyDescent="0.2">
      <c r="A9272" s="146"/>
      <c r="D9272" s="496"/>
    </row>
    <row r="9273" spans="1:4" x14ac:dyDescent="0.2">
      <c r="A9273" s="146"/>
      <c r="D9273" s="496"/>
    </row>
    <row r="9274" spans="1:4" x14ac:dyDescent="0.2">
      <c r="A9274" s="146"/>
      <c r="D9274" s="496"/>
    </row>
    <row r="9275" spans="1:4" x14ac:dyDescent="0.2">
      <c r="A9275" s="146"/>
      <c r="D9275" s="496"/>
    </row>
    <row r="9276" spans="1:4" x14ac:dyDescent="0.2">
      <c r="A9276" s="146"/>
      <c r="D9276" s="496"/>
    </row>
    <row r="9277" spans="1:4" x14ac:dyDescent="0.2">
      <c r="A9277" s="146"/>
      <c r="D9277" s="496"/>
    </row>
    <row r="9278" spans="1:4" x14ac:dyDescent="0.2">
      <c r="A9278" s="146"/>
      <c r="D9278" s="496"/>
    </row>
    <row r="9279" spans="1:4" x14ac:dyDescent="0.2">
      <c r="A9279" s="146"/>
      <c r="D9279" s="496"/>
    </row>
    <row r="9280" spans="1:4" x14ac:dyDescent="0.2">
      <c r="A9280" s="146"/>
      <c r="D9280" s="496"/>
    </row>
    <row r="9281" spans="1:4" x14ac:dyDescent="0.2">
      <c r="A9281" s="146"/>
      <c r="D9281" s="496"/>
    </row>
    <row r="9282" spans="1:4" x14ac:dyDescent="0.2">
      <c r="A9282" s="146"/>
      <c r="D9282" s="496"/>
    </row>
    <row r="9283" spans="1:4" x14ac:dyDescent="0.2">
      <c r="A9283" s="146"/>
      <c r="D9283" s="496"/>
    </row>
    <row r="9284" spans="1:4" x14ac:dyDescent="0.2">
      <c r="A9284" s="146"/>
      <c r="D9284" s="496"/>
    </row>
    <row r="9285" spans="1:4" x14ac:dyDescent="0.2">
      <c r="A9285" s="146"/>
      <c r="D9285" s="496"/>
    </row>
    <row r="9286" spans="1:4" x14ac:dyDescent="0.2">
      <c r="A9286" s="146"/>
      <c r="D9286" s="496"/>
    </row>
    <row r="9287" spans="1:4" x14ac:dyDescent="0.2">
      <c r="A9287" s="146"/>
      <c r="D9287" s="496"/>
    </row>
    <row r="9288" spans="1:4" x14ac:dyDescent="0.2">
      <c r="A9288" s="146"/>
      <c r="D9288" s="496"/>
    </row>
    <row r="9289" spans="1:4" x14ac:dyDescent="0.2">
      <c r="A9289" s="146"/>
      <c r="D9289" s="496"/>
    </row>
    <row r="9290" spans="1:4" x14ac:dyDescent="0.2">
      <c r="A9290" s="146"/>
      <c r="D9290" s="496"/>
    </row>
    <row r="9291" spans="1:4" x14ac:dyDescent="0.2">
      <c r="A9291" s="146"/>
      <c r="D9291" s="496"/>
    </row>
    <row r="9292" spans="1:4" x14ac:dyDescent="0.2">
      <c r="A9292" s="146"/>
      <c r="D9292" s="496"/>
    </row>
    <row r="9293" spans="1:4" x14ac:dyDescent="0.2">
      <c r="A9293" s="146"/>
      <c r="D9293" s="496"/>
    </row>
    <row r="9294" spans="1:4" x14ac:dyDescent="0.2">
      <c r="A9294" s="146"/>
      <c r="D9294" s="496"/>
    </row>
    <row r="9295" spans="1:4" x14ac:dyDescent="0.2">
      <c r="A9295" s="146"/>
      <c r="D9295" s="496"/>
    </row>
    <row r="9296" spans="1:4" x14ac:dyDescent="0.2">
      <c r="A9296" s="146"/>
      <c r="D9296" s="496"/>
    </row>
    <row r="9297" spans="1:4" x14ac:dyDescent="0.2">
      <c r="A9297" s="146"/>
      <c r="D9297" s="496"/>
    </row>
    <row r="9298" spans="1:4" x14ac:dyDescent="0.2">
      <c r="A9298" s="146"/>
      <c r="D9298" s="496"/>
    </row>
    <row r="9299" spans="1:4" x14ac:dyDescent="0.2">
      <c r="A9299" s="146"/>
      <c r="D9299" s="496"/>
    </row>
    <row r="9300" spans="1:4" x14ac:dyDescent="0.2">
      <c r="A9300" s="146"/>
      <c r="D9300" s="496"/>
    </row>
    <row r="9301" spans="1:4" x14ac:dyDescent="0.2">
      <c r="A9301" s="146"/>
      <c r="D9301" s="496"/>
    </row>
    <row r="9302" spans="1:4" x14ac:dyDescent="0.2">
      <c r="A9302" s="146"/>
      <c r="D9302" s="496"/>
    </row>
    <row r="9303" spans="1:4" x14ac:dyDescent="0.2">
      <c r="A9303" s="146"/>
      <c r="D9303" s="496"/>
    </row>
    <row r="9304" spans="1:4" x14ac:dyDescent="0.2">
      <c r="A9304" s="146"/>
      <c r="D9304" s="496"/>
    </row>
    <row r="9305" spans="1:4" x14ac:dyDescent="0.2">
      <c r="A9305" s="146"/>
      <c r="D9305" s="496"/>
    </row>
    <row r="9306" spans="1:4" x14ac:dyDescent="0.2">
      <c r="A9306" s="146"/>
      <c r="D9306" s="496"/>
    </row>
    <row r="9307" spans="1:4" x14ac:dyDescent="0.2">
      <c r="A9307" s="146"/>
      <c r="D9307" s="496"/>
    </row>
    <row r="9308" spans="1:4" x14ac:dyDescent="0.2">
      <c r="A9308" s="146"/>
      <c r="D9308" s="496"/>
    </row>
    <row r="9309" spans="1:4" x14ac:dyDescent="0.2">
      <c r="A9309" s="146"/>
      <c r="D9309" s="496"/>
    </row>
    <row r="9310" spans="1:4" x14ac:dyDescent="0.2">
      <c r="A9310" s="146"/>
      <c r="D9310" s="496"/>
    </row>
    <row r="9311" spans="1:4" x14ac:dyDescent="0.2">
      <c r="A9311" s="146"/>
      <c r="D9311" s="496"/>
    </row>
    <row r="9312" spans="1:4" x14ac:dyDescent="0.2">
      <c r="A9312" s="146"/>
      <c r="D9312" s="496"/>
    </row>
    <row r="9313" spans="1:4" x14ac:dyDescent="0.2">
      <c r="A9313" s="146"/>
      <c r="D9313" s="496"/>
    </row>
    <row r="9314" spans="1:4" x14ac:dyDescent="0.2">
      <c r="A9314" s="146"/>
      <c r="D9314" s="496"/>
    </row>
    <row r="9315" spans="1:4" x14ac:dyDescent="0.2">
      <c r="A9315" s="146"/>
      <c r="D9315" s="496"/>
    </row>
    <row r="9316" spans="1:4" x14ac:dyDescent="0.2">
      <c r="A9316" s="146"/>
      <c r="D9316" s="496"/>
    </row>
    <row r="9317" spans="1:4" x14ac:dyDescent="0.2">
      <c r="A9317" s="146"/>
      <c r="D9317" s="496"/>
    </row>
    <row r="9318" spans="1:4" x14ac:dyDescent="0.2">
      <c r="A9318" s="146"/>
      <c r="D9318" s="496"/>
    </row>
    <row r="9319" spans="1:4" x14ac:dyDescent="0.2">
      <c r="A9319" s="146"/>
      <c r="D9319" s="496"/>
    </row>
    <row r="9320" spans="1:4" x14ac:dyDescent="0.2">
      <c r="A9320" s="146"/>
      <c r="D9320" s="496"/>
    </row>
    <row r="9321" spans="1:4" x14ac:dyDescent="0.2">
      <c r="A9321" s="146"/>
      <c r="D9321" s="496"/>
    </row>
    <row r="9322" spans="1:4" x14ac:dyDescent="0.2">
      <c r="A9322" s="146"/>
      <c r="D9322" s="496"/>
    </row>
    <row r="9323" spans="1:4" x14ac:dyDescent="0.2">
      <c r="A9323" s="146"/>
      <c r="D9323" s="496"/>
    </row>
    <row r="9324" spans="1:4" x14ac:dyDescent="0.2">
      <c r="A9324" s="146"/>
      <c r="D9324" s="496"/>
    </row>
    <row r="9325" spans="1:4" x14ac:dyDescent="0.2">
      <c r="A9325" s="146"/>
      <c r="D9325" s="496"/>
    </row>
    <row r="9326" spans="1:4" x14ac:dyDescent="0.2">
      <c r="A9326" s="146"/>
      <c r="D9326" s="496"/>
    </row>
    <row r="9327" spans="1:4" x14ac:dyDescent="0.2">
      <c r="A9327" s="146"/>
      <c r="D9327" s="496"/>
    </row>
    <row r="9328" spans="1:4" x14ac:dyDescent="0.2">
      <c r="A9328" s="146"/>
      <c r="D9328" s="496"/>
    </row>
    <row r="9329" spans="1:4" x14ac:dyDescent="0.2">
      <c r="A9329" s="146"/>
      <c r="D9329" s="496"/>
    </row>
    <row r="9330" spans="1:4" x14ac:dyDescent="0.2">
      <c r="A9330" s="146"/>
      <c r="D9330" s="496"/>
    </row>
    <row r="9331" spans="1:4" x14ac:dyDescent="0.2">
      <c r="A9331" s="146"/>
      <c r="D9331" s="496"/>
    </row>
    <row r="9332" spans="1:4" x14ac:dyDescent="0.2">
      <c r="A9332" s="146"/>
      <c r="D9332" s="496"/>
    </row>
    <row r="9333" spans="1:4" x14ac:dyDescent="0.2">
      <c r="A9333" s="146"/>
      <c r="D9333" s="496"/>
    </row>
    <row r="9334" spans="1:4" x14ac:dyDescent="0.2">
      <c r="A9334" s="146"/>
      <c r="D9334" s="496"/>
    </row>
    <row r="9335" spans="1:4" x14ac:dyDescent="0.2">
      <c r="A9335" s="146"/>
      <c r="D9335" s="496"/>
    </row>
    <row r="9336" spans="1:4" x14ac:dyDescent="0.2">
      <c r="A9336" s="146"/>
      <c r="D9336" s="496"/>
    </row>
    <row r="9337" spans="1:4" x14ac:dyDescent="0.2">
      <c r="A9337" s="146"/>
      <c r="D9337" s="496"/>
    </row>
    <row r="9338" spans="1:4" x14ac:dyDescent="0.2">
      <c r="A9338" s="146"/>
      <c r="D9338" s="496"/>
    </row>
    <row r="9339" spans="1:4" x14ac:dyDescent="0.2">
      <c r="A9339" s="146"/>
      <c r="D9339" s="496"/>
    </row>
    <row r="9340" spans="1:4" x14ac:dyDescent="0.2">
      <c r="A9340" s="146"/>
      <c r="D9340" s="496"/>
    </row>
    <row r="9341" spans="1:4" x14ac:dyDescent="0.2">
      <c r="A9341" s="146"/>
      <c r="D9341" s="496"/>
    </row>
    <row r="9342" spans="1:4" x14ac:dyDescent="0.2">
      <c r="A9342" s="146"/>
      <c r="D9342" s="496"/>
    </row>
    <row r="9343" spans="1:4" x14ac:dyDescent="0.2">
      <c r="A9343" s="146"/>
      <c r="D9343" s="496"/>
    </row>
    <row r="9344" spans="1:4" x14ac:dyDescent="0.2">
      <c r="A9344" s="146"/>
      <c r="D9344" s="496"/>
    </row>
    <row r="9345" spans="1:4" x14ac:dyDescent="0.2">
      <c r="A9345" s="146"/>
      <c r="D9345" s="496"/>
    </row>
    <row r="9346" spans="1:4" x14ac:dyDescent="0.2">
      <c r="A9346" s="146"/>
      <c r="D9346" s="496"/>
    </row>
    <row r="9347" spans="1:4" x14ac:dyDescent="0.2">
      <c r="A9347" s="146"/>
      <c r="D9347" s="496"/>
    </row>
    <row r="9348" spans="1:4" x14ac:dyDescent="0.2">
      <c r="A9348" s="146"/>
      <c r="D9348" s="496"/>
    </row>
    <row r="9349" spans="1:4" x14ac:dyDescent="0.2">
      <c r="A9349" s="146"/>
      <c r="D9349" s="496"/>
    </row>
    <row r="9350" spans="1:4" x14ac:dyDescent="0.2">
      <c r="A9350" s="146"/>
      <c r="D9350" s="496"/>
    </row>
    <row r="9351" spans="1:4" x14ac:dyDescent="0.2">
      <c r="A9351" s="146"/>
      <c r="D9351" s="496"/>
    </row>
    <row r="9352" spans="1:4" x14ac:dyDescent="0.2">
      <c r="A9352" s="146"/>
      <c r="D9352" s="496"/>
    </row>
    <row r="9353" spans="1:4" x14ac:dyDescent="0.2">
      <c r="A9353" s="146"/>
      <c r="D9353" s="496"/>
    </row>
    <row r="9354" spans="1:4" x14ac:dyDescent="0.2">
      <c r="A9354" s="146"/>
      <c r="D9354" s="496"/>
    </row>
    <row r="9355" spans="1:4" x14ac:dyDescent="0.2">
      <c r="A9355" s="146"/>
      <c r="D9355" s="496"/>
    </row>
    <row r="9356" spans="1:4" x14ac:dyDescent="0.2">
      <c r="A9356" s="146"/>
      <c r="D9356" s="496"/>
    </row>
    <row r="9357" spans="1:4" x14ac:dyDescent="0.2">
      <c r="A9357" s="146"/>
      <c r="D9357" s="496"/>
    </row>
    <row r="9358" spans="1:4" x14ac:dyDescent="0.2">
      <c r="A9358" s="146"/>
      <c r="D9358" s="496"/>
    </row>
    <row r="9359" spans="1:4" x14ac:dyDescent="0.2">
      <c r="A9359" s="146"/>
      <c r="D9359" s="496"/>
    </row>
    <row r="9360" spans="1:4" x14ac:dyDescent="0.2">
      <c r="A9360" s="146"/>
      <c r="D9360" s="496"/>
    </row>
    <row r="9361" spans="1:4" x14ac:dyDescent="0.2">
      <c r="A9361" s="146"/>
      <c r="D9361" s="496"/>
    </row>
    <row r="9362" spans="1:4" x14ac:dyDescent="0.2">
      <c r="A9362" s="146"/>
      <c r="D9362" s="496"/>
    </row>
    <row r="9363" spans="1:4" x14ac:dyDescent="0.2">
      <c r="A9363" s="146"/>
      <c r="D9363" s="496"/>
    </row>
    <row r="9364" spans="1:4" x14ac:dyDescent="0.2">
      <c r="A9364" s="146"/>
      <c r="D9364" s="496"/>
    </row>
    <row r="9365" spans="1:4" x14ac:dyDescent="0.2">
      <c r="A9365" s="146"/>
      <c r="D9365" s="496"/>
    </row>
    <row r="9366" spans="1:4" x14ac:dyDescent="0.2">
      <c r="A9366" s="146"/>
      <c r="D9366" s="496"/>
    </row>
    <row r="9367" spans="1:4" x14ac:dyDescent="0.2">
      <c r="A9367" s="146"/>
      <c r="D9367" s="496"/>
    </row>
    <row r="9368" spans="1:4" x14ac:dyDescent="0.2">
      <c r="A9368" s="146"/>
      <c r="D9368" s="496"/>
    </row>
    <row r="9369" spans="1:4" x14ac:dyDescent="0.2">
      <c r="A9369" s="146"/>
      <c r="D9369" s="496"/>
    </row>
    <row r="9370" spans="1:4" x14ac:dyDescent="0.2">
      <c r="A9370" s="146"/>
      <c r="D9370" s="496"/>
    </row>
    <row r="9371" spans="1:4" x14ac:dyDescent="0.2">
      <c r="A9371" s="146"/>
      <c r="D9371" s="496"/>
    </row>
    <row r="9372" spans="1:4" x14ac:dyDescent="0.2">
      <c r="A9372" s="146"/>
      <c r="D9372" s="496"/>
    </row>
    <row r="9373" spans="1:4" x14ac:dyDescent="0.2">
      <c r="A9373" s="146"/>
      <c r="D9373" s="496"/>
    </row>
    <row r="9374" spans="1:4" x14ac:dyDescent="0.2">
      <c r="A9374" s="146"/>
      <c r="D9374" s="496"/>
    </row>
    <row r="9375" spans="1:4" x14ac:dyDescent="0.2">
      <c r="A9375" s="146"/>
      <c r="D9375" s="496"/>
    </row>
    <row r="9376" spans="1:4" x14ac:dyDescent="0.2">
      <c r="A9376" s="146"/>
      <c r="D9376" s="496"/>
    </row>
    <row r="9377" spans="1:4" x14ac:dyDescent="0.2">
      <c r="A9377" s="146"/>
      <c r="D9377" s="496"/>
    </row>
    <row r="9378" spans="1:4" x14ac:dyDescent="0.2">
      <c r="A9378" s="146"/>
      <c r="D9378" s="496"/>
    </row>
    <row r="9379" spans="1:4" x14ac:dyDescent="0.2">
      <c r="A9379" s="146"/>
      <c r="D9379" s="496"/>
    </row>
    <row r="9380" spans="1:4" x14ac:dyDescent="0.2">
      <c r="A9380" s="146"/>
      <c r="D9380" s="496"/>
    </row>
    <row r="9381" spans="1:4" x14ac:dyDescent="0.2">
      <c r="A9381" s="146"/>
      <c r="D9381" s="496"/>
    </row>
    <row r="9382" spans="1:4" x14ac:dyDescent="0.2">
      <c r="A9382" s="146"/>
      <c r="D9382" s="496"/>
    </row>
    <row r="9383" spans="1:4" x14ac:dyDescent="0.2">
      <c r="A9383" s="146"/>
      <c r="D9383" s="496"/>
    </row>
    <row r="9384" spans="1:4" x14ac:dyDescent="0.2">
      <c r="A9384" s="146"/>
      <c r="D9384" s="496"/>
    </row>
    <row r="9385" spans="1:4" x14ac:dyDescent="0.2">
      <c r="A9385" s="146"/>
      <c r="D9385" s="496"/>
    </row>
    <row r="9386" spans="1:4" x14ac:dyDescent="0.2">
      <c r="A9386" s="146"/>
      <c r="D9386" s="496"/>
    </row>
    <row r="9387" spans="1:4" x14ac:dyDescent="0.2">
      <c r="A9387" s="146"/>
      <c r="D9387" s="496"/>
    </row>
    <row r="9388" spans="1:4" x14ac:dyDescent="0.2">
      <c r="A9388" s="146"/>
      <c r="D9388" s="496"/>
    </row>
    <row r="9389" spans="1:4" x14ac:dyDescent="0.2">
      <c r="A9389" s="146"/>
      <c r="D9389" s="496"/>
    </row>
    <row r="9390" spans="1:4" x14ac:dyDescent="0.2">
      <c r="A9390" s="146"/>
      <c r="D9390" s="496"/>
    </row>
    <row r="9391" spans="1:4" x14ac:dyDescent="0.2">
      <c r="A9391" s="146"/>
      <c r="D9391" s="496"/>
    </row>
    <row r="9392" spans="1:4" x14ac:dyDescent="0.2">
      <c r="A9392" s="146"/>
      <c r="D9392" s="496"/>
    </row>
    <row r="9393" spans="1:4" x14ac:dyDescent="0.2">
      <c r="A9393" s="146"/>
      <c r="D9393" s="496"/>
    </row>
    <row r="9394" spans="1:4" x14ac:dyDescent="0.2">
      <c r="A9394" s="146"/>
      <c r="D9394" s="496"/>
    </row>
    <row r="9395" spans="1:4" x14ac:dyDescent="0.2">
      <c r="A9395" s="146"/>
      <c r="D9395" s="496"/>
    </row>
    <row r="9396" spans="1:4" x14ac:dyDescent="0.2">
      <c r="A9396" s="146"/>
      <c r="D9396" s="496"/>
    </row>
    <row r="9397" spans="1:4" x14ac:dyDescent="0.2">
      <c r="A9397" s="146"/>
      <c r="D9397" s="496"/>
    </row>
    <row r="9398" spans="1:4" x14ac:dyDescent="0.2">
      <c r="A9398" s="146"/>
      <c r="D9398" s="496"/>
    </row>
    <row r="9399" spans="1:4" x14ac:dyDescent="0.2">
      <c r="A9399" s="146"/>
      <c r="D9399" s="496"/>
    </row>
    <row r="9400" spans="1:4" x14ac:dyDescent="0.2">
      <c r="A9400" s="146"/>
      <c r="D9400" s="496"/>
    </row>
    <row r="9401" spans="1:4" x14ac:dyDescent="0.2">
      <c r="A9401" s="146"/>
      <c r="D9401" s="496"/>
    </row>
    <row r="9402" spans="1:4" x14ac:dyDescent="0.2">
      <c r="A9402" s="146"/>
      <c r="D9402" s="496"/>
    </row>
    <row r="9403" spans="1:4" x14ac:dyDescent="0.2">
      <c r="A9403" s="146"/>
      <c r="D9403" s="496"/>
    </row>
    <row r="9404" spans="1:4" x14ac:dyDescent="0.2">
      <c r="A9404" s="146"/>
      <c r="D9404" s="496"/>
    </row>
    <row r="9405" spans="1:4" x14ac:dyDescent="0.2">
      <c r="A9405" s="146"/>
      <c r="D9405" s="496"/>
    </row>
    <row r="9406" spans="1:4" x14ac:dyDescent="0.2">
      <c r="A9406" s="146"/>
      <c r="D9406" s="496"/>
    </row>
    <row r="9407" spans="1:4" x14ac:dyDescent="0.2">
      <c r="A9407" s="146"/>
      <c r="D9407" s="496"/>
    </row>
    <row r="9408" spans="1:4" x14ac:dyDescent="0.2">
      <c r="A9408" s="146"/>
      <c r="D9408" s="496"/>
    </row>
    <row r="9409" spans="1:4" x14ac:dyDescent="0.2">
      <c r="A9409" s="146"/>
      <c r="D9409" s="496"/>
    </row>
    <row r="9410" spans="1:4" x14ac:dyDescent="0.2">
      <c r="A9410" s="146"/>
      <c r="D9410" s="496"/>
    </row>
    <row r="9411" spans="1:4" x14ac:dyDescent="0.2">
      <c r="A9411" s="146"/>
      <c r="D9411" s="496"/>
    </row>
    <row r="9412" spans="1:4" x14ac:dyDescent="0.2">
      <c r="A9412" s="146"/>
      <c r="D9412" s="496"/>
    </row>
    <row r="9413" spans="1:4" x14ac:dyDescent="0.2">
      <c r="A9413" s="146"/>
      <c r="D9413" s="496"/>
    </row>
    <row r="9414" spans="1:4" x14ac:dyDescent="0.2">
      <c r="A9414" s="146"/>
      <c r="D9414" s="496"/>
    </row>
    <row r="9415" spans="1:4" x14ac:dyDescent="0.2">
      <c r="A9415" s="146"/>
      <c r="D9415" s="496"/>
    </row>
    <row r="9416" spans="1:4" x14ac:dyDescent="0.2">
      <c r="A9416" s="146"/>
      <c r="D9416" s="496"/>
    </row>
    <row r="9417" spans="1:4" x14ac:dyDescent="0.2">
      <c r="A9417" s="146"/>
      <c r="D9417" s="496"/>
    </row>
    <row r="9418" spans="1:4" x14ac:dyDescent="0.2">
      <c r="A9418" s="146"/>
      <c r="D9418" s="496"/>
    </row>
    <row r="9419" spans="1:4" x14ac:dyDescent="0.2">
      <c r="A9419" s="146"/>
      <c r="D9419" s="496"/>
    </row>
    <row r="9420" spans="1:4" x14ac:dyDescent="0.2">
      <c r="A9420" s="146"/>
      <c r="D9420" s="496"/>
    </row>
    <row r="9421" spans="1:4" x14ac:dyDescent="0.2">
      <c r="A9421" s="146"/>
      <c r="D9421" s="496"/>
    </row>
    <row r="9422" spans="1:4" x14ac:dyDescent="0.2">
      <c r="A9422" s="146"/>
      <c r="D9422" s="496"/>
    </row>
    <row r="9423" spans="1:4" x14ac:dyDescent="0.2">
      <c r="A9423" s="146"/>
      <c r="D9423" s="496"/>
    </row>
    <row r="9424" spans="1:4" x14ac:dyDescent="0.2">
      <c r="A9424" s="146"/>
      <c r="D9424" s="496"/>
    </row>
    <row r="9425" spans="1:4" x14ac:dyDescent="0.2">
      <c r="A9425" s="146"/>
      <c r="D9425" s="496"/>
    </row>
    <row r="9426" spans="1:4" x14ac:dyDescent="0.2">
      <c r="A9426" s="146"/>
      <c r="D9426" s="496"/>
    </row>
    <row r="9427" spans="1:4" x14ac:dyDescent="0.2">
      <c r="A9427" s="146"/>
      <c r="D9427" s="496"/>
    </row>
    <row r="9428" spans="1:4" x14ac:dyDescent="0.2">
      <c r="A9428" s="146"/>
      <c r="D9428" s="496"/>
    </row>
    <row r="9429" spans="1:4" x14ac:dyDescent="0.2">
      <c r="A9429" s="146"/>
      <c r="D9429" s="496"/>
    </row>
    <row r="9430" spans="1:4" x14ac:dyDescent="0.2">
      <c r="A9430" s="146"/>
      <c r="D9430" s="496"/>
    </row>
    <row r="9431" spans="1:4" x14ac:dyDescent="0.2">
      <c r="A9431" s="146"/>
      <c r="D9431" s="496"/>
    </row>
    <row r="9432" spans="1:4" x14ac:dyDescent="0.2">
      <c r="A9432" s="146"/>
      <c r="D9432" s="496"/>
    </row>
    <row r="9433" spans="1:4" x14ac:dyDescent="0.2">
      <c r="A9433" s="146"/>
      <c r="D9433" s="496"/>
    </row>
    <row r="9434" spans="1:4" x14ac:dyDescent="0.2">
      <c r="A9434" s="146"/>
      <c r="D9434" s="496"/>
    </row>
    <row r="9435" spans="1:4" x14ac:dyDescent="0.2">
      <c r="A9435" s="146"/>
      <c r="D9435" s="496"/>
    </row>
    <row r="9436" spans="1:4" x14ac:dyDescent="0.2">
      <c r="A9436" s="146"/>
      <c r="D9436" s="496"/>
    </row>
    <row r="9437" spans="1:4" x14ac:dyDescent="0.2">
      <c r="A9437" s="146"/>
      <c r="D9437" s="496"/>
    </row>
    <row r="9438" spans="1:4" x14ac:dyDescent="0.2">
      <c r="A9438" s="146"/>
      <c r="D9438" s="496"/>
    </row>
    <row r="9439" spans="1:4" x14ac:dyDescent="0.2">
      <c r="A9439" s="146"/>
      <c r="D9439" s="496"/>
    </row>
    <row r="9440" spans="1:4" x14ac:dyDescent="0.2">
      <c r="A9440" s="146"/>
      <c r="D9440" s="496"/>
    </row>
    <row r="9441" spans="1:4" x14ac:dyDescent="0.2">
      <c r="A9441" s="146"/>
      <c r="D9441" s="496"/>
    </row>
    <row r="9442" spans="1:4" x14ac:dyDescent="0.2">
      <c r="A9442" s="146"/>
      <c r="D9442" s="496"/>
    </row>
    <row r="9443" spans="1:4" x14ac:dyDescent="0.2">
      <c r="A9443" s="146"/>
      <c r="D9443" s="496"/>
    </row>
    <row r="9444" spans="1:4" x14ac:dyDescent="0.2">
      <c r="A9444" s="146"/>
      <c r="D9444" s="496"/>
    </row>
    <row r="9445" spans="1:4" x14ac:dyDescent="0.2">
      <c r="A9445" s="146"/>
      <c r="D9445" s="496"/>
    </row>
    <row r="9446" spans="1:4" x14ac:dyDescent="0.2">
      <c r="A9446" s="146"/>
      <c r="D9446" s="496"/>
    </row>
    <row r="9447" spans="1:4" x14ac:dyDescent="0.2">
      <c r="A9447" s="146"/>
      <c r="D9447" s="496"/>
    </row>
    <row r="9448" spans="1:4" x14ac:dyDescent="0.2">
      <c r="A9448" s="146"/>
      <c r="D9448" s="496"/>
    </row>
    <row r="9449" spans="1:4" x14ac:dyDescent="0.2">
      <c r="A9449" s="146"/>
      <c r="D9449" s="496"/>
    </row>
    <row r="9450" spans="1:4" x14ac:dyDescent="0.2">
      <c r="A9450" s="146"/>
      <c r="D9450" s="496"/>
    </row>
    <row r="9451" spans="1:4" x14ac:dyDescent="0.2">
      <c r="A9451" s="146"/>
      <c r="D9451" s="496"/>
    </row>
    <row r="9452" spans="1:4" x14ac:dyDescent="0.2">
      <c r="A9452" s="146"/>
      <c r="D9452" s="496"/>
    </row>
    <row r="9453" spans="1:4" x14ac:dyDescent="0.2">
      <c r="A9453" s="146"/>
      <c r="D9453" s="496"/>
    </row>
    <row r="9454" spans="1:4" x14ac:dyDescent="0.2">
      <c r="A9454" s="146"/>
      <c r="D9454" s="496"/>
    </row>
    <row r="9455" spans="1:4" x14ac:dyDescent="0.2">
      <c r="A9455" s="146"/>
      <c r="D9455" s="496"/>
    </row>
    <row r="9456" spans="1:4" x14ac:dyDescent="0.2">
      <c r="A9456" s="146"/>
      <c r="D9456" s="496"/>
    </row>
    <row r="9457" spans="1:4" x14ac:dyDescent="0.2">
      <c r="A9457" s="146"/>
      <c r="D9457" s="496"/>
    </row>
    <row r="9458" spans="1:4" x14ac:dyDescent="0.2">
      <c r="A9458" s="146"/>
      <c r="D9458" s="496"/>
    </row>
    <row r="9459" spans="1:4" x14ac:dyDescent="0.2">
      <c r="A9459" s="146"/>
      <c r="D9459" s="496"/>
    </row>
    <row r="9460" spans="1:4" x14ac:dyDescent="0.2">
      <c r="A9460" s="146"/>
      <c r="D9460" s="496"/>
    </row>
    <row r="9461" spans="1:4" x14ac:dyDescent="0.2">
      <c r="A9461" s="146"/>
      <c r="D9461" s="496"/>
    </row>
    <row r="9462" spans="1:4" x14ac:dyDescent="0.2">
      <c r="A9462" s="146"/>
      <c r="D9462" s="496"/>
    </row>
    <row r="9463" spans="1:4" x14ac:dyDescent="0.2">
      <c r="A9463" s="146"/>
      <c r="D9463" s="496"/>
    </row>
    <row r="9464" spans="1:4" x14ac:dyDescent="0.2">
      <c r="A9464" s="146"/>
      <c r="D9464" s="496"/>
    </row>
    <row r="9465" spans="1:4" x14ac:dyDescent="0.2">
      <c r="A9465" s="146"/>
      <c r="D9465" s="496"/>
    </row>
    <row r="9466" spans="1:4" x14ac:dyDescent="0.2">
      <c r="A9466" s="146"/>
      <c r="D9466" s="496"/>
    </row>
    <row r="9467" spans="1:4" x14ac:dyDescent="0.2">
      <c r="A9467" s="146"/>
      <c r="D9467" s="496"/>
    </row>
    <row r="9468" spans="1:4" x14ac:dyDescent="0.2">
      <c r="A9468" s="146"/>
      <c r="D9468" s="496"/>
    </row>
    <row r="9469" spans="1:4" x14ac:dyDescent="0.2">
      <c r="A9469" s="146"/>
      <c r="D9469" s="496"/>
    </row>
    <row r="9470" spans="1:4" x14ac:dyDescent="0.2">
      <c r="A9470" s="146"/>
      <c r="D9470" s="496"/>
    </row>
    <row r="9471" spans="1:4" x14ac:dyDescent="0.2">
      <c r="A9471" s="146"/>
      <c r="D9471" s="496"/>
    </row>
    <row r="9472" spans="1:4" x14ac:dyDescent="0.2">
      <c r="A9472" s="146"/>
      <c r="D9472" s="496"/>
    </row>
    <row r="9473" spans="1:4" x14ac:dyDescent="0.2">
      <c r="A9473" s="146"/>
      <c r="D9473" s="496"/>
    </row>
    <row r="9474" spans="1:4" x14ac:dyDescent="0.2">
      <c r="A9474" s="146"/>
      <c r="D9474" s="496"/>
    </row>
    <row r="9475" spans="1:4" x14ac:dyDescent="0.2">
      <c r="A9475" s="146"/>
      <c r="D9475" s="496"/>
    </row>
    <row r="9476" spans="1:4" x14ac:dyDescent="0.2">
      <c r="A9476" s="146"/>
      <c r="D9476" s="496"/>
    </row>
    <row r="9477" spans="1:4" x14ac:dyDescent="0.2">
      <c r="A9477" s="146"/>
      <c r="D9477" s="496"/>
    </row>
    <row r="9478" spans="1:4" x14ac:dyDescent="0.2">
      <c r="A9478" s="146"/>
      <c r="D9478" s="496"/>
    </row>
    <row r="9479" spans="1:4" x14ac:dyDescent="0.2">
      <c r="A9479" s="146"/>
      <c r="D9479" s="496"/>
    </row>
    <row r="9480" spans="1:4" x14ac:dyDescent="0.2">
      <c r="A9480" s="146"/>
      <c r="D9480" s="496"/>
    </row>
    <row r="9481" spans="1:4" x14ac:dyDescent="0.2">
      <c r="A9481" s="146"/>
      <c r="D9481" s="496"/>
    </row>
    <row r="9482" spans="1:4" x14ac:dyDescent="0.2">
      <c r="A9482" s="146"/>
      <c r="D9482" s="496"/>
    </row>
    <row r="9483" spans="1:4" x14ac:dyDescent="0.2">
      <c r="A9483" s="146"/>
      <c r="D9483" s="496"/>
    </row>
    <row r="9484" spans="1:4" x14ac:dyDescent="0.2">
      <c r="A9484" s="146"/>
      <c r="D9484" s="496"/>
    </row>
    <row r="9485" spans="1:4" x14ac:dyDescent="0.2">
      <c r="A9485" s="146"/>
      <c r="D9485" s="496"/>
    </row>
    <row r="9486" spans="1:4" x14ac:dyDescent="0.2">
      <c r="A9486" s="146"/>
      <c r="D9486" s="496"/>
    </row>
    <row r="9487" spans="1:4" x14ac:dyDescent="0.2">
      <c r="A9487" s="146"/>
      <c r="D9487" s="496"/>
    </row>
    <row r="9488" spans="1:4" x14ac:dyDescent="0.2">
      <c r="A9488" s="146"/>
      <c r="D9488" s="496"/>
    </row>
    <row r="9489" spans="1:4" x14ac:dyDescent="0.2">
      <c r="A9489" s="146"/>
      <c r="D9489" s="496"/>
    </row>
    <row r="9490" spans="1:4" x14ac:dyDescent="0.2">
      <c r="A9490" s="146"/>
      <c r="D9490" s="496"/>
    </row>
    <row r="9491" spans="1:4" x14ac:dyDescent="0.2">
      <c r="A9491" s="146"/>
      <c r="D9491" s="496"/>
    </row>
    <row r="9492" spans="1:4" x14ac:dyDescent="0.2">
      <c r="A9492" s="146"/>
      <c r="D9492" s="496"/>
    </row>
    <row r="9493" spans="1:4" x14ac:dyDescent="0.2">
      <c r="A9493" s="146"/>
      <c r="D9493" s="496"/>
    </row>
    <row r="9494" spans="1:4" x14ac:dyDescent="0.2">
      <c r="A9494" s="146"/>
      <c r="D9494" s="496"/>
    </row>
    <row r="9495" spans="1:4" x14ac:dyDescent="0.2">
      <c r="A9495" s="146"/>
      <c r="D9495" s="496"/>
    </row>
    <row r="9496" spans="1:4" x14ac:dyDescent="0.2">
      <c r="A9496" s="146"/>
      <c r="D9496" s="496"/>
    </row>
    <row r="9497" spans="1:4" x14ac:dyDescent="0.2">
      <c r="A9497" s="146"/>
      <c r="D9497" s="496"/>
    </row>
    <row r="9498" spans="1:4" x14ac:dyDescent="0.2">
      <c r="A9498" s="146"/>
      <c r="D9498" s="496"/>
    </row>
    <row r="9499" spans="1:4" x14ac:dyDescent="0.2">
      <c r="A9499" s="146"/>
      <c r="D9499" s="496"/>
    </row>
    <row r="9500" spans="1:4" x14ac:dyDescent="0.2">
      <c r="A9500" s="146"/>
      <c r="D9500" s="496"/>
    </row>
    <row r="9501" spans="1:4" x14ac:dyDescent="0.2">
      <c r="A9501" s="146"/>
      <c r="D9501" s="496"/>
    </row>
    <row r="9502" spans="1:4" x14ac:dyDescent="0.2">
      <c r="A9502" s="146"/>
      <c r="D9502" s="496"/>
    </row>
    <row r="9503" spans="1:4" x14ac:dyDescent="0.2">
      <c r="A9503" s="146"/>
      <c r="D9503" s="496"/>
    </row>
    <row r="9504" spans="1:4" x14ac:dyDescent="0.2">
      <c r="A9504" s="146"/>
      <c r="D9504" s="496"/>
    </row>
    <row r="9505" spans="1:4" x14ac:dyDescent="0.2">
      <c r="A9505" s="146"/>
      <c r="D9505" s="496"/>
    </row>
    <row r="9506" spans="1:4" x14ac:dyDescent="0.2">
      <c r="A9506" s="146"/>
      <c r="D9506" s="496"/>
    </row>
    <row r="9507" spans="1:4" x14ac:dyDescent="0.2">
      <c r="A9507" s="146"/>
      <c r="D9507" s="496"/>
    </row>
    <row r="9508" spans="1:4" x14ac:dyDescent="0.2">
      <c r="A9508" s="146"/>
      <c r="D9508" s="496"/>
    </row>
    <row r="9509" spans="1:4" x14ac:dyDescent="0.2">
      <c r="A9509" s="146"/>
      <c r="D9509" s="496"/>
    </row>
    <row r="9510" spans="1:4" x14ac:dyDescent="0.2">
      <c r="A9510" s="146"/>
      <c r="D9510" s="496"/>
    </row>
    <row r="9511" spans="1:4" x14ac:dyDescent="0.2">
      <c r="A9511" s="146"/>
      <c r="D9511" s="496"/>
    </row>
    <row r="9512" spans="1:4" x14ac:dyDescent="0.2">
      <c r="A9512" s="146"/>
      <c r="D9512" s="496"/>
    </row>
    <row r="9513" spans="1:4" x14ac:dyDescent="0.2">
      <c r="A9513" s="146"/>
      <c r="D9513" s="496"/>
    </row>
    <row r="9514" spans="1:4" x14ac:dyDescent="0.2">
      <c r="A9514" s="146"/>
      <c r="D9514" s="496"/>
    </row>
    <row r="9515" spans="1:4" x14ac:dyDescent="0.2">
      <c r="A9515" s="146"/>
      <c r="D9515" s="496"/>
    </row>
    <row r="9516" spans="1:4" x14ac:dyDescent="0.2">
      <c r="A9516" s="146"/>
      <c r="D9516" s="496"/>
    </row>
    <row r="9517" spans="1:4" x14ac:dyDescent="0.2">
      <c r="A9517" s="146"/>
      <c r="D9517" s="496"/>
    </row>
    <row r="9518" spans="1:4" x14ac:dyDescent="0.2">
      <c r="A9518" s="146"/>
      <c r="D9518" s="496"/>
    </row>
    <row r="9519" spans="1:4" x14ac:dyDescent="0.2">
      <c r="A9519" s="146"/>
      <c r="D9519" s="496"/>
    </row>
    <row r="9520" spans="1:4" x14ac:dyDescent="0.2">
      <c r="A9520" s="146"/>
      <c r="D9520" s="496"/>
    </row>
    <row r="9521" spans="1:4" x14ac:dyDescent="0.2">
      <c r="A9521" s="146"/>
      <c r="D9521" s="496"/>
    </row>
    <row r="9522" spans="1:4" x14ac:dyDescent="0.2">
      <c r="A9522" s="146"/>
      <c r="D9522" s="496"/>
    </row>
    <row r="9523" spans="1:4" x14ac:dyDescent="0.2">
      <c r="A9523" s="146"/>
      <c r="D9523" s="496"/>
    </row>
    <row r="9524" spans="1:4" x14ac:dyDescent="0.2">
      <c r="A9524" s="146"/>
      <c r="D9524" s="496"/>
    </row>
    <row r="9525" spans="1:4" x14ac:dyDescent="0.2">
      <c r="A9525" s="146"/>
      <c r="D9525" s="496"/>
    </row>
    <row r="9526" spans="1:4" x14ac:dyDescent="0.2">
      <c r="A9526" s="146"/>
      <c r="D9526" s="496"/>
    </row>
    <row r="9527" spans="1:4" x14ac:dyDescent="0.2">
      <c r="A9527" s="146"/>
      <c r="D9527" s="496"/>
    </row>
    <row r="9528" spans="1:4" x14ac:dyDescent="0.2">
      <c r="A9528" s="146"/>
      <c r="D9528" s="496"/>
    </row>
    <row r="9529" spans="1:4" x14ac:dyDescent="0.2">
      <c r="A9529" s="146"/>
      <c r="D9529" s="496"/>
    </row>
    <row r="9530" spans="1:4" x14ac:dyDescent="0.2">
      <c r="A9530" s="146"/>
      <c r="D9530" s="496"/>
    </row>
    <row r="9531" spans="1:4" x14ac:dyDescent="0.2">
      <c r="A9531" s="146"/>
      <c r="D9531" s="496"/>
    </row>
    <row r="9532" spans="1:4" x14ac:dyDescent="0.2">
      <c r="A9532" s="146"/>
      <c r="D9532" s="496"/>
    </row>
    <row r="9533" spans="1:4" x14ac:dyDescent="0.2">
      <c r="A9533" s="146"/>
      <c r="D9533" s="496"/>
    </row>
    <row r="9534" spans="1:4" x14ac:dyDescent="0.2">
      <c r="A9534" s="146"/>
      <c r="D9534" s="496"/>
    </row>
    <row r="9535" spans="1:4" x14ac:dyDescent="0.2">
      <c r="A9535" s="146"/>
      <c r="D9535" s="496"/>
    </row>
    <row r="9536" spans="1:4" x14ac:dyDescent="0.2">
      <c r="A9536" s="146"/>
      <c r="D9536" s="496"/>
    </row>
    <row r="9537" spans="1:4" x14ac:dyDescent="0.2">
      <c r="A9537" s="146"/>
      <c r="D9537" s="496"/>
    </row>
    <row r="9538" spans="1:4" x14ac:dyDescent="0.2">
      <c r="A9538" s="146"/>
      <c r="D9538" s="496"/>
    </row>
    <row r="9539" spans="1:4" x14ac:dyDescent="0.2">
      <c r="A9539" s="146"/>
      <c r="D9539" s="496"/>
    </row>
    <row r="9540" spans="1:4" x14ac:dyDescent="0.2">
      <c r="A9540" s="146"/>
      <c r="D9540" s="496"/>
    </row>
    <row r="9541" spans="1:4" x14ac:dyDescent="0.2">
      <c r="A9541" s="146"/>
      <c r="D9541" s="496"/>
    </row>
    <row r="9542" spans="1:4" x14ac:dyDescent="0.2">
      <c r="A9542" s="146"/>
      <c r="D9542" s="496"/>
    </row>
    <row r="9543" spans="1:4" x14ac:dyDescent="0.2">
      <c r="A9543" s="146"/>
      <c r="D9543" s="496"/>
    </row>
    <row r="9544" spans="1:4" x14ac:dyDescent="0.2">
      <c r="A9544" s="146"/>
      <c r="D9544" s="496"/>
    </row>
    <row r="9545" spans="1:4" x14ac:dyDescent="0.2">
      <c r="A9545" s="146"/>
      <c r="D9545" s="496"/>
    </row>
    <row r="9546" spans="1:4" x14ac:dyDescent="0.2">
      <c r="A9546" s="146"/>
      <c r="D9546" s="496"/>
    </row>
    <row r="9547" spans="1:4" x14ac:dyDescent="0.2">
      <c r="A9547" s="146"/>
      <c r="D9547" s="496"/>
    </row>
    <row r="9548" spans="1:4" x14ac:dyDescent="0.2">
      <c r="A9548" s="146"/>
      <c r="D9548" s="496"/>
    </row>
    <row r="9549" spans="1:4" x14ac:dyDescent="0.2">
      <c r="A9549" s="146"/>
      <c r="D9549" s="496"/>
    </row>
    <row r="9550" spans="1:4" x14ac:dyDescent="0.2">
      <c r="A9550" s="146"/>
      <c r="D9550" s="496"/>
    </row>
    <row r="9551" spans="1:4" x14ac:dyDescent="0.2">
      <c r="A9551" s="146"/>
      <c r="D9551" s="496"/>
    </row>
    <row r="9552" spans="1:4" x14ac:dyDescent="0.2">
      <c r="A9552" s="146"/>
      <c r="D9552" s="496"/>
    </row>
    <row r="9553" spans="1:4" x14ac:dyDescent="0.2">
      <c r="A9553" s="146"/>
      <c r="D9553" s="496"/>
    </row>
    <row r="9554" spans="1:4" x14ac:dyDescent="0.2">
      <c r="A9554" s="146"/>
      <c r="D9554" s="496"/>
    </row>
    <row r="9555" spans="1:4" x14ac:dyDescent="0.2">
      <c r="A9555" s="146"/>
      <c r="D9555" s="496"/>
    </row>
    <row r="9556" spans="1:4" x14ac:dyDescent="0.2">
      <c r="A9556" s="146"/>
      <c r="D9556" s="496"/>
    </row>
    <row r="9557" spans="1:4" x14ac:dyDescent="0.2">
      <c r="A9557" s="146"/>
      <c r="D9557" s="496"/>
    </row>
    <row r="9558" spans="1:4" x14ac:dyDescent="0.2">
      <c r="A9558" s="146"/>
      <c r="D9558" s="496"/>
    </row>
    <row r="9559" spans="1:4" x14ac:dyDescent="0.2">
      <c r="A9559" s="146"/>
      <c r="D9559" s="496"/>
    </row>
    <row r="9560" spans="1:4" x14ac:dyDescent="0.2">
      <c r="A9560" s="146"/>
      <c r="D9560" s="496"/>
    </row>
    <row r="9561" spans="1:4" x14ac:dyDescent="0.2">
      <c r="A9561" s="146"/>
      <c r="D9561" s="496"/>
    </row>
    <row r="9562" spans="1:4" x14ac:dyDescent="0.2">
      <c r="A9562" s="146"/>
      <c r="D9562" s="496"/>
    </row>
    <row r="9563" spans="1:4" x14ac:dyDescent="0.2">
      <c r="A9563" s="146"/>
      <c r="D9563" s="496"/>
    </row>
    <row r="9564" spans="1:4" x14ac:dyDescent="0.2">
      <c r="A9564" s="146"/>
      <c r="D9564" s="496"/>
    </row>
    <row r="9565" spans="1:4" x14ac:dyDescent="0.2">
      <c r="A9565" s="146"/>
      <c r="D9565" s="496"/>
    </row>
    <row r="9566" spans="1:4" x14ac:dyDescent="0.2">
      <c r="A9566" s="146"/>
      <c r="D9566" s="496"/>
    </row>
    <row r="9567" spans="1:4" x14ac:dyDescent="0.2">
      <c r="A9567" s="146"/>
      <c r="D9567" s="496"/>
    </row>
    <row r="9568" spans="1:4" x14ac:dyDescent="0.2">
      <c r="A9568" s="146"/>
      <c r="D9568" s="496"/>
    </row>
    <row r="9569" spans="1:4" x14ac:dyDescent="0.2">
      <c r="A9569" s="146"/>
      <c r="D9569" s="496"/>
    </row>
    <row r="9570" spans="1:4" x14ac:dyDescent="0.2">
      <c r="A9570" s="146"/>
      <c r="D9570" s="496"/>
    </row>
    <row r="9571" spans="1:4" x14ac:dyDescent="0.2">
      <c r="A9571" s="146"/>
      <c r="D9571" s="496"/>
    </row>
    <row r="9572" spans="1:4" x14ac:dyDescent="0.2">
      <c r="A9572" s="146"/>
      <c r="D9572" s="496"/>
    </row>
    <row r="9573" spans="1:4" x14ac:dyDescent="0.2">
      <c r="A9573" s="146"/>
      <c r="D9573" s="496"/>
    </row>
    <row r="9574" spans="1:4" x14ac:dyDescent="0.2">
      <c r="A9574" s="146"/>
      <c r="D9574" s="496"/>
    </row>
    <row r="9575" spans="1:4" x14ac:dyDescent="0.2">
      <c r="A9575" s="146"/>
      <c r="D9575" s="496"/>
    </row>
    <row r="9576" spans="1:4" x14ac:dyDescent="0.2">
      <c r="A9576" s="146"/>
      <c r="D9576" s="496"/>
    </row>
    <row r="9577" spans="1:4" x14ac:dyDescent="0.2">
      <c r="A9577" s="146"/>
      <c r="D9577" s="496"/>
    </row>
    <row r="9578" spans="1:4" x14ac:dyDescent="0.2">
      <c r="A9578" s="146"/>
      <c r="D9578" s="496"/>
    </row>
    <row r="9579" spans="1:4" x14ac:dyDescent="0.2">
      <c r="A9579" s="146"/>
      <c r="D9579" s="496"/>
    </row>
    <row r="9580" spans="1:4" x14ac:dyDescent="0.2">
      <c r="A9580" s="146"/>
      <c r="D9580" s="496"/>
    </row>
    <row r="9581" spans="1:4" x14ac:dyDescent="0.2">
      <c r="A9581" s="146"/>
      <c r="D9581" s="496"/>
    </row>
    <row r="9582" spans="1:4" x14ac:dyDescent="0.2">
      <c r="A9582" s="146"/>
      <c r="D9582" s="496"/>
    </row>
    <row r="9583" spans="1:4" x14ac:dyDescent="0.2">
      <c r="A9583" s="146"/>
      <c r="D9583" s="496"/>
    </row>
    <row r="9584" spans="1:4" x14ac:dyDescent="0.2">
      <c r="A9584" s="146"/>
      <c r="D9584" s="496"/>
    </row>
    <row r="9585" spans="1:4" x14ac:dyDescent="0.2">
      <c r="A9585" s="146"/>
      <c r="D9585" s="496"/>
    </row>
    <row r="9586" spans="1:4" x14ac:dyDescent="0.2">
      <c r="A9586" s="146"/>
      <c r="D9586" s="496"/>
    </row>
    <row r="9587" spans="1:4" x14ac:dyDescent="0.2">
      <c r="A9587" s="146"/>
      <c r="D9587" s="496"/>
    </row>
    <row r="9588" spans="1:4" x14ac:dyDescent="0.2">
      <c r="A9588" s="146"/>
      <c r="D9588" s="496"/>
    </row>
    <row r="9589" spans="1:4" x14ac:dyDescent="0.2">
      <c r="A9589" s="146"/>
      <c r="D9589" s="496"/>
    </row>
    <row r="9590" spans="1:4" x14ac:dyDescent="0.2">
      <c r="A9590" s="146"/>
      <c r="D9590" s="496"/>
    </row>
    <row r="9591" spans="1:4" x14ac:dyDescent="0.2">
      <c r="A9591" s="146"/>
      <c r="D9591" s="496"/>
    </row>
    <row r="9592" spans="1:4" x14ac:dyDescent="0.2">
      <c r="A9592" s="146"/>
      <c r="D9592" s="496"/>
    </row>
    <row r="9593" spans="1:4" x14ac:dyDescent="0.2">
      <c r="A9593" s="146"/>
      <c r="D9593" s="496"/>
    </row>
    <row r="9594" spans="1:4" x14ac:dyDescent="0.2">
      <c r="A9594" s="146"/>
      <c r="D9594" s="496"/>
    </row>
    <row r="9595" spans="1:4" x14ac:dyDescent="0.2">
      <c r="A9595" s="146"/>
      <c r="D9595" s="496"/>
    </row>
    <row r="9596" spans="1:4" x14ac:dyDescent="0.2">
      <c r="A9596" s="146"/>
      <c r="D9596" s="496"/>
    </row>
    <row r="9597" spans="1:4" x14ac:dyDescent="0.2">
      <c r="A9597" s="146"/>
      <c r="D9597" s="496"/>
    </row>
    <row r="9598" spans="1:4" x14ac:dyDescent="0.2">
      <c r="A9598" s="146"/>
      <c r="D9598" s="496"/>
    </row>
    <row r="9599" spans="1:4" x14ac:dyDescent="0.2">
      <c r="A9599" s="146"/>
      <c r="D9599" s="496"/>
    </row>
    <row r="9600" spans="1:4" x14ac:dyDescent="0.2">
      <c r="A9600" s="146"/>
      <c r="D9600" s="496"/>
    </row>
    <row r="9601" spans="1:4" x14ac:dyDescent="0.2">
      <c r="A9601" s="146"/>
      <c r="D9601" s="496"/>
    </row>
    <row r="9602" spans="1:4" x14ac:dyDescent="0.2">
      <c r="A9602" s="146"/>
      <c r="D9602" s="496"/>
    </row>
    <row r="9603" spans="1:4" x14ac:dyDescent="0.2">
      <c r="A9603" s="146"/>
      <c r="D9603" s="496"/>
    </row>
    <row r="9604" spans="1:4" x14ac:dyDescent="0.2">
      <c r="A9604" s="146"/>
      <c r="D9604" s="496"/>
    </row>
    <row r="9605" spans="1:4" x14ac:dyDescent="0.2">
      <c r="A9605" s="146"/>
      <c r="D9605" s="496"/>
    </row>
    <row r="9606" spans="1:4" x14ac:dyDescent="0.2">
      <c r="A9606" s="146"/>
      <c r="D9606" s="496"/>
    </row>
    <row r="9607" spans="1:4" x14ac:dyDescent="0.2">
      <c r="A9607" s="146"/>
      <c r="D9607" s="496"/>
    </row>
    <row r="9608" spans="1:4" x14ac:dyDescent="0.2">
      <c r="A9608" s="146"/>
      <c r="D9608" s="496"/>
    </row>
    <row r="9609" spans="1:4" x14ac:dyDescent="0.2">
      <c r="A9609" s="146"/>
      <c r="D9609" s="496"/>
    </row>
    <row r="9610" spans="1:4" x14ac:dyDescent="0.2">
      <c r="A9610" s="146"/>
      <c r="D9610" s="496"/>
    </row>
    <row r="9611" spans="1:4" x14ac:dyDescent="0.2">
      <c r="A9611" s="146"/>
      <c r="D9611" s="496"/>
    </row>
    <row r="9612" spans="1:4" x14ac:dyDescent="0.2">
      <c r="A9612" s="146"/>
      <c r="D9612" s="496"/>
    </row>
    <row r="9613" spans="1:4" x14ac:dyDescent="0.2">
      <c r="A9613" s="146"/>
      <c r="D9613" s="496"/>
    </row>
    <row r="9614" spans="1:4" x14ac:dyDescent="0.2">
      <c r="A9614" s="146"/>
      <c r="D9614" s="496"/>
    </row>
    <row r="9615" spans="1:4" x14ac:dyDescent="0.2">
      <c r="A9615" s="146"/>
      <c r="D9615" s="496"/>
    </row>
    <row r="9616" spans="1:4" x14ac:dyDescent="0.2">
      <c r="A9616" s="146"/>
      <c r="D9616" s="496"/>
    </row>
    <row r="9617" spans="1:4" x14ac:dyDescent="0.2">
      <c r="A9617" s="146"/>
      <c r="D9617" s="496"/>
    </row>
    <row r="9618" spans="1:4" x14ac:dyDescent="0.2">
      <c r="A9618" s="146"/>
      <c r="D9618" s="496"/>
    </row>
    <row r="9619" spans="1:4" x14ac:dyDescent="0.2">
      <c r="A9619" s="146"/>
      <c r="D9619" s="496"/>
    </row>
    <row r="9620" spans="1:4" x14ac:dyDescent="0.2">
      <c r="A9620" s="146"/>
      <c r="D9620" s="496"/>
    </row>
    <row r="9621" spans="1:4" x14ac:dyDescent="0.2">
      <c r="A9621" s="146"/>
      <c r="D9621" s="496"/>
    </row>
    <row r="9622" spans="1:4" x14ac:dyDescent="0.2">
      <c r="A9622" s="146"/>
      <c r="D9622" s="496"/>
    </row>
    <row r="9623" spans="1:4" x14ac:dyDescent="0.2">
      <c r="A9623" s="146"/>
      <c r="D9623" s="496"/>
    </row>
    <row r="9624" spans="1:4" x14ac:dyDescent="0.2">
      <c r="A9624" s="146"/>
      <c r="D9624" s="496"/>
    </row>
    <row r="9625" spans="1:4" x14ac:dyDescent="0.2">
      <c r="A9625" s="146"/>
      <c r="D9625" s="496"/>
    </row>
    <row r="9626" spans="1:4" x14ac:dyDescent="0.2">
      <c r="A9626" s="146"/>
      <c r="D9626" s="496"/>
    </row>
    <row r="9627" spans="1:4" x14ac:dyDescent="0.2">
      <c r="A9627" s="146"/>
      <c r="D9627" s="496"/>
    </row>
    <row r="9628" spans="1:4" x14ac:dyDescent="0.2">
      <c r="A9628" s="146"/>
      <c r="D9628" s="496"/>
    </row>
    <row r="9629" spans="1:4" x14ac:dyDescent="0.2">
      <c r="A9629" s="146"/>
      <c r="D9629" s="496"/>
    </row>
    <row r="9630" spans="1:4" x14ac:dyDescent="0.2">
      <c r="A9630" s="146"/>
      <c r="D9630" s="496"/>
    </row>
    <row r="9631" spans="1:4" x14ac:dyDescent="0.2">
      <c r="A9631" s="146"/>
      <c r="D9631" s="496"/>
    </row>
    <row r="9632" spans="1:4" x14ac:dyDescent="0.2">
      <c r="A9632" s="146"/>
      <c r="D9632" s="496"/>
    </row>
    <row r="9633" spans="1:4" x14ac:dyDescent="0.2">
      <c r="A9633" s="146"/>
      <c r="D9633" s="496"/>
    </row>
    <row r="9634" spans="1:4" x14ac:dyDescent="0.2">
      <c r="A9634" s="146"/>
      <c r="D9634" s="496"/>
    </row>
    <row r="9635" spans="1:4" x14ac:dyDescent="0.2">
      <c r="A9635" s="146"/>
      <c r="D9635" s="496"/>
    </row>
    <row r="9636" spans="1:4" x14ac:dyDescent="0.2">
      <c r="A9636" s="146"/>
      <c r="D9636" s="496"/>
    </row>
    <row r="9637" spans="1:4" x14ac:dyDescent="0.2">
      <c r="A9637" s="146"/>
      <c r="D9637" s="496"/>
    </row>
    <row r="9638" spans="1:4" x14ac:dyDescent="0.2">
      <c r="A9638" s="146"/>
      <c r="D9638" s="496"/>
    </row>
    <row r="9639" spans="1:4" x14ac:dyDescent="0.2">
      <c r="A9639" s="146"/>
      <c r="D9639" s="496"/>
    </row>
    <row r="9640" spans="1:4" x14ac:dyDescent="0.2">
      <c r="A9640" s="146"/>
      <c r="D9640" s="496"/>
    </row>
    <row r="9641" spans="1:4" x14ac:dyDescent="0.2">
      <c r="A9641" s="146"/>
      <c r="D9641" s="496"/>
    </row>
    <row r="9642" spans="1:4" x14ac:dyDescent="0.2">
      <c r="A9642" s="146"/>
      <c r="D9642" s="496"/>
    </row>
    <row r="9643" spans="1:4" x14ac:dyDescent="0.2">
      <c r="A9643" s="146"/>
      <c r="D9643" s="496"/>
    </row>
    <row r="9644" spans="1:4" x14ac:dyDescent="0.2">
      <c r="A9644" s="146"/>
      <c r="D9644" s="496"/>
    </row>
    <row r="9645" spans="1:4" x14ac:dyDescent="0.2">
      <c r="A9645" s="146"/>
      <c r="D9645" s="496"/>
    </row>
    <row r="9646" spans="1:4" x14ac:dyDescent="0.2">
      <c r="A9646" s="146"/>
      <c r="D9646" s="496"/>
    </row>
    <row r="9647" spans="1:4" x14ac:dyDescent="0.2">
      <c r="A9647" s="146"/>
      <c r="D9647" s="496"/>
    </row>
    <row r="9648" spans="1:4" x14ac:dyDescent="0.2">
      <c r="A9648" s="146"/>
      <c r="D9648" s="496"/>
    </row>
    <row r="9649" spans="1:4" x14ac:dyDescent="0.2">
      <c r="A9649" s="146"/>
      <c r="D9649" s="496"/>
    </row>
    <row r="9650" spans="1:4" x14ac:dyDescent="0.2">
      <c r="A9650" s="146"/>
      <c r="D9650" s="496"/>
    </row>
    <row r="9651" spans="1:4" x14ac:dyDescent="0.2">
      <c r="A9651" s="146"/>
      <c r="D9651" s="496"/>
    </row>
    <row r="9652" spans="1:4" x14ac:dyDescent="0.2">
      <c r="A9652" s="146"/>
      <c r="D9652" s="496"/>
    </row>
    <row r="9653" spans="1:4" x14ac:dyDescent="0.2">
      <c r="A9653" s="146"/>
      <c r="D9653" s="496"/>
    </row>
    <row r="9654" spans="1:4" x14ac:dyDescent="0.2">
      <c r="A9654" s="146"/>
      <c r="D9654" s="496"/>
    </row>
    <row r="9655" spans="1:4" x14ac:dyDescent="0.2">
      <c r="A9655" s="146"/>
      <c r="D9655" s="496"/>
    </row>
    <row r="9656" spans="1:4" x14ac:dyDescent="0.2">
      <c r="A9656" s="146"/>
      <c r="D9656" s="496"/>
    </row>
    <row r="9657" spans="1:4" x14ac:dyDescent="0.2">
      <c r="A9657" s="146"/>
      <c r="D9657" s="496"/>
    </row>
    <row r="9658" spans="1:4" x14ac:dyDescent="0.2">
      <c r="A9658" s="146"/>
      <c r="D9658" s="496"/>
    </row>
    <row r="9659" spans="1:4" x14ac:dyDescent="0.2">
      <c r="A9659" s="146"/>
      <c r="D9659" s="496"/>
    </row>
    <row r="9660" spans="1:4" x14ac:dyDescent="0.2">
      <c r="A9660" s="146"/>
      <c r="D9660" s="496"/>
    </row>
    <row r="9661" spans="1:4" x14ac:dyDescent="0.2">
      <c r="A9661" s="146"/>
      <c r="D9661" s="496"/>
    </row>
    <row r="9662" spans="1:4" x14ac:dyDescent="0.2">
      <c r="A9662" s="146"/>
      <c r="D9662" s="496"/>
    </row>
    <row r="9663" spans="1:4" x14ac:dyDescent="0.2">
      <c r="A9663" s="146"/>
      <c r="D9663" s="496"/>
    </row>
    <row r="9664" spans="1:4" x14ac:dyDescent="0.2">
      <c r="A9664" s="146"/>
      <c r="D9664" s="496"/>
    </row>
    <row r="9665" spans="1:4" x14ac:dyDescent="0.2">
      <c r="A9665" s="146"/>
      <c r="D9665" s="496"/>
    </row>
    <row r="9666" spans="1:4" x14ac:dyDescent="0.2">
      <c r="A9666" s="146"/>
      <c r="D9666" s="496"/>
    </row>
    <row r="9667" spans="1:4" x14ac:dyDescent="0.2">
      <c r="A9667" s="146"/>
      <c r="D9667" s="496"/>
    </row>
    <row r="9668" spans="1:4" x14ac:dyDescent="0.2">
      <c r="A9668" s="146"/>
      <c r="D9668" s="496"/>
    </row>
    <row r="9669" spans="1:4" x14ac:dyDescent="0.2">
      <c r="A9669" s="146"/>
      <c r="D9669" s="496"/>
    </row>
    <row r="9670" spans="1:4" x14ac:dyDescent="0.2">
      <c r="A9670" s="146"/>
      <c r="D9670" s="496"/>
    </row>
    <row r="9671" spans="1:4" x14ac:dyDescent="0.2">
      <c r="A9671" s="146"/>
      <c r="D9671" s="496"/>
    </row>
    <row r="9672" spans="1:4" x14ac:dyDescent="0.2">
      <c r="A9672" s="146"/>
      <c r="D9672" s="496"/>
    </row>
    <row r="9673" spans="1:4" x14ac:dyDescent="0.2">
      <c r="A9673" s="146"/>
      <c r="D9673" s="496"/>
    </row>
    <row r="9674" spans="1:4" x14ac:dyDescent="0.2">
      <c r="A9674" s="146"/>
      <c r="D9674" s="496"/>
    </row>
    <row r="9675" spans="1:4" x14ac:dyDescent="0.2">
      <c r="A9675" s="146"/>
      <c r="D9675" s="496"/>
    </row>
    <row r="9676" spans="1:4" x14ac:dyDescent="0.2">
      <c r="A9676" s="146"/>
      <c r="D9676" s="496"/>
    </row>
    <row r="9677" spans="1:4" x14ac:dyDescent="0.2">
      <c r="A9677" s="146"/>
      <c r="D9677" s="496"/>
    </row>
    <row r="9678" spans="1:4" x14ac:dyDescent="0.2">
      <c r="A9678" s="146"/>
      <c r="D9678" s="496"/>
    </row>
    <row r="9679" spans="1:4" x14ac:dyDescent="0.2">
      <c r="A9679" s="146"/>
      <c r="D9679" s="496"/>
    </row>
    <row r="9680" spans="1:4" x14ac:dyDescent="0.2">
      <c r="A9680" s="146"/>
      <c r="D9680" s="496"/>
    </row>
    <row r="9681" spans="1:4" x14ac:dyDescent="0.2">
      <c r="A9681" s="146"/>
      <c r="D9681" s="496"/>
    </row>
    <row r="9682" spans="1:4" x14ac:dyDescent="0.2">
      <c r="A9682" s="146"/>
      <c r="D9682" s="496"/>
    </row>
    <row r="9683" spans="1:4" x14ac:dyDescent="0.2">
      <c r="A9683" s="146"/>
      <c r="D9683" s="496"/>
    </row>
    <row r="9684" spans="1:4" x14ac:dyDescent="0.2">
      <c r="A9684" s="146"/>
      <c r="D9684" s="496"/>
    </row>
    <row r="9685" spans="1:4" x14ac:dyDescent="0.2">
      <c r="A9685" s="146"/>
      <c r="D9685" s="496"/>
    </row>
    <row r="9686" spans="1:4" x14ac:dyDescent="0.2">
      <c r="A9686" s="146"/>
      <c r="D9686" s="496"/>
    </row>
    <row r="9687" spans="1:4" x14ac:dyDescent="0.2">
      <c r="A9687" s="146"/>
      <c r="D9687" s="496"/>
    </row>
    <row r="9688" spans="1:4" x14ac:dyDescent="0.2">
      <c r="A9688" s="146"/>
      <c r="D9688" s="496"/>
    </row>
    <row r="9689" spans="1:4" x14ac:dyDescent="0.2">
      <c r="A9689" s="146"/>
      <c r="D9689" s="496"/>
    </row>
    <row r="9690" spans="1:4" x14ac:dyDescent="0.2">
      <c r="A9690" s="146"/>
      <c r="D9690" s="496"/>
    </row>
    <row r="9691" spans="1:4" x14ac:dyDescent="0.2">
      <c r="A9691" s="146"/>
      <c r="D9691" s="496"/>
    </row>
    <row r="9692" spans="1:4" x14ac:dyDescent="0.2">
      <c r="A9692" s="146"/>
      <c r="D9692" s="496"/>
    </row>
    <row r="9693" spans="1:4" x14ac:dyDescent="0.2">
      <c r="A9693" s="146"/>
      <c r="D9693" s="496"/>
    </row>
    <row r="9694" spans="1:4" x14ac:dyDescent="0.2">
      <c r="A9694" s="146"/>
      <c r="D9694" s="496"/>
    </row>
    <row r="9695" spans="1:4" x14ac:dyDescent="0.2">
      <c r="A9695" s="146"/>
      <c r="D9695" s="496"/>
    </row>
    <row r="9696" spans="1:4" x14ac:dyDescent="0.2">
      <c r="A9696" s="146"/>
      <c r="D9696" s="496"/>
    </row>
    <row r="9697" spans="1:4" x14ac:dyDescent="0.2">
      <c r="A9697" s="146"/>
      <c r="D9697" s="496"/>
    </row>
    <row r="9698" spans="1:4" x14ac:dyDescent="0.2">
      <c r="A9698" s="146"/>
      <c r="D9698" s="496"/>
    </row>
    <row r="9699" spans="1:4" x14ac:dyDescent="0.2">
      <c r="A9699" s="146"/>
      <c r="D9699" s="496"/>
    </row>
    <row r="9700" spans="1:4" x14ac:dyDescent="0.2">
      <c r="A9700" s="146"/>
      <c r="D9700" s="496"/>
    </row>
    <row r="9701" spans="1:4" x14ac:dyDescent="0.2">
      <c r="A9701" s="146"/>
      <c r="D9701" s="496"/>
    </row>
    <row r="9702" spans="1:4" x14ac:dyDescent="0.2">
      <c r="A9702" s="146"/>
      <c r="D9702" s="496"/>
    </row>
    <row r="9703" spans="1:4" x14ac:dyDescent="0.2">
      <c r="A9703" s="146"/>
      <c r="D9703" s="496"/>
    </row>
    <row r="9704" spans="1:4" x14ac:dyDescent="0.2">
      <c r="A9704" s="146"/>
      <c r="D9704" s="496"/>
    </row>
    <row r="9705" spans="1:4" x14ac:dyDescent="0.2">
      <c r="A9705" s="146"/>
      <c r="D9705" s="496"/>
    </row>
    <row r="9706" spans="1:4" x14ac:dyDescent="0.2">
      <c r="A9706" s="146"/>
      <c r="D9706" s="496"/>
    </row>
    <row r="9707" spans="1:4" x14ac:dyDescent="0.2">
      <c r="A9707" s="146"/>
      <c r="D9707" s="496"/>
    </row>
    <row r="9708" spans="1:4" x14ac:dyDescent="0.2">
      <c r="A9708" s="146"/>
      <c r="D9708" s="496"/>
    </row>
    <row r="9709" spans="1:4" x14ac:dyDescent="0.2">
      <c r="A9709" s="146"/>
      <c r="D9709" s="496"/>
    </row>
    <row r="9710" spans="1:4" x14ac:dyDescent="0.2">
      <c r="A9710" s="146"/>
      <c r="D9710" s="496"/>
    </row>
    <row r="9711" spans="1:4" x14ac:dyDescent="0.2">
      <c r="A9711" s="146"/>
      <c r="D9711" s="496"/>
    </row>
    <row r="9712" spans="1:4" x14ac:dyDescent="0.2">
      <c r="A9712" s="146"/>
      <c r="D9712" s="496"/>
    </row>
    <row r="9713" spans="1:4" x14ac:dyDescent="0.2">
      <c r="A9713" s="146"/>
      <c r="D9713" s="496"/>
    </row>
    <row r="9714" spans="1:4" x14ac:dyDescent="0.2">
      <c r="A9714" s="146"/>
      <c r="D9714" s="496"/>
    </row>
    <row r="9715" spans="1:4" x14ac:dyDescent="0.2">
      <c r="A9715" s="146"/>
      <c r="D9715" s="496"/>
    </row>
    <row r="9716" spans="1:4" x14ac:dyDescent="0.2">
      <c r="A9716" s="146"/>
      <c r="D9716" s="496"/>
    </row>
    <row r="9717" spans="1:4" x14ac:dyDescent="0.2">
      <c r="A9717" s="146"/>
      <c r="D9717" s="496"/>
    </row>
    <row r="9718" spans="1:4" x14ac:dyDescent="0.2">
      <c r="A9718" s="146"/>
      <c r="D9718" s="496"/>
    </row>
    <row r="9719" spans="1:4" x14ac:dyDescent="0.2">
      <c r="A9719" s="146"/>
      <c r="D9719" s="496"/>
    </row>
    <row r="9720" spans="1:4" x14ac:dyDescent="0.2">
      <c r="A9720" s="146"/>
      <c r="D9720" s="496"/>
    </row>
    <row r="9721" spans="1:4" x14ac:dyDescent="0.2">
      <c r="A9721" s="146"/>
      <c r="D9721" s="496"/>
    </row>
    <row r="9722" spans="1:4" x14ac:dyDescent="0.2">
      <c r="A9722" s="146"/>
      <c r="D9722" s="496"/>
    </row>
    <row r="9723" spans="1:4" x14ac:dyDescent="0.2">
      <c r="A9723" s="146"/>
      <c r="D9723" s="496"/>
    </row>
    <row r="9724" spans="1:4" x14ac:dyDescent="0.2">
      <c r="A9724" s="146"/>
      <c r="D9724" s="496"/>
    </row>
    <row r="9725" spans="1:4" x14ac:dyDescent="0.2">
      <c r="A9725" s="146"/>
      <c r="D9725" s="496"/>
    </row>
    <row r="9726" spans="1:4" x14ac:dyDescent="0.2">
      <c r="A9726" s="146"/>
      <c r="D9726" s="496"/>
    </row>
    <row r="9727" spans="1:4" x14ac:dyDescent="0.2">
      <c r="A9727" s="146"/>
      <c r="D9727" s="496"/>
    </row>
    <row r="9728" spans="1:4" x14ac:dyDescent="0.2">
      <c r="A9728" s="146"/>
      <c r="D9728" s="496"/>
    </row>
    <row r="9729" spans="1:4" x14ac:dyDescent="0.2">
      <c r="A9729" s="146"/>
      <c r="D9729" s="496"/>
    </row>
    <row r="9730" spans="1:4" x14ac:dyDescent="0.2">
      <c r="A9730" s="146"/>
      <c r="D9730" s="496"/>
    </row>
    <row r="9731" spans="1:4" x14ac:dyDescent="0.2">
      <c r="A9731" s="146"/>
      <c r="D9731" s="496"/>
    </row>
    <row r="9732" spans="1:4" x14ac:dyDescent="0.2">
      <c r="A9732" s="146"/>
      <c r="D9732" s="496"/>
    </row>
    <row r="9733" spans="1:4" x14ac:dyDescent="0.2">
      <c r="A9733" s="146"/>
      <c r="D9733" s="496"/>
    </row>
    <row r="9734" spans="1:4" x14ac:dyDescent="0.2">
      <c r="A9734" s="146"/>
      <c r="D9734" s="496"/>
    </row>
    <row r="9735" spans="1:4" x14ac:dyDescent="0.2">
      <c r="A9735" s="146"/>
      <c r="D9735" s="496"/>
    </row>
    <row r="9736" spans="1:4" x14ac:dyDescent="0.2">
      <c r="A9736" s="146"/>
      <c r="D9736" s="496"/>
    </row>
    <row r="9737" spans="1:4" x14ac:dyDescent="0.2">
      <c r="A9737" s="146"/>
      <c r="D9737" s="496"/>
    </row>
    <row r="9738" spans="1:4" x14ac:dyDescent="0.2">
      <c r="A9738" s="146"/>
      <c r="D9738" s="496"/>
    </row>
    <row r="9739" spans="1:4" x14ac:dyDescent="0.2">
      <c r="A9739" s="146"/>
      <c r="D9739" s="496"/>
    </row>
    <row r="9740" spans="1:4" x14ac:dyDescent="0.2">
      <c r="A9740" s="146"/>
      <c r="D9740" s="496"/>
    </row>
    <row r="9741" spans="1:4" x14ac:dyDescent="0.2">
      <c r="A9741" s="146"/>
      <c r="D9741" s="496"/>
    </row>
    <row r="9742" spans="1:4" x14ac:dyDescent="0.2">
      <c r="A9742" s="146"/>
      <c r="D9742" s="496"/>
    </row>
    <row r="9743" spans="1:4" x14ac:dyDescent="0.2">
      <c r="A9743" s="146"/>
      <c r="D9743" s="496"/>
    </row>
    <row r="9744" spans="1:4" x14ac:dyDescent="0.2">
      <c r="A9744" s="146"/>
      <c r="D9744" s="496"/>
    </row>
    <row r="9745" spans="1:4" x14ac:dyDescent="0.2">
      <c r="A9745" s="146"/>
      <c r="D9745" s="496"/>
    </row>
    <row r="9746" spans="1:4" x14ac:dyDescent="0.2">
      <c r="A9746" s="146"/>
      <c r="D9746" s="496"/>
    </row>
    <row r="9747" spans="1:4" x14ac:dyDescent="0.2">
      <c r="A9747" s="146"/>
      <c r="D9747" s="496"/>
    </row>
    <row r="9748" spans="1:4" x14ac:dyDescent="0.2">
      <c r="A9748" s="146"/>
      <c r="D9748" s="496"/>
    </row>
    <row r="9749" spans="1:4" x14ac:dyDescent="0.2">
      <c r="A9749" s="146"/>
      <c r="D9749" s="496"/>
    </row>
    <row r="9750" spans="1:4" x14ac:dyDescent="0.2">
      <c r="A9750" s="146"/>
      <c r="D9750" s="496"/>
    </row>
    <row r="9751" spans="1:4" x14ac:dyDescent="0.2">
      <c r="A9751" s="146"/>
      <c r="D9751" s="496"/>
    </row>
    <row r="9752" spans="1:4" x14ac:dyDescent="0.2">
      <c r="A9752" s="146"/>
      <c r="D9752" s="496"/>
    </row>
    <row r="9753" spans="1:4" x14ac:dyDescent="0.2">
      <c r="A9753" s="146"/>
      <c r="D9753" s="496"/>
    </row>
    <row r="9754" spans="1:4" x14ac:dyDescent="0.2">
      <c r="A9754" s="146"/>
      <c r="D9754" s="496"/>
    </row>
    <row r="9755" spans="1:4" x14ac:dyDescent="0.2">
      <c r="A9755" s="146"/>
      <c r="D9755" s="496"/>
    </row>
    <row r="9756" spans="1:4" x14ac:dyDescent="0.2">
      <c r="A9756" s="146"/>
      <c r="D9756" s="496"/>
    </row>
    <row r="9757" spans="1:4" x14ac:dyDescent="0.2">
      <c r="A9757" s="146"/>
      <c r="D9757" s="496"/>
    </row>
    <row r="9758" spans="1:4" x14ac:dyDescent="0.2">
      <c r="A9758" s="146"/>
      <c r="D9758" s="496"/>
    </row>
    <row r="9759" spans="1:4" x14ac:dyDescent="0.2">
      <c r="A9759" s="146"/>
      <c r="D9759" s="496"/>
    </row>
    <row r="9760" spans="1:4" x14ac:dyDescent="0.2">
      <c r="A9760" s="146"/>
      <c r="D9760" s="496"/>
    </row>
    <row r="9761" spans="1:4" x14ac:dyDescent="0.2">
      <c r="A9761" s="146"/>
      <c r="D9761" s="496"/>
    </row>
    <row r="9762" spans="1:4" x14ac:dyDescent="0.2">
      <c r="A9762" s="146"/>
      <c r="D9762" s="496"/>
    </row>
    <row r="9763" spans="1:4" x14ac:dyDescent="0.2">
      <c r="A9763" s="146"/>
      <c r="D9763" s="496"/>
    </row>
    <row r="9764" spans="1:4" x14ac:dyDescent="0.2">
      <c r="A9764" s="146"/>
      <c r="D9764" s="496"/>
    </row>
    <row r="9765" spans="1:4" x14ac:dyDescent="0.2">
      <c r="A9765" s="146"/>
      <c r="D9765" s="496"/>
    </row>
    <row r="9766" spans="1:4" x14ac:dyDescent="0.2">
      <c r="A9766" s="146"/>
      <c r="D9766" s="496"/>
    </row>
    <row r="9767" spans="1:4" x14ac:dyDescent="0.2">
      <c r="A9767" s="146"/>
      <c r="D9767" s="496"/>
    </row>
    <row r="9768" spans="1:4" x14ac:dyDescent="0.2">
      <c r="A9768" s="146"/>
      <c r="D9768" s="496"/>
    </row>
    <row r="9769" spans="1:4" x14ac:dyDescent="0.2">
      <c r="A9769" s="146"/>
      <c r="D9769" s="496"/>
    </row>
    <row r="9770" spans="1:4" x14ac:dyDescent="0.2">
      <c r="A9770" s="146"/>
      <c r="D9770" s="496"/>
    </row>
    <row r="9771" spans="1:4" x14ac:dyDescent="0.2">
      <c r="A9771" s="146"/>
      <c r="D9771" s="496"/>
    </row>
    <row r="9772" spans="1:4" x14ac:dyDescent="0.2">
      <c r="A9772" s="146"/>
      <c r="D9772" s="496"/>
    </row>
    <row r="9773" spans="1:4" x14ac:dyDescent="0.2">
      <c r="A9773" s="146"/>
      <c r="D9773" s="496"/>
    </row>
    <row r="9774" spans="1:4" x14ac:dyDescent="0.2">
      <c r="A9774" s="146"/>
      <c r="D9774" s="496"/>
    </row>
    <row r="9775" spans="1:4" x14ac:dyDescent="0.2">
      <c r="A9775" s="146"/>
      <c r="D9775" s="496"/>
    </row>
    <row r="9776" spans="1:4" x14ac:dyDescent="0.2">
      <c r="A9776" s="146"/>
      <c r="D9776" s="496"/>
    </row>
    <row r="9777" spans="1:4" x14ac:dyDescent="0.2">
      <c r="A9777" s="146"/>
      <c r="D9777" s="496"/>
    </row>
    <row r="9778" spans="1:4" x14ac:dyDescent="0.2">
      <c r="A9778" s="146"/>
      <c r="D9778" s="496"/>
    </row>
    <row r="9779" spans="1:4" x14ac:dyDescent="0.2">
      <c r="A9779" s="146"/>
      <c r="D9779" s="496"/>
    </row>
    <row r="9780" spans="1:4" x14ac:dyDescent="0.2">
      <c r="A9780" s="146"/>
      <c r="D9780" s="496"/>
    </row>
    <row r="9781" spans="1:4" x14ac:dyDescent="0.2">
      <c r="A9781" s="146"/>
      <c r="D9781" s="496"/>
    </row>
    <row r="9782" spans="1:4" x14ac:dyDescent="0.2">
      <c r="A9782" s="146"/>
      <c r="D9782" s="496"/>
    </row>
    <row r="9783" spans="1:4" x14ac:dyDescent="0.2">
      <c r="A9783" s="146"/>
      <c r="D9783" s="496"/>
    </row>
    <row r="9784" spans="1:4" x14ac:dyDescent="0.2">
      <c r="A9784" s="146"/>
      <c r="D9784" s="496"/>
    </row>
    <row r="9785" spans="1:4" x14ac:dyDescent="0.2">
      <c r="A9785" s="146"/>
      <c r="D9785" s="496"/>
    </row>
    <row r="9786" spans="1:4" x14ac:dyDescent="0.2">
      <c r="A9786" s="146"/>
      <c r="D9786" s="496"/>
    </row>
    <row r="9787" spans="1:4" x14ac:dyDescent="0.2">
      <c r="A9787" s="146"/>
      <c r="D9787" s="496"/>
    </row>
    <row r="9788" spans="1:4" x14ac:dyDescent="0.2">
      <c r="A9788" s="146"/>
      <c r="D9788" s="496"/>
    </row>
    <row r="9789" spans="1:4" x14ac:dyDescent="0.2">
      <c r="A9789" s="146"/>
      <c r="D9789" s="496"/>
    </row>
    <row r="9790" spans="1:4" x14ac:dyDescent="0.2">
      <c r="A9790" s="146"/>
      <c r="D9790" s="496"/>
    </row>
    <row r="9791" spans="1:4" x14ac:dyDescent="0.2">
      <c r="A9791" s="146"/>
      <c r="D9791" s="496"/>
    </row>
    <row r="9792" spans="1:4" x14ac:dyDescent="0.2">
      <c r="A9792" s="146"/>
      <c r="D9792" s="496"/>
    </row>
    <row r="9793" spans="1:4" x14ac:dyDescent="0.2">
      <c r="A9793" s="146"/>
      <c r="D9793" s="496"/>
    </row>
    <row r="9794" spans="1:4" x14ac:dyDescent="0.2">
      <c r="A9794" s="146"/>
      <c r="D9794" s="496"/>
    </row>
    <row r="9795" spans="1:4" x14ac:dyDescent="0.2">
      <c r="A9795" s="146"/>
      <c r="D9795" s="496"/>
    </row>
    <row r="9796" spans="1:4" x14ac:dyDescent="0.2">
      <c r="A9796" s="146"/>
      <c r="D9796" s="496"/>
    </row>
    <row r="9797" spans="1:4" x14ac:dyDescent="0.2">
      <c r="A9797" s="146"/>
      <c r="D9797" s="496"/>
    </row>
    <row r="9798" spans="1:4" x14ac:dyDescent="0.2">
      <c r="A9798" s="146"/>
      <c r="D9798" s="496"/>
    </row>
    <row r="9799" spans="1:4" x14ac:dyDescent="0.2">
      <c r="A9799" s="146"/>
      <c r="D9799" s="496"/>
    </row>
    <row r="9800" spans="1:4" x14ac:dyDescent="0.2">
      <c r="A9800" s="146"/>
      <c r="D9800" s="496"/>
    </row>
    <row r="9801" spans="1:4" x14ac:dyDescent="0.2">
      <c r="A9801" s="146"/>
      <c r="D9801" s="496"/>
    </row>
    <row r="9802" spans="1:4" x14ac:dyDescent="0.2">
      <c r="A9802" s="146"/>
      <c r="D9802" s="496"/>
    </row>
    <row r="9803" spans="1:4" x14ac:dyDescent="0.2">
      <c r="A9803" s="146"/>
      <c r="D9803" s="496"/>
    </row>
    <row r="9804" spans="1:4" x14ac:dyDescent="0.2">
      <c r="A9804" s="146"/>
      <c r="D9804" s="496"/>
    </row>
    <row r="9805" spans="1:4" x14ac:dyDescent="0.2">
      <c r="A9805" s="146"/>
      <c r="D9805" s="496"/>
    </row>
    <row r="9806" spans="1:4" x14ac:dyDescent="0.2">
      <c r="A9806" s="146"/>
      <c r="D9806" s="496"/>
    </row>
    <row r="9807" spans="1:4" x14ac:dyDescent="0.2">
      <c r="A9807" s="146"/>
      <c r="D9807" s="496"/>
    </row>
    <row r="9808" spans="1:4" x14ac:dyDescent="0.2">
      <c r="A9808" s="146"/>
      <c r="D9808" s="496"/>
    </row>
    <row r="9809" spans="1:4" x14ac:dyDescent="0.2">
      <c r="A9809" s="146"/>
      <c r="D9809" s="496"/>
    </row>
    <row r="9810" spans="1:4" x14ac:dyDescent="0.2">
      <c r="A9810" s="146"/>
      <c r="D9810" s="496"/>
    </row>
    <row r="9811" spans="1:4" x14ac:dyDescent="0.2">
      <c r="A9811" s="146"/>
      <c r="D9811" s="496"/>
    </row>
    <row r="9812" spans="1:4" x14ac:dyDescent="0.2">
      <c r="A9812" s="146"/>
      <c r="D9812" s="496"/>
    </row>
    <row r="9813" spans="1:4" x14ac:dyDescent="0.2">
      <c r="A9813" s="146"/>
      <c r="D9813" s="496"/>
    </row>
    <row r="9814" spans="1:4" x14ac:dyDescent="0.2">
      <c r="A9814" s="146"/>
      <c r="D9814" s="496"/>
    </row>
    <row r="9815" spans="1:4" x14ac:dyDescent="0.2">
      <c r="A9815" s="146"/>
      <c r="D9815" s="496"/>
    </row>
    <row r="9816" spans="1:4" x14ac:dyDescent="0.2">
      <c r="A9816" s="146"/>
      <c r="D9816" s="496"/>
    </row>
    <row r="9817" spans="1:4" x14ac:dyDescent="0.2">
      <c r="A9817" s="146"/>
      <c r="D9817" s="496"/>
    </row>
    <row r="9818" spans="1:4" x14ac:dyDescent="0.2">
      <c r="A9818" s="146"/>
      <c r="D9818" s="496"/>
    </row>
    <row r="9819" spans="1:4" x14ac:dyDescent="0.2">
      <c r="A9819" s="146"/>
      <c r="D9819" s="496"/>
    </row>
    <row r="9820" spans="1:4" x14ac:dyDescent="0.2">
      <c r="A9820" s="146"/>
      <c r="D9820" s="496"/>
    </row>
    <row r="9821" spans="1:4" x14ac:dyDescent="0.2">
      <c r="A9821" s="146"/>
      <c r="D9821" s="496"/>
    </row>
    <row r="9822" spans="1:4" x14ac:dyDescent="0.2">
      <c r="A9822" s="146"/>
      <c r="D9822" s="496"/>
    </row>
    <row r="9823" spans="1:4" x14ac:dyDescent="0.2">
      <c r="A9823" s="146"/>
      <c r="D9823" s="496"/>
    </row>
    <row r="9824" spans="1:4" x14ac:dyDescent="0.2">
      <c r="A9824" s="146"/>
      <c r="D9824" s="496"/>
    </row>
    <row r="9825" spans="1:4" x14ac:dyDescent="0.2">
      <c r="A9825" s="146"/>
      <c r="D9825" s="496"/>
    </row>
    <row r="9826" spans="1:4" x14ac:dyDescent="0.2">
      <c r="A9826" s="146"/>
      <c r="D9826" s="496"/>
    </row>
    <row r="9827" spans="1:4" x14ac:dyDescent="0.2">
      <c r="A9827" s="146"/>
      <c r="D9827" s="496"/>
    </row>
    <row r="9828" spans="1:4" x14ac:dyDescent="0.2">
      <c r="A9828" s="146"/>
      <c r="D9828" s="496"/>
    </row>
    <row r="9829" spans="1:4" x14ac:dyDescent="0.2">
      <c r="A9829" s="146"/>
      <c r="D9829" s="496"/>
    </row>
    <row r="9830" spans="1:4" x14ac:dyDescent="0.2">
      <c r="A9830" s="146"/>
      <c r="D9830" s="496"/>
    </row>
    <row r="9831" spans="1:4" x14ac:dyDescent="0.2">
      <c r="A9831" s="146"/>
      <c r="D9831" s="496"/>
    </row>
    <row r="9832" spans="1:4" x14ac:dyDescent="0.2">
      <c r="A9832" s="146"/>
      <c r="D9832" s="496"/>
    </row>
    <row r="9833" spans="1:4" x14ac:dyDescent="0.2">
      <c r="A9833" s="146"/>
      <c r="D9833" s="496"/>
    </row>
    <row r="9834" spans="1:4" x14ac:dyDescent="0.2">
      <c r="A9834" s="146"/>
      <c r="D9834" s="496"/>
    </row>
    <row r="9835" spans="1:4" x14ac:dyDescent="0.2">
      <c r="A9835" s="146"/>
      <c r="D9835" s="496"/>
    </row>
    <row r="9836" spans="1:4" x14ac:dyDescent="0.2">
      <c r="A9836" s="146"/>
      <c r="D9836" s="496"/>
    </row>
    <row r="9837" spans="1:4" x14ac:dyDescent="0.2">
      <c r="A9837" s="146"/>
      <c r="D9837" s="496"/>
    </row>
    <row r="9838" spans="1:4" x14ac:dyDescent="0.2">
      <c r="A9838" s="146"/>
      <c r="D9838" s="496"/>
    </row>
    <row r="9839" spans="1:4" x14ac:dyDescent="0.2">
      <c r="A9839" s="146"/>
      <c r="D9839" s="496"/>
    </row>
    <row r="9840" spans="1:4" x14ac:dyDescent="0.2">
      <c r="A9840" s="146"/>
      <c r="D9840" s="496"/>
    </row>
    <row r="9841" spans="1:4" x14ac:dyDescent="0.2">
      <c r="A9841" s="146"/>
      <c r="D9841" s="496"/>
    </row>
    <row r="9842" spans="1:4" x14ac:dyDescent="0.2">
      <c r="A9842" s="146"/>
      <c r="D9842" s="496"/>
    </row>
    <row r="9843" spans="1:4" x14ac:dyDescent="0.2">
      <c r="A9843" s="146"/>
      <c r="D9843" s="496"/>
    </row>
    <row r="9844" spans="1:4" x14ac:dyDescent="0.2">
      <c r="A9844" s="146"/>
      <c r="D9844" s="496"/>
    </row>
    <row r="9845" spans="1:4" x14ac:dyDescent="0.2">
      <c r="A9845" s="146"/>
      <c r="D9845" s="496"/>
    </row>
    <row r="9846" spans="1:4" x14ac:dyDescent="0.2">
      <c r="A9846" s="146"/>
      <c r="D9846" s="496"/>
    </row>
    <row r="9847" spans="1:4" x14ac:dyDescent="0.2">
      <c r="A9847" s="146"/>
      <c r="D9847" s="496"/>
    </row>
    <row r="9848" spans="1:4" x14ac:dyDescent="0.2">
      <c r="A9848" s="146"/>
      <c r="D9848" s="496"/>
    </row>
    <row r="9849" spans="1:4" x14ac:dyDescent="0.2">
      <c r="A9849" s="146"/>
      <c r="D9849" s="496"/>
    </row>
    <row r="9850" spans="1:4" x14ac:dyDescent="0.2">
      <c r="A9850" s="146"/>
      <c r="D9850" s="496"/>
    </row>
    <row r="9851" spans="1:4" x14ac:dyDescent="0.2">
      <c r="A9851" s="146"/>
      <c r="D9851" s="496"/>
    </row>
    <row r="9852" spans="1:4" x14ac:dyDescent="0.2">
      <c r="A9852" s="146"/>
      <c r="D9852" s="496"/>
    </row>
    <row r="9853" spans="1:4" x14ac:dyDescent="0.2">
      <c r="A9853" s="146"/>
      <c r="D9853" s="496"/>
    </row>
    <row r="9854" spans="1:4" x14ac:dyDescent="0.2">
      <c r="A9854" s="146"/>
      <c r="D9854" s="496"/>
    </row>
    <row r="9855" spans="1:4" x14ac:dyDescent="0.2">
      <c r="A9855" s="146"/>
      <c r="D9855" s="496"/>
    </row>
    <row r="9856" spans="1:4" x14ac:dyDescent="0.2">
      <c r="A9856" s="146"/>
      <c r="D9856" s="496"/>
    </row>
    <row r="9857" spans="1:4" x14ac:dyDescent="0.2">
      <c r="A9857" s="146"/>
      <c r="D9857" s="496"/>
    </row>
    <row r="9858" spans="1:4" x14ac:dyDescent="0.2">
      <c r="A9858" s="146"/>
      <c r="D9858" s="496"/>
    </row>
    <row r="9859" spans="1:4" x14ac:dyDescent="0.2">
      <c r="A9859" s="146"/>
      <c r="D9859" s="496"/>
    </row>
    <row r="9860" spans="1:4" x14ac:dyDescent="0.2">
      <c r="A9860" s="146"/>
      <c r="D9860" s="496"/>
    </row>
    <row r="9861" spans="1:4" x14ac:dyDescent="0.2">
      <c r="A9861" s="146"/>
      <c r="D9861" s="496"/>
    </row>
    <row r="9862" spans="1:4" x14ac:dyDescent="0.2">
      <c r="A9862" s="146"/>
      <c r="D9862" s="496"/>
    </row>
    <row r="9863" spans="1:4" x14ac:dyDescent="0.2">
      <c r="A9863" s="146"/>
      <c r="D9863" s="496"/>
    </row>
    <row r="9864" spans="1:4" x14ac:dyDescent="0.2">
      <c r="A9864" s="146"/>
      <c r="D9864" s="496"/>
    </row>
    <row r="9865" spans="1:4" x14ac:dyDescent="0.2">
      <c r="A9865" s="146"/>
      <c r="D9865" s="496"/>
    </row>
    <row r="9866" spans="1:4" x14ac:dyDescent="0.2">
      <c r="A9866" s="146"/>
      <c r="D9866" s="496"/>
    </row>
    <row r="9867" spans="1:4" x14ac:dyDescent="0.2">
      <c r="A9867" s="146"/>
      <c r="D9867" s="496"/>
    </row>
    <row r="9868" spans="1:4" x14ac:dyDescent="0.2">
      <c r="A9868" s="146"/>
      <c r="D9868" s="496"/>
    </row>
    <row r="9869" spans="1:4" x14ac:dyDescent="0.2">
      <c r="A9869" s="146"/>
      <c r="D9869" s="496"/>
    </row>
    <row r="9870" spans="1:4" x14ac:dyDescent="0.2">
      <c r="A9870" s="146"/>
      <c r="D9870" s="496"/>
    </row>
    <row r="9871" spans="1:4" x14ac:dyDescent="0.2">
      <c r="A9871" s="146"/>
      <c r="D9871" s="496"/>
    </row>
    <row r="9872" spans="1:4" x14ac:dyDescent="0.2">
      <c r="A9872" s="146"/>
      <c r="D9872" s="496"/>
    </row>
    <row r="9873" spans="1:4" x14ac:dyDescent="0.2">
      <c r="A9873" s="146"/>
      <c r="D9873" s="496"/>
    </row>
    <row r="9874" spans="1:4" x14ac:dyDescent="0.2">
      <c r="A9874" s="146"/>
      <c r="D9874" s="496"/>
    </row>
    <row r="9875" spans="1:4" x14ac:dyDescent="0.2">
      <c r="A9875" s="146"/>
      <c r="D9875" s="496"/>
    </row>
    <row r="9876" spans="1:4" x14ac:dyDescent="0.2">
      <c r="A9876" s="146"/>
      <c r="D9876" s="496"/>
    </row>
    <row r="9877" spans="1:4" x14ac:dyDescent="0.2">
      <c r="A9877" s="146"/>
      <c r="D9877" s="496"/>
    </row>
    <row r="9878" spans="1:4" x14ac:dyDescent="0.2">
      <c r="A9878" s="146"/>
      <c r="D9878" s="496"/>
    </row>
    <row r="9879" spans="1:4" x14ac:dyDescent="0.2">
      <c r="A9879" s="146"/>
      <c r="D9879" s="496"/>
    </row>
    <row r="9880" spans="1:4" x14ac:dyDescent="0.2">
      <c r="A9880" s="146"/>
      <c r="D9880" s="496"/>
    </row>
    <row r="9881" spans="1:4" x14ac:dyDescent="0.2">
      <c r="A9881" s="146"/>
      <c r="D9881" s="496"/>
    </row>
    <row r="9882" spans="1:4" x14ac:dyDescent="0.2">
      <c r="A9882" s="146"/>
      <c r="D9882" s="496"/>
    </row>
    <row r="9883" spans="1:4" x14ac:dyDescent="0.2">
      <c r="A9883" s="146"/>
      <c r="D9883" s="496"/>
    </row>
    <row r="9884" spans="1:4" x14ac:dyDescent="0.2">
      <c r="A9884" s="146"/>
      <c r="D9884" s="496"/>
    </row>
    <row r="9885" spans="1:4" x14ac:dyDescent="0.2">
      <c r="A9885" s="146"/>
      <c r="D9885" s="496"/>
    </row>
    <row r="9886" spans="1:4" x14ac:dyDescent="0.2">
      <c r="A9886" s="146"/>
      <c r="D9886" s="496"/>
    </row>
    <row r="9887" spans="1:4" x14ac:dyDescent="0.2">
      <c r="A9887" s="146"/>
      <c r="D9887" s="496"/>
    </row>
    <row r="9888" spans="1:4" x14ac:dyDescent="0.2">
      <c r="A9888" s="146"/>
      <c r="D9888" s="496"/>
    </row>
    <row r="9889" spans="1:4" x14ac:dyDescent="0.2">
      <c r="A9889" s="146"/>
      <c r="D9889" s="496"/>
    </row>
    <row r="9890" spans="1:4" x14ac:dyDescent="0.2">
      <c r="A9890" s="146"/>
      <c r="D9890" s="496"/>
    </row>
    <row r="9891" spans="1:4" x14ac:dyDescent="0.2">
      <c r="A9891" s="146"/>
      <c r="D9891" s="496"/>
    </row>
    <row r="9892" spans="1:4" x14ac:dyDescent="0.2">
      <c r="A9892" s="146"/>
      <c r="D9892" s="496"/>
    </row>
    <row r="9893" spans="1:4" x14ac:dyDescent="0.2">
      <c r="A9893" s="146"/>
      <c r="D9893" s="496"/>
    </row>
    <row r="9894" spans="1:4" x14ac:dyDescent="0.2">
      <c r="A9894" s="146"/>
      <c r="D9894" s="496"/>
    </row>
    <row r="9895" spans="1:4" x14ac:dyDescent="0.2">
      <c r="A9895" s="146"/>
      <c r="D9895" s="496"/>
    </row>
    <row r="9896" spans="1:4" x14ac:dyDescent="0.2">
      <c r="A9896" s="146"/>
      <c r="D9896" s="496"/>
    </row>
    <row r="9897" spans="1:4" x14ac:dyDescent="0.2">
      <c r="A9897" s="146"/>
      <c r="D9897" s="496"/>
    </row>
    <row r="9898" spans="1:4" x14ac:dyDescent="0.2">
      <c r="A9898" s="146"/>
      <c r="D9898" s="496"/>
    </row>
    <row r="9899" spans="1:4" x14ac:dyDescent="0.2">
      <c r="A9899" s="146"/>
      <c r="D9899" s="496"/>
    </row>
    <row r="9900" spans="1:4" x14ac:dyDescent="0.2">
      <c r="A9900" s="146"/>
      <c r="D9900" s="496"/>
    </row>
    <row r="9901" spans="1:4" x14ac:dyDescent="0.2">
      <c r="A9901" s="146"/>
      <c r="D9901" s="496"/>
    </row>
    <row r="9902" spans="1:4" x14ac:dyDescent="0.2">
      <c r="A9902" s="146"/>
      <c r="D9902" s="496"/>
    </row>
    <row r="9903" spans="1:4" x14ac:dyDescent="0.2">
      <c r="A9903" s="146"/>
      <c r="D9903" s="496"/>
    </row>
    <row r="9904" spans="1:4" x14ac:dyDescent="0.2">
      <c r="A9904" s="146"/>
      <c r="D9904" s="496"/>
    </row>
    <row r="9905" spans="1:4" x14ac:dyDescent="0.2">
      <c r="A9905" s="146"/>
      <c r="D9905" s="496"/>
    </row>
    <row r="9906" spans="1:4" x14ac:dyDescent="0.2">
      <c r="A9906" s="146"/>
      <c r="D9906" s="496"/>
    </row>
    <row r="9907" spans="1:4" x14ac:dyDescent="0.2">
      <c r="A9907" s="146"/>
      <c r="D9907" s="496"/>
    </row>
    <row r="9908" spans="1:4" x14ac:dyDescent="0.2">
      <c r="A9908" s="146"/>
      <c r="D9908" s="496"/>
    </row>
    <row r="9909" spans="1:4" x14ac:dyDescent="0.2">
      <c r="A9909" s="146"/>
      <c r="D9909" s="496"/>
    </row>
    <row r="9910" spans="1:4" x14ac:dyDescent="0.2">
      <c r="A9910" s="146"/>
      <c r="D9910" s="496"/>
    </row>
    <row r="9911" spans="1:4" x14ac:dyDescent="0.2">
      <c r="A9911" s="146"/>
      <c r="D9911" s="496"/>
    </row>
    <row r="9912" spans="1:4" x14ac:dyDescent="0.2">
      <c r="A9912" s="146"/>
      <c r="D9912" s="496"/>
    </row>
    <row r="9913" spans="1:4" x14ac:dyDescent="0.2">
      <c r="A9913" s="146"/>
      <c r="D9913" s="496"/>
    </row>
    <row r="9914" spans="1:4" x14ac:dyDescent="0.2">
      <c r="A9914" s="146"/>
      <c r="D9914" s="496"/>
    </row>
    <row r="9915" spans="1:4" x14ac:dyDescent="0.2">
      <c r="A9915" s="146"/>
      <c r="D9915" s="496"/>
    </row>
    <row r="9916" spans="1:4" x14ac:dyDescent="0.2">
      <c r="A9916" s="146"/>
      <c r="D9916" s="496"/>
    </row>
    <row r="9917" spans="1:4" x14ac:dyDescent="0.2">
      <c r="A9917" s="146"/>
      <c r="D9917" s="496"/>
    </row>
    <row r="9918" spans="1:4" x14ac:dyDescent="0.2">
      <c r="A9918" s="146"/>
      <c r="D9918" s="496"/>
    </row>
    <row r="9919" spans="1:4" x14ac:dyDescent="0.2">
      <c r="A9919" s="146"/>
      <c r="D9919" s="496"/>
    </row>
    <row r="9920" spans="1:4" x14ac:dyDescent="0.2">
      <c r="A9920" s="146"/>
      <c r="D9920" s="496"/>
    </row>
    <row r="9921" spans="1:4" x14ac:dyDescent="0.2">
      <c r="A9921" s="146"/>
      <c r="D9921" s="496"/>
    </row>
    <row r="9922" spans="1:4" x14ac:dyDescent="0.2">
      <c r="A9922" s="146"/>
      <c r="D9922" s="496"/>
    </row>
    <row r="9923" spans="1:4" x14ac:dyDescent="0.2">
      <c r="A9923" s="146"/>
      <c r="D9923" s="496"/>
    </row>
    <row r="9924" spans="1:4" x14ac:dyDescent="0.2">
      <c r="A9924" s="146"/>
      <c r="D9924" s="496"/>
    </row>
    <row r="9925" spans="1:4" x14ac:dyDescent="0.2">
      <c r="A9925" s="146"/>
      <c r="D9925" s="496"/>
    </row>
    <row r="9926" spans="1:4" x14ac:dyDescent="0.2">
      <c r="A9926" s="146"/>
      <c r="D9926" s="496"/>
    </row>
    <row r="9927" spans="1:4" x14ac:dyDescent="0.2">
      <c r="A9927" s="146"/>
      <c r="D9927" s="496"/>
    </row>
    <row r="9928" spans="1:4" x14ac:dyDescent="0.2">
      <c r="A9928" s="146"/>
      <c r="D9928" s="496"/>
    </row>
    <row r="9929" spans="1:4" x14ac:dyDescent="0.2">
      <c r="A9929" s="146"/>
      <c r="D9929" s="496"/>
    </row>
    <row r="9930" spans="1:4" x14ac:dyDescent="0.2">
      <c r="A9930" s="146"/>
      <c r="D9930" s="496"/>
    </row>
    <row r="9931" spans="1:4" x14ac:dyDescent="0.2">
      <c r="A9931" s="146"/>
      <c r="D9931" s="496"/>
    </row>
    <row r="9932" spans="1:4" x14ac:dyDescent="0.2">
      <c r="A9932" s="146"/>
      <c r="D9932" s="496"/>
    </row>
    <row r="9933" spans="1:4" x14ac:dyDescent="0.2">
      <c r="A9933" s="146"/>
      <c r="D9933" s="496"/>
    </row>
    <row r="9934" spans="1:4" x14ac:dyDescent="0.2">
      <c r="A9934" s="146"/>
      <c r="D9934" s="496"/>
    </row>
    <row r="9935" spans="1:4" x14ac:dyDescent="0.2">
      <c r="A9935" s="146"/>
      <c r="D9935" s="496"/>
    </row>
    <row r="9936" spans="1:4" x14ac:dyDescent="0.2">
      <c r="A9936" s="146"/>
      <c r="D9936" s="496"/>
    </row>
    <row r="9937" spans="1:4" x14ac:dyDescent="0.2">
      <c r="A9937" s="146"/>
      <c r="D9937" s="496"/>
    </row>
    <row r="9938" spans="1:4" x14ac:dyDescent="0.2">
      <c r="A9938" s="146"/>
      <c r="D9938" s="496"/>
    </row>
    <row r="9939" spans="1:4" x14ac:dyDescent="0.2">
      <c r="A9939" s="146"/>
      <c r="D9939" s="496"/>
    </row>
    <row r="9940" spans="1:4" x14ac:dyDescent="0.2">
      <c r="A9940" s="146"/>
      <c r="D9940" s="496"/>
    </row>
    <row r="9941" spans="1:4" x14ac:dyDescent="0.2">
      <c r="A9941" s="146"/>
      <c r="D9941" s="496"/>
    </row>
    <row r="9942" spans="1:4" x14ac:dyDescent="0.2">
      <c r="A9942" s="146"/>
      <c r="D9942" s="496"/>
    </row>
    <row r="9943" spans="1:4" x14ac:dyDescent="0.2">
      <c r="A9943" s="146"/>
      <c r="D9943" s="496"/>
    </row>
    <row r="9944" spans="1:4" x14ac:dyDescent="0.2">
      <c r="A9944" s="146"/>
      <c r="D9944" s="496"/>
    </row>
    <row r="9945" spans="1:4" x14ac:dyDescent="0.2">
      <c r="A9945" s="146"/>
      <c r="D9945" s="496"/>
    </row>
    <row r="9946" spans="1:4" x14ac:dyDescent="0.2">
      <c r="A9946" s="146"/>
      <c r="D9946" s="496"/>
    </row>
    <row r="9947" spans="1:4" x14ac:dyDescent="0.2">
      <c r="A9947" s="146"/>
      <c r="D9947" s="496"/>
    </row>
    <row r="9948" spans="1:4" x14ac:dyDescent="0.2">
      <c r="A9948" s="146"/>
      <c r="D9948" s="496"/>
    </row>
    <row r="9949" spans="1:4" x14ac:dyDescent="0.2">
      <c r="A9949" s="146"/>
      <c r="D9949" s="496"/>
    </row>
    <row r="9950" spans="1:4" x14ac:dyDescent="0.2">
      <c r="A9950" s="146"/>
      <c r="D9950" s="496"/>
    </row>
    <row r="9951" spans="1:4" x14ac:dyDescent="0.2">
      <c r="A9951" s="146"/>
      <c r="D9951" s="496"/>
    </row>
    <row r="9952" spans="1:4" x14ac:dyDescent="0.2">
      <c r="A9952" s="146"/>
      <c r="D9952" s="496"/>
    </row>
    <row r="9953" spans="1:4" x14ac:dyDescent="0.2">
      <c r="A9953" s="146"/>
      <c r="D9953" s="496"/>
    </row>
    <row r="9954" spans="1:4" x14ac:dyDescent="0.2">
      <c r="A9954" s="146"/>
      <c r="D9954" s="496"/>
    </row>
    <row r="9955" spans="1:4" x14ac:dyDescent="0.2">
      <c r="A9955" s="146"/>
      <c r="D9955" s="496"/>
    </row>
    <row r="9956" spans="1:4" x14ac:dyDescent="0.2">
      <c r="A9956" s="146"/>
      <c r="D9956" s="496"/>
    </row>
    <row r="9957" spans="1:4" x14ac:dyDescent="0.2">
      <c r="A9957" s="146"/>
      <c r="D9957" s="496"/>
    </row>
    <row r="9958" spans="1:4" x14ac:dyDescent="0.2">
      <c r="A9958" s="146"/>
      <c r="D9958" s="496"/>
    </row>
    <row r="9959" spans="1:4" x14ac:dyDescent="0.2">
      <c r="A9959" s="146"/>
      <c r="D9959" s="496"/>
    </row>
    <row r="9960" spans="1:4" x14ac:dyDescent="0.2">
      <c r="A9960" s="146"/>
      <c r="D9960" s="496"/>
    </row>
    <row r="9961" spans="1:4" x14ac:dyDescent="0.2">
      <c r="A9961" s="146"/>
      <c r="D9961" s="496"/>
    </row>
    <row r="9962" spans="1:4" x14ac:dyDescent="0.2">
      <c r="A9962" s="146"/>
      <c r="D9962" s="496"/>
    </row>
    <row r="9963" spans="1:4" x14ac:dyDescent="0.2">
      <c r="A9963" s="146"/>
      <c r="D9963" s="496"/>
    </row>
    <row r="9964" spans="1:4" x14ac:dyDescent="0.2">
      <c r="A9964" s="146"/>
      <c r="D9964" s="496"/>
    </row>
    <row r="9965" spans="1:4" x14ac:dyDescent="0.2">
      <c r="A9965" s="146"/>
      <c r="D9965" s="496"/>
    </row>
    <row r="9966" spans="1:4" x14ac:dyDescent="0.2">
      <c r="A9966" s="146"/>
      <c r="D9966" s="496"/>
    </row>
    <row r="9967" spans="1:4" x14ac:dyDescent="0.2">
      <c r="A9967" s="146"/>
      <c r="D9967" s="496"/>
    </row>
    <row r="9968" spans="1:4" x14ac:dyDescent="0.2">
      <c r="A9968" s="146"/>
      <c r="D9968" s="496"/>
    </row>
    <row r="9969" spans="1:4" x14ac:dyDescent="0.2">
      <c r="A9969" s="146"/>
      <c r="D9969" s="496"/>
    </row>
    <row r="9970" spans="1:4" x14ac:dyDescent="0.2">
      <c r="A9970" s="146"/>
      <c r="D9970" s="496"/>
    </row>
    <row r="9971" spans="1:4" x14ac:dyDescent="0.2">
      <c r="A9971" s="146"/>
      <c r="D9971" s="496"/>
    </row>
    <row r="9972" spans="1:4" x14ac:dyDescent="0.2">
      <c r="A9972" s="146"/>
      <c r="D9972" s="496"/>
    </row>
    <row r="9973" spans="1:4" x14ac:dyDescent="0.2">
      <c r="A9973" s="146"/>
      <c r="D9973" s="496"/>
    </row>
    <row r="9974" spans="1:4" x14ac:dyDescent="0.2">
      <c r="A9974" s="146"/>
      <c r="D9974" s="496"/>
    </row>
    <row r="9975" spans="1:4" x14ac:dyDescent="0.2">
      <c r="A9975" s="146"/>
      <c r="D9975" s="496"/>
    </row>
    <row r="9976" spans="1:4" x14ac:dyDescent="0.2">
      <c r="A9976" s="146"/>
      <c r="D9976" s="496"/>
    </row>
    <row r="9977" spans="1:4" x14ac:dyDescent="0.2">
      <c r="A9977" s="146"/>
      <c r="D9977" s="496"/>
    </row>
    <row r="9978" spans="1:4" x14ac:dyDescent="0.2">
      <c r="A9978" s="146"/>
      <c r="D9978" s="496"/>
    </row>
    <row r="9979" spans="1:4" x14ac:dyDescent="0.2">
      <c r="A9979" s="146"/>
      <c r="D9979" s="496"/>
    </row>
    <row r="9980" spans="1:4" x14ac:dyDescent="0.2">
      <c r="A9980" s="146"/>
      <c r="D9980" s="496"/>
    </row>
    <row r="9981" spans="1:4" x14ac:dyDescent="0.2">
      <c r="A9981" s="146"/>
      <c r="D9981" s="496"/>
    </row>
    <row r="9982" spans="1:4" x14ac:dyDescent="0.2">
      <c r="A9982" s="146"/>
      <c r="D9982" s="496"/>
    </row>
    <row r="9983" spans="1:4" x14ac:dyDescent="0.2">
      <c r="A9983" s="146"/>
      <c r="D9983" s="496"/>
    </row>
    <row r="9984" spans="1:4" x14ac:dyDescent="0.2">
      <c r="A9984" s="146"/>
      <c r="D9984" s="496"/>
    </row>
    <row r="9985" spans="1:4" x14ac:dyDescent="0.2">
      <c r="A9985" s="146"/>
      <c r="D9985" s="496"/>
    </row>
    <row r="9986" spans="1:4" x14ac:dyDescent="0.2">
      <c r="A9986" s="146"/>
      <c r="D9986" s="496"/>
    </row>
    <row r="9987" spans="1:4" x14ac:dyDescent="0.2">
      <c r="A9987" s="146"/>
      <c r="D9987" s="496"/>
    </row>
    <row r="9988" spans="1:4" x14ac:dyDescent="0.2">
      <c r="A9988" s="146"/>
      <c r="D9988" s="496"/>
    </row>
    <row r="9989" spans="1:4" x14ac:dyDescent="0.2">
      <c r="A9989" s="146"/>
      <c r="D9989" s="496"/>
    </row>
    <row r="9990" spans="1:4" x14ac:dyDescent="0.2">
      <c r="A9990" s="146"/>
      <c r="D9990" s="496"/>
    </row>
    <row r="9991" spans="1:4" x14ac:dyDescent="0.2">
      <c r="A9991" s="146"/>
      <c r="D9991" s="496"/>
    </row>
    <row r="9992" spans="1:4" x14ac:dyDescent="0.2">
      <c r="A9992" s="146"/>
      <c r="D9992" s="496"/>
    </row>
    <row r="9993" spans="1:4" x14ac:dyDescent="0.2">
      <c r="A9993" s="146"/>
      <c r="D9993" s="496"/>
    </row>
    <row r="9994" spans="1:4" x14ac:dyDescent="0.2">
      <c r="A9994" s="146"/>
      <c r="D9994" s="496"/>
    </row>
    <row r="9995" spans="1:4" x14ac:dyDescent="0.2">
      <c r="A9995" s="146"/>
      <c r="D9995" s="496"/>
    </row>
    <row r="9996" spans="1:4" x14ac:dyDescent="0.2">
      <c r="A9996" s="146"/>
      <c r="D9996" s="496"/>
    </row>
    <row r="9997" spans="1:4" x14ac:dyDescent="0.2">
      <c r="A9997" s="146"/>
      <c r="D9997" s="496"/>
    </row>
    <row r="9998" spans="1:4" x14ac:dyDescent="0.2">
      <c r="A9998" s="146"/>
      <c r="D9998" s="496"/>
    </row>
    <row r="9999" spans="1:4" x14ac:dyDescent="0.2">
      <c r="A9999" s="146"/>
      <c r="D9999" s="496"/>
    </row>
    <row r="10000" spans="1:4" x14ac:dyDescent="0.2">
      <c r="A10000" s="146"/>
      <c r="D10000" s="496"/>
    </row>
    <row r="10001" spans="1:4" x14ac:dyDescent="0.2">
      <c r="A10001" s="146"/>
      <c r="D10001" s="496"/>
    </row>
    <row r="10002" spans="1:4" x14ac:dyDescent="0.2">
      <c r="A10002" s="146"/>
      <c r="D10002" s="496"/>
    </row>
    <row r="10003" spans="1:4" x14ac:dyDescent="0.2">
      <c r="A10003" s="146"/>
      <c r="D10003" s="496"/>
    </row>
    <row r="10004" spans="1:4" x14ac:dyDescent="0.2">
      <c r="A10004" s="146"/>
      <c r="D10004" s="496"/>
    </row>
    <row r="10005" spans="1:4" x14ac:dyDescent="0.2">
      <c r="A10005" s="146"/>
      <c r="D10005" s="496"/>
    </row>
    <row r="10006" spans="1:4" x14ac:dyDescent="0.2">
      <c r="A10006" s="146"/>
      <c r="D10006" s="496"/>
    </row>
    <row r="10007" spans="1:4" x14ac:dyDescent="0.2">
      <c r="A10007" s="146"/>
      <c r="D10007" s="496"/>
    </row>
    <row r="10008" spans="1:4" x14ac:dyDescent="0.2">
      <c r="A10008" s="146"/>
      <c r="D10008" s="496"/>
    </row>
    <row r="10009" spans="1:4" x14ac:dyDescent="0.2">
      <c r="A10009" s="146"/>
      <c r="D10009" s="496"/>
    </row>
    <row r="10010" spans="1:4" x14ac:dyDescent="0.2">
      <c r="A10010" s="146"/>
      <c r="D10010" s="496"/>
    </row>
    <row r="10011" spans="1:4" x14ac:dyDescent="0.2">
      <c r="A10011" s="146"/>
      <c r="D10011" s="496"/>
    </row>
    <row r="10012" spans="1:4" x14ac:dyDescent="0.2">
      <c r="A10012" s="146"/>
      <c r="D10012" s="496"/>
    </row>
    <row r="10013" spans="1:4" x14ac:dyDescent="0.2">
      <c r="A10013" s="146"/>
      <c r="D10013" s="496"/>
    </row>
    <row r="10014" spans="1:4" x14ac:dyDescent="0.2">
      <c r="A10014" s="146"/>
      <c r="D10014" s="496"/>
    </row>
    <row r="10015" spans="1:4" x14ac:dyDescent="0.2">
      <c r="A10015" s="146"/>
      <c r="D10015" s="496"/>
    </row>
    <row r="10016" spans="1:4" x14ac:dyDescent="0.2">
      <c r="A10016" s="146"/>
      <c r="D10016" s="496"/>
    </row>
    <row r="10017" spans="1:4" x14ac:dyDescent="0.2">
      <c r="A10017" s="146"/>
      <c r="D10017" s="496"/>
    </row>
    <row r="10018" spans="1:4" x14ac:dyDescent="0.2">
      <c r="A10018" s="146"/>
      <c r="D10018" s="496"/>
    </row>
    <row r="10019" spans="1:4" x14ac:dyDescent="0.2">
      <c r="A10019" s="146"/>
      <c r="D10019" s="496"/>
    </row>
    <row r="10020" spans="1:4" x14ac:dyDescent="0.2">
      <c r="A10020" s="146"/>
      <c r="D10020" s="496"/>
    </row>
    <row r="10021" spans="1:4" x14ac:dyDescent="0.2">
      <c r="A10021" s="146"/>
      <c r="D10021" s="496"/>
    </row>
    <row r="10022" spans="1:4" x14ac:dyDescent="0.2">
      <c r="A10022" s="146"/>
      <c r="D10022" s="496"/>
    </row>
    <row r="10023" spans="1:4" x14ac:dyDescent="0.2">
      <c r="A10023" s="146"/>
      <c r="D10023" s="496"/>
    </row>
    <row r="10024" spans="1:4" x14ac:dyDescent="0.2">
      <c r="A10024" s="146"/>
      <c r="D10024" s="496"/>
    </row>
    <row r="10025" spans="1:4" x14ac:dyDescent="0.2">
      <c r="A10025" s="146"/>
      <c r="D10025" s="496"/>
    </row>
    <row r="10026" spans="1:4" x14ac:dyDescent="0.2">
      <c r="A10026" s="146"/>
      <c r="D10026" s="496"/>
    </row>
    <row r="10027" spans="1:4" x14ac:dyDescent="0.2">
      <c r="A10027" s="146"/>
      <c r="D10027" s="496"/>
    </row>
    <row r="10028" spans="1:4" x14ac:dyDescent="0.2">
      <c r="A10028" s="146"/>
      <c r="D10028" s="496"/>
    </row>
    <row r="10029" spans="1:4" x14ac:dyDescent="0.2">
      <c r="A10029" s="146"/>
      <c r="D10029" s="496"/>
    </row>
    <row r="10030" spans="1:4" x14ac:dyDescent="0.2">
      <c r="A10030" s="146"/>
      <c r="D10030" s="496"/>
    </row>
    <row r="10031" spans="1:4" x14ac:dyDescent="0.2">
      <c r="A10031" s="146"/>
      <c r="D10031" s="496"/>
    </row>
    <row r="10032" spans="1:4" x14ac:dyDescent="0.2">
      <c r="A10032" s="146"/>
      <c r="D10032" s="496"/>
    </row>
    <row r="10033" spans="1:4" x14ac:dyDescent="0.2">
      <c r="A10033" s="146"/>
      <c r="D10033" s="496"/>
    </row>
    <row r="10034" spans="1:4" x14ac:dyDescent="0.2">
      <c r="A10034" s="146"/>
      <c r="D10034" s="496"/>
    </row>
    <row r="10035" spans="1:4" x14ac:dyDescent="0.2">
      <c r="A10035" s="146"/>
      <c r="D10035" s="496"/>
    </row>
    <row r="10036" spans="1:4" x14ac:dyDescent="0.2">
      <c r="A10036" s="146"/>
      <c r="D10036" s="496"/>
    </row>
    <row r="10037" spans="1:4" x14ac:dyDescent="0.2">
      <c r="A10037" s="146"/>
      <c r="D10037" s="496"/>
    </row>
    <row r="10038" spans="1:4" x14ac:dyDescent="0.2">
      <c r="A10038" s="146"/>
      <c r="D10038" s="496"/>
    </row>
    <row r="10039" spans="1:4" x14ac:dyDescent="0.2">
      <c r="A10039" s="146"/>
      <c r="D10039" s="496"/>
    </row>
    <row r="10040" spans="1:4" x14ac:dyDescent="0.2">
      <c r="A10040" s="146"/>
      <c r="D10040" s="496"/>
    </row>
    <row r="10041" spans="1:4" x14ac:dyDescent="0.2">
      <c r="A10041" s="146"/>
      <c r="D10041" s="496"/>
    </row>
    <row r="10042" spans="1:4" x14ac:dyDescent="0.2">
      <c r="A10042" s="146"/>
      <c r="D10042" s="496"/>
    </row>
    <row r="10043" spans="1:4" x14ac:dyDescent="0.2">
      <c r="A10043" s="146"/>
      <c r="D10043" s="496"/>
    </row>
    <row r="10044" spans="1:4" x14ac:dyDescent="0.2">
      <c r="A10044" s="146"/>
      <c r="D10044" s="496"/>
    </row>
    <row r="10045" spans="1:4" x14ac:dyDescent="0.2">
      <c r="A10045" s="146"/>
      <c r="D10045" s="496"/>
    </row>
    <row r="10046" spans="1:4" x14ac:dyDescent="0.2">
      <c r="A10046" s="146"/>
      <c r="D10046" s="496"/>
    </row>
    <row r="10047" spans="1:4" x14ac:dyDescent="0.2">
      <c r="A10047" s="146"/>
      <c r="D10047" s="496"/>
    </row>
    <row r="10048" spans="1:4" x14ac:dyDescent="0.2">
      <c r="A10048" s="146"/>
      <c r="D10048" s="496"/>
    </row>
    <row r="10049" spans="1:4" x14ac:dyDescent="0.2">
      <c r="A10049" s="146"/>
      <c r="D10049" s="496"/>
    </row>
    <row r="10050" spans="1:4" x14ac:dyDescent="0.2">
      <c r="A10050" s="146"/>
      <c r="D10050" s="496"/>
    </row>
    <row r="10051" spans="1:4" x14ac:dyDescent="0.2">
      <c r="A10051" s="146"/>
      <c r="D10051" s="496"/>
    </row>
    <row r="10052" spans="1:4" x14ac:dyDescent="0.2">
      <c r="A10052" s="146"/>
      <c r="D10052" s="496"/>
    </row>
    <row r="10053" spans="1:4" x14ac:dyDescent="0.2">
      <c r="A10053" s="146"/>
      <c r="D10053" s="496"/>
    </row>
    <row r="10054" spans="1:4" x14ac:dyDescent="0.2">
      <c r="A10054" s="146"/>
      <c r="D10054" s="496"/>
    </row>
    <row r="10055" spans="1:4" x14ac:dyDescent="0.2">
      <c r="A10055" s="146"/>
      <c r="D10055" s="496"/>
    </row>
    <row r="10056" spans="1:4" x14ac:dyDescent="0.2">
      <c r="A10056" s="146"/>
      <c r="D10056" s="496"/>
    </row>
    <row r="10057" spans="1:4" x14ac:dyDescent="0.2">
      <c r="A10057" s="146"/>
      <c r="D10057" s="496"/>
    </row>
    <row r="10058" spans="1:4" x14ac:dyDescent="0.2">
      <c r="A10058" s="146"/>
      <c r="D10058" s="496"/>
    </row>
    <row r="10059" spans="1:4" x14ac:dyDescent="0.2">
      <c r="A10059" s="146"/>
      <c r="D10059" s="496"/>
    </row>
    <row r="10060" spans="1:4" x14ac:dyDescent="0.2">
      <c r="A10060" s="146"/>
      <c r="D10060" s="496"/>
    </row>
    <row r="10061" spans="1:4" x14ac:dyDescent="0.2">
      <c r="A10061" s="146"/>
      <c r="D10061" s="496"/>
    </row>
    <row r="10062" spans="1:4" x14ac:dyDescent="0.2">
      <c r="A10062" s="146"/>
      <c r="D10062" s="496"/>
    </row>
    <row r="10063" spans="1:4" x14ac:dyDescent="0.2">
      <c r="A10063" s="146"/>
      <c r="D10063" s="496"/>
    </row>
    <row r="10064" spans="1:4" x14ac:dyDescent="0.2">
      <c r="A10064" s="146"/>
      <c r="D10064" s="496"/>
    </row>
    <row r="10065" spans="1:4" x14ac:dyDescent="0.2">
      <c r="A10065" s="146"/>
      <c r="D10065" s="496"/>
    </row>
    <row r="10066" spans="1:4" x14ac:dyDescent="0.2">
      <c r="A10066" s="146"/>
      <c r="D10066" s="496"/>
    </row>
    <row r="10067" spans="1:4" x14ac:dyDescent="0.2">
      <c r="A10067" s="146"/>
      <c r="D10067" s="496"/>
    </row>
    <row r="10068" spans="1:4" x14ac:dyDescent="0.2">
      <c r="A10068" s="146"/>
      <c r="D10068" s="496"/>
    </row>
    <row r="10069" spans="1:4" x14ac:dyDescent="0.2">
      <c r="A10069" s="146"/>
      <c r="D10069" s="496"/>
    </row>
    <row r="10070" spans="1:4" x14ac:dyDescent="0.2">
      <c r="A10070" s="146"/>
      <c r="D10070" s="496"/>
    </row>
    <row r="10071" spans="1:4" x14ac:dyDescent="0.2">
      <c r="A10071" s="146"/>
      <c r="D10071" s="496"/>
    </row>
    <row r="10072" spans="1:4" x14ac:dyDescent="0.2">
      <c r="A10072" s="146"/>
      <c r="D10072" s="496"/>
    </row>
    <row r="10073" spans="1:4" x14ac:dyDescent="0.2">
      <c r="A10073" s="146"/>
      <c r="D10073" s="496"/>
    </row>
    <row r="10074" spans="1:4" x14ac:dyDescent="0.2">
      <c r="A10074" s="146"/>
      <c r="D10074" s="496"/>
    </row>
    <row r="10075" spans="1:4" x14ac:dyDescent="0.2">
      <c r="A10075" s="146"/>
      <c r="D10075" s="496"/>
    </row>
    <row r="10076" spans="1:4" x14ac:dyDescent="0.2">
      <c r="A10076" s="146"/>
      <c r="D10076" s="496"/>
    </row>
    <row r="10077" spans="1:4" x14ac:dyDescent="0.2">
      <c r="A10077" s="146"/>
      <c r="D10077" s="496"/>
    </row>
    <row r="10078" spans="1:4" x14ac:dyDescent="0.2">
      <c r="A10078" s="146"/>
      <c r="D10078" s="496"/>
    </row>
    <row r="10079" spans="1:4" x14ac:dyDescent="0.2">
      <c r="A10079" s="146"/>
      <c r="D10079" s="496"/>
    </row>
    <row r="10080" spans="1:4" x14ac:dyDescent="0.2">
      <c r="A10080" s="146"/>
      <c r="D10080" s="496"/>
    </row>
    <row r="10081" spans="1:4" x14ac:dyDescent="0.2">
      <c r="A10081" s="146"/>
      <c r="D10081" s="496"/>
    </row>
    <row r="10082" spans="1:4" x14ac:dyDescent="0.2">
      <c r="A10082" s="146"/>
      <c r="D10082" s="496"/>
    </row>
    <row r="10083" spans="1:4" x14ac:dyDescent="0.2">
      <c r="A10083" s="146"/>
      <c r="D10083" s="496"/>
    </row>
    <row r="10084" spans="1:4" x14ac:dyDescent="0.2">
      <c r="A10084" s="146"/>
      <c r="D10084" s="496"/>
    </row>
    <row r="10085" spans="1:4" x14ac:dyDescent="0.2">
      <c r="A10085" s="146"/>
      <c r="D10085" s="496"/>
    </row>
    <row r="10086" spans="1:4" x14ac:dyDescent="0.2">
      <c r="A10086" s="146"/>
      <c r="D10086" s="496"/>
    </row>
    <row r="10087" spans="1:4" x14ac:dyDescent="0.2">
      <c r="A10087" s="146"/>
      <c r="D10087" s="496"/>
    </row>
    <row r="10088" spans="1:4" x14ac:dyDescent="0.2">
      <c r="A10088" s="146"/>
      <c r="D10088" s="496"/>
    </row>
    <row r="10089" spans="1:4" x14ac:dyDescent="0.2">
      <c r="A10089" s="146"/>
      <c r="D10089" s="496"/>
    </row>
    <row r="10090" spans="1:4" x14ac:dyDescent="0.2">
      <c r="A10090" s="146"/>
      <c r="D10090" s="496"/>
    </row>
    <row r="10091" spans="1:4" x14ac:dyDescent="0.2">
      <c r="A10091" s="146"/>
      <c r="D10091" s="496"/>
    </row>
    <row r="10092" spans="1:4" x14ac:dyDescent="0.2">
      <c r="A10092" s="146"/>
      <c r="D10092" s="496"/>
    </row>
    <row r="10093" spans="1:4" x14ac:dyDescent="0.2">
      <c r="A10093" s="146"/>
      <c r="D10093" s="496"/>
    </row>
    <row r="10094" spans="1:4" x14ac:dyDescent="0.2">
      <c r="A10094" s="146"/>
      <c r="D10094" s="496"/>
    </row>
    <row r="10095" spans="1:4" x14ac:dyDescent="0.2">
      <c r="A10095" s="146"/>
      <c r="D10095" s="496"/>
    </row>
    <row r="10096" spans="1:4" x14ac:dyDescent="0.2">
      <c r="A10096" s="146"/>
      <c r="D10096" s="496"/>
    </row>
    <row r="10097" spans="1:4" x14ac:dyDescent="0.2">
      <c r="A10097" s="146"/>
      <c r="D10097" s="496"/>
    </row>
    <row r="10098" spans="1:4" x14ac:dyDescent="0.2">
      <c r="A10098" s="146"/>
      <c r="D10098" s="496"/>
    </row>
    <row r="10099" spans="1:4" x14ac:dyDescent="0.2">
      <c r="A10099" s="146"/>
      <c r="D10099" s="496"/>
    </row>
    <row r="10100" spans="1:4" x14ac:dyDescent="0.2">
      <c r="A10100" s="146"/>
      <c r="D10100" s="496"/>
    </row>
    <row r="10101" spans="1:4" x14ac:dyDescent="0.2">
      <c r="A10101" s="146"/>
      <c r="D10101" s="496"/>
    </row>
    <row r="10102" spans="1:4" x14ac:dyDescent="0.2">
      <c r="A10102" s="146"/>
      <c r="D10102" s="496"/>
    </row>
    <row r="10103" spans="1:4" x14ac:dyDescent="0.2">
      <c r="A10103" s="146"/>
      <c r="D10103" s="496"/>
    </row>
    <row r="10104" spans="1:4" x14ac:dyDescent="0.2">
      <c r="A10104" s="146"/>
      <c r="D10104" s="496"/>
    </row>
    <row r="10105" spans="1:4" x14ac:dyDescent="0.2">
      <c r="A10105" s="146"/>
      <c r="D10105" s="496"/>
    </row>
    <row r="10106" spans="1:4" x14ac:dyDescent="0.2">
      <c r="A10106" s="146"/>
      <c r="D10106" s="496"/>
    </row>
    <row r="10107" spans="1:4" x14ac:dyDescent="0.2">
      <c r="A10107" s="146"/>
      <c r="D10107" s="496"/>
    </row>
    <row r="10108" spans="1:4" x14ac:dyDescent="0.2">
      <c r="A10108" s="146"/>
      <c r="D10108" s="496"/>
    </row>
    <row r="10109" spans="1:4" x14ac:dyDescent="0.2">
      <c r="A10109" s="146"/>
      <c r="D10109" s="496"/>
    </row>
    <row r="10110" spans="1:4" x14ac:dyDescent="0.2">
      <c r="A10110" s="146"/>
      <c r="D10110" s="496"/>
    </row>
    <row r="10111" spans="1:4" x14ac:dyDescent="0.2">
      <c r="A10111" s="146"/>
      <c r="D10111" s="496"/>
    </row>
    <row r="10112" spans="1:4" x14ac:dyDescent="0.2">
      <c r="A10112" s="146"/>
      <c r="D10112" s="496"/>
    </row>
    <row r="10113" spans="1:4" x14ac:dyDescent="0.2">
      <c r="A10113" s="146"/>
      <c r="D10113" s="496"/>
    </row>
    <row r="10114" spans="1:4" x14ac:dyDescent="0.2">
      <c r="A10114" s="146"/>
      <c r="D10114" s="496"/>
    </row>
    <row r="10115" spans="1:4" x14ac:dyDescent="0.2">
      <c r="A10115" s="146"/>
      <c r="D10115" s="496"/>
    </row>
    <row r="10116" spans="1:4" x14ac:dyDescent="0.2">
      <c r="A10116" s="146"/>
      <c r="D10116" s="496"/>
    </row>
    <row r="10117" spans="1:4" x14ac:dyDescent="0.2">
      <c r="A10117" s="146"/>
      <c r="D10117" s="496"/>
    </row>
    <row r="10118" spans="1:4" x14ac:dyDescent="0.2">
      <c r="A10118" s="146"/>
      <c r="D10118" s="496"/>
    </row>
    <row r="10119" spans="1:4" x14ac:dyDescent="0.2">
      <c r="A10119" s="146"/>
      <c r="D10119" s="496"/>
    </row>
    <row r="10120" spans="1:4" x14ac:dyDescent="0.2">
      <c r="A10120" s="146"/>
      <c r="D10120" s="496"/>
    </row>
    <row r="10121" spans="1:4" x14ac:dyDescent="0.2">
      <c r="A10121" s="146"/>
      <c r="D10121" s="496"/>
    </row>
    <row r="10122" spans="1:4" x14ac:dyDescent="0.2">
      <c r="A10122" s="146"/>
      <c r="D10122" s="496"/>
    </row>
    <row r="10123" spans="1:4" x14ac:dyDescent="0.2">
      <c r="A10123" s="146"/>
      <c r="D10123" s="496"/>
    </row>
    <row r="10124" spans="1:4" x14ac:dyDescent="0.2">
      <c r="A10124" s="146"/>
      <c r="D10124" s="496"/>
    </row>
    <row r="10125" spans="1:4" x14ac:dyDescent="0.2">
      <c r="A10125" s="146"/>
      <c r="D10125" s="496"/>
    </row>
    <row r="10126" spans="1:4" x14ac:dyDescent="0.2">
      <c r="A10126" s="146"/>
      <c r="D10126" s="496"/>
    </row>
    <row r="10127" spans="1:4" x14ac:dyDescent="0.2">
      <c r="A10127" s="146"/>
      <c r="D10127" s="496"/>
    </row>
    <row r="10128" spans="1:4" x14ac:dyDescent="0.2">
      <c r="A10128" s="146"/>
      <c r="D10128" s="496"/>
    </row>
    <row r="10129" spans="1:4" x14ac:dyDescent="0.2">
      <c r="A10129" s="146"/>
      <c r="D10129" s="496"/>
    </row>
    <row r="10130" spans="1:4" x14ac:dyDescent="0.2">
      <c r="A10130" s="146"/>
      <c r="D10130" s="496"/>
    </row>
    <row r="10131" spans="1:4" x14ac:dyDescent="0.2">
      <c r="A10131" s="146"/>
      <c r="D10131" s="496"/>
    </row>
    <row r="10132" spans="1:4" x14ac:dyDescent="0.2">
      <c r="A10132" s="146"/>
      <c r="D10132" s="496"/>
    </row>
    <row r="10133" spans="1:4" x14ac:dyDescent="0.2">
      <c r="A10133" s="146"/>
      <c r="D10133" s="496"/>
    </row>
    <row r="10134" spans="1:4" x14ac:dyDescent="0.2">
      <c r="A10134" s="146"/>
      <c r="D10134" s="496"/>
    </row>
    <row r="10135" spans="1:4" x14ac:dyDescent="0.2">
      <c r="A10135" s="146"/>
      <c r="D10135" s="496"/>
    </row>
    <row r="10136" spans="1:4" x14ac:dyDescent="0.2">
      <c r="A10136" s="146"/>
      <c r="D10136" s="496"/>
    </row>
    <row r="10137" spans="1:4" x14ac:dyDescent="0.2">
      <c r="A10137" s="146"/>
      <c r="D10137" s="496"/>
    </row>
    <row r="10138" spans="1:4" x14ac:dyDescent="0.2">
      <c r="A10138" s="146"/>
      <c r="D10138" s="496"/>
    </row>
    <row r="10139" spans="1:4" x14ac:dyDescent="0.2">
      <c r="A10139" s="146"/>
      <c r="D10139" s="496"/>
    </row>
    <row r="10140" spans="1:4" x14ac:dyDescent="0.2">
      <c r="A10140" s="146"/>
      <c r="D10140" s="496"/>
    </row>
    <row r="10141" spans="1:4" x14ac:dyDescent="0.2">
      <c r="A10141" s="146"/>
      <c r="D10141" s="496"/>
    </row>
    <row r="10142" spans="1:4" x14ac:dyDescent="0.2">
      <c r="A10142" s="146"/>
      <c r="D10142" s="496"/>
    </row>
    <row r="10143" spans="1:4" x14ac:dyDescent="0.2">
      <c r="A10143" s="146"/>
      <c r="D10143" s="496"/>
    </row>
    <row r="10144" spans="1:4" x14ac:dyDescent="0.2">
      <c r="A10144" s="146"/>
      <c r="D10144" s="496"/>
    </row>
    <row r="10145" spans="1:4" x14ac:dyDescent="0.2">
      <c r="A10145" s="146"/>
      <c r="D10145" s="496"/>
    </row>
    <row r="10146" spans="1:4" x14ac:dyDescent="0.2">
      <c r="A10146" s="146"/>
      <c r="D10146" s="496"/>
    </row>
    <row r="10147" spans="1:4" x14ac:dyDescent="0.2">
      <c r="A10147" s="146"/>
      <c r="D10147" s="496"/>
    </row>
    <row r="10148" spans="1:4" x14ac:dyDescent="0.2">
      <c r="A10148" s="146"/>
      <c r="D10148" s="496"/>
    </row>
    <row r="10149" spans="1:4" x14ac:dyDescent="0.2">
      <c r="A10149" s="146"/>
      <c r="D10149" s="496"/>
    </row>
    <row r="10150" spans="1:4" x14ac:dyDescent="0.2">
      <c r="A10150" s="146"/>
      <c r="D10150" s="496"/>
    </row>
    <row r="10151" spans="1:4" x14ac:dyDescent="0.2">
      <c r="A10151" s="146"/>
      <c r="D10151" s="496"/>
    </row>
    <row r="10152" spans="1:4" x14ac:dyDescent="0.2">
      <c r="A10152" s="146"/>
      <c r="D10152" s="496"/>
    </row>
    <row r="10153" spans="1:4" x14ac:dyDescent="0.2">
      <c r="A10153" s="146"/>
      <c r="D10153" s="496"/>
    </row>
    <row r="10154" spans="1:4" x14ac:dyDescent="0.2">
      <c r="A10154" s="146"/>
      <c r="D10154" s="496"/>
    </row>
    <row r="10155" spans="1:4" x14ac:dyDescent="0.2">
      <c r="A10155" s="146"/>
      <c r="D10155" s="496"/>
    </row>
    <row r="10156" spans="1:4" x14ac:dyDescent="0.2">
      <c r="A10156" s="146"/>
      <c r="D10156" s="496"/>
    </row>
    <row r="10157" spans="1:4" x14ac:dyDescent="0.2">
      <c r="A10157" s="146"/>
      <c r="D10157" s="496"/>
    </row>
    <row r="10158" spans="1:4" x14ac:dyDescent="0.2">
      <c r="A10158" s="146"/>
      <c r="D10158" s="496"/>
    </row>
    <row r="10159" spans="1:4" x14ac:dyDescent="0.2">
      <c r="A10159" s="146"/>
      <c r="D10159" s="496"/>
    </row>
    <row r="10160" spans="1:4" x14ac:dyDescent="0.2">
      <c r="A10160" s="146"/>
      <c r="D10160" s="496"/>
    </row>
    <row r="10161" spans="1:4" x14ac:dyDescent="0.2">
      <c r="A10161" s="146"/>
      <c r="D10161" s="496"/>
    </row>
    <row r="10162" spans="1:4" x14ac:dyDescent="0.2">
      <c r="A10162" s="146"/>
      <c r="D10162" s="496"/>
    </row>
    <row r="10163" spans="1:4" x14ac:dyDescent="0.2">
      <c r="A10163" s="146"/>
      <c r="D10163" s="496"/>
    </row>
    <row r="10164" spans="1:4" x14ac:dyDescent="0.2">
      <c r="A10164" s="146"/>
      <c r="D10164" s="496"/>
    </row>
    <row r="10165" spans="1:4" x14ac:dyDescent="0.2">
      <c r="A10165" s="146"/>
      <c r="D10165" s="496"/>
    </row>
    <row r="10166" spans="1:4" x14ac:dyDescent="0.2">
      <c r="A10166" s="146"/>
      <c r="D10166" s="496"/>
    </row>
    <row r="10167" spans="1:4" x14ac:dyDescent="0.2">
      <c r="A10167" s="146"/>
      <c r="D10167" s="496"/>
    </row>
    <row r="10168" spans="1:4" x14ac:dyDescent="0.2">
      <c r="A10168" s="146"/>
      <c r="D10168" s="496"/>
    </row>
    <row r="10169" spans="1:4" x14ac:dyDescent="0.2">
      <c r="A10169" s="146"/>
      <c r="D10169" s="496"/>
    </row>
    <row r="10170" spans="1:4" x14ac:dyDescent="0.2">
      <c r="A10170" s="146"/>
      <c r="D10170" s="496"/>
    </row>
    <row r="10171" spans="1:4" x14ac:dyDescent="0.2">
      <c r="A10171" s="146"/>
      <c r="D10171" s="496"/>
    </row>
    <row r="10172" spans="1:4" x14ac:dyDescent="0.2">
      <c r="A10172" s="146"/>
      <c r="D10172" s="496"/>
    </row>
    <row r="10173" spans="1:4" x14ac:dyDescent="0.2">
      <c r="A10173" s="146"/>
      <c r="D10173" s="496"/>
    </row>
    <row r="10174" spans="1:4" x14ac:dyDescent="0.2">
      <c r="A10174" s="146"/>
      <c r="D10174" s="496"/>
    </row>
    <row r="10175" spans="1:4" x14ac:dyDescent="0.2">
      <c r="A10175" s="146"/>
      <c r="D10175" s="496"/>
    </row>
    <row r="10176" spans="1:4" x14ac:dyDescent="0.2">
      <c r="A10176" s="146"/>
      <c r="D10176" s="496"/>
    </row>
    <row r="10177" spans="1:4" x14ac:dyDescent="0.2">
      <c r="A10177" s="146"/>
      <c r="D10177" s="496"/>
    </row>
    <row r="10178" spans="1:4" x14ac:dyDescent="0.2">
      <c r="A10178" s="146"/>
      <c r="D10178" s="496"/>
    </row>
    <row r="10179" spans="1:4" x14ac:dyDescent="0.2">
      <c r="A10179" s="146"/>
      <c r="D10179" s="496"/>
    </row>
    <row r="10180" spans="1:4" x14ac:dyDescent="0.2">
      <c r="A10180" s="146"/>
      <c r="D10180" s="496"/>
    </row>
    <row r="10181" spans="1:4" x14ac:dyDescent="0.2">
      <c r="A10181" s="146"/>
      <c r="D10181" s="496"/>
    </row>
    <row r="10182" spans="1:4" x14ac:dyDescent="0.2">
      <c r="A10182" s="146"/>
      <c r="D10182" s="496"/>
    </row>
    <row r="10183" spans="1:4" x14ac:dyDescent="0.2">
      <c r="A10183" s="146"/>
      <c r="D10183" s="496"/>
    </row>
    <row r="10184" spans="1:4" x14ac:dyDescent="0.2">
      <c r="A10184" s="146"/>
      <c r="D10184" s="496"/>
    </row>
    <row r="10185" spans="1:4" x14ac:dyDescent="0.2">
      <c r="A10185" s="146"/>
      <c r="D10185" s="496"/>
    </row>
    <row r="10186" spans="1:4" x14ac:dyDescent="0.2">
      <c r="A10186" s="146"/>
      <c r="D10186" s="496"/>
    </row>
    <row r="10187" spans="1:4" x14ac:dyDescent="0.2">
      <c r="A10187" s="146"/>
      <c r="D10187" s="496"/>
    </row>
    <row r="10188" spans="1:4" x14ac:dyDescent="0.2">
      <c r="A10188" s="146"/>
      <c r="D10188" s="496"/>
    </row>
    <row r="10189" spans="1:4" x14ac:dyDescent="0.2">
      <c r="A10189" s="146"/>
      <c r="D10189" s="496"/>
    </row>
    <row r="10190" spans="1:4" x14ac:dyDescent="0.2">
      <c r="A10190" s="146"/>
      <c r="D10190" s="496"/>
    </row>
    <row r="10191" spans="1:4" x14ac:dyDescent="0.2">
      <c r="A10191" s="146"/>
      <c r="D10191" s="496"/>
    </row>
    <row r="10192" spans="1:4" x14ac:dyDescent="0.2">
      <c r="A10192" s="146"/>
      <c r="D10192" s="496"/>
    </row>
    <row r="10193" spans="1:4" x14ac:dyDescent="0.2">
      <c r="A10193" s="146"/>
      <c r="D10193" s="496"/>
    </row>
    <row r="10194" spans="1:4" x14ac:dyDescent="0.2">
      <c r="A10194" s="146"/>
      <c r="D10194" s="496"/>
    </row>
    <row r="10195" spans="1:4" x14ac:dyDescent="0.2">
      <c r="A10195" s="146"/>
      <c r="D10195" s="496"/>
    </row>
    <row r="10196" spans="1:4" x14ac:dyDescent="0.2">
      <c r="A10196" s="146"/>
      <c r="D10196" s="496"/>
    </row>
    <row r="10197" spans="1:4" x14ac:dyDescent="0.2">
      <c r="A10197" s="146"/>
      <c r="D10197" s="496"/>
    </row>
    <row r="10198" spans="1:4" x14ac:dyDescent="0.2">
      <c r="A10198" s="146"/>
      <c r="D10198" s="496"/>
    </row>
    <row r="10199" spans="1:4" x14ac:dyDescent="0.2">
      <c r="A10199" s="146"/>
      <c r="D10199" s="496"/>
    </row>
    <row r="10200" spans="1:4" x14ac:dyDescent="0.2">
      <c r="A10200" s="146"/>
      <c r="D10200" s="496"/>
    </row>
    <row r="10201" spans="1:4" x14ac:dyDescent="0.2">
      <c r="A10201" s="146"/>
      <c r="D10201" s="496"/>
    </row>
    <row r="10202" spans="1:4" x14ac:dyDescent="0.2">
      <c r="A10202" s="146"/>
      <c r="D10202" s="496"/>
    </row>
    <row r="10203" spans="1:4" x14ac:dyDescent="0.2">
      <c r="A10203" s="146"/>
      <c r="D10203" s="496"/>
    </row>
    <row r="10204" spans="1:4" x14ac:dyDescent="0.2">
      <c r="A10204" s="146"/>
      <c r="D10204" s="496"/>
    </row>
    <row r="10205" spans="1:4" x14ac:dyDescent="0.2">
      <c r="A10205" s="146"/>
      <c r="D10205" s="496"/>
    </row>
    <row r="10206" spans="1:4" x14ac:dyDescent="0.2">
      <c r="A10206" s="146"/>
      <c r="D10206" s="496"/>
    </row>
    <row r="10207" spans="1:4" x14ac:dyDescent="0.2">
      <c r="A10207" s="146"/>
      <c r="D10207" s="496"/>
    </row>
    <row r="10208" spans="1:4" x14ac:dyDescent="0.2">
      <c r="A10208" s="146"/>
      <c r="D10208" s="496"/>
    </row>
    <row r="10209" spans="1:4" x14ac:dyDescent="0.2">
      <c r="A10209" s="146"/>
      <c r="D10209" s="496"/>
    </row>
    <row r="10210" spans="1:4" x14ac:dyDescent="0.2">
      <c r="A10210" s="146"/>
      <c r="D10210" s="496"/>
    </row>
    <row r="10211" spans="1:4" x14ac:dyDescent="0.2">
      <c r="A10211" s="146"/>
      <c r="D10211" s="496"/>
    </row>
    <row r="10212" spans="1:4" x14ac:dyDescent="0.2">
      <c r="A10212" s="146"/>
      <c r="D10212" s="496"/>
    </row>
    <row r="10213" spans="1:4" x14ac:dyDescent="0.2">
      <c r="A10213" s="146"/>
      <c r="D10213" s="496"/>
    </row>
    <row r="10214" spans="1:4" x14ac:dyDescent="0.2">
      <c r="A10214" s="146"/>
      <c r="D10214" s="496"/>
    </row>
    <row r="10215" spans="1:4" x14ac:dyDescent="0.2">
      <c r="A10215" s="146"/>
      <c r="D10215" s="496"/>
    </row>
    <row r="10216" spans="1:4" x14ac:dyDescent="0.2">
      <c r="A10216" s="146"/>
      <c r="D10216" s="496"/>
    </row>
    <row r="10217" spans="1:4" x14ac:dyDescent="0.2">
      <c r="A10217" s="146"/>
      <c r="D10217" s="496"/>
    </row>
    <row r="10218" spans="1:4" x14ac:dyDescent="0.2">
      <c r="A10218" s="146"/>
      <c r="D10218" s="496"/>
    </row>
    <row r="10219" spans="1:4" x14ac:dyDescent="0.2">
      <c r="A10219" s="146"/>
      <c r="D10219" s="496"/>
    </row>
    <row r="10220" spans="1:4" x14ac:dyDescent="0.2">
      <c r="A10220" s="146"/>
      <c r="D10220" s="496"/>
    </row>
    <row r="10221" spans="1:4" x14ac:dyDescent="0.2">
      <c r="A10221" s="146"/>
      <c r="D10221" s="496"/>
    </row>
    <row r="10222" spans="1:4" x14ac:dyDescent="0.2">
      <c r="A10222" s="146"/>
      <c r="D10222" s="496"/>
    </row>
    <row r="10223" spans="1:4" x14ac:dyDescent="0.2">
      <c r="A10223" s="146"/>
      <c r="D10223" s="496"/>
    </row>
    <row r="10224" spans="1:4" x14ac:dyDescent="0.2">
      <c r="A10224" s="146"/>
      <c r="D10224" s="496"/>
    </row>
    <row r="10225" spans="1:4" x14ac:dyDescent="0.2">
      <c r="A10225" s="146"/>
      <c r="D10225" s="496"/>
    </row>
    <row r="10226" spans="1:4" x14ac:dyDescent="0.2">
      <c r="A10226" s="146"/>
      <c r="D10226" s="496"/>
    </row>
    <row r="10227" spans="1:4" x14ac:dyDescent="0.2">
      <c r="A10227" s="146"/>
      <c r="D10227" s="496"/>
    </row>
    <row r="10228" spans="1:4" x14ac:dyDescent="0.2">
      <c r="A10228" s="146"/>
      <c r="D10228" s="496"/>
    </row>
    <row r="10229" spans="1:4" x14ac:dyDescent="0.2">
      <c r="A10229" s="146"/>
      <c r="D10229" s="496"/>
    </row>
    <row r="10230" spans="1:4" x14ac:dyDescent="0.2">
      <c r="A10230" s="146"/>
      <c r="D10230" s="496"/>
    </row>
    <row r="10231" spans="1:4" x14ac:dyDescent="0.2">
      <c r="A10231" s="146"/>
      <c r="D10231" s="496"/>
    </row>
    <row r="10232" spans="1:4" x14ac:dyDescent="0.2">
      <c r="A10232" s="146"/>
      <c r="D10232" s="496"/>
    </row>
    <row r="10233" spans="1:4" x14ac:dyDescent="0.2">
      <c r="A10233" s="146"/>
      <c r="D10233" s="496"/>
    </row>
    <row r="10234" spans="1:4" x14ac:dyDescent="0.2">
      <c r="A10234" s="146"/>
      <c r="D10234" s="496"/>
    </row>
    <row r="10235" spans="1:4" x14ac:dyDescent="0.2">
      <c r="A10235" s="146"/>
      <c r="D10235" s="496"/>
    </row>
    <row r="10236" spans="1:4" x14ac:dyDescent="0.2">
      <c r="A10236" s="146"/>
      <c r="D10236" s="496"/>
    </row>
    <row r="10237" spans="1:4" x14ac:dyDescent="0.2">
      <c r="A10237" s="146"/>
      <c r="D10237" s="496"/>
    </row>
    <row r="10238" spans="1:4" x14ac:dyDescent="0.2">
      <c r="A10238" s="146"/>
      <c r="D10238" s="496"/>
    </row>
    <row r="10239" spans="1:4" x14ac:dyDescent="0.2">
      <c r="A10239" s="146"/>
      <c r="D10239" s="496"/>
    </row>
    <row r="10240" spans="1:4" x14ac:dyDescent="0.2">
      <c r="A10240" s="146"/>
      <c r="D10240" s="496"/>
    </row>
    <row r="10241" spans="1:4" x14ac:dyDescent="0.2">
      <c r="A10241" s="146"/>
      <c r="D10241" s="496"/>
    </row>
    <row r="10242" spans="1:4" x14ac:dyDescent="0.2">
      <c r="A10242" s="146"/>
      <c r="D10242" s="496"/>
    </row>
    <row r="10243" spans="1:4" x14ac:dyDescent="0.2">
      <c r="A10243" s="146"/>
      <c r="D10243" s="496"/>
    </row>
    <row r="10244" spans="1:4" x14ac:dyDescent="0.2">
      <c r="A10244" s="146"/>
      <c r="D10244" s="496"/>
    </row>
    <row r="10245" spans="1:4" x14ac:dyDescent="0.2">
      <c r="A10245" s="146"/>
      <c r="D10245" s="496"/>
    </row>
    <row r="10246" spans="1:4" x14ac:dyDescent="0.2">
      <c r="A10246" s="146"/>
      <c r="D10246" s="496"/>
    </row>
    <row r="10247" spans="1:4" x14ac:dyDescent="0.2">
      <c r="A10247" s="146"/>
      <c r="D10247" s="496"/>
    </row>
    <row r="10248" spans="1:4" x14ac:dyDescent="0.2">
      <c r="A10248" s="146"/>
      <c r="D10248" s="496"/>
    </row>
    <row r="10249" spans="1:4" x14ac:dyDescent="0.2">
      <c r="A10249" s="146"/>
      <c r="D10249" s="496"/>
    </row>
    <row r="10250" spans="1:4" x14ac:dyDescent="0.2">
      <c r="A10250" s="146"/>
      <c r="D10250" s="496"/>
    </row>
    <row r="10251" spans="1:4" x14ac:dyDescent="0.2">
      <c r="A10251" s="146"/>
      <c r="D10251" s="496"/>
    </row>
    <row r="10252" spans="1:4" x14ac:dyDescent="0.2">
      <c r="A10252" s="146"/>
      <c r="D10252" s="496"/>
    </row>
    <row r="10253" spans="1:4" x14ac:dyDescent="0.2">
      <c r="A10253" s="146"/>
      <c r="D10253" s="496"/>
    </row>
    <row r="10254" spans="1:4" x14ac:dyDescent="0.2">
      <c r="A10254" s="146"/>
      <c r="D10254" s="496"/>
    </row>
    <row r="10255" spans="1:4" x14ac:dyDescent="0.2">
      <c r="A10255" s="146"/>
      <c r="D10255" s="496"/>
    </row>
    <row r="10256" spans="1:4" x14ac:dyDescent="0.2">
      <c r="A10256" s="146"/>
      <c r="D10256" s="496"/>
    </row>
    <row r="10257" spans="1:4" x14ac:dyDescent="0.2">
      <c r="A10257" s="146"/>
      <c r="D10257" s="496"/>
    </row>
    <row r="10258" spans="1:4" x14ac:dyDescent="0.2">
      <c r="A10258" s="146"/>
      <c r="D10258" s="496"/>
    </row>
    <row r="10259" spans="1:4" x14ac:dyDescent="0.2">
      <c r="A10259" s="146"/>
      <c r="D10259" s="496"/>
    </row>
    <row r="10260" spans="1:4" x14ac:dyDescent="0.2">
      <c r="A10260" s="146"/>
      <c r="D10260" s="496"/>
    </row>
    <row r="10261" spans="1:4" x14ac:dyDescent="0.2">
      <c r="A10261" s="146"/>
      <c r="D10261" s="496"/>
    </row>
    <row r="10262" spans="1:4" x14ac:dyDescent="0.2">
      <c r="A10262" s="146"/>
      <c r="D10262" s="496"/>
    </row>
    <row r="10263" spans="1:4" x14ac:dyDescent="0.2">
      <c r="A10263" s="146"/>
      <c r="D10263" s="496"/>
    </row>
    <row r="10264" spans="1:4" x14ac:dyDescent="0.2">
      <c r="A10264" s="146"/>
      <c r="D10264" s="496"/>
    </row>
    <row r="10265" spans="1:4" x14ac:dyDescent="0.2">
      <c r="A10265" s="146"/>
      <c r="D10265" s="496"/>
    </row>
    <row r="10266" spans="1:4" x14ac:dyDescent="0.2">
      <c r="A10266" s="146"/>
      <c r="D10266" s="496"/>
    </row>
    <row r="10267" spans="1:4" x14ac:dyDescent="0.2">
      <c r="A10267" s="146"/>
      <c r="D10267" s="496"/>
    </row>
    <row r="10268" spans="1:4" x14ac:dyDescent="0.2">
      <c r="A10268" s="146"/>
      <c r="D10268" s="496"/>
    </row>
    <row r="10269" spans="1:4" x14ac:dyDescent="0.2">
      <c r="A10269" s="146"/>
      <c r="D10269" s="496"/>
    </row>
    <row r="10270" spans="1:4" x14ac:dyDescent="0.2">
      <c r="A10270" s="146"/>
      <c r="D10270" s="496"/>
    </row>
    <row r="10271" spans="1:4" x14ac:dyDescent="0.2">
      <c r="A10271" s="146"/>
      <c r="D10271" s="496"/>
    </row>
    <row r="10272" spans="1:4" x14ac:dyDescent="0.2">
      <c r="A10272" s="146"/>
      <c r="D10272" s="496"/>
    </row>
    <row r="10273" spans="1:4" x14ac:dyDescent="0.2">
      <c r="A10273" s="146"/>
      <c r="D10273" s="496"/>
    </row>
    <row r="10274" spans="1:4" x14ac:dyDescent="0.2">
      <c r="A10274" s="146"/>
      <c r="D10274" s="496"/>
    </row>
    <row r="10275" spans="1:4" x14ac:dyDescent="0.2">
      <c r="A10275" s="146"/>
      <c r="D10275" s="496"/>
    </row>
    <row r="10276" spans="1:4" x14ac:dyDescent="0.2">
      <c r="A10276" s="146"/>
      <c r="D10276" s="496"/>
    </row>
    <row r="10277" spans="1:4" x14ac:dyDescent="0.2">
      <c r="A10277" s="146"/>
      <c r="D10277" s="496"/>
    </row>
    <row r="10278" spans="1:4" x14ac:dyDescent="0.2">
      <c r="A10278" s="146"/>
      <c r="D10278" s="496"/>
    </row>
    <row r="10279" spans="1:4" x14ac:dyDescent="0.2">
      <c r="A10279" s="146"/>
      <c r="D10279" s="496"/>
    </row>
    <row r="10280" spans="1:4" x14ac:dyDescent="0.2">
      <c r="A10280" s="146"/>
      <c r="D10280" s="496"/>
    </row>
    <row r="10281" spans="1:4" x14ac:dyDescent="0.2">
      <c r="A10281" s="146"/>
      <c r="D10281" s="496"/>
    </row>
    <row r="10282" spans="1:4" x14ac:dyDescent="0.2">
      <c r="A10282" s="146"/>
      <c r="D10282" s="496"/>
    </row>
    <row r="10283" spans="1:4" x14ac:dyDescent="0.2">
      <c r="A10283" s="146"/>
      <c r="D10283" s="496"/>
    </row>
    <row r="10284" spans="1:4" x14ac:dyDescent="0.2">
      <c r="A10284" s="146"/>
      <c r="D10284" s="496"/>
    </row>
    <row r="10285" spans="1:4" x14ac:dyDescent="0.2">
      <c r="A10285" s="146"/>
      <c r="D10285" s="496"/>
    </row>
    <row r="10286" spans="1:4" x14ac:dyDescent="0.2">
      <c r="A10286" s="146"/>
      <c r="D10286" s="496"/>
    </row>
    <row r="10287" spans="1:4" x14ac:dyDescent="0.2">
      <c r="A10287" s="146"/>
      <c r="D10287" s="496"/>
    </row>
    <row r="10288" spans="1:4" x14ac:dyDescent="0.2">
      <c r="A10288" s="146"/>
      <c r="D10288" s="496"/>
    </row>
    <row r="10289" spans="1:4" x14ac:dyDescent="0.2">
      <c r="A10289" s="146"/>
      <c r="D10289" s="496"/>
    </row>
    <row r="10290" spans="1:4" x14ac:dyDescent="0.2">
      <c r="A10290" s="146"/>
      <c r="D10290" s="496"/>
    </row>
    <row r="10291" spans="1:4" x14ac:dyDescent="0.2">
      <c r="A10291" s="146"/>
      <c r="D10291" s="496"/>
    </row>
    <row r="10292" spans="1:4" x14ac:dyDescent="0.2">
      <c r="A10292" s="146"/>
      <c r="D10292" s="496"/>
    </row>
    <row r="10293" spans="1:4" x14ac:dyDescent="0.2">
      <c r="A10293" s="146"/>
      <c r="D10293" s="496"/>
    </row>
    <row r="10294" spans="1:4" x14ac:dyDescent="0.2">
      <c r="A10294" s="146"/>
      <c r="D10294" s="496"/>
    </row>
    <row r="10295" spans="1:4" x14ac:dyDescent="0.2">
      <c r="A10295" s="146"/>
      <c r="D10295" s="496"/>
    </row>
    <row r="10296" spans="1:4" x14ac:dyDescent="0.2">
      <c r="A10296" s="146"/>
      <c r="D10296" s="496"/>
    </row>
    <row r="10297" spans="1:4" x14ac:dyDescent="0.2">
      <c r="A10297" s="146"/>
      <c r="D10297" s="496"/>
    </row>
    <row r="10298" spans="1:4" x14ac:dyDescent="0.2">
      <c r="A10298" s="146"/>
      <c r="D10298" s="496"/>
    </row>
    <row r="10299" spans="1:4" x14ac:dyDescent="0.2">
      <c r="A10299" s="146"/>
      <c r="D10299" s="496"/>
    </row>
    <row r="10300" spans="1:4" x14ac:dyDescent="0.2">
      <c r="A10300" s="146"/>
      <c r="D10300" s="496"/>
    </row>
    <row r="10301" spans="1:4" x14ac:dyDescent="0.2">
      <c r="A10301" s="146"/>
      <c r="D10301" s="496"/>
    </row>
    <row r="10302" spans="1:4" x14ac:dyDescent="0.2">
      <c r="A10302" s="146"/>
      <c r="D10302" s="496"/>
    </row>
    <row r="10303" spans="1:4" x14ac:dyDescent="0.2">
      <c r="A10303" s="146"/>
      <c r="D10303" s="496"/>
    </row>
    <row r="10304" spans="1:4" x14ac:dyDescent="0.2">
      <c r="A10304" s="146"/>
      <c r="D10304" s="496"/>
    </row>
    <row r="10305" spans="1:4" x14ac:dyDescent="0.2">
      <c r="A10305" s="146"/>
      <c r="D10305" s="496"/>
    </row>
    <row r="10306" spans="1:4" x14ac:dyDescent="0.2">
      <c r="A10306" s="146"/>
      <c r="D10306" s="496"/>
    </row>
    <row r="10307" spans="1:4" x14ac:dyDescent="0.2">
      <c r="A10307" s="146"/>
      <c r="D10307" s="496"/>
    </row>
    <row r="10308" spans="1:4" x14ac:dyDescent="0.2">
      <c r="A10308" s="146"/>
      <c r="D10308" s="496"/>
    </row>
    <row r="10309" spans="1:4" x14ac:dyDescent="0.2">
      <c r="A10309" s="146"/>
      <c r="D10309" s="496"/>
    </row>
    <row r="10310" spans="1:4" x14ac:dyDescent="0.2">
      <c r="A10310" s="146"/>
      <c r="D10310" s="496"/>
    </row>
    <row r="10311" spans="1:4" x14ac:dyDescent="0.2">
      <c r="A10311" s="146"/>
      <c r="D10311" s="496"/>
    </row>
    <row r="10312" spans="1:4" x14ac:dyDescent="0.2">
      <c r="A10312" s="146"/>
      <c r="D10312" s="496"/>
    </row>
    <row r="10313" spans="1:4" x14ac:dyDescent="0.2">
      <c r="A10313" s="146"/>
      <c r="D10313" s="496"/>
    </row>
    <row r="10314" spans="1:4" x14ac:dyDescent="0.2">
      <c r="A10314" s="146"/>
      <c r="D10314" s="496"/>
    </row>
    <row r="10315" spans="1:4" x14ac:dyDescent="0.2">
      <c r="A10315" s="146"/>
      <c r="D10315" s="496"/>
    </row>
    <row r="10316" spans="1:4" x14ac:dyDescent="0.2">
      <c r="A10316" s="146"/>
      <c r="D10316" s="496"/>
    </row>
    <row r="10317" spans="1:4" x14ac:dyDescent="0.2">
      <c r="A10317" s="146"/>
      <c r="D10317" s="496"/>
    </row>
    <row r="10318" spans="1:4" x14ac:dyDescent="0.2">
      <c r="A10318" s="146"/>
      <c r="D10318" s="496"/>
    </row>
    <row r="10319" spans="1:4" x14ac:dyDescent="0.2">
      <c r="A10319" s="146"/>
      <c r="D10319" s="496"/>
    </row>
    <row r="10320" spans="1:4" x14ac:dyDescent="0.2">
      <c r="A10320" s="146"/>
      <c r="D10320" s="496"/>
    </row>
    <row r="10321" spans="1:4" x14ac:dyDescent="0.2">
      <c r="A10321" s="146"/>
      <c r="D10321" s="496"/>
    </row>
    <row r="10322" spans="1:4" x14ac:dyDescent="0.2">
      <c r="A10322" s="146"/>
      <c r="D10322" s="496"/>
    </row>
    <row r="10323" spans="1:4" x14ac:dyDescent="0.2">
      <c r="A10323" s="146"/>
      <c r="D10323" s="496"/>
    </row>
    <row r="10324" spans="1:4" x14ac:dyDescent="0.2">
      <c r="A10324" s="146"/>
      <c r="D10324" s="496"/>
    </row>
    <row r="10325" spans="1:4" x14ac:dyDescent="0.2">
      <c r="A10325" s="146"/>
      <c r="D10325" s="496"/>
    </row>
    <row r="10326" spans="1:4" x14ac:dyDescent="0.2">
      <c r="A10326" s="146"/>
      <c r="D10326" s="496"/>
    </row>
    <row r="10327" spans="1:4" x14ac:dyDescent="0.2">
      <c r="A10327" s="146"/>
      <c r="D10327" s="496"/>
    </row>
    <row r="10328" spans="1:4" x14ac:dyDescent="0.2">
      <c r="A10328" s="146"/>
      <c r="D10328" s="496"/>
    </row>
    <row r="10329" spans="1:4" x14ac:dyDescent="0.2">
      <c r="A10329" s="146"/>
      <c r="D10329" s="496"/>
    </row>
    <row r="10330" spans="1:4" x14ac:dyDescent="0.2">
      <c r="A10330" s="146"/>
      <c r="D10330" s="496"/>
    </row>
    <row r="10331" spans="1:4" x14ac:dyDescent="0.2">
      <c r="A10331" s="146"/>
      <c r="D10331" s="496"/>
    </row>
    <row r="10332" spans="1:4" x14ac:dyDescent="0.2">
      <c r="A10332" s="146"/>
      <c r="D10332" s="496"/>
    </row>
    <row r="10333" spans="1:4" x14ac:dyDescent="0.2">
      <c r="A10333" s="146"/>
      <c r="D10333" s="496"/>
    </row>
    <row r="10334" spans="1:4" x14ac:dyDescent="0.2">
      <c r="A10334" s="146"/>
      <c r="D10334" s="496"/>
    </row>
    <row r="10335" spans="1:4" x14ac:dyDescent="0.2">
      <c r="A10335" s="146"/>
      <c r="D10335" s="496"/>
    </row>
    <row r="10336" spans="1:4" x14ac:dyDescent="0.2">
      <c r="A10336" s="146"/>
      <c r="D10336" s="496"/>
    </row>
    <row r="10337" spans="1:4" x14ac:dyDescent="0.2">
      <c r="A10337" s="146"/>
      <c r="D10337" s="496"/>
    </row>
    <row r="10338" spans="1:4" x14ac:dyDescent="0.2">
      <c r="A10338" s="146"/>
      <c r="D10338" s="496"/>
    </row>
    <row r="10339" spans="1:4" x14ac:dyDescent="0.2">
      <c r="A10339" s="146"/>
      <c r="D10339" s="496"/>
    </row>
    <row r="10340" spans="1:4" x14ac:dyDescent="0.2">
      <c r="A10340" s="146"/>
      <c r="D10340" s="496"/>
    </row>
    <row r="10341" spans="1:4" x14ac:dyDescent="0.2">
      <c r="A10341" s="146"/>
      <c r="D10341" s="496"/>
    </row>
    <row r="10342" spans="1:4" x14ac:dyDescent="0.2">
      <c r="A10342" s="146"/>
      <c r="D10342" s="496"/>
    </row>
    <row r="10343" spans="1:4" x14ac:dyDescent="0.2">
      <c r="A10343" s="146"/>
      <c r="D10343" s="496"/>
    </row>
    <row r="10344" spans="1:4" x14ac:dyDescent="0.2">
      <c r="A10344" s="146"/>
      <c r="D10344" s="496"/>
    </row>
    <row r="10345" spans="1:4" x14ac:dyDescent="0.2">
      <c r="A10345" s="146"/>
      <c r="D10345" s="496"/>
    </row>
    <row r="10346" spans="1:4" x14ac:dyDescent="0.2">
      <c r="A10346" s="146"/>
      <c r="D10346" s="496"/>
    </row>
    <row r="10347" spans="1:4" x14ac:dyDescent="0.2">
      <c r="A10347" s="146"/>
      <c r="D10347" s="496"/>
    </row>
    <row r="10348" spans="1:4" x14ac:dyDescent="0.2">
      <c r="A10348" s="146"/>
      <c r="D10348" s="496"/>
    </row>
    <row r="10349" spans="1:4" x14ac:dyDescent="0.2">
      <c r="A10349" s="146"/>
      <c r="D10349" s="496"/>
    </row>
    <row r="10350" spans="1:4" x14ac:dyDescent="0.2">
      <c r="A10350" s="146"/>
      <c r="D10350" s="496"/>
    </row>
    <row r="10351" spans="1:4" x14ac:dyDescent="0.2">
      <c r="A10351" s="146"/>
      <c r="D10351" s="496"/>
    </row>
    <row r="10352" spans="1:4" x14ac:dyDescent="0.2">
      <c r="A10352" s="146"/>
      <c r="D10352" s="496"/>
    </row>
    <row r="10353" spans="1:4" x14ac:dyDescent="0.2">
      <c r="A10353" s="146"/>
      <c r="D10353" s="496"/>
    </row>
    <row r="10354" spans="1:4" x14ac:dyDescent="0.2">
      <c r="A10354" s="146"/>
      <c r="D10354" s="496"/>
    </row>
    <row r="10355" spans="1:4" x14ac:dyDescent="0.2">
      <c r="A10355" s="146"/>
      <c r="D10355" s="496"/>
    </row>
    <row r="10356" spans="1:4" x14ac:dyDescent="0.2">
      <c r="A10356" s="146"/>
      <c r="D10356" s="496"/>
    </row>
    <row r="10357" spans="1:4" x14ac:dyDescent="0.2">
      <c r="A10357" s="146"/>
      <c r="D10357" s="496"/>
    </row>
    <row r="10358" spans="1:4" x14ac:dyDescent="0.2">
      <c r="A10358" s="146"/>
      <c r="D10358" s="496"/>
    </row>
    <row r="10359" spans="1:4" x14ac:dyDescent="0.2">
      <c r="A10359" s="146"/>
      <c r="D10359" s="496"/>
    </row>
    <row r="10360" spans="1:4" x14ac:dyDescent="0.2">
      <c r="A10360" s="146"/>
      <c r="D10360" s="496"/>
    </row>
    <row r="10361" spans="1:4" x14ac:dyDescent="0.2">
      <c r="A10361" s="146"/>
      <c r="D10361" s="496"/>
    </row>
    <row r="10362" spans="1:4" x14ac:dyDescent="0.2">
      <c r="A10362" s="146"/>
      <c r="D10362" s="496"/>
    </row>
    <row r="10363" spans="1:4" x14ac:dyDescent="0.2">
      <c r="A10363" s="146"/>
      <c r="D10363" s="496"/>
    </row>
    <row r="10364" spans="1:4" x14ac:dyDescent="0.2">
      <c r="A10364" s="146"/>
      <c r="D10364" s="496"/>
    </row>
    <row r="10365" spans="1:4" x14ac:dyDescent="0.2">
      <c r="A10365" s="146"/>
      <c r="D10365" s="496"/>
    </row>
    <row r="10366" spans="1:4" x14ac:dyDescent="0.2">
      <c r="A10366" s="146"/>
      <c r="D10366" s="496"/>
    </row>
    <row r="10367" spans="1:4" x14ac:dyDescent="0.2">
      <c r="A10367" s="146"/>
      <c r="D10367" s="496"/>
    </row>
    <row r="10368" spans="1:4" x14ac:dyDescent="0.2">
      <c r="A10368" s="146"/>
      <c r="D10368" s="496"/>
    </row>
    <row r="10369" spans="1:4" x14ac:dyDescent="0.2">
      <c r="A10369" s="146"/>
      <c r="D10369" s="496"/>
    </row>
    <row r="10370" spans="1:4" x14ac:dyDescent="0.2">
      <c r="A10370" s="146"/>
      <c r="D10370" s="496"/>
    </row>
    <row r="10371" spans="1:4" x14ac:dyDescent="0.2">
      <c r="A10371" s="146"/>
      <c r="D10371" s="496"/>
    </row>
    <row r="10372" spans="1:4" x14ac:dyDescent="0.2">
      <c r="A10372" s="146"/>
      <c r="D10372" s="496"/>
    </row>
    <row r="10373" spans="1:4" x14ac:dyDescent="0.2">
      <c r="A10373" s="146"/>
      <c r="D10373" s="496"/>
    </row>
    <row r="10374" spans="1:4" x14ac:dyDescent="0.2">
      <c r="A10374" s="146"/>
      <c r="D10374" s="496"/>
    </row>
    <row r="10375" spans="1:4" x14ac:dyDescent="0.2">
      <c r="A10375" s="146"/>
      <c r="D10375" s="496"/>
    </row>
    <row r="10376" spans="1:4" x14ac:dyDescent="0.2">
      <c r="A10376" s="146"/>
      <c r="D10376" s="496"/>
    </row>
    <row r="10377" spans="1:4" x14ac:dyDescent="0.2">
      <c r="A10377" s="146"/>
      <c r="D10377" s="496"/>
    </row>
    <row r="10378" spans="1:4" x14ac:dyDescent="0.2">
      <c r="A10378" s="146"/>
      <c r="D10378" s="496"/>
    </row>
    <row r="10379" spans="1:4" x14ac:dyDescent="0.2">
      <c r="A10379" s="146"/>
      <c r="D10379" s="496"/>
    </row>
    <row r="10380" spans="1:4" x14ac:dyDescent="0.2">
      <c r="A10380" s="146"/>
      <c r="D10380" s="496"/>
    </row>
    <row r="10381" spans="1:4" x14ac:dyDescent="0.2">
      <c r="A10381" s="146"/>
      <c r="D10381" s="496"/>
    </row>
    <row r="10382" spans="1:4" x14ac:dyDescent="0.2">
      <c r="A10382" s="146"/>
      <c r="D10382" s="496"/>
    </row>
    <row r="10383" spans="1:4" x14ac:dyDescent="0.2">
      <c r="A10383" s="146"/>
      <c r="D10383" s="496"/>
    </row>
    <row r="10384" spans="1:4" x14ac:dyDescent="0.2">
      <c r="A10384" s="146"/>
      <c r="D10384" s="496"/>
    </row>
    <row r="10385" spans="1:4" x14ac:dyDescent="0.2">
      <c r="A10385" s="146"/>
      <c r="D10385" s="496"/>
    </row>
    <row r="10386" spans="1:4" x14ac:dyDescent="0.2">
      <c r="A10386" s="146"/>
      <c r="D10386" s="496"/>
    </row>
    <row r="10387" spans="1:4" x14ac:dyDescent="0.2">
      <c r="A10387" s="146"/>
      <c r="D10387" s="496"/>
    </row>
    <row r="10388" spans="1:4" x14ac:dyDescent="0.2">
      <c r="A10388" s="146"/>
      <c r="D10388" s="496"/>
    </row>
    <row r="10389" spans="1:4" x14ac:dyDescent="0.2">
      <c r="A10389" s="146"/>
      <c r="D10389" s="496"/>
    </row>
    <row r="10390" spans="1:4" x14ac:dyDescent="0.2">
      <c r="A10390" s="146"/>
      <c r="D10390" s="496"/>
    </row>
    <row r="10391" spans="1:4" x14ac:dyDescent="0.2">
      <c r="A10391" s="146"/>
      <c r="D10391" s="496"/>
    </row>
    <row r="10392" spans="1:4" x14ac:dyDescent="0.2">
      <c r="A10392" s="146"/>
      <c r="D10392" s="496"/>
    </row>
    <row r="10393" spans="1:4" x14ac:dyDescent="0.2">
      <c r="A10393" s="146"/>
      <c r="D10393" s="496"/>
    </row>
    <row r="10394" spans="1:4" x14ac:dyDescent="0.2">
      <c r="A10394" s="146"/>
      <c r="D10394" s="496"/>
    </row>
    <row r="10395" spans="1:4" x14ac:dyDescent="0.2">
      <c r="A10395" s="146"/>
      <c r="D10395" s="496"/>
    </row>
    <row r="10396" spans="1:4" x14ac:dyDescent="0.2">
      <c r="A10396" s="146"/>
      <c r="D10396" s="496"/>
    </row>
    <row r="10397" spans="1:4" x14ac:dyDescent="0.2">
      <c r="A10397" s="146"/>
      <c r="D10397" s="496"/>
    </row>
    <row r="10398" spans="1:4" x14ac:dyDescent="0.2">
      <c r="A10398" s="146"/>
      <c r="D10398" s="496"/>
    </row>
    <row r="10399" spans="1:4" x14ac:dyDescent="0.2">
      <c r="A10399" s="146"/>
      <c r="D10399" s="496"/>
    </row>
    <row r="10400" spans="1:4" x14ac:dyDescent="0.2">
      <c r="A10400" s="146"/>
      <c r="D10400" s="496"/>
    </row>
    <row r="10401" spans="1:4" x14ac:dyDescent="0.2">
      <c r="A10401" s="146"/>
      <c r="D10401" s="496"/>
    </row>
    <row r="10402" spans="1:4" x14ac:dyDescent="0.2">
      <c r="A10402" s="146"/>
      <c r="D10402" s="496"/>
    </row>
    <row r="10403" spans="1:4" x14ac:dyDescent="0.2">
      <c r="A10403" s="146"/>
      <c r="D10403" s="496"/>
    </row>
    <row r="10404" spans="1:4" x14ac:dyDescent="0.2">
      <c r="A10404" s="146"/>
      <c r="D10404" s="496"/>
    </row>
    <row r="10405" spans="1:4" x14ac:dyDescent="0.2">
      <c r="A10405" s="146"/>
      <c r="D10405" s="496"/>
    </row>
    <row r="10406" spans="1:4" x14ac:dyDescent="0.2">
      <c r="A10406" s="146"/>
      <c r="D10406" s="496"/>
    </row>
    <row r="10407" spans="1:4" x14ac:dyDescent="0.2">
      <c r="A10407" s="146"/>
      <c r="D10407" s="496"/>
    </row>
    <row r="10408" spans="1:4" x14ac:dyDescent="0.2">
      <c r="A10408" s="146"/>
      <c r="D10408" s="496"/>
    </row>
    <row r="10409" spans="1:4" x14ac:dyDescent="0.2">
      <c r="A10409" s="146"/>
      <c r="D10409" s="496"/>
    </row>
    <row r="10410" spans="1:4" x14ac:dyDescent="0.2">
      <c r="A10410" s="146"/>
      <c r="D10410" s="496"/>
    </row>
    <row r="10411" spans="1:4" x14ac:dyDescent="0.2">
      <c r="A10411" s="146"/>
      <c r="D10411" s="496"/>
    </row>
    <row r="10412" spans="1:4" x14ac:dyDescent="0.2">
      <c r="A10412" s="146"/>
      <c r="D10412" s="496"/>
    </row>
    <row r="10413" spans="1:4" x14ac:dyDescent="0.2">
      <c r="A10413" s="146"/>
      <c r="D10413" s="496"/>
    </row>
    <row r="10414" spans="1:4" x14ac:dyDescent="0.2">
      <c r="A10414" s="146"/>
      <c r="D10414" s="496"/>
    </row>
    <row r="10415" spans="1:4" x14ac:dyDescent="0.2">
      <c r="A10415" s="146"/>
      <c r="D10415" s="496"/>
    </row>
    <row r="10416" spans="1:4" x14ac:dyDescent="0.2">
      <c r="A10416" s="146"/>
      <c r="D10416" s="496"/>
    </row>
    <row r="10417" spans="1:4" x14ac:dyDescent="0.2">
      <c r="A10417" s="146"/>
      <c r="D10417" s="496"/>
    </row>
    <row r="10418" spans="1:4" x14ac:dyDescent="0.2">
      <c r="A10418" s="146"/>
      <c r="D10418" s="496"/>
    </row>
    <row r="10419" spans="1:4" x14ac:dyDescent="0.2">
      <c r="A10419" s="146"/>
      <c r="D10419" s="496"/>
    </row>
    <row r="10420" spans="1:4" x14ac:dyDescent="0.2">
      <c r="A10420" s="146"/>
      <c r="D10420" s="496"/>
    </row>
    <row r="10421" spans="1:4" x14ac:dyDescent="0.2">
      <c r="A10421" s="146"/>
      <c r="D10421" s="496"/>
    </row>
    <row r="10422" spans="1:4" x14ac:dyDescent="0.2">
      <c r="A10422" s="146"/>
      <c r="D10422" s="496"/>
    </row>
    <row r="10423" spans="1:4" x14ac:dyDescent="0.2">
      <c r="A10423" s="146"/>
      <c r="D10423" s="496"/>
    </row>
    <row r="10424" spans="1:4" x14ac:dyDescent="0.2">
      <c r="A10424" s="146"/>
      <c r="D10424" s="496"/>
    </row>
    <row r="10425" spans="1:4" x14ac:dyDescent="0.2">
      <c r="A10425" s="146"/>
      <c r="D10425" s="496"/>
    </row>
    <row r="10426" spans="1:4" x14ac:dyDescent="0.2">
      <c r="A10426" s="146"/>
      <c r="D10426" s="496"/>
    </row>
    <row r="10427" spans="1:4" x14ac:dyDescent="0.2">
      <c r="A10427" s="146"/>
      <c r="D10427" s="496"/>
    </row>
    <row r="10428" spans="1:4" x14ac:dyDescent="0.2">
      <c r="A10428" s="146"/>
      <c r="D10428" s="496"/>
    </row>
    <row r="10429" spans="1:4" x14ac:dyDescent="0.2">
      <c r="A10429" s="146"/>
      <c r="D10429" s="496"/>
    </row>
    <row r="10430" spans="1:4" x14ac:dyDescent="0.2">
      <c r="A10430" s="146"/>
      <c r="D10430" s="496"/>
    </row>
    <row r="10431" spans="1:4" x14ac:dyDescent="0.2">
      <c r="A10431" s="146"/>
      <c r="D10431" s="496"/>
    </row>
    <row r="10432" spans="1:4" x14ac:dyDescent="0.2">
      <c r="A10432" s="146"/>
      <c r="D10432" s="496"/>
    </row>
    <row r="10433" spans="1:4" x14ac:dyDescent="0.2">
      <c r="A10433" s="146"/>
      <c r="D10433" s="496"/>
    </row>
    <row r="10434" spans="1:4" x14ac:dyDescent="0.2">
      <c r="A10434" s="146"/>
      <c r="D10434" s="496"/>
    </row>
    <row r="10435" spans="1:4" x14ac:dyDescent="0.2">
      <c r="A10435" s="146"/>
      <c r="D10435" s="496"/>
    </row>
    <row r="10436" spans="1:4" x14ac:dyDescent="0.2">
      <c r="A10436" s="146"/>
      <c r="D10436" s="496"/>
    </row>
    <row r="10437" spans="1:4" x14ac:dyDescent="0.2">
      <c r="A10437" s="146"/>
      <c r="D10437" s="496"/>
    </row>
    <row r="10438" spans="1:4" x14ac:dyDescent="0.2">
      <c r="A10438" s="146"/>
      <c r="D10438" s="496"/>
    </row>
    <row r="10439" spans="1:4" x14ac:dyDescent="0.2">
      <c r="A10439" s="146"/>
      <c r="D10439" s="496"/>
    </row>
    <row r="10440" spans="1:4" x14ac:dyDescent="0.2">
      <c r="A10440" s="146"/>
      <c r="D10440" s="496"/>
    </row>
    <row r="10441" spans="1:4" x14ac:dyDescent="0.2">
      <c r="A10441" s="146"/>
      <c r="D10441" s="496"/>
    </row>
    <row r="10442" spans="1:4" x14ac:dyDescent="0.2">
      <c r="A10442" s="146"/>
      <c r="D10442" s="496"/>
    </row>
    <row r="10443" spans="1:4" x14ac:dyDescent="0.2">
      <c r="A10443" s="146"/>
      <c r="D10443" s="496"/>
    </row>
    <row r="10444" spans="1:4" x14ac:dyDescent="0.2">
      <c r="A10444" s="146"/>
      <c r="D10444" s="496"/>
    </row>
    <row r="10445" spans="1:4" x14ac:dyDescent="0.2">
      <c r="A10445" s="146"/>
      <c r="D10445" s="496"/>
    </row>
    <row r="10446" spans="1:4" x14ac:dyDescent="0.2">
      <c r="A10446" s="146"/>
      <c r="D10446" s="496"/>
    </row>
    <row r="10447" spans="1:4" x14ac:dyDescent="0.2">
      <c r="A10447" s="146"/>
      <c r="D10447" s="496"/>
    </row>
    <row r="10448" spans="1:4" x14ac:dyDescent="0.2">
      <c r="A10448" s="146"/>
      <c r="D10448" s="496"/>
    </row>
    <row r="10449" spans="1:4" x14ac:dyDescent="0.2">
      <c r="A10449" s="146"/>
      <c r="D10449" s="496"/>
    </row>
    <row r="10450" spans="1:4" x14ac:dyDescent="0.2">
      <c r="A10450" s="146"/>
      <c r="D10450" s="496"/>
    </row>
    <row r="10451" spans="1:4" x14ac:dyDescent="0.2">
      <c r="A10451" s="146"/>
      <c r="D10451" s="496"/>
    </row>
    <row r="10452" spans="1:4" x14ac:dyDescent="0.2">
      <c r="A10452" s="146"/>
      <c r="D10452" s="496"/>
    </row>
    <row r="10453" spans="1:4" x14ac:dyDescent="0.2">
      <c r="A10453" s="146"/>
      <c r="D10453" s="496"/>
    </row>
    <row r="10454" spans="1:4" x14ac:dyDescent="0.2">
      <c r="A10454" s="146"/>
      <c r="D10454" s="496"/>
    </row>
    <row r="10455" spans="1:4" x14ac:dyDescent="0.2">
      <c r="A10455" s="146"/>
      <c r="D10455" s="496"/>
    </row>
    <row r="10456" spans="1:4" x14ac:dyDescent="0.2">
      <c r="A10456" s="146"/>
      <c r="D10456" s="496"/>
    </row>
    <row r="10457" spans="1:4" x14ac:dyDescent="0.2">
      <c r="A10457" s="146"/>
      <c r="D10457" s="496"/>
    </row>
    <row r="10458" spans="1:4" x14ac:dyDescent="0.2">
      <c r="A10458" s="146"/>
      <c r="D10458" s="496"/>
    </row>
    <row r="10459" spans="1:4" x14ac:dyDescent="0.2">
      <c r="A10459" s="146"/>
      <c r="D10459" s="496"/>
    </row>
    <row r="10460" spans="1:4" x14ac:dyDescent="0.2">
      <c r="A10460" s="146"/>
      <c r="D10460" s="496"/>
    </row>
    <row r="10461" spans="1:4" x14ac:dyDescent="0.2">
      <c r="A10461" s="146"/>
      <c r="D10461" s="496"/>
    </row>
    <row r="10462" spans="1:4" x14ac:dyDescent="0.2">
      <c r="A10462" s="146"/>
      <c r="D10462" s="496"/>
    </row>
    <row r="10463" spans="1:4" x14ac:dyDescent="0.2">
      <c r="A10463" s="146"/>
      <c r="D10463" s="496"/>
    </row>
    <row r="10464" spans="1:4" x14ac:dyDescent="0.2">
      <c r="A10464" s="146"/>
      <c r="D10464" s="496"/>
    </row>
    <row r="10465" spans="1:4" x14ac:dyDescent="0.2">
      <c r="A10465" s="146"/>
      <c r="D10465" s="496"/>
    </row>
    <row r="10466" spans="1:4" x14ac:dyDescent="0.2">
      <c r="A10466" s="146"/>
      <c r="D10466" s="496"/>
    </row>
    <row r="10467" spans="1:4" x14ac:dyDescent="0.2">
      <c r="A10467" s="146"/>
      <c r="D10467" s="496"/>
    </row>
    <row r="10468" spans="1:4" x14ac:dyDescent="0.2">
      <c r="A10468" s="146"/>
      <c r="D10468" s="496"/>
    </row>
    <row r="10469" spans="1:4" x14ac:dyDescent="0.2">
      <c r="A10469" s="146"/>
      <c r="D10469" s="496"/>
    </row>
    <row r="10470" spans="1:4" x14ac:dyDescent="0.2">
      <c r="A10470" s="146"/>
      <c r="D10470" s="496"/>
    </row>
    <row r="10471" spans="1:4" x14ac:dyDescent="0.2">
      <c r="A10471" s="146"/>
      <c r="D10471" s="496"/>
    </row>
    <row r="10472" spans="1:4" x14ac:dyDescent="0.2">
      <c r="A10472" s="146"/>
      <c r="D10472" s="496"/>
    </row>
    <row r="10473" spans="1:4" x14ac:dyDescent="0.2">
      <c r="A10473" s="146"/>
      <c r="D10473" s="496"/>
    </row>
    <row r="10474" spans="1:4" x14ac:dyDescent="0.2">
      <c r="A10474" s="146"/>
      <c r="D10474" s="496"/>
    </row>
    <row r="10475" spans="1:4" x14ac:dyDescent="0.2">
      <c r="A10475" s="146"/>
      <c r="D10475" s="496"/>
    </row>
    <row r="10476" spans="1:4" x14ac:dyDescent="0.2">
      <c r="A10476" s="146"/>
      <c r="D10476" s="496"/>
    </row>
    <row r="10477" spans="1:4" x14ac:dyDescent="0.2">
      <c r="A10477" s="146"/>
      <c r="D10477" s="496"/>
    </row>
    <row r="10478" spans="1:4" x14ac:dyDescent="0.2">
      <c r="A10478" s="146"/>
      <c r="D10478" s="496"/>
    </row>
    <row r="10479" spans="1:4" x14ac:dyDescent="0.2">
      <c r="A10479" s="146"/>
      <c r="D10479" s="496"/>
    </row>
    <row r="10480" spans="1:4" x14ac:dyDescent="0.2">
      <c r="A10480" s="146"/>
      <c r="D10480" s="496"/>
    </row>
    <row r="10481" spans="1:4" x14ac:dyDescent="0.2">
      <c r="A10481" s="146"/>
      <c r="D10481" s="496"/>
    </row>
    <row r="10482" spans="1:4" x14ac:dyDescent="0.2">
      <c r="A10482" s="146"/>
      <c r="D10482" s="496"/>
    </row>
    <row r="10483" spans="1:4" x14ac:dyDescent="0.2">
      <c r="A10483" s="146"/>
      <c r="D10483" s="496"/>
    </row>
    <row r="10484" spans="1:4" x14ac:dyDescent="0.2">
      <c r="A10484" s="146"/>
      <c r="D10484" s="496"/>
    </row>
    <row r="10485" spans="1:4" x14ac:dyDescent="0.2">
      <c r="A10485" s="146"/>
      <c r="D10485" s="496"/>
    </row>
    <row r="10486" spans="1:4" x14ac:dyDescent="0.2">
      <c r="A10486" s="146"/>
      <c r="D10486" s="496"/>
    </row>
    <row r="10487" spans="1:4" x14ac:dyDescent="0.2">
      <c r="A10487" s="146"/>
      <c r="D10487" s="496"/>
    </row>
    <row r="10488" spans="1:4" x14ac:dyDescent="0.2">
      <c r="A10488" s="146"/>
      <c r="D10488" s="496"/>
    </row>
    <row r="10489" spans="1:4" x14ac:dyDescent="0.2">
      <c r="A10489" s="146"/>
      <c r="D10489" s="496"/>
    </row>
    <row r="10490" spans="1:4" x14ac:dyDescent="0.2">
      <c r="A10490" s="146"/>
      <c r="D10490" s="496"/>
    </row>
    <row r="10491" spans="1:4" x14ac:dyDescent="0.2">
      <c r="A10491" s="146"/>
      <c r="D10491" s="496"/>
    </row>
    <row r="10492" spans="1:4" x14ac:dyDescent="0.2">
      <c r="A10492" s="146"/>
      <c r="D10492" s="496"/>
    </row>
    <row r="10493" spans="1:4" x14ac:dyDescent="0.2">
      <c r="A10493" s="146"/>
      <c r="D10493" s="496"/>
    </row>
    <row r="10494" spans="1:4" x14ac:dyDescent="0.2">
      <c r="A10494" s="146"/>
      <c r="D10494" s="496"/>
    </row>
    <row r="10495" spans="1:4" x14ac:dyDescent="0.2">
      <c r="A10495" s="146"/>
      <c r="D10495" s="496"/>
    </row>
    <row r="10496" spans="1:4" x14ac:dyDescent="0.2">
      <c r="A10496" s="146"/>
      <c r="D10496" s="496"/>
    </row>
    <row r="10497" spans="1:4" x14ac:dyDescent="0.2">
      <c r="A10497" s="146"/>
      <c r="D10497" s="496"/>
    </row>
    <row r="10498" spans="1:4" x14ac:dyDescent="0.2">
      <c r="A10498" s="146"/>
      <c r="D10498" s="496"/>
    </row>
    <row r="10499" spans="1:4" x14ac:dyDescent="0.2">
      <c r="A10499" s="146"/>
      <c r="D10499" s="496"/>
    </row>
    <row r="10500" spans="1:4" x14ac:dyDescent="0.2">
      <c r="A10500" s="146"/>
      <c r="D10500" s="496"/>
    </row>
    <row r="10501" spans="1:4" x14ac:dyDescent="0.2">
      <c r="A10501" s="146"/>
      <c r="D10501" s="496"/>
    </row>
    <row r="10502" spans="1:4" x14ac:dyDescent="0.2">
      <c r="A10502" s="146"/>
      <c r="D10502" s="496"/>
    </row>
    <row r="10503" spans="1:4" x14ac:dyDescent="0.2">
      <c r="A10503" s="146"/>
      <c r="D10503" s="496"/>
    </row>
    <row r="10504" spans="1:4" x14ac:dyDescent="0.2">
      <c r="A10504" s="146"/>
      <c r="D10504" s="496"/>
    </row>
    <row r="10505" spans="1:4" x14ac:dyDescent="0.2">
      <c r="A10505" s="146"/>
      <c r="D10505" s="496"/>
    </row>
    <row r="10506" spans="1:4" x14ac:dyDescent="0.2">
      <c r="A10506" s="146"/>
      <c r="D10506" s="496"/>
    </row>
    <row r="10507" spans="1:4" x14ac:dyDescent="0.2">
      <c r="A10507" s="146"/>
      <c r="D10507" s="496"/>
    </row>
    <row r="10508" spans="1:4" x14ac:dyDescent="0.2">
      <c r="A10508" s="146"/>
      <c r="D10508" s="496"/>
    </row>
    <row r="10509" spans="1:4" x14ac:dyDescent="0.2">
      <c r="A10509" s="146"/>
      <c r="D10509" s="496"/>
    </row>
    <row r="10510" spans="1:4" x14ac:dyDescent="0.2">
      <c r="A10510" s="146"/>
      <c r="D10510" s="496"/>
    </row>
    <row r="10511" spans="1:4" x14ac:dyDescent="0.2">
      <c r="A10511" s="146"/>
      <c r="D10511" s="496"/>
    </row>
    <row r="10512" spans="1:4" x14ac:dyDescent="0.2">
      <c r="A10512" s="146"/>
      <c r="D10512" s="496"/>
    </row>
    <row r="10513" spans="1:4" x14ac:dyDescent="0.2">
      <c r="A10513" s="146"/>
      <c r="D10513" s="496"/>
    </row>
    <row r="10514" spans="1:4" x14ac:dyDescent="0.2">
      <c r="A10514" s="146"/>
      <c r="D10514" s="496"/>
    </row>
    <row r="10515" spans="1:4" x14ac:dyDescent="0.2">
      <c r="A10515" s="146"/>
      <c r="D10515" s="496"/>
    </row>
    <row r="10516" spans="1:4" x14ac:dyDescent="0.2">
      <c r="A10516" s="146"/>
      <c r="D10516" s="496"/>
    </row>
    <row r="10517" spans="1:4" x14ac:dyDescent="0.2">
      <c r="A10517" s="146"/>
      <c r="D10517" s="496"/>
    </row>
    <row r="10518" spans="1:4" x14ac:dyDescent="0.2">
      <c r="A10518" s="146"/>
      <c r="D10518" s="496"/>
    </row>
    <row r="10519" spans="1:4" x14ac:dyDescent="0.2">
      <c r="A10519" s="146"/>
      <c r="D10519" s="496"/>
    </row>
    <row r="10520" spans="1:4" x14ac:dyDescent="0.2">
      <c r="A10520" s="146"/>
      <c r="D10520" s="496"/>
    </row>
    <row r="10521" spans="1:4" x14ac:dyDescent="0.2">
      <c r="A10521" s="146"/>
      <c r="D10521" s="496"/>
    </row>
    <row r="10522" spans="1:4" x14ac:dyDescent="0.2">
      <c r="A10522" s="146"/>
      <c r="D10522" s="496"/>
    </row>
    <row r="10523" spans="1:4" x14ac:dyDescent="0.2">
      <c r="A10523" s="146"/>
      <c r="D10523" s="496"/>
    </row>
    <row r="10524" spans="1:4" x14ac:dyDescent="0.2">
      <c r="A10524" s="146"/>
      <c r="D10524" s="496"/>
    </row>
    <row r="10525" spans="1:4" x14ac:dyDescent="0.2">
      <c r="A10525" s="146"/>
      <c r="D10525" s="496"/>
    </row>
    <row r="10526" spans="1:4" x14ac:dyDescent="0.2">
      <c r="A10526" s="146"/>
      <c r="D10526" s="496"/>
    </row>
    <row r="10527" spans="1:4" x14ac:dyDescent="0.2">
      <c r="A10527" s="146"/>
      <c r="D10527" s="496"/>
    </row>
    <row r="10528" spans="1:4" x14ac:dyDescent="0.2">
      <c r="A10528" s="146"/>
      <c r="D10528" s="496"/>
    </row>
    <row r="10529" spans="1:4" x14ac:dyDescent="0.2">
      <c r="A10529" s="146"/>
      <c r="D10529" s="496"/>
    </row>
    <row r="10530" spans="1:4" x14ac:dyDescent="0.2">
      <c r="A10530" s="146"/>
      <c r="D10530" s="496"/>
    </row>
    <row r="10531" spans="1:4" x14ac:dyDescent="0.2">
      <c r="A10531" s="146"/>
      <c r="D10531" s="496"/>
    </row>
    <row r="10532" spans="1:4" x14ac:dyDescent="0.2">
      <c r="A10532" s="146"/>
      <c r="D10532" s="496"/>
    </row>
    <row r="10533" spans="1:4" x14ac:dyDescent="0.2">
      <c r="A10533" s="146"/>
      <c r="D10533" s="496"/>
    </row>
    <row r="10534" spans="1:4" x14ac:dyDescent="0.2">
      <c r="A10534" s="146"/>
      <c r="D10534" s="496"/>
    </row>
    <row r="10535" spans="1:4" x14ac:dyDescent="0.2">
      <c r="A10535" s="146"/>
      <c r="D10535" s="496"/>
    </row>
    <row r="10536" spans="1:4" x14ac:dyDescent="0.2">
      <c r="A10536" s="146"/>
      <c r="D10536" s="496"/>
    </row>
    <row r="10537" spans="1:4" x14ac:dyDescent="0.2">
      <c r="A10537" s="146"/>
      <c r="D10537" s="496"/>
    </row>
    <row r="10538" spans="1:4" x14ac:dyDescent="0.2">
      <c r="A10538" s="146"/>
      <c r="D10538" s="496"/>
    </row>
    <row r="10539" spans="1:4" x14ac:dyDescent="0.2">
      <c r="A10539" s="146"/>
      <c r="D10539" s="496"/>
    </row>
    <row r="10540" spans="1:4" x14ac:dyDescent="0.2">
      <c r="A10540" s="146"/>
      <c r="D10540" s="496"/>
    </row>
    <row r="10541" spans="1:4" x14ac:dyDescent="0.2">
      <c r="A10541" s="146"/>
      <c r="D10541" s="496"/>
    </row>
    <row r="10542" spans="1:4" x14ac:dyDescent="0.2">
      <c r="A10542" s="146"/>
      <c r="D10542" s="496"/>
    </row>
    <row r="10543" spans="1:4" x14ac:dyDescent="0.2">
      <c r="A10543" s="146"/>
      <c r="D10543" s="496"/>
    </row>
    <row r="10544" spans="1:4" x14ac:dyDescent="0.2">
      <c r="A10544" s="146"/>
      <c r="D10544" s="496"/>
    </row>
    <row r="10545" spans="1:4" x14ac:dyDescent="0.2">
      <c r="A10545" s="146"/>
      <c r="D10545" s="496"/>
    </row>
    <row r="10546" spans="1:4" x14ac:dyDescent="0.2">
      <c r="A10546" s="146"/>
      <c r="D10546" s="496"/>
    </row>
    <row r="10547" spans="1:4" x14ac:dyDescent="0.2">
      <c r="A10547" s="146"/>
      <c r="D10547" s="496"/>
    </row>
    <row r="10548" spans="1:4" x14ac:dyDescent="0.2">
      <c r="A10548" s="146"/>
      <c r="D10548" s="496"/>
    </row>
    <row r="10549" spans="1:4" x14ac:dyDescent="0.2">
      <c r="A10549" s="146"/>
      <c r="D10549" s="496"/>
    </row>
    <row r="10550" spans="1:4" x14ac:dyDescent="0.2">
      <c r="A10550" s="146"/>
      <c r="D10550" s="496"/>
    </row>
    <row r="10551" spans="1:4" x14ac:dyDescent="0.2">
      <c r="A10551" s="146"/>
      <c r="D10551" s="496"/>
    </row>
    <row r="10552" spans="1:4" x14ac:dyDescent="0.2">
      <c r="A10552" s="146"/>
      <c r="D10552" s="496"/>
    </row>
    <row r="10553" spans="1:4" x14ac:dyDescent="0.2">
      <c r="A10553" s="146"/>
      <c r="D10553" s="496"/>
    </row>
    <row r="10554" spans="1:4" x14ac:dyDescent="0.2">
      <c r="A10554" s="146"/>
      <c r="D10554" s="496"/>
    </row>
    <row r="10555" spans="1:4" x14ac:dyDescent="0.2">
      <c r="A10555" s="146"/>
      <c r="D10555" s="496"/>
    </row>
    <row r="10556" spans="1:4" x14ac:dyDescent="0.2">
      <c r="A10556" s="146"/>
      <c r="D10556" s="496"/>
    </row>
    <row r="10557" spans="1:4" x14ac:dyDescent="0.2">
      <c r="A10557" s="146"/>
      <c r="D10557" s="496"/>
    </row>
    <row r="10558" spans="1:4" x14ac:dyDescent="0.2">
      <c r="A10558" s="146"/>
      <c r="D10558" s="496"/>
    </row>
    <row r="10559" spans="1:4" x14ac:dyDescent="0.2">
      <c r="A10559" s="146"/>
      <c r="D10559" s="496"/>
    </row>
    <row r="10560" spans="1:4" x14ac:dyDescent="0.2">
      <c r="A10560" s="146"/>
      <c r="D10560" s="496"/>
    </row>
    <row r="10561" spans="1:4" x14ac:dyDescent="0.2">
      <c r="A10561" s="146"/>
      <c r="D10561" s="496"/>
    </row>
    <row r="10562" spans="1:4" x14ac:dyDescent="0.2">
      <c r="A10562" s="146"/>
      <c r="D10562" s="496"/>
    </row>
    <row r="10563" spans="1:4" x14ac:dyDescent="0.2">
      <c r="A10563" s="146"/>
      <c r="D10563" s="496"/>
    </row>
    <row r="10564" spans="1:4" x14ac:dyDescent="0.2">
      <c r="A10564" s="146"/>
      <c r="D10564" s="496"/>
    </row>
    <row r="10565" spans="1:4" x14ac:dyDescent="0.2">
      <c r="A10565" s="146"/>
      <c r="D10565" s="496"/>
    </row>
    <row r="10566" spans="1:4" x14ac:dyDescent="0.2">
      <c r="A10566" s="146"/>
      <c r="D10566" s="496"/>
    </row>
    <row r="10567" spans="1:4" x14ac:dyDescent="0.2">
      <c r="A10567" s="146"/>
      <c r="D10567" s="496"/>
    </row>
    <row r="10568" spans="1:4" x14ac:dyDescent="0.2">
      <c r="A10568" s="146"/>
      <c r="D10568" s="496"/>
    </row>
    <row r="10569" spans="1:4" x14ac:dyDescent="0.2">
      <c r="A10569" s="146"/>
      <c r="D10569" s="496"/>
    </row>
    <row r="10570" spans="1:4" x14ac:dyDescent="0.2">
      <c r="A10570" s="146"/>
      <c r="D10570" s="496"/>
    </row>
    <row r="10571" spans="1:4" x14ac:dyDescent="0.2">
      <c r="A10571" s="146"/>
      <c r="D10571" s="496"/>
    </row>
    <row r="10572" spans="1:4" x14ac:dyDescent="0.2">
      <c r="A10572" s="146"/>
      <c r="D10572" s="496"/>
    </row>
    <row r="10573" spans="1:4" x14ac:dyDescent="0.2">
      <c r="A10573" s="146"/>
      <c r="D10573" s="496"/>
    </row>
    <row r="10574" spans="1:4" x14ac:dyDescent="0.2">
      <c r="A10574" s="146"/>
      <c r="D10574" s="496"/>
    </row>
    <row r="10575" spans="1:4" x14ac:dyDescent="0.2">
      <c r="A10575" s="146"/>
      <c r="D10575" s="496"/>
    </row>
    <row r="10576" spans="1:4" x14ac:dyDescent="0.2">
      <c r="A10576" s="146"/>
      <c r="D10576" s="496"/>
    </row>
    <row r="10577" spans="1:4" x14ac:dyDescent="0.2">
      <c r="A10577" s="146"/>
      <c r="D10577" s="496"/>
    </row>
    <row r="10578" spans="1:4" x14ac:dyDescent="0.2">
      <c r="A10578" s="146"/>
      <c r="D10578" s="496"/>
    </row>
    <row r="10579" spans="1:4" x14ac:dyDescent="0.2">
      <c r="A10579" s="146"/>
      <c r="D10579" s="496"/>
    </row>
    <row r="10580" spans="1:4" x14ac:dyDescent="0.2">
      <c r="A10580" s="146"/>
      <c r="D10580" s="496"/>
    </row>
    <row r="10581" spans="1:4" x14ac:dyDescent="0.2">
      <c r="A10581" s="146"/>
      <c r="D10581" s="496"/>
    </row>
    <row r="10582" spans="1:4" x14ac:dyDescent="0.2">
      <c r="A10582" s="146"/>
      <c r="D10582" s="496"/>
    </row>
    <row r="10583" spans="1:4" x14ac:dyDescent="0.2">
      <c r="A10583" s="146"/>
      <c r="D10583" s="496"/>
    </row>
    <row r="10584" spans="1:4" x14ac:dyDescent="0.2">
      <c r="A10584" s="146"/>
      <c r="D10584" s="496"/>
    </row>
    <row r="10585" spans="1:4" x14ac:dyDescent="0.2">
      <c r="A10585" s="146"/>
      <c r="D10585" s="496"/>
    </row>
    <row r="10586" spans="1:4" x14ac:dyDescent="0.2">
      <c r="A10586" s="146"/>
      <c r="D10586" s="496"/>
    </row>
    <row r="10587" spans="1:4" x14ac:dyDescent="0.2">
      <c r="A10587" s="146"/>
      <c r="D10587" s="496"/>
    </row>
    <row r="10588" spans="1:4" x14ac:dyDescent="0.2">
      <c r="A10588" s="146"/>
      <c r="D10588" s="496"/>
    </row>
    <row r="10589" spans="1:4" x14ac:dyDescent="0.2">
      <c r="A10589" s="146"/>
      <c r="D10589" s="496"/>
    </row>
    <row r="10590" spans="1:4" x14ac:dyDescent="0.2">
      <c r="A10590" s="146"/>
      <c r="D10590" s="496"/>
    </row>
    <row r="10591" spans="1:4" x14ac:dyDescent="0.2">
      <c r="A10591" s="146"/>
      <c r="D10591" s="496"/>
    </row>
    <row r="10592" spans="1:4" x14ac:dyDescent="0.2">
      <c r="A10592" s="146"/>
      <c r="D10592" s="496"/>
    </row>
    <row r="10593" spans="1:4" x14ac:dyDescent="0.2">
      <c r="A10593" s="146"/>
      <c r="D10593" s="496"/>
    </row>
    <row r="10594" spans="1:4" x14ac:dyDescent="0.2">
      <c r="A10594" s="146"/>
      <c r="D10594" s="496"/>
    </row>
    <row r="10595" spans="1:4" x14ac:dyDescent="0.2">
      <c r="A10595" s="146"/>
      <c r="D10595" s="496"/>
    </row>
    <row r="10596" spans="1:4" x14ac:dyDescent="0.2">
      <c r="A10596" s="146"/>
      <c r="D10596" s="496"/>
    </row>
    <row r="10597" spans="1:4" x14ac:dyDescent="0.2">
      <c r="A10597" s="146"/>
      <c r="D10597" s="496"/>
    </row>
    <row r="10598" spans="1:4" x14ac:dyDescent="0.2">
      <c r="A10598" s="146"/>
      <c r="D10598" s="496"/>
    </row>
    <row r="10599" spans="1:4" x14ac:dyDescent="0.2">
      <c r="A10599" s="146"/>
      <c r="D10599" s="496"/>
    </row>
    <row r="10600" spans="1:4" x14ac:dyDescent="0.2">
      <c r="A10600" s="146"/>
      <c r="D10600" s="496"/>
    </row>
    <row r="10601" spans="1:4" x14ac:dyDescent="0.2">
      <c r="A10601" s="146"/>
      <c r="D10601" s="496"/>
    </row>
    <row r="10602" spans="1:4" x14ac:dyDescent="0.2">
      <c r="A10602" s="146"/>
      <c r="D10602" s="496"/>
    </row>
    <row r="10603" spans="1:4" x14ac:dyDescent="0.2">
      <c r="A10603" s="146"/>
      <c r="D10603" s="496"/>
    </row>
    <row r="10604" spans="1:4" x14ac:dyDescent="0.2">
      <c r="A10604" s="146"/>
      <c r="D10604" s="496"/>
    </row>
    <row r="10605" spans="1:4" x14ac:dyDescent="0.2">
      <c r="A10605" s="146"/>
      <c r="D10605" s="496"/>
    </row>
    <row r="10606" spans="1:4" x14ac:dyDescent="0.2">
      <c r="A10606" s="146"/>
      <c r="D10606" s="496"/>
    </row>
    <row r="10607" spans="1:4" x14ac:dyDescent="0.2">
      <c r="A10607" s="146"/>
      <c r="D10607" s="496"/>
    </row>
    <row r="10608" spans="1:4" x14ac:dyDescent="0.2">
      <c r="A10608" s="146"/>
      <c r="D10608" s="496"/>
    </row>
    <row r="10609" spans="1:4" x14ac:dyDescent="0.2">
      <c r="A10609" s="146"/>
      <c r="D10609" s="496"/>
    </row>
    <row r="10610" spans="1:4" x14ac:dyDescent="0.2">
      <c r="A10610" s="146"/>
      <c r="D10610" s="496"/>
    </row>
    <row r="10611" spans="1:4" x14ac:dyDescent="0.2">
      <c r="A10611" s="146"/>
      <c r="D10611" s="496"/>
    </row>
    <row r="10612" spans="1:4" x14ac:dyDescent="0.2">
      <c r="A10612" s="146"/>
      <c r="D10612" s="496"/>
    </row>
    <row r="10613" spans="1:4" x14ac:dyDescent="0.2">
      <c r="A10613" s="146"/>
      <c r="D10613" s="496"/>
    </row>
    <row r="10614" spans="1:4" x14ac:dyDescent="0.2">
      <c r="A10614" s="146"/>
      <c r="D10614" s="496"/>
    </row>
    <row r="10615" spans="1:4" x14ac:dyDescent="0.2">
      <c r="A10615" s="146"/>
      <c r="D10615" s="496"/>
    </row>
    <row r="10616" spans="1:4" x14ac:dyDescent="0.2">
      <c r="A10616" s="146"/>
      <c r="D10616" s="496"/>
    </row>
    <row r="10617" spans="1:4" x14ac:dyDescent="0.2">
      <c r="A10617" s="146"/>
      <c r="D10617" s="496"/>
    </row>
    <row r="10618" spans="1:4" x14ac:dyDescent="0.2">
      <c r="A10618" s="146"/>
      <c r="D10618" s="496"/>
    </row>
    <row r="10619" spans="1:4" x14ac:dyDescent="0.2">
      <c r="A10619" s="146"/>
      <c r="D10619" s="496"/>
    </row>
    <row r="10620" spans="1:4" x14ac:dyDescent="0.2">
      <c r="A10620" s="146"/>
      <c r="D10620" s="496"/>
    </row>
    <row r="10621" spans="1:4" x14ac:dyDescent="0.2">
      <c r="A10621" s="146"/>
      <c r="D10621" s="496"/>
    </row>
    <row r="10622" spans="1:4" x14ac:dyDescent="0.2">
      <c r="A10622" s="146"/>
      <c r="D10622" s="496"/>
    </row>
    <row r="10623" spans="1:4" x14ac:dyDescent="0.2">
      <c r="A10623" s="146"/>
      <c r="D10623" s="496"/>
    </row>
    <row r="10624" spans="1:4" x14ac:dyDescent="0.2">
      <c r="A10624" s="146"/>
      <c r="D10624" s="496"/>
    </row>
    <row r="10625" spans="1:4" x14ac:dyDescent="0.2">
      <c r="A10625" s="146"/>
      <c r="D10625" s="496"/>
    </row>
    <row r="10626" spans="1:4" x14ac:dyDescent="0.2">
      <c r="A10626" s="146"/>
      <c r="D10626" s="496"/>
    </row>
    <row r="10627" spans="1:4" x14ac:dyDescent="0.2">
      <c r="A10627" s="146"/>
      <c r="D10627" s="496"/>
    </row>
    <row r="10628" spans="1:4" x14ac:dyDescent="0.2">
      <c r="A10628" s="146"/>
      <c r="D10628" s="496"/>
    </row>
    <row r="10629" spans="1:4" x14ac:dyDescent="0.2">
      <c r="A10629" s="146"/>
      <c r="D10629" s="496"/>
    </row>
    <row r="10630" spans="1:4" x14ac:dyDescent="0.2">
      <c r="A10630" s="146"/>
      <c r="D10630" s="496"/>
    </row>
    <row r="10631" spans="1:4" x14ac:dyDescent="0.2">
      <c r="A10631" s="146"/>
      <c r="D10631" s="496"/>
    </row>
    <row r="10632" spans="1:4" x14ac:dyDescent="0.2">
      <c r="A10632" s="146"/>
      <c r="D10632" s="496"/>
    </row>
    <row r="10633" spans="1:4" x14ac:dyDescent="0.2">
      <c r="A10633" s="146"/>
      <c r="D10633" s="496"/>
    </row>
    <row r="10634" spans="1:4" x14ac:dyDescent="0.2">
      <c r="A10634" s="146"/>
      <c r="D10634" s="496"/>
    </row>
    <row r="10635" spans="1:4" x14ac:dyDescent="0.2">
      <c r="A10635" s="146"/>
      <c r="D10635" s="496"/>
    </row>
    <row r="10636" spans="1:4" x14ac:dyDescent="0.2">
      <c r="A10636" s="146"/>
      <c r="D10636" s="496"/>
    </row>
    <row r="10637" spans="1:4" x14ac:dyDescent="0.2">
      <c r="A10637" s="146"/>
      <c r="D10637" s="496"/>
    </row>
    <row r="10638" spans="1:4" x14ac:dyDescent="0.2">
      <c r="A10638" s="146"/>
      <c r="D10638" s="496"/>
    </row>
    <row r="10639" spans="1:4" x14ac:dyDescent="0.2">
      <c r="A10639" s="146"/>
      <c r="D10639" s="496"/>
    </row>
    <row r="10640" spans="1:4" x14ac:dyDescent="0.2">
      <c r="A10640" s="146"/>
      <c r="D10640" s="496"/>
    </row>
    <row r="10641" spans="1:4" x14ac:dyDescent="0.2">
      <c r="A10641" s="146"/>
      <c r="D10641" s="496"/>
    </row>
    <row r="10642" spans="1:4" x14ac:dyDescent="0.2">
      <c r="A10642" s="146"/>
      <c r="D10642" s="496"/>
    </row>
    <row r="10643" spans="1:4" x14ac:dyDescent="0.2">
      <c r="A10643" s="146"/>
      <c r="D10643" s="496"/>
    </row>
    <row r="10644" spans="1:4" x14ac:dyDescent="0.2">
      <c r="A10644" s="146"/>
      <c r="D10644" s="496"/>
    </row>
    <row r="10645" spans="1:4" x14ac:dyDescent="0.2">
      <c r="A10645" s="146"/>
      <c r="D10645" s="496"/>
    </row>
    <row r="10646" spans="1:4" x14ac:dyDescent="0.2">
      <c r="A10646" s="146"/>
      <c r="D10646" s="496"/>
    </row>
    <row r="10647" spans="1:4" x14ac:dyDescent="0.2">
      <c r="A10647" s="146"/>
      <c r="D10647" s="496"/>
    </row>
    <row r="10648" spans="1:4" x14ac:dyDescent="0.2">
      <c r="A10648" s="146"/>
      <c r="D10648" s="496"/>
    </row>
    <row r="10649" spans="1:4" x14ac:dyDescent="0.2">
      <c r="A10649" s="146"/>
      <c r="D10649" s="496"/>
    </row>
    <row r="10650" spans="1:4" x14ac:dyDescent="0.2">
      <c r="A10650" s="146"/>
      <c r="D10650" s="496"/>
    </row>
    <row r="10651" spans="1:4" x14ac:dyDescent="0.2">
      <c r="A10651" s="146"/>
      <c r="D10651" s="496"/>
    </row>
    <row r="10652" spans="1:4" x14ac:dyDescent="0.2">
      <c r="A10652" s="146"/>
      <c r="D10652" s="496"/>
    </row>
    <row r="10653" spans="1:4" x14ac:dyDescent="0.2">
      <c r="A10653" s="146"/>
      <c r="D10653" s="496"/>
    </row>
    <row r="10654" spans="1:4" x14ac:dyDescent="0.2">
      <c r="A10654" s="146"/>
      <c r="D10654" s="496"/>
    </row>
    <row r="10655" spans="1:4" x14ac:dyDescent="0.2">
      <c r="A10655" s="146"/>
      <c r="D10655" s="496"/>
    </row>
    <row r="10656" spans="1:4" x14ac:dyDescent="0.2">
      <c r="A10656" s="146"/>
      <c r="D10656" s="496"/>
    </row>
    <row r="10657" spans="1:4" x14ac:dyDescent="0.2">
      <c r="A10657" s="146"/>
      <c r="D10657" s="496"/>
    </row>
    <row r="10658" spans="1:4" x14ac:dyDescent="0.2">
      <c r="A10658" s="146"/>
      <c r="D10658" s="496"/>
    </row>
    <row r="10659" spans="1:4" x14ac:dyDescent="0.2">
      <c r="A10659" s="146"/>
      <c r="D10659" s="496"/>
    </row>
    <row r="10660" spans="1:4" x14ac:dyDescent="0.2">
      <c r="A10660" s="146"/>
      <c r="D10660" s="496"/>
    </row>
    <row r="10661" spans="1:4" x14ac:dyDescent="0.2">
      <c r="A10661" s="146"/>
      <c r="D10661" s="496"/>
    </row>
    <row r="10662" spans="1:4" x14ac:dyDescent="0.2">
      <c r="A10662" s="146"/>
      <c r="D10662" s="496"/>
    </row>
    <row r="10663" spans="1:4" x14ac:dyDescent="0.2">
      <c r="A10663" s="146"/>
      <c r="D10663" s="496"/>
    </row>
    <row r="10664" spans="1:4" x14ac:dyDescent="0.2">
      <c r="A10664" s="146"/>
      <c r="D10664" s="496"/>
    </row>
    <row r="10665" spans="1:4" x14ac:dyDescent="0.2">
      <c r="A10665" s="146"/>
      <c r="D10665" s="496"/>
    </row>
    <row r="10666" spans="1:4" x14ac:dyDescent="0.2">
      <c r="A10666" s="146"/>
      <c r="D10666" s="496"/>
    </row>
    <row r="10667" spans="1:4" x14ac:dyDescent="0.2">
      <c r="A10667" s="146"/>
      <c r="D10667" s="496"/>
    </row>
    <row r="10668" spans="1:4" x14ac:dyDescent="0.2">
      <c r="A10668" s="146"/>
      <c r="D10668" s="496"/>
    </row>
    <row r="10669" spans="1:4" x14ac:dyDescent="0.2">
      <c r="A10669" s="146"/>
      <c r="D10669" s="496"/>
    </row>
    <row r="10670" spans="1:4" x14ac:dyDescent="0.2">
      <c r="A10670" s="146"/>
      <c r="D10670" s="496"/>
    </row>
    <row r="10671" spans="1:4" x14ac:dyDescent="0.2">
      <c r="A10671" s="146"/>
      <c r="D10671" s="496"/>
    </row>
    <row r="10672" spans="1:4" x14ac:dyDescent="0.2">
      <c r="A10672" s="146"/>
      <c r="D10672" s="496"/>
    </row>
    <row r="10673" spans="1:4" x14ac:dyDescent="0.2">
      <c r="A10673" s="146"/>
      <c r="D10673" s="496"/>
    </row>
    <row r="10674" spans="1:4" x14ac:dyDescent="0.2">
      <c r="A10674" s="146"/>
      <c r="D10674" s="496"/>
    </row>
    <row r="10675" spans="1:4" x14ac:dyDescent="0.2">
      <c r="A10675" s="146"/>
      <c r="D10675" s="496"/>
    </row>
    <row r="10676" spans="1:4" x14ac:dyDescent="0.2">
      <c r="A10676" s="146"/>
      <c r="D10676" s="496"/>
    </row>
    <row r="10677" spans="1:4" x14ac:dyDescent="0.2">
      <c r="A10677" s="146"/>
      <c r="D10677" s="496"/>
    </row>
    <row r="10678" spans="1:4" x14ac:dyDescent="0.2">
      <c r="A10678" s="146"/>
      <c r="D10678" s="496"/>
    </row>
    <row r="10679" spans="1:4" x14ac:dyDescent="0.2">
      <c r="A10679" s="146"/>
      <c r="D10679" s="496"/>
    </row>
    <row r="10680" spans="1:4" x14ac:dyDescent="0.2">
      <c r="A10680" s="146"/>
      <c r="D10680" s="496"/>
    </row>
    <row r="10681" spans="1:4" x14ac:dyDescent="0.2">
      <c r="A10681" s="146"/>
      <c r="D10681" s="496"/>
    </row>
    <row r="10682" spans="1:4" x14ac:dyDescent="0.2">
      <c r="A10682" s="146"/>
      <c r="D10682" s="496"/>
    </row>
    <row r="10683" spans="1:4" x14ac:dyDescent="0.2">
      <c r="A10683" s="146"/>
      <c r="D10683" s="496"/>
    </row>
    <row r="10684" spans="1:4" x14ac:dyDescent="0.2">
      <c r="A10684" s="146"/>
      <c r="D10684" s="496"/>
    </row>
    <row r="10685" spans="1:4" x14ac:dyDescent="0.2">
      <c r="A10685" s="146"/>
      <c r="D10685" s="496"/>
    </row>
    <row r="10686" spans="1:4" x14ac:dyDescent="0.2">
      <c r="A10686" s="146"/>
      <c r="D10686" s="496"/>
    </row>
    <row r="10687" spans="1:4" x14ac:dyDescent="0.2">
      <c r="A10687" s="146"/>
      <c r="D10687" s="496"/>
    </row>
    <row r="10688" spans="1:4" x14ac:dyDescent="0.2">
      <c r="A10688" s="146"/>
      <c r="D10688" s="496"/>
    </row>
    <row r="10689" spans="1:4" x14ac:dyDescent="0.2">
      <c r="A10689" s="146"/>
      <c r="D10689" s="496"/>
    </row>
    <row r="10690" spans="1:4" x14ac:dyDescent="0.2">
      <c r="A10690" s="146"/>
      <c r="D10690" s="496"/>
    </row>
    <row r="10691" spans="1:4" x14ac:dyDescent="0.2">
      <c r="A10691" s="146"/>
      <c r="D10691" s="496"/>
    </row>
    <row r="10692" spans="1:4" x14ac:dyDescent="0.2">
      <c r="A10692" s="146"/>
      <c r="D10692" s="496"/>
    </row>
    <row r="10693" spans="1:4" x14ac:dyDescent="0.2">
      <c r="A10693" s="146"/>
      <c r="D10693" s="496"/>
    </row>
    <row r="10694" spans="1:4" x14ac:dyDescent="0.2">
      <c r="A10694" s="146"/>
      <c r="D10694" s="496"/>
    </row>
    <row r="10695" spans="1:4" x14ac:dyDescent="0.2">
      <c r="A10695" s="146"/>
      <c r="D10695" s="496"/>
    </row>
    <row r="10696" spans="1:4" x14ac:dyDescent="0.2">
      <c r="A10696" s="146"/>
      <c r="D10696" s="496"/>
    </row>
    <row r="10697" spans="1:4" x14ac:dyDescent="0.2">
      <c r="A10697" s="146"/>
      <c r="D10697" s="496"/>
    </row>
    <row r="10698" spans="1:4" x14ac:dyDescent="0.2">
      <c r="A10698" s="146"/>
      <c r="D10698" s="496"/>
    </row>
    <row r="10699" spans="1:4" x14ac:dyDescent="0.2">
      <c r="A10699" s="146"/>
      <c r="D10699" s="496"/>
    </row>
    <row r="10700" spans="1:4" x14ac:dyDescent="0.2">
      <c r="A10700" s="146"/>
      <c r="D10700" s="496"/>
    </row>
    <row r="10701" spans="1:4" x14ac:dyDescent="0.2">
      <c r="A10701" s="146"/>
      <c r="D10701" s="496"/>
    </row>
    <row r="10702" spans="1:4" x14ac:dyDescent="0.2">
      <c r="A10702" s="146"/>
      <c r="D10702" s="496"/>
    </row>
    <row r="10703" spans="1:4" x14ac:dyDescent="0.2">
      <c r="A10703" s="146"/>
      <c r="D10703" s="496"/>
    </row>
    <row r="10704" spans="1:4" x14ac:dyDescent="0.2">
      <c r="A10704" s="146"/>
      <c r="D10704" s="496"/>
    </row>
    <row r="10705" spans="1:4" x14ac:dyDescent="0.2">
      <c r="A10705" s="146"/>
      <c r="D10705" s="496"/>
    </row>
    <row r="10706" spans="1:4" x14ac:dyDescent="0.2">
      <c r="A10706" s="146"/>
      <c r="D10706" s="496"/>
    </row>
    <row r="10707" spans="1:4" x14ac:dyDescent="0.2">
      <c r="A10707" s="146"/>
      <c r="D10707" s="496"/>
    </row>
    <row r="10708" spans="1:4" x14ac:dyDescent="0.2">
      <c r="A10708" s="146"/>
      <c r="D10708" s="496"/>
    </row>
    <row r="10709" spans="1:4" x14ac:dyDescent="0.2">
      <c r="A10709" s="146"/>
      <c r="D10709" s="496"/>
    </row>
    <row r="10710" spans="1:4" x14ac:dyDescent="0.2">
      <c r="A10710" s="146"/>
      <c r="D10710" s="496"/>
    </row>
    <row r="10711" spans="1:4" x14ac:dyDescent="0.2">
      <c r="A10711" s="146"/>
      <c r="D10711" s="496"/>
    </row>
    <row r="10712" spans="1:4" x14ac:dyDescent="0.2">
      <c r="A10712" s="146"/>
      <c r="D10712" s="496"/>
    </row>
    <row r="10713" spans="1:4" x14ac:dyDescent="0.2">
      <c r="A10713" s="146"/>
      <c r="D10713" s="496"/>
    </row>
    <row r="10714" spans="1:4" x14ac:dyDescent="0.2">
      <c r="A10714" s="146"/>
      <c r="D10714" s="496"/>
    </row>
    <row r="10715" spans="1:4" x14ac:dyDescent="0.2">
      <c r="A10715" s="146"/>
      <c r="D10715" s="496"/>
    </row>
    <row r="10716" spans="1:4" x14ac:dyDescent="0.2">
      <c r="A10716" s="146"/>
      <c r="D10716" s="496"/>
    </row>
    <row r="10717" spans="1:4" x14ac:dyDescent="0.2">
      <c r="A10717" s="146"/>
      <c r="D10717" s="496"/>
    </row>
    <row r="10718" spans="1:4" x14ac:dyDescent="0.2">
      <c r="A10718" s="146"/>
      <c r="D10718" s="496"/>
    </row>
    <row r="10719" spans="1:4" x14ac:dyDescent="0.2">
      <c r="A10719" s="146"/>
      <c r="D10719" s="496"/>
    </row>
    <row r="10720" spans="1:4" x14ac:dyDescent="0.2">
      <c r="A10720" s="146"/>
      <c r="D10720" s="496"/>
    </row>
    <row r="10721" spans="1:4" x14ac:dyDescent="0.2">
      <c r="A10721" s="146"/>
      <c r="D10721" s="496"/>
    </row>
    <row r="10722" spans="1:4" x14ac:dyDescent="0.2">
      <c r="A10722" s="146"/>
      <c r="D10722" s="496"/>
    </row>
    <row r="10723" spans="1:4" x14ac:dyDescent="0.2">
      <c r="A10723" s="146"/>
      <c r="D10723" s="496"/>
    </row>
    <row r="10724" spans="1:4" x14ac:dyDescent="0.2">
      <c r="A10724" s="146"/>
      <c r="D10724" s="496"/>
    </row>
    <row r="10725" spans="1:4" x14ac:dyDescent="0.2">
      <c r="A10725" s="146"/>
      <c r="D10725" s="496"/>
    </row>
    <row r="10726" spans="1:4" x14ac:dyDescent="0.2">
      <c r="A10726" s="146"/>
      <c r="D10726" s="496"/>
    </row>
    <row r="10727" spans="1:4" x14ac:dyDescent="0.2">
      <c r="A10727" s="146"/>
      <c r="D10727" s="496"/>
    </row>
    <row r="10728" spans="1:4" x14ac:dyDescent="0.2">
      <c r="A10728" s="146"/>
      <c r="D10728" s="496"/>
    </row>
    <row r="10729" spans="1:4" x14ac:dyDescent="0.2">
      <c r="A10729" s="146"/>
      <c r="D10729" s="496"/>
    </row>
    <row r="10730" spans="1:4" x14ac:dyDescent="0.2">
      <c r="A10730" s="146"/>
      <c r="D10730" s="496"/>
    </row>
    <row r="10731" spans="1:4" x14ac:dyDescent="0.2">
      <c r="A10731" s="146"/>
      <c r="D10731" s="496"/>
    </row>
    <row r="10732" spans="1:4" x14ac:dyDescent="0.2">
      <c r="A10732" s="146"/>
      <c r="D10732" s="496"/>
    </row>
    <row r="10733" spans="1:4" x14ac:dyDescent="0.2">
      <c r="A10733" s="146"/>
      <c r="D10733" s="496"/>
    </row>
    <row r="10734" spans="1:4" x14ac:dyDescent="0.2">
      <c r="A10734" s="146"/>
      <c r="D10734" s="496"/>
    </row>
    <row r="10735" spans="1:4" x14ac:dyDescent="0.2">
      <c r="A10735" s="146"/>
      <c r="D10735" s="496"/>
    </row>
    <row r="10736" spans="1:4" x14ac:dyDescent="0.2">
      <c r="A10736" s="146"/>
      <c r="D10736" s="496"/>
    </row>
    <row r="10737" spans="1:4" x14ac:dyDescent="0.2">
      <c r="A10737" s="146"/>
      <c r="D10737" s="496"/>
    </row>
    <row r="10738" spans="1:4" x14ac:dyDescent="0.2">
      <c r="A10738" s="146"/>
      <c r="D10738" s="496"/>
    </row>
    <row r="10739" spans="1:4" x14ac:dyDescent="0.2">
      <c r="A10739" s="146"/>
      <c r="D10739" s="496"/>
    </row>
    <row r="10740" spans="1:4" x14ac:dyDescent="0.2">
      <c r="A10740" s="146"/>
      <c r="D10740" s="496"/>
    </row>
    <row r="10741" spans="1:4" x14ac:dyDescent="0.2">
      <c r="A10741" s="146"/>
      <c r="D10741" s="496"/>
    </row>
    <row r="10742" spans="1:4" x14ac:dyDescent="0.2">
      <c r="A10742" s="146"/>
      <c r="D10742" s="496"/>
    </row>
    <row r="10743" spans="1:4" x14ac:dyDescent="0.2">
      <c r="A10743" s="146"/>
      <c r="D10743" s="496"/>
    </row>
    <row r="10744" spans="1:4" x14ac:dyDescent="0.2">
      <c r="A10744" s="146"/>
      <c r="D10744" s="496"/>
    </row>
    <row r="10745" spans="1:4" x14ac:dyDescent="0.2">
      <c r="A10745" s="146"/>
      <c r="D10745" s="496"/>
    </row>
    <row r="10746" spans="1:4" x14ac:dyDescent="0.2">
      <c r="A10746" s="146"/>
      <c r="D10746" s="496"/>
    </row>
    <row r="10747" spans="1:4" x14ac:dyDescent="0.2">
      <c r="A10747" s="146"/>
      <c r="D10747" s="496"/>
    </row>
    <row r="10748" spans="1:4" x14ac:dyDescent="0.2">
      <c r="A10748" s="146"/>
      <c r="D10748" s="496"/>
    </row>
    <row r="10749" spans="1:4" x14ac:dyDescent="0.2">
      <c r="A10749" s="146"/>
      <c r="D10749" s="496"/>
    </row>
    <row r="10750" spans="1:4" x14ac:dyDescent="0.2">
      <c r="A10750" s="146"/>
      <c r="D10750" s="496"/>
    </row>
    <row r="10751" spans="1:4" x14ac:dyDescent="0.2">
      <c r="A10751" s="146"/>
      <c r="D10751" s="496"/>
    </row>
    <row r="10752" spans="1:4" x14ac:dyDescent="0.2">
      <c r="A10752" s="146"/>
      <c r="D10752" s="496"/>
    </row>
    <row r="10753" spans="1:4" x14ac:dyDescent="0.2">
      <c r="A10753" s="146"/>
      <c r="D10753" s="496"/>
    </row>
    <row r="10754" spans="1:4" x14ac:dyDescent="0.2">
      <c r="A10754" s="146"/>
      <c r="D10754" s="496"/>
    </row>
    <row r="10755" spans="1:4" x14ac:dyDescent="0.2">
      <c r="A10755" s="146"/>
      <c r="D10755" s="496"/>
    </row>
    <row r="10756" spans="1:4" x14ac:dyDescent="0.2">
      <c r="A10756" s="146"/>
      <c r="D10756" s="496"/>
    </row>
    <row r="10757" spans="1:4" x14ac:dyDescent="0.2">
      <c r="A10757" s="146"/>
      <c r="D10757" s="496"/>
    </row>
    <row r="10758" spans="1:4" x14ac:dyDescent="0.2">
      <c r="A10758" s="146"/>
      <c r="D10758" s="496"/>
    </row>
    <row r="10759" spans="1:4" x14ac:dyDescent="0.2">
      <c r="A10759" s="146"/>
      <c r="D10759" s="496"/>
    </row>
    <row r="10760" spans="1:4" x14ac:dyDescent="0.2">
      <c r="A10760" s="146"/>
      <c r="D10760" s="496"/>
    </row>
    <row r="10761" spans="1:4" x14ac:dyDescent="0.2">
      <c r="A10761" s="146"/>
      <c r="D10761" s="496"/>
    </row>
    <row r="10762" spans="1:4" x14ac:dyDescent="0.2">
      <c r="A10762" s="146"/>
      <c r="D10762" s="496"/>
    </row>
    <row r="10763" spans="1:4" x14ac:dyDescent="0.2">
      <c r="A10763" s="146"/>
      <c r="D10763" s="496"/>
    </row>
    <row r="10764" spans="1:4" x14ac:dyDescent="0.2">
      <c r="A10764" s="146"/>
      <c r="D10764" s="496"/>
    </row>
    <row r="10765" spans="1:4" x14ac:dyDescent="0.2">
      <c r="A10765" s="146"/>
      <c r="D10765" s="496"/>
    </row>
    <row r="10766" spans="1:4" x14ac:dyDescent="0.2">
      <c r="A10766" s="146"/>
      <c r="D10766" s="496"/>
    </row>
    <row r="10767" spans="1:4" x14ac:dyDescent="0.2">
      <c r="A10767" s="146"/>
      <c r="D10767" s="496"/>
    </row>
    <row r="10768" spans="1:4" x14ac:dyDescent="0.2">
      <c r="A10768" s="146"/>
      <c r="D10768" s="496"/>
    </row>
    <row r="10769" spans="1:4" x14ac:dyDescent="0.2">
      <c r="A10769" s="146"/>
      <c r="D10769" s="496"/>
    </row>
    <row r="10770" spans="1:4" x14ac:dyDescent="0.2">
      <c r="A10770" s="146"/>
      <c r="D10770" s="496"/>
    </row>
    <row r="10771" spans="1:4" x14ac:dyDescent="0.2">
      <c r="A10771" s="146"/>
      <c r="D10771" s="496"/>
    </row>
    <row r="10772" spans="1:4" x14ac:dyDescent="0.2">
      <c r="A10772" s="146"/>
      <c r="D10772" s="496"/>
    </row>
    <row r="10773" spans="1:4" x14ac:dyDescent="0.2">
      <c r="A10773" s="146"/>
      <c r="D10773" s="496"/>
    </row>
    <row r="10774" spans="1:4" x14ac:dyDescent="0.2">
      <c r="A10774" s="146"/>
      <c r="D10774" s="496"/>
    </row>
    <row r="10775" spans="1:4" x14ac:dyDescent="0.2">
      <c r="A10775" s="146"/>
      <c r="D10775" s="496"/>
    </row>
    <row r="10776" spans="1:4" x14ac:dyDescent="0.2">
      <c r="A10776" s="146"/>
      <c r="D10776" s="496"/>
    </row>
    <row r="10777" spans="1:4" x14ac:dyDescent="0.2">
      <c r="A10777" s="146"/>
      <c r="D10777" s="496"/>
    </row>
    <row r="10778" spans="1:4" x14ac:dyDescent="0.2">
      <c r="A10778" s="146"/>
      <c r="D10778" s="496"/>
    </row>
    <row r="10779" spans="1:4" x14ac:dyDescent="0.2">
      <c r="A10779" s="146"/>
      <c r="D10779" s="496"/>
    </row>
    <row r="10780" spans="1:4" x14ac:dyDescent="0.2">
      <c r="A10780" s="146"/>
      <c r="D10780" s="496"/>
    </row>
    <row r="10781" spans="1:4" x14ac:dyDescent="0.2">
      <c r="A10781" s="146"/>
      <c r="D10781" s="496"/>
    </row>
    <row r="10782" spans="1:4" x14ac:dyDescent="0.2">
      <c r="A10782" s="146"/>
      <c r="D10782" s="496"/>
    </row>
    <row r="10783" spans="1:4" x14ac:dyDescent="0.2">
      <c r="A10783" s="146"/>
      <c r="D10783" s="496"/>
    </row>
    <row r="10784" spans="1:4" x14ac:dyDescent="0.2">
      <c r="A10784" s="146"/>
      <c r="D10784" s="496"/>
    </row>
    <row r="10785" spans="1:4" x14ac:dyDescent="0.2">
      <c r="A10785" s="146"/>
      <c r="D10785" s="496"/>
    </row>
    <row r="10786" spans="1:4" x14ac:dyDescent="0.2">
      <c r="A10786" s="146"/>
      <c r="D10786" s="496"/>
    </row>
    <row r="10787" spans="1:4" x14ac:dyDescent="0.2">
      <c r="A10787" s="146"/>
      <c r="D10787" s="496"/>
    </row>
    <row r="10788" spans="1:4" x14ac:dyDescent="0.2">
      <c r="A10788" s="146"/>
      <c r="D10788" s="496"/>
    </row>
    <row r="10789" spans="1:4" x14ac:dyDescent="0.2">
      <c r="A10789" s="146"/>
      <c r="D10789" s="496"/>
    </row>
    <row r="10790" spans="1:4" x14ac:dyDescent="0.2">
      <c r="A10790" s="146"/>
      <c r="D10790" s="496"/>
    </row>
    <row r="10791" spans="1:4" x14ac:dyDescent="0.2">
      <c r="A10791" s="146"/>
      <c r="D10791" s="496"/>
    </row>
    <row r="10792" spans="1:4" x14ac:dyDescent="0.2">
      <c r="A10792" s="146"/>
      <c r="D10792" s="496"/>
    </row>
    <row r="10793" spans="1:4" x14ac:dyDescent="0.2">
      <c r="A10793" s="146"/>
      <c r="D10793" s="496"/>
    </row>
    <row r="10794" spans="1:4" x14ac:dyDescent="0.2">
      <c r="A10794" s="146"/>
      <c r="D10794" s="496"/>
    </row>
    <row r="10795" spans="1:4" x14ac:dyDescent="0.2">
      <c r="A10795" s="146"/>
      <c r="D10795" s="496"/>
    </row>
    <row r="10796" spans="1:4" x14ac:dyDescent="0.2">
      <c r="A10796" s="146"/>
      <c r="D10796" s="496"/>
    </row>
    <row r="10797" spans="1:4" x14ac:dyDescent="0.2">
      <c r="A10797" s="146"/>
      <c r="D10797" s="496"/>
    </row>
    <row r="10798" spans="1:4" x14ac:dyDescent="0.2">
      <c r="A10798" s="146"/>
      <c r="D10798" s="496"/>
    </row>
    <row r="10799" spans="1:4" x14ac:dyDescent="0.2">
      <c r="A10799" s="146"/>
      <c r="D10799" s="496"/>
    </row>
    <row r="10800" spans="1:4" x14ac:dyDescent="0.2">
      <c r="A10800" s="146"/>
      <c r="D10800" s="496"/>
    </row>
    <row r="10801" spans="1:4" x14ac:dyDescent="0.2">
      <c r="A10801" s="146"/>
      <c r="D10801" s="496"/>
    </row>
    <row r="10802" spans="1:4" x14ac:dyDescent="0.2">
      <c r="A10802" s="146"/>
      <c r="D10802" s="496"/>
    </row>
    <row r="10803" spans="1:4" x14ac:dyDescent="0.2">
      <c r="A10803" s="146"/>
      <c r="D10803" s="496"/>
    </row>
    <row r="10804" spans="1:4" x14ac:dyDescent="0.2">
      <c r="A10804" s="146"/>
      <c r="D10804" s="496"/>
    </row>
    <row r="10805" spans="1:4" x14ac:dyDescent="0.2">
      <c r="A10805" s="146"/>
      <c r="D10805" s="496"/>
    </row>
    <row r="10806" spans="1:4" x14ac:dyDescent="0.2">
      <c r="A10806" s="146"/>
      <c r="D10806" s="496"/>
    </row>
    <row r="10807" spans="1:4" x14ac:dyDescent="0.2">
      <c r="A10807" s="146"/>
      <c r="D10807" s="496"/>
    </row>
    <row r="10808" spans="1:4" x14ac:dyDescent="0.2">
      <c r="A10808" s="146"/>
      <c r="D10808" s="496"/>
    </row>
    <row r="10809" spans="1:4" x14ac:dyDescent="0.2">
      <c r="A10809" s="146"/>
      <c r="D10809" s="496"/>
    </row>
    <row r="10810" spans="1:4" x14ac:dyDescent="0.2">
      <c r="A10810" s="146"/>
      <c r="D10810" s="496"/>
    </row>
    <row r="10811" spans="1:4" x14ac:dyDescent="0.2">
      <c r="A10811" s="146"/>
      <c r="D10811" s="496"/>
    </row>
    <row r="10812" spans="1:4" x14ac:dyDescent="0.2">
      <c r="A10812" s="146"/>
      <c r="D10812" s="496"/>
    </row>
    <row r="10813" spans="1:4" x14ac:dyDescent="0.2">
      <c r="A10813" s="146"/>
      <c r="D10813" s="496"/>
    </row>
    <row r="10814" spans="1:4" x14ac:dyDescent="0.2">
      <c r="A10814" s="146"/>
      <c r="D10814" s="496"/>
    </row>
    <row r="10815" spans="1:4" x14ac:dyDescent="0.2">
      <c r="A10815" s="146"/>
      <c r="D10815" s="496"/>
    </row>
    <row r="10816" spans="1:4" x14ac:dyDescent="0.2">
      <c r="A10816" s="146"/>
      <c r="D10816" s="496"/>
    </row>
    <row r="10817" spans="1:4" x14ac:dyDescent="0.2">
      <c r="A10817" s="146"/>
      <c r="D10817" s="496"/>
    </row>
    <row r="10818" spans="1:4" x14ac:dyDescent="0.2">
      <c r="A10818" s="146"/>
      <c r="D10818" s="496"/>
    </row>
    <row r="10819" spans="1:4" x14ac:dyDescent="0.2">
      <c r="A10819" s="146"/>
      <c r="D10819" s="496"/>
    </row>
    <row r="10820" spans="1:4" x14ac:dyDescent="0.2">
      <c r="A10820" s="146"/>
      <c r="D10820" s="496"/>
    </row>
    <row r="10821" spans="1:4" x14ac:dyDescent="0.2">
      <c r="A10821" s="146"/>
      <c r="D10821" s="496"/>
    </row>
    <row r="10822" spans="1:4" x14ac:dyDescent="0.2">
      <c r="A10822" s="146"/>
      <c r="D10822" s="496"/>
    </row>
    <row r="10823" spans="1:4" x14ac:dyDescent="0.2">
      <c r="A10823" s="146"/>
      <c r="D10823" s="496"/>
    </row>
    <row r="10824" spans="1:4" x14ac:dyDescent="0.2">
      <c r="A10824" s="146"/>
      <c r="D10824" s="496"/>
    </row>
    <row r="10825" spans="1:4" x14ac:dyDescent="0.2">
      <c r="A10825" s="146"/>
      <c r="D10825" s="496"/>
    </row>
    <row r="10826" spans="1:4" x14ac:dyDescent="0.2">
      <c r="A10826" s="146"/>
      <c r="D10826" s="496"/>
    </row>
    <row r="10827" spans="1:4" x14ac:dyDescent="0.2">
      <c r="A10827" s="146"/>
      <c r="D10827" s="496"/>
    </row>
    <row r="10828" spans="1:4" x14ac:dyDescent="0.2">
      <c r="A10828" s="146"/>
      <c r="D10828" s="496"/>
    </row>
    <row r="10829" spans="1:4" x14ac:dyDescent="0.2">
      <c r="A10829" s="146"/>
      <c r="D10829" s="496"/>
    </row>
    <row r="10830" spans="1:4" x14ac:dyDescent="0.2">
      <c r="A10830" s="146"/>
      <c r="D10830" s="496"/>
    </row>
    <row r="10831" spans="1:4" x14ac:dyDescent="0.2">
      <c r="A10831" s="146"/>
      <c r="D10831" s="496"/>
    </row>
    <row r="10832" spans="1:4" x14ac:dyDescent="0.2">
      <c r="A10832" s="146"/>
      <c r="D10832" s="496"/>
    </row>
    <row r="10833" spans="1:4" x14ac:dyDescent="0.2">
      <c r="A10833" s="146"/>
      <c r="D10833" s="496"/>
    </row>
    <row r="10834" spans="1:4" x14ac:dyDescent="0.2">
      <c r="A10834" s="146"/>
      <c r="D10834" s="496"/>
    </row>
    <row r="10835" spans="1:4" x14ac:dyDescent="0.2">
      <c r="A10835" s="146"/>
      <c r="D10835" s="496"/>
    </row>
    <row r="10836" spans="1:4" x14ac:dyDescent="0.2">
      <c r="A10836" s="146"/>
      <c r="D10836" s="496"/>
    </row>
    <row r="10837" spans="1:4" x14ac:dyDescent="0.2">
      <c r="A10837" s="146"/>
      <c r="D10837" s="496"/>
    </row>
    <row r="10838" spans="1:4" x14ac:dyDescent="0.2">
      <c r="A10838" s="146"/>
      <c r="D10838" s="496"/>
    </row>
    <row r="10839" spans="1:4" x14ac:dyDescent="0.2">
      <c r="A10839" s="146"/>
      <c r="D10839" s="496"/>
    </row>
    <row r="10840" spans="1:4" x14ac:dyDescent="0.2">
      <c r="A10840" s="146"/>
      <c r="D10840" s="496"/>
    </row>
    <row r="10841" spans="1:4" x14ac:dyDescent="0.2">
      <c r="A10841" s="146"/>
      <c r="D10841" s="496"/>
    </row>
    <row r="10842" spans="1:4" x14ac:dyDescent="0.2">
      <c r="A10842" s="146"/>
      <c r="D10842" s="496"/>
    </row>
    <row r="10843" spans="1:4" x14ac:dyDescent="0.2">
      <c r="A10843" s="146"/>
      <c r="D10843" s="496"/>
    </row>
    <row r="10844" spans="1:4" x14ac:dyDescent="0.2">
      <c r="A10844" s="146"/>
      <c r="D10844" s="496"/>
    </row>
    <row r="10845" spans="1:4" x14ac:dyDescent="0.2">
      <c r="A10845" s="146"/>
      <c r="D10845" s="496"/>
    </row>
    <row r="10846" spans="1:4" x14ac:dyDescent="0.2">
      <c r="A10846" s="146"/>
      <c r="D10846" s="496"/>
    </row>
    <row r="10847" spans="1:4" x14ac:dyDescent="0.2">
      <c r="A10847" s="146"/>
      <c r="D10847" s="496"/>
    </row>
    <row r="10848" spans="1:4" x14ac:dyDescent="0.2">
      <c r="A10848" s="146"/>
      <c r="D10848" s="496"/>
    </row>
    <row r="10849" spans="1:4" x14ac:dyDescent="0.2">
      <c r="A10849" s="146"/>
      <c r="D10849" s="496"/>
    </row>
    <row r="10850" spans="1:4" x14ac:dyDescent="0.2">
      <c r="A10850" s="146"/>
      <c r="D10850" s="496"/>
    </row>
    <row r="10851" spans="1:4" x14ac:dyDescent="0.2">
      <c r="A10851" s="146"/>
      <c r="D10851" s="496"/>
    </row>
    <row r="10852" spans="1:4" x14ac:dyDescent="0.2">
      <c r="A10852" s="146"/>
      <c r="D10852" s="496"/>
    </row>
    <row r="10853" spans="1:4" x14ac:dyDescent="0.2">
      <c r="A10853" s="146"/>
      <c r="D10853" s="496"/>
    </row>
    <row r="10854" spans="1:4" x14ac:dyDescent="0.2">
      <c r="A10854" s="146"/>
      <c r="D10854" s="496"/>
    </row>
    <row r="10855" spans="1:4" x14ac:dyDescent="0.2">
      <c r="A10855" s="146"/>
      <c r="D10855" s="496"/>
    </row>
    <row r="10856" spans="1:4" x14ac:dyDescent="0.2">
      <c r="A10856" s="146"/>
      <c r="D10856" s="496"/>
    </row>
    <row r="10857" spans="1:4" x14ac:dyDescent="0.2">
      <c r="A10857" s="146"/>
      <c r="D10857" s="496"/>
    </row>
    <row r="10858" spans="1:4" x14ac:dyDescent="0.2">
      <c r="A10858" s="146"/>
      <c r="D10858" s="496"/>
    </row>
    <row r="10859" spans="1:4" x14ac:dyDescent="0.2">
      <c r="A10859" s="146"/>
      <c r="D10859" s="496"/>
    </row>
    <row r="10860" spans="1:4" x14ac:dyDescent="0.2">
      <c r="A10860" s="146"/>
      <c r="D10860" s="496"/>
    </row>
    <row r="10861" spans="1:4" x14ac:dyDescent="0.2">
      <c r="A10861" s="146"/>
      <c r="D10861" s="496"/>
    </row>
    <row r="10862" spans="1:4" x14ac:dyDescent="0.2">
      <c r="A10862" s="146"/>
      <c r="D10862" s="496"/>
    </row>
    <row r="10863" spans="1:4" x14ac:dyDescent="0.2">
      <c r="A10863" s="146"/>
      <c r="D10863" s="496"/>
    </row>
    <row r="10864" spans="1:4" x14ac:dyDescent="0.2">
      <c r="A10864" s="146"/>
      <c r="D10864" s="496"/>
    </row>
    <row r="10865" spans="1:4" x14ac:dyDescent="0.2">
      <c r="A10865" s="146"/>
      <c r="D10865" s="496"/>
    </row>
    <row r="10866" spans="1:4" x14ac:dyDescent="0.2">
      <c r="A10866" s="146"/>
      <c r="D10866" s="496"/>
    </row>
    <row r="10867" spans="1:4" x14ac:dyDescent="0.2">
      <c r="A10867" s="146"/>
      <c r="D10867" s="496"/>
    </row>
    <row r="10868" spans="1:4" x14ac:dyDescent="0.2">
      <c r="A10868" s="146"/>
      <c r="D10868" s="496"/>
    </row>
    <row r="10869" spans="1:4" x14ac:dyDescent="0.2">
      <c r="A10869" s="146"/>
      <c r="D10869" s="496"/>
    </row>
    <row r="10870" spans="1:4" x14ac:dyDescent="0.2">
      <c r="A10870" s="146"/>
      <c r="D10870" s="496"/>
    </row>
    <row r="10871" spans="1:4" x14ac:dyDescent="0.2">
      <c r="A10871" s="146"/>
      <c r="D10871" s="496"/>
    </row>
    <row r="10872" spans="1:4" x14ac:dyDescent="0.2">
      <c r="A10872" s="146"/>
      <c r="D10872" s="496"/>
    </row>
    <row r="10873" spans="1:4" x14ac:dyDescent="0.2">
      <c r="A10873" s="146"/>
      <c r="D10873" s="496"/>
    </row>
    <row r="10874" spans="1:4" x14ac:dyDescent="0.2">
      <c r="A10874" s="146"/>
      <c r="D10874" s="496"/>
    </row>
    <row r="10875" spans="1:4" x14ac:dyDescent="0.2">
      <c r="A10875" s="146"/>
      <c r="D10875" s="496"/>
    </row>
    <row r="10876" spans="1:4" x14ac:dyDescent="0.2">
      <c r="A10876" s="146"/>
      <c r="D10876" s="496"/>
    </row>
    <row r="10877" spans="1:4" x14ac:dyDescent="0.2">
      <c r="A10877" s="146"/>
      <c r="D10877" s="496"/>
    </row>
    <row r="10878" spans="1:4" x14ac:dyDescent="0.2">
      <c r="A10878" s="146"/>
      <c r="D10878" s="496"/>
    </row>
    <row r="10879" spans="1:4" x14ac:dyDescent="0.2">
      <c r="A10879" s="146"/>
      <c r="D10879" s="496"/>
    </row>
    <row r="10880" spans="1:4" x14ac:dyDescent="0.2">
      <c r="A10880" s="146"/>
      <c r="D10880" s="496"/>
    </row>
    <row r="10881" spans="1:4" x14ac:dyDescent="0.2">
      <c r="A10881" s="146"/>
      <c r="D10881" s="496"/>
    </row>
    <row r="10882" spans="1:4" x14ac:dyDescent="0.2">
      <c r="A10882" s="146"/>
      <c r="D10882" s="496"/>
    </row>
    <row r="10883" spans="1:4" x14ac:dyDescent="0.2">
      <c r="A10883" s="146"/>
      <c r="D10883" s="496"/>
    </row>
    <row r="10884" spans="1:4" x14ac:dyDescent="0.2">
      <c r="A10884" s="146"/>
      <c r="D10884" s="496"/>
    </row>
    <row r="10885" spans="1:4" x14ac:dyDescent="0.2">
      <c r="A10885" s="146"/>
      <c r="D10885" s="496"/>
    </row>
    <row r="10886" spans="1:4" x14ac:dyDescent="0.2">
      <c r="A10886" s="146"/>
      <c r="D10886" s="496"/>
    </row>
    <row r="10887" spans="1:4" x14ac:dyDescent="0.2">
      <c r="A10887" s="146"/>
      <c r="D10887" s="496"/>
    </row>
    <row r="10888" spans="1:4" x14ac:dyDescent="0.2">
      <c r="A10888" s="146"/>
      <c r="D10888" s="496"/>
    </row>
    <row r="10889" spans="1:4" x14ac:dyDescent="0.2">
      <c r="A10889" s="146"/>
      <c r="D10889" s="496"/>
    </row>
    <row r="10890" spans="1:4" x14ac:dyDescent="0.2">
      <c r="A10890" s="146"/>
      <c r="D10890" s="496"/>
    </row>
    <row r="10891" spans="1:4" x14ac:dyDescent="0.2">
      <c r="A10891" s="146"/>
      <c r="D10891" s="496"/>
    </row>
    <row r="10892" spans="1:4" x14ac:dyDescent="0.2">
      <c r="A10892" s="146"/>
      <c r="D10892" s="496"/>
    </row>
    <row r="10893" spans="1:4" x14ac:dyDescent="0.2">
      <c r="A10893" s="146"/>
      <c r="D10893" s="496"/>
    </row>
    <row r="10894" spans="1:4" x14ac:dyDescent="0.2">
      <c r="A10894" s="146"/>
      <c r="D10894" s="496"/>
    </row>
    <row r="10895" spans="1:4" x14ac:dyDescent="0.2">
      <c r="A10895" s="146"/>
      <c r="D10895" s="496"/>
    </row>
    <row r="10896" spans="1:4" x14ac:dyDescent="0.2">
      <c r="A10896" s="146"/>
      <c r="D10896" s="496"/>
    </row>
    <row r="10897" spans="1:4" x14ac:dyDescent="0.2">
      <c r="A10897" s="146"/>
      <c r="D10897" s="496"/>
    </row>
    <row r="10898" spans="1:4" x14ac:dyDescent="0.2">
      <c r="A10898" s="146"/>
      <c r="D10898" s="496"/>
    </row>
    <row r="10899" spans="1:4" x14ac:dyDescent="0.2">
      <c r="A10899" s="146"/>
      <c r="D10899" s="496"/>
    </row>
    <row r="10900" spans="1:4" x14ac:dyDescent="0.2">
      <c r="A10900" s="146"/>
      <c r="D10900" s="496"/>
    </row>
    <row r="10901" spans="1:4" x14ac:dyDescent="0.2">
      <c r="A10901" s="146"/>
      <c r="D10901" s="496"/>
    </row>
    <row r="10902" spans="1:4" x14ac:dyDescent="0.2">
      <c r="A10902" s="146"/>
      <c r="D10902" s="496"/>
    </row>
    <row r="10903" spans="1:4" x14ac:dyDescent="0.2">
      <c r="A10903" s="146"/>
      <c r="D10903" s="496"/>
    </row>
    <row r="10904" spans="1:4" x14ac:dyDescent="0.2">
      <c r="A10904" s="146"/>
      <c r="D10904" s="496"/>
    </row>
    <row r="10905" spans="1:4" x14ac:dyDescent="0.2">
      <c r="A10905" s="146"/>
      <c r="D10905" s="496"/>
    </row>
    <row r="10906" spans="1:4" x14ac:dyDescent="0.2">
      <c r="A10906" s="146"/>
      <c r="D10906" s="496"/>
    </row>
    <row r="10907" spans="1:4" x14ac:dyDescent="0.2">
      <c r="A10907" s="146"/>
      <c r="D10907" s="496"/>
    </row>
    <row r="10908" spans="1:4" x14ac:dyDescent="0.2">
      <c r="A10908" s="146"/>
      <c r="D10908" s="496"/>
    </row>
    <row r="10909" spans="1:4" x14ac:dyDescent="0.2">
      <c r="A10909" s="146"/>
      <c r="D10909" s="496"/>
    </row>
    <row r="10910" spans="1:4" x14ac:dyDescent="0.2">
      <c r="A10910" s="146"/>
      <c r="D10910" s="496"/>
    </row>
    <row r="10911" spans="1:4" x14ac:dyDescent="0.2">
      <c r="A10911" s="146"/>
      <c r="D10911" s="496"/>
    </row>
    <row r="10912" spans="1:4" x14ac:dyDescent="0.2">
      <c r="A10912" s="146"/>
      <c r="D10912" s="496"/>
    </row>
    <row r="10913" spans="1:4" x14ac:dyDescent="0.2">
      <c r="A10913" s="146"/>
      <c r="D10913" s="496"/>
    </row>
    <row r="10914" spans="1:4" x14ac:dyDescent="0.2">
      <c r="A10914" s="146"/>
      <c r="D10914" s="496"/>
    </row>
    <row r="10915" spans="1:4" x14ac:dyDescent="0.2">
      <c r="A10915" s="146"/>
      <c r="D10915" s="496"/>
    </row>
    <row r="10916" spans="1:4" x14ac:dyDescent="0.2">
      <c r="A10916" s="146"/>
      <c r="D10916" s="496"/>
    </row>
    <row r="10917" spans="1:4" x14ac:dyDescent="0.2">
      <c r="A10917" s="146"/>
      <c r="D10917" s="496"/>
    </row>
    <row r="10918" spans="1:4" x14ac:dyDescent="0.2">
      <c r="A10918" s="146"/>
      <c r="D10918" s="496"/>
    </row>
    <row r="10919" spans="1:4" x14ac:dyDescent="0.2">
      <c r="A10919" s="146"/>
      <c r="D10919" s="496"/>
    </row>
    <row r="10920" spans="1:4" x14ac:dyDescent="0.2">
      <c r="A10920" s="146"/>
      <c r="D10920" s="496"/>
    </row>
    <row r="10921" spans="1:4" x14ac:dyDescent="0.2">
      <c r="A10921" s="146"/>
      <c r="D10921" s="496"/>
    </row>
    <row r="10922" spans="1:4" x14ac:dyDescent="0.2">
      <c r="A10922" s="146"/>
      <c r="D10922" s="496"/>
    </row>
    <row r="10923" spans="1:4" x14ac:dyDescent="0.2">
      <c r="A10923" s="146"/>
      <c r="D10923" s="496"/>
    </row>
    <row r="10924" spans="1:4" x14ac:dyDescent="0.2">
      <c r="A10924" s="146"/>
      <c r="D10924" s="496"/>
    </row>
    <row r="10925" spans="1:4" x14ac:dyDescent="0.2">
      <c r="A10925" s="146"/>
      <c r="D10925" s="496"/>
    </row>
    <row r="10926" spans="1:4" x14ac:dyDescent="0.2">
      <c r="A10926" s="146"/>
      <c r="D10926" s="496"/>
    </row>
    <row r="10927" spans="1:4" x14ac:dyDescent="0.2">
      <c r="A10927" s="146"/>
      <c r="D10927" s="496"/>
    </row>
    <row r="10928" spans="1:4" x14ac:dyDescent="0.2">
      <c r="A10928" s="146"/>
      <c r="D10928" s="496"/>
    </row>
    <row r="10929" spans="1:4" x14ac:dyDescent="0.2">
      <c r="A10929" s="146"/>
      <c r="D10929" s="496"/>
    </row>
    <row r="10930" spans="1:4" x14ac:dyDescent="0.2">
      <c r="A10930" s="146"/>
      <c r="D10930" s="496"/>
    </row>
    <row r="10931" spans="1:4" x14ac:dyDescent="0.2">
      <c r="A10931" s="146"/>
      <c r="D10931" s="496"/>
    </row>
    <row r="10932" spans="1:4" x14ac:dyDescent="0.2">
      <c r="A10932" s="146"/>
      <c r="D10932" s="496"/>
    </row>
    <row r="10933" spans="1:4" x14ac:dyDescent="0.2">
      <c r="A10933" s="146"/>
      <c r="D10933" s="496"/>
    </row>
    <row r="10934" spans="1:4" x14ac:dyDescent="0.2">
      <c r="A10934" s="146"/>
      <c r="D10934" s="496"/>
    </row>
    <row r="10935" spans="1:4" x14ac:dyDescent="0.2">
      <c r="A10935" s="146"/>
      <c r="D10935" s="496"/>
    </row>
    <row r="10936" spans="1:4" x14ac:dyDescent="0.2">
      <c r="A10936" s="146"/>
      <c r="D10936" s="496"/>
    </row>
    <row r="10937" spans="1:4" x14ac:dyDescent="0.2">
      <c r="A10937" s="146"/>
      <c r="D10937" s="496"/>
    </row>
    <row r="10938" spans="1:4" x14ac:dyDescent="0.2">
      <c r="A10938" s="146"/>
      <c r="D10938" s="496"/>
    </row>
    <row r="10939" spans="1:4" x14ac:dyDescent="0.2">
      <c r="A10939" s="146"/>
      <c r="D10939" s="496"/>
    </row>
    <row r="10940" spans="1:4" x14ac:dyDescent="0.2">
      <c r="A10940" s="146"/>
      <c r="D10940" s="496"/>
    </row>
    <row r="10941" spans="1:4" x14ac:dyDescent="0.2">
      <c r="A10941" s="146"/>
      <c r="D10941" s="496"/>
    </row>
    <row r="10942" spans="1:4" x14ac:dyDescent="0.2">
      <c r="A10942" s="146"/>
      <c r="D10942" s="496"/>
    </row>
    <row r="10943" spans="1:4" x14ac:dyDescent="0.2">
      <c r="A10943" s="146"/>
      <c r="D10943" s="496"/>
    </row>
    <row r="10944" spans="1:4" x14ac:dyDescent="0.2">
      <c r="A10944" s="146"/>
      <c r="D10944" s="496"/>
    </row>
    <row r="10945" spans="1:4" x14ac:dyDescent="0.2">
      <c r="A10945" s="146"/>
      <c r="D10945" s="496"/>
    </row>
    <row r="10946" spans="1:4" x14ac:dyDescent="0.2">
      <c r="A10946" s="146"/>
      <c r="D10946" s="496"/>
    </row>
    <row r="10947" spans="1:4" x14ac:dyDescent="0.2">
      <c r="A10947" s="146"/>
      <c r="D10947" s="496"/>
    </row>
    <row r="10948" spans="1:4" x14ac:dyDescent="0.2">
      <c r="A10948" s="146"/>
      <c r="D10948" s="496"/>
    </row>
    <row r="10949" spans="1:4" x14ac:dyDescent="0.2">
      <c r="A10949" s="146"/>
      <c r="D10949" s="496"/>
    </row>
    <row r="10950" spans="1:4" x14ac:dyDescent="0.2">
      <c r="A10950" s="146"/>
      <c r="D10950" s="496"/>
    </row>
    <row r="10951" spans="1:4" x14ac:dyDescent="0.2">
      <c r="A10951" s="146"/>
      <c r="D10951" s="496"/>
    </row>
    <row r="10952" spans="1:4" x14ac:dyDescent="0.2">
      <c r="A10952" s="146"/>
      <c r="D10952" s="496"/>
    </row>
    <row r="10953" spans="1:4" x14ac:dyDescent="0.2">
      <c r="A10953" s="146"/>
      <c r="D10953" s="496"/>
    </row>
    <row r="10954" spans="1:4" x14ac:dyDescent="0.2">
      <c r="A10954" s="146"/>
      <c r="D10954" s="496"/>
    </row>
    <row r="10955" spans="1:4" x14ac:dyDescent="0.2">
      <c r="A10955" s="146"/>
      <c r="D10955" s="496"/>
    </row>
    <row r="10956" spans="1:4" x14ac:dyDescent="0.2">
      <c r="A10956" s="146"/>
      <c r="D10956" s="496"/>
    </row>
    <row r="10957" spans="1:4" x14ac:dyDescent="0.2">
      <c r="A10957" s="146"/>
      <c r="D10957" s="496"/>
    </row>
    <row r="10958" spans="1:4" x14ac:dyDescent="0.2">
      <c r="A10958" s="146"/>
      <c r="D10958" s="496"/>
    </row>
    <row r="10959" spans="1:4" x14ac:dyDescent="0.2">
      <c r="A10959" s="146"/>
      <c r="D10959" s="496"/>
    </row>
    <row r="10960" spans="1:4" x14ac:dyDescent="0.2">
      <c r="A10960" s="146"/>
      <c r="D10960" s="496"/>
    </row>
    <row r="10961" spans="1:4" x14ac:dyDescent="0.2">
      <c r="A10961" s="146"/>
      <c r="D10961" s="496"/>
    </row>
    <row r="10962" spans="1:4" x14ac:dyDescent="0.2">
      <c r="A10962" s="146"/>
      <c r="D10962" s="496"/>
    </row>
    <row r="10963" spans="1:4" x14ac:dyDescent="0.2">
      <c r="A10963" s="146"/>
      <c r="D10963" s="496"/>
    </row>
    <row r="10964" spans="1:4" x14ac:dyDescent="0.2">
      <c r="A10964" s="146"/>
      <c r="D10964" s="496"/>
    </row>
    <row r="10965" spans="1:4" x14ac:dyDescent="0.2">
      <c r="A10965" s="146"/>
      <c r="D10965" s="496"/>
    </row>
    <row r="10966" spans="1:4" x14ac:dyDescent="0.2">
      <c r="A10966" s="146"/>
      <c r="D10966" s="496"/>
    </row>
    <row r="10967" spans="1:4" x14ac:dyDescent="0.2">
      <c r="A10967" s="146"/>
      <c r="D10967" s="496"/>
    </row>
    <row r="10968" spans="1:4" x14ac:dyDescent="0.2">
      <c r="A10968" s="146"/>
      <c r="D10968" s="496"/>
    </row>
    <row r="10969" spans="1:4" x14ac:dyDescent="0.2">
      <c r="A10969" s="146"/>
      <c r="D10969" s="496"/>
    </row>
    <row r="10970" spans="1:4" x14ac:dyDescent="0.2">
      <c r="A10970" s="146"/>
      <c r="D10970" s="496"/>
    </row>
    <row r="10971" spans="1:4" x14ac:dyDescent="0.2">
      <c r="A10971" s="146"/>
      <c r="D10971" s="496"/>
    </row>
    <row r="10972" spans="1:4" x14ac:dyDescent="0.2">
      <c r="A10972" s="146"/>
      <c r="D10972" s="496"/>
    </row>
    <row r="10973" spans="1:4" x14ac:dyDescent="0.2">
      <c r="A10973" s="146"/>
      <c r="D10973" s="496"/>
    </row>
    <row r="10974" spans="1:4" x14ac:dyDescent="0.2">
      <c r="A10974" s="146"/>
      <c r="D10974" s="496"/>
    </row>
    <row r="10975" spans="1:4" x14ac:dyDescent="0.2">
      <c r="A10975" s="146"/>
      <c r="D10975" s="496"/>
    </row>
    <row r="10976" spans="1:4" x14ac:dyDescent="0.2">
      <c r="A10976" s="146"/>
      <c r="D10976" s="496"/>
    </row>
    <row r="10977" spans="1:4" x14ac:dyDescent="0.2">
      <c r="A10977" s="146"/>
      <c r="D10977" s="496"/>
    </row>
    <row r="10978" spans="1:4" x14ac:dyDescent="0.2">
      <c r="A10978" s="146"/>
      <c r="D10978" s="496"/>
    </row>
    <row r="10979" spans="1:4" x14ac:dyDescent="0.2">
      <c r="A10979" s="146"/>
      <c r="D10979" s="496"/>
    </row>
    <row r="10980" spans="1:4" x14ac:dyDescent="0.2">
      <c r="A10980" s="146"/>
      <c r="D10980" s="496"/>
    </row>
    <row r="10981" spans="1:4" x14ac:dyDescent="0.2">
      <c r="A10981" s="146"/>
      <c r="D10981" s="496"/>
    </row>
    <row r="10982" spans="1:4" x14ac:dyDescent="0.2">
      <c r="A10982" s="146"/>
      <c r="D10982" s="496"/>
    </row>
    <row r="10983" spans="1:4" x14ac:dyDescent="0.2">
      <c r="A10983" s="146"/>
      <c r="D10983" s="496"/>
    </row>
    <row r="10984" spans="1:4" x14ac:dyDescent="0.2">
      <c r="A10984" s="146"/>
      <c r="D10984" s="496"/>
    </row>
    <row r="10985" spans="1:4" x14ac:dyDescent="0.2">
      <c r="A10985" s="146"/>
      <c r="D10985" s="496"/>
    </row>
    <row r="10986" spans="1:4" x14ac:dyDescent="0.2">
      <c r="A10986" s="146"/>
      <c r="D10986" s="496"/>
    </row>
    <row r="10987" spans="1:4" x14ac:dyDescent="0.2">
      <c r="A10987" s="146"/>
      <c r="D10987" s="496"/>
    </row>
    <row r="10988" spans="1:4" x14ac:dyDescent="0.2">
      <c r="A10988" s="146"/>
      <c r="D10988" s="496"/>
    </row>
    <row r="10989" spans="1:4" x14ac:dyDescent="0.2">
      <c r="A10989" s="146"/>
      <c r="D10989" s="496"/>
    </row>
    <row r="10990" spans="1:4" x14ac:dyDescent="0.2">
      <c r="A10990" s="146"/>
      <c r="D10990" s="496"/>
    </row>
    <row r="10991" spans="1:4" x14ac:dyDescent="0.2">
      <c r="A10991" s="146"/>
      <c r="D10991" s="496"/>
    </row>
    <row r="10992" spans="1:4" x14ac:dyDescent="0.2">
      <c r="A10992" s="146"/>
      <c r="D10992" s="496"/>
    </row>
    <row r="10993" spans="1:4" x14ac:dyDescent="0.2">
      <c r="A10993" s="146"/>
      <c r="D10993" s="496"/>
    </row>
    <row r="10994" spans="1:4" x14ac:dyDescent="0.2">
      <c r="A10994" s="146"/>
      <c r="D10994" s="496"/>
    </row>
    <row r="10995" spans="1:4" x14ac:dyDescent="0.2">
      <c r="A10995" s="146"/>
      <c r="D10995" s="496"/>
    </row>
    <row r="10996" spans="1:4" x14ac:dyDescent="0.2">
      <c r="A10996" s="146"/>
      <c r="D10996" s="496"/>
    </row>
    <row r="10997" spans="1:4" x14ac:dyDescent="0.2">
      <c r="A10997" s="146"/>
      <c r="D10997" s="496"/>
    </row>
    <row r="10998" spans="1:4" x14ac:dyDescent="0.2">
      <c r="A10998" s="146"/>
      <c r="D10998" s="496"/>
    </row>
    <row r="10999" spans="1:4" x14ac:dyDescent="0.2">
      <c r="A10999" s="146"/>
      <c r="D10999" s="496"/>
    </row>
    <row r="11000" spans="1:4" x14ac:dyDescent="0.2">
      <c r="A11000" s="146"/>
      <c r="D11000" s="496"/>
    </row>
    <row r="11001" spans="1:4" x14ac:dyDescent="0.2">
      <c r="A11001" s="146"/>
      <c r="D11001" s="496"/>
    </row>
    <row r="11002" spans="1:4" x14ac:dyDescent="0.2">
      <c r="A11002" s="146"/>
      <c r="D11002" s="496"/>
    </row>
    <row r="11003" spans="1:4" x14ac:dyDescent="0.2">
      <c r="A11003" s="146"/>
      <c r="D11003" s="496"/>
    </row>
    <row r="11004" spans="1:4" x14ac:dyDescent="0.2">
      <c r="A11004" s="146"/>
      <c r="D11004" s="496"/>
    </row>
    <row r="11005" spans="1:4" x14ac:dyDescent="0.2">
      <c r="A11005" s="146"/>
      <c r="D11005" s="496"/>
    </row>
    <row r="11006" spans="1:4" x14ac:dyDescent="0.2">
      <c r="A11006" s="146"/>
      <c r="D11006" s="496"/>
    </row>
    <row r="11007" spans="1:4" x14ac:dyDescent="0.2">
      <c r="A11007" s="146"/>
      <c r="D11007" s="496"/>
    </row>
    <row r="11008" spans="1:4" x14ac:dyDescent="0.2">
      <c r="A11008" s="146"/>
      <c r="D11008" s="496"/>
    </row>
    <row r="11009" spans="1:4" x14ac:dyDescent="0.2">
      <c r="A11009" s="146"/>
      <c r="D11009" s="496"/>
    </row>
    <row r="11010" spans="1:4" x14ac:dyDescent="0.2">
      <c r="A11010" s="146"/>
      <c r="D11010" s="496"/>
    </row>
    <row r="11011" spans="1:4" x14ac:dyDescent="0.2">
      <c r="A11011" s="146"/>
      <c r="D11011" s="496"/>
    </row>
    <row r="11012" spans="1:4" x14ac:dyDescent="0.2">
      <c r="A11012" s="146"/>
      <c r="D11012" s="496"/>
    </row>
    <row r="11013" spans="1:4" x14ac:dyDescent="0.2">
      <c r="A11013" s="146"/>
      <c r="D11013" s="496"/>
    </row>
    <row r="11014" spans="1:4" x14ac:dyDescent="0.2">
      <c r="A11014" s="146"/>
      <c r="D11014" s="496"/>
    </row>
    <row r="11015" spans="1:4" x14ac:dyDescent="0.2">
      <c r="A11015" s="146"/>
      <c r="D11015" s="496"/>
    </row>
    <row r="11016" spans="1:4" x14ac:dyDescent="0.2">
      <c r="A11016" s="146"/>
      <c r="D11016" s="496"/>
    </row>
    <row r="11017" spans="1:4" x14ac:dyDescent="0.2">
      <c r="A11017" s="146"/>
      <c r="D11017" s="496"/>
    </row>
    <row r="11018" spans="1:4" x14ac:dyDescent="0.2">
      <c r="A11018" s="146"/>
      <c r="D11018" s="496"/>
    </row>
    <row r="11019" spans="1:4" x14ac:dyDescent="0.2">
      <c r="A11019" s="146"/>
      <c r="D11019" s="496"/>
    </row>
    <row r="11020" spans="1:4" x14ac:dyDescent="0.2">
      <c r="A11020" s="146"/>
      <c r="D11020" s="496"/>
    </row>
    <row r="11021" spans="1:4" x14ac:dyDescent="0.2">
      <c r="A11021" s="146"/>
      <c r="D11021" s="496"/>
    </row>
    <row r="11022" spans="1:4" x14ac:dyDescent="0.2">
      <c r="A11022" s="146"/>
      <c r="D11022" s="496"/>
    </row>
    <row r="11023" spans="1:4" x14ac:dyDescent="0.2">
      <c r="A11023" s="146"/>
      <c r="D11023" s="496"/>
    </row>
    <row r="11024" spans="1:4" x14ac:dyDescent="0.2">
      <c r="A11024" s="146"/>
      <c r="D11024" s="496"/>
    </row>
    <row r="11025" spans="1:4" x14ac:dyDescent="0.2">
      <c r="A11025" s="146"/>
      <c r="D11025" s="496"/>
    </row>
    <row r="11026" spans="1:4" x14ac:dyDescent="0.2">
      <c r="A11026" s="146"/>
      <c r="D11026" s="496"/>
    </row>
    <row r="11027" spans="1:4" x14ac:dyDescent="0.2">
      <c r="A11027" s="146"/>
      <c r="D11027" s="496"/>
    </row>
    <row r="11028" spans="1:4" x14ac:dyDescent="0.2">
      <c r="A11028" s="146"/>
      <c r="D11028" s="496"/>
    </row>
    <row r="11029" spans="1:4" x14ac:dyDescent="0.2">
      <c r="A11029" s="146"/>
      <c r="D11029" s="496"/>
    </row>
    <row r="11030" spans="1:4" x14ac:dyDescent="0.2">
      <c r="A11030" s="146"/>
      <c r="D11030" s="496"/>
    </row>
    <row r="11031" spans="1:4" x14ac:dyDescent="0.2">
      <c r="A11031" s="146"/>
      <c r="D11031" s="496"/>
    </row>
    <row r="11032" spans="1:4" x14ac:dyDescent="0.2">
      <c r="A11032" s="146"/>
      <c r="D11032" s="496"/>
    </row>
    <row r="11033" spans="1:4" x14ac:dyDescent="0.2">
      <c r="A11033" s="146"/>
      <c r="D11033" s="496"/>
    </row>
    <row r="11034" spans="1:4" x14ac:dyDescent="0.2">
      <c r="A11034" s="146"/>
      <c r="D11034" s="496"/>
    </row>
    <row r="11035" spans="1:4" x14ac:dyDescent="0.2">
      <c r="A11035" s="146"/>
      <c r="D11035" s="496"/>
    </row>
    <row r="11036" spans="1:4" x14ac:dyDescent="0.2">
      <c r="A11036" s="146"/>
      <c r="D11036" s="496"/>
    </row>
    <row r="11037" spans="1:4" x14ac:dyDescent="0.2">
      <c r="A11037" s="146"/>
      <c r="D11037" s="496"/>
    </row>
    <row r="11038" spans="1:4" x14ac:dyDescent="0.2">
      <c r="A11038" s="146"/>
      <c r="D11038" s="496"/>
    </row>
    <row r="11039" spans="1:4" x14ac:dyDescent="0.2">
      <c r="A11039" s="146"/>
      <c r="D11039" s="496"/>
    </row>
    <row r="11040" spans="1:4" x14ac:dyDescent="0.2">
      <c r="A11040" s="146"/>
      <c r="D11040" s="496"/>
    </row>
    <row r="11041" spans="1:4" x14ac:dyDescent="0.2">
      <c r="A11041" s="146"/>
      <c r="D11041" s="496"/>
    </row>
    <row r="11042" spans="1:4" x14ac:dyDescent="0.2">
      <c r="A11042" s="146"/>
      <c r="D11042" s="496"/>
    </row>
    <row r="11043" spans="1:4" x14ac:dyDescent="0.2">
      <c r="A11043" s="146"/>
      <c r="D11043" s="496"/>
    </row>
    <row r="11044" spans="1:4" x14ac:dyDescent="0.2">
      <c r="A11044" s="146"/>
      <c r="D11044" s="496"/>
    </row>
    <row r="11045" spans="1:4" x14ac:dyDescent="0.2">
      <c r="A11045" s="146"/>
      <c r="D11045" s="496"/>
    </row>
    <row r="11046" spans="1:4" x14ac:dyDescent="0.2">
      <c r="A11046" s="146"/>
      <c r="D11046" s="496"/>
    </row>
    <row r="11047" spans="1:4" x14ac:dyDescent="0.2">
      <c r="A11047" s="146"/>
      <c r="D11047" s="496"/>
    </row>
    <row r="11048" spans="1:4" x14ac:dyDescent="0.2">
      <c r="A11048" s="146"/>
      <c r="D11048" s="496"/>
    </row>
    <row r="11049" spans="1:4" x14ac:dyDescent="0.2">
      <c r="A11049" s="146"/>
      <c r="D11049" s="496"/>
    </row>
    <row r="11050" spans="1:4" x14ac:dyDescent="0.2">
      <c r="A11050" s="146"/>
      <c r="D11050" s="496"/>
    </row>
    <row r="11051" spans="1:4" x14ac:dyDescent="0.2">
      <c r="A11051" s="146"/>
      <c r="D11051" s="496"/>
    </row>
    <row r="11052" spans="1:4" x14ac:dyDescent="0.2">
      <c r="A11052" s="146"/>
      <c r="D11052" s="496"/>
    </row>
    <row r="11053" spans="1:4" x14ac:dyDescent="0.2">
      <c r="A11053" s="146"/>
      <c r="D11053" s="496"/>
    </row>
    <row r="11054" spans="1:4" x14ac:dyDescent="0.2">
      <c r="A11054" s="146"/>
      <c r="D11054" s="496"/>
    </row>
    <row r="11055" spans="1:4" x14ac:dyDescent="0.2">
      <c r="A11055" s="146"/>
      <c r="D11055" s="496"/>
    </row>
    <row r="11056" spans="1:4" x14ac:dyDescent="0.2">
      <c r="A11056" s="146"/>
      <c r="D11056" s="496"/>
    </row>
    <row r="11057" spans="1:4" x14ac:dyDescent="0.2">
      <c r="A11057" s="146"/>
      <c r="D11057" s="496"/>
    </row>
    <row r="11058" spans="1:4" x14ac:dyDescent="0.2">
      <c r="A11058" s="146"/>
      <c r="D11058" s="496"/>
    </row>
    <row r="11059" spans="1:4" x14ac:dyDescent="0.2">
      <c r="A11059" s="146"/>
      <c r="D11059" s="496"/>
    </row>
    <row r="11060" spans="1:4" x14ac:dyDescent="0.2">
      <c r="A11060" s="146"/>
      <c r="D11060" s="496"/>
    </row>
    <row r="11061" spans="1:4" x14ac:dyDescent="0.2">
      <c r="A11061" s="146"/>
      <c r="D11061" s="496"/>
    </row>
    <row r="11062" spans="1:4" x14ac:dyDescent="0.2">
      <c r="A11062" s="146"/>
      <c r="D11062" s="496"/>
    </row>
    <row r="11063" spans="1:4" x14ac:dyDescent="0.2">
      <c r="A11063" s="146"/>
      <c r="D11063" s="496"/>
    </row>
    <row r="11064" spans="1:4" x14ac:dyDescent="0.2">
      <c r="A11064" s="146"/>
      <c r="D11064" s="496"/>
    </row>
    <row r="11065" spans="1:4" x14ac:dyDescent="0.2">
      <c r="A11065" s="146"/>
      <c r="D11065" s="496"/>
    </row>
    <row r="11066" spans="1:4" x14ac:dyDescent="0.2">
      <c r="A11066" s="146"/>
      <c r="D11066" s="496"/>
    </row>
    <row r="11067" spans="1:4" x14ac:dyDescent="0.2">
      <c r="A11067" s="146"/>
      <c r="D11067" s="496"/>
    </row>
    <row r="11068" spans="1:4" x14ac:dyDescent="0.2">
      <c r="A11068" s="146"/>
      <c r="D11068" s="496"/>
    </row>
    <row r="11069" spans="1:4" x14ac:dyDescent="0.2">
      <c r="A11069" s="146"/>
      <c r="D11069" s="496"/>
    </row>
    <row r="11070" spans="1:4" x14ac:dyDescent="0.2">
      <c r="A11070" s="146"/>
      <c r="D11070" s="496"/>
    </row>
    <row r="11071" spans="1:4" x14ac:dyDescent="0.2">
      <c r="A11071" s="146"/>
      <c r="D11071" s="496"/>
    </row>
    <row r="11072" spans="1:4" x14ac:dyDescent="0.2">
      <c r="A11072" s="146"/>
      <c r="D11072" s="496"/>
    </row>
    <row r="11073" spans="1:4" x14ac:dyDescent="0.2">
      <c r="A11073" s="146"/>
      <c r="D11073" s="496"/>
    </row>
    <row r="11074" spans="1:4" x14ac:dyDescent="0.2">
      <c r="A11074" s="146"/>
      <c r="D11074" s="496"/>
    </row>
    <row r="11075" spans="1:4" x14ac:dyDescent="0.2">
      <c r="A11075" s="146"/>
      <c r="D11075" s="496"/>
    </row>
    <row r="11076" spans="1:4" x14ac:dyDescent="0.2">
      <c r="A11076" s="146"/>
      <c r="D11076" s="496"/>
    </row>
    <row r="11077" spans="1:4" x14ac:dyDescent="0.2">
      <c r="A11077" s="146"/>
      <c r="D11077" s="496"/>
    </row>
    <row r="11078" spans="1:4" x14ac:dyDescent="0.2">
      <c r="A11078" s="146"/>
      <c r="D11078" s="496"/>
    </row>
    <row r="11079" spans="1:4" x14ac:dyDescent="0.2">
      <c r="A11079" s="146"/>
      <c r="D11079" s="496"/>
    </row>
    <row r="11080" spans="1:4" x14ac:dyDescent="0.2">
      <c r="A11080" s="146"/>
      <c r="D11080" s="496"/>
    </row>
    <row r="11081" spans="1:4" x14ac:dyDescent="0.2">
      <c r="A11081" s="146"/>
      <c r="D11081" s="496"/>
    </row>
    <row r="11082" spans="1:4" x14ac:dyDescent="0.2">
      <c r="A11082" s="146"/>
      <c r="D11082" s="496"/>
    </row>
    <row r="11083" spans="1:4" x14ac:dyDescent="0.2">
      <c r="A11083" s="146"/>
      <c r="D11083" s="496"/>
    </row>
    <row r="11084" spans="1:4" x14ac:dyDescent="0.2">
      <c r="A11084" s="146"/>
      <c r="D11084" s="496"/>
    </row>
    <row r="11085" spans="1:4" x14ac:dyDescent="0.2">
      <c r="A11085" s="146"/>
      <c r="D11085" s="496"/>
    </row>
    <row r="11086" spans="1:4" x14ac:dyDescent="0.2">
      <c r="A11086" s="146"/>
      <c r="D11086" s="496"/>
    </row>
    <row r="11087" spans="1:4" x14ac:dyDescent="0.2">
      <c r="A11087" s="146"/>
      <c r="D11087" s="496"/>
    </row>
    <row r="11088" spans="1:4" x14ac:dyDescent="0.2">
      <c r="A11088" s="146"/>
      <c r="D11088" s="496"/>
    </row>
    <row r="11089" spans="1:4" x14ac:dyDescent="0.2">
      <c r="A11089" s="146"/>
      <c r="D11089" s="496"/>
    </row>
    <row r="11090" spans="1:4" x14ac:dyDescent="0.2">
      <c r="A11090" s="146"/>
      <c r="D11090" s="496"/>
    </row>
    <row r="11091" spans="1:4" x14ac:dyDescent="0.2">
      <c r="A11091" s="146"/>
      <c r="D11091" s="496"/>
    </row>
    <row r="11092" spans="1:4" x14ac:dyDescent="0.2">
      <c r="A11092" s="146"/>
      <c r="D11092" s="496"/>
    </row>
    <row r="11093" spans="1:4" x14ac:dyDescent="0.2">
      <c r="A11093" s="146"/>
      <c r="D11093" s="496"/>
    </row>
    <row r="11094" spans="1:4" x14ac:dyDescent="0.2">
      <c r="A11094" s="146"/>
      <c r="D11094" s="496"/>
    </row>
    <row r="11095" spans="1:4" x14ac:dyDescent="0.2">
      <c r="A11095" s="146"/>
      <c r="D11095" s="496"/>
    </row>
    <row r="11096" spans="1:4" x14ac:dyDescent="0.2">
      <c r="A11096" s="146"/>
      <c r="D11096" s="496"/>
    </row>
    <row r="11097" spans="1:4" x14ac:dyDescent="0.2">
      <c r="A11097" s="146"/>
      <c r="D11097" s="496"/>
    </row>
    <row r="11098" spans="1:4" x14ac:dyDescent="0.2">
      <c r="A11098" s="146"/>
      <c r="D11098" s="496"/>
    </row>
    <row r="11099" spans="1:4" x14ac:dyDescent="0.2">
      <c r="A11099" s="146"/>
      <c r="D11099" s="496"/>
    </row>
    <row r="11100" spans="1:4" x14ac:dyDescent="0.2">
      <c r="A11100" s="146"/>
      <c r="D11100" s="496"/>
    </row>
    <row r="11101" spans="1:4" x14ac:dyDescent="0.2">
      <c r="A11101" s="146"/>
      <c r="D11101" s="496"/>
    </row>
    <row r="11102" spans="1:4" x14ac:dyDescent="0.2">
      <c r="A11102" s="146"/>
      <c r="D11102" s="496"/>
    </row>
    <row r="11103" spans="1:4" x14ac:dyDescent="0.2">
      <c r="A11103" s="146"/>
      <c r="D11103" s="496"/>
    </row>
    <row r="11104" spans="1:4" x14ac:dyDescent="0.2">
      <c r="A11104" s="146"/>
      <c r="D11104" s="496"/>
    </row>
    <row r="11105" spans="1:4" x14ac:dyDescent="0.2">
      <c r="A11105" s="146"/>
      <c r="D11105" s="496"/>
    </row>
    <row r="11106" spans="1:4" x14ac:dyDescent="0.2">
      <c r="A11106" s="146"/>
      <c r="D11106" s="496"/>
    </row>
    <row r="11107" spans="1:4" x14ac:dyDescent="0.2">
      <c r="A11107" s="146"/>
      <c r="D11107" s="496"/>
    </row>
    <row r="11108" spans="1:4" x14ac:dyDescent="0.2">
      <c r="A11108" s="146"/>
      <c r="D11108" s="496"/>
    </row>
    <row r="11109" spans="1:4" x14ac:dyDescent="0.2">
      <c r="A11109" s="146"/>
      <c r="D11109" s="496"/>
    </row>
    <row r="11110" spans="1:4" x14ac:dyDescent="0.2">
      <c r="A11110" s="146"/>
      <c r="D11110" s="496"/>
    </row>
    <row r="11111" spans="1:4" x14ac:dyDescent="0.2">
      <c r="A11111" s="146"/>
      <c r="D11111" s="496"/>
    </row>
    <row r="11112" spans="1:4" x14ac:dyDescent="0.2">
      <c r="A11112" s="146"/>
      <c r="D11112" s="496"/>
    </row>
    <row r="11113" spans="1:4" x14ac:dyDescent="0.2">
      <c r="A11113" s="146"/>
      <c r="D11113" s="496"/>
    </row>
    <row r="11114" spans="1:4" x14ac:dyDescent="0.2">
      <c r="A11114" s="146"/>
      <c r="D11114" s="496"/>
    </row>
    <row r="11115" spans="1:4" x14ac:dyDescent="0.2">
      <c r="A11115" s="146"/>
      <c r="D11115" s="496"/>
    </row>
    <row r="11116" spans="1:4" x14ac:dyDescent="0.2">
      <c r="A11116" s="146"/>
      <c r="D11116" s="496"/>
    </row>
    <row r="11117" spans="1:4" x14ac:dyDescent="0.2">
      <c r="A11117" s="146"/>
      <c r="D11117" s="496"/>
    </row>
    <row r="11118" spans="1:4" x14ac:dyDescent="0.2">
      <c r="A11118" s="146"/>
      <c r="D11118" s="496"/>
    </row>
    <row r="11119" spans="1:4" x14ac:dyDescent="0.2">
      <c r="A11119" s="146"/>
      <c r="D11119" s="496"/>
    </row>
    <row r="11120" spans="1:4" x14ac:dyDescent="0.2">
      <c r="A11120" s="146"/>
      <c r="D11120" s="496"/>
    </row>
    <row r="11121" spans="1:4" x14ac:dyDescent="0.2">
      <c r="A11121" s="146"/>
      <c r="D11121" s="496"/>
    </row>
    <row r="11122" spans="1:4" x14ac:dyDescent="0.2">
      <c r="A11122" s="146"/>
      <c r="D11122" s="496"/>
    </row>
    <row r="11123" spans="1:4" x14ac:dyDescent="0.2">
      <c r="A11123" s="146"/>
      <c r="D11123" s="496"/>
    </row>
    <row r="11124" spans="1:4" x14ac:dyDescent="0.2">
      <c r="A11124" s="146"/>
      <c r="D11124" s="496"/>
    </row>
    <row r="11125" spans="1:4" x14ac:dyDescent="0.2">
      <c r="A11125" s="146"/>
      <c r="D11125" s="496"/>
    </row>
    <row r="11126" spans="1:4" x14ac:dyDescent="0.2">
      <c r="A11126" s="146"/>
      <c r="D11126" s="496"/>
    </row>
    <row r="11127" spans="1:4" x14ac:dyDescent="0.2">
      <c r="A11127" s="146"/>
      <c r="D11127" s="496"/>
    </row>
    <row r="11128" spans="1:4" x14ac:dyDescent="0.2">
      <c r="A11128" s="146"/>
      <c r="D11128" s="496"/>
    </row>
    <row r="11129" spans="1:4" x14ac:dyDescent="0.2">
      <c r="A11129" s="146"/>
      <c r="D11129" s="496"/>
    </row>
    <row r="11130" spans="1:4" x14ac:dyDescent="0.2">
      <c r="A11130" s="146"/>
      <c r="D11130" s="496"/>
    </row>
    <row r="11131" spans="1:4" x14ac:dyDescent="0.2">
      <c r="A11131" s="146"/>
      <c r="D11131" s="496"/>
    </row>
    <row r="11132" spans="1:4" x14ac:dyDescent="0.2">
      <c r="A11132" s="146"/>
      <c r="D11132" s="496"/>
    </row>
    <row r="11133" spans="1:4" x14ac:dyDescent="0.2">
      <c r="A11133" s="146"/>
      <c r="D11133" s="496"/>
    </row>
    <row r="11134" spans="1:4" x14ac:dyDescent="0.2">
      <c r="A11134" s="146"/>
      <c r="D11134" s="496"/>
    </row>
    <row r="11135" spans="1:4" x14ac:dyDescent="0.2">
      <c r="A11135" s="146"/>
      <c r="D11135" s="496"/>
    </row>
    <row r="11136" spans="1:4" x14ac:dyDescent="0.2">
      <c r="A11136" s="146"/>
      <c r="D11136" s="496"/>
    </row>
    <row r="11137" spans="1:4" x14ac:dyDescent="0.2">
      <c r="A11137" s="146"/>
      <c r="D11137" s="496"/>
    </row>
    <row r="11138" spans="1:4" x14ac:dyDescent="0.2">
      <c r="A11138" s="146"/>
      <c r="D11138" s="496"/>
    </row>
    <row r="11139" spans="1:4" x14ac:dyDescent="0.2">
      <c r="A11139" s="146"/>
      <c r="D11139" s="496"/>
    </row>
    <row r="11140" spans="1:4" x14ac:dyDescent="0.2">
      <c r="A11140" s="146"/>
      <c r="D11140" s="496"/>
    </row>
    <row r="11141" spans="1:4" x14ac:dyDescent="0.2">
      <c r="A11141" s="146"/>
      <c r="D11141" s="496"/>
    </row>
    <row r="11142" spans="1:4" x14ac:dyDescent="0.2">
      <c r="A11142" s="146"/>
      <c r="D11142" s="496"/>
    </row>
    <row r="11143" spans="1:4" x14ac:dyDescent="0.2">
      <c r="A11143" s="146"/>
      <c r="D11143" s="496"/>
    </row>
    <row r="11144" spans="1:4" x14ac:dyDescent="0.2">
      <c r="A11144" s="146"/>
      <c r="D11144" s="496"/>
    </row>
    <row r="11145" spans="1:4" x14ac:dyDescent="0.2">
      <c r="A11145" s="146"/>
      <c r="D11145" s="496"/>
    </row>
    <row r="11146" spans="1:4" x14ac:dyDescent="0.2">
      <c r="A11146" s="146"/>
      <c r="D11146" s="496"/>
    </row>
    <row r="11147" spans="1:4" x14ac:dyDescent="0.2">
      <c r="A11147" s="146"/>
      <c r="D11147" s="496"/>
    </row>
    <row r="11148" spans="1:4" x14ac:dyDescent="0.2">
      <c r="A11148" s="146"/>
      <c r="D11148" s="496"/>
    </row>
    <row r="11149" spans="1:4" x14ac:dyDescent="0.2">
      <c r="A11149" s="146"/>
      <c r="D11149" s="496"/>
    </row>
    <row r="11150" spans="1:4" x14ac:dyDescent="0.2">
      <c r="A11150" s="146"/>
      <c r="D11150" s="496"/>
    </row>
    <row r="11151" spans="1:4" x14ac:dyDescent="0.2">
      <c r="A11151" s="146"/>
      <c r="D11151" s="496"/>
    </row>
    <row r="11152" spans="1:4" x14ac:dyDescent="0.2">
      <c r="A11152" s="146"/>
      <c r="D11152" s="496"/>
    </row>
    <row r="11153" spans="1:4" x14ac:dyDescent="0.2">
      <c r="A11153" s="146"/>
      <c r="D11153" s="496"/>
    </row>
    <row r="11154" spans="1:4" x14ac:dyDescent="0.2">
      <c r="A11154" s="146"/>
      <c r="D11154" s="496"/>
    </row>
    <row r="11155" spans="1:4" x14ac:dyDescent="0.2">
      <c r="A11155" s="146"/>
      <c r="D11155" s="496"/>
    </row>
    <row r="11156" spans="1:4" x14ac:dyDescent="0.2">
      <c r="A11156" s="146"/>
      <c r="D11156" s="496"/>
    </row>
    <row r="11157" spans="1:4" x14ac:dyDescent="0.2">
      <c r="A11157" s="146"/>
      <c r="D11157" s="496"/>
    </row>
    <row r="11158" spans="1:4" x14ac:dyDescent="0.2">
      <c r="A11158" s="146"/>
      <c r="D11158" s="496"/>
    </row>
    <row r="11159" spans="1:4" x14ac:dyDescent="0.2">
      <c r="A11159" s="146"/>
      <c r="D11159" s="496"/>
    </row>
    <row r="11160" spans="1:4" x14ac:dyDescent="0.2">
      <c r="A11160" s="146"/>
      <c r="D11160" s="496"/>
    </row>
    <row r="11161" spans="1:4" x14ac:dyDescent="0.2">
      <c r="A11161" s="146"/>
      <c r="D11161" s="496"/>
    </row>
    <row r="11162" spans="1:4" x14ac:dyDescent="0.2">
      <c r="A11162" s="146"/>
      <c r="D11162" s="496"/>
    </row>
    <row r="11163" spans="1:4" x14ac:dyDescent="0.2">
      <c r="A11163" s="146"/>
      <c r="D11163" s="496"/>
    </row>
    <row r="11164" spans="1:4" x14ac:dyDescent="0.2">
      <c r="A11164" s="146"/>
      <c r="D11164" s="496"/>
    </row>
    <row r="11165" spans="1:4" x14ac:dyDescent="0.2">
      <c r="A11165" s="146"/>
      <c r="D11165" s="496"/>
    </row>
    <row r="11166" spans="1:4" x14ac:dyDescent="0.2">
      <c r="A11166" s="146"/>
      <c r="D11166" s="496"/>
    </row>
    <row r="11167" spans="1:4" x14ac:dyDescent="0.2">
      <c r="A11167" s="146"/>
      <c r="D11167" s="496"/>
    </row>
    <row r="11168" spans="1:4" x14ac:dyDescent="0.2">
      <c r="A11168" s="146"/>
      <c r="D11168" s="496"/>
    </row>
    <row r="11169" spans="1:4" x14ac:dyDescent="0.2">
      <c r="A11169" s="146"/>
      <c r="D11169" s="496"/>
    </row>
    <row r="11170" spans="1:4" x14ac:dyDescent="0.2">
      <c r="A11170" s="146"/>
      <c r="D11170" s="496"/>
    </row>
    <row r="11171" spans="1:4" x14ac:dyDescent="0.2">
      <c r="A11171" s="146"/>
      <c r="D11171" s="496"/>
    </row>
    <row r="11172" spans="1:4" x14ac:dyDescent="0.2">
      <c r="A11172" s="146"/>
      <c r="D11172" s="496"/>
    </row>
    <row r="11173" spans="1:4" x14ac:dyDescent="0.2">
      <c r="A11173" s="146"/>
      <c r="D11173" s="496"/>
    </row>
    <row r="11174" spans="1:4" x14ac:dyDescent="0.2">
      <c r="A11174" s="146"/>
      <c r="D11174" s="496"/>
    </row>
    <row r="11175" spans="1:4" x14ac:dyDescent="0.2">
      <c r="A11175" s="146"/>
      <c r="D11175" s="496"/>
    </row>
    <row r="11176" spans="1:4" x14ac:dyDescent="0.2">
      <c r="A11176" s="146"/>
      <c r="D11176" s="496"/>
    </row>
    <row r="11177" spans="1:4" x14ac:dyDescent="0.2">
      <c r="A11177" s="146"/>
      <c r="D11177" s="496"/>
    </row>
    <row r="11178" spans="1:4" x14ac:dyDescent="0.2">
      <c r="A11178" s="146"/>
      <c r="D11178" s="496"/>
    </row>
    <row r="11179" spans="1:4" x14ac:dyDescent="0.2">
      <c r="A11179" s="146"/>
      <c r="D11179" s="496"/>
    </row>
    <row r="11180" spans="1:4" x14ac:dyDescent="0.2">
      <c r="A11180" s="146"/>
      <c r="D11180" s="496"/>
    </row>
    <row r="11181" spans="1:4" x14ac:dyDescent="0.2">
      <c r="A11181" s="146"/>
      <c r="D11181" s="496"/>
    </row>
    <row r="11182" spans="1:4" x14ac:dyDescent="0.2">
      <c r="A11182" s="146"/>
      <c r="D11182" s="496"/>
    </row>
    <row r="11183" spans="1:4" x14ac:dyDescent="0.2">
      <c r="A11183" s="146"/>
      <c r="D11183" s="496"/>
    </row>
    <row r="11184" spans="1:4" x14ac:dyDescent="0.2">
      <c r="A11184" s="146"/>
      <c r="D11184" s="496"/>
    </row>
    <row r="11185" spans="1:4" x14ac:dyDescent="0.2">
      <c r="A11185" s="146"/>
      <c r="D11185" s="496"/>
    </row>
    <row r="11186" spans="1:4" x14ac:dyDescent="0.2">
      <c r="A11186" s="146"/>
      <c r="D11186" s="496"/>
    </row>
    <row r="11187" spans="1:4" x14ac:dyDescent="0.2">
      <c r="A11187" s="146"/>
      <c r="D11187" s="496"/>
    </row>
    <row r="11188" spans="1:4" x14ac:dyDescent="0.2">
      <c r="A11188" s="146"/>
      <c r="D11188" s="496"/>
    </row>
    <row r="11189" spans="1:4" x14ac:dyDescent="0.2">
      <c r="A11189" s="146"/>
      <c r="D11189" s="496"/>
    </row>
    <row r="11190" spans="1:4" x14ac:dyDescent="0.2">
      <c r="A11190" s="146"/>
      <c r="D11190" s="496"/>
    </row>
    <row r="11191" spans="1:4" x14ac:dyDescent="0.2">
      <c r="A11191" s="146"/>
      <c r="D11191" s="496"/>
    </row>
    <row r="11192" spans="1:4" x14ac:dyDescent="0.2">
      <c r="A11192" s="146"/>
      <c r="D11192" s="496"/>
    </row>
    <row r="11193" spans="1:4" x14ac:dyDescent="0.2">
      <c r="A11193" s="146"/>
      <c r="D11193" s="496"/>
    </row>
    <row r="11194" spans="1:4" x14ac:dyDescent="0.2">
      <c r="A11194" s="146"/>
      <c r="D11194" s="496"/>
    </row>
    <row r="11195" spans="1:4" x14ac:dyDescent="0.2">
      <c r="A11195" s="146"/>
      <c r="D11195" s="496"/>
    </row>
    <row r="11196" spans="1:4" x14ac:dyDescent="0.2">
      <c r="A11196" s="146"/>
      <c r="D11196" s="496"/>
    </row>
    <row r="11197" spans="1:4" x14ac:dyDescent="0.2">
      <c r="A11197" s="146"/>
      <c r="D11197" s="496"/>
    </row>
    <row r="11198" spans="1:4" x14ac:dyDescent="0.2">
      <c r="A11198" s="146"/>
      <c r="D11198" s="496"/>
    </row>
    <row r="11199" spans="1:4" x14ac:dyDescent="0.2">
      <c r="A11199" s="146"/>
      <c r="D11199" s="496"/>
    </row>
    <row r="11200" spans="1:4" x14ac:dyDescent="0.2">
      <c r="A11200" s="146"/>
      <c r="D11200" s="496"/>
    </row>
    <row r="11201" spans="1:4" x14ac:dyDescent="0.2">
      <c r="A11201" s="146"/>
      <c r="D11201" s="496"/>
    </row>
    <row r="11202" spans="1:4" x14ac:dyDescent="0.2">
      <c r="A11202" s="146"/>
      <c r="D11202" s="496"/>
    </row>
    <row r="11203" spans="1:4" x14ac:dyDescent="0.2">
      <c r="A11203" s="146"/>
      <c r="D11203" s="496"/>
    </row>
    <row r="11204" spans="1:4" x14ac:dyDescent="0.2">
      <c r="A11204" s="146"/>
      <c r="D11204" s="496"/>
    </row>
    <row r="11205" spans="1:4" x14ac:dyDescent="0.2">
      <c r="A11205" s="146"/>
      <c r="D11205" s="496"/>
    </row>
    <row r="11206" spans="1:4" x14ac:dyDescent="0.2">
      <c r="A11206" s="146"/>
      <c r="D11206" s="496"/>
    </row>
    <row r="11207" spans="1:4" x14ac:dyDescent="0.2">
      <c r="A11207" s="146"/>
      <c r="D11207" s="496"/>
    </row>
    <row r="11208" spans="1:4" x14ac:dyDescent="0.2">
      <c r="A11208" s="146"/>
      <c r="D11208" s="496"/>
    </row>
    <row r="11209" spans="1:4" x14ac:dyDescent="0.2">
      <c r="A11209" s="146"/>
      <c r="D11209" s="496"/>
    </row>
    <row r="11210" spans="1:4" x14ac:dyDescent="0.2">
      <c r="A11210" s="146"/>
      <c r="D11210" s="496"/>
    </row>
    <row r="11211" spans="1:4" x14ac:dyDescent="0.2">
      <c r="A11211" s="146"/>
      <c r="D11211" s="496"/>
    </row>
    <row r="11212" spans="1:4" x14ac:dyDescent="0.2">
      <c r="A11212" s="146"/>
      <c r="D11212" s="496"/>
    </row>
    <row r="11213" spans="1:4" x14ac:dyDescent="0.2">
      <c r="A11213" s="146"/>
      <c r="D11213" s="496"/>
    </row>
    <row r="11214" spans="1:4" x14ac:dyDescent="0.2">
      <c r="A11214" s="146"/>
      <c r="D11214" s="496"/>
    </row>
    <row r="11215" spans="1:4" x14ac:dyDescent="0.2">
      <c r="A11215" s="146"/>
      <c r="D11215" s="496"/>
    </row>
    <row r="11216" spans="1:4" x14ac:dyDescent="0.2">
      <c r="A11216" s="146"/>
      <c r="D11216" s="496"/>
    </row>
    <row r="11217" spans="1:4" x14ac:dyDescent="0.2">
      <c r="A11217" s="146"/>
      <c r="D11217" s="496"/>
    </row>
    <row r="11218" spans="1:4" x14ac:dyDescent="0.2">
      <c r="A11218" s="146"/>
      <c r="D11218" s="496"/>
    </row>
    <row r="11219" spans="1:4" x14ac:dyDescent="0.2">
      <c r="A11219" s="146"/>
      <c r="D11219" s="496"/>
    </row>
    <row r="11220" spans="1:4" x14ac:dyDescent="0.2">
      <c r="A11220" s="146"/>
      <c r="D11220" s="496"/>
    </row>
    <row r="11221" spans="1:4" x14ac:dyDescent="0.2">
      <c r="A11221" s="146"/>
      <c r="D11221" s="496"/>
    </row>
    <row r="11222" spans="1:4" x14ac:dyDescent="0.2">
      <c r="A11222" s="146"/>
      <c r="D11222" s="496"/>
    </row>
    <row r="11223" spans="1:4" x14ac:dyDescent="0.2">
      <c r="A11223" s="146"/>
      <c r="D11223" s="496"/>
    </row>
    <row r="11224" spans="1:4" x14ac:dyDescent="0.2">
      <c r="A11224" s="146"/>
      <c r="D11224" s="496"/>
    </row>
    <row r="11225" spans="1:4" x14ac:dyDescent="0.2">
      <c r="A11225" s="146"/>
      <c r="D11225" s="496"/>
    </row>
    <row r="11226" spans="1:4" x14ac:dyDescent="0.2">
      <c r="A11226" s="146"/>
      <c r="D11226" s="496"/>
    </row>
    <row r="11227" spans="1:4" x14ac:dyDescent="0.2">
      <c r="A11227" s="146"/>
      <c r="D11227" s="496"/>
    </row>
    <row r="11228" spans="1:4" x14ac:dyDescent="0.2">
      <c r="A11228" s="146"/>
      <c r="D11228" s="496"/>
    </row>
    <row r="11229" spans="1:4" x14ac:dyDescent="0.2">
      <c r="A11229" s="146"/>
      <c r="D11229" s="496"/>
    </row>
    <row r="11230" spans="1:4" x14ac:dyDescent="0.2">
      <c r="A11230" s="146"/>
      <c r="D11230" s="496"/>
    </row>
    <row r="11231" spans="1:4" x14ac:dyDescent="0.2">
      <c r="A11231" s="146"/>
      <c r="D11231" s="496"/>
    </row>
    <row r="11232" spans="1:4" x14ac:dyDescent="0.2">
      <c r="A11232" s="146"/>
      <c r="D11232" s="496"/>
    </row>
    <row r="11233" spans="1:4" x14ac:dyDescent="0.2">
      <c r="A11233" s="146"/>
      <c r="D11233" s="496"/>
    </row>
    <row r="11234" spans="1:4" x14ac:dyDescent="0.2">
      <c r="A11234" s="146"/>
      <c r="D11234" s="496"/>
    </row>
    <row r="11235" spans="1:4" x14ac:dyDescent="0.2">
      <c r="A11235" s="146"/>
      <c r="D11235" s="496"/>
    </row>
    <row r="11236" spans="1:4" x14ac:dyDescent="0.2">
      <c r="A11236" s="146"/>
      <c r="D11236" s="496"/>
    </row>
    <row r="11237" spans="1:4" x14ac:dyDescent="0.2">
      <c r="A11237" s="146"/>
      <c r="D11237" s="496"/>
    </row>
    <row r="11238" spans="1:4" x14ac:dyDescent="0.2">
      <c r="A11238" s="146"/>
      <c r="D11238" s="496"/>
    </row>
    <row r="11239" spans="1:4" x14ac:dyDescent="0.2">
      <c r="A11239" s="146"/>
      <c r="D11239" s="496"/>
    </row>
    <row r="11240" spans="1:4" x14ac:dyDescent="0.2">
      <c r="A11240" s="146"/>
      <c r="D11240" s="496"/>
    </row>
    <row r="11241" spans="1:4" x14ac:dyDescent="0.2">
      <c r="A11241" s="146"/>
      <c r="D11241" s="496"/>
    </row>
    <row r="11242" spans="1:4" x14ac:dyDescent="0.2">
      <c r="A11242" s="146"/>
      <c r="D11242" s="496"/>
    </row>
    <row r="11243" spans="1:4" x14ac:dyDescent="0.2">
      <c r="A11243" s="146"/>
      <c r="D11243" s="496"/>
    </row>
    <row r="11244" spans="1:4" x14ac:dyDescent="0.2">
      <c r="A11244" s="146"/>
      <c r="D11244" s="496"/>
    </row>
    <row r="11245" spans="1:4" x14ac:dyDescent="0.2">
      <c r="A11245" s="146"/>
      <c r="D11245" s="496"/>
    </row>
    <row r="11246" spans="1:4" x14ac:dyDescent="0.2">
      <c r="A11246" s="146"/>
      <c r="D11246" s="496"/>
    </row>
    <row r="11247" spans="1:4" x14ac:dyDescent="0.2">
      <c r="A11247" s="146"/>
      <c r="D11247" s="496"/>
    </row>
    <row r="11248" spans="1:4" x14ac:dyDescent="0.2">
      <c r="A11248" s="146"/>
      <c r="D11248" s="496"/>
    </row>
    <row r="11249" spans="1:4" x14ac:dyDescent="0.2">
      <c r="A11249" s="146"/>
      <c r="D11249" s="496"/>
    </row>
    <row r="11250" spans="1:4" x14ac:dyDescent="0.2">
      <c r="A11250" s="146"/>
      <c r="D11250" s="496"/>
    </row>
    <row r="11251" spans="1:4" x14ac:dyDescent="0.2">
      <c r="A11251" s="146"/>
      <c r="D11251" s="496"/>
    </row>
    <row r="11252" spans="1:4" x14ac:dyDescent="0.2">
      <c r="A11252" s="146"/>
      <c r="D11252" s="496"/>
    </row>
    <row r="11253" spans="1:4" x14ac:dyDescent="0.2">
      <c r="A11253" s="146"/>
      <c r="D11253" s="496"/>
    </row>
    <row r="11254" spans="1:4" x14ac:dyDescent="0.2">
      <c r="A11254" s="146"/>
      <c r="D11254" s="496"/>
    </row>
    <row r="11255" spans="1:4" x14ac:dyDescent="0.2">
      <c r="A11255" s="146"/>
      <c r="D11255" s="496"/>
    </row>
    <row r="11256" spans="1:4" x14ac:dyDescent="0.2">
      <c r="A11256" s="146"/>
      <c r="D11256" s="496"/>
    </row>
    <row r="11257" spans="1:4" x14ac:dyDescent="0.2">
      <c r="A11257" s="146"/>
      <c r="D11257" s="496"/>
    </row>
    <row r="11258" spans="1:4" x14ac:dyDescent="0.2">
      <c r="A11258" s="146"/>
      <c r="D11258" s="496"/>
    </row>
    <row r="11259" spans="1:4" x14ac:dyDescent="0.2">
      <c r="A11259" s="146"/>
      <c r="D11259" s="496"/>
    </row>
    <row r="11260" spans="1:4" x14ac:dyDescent="0.2">
      <c r="A11260" s="146"/>
      <c r="D11260" s="496"/>
    </row>
    <row r="11261" spans="1:4" x14ac:dyDescent="0.2">
      <c r="A11261" s="146"/>
      <c r="D11261" s="496"/>
    </row>
    <row r="11262" spans="1:4" x14ac:dyDescent="0.2">
      <c r="A11262" s="146"/>
      <c r="D11262" s="496"/>
    </row>
    <row r="11263" spans="1:4" x14ac:dyDescent="0.2">
      <c r="A11263" s="146"/>
      <c r="D11263" s="496"/>
    </row>
    <row r="11264" spans="1:4" x14ac:dyDescent="0.2">
      <c r="A11264" s="146"/>
      <c r="D11264" s="496"/>
    </row>
    <row r="11265" spans="1:4" x14ac:dyDescent="0.2">
      <c r="A11265" s="146"/>
      <c r="D11265" s="496"/>
    </row>
    <row r="11266" spans="1:4" x14ac:dyDescent="0.2">
      <c r="A11266" s="146"/>
      <c r="D11266" s="496"/>
    </row>
    <row r="11267" spans="1:4" x14ac:dyDescent="0.2">
      <c r="A11267" s="146"/>
      <c r="D11267" s="496"/>
    </row>
    <row r="11268" spans="1:4" x14ac:dyDescent="0.2">
      <c r="A11268" s="146"/>
      <c r="D11268" s="496"/>
    </row>
    <row r="11269" spans="1:4" x14ac:dyDescent="0.2">
      <c r="A11269" s="146"/>
      <c r="D11269" s="496"/>
    </row>
    <row r="11270" spans="1:4" x14ac:dyDescent="0.2">
      <c r="A11270" s="146"/>
      <c r="D11270" s="496"/>
    </row>
    <row r="11271" spans="1:4" x14ac:dyDescent="0.2">
      <c r="A11271" s="146"/>
      <c r="D11271" s="496"/>
    </row>
    <row r="11272" spans="1:4" x14ac:dyDescent="0.2">
      <c r="A11272" s="146"/>
      <c r="D11272" s="496"/>
    </row>
    <row r="11273" spans="1:4" x14ac:dyDescent="0.2">
      <c r="A11273" s="146"/>
      <c r="D11273" s="496"/>
    </row>
    <row r="11274" spans="1:4" x14ac:dyDescent="0.2">
      <c r="A11274" s="146"/>
      <c r="D11274" s="496"/>
    </row>
    <row r="11275" spans="1:4" x14ac:dyDescent="0.2">
      <c r="A11275" s="146"/>
      <c r="D11275" s="496"/>
    </row>
    <row r="11276" spans="1:4" x14ac:dyDescent="0.2">
      <c r="A11276" s="146"/>
      <c r="D11276" s="496"/>
    </row>
    <row r="11277" spans="1:4" x14ac:dyDescent="0.2">
      <c r="A11277" s="146"/>
      <c r="D11277" s="496"/>
    </row>
    <row r="11278" spans="1:4" x14ac:dyDescent="0.2">
      <c r="A11278" s="146"/>
      <c r="D11278" s="496"/>
    </row>
    <row r="11279" spans="1:4" x14ac:dyDescent="0.2">
      <c r="A11279" s="146"/>
      <c r="D11279" s="496"/>
    </row>
    <row r="11280" spans="1:4" x14ac:dyDescent="0.2">
      <c r="A11280" s="146"/>
      <c r="D11280" s="496"/>
    </row>
    <row r="11281" spans="1:4" x14ac:dyDescent="0.2">
      <c r="A11281" s="146"/>
      <c r="D11281" s="496"/>
    </row>
    <row r="11282" spans="1:4" x14ac:dyDescent="0.2">
      <c r="A11282" s="146"/>
      <c r="D11282" s="496"/>
    </row>
    <row r="11283" spans="1:4" x14ac:dyDescent="0.2">
      <c r="A11283" s="146"/>
      <c r="D11283" s="496"/>
    </row>
    <row r="11284" spans="1:4" x14ac:dyDescent="0.2">
      <c r="A11284" s="146"/>
      <c r="D11284" s="496"/>
    </row>
    <row r="11285" spans="1:4" x14ac:dyDescent="0.2">
      <c r="A11285" s="146"/>
      <c r="D11285" s="496"/>
    </row>
    <row r="11286" spans="1:4" x14ac:dyDescent="0.2">
      <c r="A11286" s="146"/>
      <c r="D11286" s="496"/>
    </row>
    <row r="11287" spans="1:4" x14ac:dyDescent="0.2">
      <c r="A11287" s="146"/>
      <c r="D11287" s="496"/>
    </row>
    <row r="11288" spans="1:4" x14ac:dyDescent="0.2">
      <c r="A11288" s="146"/>
      <c r="D11288" s="496"/>
    </row>
    <row r="11289" spans="1:4" x14ac:dyDescent="0.2">
      <c r="A11289" s="146"/>
      <c r="D11289" s="496"/>
    </row>
    <row r="11290" spans="1:4" x14ac:dyDescent="0.2">
      <c r="A11290" s="146"/>
      <c r="D11290" s="496"/>
    </row>
    <row r="11291" spans="1:4" x14ac:dyDescent="0.2">
      <c r="A11291" s="146"/>
      <c r="D11291" s="496"/>
    </row>
    <row r="11292" spans="1:4" x14ac:dyDescent="0.2">
      <c r="A11292" s="146"/>
      <c r="D11292" s="496"/>
    </row>
    <row r="11293" spans="1:4" x14ac:dyDescent="0.2">
      <c r="A11293" s="146"/>
      <c r="D11293" s="496"/>
    </row>
    <row r="11294" spans="1:4" x14ac:dyDescent="0.2">
      <c r="A11294" s="146"/>
      <c r="D11294" s="496"/>
    </row>
    <row r="11295" spans="1:4" x14ac:dyDescent="0.2">
      <c r="A11295" s="146"/>
      <c r="D11295" s="496"/>
    </row>
    <row r="11296" spans="1:4" x14ac:dyDescent="0.2">
      <c r="A11296" s="146"/>
      <c r="D11296" s="496"/>
    </row>
    <row r="11297" spans="1:4" x14ac:dyDescent="0.2">
      <c r="A11297" s="146"/>
      <c r="D11297" s="496"/>
    </row>
    <row r="11298" spans="1:4" x14ac:dyDescent="0.2">
      <c r="A11298" s="146"/>
      <c r="D11298" s="496"/>
    </row>
    <row r="11299" spans="1:4" x14ac:dyDescent="0.2">
      <c r="A11299" s="146"/>
      <c r="D11299" s="496"/>
    </row>
    <row r="11300" spans="1:4" x14ac:dyDescent="0.2">
      <c r="A11300" s="146"/>
      <c r="D11300" s="496"/>
    </row>
    <row r="11301" spans="1:4" x14ac:dyDescent="0.2">
      <c r="A11301" s="146"/>
      <c r="D11301" s="496"/>
    </row>
    <row r="11302" spans="1:4" x14ac:dyDescent="0.2">
      <c r="A11302" s="146"/>
      <c r="D11302" s="496"/>
    </row>
    <row r="11303" spans="1:4" x14ac:dyDescent="0.2">
      <c r="A11303" s="146"/>
      <c r="D11303" s="496"/>
    </row>
    <row r="11304" spans="1:4" x14ac:dyDescent="0.2">
      <c r="A11304" s="146"/>
      <c r="D11304" s="496"/>
    </row>
    <row r="11305" spans="1:4" x14ac:dyDescent="0.2">
      <c r="A11305" s="146"/>
      <c r="D11305" s="496"/>
    </row>
    <row r="11306" spans="1:4" x14ac:dyDescent="0.2">
      <c r="A11306" s="146"/>
      <c r="D11306" s="496"/>
    </row>
    <row r="11307" spans="1:4" x14ac:dyDescent="0.2">
      <c r="A11307" s="146"/>
      <c r="D11307" s="496"/>
    </row>
    <row r="11308" spans="1:4" x14ac:dyDescent="0.2">
      <c r="A11308" s="146"/>
      <c r="D11308" s="496"/>
    </row>
    <row r="11309" spans="1:4" x14ac:dyDescent="0.2">
      <c r="A11309" s="146"/>
      <c r="D11309" s="496"/>
    </row>
    <row r="11310" spans="1:4" x14ac:dyDescent="0.2">
      <c r="A11310" s="146"/>
      <c r="D11310" s="496"/>
    </row>
    <row r="11311" spans="1:4" x14ac:dyDescent="0.2">
      <c r="A11311" s="146"/>
      <c r="D11311" s="496"/>
    </row>
    <row r="11312" spans="1:4" x14ac:dyDescent="0.2">
      <c r="A11312" s="146"/>
      <c r="D11312" s="496"/>
    </row>
    <row r="11313" spans="1:4" x14ac:dyDescent="0.2">
      <c r="A11313" s="146"/>
      <c r="D11313" s="496"/>
    </row>
    <row r="11314" spans="1:4" x14ac:dyDescent="0.2">
      <c r="A11314" s="146"/>
      <c r="D11314" s="496"/>
    </row>
    <row r="11315" spans="1:4" x14ac:dyDescent="0.2">
      <c r="A11315" s="146"/>
      <c r="D11315" s="496"/>
    </row>
    <row r="11316" spans="1:4" x14ac:dyDescent="0.2">
      <c r="A11316" s="146"/>
      <c r="D11316" s="496"/>
    </row>
    <row r="11317" spans="1:4" x14ac:dyDescent="0.2">
      <c r="A11317" s="146"/>
      <c r="D11317" s="496"/>
    </row>
    <row r="11318" spans="1:4" x14ac:dyDescent="0.2">
      <c r="A11318" s="146"/>
      <c r="D11318" s="496"/>
    </row>
    <row r="11319" spans="1:4" x14ac:dyDescent="0.2">
      <c r="A11319" s="146"/>
      <c r="D11319" s="496"/>
    </row>
    <row r="11320" spans="1:4" x14ac:dyDescent="0.2">
      <c r="A11320" s="146"/>
      <c r="D11320" s="496"/>
    </row>
    <row r="11321" spans="1:4" x14ac:dyDescent="0.2">
      <c r="A11321" s="146"/>
      <c r="D11321" s="496"/>
    </row>
    <row r="11322" spans="1:4" x14ac:dyDescent="0.2">
      <c r="A11322" s="146"/>
      <c r="D11322" s="496"/>
    </row>
    <row r="11323" spans="1:4" x14ac:dyDescent="0.2">
      <c r="A11323" s="146"/>
      <c r="D11323" s="496"/>
    </row>
    <row r="11324" spans="1:4" x14ac:dyDescent="0.2">
      <c r="A11324" s="146"/>
      <c r="D11324" s="496"/>
    </row>
    <row r="11325" spans="1:4" x14ac:dyDescent="0.2">
      <c r="A11325" s="146"/>
      <c r="D11325" s="496"/>
    </row>
    <row r="11326" spans="1:4" x14ac:dyDescent="0.2">
      <c r="A11326" s="146"/>
      <c r="D11326" s="496"/>
    </row>
    <row r="11327" spans="1:4" x14ac:dyDescent="0.2">
      <c r="A11327" s="146"/>
      <c r="D11327" s="496"/>
    </row>
    <row r="11328" spans="1:4" x14ac:dyDescent="0.2">
      <c r="A11328" s="146"/>
      <c r="D11328" s="496"/>
    </row>
    <row r="11329" spans="1:4" x14ac:dyDescent="0.2">
      <c r="A11329" s="146"/>
      <c r="D11329" s="496"/>
    </row>
    <row r="11330" spans="1:4" x14ac:dyDescent="0.2">
      <c r="A11330" s="146"/>
      <c r="D11330" s="496"/>
    </row>
    <row r="11331" spans="1:4" x14ac:dyDescent="0.2">
      <c r="A11331" s="146"/>
      <c r="D11331" s="496"/>
    </row>
    <row r="11332" spans="1:4" x14ac:dyDescent="0.2">
      <c r="A11332" s="146"/>
      <c r="D11332" s="496"/>
    </row>
    <row r="11333" spans="1:4" x14ac:dyDescent="0.2">
      <c r="A11333" s="146"/>
      <c r="D11333" s="496"/>
    </row>
    <row r="11334" spans="1:4" x14ac:dyDescent="0.2">
      <c r="A11334" s="146"/>
      <c r="D11334" s="496"/>
    </row>
    <row r="11335" spans="1:4" x14ac:dyDescent="0.2">
      <c r="A11335" s="146"/>
      <c r="D11335" s="496"/>
    </row>
    <row r="11336" spans="1:4" x14ac:dyDescent="0.2">
      <c r="A11336" s="146"/>
      <c r="D11336" s="496"/>
    </row>
    <row r="11337" spans="1:4" x14ac:dyDescent="0.2">
      <c r="A11337" s="146"/>
      <c r="D11337" s="496"/>
    </row>
    <row r="11338" spans="1:4" x14ac:dyDescent="0.2">
      <c r="A11338" s="146"/>
      <c r="D11338" s="496"/>
    </row>
    <row r="11339" spans="1:4" x14ac:dyDescent="0.2">
      <c r="A11339" s="146"/>
      <c r="D11339" s="496"/>
    </row>
    <row r="11340" spans="1:4" x14ac:dyDescent="0.2">
      <c r="A11340" s="146"/>
      <c r="D11340" s="496"/>
    </row>
    <row r="11341" spans="1:4" x14ac:dyDescent="0.2">
      <c r="A11341" s="146"/>
      <c r="D11341" s="496"/>
    </row>
    <row r="11342" spans="1:4" x14ac:dyDescent="0.2">
      <c r="A11342" s="146"/>
      <c r="D11342" s="496"/>
    </row>
    <row r="11343" spans="1:4" x14ac:dyDescent="0.2">
      <c r="A11343" s="146"/>
      <c r="D11343" s="496"/>
    </row>
    <row r="11344" spans="1:4" x14ac:dyDescent="0.2">
      <c r="A11344" s="146"/>
      <c r="D11344" s="496"/>
    </row>
    <row r="11345" spans="1:4" x14ac:dyDescent="0.2">
      <c r="A11345" s="146"/>
      <c r="D11345" s="496"/>
    </row>
    <row r="11346" spans="1:4" x14ac:dyDescent="0.2">
      <c r="A11346" s="146"/>
      <c r="D11346" s="496"/>
    </row>
    <row r="11347" spans="1:4" x14ac:dyDescent="0.2">
      <c r="A11347" s="146"/>
      <c r="D11347" s="496"/>
    </row>
    <row r="11348" spans="1:4" x14ac:dyDescent="0.2">
      <c r="A11348" s="146"/>
      <c r="D11348" s="496"/>
    </row>
    <row r="11349" spans="1:4" x14ac:dyDescent="0.2">
      <c r="A11349" s="146"/>
      <c r="D11349" s="496"/>
    </row>
    <row r="11350" spans="1:4" x14ac:dyDescent="0.2">
      <c r="A11350" s="146"/>
      <c r="D11350" s="496"/>
    </row>
    <row r="11351" spans="1:4" x14ac:dyDescent="0.2">
      <c r="A11351" s="146"/>
      <c r="D11351" s="496"/>
    </row>
    <row r="11352" spans="1:4" x14ac:dyDescent="0.2">
      <c r="A11352" s="146"/>
      <c r="D11352" s="496"/>
    </row>
    <row r="11353" spans="1:4" x14ac:dyDescent="0.2">
      <c r="A11353" s="146"/>
      <c r="D11353" s="496"/>
    </row>
    <row r="11354" spans="1:4" x14ac:dyDescent="0.2">
      <c r="A11354" s="146"/>
      <c r="D11354" s="496"/>
    </row>
    <row r="11355" spans="1:4" x14ac:dyDescent="0.2">
      <c r="A11355" s="146"/>
      <c r="D11355" s="496"/>
    </row>
    <row r="11356" spans="1:4" x14ac:dyDescent="0.2">
      <c r="A11356" s="146"/>
      <c r="D11356" s="496"/>
    </row>
    <row r="11357" spans="1:4" x14ac:dyDescent="0.2">
      <c r="A11357" s="146"/>
      <c r="D11357" s="496"/>
    </row>
    <row r="11358" spans="1:4" x14ac:dyDescent="0.2">
      <c r="A11358" s="146"/>
      <c r="D11358" s="496"/>
    </row>
    <row r="11359" spans="1:4" x14ac:dyDescent="0.2">
      <c r="A11359" s="146"/>
      <c r="D11359" s="496"/>
    </row>
    <row r="11360" spans="1:4" x14ac:dyDescent="0.2">
      <c r="A11360" s="146"/>
      <c r="D11360" s="496"/>
    </row>
    <row r="11361" spans="1:4" x14ac:dyDescent="0.2">
      <c r="A11361" s="146"/>
      <c r="D11361" s="496"/>
    </row>
    <row r="11362" spans="1:4" x14ac:dyDescent="0.2">
      <c r="A11362" s="146"/>
      <c r="D11362" s="496"/>
    </row>
    <row r="11363" spans="1:4" x14ac:dyDescent="0.2">
      <c r="A11363" s="146"/>
      <c r="D11363" s="496"/>
    </row>
    <row r="11364" spans="1:4" x14ac:dyDescent="0.2">
      <c r="A11364" s="146"/>
      <c r="D11364" s="496"/>
    </row>
    <row r="11365" spans="1:4" x14ac:dyDescent="0.2">
      <c r="A11365" s="146"/>
      <c r="D11365" s="496"/>
    </row>
    <row r="11366" spans="1:4" x14ac:dyDescent="0.2">
      <c r="A11366" s="146"/>
      <c r="D11366" s="496"/>
    </row>
    <row r="11367" spans="1:4" x14ac:dyDescent="0.2">
      <c r="A11367" s="146"/>
      <c r="D11367" s="496"/>
    </row>
    <row r="11368" spans="1:4" x14ac:dyDescent="0.2">
      <c r="A11368" s="146"/>
      <c r="D11368" s="496"/>
    </row>
    <row r="11369" spans="1:4" x14ac:dyDescent="0.2">
      <c r="A11369" s="146"/>
      <c r="D11369" s="496"/>
    </row>
    <row r="11370" spans="1:4" x14ac:dyDescent="0.2">
      <c r="A11370" s="146"/>
      <c r="D11370" s="496"/>
    </row>
    <row r="11371" spans="1:4" x14ac:dyDescent="0.2">
      <c r="A11371" s="146"/>
      <c r="D11371" s="496"/>
    </row>
    <row r="11372" spans="1:4" x14ac:dyDescent="0.2">
      <c r="A11372" s="146"/>
      <c r="D11372" s="496"/>
    </row>
    <row r="11373" spans="1:4" x14ac:dyDescent="0.2">
      <c r="A11373" s="146"/>
      <c r="D11373" s="496"/>
    </row>
    <row r="11374" spans="1:4" x14ac:dyDescent="0.2">
      <c r="A11374" s="146"/>
      <c r="D11374" s="496"/>
    </row>
    <row r="11375" spans="1:4" x14ac:dyDescent="0.2">
      <c r="A11375" s="146"/>
      <c r="D11375" s="496"/>
    </row>
    <row r="11376" spans="1:4" x14ac:dyDescent="0.2">
      <c r="A11376" s="146"/>
      <c r="D11376" s="496"/>
    </row>
    <row r="11377" spans="1:4" x14ac:dyDescent="0.2">
      <c r="A11377" s="146"/>
      <c r="D11377" s="496"/>
    </row>
    <row r="11378" spans="1:4" x14ac:dyDescent="0.2">
      <c r="A11378" s="146"/>
      <c r="D11378" s="496"/>
    </row>
    <row r="11379" spans="1:4" x14ac:dyDescent="0.2">
      <c r="A11379" s="146"/>
      <c r="D11379" s="496"/>
    </row>
    <row r="11380" spans="1:4" x14ac:dyDescent="0.2">
      <c r="A11380" s="146"/>
      <c r="D11380" s="496"/>
    </row>
    <row r="11381" spans="1:4" x14ac:dyDescent="0.2">
      <c r="A11381" s="146"/>
      <c r="D11381" s="496"/>
    </row>
    <row r="11382" spans="1:4" x14ac:dyDescent="0.2">
      <c r="A11382" s="146"/>
      <c r="D11382" s="496"/>
    </row>
    <row r="11383" spans="1:4" x14ac:dyDescent="0.2">
      <c r="A11383" s="146"/>
      <c r="D11383" s="496"/>
    </row>
    <row r="11384" spans="1:4" x14ac:dyDescent="0.2">
      <c r="A11384" s="146"/>
      <c r="D11384" s="496"/>
    </row>
    <row r="11385" spans="1:4" x14ac:dyDescent="0.2">
      <c r="A11385" s="146"/>
      <c r="D11385" s="496"/>
    </row>
    <row r="11386" spans="1:4" x14ac:dyDescent="0.2">
      <c r="A11386" s="146"/>
      <c r="D11386" s="496"/>
    </row>
    <row r="11387" spans="1:4" x14ac:dyDescent="0.2">
      <c r="A11387" s="146"/>
      <c r="D11387" s="496"/>
    </row>
    <row r="11388" spans="1:4" x14ac:dyDescent="0.2">
      <c r="A11388" s="146"/>
      <c r="D11388" s="496"/>
    </row>
    <row r="11389" spans="1:4" x14ac:dyDescent="0.2">
      <c r="A11389" s="146"/>
      <c r="D11389" s="496"/>
    </row>
    <row r="11390" spans="1:4" x14ac:dyDescent="0.2">
      <c r="A11390" s="146"/>
      <c r="D11390" s="496"/>
    </row>
    <row r="11391" spans="1:4" x14ac:dyDescent="0.2">
      <c r="A11391" s="146"/>
      <c r="D11391" s="496"/>
    </row>
    <row r="11392" spans="1:4" x14ac:dyDescent="0.2">
      <c r="A11392" s="146"/>
      <c r="D11392" s="496"/>
    </row>
    <row r="11393" spans="1:4" x14ac:dyDescent="0.2">
      <c r="A11393" s="146"/>
      <c r="D11393" s="496"/>
    </row>
    <row r="11394" spans="1:4" x14ac:dyDescent="0.2">
      <c r="A11394" s="146"/>
      <c r="D11394" s="496"/>
    </row>
    <row r="11395" spans="1:4" x14ac:dyDescent="0.2">
      <c r="A11395" s="146"/>
      <c r="D11395" s="496"/>
    </row>
    <row r="11396" spans="1:4" x14ac:dyDescent="0.2">
      <c r="A11396" s="146"/>
      <c r="D11396" s="496"/>
    </row>
    <row r="11397" spans="1:4" x14ac:dyDescent="0.2">
      <c r="A11397" s="146"/>
      <c r="D11397" s="496"/>
    </row>
    <row r="11398" spans="1:4" x14ac:dyDescent="0.2">
      <c r="A11398" s="146"/>
      <c r="D11398" s="496"/>
    </row>
    <row r="11399" spans="1:4" x14ac:dyDescent="0.2">
      <c r="A11399" s="146"/>
      <c r="D11399" s="496"/>
    </row>
    <row r="11400" spans="1:4" x14ac:dyDescent="0.2">
      <c r="A11400" s="146"/>
      <c r="D11400" s="496"/>
    </row>
    <row r="11401" spans="1:4" x14ac:dyDescent="0.2">
      <c r="A11401" s="146"/>
      <c r="D11401" s="496"/>
    </row>
    <row r="11402" spans="1:4" x14ac:dyDescent="0.2">
      <c r="A11402" s="146"/>
      <c r="D11402" s="496"/>
    </row>
    <row r="11403" spans="1:4" x14ac:dyDescent="0.2">
      <c r="A11403" s="146"/>
      <c r="D11403" s="496"/>
    </row>
    <row r="11404" spans="1:4" x14ac:dyDescent="0.2">
      <c r="A11404" s="146"/>
      <c r="D11404" s="496"/>
    </row>
    <row r="11405" spans="1:4" x14ac:dyDescent="0.2">
      <c r="A11405" s="146"/>
      <c r="D11405" s="496"/>
    </row>
    <row r="11406" spans="1:4" x14ac:dyDescent="0.2">
      <c r="A11406" s="146"/>
      <c r="D11406" s="496"/>
    </row>
    <row r="11407" spans="1:4" x14ac:dyDescent="0.2">
      <c r="A11407" s="146"/>
      <c r="D11407" s="496"/>
    </row>
    <row r="11408" spans="1:4" x14ac:dyDescent="0.2">
      <c r="A11408" s="146"/>
      <c r="D11408" s="496"/>
    </row>
    <row r="11409" spans="1:4" x14ac:dyDescent="0.2">
      <c r="A11409" s="146"/>
      <c r="D11409" s="496"/>
    </row>
    <row r="11410" spans="1:4" x14ac:dyDescent="0.2">
      <c r="A11410" s="146"/>
      <c r="D11410" s="496"/>
    </row>
    <row r="11411" spans="1:4" x14ac:dyDescent="0.2">
      <c r="A11411" s="146"/>
      <c r="D11411" s="496"/>
    </row>
    <row r="11412" spans="1:4" x14ac:dyDescent="0.2">
      <c r="A11412" s="146"/>
      <c r="D11412" s="496"/>
    </row>
    <row r="11413" spans="1:4" x14ac:dyDescent="0.2">
      <c r="A11413" s="146"/>
      <c r="D11413" s="496"/>
    </row>
    <row r="11414" spans="1:4" x14ac:dyDescent="0.2">
      <c r="A11414" s="146"/>
      <c r="D11414" s="496"/>
    </row>
    <row r="11415" spans="1:4" x14ac:dyDescent="0.2">
      <c r="A11415" s="146"/>
      <c r="D11415" s="496"/>
    </row>
    <row r="11416" spans="1:4" x14ac:dyDescent="0.2">
      <c r="A11416" s="146"/>
      <c r="D11416" s="496"/>
    </row>
    <row r="11417" spans="1:4" x14ac:dyDescent="0.2">
      <c r="A11417" s="146"/>
      <c r="D11417" s="496"/>
    </row>
    <row r="11418" spans="1:4" x14ac:dyDescent="0.2">
      <c r="A11418" s="146"/>
      <c r="D11418" s="496"/>
    </row>
    <row r="11419" spans="1:4" x14ac:dyDescent="0.2">
      <c r="A11419" s="146"/>
      <c r="D11419" s="496"/>
    </row>
    <row r="11420" spans="1:4" x14ac:dyDescent="0.2">
      <c r="A11420" s="146"/>
      <c r="D11420" s="496"/>
    </row>
    <row r="11421" spans="1:4" x14ac:dyDescent="0.2">
      <c r="A11421" s="146"/>
      <c r="D11421" s="496"/>
    </row>
    <row r="11422" spans="1:4" x14ac:dyDescent="0.2">
      <c r="A11422" s="146"/>
      <c r="D11422" s="496"/>
    </row>
    <row r="11423" spans="1:4" x14ac:dyDescent="0.2">
      <c r="A11423" s="146"/>
      <c r="D11423" s="496"/>
    </row>
    <row r="11424" spans="1:4" x14ac:dyDescent="0.2">
      <c r="A11424" s="146"/>
      <c r="D11424" s="496"/>
    </row>
    <row r="11425" spans="1:4" x14ac:dyDescent="0.2">
      <c r="A11425" s="146"/>
      <c r="D11425" s="496"/>
    </row>
    <row r="11426" spans="1:4" x14ac:dyDescent="0.2">
      <c r="A11426" s="146"/>
      <c r="D11426" s="496"/>
    </row>
    <row r="11427" spans="1:4" x14ac:dyDescent="0.2">
      <c r="A11427" s="146"/>
      <c r="D11427" s="496"/>
    </row>
    <row r="11428" spans="1:4" x14ac:dyDescent="0.2">
      <c r="A11428" s="146"/>
      <c r="D11428" s="496"/>
    </row>
    <row r="11429" spans="1:4" x14ac:dyDescent="0.2">
      <c r="A11429" s="146"/>
      <c r="D11429" s="496"/>
    </row>
    <row r="11430" spans="1:4" x14ac:dyDescent="0.2">
      <c r="A11430" s="146"/>
      <c r="D11430" s="496"/>
    </row>
    <row r="11431" spans="1:4" x14ac:dyDescent="0.2">
      <c r="A11431" s="146"/>
      <c r="D11431" s="496"/>
    </row>
    <row r="11432" spans="1:4" x14ac:dyDescent="0.2">
      <c r="A11432" s="146"/>
      <c r="D11432" s="496"/>
    </row>
    <row r="11433" spans="1:4" x14ac:dyDescent="0.2">
      <c r="A11433" s="146"/>
      <c r="D11433" s="496"/>
    </row>
    <row r="11434" spans="1:4" x14ac:dyDescent="0.2">
      <c r="A11434" s="146"/>
      <c r="D11434" s="496"/>
    </row>
    <row r="11435" spans="1:4" x14ac:dyDescent="0.2">
      <c r="A11435" s="146"/>
      <c r="D11435" s="496"/>
    </row>
    <row r="11436" spans="1:4" x14ac:dyDescent="0.2">
      <c r="A11436" s="146"/>
      <c r="D11436" s="496"/>
    </row>
    <row r="11437" spans="1:4" x14ac:dyDescent="0.2">
      <c r="A11437" s="146"/>
      <c r="D11437" s="496"/>
    </row>
    <row r="11438" spans="1:4" x14ac:dyDescent="0.2">
      <c r="A11438" s="146"/>
      <c r="D11438" s="496"/>
    </row>
    <row r="11439" spans="1:4" x14ac:dyDescent="0.2">
      <c r="A11439" s="146"/>
      <c r="D11439" s="496"/>
    </row>
    <row r="11440" spans="1:4" x14ac:dyDescent="0.2">
      <c r="A11440" s="146"/>
      <c r="D11440" s="496"/>
    </row>
    <row r="11441" spans="1:4" x14ac:dyDescent="0.2">
      <c r="A11441" s="146"/>
      <c r="D11441" s="496"/>
    </row>
    <row r="11442" spans="1:4" x14ac:dyDescent="0.2">
      <c r="A11442" s="146"/>
      <c r="D11442" s="496"/>
    </row>
    <row r="11443" spans="1:4" x14ac:dyDescent="0.2">
      <c r="A11443" s="146"/>
      <c r="D11443" s="496"/>
    </row>
    <row r="11444" spans="1:4" x14ac:dyDescent="0.2">
      <c r="A11444" s="146"/>
      <c r="D11444" s="496"/>
    </row>
    <row r="11445" spans="1:4" x14ac:dyDescent="0.2">
      <c r="A11445" s="146"/>
      <c r="D11445" s="496"/>
    </row>
    <row r="11446" spans="1:4" x14ac:dyDescent="0.2">
      <c r="A11446" s="146"/>
      <c r="D11446" s="496"/>
    </row>
    <row r="11447" spans="1:4" x14ac:dyDescent="0.2">
      <c r="A11447" s="146"/>
      <c r="D11447" s="496"/>
    </row>
    <row r="11448" spans="1:4" x14ac:dyDescent="0.2">
      <c r="A11448" s="146"/>
      <c r="D11448" s="496"/>
    </row>
    <row r="11449" spans="1:4" x14ac:dyDescent="0.2">
      <c r="A11449" s="146"/>
      <c r="D11449" s="496"/>
    </row>
    <row r="11450" spans="1:4" x14ac:dyDescent="0.2">
      <c r="A11450" s="146"/>
      <c r="D11450" s="496"/>
    </row>
    <row r="11451" spans="1:4" x14ac:dyDescent="0.2">
      <c r="A11451" s="146"/>
      <c r="D11451" s="496"/>
    </row>
    <row r="11452" spans="1:4" x14ac:dyDescent="0.2">
      <c r="A11452" s="146"/>
      <c r="D11452" s="496"/>
    </row>
    <row r="11453" spans="1:4" x14ac:dyDescent="0.2">
      <c r="A11453" s="146"/>
      <c r="D11453" s="496"/>
    </row>
    <row r="11454" spans="1:4" x14ac:dyDescent="0.2">
      <c r="A11454" s="146"/>
      <c r="D11454" s="496"/>
    </row>
    <row r="11455" spans="1:4" x14ac:dyDescent="0.2">
      <c r="A11455" s="146"/>
      <c r="D11455" s="496"/>
    </row>
    <row r="11456" spans="1:4" x14ac:dyDescent="0.2">
      <c r="A11456" s="146"/>
      <c r="D11456" s="496"/>
    </row>
    <row r="11457" spans="1:4" x14ac:dyDescent="0.2">
      <c r="A11457" s="146"/>
      <c r="D11457" s="496"/>
    </row>
    <row r="11458" spans="1:4" x14ac:dyDescent="0.2">
      <c r="A11458" s="146"/>
      <c r="D11458" s="496"/>
    </row>
    <row r="11459" spans="1:4" x14ac:dyDescent="0.2">
      <c r="A11459" s="146"/>
      <c r="D11459" s="496"/>
    </row>
    <row r="11460" spans="1:4" x14ac:dyDescent="0.2">
      <c r="A11460" s="146"/>
      <c r="D11460" s="496"/>
    </row>
    <row r="11461" spans="1:4" x14ac:dyDescent="0.2">
      <c r="A11461" s="146"/>
      <c r="D11461" s="496"/>
    </row>
    <row r="11462" spans="1:4" x14ac:dyDescent="0.2">
      <c r="A11462" s="146"/>
      <c r="D11462" s="496"/>
    </row>
    <row r="11463" spans="1:4" x14ac:dyDescent="0.2">
      <c r="A11463" s="146"/>
      <c r="D11463" s="496"/>
    </row>
    <row r="11464" spans="1:4" x14ac:dyDescent="0.2">
      <c r="A11464" s="146"/>
      <c r="D11464" s="496"/>
    </row>
    <row r="11465" spans="1:4" x14ac:dyDescent="0.2">
      <c r="A11465" s="146"/>
      <c r="D11465" s="496"/>
    </row>
    <row r="11466" spans="1:4" x14ac:dyDescent="0.2">
      <c r="A11466" s="146"/>
      <c r="D11466" s="496"/>
    </row>
    <row r="11467" spans="1:4" x14ac:dyDescent="0.2">
      <c r="A11467" s="146"/>
      <c r="D11467" s="496"/>
    </row>
    <row r="11468" spans="1:4" x14ac:dyDescent="0.2">
      <c r="A11468" s="146"/>
      <c r="D11468" s="496"/>
    </row>
    <row r="11469" spans="1:4" x14ac:dyDescent="0.2">
      <c r="A11469" s="146"/>
      <c r="D11469" s="496"/>
    </row>
    <row r="11470" spans="1:4" x14ac:dyDescent="0.2">
      <c r="A11470" s="146"/>
      <c r="D11470" s="496"/>
    </row>
    <row r="11471" spans="1:4" x14ac:dyDescent="0.2">
      <c r="A11471" s="146"/>
      <c r="D11471" s="496"/>
    </row>
    <row r="11472" spans="1:4" x14ac:dyDescent="0.2">
      <c r="A11472" s="146"/>
      <c r="D11472" s="496"/>
    </row>
    <row r="11473" spans="1:4" x14ac:dyDescent="0.2">
      <c r="A11473" s="146"/>
      <c r="D11473" s="496"/>
    </row>
    <row r="11474" spans="1:4" x14ac:dyDescent="0.2">
      <c r="A11474" s="146"/>
      <c r="D11474" s="496"/>
    </row>
    <row r="11475" spans="1:4" x14ac:dyDescent="0.2">
      <c r="A11475" s="146"/>
      <c r="D11475" s="496"/>
    </row>
    <row r="11476" spans="1:4" x14ac:dyDescent="0.2">
      <c r="A11476" s="146"/>
      <c r="D11476" s="496"/>
    </row>
    <row r="11477" spans="1:4" x14ac:dyDescent="0.2">
      <c r="A11477" s="146"/>
      <c r="D11477" s="496"/>
    </row>
    <row r="11478" spans="1:4" x14ac:dyDescent="0.2">
      <c r="A11478" s="146"/>
      <c r="D11478" s="496"/>
    </row>
    <row r="11479" spans="1:4" x14ac:dyDescent="0.2">
      <c r="A11479" s="146"/>
      <c r="D11479" s="496"/>
    </row>
    <row r="11480" spans="1:4" x14ac:dyDescent="0.2">
      <c r="A11480" s="146"/>
      <c r="D11480" s="496"/>
    </row>
    <row r="11481" spans="1:4" x14ac:dyDescent="0.2">
      <c r="A11481" s="146"/>
      <c r="D11481" s="496"/>
    </row>
    <row r="11482" spans="1:4" x14ac:dyDescent="0.2">
      <c r="A11482" s="146"/>
      <c r="D11482" s="496"/>
    </row>
    <row r="11483" spans="1:4" x14ac:dyDescent="0.2">
      <c r="A11483" s="146"/>
      <c r="D11483" s="496"/>
    </row>
    <row r="11484" spans="1:4" x14ac:dyDescent="0.2">
      <c r="A11484" s="146"/>
      <c r="D11484" s="496"/>
    </row>
    <row r="11485" spans="1:4" x14ac:dyDescent="0.2">
      <c r="A11485" s="146"/>
      <c r="D11485" s="496"/>
    </row>
    <row r="11486" spans="1:4" x14ac:dyDescent="0.2">
      <c r="A11486" s="146"/>
      <c r="D11486" s="496"/>
    </row>
    <row r="11487" spans="1:4" x14ac:dyDescent="0.2">
      <c r="A11487" s="146"/>
      <c r="D11487" s="496"/>
    </row>
    <row r="11488" spans="1:4" x14ac:dyDescent="0.2">
      <c r="A11488" s="146"/>
      <c r="D11488" s="496"/>
    </row>
    <row r="11489" spans="1:4" x14ac:dyDescent="0.2">
      <c r="A11489" s="146"/>
      <c r="D11489" s="496"/>
    </row>
    <row r="11490" spans="1:4" x14ac:dyDescent="0.2">
      <c r="A11490" s="146"/>
      <c r="D11490" s="496"/>
    </row>
    <row r="11491" spans="1:4" x14ac:dyDescent="0.2">
      <c r="A11491" s="146"/>
      <c r="D11491" s="496"/>
    </row>
    <row r="11492" spans="1:4" x14ac:dyDescent="0.2">
      <c r="A11492" s="146"/>
      <c r="D11492" s="496"/>
    </row>
    <row r="11493" spans="1:4" x14ac:dyDescent="0.2">
      <c r="A11493" s="146"/>
      <c r="D11493" s="496"/>
    </row>
    <row r="11494" spans="1:4" x14ac:dyDescent="0.2">
      <c r="A11494" s="146"/>
      <c r="D11494" s="496"/>
    </row>
    <row r="11495" spans="1:4" x14ac:dyDescent="0.2">
      <c r="A11495" s="146"/>
      <c r="D11495" s="496"/>
    </row>
    <row r="11496" spans="1:4" x14ac:dyDescent="0.2">
      <c r="A11496" s="146"/>
      <c r="D11496" s="496"/>
    </row>
    <row r="11497" spans="1:4" x14ac:dyDescent="0.2">
      <c r="A11497" s="146"/>
      <c r="D11497" s="496"/>
    </row>
    <row r="11498" spans="1:4" x14ac:dyDescent="0.2">
      <c r="A11498" s="146"/>
      <c r="D11498" s="496"/>
    </row>
    <row r="11499" spans="1:4" x14ac:dyDescent="0.2">
      <c r="A11499" s="146"/>
      <c r="D11499" s="496"/>
    </row>
    <row r="11500" spans="1:4" x14ac:dyDescent="0.2">
      <c r="A11500" s="146"/>
      <c r="D11500" s="496"/>
    </row>
    <row r="11501" spans="1:4" x14ac:dyDescent="0.2">
      <c r="A11501" s="146"/>
      <c r="D11501" s="496"/>
    </row>
    <row r="11502" spans="1:4" x14ac:dyDescent="0.2">
      <c r="A11502" s="146"/>
      <c r="D11502" s="496"/>
    </row>
    <row r="11503" spans="1:4" x14ac:dyDescent="0.2">
      <c r="A11503" s="146"/>
      <c r="D11503" s="496"/>
    </row>
    <row r="11504" spans="1:4" x14ac:dyDescent="0.2">
      <c r="A11504" s="146"/>
      <c r="D11504" s="496"/>
    </row>
    <row r="11505" spans="1:4" x14ac:dyDescent="0.2">
      <c r="A11505" s="146"/>
      <c r="D11505" s="496"/>
    </row>
    <row r="11506" spans="1:4" x14ac:dyDescent="0.2">
      <c r="A11506" s="146"/>
      <c r="D11506" s="496"/>
    </row>
    <row r="11507" spans="1:4" x14ac:dyDescent="0.2">
      <c r="A11507" s="146"/>
      <c r="D11507" s="496"/>
    </row>
    <row r="11508" spans="1:4" x14ac:dyDescent="0.2">
      <c r="A11508" s="146"/>
      <c r="D11508" s="496"/>
    </row>
    <row r="11509" spans="1:4" x14ac:dyDescent="0.2">
      <c r="A11509" s="146"/>
      <c r="D11509" s="496"/>
    </row>
    <row r="11510" spans="1:4" x14ac:dyDescent="0.2">
      <c r="A11510" s="146"/>
      <c r="D11510" s="496"/>
    </row>
    <row r="11511" spans="1:4" x14ac:dyDescent="0.2">
      <c r="A11511" s="146"/>
      <c r="D11511" s="496"/>
    </row>
    <row r="11512" spans="1:4" x14ac:dyDescent="0.2">
      <c r="A11512" s="146"/>
      <c r="D11512" s="496"/>
    </row>
    <row r="11513" spans="1:4" x14ac:dyDescent="0.2">
      <c r="A11513" s="146"/>
      <c r="D11513" s="496"/>
    </row>
    <row r="11514" spans="1:4" x14ac:dyDescent="0.2">
      <c r="A11514" s="146"/>
      <c r="D11514" s="496"/>
    </row>
    <row r="11515" spans="1:4" x14ac:dyDescent="0.2">
      <c r="A11515" s="146"/>
      <c r="D11515" s="496"/>
    </row>
    <row r="11516" spans="1:4" x14ac:dyDescent="0.2">
      <c r="A11516" s="146"/>
      <c r="D11516" s="496"/>
    </row>
    <row r="11517" spans="1:4" x14ac:dyDescent="0.2">
      <c r="A11517" s="146"/>
      <c r="D11517" s="496"/>
    </row>
    <row r="11518" spans="1:4" x14ac:dyDescent="0.2">
      <c r="A11518" s="146"/>
      <c r="D11518" s="496"/>
    </row>
    <row r="11519" spans="1:4" x14ac:dyDescent="0.2">
      <c r="A11519" s="146"/>
      <c r="D11519" s="496"/>
    </row>
    <row r="11520" spans="1:4" x14ac:dyDescent="0.2">
      <c r="A11520" s="146"/>
      <c r="D11520" s="496"/>
    </row>
    <row r="11521" spans="1:4" x14ac:dyDescent="0.2">
      <c r="A11521" s="146"/>
      <c r="D11521" s="496"/>
    </row>
    <row r="11522" spans="1:4" x14ac:dyDescent="0.2">
      <c r="A11522" s="146"/>
      <c r="D11522" s="496"/>
    </row>
    <row r="11523" spans="1:4" x14ac:dyDescent="0.2">
      <c r="A11523" s="146"/>
      <c r="D11523" s="496"/>
    </row>
    <row r="11524" spans="1:4" x14ac:dyDescent="0.2">
      <c r="A11524" s="146"/>
      <c r="D11524" s="496"/>
    </row>
    <row r="11525" spans="1:4" x14ac:dyDescent="0.2">
      <c r="A11525" s="146"/>
      <c r="D11525" s="496"/>
    </row>
    <row r="11526" spans="1:4" x14ac:dyDescent="0.2">
      <c r="A11526" s="146"/>
      <c r="D11526" s="496"/>
    </row>
    <row r="11527" spans="1:4" x14ac:dyDescent="0.2">
      <c r="A11527" s="146"/>
      <c r="D11527" s="496"/>
    </row>
    <row r="11528" spans="1:4" x14ac:dyDescent="0.2">
      <c r="A11528" s="146"/>
      <c r="D11528" s="496"/>
    </row>
    <row r="11529" spans="1:4" x14ac:dyDescent="0.2">
      <c r="A11529" s="146"/>
      <c r="D11529" s="496"/>
    </row>
    <row r="11530" spans="1:4" x14ac:dyDescent="0.2">
      <c r="A11530" s="146"/>
      <c r="D11530" s="496"/>
    </row>
    <row r="11531" spans="1:4" x14ac:dyDescent="0.2">
      <c r="A11531" s="146"/>
      <c r="D11531" s="496"/>
    </row>
    <row r="11532" spans="1:4" x14ac:dyDescent="0.2">
      <c r="A11532" s="146"/>
      <c r="D11532" s="496"/>
    </row>
    <row r="11533" spans="1:4" x14ac:dyDescent="0.2">
      <c r="A11533" s="146"/>
      <c r="D11533" s="496"/>
    </row>
    <row r="11534" spans="1:4" x14ac:dyDescent="0.2">
      <c r="A11534" s="146"/>
      <c r="D11534" s="496"/>
    </row>
    <row r="11535" spans="1:4" x14ac:dyDescent="0.2">
      <c r="A11535" s="146"/>
      <c r="D11535" s="496"/>
    </row>
    <row r="11536" spans="1:4" x14ac:dyDescent="0.2">
      <c r="A11536" s="146"/>
      <c r="D11536" s="496"/>
    </row>
    <row r="11537" spans="1:4" x14ac:dyDescent="0.2">
      <c r="A11537" s="146"/>
      <c r="D11537" s="496"/>
    </row>
    <row r="11538" spans="1:4" x14ac:dyDescent="0.2">
      <c r="A11538" s="146"/>
      <c r="D11538" s="496"/>
    </row>
    <row r="11539" spans="1:4" x14ac:dyDescent="0.2">
      <c r="A11539" s="146"/>
      <c r="D11539" s="496"/>
    </row>
    <row r="11540" spans="1:4" x14ac:dyDescent="0.2">
      <c r="A11540" s="146"/>
      <c r="D11540" s="496"/>
    </row>
    <row r="11541" spans="1:4" x14ac:dyDescent="0.2">
      <c r="A11541" s="146"/>
      <c r="D11541" s="496"/>
    </row>
    <row r="11542" spans="1:4" x14ac:dyDescent="0.2">
      <c r="A11542" s="146"/>
      <c r="D11542" s="496"/>
    </row>
    <row r="11543" spans="1:4" x14ac:dyDescent="0.2">
      <c r="A11543" s="146"/>
      <c r="D11543" s="496"/>
    </row>
    <row r="11544" spans="1:4" x14ac:dyDescent="0.2">
      <c r="A11544" s="146"/>
      <c r="D11544" s="496"/>
    </row>
    <row r="11545" spans="1:4" x14ac:dyDescent="0.2">
      <c r="A11545" s="146"/>
      <c r="D11545" s="496"/>
    </row>
    <row r="11546" spans="1:4" x14ac:dyDescent="0.2">
      <c r="A11546" s="146"/>
      <c r="D11546" s="496"/>
    </row>
    <row r="11547" spans="1:4" x14ac:dyDescent="0.2">
      <c r="A11547" s="146"/>
      <c r="D11547" s="496"/>
    </row>
    <row r="11548" spans="1:4" x14ac:dyDescent="0.2">
      <c r="A11548" s="146"/>
      <c r="D11548" s="496"/>
    </row>
    <row r="11549" spans="1:4" x14ac:dyDescent="0.2">
      <c r="A11549" s="146"/>
      <c r="D11549" s="496"/>
    </row>
    <row r="11550" spans="1:4" x14ac:dyDescent="0.2">
      <c r="A11550" s="146"/>
      <c r="D11550" s="496"/>
    </row>
    <row r="11551" spans="1:4" x14ac:dyDescent="0.2">
      <c r="A11551" s="146"/>
      <c r="D11551" s="496"/>
    </row>
    <row r="11552" spans="1:4" x14ac:dyDescent="0.2">
      <c r="A11552" s="146"/>
      <c r="D11552" s="496"/>
    </row>
    <row r="11553" spans="1:4" x14ac:dyDescent="0.2">
      <c r="A11553" s="146"/>
      <c r="D11553" s="496"/>
    </row>
    <row r="11554" spans="1:4" x14ac:dyDescent="0.2">
      <c r="A11554" s="146"/>
      <c r="D11554" s="496"/>
    </row>
    <row r="11555" spans="1:4" x14ac:dyDescent="0.2">
      <c r="A11555" s="146"/>
      <c r="D11555" s="496"/>
    </row>
    <row r="11556" spans="1:4" x14ac:dyDescent="0.2">
      <c r="A11556" s="146"/>
      <c r="D11556" s="496"/>
    </row>
    <row r="11557" spans="1:4" x14ac:dyDescent="0.2">
      <c r="A11557" s="146"/>
      <c r="D11557" s="496"/>
    </row>
    <row r="11558" spans="1:4" x14ac:dyDescent="0.2">
      <c r="A11558" s="146"/>
      <c r="D11558" s="496"/>
    </row>
    <row r="11559" spans="1:4" x14ac:dyDescent="0.2">
      <c r="A11559" s="146"/>
      <c r="D11559" s="496"/>
    </row>
    <row r="11560" spans="1:4" x14ac:dyDescent="0.2">
      <c r="A11560" s="146"/>
      <c r="D11560" s="496"/>
    </row>
    <row r="11561" spans="1:4" x14ac:dyDescent="0.2">
      <c r="A11561" s="146"/>
      <c r="D11561" s="496"/>
    </row>
    <row r="11562" spans="1:4" x14ac:dyDescent="0.2">
      <c r="A11562" s="146"/>
      <c r="D11562" s="496"/>
    </row>
    <row r="11563" spans="1:4" x14ac:dyDescent="0.2">
      <c r="A11563" s="146"/>
      <c r="D11563" s="496"/>
    </row>
    <row r="11564" spans="1:4" x14ac:dyDescent="0.2">
      <c r="A11564" s="146"/>
      <c r="D11564" s="496"/>
    </row>
    <row r="11565" spans="1:4" x14ac:dyDescent="0.2">
      <c r="A11565" s="146"/>
      <c r="D11565" s="496"/>
    </row>
    <row r="11566" spans="1:4" x14ac:dyDescent="0.2">
      <c r="A11566" s="146"/>
      <c r="D11566" s="496"/>
    </row>
    <row r="11567" spans="1:4" x14ac:dyDescent="0.2">
      <c r="A11567" s="146"/>
      <c r="D11567" s="496"/>
    </row>
    <row r="11568" spans="1:4" x14ac:dyDescent="0.2">
      <c r="A11568" s="146"/>
      <c r="D11568" s="496"/>
    </row>
    <row r="11569" spans="1:4" x14ac:dyDescent="0.2">
      <c r="A11569" s="146"/>
      <c r="D11569" s="496"/>
    </row>
    <row r="11570" spans="1:4" x14ac:dyDescent="0.2">
      <c r="A11570" s="146"/>
      <c r="D11570" s="496"/>
    </row>
    <row r="11571" spans="1:4" x14ac:dyDescent="0.2">
      <c r="A11571" s="146"/>
      <c r="D11571" s="496"/>
    </row>
    <row r="11572" spans="1:4" x14ac:dyDescent="0.2">
      <c r="A11572" s="146"/>
      <c r="D11572" s="496"/>
    </row>
    <row r="11573" spans="1:4" x14ac:dyDescent="0.2">
      <c r="A11573" s="146"/>
      <c r="D11573" s="496"/>
    </row>
    <row r="11574" spans="1:4" x14ac:dyDescent="0.2">
      <c r="A11574" s="146"/>
      <c r="D11574" s="496"/>
    </row>
    <row r="11575" spans="1:4" x14ac:dyDescent="0.2">
      <c r="A11575" s="146"/>
      <c r="D11575" s="496"/>
    </row>
    <row r="11576" spans="1:4" x14ac:dyDescent="0.2">
      <c r="A11576" s="146"/>
      <c r="D11576" s="496"/>
    </row>
    <row r="11577" spans="1:4" x14ac:dyDescent="0.2">
      <c r="A11577" s="146"/>
      <c r="D11577" s="496"/>
    </row>
    <row r="11578" spans="1:4" x14ac:dyDescent="0.2">
      <c r="A11578" s="146"/>
      <c r="D11578" s="496"/>
    </row>
    <row r="11579" spans="1:4" x14ac:dyDescent="0.2">
      <c r="A11579" s="146"/>
      <c r="D11579" s="496"/>
    </row>
    <row r="11580" spans="1:4" x14ac:dyDescent="0.2">
      <c r="A11580" s="146"/>
      <c r="D11580" s="496"/>
    </row>
    <row r="11581" spans="1:4" x14ac:dyDescent="0.2">
      <c r="A11581" s="146"/>
      <c r="D11581" s="496"/>
    </row>
    <row r="11582" spans="1:4" x14ac:dyDescent="0.2">
      <c r="A11582" s="146"/>
      <c r="D11582" s="496"/>
    </row>
    <row r="11583" spans="1:4" x14ac:dyDescent="0.2">
      <c r="A11583" s="146"/>
      <c r="D11583" s="496"/>
    </row>
    <row r="11584" spans="1:4" x14ac:dyDescent="0.2">
      <c r="A11584" s="146"/>
      <c r="D11584" s="496"/>
    </row>
    <row r="11585" spans="1:4" x14ac:dyDescent="0.2">
      <c r="A11585" s="146"/>
      <c r="D11585" s="496"/>
    </row>
    <row r="11586" spans="1:4" x14ac:dyDescent="0.2">
      <c r="A11586" s="146"/>
      <c r="D11586" s="496"/>
    </row>
    <row r="11587" spans="1:4" x14ac:dyDescent="0.2">
      <c r="A11587" s="146"/>
      <c r="D11587" s="496"/>
    </row>
    <row r="11588" spans="1:4" x14ac:dyDescent="0.2">
      <c r="A11588" s="146"/>
      <c r="D11588" s="496"/>
    </row>
    <row r="11589" spans="1:4" x14ac:dyDescent="0.2">
      <c r="A11589" s="146"/>
      <c r="D11589" s="496"/>
    </row>
    <row r="11590" spans="1:4" x14ac:dyDescent="0.2">
      <c r="A11590" s="146"/>
      <c r="D11590" s="496"/>
    </row>
    <row r="11591" spans="1:4" x14ac:dyDescent="0.2">
      <c r="A11591" s="146"/>
      <c r="D11591" s="496"/>
    </row>
    <row r="11592" spans="1:4" x14ac:dyDescent="0.2">
      <c r="A11592" s="146"/>
      <c r="D11592" s="496"/>
    </row>
    <row r="11593" spans="1:4" x14ac:dyDescent="0.2">
      <c r="A11593" s="146"/>
      <c r="D11593" s="496"/>
    </row>
    <row r="11594" spans="1:4" x14ac:dyDescent="0.2">
      <c r="A11594" s="146"/>
      <c r="D11594" s="496"/>
    </row>
    <row r="11595" spans="1:4" x14ac:dyDescent="0.2">
      <c r="A11595" s="146"/>
      <c r="D11595" s="496"/>
    </row>
    <row r="11596" spans="1:4" x14ac:dyDescent="0.2">
      <c r="A11596" s="146"/>
      <c r="D11596" s="496"/>
    </row>
    <row r="11597" spans="1:4" x14ac:dyDescent="0.2">
      <c r="A11597" s="146"/>
      <c r="D11597" s="496"/>
    </row>
    <row r="11598" spans="1:4" x14ac:dyDescent="0.2">
      <c r="A11598" s="146"/>
      <c r="D11598" s="496"/>
    </row>
    <row r="11599" spans="1:4" x14ac:dyDescent="0.2">
      <c r="A11599" s="146"/>
      <c r="D11599" s="496"/>
    </row>
    <row r="11600" spans="1:4" x14ac:dyDescent="0.2">
      <c r="A11600" s="146"/>
      <c r="D11600" s="496"/>
    </row>
    <row r="11601" spans="1:4" x14ac:dyDescent="0.2">
      <c r="A11601" s="146"/>
      <c r="D11601" s="496"/>
    </row>
    <row r="11602" spans="1:4" x14ac:dyDescent="0.2">
      <c r="A11602" s="146"/>
      <c r="D11602" s="496"/>
    </row>
    <row r="11603" spans="1:4" x14ac:dyDescent="0.2">
      <c r="A11603" s="146"/>
      <c r="D11603" s="496"/>
    </row>
    <row r="11604" spans="1:4" x14ac:dyDescent="0.2">
      <c r="A11604" s="146"/>
      <c r="D11604" s="496"/>
    </row>
    <row r="11605" spans="1:4" x14ac:dyDescent="0.2">
      <c r="A11605" s="146"/>
      <c r="D11605" s="496"/>
    </row>
    <row r="11606" spans="1:4" x14ac:dyDescent="0.2">
      <c r="A11606" s="146"/>
      <c r="D11606" s="496"/>
    </row>
    <row r="11607" spans="1:4" x14ac:dyDescent="0.2">
      <c r="A11607" s="146"/>
      <c r="D11607" s="496"/>
    </row>
    <row r="11608" spans="1:4" x14ac:dyDescent="0.2">
      <c r="A11608" s="146"/>
      <c r="D11608" s="496"/>
    </row>
    <row r="11609" spans="1:4" x14ac:dyDescent="0.2">
      <c r="A11609" s="146"/>
      <c r="D11609" s="496"/>
    </row>
    <row r="11610" spans="1:4" x14ac:dyDescent="0.2">
      <c r="A11610" s="146"/>
      <c r="D11610" s="496"/>
    </row>
    <row r="11611" spans="1:4" x14ac:dyDescent="0.2">
      <c r="A11611" s="146"/>
      <c r="D11611" s="496"/>
    </row>
    <row r="11612" spans="1:4" x14ac:dyDescent="0.2">
      <c r="A11612" s="146"/>
      <c r="D11612" s="496"/>
    </row>
    <row r="11613" spans="1:4" x14ac:dyDescent="0.2">
      <c r="A11613" s="146"/>
      <c r="D11613" s="496"/>
    </row>
    <row r="11614" spans="1:4" x14ac:dyDescent="0.2">
      <c r="A11614" s="146"/>
      <c r="D11614" s="496"/>
    </row>
    <row r="11615" spans="1:4" x14ac:dyDescent="0.2">
      <c r="A11615" s="146"/>
      <c r="D11615" s="496"/>
    </row>
    <row r="11616" spans="1:4" x14ac:dyDescent="0.2">
      <c r="A11616" s="146"/>
      <c r="D11616" s="496"/>
    </row>
    <row r="11617" spans="1:4" x14ac:dyDescent="0.2">
      <c r="A11617" s="146"/>
      <c r="D11617" s="496"/>
    </row>
    <row r="11618" spans="1:4" x14ac:dyDescent="0.2">
      <c r="A11618" s="146"/>
      <c r="D11618" s="496"/>
    </row>
    <row r="11619" spans="1:4" x14ac:dyDescent="0.2">
      <c r="A11619" s="146"/>
      <c r="D11619" s="496"/>
    </row>
    <row r="11620" spans="1:4" x14ac:dyDescent="0.2">
      <c r="A11620" s="146"/>
      <c r="D11620" s="496"/>
    </row>
    <row r="11621" spans="1:4" x14ac:dyDescent="0.2">
      <c r="A11621" s="146"/>
      <c r="D11621" s="496"/>
    </row>
    <row r="11622" spans="1:4" x14ac:dyDescent="0.2">
      <c r="A11622" s="146"/>
      <c r="D11622" s="496"/>
    </row>
    <row r="11623" spans="1:4" x14ac:dyDescent="0.2">
      <c r="A11623" s="146"/>
      <c r="D11623" s="496"/>
    </row>
    <row r="11624" spans="1:4" x14ac:dyDescent="0.2">
      <c r="A11624" s="146"/>
      <c r="D11624" s="496"/>
    </row>
    <row r="11625" spans="1:4" x14ac:dyDescent="0.2">
      <c r="A11625" s="146"/>
      <c r="D11625" s="496"/>
    </row>
    <row r="11626" spans="1:4" x14ac:dyDescent="0.2">
      <c r="A11626" s="146"/>
      <c r="D11626" s="496"/>
    </row>
    <row r="11627" spans="1:4" x14ac:dyDescent="0.2">
      <c r="A11627" s="146"/>
      <c r="D11627" s="496"/>
    </row>
    <row r="11628" spans="1:4" x14ac:dyDescent="0.2">
      <c r="A11628" s="146"/>
      <c r="D11628" s="496"/>
    </row>
    <row r="11629" spans="1:4" x14ac:dyDescent="0.2">
      <c r="A11629" s="146"/>
      <c r="D11629" s="496"/>
    </row>
    <row r="11630" spans="1:4" x14ac:dyDescent="0.2">
      <c r="A11630" s="146"/>
      <c r="D11630" s="496"/>
    </row>
    <row r="11631" spans="1:4" x14ac:dyDescent="0.2">
      <c r="A11631" s="146"/>
      <c r="D11631" s="496"/>
    </row>
    <row r="11632" spans="1:4" x14ac:dyDescent="0.2">
      <c r="A11632" s="146"/>
      <c r="D11632" s="496"/>
    </row>
    <row r="11633" spans="1:4" x14ac:dyDescent="0.2">
      <c r="A11633" s="146"/>
      <c r="D11633" s="496"/>
    </row>
    <row r="11634" spans="1:4" x14ac:dyDescent="0.2">
      <c r="A11634" s="146"/>
      <c r="D11634" s="496"/>
    </row>
    <row r="11635" spans="1:4" x14ac:dyDescent="0.2">
      <c r="A11635" s="146"/>
      <c r="D11635" s="496"/>
    </row>
    <row r="11636" spans="1:4" x14ac:dyDescent="0.2">
      <c r="A11636" s="146"/>
      <c r="D11636" s="496"/>
    </row>
    <row r="11637" spans="1:4" x14ac:dyDescent="0.2">
      <c r="A11637" s="146"/>
      <c r="D11637" s="496"/>
    </row>
    <row r="11638" spans="1:4" x14ac:dyDescent="0.2">
      <c r="A11638" s="146"/>
      <c r="D11638" s="496"/>
    </row>
    <row r="11639" spans="1:4" x14ac:dyDescent="0.2">
      <c r="A11639" s="146"/>
      <c r="D11639" s="496"/>
    </row>
    <row r="11640" spans="1:4" x14ac:dyDescent="0.2">
      <c r="A11640" s="146"/>
      <c r="D11640" s="496"/>
    </row>
    <row r="11641" spans="1:4" x14ac:dyDescent="0.2">
      <c r="A11641" s="146"/>
      <c r="D11641" s="496"/>
    </row>
    <row r="11642" spans="1:4" x14ac:dyDescent="0.2">
      <c r="A11642" s="146"/>
      <c r="D11642" s="496"/>
    </row>
    <row r="11643" spans="1:4" x14ac:dyDescent="0.2">
      <c r="A11643" s="146"/>
      <c r="D11643" s="496"/>
    </row>
    <row r="11644" spans="1:4" x14ac:dyDescent="0.2">
      <c r="A11644" s="146"/>
      <c r="D11644" s="496"/>
    </row>
    <row r="11645" spans="1:4" x14ac:dyDescent="0.2">
      <c r="A11645" s="146"/>
      <c r="D11645" s="496"/>
    </row>
    <row r="11646" spans="1:4" x14ac:dyDescent="0.2">
      <c r="A11646" s="146"/>
      <c r="D11646" s="496"/>
    </row>
    <row r="11647" spans="1:4" x14ac:dyDescent="0.2">
      <c r="A11647" s="146"/>
      <c r="D11647" s="496"/>
    </row>
    <row r="11648" spans="1:4" x14ac:dyDescent="0.2">
      <c r="A11648" s="146"/>
      <c r="D11648" s="496"/>
    </row>
    <row r="11649" spans="1:4" x14ac:dyDescent="0.2">
      <c r="A11649" s="146"/>
      <c r="D11649" s="496"/>
    </row>
    <row r="11650" spans="1:4" x14ac:dyDescent="0.2">
      <c r="A11650" s="146"/>
      <c r="D11650" s="496"/>
    </row>
    <row r="11651" spans="1:4" x14ac:dyDescent="0.2">
      <c r="A11651" s="146"/>
      <c r="D11651" s="496"/>
    </row>
    <row r="11652" spans="1:4" x14ac:dyDescent="0.2">
      <c r="A11652" s="146"/>
      <c r="D11652" s="496"/>
    </row>
    <row r="11653" spans="1:4" x14ac:dyDescent="0.2">
      <c r="A11653" s="146"/>
      <c r="D11653" s="496"/>
    </row>
    <row r="11654" spans="1:4" x14ac:dyDescent="0.2">
      <c r="A11654" s="146"/>
      <c r="D11654" s="496"/>
    </row>
    <row r="11655" spans="1:4" x14ac:dyDescent="0.2">
      <c r="A11655" s="146"/>
      <c r="D11655" s="496"/>
    </row>
    <row r="11656" spans="1:4" x14ac:dyDescent="0.2">
      <c r="A11656" s="146"/>
      <c r="D11656" s="496"/>
    </row>
    <row r="11657" spans="1:4" x14ac:dyDescent="0.2">
      <c r="A11657" s="146"/>
      <c r="D11657" s="496"/>
    </row>
    <row r="11658" spans="1:4" x14ac:dyDescent="0.2">
      <c r="A11658" s="146"/>
      <c r="D11658" s="496"/>
    </row>
    <row r="11659" spans="1:4" x14ac:dyDescent="0.2">
      <c r="A11659" s="146"/>
      <c r="D11659" s="496"/>
    </row>
    <row r="11660" spans="1:4" x14ac:dyDescent="0.2">
      <c r="A11660" s="146"/>
      <c r="D11660" s="496"/>
    </row>
    <row r="11661" spans="1:4" x14ac:dyDescent="0.2">
      <c r="A11661" s="146"/>
      <c r="D11661" s="496"/>
    </row>
    <row r="11662" spans="1:4" x14ac:dyDescent="0.2">
      <c r="A11662" s="146"/>
      <c r="D11662" s="496"/>
    </row>
    <row r="11663" spans="1:4" x14ac:dyDescent="0.2">
      <c r="A11663" s="146"/>
      <c r="D11663" s="496"/>
    </row>
    <row r="11664" spans="1:4" x14ac:dyDescent="0.2">
      <c r="A11664" s="146"/>
      <c r="D11664" s="496"/>
    </row>
    <row r="11665" spans="1:4" x14ac:dyDescent="0.2">
      <c r="A11665" s="146"/>
      <c r="D11665" s="496"/>
    </row>
    <row r="11666" spans="1:4" x14ac:dyDescent="0.2">
      <c r="A11666" s="146"/>
      <c r="D11666" s="496"/>
    </row>
    <row r="11667" spans="1:4" x14ac:dyDescent="0.2">
      <c r="A11667" s="146"/>
      <c r="D11667" s="496"/>
    </row>
    <row r="11668" spans="1:4" x14ac:dyDescent="0.2">
      <c r="A11668" s="146"/>
      <c r="D11668" s="496"/>
    </row>
    <row r="11669" spans="1:4" x14ac:dyDescent="0.2">
      <c r="A11669" s="146"/>
      <c r="D11669" s="496"/>
    </row>
    <row r="11670" spans="1:4" x14ac:dyDescent="0.2">
      <c r="A11670" s="146"/>
      <c r="D11670" s="496"/>
    </row>
    <row r="11671" spans="1:4" x14ac:dyDescent="0.2">
      <c r="A11671" s="146"/>
      <c r="D11671" s="496"/>
    </row>
    <row r="11672" spans="1:4" x14ac:dyDescent="0.2">
      <c r="A11672" s="146"/>
      <c r="D11672" s="496"/>
    </row>
    <row r="11673" spans="1:4" x14ac:dyDescent="0.2">
      <c r="A11673" s="146"/>
      <c r="D11673" s="496"/>
    </row>
    <row r="11674" spans="1:4" x14ac:dyDescent="0.2">
      <c r="A11674" s="146"/>
      <c r="D11674" s="496"/>
    </row>
    <row r="11675" spans="1:4" x14ac:dyDescent="0.2">
      <c r="A11675" s="146"/>
      <c r="D11675" s="496"/>
    </row>
    <row r="11676" spans="1:4" x14ac:dyDescent="0.2">
      <c r="A11676" s="146"/>
      <c r="D11676" s="496"/>
    </row>
    <row r="11677" spans="1:4" x14ac:dyDescent="0.2">
      <c r="A11677" s="146"/>
      <c r="D11677" s="496"/>
    </row>
    <row r="11678" spans="1:4" x14ac:dyDescent="0.2">
      <c r="A11678" s="146"/>
      <c r="D11678" s="496"/>
    </row>
    <row r="11679" spans="1:4" x14ac:dyDescent="0.2">
      <c r="A11679" s="146"/>
      <c r="D11679" s="496"/>
    </row>
    <row r="11680" spans="1:4" x14ac:dyDescent="0.2">
      <c r="A11680" s="146"/>
      <c r="D11680" s="496"/>
    </row>
    <row r="11681" spans="1:4" x14ac:dyDescent="0.2">
      <c r="A11681" s="146"/>
      <c r="D11681" s="496"/>
    </row>
    <row r="11682" spans="1:4" x14ac:dyDescent="0.2">
      <c r="A11682" s="146"/>
      <c r="D11682" s="496"/>
    </row>
    <row r="11683" spans="1:4" x14ac:dyDescent="0.2">
      <c r="A11683" s="146"/>
      <c r="D11683" s="496"/>
    </row>
    <row r="11684" spans="1:4" x14ac:dyDescent="0.2">
      <c r="A11684" s="146"/>
      <c r="D11684" s="496"/>
    </row>
    <row r="11685" spans="1:4" x14ac:dyDescent="0.2">
      <c r="A11685" s="146"/>
      <c r="D11685" s="496"/>
    </row>
    <row r="11686" spans="1:4" x14ac:dyDescent="0.2">
      <c r="A11686" s="146"/>
      <c r="D11686" s="496"/>
    </row>
    <row r="11687" spans="1:4" x14ac:dyDescent="0.2">
      <c r="A11687" s="146"/>
      <c r="D11687" s="496"/>
    </row>
    <row r="11688" spans="1:4" x14ac:dyDescent="0.2">
      <c r="A11688" s="146"/>
      <c r="D11688" s="496"/>
    </row>
    <row r="11689" spans="1:4" x14ac:dyDescent="0.2">
      <c r="A11689" s="146"/>
      <c r="D11689" s="496"/>
    </row>
    <row r="11690" spans="1:4" x14ac:dyDescent="0.2">
      <c r="A11690" s="146"/>
      <c r="D11690" s="496"/>
    </row>
    <row r="11691" spans="1:4" x14ac:dyDescent="0.2">
      <c r="A11691" s="146"/>
      <c r="D11691" s="496"/>
    </row>
    <row r="11692" spans="1:4" x14ac:dyDescent="0.2">
      <c r="A11692" s="146"/>
      <c r="D11692" s="496"/>
    </row>
    <row r="11693" spans="1:4" x14ac:dyDescent="0.2">
      <c r="A11693" s="146"/>
      <c r="D11693" s="496"/>
    </row>
    <row r="11694" spans="1:4" x14ac:dyDescent="0.2">
      <c r="A11694" s="146"/>
      <c r="D11694" s="496"/>
    </row>
    <row r="11695" spans="1:4" x14ac:dyDescent="0.2">
      <c r="A11695" s="146"/>
      <c r="D11695" s="496"/>
    </row>
    <row r="11696" spans="1:4" x14ac:dyDescent="0.2">
      <c r="A11696" s="146"/>
      <c r="D11696" s="496"/>
    </row>
    <row r="11697" spans="1:4" x14ac:dyDescent="0.2">
      <c r="A11697" s="146"/>
      <c r="D11697" s="496"/>
    </row>
    <row r="11698" spans="1:4" x14ac:dyDescent="0.2">
      <c r="A11698" s="146"/>
      <c r="D11698" s="496"/>
    </row>
    <row r="11699" spans="1:4" x14ac:dyDescent="0.2">
      <c r="A11699" s="146"/>
      <c r="D11699" s="496"/>
    </row>
    <row r="11700" spans="1:4" x14ac:dyDescent="0.2">
      <c r="A11700" s="146"/>
      <c r="D11700" s="496"/>
    </row>
    <row r="11701" spans="1:4" x14ac:dyDescent="0.2">
      <c r="A11701" s="146"/>
      <c r="D11701" s="496"/>
    </row>
    <row r="11702" spans="1:4" x14ac:dyDescent="0.2">
      <c r="A11702" s="146"/>
      <c r="D11702" s="496"/>
    </row>
    <row r="11703" spans="1:4" x14ac:dyDescent="0.2">
      <c r="A11703" s="146"/>
      <c r="D11703" s="496"/>
    </row>
    <row r="11704" spans="1:4" x14ac:dyDescent="0.2">
      <c r="A11704" s="146"/>
      <c r="D11704" s="496"/>
    </row>
    <row r="11705" spans="1:4" x14ac:dyDescent="0.2">
      <c r="A11705" s="146"/>
      <c r="D11705" s="496"/>
    </row>
    <row r="11706" spans="1:4" x14ac:dyDescent="0.2">
      <c r="A11706" s="146"/>
      <c r="D11706" s="496"/>
    </row>
    <row r="11707" spans="1:4" x14ac:dyDescent="0.2">
      <c r="A11707" s="146"/>
      <c r="D11707" s="496"/>
    </row>
    <row r="11708" spans="1:4" x14ac:dyDescent="0.2">
      <c r="A11708" s="146"/>
      <c r="D11708" s="496"/>
    </row>
    <row r="11709" spans="1:4" x14ac:dyDescent="0.2">
      <c r="A11709" s="146"/>
      <c r="D11709" s="496"/>
    </row>
    <row r="11710" spans="1:4" x14ac:dyDescent="0.2">
      <c r="A11710" s="146"/>
      <c r="D11710" s="496"/>
    </row>
    <row r="11711" spans="1:4" x14ac:dyDescent="0.2">
      <c r="A11711" s="146"/>
      <c r="D11711" s="496"/>
    </row>
    <row r="11712" spans="1:4" x14ac:dyDescent="0.2">
      <c r="A11712" s="146"/>
      <c r="D11712" s="496"/>
    </row>
    <row r="11713" spans="1:4" x14ac:dyDescent="0.2">
      <c r="A11713" s="146"/>
      <c r="D11713" s="496"/>
    </row>
    <row r="11714" spans="1:4" x14ac:dyDescent="0.2">
      <c r="A11714" s="146"/>
      <c r="D11714" s="496"/>
    </row>
    <row r="11715" spans="1:4" x14ac:dyDescent="0.2">
      <c r="A11715" s="146"/>
      <c r="D11715" s="496"/>
    </row>
    <row r="11716" spans="1:4" x14ac:dyDescent="0.2">
      <c r="A11716" s="146"/>
      <c r="D11716" s="496"/>
    </row>
    <row r="11717" spans="1:4" x14ac:dyDescent="0.2">
      <c r="A11717" s="146"/>
      <c r="D11717" s="496"/>
    </row>
    <row r="11718" spans="1:4" x14ac:dyDescent="0.2">
      <c r="A11718" s="146"/>
      <c r="D11718" s="496"/>
    </row>
    <row r="11719" spans="1:4" x14ac:dyDescent="0.2">
      <c r="A11719" s="146"/>
      <c r="D11719" s="496"/>
    </row>
    <row r="11720" spans="1:4" x14ac:dyDescent="0.2">
      <c r="A11720" s="146"/>
      <c r="D11720" s="496"/>
    </row>
    <row r="11721" spans="1:4" x14ac:dyDescent="0.2">
      <c r="A11721" s="146"/>
      <c r="D11721" s="496"/>
    </row>
    <row r="11722" spans="1:4" x14ac:dyDescent="0.2">
      <c r="A11722" s="146"/>
      <c r="D11722" s="496"/>
    </row>
    <row r="11723" spans="1:4" x14ac:dyDescent="0.2">
      <c r="A11723" s="146"/>
      <c r="D11723" s="496"/>
    </row>
    <row r="11724" spans="1:4" x14ac:dyDescent="0.2">
      <c r="A11724" s="146"/>
      <c r="D11724" s="496"/>
    </row>
    <row r="11725" spans="1:4" x14ac:dyDescent="0.2">
      <c r="A11725" s="146"/>
      <c r="D11725" s="496"/>
    </row>
    <row r="11726" spans="1:4" x14ac:dyDescent="0.2">
      <c r="A11726" s="146"/>
      <c r="D11726" s="496"/>
    </row>
    <row r="11727" spans="1:4" x14ac:dyDescent="0.2">
      <c r="A11727" s="146"/>
      <c r="D11727" s="496"/>
    </row>
    <row r="11728" spans="1:4" x14ac:dyDescent="0.2">
      <c r="A11728" s="146"/>
      <c r="D11728" s="496"/>
    </row>
    <row r="11729" spans="1:4" x14ac:dyDescent="0.2">
      <c r="A11729" s="146"/>
      <c r="D11729" s="496"/>
    </row>
    <row r="11730" spans="1:4" x14ac:dyDescent="0.2">
      <c r="A11730" s="146"/>
      <c r="D11730" s="496"/>
    </row>
    <row r="11731" spans="1:4" x14ac:dyDescent="0.2">
      <c r="A11731" s="146"/>
      <c r="D11731" s="496"/>
    </row>
    <row r="11732" spans="1:4" x14ac:dyDescent="0.2">
      <c r="A11732" s="146"/>
      <c r="D11732" s="496"/>
    </row>
    <row r="11733" spans="1:4" x14ac:dyDescent="0.2">
      <c r="A11733" s="146"/>
      <c r="D11733" s="496"/>
    </row>
    <row r="11734" spans="1:4" x14ac:dyDescent="0.2">
      <c r="A11734" s="146"/>
      <c r="D11734" s="496"/>
    </row>
    <row r="11735" spans="1:4" x14ac:dyDescent="0.2">
      <c r="A11735" s="146"/>
      <c r="D11735" s="496"/>
    </row>
    <row r="11736" spans="1:4" x14ac:dyDescent="0.2">
      <c r="A11736" s="146"/>
      <c r="D11736" s="496"/>
    </row>
    <row r="11737" spans="1:4" x14ac:dyDescent="0.2">
      <c r="A11737" s="146"/>
      <c r="D11737" s="496"/>
    </row>
    <row r="11738" spans="1:4" x14ac:dyDescent="0.2">
      <c r="A11738" s="146"/>
      <c r="D11738" s="496"/>
    </row>
    <row r="11739" spans="1:4" x14ac:dyDescent="0.2">
      <c r="A11739" s="146"/>
      <c r="D11739" s="496"/>
    </row>
    <row r="11740" spans="1:4" x14ac:dyDescent="0.2">
      <c r="A11740" s="146"/>
      <c r="D11740" s="496"/>
    </row>
    <row r="11741" spans="1:4" x14ac:dyDescent="0.2">
      <c r="A11741" s="146"/>
      <c r="D11741" s="496"/>
    </row>
    <row r="11742" spans="1:4" x14ac:dyDescent="0.2">
      <c r="A11742" s="146"/>
      <c r="D11742" s="496"/>
    </row>
    <row r="11743" spans="1:4" x14ac:dyDescent="0.2">
      <c r="A11743" s="146"/>
      <c r="D11743" s="496"/>
    </row>
    <row r="11744" spans="1:4" x14ac:dyDescent="0.2">
      <c r="A11744" s="146"/>
      <c r="D11744" s="496"/>
    </row>
    <row r="11745" spans="1:4" x14ac:dyDescent="0.2">
      <c r="A11745" s="146"/>
      <c r="D11745" s="496"/>
    </row>
    <row r="11746" spans="1:4" x14ac:dyDescent="0.2">
      <c r="A11746" s="146"/>
      <c r="D11746" s="496"/>
    </row>
    <row r="11747" spans="1:4" x14ac:dyDescent="0.2">
      <c r="A11747" s="146"/>
      <c r="D11747" s="496"/>
    </row>
    <row r="11748" spans="1:4" x14ac:dyDescent="0.2">
      <c r="A11748" s="146"/>
      <c r="D11748" s="496"/>
    </row>
    <row r="11749" spans="1:4" x14ac:dyDescent="0.2">
      <c r="A11749" s="146"/>
      <c r="D11749" s="496"/>
    </row>
    <row r="11750" spans="1:4" x14ac:dyDescent="0.2">
      <c r="A11750" s="146"/>
      <c r="D11750" s="496"/>
    </row>
    <row r="11751" spans="1:4" x14ac:dyDescent="0.2">
      <c r="A11751" s="146"/>
      <c r="D11751" s="496"/>
    </row>
    <row r="11752" spans="1:4" x14ac:dyDescent="0.2">
      <c r="A11752" s="146"/>
      <c r="D11752" s="496"/>
    </row>
    <row r="11753" spans="1:4" x14ac:dyDescent="0.2">
      <c r="A11753" s="146"/>
      <c r="D11753" s="496"/>
    </row>
    <row r="11754" spans="1:4" x14ac:dyDescent="0.2">
      <c r="A11754" s="146"/>
      <c r="D11754" s="496"/>
    </row>
    <row r="11755" spans="1:4" x14ac:dyDescent="0.2">
      <c r="A11755" s="146"/>
      <c r="D11755" s="496"/>
    </row>
    <row r="11756" spans="1:4" x14ac:dyDescent="0.2">
      <c r="A11756" s="146"/>
      <c r="D11756" s="496"/>
    </row>
    <row r="11757" spans="1:4" x14ac:dyDescent="0.2">
      <c r="A11757" s="146"/>
      <c r="D11757" s="496"/>
    </row>
    <row r="11758" spans="1:4" x14ac:dyDescent="0.2">
      <c r="A11758" s="146"/>
      <c r="D11758" s="496"/>
    </row>
    <row r="11759" spans="1:4" x14ac:dyDescent="0.2">
      <c r="A11759" s="146"/>
      <c r="D11759" s="496"/>
    </row>
    <row r="11760" spans="1:4" x14ac:dyDescent="0.2">
      <c r="A11760" s="146"/>
      <c r="D11760" s="496"/>
    </row>
    <row r="11761" spans="1:4" x14ac:dyDescent="0.2">
      <c r="A11761" s="146"/>
      <c r="D11761" s="496"/>
    </row>
    <row r="11762" spans="1:4" x14ac:dyDescent="0.2">
      <c r="A11762" s="146"/>
      <c r="D11762" s="496"/>
    </row>
    <row r="11763" spans="1:4" x14ac:dyDescent="0.2">
      <c r="A11763" s="146"/>
      <c r="D11763" s="496"/>
    </row>
    <row r="11764" spans="1:4" x14ac:dyDescent="0.2">
      <c r="A11764" s="146"/>
      <c r="D11764" s="496"/>
    </row>
    <row r="11765" spans="1:4" x14ac:dyDescent="0.2">
      <c r="A11765" s="146"/>
      <c r="D11765" s="496"/>
    </row>
    <row r="11766" spans="1:4" x14ac:dyDescent="0.2">
      <c r="A11766" s="146"/>
      <c r="D11766" s="496"/>
    </row>
    <row r="11767" spans="1:4" x14ac:dyDescent="0.2">
      <c r="A11767" s="146"/>
      <c r="D11767" s="496"/>
    </row>
    <row r="11768" spans="1:4" x14ac:dyDescent="0.2">
      <c r="A11768" s="146"/>
      <c r="D11768" s="496"/>
    </row>
    <row r="11769" spans="1:4" x14ac:dyDescent="0.2">
      <c r="A11769" s="146"/>
      <c r="D11769" s="496"/>
    </row>
    <row r="11770" spans="1:4" x14ac:dyDescent="0.2">
      <c r="A11770" s="146"/>
      <c r="D11770" s="496"/>
    </row>
    <row r="11771" spans="1:4" x14ac:dyDescent="0.2">
      <c r="A11771" s="146"/>
      <c r="D11771" s="496"/>
    </row>
    <row r="11772" spans="1:4" x14ac:dyDescent="0.2">
      <c r="A11772" s="146"/>
      <c r="D11772" s="496"/>
    </row>
    <row r="11773" spans="1:4" x14ac:dyDescent="0.2">
      <c r="A11773" s="146"/>
      <c r="D11773" s="496"/>
    </row>
    <row r="11774" spans="1:4" x14ac:dyDescent="0.2">
      <c r="A11774" s="146"/>
      <c r="D11774" s="496"/>
    </row>
    <row r="11775" spans="1:4" x14ac:dyDescent="0.2">
      <c r="A11775" s="146"/>
      <c r="D11775" s="496"/>
    </row>
    <row r="11776" spans="1:4" x14ac:dyDescent="0.2">
      <c r="A11776" s="146"/>
      <c r="D11776" s="496"/>
    </row>
    <row r="11777" spans="1:4" x14ac:dyDescent="0.2">
      <c r="A11777" s="146"/>
      <c r="D11777" s="496"/>
    </row>
    <row r="11778" spans="1:4" x14ac:dyDescent="0.2">
      <c r="A11778" s="146"/>
      <c r="D11778" s="496"/>
    </row>
    <row r="11779" spans="1:4" x14ac:dyDescent="0.2">
      <c r="A11779" s="146"/>
      <c r="D11779" s="496"/>
    </row>
    <row r="11780" spans="1:4" x14ac:dyDescent="0.2">
      <c r="A11780" s="146"/>
      <c r="D11780" s="496"/>
    </row>
    <row r="11781" spans="1:4" x14ac:dyDescent="0.2">
      <c r="A11781" s="146"/>
      <c r="D11781" s="496"/>
    </row>
    <row r="11782" spans="1:4" x14ac:dyDescent="0.2">
      <c r="A11782" s="146"/>
      <c r="D11782" s="496"/>
    </row>
    <row r="11783" spans="1:4" x14ac:dyDescent="0.2">
      <c r="A11783" s="146"/>
      <c r="D11783" s="496"/>
    </row>
    <row r="11784" spans="1:4" x14ac:dyDescent="0.2">
      <c r="A11784" s="146"/>
      <c r="D11784" s="496"/>
    </row>
    <row r="11785" spans="1:4" x14ac:dyDescent="0.2">
      <c r="A11785" s="146"/>
      <c r="D11785" s="496"/>
    </row>
    <row r="11786" spans="1:4" x14ac:dyDescent="0.2">
      <c r="A11786" s="146"/>
      <c r="D11786" s="496"/>
    </row>
    <row r="11787" spans="1:4" x14ac:dyDescent="0.2">
      <c r="A11787" s="146"/>
      <c r="D11787" s="496"/>
    </row>
    <row r="11788" spans="1:4" x14ac:dyDescent="0.2">
      <c r="A11788" s="146"/>
      <c r="D11788" s="496"/>
    </row>
    <row r="11789" spans="1:4" x14ac:dyDescent="0.2">
      <c r="A11789" s="146"/>
      <c r="D11789" s="496"/>
    </row>
    <row r="11790" spans="1:4" x14ac:dyDescent="0.2">
      <c r="A11790" s="146"/>
      <c r="D11790" s="496"/>
    </row>
    <row r="11791" spans="1:4" x14ac:dyDescent="0.2">
      <c r="A11791" s="146"/>
      <c r="D11791" s="496"/>
    </row>
    <row r="11792" spans="1:4" x14ac:dyDescent="0.2">
      <c r="A11792" s="146"/>
      <c r="D11792" s="496"/>
    </row>
    <row r="11793" spans="1:4" x14ac:dyDescent="0.2">
      <c r="A11793" s="146"/>
      <c r="D11793" s="496"/>
    </row>
    <row r="11794" spans="1:4" x14ac:dyDescent="0.2">
      <c r="A11794" s="146"/>
      <c r="D11794" s="496"/>
    </row>
    <row r="11795" spans="1:4" x14ac:dyDescent="0.2">
      <c r="A11795" s="146"/>
      <c r="D11795" s="496"/>
    </row>
    <row r="11796" spans="1:4" x14ac:dyDescent="0.2">
      <c r="A11796" s="146"/>
      <c r="D11796" s="496"/>
    </row>
    <row r="11797" spans="1:4" x14ac:dyDescent="0.2">
      <c r="A11797" s="146"/>
      <c r="D11797" s="496"/>
    </row>
    <row r="11798" spans="1:4" x14ac:dyDescent="0.2">
      <c r="A11798" s="146"/>
      <c r="D11798" s="496"/>
    </row>
    <row r="11799" spans="1:4" x14ac:dyDescent="0.2">
      <c r="A11799" s="146"/>
      <c r="D11799" s="496"/>
    </row>
    <row r="11800" spans="1:4" x14ac:dyDescent="0.2">
      <c r="A11800" s="146"/>
      <c r="D11800" s="496"/>
    </row>
    <row r="11801" spans="1:4" x14ac:dyDescent="0.2">
      <c r="A11801" s="146"/>
      <c r="D11801" s="496"/>
    </row>
    <row r="11802" spans="1:4" x14ac:dyDescent="0.2">
      <c r="A11802" s="146"/>
      <c r="D11802" s="496"/>
    </row>
    <row r="11803" spans="1:4" x14ac:dyDescent="0.2">
      <c r="A11803" s="146"/>
      <c r="D11803" s="496"/>
    </row>
    <row r="11804" spans="1:4" x14ac:dyDescent="0.2">
      <c r="A11804" s="146"/>
      <c r="D11804" s="496"/>
    </row>
    <row r="11805" spans="1:4" x14ac:dyDescent="0.2">
      <c r="A11805" s="146"/>
      <c r="D11805" s="496"/>
    </row>
    <row r="11806" spans="1:4" x14ac:dyDescent="0.2">
      <c r="A11806" s="146"/>
      <c r="D11806" s="496"/>
    </row>
    <row r="11807" spans="1:4" x14ac:dyDescent="0.2">
      <c r="A11807" s="146"/>
      <c r="D11807" s="496"/>
    </row>
    <row r="11808" spans="1:4" x14ac:dyDescent="0.2">
      <c r="A11808" s="146"/>
      <c r="D11808" s="496"/>
    </row>
    <row r="11809" spans="1:4" x14ac:dyDescent="0.2">
      <c r="A11809" s="146"/>
      <c r="D11809" s="496"/>
    </row>
    <row r="11810" spans="1:4" x14ac:dyDescent="0.2">
      <c r="A11810" s="146"/>
      <c r="D11810" s="496"/>
    </row>
    <row r="11811" spans="1:4" x14ac:dyDescent="0.2">
      <c r="A11811" s="146"/>
      <c r="D11811" s="496"/>
    </row>
    <row r="11812" spans="1:4" x14ac:dyDescent="0.2">
      <c r="A11812" s="146"/>
      <c r="D11812" s="496"/>
    </row>
    <row r="11813" spans="1:4" x14ac:dyDescent="0.2">
      <c r="A11813" s="146"/>
      <c r="D11813" s="496"/>
    </row>
    <row r="11814" spans="1:4" x14ac:dyDescent="0.2">
      <c r="A11814" s="146"/>
      <c r="D11814" s="496"/>
    </row>
    <row r="11815" spans="1:4" x14ac:dyDescent="0.2">
      <c r="A11815" s="146"/>
      <c r="D11815" s="496"/>
    </row>
    <row r="11816" spans="1:4" x14ac:dyDescent="0.2">
      <c r="A11816" s="146"/>
      <c r="D11816" s="496"/>
    </row>
    <row r="11817" spans="1:4" x14ac:dyDescent="0.2">
      <c r="A11817" s="146"/>
      <c r="D11817" s="496"/>
    </row>
    <row r="11818" spans="1:4" x14ac:dyDescent="0.2">
      <c r="A11818" s="146"/>
      <c r="D11818" s="496"/>
    </row>
    <row r="11819" spans="1:4" x14ac:dyDescent="0.2">
      <c r="A11819" s="146"/>
      <c r="D11819" s="496"/>
    </row>
    <row r="11820" spans="1:4" x14ac:dyDescent="0.2">
      <c r="A11820" s="146"/>
      <c r="D11820" s="496"/>
    </row>
    <row r="11821" spans="1:4" x14ac:dyDescent="0.2">
      <c r="A11821" s="146"/>
      <c r="D11821" s="496"/>
    </row>
    <row r="11822" spans="1:4" x14ac:dyDescent="0.2">
      <c r="A11822" s="146"/>
      <c r="D11822" s="496"/>
    </row>
    <row r="11823" spans="1:4" x14ac:dyDescent="0.2">
      <c r="A11823" s="146"/>
      <c r="D11823" s="496"/>
    </row>
    <row r="11824" spans="1:4" x14ac:dyDescent="0.2">
      <c r="A11824" s="146"/>
      <c r="D11824" s="496"/>
    </row>
    <row r="11825" spans="1:4" x14ac:dyDescent="0.2">
      <c r="A11825" s="146"/>
      <c r="D11825" s="496"/>
    </row>
    <row r="11826" spans="1:4" x14ac:dyDescent="0.2">
      <c r="A11826" s="146"/>
      <c r="D11826" s="496"/>
    </row>
    <row r="11827" spans="1:4" x14ac:dyDescent="0.2">
      <c r="A11827" s="146"/>
      <c r="D11827" s="496"/>
    </row>
    <row r="11828" spans="1:4" x14ac:dyDescent="0.2">
      <c r="A11828" s="146"/>
      <c r="D11828" s="496"/>
    </row>
    <row r="11829" spans="1:4" x14ac:dyDescent="0.2">
      <c r="A11829" s="146"/>
      <c r="D11829" s="496"/>
    </row>
    <row r="11830" spans="1:4" x14ac:dyDescent="0.2">
      <c r="A11830" s="146"/>
      <c r="D11830" s="496"/>
    </row>
    <row r="11831" spans="1:4" x14ac:dyDescent="0.2">
      <c r="A11831" s="146"/>
      <c r="D11831" s="496"/>
    </row>
    <row r="11832" spans="1:4" x14ac:dyDescent="0.2">
      <c r="A11832" s="146"/>
      <c r="D11832" s="496"/>
    </row>
    <row r="11833" spans="1:4" x14ac:dyDescent="0.2">
      <c r="A11833" s="146"/>
      <c r="D11833" s="496"/>
    </row>
    <row r="11834" spans="1:4" x14ac:dyDescent="0.2">
      <c r="A11834" s="146"/>
      <c r="D11834" s="496"/>
    </row>
    <row r="11835" spans="1:4" x14ac:dyDescent="0.2">
      <c r="A11835" s="146"/>
      <c r="D11835" s="496"/>
    </row>
    <row r="11836" spans="1:4" x14ac:dyDescent="0.2">
      <c r="A11836" s="146"/>
      <c r="D11836" s="496"/>
    </row>
    <row r="11837" spans="1:4" x14ac:dyDescent="0.2">
      <c r="A11837" s="146"/>
      <c r="D11837" s="496"/>
    </row>
    <row r="11838" spans="1:4" x14ac:dyDescent="0.2">
      <c r="A11838" s="146"/>
      <c r="D11838" s="496"/>
    </row>
    <row r="11839" spans="1:4" x14ac:dyDescent="0.2">
      <c r="A11839" s="146"/>
      <c r="D11839" s="496"/>
    </row>
    <row r="11840" spans="1:4" x14ac:dyDescent="0.2">
      <c r="A11840" s="146"/>
      <c r="D11840" s="496"/>
    </row>
    <row r="11841" spans="1:4" x14ac:dyDescent="0.2">
      <c r="A11841" s="146"/>
      <c r="D11841" s="496"/>
    </row>
    <row r="11842" spans="1:4" x14ac:dyDescent="0.2">
      <c r="A11842" s="146"/>
      <c r="D11842" s="496"/>
    </row>
    <row r="11843" spans="1:4" x14ac:dyDescent="0.2">
      <c r="A11843" s="146"/>
      <c r="D11843" s="496"/>
    </row>
    <row r="11844" spans="1:4" x14ac:dyDescent="0.2">
      <c r="A11844" s="146"/>
      <c r="D11844" s="496"/>
    </row>
    <row r="11845" spans="1:4" x14ac:dyDescent="0.2">
      <c r="A11845" s="146"/>
      <c r="D11845" s="496"/>
    </row>
    <row r="11846" spans="1:4" x14ac:dyDescent="0.2">
      <c r="A11846" s="146"/>
      <c r="D11846" s="496"/>
    </row>
    <row r="11847" spans="1:4" x14ac:dyDescent="0.2">
      <c r="A11847" s="146"/>
      <c r="D11847" s="496"/>
    </row>
    <row r="11848" spans="1:4" x14ac:dyDescent="0.2">
      <c r="A11848" s="146"/>
      <c r="D11848" s="496"/>
    </row>
    <row r="11849" spans="1:4" x14ac:dyDescent="0.2">
      <c r="A11849" s="146"/>
      <c r="D11849" s="496"/>
    </row>
    <row r="11850" spans="1:4" x14ac:dyDescent="0.2">
      <c r="A11850" s="146"/>
      <c r="D11850" s="496"/>
    </row>
    <row r="11851" spans="1:4" x14ac:dyDescent="0.2">
      <c r="A11851" s="146"/>
      <c r="D11851" s="496"/>
    </row>
    <row r="11852" spans="1:4" x14ac:dyDescent="0.2">
      <c r="A11852" s="146"/>
      <c r="D11852" s="496"/>
    </row>
    <row r="11853" spans="1:4" x14ac:dyDescent="0.2">
      <c r="A11853" s="146"/>
      <c r="D11853" s="496"/>
    </row>
    <row r="11854" spans="1:4" x14ac:dyDescent="0.2">
      <c r="A11854" s="146"/>
      <c r="D11854" s="496"/>
    </row>
    <row r="11855" spans="1:4" x14ac:dyDescent="0.2">
      <c r="A11855" s="146"/>
      <c r="D11855" s="496"/>
    </row>
    <row r="11856" spans="1:4" x14ac:dyDescent="0.2">
      <c r="A11856" s="146"/>
      <c r="D11856" s="496"/>
    </row>
    <row r="11857" spans="1:4" x14ac:dyDescent="0.2">
      <c r="A11857" s="146"/>
      <c r="D11857" s="496"/>
    </row>
    <row r="11858" spans="1:4" x14ac:dyDescent="0.2">
      <c r="A11858" s="146"/>
      <c r="D11858" s="496"/>
    </row>
    <row r="11859" spans="1:4" x14ac:dyDescent="0.2">
      <c r="A11859" s="146"/>
      <c r="D11859" s="496"/>
    </row>
    <row r="11860" spans="1:4" x14ac:dyDescent="0.2">
      <c r="A11860" s="146"/>
      <c r="D11860" s="496"/>
    </row>
    <row r="11861" spans="1:4" x14ac:dyDescent="0.2">
      <c r="A11861" s="146"/>
      <c r="D11861" s="496"/>
    </row>
    <row r="11862" spans="1:4" x14ac:dyDescent="0.2">
      <c r="A11862" s="146"/>
      <c r="D11862" s="496"/>
    </row>
    <row r="11863" spans="1:4" x14ac:dyDescent="0.2">
      <c r="A11863" s="146"/>
      <c r="D11863" s="496"/>
    </row>
    <row r="11864" spans="1:4" x14ac:dyDescent="0.2">
      <c r="A11864" s="146"/>
      <c r="D11864" s="496"/>
    </row>
    <row r="11865" spans="1:4" x14ac:dyDescent="0.2">
      <c r="A11865" s="146"/>
      <c r="D11865" s="496"/>
    </row>
    <row r="11866" spans="1:4" x14ac:dyDescent="0.2">
      <c r="A11866" s="146"/>
      <c r="D11866" s="496"/>
    </row>
    <row r="11867" spans="1:4" x14ac:dyDescent="0.2">
      <c r="A11867" s="146"/>
      <c r="D11867" s="496"/>
    </row>
    <row r="11868" spans="1:4" x14ac:dyDescent="0.2">
      <c r="A11868" s="146"/>
      <c r="D11868" s="496"/>
    </row>
    <row r="11869" spans="1:4" x14ac:dyDescent="0.2">
      <c r="A11869" s="146"/>
      <c r="D11869" s="496"/>
    </row>
    <row r="11870" spans="1:4" x14ac:dyDescent="0.2">
      <c r="A11870" s="146"/>
      <c r="D11870" s="496"/>
    </row>
    <row r="11871" spans="1:4" x14ac:dyDescent="0.2">
      <c r="A11871" s="146"/>
      <c r="D11871" s="496"/>
    </row>
    <row r="11872" spans="1:4" x14ac:dyDescent="0.2">
      <c r="A11872" s="146"/>
      <c r="D11872" s="496"/>
    </row>
    <row r="11873" spans="1:4" x14ac:dyDescent="0.2">
      <c r="A11873" s="146"/>
      <c r="D11873" s="496"/>
    </row>
    <row r="11874" spans="1:4" x14ac:dyDescent="0.2">
      <c r="A11874" s="146"/>
      <c r="D11874" s="496"/>
    </row>
    <row r="11875" spans="1:4" x14ac:dyDescent="0.2">
      <c r="A11875" s="146"/>
      <c r="D11875" s="496"/>
    </row>
    <row r="11876" spans="1:4" x14ac:dyDescent="0.2">
      <c r="A11876" s="146"/>
      <c r="D11876" s="496"/>
    </row>
    <row r="11877" spans="1:4" x14ac:dyDescent="0.2">
      <c r="A11877" s="146"/>
      <c r="D11877" s="496"/>
    </row>
    <row r="11878" spans="1:4" x14ac:dyDescent="0.2">
      <c r="A11878" s="146"/>
      <c r="D11878" s="496"/>
    </row>
    <row r="11879" spans="1:4" x14ac:dyDescent="0.2">
      <c r="A11879" s="146"/>
      <c r="D11879" s="496"/>
    </row>
    <row r="11880" spans="1:4" x14ac:dyDescent="0.2">
      <c r="A11880" s="146"/>
      <c r="D11880" s="496"/>
    </row>
    <row r="11881" spans="1:4" x14ac:dyDescent="0.2">
      <c r="A11881" s="146"/>
      <c r="D11881" s="496"/>
    </row>
    <row r="11882" spans="1:4" x14ac:dyDescent="0.2">
      <c r="A11882" s="146"/>
      <c r="D11882" s="496"/>
    </row>
    <row r="11883" spans="1:4" x14ac:dyDescent="0.2">
      <c r="A11883" s="146"/>
      <c r="D11883" s="496"/>
    </row>
    <row r="11884" spans="1:4" x14ac:dyDescent="0.2">
      <c r="A11884" s="146"/>
      <c r="D11884" s="496"/>
    </row>
    <row r="11885" spans="1:4" x14ac:dyDescent="0.2">
      <c r="A11885" s="146"/>
      <c r="D11885" s="496"/>
    </row>
    <row r="11886" spans="1:4" x14ac:dyDescent="0.2">
      <c r="A11886" s="146"/>
      <c r="D11886" s="496"/>
    </row>
    <row r="11887" spans="1:4" x14ac:dyDescent="0.2">
      <c r="A11887" s="146"/>
      <c r="D11887" s="496"/>
    </row>
    <row r="11888" spans="1:4" x14ac:dyDescent="0.2">
      <c r="A11888" s="146"/>
      <c r="D11888" s="496"/>
    </row>
    <row r="11889" spans="1:4" x14ac:dyDescent="0.2">
      <c r="A11889" s="146"/>
      <c r="D11889" s="496"/>
    </row>
    <row r="11890" spans="1:4" x14ac:dyDescent="0.2">
      <c r="A11890" s="146"/>
      <c r="D11890" s="496"/>
    </row>
    <row r="11891" spans="1:4" x14ac:dyDescent="0.2">
      <c r="A11891" s="146"/>
      <c r="D11891" s="496"/>
    </row>
    <row r="11892" spans="1:4" x14ac:dyDescent="0.2">
      <c r="A11892" s="146"/>
      <c r="D11892" s="496"/>
    </row>
    <row r="11893" spans="1:4" x14ac:dyDescent="0.2">
      <c r="A11893" s="146"/>
      <c r="D11893" s="496"/>
    </row>
    <row r="11894" spans="1:4" x14ac:dyDescent="0.2">
      <c r="A11894" s="146"/>
      <c r="D11894" s="496"/>
    </row>
    <row r="11895" spans="1:4" x14ac:dyDescent="0.2">
      <c r="A11895" s="146"/>
      <c r="D11895" s="496"/>
    </row>
    <row r="11896" spans="1:4" x14ac:dyDescent="0.2">
      <c r="A11896" s="146"/>
      <c r="D11896" s="496"/>
    </row>
    <row r="11897" spans="1:4" x14ac:dyDescent="0.2">
      <c r="A11897" s="146"/>
      <c r="D11897" s="496"/>
    </row>
    <row r="11898" spans="1:4" x14ac:dyDescent="0.2">
      <c r="A11898" s="146"/>
      <c r="D11898" s="496"/>
    </row>
    <row r="11899" spans="1:4" x14ac:dyDescent="0.2">
      <c r="A11899" s="146"/>
      <c r="D11899" s="496"/>
    </row>
    <row r="11900" spans="1:4" x14ac:dyDescent="0.2">
      <c r="A11900" s="146"/>
      <c r="D11900" s="496"/>
    </row>
    <row r="11901" spans="1:4" x14ac:dyDescent="0.2">
      <c r="A11901" s="146"/>
      <c r="D11901" s="496"/>
    </row>
    <row r="11902" spans="1:4" x14ac:dyDescent="0.2">
      <c r="A11902" s="146"/>
      <c r="D11902" s="496"/>
    </row>
    <row r="11903" spans="1:4" x14ac:dyDescent="0.2">
      <c r="A11903" s="146"/>
      <c r="D11903" s="496"/>
    </row>
    <row r="11904" spans="1:4" x14ac:dyDescent="0.2">
      <c r="A11904" s="146"/>
      <c r="D11904" s="496"/>
    </row>
    <row r="11905" spans="1:4" x14ac:dyDescent="0.2">
      <c r="A11905" s="146"/>
      <c r="D11905" s="496"/>
    </row>
    <row r="11906" spans="1:4" x14ac:dyDescent="0.2">
      <c r="A11906" s="146"/>
      <c r="D11906" s="496"/>
    </row>
    <row r="11907" spans="1:4" x14ac:dyDescent="0.2">
      <c r="A11907" s="146"/>
      <c r="D11907" s="496"/>
    </row>
    <row r="11908" spans="1:4" x14ac:dyDescent="0.2">
      <c r="A11908" s="146"/>
      <c r="D11908" s="496"/>
    </row>
    <row r="11909" spans="1:4" x14ac:dyDescent="0.2">
      <c r="A11909" s="146"/>
      <c r="D11909" s="496"/>
    </row>
    <row r="11910" spans="1:4" x14ac:dyDescent="0.2">
      <c r="A11910" s="146"/>
      <c r="D11910" s="496"/>
    </row>
    <row r="11911" spans="1:4" x14ac:dyDescent="0.2">
      <c r="A11911" s="146"/>
      <c r="D11911" s="496"/>
    </row>
    <row r="11912" spans="1:4" x14ac:dyDescent="0.2">
      <c r="A11912" s="146"/>
      <c r="D11912" s="496"/>
    </row>
    <row r="11913" spans="1:4" x14ac:dyDescent="0.2">
      <c r="A11913" s="146"/>
      <c r="D11913" s="496"/>
    </row>
    <row r="11914" spans="1:4" x14ac:dyDescent="0.2">
      <c r="A11914" s="146"/>
      <c r="D11914" s="496"/>
    </row>
    <row r="11915" spans="1:4" x14ac:dyDescent="0.2">
      <c r="A11915" s="146"/>
      <c r="D11915" s="496"/>
    </row>
    <row r="11916" spans="1:4" x14ac:dyDescent="0.2">
      <c r="A11916" s="146"/>
      <c r="D11916" s="496"/>
    </row>
    <row r="11917" spans="1:4" x14ac:dyDescent="0.2">
      <c r="A11917" s="146"/>
      <c r="D11917" s="496"/>
    </row>
    <row r="11918" spans="1:4" x14ac:dyDescent="0.2">
      <c r="A11918" s="146"/>
      <c r="D11918" s="496"/>
    </row>
    <row r="11919" spans="1:4" x14ac:dyDescent="0.2">
      <c r="A11919" s="146"/>
      <c r="D11919" s="496"/>
    </row>
    <row r="11920" spans="1:4" x14ac:dyDescent="0.2">
      <c r="A11920" s="146"/>
      <c r="D11920" s="496"/>
    </row>
    <row r="11921" spans="1:4" x14ac:dyDescent="0.2">
      <c r="A11921" s="146"/>
      <c r="D11921" s="496"/>
    </row>
    <row r="11922" spans="1:4" x14ac:dyDescent="0.2">
      <c r="A11922" s="146"/>
      <c r="D11922" s="496"/>
    </row>
    <row r="11923" spans="1:4" x14ac:dyDescent="0.2">
      <c r="A11923" s="146"/>
      <c r="D11923" s="496"/>
    </row>
    <row r="11924" spans="1:4" x14ac:dyDescent="0.2">
      <c r="A11924" s="146"/>
      <c r="D11924" s="496"/>
    </row>
    <row r="11925" spans="1:4" x14ac:dyDescent="0.2">
      <c r="A11925" s="146"/>
      <c r="D11925" s="496"/>
    </row>
    <row r="11926" spans="1:4" x14ac:dyDescent="0.2">
      <c r="A11926" s="146"/>
      <c r="D11926" s="496"/>
    </row>
    <row r="11927" spans="1:4" x14ac:dyDescent="0.2">
      <c r="A11927" s="146"/>
      <c r="D11927" s="496"/>
    </row>
    <row r="11928" spans="1:4" x14ac:dyDescent="0.2">
      <c r="A11928" s="146"/>
      <c r="D11928" s="496"/>
    </row>
    <row r="11929" spans="1:4" x14ac:dyDescent="0.2">
      <c r="A11929" s="146"/>
      <c r="D11929" s="496"/>
    </row>
    <row r="11930" spans="1:4" x14ac:dyDescent="0.2">
      <c r="A11930" s="146"/>
      <c r="D11930" s="496"/>
    </row>
    <row r="11931" spans="1:4" x14ac:dyDescent="0.2">
      <c r="A11931" s="146"/>
      <c r="D11931" s="496"/>
    </row>
    <row r="11932" spans="1:4" x14ac:dyDescent="0.2">
      <c r="A11932" s="146"/>
      <c r="D11932" s="496"/>
    </row>
    <row r="11933" spans="1:4" x14ac:dyDescent="0.2">
      <c r="A11933" s="146"/>
      <c r="D11933" s="496"/>
    </row>
    <row r="11934" spans="1:4" x14ac:dyDescent="0.2">
      <c r="A11934" s="146"/>
      <c r="D11934" s="496"/>
    </row>
    <row r="11935" spans="1:4" x14ac:dyDescent="0.2">
      <c r="A11935" s="146"/>
      <c r="D11935" s="496"/>
    </row>
    <row r="11936" spans="1:4" x14ac:dyDescent="0.2">
      <c r="A11936" s="146"/>
      <c r="D11936" s="496"/>
    </row>
    <row r="11937" spans="1:4" x14ac:dyDescent="0.2">
      <c r="A11937" s="146"/>
      <c r="D11937" s="496"/>
    </row>
    <row r="11938" spans="1:4" x14ac:dyDescent="0.2">
      <c r="A11938" s="146"/>
      <c r="D11938" s="496"/>
    </row>
    <row r="11939" spans="1:4" x14ac:dyDescent="0.2">
      <c r="A11939" s="146"/>
      <c r="D11939" s="496"/>
    </row>
    <row r="11940" spans="1:4" x14ac:dyDescent="0.2">
      <c r="A11940" s="146"/>
      <c r="D11940" s="496"/>
    </row>
    <row r="11941" spans="1:4" x14ac:dyDescent="0.2">
      <c r="A11941" s="146"/>
      <c r="D11941" s="496"/>
    </row>
    <row r="11942" spans="1:4" x14ac:dyDescent="0.2">
      <c r="A11942" s="146"/>
      <c r="D11942" s="496"/>
    </row>
    <row r="11943" spans="1:4" x14ac:dyDescent="0.2">
      <c r="A11943" s="146"/>
      <c r="D11943" s="496"/>
    </row>
    <row r="11944" spans="1:4" x14ac:dyDescent="0.2">
      <c r="A11944" s="146"/>
      <c r="D11944" s="496"/>
    </row>
    <row r="11945" spans="1:4" x14ac:dyDescent="0.2">
      <c r="A11945" s="146"/>
      <c r="D11945" s="496"/>
    </row>
    <row r="11946" spans="1:4" x14ac:dyDescent="0.2">
      <c r="A11946" s="146"/>
      <c r="D11946" s="496"/>
    </row>
    <row r="11947" spans="1:4" x14ac:dyDescent="0.2">
      <c r="A11947" s="146"/>
      <c r="D11947" s="496"/>
    </row>
    <row r="11948" spans="1:4" x14ac:dyDescent="0.2">
      <c r="A11948" s="146"/>
      <c r="D11948" s="496"/>
    </row>
    <row r="11949" spans="1:4" x14ac:dyDescent="0.2">
      <c r="A11949" s="146"/>
      <c r="D11949" s="496"/>
    </row>
    <row r="11950" spans="1:4" x14ac:dyDescent="0.2">
      <c r="A11950" s="146"/>
      <c r="D11950" s="496"/>
    </row>
    <row r="11951" spans="1:4" x14ac:dyDescent="0.2">
      <c r="A11951" s="146"/>
      <c r="D11951" s="496"/>
    </row>
    <row r="11952" spans="1:4" x14ac:dyDescent="0.2">
      <c r="A11952" s="146"/>
      <c r="D11952" s="496"/>
    </row>
    <row r="11953" spans="1:4" x14ac:dyDescent="0.2">
      <c r="A11953" s="146"/>
      <c r="D11953" s="496"/>
    </row>
    <row r="11954" spans="1:4" x14ac:dyDescent="0.2">
      <c r="A11954" s="146"/>
      <c r="D11954" s="496"/>
    </row>
    <row r="11955" spans="1:4" x14ac:dyDescent="0.2">
      <c r="A11955" s="146"/>
      <c r="D11955" s="496"/>
    </row>
    <row r="11956" spans="1:4" x14ac:dyDescent="0.2">
      <c r="A11956" s="146"/>
      <c r="D11956" s="496"/>
    </row>
    <row r="11957" spans="1:4" x14ac:dyDescent="0.2">
      <c r="A11957" s="146"/>
      <c r="D11957" s="496"/>
    </row>
    <row r="11958" spans="1:4" x14ac:dyDescent="0.2">
      <c r="A11958" s="146"/>
      <c r="D11958" s="496"/>
    </row>
    <row r="11959" spans="1:4" x14ac:dyDescent="0.2">
      <c r="A11959" s="146"/>
      <c r="D11959" s="496"/>
    </row>
    <row r="11960" spans="1:4" x14ac:dyDescent="0.2">
      <c r="A11960" s="146"/>
      <c r="D11960" s="496"/>
    </row>
    <row r="11961" spans="1:4" x14ac:dyDescent="0.2">
      <c r="A11961" s="146"/>
      <c r="D11961" s="496"/>
    </row>
    <row r="11962" spans="1:4" x14ac:dyDescent="0.2">
      <c r="A11962" s="146"/>
      <c r="D11962" s="496"/>
    </row>
    <row r="11963" spans="1:4" x14ac:dyDescent="0.2">
      <c r="A11963" s="146"/>
      <c r="D11963" s="496"/>
    </row>
    <row r="11964" spans="1:4" x14ac:dyDescent="0.2">
      <c r="A11964" s="146"/>
      <c r="D11964" s="496"/>
    </row>
    <row r="11965" spans="1:4" x14ac:dyDescent="0.2">
      <c r="A11965" s="146"/>
      <c r="D11965" s="496"/>
    </row>
    <row r="11966" spans="1:4" x14ac:dyDescent="0.2">
      <c r="A11966" s="146"/>
      <c r="D11966" s="496"/>
    </row>
    <row r="11967" spans="1:4" x14ac:dyDescent="0.2">
      <c r="A11967" s="146"/>
      <c r="D11967" s="496"/>
    </row>
    <row r="11968" spans="1:4" x14ac:dyDescent="0.2">
      <c r="A11968" s="146"/>
      <c r="D11968" s="496"/>
    </row>
    <row r="11969" spans="1:4" x14ac:dyDescent="0.2">
      <c r="A11969" s="146"/>
      <c r="D11969" s="496"/>
    </row>
    <row r="11970" spans="1:4" x14ac:dyDescent="0.2">
      <c r="A11970" s="146"/>
      <c r="D11970" s="496"/>
    </row>
    <row r="11971" spans="1:4" x14ac:dyDescent="0.2">
      <c r="A11971" s="146"/>
      <c r="D11971" s="496"/>
    </row>
    <row r="11972" spans="1:4" x14ac:dyDescent="0.2">
      <c r="A11972" s="146"/>
      <c r="D11972" s="496"/>
    </row>
    <row r="11973" spans="1:4" x14ac:dyDescent="0.2">
      <c r="A11973" s="146"/>
      <c r="D11973" s="496"/>
    </row>
    <row r="11974" spans="1:4" x14ac:dyDescent="0.2">
      <c r="A11974" s="146"/>
      <c r="D11974" s="496"/>
    </row>
    <row r="11975" spans="1:4" x14ac:dyDescent="0.2">
      <c r="A11975" s="146"/>
      <c r="D11975" s="496"/>
    </row>
    <row r="11976" spans="1:4" x14ac:dyDescent="0.2">
      <c r="A11976" s="146"/>
      <c r="D11976" s="496"/>
    </row>
    <row r="11977" spans="1:4" x14ac:dyDescent="0.2">
      <c r="A11977" s="146"/>
      <c r="D11977" s="496"/>
    </row>
    <row r="11978" spans="1:4" x14ac:dyDescent="0.2">
      <c r="A11978" s="146"/>
      <c r="D11978" s="496"/>
    </row>
    <row r="11979" spans="1:4" x14ac:dyDescent="0.2">
      <c r="A11979" s="146"/>
      <c r="D11979" s="496"/>
    </row>
    <row r="11980" spans="1:4" x14ac:dyDescent="0.2">
      <c r="A11980" s="146"/>
      <c r="D11980" s="496"/>
    </row>
    <row r="11981" spans="1:4" x14ac:dyDescent="0.2">
      <c r="A11981" s="146"/>
      <c r="D11981" s="496"/>
    </row>
    <row r="11982" spans="1:4" x14ac:dyDescent="0.2">
      <c r="A11982" s="146"/>
      <c r="D11982" s="496"/>
    </row>
    <row r="11983" spans="1:4" x14ac:dyDescent="0.2">
      <c r="A11983" s="146"/>
      <c r="D11983" s="496"/>
    </row>
    <row r="11984" spans="1:4" x14ac:dyDescent="0.2">
      <c r="A11984" s="146"/>
      <c r="D11984" s="496"/>
    </row>
    <row r="11985" spans="1:4" x14ac:dyDescent="0.2">
      <c r="A11985" s="146"/>
      <c r="D11985" s="496"/>
    </row>
    <row r="11986" spans="1:4" x14ac:dyDescent="0.2">
      <c r="A11986" s="146"/>
      <c r="D11986" s="496"/>
    </row>
    <row r="11987" spans="1:4" x14ac:dyDescent="0.2">
      <c r="A11987" s="146"/>
      <c r="D11987" s="496"/>
    </row>
    <row r="11988" spans="1:4" x14ac:dyDescent="0.2">
      <c r="A11988" s="146"/>
      <c r="D11988" s="496"/>
    </row>
    <row r="11989" spans="1:4" x14ac:dyDescent="0.2">
      <c r="A11989" s="146"/>
      <c r="D11989" s="496"/>
    </row>
    <row r="11990" spans="1:4" x14ac:dyDescent="0.2">
      <c r="A11990" s="146"/>
      <c r="D11990" s="496"/>
    </row>
    <row r="11991" spans="1:4" x14ac:dyDescent="0.2">
      <c r="A11991" s="146"/>
      <c r="D11991" s="496"/>
    </row>
    <row r="11992" spans="1:4" x14ac:dyDescent="0.2">
      <c r="A11992" s="146"/>
      <c r="D11992" s="496"/>
    </row>
    <row r="11993" spans="1:4" x14ac:dyDescent="0.2">
      <c r="A11993" s="146"/>
      <c r="D11993" s="496"/>
    </row>
    <row r="11994" spans="1:4" x14ac:dyDescent="0.2">
      <c r="A11994" s="146"/>
      <c r="D11994" s="496"/>
    </row>
    <row r="11995" spans="1:4" x14ac:dyDescent="0.2">
      <c r="A11995" s="146"/>
      <c r="D11995" s="496"/>
    </row>
    <row r="11996" spans="1:4" x14ac:dyDescent="0.2">
      <c r="A11996" s="146"/>
      <c r="D11996" s="496"/>
    </row>
    <row r="11997" spans="1:4" x14ac:dyDescent="0.2">
      <c r="A11997" s="146"/>
      <c r="D11997" s="496"/>
    </row>
    <row r="11998" spans="1:4" x14ac:dyDescent="0.2">
      <c r="A11998" s="146"/>
      <c r="D11998" s="496"/>
    </row>
    <row r="11999" spans="1:4" x14ac:dyDescent="0.2">
      <c r="A11999" s="146"/>
      <c r="D11999" s="496"/>
    </row>
    <row r="12000" spans="1:4" x14ac:dyDescent="0.2">
      <c r="A12000" s="146"/>
      <c r="D12000" s="496"/>
    </row>
    <row r="12001" spans="1:4" x14ac:dyDescent="0.2">
      <c r="A12001" s="146"/>
      <c r="D12001" s="496"/>
    </row>
    <row r="12002" spans="1:4" x14ac:dyDescent="0.2">
      <c r="A12002" s="146"/>
      <c r="D12002" s="496"/>
    </row>
    <row r="12003" spans="1:4" x14ac:dyDescent="0.2">
      <c r="A12003" s="146"/>
      <c r="D12003" s="496"/>
    </row>
    <row r="12004" spans="1:4" x14ac:dyDescent="0.2">
      <c r="A12004" s="146"/>
      <c r="D12004" s="496"/>
    </row>
    <row r="12005" spans="1:4" x14ac:dyDescent="0.2">
      <c r="A12005" s="146"/>
      <c r="D12005" s="496"/>
    </row>
    <row r="12006" spans="1:4" x14ac:dyDescent="0.2">
      <c r="A12006" s="146"/>
      <c r="D12006" s="496"/>
    </row>
    <row r="12007" spans="1:4" x14ac:dyDescent="0.2">
      <c r="A12007" s="146"/>
      <c r="D12007" s="496"/>
    </row>
    <row r="12008" spans="1:4" x14ac:dyDescent="0.2">
      <c r="A12008" s="146"/>
      <c r="D12008" s="496"/>
    </row>
    <row r="12009" spans="1:4" x14ac:dyDescent="0.2">
      <c r="A12009" s="146"/>
      <c r="D12009" s="496"/>
    </row>
    <row r="12010" spans="1:4" x14ac:dyDescent="0.2">
      <c r="A12010" s="146"/>
      <c r="D12010" s="496"/>
    </row>
    <row r="12011" spans="1:4" x14ac:dyDescent="0.2">
      <c r="A12011" s="146"/>
      <c r="D12011" s="496"/>
    </row>
    <row r="12012" spans="1:4" x14ac:dyDescent="0.2">
      <c r="A12012" s="146"/>
      <c r="D12012" s="496"/>
    </row>
    <row r="12013" spans="1:4" x14ac:dyDescent="0.2">
      <c r="A12013" s="146"/>
      <c r="D12013" s="496"/>
    </row>
    <row r="12014" spans="1:4" x14ac:dyDescent="0.2">
      <c r="A12014" s="146"/>
      <c r="D12014" s="496"/>
    </row>
    <row r="12015" spans="1:4" x14ac:dyDescent="0.2">
      <c r="A12015" s="146"/>
      <c r="D12015" s="496"/>
    </row>
    <row r="12016" spans="1:4" x14ac:dyDescent="0.2">
      <c r="A12016" s="146"/>
      <c r="D12016" s="496"/>
    </row>
    <row r="12017" spans="1:4" x14ac:dyDescent="0.2">
      <c r="A12017" s="146"/>
      <c r="D12017" s="496"/>
    </row>
    <row r="12018" spans="1:4" x14ac:dyDescent="0.2">
      <c r="A12018" s="146"/>
      <c r="D12018" s="496"/>
    </row>
    <row r="12019" spans="1:4" x14ac:dyDescent="0.2">
      <c r="A12019" s="146"/>
      <c r="D12019" s="496"/>
    </row>
    <row r="12020" spans="1:4" x14ac:dyDescent="0.2">
      <c r="A12020" s="146"/>
      <c r="D12020" s="496"/>
    </row>
    <row r="12021" spans="1:4" x14ac:dyDescent="0.2">
      <c r="A12021" s="146"/>
      <c r="D12021" s="496"/>
    </row>
    <row r="12022" spans="1:4" x14ac:dyDescent="0.2">
      <c r="A12022" s="146"/>
      <c r="D12022" s="496"/>
    </row>
    <row r="12023" spans="1:4" x14ac:dyDescent="0.2">
      <c r="A12023" s="146"/>
      <c r="D12023" s="496"/>
    </row>
    <row r="12024" spans="1:4" x14ac:dyDescent="0.2">
      <c r="A12024" s="146"/>
      <c r="D12024" s="496"/>
    </row>
    <row r="12025" spans="1:4" x14ac:dyDescent="0.2">
      <c r="A12025" s="146"/>
      <c r="D12025" s="496"/>
    </row>
    <row r="12026" spans="1:4" x14ac:dyDescent="0.2">
      <c r="A12026" s="146"/>
      <c r="D12026" s="496"/>
    </row>
    <row r="12027" spans="1:4" x14ac:dyDescent="0.2">
      <c r="A12027" s="146"/>
      <c r="D12027" s="496"/>
    </row>
    <row r="12028" spans="1:4" x14ac:dyDescent="0.2">
      <c r="A12028" s="146"/>
      <c r="D12028" s="496"/>
    </row>
    <row r="12029" spans="1:4" x14ac:dyDescent="0.2">
      <c r="A12029" s="146"/>
      <c r="D12029" s="496"/>
    </row>
    <row r="12030" spans="1:4" x14ac:dyDescent="0.2">
      <c r="A12030" s="146"/>
      <c r="D12030" s="496"/>
    </row>
    <row r="12031" spans="1:4" x14ac:dyDescent="0.2">
      <c r="A12031" s="146"/>
      <c r="D12031" s="496"/>
    </row>
    <row r="12032" spans="1:4" x14ac:dyDescent="0.2">
      <c r="A12032" s="146"/>
      <c r="D12032" s="496"/>
    </row>
    <row r="12033" spans="1:4" x14ac:dyDescent="0.2">
      <c r="A12033" s="146"/>
      <c r="D12033" s="496"/>
    </row>
    <row r="12034" spans="1:4" x14ac:dyDescent="0.2">
      <c r="A12034" s="146"/>
      <c r="D12034" s="496"/>
    </row>
    <row r="12035" spans="1:4" x14ac:dyDescent="0.2">
      <c r="A12035" s="146"/>
      <c r="D12035" s="496"/>
    </row>
    <row r="12036" spans="1:4" x14ac:dyDescent="0.2">
      <c r="A12036" s="146"/>
      <c r="D12036" s="496"/>
    </row>
    <row r="12037" spans="1:4" x14ac:dyDescent="0.2">
      <c r="A12037" s="146"/>
      <c r="D12037" s="496"/>
    </row>
    <row r="12038" spans="1:4" x14ac:dyDescent="0.2">
      <c r="A12038" s="146"/>
      <c r="D12038" s="496"/>
    </row>
    <row r="12039" spans="1:4" x14ac:dyDescent="0.2">
      <c r="A12039" s="146"/>
      <c r="D12039" s="496"/>
    </row>
    <row r="12040" spans="1:4" x14ac:dyDescent="0.2">
      <c r="A12040" s="146"/>
      <c r="D12040" s="496"/>
    </row>
    <row r="12041" spans="1:4" x14ac:dyDescent="0.2">
      <c r="A12041" s="146"/>
      <c r="D12041" s="496"/>
    </row>
    <row r="12042" spans="1:4" x14ac:dyDescent="0.2">
      <c r="A12042" s="146"/>
      <c r="D12042" s="496"/>
    </row>
    <row r="12043" spans="1:4" x14ac:dyDescent="0.2">
      <c r="A12043" s="146"/>
      <c r="D12043" s="496"/>
    </row>
    <row r="12044" spans="1:4" x14ac:dyDescent="0.2">
      <c r="A12044" s="146"/>
      <c r="D12044" s="496"/>
    </row>
    <row r="12045" spans="1:4" x14ac:dyDescent="0.2">
      <c r="A12045" s="146"/>
      <c r="D12045" s="496"/>
    </row>
    <row r="12046" spans="1:4" x14ac:dyDescent="0.2">
      <c r="A12046" s="146"/>
      <c r="D12046" s="496"/>
    </row>
    <row r="12047" spans="1:4" x14ac:dyDescent="0.2">
      <c r="A12047" s="146"/>
      <c r="D12047" s="496"/>
    </row>
    <row r="12048" spans="1:4" x14ac:dyDescent="0.2">
      <c r="A12048" s="146"/>
      <c r="D12048" s="496"/>
    </row>
    <row r="12049" spans="1:4" x14ac:dyDescent="0.2">
      <c r="A12049" s="146"/>
      <c r="D12049" s="496"/>
    </row>
    <row r="12050" spans="1:4" x14ac:dyDescent="0.2">
      <c r="A12050" s="146"/>
      <c r="D12050" s="496"/>
    </row>
    <row r="12051" spans="1:4" x14ac:dyDescent="0.2">
      <c r="A12051" s="146"/>
      <c r="D12051" s="496"/>
    </row>
    <row r="12052" spans="1:4" x14ac:dyDescent="0.2">
      <c r="A12052" s="146"/>
      <c r="D12052" s="496"/>
    </row>
    <row r="12053" spans="1:4" x14ac:dyDescent="0.2">
      <c r="A12053" s="146"/>
      <c r="D12053" s="496"/>
    </row>
    <row r="12054" spans="1:4" x14ac:dyDescent="0.2">
      <c r="A12054" s="146"/>
      <c r="D12054" s="496"/>
    </row>
    <row r="12055" spans="1:4" x14ac:dyDescent="0.2">
      <c r="A12055" s="146"/>
      <c r="D12055" s="496"/>
    </row>
    <row r="12056" spans="1:4" x14ac:dyDescent="0.2">
      <c r="A12056" s="146"/>
      <c r="D12056" s="496"/>
    </row>
    <row r="12057" spans="1:4" x14ac:dyDescent="0.2">
      <c r="A12057" s="146"/>
      <c r="D12057" s="496"/>
    </row>
    <row r="12058" spans="1:4" x14ac:dyDescent="0.2">
      <c r="A12058" s="146"/>
      <c r="D12058" s="496"/>
    </row>
    <row r="12059" spans="1:4" x14ac:dyDescent="0.2">
      <c r="A12059" s="146"/>
      <c r="D12059" s="496"/>
    </row>
    <row r="12060" spans="1:4" x14ac:dyDescent="0.2">
      <c r="A12060" s="146"/>
      <c r="D12060" s="496"/>
    </row>
    <row r="12061" spans="1:4" x14ac:dyDescent="0.2">
      <c r="A12061" s="146"/>
      <c r="D12061" s="496"/>
    </row>
    <row r="12062" spans="1:4" x14ac:dyDescent="0.2">
      <c r="A12062" s="146"/>
      <c r="D12062" s="496"/>
    </row>
    <row r="12063" spans="1:4" x14ac:dyDescent="0.2">
      <c r="A12063" s="146"/>
      <c r="D12063" s="496"/>
    </row>
    <row r="12064" spans="1:4" x14ac:dyDescent="0.2">
      <c r="A12064" s="146"/>
      <c r="D12064" s="496"/>
    </row>
    <row r="12065" spans="1:4" x14ac:dyDescent="0.2">
      <c r="A12065" s="146"/>
      <c r="D12065" s="496"/>
    </row>
    <row r="12066" spans="1:4" x14ac:dyDescent="0.2">
      <c r="A12066" s="146"/>
      <c r="D12066" s="496"/>
    </row>
    <row r="12067" spans="1:4" x14ac:dyDescent="0.2">
      <c r="A12067" s="146"/>
      <c r="D12067" s="496"/>
    </row>
    <row r="12068" spans="1:4" x14ac:dyDescent="0.2">
      <c r="A12068" s="146"/>
      <c r="D12068" s="496"/>
    </row>
    <row r="12069" spans="1:4" x14ac:dyDescent="0.2">
      <c r="A12069" s="146"/>
      <c r="D12069" s="496"/>
    </row>
    <row r="12070" spans="1:4" x14ac:dyDescent="0.2">
      <c r="A12070" s="146"/>
      <c r="D12070" s="496"/>
    </row>
    <row r="12071" spans="1:4" x14ac:dyDescent="0.2">
      <c r="A12071" s="146"/>
      <c r="D12071" s="496"/>
    </row>
    <row r="12072" spans="1:4" x14ac:dyDescent="0.2">
      <c r="A12072" s="146"/>
      <c r="D12072" s="496"/>
    </row>
    <row r="12073" spans="1:4" x14ac:dyDescent="0.2">
      <c r="A12073" s="146"/>
      <c r="D12073" s="496"/>
    </row>
    <row r="12074" spans="1:4" x14ac:dyDescent="0.2">
      <c r="A12074" s="146"/>
      <c r="D12074" s="496"/>
    </row>
    <row r="12075" spans="1:4" x14ac:dyDescent="0.2">
      <c r="A12075" s="146"/>
      <c r="D12075" s="496"/>
    </row>
    <row r="12076" spans="1:4" x14ac:dyDescent="0.2">
      <c r="A12076" s="146"/>
      <c r="D12076" s="496"/>
    </row>
    <row r="12077" spans="1:4" x14ac:dyDescent="0.2">
      <c r="A12077" s="146"/>
      <c r="D12077" s="496"/>
    </row>
    <row r="12078" spans="1:4" x14ac:dyDescent="0.2">
      <c r="A12078" s="146"/>
      <c r="D12078" s="496"/>
    </row>
    <row r="12079" spans="1:4" x14ac:dyDescent="0.2">
      <c r="A12079" s="146"/>
      <c r="D12079" s="496"/>
    </row>
    <row r="12080" spans="1:4" x14ac:dyDescent="0.2">
      <c r="A12080" s="146"/>
      <c r="D12080" s="496"/>
    </row>
    <row r="12081" spans="1:4" x14ac:dyDescent="0.2">
      <c r="A12081" s="146"/>
      <c r="D12081" s="496"/>
    </row>
    <row r="12082" spans="1:4" x14ac:dyDescent="0.2">
      <c r="A12082" s="146"/>
      <c r="D12082" s="496"/>
    </row>
    <row r="12083" spans="1:4" x14ac:dyDescent="0.2">
      <c r="A12083" s="146"/>
      <c r="D12083" s="496"/>
    </row>
    <row r="12084" spans="1:4" x14ac:dyDescent="0.2">
      <c r="A12084" s="146"/>
      <c r="D12084" s="496"/>
    </row>
    <row r="12085" spans="1:4" x14ac:dyDescent="0.2">
      <c r="A12085" s="146"/>
      <c r="D12085" s="496"/>
    </row>
    <row r="12086" spans="1:4" x14ac:dyDescent="0.2">
      <c r="A12086" s="146"/>
      <c r="D12086" s="496"/>
    </row>
    <row r="12087" spans="1:4" x14ac:dyDescent="0.2">
      <c r="A12087" s="146"/>
      <c r="D12087" s="496"/>
    </row>
    <row r="12088" spans="1:4" x14ac:dyDescent="0.2">
      <c r="A12088" s="146"/>
      <c r="D12088" s="496"/>
    </row>
    <row r="12089" spans="1:4" x14ac:dyDescent="0.2">
      <c r="A12089" s="146"/>
      <c r="D12089" s="496"/>
    </row>
    <row r="12090" spans="1:4" x14ac:dyDescent="0.2">
      <c r="A12090" s="146"/>
      <c r="D12090" s="496"/>
    </row>
    <row r="12091" spans="1:4" x14ac:dyDescent="0.2">
      <c r="A12091" s="146"/>
      <c r="D12091" s="496"/>
    </row>
    <row r="12092" spans="1:4" x14ac:dyDescent="0.2">
      <c r="A12092" s="146"/>
      <c r="D12092" s="496"/>
    </row>
    <row r="12093" spans="1:4" x14ac:dyDescent="0.2">
      <c r="A12093" s="146"/>
      <c r="D12093" s="496"/>
    </row>
    <row r="12094" spans="1:4" x14ac:dyDescent="0.2">
      <c r="A12094" s="146"/>
      <c r="D12094" s="496"/>
    </row>
    <row r="12095" spans="1:4" x14ac:dyDescent="0.2">
      <c r="A12095" s="146"/>
      <c r="D12095" s="496"/>
    </row>
    <row r="12096" spans="1:4" x14ac:dyDescent="0.2">
      <c r="A12096" s="146"/>
      <c r="D12096" s="496"/>
    </row>
    <row r="12097" spans="1:4" x14ac:dyDescent="0.2">
      <c r="A12097" s="146"/>
      <c r="D12097" s="496"/>
    </row>
    <row r="12098" spans="1:4" x14ac:dyDescent="0.2">
      <c r="A12098" s="146"/>
      <c r="D12098" s="496"/>
    </row>
    <row r="12099" spans="1:4" x14ac:dyDescent="0.2">
      <c r="A12099" s="146"/>
      <c r="D12099" s="496"/>
    </row>
    <row r="12100" spans="1:4" x14ac:dyDescent="0.2">
      <c r="A12100" s="146"/>
      <c r="D12100" s="496"/>
    </row>
    <row r="12101" spans="1:4" x14ac:dyDescent="0.2">
      <c r="A12101" s="146"/>
      <c r="D12101" s="496"/>
    </row>
    <row r="12102" spans="1:4" x14ac:dyDescent="0.2">
      <c r="A12102" s="146"/>
      <c r="D12102" s="496"/>
    </row>
    <row r="12103" spans="1:4" x14ac:dyDescent="0.2">
      <c r="A12103" s="146"/>
      <c r="D12103" s="496"/>
    </row>
    <row r="12104" spans="1:4" x14ac:dyDescent="0.2">
      <c r="A12104" s="146"/>
      <c r="D12104" s="496"/>
    </row>
    <row r="12105" spans="1:4" x14ac:dyDescent="0.2">
      <c r="A12105" s="146"/>
      <c r="D12105" s="496"/>
    </row>
    <row r="12106" spans="1:4" x14ac:dyDescent="0.2">
      <c r="A12106" s="146"/>
      <c r="D12106" s="496"/>
    </row>
    <row r="12107" spans="1:4" x14ac:dyDescent="0.2">
      <c r="A12107" s="146"/>
      <c r="D12107" s="496"/>
    </row>
    <row r="12108" spans="1:4" x14ac:dyDescent="0.2">
      <c r="A12108" s="146"/>
      <c r="D12108" s="496"/>
    </row>
    <row r="12109" spans="1:4" x14ac:dyDescent="0.2">
      <c r="A12109" s="146"/>
      <c r="D12109" s="496"/>
    </row>
    <row r="12110" spans="1:4" x14ac:dyDescent="0.2">
      <c r="A12110" s="146"/>
      <c r="D12110" s="496"/>
    </row>
    <row r="12111" spans="1:4" x14ac:dyDescent="0.2">
      <c r="A12111" s="146"/>
      <c r="D12111" s="496"/>
    </row>
    <row r="12112" spans="1:4" x14ac:dyDescent="0.2">
      <c r="A12112" s="146"/>
      <c r="D12112" s="496"/>
    </row>
    <row r="12113" spans="1:4" x14ac:dyDescent="0.2">
      <c r="A12113" s="146"/>
      <c r="D12113" s="496"/>
    </row>
    <row r="12114" spans="1:4" x14ac:dyDescent="0.2">
      <c r="A12114" s="146"/>
      <c r="D12114" s="496"/>
    </row>
    <row r="12115" spans="1:4" x14ac:dyDescent="0.2">
      <c r="A12115" s="146"/>
      <c r="D12115" s="496"/>
    </row>
    <row r="12116" spans="1:4" x14ac:dyDescent="0.2">
      <c r="A12116" s="146"/>
      <c r="D12116" s="496"/>
    </row>
    <row r="12117" spans="1:4" x14ac:dyDescent="0.2">
      <c r="A12117" s="146"/>
      <c r="D12117" s="496"/>
    </row>
    <row r="12118" spans="1:4" x14ac:dyDescent="0.2">
      <c r="A12118" s="146"/>
      <c r="D12118" s="496"/>
    </row>
    <row r="12119" spans="1:4" x14ac:dyDescent="0.2">
      <c r="A12119" s="146"/>
      <c r="D12119" s="496"/>
    </row>
    <row r="12120" spans="1:4" x14ac:dyDescent="0.2">
      <c r="A12120" s="146"/>
      <c r="D12120" s="496"/>
    </row>
    <row r="12121" spans="1:4" x14ac:dyDescent="0.2">
      <c r="A12121" s="146"/>
      <c r="D12121" s="496"/>
    </row>
    <row r="12122" spans="1:4" x14ac:dyDescent="0.2">
      <c r="A12122" s="146"/>
      <c r="D12122" s="496"/>
    </row>
    <row r="12123" spans="1:4" x14ac:dyDescent="0.2">
      <c r="A12123" s="146"/>
      <c r="D12123" s="496"/>
    </row>
    <row r="12124" spans="1:4" x14ac:dyDescent="0.2">
      <c r="A12124" s="146"/>
      <c r="D12124" s="496"/>
    </row>
    <row r="12125" spans="1:4" x14ac:dyDescent="0.2">
      <c r="A12125" s="146"/>
      <c r="D12125" s="496"/>
    </row>
    <row r="12126" spans="1:4" x14ac:dyDescent="0.2">
      <c r="A12126" s="146"/>
      <c r="D12126" s="496"/>
    </row>
    <row r="12127" spans="1:4" x14ac:dyDescent="0.2">
      <c r="A12127" s="146"/>
      <c r="D12127" s="496"/>
    </row>
    <row r="12128" spans="1:4" x14ac:dyDescent="0.2">
      <c r="A12128" s="146"/>
      <c r="D12128" s="496"/>
    </row>
    <row r="12129" spans="1:4" x14ac:dyDescent="0.2">
      <c r="A12129" s="146"/>
      <c r="D12129" s="496"/>
    </row>
    <row r="12130" spans="1:4" x14ac:dyDescent="0.2">
      <c r="A12130" s="146"/>
      <c r="D12130" s="496"/>
    </row>
    <row r="12131" spans="1:4" x14ac:dyDescent="0.2">
      <c r="A12131" s="146"/>
      <c r="D12131" s="496"/>
    </row>
    <row r="12132" spans="1:4" x14ac:dyDescent="0.2">
      <c r="A12132" s="146"/>
      <c r="D12132" s="496"/>
    </row>
    <row r="12133" spans="1:4" x14ac:dyDescent="0.2">
      <c r="A12133" s="146"/>
      <c r="D12133" s="496"/>
    </row>
    <row r="12134" spans="1:4" x14ac:dyDescent="0.2">
      <c r="A12134" s="146"/>
      <c r="D12134" s="496"/>
    </row>
    <row r="12135" spans="1:4" x14ac:dyDescent="0.2">
      <c r="A12135" s="146"/>
      <c r="D12135" s="496"/>
    </row>
    <row r="12136" spans="1:4" x14ac:dyDescent="0.2">
      <c r="A12136" s="146"/>
      <c r="D12136" s="496"/>
    </row>
    <row r="12137" spans="1:4" x14ac:dyDescent="0.2">
      <c r="A12137" s="146"/>
      <c r="D12137" s="496"/>
    </row>
    <row r="12138" spans="1:4" x14ac:dyDescent="0.2">
      <c r="A12138" s="146"/>
      <c r="D12138" s="496"/>
    </row>
    <row r="12139" spans="1:4" x14ac:dyDescent="0.2">
      <c r="A12139" s="146"/>
      <c r="D12139" s="496"/>
    </row>
    <row r="12140" spans="1:4" x14ac:dyDescent="0.2">
      <c r="A12140" s="146"/>
      <c r="D12140" s="496"/>
    </row>
    <row r="12141" spans="1:4" x14ac:dyDescent="0.2">
      <c r="A12141" s="146"/>
      <c r="D12141" s="496"/>
    </row>
    <row r="12142" spans="1:4" x14ac:dyDescent="0.2">
      <c r="A12142" s="146"/>
      <c r="D12142" s="496"/>
    </row>
    <row r="12143" spans="1:4" x14ac:dyDescent="0.2">
      <c r="A12143" s="146"/>
      <c r="D12143" s="496"/>
    </row>
    <row r="12144" spans="1:4" x14ac:dyDescent="0.2">
      <c r="A12144" s="146"/>
      <c r="D12144" s="496"/>
    </row>
    <row r="12145" spans="1:4" x14ac:dyDescent="0.2">
      <c r="A12145" s="146"/>
      <c r="D12145" s="496"/>
    </row>
    <row r="12146" spans="1:4" x14ac:dyDescent="0.2">
      <c r="A12146" s="146"/>
      <c r="D12146" s="496"/>
    </row>
    <row r="12147" spans="1:4" x14ac:dyDescent="0.2">
      <c r="A12147" s="146"/>
      <c r="D12147" s="496"/>
    </row>
    <row r="12148" spans="1:4" x14ac:dyDescent="0.2">
      <c r="A12148" s="146"/>
      <c r="D12148" s="496"/>
    </row>
    <row r="12149" spans="1:4" x14ac:dyDescent="0.2">
      <c r="A12149" s="146"/>
      <c r="D12149" s="496"/>
    </row>
    <row r="12150" spans="1:4" x14ac:dyDescent="0.2">
      <c r="A12150" s="146"/>
      <c r="D12150" s="496"/>
    </row>
    <row r="12151" spans="1:4" x14ac:dyDescent="0.2">
      <c r="A12151" s="146"/>
      <c r="D12151" s="496"/>
    </row>
    <row r="12152" spans="1:4" x14ac:dyDescent="0.2">
      <c r="A12152" s="146"/>
      <c r="D12152" s="496"/>
    </row>
    <row r="12153" spans="1:4" x14ac:dyDescent="0.2">
      <c r="A12153" s="146"/>
      <c r="D12153" s="496"/>
    </row>
    <row r="12154" spans="1:4" x14ac:dyDescent="0.2">
      <c r="A12154" s="146"/>
      <c r="D12154" s="496"/>
    </row>
    <row r="12155" spans="1:4" x14ac:dyDescent="0.2">
      <c r="A12155" s="146"/>
      <c r="D12155" s="496"/>
    </row>
    <row r="12156" spans="1:4" x14ac:dyDescent="0.2">
      <c r="A12156" s="146"/>
      <c r="D12156" s="496"/>
    </row>
    <row r="12157" spans="1:4" x14ac:dyDescent="0.2">
      <c r="A12157" s="146"/>
      <c r="D12157" s="496"/>
    </row>
    <row r="12158" spans="1:4" x14ac:dyDescent="0.2">
      <c r="A12158" s="146"/>
      <c r="D12158" s="496"/>
    </row>
    <row r="12159" spans="1:4" x14ac:dyDescent="0.2">
      <c r="A12159" s="146"/>
      <c r="D12159" s="496"/>
    </row>
    <row r="12160" spans="1:4" x14ac:dyDescent="0.2">
      <c r="A12160" s="146"/>
      <c r="D12160" s="496"/>
    </row>
    <row r="12161" spans="1:4" x14ac:dyDescent="0.2">
      <c r="A12161" s="146"/>
      <c r="D12161" s="496"/>
    </row>
    <row r="12162" spans="1:4" x14ac:dyDescent="0.2">
      <c r="A12162" s="146"/>
      <c r="D12162" s="496"/>
    </row>
    <row r="12163" spans="1:4" x14ac:dyDescent="0.2">
      <c r="A12163" s="146"/>
      <c r="D12163" s="496"/>
    </row>
    <row r="12164" spans="1:4" x14ac:dyDescent="0.2">
      <c r="A12164" s="146"/>
      <c r="D12164" s="496"/>
    </row>
    <row r="12165" spans="1:4" x14ac:dyDescent="0.2">
      <c r="A12165" s="146"/>
      <c r="D12165" s="496"/>
    </row>
    <row r="12166" spans="1:4" x14ac:dyDescent="0.2">
      <c r="A12166" s="146"/>
      <c r="D12166" s="496"/>
    </row>
    <row r="12167" spans="1:4" x14ac:dyDescent="0.2">
      <c r="A12167" s="146"/>
      <c r="D12167" s="496"/>
    </row>
    <row r="12168" spans="1:4" x14ac:dyDescent="0.2">
      <c r="A12168" s="146"/>
      <c r="D12168" s="496"/>
    </row>
    <row r="12169" spans="1:4" x14ac:dyDescent="0.2">
      <c r="A12169" s="146"/>
      <c r="D12169" s="496"/>
    </row>
    <row r="12170" spans="1:4" x14ac:dyDescent="0.2">
      <c r="A12170" s="146"/>
      <c r="D12170" s="496"/>
    </row>
    <row r="12171" spans="1:4" x14ac:dyDescent="0.2">
      <c r="A12171" s="146"/>
      <c r="D12171" s="496"/>
    </row>
    <row r="12172" spans="1:4" x14ac:dyDescent="0.2">
      <c r="A12172" s="146"/>
      <c r="D12172" s="496"/>
    </row>
    <row r="12173" spans="1:4" x14ac:dyDescent="0.2">
      <c r="A12173" s="146"/>
      <c r="D12173" s="496"/>
    </row>
    <row r="12174" spans="1:4" x14ac:dyDescent="0.2">
      <c r="A12174" s="146"/>
      <c r="D12174" s="496"/>
    </row>
    <row r="12175" spans="1:4" x14ac:dyDescent="0.2">
      <c r="A12175" s="146"/>
      <c r="D12175" s="496"/>
    </row>
    <row r="12176" spans="1:4" x14ac:dyDescent="0.2">
      <c r="A12176" s="146"/>
      <c r="D12176" s="496"/>
    </row>
    <row r="12177" spans="1:4" x14ac:dyDescent="0.2">
      <c r="A12177" s="146"/>
      <c r="D12177" s="496"/>
    </row>
    <row r="12178" spans="1:4" x14ac:dyDescent="0.2">
      <c r="A12178" s="146"/>
      <c r="D12178" s="496"/>
    </row>
    <row r="12179" spans="1:4" x14ac:dyDescent="0.2">
      <c r="A12179" s="146"/>
      <c r="D12179" s="496"/>
    </row>
    <row r="12180" spans="1:4" x14ac:dyDescent="0.2">
      <c r="A12180" s="146"/>
      <c r="D12180" s="496"/>
    </row>
    <row r="12181" spans="1:4" x14ac:dyDescent="0.2">
      <c r="A12181" s="146"/>
      <c r="D12181" s="496"/>
    </row>
    <row r="12182" spans="1:4" x14ac:dyDescent="0.2">
      <c r="A12182" s="146"/>
      <c r="D12182" s="496"/>
    </row>
    <row r="12183" spans="1:4" x14ac:dyDescent="0.2">
      <c r="A12183" s="146"/>
      <c r="D12183" s="496"/>
    </row>
    <row r="12184" spans="1:4" x14ac:dyDescent="0.2">
      <c r="A12184" s="146"/>
      <c r="D12184" s="496"/>
    </row>
    <row r="12185" spans="1:4" x14ac:dyDescent="0.2">
      <c r="A12185" s="146"/>
      <c r="D12185" s="496"/>
    </row>
    <row r="12186" spans="1:4" x14ac:dyDescent="0.2">
      <c r="A12186" s="146"/>
      <c r="D12186" s="496"/>
    </row>
    <row r="12187" spans="1:4" x14ac:dyDescent="0.2">
      <c r="A12187" s="146"/>
      <c r="D12187" s="496"/>
    </row>
    <row r="12188" spans="1:4" x14ac:dyDescent="0.2">
      <c r="A12188" s="146"/>
      <c r="D12188" s="496"/>
    </row>
    <row r="12189" spans="1:4" x14ac:dyDescent="0.2">
      <c r="A12189" s="146"/>
      <c r="D12189" s="496"/>
    </row>
    <row r="12190" spans="1:4" x14ac:dyDescent="0.2">
      <c r="A12190" s="146"/>
      <c r="D12190" s="496"/>
    </row>
    <row r="12191" spans="1:4" x14ac:dyDescent="0.2">
      <c r="A12191" s="146"/>
      <c r="D12191" s="496"/>
    </row>
    <row r="12192" spans="1:4" x14ac:dyDescent="0.2">
      <c r="A12192" s="146"/>
      <c r="D12192" s="496"/>
    </row>
    <row r="12193" spans="1:4" x14ac:dyDescent="0.2">
      <c r="A12193" s="146"/>
      <c r="D12193" s="496"/>
    </row>
    <row r="12194" spans="1:4" x14ac:dyDescent="0.2">
      <c r="A12194" s="146"/>
      <c r="D12194" s="496"/>
    </row>
    <row r="12195" spans="1:4" x14ac:dyDescent="0.2">
      <c r="A12195" s="146"/>
      <c r="D12195" s="496"/>
    </row>
    <row r="12196" spans="1:4" x14ac:dyDescent="0.2">
      <c r="A12196" s="146"/>
      <c r="D12196" s="496"/>
    </row>
    <row r="12197" spans="1:4" x14ac:dyDescent="0.2">
      <c r="A12197" s="146"/>
      <c r="D12197" s="496"/>
    </row>
    <row r="12198" spans="1:4" x14ac:dyDescent="0.2">
      <c r="A12198" s="146"/>
      <c r="D12198" s="496"/>
    </row>
    <row r="12199" spans="1:4" x14ac:dyDescent="0.2">
      <c r="A12199" s="146"/>
      <c r="D12199" s="496"/>
    </row>
    <row r="12200" spans="1:4" x14ac:dyDescent="0.2">
      <c r="A12200" s="146"/>
      <c r="D12200" s="496"/>
    </row>
    <row r="12201" spans="1:4" x14ac:dyDescent="0.2">
      <c r="A12201" s="146"/>
      <c r="D12201" s="496"/>
    </row>
    <row r="12202" spans="1:4" x14ac:dyDescent="0.2">
      <c r="A12202" s="146"/>
      <c r="D12202" s="496"/>
    </row>
    <row r="12203" spans="1:4" x14ac:dyDescent="0.2">
      <c r="A12203" s="146"/>
      <c r="D12203" s="496"/>
    </row>
    <row r="12204" spans="1:4" x14ac:dyDescent="0.2">
      <c r="A12204" s="146"/>
      <c r="D12204" s="496"/>
    </row>
    <row r="12205" spans="1:4" x14ac:dyDescent="0.2">
      <c r="A12205" s="146"/>
      <c r="D12205" s="496"/>
    </row>
    <row r="12206" spans="1:4" x14ac:dyDescent="0.2">
      <c r="A12206" s="146"/>
      <c r="D12206" s="496"/>
    </row>
    <row r="12207" spans="1:4" x14ac:dyDescent="0.2">
      <c r="A12207" s="146"/>
      <c r="D12207" s="496"/>
    </row>
    <row r="12208" spans="1:4" x14ac:dyDescent="0.2">
      <c r="A12208" s="146"/>
      <c r="D12208" s="496"/>
    </row>
    <row r="12209" spans="1:4" x14ac:dyDescent="0.2">
      <c r="A12209" s="146"/>
      <c r="D12209" s="496"/>
    </row>
    <row r="12210" spans="1:4" x14ac:dyDescent="0.2">
      <c r="A12210" s="146"/>
      <c r="D12210" s="496"/>
    </row>
    <row r="12211" spans="1:4" x14ac:dyDescent="0.2">
      <c r="A12211" s="146"/>
      <c r="D12211" s="496"/>
    </row>
    <row r="12212" spans="1:4" x14ac:dyDescent="0.2">
      <c r="A12212" s="146"/>
      <c r="D12212" s="496"/>
    </row>
    <row r="12213" spans="1:4" x14ac:dyDescent="0.2">
      <c r="A12213" s="146"/>
      <c r="D12213" s="496"/>
    </row>
    <row r="12214" spans="1:4" x14ac:dyDescent="0.2">
      <c r="A12214" s="146"/>
      <c r="D12214" s="496"/>
    </row>
    <row r="12215" spans="1:4" x14ac:dyDescent="0.2">
      <c r="A12215" s="146"/>
      <c r="D12215" s="496"/>
    </row>
    <row r="12216" spans="1:4" x14ac:dyDescent="0.2">
      <c r="A12216" s="146"/>
      <c r="D12216" s="496"/>
    </row>
    <row r="12217" spans="1:4" x14ac:dyDescent="0.2">
      <c r="A12217" s="146"/>
      <c r="D12217" s="496"/>
    </row>
    <row r="12218" spans="1:4" x14ac:dyDescent="0.2">
      <c r="A12218" s="146"/>
      <c r="D12218" s="496"/>
    </row>
    <row r="12219" spans="1:4" x14ac:dyDescent="0.2">
      <c r="A12219" s="146"/>
      <c r="D12219" s="496"/>
    </row>
    <row r="12220" spans="1:4" x14ac:dyDescent="0.2">
      <c r="A12220" s="146"/>
      <c r="D12220" s="496"/>
    </row>
    <row r="12221" spans="1:4" x14ac:dyDescent="0.2">
      <c r="A12221" s="146"/>
      <c r="D12221" s="496"/>
    </row>
    <row r="12222" spans="1:4" x14ac:dyDescent="0.2">
      <c r="A12222" s="146"/>
      <c r="D12222" s="496"/>
    </row>
    <row r="12223" spans="1:4" x14ac:dyDescent="0.2">
      <c r="A12223" s="146"/>
      <c r="D12223" s="496"/>
    </row>
    <row r="12224" spans="1:4" x14ac:dyDescent="0.2">
      <c r="A12224" s="146"/>
      <c r="D12224" s="496"/>
    </row>
    <row r="12225" spans="1:4" x14ac:dyDescent="0.2">
      <c r="A12225" s="146"/>
      <c r="D12225" s="496"/>
    </row>
    <row r="12226" spans="1:4" x14ac:dyDescent="0.2">
      <c r="A12226" s="146"/>
      <c r="D12226" s="496"/>
    </row>
    <row r="12227" spans="1:4" x14ac:dyDescent="0.2">
      <c r="A12227" s="146"/>
      <c r="D12227" s="496"/>
    </row>
    <row r="12228" spans="1:4" x14ac:dyDescent="0.2">
      <c r="A12228" s="146"/>
      <c r="D12228" s="496"/>
    </row>
    <row r="12229" spans="1:4" x14ac:dyDescent="0.2">
      <c r="A12229" s="146"/>
      <c r="D12229" s="496"/>
    </row>
    <row r="12230" spans="1:4" x14ac:dyDescent="0.2">
      <c r="A12230" s="146"/>
      <c r="D12230" s="496"/>
    </row>
    <row r="12231" spans="1:4" x14ac:dyDescent="0.2">
      <c r="A12231" s="146"/>
      <c r="D12231" s="496"/>
    </row>
    <row r="12232" spans="1:4" x14ac:dyDescent="0.2">
      <c r="A12232" s="146"/>
      <c r="D12232" s="496"/>
    </row>
    <row r="12233" spans="1:4" x14ac:dyDescent="0.2">
      <c r="A12233" s="146"/>
      <c r="D12233" s="496"/>
    </row>
    <row r="12234" spans="1:4" x14ac:dyDescent="0.2">
      <c r="A12234" s="146"/>
      <c r="D12234" s="496"/>
    </row>
    <row r="12235" spans="1:4" x14ac:dyDescent="0.2">
      <c r="A12235" s="146"/>
      <c r="D12235" s="496"/>
    </row>
    <row r="12236" spans="1:4" x14ac:dyDescent="0.2">
      <c r="A12236" s="146"/>
      <c r="D12236" s="496"/>
    </row>
    <row r="12237" spans="1:4" x14ac:dyDescent="0.2">
      <c r="A12237" s="146"/>
      <c r="D12237" s="496"/>
    </row>
    <row r="12238" spans="1:4" x14ac:dyDescent="0.2">
      <c r="A12238" s="146"/>
      <c r="D12238" s="496"/>
    </row>
    <row r="12239" spans="1:4" x14ac:dyDescent="0.2">
      <c r="A12239" s="146"/>
      <c r="D12239" s="496"/>
    </row>
    <row r="12240" spans="1:4" x14ac:dyDescent="0.2">
      <c r="A12240" s="146"/>
      <c r="D12240" s="496"/>
    </row>
    <row r="12241" spans="1:4" x14ac:dyDescent="0.2">
      <c r="A12241" s="146"/>
      <c r="D12241" s="496"/>
    </row>
    <row r="12242" spans="1:4" x14ac:dyDescent="0.2">
      <c r="A12242" s="146"/>
      <c r="D12242" s="496"/>
    </row>
    <row r="12243" spans="1:4" x14ac:dyDescent="0.2">
      <c r="A12243" s="146"/>
      <c r="D12243" s="496"/>
    </row>
    <row r="12244" spans="1:4" x14ac:dyDescent="0.2">
      <c r="A12244" s="146"/>
      <c r="D12244" s="496"/>
    </row>
    <row r="12245" spans="1:4" x14ac:dyDescent="0.2">
      <c r="A12245" s="146"/>
      <c r="D12245" s="496"/>
    </row>
    <row r="12246" spans="1:4" x14ac:dyDescent="0.2">
      <c r="A12246" s="146"/>
      <c r="D12246" s="496"/>
    </row>
    <row r="12247" spans="1:4" x14ac:dyDescent="0.2">
      <c r="A12247" s="146"/>
      <c r="D12247" s="496"/>
    </row>
    <row r="12248" spans="1:4" x14ac:dyDescent="0.2">
      <c r="A12248" s="146"/>
      <c r="D12248" s="496"/>
    </row>
    <row r="12249" spans="1:4" x14ac:dyDescent="0.2">
      <c r="A12249" s="146"/>
      <c r="D12249" s="496"/>
    </row>
    <row r="12250" spans="1:4" x14ac:dyDescent="0.2">
      <c r="A12250" s="146"/>
      <c r="D12250" s="496"/>
    </row>
    <row r="12251" spans="1:4" x14ac:dyDescent="0.2">
      <c r="A12251" s="146"/>
      <c r="D12251" s="496"/>
    </row>
    <row r="12252" spans="1:4" x14ac:dyDescent="0.2">
      <c r="A12252" s="146"/>
      <c r="D12252" s="496"/>
    </row>
    <row r="12253" spans="1:4" x14ac:dyDescent="0.2">
      <c r="A12253" s="146"/>
      <c r="D12253" s="496"/>
    </row>
    <row r="12254" spans="1:4" x14ac:dyDescent="0.2">
      <c r="A12254" s="146"/>
      <c r="D12254" s="496"/>
    </row>
    <row r="12255" spans="1:4" x14ac:dyDescent="0.2">
      <c r="A12255" s="146"/>
      <c r="D12255" s="496"/>
    </row>
    <row r="12256" spans="1:4" x14ac:dyDescent="0.2">
      <c r="A12256" s="146"/>
      <c r="D12256" s="496"/>
    </row>
    <row r="12257" spans="1:4" x14ac:dyDescent="0.2">
      <c r="A12257" s="146"/>
      <c r="D12257" s="496"/>
    </row>
    <row r="12258" spans="1:4" x14ac:dyDescent="0.2">
      <c r="A12258" s="146"/>
      <c r="D12258" s="496"/>
    </row>
    <row r="12259" spans="1:4" x14ac:dyDescent="0.2">
      <c r="A12259" s="146"/>
      <c r="D12259" s="496"/>
    </row>
    <row r="12260" spans="1:4" x14ac:dyDescent="0.2">
      <c r="A12260" s="146"/>
      <c r="D12260" s="496"/>
    </row>
    <row r="12261" spans="1:4" x14ac:dyDescent="0.2">
      <c r="A12261" s="146"/>
      <c r="D12261" s="496"/>
    </row>
    <row r="12262" spans="1:4" x14ac:dyDescent="0.2">
      <c r="A12262" s="146"/>
      <c r="D12262" s="496"/>
    </row>
    <row r="12263" spans="1:4" x14ac:dyDescent="0.2">
      <c r="A12263" s="146"/>
      <c r="D12263" s="496"/>
    </row>
    <row r="12264" spans="1:4" x14ac:dyDescent="0.2">
      <c r="A12264" s="146"/>
      <c r="D12264" s="496"/>
    </row>
    <row r="12265" spans="1:4" x14ac:dyDescent="0.2">
      <c r="A12265" s="146"/>
      <c r="D12265" s="496"/>
    </row>
    <row r="12266" spans="1:4" x14ac:dyDescent="0.2">
      <c r="A12266" s="146"/>
      <c r="D12266" s="496"/>
    </row>
    <row r="12267" spans="1:4" x14ac:dyDescent="0.2">
      <c r="A12267" s="146"/>
      <c r="D12267" s="496"/>
    </row>
    <row r="12268" spans="1:4" x14ac:dyDescent="0.2">
      <c r="A12268" s="146"/>
      <c r="D12268" s="496"/>
    </row>
    <row r="12269" spans="1:4" x14ac:dyDescent="0.2">
      <c r="A12269" s="146"/>
      <c r="D12269" s="496"/>
    </row>
    <row r="12270" spans="1:4" x14ac:dyDescent="0.2">
      <c r="A12270" s="146"/>
      <c r="D12270" s="496"/>
    </row>
    <row r="12271" spans="1:4" x14ac:dyDescent="0.2">
      <c r="A12271" s="146"/>
      <c r="D12271" s="496"/>
    </row>
    <row r="12272" spans="1:4" x14ac:dyDescent="0.2">
      <c r="A12272" s="146"/>
      <c r="D12272" s="496"/>
    </row>
    <row r="12273" spans="1:4" x14ac:dyDescent="0.2">
      <c r="A12273" s="146"/>
      <c r="D12273" s="496"/>
    </row>
    <row r="12274" spans="1:4" x14ac:dyDescent="0.2">
      <c r="A12274" s="146"/>
      <c r="D12274" s="496"/>
    </row>
    <row r="12275" spans="1:4" x14ac:dyDescent="0.2">
      <c r="A12275" s="146"/>
      <c r="D12275" s="496"/>
    </row>
    <row r="12276" spans="1:4" x14ac:dyDescent="0.2">
      <c r="A12276" s="146"/>
      <c r="D12276" s="496"/>
    </row>
    <row r="12277" spans="1:4" x14ac:dyDescent="0.2">
      <c r="A12277" s="146"/>
      <c r="D12277" s="496"/>
    </row>
    <row r="12278" spans="1:4" x14ac:dyDescent="0.2">
      <c r="A12278" s="146"/>
      <c r="D12278" s="496"/>
    </row>
    <row r="12279" spans="1:4" x14ac:dyDescent="0.2">
      <c r="A12279" s="146"/>
      <c r="D12279" s="496"/>
    </row>
    <row r="12280" spans="1:4" x14ac:dyDescent="0.2">
      <c r="A12280" s="146"/>
      <c r="D12280" s="496"/>
    </row>
    <row r="12281" spans="1:4" x14ac:dyDescent="0.2">
      <c r="A12281" s="146"/>
      <c r="D12281" s="496"/>
    </row>
    <row r="12282" spans="1:4" x14ac:dyDescent="0.2">
      <c r="A12282" s="146"/>
      <c r="D12282" s="496"/>
    </row>
    <row r="12283" spans="1:4" x14ac:dyDescent="0.2">
      <c r="A12283" s="146"/>
      <c r="D12283" s="496"/>
    </row>
    <row r="12284" spans="1:4" x14ac:dyDescent="0.2">
      <c r="A12284" s="146"/>
      <c r="D12284" s="496"/>
    </row>
    <row r="12285" spans="1:4" x14ac:dyDescent="0.2">
      <c r="A12285" s="146"/>
      <c r="D12285" s="496"/>
    </row>
    <row r="12286" spans="1:4" x14ac:dyDescent="0.2">
      <c r="A12286" s="146"/>
      <c r="D12286" s="496"/>
    </row>
    <row r="12287" spans="1:4" x14ac:dyDescent="0.2">
      <c r="A12287" s="146"/>
      <c r="D12287" s="496"/>
    </row>
    <row r="12288" spans="1:4" x14ac:dyDescent="0.2">
      <c r="A12288" s="146"/>
      <c r="D12288" s="496"/>
    </row>
    <row r="12289" spans="1:4" x14ac:dyDescent="0.2">
      <c r="A12289" s="146"/>
      <c r="D12289" s="496"/>
    </row>
    <row r="12290" spans="1:4" x14ac:dyDescent="0.2">
      <c r="A12290" s="146"/>
      <c r="D12290" s="496"/>
    </row>
    <row r="12291" spans="1:4" x14ac:dyDescent="0.2">
      <c r="A12291" s="146"/>
      <c r="D12291" s="496"/>
    </row>
    <row r="12292" spans="1:4" x14ac:dyDescent="0.2">
      <c r="A12292" s="146"/>
      <c r="D12292" s="496"/>
    </row>
    <row r="12293" spans="1:4" x14ac:dyDescent="0.2">
      <c r="A12293" s="146"/>
      <c r="D12293" s="496"/>
    </row>
    <row r="12294" spans="1:4" x14ac:dyDescent="0.2">
      <c r="A12294" s="146"/>
      <c r="D12294" s="496"/>
    </row>
    <row r="12295" spans="1:4" x14ac:dyDescent="0.2">
      <c r="A12295" s="146"/>
      <c r="D12295" s="496"/>
    </row>
    <row r="12296" spans="1:4" x14ac:dyDescent="0.2">
      <c r="A12296" s="146"/>
      <c r="D12296" s="496"/>
    </row>
    <row r="12297" spans="1:4" x14ac:dyDescent="0.2">
      <c r="A12297" s="146"/>
      <c r="D12297" s="496"/>
    </row>
    <row r="12298" spans="1:4" x14ac:dyDescent="0.2">
      <c r="A12298" s="146"/>
      <c r="D12298" s="496"/>
    </row>
    <row r="12299" spans="1:4" x14ac:dyDescent="0.2">
      <c r="A12299" s="146"/>
      <c r="D12299" s="496"/>
    </row>
    <row r="12300" spans="1:4" x14ac:dyDescent="0.2">
      <c r="A12300" s="146"/>
      <c r="D12300" s="496"/>
    </row>
    <row r="12301" spans="1:4" x14ac:dyDescent="0.2">
      <c r="A12301" s="146"/>
      <c r="D12301" s="496"/>
    </row>
    <row r="12302" spans="1:4" x14ac:dyDescent="0.2">
      <c r="A12302" s="146"/>
      <c r="D12302" s="496"/>
    </row>
    <row r="12303" spans="1:4" x14ac:dyDescent="0.2">
      <c r="A12303" s="146"/>
      <c r="D12303" s="496"/>
    </row>
    <row r="12304" spans="1:4" x14ac:dyDescent="0.2">
      <c r="A12304" s="146"/>
      <c r="D12304" s="496"/>
    </row>
    <row r="12305" spans="1:4" x14ac:dyDescent="0.2">
      <c r="A12305" s="146"/>
      <c r="D12305" s="496"/>
    </row>
    <row r="12306" spans="1:4" x14ac:dyDescent="0.2">
      <c r="A12306" s="146"/>
      <c r="D12306" s="496"/>
    </row>
    <row r="12307" spans="1:4" x14ac:dyDescent="0.2">
      <c r="A12307" s="146"/>
      <c r="D12307" s="496"/>
    </row>
    <row r="12308" spans="1:4" x14ac:dyDescent="0.2">
      <c r="A12308" s="146"/>
      <c r="D12308" s="496"/>
    </row>
    <row r="12309" spans="1:4" x14ac:dyDescent="0.2">
      <c r="A12309" s="146"/>
      <c r="D12309" s="496"/>
    </row>
    <row r="12310" spans="1:4" x14ac:dyDescent="0.2">
      <c r="A12310" s="146"/>
      <c r="D12310" s="496"/>
    </row>
    <row r="12311" spans="1:4" x14ac:dyDescent="0.2">
      <c r="A12311" s="146"/>
      <c r="D12311" s="496"/>
    </row>
    <row r="12312" spans="1:4" x14ac:dyDescent="0.2">
      <c r="A12312" s="146"/>
      <c r="D12312" s="496"/>
    </row>
    <row r="12313" spans="1:4" x14ac:dyDescent="0.2">
      <c r="A12313" s="146"/>
      <c r="D12313" s="496"/>
    </row>
    <row r="12314" spans="1:4" x14ac:dyDescent="0.2">
      <c r="A12314" s="146"/>
      <c r="D12314" s="496"/>
    </row>
    <row r="12315" spans="1:4" x14ac:dyDescent="0.2">
      <c r="A12315" s="146"/>
      <c r="D12315" s="496"/>
    </row>
    <row r="12316" spans="1:4" x14ac:dyDescent="0.2">
      <c r="A12316" s="146"/>
      <c r="D12316" s="496"/>
    </row>
    <row r="12317" spans="1:4" x14ac:dyDescent="0.2">
      <c r="A12317" s="146"/>
      <c r="D12317" s="496"/>
    </row>
    <row r="12318" spans="1:4" x14ac:dyDescent="0.2">
      <c r="A12318" s="146"/>
      <c r="D12318" s="496"/>
    </row>
    <row r="12319" spans="1:4" x14ac:dyDescent="0.2">
      <c r="A12319" s="146"/>
      <c r="D12319" s="496"/>
    </row>
    <row r="12320" spans="1:4" x14ac:dyDescent="0.2">
      <c r="A12320" s="146"/>
      <c r="D12320" s="496"/>
    </row>
    <row r="12321" spans="1:4" x14ac:dyDescent="0.2">
      <c r="A12321" s="146"/>
      <c r="D12321" s="496"/>
    </row>
    <row r="12322" spans="1:4" x14ac:dyDescent="0.2">
      <c r="A12322" s="146"/>
      <c r="D12322" s="496"/>
    </row>
    <row r="12323" spans="1:4" x14ac:dyDescent="0.2">
      <c r="A12323" s="146"/>
      <c r="D12323" s="496"/>
    </row>
    <row r="12324" spans="1:4" x14ac:dyDescent="0.2">
      <c r="A12324" s="146"/>
      <c r="D12324" s="496"/>
    </row>
    <row r="12325" spans="1:4" x14ac:dyDescent="0.2">
      <c r="A12325" s="146"/>
      <c r="D12325" s="496"/>
    </row>
    <row r="12326" spans="1:4" x14ac:dyDescent="0.2">
      <c r="A12326" s="146"/>
      <c r="D12326" s="496"/>
    </row>
    <row r="12327" spans="1:4" x14ac:dyDescent="0.2">
      <c r="A12327" s="146"/>
      <c r="D12327" s="496"/>
    </row>
    <row r="12328" spans="1:4" x14ac:dyDescent="0.2">
      <c r="A12328" s="146"/>
      <c r="D12328" s="496"/>
    </row>
    <row r="12329" spans="1:4" x14ac:dyDescent="0.2">
      <c r="A12329" s="146"/>
      <c r="D12329" s="496"/>
    </row>
    <row r="12330" spans="1:4" x14ac:dyDescent="0.2">
      <c r="A12330" s="146"/>
      <c r="D12330" s="496"/>
    </row>
    <row r="12331" spans="1:4" x14ac:dyDescent="0.2">
      <c r="A12331" s="146"/>
      <c r="D12331" s="496"/>
    </row>
    <row r="12332" spans="1:4" x14ac:dyDescent="0.2">
      <c r="A12332" s="146"/>
      <c r="D12332" s="496"/>
    </row>
    <row r="12333" spans="1:4" x14ac:dyDescent="0.2">
      <c r="A12333" s="146"/>
      <c r="D12333" s="496"/>
    </row>
    <row r="12334" spans="1:4" x14ac:dyDescent="0.2">
      <c r="A12334" s="146"/>
      <c r="D12334" s="496"/>
    </row>
    <row r="12335" spans="1:4" x14ac:dyDescent="0.2">
      <c r="A12335" s="146"/>
      <c r="D12335" s="496"/>
    </row>
    <row r="12336" spans="1:4" x14ac:dyDescent="0.2">
      <c r="A12336" s="146"/>
      <c r="D12336" s="496"/>
    </row>
    <row r="12337" spans="1:4" x14ac:dyDescent="0.2">
      <c r="A12337" s="146"/>
      <c r="D12337" s="496"/>
    </row>
    <row r="12338" spans="1:4" x14ac:dyDescent="0.2">
      <c r="A12338" s="146"/>
      <c r="D12338" s="496"/>
    </row>
    <row r="12339" spans="1:4" x14ac:dyDescent="0.2">
      <c r="A12339" s="146"/>
      <c r="D12339" s="496"/>
    </row>
    <row r="12340" spans="1:4" x14ac:dyDescent="0.2">
      <c r="A12340" s="146"/>
      <c r="D12340" s="496"/>
    </row>
    <row r="12341" spans="1:4" x14ac:dyDescent="0.2">
      <c r="A12341" s="146"/>
      <c r="D12341" s="496"/>
    </row>
    <row r="12342" spans="1:4" x14ac:dyDescent="0.2">
      <c r="A12342" s="146"/>
      <c r="D12342" s="496"/>
    </row>
    <row r="12343" spans="1:4" x14ac:dyDescent="0.2">
      <c r="A12343" s="146"/>
      <c r="D12343" s="496"/>
    </row>
    <row r="12344" spans="1:4" x14ac:dyDescent="0.2">
      <c r="A12344" s="146"/>
      <c r="D12344" s="496"/>
    </row>
    <row r="12345" spans="1:4" x14ac:dyDescent="0.2">
      <c r="A12345" s="146"/>
      <c r="D12345" s="496"/>
    </row>
    <row r="12346" spans="1:4" x14ac:dyDescent="0.2">
      <c r="A12346" s="146"/>
      <c r="D12346" s="496"/>
    </row>
    <row r="12347" spans="1:4" x14ac:dyDescent="0.2">
      <c r="A12347" s="146"/>
      <c r="D12347" s="496"/>
    </row>
    <row r="12348" spans="1:4" x14ac:dyDescent="0.2">
      <c r="A12348" s="146"/>
      <c r="D12348" s="496"/>
    </row>
    <row r="12349" spans="1:4" x14ac:dyDescent="0.2">
      <c r="A12349" s="146"/>
      <c r="D12349" s="496"/>
    </row>
    <row r="12350" spans="1:4" x14ac:dyDescent="0.2">
      <c r="A12350" s="146"/>
      <c r="D12350" s="496"/>
    </row>
    <row r="12351" spans="1:4" x14ac:dyDescent="0.2">
      <c r="A12351" s="146"/>
      <c r="D12351" s="496"/>
    </row>
    <row r="12352" spans="1:4" x14ac:dyDescent="0.2">
      <c r="A12352" s="146"/>
      <c r="D12352" s="496"/>
    </row>
    <row r="12353" spans="1:4" x14ac:dyDescent="0.2">
      <c r="A12353" s="146"/>
      <c r="D12353" s="496"/>
    </row>
    <row r="12354" spans="1:4" x14ac:dyDescent="0.2">
      <c r="A12354" s="146"/>
      <c r="D12354" s="496"/>
    </row>
    <row r="12355" spans="1:4" x14ac:dyDescent="0.2">
      <c r="A12355" s="146"/>
      <c r="D12355" s="496"/>
    </row>
    <row r="12356" spans="1:4" x14ac:dyDescent="0.2">
      <c r="A12356" s="146"/>
      <c r="D12356" s="496"/>
    </row>
    <row r="12357" spans="1:4" x14ac:dyDescent="0.2">
      <c r="A12357" s="146"/>
      <c r="D12357" s="496"/>
    </row>
    <row r="12358" spans="1:4" x14ac:dyDescent="0.2">
      <c r="A12358" s="146"/>
      <c r="D12358" s="496"/>
    </row>
    <row r="12359" spans="1:4" x14ac:dyDescent="0.2">
      <c r="A12359" s="146"/>
      <c r="D12359" s="496"/>
    </row>
    <row r="12360" spans="1:4" x14ac:dyDescent="0.2">
      <c r="A12360" s="146"/>
      <c r="D12360" s="496"/>
    </row>
    <row r="12361" spans="1:4" x14ac:dyDescent="0.2">
      <c r="A12361" s="146"/>
      <c r="D12361" s="496"/>
    </row>
    <row r="12362" spans="1:4" x14ac:dyDescent="0.2">
      <c r="A12362" s="146"/>
      <c r="D12362" s="496"/>
    </row>
    <row r="12363" spans="1:4" x14ac:dyDescent="0.2">
      <c r="A12363" s="146"/>
      <c r="D12363" s="496"/>
    </row>
    <row r="12364" spans="1:4" x14ac:dyDescent="0.2">
      <c r="A12364" s="146"/>
      <c r="D12364" s="496"/>
    </row>
    <row r="12365" spans="1:4" x14ac:dyDescent="0.2">
      <c r="A12365" s="146"/>
      <c r="D12365" s="496"/>
    </row>
    <row r="12366" spans="1:4" x14ac:dyDescent="0.2">
      <c r="A12366" s="146"/>
      <c r="D12366" s="496"/>
    </row>
    <row r="12367" spans="1:4" x14ac:dyDescent="0.2">
      <c r="A12367" s="146"/>
      <c r="D12367" s="496"/>
    </row>
    <row r="12368" spans="1:4" x14ac:dyDescent="0.2">
      <c r="A12368" s="146"/>
      <c r="D12368" s="496"/>
    </row>
    <row r="12369" spans="1:4" x14ac:dyDescent="0.2">
      <c r="A12369" s="146"/>
      <c r="D12369" s="496"/>
    </row>
    <row r="12370" spans="1:4" x14ac:dyDescent="0.2">
      <c r="A12370" s="146"/>
      <c r="D12370" s="496"/>
    </row>
    <row r="12371" spans="1:4" x14ac:dyDescent="0.2">
      <c r="A12371" s="146"/>
      <c r="D12371" s="496"/>
    </row>
    <row r="12372" spans="1:4" x14ac:dyDescent="0.2">
      <c r="A12372" s="146"/>
      <c r="D12372" s="496"/>
    </row>
    <row r="12373" spans="1:4" x14ac:dyDescent="0.2">
      <c r="A12373" s="146"/>
      <c r="D12373" s="496"/>
    </row>
    <row r="12374" spans="1:4" x14ac:dyDescent="0.2">
      <c r="A12374" s="146"/>
      <c r="D12374" s="496"/>
    </row>
    <row r="12375" spans="1:4" x14ac:dyDescent="0.2">
      <c r="A12375" s="146"/>
      <c r="D12375" s="496"/>
    </row>
    <row r="12376" spans="1:4" x14ac:dyDescent="0.2">
      <c r="A12376" s="146"/>
      <c r="D12376" s="496"/>
    </row>
    <row r="12377" spans="1:4" x14ac:dyDescent="0.2">
      <c r="A12377" s="146"/>
      <c r="D12377" s="496"/>
    </row>
    <row r="12378" spans="1:4" x14ac:dyDescent="0.2">
      <c r="A12378" s="146"/>
      <c r="D12378" s="496"/>
    </row>
    <row r="12379" spans="1:4" x14ac:dyDescent="0.2">
      <c r="A12379" s="146"/>
      <c r="D12379" s="496"/>
    </row>
    <row r="12380" spans="1:4" x14ac:dyDescent="0.2">
      <c r="A12380" s="146"/>
      <c r="D12380" s="496"/>
    </row>
    <row r="12381" spans="1:4" x14ac:dyDescent="0.2">
      <c r="A12381" s="146"/>
      <c r="D12381" s="496"/>
    </row>
    <row r="12382" spans="1:4" x14ac:dyDescent="0.2">
      <c r="A12382" s="146"/>
      <c r="D12382" s="496"/>
    </row>
    <row r="12383" spans="1:4" x14ac:dyDescent="0.2">
      <c r="A12383" s="146"/>
      <c r="D12383" s="496"/>
    </row>
    <row r="12384" spans="1:4" x14ac:dyDescent="0.2">
      <c r="A12384" s="146"/>
      <c r="D12384" s="496"/>
    </row>
    <row r="12385" spans="1:4" x14ac:dyDescent="0.2">
      <c r="A12385" s="146"/>
      <c r="D12385" s="496"/>
    </row>
    <row r="12386" spans="1:4" x14ac:dyDescent="0.2">
      <c r="A12386" s="146"/>
      <c r="D12386" s="496"/>
    </row>
    <row r="12387" spans="1:4" x14ac:dyDescent="0.2">
      <c r="A12387" s="146"/>
      <c r="D12387" s="496"/>
    </row>
    <row r="12388" spans="1:4" x14ac:dyDescent="0.2">
      <c r="A12388" s="146"/>
      <c r="D12388" s="496"/>
    </row>
    <row r="12389" spans="1:4" x14ac:dyDescent="0.2">
      <c r="A12389" s="146"/>
      <c r="D12389" s="496"/>
    </row>
    <row r="12390" spans="1:4" x14ac:dyDescent="0.2">
      <c r="A12390" s="146"/>
      <c r="D12390" s="496"/>
    </row>
    <row r="12391" spans="1:4" x14ac:dyDescent="0.2">
      <c r="A12391" s="146"/>
      <c r="D12391" s="496"/>
    </row>
    <row r="12392" spans="1:4" x14ac:dyDescent="0.2">
      <c r="A12392" s="146"/>
      <c r="D12392" s="496"/>
    </row>
    <row r="12393" spans="1:4" x14ac:dyDescent="0.2">
      <c r="A12393" s="146"/>
      <c r="D12393" s="496"/>
    </row>
    <row r="12394" spans="1:4" x14ac:dyDescent="0.2">
      <c r="A12394" s="146"/>
      <c r="D12394" s="496"/>
    </row>
    <row r="12395" spans="1:4" x14ac:dyDescent="0.2">
      <c r="A12395" s="146"/>
      <c r="D12395" s="496"/>
    </row>
    <row r="12396" spans="1:4" x14ac:dyDescent="0.2">
      <c r="A12396" s="146"/>
      <c r="D12396" s="496"/>
    </row>
    <row r="12397" spans="1:4" x14ac:dyDescent="0.2">
      <c r="A12397" s="146"/>
      <c r="D12397" s="496"/>
    </row>
    <row r="12398" spans="1:4" x14ac:dyDescent="0.2">
      <c r="A12398" s="146"/>
      <c r="D12398" s="496"/>
    </row>
    <row r="12399" spans="1:4" x14ac:dyDescent="0.2">
      <c r="A12399" s="146"/>
      <c r="D12399" s="496"/>
    </row>
    <row r="12400" spans="1:4" x14ac:dyDescent="0.2">
      <c r="A12400" s="146"/>
      <c r="D12400" s="496"/>
    </row>
    <row r="12401" spans="1:4" x14ac:dyDescent="0.2">
      <c r="A12401" s="146"/>
      <c r="D12401" s="496"/>
    </row>
    <row r="12402" spans="1:4" x14ac:dyDescent="0.2">
      <c r="A12402" s="146"/>
      <c r="D12402" s="496"/>
    </row>
    <row r="12403" spans="1:4" x14ac:dyDescent="0.2">
      <c r="A12403" s="146"/>
      <c r="D12403" s="496"/>
    </row>
    <row r="12404" spans="1:4" x14ac:dyDescent="0.2">
      <c r="A12404" s="146"/>
      <c r="D12404" s="496"/>
    </row>
    <row r="12405" spans="1:4" x14ac:dyDescent="0.2">
      <c r="A12405" s="146"/>
      <c r="D12405" s="496"/>
    </row>
    <row r="12406" spans="1:4" x14ac:dyDescent="0.2">
      <c r="A12406" s="146"/>
      <c r="D12406" s="496"/>
    </row>
    <row r="12407" spans="1:4" x14ac:dyDescent="0.2">
      <c r="A12407" s="146"/>
      <c r="D12407" s="496"/>
    </row>
    <row r="12408" spans="1:4" x14ac:dyDescent="0.2">
      <c r="A12408" s="146"/>
      <c r="D12408" s="496"/>
    </row>
    <row r="12409" spans="1:4" x14ac:dyDescent="0.2">
      <c r="A12409" s="146"/>
      <c r="D12409" s="496"/>
    </row>
    <row r="12410" spans="1:4" x14ac:dyDescent="0.2">
      <c r="A12410" s="146"/>
      <c r="D12410" s="496"/>
    </row>
    <row r="12411" spans="1:4" x14ac:dyDescent="0.2">
      <c r="A12411" s="146"/>
      <c r="D12411" s="496"/>
    </row>
    <row r="12412" spans="1:4" x14ac:dyDescent="0.2">
      <c r="A12412" s="146"/>
      <c r="D12412" s="496"/>
    </row>
    <row r="12413" spans="1:4" x14ac:dyDescent="0.2">
      <c r="A12413" s="146"/>
      <c r="D12413" s="496"/>
    </row>
    <row r="12414" spans="1:4" x14ac:dyDescent="0.2">
      <c r="A12414" s="146"/>
      <c r="D12414" s="496"/>
    </row>
    <row r="12415" spans="1:4" x14ac:dyDescent="0.2">
      <c r="A12415" s="146"/>
      <c r="D12415" s="496"/>
    </row>
    <row r="12416" spans="1:4" x14ac:dyDescent="0.2">
      <c r="A12416" s="146"/>
      <c r="D12416" s="496"/>
    </row>
    <row r="12417" spans="1:4" x14ac:dyDescent="0.2">
      <c r="A12417" s="146"/>
      <c r="D12417" s="496"/>
    </row>
    <row r="12418" spans="1:4" x14ac:dyDescent="0.2">
      <c r="A12418" s="146"/>
      <c r="D12418" s="496"/>
    </row>
    <row r="12419" spans="1:4" x14ac:dyDescent="0.2">
      <c r="A12419" s="146"/>
      <c r="D12419" s="496"/>
    </row>
    <row r="12420" spans="1:4" x14ac:dyDescent="0.2">
      <c r="A12420" s="146"/>
      <c r="D12420" s="496"/>
    </row>
    <row r="12421" spans="1:4" x14ac:dyDescent="0.2">
      <c r="A12421" s="146"/>
      <c r="D12421" s="496"/>
    </row>
    <row r="12422" spans="1:4" x14ac:dyDescent="0.2">
      <c r="A12422" s="146"/>
      <c r="D12422" s="496"/>
    </row>
    <row r="12423" spans="1:4" x14ac:dyDescent="0.2">
      <c r="A12423" s="146"/>
      <c r="D12423" s="496"/>
    </row>
    <row r="12424" spans="1:4" x14ac:dyDescent="0.2">
      <c r="A12424" s="146"/>
      <c r="D12424" s="496"/>
    </row>
    <row r="12425" spans="1:4" x14ac:dyDescent="0.2">
      <c r="A12425" s="146"/>
      <c r="D12425" s="496"/>
    </row>
    <row r="12426" spans="1:4" x14ac:dyDescent="0.2">
      <c r="A12426" s="146"/>
      <c r="D12426" s="496"/>
    </row>
    <row r="12427" spans="1:4" x14ac:dyDescent="0.2">
      <c r="A12427" s="146"/>
      <c r="D12427" s="496"/>
    </row>
    <row r="12428" spans="1:4" x14ac:dyDescent="0.2">
      <c r="A12428" s="146"/>
      <c r="D12428" s="496"/>
    </row>
    <row r="12429" spans="1:4" x14ac:dyDescent="0.2">
      <c r="A12429" s="146"/>
      <c r="D12429" s="496"/>
    </row>
    <row r="12430" spans="1:4" x14ac:dyDescent="0.2">
      <c r="A12430" s="146"/>
      <c r="D12430" s="496"/>
    </row>
    <row r="12431" spans="1:4" x14ac:dyDescent="0.2">
      <c r="A12431" s="146"/>
      <c r="D12431" s="496"/>
    </row>
    <row r="12432" spans="1:4" x14ac:dyDescent="0.2">
      <c r="A12432" s="146"/>
      <c r="D12432" s="496"/>
    </row>
    <row r="12433" spans="1:4" x14ac:dyDescent="0.2">
      <c r="A12433" s="146"/>
      <c r="D12433" s="496"/>
    </row>
    <row r="12434" spans="1:4" x14ac:dyDescent="0.2">
      <c r="A12434" s="146"/>
      <c r="D12434" s="496"/>
    </row>
    <row r="12435" spans="1:4" x14ac:dyDescent="0.2">
      <c r="A12435" s="146"/>
      <c r="D12435" s="496"/>
    </row>
    <row r="12436" spans="1:4" x14ac:dyDescent="0.2">
      <c r="A12436" s="146"/>
      <c r="D12436" s="496"/>
    </row>
    <row r="12437" spans="1:4" x14ac:dyDescent="0.2">
      <c r="A12437" s="146"/>
      <c r="D12437" s="496"/>
    </row>
    <row r="12438" spans="1:4" x14ac:dyDescent="0.2">
      <c r="A12438" s="146"/>
      <c r="D12438" s="496"/>
    </row>
    <row r="12439" spans="1:4" x14ac:dyDescent="0.2">
      <c r="A12439" s="146"/>
      <c r="D12439" s="496"/>
    </row>
    <row r="12440" spans="1:4" x14ac:dyDescent="0.2">
      <c r="A12440" s="146"/>
      <c r="D12440" s="496"/>
    </row>
    <row r="12441" spans="1:4" x14ac:dyDescent="0.2">
      <c r="A12441" s="146"/>
      <c r="D12441" s="496"/>
    </row>
    <row r="12442" spans="1:4" x14ac:dyDescent="0.2">
      <c r="A12442" s="146"/>
      <c r="D12442" s="496"/>
    </row>
    <row r="12443" spans="1:4" x14ac:dyDescent="0.2">
      <c r="A12443" s="146"/>
      <c r="D12443" s="496"/>
    </row>
    <row r="12444" spans="1:4" x14ac:dyDescent="0.2">
      <c r="A12444" s="146"/>
      <c r="D12444" s="496"/>
    </row>
    <row r="12445" spans="1:4" x14ac:dyDescent="0.2">
      <c r="A12445" s="146"/>
      <c r="D12445" s="496"/>
    </row>
    <row r="12446" spans="1:4" x14ac:dyDescent="0.2">
      <c r="A12446" s="146"/>
      <c r="D12446" s="496"/>
    </row>
    <row r="12447" spans="1:4" x14ac:dyDescent="0.2">
      <c r="A12447" s="146"/>
      <c r="D12447" s="496"/>
    </row>
    <row r="12448" spans="1:4" x14ac:dyDescent="0.2">
      <c r="A12448" s="146"/>
      <c r="D12448" s="496"/>
    </row>
    <row r="12449" spans="1:4" x14ac:dyDescent="0.2">
      <c r="A12449" s="146"/>
      <c r="D12449" s="496"/>
    </row>
    <row r="12450" spans="1:4" x14ac:dyDescent="0.2">
      <c r="A12450" s="146"/>
      <c r="D12450" s="496"/>
    </row>
    <row r="12451" spans="1:4" x14ac:dyDescent="0.2">
      <c r="A12451" s="146"/>
      <c r="D12451" s="496"/>
    </row>
    <row r="12452" spans="1:4" x14ac:dyDescent="0.2">
      <c r="A12452" s="146"/>
      <c r="D12452" s="496"/>
    </row>
    <row r="12453" spans="1:4" x14ac:dyDescent="0.2">
      <c r="A12453" s="146"/>
      <c r="D12453" s="496"/>
    </row>
    <row r="12454" spans="1:4" x14ac:dyDescent="0.2">
      <c r="A12454" s="146"/>
      <c r="D12454" s="496"/>
    </row>
    <row r="12455" spans="1:4" x14ac:dyDescent="0.2">
      <c r="A12455" s="146"/>
      <c r="D12455" s="496"/>
    </row>
    <row r="12456" spans="1:4" x14ac:dyDescent="0.2">
      <c r="A12456" s="146"/>
      <c r="D12456" s="496"/>
    </row>
    <row r="12457" spans="1:4" x14ac:dyDescent="0.2">
      <c r="A12457" s="146"/>
      <c r="D12457" s="496"/>
    </row>
    <row r="12458" spans="1:4" x14ac:dyDescent="0.2">
      <c r="A12458" s="146"/>
      <c r="D12458" s="496"/>
    </row>
    <row r="12459" spans="1:4" x14ac:dyDescent="0.2">
      <c r="A12459" s="146"/>
      <c r="D12459" s="496"/>
    </row>
    <row r="12460" spans="1:4" x14ac:dyDescent="0.2">
      <c r="A12460" s="146"/>
      <c r="D12460" s="496"/>
    </row>
    <row r="12461" spans="1:4" x14ac:dyDescent="0.2">
      <c r="A12461" s="146"/>
      <c r="D12461" s="496"/>
    </row>
    <row r="12462" spans="1:4" x14ac:dyDescent="0.2">
      <c r="A12462" s="146"/>
      <c r="D12462" s="496"/>
    </row>
    <row r="12463" spans="1:4" x14ac:dyDescent="0.2">
      <c r="A12463" s="146"/>
      <c r="D12463" s="496"/>
    </row>
    <row r="12464" spans="1:4" x14ac:dyDescent="0.2">
      <c r="A12464" s="146"/>
      <c r="D12464" s="496"/>
    </row>
    <row r="12465" spans="1:4" x14ac:dyDescent="0.2">
      <c r="A12465" s="146"/>
      <c r="D12465" s="496"/>
    </row>
    <row r="12466" spans="1:4" x14ac:dyDescent="0.2">
      <c r="A12466" s="146"/>
      <c r="D12466" s="496"/>
    </row>
    <row r="12467" spans="1:4" x14ac:dyDescent="0.2">
      <c r="A12467" s="146"/>
      <c r="D12467" s="496"/>
    </row>
    <row r="12468" spans="1:4" x14ac:dyDescent="0.2">
      <c r="A12468" s="146"/>
      <c r="D12468" s="496"/>
    </row>
    <row r="12469" spans="1:4" x14ac:dyDescent="0.2">
      <c r="A12469" s="146"/>
      <c r="D12469" s="496"/>
    </row>
    <row r="12470" spans="1:4" x14ac:dyDescent="0.2">
      <c r="A12470" s="146"/>
      <c r="D12470" s="496"/>
    </row>
    <row r="12471" spans="1:4" x14ac:dyDescent="0.2">
      <c r="A12471" s="146"/>
      <c r="D12471" s="496"/>
    </row>
    <row r="12472" spans="1:4" x14ac:dyDescent="0.2">
      <c r="A12472" s="146"/>
      <c r="D12472" s="496"/>
    </row>
    <row r="12473" spans="1:4" x14ac:dyDescent="0.2">
      <c r="A12473" s="146"/>
      <c r="D12473" s="496"/>
    </row>
    <row r="12474" spans="1:4" x14ac:dyDescent="0.2">
      <c r="A12474" s="146"/>
      <c r="D12474" s="496"/>
    </row>
    <row r="12475" spans="1:4" x14ac:dyDescent="0.2">
      <c r="A12475" s="146"/>
      <c r="D12475" s="496"/>
    </row>
    <row r="12476" spans="1:4" x14ac:dyDescent="0.2">
      <c r="A12476" s="146"/>
      <c r="D12476" s="496"/>
    </row>
    <row r="12477" spans="1:4" x14ac:dyDescent="0.2">
      <c r="A12477" s="146"/>
      <c r="D12477" s="496"/>
    </row>
    <row r="12478" spans="1:4" x14ac:dyDescent="0.2">
      <c r="A12478" s="146"/>
      <c r="D12478" s="496"/>
    </row>
    <row r="12479" spans="1:4" x14ac:dyDescent="0.2">
      <c r="A12479" s="146"/>
      <c r="D12479" s="496"/>
    </row>
    <row r="12480" spans="1:4" x14ac:dyDescent="0.2">
      <c r="A12480" s="146"/>
      <c r="D12480" s="496"/>
    </row>
    <row r="12481" spans="1:4" x14ac:dyDescent="0.2">
      <c r="A12481" s="146"/>
      <c r="D12481" s="496"/>
    </row>
    <row r="12482" spans="1:4" x14ac:dyDescent="0.2">
      <c r="A12482" s="146"/>
      <c r="D12482" s="496"/>
    </row>
    <row r="12483" spans="1:4" x14ac:dyDescent="0.2">
      <c r="A12483" s="146"/>
      <c r="D12483" s="496"/>
    </row>
    <row r="12484" spans="1:4" x14ac:dyDescent="0.2">
      <c r="A12484" s="146"/>
      <c r="D12484" s="496"/>
    </row>
    <row r="12485" spans="1:4" x14ac:dyDescent="0.2">
      <c r="A12485" s="146"/>
      <c r="D12485" s="496"/>
    </row>
    <row r="12486" spans="1:4" x14ac:dyDescent="0.2">
      <c r="A12486" s="146"/>
      <c r="D12486" s="496"/>
    </row>
    <row r="12487" spans="1:4" x14ac:dyDescent="0.2">
      <c r="A12487" s="146"/>
      <c r="D12487" s="496"/>
    </row>
    <row r="12488" spans="1:4" x14ac:dyDescent="0.2">
      <c r="A12488" s="146"/>
      <c r="D12488" s="496"/>
    </row>
    <row r="12489" spans="1:4" x14ac:dyDescent="0.2">
      <c r="A12489" s="146"/>
      <c r="D12489" s="496"/>
    </row>
    <row r="12490" spans="1:4" x14ac:dyDescent="0.2">
      <c r="A12490" s="146"/>
      <c r="D12490" s="496"/>
    </row>
    <row r="12491" spans="1:4" x14ac:dyDescent="0.2">
      <c r="A12491" s="146"/>
      <c r="D12491" s="496"/>
    </row>
    <row r="12492" spans="1:4" x14ac:dyDescent="0.2">
      <c r="A12492" s="146"/>
      <c r="D12492" s="496"/>
    </row>
    <row r="12493" spans="1:4" x14ac:dyDescent="0.2">
      <c r="A12493" s="146"/>
      <c r="D12493" s="496"/>
    </row>
    <row r="12494" spans="1:4" x14ac:dyDescent="0.2">
      <c r="A12494" s="146"/>
      <c r="D12494" s="496"/>
    </row>
    <row r="12495" spans="1:4" x14ac:dyDescent="0.2">
      <c r="A12495" s="146"/>
      <c r="D12495" s="496"/>
    </row>
    <row r="12496" spans="1:4" x14ac:dyDescent="0.2">
      <c r="A12496" s="146"/>
      <c r="D12496" s="496"/>
    </row>
    <row r="12497" spans="1:4" x14ac:dyDescent="0.2">
      <c r="A12497" s="146"/>
      <c r="D12497" s="496"/>
    </row>
    <row r="12498" spans="1:4" x14ac:dyDescent="0.2">
      <c r="A12498" s="146"/>
      <c r="D12498" s="496"/>
    </row>
    <row r="12499" spans="1:4" x14ac:dyDescent="0.2">
      <c r="A12499" s="146"/>
      <c r="D12499" s="496"/>
    </row>
    <row r="12500" spans="1:4" x14ac:dyDescent="0.2">
      <c r="A12500" s="146"/>
      <c r="D12500" s="496"/>
    </row>
    <row r="12501" spans="1:4" x14ac:dyDescent="0.2">
      <c r="A12501" s="146"/>
      <c r="D12501" s="496"/>
    </row>
    <row r="12502" spans="1:4" x14ac:dyDescent="0.2">
      <c r="A12502" s="146"/>
      <c r="D12502" s="496"/>
    </row>
    <row r="12503" spans="1:4" x14ac:dyDescent="0.2">
      <c r="A12503" s="146"/>
      <c r="D12503" s="496"/>
    </row>
    <row r="12504" spans="1:4" x14ac:dyDescent="0.2">
      <c r="A12504" s="146"/>
      <c r="D12504" s="496"/>
    </row>
    <row r="12505" spans="1:4" x14ac:dyDescent="0.2">
      <c r="A12505" s="146"/>
      <c r="D12505" s="496"/>
    </row>
    <row r="12506" spans="1:4" x14ac:dyDescent="0.2">
      <c r="A12506" s="146"/>
      <c r="D12506" s="496"/>
    </row>
    <row r="12507" spans="1:4" x14ac:dyDescent="0.2">
      <c r="A12507" s="146"/>
      <c r="D12507" s="496"/>
    </row>
    <row r="12508" spans="1:4" x14ac:dyDescent="0.2">
      <c r="A12508" s="146"/>
      <c r="D12508" s="496"/>
    </row>
    <row r="12509" spans="1:4" x14ac:dyDescent="0.2">
      <c r="A12509" s="146"/>
      <c r="D12509" s="496"/>
    </row>
    <row r="12510" spans="1:4" x14ac:dyDescent="0.2">
      <c r="A12510" s="146"/>
      <c r="D12510" s="496"/>
    </row>
    <row r="12511" spans="1:4" x14ac:dyDescent="0.2">
      <c r="A12511" s="146"/>
      <c r="D12511" s="496"/>
    </row>
    <row r="12512" spans="1:4" x14ac:dyDescent="0.2">
      <c r="A12512" s="146"/>
      <c r="D12512" s="496"/>
    </row>
    <row r="12513" spans="1:4" x14ac:dyDescent="0.2">
      <c r="A12513" s="146"/>
      <c r="D12513" s="496"/>
    </row>
    <row r="12514" spans="1:4" x14ac:dyDescent="0.2">
      <c r="A12514" s="146"/>
      <c r="D12514" s="496"/>
    </row>
    <row r="12515" spans="1:4" x14ac:dyDescent="0.2">
      <c r="A12515" s="146"/>
      <c r="D12515" s="496"/>
    </row>
    <row r="12516" spans="1:4" x14ac:dyDescent="0.2">
      <c r="A12516" s="146"/>
      <c r="D12516" s="496"/>
    </row>
    <row r="12517" spans="1:4" x14ac:dyDescent="0.2">
      <c r="A12517" s="146"/>
      <c r="D12517" s="496"/>
    </row>
    <row r="12518" spans="1:4" x14ac:dyDescent="0.2">
      <c r="A12518" s="146"/>
      <c r="D12518" s="496"/>
    </row>
    <row r="12519" spans="1:4" x14ac:dyDescent="0.2">
      <c r="A12519" s="146"/>
      <c r="D12519" s="496"/>
    </row>
    <row r="12520" spans="1:4" x14ac:dyDescent="0.2">
      <c r="A12520" s="146"/>
      <c r="D12520" s="496"/>
    </row>
    <row r="12521" spans="1:4" x14ac:dyDescent="0.2">
      <c r="A12521" s="146"/>
      <c r="D12521" s="496"/>
    </row>
    <row r="12522" spans="1:4" x14ac:dyDescent="0.2">
      <c r="A12522" s="146"/>
      <c r="D12522" s="496"/>
    </row>
    <row r="12523" spans="1:4" x14ac:dyDescent="0.2">
      <c r="A12523" s="146"/>
      <c r="D12523" s="496"/>
    </row>
    <row r="12524" spans="1:4" x14ac:dyDescent="0.2">
      <c r="A12524" s="146"/>
      <c r="D12524" s="496"/>
    </row>
    <row r="12525" spans="1:4" x14ac:dyDescent="0.2">
      <c r="A12525" s="146"/>
      <c r="D12525" s="496"/>
    </row>
    <row r="12526" spans="1:4" x14ac:dyDescent="0.2">
      <c r="A12526" s="146"/>
      <c r="D12526" s="496"/>
    </row>
    <row r="12527" spans="1:4" x14ac:dyDescent="0.2">
      <c r="A12527" s="146"/>
      <c r="D12527" s="496"/>
    </row>
    <row r="12528" spans="1:4" x14ac:dyDescent="0.2">
      <c r="A12528" s="146"/>
      <c r="D12528" s="496"/>
    </row>
    <row r="12529" spans="1:4" x14ac:dyDescent="0.2">
      <c r="A12529" s="146"/>
      <c r="D12529" s="496"/>
    </row>
    <row r="12530" spans="1:4" x14ac:dyDescent="0.2">
      <c r="A12530" s="146"/>
      <c r="D12530" s="496"/>
    </row>
    <row r="12531" spans="1:4" x14ac:dyDescent="0.2">
      <c r="A12531" s="146"/>
      <c r="D12531" s="496"/>
    </row>
    <row r="12532" spans="1:4" x14ac:dyDescent="0.2">
      <c r="A12532" s="146"/>
      <c r="D12532" s="496"/>
    </row>
    <row r="12533" spans="1:4" x14ac:dyDescent="0.2">
      <c r="A12533" s="146"/>
      <c r="D12533" s="496"/>
    </row>
    <row r="12534" spans="1:4" x14ac:dyDescent="0.2">
      <c r="A12534" s="146"/>
      <c r="D12534" s="496"/>
    </row>
    <row r="12535" spans="1:4" x14ac:dyDescent="0.2">
      <c r="A12535" s="146"/>
      <c r="D12535" s="496"/>
    </row>
    <row r="12536" spans="1:4" x14ac:dyDescent="0.2">
      <c r="A12536" s="146"/>
      <c r="D12536" s="496"/>
    </row>
    <row r="12537" spans="1:4" x14ac:dyDescent="0.2">
      <c r="A12537" s="146"/>
      <c r="D12537" s="496"/>
    </row>
    <row r="12538" spans="1:4" x14ac:dyDescent="0.2">
      <c r="A12538" s="146"/>
      <c r="D12538" s="496"/>
    </row>
    <row r="12539" spans="1:4" x14ac:dyDescent="0.2">
      <c r="A12539" s="146"/>
      <c r="D12539" s="496"/>
    </row>
    <row r="12540" spans="1:4" x14ac:dyDescent="0.2">
      <c r="A12540" s="146"/>
      <c r="D12540" s="496"/>
    </row>
    <row r="12541" spans="1:4" x14ac:dyDescent="0.2">
      <c r="A12541" s="146"/>
      <c r="D12541" s="496"/>
    </row>
    <row r="12542" spans="1:4" x14ac:dyDescent="0.2">
      <c r="A12542" s="146"/>
      <c r="D12542" s="496"/>
    </row>
    <row r="12543" spans="1:4" x14ac:dyDescent="0.2">
      <c r="A12543" s="146"/>
      <c r="D12543" s="496"/>
    </row>
    <row r="12544" spans="1:4" x14ac:dyDescent="0.2">
      <c r="A12544" s="146"/>
      <c r="D12544" s="496"/>
    </row>
    <row r="12545" spans="1:4" x14ac:dyDescent="0.2">
      <c r="A12545" s="146"/>
      <c r="D12545" s="496"/>
    </row>
    <row r="12546" spans="1:4" x14ac:dyDescent="0.2">
      <c r="A12546" s="146"/>
      <c r="D12546" s="496"/>
    </row>
    <row r="12547" spans="1:4" x14ac:dyDescent="0.2">
      <c r="A12547" s="146"/>
      <c r="D12547" s="496"/>
    </row>
    <row r="12548" spans="1:4" x14ac:dyDescent="0.2">
      <c r="A12548" s="146"/>
      <c r="D12548" s="496"/>
    </row>
    <row r="12549" spans="1:4" x14ac:dyDescent="0.2">
      <c r="A12549" s="146"/>
      <c r="D12549" s="496"/>
    </row>
    <row r="12550" spans="1:4" x14ac:dyDescent="0.2">
      <c r="A12550" s="146"/>
      <c r="D12550" s="496"/>
    </row>
    <row r="12551" spans="1:4" x14ac:dyDescent="0.2">
      <c r="A12551" s="146"/>
      <c r="D12551" s="496"/>
    </row>
    <row r="12552" spans="1:4" x14ac:dyDescent="0.2">
      <c r="A12552" s="146"/>
      <c r="D12552" s="496"/>
    </row>
    <row r="12553" spans="1:4" x14ac:dyDescent="0.2">
      <c r="A12553" s="146"/>
      <c r="D12553" s="496"/>
    </row>
    <row r="12554" spans="1:4" x14ac:dyDescent="0.2">
      <c r="A12554" s="146"/>
      <c r="D12554" s="496"/>
    </row>
    <row r="12555" spans="1:4" x14ac:dyDescent="0.2">
      <c r="A12555" s="146"/>
      <c r="D12555" s="496"/>
    </row>
    <row r="12556" spans="1:4" x14ac:dyDescent="0.2">
      <c r="A12556" s="146"/>
      <c r="D12556" s="496"/>
    </row>
    <row r="12557" spans="1:4" x14ac:dyDescent="0.2">
      <c r="A12557" s="146"/>
      <c r="D12557" s="496"/>
    </row>
    <row r="12558" spans="1:4" x14ac:dyDescent="0.2">
      <c r="A12558" s="146"/>
      <c r="D12558" s="496"/>
    </row>
    <row r="12559" spans="1:4" x14ac:dyDescent="0.2">
      <c r="A12559" s="146"/>
      <c r="D12559" s="496"/>
    </row>
    <row r="12560" spans="1:4" x14ac:dyDescent="0.2">
      <c r="A12560" s="146"/>
      <c r="D12560" s="496"/>
    </row>
    <row r="12561" spans="1:4" x14ac:dyDescent="0.2">
      <c r="A12561" s="146"/>
      <c r="D12561" s="496"/>
    </row>
    <row r="12562" spans="1:4" x14ac:dyDescent="0.2">
      <c r="A12562" s="146"/>
      <c r="D12562" s="496"/>
    </row>
    <row r="12563" spans="1:4" x14ac:dyDescent="0.2">
      <c r="A12563" s="146"/>
      <c r="D12563" s="496"/>
    </row>
    <row r="12564" spans="1:4" x14ac:dyDescent="0.2">
      <c r="A12564" s="146"/>
      <c r="D12564" s="496"/>
    </row>
    <row r="12565" spans="1:4" x14ac:dyDescent="0.2">
      <c r="A12565" s="146"/>
      <c r="D12565" s="496"/>
    </row>
    <row r="12566" spans="1:4" x14ac:dyDescent="0.2">
      <c r="A12566" s="146"/>
      <c r="D12566" s="496"/>
    </row>
    <row r="12567" spans="1:4" x14ac:dyDescent="0.2">
      <c r="A12567" s="146"/>
      <c r="D12567" s="496"/>
    </row>
    <row r="12568" spans="1:4" x14ac:dyDescent="0.2">
      <c r="A12568" s="146"/>
      <c r="D12568" s="496"/>
    </row>
    <row r="12569" spans="1:4" x14ac:dyDescent="0.2">
      <c r="A12569" s="146"/>
      <c r="D12569" s="496"/>
    </row>
    <row r="12570" spans="1:4" x14ac:dyDescent="0.2">
      <c r="A12570" s="146"/>
      <c r="D12570" s="496"/>
    </row>
    <row r="12571" spans="1:4" x14ac:dyDescent="0.2">
      <c r="A12571" s="146"/>
      <c r="D12571" s="496"/>
    </row>
    <row r="12572" spans="1:4" x14ac:dyDescent="0.2">
      <c r="A12572" s="146"/>
      <c r="D12572" s="496"/>
    </row>
    <row r="12573" spans="1:4" x14ac:dyDescent="0.2">
      <c r="A12573" s="146"/>
      <c r="D12573" s="496"/>
    </row>
    <row r="12574" spans="1:4" x14ac:dyDescent="0.2">
      <c r="A12574" s="146"/>
      <c r="D12574" s="496"/>
    </row>
    <row r="12575" spans="1:4" x14ac:dyDescent="0.2">
      <c r="A12575" s="146"/>
      <c r="D12575" s="496"/>
    </row>
    <row r="12576" spans="1:4" x14ac:dyDescent="0.2">
      <c r="A12576" s="146"/>
      <c r="D12576" s="496"/>
    </row>
    <row r="12577" spans="1:4" x14ac:dyDescent="0.2">
      <c r="A12577" s="146"/>
      <c r="D12577" s="496"/>
    </row>
    <row r="12578" spans="1:4" x14ac:dyDescent="0.2">
      <c r="A12578" s="146"/>
      <c r="D12578" s="496"/>
    </row>
    <row r="12579" spans="1:4" x14ac:dyDescent="0.2">
      <c r="A12579" s="146"/>
      <c r="D12579" s="496"/>
    </row>
    <row r="12580" spans="1:4" x14ac:dyDescent="0.2">
      <c r="A12580" s="146"/>
      <c r="D12580" s="496"/>
    </row>
    <row r="12581" spans="1:4" x14ac:dyDescent="0.2">
      <c r="A12581" s="146"/>
      <c r="D12581" s="496"/>
    </row>
    <row r="12582" spans="1:4" x14ac:dyDescent="0.2">
      <c r="A12582" s="146"/>
      <c r="D12582" s="496"/>
    </row>
    <row r="12583" spans="1:4" x14ac:dyDescent="0.2">
      <c r="A12583" s="146"/>
      <c r="D12583" s="496"/>
    </row>
    <row r="12584" spans="1:4" x14ac:dyDescent="0.2">
      <c r="A12584" s="146"/>
      <c r="D12584" s="496"/>
    </row>
    <row r="12585" spans="1:4" x14ac:dyDescent="0.2">
      <c r="A12585" s="146"/>
      <c r="D12585" s="496"/>
    </row>
    <row r="12586" spans="1:4" x14ac:dyDescent="0.2">
      <c r="A12586" s="146"/>
      <c r="D12586" s="496"/>
    </row>
    <row r="12587" spans="1:4" x14ac:dyDescent="0.2">
      <c r="A12587" s="146"/>
      <c r="D12587" s="496"/>
    </row>
    <row r="12588" spans="1:4" x14ac:dyDescent="0.2">
      <c r="A12588" s="146"/>
      <c r="D12588" s="496"/>
    </row>
    <row r="12589" spans="1:4" x14ac:dyDescent="0.2">
      <c r="A12589" s="146"/>
      <c r="D12589" s="496"/>
    </row>
    <row r="12590" spans="1:4" x14ac:dyDescent="0.2">
      <c r="A12590" s="146"/>
      <c r="D12590" s="496"/>
    </row>
    <row r="12591" spans="1:4" x14ac:dyDescent="0.2">
      <c r="A12591" s="146"/>
      <c r="D12591" s="496"/>
    </row>
    <row r="12592" spans="1:4" x14ac:dyDescent="0.2">
      <c r="A12592" s="146"/>
      <c r="D12592" s="496"/>
    </row>
    <row r="12593" spans="1:4" x14ac:dyDescent="0.2">
      <c r="A12593" s="146"/>
      <c r="D12593" s="496"/>
    </row>
    <row r="12594" spans="1:4" x14ac:dyDescent="0.2">
      <c r="A12594" s="146"/>
      <c r="D12594" s="496"/>
    </row>
    <row r="12595" spans="1:4" x14ac:dyDescent="0.2">
      <c r="A12595" s="146"/>
      <c r="D12595" s="496"/>
    </row>
    <row r="12596" spans="1:4" x14ac:dyDescent="0.2">
      <c r="A12596" s="146"/>
      <c r="D12596" s="496"/>
    </row>
    <row r="12597" spans="1:4" x14ac:dyDescent="0.2">
      <c r="A12597" s="146"/>
      <c r="D12597" s="496"/>
    </row>
    <row r="12598" spans="1:4" x14ac:dyDescent="0.2">
      <c r="A12598" s="146"/>
      <c r="D12598" s="496"/>
    </row>
    <row r="12599" spans="1:4" x14ac:dyDescent="0.2">
      <c r="A12599" s="146"/>
      <c r="D12599" s="496"/>
    </row>
    <row r="12600" spans="1:4" x14ac:dyDescent="0.2">
      <c r="A12600" s="146"/>
      <c r="D12600" s="496"/>
    </row>
    <row r="12601" spans="1:4" x14ac:dyDescent="0.2">
      <c r="A12601" s="146"/>
      <c r="D12601" s="496"/>
    </row>
    <row r="12602" spans="1:4" x14ac:dyDescent="0.2">
      <c r="A12602" s="146"/>
      <c r="D12602" s="496"/>
    </row>
    <row r="12603" spans="1:4" x14ac:dyDescent="0.2">
      <c r="A12603" s="146"/>
      <c r="D12603" s="496"/>
    </row>
    <row r="12604" spans="1:4" x14ac:dyDescent="0.2">
      <c r="A12604" s="146"/>
      <c r="D12604" s="496"/>
    </row>
    <row r="12605" spans="1:4" x14ac:dyDescent="0.2">
      <c r="A12605" s="146"/>
      <c r="D12605" s="496"/>
    </row>
    <row r="12606" spans="1:4" x14ac:dyDescent="0.2">
      <c r="A12606" s="146"/>
      <c r="D12606" s="496"/>
    </row>
    <row r="12607" spans="1:4" x14ac:dyDescent="0.2">
      <c r="A12607" s="146"/>
      <c r="D12607" s="496"/>
    </row>
    <row r="12608" spans="1:4" x14ac:dyDescent="0.2">
      <c r="A12608" s="146"/>
      <c r="D12608" s="496"/>
    </row>
    <row r="12609" spans="1:4" x14ac:dyDescent="0.2">
      <c r="A12609" s="146"/>
      <c r="D12609" s="496"/>
    </row>
    <row r="12610" spans="1:4" x14ac:dyDescent="0.2">
      <c r="A12610" s="146"/>
      <c r="D12610" s="496"/>
    </row>
    <row r="12611" spans="1:4" x14ac:dyDescent="0.2">
      <c r="A12611" s="146"/>
      <c r="D12611" s="496"/>
    </row>
    <row r="12612" spans="1:4" x14ac:dyDescent="0.2">
      <c r="A12612" s="146"/>
      <c r="D12612" s="496"/>
    </row>
    <row r="12613" spans="1:4" x14ac:dyDescent="0.2">
      <c r="A12613" s="146"/>
      <c r="D12613" s="496"/>
    </row>
    <row r="12614" spans="1:4" x14ac:dyDescent="0.2">
      <c r="A12614" s="146"/>
      <c r="D12614" s="496"/>
    </row>
    <row r="12615" spans="1:4" x14ac:dyDescent="0.2">
      <c r="A12615" s="146"/>
      <c r="D12615" s="496"/>
    </row>
    <row r="12616" spans="1:4" x14ac:dyDescent="0.2">
      <c r="A12616" s="146"/>
      <c r="D12616" s="496"/>
    </row>
    <row r="12617" spans="1:4" x14ac:dyDescent="0.2">
      <c r="A12617" s="146"/>
      <c r="D12617" s="496"/>
    </row>
    <row r="12618" spans="1:4" x14ac:dyDescent="0.2">
      <c r="A12618" s="146"/>
      <c r="D12618" s="496"/>
    </row>
    <row r="12619" spans="1:4" x14ac:dyDescent="0.2">
      <c r="A12619" s="146"/>
      <c r="D12619" s="496"/>
    </row>
    <row r="12620" spans="1:4" x14ac:dyDescent="0.2">
      <c r="A12620" s="146"/>
      <c r="D12620" s="496"/>
    </row>
    <row r="12621" spans="1:4" x14ac:dyDescent="0.2">
      <c r="A12621" s="146"/>
      <c r="D12621" s="496"/>
    </row>
    <row r="12622" spans="1:4" x14ac:dyDescent="0.2">
      <c r="A12622" s="146"/>
      <c r="D12622" s="496"/>
    </row>
    <row r="12623" spans="1:4" x14ac:dyDescent="0.2">
      <c r="A12623" s="146"/>
      <c r="D12623" s="496"/>
    </row>
    <row r="12624" spans="1:4" x14ac:dyDescent="0.2">
      <c r="A12624" s="146"/>
      <c r="D12624" s="496"/>
    </row>
    <row r="12625" spans="1:4" x14ac:dyDescent="0.2">
      <c r="A12625" s="146"/>
      <c r="D12625" s="496"/>
    </row>
    <row r="12626" spans="1:4" x14ac:dyDescent="0.2">
      <c r="A12626" s="146"/>
      <c r="D12626" s="496"/>
    </row>
    <row r="12627" spans="1:4" x14ac:dyDescent="0.2">
      <c r="A12627" s="146"/>
      <c r="D12627" s="496"/>
    </row>
    <row r="12628" spans="1:4" x14ac:dyDescent="0.2">
      <c r="A12628" s="146"/>
      <c r="D12628" s="496"/>
    </row>
    <row r="12629" spans="1:4" x14ac:dyDescent="0.2">
      <c r="A12629" s="146"/>
      <c r="D12629" s="496"/>
    </row>
    <row r="12630" spans="1:4" x14ac:dyDescent="0.2">
      <c r="A12630" s="146"/>
      <c r="D12630" s="496"/>
    </row>
    <row r="12631" spans="1:4" x14ac:dyDescent="0.2">
      <c r="A12631" s="146"/>
      <c r="D12631" s="496"/>
    </row>
    <row r="12632" spans="1:4" x14ac:dyDescent="0.2">
      <c r="A12632" s="146"/>
      <c r="D12632" s="496"/>
    </row>
    <row r="12633" spans="1:4" x14ac:dyDescent="0.2">
      <c r="A12633" s="146"/>
      <c r="D12633" s="496"/>
    </row>
    <row r="12634" spans="1:4" x14ac:dyDescent="0.2">
      <c r="A12634" s="146"/>
      <c r="D12634" s="496"/>
    </row>
    <row r="12635" spans="1:4" x14ac:dyDescent="0.2">
      <c r="A12635" s="146"/>
      <c r="D12635" s="496"/>
    </row>
    <row r="12636" spans="1:4" x14ac:dyDescent="0.2">
      <c r="A12636" s="146"/>
      <c r="D12636" s="496"/>
    </row>
    <row r="12637" spans="1:4" x14ac:dyDescent="0.2">
      <c r="A12637" s="146"/>
      <c r="D12637" s="496"/>
    </row>
    <row r="12638" spans="1:4" x14ac:dyDescent="0.2">
      <c r="A12638" s="146"/>
      <c r="D12638" s="496"/>
    </row>
    <row r="12639" spans="1:4" x14ac:dyDescent="0.2">
      <c r="A12639" s="146"/>
      <c r="D12639" s="496"/>
    </row>
    <row r="12640" spans="1:4" x14ac:dyDescent="0.2">
      <c r="A12640" s="146"/>
      <c r="D12640" s="496"/>
    </row>
    <row r="12641" spans="1:4" x14ac:dyDescent="0.2">
      <c r="A12641" s="146"/>
      <c r="D12641" s="496"/>
    </row>
    <row r="12642" spans="1:4" x14ac:dyDescent="0.2">
      <c r="A12642" s="146"/>
      <c r="D12642" s="496"/>
    </row>
    <row r="12643" spans="1:4" x14ac:dyDescent="0.2">
      <c r="A12643" s="146"/>
      <c r="D12643" s="496"/>
    </row>
    <row r="12644" spans="1:4" x14ac:dyDescent="0.2">
      <c r="A12644" s="146"/>
      <c r="D12644" s="496"/>
    </row>
    <row r="12645" spans="1:4" x14ac:dyDescent="0.2">
      <c r="A12645" s="146"/>
      <c r="D12645" s="496"/>
    </row>
    <row r="12646" spans="1:4" x14ac:dyDescent="0.2">
      <c r="A12646" s="146"/>
      <c r="D12646" s="496"/>
    </row>
    <row r="12647" spans="1:4" x14ac:dyDescent="0.2">
      <c r="A12647" s="146"/>
      <c r="D12647" s="496"/>
    </row>
    <row r="12648" spans="1:4" x14ac:dyDescent="0.2">
      <c r="A12648" s="146"/>
      <c r="D12648" s="496"/>
    </row>
    <row r="12649" spans="1:4" x14ac:dyDescent="0.2">
      <c r="A12649" s="146"/>
      <c r="D12649" s="496"/>
    </row>
    <row r="12650" spans="1:4" x14ac:dyDescent="0.2">
      <c r="A12650" s="146"/>
      <c r="D12650" s="496"/>
    </row>
    <row r="12651" spans="1:4" x14ac:dyDescent="0.2">
      <c r="A12651" s="146"/>
      <c r="D12651" s="496"/>
    </row>
    <row r="12652" spans="1:4" x14ac:dyDescent="0.2">
      <c r="A12652" s="146"/>
      <c r="D12652" s="496"/>
    </row>
    <row r="12653" spans="1:4" x14ac:dyDescent="0.2">
      <c r="A12653" s="146"/>
      <c r="D12653" s="496"/>
    </row>
    <row r="12654" spans="1:4" x14ac:dyDescent="0.2">
      <c r="A12654" s="146"/>
      <c r="D12654" s="496"/>
    </row>
    <row r="12655" spans="1:4" x14ac:dyDescent="0.2">
      <c r="A12655" s="146"/>
      <c r="D12655" s="496"/>
    </row>
    <row r="12656" spans="1:4" x14ac:dyDescent="0.2">
      <c r="A12656" s="146"/>
      <c r="D12656" s="496"/>
    </row>
    <row r="12657" spans="1:4" x14ac:dyDescent="0.2">
      <c r="A12657" s="146"/>
      <c r="D12657" s="496"/>
    </row>
    <row r="12658" spans="1:4" x14ac:dyDescent="0.2">
      <c r="A12658" s="146"/>
      <c r="D12658" s="496"/>
    </row>
    <row r="12659" spans="1:4" x14ac:dyDescent="0.2">
      <c r="A12659" s="146"/>
      <c r="D12659" s="496"/>
    </row>
    <row r="12660" spans="1:4" x14ac:dyDescent="0.2">
      <c r="A12660" s="146"/>
      <c r="D12660" s="496"/>
    </row>
    <row r="12661" spans="1:4" x14ac:dyDescent="0.2">
      <c r="A12661" s="146"/>
      <c r="D12661" s="496"/>
    </row>
    <row r="12662" spans="1:4" x14ac:dyDescent="0.2">
      <c r="A12662" s="146"/>
      <c r="D12662" s="496"/>
    </row>
    <row r="12663" spans="1:4" x14ac:dyDescent="0.2">
      <c r="A12663" s="146"/>
      <c r="D12663" s="496"/>
    </row>
    <row r="12664" spans="1:4" x14ac:dyDescent="0.2">
      <c r="A12664" s="146"/>
      <c r="D12664" s="496"/>
    </row>
    <row r="12665" spans="1:4" x14ac:dyDescent="0.2">
      <c r="A12665" s="146"/>
      <c r="D12665" s="496"/>
    </row>
    <row r="12666" spans="1:4" x14ac:dyDescent="0.2">
      <c r="A12666" s="146"/>
      <c r="D12666" s="496"/>
    </row>
    <row r="12667" spans="1:4" x14ac:dyDescent="0.2">
      <c r="A12667" s="146"/>
      <c r="D12667" s="496"/>
    </row>
    <row r="12668" spans="1:4" x14ac:dyDescent="0.2">
      <c r="A12668" s="146"/>
      <c r="D12668" s="496"/>
    </row>
    <row r="12669" spans="1:4" x14ac:dyDescent="0.2">
      <c r="A12669" s="146"/>
      <c r="D12669" s="496"/>
    </row>
    <row r="12670" spans="1:4" x14ac:dyDescent="0.2">
      <c r="A12670" s="146"/>
      <c r="D12670" s="496"/>
    </row>
    <row r="12671" spans="1:4" x14ac:dyDescent="0.2">
      <c r="A12671" s="146"/>
      <c r="D12671" s="496"/>
    </row>
    <row r="12672" spans="1:4" x14ac:dyDescent="0.2">
      <c r="A12672" s="146"/>
      <c r="D12672" s="496"/>
    </row>
    <row r="12673" spans="1:4" x14ac:dyDescent="0.2">
      <c r="A12673" s="146"/>
      <c r="D12673" s="496"/>
    </row>
    <row r="12674" spans="1:4" x14ac:dyDescent="0.2">
      <c r="A12674" s="146"/>
      <c r="D12674" s="496"/>
    </row>
    <row r="12675" spans="1:4" x14ac:dyDescent="0.2">
      <c r="A12675" s="146"/>
      <c r="D12675" s="496"/>
    </row>
    <row r="12676" spans="1:4" x14ac:dyDescent="0.2">
      <c r="A12676" s="146"/>
      <c r="D12676" s="496"/>
    </row>
    <row r="12677" spans="1:4" x14ac:dyDescent="0.2">
      <c r="A12677" s="146"/>
      <c r="D12677" s="496"/>
    </row>
    <row r="12678" spans="1:4" x14ac:dyDescent="0.2">
      <c r="A12678" s="146"/>
      <c r="D12678" s="496"/>
    </row>
    <row r="12679" spans="1:4" x14ac:dyDescent="0.2">
      <c r="A12679" s="146"/>
      <c r="D12679" s="496"/>
    </row>
    <row r="12680" spans="1:4" x14ac:dyDescent="0.2">
      <c r="A12680" s="146"/>
      <c r="D12680" s="496"/>
    </row>
    <row r="12681" spans="1:4" x14ac:dyDescent="0.2">
      <c r="A12681" s="146"/>
      <c r="D12681" s="496"/>
    </row>
    <row r="12682" spans="1:4" x14ac:dyDescent="0.2">
      <c r="A12682" s="146"/>
      <c r="D12682" s="496"/>
    </row>
    <row r="12683" spans="1:4" x14ac:dyDescent="0.2">
      <c r="A12683" s="146"/>
      <c r="D12683" s="496"/>
    </row>
    <row r="12684" spans="1:4" x14ac:dyDescent="0.2">
      <c r="A12684" s="146"/>
      <c r="D12684" s="496"/>
    </row>
    <row r="12685" spans="1:4" x14ac:dyDescent="0.2">
      <c r="A12685" s="146"/>
      <c r="D12685" s="496"/>
    </row>
    <row r="12686" spans="1:4" x14ac:dyDescent="0.2">
      <c r="A12686" s="146"/>
      <c r="D12686" s="496"/>
    </row>
    <row r="12687" spans="1:4" x14ac:dyDescent="0.2">
      <c r="A12687" s="146"/>
      <c r="D12687" s="496"/>
    </row>
    <row r="12688" spans="1:4" x14ac:dyDescent="0.2">
      <c r="A12688" s="146"/>
      <c r="D12688" s="496"/>
    </row>
    <row r="12689" spans="1:4" x14ac:dyDescent="0.2">
      <c r="A12689" s="146"/>
      <c r="D12689" s="496"/>
    </row>
    <row r="12690" spans="1:4" x14ac:dyDescent="0.2">
      <c r="A12690" s="146"/>
      <c r="D12690" s="496"/>
    </row>
    <row r="12691" spans="1:4" x14ac:dyDescent="0.2">
      <c r="A12691" s="146"/>
      <c r="D12691" s="496"/>
    </row>
    <row r="12692" spans="1:4" x14ac:dyDescent="0.2">
      <c r="A12692" s="146"/>
      <c r="D12692" s="496"/>
    </row>
    <row r="12693" spans="1:4" x14ac:dyDescent="0.2">
      <c r="A12693" s="146"/>
      <c r="D12693" s="496"/>
    </row>
    <row r="12694" spans="1:4" x14ac:dyDescent="0.2">
      <c r="A12694" s="146"/>
      <c r="D12694" s="496"/>
    </row>
    <row r="12695" spans="1:4" x14ac:dyDescent="0.2">
      <c r="A12695" s="146"/>
      <c r="D12695" s="496"/>
    </row>
    <row r="12696" spans="1:4" x14ac:dyDescent="0.2">
      <c r="A12696" s="146"/>
      <c r="D12696" s="496"/>
    </row>
    <row r="12697" spans="1:4" x14ac:dyDescent="0.2">
      <c r="A12697" s="146"/>
      <c r="D12697" s="496"/>
    </row>
    <row r="12698" spans="1:4" x14ac:dyDescent="0.2">
      <c r="A12698" s="146"/>
      <c r="D12698" s="496"/>
    </row>
    <row r="12699" spans="1:4" x14ac:dyDescent="0.2">
      <c r="A12699" s="146"/>
      <c r="D12699" s="496"/>
    </row>
    <row r="12700" spans="1:4" x14ac:dyDescent="0.2">
      <c r="A12700" s="146"/>
      <c r="D12700" s="496"/>
    </row>
    <row r="12701" spans="1:4" x14ac:dyDescent="0.2">
      <c r="A12701" s="146"/>
      <c r="D12701" s="496"/>
    </row>
    <row r="12702" spans="1:4" x14ac:dyDescent="0.2">
      <c r="A12702" s="146"/>
      <c r="D12702" s="496"/>
    </row>
    <row r="12703" spans="1:4" x14ac:dyDescent="0.2">
      <c r="A12703" s="146"/>
      <c r="D12703" s="496"/>
    </row>
    <row r="12704" spans="1:4" x14ac:dyDescent="0.2">
      <c r="A12704" s="146"/>
      <c r="D12704" s="496"/>
    </row>
    <row r="12705" spans="1:4" x14ac:dyDescent="0.2">
      <c r="A12705" s="146"/>
      <c r="D12705" s="496"/>
    </row>
    <row r="12706" spans="1:4" x14ac:dyDescent="0.2">
      <c r="A12706" s="146"/>
      <c r="D12706" s="496"/>
    </row>
    <row r="12707" spans="1:4" x14ac:dyDescent="0.2">
      <c r="A12707" s="146"/>
      <c r="D12707" s="496"/>
    </row>
    <row r="12708" spans="1:4" x14ac:dyDescent="0.2">
      <c r="A12708" s="146"/>
      <c r="D12708" s="496"/>
    </row>
    <row r="12709" spans="1:4" x14ac:dyDescent="0.2">
      <c r="A12709" s="146"/>
      <c r="D12709" s="496"/>
    </row>
    <row r="12710" spans="1:4" x14ac:dyDescent="0.2">
      <c r="A12710" s="146"/>
      <c r="D12710" s="496"/>
    </row>
    <row r="12711" spans="1:4" x14ac:dyDescent="0.2">
      <c r="A12711" s="146"/>
      <c r="D12711" s="496"/>
    </row>
    <row r="12712" spans="1:4" x14ac:dyDescent="0.2">
      <c r="A12712" s="146"/>
      <c r="D12712" s="496"/>
    </row>
    <row r="12713" spans="1:4" x14ac:dyDescent="0.2">
      <c r="A12713" s="146"/>
      <c r="D12713" s="496"/>
    </row>
    <row r="12714" spans="1:4" x14ac:dyDescent="0.2">
      <c r="A12714" s="146"/>
      <c r="D12714" s="496"/>
    </row>
    <row r="12715" spans="1:4" x14ac:dyDescent="0.2">
      <c r="A12715" s="146"/>
      <c r="D12715" s="496"/>
    </row>
    <row r="12716" spans="1:4" x14ac:dyDescent="0.2">
      <c r="A12716" s="146"/>
      <c r="D12716" s="496"/>
    </row>
    <row r="12717" spans="1:4" x14ac:dyDescent="0.2">
      <c r="A12717" s="146"/>
      <c r="D12717" s="496"/>
    </row>
    <row r="12718" spans="1:4" x14ac:dyDescent="0.2">
      <c r="A12718" s="146"/>
      <c r="D12718" s="496"/>
    </row>
    <row r="12719" spans="1:4" x14ac:dyDescent="0.2">
      <c r="A12719" s="146"/>
      <c r="D12719" s="496"/>
    </row>
    <row r="12720" spans="1:4" x14ac:dyDescent="0.2">
      <c r="A12720" s="146"/>
      <c r="D12720" s="496"/>
    </row>
    <row r="12721" spans="1:4" x14ac:dyDescent="0.2">
      <c r="A12721" s="146"/>
      <c r="D12721" s="496"/>
    </row>
    <row r="12722" spans="1:4" x14ac:dyDescent="0.2">
      <c r="A12722" s="146"/>
      <c r="D12722" s="496"/>
    </row>
    <row r="12723" spans="1:4" x14ac:dyDescent="0.2">
      <c r="A12723" s="146"/>
      <c r="D12723" s="496"/>
    </row>
    <row r="12724" spans="1:4" x14ac:dyDescent="0.2">
      <c r="A12724" s="146"/>
      <c r="D12724" s="496"/>
    </row>
    <row r="12725" spans="1:4" x14ac:dyDescent="0.2">
      <c r="A12725" s="146"/>
      <c r="D12725" s="496"/>
    </row>
    <row r="12726" spans="1:4" x14ac:dyDescent="0.2">
      <c r="A12726" s="146"/>
      <c r="D12726" s="496"/>
    </row>
    <row r="12727" spans="1:4" x14ac:dyDescent="0.2">
      <c r="A12727" s="146"/>
      <c r="D12727" s="496"/>
    </row>
    <row r="12728" spans="1:4" x14ac:dyDescent="0.2">
      <c r="A12728" s="146"/>
      <c r="D12728" s="496"/>
    </row>
    <row r="12729" spans="1:4" x14ac:dyDescent="0.2">
      <c r="A12729" s="146"/>
      <c r="D12729" s="496"/>
    </row>
    <row r="12730" spans="1:4" x14ac:dyDescent="0.2">
      <c r="A12730" s="146"/>
      <c r="D12730" s="496"/>
    </row>
    <row r="12731" spans="1:4" x14ac:dyDescent="0.2">
      <c r="A12731" s="146"/>
      <c r="D12731" s="496"/>
    </row>
    <row r="12732" spans="1:4" x14ac:dyDescent="0.2">
      <c r="A12732" s="146"/>
      <c r="D12732" s="496"/>
    </row>
    <row r="12733" spans="1:4" x14ac:dyDescent="0.2">
      <c r="A12733" s="146"/>
      <c r="D12733" s="496"/>
    </row>
    <row r="12734" spans="1:4" x14ac:dyDescent="0.2">
      <c r="A12734" s="146"/>
      <c r="D12734" s="496"/>
    </row>
    <row r="12735" spans="1:4" x14ac:dyDescent="0.2">
      <c r="A12735" s="146"/>
      <c r="D12735" s="496"/>
    </row>
    <row r="12736" spans="1:4" x14ac:dyDescent="0.2">
      <c r="A12736" s="146"/>
      <c r="D12736" s="496"/>
    </row>
    <row r="12737" spans="1:4" x14ac:dyDescent="0.2">
      <c r="A12737" s="146"/>
      <c r="D12737" s="496"/>
    </row>
    <row r="12738" spans="1:4" x14ac:dyDescent="0.2">
      <c r="A12738" s="146"/>
      <c r="D12738" s="496"/>
    </row>
    <row r="12739" spans="1:4" x14ac:dyDescent="0.2">
      <c r="A12739" s="146"/>
      <c r="D12739" s="496"/>
    </row>
    <row r="12740" spans="1:4" x14ac:dyDescent="0.2">
      <c r="A12740" s="146"/>
      <c r="D12740" s="496"/>
    </row>
    <row r="12741" spans="1:4" x14ac:dyDescent="0.2">
      <c r="A12741" s="146"/>
      <c r="D12741" s="496"/>
    </row>
    <row r="12742" spans="1:4" x14ac:dyDescent="0.2">
      <c r="A12742" s="146"/>
      <c r="D12742" s="496"/>
    </row>
    <row r="12743" spans="1:4" x14ac:dyDescent="0.2">
      <c r="A12743" s="146"/>
      <c r="D12743" s="496"/>
    </row>
    <row r="12744" spans="1:4" x14ac:dyDescent="0.2">
      <c r="A12744" s="146"/>
      <c r="D12744" s="496"/>
    </row>
    <row r="12745" spans="1:4" x14ac:dyDescent="0.2">
      <c r="A12745" s="146"/>
      <c r="D12745" s="496"/>
    </row>
    <row r="12746" spans="1:4" x14ac:dyDescent="0.2">
      <c r="A12746" s="146"/>
      <c r="D12746" s="496"/>
    </row>
    <row r="12747" spans="1:4" x14ac:dyDescent="0.2">
      <c r="A12747" s="146"/>
      <c r="D12747" s="496"/>
    </row>
    <row r="12748" spans="1:4" x14ac:dyDescent="0.2">
      <c r="A12748" s="146"/>
      <c r="D12748" s="496"/>
    </row>
    <row r="12749" spans="1:4" x14ac:dyDescent="0.2">
      <c r="A12749" s="146"/>
      <c r="D12749" s="496"/>
    </row>
    <row r="12750" spans="1:4" x14ac:dyDescent="0.2">
      <c r="A12750" s="146"/>
      <c r="D12750" s="496"/>
    </row>
    <row r="12751" spans="1:4" x14ac:dyDescent="0.2">
      <c r="A12751" s="146"/>
      <c r="D12751" s="496"/>
    </row>
    <row r="12752" spans="1:4" x14ac:dyDescent="0.2">
      <c r="A12752" s="146"/>
      <c r="D12752" s="496"/>
    </row>
    <row r="12753" spans="1:4" x14ac:dyDescent="0.2">
      <c r="A12753" s="146"/>
      <c r="D12753" s="496"/>
    </row>
    <row r="12754" spans="1:4" x14ac:dyDescent="0.2">
      <c r="A12754" s="146"/>
      <c r="D12754" s="496"/>
    </row>
    <row r="12755" spans="1:4" x14ac:dyDescent="0.2">
      <c r="A12755" s="146"/>
      <c r="D12755" s="496"/>
    </row>
    <row r="12756" spans="1:4" x14ac:dyDescent="0.2">
      <c r="A12756" s="146"/>
      <c r="D12756" s="496"/>
    </row>
    <row r="12757" spans="1:4" x14ac:dyDescent="0.2">
      <c r="A12757" s="146"/>
      <c r="D12757" s="496"/>
    </row>
    <row r="12758" spans="1:4" x14ac:dyDescent="0.2">
      <c r="A12758" s="146"/>
      <c r="D12758" s="496"/>
    </row>
    <row r="12759" spans="1:4" x14ac:dyDescent="0.2">
      <c r="A12759" s="146"/>
      <c r="D12759" s="496"/>
    </row>
    <row r="12760" spans="1:4" x14ac:dyDescent="0.2">
      <c r="A12760" s="146"/>
      <c r="D12760" s="496"/>
    </row>
    <row r="12761" spans="1:4" x14ac:dyDescent="0.2">
      <c r="A12761" s="146"/>
      <c r="D12761" s="496"/>
    </row>
    <row r="12762" spans="1:4" x14ac:dyDescent="0.2">
      <c r="A12762" s="146"/>
      <c r="D12762" s="496"/>
    </row>
    <row r="12763" spans="1:4" x14ac:dyDescent="0.2">
      <c r="A12763" s="146"/>
      <c r="D12763" s="496"/>
    </row>
    <row r="12764" spans="1:4" x14ac:dyDescent="0.2">
      <c r="A12764" s="146"/>
      <c r="D12764" s="496"/>
    </row>
    <row r="12765" spans="1:4" x14ac:dyDescent="0.2">
      <c r="A12765" s="146"/>
      <c r="D12765" s="496"/>
    </row>
    <row r="12766" spans="1:4" x14ac:dyDescent="0.2">
      <c r="A12766" s="146"/>
      <c r="D12766" s="496"/>
    </row>
    <row r="12767" spans="1:4" x14ac:dyDescent="0.2">
      <c r="A12767" s="146"/>
      <c r="D12767" s="496"/>
    </row>
    <row r="12768" spans="1:4" x14ac:dyDescent="0.2">
      <c r="A12768" s="146"/>
      <c r="D12768" s="496"/>
    </row>
    <row r="12769" spans="1:4" x14ac:dyDescent="0.2">
      <c r="A12769" s="146"/>
      <c r="D12769" s="496"/>
    </row>
    <row r="12770" spans="1:4" x14ac:dyDescent="0.2">
      <c r="A12770" s="146"/>
      <c r="D12770" s="496"/>
    </row>
    <row r="12771" spans="1:4" x14ac:dyDescent="0.2">
      <c r="A12771" s="146"/>
      <c r="D12771" s="496"/>
    </row>
    <row r="12772" spans="1:4" x14ac:dyDescent="0.2">
      <c r="A12772" s="146"/>
      <c r="D12772" s="496"/>
    </row>
    <row r="12773" spans="1:4" x14ac:dyDescent="0.2">
      <c r="A12773" s="146"/>
      <c r="D12773" s="496"/>
    </row>
    <row r="12774" spans="1:4" x14ac:dyDescent="0.2">
      <c r="A12774" s="146"/>
      <c r="D12774" s="496"/>
    </row>
    <row r="12775" spans="1:4" x14ac:dyDescent="0.2">
      <c r="A12775" s="146"/>
      <c r="D12775" s="496"/>
    </row>
    <row r="12776" spans="1:4" x14ac:dyDescent="0.2">
      <c r="A12776" s="146"/>
      <c r="D12776" s="496"/>
    </row>
    <row r="12777" spans="1:4" x14ac:dyDescent="0.2">
      <c r="A12777" s="146"/>
      <c r="D12777" s="496"/>
    </row>
    <row r="12778" spans="1:4" x14ac:dyDescent="0.2">
      <c r="A12778" s="146"/>
      <c r="D12778" s="496"/>
    </row>
    <row r="12779" spans="1:4" x14ac:dyDescent="0.2">
      <c r="A12779" s="146"/>
      <c r="D12779" s="496"/>
    </row>
    <row r="12780" spans="1:4" x14ac:dyDescent="0.2">
      <c r="A12780" s="146"/>
      <c r="D12780" s="496"/>
    </row>
    <row r="12781" spans="1:4" x14ac:dyDescent="0.2">
      <c r="A12781" s="146"/>
      <c r="D12781" s="496"/>
    </row>
    <row r="12782" spans="1:4" x14ac:dyDescent="0.2">
      <c r="A12782" s="146"/>
      <c r="D12782" s="496"/>
    </row>
    <row r="12783" spans="1:4" x14ac:dyDescent="0.2">
      <c r="A12783" s="146"/>
      <c r="D12783" s="496"/>
    </row>
    <row r="12784" spans="1:4" x14ac:dyDescent="0.2">
      <c r="A12784" s="146"/>
      <c r="D12784" s="496"/>
    </row>
    <row r="12785" spans="1:4" x14ac:dyDescent="0.2">
      <c r="A12785" s="146"/>
      <c r="D12785" s="496"/>
    </row>
    <row r="12786" spans="1:4" x14ac:dyDescent="0.2">
      <c r="A12786" s="146"/>
      <c r="D12786" s="496"/>
    </row>
    <row r="12787" spans="1:4" x14ac:dyDescent="0.2">
      <c r="A12787" s="146"/>
      <c r="D12787" s="496"/>
    </row>
    <row r="12788" spans="1:4" x14ac:dyDescent="0.2">
      <c r="A12788" s="146"/>
      <c r="D12788" s="496"/>
    </row>
    <row r="12789" spans="1:4" x14ac:dyDescent="0.2">
      <c r="A12789" s="146"/>
      <c r="D12789" s="496"/>
    </row>
    <row r="12790" spans="1:4" x14ac:dyDescent="0.2">
      <c r="A12790" s="146"/>
      <c r="D12790" s="496"/>
    </row>
    <row r="12791" spans="1:4" x14ac:dyDescent="0.2">
      <c r="A12791" s="146"/>
      <c r="D12791" s="496"/>
    </row>
    <row r="12792" spans="1:4" x14ac:dyDescent="0.2">
      <c r="A12792" s="146"/>
      <c r="D12792" s="496"/>
    </row>
    <row r="12793" spans="1:4" x14ac:dyDescent="0.2">
      <c r="A12793" s="146"/>
      <c r="D12793" s="496"/>
    </row>
    <row r="12794" spans="1:4" x14ac:dyDescent="0.2">
      <c r="A12794" s="146"/>
      <c r="D12794" s="496"/>
    </row>
    <row r="12795" spans="1:4" x14ac:dyDescent="0.2">
      <c r="A12795" s="146"/>
      <c r="D12795" s="496"/>
    </row>
    <row r="12796" spans="1:4" x14ac:dyDescent="0.2">
      <c r="A12796" s="146"/>
      <c r="D12796" s="496"/>
    </row>
    <row r="12797" spans="1:4" x14ac:dyDescent="0.2">
      <c r="A12797" s="146"/>
      <c r="D12797" s="496"/>
    </row>
    <row r="12798" spans="1:4" x14ac:dyDescent="0.2">
      <c r="A12798" s="146"/>
      <c r="D12798" s="496"/>
    </row>
    <row r="12799" spans="1:4" x14ac:dyDescent="0.2">
      <c r="A12799" s="146"/>
      <c r="D12799" s="496"/>
    </row>
    <row r="12800" spans="1:4" x14ac:dyDescent="0.2">
      <c r="A12800" s="146"/>
      <c r="D12800" s="496"/>
    </row>
    <row r="12801" spans="1:4" x14ac:dyDescent="0.2">
      <c r="A12801" s="146"/>
      <c r="D12801" s="496"/>
    </row>
    <row r="12802" spans="1:4" x14ac:dyDescent="0.2">
      <c r="A12802" s="146"/>
      <c r="D12802" s="496"/>
    </row>
    <row r="12803" spans="1:4" x14ac:dyDescent="0.2">
      <c r="A12803" s="146"/>
      <c r="D12803" s="496"/>
    </row>
    <row r="12804" spans="1:4" x14ac:dyDescent="0.2">
      <c r="A12804" s="146"/>
      <c r="D12804" s="496"/>
    </row>
    <row r="12805" spans="1:4" x14ac:dyDescent="0.2">
      <c r="A12805" s="146"/>
      <c r="D12805" s="496"/>
    </row>
    <row r="12806" spans="1:4" x14ac:dyDescent="0.2">
      <c r="A12806" s="146"/>
      <c r="D12806" s="496"/>
    </row>
    <row r="12807" spans="1:4" x14ac:dyDescent="0.2">
      <c r="A12807" s="146"/>
      <c r="D12807" s="496"/>
    </row>
    <row r="12808" spans="1:4" x14ac:dyDescent="0.2">
      <c r="A12808" s="146"/>
      <c r="D12808" s="496"/>
    </row>
    <row r="12809" spans="1:4" x14ac:dyDescent="0.2">
      <c r="A12809" s="146"/>
      <c r="D12809" s="496"/>
    </row>
    <row r="12810" spans="1:4" x14ac:dyDescent="0.2">
      <c r="A12810" s="146"/>
      <c r="D12810" s="496"/>
    </row>
    <row r="12811" spans="1:4" x14ac:dyDescent="0.2">
      <c r="A12811" s="146"/>
      <c r="D12811" s="496"/>
    </row>
    <row r="12812" spans="1:4" x14ac:dyDescent="0.2">
      <c r="A12812" s="146"/>
      <c r="D12812" s="496"/>
    </row>
    <row r="12813" spans="1:4" x14ac:dyDescent="0.2">
      <c r="A12813" s="146"/>
      <c r="D12813" s="496"/>
    </row>
    <row r="12814" spans="1:4" x14ac:dyDescent="0.2">
      <c r="A12814" s="146"/>
      <c r="D12814" s="496"/>
    </row>
    <row r="12815" spans="1:4" x14ac:dyDescent="0.2">
      <c r="A12815" s="146"/>
      <c r="D12815" s="496"/>
    </row>
    <row r="12816" spans="1:4" x14ac:dyDescent="0.2">
      <c r="A12816" s="146"/>
      <c r="D12816" s="496"/>
    </row>
    <row r="12817" spans="1:4" x14ac:dyDescent="0.2">
      <c r="A12817" s="146"/>
      <c r="D12817" s="496"/>
    </row>
    <row r="12818" spans="1:4" x14ac:dyDescent="0.2">
      <c r="A12818" s="146"/>
      <c r="D12818" s="496"/>
    </row>
    <row r="12819" spans="1:4" x14ac:dyDescent="0.2">
      <c r="A12819" s="146"/>
      <c r="D12819" s="496"/>
    </row>
    <row r="12820" spans="1:4" x14ac:dyDescent="0.2">
      <c r="A12820" s="146"/>
      <c r="D12820" s="496"/>
    </row>
    <row r="12821" spans="1:4" x14ac:dyDescent="0.2">
      <c r="A12821" s="146"/>
      <c r="D12821" s="496"/>
    </row>
    <row r="12822" spans="1:4" x14ac:dyDescent="0.2">
      <c r="A12822" s="146"/>
      <c r="D12822" s="496"/>
    </row>
    <row r="12823" spans="1:4" x14ac:dyDescent="0.2">
      <c r="A12823" s="146"/>
      <c r="D12823" s="496"/>
    </row>
    <row r="12824" spans="1:4" x14ac:dyDescent="0.2">
      <c r="A12824" s="146"/>
      <c r="D12824" s="496"/>
    </row>
    <row r="12825" spans="1:4" x14ac:dyDescent="0.2">
      <c r="A12825" s="146"/>
      <c r="D12825" s="496"/>
    </row>
    <row r="12826" spans="1:4" x14ac:dyDescent="0.2">
      <c r="A12826" s="146"/>
      <c r="D12826" s="496"/>
    </row>
    <row r="12827" spans="1:4" x14ac:dyDescent="0.2">
      <c r="A12827" s="146"/>
      <c r="D12827" s="496"/>
    </row>
    <row r="12828" spans="1:4" x14ac:dyDescent="0.2">
      <c r="A12828" s="146"/>
      <c r="D12828" s="496"/>
    </row>
    <row r="12829" spans="1:4" x14ac:dyDescent="0.2">
      <c r="A12829" s="146"/>
      <c r="D12829" s="496"/>
    </row>
    <row r="12830" spans="1:4" x14ac:dyDescent="0.2">
      <c r="A12830" s="146"/>
      <c r="D12830" s="496"/>
    </row>
    <row r="12831" spans="1:4" x14ac:dyDescent="0.2">
      <c r="A12831" s="146"/>
      <c r="D12831" s="496"/>
    </row>
    <row r="12832" spans="1:4" x14ac:dyDescent="0.2">
      <c r="A12832" s="146"/>
      <c r="D12832" s="496"/>
    </row>
    <row r="12833" spans="1:4" x14ac:dyDescent="0.2">
      <c r="A12833" s="146"/>
      <c r="D12833" s="496"/>
    </row>
    <row r="12834" spans="1:4" x14ac:dyDescent="0.2">
      <c r="A12834" s="146"/>
      <c r="D12834" s="496"/>
    </row>
    <row r="12835" spans="1:4" x14ac:dyDescent="0.2">
      <c r="A12835" s="146"/>
      <c r="D12835" s="496"/>
    </row>
    <row r="12836" spans="1:4" x14ac:dyDescent="0.2">
      <c r="A12836" s="146"/>
      <c r="D12836" s="496"/>
    </row>
    <row r="12837" spans="1:4" x14ac:dyDescent="0.2">
      <c r="A12837" s="146"/>
      <c r="D12837" s="496"/>
    </row>
    <row r="12838" spans="1:4" x14ac:dyDescent="0.2">
      <c r="A12838" s="146"/>
      <c r="D12838" s="496"/>
    </row>
    <row r="12839" spans="1:4" x14ac:dyDescent="0.2">
      <c r="A12839" s="146"/>
      <c r="D12839" s="496"/>
    </row>
    <row r="12840" spans="1:4" x14ac:dyDescent="0.2">
      <c r="A12840" s="146"/>
      <c r="D12840" s="496"/>
    </row>
    <row r="12841" spans="1:4" x14ac:dyDescent="0.2">
      <c r="A12841" s="146"/>
      <c r="D12841" s="496"/>
    </row>
    <row r="12842" spans="1:4" x14ac:dyDescent="0.2">
      <c r="A12842" s="146"/>
      <c r="D12842" s="496"/>
    </row>
    <row r="12843" spans="1:4" x14ac:dyDescent="0.2">
      <c r="A12843" s="146"/>
      <c r="D12843" s="496"/>
    </row>
    <row r="12844" spans="1:4" x14ac:dyDescent="0.2">
      <c r="A12844" s="146"/>
      <c r="D12844" s="496"/>
    </row>
    <row r="12845" spans="1:4" x14ac:dyDescent="0.2">
      <c r="A12845" s="146"/>
      <c r="D12845" s="496"/>
    </row>
    <row r="12846" spans="1:4" x14ac:dyDescent="0.2">
      <c r="A12846" s="146"/>
      <c r="D12846" s="496"/>
    </row>
    <row r="12847" spans="1:4" x14ac:dyDescent="0.2">
      <c r="A12847" s="146"/>
      <c r="D12847" s="496"/>
    </row>
    <row r="12848" spans="1:4" x14ac:dyDescent="0.2">
      <c r="A12848" s="146"/>
      <c r="D12848" s="496"/>
    </row>
    <row r="12849" spans="1:4" x14ac:dyDescent="0.2">
      <c r="A12849" s="146"/>
      <c r="D12849" s="496"/>
    </row>
    <row r="12850" spans="1:4" x14ac:dyDescent="0.2">
      <c r="A12850" s="146"/>
      <c r="D12850" s="496"/>
    </row>
    <row r="12851" spans="1:4" x14ac:dyDescent="0.2">
      <c r="A12851" s="146"/>
      <c r="D12851" s="496"/>
    </row>
    <row r="12852" spans="1:4" x14ac:dyDescent="0.2">
      <c r="A12852" s="146"/>
      <c r="D12852" s="496"/>
    </row>
    <row r="12853" spans="1:4" x14ac:dyDescent="0.2">
      <c r="A12853" s="146"/>
      <c r="D12853" s="496"/>
    </row>
    <row r="12854" spans="1:4" x14ac:dyDescent="0.2">
      <c r="A12854" s="146"/>
      <c r="D12854" s="496"/>
    </row>
    <row r="12855" spans="1:4" x14ac:dyDescent="0.2">
      <c r="A12855" s="146"/>
      <c r="D12855" s="496"/>
    </row>
    <row r="12856" spans="1:4" x14ac:dyDescent="0.2">
      <c r="A12856" s="146"/>
      <c r="D12856" s="496"/>
    </row>
    <row r="12857" spans="1:4" x14ac:dyDescent="0.2">
      <c r="A12857" s="146"/>
      <c r="D12857" s="496"/>
    </row>
    <row r="12858" spans="1:4" x14ac:dyDescent="0.2">
      <c r="A12858" s="146"/>
      <c r="D12858" s="496"/>
    </row>
    <row r="12859" spans="1:4" x14ac:dyDescent="0.2">
      <c r="A12859" s="146"/>
      <c r="D12859" s="496"/>
    </row>
    <row r="12860" spans="1:4" x14ac:dyDescent="0.2">
      <c r="A12860" s="146"/>
      <c r="D12860" s="496"/>
    </row>
    <row r="12861" spans="1:4" x14ac:dyDescent="0.2">
      <c r="A12861" s="146"/>
      <c r="D12861" s="496"/>
    </row>
    <row r="12862" spans="1:4" x14ac:dyDescent="0.2">
      <c r="A12862" s="146"/>
      <c r="D12862" s="496"/>
    </row>
    <row r="12863" spans="1:4" x14ac:dyDescent="0.2">
      <c r="A12863" s="146"/>
      <c r="D12863" s="496"/>
    </row>
    <row r="12864" spans="1:4" x14ac:dyDescent="0.2">
      <c r="A12864" s="146"/>
      <c r="D12864" s="496"/>
    </row>
    <row r="12865" spans="1:4" x14ac:dyDescent="0.2">
      <c r="A12865" s="146"/>
      <c r="D12865" s="496"/>
    </row>
    <row r="12866" spans="1:4" x14ac:dyDescent="0.2">
      <c r="A12866" s="146"/>
      <c r="D12866" s="496"/>
    </row>
    <row r="12867" spans="1:4" x14ac:dyDescent="0.2">
      <c r="A12867" s="146"/>
      <c r="D12867" s="496"/>
    </row>
    <row r="12868" spans="1:4" x14ac:dyDescent="0.2">
      <c r="A12868" s="146"/>
      <c r="D12868" s="496"/>
    </row>
    <row r="12869" spans="1:4" x14ac:dyDescent="0.2">
      <c r="A12869" s="146"/>
      <c r="D12869" s="496"/>
    </row>
    <row r="12870" spans="1:4" x14ac:dyDescent="0.2">
      <c r="A12870" s="146"/>
      <c r="D12870" s="496"/>
    </row>
    <row r="12871" spans="1:4" x14ac:dyDescent="0.2">
      <c r="A12871" s="146"/>
      <c r="D12871" s="496"/>
    </row>
    <row r="12872" spans="1:4" x14ac:dyDescent="0.2">
      <c r="A12872" s="146"/>
      <c r="D12872" s="496"/>
    </row>
    <row r="12873" spans="1:4" x14ac:dyDescent="0.2">
      <c r="A12873" s="146"/>
      <c r="D12873" s="496"/>
    </row>
    <row r="12874" spans="1:4" x14ac:dyDescent="0.2">
      <c r="A12874" s="146"/>
      <c r="D12874" s="496"/>
    </row>
    <row r="12875" spans="1:4" x14ac:dyDescent="0.2">
      <c r="A12875" s="146"/>
      <c r="D12875" s="496"/>
    </row>
    <row r="12876" spans="1:4" x14ac:dyDescent="0.2">
      <c r="A12876" s="146"/>
      <c r="D12876" s="496"/>
    </row>
    <row r="12877" spans="1:4" x14ac:dyDescent="0.2">
      <c r="A12877" s="146"/>
      <c r="D12877" s="496"/>
    </row>
    <row r="12878" spans="1:4" x14ac:dyDescent="0.2">
      <c r="A12878" s="146"/>
      <c r="D12878" s="496"/>
    </row>
    <row r="12879" spans="1:4" x14ac:dyDescent="0.2">
      <c r="A12879" s="146"/>
      <c r="D12879" s="496"/>
    </row>
    <row r="12880" spans="1:4" x14ac:dyDescent="0.2">
      <c r="A12880" s="146"/>
      <c r="D12880" s="496"/>
    </row>
    <row r="12881" spans="1:4" x14ac:dyDescent="0.2">
      <c r="A12881" s="146"/>
      <c r="D12881" s="496"/>
    </row>
    <row r="12882" spans="1:4" x14ac:dyDescent="0.2">
      <c r="A12882" s="146"/>
      <c r="D12882" s="496"/>
    </row>
    <row r="12883" spans="1:4" x14ac:dyDescent="0.2">
      <c r="A12883" s="146"/>
      <c r="D12883" s="496"/>
    </row>
    <row r="12884" spans="1:4" x14ac:dyDescent="0.2">
      <c r="A12884" s="146"/>
      <c r="D12884" s="496"/>
    </row>
    <row r="12885" spans="1:4" x14ac:dyDescent="0.2">
      <c r="A12885" s="146"/>
      <c r="D12885" s="496"/>
    </row>
    <row r="12886" spans="1:4" x14ac:dyDescent="0.2">
      <c r="A12886" s="146"/>
      <c r="D12886" s="496"/>
    </row>
    <row r="12887" spans="1:4" x14ac:dyDescent="0.2">
      <c r="A12887" s="146"/>
      <c r="D12887" s="496"/>
    </row>
    <row r="12888" spans="1:4" x14ac:dyDescent="0.2">
      <c r="A12888" s="146"/>
      <c r="D12888" s="496"/>
    </row>
    <row r="12889" spans="1:4" x14ac:dyDescent="0.2">
      <c r="A12889" s="146"/>
      <c r="D12889" s="496"/>
    </row>
    <row r="12890" spans="1:4" x14ac:dyDescent="0.2">
      <c r="A12890" s="146"/>
      <c r="D12890" s="496"/>
    </row>
    <row r="12891" spans="1:4" x14ac:dyDescent="0.2">
      <c r="A12891" s="146"/>
      <c r="D12891" s="496"/>
    </row>
    <row r="12892" spans="1:4" x14ac:dyDescent="0.2">
      <c r="A12892" s="146"/>
      <c r="D12892" s="496"/>
    </row>
    <row r="12893" spans="1:4" x14ac:dyDescent="0.2">
      <c r="A12893" s="146"/>
      <c r="D12893" s="496"/>
    </row>
    <row r="12894" spans="1:4" x14ac:dyDescent="0.2">
      <c r="A12894" s="146"/>
      <c r="D12894" s="496"/>
    </row>
    <row r="12895" spans="1:4" x14ac:dyDescent="0.2">
      <c r="A12895" s="146"/>
      <c r="D12895" s="496"/>
    </row>
    <row r="12896" spans="1:4" x14ac:dyDescent="0.2">
      <c r="A12896" s="146"/>
      <c r="D12896" s="496"/>
    </row>
    <row r="12897" spans="1:4" x14ac:dyDescent="0.2">
      <c r="A12897" s="146"/>
      <c r="D12897" s="496"/>
    </row>
    <row r="12898" spans="1:4" x14ac:dyDescent="0.2">
      <c r="A12898" s="146"/>
      <c r="D12898" s="496"/>
    </row>
    <row r="12899" spans="1:4" x14ac:dyDescent="0.2">
      <c r="A12899" s="146"/>
      <c r="D12899" s="496"/>
    </row>
    <row r="12900" spans="1:4" x14ac:dyDescent="0.2">
      <c r="A12900" s="146"/>
      <c r="D12900" s="496"/>
    </row>
    <row r="12901" spans="1:4" x14ac:dyDescent="0.2">
      <c r="A12901" s="146"/>
      <c r="D12901" s="496"/>
    </row>
    <row r="12902" spans="1:4" x14ac:dyDescent="0.2">
      <c r="A12902" s="146"/>
      <c r="D12902" s="496"/>
    </row>
    <row r="12903" spans="1:4" x14ac:dyDescent="0.2">
      <c r="A12903" s="146"/>
      <c r="D12903" s="496"/>
    </row>
    <row r="12904" spans="1:4" x14ac:dyDescent="0.2">
      <c r="A12904" s="146"/>
      <c r="D12904" s="496"/>
    </row>
    <row r="12905" spans="1:4" x14ac:dyDescent="0.2">
      <c r="A12905" s="146"/>
      <c r="D12905" s="496"/>
    </row>
    <row r="12906" spans="1:4" x14ac:dyDescent="0.2">
      <c r="A12906" s="146"/>
      <c r="D12906" s="496"/>
    </row>
    <row r="12907" spans="1:4" x14ac:dyDescent="0.2">
      <c r="A12907" s="146"/>
      <c r="D12907" s="496"/>
    </row>
    <row r="12908" spans="1:4" x14ac:dyDescent="0.2">
      <c r="A12908" s="146"/>
      <c r="D12908" s="496"/>
    </row>
    <row r="12909" spans="1:4" x14ac:dyDescent="0.2">
      <c r="A12909" s="146"/>
      <c r="D12909" s="496"/>
    </row>
    <row r="12910" spans="1:4" x14ac:dyDescent="0.2">
      <c r="A12910" s="146"/>
      <c r="D12910" s="496"/>
    </row>
    <row r="12911" spans="1:4" x14ac:dyDescent="0.2">
      <c r="A12911" s="146"/>
      <c r="D12911" s="496"/>
    </row>
    <row r="12912" spans="1:4" x14ac:dyDescent="0.2">
      <c r="A12912" s="146"/>
      <c r="D12912" s="496"/>
    </row>
    <row r="12913" spans="1:4" x14ac:dyDescent="0.2">
      <c r="A12913" s="146"/>
      <c r="D12913" s="496"/>
    </row>
    <row r="12914" spans="1:4" x14ac:dyDescent="0.2">
      <c r="A12914" s="146"/>
      <c r="D12914" s="496"/>
    </row>
    <row r="12915" spans="1:4" x14ac:dyDescent="0.2">
      <c r="A12915" s="146"/>
      <c r="D12915" s="496"/>
    </row>
    <row r="12916" spans="1:4" x14ac:dyDescent="0.2">
      <c r="A12916" s="146"/>
      <c r="D12916" s="496"/>
    </row>
    <row r="12917" spans="1:4" x14ac:dyDescent="0.2">
      <c r="A12917" s="146"/>
      <c r="D12917" s="496"/>
    </row>
    <row r="12918" spans="1:4" x14ac:dyDescent="0.2">
      <c r="A12918" s="146"/>
      <c r="D12918" s="496"/>
    </row>
    <row r="12919" spans="1:4" x14ac:dyDescent="0.2">
      <c r="A12919" s="146"/>
      <c r="D12919" s="496"/>
    </row>
    <row r="12920" spans="1:4" x14ac:dyDescent="0.2">
      <c r="A12920" s="146"/>
      <c r="D12920" s="496"/>
    </row>
    <row r="12921" spans="1:4" x14ac:dyDescent="0.2">
      <c r="A12921" s="146"/>
      <c r="D12921" s="496"/>
    </row>
    <row r="12922" spans="1:4" x14ac:dyDescent="0.2">
      <c r="A12922" s="146"/>
      <c r="D12922" s="496"/>
    </row>
    <row r="12923" spans="1:4" x14ac:dyDescent="0.2">
      <c r="A12923" s="146"/>
      <c r="D12923" s="496"/>
    </row>
    <row r="12924" spans="1:4" x14ac:dyDescent="0.2">
      <c r="A12924" s="146"/>
      <c r="D12924" s="496"/>
    </row>
    <row r="12925" spans="1:4" x14ac:dyDescent="0.2">
      <c r="A12925" s="146"/>
      <c r="D12925" s="496"/>
    </row>
    <row r="12926" spans="1:4" x14ac:dyDescent="0.2">
      <c r="A12926" s="146"/>
      <c r="D12926" s="496"/>
    </row>
    <row r="12927" spans="1:4" x14ac:dyDescent="0.2">
      <c r="A12927" s="146"/>
      <c r="D12927" s="496"/>
    </row>
    <row r="12928" spans="1:4" x14ac:dyDescent="0.2">
      <c r="A12928" s="146"/>
      <c r="D12928" s="496"/>
    </row>
    <row r="12929" spans="1:4" x14ac:dyDescent="0.2">
      <c r="A12929" s="146"/>
      <c r="D12929" s="496"/>
    </row>
    <row r="12930" spans="1:4" x14ac:dyDescent="0.2">
      <c r="A12930" s="146"/>
      <c r="D12930" s="496"/>
    </row>
    <row r="12931" spans="1:4" x14ac:dyDescent="0.2">
      <c r="A12931" s="146"/>
      <c r="D12931" s="496"/>
    </row>
    <row r="12932" spans="1:4" x14ac:dyDescent="0.2">
      <c r="A12932" s="146"/>
      <c r="D12932" s="496"/>
    </row>
    <row r="12933" spans="1:4" x14ac:dyDescent="0.2">
      <c r="A12933" s="146"/>
      <c r="D12933" s="496"/>
    </row>
    <row r="12934" spans="1:4" x14ac:dyDescent="0.2">
      <c r="A12934" s="146"/>
      <c r="D12934" s="496"/>
    </row>
    <row r="12935" spans="1:4" x14ac:dyDescent="0.2">
      <c r="A12935" s="146"/>
      <c r="D12935" s="496"/>
    </row>
    <row r="12936" spans="1:4" x14ac:dyDescent="0.2">
      <c r="A12936" s="146"/>
      <c r="D12936" s="496"/>
    </row>
    <row r="12937" spans="1:4" x14ac:dyDescent="0.2">
      <c r="A12937" s="146"/>
      <c r="D12937" s="496"/>
    </row>
    <row r="12938" spans="1:4" x14ac:dyDescent="0.2">
      <c r="A12938" s="146"/>
      <c r="D12938" s="496"/>
    </row>
    <row r="12939" spans="1:4" x14ac:dyDescent="0.2">
      <c r="A12939" s="146"/>
      <c r="D12939" s="496"/>
    </row>
    <row r="12940" spans="1:4" x14ac:dyDescent="0.2">
      <c r="A12940" s="146"/>
      <c r="D12940" s="496"/>
    </row>
    <row r="12941" spans="1:4" x14ac:dyDescent="0.2">
      <c r="A12941" s="146"/>
      <c r="D12941" s="496"/>
    </row>
    <row r="12942" spans="1:4" x14ac:dyDescent="0.2">
      <c r="A12942" s="146"/>
      <c r="D12942" s="496"/>
    </row>
    <row r="12943" spans="1:4" x14ac:dyDescent="0.2">
      <c r="A12943" s="146"/>
      <c r="D12943" s="496"/>
    </row>
    <row r="12944" spans="1:4" x14ac:dyDescent="0.2">
      <c r="A12944" s="146"/>
      <c r="D12944" s="496"/>
    </row>
    <row r="12945" spans="1:4" x14ac:dyDescent="0.2">
      <c r="A12945" s="146"/>
      <c r="D12945" s="496"/>
    </row>
    <row r="12946" spans="1:4" x14ac:dyDescent="0.2">
      <c r="A12946" s="146"/>
      <c r="D12946" s="496"/>
    </row>
    <row r="12947" spans="1:4" x14ac:dyDescent="0.2">
      <c r="A12947" s="146"/>
      <c r="D12947" s="496"/>
    </row>
    <row r="12948" spans="1:4" x14ac:dyDescent="0.2">
      <c r="A12948" s="146"/>
      <c r="D12948" s="496"/>
    </row>
    <row r="12949" spans="1:4" x14ac:dyDescent="0.2">
      <c r="A12949" s="146"/>
      <c r="D12949" s="496"/>
    </row>
    <row r="12950" spans="1:4" x14ac:dyDescent="0.2">
      <c r="A12950" s="146"/>
      <c r="D12950" s="496"/>
    </row>
    <row r="12951" spans="1:4" x14ac:dyDescent="0.2">
      <c r="A12951" s="146"/>
      <c r="D12951" s="496"/>
    </row>
    <row r="12952" spans="1:4" x14ac:dyDescent="0.2">
      <c r="A12952" s="146"/>
      <c r="D12952" s="496"/>
    </row>
    <row r="12953" spans="1:4" x14ac:dyDescent="0.2">
      <c r="A12953" s="146"/>
      <c r="D12953" s="496"/>
    </row>
    <row r="12954" spans="1:4" x14ac:dyDescent="0.2">
      <c r="A12954" s="146"/>
      <c r="D12954" s="496"/>
    </row>
    <row r="12955" spans="1:4" x14ac:dyDescent="0.2">
      <c r="A12955" s="146"/>
      <c r="D12955" s="496"/>
    </row>
    <row r="12956" spans="1:4" x14ac:dyDescent="0.2">
      <c r="A12956" s="146"/>
      <c r="D12956" s="496"/>
    </row>
    <row r="12957" spans="1:4" x14ac:dyDescent="0.2">
      <c r="A12957" s="146"/>
      <c r="D12957" s="496"/>
    </row>
    <row r="12958" spans="1:4" x14ac:dyDescent="0.2">
      <c r="A12958" s="146"/>
      <c r="D12958" s="496"/>
    </row>
    <row r="12959" spans="1:4" x14ac:dyDescent="0.2">
      <c r="A12959" s="146"/>
      <c r="D12959" s="496"/>
    </row>
    <row r="12960" spans="1:4" x14ac:dyDescent="0.2">
      <c r="A12960" s="146"/>
      <c r="D12960" s="496"/>
    </row>
    <row r="12961" spans="1:4" x14ac:dyDescent="0.2">
      <c r="A12961" s="146"/>
      <c r="D12961" s="496"/>
    </row>
    <row r="12962" spans="1:4" x14ac:dyDescent="0.2">
      <c r="A12962" s="146"/>
      <c r="D12962" s="496"/>
    </row>
    <row r="12963" spans="1:4" x14ac:dyDescent="0.2">
      <c r="A12963" s="146"/>
      <c r="D12963" s="496"/>
    </row>
    <row r="12964" spans="1:4" x14ac:dyDescent="0.2">
      <c r="A12964" s="146"/>
      <c r="D12964" s="496"/>
    </row>
    <row r="12965" spans="1:4" x14ac:dyDescent="0.2">
      <c r="A12965" s="146"/>
      <c r="D12965" s="496"/>
    </row>
    <row r="12966" spans="1:4" x14ac:dyDescent="0.2">
      <c r="A12966" s="146"/>
      <c r="D12966" s="496"/>
    </row>
    <row r="12967" spans="1:4" x14ac:dyDescent="0.2">
      <c r="A12967" s="146"/>
      <c r="D12967" s="496"/>
    </row>
    <row r="12968" spans="1:4" x14ac:dyDescent="0.2">
      <c r="A12968" s="146"/>
      <c r="D12968" s="496"/>
    </row>
    <row r="12969" spans="1:4" x14ac:dyDescent="0.2">
      <c r="A12969" s="146"/>
      <c r="D12969" s="496"/>
    </row>
    <row r="12970" spans="1:4" x14ac:dyDescent="0.2">
      <c r="A12970" s="146"/>
      <c r="D12970" s="496"/>
    </row>
    <row r="12971" spans="1:4" x14ac:dyDescent="0.2">
      <c r="A12971" s="146"/>
      <c r="D12971" s="496"/>
    </row>
    <row r="12972" spans="1:4" x14ac:dyDescent="0.2">
      <c r="A12972" s="146"/>
      <c r="D12972" s="496"/>
    </row>
    <row r="12973" spans="1:4" x14ac:dyDescent="0.2">
      <c r="A12973" s="146"/>
      <c r="D12973" s="496"/>
    </row>
    <row r="12974" spans="1:4" x14ac:dyDescent="0.2">
      <c r="A12974" s="146"/>
      <c r="D12974" s="496"/>
    </row>
    <row r="12975" spans="1:4" x14ac:dyDescent="0.2">
      <c r="A12975" s="146"/>
      <c r="D12975" s="496"/>
    </row>
    <row r="12976" spans="1:4" x14ac:dyDescent="0.2">
      <c r="A12976" s="146"/>
      <c r="D12976" s="496"/>
    </row>
    <row r="12977" spans="1:4" x14ac:dyDescent="0.2">
      <c r="A12977" s="146"/>
      <c r="D12977" s="496"/>
    </row>
    <row r="12978" spans="1:4" x14ac:dyDescent="0.2">
      <c r="A12978" s="146"/>
      <c r="D12978" s="496"/>
    </row>
    <row r="12979" spans="1:4" x14ac:dyDescent="0.2">
      <c r="A12979" s="146"/>
      <c r="D12979" s="496"/>
    </row>
    <row r="12980" spans="1:4" x14ac:dyDescent="0.2">
      <c r="A12980" s="146"/>
      <c r="D12980" s="496"/>
    </row>
    <row r="12981" spans="1:4" x14ac:dyDescent="0.2">
      <c r="A12981" s="146"/>
      <c r="D12981" s="496"/>
    </row>
    <row r="12982" spans="1:4" x14ac:dyDescent="0.2">
      <c r="A12982" s="146"/>
      <c r="D12982" s="496"/>
    </row>
    <row r="12983" spans="1:4" x14ac:dyDescent="0.2">
      <c r="A12983" s="146"/>
      <c r="D12983" s="496"/>
    </row>
    <row r="12984" spans="1:4" x14ac:dyDescent="0.2">
      <c r="A12984" s="146"/>
      <c r="D12984" s="496"/>
    </row>
    <row r="12985" spans="1:4" x14ac:dyDescent="0.2">
      <c r="A12985" s="146"/>
      <c r="D12985" s="496"/>
    </row>
    <row r="12986" spans="1:4" x14ac:dyDescent="0.2">
      <c r="A12986" s="146"/>
      <c r="D12986" s="496"/>
    </row>
    <row r="12987" spans="1:4" x14ac:dyDescent="0.2">
      <c r="A12987" s="146"/>
      <c r="D12987" s="496"/>
    </row>
    <row r="12988" spans="1:4" x14ac:dyDescent="0.2">
      <c r="A12988" s="146"/>
      <c r="D12988" s="496"/>
    </row>
    <row r="12989" spans="1:4" x14ac:dyDescent="0.2">
      <c r="A12989" s="146"/>
      <c r="D12989" s="496"/>
    </row>
    <row r="12990" spans="1:4" x14ac:dyDescent="0.2">
      <c r="A12990" s="146"/>
      <c r="D12990" s="496"/>
    </row>
    <row r="12991" spans="1:4" x14ac:dyDescent="0.2">
      <c r="A12991" s="146"/>
      <c r="D12991" s="496"/>
    </row>
    <row r="12992" spans="1:4" x14ac:dyDescent="0.2">
      <c r="A12992" s="146"/>
      <c r="D12992" s="496"/>
    </row>
    <row r="12993" spans="1:4" x14ac:dyDescent="0.2">
      <c r="A12993" s="146"/>
      <c r="D12993" s="496"/>
    </row>
    <row r="12994" spans="1:4" x14ac:dyDescent="0.2">
      <c r="A12994" s="146"/>
      <c r="D12994" s="496"/>
    </row>
    <row r="12995" spans="1:4" x14ac:dyDescent="0.2">
      <c r="A12995" s="146"/>
      <c r="D12995" s="496"/>
    </row>
    <row r="12996" spans="1:4" x14ac:dyDescent="0.2">
      <c r="A12996" s="146"/>
      <c r="D12996" s="496"/>
    </row>
    <row r="12997" spans="1:4" x14ac:dyDescent="0.2">
      <c r="A12997" s="146"/>
      <c r="D12997" s="496"/>
    </row>
    <row r="12998" spans="1:4" x14ac:dyDescent="0.2">
      <c r="A12998" s="146"/>
      <c r="D12998" s="496"/>
    </row>
    <row r="12999" spans="1:4" x14ac:dyDescent="0.2">
      <c r="A12999" s="146"/>
      <c r="D12999" s="496"/>
    </row>
    <row r="13000" spans="1:4" x14ac:dyDescent="0.2">
      <c r="A13000" s="146"/>
      <c r="D13000" s="496"/>
    </row>
    <row r="13001" spans="1:4" x14ac:dyDescent="0.2">
      <c r="A13001" s="146"/>
      <c r="D13001" s="496"/>
    </row>
    <row r="13002" spans="1:4" x14ac:dyDescent="0.2">
      <c r="A13002" s="146"/>
      <c r="D13002" s="496"/>
    </row>
    <row r="13003" spans="1:4" x14ac:dyDescent="0.2">
      <c r="A13003" s="146"/>
      <c r="D13003" s="496"/>
    </row>
    <row r="13004" spans="1:4" x14ac:dyDescent="0.2">
      <c r="A13004" s="146"/>
      <c r="D13004" s="496"/>
    </row>
    <row r="13005" spans="1:4" x14ac:dyDescent="0.2">
      <c r="A13005" s="146"/>
      <c r="D13005" s="496"/>
    </row>
    <row r="13006" spans="1:4" x14ac:dyDescent="0.2">
      <c r="A13006" s="146"/>
      <c r="D13006" s="496"/>
    </row>
    <row r="13007" spans="1:4" x14ac:dyDescent="0.2">
      <c r="A13007" s="146"/>
      <c r="D13007" s="496"/>
    </row>
    <row r="13008" spans="1:4" x14ac:dyDescent="0.2">
      <c r="A13008" s="146"/>
      <c r="D13008" s="496"/>
    </row>
    <row r="13009" spans="1:4" x14ac:dyDescent="0.2">
      <c r="A13009" s="146"/>
      <c r="D13009" s="496"/>
    </row>
    <row r="13010" spans="1:4" x14ac:dyDescent="0.2">
      <c r="A13010" s="146"/>
      <c r="D13010" s="496"/>
    </row>
    <row r="13011" spans="1:4" x14ac:dyDescent="0.2">
      <c r="A13011" s="146"/>
      <c r="D13011" s="496"/>
    </row>
    <row r="13012" spans="1:4" x14ac:dyDescent="0.2">
      <c r="A13012" s="146"/>
      <c r="D13012" s="496"/>
    </row>
    <row r="13013" spans="1:4" x14ac:dyDescent="0.2">
      <c r="A13013" s="146"/>
      <c r="D13013" s="496"/>
    </row>
    <row r="13014" spans="1:4" x14ac:dyDescent="0.2">
      <c r="A13014" s="146"/>
      <c r="D13014" s="496"/>
    </row>
    <row r="13015" spans="1:4" x14ac:dyDescent="0.2">
      <c r="A13015" s="146"/>
      <c r="D13015" s="496"/>
    </row>
    <row r="13016" spans="1:4" x14ac:dyDescent="0.2">
      <c r="A13016" s="146"/>
      <c r="D13016" s="496"/>
    </row>
    <row r="13017" spans="1:4" x14ac:dyDescent="0.2">
      <c r="A13017" s="146"/>
      <c r="D13017" s="496"/>
    </row>
    <row r="13018" spans="1:4" x14ac:dyDescent="0.2">
      <c r="A13018" s="146"/>
      <c r="D13018" s="496"/>
    </row>
    <row r="13019" spans="1:4" x14ac:dyDescent="0.2">
      <c r="A13019" s="146"/>
      <c r="D13019" s="496"/>
    </row>
    <row r="13020" spans="1:4" x14ac:dyDescent="0.2">
      <c r="A13020" s="146"/>
      <c r="D13020" s="496"/>
    </row>
    <row r="13021" spans="1:4" x14ac:dyDescent="0.2">
      <c r="A13021" s="146"/>
      <c r="D13021" s="496"/>
    </row>
    <row r="13022" spans="1:4" x14ac:dyDescent="0.2">
      <c r="A13022" s="146"/>
      <c r="D13022" s="496"/>
    </row>
    <row r="13023" spans="1:4" x14ac:dyDescent="0.2">
      <c r="A13023" s="146"/>
      <c r="D13023" s="496"/>
    </row>
    <row r="13024" spans="1:4" x14ac:dyDescent="0.2">
      <c r="A13024" s="146"/>
      <c r="D13024" s="496"/>
    </row>
    <row r="13025" spans="1:4" x14ac:dyDescent="0.2">
      <c r="A13025" s="146"/>
      <c r="D13025" s="496"/>
    </row>
    <row r="13026" spans="1:4" x14ac:dyDescent="0.2">
      <c r="A13026" s="146"/>
      <c r="D13026" s="496"/>
    </row>
    <row r="13027" spans="1:4" x14ac:dyDescent="0.2">
      <c r="A13027" s="146"/>
      <c r="D13027" s="496"/>
    </row>
    <row r="13028" spans="1:4" x14ac:dyDescent="0.2">
      <c r="A13028" s="146"/>
      <c r="D13028" s="496"/>
    </row>
    <row r="13029" spans="1:4" x14ac:dyDescent="0.2">
      <c r="A13029" s="146"/>
      <c r="D13029" s="496"/>
    </row>
    <row r="13030" spans="1:4" x14ac:dyDescent="0.2">
      <c r="A13030" s="146"/>
      <c r="D13030" s="496"/>
    </row>
    <row r="13031" spans="1:4" x14ac:dyDescent="0.2">
      <c r="A13031" s="146"/>
      <c r="D13031" s="496"/>
    </row>
    <row r="13032" spans="1:4" x14ac:dyDescent="0.2">
      <c r="A13032" s="146"/>
      <c r="D13032" s="496"/>
    </row>
    <row r="13033" spans="1:4" x14ac:dyDescent="0.2">
      <c r="A13033" s="146"/>
      <c r="D13033" s="496"/>
    </row>
    <row r="13034" spans="1:4" x14ac:dyDescent="0.2">
      <c r="A13034" s="146"/>
      <c r="D13034" s="496"/>
    </row>
    <row r="13035" spans="1:4" x14ac:dyDescent="0.2">
      <c r="A13035" s="146"/>
      <c r="D13035" s="496"/>
    </row>
    <row r="13036" spans="1:4" x14ac:dyDescent="0.2">
      <c r="A13036" s="146"/>
      <c r="D13036" s="496"/>
    </row>
    <row r="13037" spans="1:4" x14ac:dyDescent="0.2">
      <c r="A13037" s="146"/>
      <c r="D13037" s="496"/>
    </row>
    <row r="13038" spans="1:4" x14ac:dyDescent="0.2">
      <c r="A13038" s="146"/>
      <c r="D13038" s="496"/>
    </row>
    <row r="13039" spans="1:4" x14ac:dyDescent="0.2">
      <c r="A13039" s="146"/>
      <c r="D13039" s="496"/>
    </row>
    <row r="13040" spans="1:4" x14ac:dyDescent="0.2">
      <c r="A13040" s="146"/>
      <c r="D13040" s="496"/>
    </row>
    <row r="13041" spans="1:4" x14ac:dyDescent="0.2">
      <c r="A13041" s="146"/>
      <c r="D13041" s="496"/>
    </row>
    <row r="13042" spans="1:4" x14ac:dyDescent="0.2">
      <c r="A13042" s="146"/>
      <c r="D13042" s="496"/>
    </row>
    <row r="13043" spans="1:4" x14ac:dyDescent="0.2">
      <c r="A13043" s="146"/>
      <c r="D13043" s="496"/>
    </row>
    <row r="13044" spans="1:4" x14ac:dyDescent="0.2">
      <c r="A13044" s="146"/>
      <c r="D13044" s="496"/>
    </row>
    <row r="13045" spans="1:4" x14ac:dyDescent="0.2">
      <c r="A13045" s="146"/>
      <c r="D13045" s="496"/>
    </row>
    <row r="13046" spans="1:4" x14ac:dyDescent="0.2">
      <c r="A13046" s="146"/>
      <c r="D13046" s="496"/>
    </row>
    <row r="13047" spans="1:4" x14ac:dyDescent="0.2">
      <c r="A13047" s="146"/>
      <c r="D13047" s="496"/>
    </row>
    <row r="13048" spans="1:4" x14ac:dyDescent="0.2">
      <c r="A13048" s="146"/>
      <c r="D13048" s="496"/>
    </row>
    <row r="13049" spans="1:4" x14ac:dyDescent="0.2">
      <c r="A13049" s="146"/>
      <c r="D13049" s="496"/>
    </row>
    <row r="13050" spans="1:4" x14ac:dyDescent="0.2">
      <c r="A13050" s="146"/>
      <c r="D13050" s="496"/>
    </row>
    <row r="13051" spans="1:4" x14ac:dyDescent="0.2">
      <c r="A13051" s="146"/>
      <c r="D13051" s="496"/>
    </row>
    <row r="13052" spans="1:4" x14ac:dyDescent="0.2">
      <c r="A13052" s="146"/>
      <c r="D13052" s="496"/>
    </row>
    <row r="13053" spans="1:4" x14ac:dyDescent="0.2">
      <c r="A13053" s="146"/>
      <c r="D13053" s="496"/>
    </row>
    <row r="13054" spans="1:4" x14ac:dyDescent="0.2">
      <c r="A13054" s="146"/>
      <c r="D13054" s="496"/>
    </row>
    <row r="13055" spans="1:4" x14ac:dyDescent="0.2">
      <c r="A13055" s="146"/>
      <c r="D13055" s="496"/>
    </row>
    <row r="13056" spans="1:4" x14ac:dyDescent="0.2">
      <c r="A13056" s="146"/>
      <c r="D13056" s="496"/>
    </row>
    <row r="13057" spans="1:4" x14ac:dyDescent="0.2">
      <c r="A13057" s="146"/>
      <c r="D13057" s="496"/>
    </row>
    <row r="13058" spans="1:4" x14ac:dyDescent="0.2">
      <c r="A13058" s="146"/>
      <c r="D13058" s="496"/>
    </row>
    <row r="13059" spans="1:4" x14ac:dyDescent="0.2">
      <c r="A13059" s="146"/>
      <c r="D13059" s="496"/>
    </row>
    <row r="13060" spans="1:4" x14ac:dyDescent="0.2">
      <c r="A13060" s="146"/>
      <c r="D13060" s="496"/>
    </row>
    <row r="13061" spans="1:4" x14ac:dyDescent="0.2">
      <c r="A13061" s="146"/>
      <c r="D13061" s="496"/>
    </row>
    <row r="13062" spans="1:4" x14ac:dyDescent="0.2">
      <c r="A13062" s="146"/>
      <c r="D13062" s="496"/>
    </row>
    <row r="13063" spans="1:4" x14ac:dyDescent="0.2">
      <c r="A13063" s="146"/>
      <c r="D13063" s="496"/>
    </row>
    <row r="13064" spans="1:4" x14ac:dyDescent="0.2">
      <c r="A13064" s="146"/>
      <c r="D13064" s="496"/>
    </row>
    <row r="13065" spans="1:4" x14ac:dyDescent="0.2">
      <c r="A13065" s="146"/>
      <c r="D13065" s="496"/>
    </row>
    <row r="13066" spans="1:4" x14ac:dyDescent="0.2">
      <c r="A13066" s="146"/>
      <c r="D13066" s="496"/>
    </row>
    <row r="13067" spans="1:4" x14ac:dyDescent="0.2">
      <c r="A13067" s="146"/>
      <c r="D13067" s="496"/>
    </row>
    <row r="13068" spans="1:4" x14ac:dyDescent="0.2">
      <c r="A13068" s="146"/>
      <c r="D13068" s="496"/>
    </row>
    <row r="13069" spans="1:4" x14ac:dyDescent="0.2">
      <c r="A13069" s="146"/>
      <c r="D13069" s="496"/>
    </row>
    <row r="13070" spans="1:4" x14ac:dyDescent="0.2">
      <c r="A13070" s="146"/>
      <c r="D13070" s="496"/>
    </row>
    <row r="13071" spans="1:4" x14ac:dyDescent="0.2">
      <c r="A13071" s="146"/>
      <c r="D13071" s="496"/>
    </row>
    <row r="13072" spans="1:4" x14ac:dyDescent="0.2">
      <c r="A13072" s="146"/>
      <c r="D13072" s="496"/>
    </row>
    <row r="13073" spans="1:4" x14ac:dyDescent="0.2">
      <c r="A13073" s="146"/>
      <c r="D13073" s="496"/>
    </row>
    <row r="13074" spans="1:4" x14ac:dyDescent="0.2">
      <c r="A13074" s="146"/>
      <c r="D13074" s="496"/>
    </row>
    <row r="13075" spans="1:4" x14ac:dyDescent="0.2">
      <c r="A13075" s="146"/>
      <c r="D13075" s="496"/>
    </row>
    <row r="13076" spans="1:4" x14ac:dyDescent="0.2">
      <c r="A13076" s="146"/>
      <c r="D13076" s="496"/>
    </row>
    <row r="13077" spans="1:4" x14ac:dyDescent="0.2">
      <c r="A13077" s="146"/>
      <c r="D13077" s="496"/>
    </row>
    <row r="13078" spans="1:4" x14ac:dyDescent="0.2">
      <c r="A13078" s="146"/>
      <c r="D13078" s="496"/>
    </row>
    <row r="13079" spans="1:4" x14ac:dyDescent="0.2">
      <c r="A13079" s="146"/>
      <c r="D13079" s="496"/>
    </row>
    <row r="13080" spans="1:4" x14ac:dyDescent="0.2">
      <c r="A13080" s="146"/>
      <c r="D13080" s="496"/>
    </row>
    <row r="13081" spans="1:4" x14ac:dyDescent="0.2">
      <c r="A13081" s="146"/>
      <c r="D13081" s="496"/>
    </row>
    <row r="13082" spans="1:4" x14ac:dyDescent="0.2">
      <c r="A13082" s="146"/>
      <c r="D13082" s="496"/>
    </row>
    <row r="13083" spans="1:4" x14ac:dyDescent="0.2">
      <c r="A13083" s="146"/>
      <c r="D13083" s="496"/>
    </row>
    <row r="13084" spans="1:4" x14ac:dyDescent="0.2">
      <c r="A13084" s="146"/>
      <c r="D13084" s="496"/>
    </row>
    <row r="13085" spans="1:4" x14ac:dyDescent="0.2">
      <c r="A13085" s="146"/>
      <c r="D13085" s="496"/>
    </row>
    <row r="13086" spans="1:4" x14ac:dyDescent="0.2">
      <c r="A13086" s="146"/>
      <c r="D13086" s="496"/>
    </row>
    <row r="13087" spans="1:4" x14ac:dyDescent="0.2">
      <c r="A13087" s="146"/>
      <c r="D13087" s="496"/>
    </row>
    <row r="13088" spans="1:4" x14ac:dyDescent="0.2">
      <c r="A13088" s="146"/>
      <c r="D13088" s="496"/>
    </row>
    <row r="13089" spans="1:4" x14ac:dyDescent="0.2">
      <c r="A13089" s="146"/>
      <c r="D13089" s="496"/>
    </row>
    <row r="13090" spans="1:4" x14ac:dyDescent="0.2">
      <c r="A13090" s="146"/>
      <c r="D13090" s="496"/>
    </row>
    <row r="13091" spans="1:4" x14ac:dyDescent="0.2">
      <c r="A13091" s="146"/>
      <c r="D13091" s="496"/>
    </row>
    <row r="13092" spans="1:4" x14ac:dyDescent="0.2">
      <c r="A13092" s="146"/>
      <c r="D13092" s="496"/>
    </row>
    <row r="13093" spans="1:4" x14ac:dyDescent="0.2">
      <c r="A13093" s="146"/>
      <c r="D13093" s="496"/>
    </row>
    <row r="13094" spans="1:4" x14ac:dyDescent="0.2">
      <c r="A13094" s="146"/>
      <c r="D13094" s="496"/>
    </row>
    <row r="13095" spans="1:4" x14ac:dyDescent="0.2">
      <c r="A13095" s="146"/>
      <c r="D13095" s="496"/>
    </row>
    <row r="13096" spans="1:4" x14ac:dyDescent="0.2">
      <c r="A13096" s="146"/>
      <c r="D13096" s="496"/>
    </row>
    <row r="13097" spans="1:4" x14ac:dyDescent="0.2">
      <c r="A13097" s="146"/>
      <c r="D13097" s="496"/>
    </row>
    <row r="13098" spans="1:4" x14ac:dyDescent="0.2">
      <c r="A13098" s="146"/>
      <c r="D13098" s="496"/>
    </row>
    <row r="13099" spans="1:4" x14ac:dyDescent="0.2">
      <c r="A13099" s="146"/>
      <c r="D13099" s="496"/>
    </row>
    <row r="13100" spans="1:4" x14ac:dyDescent="0.2">
      <c r="A13100" s="146"/>
      <c r="D13100" s="496"/>
    </row>
    <row r="13101" spans="1:4" x14ac:dyDescent="0.2">
      <c r="A13101" s="146"/>
      <c r="D13101" s="496"/>
    </row>
    <row r="13102" spans="1:4" x14ac:dyDescent="0.2">
      <c r="A13102" s="146"/>
      <c r="D13102" s="496"/>
    </row>
    <row r="13103" spans="1:4" x14ac:dyDescent="0.2">
      <c r="A13103" s="146"/>
      <c r="D13103" s="496"/>
    </row>
    <row r="13104" spans="1:4" x14ac:dyDescent="0.2">
      <c r="A13104" s="146"/>
      <c r="D13104" s="496"/>
    </row>
    <row r="13105" spans="1:4" x14ac:dyDescent="0.2">
      <c r="A13105" s="146"/>
      <c r="D13105" s="496"/>
    </row>
    <row r="13106" spans="1:4" x14ac:dyDescent="0.2">
      <c r="A13106" s="146"/>
      <c r="D13106" s="496"/>
    </row>
    <row r="13107" spans="1:4" x14ac:dyDescent="0.2">
      <c r="A13107" s="146"/>
      <c r="D13107" s="496"/>
    </row>
    <row r="13108" spans="1:4" x14ac:dyDescent="0.2">
      <c r="A13108" s="146"/>
      <c r="D13108" s="496"/>
    </row>
    <row r="13109" spans="1:4" x14ac:dyDescent="0.2">
      <c r="A13109" s="146"/>
      <c r="D13109" s="496"/>
    </row>
    <row r="13110" spans="1:4" x14ac:dyDescent="0.2">
      <c r="A13110" s="146"/>
      <c r="D13110" s="496"/>
    </row>
    <row r="13111" spans="1:4" x14ac:dyDescent="0.2">
      <c r="A13111" s="146"/>
      <c r="D13111" s="496"/>
    </row>
    <row r="13112" spans="1:4" x14ac:dyDescent="0.2">
      <c r="A13112" s="146"/>
      <c r="D13112" s="496"/>
    </row>
    <row r="13113" spans="1:4" x14ac:dyDescent="0.2">
      <c r="A13113" s="146"/>
      <c r="D13113" s="496"/>
    </row>
    <row r="13114" spans="1:4" x14ac:dyDescent="0.2">
      <c r="A13114" s="146"/>
      <c r="D13114" s="496"/>
    </row>
    <row r="13115" spans="1:4" x14ac:dyDescent="0.2">
      <c r="A13115" s="146"/>
      <c r="D13115" s="496"/>
    </row>
    <row r="13116" spans="1:4" x14ac:dyDescent="0.2">
      <c r="A13116" s="146"/>
      <c r="D13116" s="496"/>
    </row>
    <row r="13117" spans="1:4" x14ac:dyDescent="0.2">
      <c r="A13117" s="146"/>
      <c r="D13117" s="496"/>
    </row>
    <row r="13118" spans="1:4" x14ac:dyDescent="0.2">
      <c r="A13118" s="146"/>
      <c r="D13118" s="496"/>
    </row>
    <row r="13119" spans="1:4" x14ac:dyDescent="0.2">
      <c r="A13119" s="146"/>
      <c r="D13119" s="496"/>
    </row>
    <row r="13120" spans="1:4" x14ac:dyDescent="0.2">
      <c r="A13120" s="146"/>
      <c r="D13120" s="496"/>
    </row>
    <row r="13121" spans="1:4" x14ac:dyDescent="0.2">
      <c r="A13121" s="146"/>
      <c r="D13121" s="496"/>
    </row>
    <row r="13122" spans="1:4" x14ac:dyDescent="0.2">
      <c r="A13122" s="146"/>
      <c r="D13122" s="496"/>
    </row>
    <row r="13123" spans="1:4" x14ac:dyDescent="0.2">
      <c r="A13123" s="146"/>
      <c r="D13123" s="496"/>
    </row>
    <row r="13124" spans="1:4" x14ac:dyDescent="0.2">
      <c r="A13124" s="146"/>
      <c r="D13124" s="496"/>
    </row>
    <row r="13125" spans="1:4" x14ac:dyDescent="0.2">
      <c r="A13125" s="146"/>
      <c r="D13125" s="496"/>
    </row>
    <row r="13126" spans="1:4" x14ac:dyDescent="0.2">
      <c r="A13126" s="146"/>
      <c r="D13126" s="496"/>
    </row>
    <row r="13127" spans="1:4" x14ac:dyDescent="0.2">
      <c r="A13127" s="146"/>
      <c r="D13127" s="496"/>
    </row>
    <row r="13128" spans="1:4" x14ac:dyDescent="0.2">
      <c r="A13128" s="146"/>
      <c r="D13128" s="496"/>
    </row>
    <row r="13129" spans="1:4" x14ac:dyDescent="0.2">
      <c r="A13129" s="146"/>
      <c r="D13129" s="496"/>
    </row>
    <row r="13130" spans="1:4" x14ac:dyDescent="0.2">
      <c r="A13130" s="146"/>
      <c r="D13130" s="496"/>
    </row>
    <row r="13131" spans="1:4" x14ac:dyDescent="0.2">
      <c r="A13131" s="146"/>
      <c r="D13131" s="496"/>
    </row>
    <row r="13132" spans="1:4" x14ac:dyDescent="0.2">
      <c r="A13132" s="146"/>
      <c r="D13132" s="496"/>
    </row>
    <row r="13133" spans="1:4" x14ac:dyDescent="0.2">
      <c r="A13133" s="146"/>
      <c r="D13133" s="496"/>
    </row>
    <row r="13134" spans="1:4" x14ac:dyDescent="0.2">
      <c r="A13134" s="146"/>
      <c r="D13134" s="496"/>
    </row>
    <row r="13135" spans="1:4" x14ac:dyDescent="0.2">
      <c r="A13135" s="146"/>
      <c r="D13135" s="496"/>
    </row>
    <row r="13136" spans="1:4" x14ac:dyDescent="0.2">
      <c r="A13136" s="146"/>
      <c r="D13136" s="496"/>
    </row>
    <row r="13137" spans="1:4" x14ac:dyDescent="0.2">
      <c r="A13137" s="146"/>
      <c r="D13137" s="496"/>
    </row>
    <row r="13138" spans="1:4" x14ac:dyDescent="0.2">
      <c r="A13138" s="146"/>
      <c r="D13138" s="496"/>
    </row>
    <row r="13139" spans="1:4" x14ac:dyDescent="0.2">
      <c r="A13139" s="146"/>
      <c r="D13139" s="496"/>
    </row>
    <row r="13140" spans="1:4" x14ac:dyDescent="0.2">
      <c r="A13140" s="146"/>
      <c r="D13140" s="496"/>
    </row>
    <row r="13141" spans="1:4" x14ac:dyDescent="0.2">
      <c r="A13141" s="146"/>
      <c r="D13141" s="496"/>
    </row>
    <row r="13142" spans="1:4" x14ac:dyDescent="0.2">
      <c r="A13142" s="146"/>
      <c r="D13142" s="496"/>
    </row>
    <row r="13143" spans="1:4" x14ac:dyDescent="0.2">
      <c r="A13143" s="146"/>
      <c r="D13143" s="496"/>
    </row>
    <row r="13144" spans="1:4" x14ac:dyDescent="0.2">
      <c r="A13144" s="146"/>
      <c r="D13144" s="496"/>
    </row>
    <row r="13145" spans="1:4" x14ac:dyDescent="0.2">
      <c r="A13145" s="146"/>
      <c r="D13145" s="496"/>
    </row>
    <row r="13146" spans="1:4" x14ac:dyDescent="0.2">
      <c r="A13146" s="146"/>
      <c r="D13146" s="496"/>
    </row>
    <row r="13147" spans="1:4" x14ac:dyDescent="0.2">
      <c r="A13147" s="146"/>
      <c r="D13147" s="496"/>
    </row>
    <row r="13148" spans="1:4" x14ac:dyDescent="0.2">
      <c r="A13148" s="146"/>
      <c r="D13148" s="496"/>
    </row>
    <row r="13149" spans="1:4" x14ac:dyDescent="0.2">
      <c r="A13149" s="146"/>
      <c r="D13149" s="496"/>
    </row>
    <row r="13150" spans="1:4" x14ac:dyDescent="0.2">
      <c r="A13150" s="146"/>
      <c r="D13150" s="496"/>
    </row>
    <row r="13151" spans="1:4" x14ac:dyDescent="0.2">
      <c r="A13151" s="146"/>
      <c r="D13151" s="496"/>
    </row>
    <row r="13152" spans="1:4" x14ac:dyDescent="0.2">
      <c r="A13152" s="146"/>
      <c r="D13152" s="496"/>
    </row>
    <row r="13153" spans="1:4" x14ac:dyDescent="0.2">
      <c r="A13153" s="146"/>
      <c r="D13153" s="496"/>
    </row>
    <row r="13154" spans="1:4" x14ac:dyDescent="0.2">
      <c r="A13154" s="146"/>
      <c r="D13154" s="496"/>
    </row>
    <row r="13155" spans="1:4" x14ac:dyDescent="0.2">
      <c r="A13155" s="146"/>
      <c r="D13155" s="496"/>
    </row>
    <row r="13156" spans="1:4" x14ac:dyDescent="0.2">
      <c r="A13156" s="146"/>
      <c r="D13156" s="496"/>
    </row>
    <row r="13157" spans="1:4" x14ac:dyDescent="0.2">
      <c r="A13157" s="146"/>
      <c r="D13157" s="496"/>
    </row>
    <row r="13158" spans="1:4" x14ac:dyDescent="0.2">
      <c r="A13158" s="146"/>
      <c r="D13158" s="496"/>
    </row>
    <row r="13159" spans="1:4" x14ac:dyDescent="0.2">
      <c r="A13159" s="146"/>
      <c r="D13159" s="496"/>
    </row>
    <row r="13160" spans="1:4" x14ac:dyDescent="0.2">
      <c r="A13160" s="146"/>
      <c r="D13160" s="496"/>
    </row>
    <row r="13161" spans="1:4" x14ac:dyDescent="0.2">
      <c r="A13161" s="146"/>
      <c r="D13161" s="496"/>
    </row>
    <row r="13162" spans="1:4" x14ac:dyDescent="0.2">
      <c r="A13162" s="146"/>
      <c r="D13162" s="496"/>
    </row>
    <row r="13163" spans="1:4" x14ac:dyDescent="0.2">
      <c r="A13163" s="146"/>
      <c r="D13163" s="496"/>
    </row>
    <row r="13164" spans="1:4" x14ac:dyDescent="0.2">
      <c r="A13164" s="146"/>
      <c r="D13164" s="496"/>
    </row>
    <row r="13165" spans="1:4" x14ac:dyDescent="0.2">
      <c r="A13165" s="146"/>
      <c r="D13165" s="496"/>
    </row>
    <row r="13166" spans="1:4" x14ac:dyDescent="0.2">
      <c r="A13166" s="146"/>
      <c r="D13166" s="496"/>
    </row>
    <row r="13167" spans="1:4" x14ac:dyDescent="0.2">
      <c r="A13167" s="146"/>
      <c r="D13167" s="496"/>
    </row>
    <row r="13168" spans="1:4" x14ac:dyDescent="0.2">
      <c r="A13168" s="146"/>
      <c r="D13168" s="496"/>
    </row>
    <row r="13169" spans="1:4" x14ac:dyDescent="0.2">
      <c r="A13169" s="146"/>
      <c r="D13169" s="496"/>
    </row>
    <row r="13170" spans="1:4" x14ac:dyDescent="0.2">
      <c r="A13170" s="146"/>
      <c r="D13170" s="496"/>
    </row>
    <row r="13171" spans="1:4" x14ac:dyDescent="0.2">
      <c r="A13171" s="146"/>
      <c r="D13171" s="496"/>
    </row>
    <row r="13172" spans="1:4" x14ac:dyDescent="0.2">
      <c r="A13172" s="146"/>
      <c r="D13172" s="496"/>
    </row>
    <row r="13173" spans="1:4" x14ac:dyDescent="0.2">
      <c r="A13173" s="146"/>
      <c r="D13173" s="496"/>
    </row>
    <row r="13174" spans="1:4" x14ac:dyDescent="0.2">
      <c r="A13174" s="146"/>
      <c r="D13174" s="496"/>
    </row>
    <row r="13175" spans="1:4" x14ac:dyDescent="0.2">
      <c r="A13175" s="146"/>
      <c r="D13175" s="496"/>
    </row>
    <row r="13176" spans="1:4" x14ac:dyDescent="0.2">
      <c r="A13176" s="146"/>
      <c r="D13176" s="496"/>
    </row>
    <row r="13177" spans="1:4" x14ac:dyDescent="0.2">
      <c r="A13177" s="146"/>
      <c r="D13177" s="496"/>
    </row>
    <row r="13178" spans="1:4" x14ac:dyDescent="0.2">
      <c r="A13178" s="146"/>
      <c r="D13178" s="496"/>
    </row>
    <row r="13179" spans="1:4" x14ac:dyDescent="0.2">
      <c r="A13179" s="146"/>
      <c r="D13179" s="496"/>
    </row>
    <row r="13180" spans="1:4" x14ac:dyDescent="0.2">
      <c r="A13180" s="146"/>
      <c r="D13180" s="496"/>
    </row>
    <row r="13181" spans="1:4" x14ac:dyDescent="0.2">
      <c r="A13181" s="146"/>
      <c r="D13181" s="496"/>
    </row>
    <row r="13182" spans="1:4" x14ac:dyDescent="0.2">
      <c r="A13182" s="146"/>
      <c r="D13182" s="496"/>
    </row>
    <row r="13183" spans="1:4" x14ac:dyDescent="0.2">
      <c r="A13183" s="146"/>
      <c r="D13183" s="496"/>
    </row>
    <row r="13184" spans="1:4" x14ac:dyDescent="0.2">
      <c r="A13184" s="146"/>
      <c r="D13184" s="496"/>
    </row>
    <row r="13185" spans="1:4" x14ac:dyDescent="0.2">
      <c r="A13185" s="146"/>
      <c r="D13185" s="496"/>
    </row>
    <row r="13186" spans="1:4" x14ac:dyDescent="0.2">
      <c r="A13186" s="146"/>
      <c r="D13186" s="496"/>
    </row>
    <row r="13187" spans="1:4" x14ac:dyDescent="0.2">
      <c r="A13187" s="146"/>
      <c r="D13187" s="496"/>
    </row>
    <row r="13188" spans="1:4" x14ac:dyDescent="0.2">
      <c r="A13188" s="146"/>
      <c r="D13188" s="496"/>
    </row>
    <row r="13189" spans="1:4" x14ac:dyDescent="0.2">
      <c r="A13189" s="146"/>
      <c r="D13189" s="496"/>
    </row>
    <row r="13190" spans="1:4" x14ac:dyDescent="0.2">
      <c r="A13190" s="146"/>
      <c r="D13190" s="496"/>
    </row>
    <row r="13191" spans="1:4" x14ac:dyDescent="0.2">
      <c r="A13191" s="146"/>
      <c r="D13191" s="496"/>
    </row>
    <row r="13192" spans="1:4" x14ac:dyDescent="0.2">
      <c r="A13192" s="146"/>
      <c r="D13192" s="496"/>
    </row>
    <row r="13193" spans="1:4" x14ac:dyDescent="0.2">
      <c r="A13193" s="146"/>
      <c r="D13193" s="496"/>
    </row>
    <row r="13194" spans="1:4" x14ac:dyDescent="0.2">
      <c r="A13194" s="146"/>
      <c r="D13194" s="496"/>
    </row>
    <row r="13195" spans="1:4" x14ac:dyDescent="0.2">
      <c r="A13195" s="146"/>
      <c r="D13195" s="496"/>
    </row>
    <row r="13196" spans="1:4" x14ac:dyDescent="0.2">
      <c r="A13196" s="146"/>
      <c r="D13196" s="496"/>
    </row>
    <row r="13197" spans="1:4" x14ac:dyDescent="0.2">
      <c r="A13197" s="146"/>
      <c r="D13197" s="496"/>
    </row>
    <row r="13198" spans="1:4" x14ac:dyDescent="0.2">
      <c r="A13198" s="146"/>
      <c r="D13198" s="496"/>
    </row>
    <row r="13199" spans="1:4" x14ac:dyDescent="0.2">
      <c r="A13199" s="146"/>
      <c r="D13199" s="496"/>
    </row>
    <row r="13200" spans="1:4" x14ac:dyDescent="0.2">
      <c r="A13200" s="146"/>
      <c r="D13200" s="496"/>
    </row>
    <row r="13201" spans="1:4" x14ac:dyDescent="0.2">
      <c r="A13201" s="146"/>
      <c r="D13201" s="496"/>
    </row>
    <row r="13202" spans="1:4" x14ac:dyDescent="0.2">
      <c r="A13202" s="146"/>
      <c r="D13202" s="496"/>
    </row>
    <row r="13203" spans="1:4" x14ac:dyDescent="0.2">
      <c r="A13203" s="146"/>
      <c r="D13203" s="496"/>
    </row>
    <row r="13204" spans="1:4" x14ac:dyDescent="0.2">
      <c r="A13204" s="146"/>
      <c r="D13204" s="496"/>
    </row>
    <row r="13205" spans="1:4" x14ac:dyDescent="0.2">
      <c r="A13205" s="146"/>
      <c r="D13205" s="496"/>
    </row>
    <row r="13206" spans="1:4" x14ac:dyDescent="0.2">
      <c r="A13206" s="146"/>
      <c r="D13206" s="496"/>
    </row>
    <row r="13207" spans="1:4" x14ac:dyDescent="0.2">
      <c r="A13207" s="146"/>
      <c r="D13207" s="496"/>
    </row>
    <row r="13208" spans="1:4" x14ac:dyDescent="0.2">
      <c r="A13208" s="146"/>
      <c r="D13208" s="496"/>
    </row>
    <row r="13209" spans="1:4" x14ac:dyDescent="0.2">
      <c r="A13209" s="146"/>
      <c r="D13209" s="496"/>
    </row>
    <row r="13210" spans="1:4" x14ac:dyDescent="0.2">
      <c r="A13210" s="146"/>
      <c r="D13210" s="496"/>
    </row>
    <row r="13211" spans="1:4" x14ac:dyDescent="0.2">
      <c r="A13211" s="146"/>
      <c r="D13211" s="496"/>
    </row>
    <row r="13212" spans="1:4" x14ac:dyDescent="0.2">
      <c r="A13212" s="146"/>
      <c r="D13212" s="496"/>
    </row>
    <row r="13213" spans="1:4" x14ac:dyDescent="0.2">
      <c r="A13213" s="146"/>
      <c r="D13213" s="496"/>
    </row>
    <row r="13214" spans="1:4" x14ac:dyDescent="0.2">
      <c r="A13214" s="146"/>
      <c r="D13214" s="496"/>
    </row>
    <row r="13215" spans="1:4" x14ac:dyDescent="0.2">
      <c r="A13215" s="146"/>
      <c r="D13215" s="496"/>
    </row>
    <row r="13216" spans="1:4" x14ac:dyDescent="0.2">
      <c r="A13216" s="146"/>
      <c r="D13216" s="496"/>
    </row>
    <row r="13217" spans="1:4" x14ac:dyDescent="0.2">
      <c r="A13217" s="146"/>
      <c r="D13217" s="496"/>
    </row>
    <row r="13218" spans="1:4" x14ac:dyDescent="0.2">
      <c r="A13218" s="146"/>
      <c r="D13218" s="496"/>
    </row>
    <row r="13219" spans="1:4" x14ac:dyDescent="0.2">
      <c r="A13219" s="146"/>
      <c r="D13219" s="496"/>
    </row>
    <row r="13220" spans="1:4" x14ac:dyDescent="0.2">
      <c r="A13220" s="146"/>
      <c r="D13220" s="496"/>
    </row>
    <row r="13221" spans="1:4" x14ac:dyDescent="0.2">
      <c r="A13221" s="146"/>
      <c r="D13221" s="496"/>
    </row>
    <row r="13222" spans="1:4" x14ac:dyDescent="0.2">
      <c r="A13222" s="146"/>
      <c r="D13222" s="496"/>
    </row>
    <row r="13223" spans="1:4" x14ac:dyDescent="0.2">
      <c r="A13223" s="146"/>
      <c r="D13223" s="496"/>
    </row>
    <row r="13224" spans="1:4" x14ac:dyDescent="0.2">
      <c r="A13224" s="146"/>
      <c r="D13224" s="496"/>
    </row>
    <row r="13225" spans="1:4" x14ac:dyDescent="0.2">
      <c r="A13225" s="146"/>
      <c r="D13225" s="496"/>
    </row>
    <row r="13226" spans="1:4" x14ac:dyDescent="0.2">
      <c r="A13226" s="146"/>
      <c r="D13226" s="496"/>
    </row>
    <row r="13227" spans="1:4" x14ac:dyDescent="0.2">
      <c r="A13227" s="146"/>
      <c r="D13227" s="496"/>
    </row>
    <row r="13228" spans="1:4" x14ac:dyDescent="0.2">
      <c r="A13228" s="146"/>
      <c r="D13228" s="496"/>
    </row>
    <row r="13229" spans="1:4" x14ac:dyDescent="0.2">
      <c r="A13229" s="146"/>
      <c r="D13229" s="496"/>
    </row>
    <row r="13230" spans="1:4" x14ac:dyDescent="0.2">
      <c r="A13230" s="146"/>
      <c r="D13230" s="496"/>
    </row>
    <row r="13231" spans="1:4" x14ac:dyDescent="0.2">
      <c r="A13231" s="146"/>
      <c r="D13231" s="496"/>
    </row>
    <row r="13232" spans="1:4" x14ac:dyDescent="0.2">
      <c r="A13232" s="146"/>
      <c r="D13232" s="496"/>
    </row>
    <row r="13233" spans="1:4" x14ac:dyDescent="0.2">
      <c r="A13233" s="146"/>
      <c r="D13233" s="496"/>
    </row>
    <row r="13234" spans="1:4" x14ac:dyDescent="0.2">
      <c r="A13234" s="146"/>
      <c r="D13234" s="496"/>
    </row>
    <row r="13235" spans="1:4" x14ac:dyDescent="0.2">
      <c r="A13235" s="146"/>
      <c r="D13235" s="496"/>
    </row>
    <row r="13236" spans="1:4" x14ac:dyDescent="0.2">
      <c r="A13236" s="146"/>
      <c r="D13236" s="496"/>
    </row>
    <row r="13237" spans="1:4" x14ac:dyDescent="0.2">
      <c r="A13237" s="146"/>
      <c r="D13237" s="496"/>
    </row>
    <row r="13238" spans="1:4" x14ac:dyDescent="0.2">
      <c r="A13238" s="146"/>
      <c r="D13238" s="496"/>
    </row>
    <row r="13239" spans="1:4" x14ac:dyDescent="0.2">
      <c r="A13239" s="146"/>
      <c r="D13239" s="496"/>
    </row>
    <row r="13240" spans="1:4" x14ac:dyDescent="0.2">
      <c r="A13240" s="146"/>
      <c r="D13240" s="496"/>
    </row>
    <row r="13241" spans="1:4" x14ac:dyDescent="0.2">
      <c r="A13241" s="146"/>
      <c r="D13241" s="496"/>
    </row>
    <row r="13242" spans="1:4" x14ac:dyDescent="0.2">
      <c r="A13242" s="146"/>
      <c r="D13242" s="496"/>
    </row>
    <row r="13243" spans="1:4" x14ac:dyDescent="0.2">
      <c r="A13243" s="146"/>
      <c r="D13243" s="496"/>
    </row>
    <row r="13244" spans="1:4" x14ac:dyDescent="0.2">
      <c r="A13244" s="146"/>
      <c r="D13244" s="496"/>
    </row>
    <row r="13245" spans="1:4" x14ac:dyDescent="0.2">
      <c r="A13245" s="146"/>
      <c r="D13245" s="496"/>
    </row>
    <row r="13246" spans="1:4" x14ac:dyDescent="0.2">
      <c r="A13246" s="146"/>
      <c r="D13246" s="496"/>
    </row>
    <row r="13247" spans="1:4" x14ac:dyDescent="0.2">
      <c r="A13247" s="146"/>
      <c r="D13247" s="496"/>
    </row>
    <row r="13248" spans="1:4" x14ac:dyDescent="0.2">
      <c r="A13248" s="146"/>
      <c r="D13248" s="496"/>
    </row>
    <row r="13249" spans="1:4" x14ac:dyDescent="0.2">
      <c r="A13249" s="146"/>
      <c r="D13249" s="496"/>
    </row>
    <row r="13250" spans="1:4" x14ac:dyDescent="0.2">
      <c r="A13250" s="146"/>
      <c r="D13250" s="496"/>
    </row>
    <row r="13251" spans="1:4" x14ac:dyDescent="0.2">
      <c r="A13251" s="146"/>
      <c r="D13251" s="496"/>
    </row>
    <row r="13252" spans="1:4" x14ac:dyDescent="0.2">
      <c r="A13252" s="146"/>
      <c r="D13252" s="496"/>
    </row>
    <row r="13253" spans="1:4" x14ac:dyDescent="0.2">
      <c r="A13253" s="146"/>
      <c r="D13253" s="496"/>
    </row>
    <row r="13254" spans="1:4" x14ac:dyDescent="0.2">
      <c r="A13254" s="146"/>
      <c r="D13254" s="496"/>
    </row>
    <row r="13255" spans="1:4" x14ac:dyDescent="0.2">
      <c r="A13255" s="146"/>
      <c r="D13255" s="496"/>
    </row>
    <row r="13256" spans="1:4" x14ac:dyDescent="0.2">
      <c r="A13256" s="146"/>
      <c r="D13256" s="496"/>
    </row>
    <row r="13257" spans="1:4" x14ac:dyDescent="0.2">
      <c r="A13257" s="146"/>
      <c r="D13257" s="496"/>
    </row>
    <row r="13258" spans="1:4" x14ac:dyDescent="0.2">
      <c r="A13258" s="146"/>
      <c r="D13258" s="496"/>
    </row>
    <row r="13259" spans="1:4" x14ac:dyDescent="0.2">
      <c r="A13259" s="146"/>
      <c r="D13259" s="496"/>
    </row>
    <row r="13260" spans="1:4" x14ac:dyDescent="0.2">
      <c r="A13260" s="146"/>
      <c r="D13260" s="496"/>
    </row>
    <row r="13261" spans="1:4" x14ac:dyDescent="0.2">
      <c r="A13261" s="146"/>
      <c r="D13261" s="496"/>
    </row>
    <row r="13262" spans="1:4" x14ac:dyDescent="0.2">
      <c r="A13262" s="146"/>
      <c r="D13262" s="496"/>
    </row>
    <row r="13263" spans="1:4" x14ac:dyDescent="0.2">
      <c r="A13263" s="146"/>
      <c r="D13263" s="496"/>
    </row>
    <row r="13264" spans="1:4" x14ac:dyDescent="0.2">
      <c r="A13264" s="146"/>
      <c r="D13264" s="496"/>
    </row>
    <row r="13265" spans="1:4" x14ac:dyDescent="0.2">
      <c r="A13265" s="146"/>
      <c r="D13265" s="496"/>
    </row>
    <row r="13266" spans="1:4" x14ac:dyDescent="0.2">
      <c r="A13266" s="146"/>
      <c r="D13266" s="496"/>
    </row>
    <row r="13267" spans="1:4" x14ac:dyDescent="0.2">
      <c r="A13267" s="146"/>
      <c r="D13267" s="496"/>
    </row>
    <row r="13268" spans="1:4" x14ac:dyDescent="0.2">
      <c r="A13268" s="146"/>
      <c r="D13268" s="496"/>
    </row>
    <row r="13269" spans="1:4" x14ac:dyDescent="0.2">
      <c r="A13269" s="146"/>
      <c r="D13269" s="496"/>
    </row>
    <row r="13270" spans="1:4" x14ac:dyDescent="0.2">
      <c r="A13270" s="146"/>
      <c r="D13270" s="496"/>
    </row>
    <row r="13271" spans="1:4" x14ac:dyDescent="0.2">
      <c r="A13271" s="146"/>
      <c r="D13271" s="496"/>
    </row>
    <row r="13272" spans="1:4" x14ac:dyDescent="0.2">
      <c r="A13272" s="146"/>
      <c r="D13272" s="496"/>
    </row>
    <row r="13273" spans="1:4" x14ac:dyDescent="0.2">
      <c r="A13273" s="146"/>
      <c r="D13273" s="496"/>
    </row>
    <row r="13274" spans="1:4" x14ac:dyDescent="0.2">
      <c r="A13274" s="146"/>
      <c r="D13274" s="496"/>
    </row>
    <row r="13275" spans="1:4" x14ac:dyDescent="0.2">
      <c r="A13275" s="146"/>
      <c r="D13275" s="496"/>
    </row>
    <row r="13276" spans="1:4" x14ac:dyDescent="0.2">
      <c r="A13276" s="146"/>
      <c r="D13276" s="496"/>
    </row>
    <row r="13277" spans="1:4" x14ac:dyDescent="0.2">
      <c r="A13277" s="146"/>
      <c r="D13277" s="496"/>
    </row>
    <row r="13278" spans="1:4" x14ac:dyDescent="0.2">
      <c r="A13278" s="146"/>
      <c r="D13278" s="496"/>
    </row>
    <row r="13279" spans="1:4" x14ac:dyDescent="0.2">
      <c r="A13279" s="146"/>
      <c r="D13279" s="496"/>
    </row>
    <row r="13280" spans="1:4" x14ac:dyDescent="0.2">
      <c r="A13280" s="146"/>
      <c r="D13280" s="496"/>
    </row>
    <row r="13281" spans="1:4" x14ac:dyDescent="0.2">
      <c r="A13281" s="146"/>
      <c r="D13281" s="496"/>
    </row>
    <row r="13282" spans="1:4" x14ac:dyDescent="0.2">
      <c r="A13282" s="146"/>
      <c r="D13282" s="496"/>
    </row>
    <row r="13283" spans="1:4" x14ac:dyDescent="0.2">
      <c r="A13283" s="146"/>
      <c r="D13283" s="496"/>
    </row>
    <row r="13284" spans="1:4" x14ac:dyDescent="0.2">
      <c r="A13284" s="146"/>
      <c r="D13284" s="496"/>
    </row>
    <row r="13285" spans="1:4" x14ac:dyDescent="0.2">
      <c r="A13285" s="146"/>
      <c r="D13285" s="496"/>
    </row>
    <row r="13286" spans="1:4" x14ac:dyDescent="0.2">
      <c r="A13286" s="146"/>
      <c r="D13286" s="496"/>
    </row>
    <row r="13287" spans="1:4" x14ac:dyDescent="0.2">
      <c r="A13287" s="146"/>
      <c r="D13287" s="496"/>
    </row>
    <row r="13288" spans="1:4" x14ac:dyDescent="0.2">
      <c r="A13288" s="146"/>
      <c r="D13288" s="496"/>
    </row>
    <row r="13289" spans="1:4" x14ac:dyDescent="0.2">
      <c r="A13289" s="146"/>
      <c r="D13289" s="496"/>
    </row>
    <row r="13290" spans="1:4" x14ac:dyDescent="0.2">
      <c r="A13290" s="146"/>
      <c r="D13290" s="496"/>
    </row>
    <row r="13291" spans="1:4" x14ac:dyDescent="0.2">
      <c r="A13291" s="146"/>
      <c r="D13291" s="496"/>
    </row>
    <row r="13292" spans="1:4" x14ac:dyDescent="0.2">
      <c r="A13292" s="146"/>
      <c r="D13292" s="496"/>
    </row>
    <row r="13293" spans="1:4" x14ac:dyDescent="0.2">
      <c r="A13293" s="146"/>
      <c r="D13293" s="496"/>
    </row>
    <row r="13294" spans="1:4" x14ac:dyDescent="0.2">
      <c r="A13294" s="146"/>
      <c r="D13294" s="496"/>
    </row>
    <row r="13295" spans="1:4" x14ac:dyDescent="0.2">
      <c r="A13295" s="146"/>
      <c r="D13295" s="496"/>
    </row>
    <row r="13296" spans="1:4" x14ac:dyDescent="0.2">
      <c r="A13296" s="146"/>
      <c r="D13296" s="496"/>
    </row>
    <row r="13297" spans="1:4" x14ac:dyDescent="0.2">
      <c r="A13297" s="146"/>
      <c r="D13297" s="496"/>
    </row>
    <row r="13298" spans="1:4" x14ac:dyDescent="0.2">
      <c r="A13298" s="146"/>
      <c r="D13298" s="496"/>
    </row>
    <row r="13299" spans="1:4" x14ac:dyDescent="0.2">
      <c r="A13299" s="146"/>
      <c r="D13299" s="496"/>
    </row>
    <row r="13300" spans="1:4" x14ac:dyDescent="0.2">
      <c r="A13300" s="146"/>
      <c r="D13300" s="496"/>
    </row>
    <row r="13301" spans="1:4" x14ac:dyDescent="0.2">
      <c r="A13301" s="146"/>
      <c r="D13301" s="496"/>
    </row>
    <row r="13302" spans="1:4" x14ac:dyDescent="0.2">
      <c r="A13302" s="146"/>
      <c r="D13302" s="496"/>
    </row>
    <row r="13303" spans="1:4" x14ac:dyDescent="0.2">
      <c r="A13303" s="146"/>
      <c r="D13303" s="496"/>
    </row>
    <row r="13304" spans="1:4" x14ac:dyDescent="0.2">
      <c r="A13304" s="146"/>
      <c r="D13304" s="496"/>
    </row>
    <row r="13305" spans="1:4" x14ac:dyDescent="0.2">
      <c r="A13305" s="146"/>
      <c r="D13305" s="496"/>
    </row>
    <row r="13306" spans="1:4" x14ac:dyDescent="0.2">
      <c r="A13306" s="146"/>
      <c r="D13306" s="496"/>
    </row>
    <row r="13307" spans="1:4" x14ac:dyDescent="0.2">
      <c r="A13307" s="146"/>
      <c r="D13307" s="496"/>
    </row>
    <row r="13308" spans="1:4" x14ac:dyDescent="0.2">
      <c r="A13308" s="146"/>
      <c r="D13308" s="496"/>
    </row>
    <row r="13309" spans="1:4" x14ac:dyDescent="0.2">
      <c r="A13309" s="146"/>
      <c r="D13309" s="496"/>
    </row>
    <row r="13310" spans="1:4" x14ac:dyDescent="0.2">
      <c r="A13310" s="146"/>
      <c r="D13310" s="496"/>
    </row>
    <row r="13311" spans="1:4" x14ac:dyDescent="0.2">
      <c r="A13311" s="146"/>
      <c r="D13311" s="496"/>
    </row>
    <row r="13312" spans="1:4" x14ac:dyDescent="0.2">
      <c r="A13312" s="146"/>
      <c r="D13312" s="496"/>
    </row>
    <row r="13313" spans="1:4" x14ac:dyDescent="0.2">
      <c r="A13313" s="146"/>
      <c r="D13313" s="496"/>
    </row>
    <row r="13314" spans="1:4" x14ac:dyDescent="0.2">
      <c r="A13314" s="146"/>
      <c r="D13314" s="496"/>
    </row>
    <row r="13315" spans="1:4" x14ac:dyDescent="0.2">
      <c r="A13315" s="146"/>
      <c r="D13315" s="496"/>
    </row>
    <row r="13316" spans="1:4" x14ac:dyDescent="0.2">
      <c r="A13316" s="146"/>
      <c r="D13316" s="496"/>
    </row>
    <row r="13317" spans="1:4" x14ac:dyDescent="0.2">
      <c r="A13317" s="146"/>
      <c r="D13317" s="496"/>
    </row>
    <row r="13318" spans="1:4" x14ac:dyDescent="0.2">
      <c r="A13318" s="146"/>
      <c r="D13318" s="496"/>
    </row>
    <row r="13319" spans="1:4" x14ac:dyDescent="0.2">
      <c r="A13319" s="146"/>
      <c r="D13319" s="496"/>
    </row>
    <row r="13320" spans="1:4" x14ac:dyDescent="0.2">
      <c r="A13320" s="146"/>
      <c r="D13320" s="496"/>
    </row>
    <row r="13321" spans="1:4" x14ac:dyDescent="0.2">
      <c r="A13321" s="146"/>
      <c r="D13321" s="496"/>
    </row>
    <row r="13322" spans="1:4" x14ac:dyDescent="0.2">
      <c r="A13322" s="146"/>
      <c r="D13322" s="496"/>
    </row>
    <row r="13323" spans="1:4" x14ac:dyDescent="0.2">
      <c r="A13323" s="146"/>
      <c r="D13323" s="496"/>
    </row>
    <row r="13324" spans="1:4" x14ac:dyDescent="0.2">
      <c r="A13324" s="146"/>
      <c r="D13324" s="496"/>
    </row>
    <row r="13325" spans="1:4" x14ac:dyDescent="0.2">
      <c r="A13325" s="146"/>
      <c r="D13325" s="496"/>
    </row>
    <row r="13326" spans="1:4" x14ac:dyDescent="0.2">
      <c r="A13326" s="146"/>
      <c r="D13326" s="496"/>
    </row>
    <row r="13327" spans="1:4" x14ac:dyDescent="0.2">
      <c r="A13327" s="146"/>
      <c r="D13327" s="496"/>
    </row>
    <row r="13328" spans="1:4" x14ac:dyDescent="0.2">
      <c r="A13328" s="146"/>
      <c r="D13328" s="496"/>
    </row>
    <row r="13329" spans="1:4" x14ac:dyDescent="0.2">
      <c r="A13329" s="146"/>
      <c r="D13329" s="496"/>
    </row>
    <row r="13330" spans="1:4" x14ac:dyDescent="0.2">
      <c r="A13330" s="146"/>
      <c r="D13330" s="496"/>
    </row>
    <row r="13331" spans="1:4" x14ac:dyDescent="0.2">
      <c r="A13331" s="146"/>
      <c r="D13331" s="496"/>
    </row>
    <row r="13332" spans="1:4" x14ac:dyDescent="0.2">
      <c r="A13332" s="146"/>
      <c r="D13332" s="496"/>
    </row>
    <row r="13333" spans="1:4" x14ac:dyDescent="0.2">
      <c r="A13333" s="146"/>
      <c r="D13333" s="496"/>
    </row>
    <row r="13334" spans="1:4" x14ac:dyDescent="0.2">
      <c r="A13334" s="146"/>
      <c r="D13334" s="496"/>
    </row>
    <row r="13335" spans="1:4" x14ac:dyDescent="0.2">
      <c r="A13335" s="146"/>
      <c r="D13335" s="496"/>
    </row>
    <row r="13336" spans="1:4" x14ac:dyDescent="0.2">
      <c r="A13336" s="146"/>
      <c r="D13336" s="496"/>
    </row>
    <row r="13337" spans="1:4" x14ac:dyDescent="0.2">
      <c r="A13337" s="146"/>
      <c r="D13337" s="496"/>
    </row>
    <row r="13338" spans="1:4" x14ac:dyDescent="0.2">
      <c r="A13338" s="146"/>
      <c r="D13338" s="496"/>
    </row>
    <row r="13339" spans="1:4" x14ac:dyDescent="0.2">
      <c r="A13339" s="146"/>
      <c r="D13339" s="496"/>
    </row>
    <row r="13340" spans="1:4" x14ac:dyDescent="0.2">
      <c r="A13340" s="146"/>
      <c r="D13340" s="496"/>
    </row>
    <row r="13341" spans="1:4" x14ac:dyDescent="0.2">
      <c r="A13341" s="146"/>
      <c r="D13341" s="496"/>
    </row>
    <row r="13342" spans="1:4" x14ac:dyDescent="0.2">
      <c r="A13342" s="146"/>
      <c r="D13342" s="496"/>
    </row>
    <row r="13343" spans="1:4" x14ac:dyDescent="0.2">
      <c r="A13343" s="146"/>
      <c r="D13343" s="496"/>
    </row>
    <row r="13344" spans="1:4" x14ac:dyDescent="0.2">
      <c r="A13344" s="146"/>
      <c r="D13344" s="496"/>
    </row>
    <row r="13345" spans="1:4" x14ac:dyDescent="0.2">
      <c r="A13345" s="146"/>
      <c r="D13345" s="496"/>
    </row>
    <row r="13346" spans="1:4" x14ac:dyDescent="0.2">
      <c r="A13346" s="146"/>
      <c r="D13346" s="496"/>
    </row>
    <row r="13347" spans="1:4" x14ac:dyDescent="0.2">
      <c r="A13347" s="146"/>
      <c r="D13347" s="496"/>
    </row>
    <row r="13348" spans="1:4" x14ac:dyDescent="0.2">
      <c r="A13348" s="146"/>
      <c r="D13348" s="496"/>
    </row>
    <row r="13349" spans="1:4" x14ac:dyDescent="0.2">
      <c r="A13349" s="146"/>
      <c r="D13349" s="496"/>
    </row>
    <row r="13350" spans="1:4" x14ac:dyDescent="0.2">
      <c r="A13350" s="146"/>
      <c r="D13350" s="496"/>
    </row>
    <row r="13351" spans="1:4" x14ac:dyDescent="0.2">
      <c r="A13351" s="146"/>
      <c r="D13351" s="496"/>
    </row>
    <row r="13352" spans="1:4" x14ac:dyDescent="0.2">
      <c r="A13352" s="146"/>
      <c r="D13352" s="496"/>
    </row>
    <row r="13353" spans="1:4" x14ac:dyDescent="0.2">
      <c r="A13353" s="146"/>
      <c r="D13353" s="496"/>
    </row>
    <row r="13354" spans="1:4" x14ac:dyDescent="0.2">
      <c r="A13354" s="146"/>
      <c r="D13354" s="496"/>
    </row>
    <row r="13355" spans="1:4" x14ac:dyDescent="0.2">
      <c r="A13355" s="146"/>
      <c r="D13355" s="496"/>
    </row>
    <row r="13356" spans="1:4" x14ac:dyDescent="0.2">
      <c r="A13356" s="146"/>
      <c r="D13356" s="496"/>
    </row>
    <row r="13357" spans="1:4" x14ac:dyDescent="0.2">
      <c r="A13357" s="146"/>
      <c r="D13357" s="496"/>
    </row>
    <row r="13358" spans="1:4" x14ac:dyDescent="0.2">
      <c r="A13358" s="146"/>
      <c r="D13358" s="496"/>
    </row>
    <row r="13359" spans="1:4" x14ac:dyDescent="0.2">
      <c r="A13359" s="146"/>
      <c r="D13359" s="496"/>
    </row>
    <row r="13360" spans="1:4" x14ac:dyDescent="0.2">
      <c r="A13360" s="146"/>
      <c r="D13360" s="496"/>
    </row>
    <row r="13361" spans="1:4" x14ac:dyDescent="0.2">
      <c r="A13361" s="146"/>
      <c r="D13361" s="496"/>
    </row>
    <row r="13362" spans="1:4" x14ac:dyDescent="0.2">
      <c r="A13362" s="146"/>
      <c r="D13362" s="496"/>
    </row>
    <row r="13363" spans="1:4" x14ac:dyDescent="0.2">
      <c r="A13363" s="146"/>
      <c r="D13363" s="496"/>
    </row>
    <row r="13364" spans="1:4" x14ac:dyDescent="0.2">
      <c r="A13364" s="146"/>
      <c r="D13364" s="496"/>
    </row>
    <row r="13365" spans="1:4" x14ac:dyDescent="0.2">
      <c r="A13365" s="146"/>
      <c r="D13365" s="496"/>
    </row>
    <row r="13366" spans="1:4" x14ac:dyDescent="0.2">
      <c r="A13366" s="146"/>
      <c r="D13366" s="496"/>
    </row>
    <row r="13367" spans="1:4" x14ac:dyDescent="0.2">
      <c r="A13367" s="146"/>
      <c r="D13367" s="496"/>
    </row>
    <row r="13368" spans="1:4" x14ac:dyDescent="0.2">
      <c r="A13368" s="146"/>
      <c r="D13368" s="496"/>
    </row>
    <row r="13369" spans="1:4" x14ac:dyDescent="0.2">
      <c r="A13369" s="146"/>
      <c r="D13369" s="496"/>
    </row>
    <row r="13370" spans="1:4" x14ac:dyDescent="0.2">
      <c r="A13370" s="146"/>
      <c r="D13370" s="496"/>
    </row>
    <row r="13371" spans="1:4" x14ac:dyDescent="0.2">
      <c r="A13371" s="146"/>
      <c r="D13371" s="496"/>
    </row>
    <row r="13372" spans="1:4" x14ac:dyDescent="0.2">
      <c r="A13372" s="146"/>
      <c r="D13372" s="496"/>
    </row>
    <row r="13373" spans="1:4" x14ac:dyDescent="0.2">
      <c r="A13373" s="146"/>
      <c r="D13373" s="496"/>
    </row>
    <row r="13374" spans="1:4" x14ac:dyDescent="0.2">
      <c r="A13374" s="146"/>
      <c r="D13374" s="496"/>
    </row>
    <row r="13375" spans="1:4" x14ac:dyDescent="0.2">
      <c r="A13375" s="146"/>
      <c r="D13375" s="496"/>
    </row>
    <row r="13376" spans="1:4" x14ac:dyDescent="0.2">
      <c r="A13376" s="146"/>
      <c r="D13376" s="496"/>
    </row>
    <row r="13377" spans="1:4" x14ac:dyDescent="0.2">
      <c r="A13377" s="146"/>
      <c r="D13377" s="496"/>
    </row>
    <row r="13378" spans="1:4" x14ac:dyDescent="0.2">
      <c r="A13378" s="146"/>
      <c r="D13378" s="496"/>
    </row>
    <row r="13379" spans="1:4" x14ac:dyDescent="0.2">
      <c r="A13379" s="146"/>
      <c r="D13379" s="496"/>
    </row>
    <row r="13380" spans="1:4" x14ac:dyDescent="0.2">
      <c r="A13380" s="146"/>
      <c r="D13380" s="496"/>
    </row>
    <row r="13381" spans="1:4" x14ac:dyDescent="0.2">
      <c r="A13381" s="146"/>
      <c r="D13381" s="496"/>
    </row>
    <row r="13382" spans="1:4" x14ac:dyDescent="0.2">
      <c r="A13382" s="146"/>
      <c r="D13382" s="496"/>
    </row>
    <row r="13383" spans="1:4" x14ac:dyDescent="0.2">
      <c r="A13383" s="146"/>
      <c r="D13383" s="496"/>
    </row>
    <row r="13384" spans="1:4" x14ac:dyDescent="0.2">
      <c r="A13384" s="146"/>
      <c r="D13384" s="496"/>
    </row>
    <row r="13385" spans="1:4" x14ac:dyDescent="0.2">
      <c r="A13385" s="146"/>
      <c r="D13385" s="496"/>
    </row>
    <row r="13386" spans="1:4" x14ac:dyDescent="0.2">
      <c r="A13386" s="146"/>
      <c r="D13386" s="496"/>
    </row>
    <row r="13387" spans="1:4" x14ac:dyDescent="0.2">
      <c r="A13387" s="146"/>
      <c r="D13387" s="496"/>
    </row>
    <row r="13388" spans="1:4" x14ac:dyDescent="0.2">
      <c r="A13388" s="146"/>
      <c r="D13388" s="496"/>
    </row>
    <row r="13389" spans="1:4" x14ac:dyDescent="0.2">
      <c r="A13389" s="146"/>
      <c r="D13389" s="496"/>
    </row>
    <row r="13390" spans="1:4" x14ac:dyDescent="0.2">
      <c r="A13390" s="146"/>
      <c r="D13390" s="496"/>
    </row>
    <row r="13391" spans="1:4" x14ac:dyDescent="0.2">
      <c r="A13391" s="146"/>
      <c r="D13391" s="496"/>
    </row>
    <row r="13392" spans="1:4" x14ac:dyDescent="0.2">
      <c r="A13392" s="146"/>
      <c r="D13392" s="496"/>
    </row>
    <row r="13393" spans="1:4" x14ac:dyDescent="0.2">
      <c r="A13393" s="146"/>
      <c r="D13393" s="496"/>
    </row>
    <row r="13394" spans="1:4" x14ac:dyDescent="0.2">
      <c r="A13394" s="146"/>
      <c r="D13394" s="496"/>
    </row>
    <row r="13395" spans="1:4" x14ac:dyDescent="0.2">
      <c r="A13395" s="146"/>
      <c r="D13395" s="496"/>
    </row>
    <row r="13396" spans="1:4" x14ac:dyDescent="0.2">
      <c r="A13396" s="146"/>
      <c r="D13396" s="496"/>
    </row>
    <row r="13397" spans="1:4" x14ac:dyDescent="0.2">
      <c r="A13397" s="146"/>
      <c r="D13397" s="496"/>
    </row>
    <row r="13398" spans="1:4" x14ac:dyDescent="0.2">
      <c r="A13398" s="146"/>
      <c r="D13398" s="496"/>
    </row>
    <row r="13399" spans="1:4" x14ac:dyDescent="0.2">
      <c r="A13399" s="146"/>
      <c r="D13399" s="496"/>
    </row>
    <row r="13400" spans="1:4" x14ac:dyDescent="0.2">
      <c r="A13400" s="146"/>
      <c r="D13400" s="496"/>
    </row>
    <row r="13401" spans="1:4" x14ac:dyDescent="0.2">
      <c r="A13401" s="146"/>
      <c r="D13401" s="496"/>
    </row>
    <row r="13402" spans="1:4" x14ac:dyDescent="0.2">
      <c r="A13402" s="146"/>
      <c r="D13402" s="496"/>
    </row>
    <row r="13403" spans="1:4" x14ac:dyDescent="0.2">
      <c r="A13403" s="146"/>
      <c r="D13403" s="496"/>
    </row>
    <row r="13404" spans="1:4" x14ac:dyDescent="0.2">
      <c r="A13404" s="146"/>
      <c r="D13404" s="496"/>
    </row>
    <row r="13405" spans="1:4" x14ac:dyDescent="0.2">
      <c r="A13405" s="146"/>
      <c r="D13405" s="496"/>
    </row>
    <row r="13406" spans="1:4" x14ac:dyDescent="0.2">
      <c r="A13406" s="146"/>
      <c r="D13406" s="496"/>
    </row>
    <row r="13407" spans="1:4" x14ac:dyDescent="0.2">
      <c r="A13407" s="146"/>
      <c r="D13407" s="496"/>
    </row>
    <row r="13408" spans="1:4" x14ac:dyDescent="0.2">
      <c r="A13408" s="146"/>
      <c r="D13408" s="496"/>
    </row>
    <row r="13409" spans="1:4" x14ac:dyDescent="0.2">
      <c r="A13409" s="146"/>
      <c r="D13409" s="496"/>
    </row>
    <row r="13410" spans="1:4" x14ac:dyDescent="0.2">
      <c r="A13410" s="146"/>
      <c r="D13410" s="496"/>
    </row>
    <row r="13411" spans="1:4" x14ac:dyDescent="0.2">
      <c r="A13411" s="146"/>
      <c r="D13411" s="496"/>
    </row>
    <row r="13412" spans="1:4" x14ac:dyDescent="0.2">
      <c r="A13412" s="146"/>
      <c r="D13412" s="496"/>
    </row>
    <row r="13413" spans="1:4" x14ac:dyDescent="0.2">
      <c r="A13413" s="146"/>
      <c r="D13413" s="496"/>
    </row>
    <row r="13414" spans="1:4" x14ac:dyDescent="0.2">
      <c r="A13414" s="146"/>
      <c r="D13414" s="496"/>
    </row>
    <row r="13415" spans="1:4" x14ac:dyDescent="0.2">
      <c r="A13415" s="146"/>
      <c r="D13415" s="496"/>
    </row>
    <row r="13416" spans="1:4" x14ac:dyDescent="0.2">
      <c r="A13416" s="146"/>
      <c r="D13416" s="496"/>
    </row>
    <row r="13417" spans="1:4" x14ac:dyDescent="0.2">
      <c r="A13417" s="146"/>
      <c r="D13417" s="496"/>
    </row>
    <row r="13418" spans="1:4" x14ac:dyDescent="0.2">
      <c r="A13418" s="146"/>
      <c r="D13418" s="496"/>
    </row>
    <row r="13419" spans="1:4" x14ac:dyDescent="0.2">
      <c r="A13419" s="146"/>
      <c r="D13419" s="496"/>
    </row>
    <row r="13420" spans="1:4" x14ac:dyDescent="0.2">
      <c r="A13420" s="146"/>
      <c r="D13420" s="496"/>
    </row>
    <row r="13421" spans="1:4" x14ac:dyDescent="0.2">
      <c r="A13421" s="146"/>
      <c r="D13421" s="496"/>
    </row>
    <row r="13422" spans="1:4" x14ac:dyDescent="0.2">
      <c r="A13422" s="146"/>
      <c r="D13422" s="496"/>
    </row>
    <row r="13423" spans="1:4" x14ac:dyDescent="0.2">
      <c r="A13423" s="146"/>
      <c r="D13423" s="496"/>
    </row>
    <row r="13424" spans="1:4" x14ac:dyDescent="0.2">
      <c r="A13424" s="146"/>
      <c r="D13424" s="496"/>
    </row>
    <row r="13425" spans="1:4" x14ac:dyDescent="0.2">
      <c r="A13425" s="146"/>
      <c r="D13425" s="496"/>
    </row>
    <row r="13426" spans="1:4" x14ac:dyDescent="0.2">
      <c r="A13426" s="146"/>
      <c r="D13426" s="496"/>
    </row>
    <row r="13427" spans="1:4" x14ac:dyDescent="0.2">
      <c r="A13427" s="146"/>
      <c r="D13427" s="496"/>
    </row>
    <row r="13428" spans="1:4" x14ac:dyDescent="0.2">
      <c r="A13428" s="146"/>
      <c r="D13428" s="496"/>
    </row>
    <row r="13429" spans="1:4" x14ac:dyDescent="0.2">
      <c r="A13429" s="146"/>
      <c r="D13429" s="496"/>
    </row>
    <row r="13430" spans="1:4" x14ac:dyDescent="0.2">
      <c r="A13430" s="146"/>
      <c r="D13430" s="496"/>
    </row>
    <row r="13431" spans="1:4" x14ac:dyDescent="0.2">
      <c r="A13431" s="146"/>
      <c r="D13431" s="496"/>
    </row>
    <row r="13432" spans="1:4" x14ac:dyDescent="0.2">
      <c r="A13432" s="146"/>
      <c r="D13432" s="496"/>
    </row>
    <row r="13433" spans="1:4" x14ac:dyDescent="0.2">
      <c r="A13433" s="146"/>
      <c r="D13433" s="496"/>
    </row>
    <row r="13434" spans="1:4" x14ac:dyDescent="0.2">
      <c r="A13434" s="146"/>
      <c r="D13434" s="496"/>
    </row>
    <row r="13435" spans="1:4" x14ac:dyDescent="0.2">
      <c r="A13435" s="146"/>
      <c r="D13435" s="496"/>
    </row>
    <row r="13436" spans="1:4" x14ac:dyDescent="0.2">
      <c r="A13436" s="146"/>
      <c r="D13436" s="496"/>
    </row>
    <row r="13437" spans="1:4" x14ac:dyDescent="0.2">
      <c r="A13437" s="146"/>
      <c r="D13437" s="496"/>
    </row>
    <row r="13438" spans="1:4" x14ac:dyDescent="0.2">
      <c r="A13438" s="146"/>
      <c r="D13438" s="496"/>
    </row>
    <row r="13439" spans="1:4" x14ac:dyDescent="0.2">
      <c r="A13439" s="146"/>
      <c r="D13439" s="496"/>
    </row>
    <row r="13440" spans="1:4" x14ac:dyDescent="0.2">
      <c r="A13440" s="146"/>
      <c r="D13440" s="496"/>
    </row>
    <row r="13441" spans="1:4" x14ac:dyDescent="0.2">
      <c r="A13441" s="146"/>
      <c r="D13441" s="496"/>
    </row>
    <row r="13442" spans="1:4" x14ac:dyDescent="0.2">
      <c r="A13442" s="146"/>
      <c r="D13442" s="496"/>
    </row>
    <row r="13443" spans="1:4" x14ac:dyDescent="0.2">
      <c r="A13443" s="146"/>
      <c r="D13443" s="496"/>
    </row>
    <row r="13444" spans="1:4" x14ac:dyDescent="0.2">
      <c r="A13444" s="146"/>
      <c r="D13444" s="496"/>
    </row>
    <row r="13445" spans="1:4" x14ac:dyDescent="0.2">
      <c r="A13445" s="146"/>
      <c r="D13445" s="496"/>
    </row>
    <row r="13446" spans="1:4" x14ac:dyDescent="0.2">
      <c r="A13446" s="146"/>
      <c r="D13446" s="496"/>
    </row>
    <row r="13447" spans="1:4" x14ac:dyDescent="0.2">
      <c r="A13447" s="146"/>
      <c r="D13447" s="496"/>
    </row>
    <row r="13448" spans="1:4" x14ac:dyDescent="0.2">
      <c r="A13448" s="146"/>
      <c r="D13448" s="496"/>
    </row>
    <row r="13449" spans="1:4" x14ac:dyDescent="0.2">
      <c r="A13449" s="146"/>
      <c r="D13449" s="496"/>
    </row>
    <row r="13450" spans="1:4" x14ac:dyDescent="0.2">
      <c r="A13450" s="146"/>
      <c r="D13450" s="496"/>
    </row>
    <row r="13451" spans="1:4" x14ac:dyDescent="0.2">
      <c r="A13451" s="146"/>
      <c r="D13451" s="496"/>
    </row>
    <row r="13452" spans="1:4" x14ac:dyDescent="0.2">
      <c r="A13452" s="146"/>
      <c r="D13452" s="496"/>
    </row>
    <row r="13453" spans="1:4" x14ac:dyDescent="0.2">
      <c r="A13453" s="146"/>
      <c r="D13453" s="496"/>
    </row>
    <row r="13454" spans="1:4" x14ac:dyDescent="0.2">
      <c r="A13454" s="146"/>
      <c r="D13454" s="496"/>
    </row>
    <row r="13455" spans="1:4" x14ac:dyDescent="0.2">
      <c r="A13455" s="146"/>
      <c r="D13455" s="496"/>
    </row>
    <row r="13456" spans="1:4" x14ac:dyDescent="0.2">
      <c r="A13456" s="146"/>
      <c r="D13456" s="496"/>
    </row>
    <row r="13457" spans="1:4" x14ac:dyDescent="0.2">
      <c r="A13457" s="146"/>
      <c r="D13457" s="496"/>
    </row>
    <row r="13458" spans="1:4" x14ac:dyDescent="0.2">
      <c r="A13458" s="146"/>
      <c r="D13458" s="496"/>
    </row>
    <row r="13459" spans="1:4" x14ac:dyDescent="0.2">
      <c r="A13459" s="146"/>
      <c r="D13459" s="496"/>
    </row>
    <row r="13460" spans="1:4" x14ac:dyDescent="0.2">
      <c r="A13460" s="146"/>
      <c r="D13460" s="496"/>
    </row>
    <row r="13461" spans="1:4" x14ac:dyDescent="0.2">
      <c r="A13461" s="146"/>
      <c r="D13461" s="496"/>
    </row>
    <row r="13462" spans="1:4" x14ac:dyDescent="0.2">
      <c r="A13462" s="146"/>
      <c r="D13462" s="496"/>
    </row>
    <row r="13463" spans="1:4" x14ac:dyDescent="0.2">
      <c r="A13463" s="146"/>
      <c r="D13463" s="496"/>
    </row>
    <row r="13464" spans="1:4" x14ac:dyDescent="0.2">
      <c r="A13464" s="146"/>
      <c r="D13464" s="496"/>
    </row>
    <row r="13465" spans="1:4" x14ac:dyDescent="0.2">
      <c r="A13465" s="146"/>
      <c r="D13465" s="496"/>
    </row>
    <row r="13466" spans="1:4" x14ac:dyDescent="0.2">
      <c r="A13466" s="146"/>
      <c r="D13466" s="496"/>
    </row>
    <row r="13467" spans="1:4" x14ac:dyDescent="0.2">
      <c r="A13467" s="146"/>
      <c r="D13467" s="496"/>
    </row>
    <row r="13468" spans="1:4" x14ac:dyDescent="0.2">
      <c r="A13468" s="146"/>
      <c r="D13468" s="496"/>
    </row>
    <row r="13469" spans="1:4" x14ac:dyDescent="0.2">
      <c r="A13469" s="146"/>
      <c r="D13469" s="496"/>
    </row>
    <row r="13470" spans="1:4" x14ac:dyDescent="0.2">
      <c r="A13470" s="146"/>
      <c r="D13470" s="496"/>
    </row>
    <row r="13471" spans="1:4" x14ac:dyDescent="0.2">
      <c r="A13471" s="146"/>
      <c r="D13471" s="496"/>
    </row>
    <row r="13472" spans="1:4" x14ac:dyDescent="0.2">
      <c r="A13472" s="146"/>
      <c r="D13472" s="496"/>
    </row>
    <row r="13473" spans="1:4" x14ac:dyDescent="0.2">
      <c r="A13473" s="146"/>
      <c r="D13473" s="496"/>
    </row>
    <row r="13474" spans="1:4" x14ac:dyDescent="0.2">
      <c r="A13474" s="146"/>
      <c r="D13474" s="496"/>
    </row>
    <row r="13475" spans="1:4" x14ac:dyDescent="0.2">
      <c r="A13475" s="146"/>
      <c r="D13475" s="496"/>
    </row>
    <row r="13476" spans="1:4" x14ac:dyDescent="0.2">
      <c r="A13476" s="146"/>
      <c r="D13476" s="496"/>
    </row>
    <row r="13477" spans="1:4" x14ac:dyDescent="0.2">
      <c r="A13477" s="146"/>
      <c r="D13477" s="496"/>
    </row>
    <row r="13478" spans="1:4" x14ac:dyDescent="0.2">
      <c r="A13478" s="146"/>
      <c r="D13478" s="496"/>
    </row>
    <row r="13479" spans="1:4" x14ac:dyDescent="0.2">
      <c r="A13479" s="146"/>
      <c r="D13479" s="496"/>
    </row>
    <row r="13480" spans="1:4" x14ac:dyDescent="0.2">
      <c r="A13480" s="146"/>
      <c r="D13480" s="496"/>
    </row>
    <row r="13481" spans="1:4" x14ac:dyDescent="0.2">
      <c r="A13481" s="146"/>
      <c r="D13481" s="496"/>
    </row>
    <row r="13482" spans="1:4" x14ac:dyDescent="0.2">
      <c r="A13482" s="146"/>
      <c r="D13482" s="496"/>
    </row>
    <row r="13483" spans="1:4" x14ac:dyDescent="0.2">
      <c r="A13483" s="146"/>
      <c r="D13483" s="496"/>
    </row>
    <row r="13484" spans="1:4" x14ac:dyDescent="0.2">
      <c r="A13484" s="146"/>
      <c r="D13484" s="496"/>
    </row>
    <row r="13485" spans="1:4" x14ac:dyDescent="0.2">
      <c r="A13485" s="146"/>
      <c r="D13485" s="496"/>
    </row>
    <row r="13486" spans="1:4" x14ac:dyDescent="0.2">
      <c r="A13486" s="146"/>
      <c r="D13486" s="496"/>
    </row>
    <row r="13487" spans="1:4" x14ac:dyDescent="0.2">
      <c r="A13487" s="146"/>
      <c r="D13487" s="496"/>
    </row>
    <row r="13488" spans="1:4" x14ac:dyDescent="0.2">
      <c r="A13488" s="146"/>
      <c r="D13488" s="496"/>
    </row>
    <row r="13489" spans="1:4" x14ac:dyDescent="0.2">
      <c r="A13489" s="146"/>
      <c r="D13489" s="496"/>
    </row>
    <row r="13490" spans="1:4" x14ac:dyDescent="0.2">
      <c r="A13490" s="146"/>
      <c r="D13490" s="496"/>
    </row>
    <row r="13491" spans="1:4" x14ac:dyDescent="0.2">
      <c r="A13491" s="146"/>
      <c r="D13491" s="496"/>
    </row>
    <row r="13492" spans="1:4" x14ac:dyDescent="0.2">
      <c r="A13492" s="146"/>
      <c r="D13492" s="496"/>
    </row>
    <row r="13493" spans="1:4" x14ac:dyDescent="0.2">
      <c r="A13493" s="146"/>
      <c r="D13493" s="496"/>
    </row>
    <row r="13494" spans="1:4" x14ac:dyDescent="0.2">
      <c r="A13494" s="146"/>
      <c r="D13494" s="496"/>
    </row>
    <row r="13495" spans="1:4" x14ac:dyDescent="0.2">
      <c r="A13495" s="146"/>
      <c r="D13495" s="496"/>
    </row>
    <row r="13496" spans="1:4" x14ac:dyDescent="0.2">
      <c r="A13496" s="146"/>
      <c r="D13496" s="496"/>
    </row>
    <row r="13497" spans="1:4" x14ac:dyDescent="0.2">
      <c r="A13497" s="146"/>
      <c r="D13497" s="496"/>
    </row>
    <row r="13498" spans="1:4" x14ac:dyDescent="0.2">
      <c r="A13498" s="146"/>
      <c r="D13498" s="496"/>
    </row>
    <row r="13499" spans="1:4" x14ac:dyDescent="0.2">
      <c r="A13499" s="146"/>
      <c r="D13499" s="496"/>
    </row>
    <row r="13500" spans="1:4" x14ac:dyDescent="0.2">
      <c r="A13500" s="146"/>
      <c r="D13500" s="496"/>
    </row>
    <row r="13501" spans="1:4" x14ac:dyDescent="0.2">
      <c r="A13501" s="146"/>
      <c r="D13501" s="496"/>
    </row>
    <row r="13502" spans="1:4" x14ac:dyDescent="0.2">
      <c r="A13502" s="146"/>
      <c r="D13502" s="496"/>
    </row>
    <row r="13503" spans="1:4" x14ac:dyDescent="0.2">
      <c r="A13503" s="146"/>
      <c r="D13503" s="496"/>
    </row>
    <row r="13504" spans="1:4" x14ac:dyDescent="0.2">
      <c r="A13504" s="146"/>
      <c r="D13504" s="496"/>
    </row>
    <row r="13505" spans="1:4" x14ac:dyDescent="0.2">
      <c r="A13505" s="146"/>
      <c r="D13505" s="496"/>
    </row>
    <row r="13506" spans="1:4" x14ac:dyDescent="0.2">
      <c r="A13506" s="146"/>
      <c r="D13506" s="496"/>
    </row>
    <row r="13507" spans="1:4" x14ac:dyDescent="0.2">
      <c r="A13507" s="146"/>
      <c r="D13507" s="496"/>
    </row>
    <row r="13508" spans="1:4" x14ac:dyDescent="0.2">
      <c r="A13508" s="146"/>
      <c r="D13508" s="496"/>
    </row>
    <row r="13509" spans="1:4" x14ac:dyDescent="0.2">
      <c r="A13509" s="146"/>
      <c r="D13509" s="496"/>
    </row>
    <row r="13510" spans="1:4" x14ac:dyDescent="0.2">
      <c r="A13510" s="146"/>
      <c r="D13510" s="496"/>
    </row>
    <row r="13511" spans="1:4" x14ac:dyDescent="0.2">
      <c r="A13511" s="146"/>
      <c r="D13511" s="496"/>
    </row>
    <row r="13512" spans="1:4" x14ac:dyDescent="0.2">
      <c r="A13512" s="146"/>
      <c r="D13512" s="496"/>
    </row>
    <row r="13513" spans="1:4" x14ac:dyDescent="0.2">
      <c r="A13513" s="146"/>
      <c r="D13513" s="496"/>
    </row>
    <row r="13514" spans="1:4" x14ac:dyDescent="0.2">
      <c r="A13514" s="146"/>
      <c r="D13514" s="496"/>
    </row>
    <row r="13515" spans="1:4" x14ac:dyDescent="0.2">
      <c r="A13515" s="146"/>
      <c r="D13515" s="496"/>
    </row>
    <row r="13516" spans="1:4" x14ac:dyDescent="0.2">
      <c r="A13516" s="146"/>
      <c r="D13516" s="496"/>
    </row>
    <row r="13517" spans="1:4" x14ac:dyDescent="0.2">
      <c r="A13517" s="146"/>
      <c r="D13517" s="496"/>
    </row>
    <row r="13518" spans="1:4" x14ac:dyDescent="0.2">
      <c r="A13518" s="146"/>
      <c r="D13518" s="496"/>
    </row>
    <row r="13519" spans="1:4" x14ac:dyDescent="0.2">
      <c r="A13519" s="146"/>
      <c r="D13519" s="496"/>
    </row>
    <row r="13520" spans="1:4" x14ac:dyDescent="0.2">
      <c r="A13520" s="146"/>
      <c r="D13520" s="496"/>
    </row>
    <row r="13521" spans="1:4" x14ac:dyDescent="0.2">
      <c r="A13521" s="146"/>
      <c r="D13521" s="496"/>
    </row>
    <row r="13522" spans="1:4" x14ac:dyDescent="0.2">
      <c r="A13522" s="146"/>
      <c r="D13522" s="496"/>
    </row>
    <row r="13523" spans="1:4" x14ac:dyDescent="0.2">
      <c r="A13523" s="146"/>
      <c r="D13523" s="496"/>
    </row>
    <row r="13524" spans="1:4" x14ac:dyDescent="0.2">
      <c r="A13524" s="146"/>
      <c r="D13524" s="496"/>
    </row>
    <row r="13525" spans="1:4" x14ac:dyDescent="0.2">
      <c r="A13525" s="146"/>
      <c r="D13525" s="496"/>
    </row>
    <row r="13526" spans="1:4" x14ac:dyDescent="0.2">
      <c r="A13526" s="146"/>
      <c r="D13526" s="496"/>
    </row>
    <row r="13527" spans="1:4" x14ac:dyDescent="0.2">
      <c r="A13527" s="146"/>
      <c r="D13527" s="496"/>
    </row>
    <row r="13528" spans="1:4" x14ac:dyDescent="0.2">
      <c r="A13528" s="146"/>
      <c r="D13528" s="496"/>
    </row>
    <row r="13529" spans="1:4" x14ac:dyDescent="0.2">
      <c r="A13529" s="146"/>
      <c r="D13529" s="496"/>
    </row>
    <row r="13530" spans="1:4" x14ac:dyDescent="0.2">
      <c r="A13530" s="146"/>
      <c r="D13530" s="496"/>
    </row>
    <row r="13531" spans="1:4" x14ac:dyDescent="0.2">
      <c r="A13531" s="146"/>
      <c r="D13531" s="496"/>
    </row>
    <row r="13532" spans="1:4" x14ac:dyDescent="0.2">
      <c r="A13532" s="146"/>
      <c r="D13532" s="496"/>
    </row>
    <row r="13533" spans="1:4" x14ac:dyDescent="0.2">
      <c r="A13533" s="146"/>
      <c r="D13533" s="496"/>
    </row>
    <row r="13534" spans="1:4" x14ac:dyDescent="0.2">
      <c r="A13534" s="146"/>
      <c r="D13534" s="496"/>
    </row>
    <row r="13535" spans="1:4" x14ac:dyDescent="0.2">
      <c r="A13535" s="146"/>
      <c r="D13535" s="496"/>
    </row>
    <row r="13536" spans="1:4" x14ac:dyDescent="0.2">
      <c r="A13536" s="146"/>
      <c r="D13536" s="496"/>
    </row>
    <row r="13537" spans="1:4" x14ac:dyDescent="0.2">
      <c r="A13537" s="146"/>
      <c r="D13537" s="496"/>
    </row>
    <row r="13538" spans="1:4" x14ac:dyDescent="0.2">
      <c r="A13538" s="146"/>
      <c r="D13538" s="496"/>
    </row>
    <row r="13539" spans="1:4" x14ac:dyDescent="0.2">
      <c r="A13539" s="146"/>
      <c r="D13539" s="496"/>
    </row>
    <row r="13540" spans="1:4" x14ac:dyDescent="0.2">
      <c r="A13540" s="146"/>
      <c r="D13540" s="496"/>
    </row>
    <row r="13541" spans="1:4" x14ac:dyDescent="0.2">
      <c r="A13541" s="146"/>
      <c r="D13541" s="496"/>
    </row>
    <row r="13542" spans="1:4" x14ac:dyDescent="0.2">
      <c r="A13542" s="146"/>
      <c r="D13542" s="496"/>
    </row>
    <row r="13543" spans="1:4" x14ac:dyDescent="0.2">
      <c r="A13543" s="146"/>
      <c r="D13543" s="496"/>
    </row>
    <row r="13544" spans="1:4" x14ac:dyDescent="0.2">
      <c r="A13544" s="146"/>
      <c r="D13544" s="496"/>
    </row>
    <row r="13545" spans="1:4" x14ac:dyDescent="0.2">
      <c r="A13545" s="146"/>
      <c r="D13545" s="496"/>
    </row>
    <row r="13546" spans="1:4" x14ac:dyDescent="0.2">
      <c r="A13546" s="146"/>
      <c r="D13546" s="496"/>
    </row>
    <row r="13547" spans="1:4" x14ac:dyDescent="0.2">
      <c r="A13547" s="146"/>
      <c r="D13547" s="496"/>
    </row>
    <row r="13548" spans="1:4" x14ac:dyDescent="0.2">
      <c r="A13548" s="146"/>
      <c r="D13548" s="496"/>
    </row>
    <row r="13549" spans="1:4" x14ac:dyDescent="0.2">
      <c r="A13549" s="146"/>
      <c r="D13549" s="496"/>
    </row>
    <row r="13550" spans="1:4" x14ac:dyDescent="0.2">
      <c r="A13550" s="146"/>
      <c r="D13550" s="496"/>
    </row>
    <row r="13551" spans="1:4" x14ac:dyDescent="0.2">
      <c r="A13551" s="146"/>
      <c r="D13551" s="496"/>
    </row>
    <row r="13552" spans="1:4" x14ac:dyDescent="0.2">
      <c r="A13552" s="146"/>
      <c r="D13552" s="496"/>
    </row>
    <row r="13553" spans="1:4" x14ac:dyDescent="0.2">
      <c r="A13553" s="146"/>
      <c r="D13553" s="496"/>
    </row>
    <row r="13554" spans="1:4" x14ac:dyDescent="0.2">
      <c r="A13554" s="146"/>
      <c r="D13554" s="496"/>
    </row>
    <row r="13555" spans="1:4" x14ac:dyDescent="0.2">
      <c r="A13555" s="146"/>
      <c r="D13555" s="496"/>
    </row>
    <row r="13556" spans="1:4" x14ac:dyDescent="0.2">
      <c r="A13556" s="146"/>
      <c r="D13556" s="496"/>
    </row>
    <row r="13557" spans="1:4" x14ac:dyDescent="0.2">
      <c r="A13557" s="146"/>
      <c r="D13557" s="496"/>
    </row>
    <row r="13558" spans="1:4" x14ac:dyDescent="0.2">
      <c r="A13558" s="146"/>
      <c r="D13558" s="496"/>
    </row>
    <row r="13559" spans="1:4" x14ac:dyDescent="0.2">
      <c r="A13559" s="146"/>
      <c r="D13559" s="496"/>
    </row>
    <row r="13560" spans="1:4" x14ac:dyDescent="0.2">
      <c r="A13560" s="146"/>
      <c r="D13560" s="496"/>
    </row>
    <row r="13561" spans="1:4" x14ac:dyDescent="0.2">
      <c r="A13561" s="146"/>
      <c r="D13561" s="496"/>
    </row>
    <row r="13562" spans="1:4" x14ac:dyDescent="0.2">
      <c r="A13562" s="146"/>
      <c r="D13562" s="496"/>
    </row>
    <row r="13563" spans="1:4" x14ac:dyDescent="0.2">
      <c r="A13563" s="146"/>
      <c r="D13563" s="496"/>
    </row>
    <row r="13564" spans="1:4" x14ac:dyDescent="0.2">
      <c r="A13564" s="146"/>
      <c r="D13564" s="496"/>
    </row>
    <row r="13565" spans="1:4" x14ac:dyDescent="0.2">
      <c r="A13565" s="146"/>
      <c r="D13565" s="496"/>
    </row>
    <row r="13566" spans="1:4" x14ac:dyDescent="0.2">
      <c r="A13566" s="146"/>
      <c r="D13566" s="496"/>
    </row>
    <row r="13567" spans="1:4" x14ac:dyDescent="0.2">
      <c r="A13567" s="146"/>
      <c r="D13567" s="496"/>
    </row>
    <row r="13568" spans="1:4" x14ac:dyDescent="0.2">
      <c r="A13568" s="146"/>
      <c r="D13568" s="496"/>
    </row>
    <row r="13569" spans="1:4" x14ac:dyDescent="0.2">
      <c r="A13569" s="146"/>
      <c r="D13569" s="496"/>
    </row>
    <row r="13570" spans="1:4" x14ac:dyDescent="0.2">
      <c r="A13570" s="146"/>
      <c r="D13570" s="496"/>
    </row>
    <row r="13571" spans="1:4" x14ac:dyDescent="0.2">
      <c r="A13571" s="146"/>
      <c r="D13571" s="496"/>
    </row>
    <row r="13572" spans="1:4" x14ac:dyDescent="0.2">
      <c r="A13572" s="146"/>
      <c r="D13572" s="496"/>
    </row>
    <row r="13573" spans="1:4" x14ac:dyDescent="0.2">
      <c r="A13573" s="146"/>
      <c r="D13573" s="496"/>
    </row>
    <row r="13574" spans="1:4" x14ac:dyDescent="0.2">
      <c r="A13574" s="146"/>
      <c r="D13574" s="496"/>
    </row>
    <row r="13575" spans="1:4" x14ac:dyDescent="0.2">
      <c r="A13575" s="146"/>
      <c r="D13575" s="496"/>
    </row>
    <row r="13576" spans="1:4" x14ac:dyDescent="0.2">
      <c r="A13576" s="146"/>
      <c r="D13576" s="496"/>
    </row>
    <row r="13577" spans="1:4" x14ac:dyDescent="0.2">
      <c r="A13577" s="146"/>
      <c r="D13577" s="496"/>
    </row>
    <row r="13578" spans="1:4" x14ac:dyDescent="0.2">
      <c r="A13578" s="146"/>
      <c r="D13578" s="496"/>
    </row>
    <row r="13579" spans="1:4" x14ac:dyDescent="0.2">
      <c r="A13579" s="146"/>
      <c r="D13579" s="496"/>
    </row>
    <row r="13580" spans="1:4" x14ac:dyDescent="0.2">
      <c r="A13580" s="146"/>
      <c r="D13580" s="496"/>
    </row>
    <row r="13581" spans="1:4" x14ac:dyDescent="0.2">
      <c r="A13581" s="146"/>
      <c r="D13581" s="496"/>
    </row>
    <row r="13582" spans="1:4" x14ac:dyDescent="0.2">
      <c r="A13582" s="146"/>
      <c r="D13582" s="496"/>
    </row>
    <row r="13583" spans="1:4" x14ac:dyDescent="0.2">
      <c r="A13583" s="146"/>
      <c r="D13583" s="496"/>
    </row>
    <row r="13584" spans="1:4" x14ac:dyDescent="0.2">
      <c r="A13584" s="146"/>
      <c r="D13584" s="496"/>
    </row>
    <row r="13585" spans="1:4" x14ac:dyDescent="0.2">
      <c r="A13585" s="146"/>
      <c r="D13585" s="496"/>
    </row>
    <row r="13586" spans="1:4" x14ac:dyDescent="0.2">
      <c r="A13586" s="146"/>
      <c r="D13586" s="496"/>
    </row>
    <row r="13587" spans="1:4" x14ac:dyDescent="0.2">
      <c r="A13587" s="146"/>
      <c r="D13587" s="496"/>
    </row>
    <row r="13588" spans="1:4" x14ac:dyDescent="0.2">
      <c r="A13588" s="146"/>
      <c r="D13588" s="496"/>
    </row>
    <row r="13589" spans="1:4" x14ac:dyDescent="0.2">
      <c r="A13589" s="146"/>
      <c r="D13589" s="496"/>
    </row>
    <row r="13590" spans="1:4" x14ac:dyDescent="0.2">
      <c r="A13590" s="146"/>
      <c r="D13590" s="496"/>
    </row>
    <row r="13591" spans="1:4" x14ac:dyDescent="0.2">
      <c r="A13591" s="146"/>
      <c r="D13591" s="496"/>
    </row>
    <row r="13592" spans="1:4" x14ac:dyDescent="0.2">
      <c r="A13592" s="146"/>
      <c r="D13592" s="496"/>
    </row>
    <row r="13593" spans="1:4" x14ac:dyDescent="0.2">
      <c r="A13593" s="146"/>
      <c r="D13593" s="496"/>
    </row>
    <row r="13594" spans="1:4" x14ac:dyDescent="0.2">
      <c r="A13594" s="146"/>
      <c r="D13594" s="496"/>
    </row>
    <row r="13595" spans="1:4" x14ac:dyDescent="0.2">
      <c r="A13595" s="146"/>
      <c r="D13595" s="496"/>
    </row>
    <row r="13596" spans="1:4" x14ac:dyDescent="0.2">
      <c r="A13596" s="146"/>
      <c r="D13596" s="496"/>
    </row>
    <row r="13597" spans="1:4" x14ac:dyDescent="0.2">
      <c r="A13597" s="146"/>
      <c r="D13597" s="496"/>
    </row>
    <row r="13598" spans="1:4" x14ac:dyDescent="0.2">
      <c r="A13598" s="146"/>
      <c r="D13598" s="496"/>
    </row>
    <row r="13599" spans="1:4" x14ac:dyDescent="0.2">
      <c r="A13599" s="146"/>
      <c r="D13599" s="496"/>
    </row>
    <row r="13600" spans="1:4" x14ac:dyDescent="0.2">
      <c r="A13600" s="146"/>
      <c r="D13600" s="496"/>
    </row>
    <row r="13601" spans="1:4" x14ac:dyDescent="0.2">
      <c r="A13601" s="146"/>
      <c r="D13601" s="496"/>
    </row>
    <row r="13602" spans="1:4" x14ac:dyDescent="0.2">
      <c r="A13602" s="146"/>
      <c r="D13602" s="496"/>
    </row>
    <row r="13603" spans="1:4" x14ac:dyDescent="0.2">
      <c r="A13603" s="146"/>
      <c r="D13603" s="496"/>
    </row>
    <row r="13604" spans="1:4" x14ac:dyDescent="0.2">
      <c r="A13604" s="146"/>
      <c r="D13604" s="496"/>
    </row>
    <row r="13605" spans="1:4" x14ac:dyDescent="0.2">
      <c r="A13605" s="146"/>
      <c r="D13605" s="496"/>
    </row>
    <row r="13606" spans="1:4" x14ac:dyDescent="0.2">
      <c r="A13606" s="146"/>
      <c r="D13606" s="496"/>
    </row>
    <row r="13607" spans="1:4" x14ac:dyDescent="0.2">
      <c r="A13607" s="146"/>
      <c r="D13607" s="496"/>
    </row>
    <row r="13608" spans="1:4" x14ac:dyDescent="0.2">
      <c r="A13608" s="146"/>
      <c r="D13608" s="496"/>
    </row>
    <row r="13609" spans="1:4" x14ac:dyDescent="0.2">
      <c r="A13609" s="146"/>
      <c r="D13609" s="496"/>
    </row>
    <row r="13610" spans="1:4" x14ac:dyDescent="0.2">
      <c r="A13610" s="146"/>
      <c r="D13610" s="496"/>
    </row>
    <row r="13611" spans="1:4" x14ac:dyDescent="0.2">
      <c r="A13611" s="146"/>
      <c r="D13611" s="496"/>
    </row>
    <row r="13612" spans="1:4" x14ac:dyDescent="0.2">
      <c r="A13612" s="146"/>
      <c r="D13612" s="496"/>
    </row>
    <row r="13613" spans="1:4" x14ac:dyDescent="0.2">
      <c r="A13613" s="146"/>
      <c r="D13613" s="496"/>
    </row>
    <row r="13614" spans="1:4" x14ac:dyDescent="0.2">
      <c r="A13614" s="146"/>
      <c r="D13614" s="496"/>
    </row>
    <row r="13615" spans="1:4" x14ac:dyDescent="0.2">
      <c r="A13615" s="146"/>
      <c r="D13615" s="496"/>
    </row>
    <row r="13616" spans="1:4" x14ac:dyDescent="0.2">
      <c r="A13616" s="146"/>
      <c r="D13616" s="496"/>
    </row>
    <row r="13617" spans="1:4" x14ac:dyDescent="0.2">
      <c r="A13617" s="146"/>
      <c r="D13617" s="496"/>
    </row>
    <row r="13618" spans="1:4" x14ac:dyDescent="0.2">
      <c r="A13618" s="146"/>
      <c r="D13618" s="496"/>
    </row>
    <row r="13619" spans="1:4" x14ac:dyDescent="0.2">
      <c r="A13619" s="146"/>
      <c r="D13619" s="496"/>
    </row>
    <row r="13620" spans="1:4" x14ac:dyDescent="0.2">
      <c r="A13620" s="146"/>
      <c r="D13620" s="496"/>
    </row>
    <row r="13621" spans="1:4" x14ac:dyDescent="0.2">
      <c r="A13621" s="146"/>
      <c r="D13621" s="496"/>
    </row>
    <row r="13622" spans="1:4" x14ac:dyDescent="0.2">
      <c r="A13622" s="146"/>
      <c r="D13622" s="496"/>
    </row>
    <row r="13623" spans="1:4" x14ac:dyDescent="0.2">
      <c r="A13623" s="146"/>
      <c r="D13623" s="496"/>
    </row>
    <row r="13624" spans="1:4" x14ac:dyDescent="0.2">
      <c r="A13624" s="146"/>
      <c r="D13624" s="496"/>
    </row>
    <row r="13625" spans="1:4" x14ac:dyDescent="0.2">
      <c r="A13625" s="146"/>
      <c r="D13625" s="496"/>
    </row>
    <row r="13626" spans="1:4" x14ac:dyDescent="0.2">
      <c r="A13626" s="146"/>
      <c r="D13626" s="496"/>
    </row>
    <row r="13627" spans="1:4" x14ac:dyDescent="0.2">
      <c r="A13627" s="146"/>
      <c r="D13627" s="496"/>
    </row>
    <row r="13628" spans="1:4" x14ac:dyDescent="0.2">
      <c r="A13628" s="146"/>
      <c r="D13628" s="496"/>
    </row>
    <row r="13629" spans="1:4" x14ac:dyDescent="0.2">
      <c r="A13629" s="146"/>
      <c r="D13629" s="496"/>
    </row>
    <row r="13630" spans="1:4" x14ac:dyDescent="0.2">
      <c r="A13630" s="146"/>
      <c r="D13630" s="496"/>
    </row>
    <row r="13631" spans="1:4" x14ac:dyDescent="0.2">
      <c r="A13631" s="146"/>
      <c r="D13631" s="496"/>
    </row>
    <row r="13632" spans="1:4" x14ac:dyDescent="0.2">
      <c r="A13632" s="146"/>
      <c r="D13632" s="496"/>
    </row>
    <row r="13633" spans="1:4" x14ac:dyDescent="0.2">
      <c r="A13633" s="146"/>
      <c r="D13633" s="496"/>
    </row>
    <row r="13634" spans="1:4" x14ac:dyDescent="0.2">
      <c r="A13634" s="146"/>
      <c r="D13634" s="496"/>
    </row>
    <row r="13635" spans="1:4" x14ac:dyDescent="0.2">
      <c r="A13635" s="146"/>
      <c r="D13635" s="496"/>
    </row>
    <row r="13636" spans="1:4" x14ac:dyDescent="0.2">
      <c r="A13636" s="146"/>
      <c r="D13636" s="496"/>
    </row>
    <row r="13637" spans="1:4" x14ac:dyDescent="0.2">
      <c r="A13637" s="146"/>
      <c r="D13637" s="496"/>
    </row>
    <row r="13638" spans="1:4" x14ac:dyDescent="0.2">
      <c r="A13638" s="146"/>
      <c r="D13638" s="496"/>
    </row>
    <row r="13639" spans="1:4" x14ac:dyDescent="0.2">
      <c r="A13639" s="146"/>
      <c r="D13639" s="496"/>
    </row>
    <row r="13640" spans="1:4" x14ac:dyDescent="0.2">
      <c r="A13640" s="146"/>
      <c r="D13640" s="496"/>
    </row>
    <row r="13641" spans="1:4" x14ac:dyDescent="0.2">
      <c r="A13641" s="146"/>
      <c r="D13641" s="496"/>
    </row>
    <row r="13642" spans="1:4" x14ac:dyDescent="0.2">
      <c r="A13642" s="146"/>
      <c r="D13642" s="496"/>
    </row>
    <row r="13643" spans="1:4" x14ac:dyDescent="0.2">
      <c r="A13643" s="146"/>
      <c r="D13643" s="496"/>
    </row>
    <row r="13644" spans="1:4" x14ac:dyDescent="0.2">
      <c r="A13644" s="146"/>
      <c r="D13644" s="496"/>
    </row>
    <row r="13645" spans="1:4" x14ac:dyDescent="0.2">
      <c r="A13645" s="146"/>
      <c r="D13645" s="496"/>
    </row>
    <row r="13646" spans="1:4" x14ac:dyDescent="0.2">
      <c r="A13646" s="146"/>
      <c r="D13646" s="496"/>
    </row>
    <row r="13647" spans="1:4" x14ac:dyDescent="0.2">
      <c r="A13647" s="146"/>
      <c r="D13647" s="496"/>
    </row>
    <row r="13648" spans="1:4" x14ac:dyDescent="0.2">
      <c r="A13648" s="146"/>
      <c r="D13648" s="496"/>
    </row>
    <row r="13649" spans="1:4" x14ac:dyDescent="0.2">
      <c r="A13649" s="146"/>
      <c r="D13649" s="496"/>
    </row>
    <row r="13650" spans="1:4" x14ac:dyDescent="0.2">
      <c r="A13650" s="146"/>
      <c r="D13650" s="496"/>
    </row>
    <row r="13651" spans="1:4" x14ac:dyDescent="0.2">
      <c r="A13651" s="146"/>
      <c r="D13651" s="496"/>
    </row>
    <row r="13652" spans="1:4" x14ac:dyDescent="0.2">
      <c r="A13652" s="146"/>
      <c r="D13652" s="496"/>
    </row>
    <row r="13653" spans="1:4" x14ac:dyDescent="0.2">
      <c r="A13653" s="146"/>
      <c r="D13653" s="496"/>
    </row>
    <row r="13654" spans="1:4" x14ac:dyDescent="0.2">
      <c r="A13654" s="146"/>
      <c r="D13654" s="496"/>
    </row>
    <row r="13655" spans="1:4" x14ac:dyDescent="0.2">
      <c r="A13655" s="146"/>
      <c r="D13655" s="496"/>
    </row>
    <row r="13656" spans="1:4" x14ac:dyDescent="0.2">
      <c r="A13656" s="146"/>
      <c r="D13656" s="496"/>
    </row>
    <row r="13657" spans="1:4" x14ac:dyDescent="0.2">
      <c r="A13657" s="146"/>
      <c r="D13657" s="496"/>
    </row>
    <row r="13658" spans="1:4" x14ac:dyDescent="0.2">
      <c r="A13658" s="146"/>
      <c r="D13658" s="496"/>
    </row>
    <row r="13659" spans="1:4" x14ac:dyDescent="0.2">
      <c r="A13659" s="146"/>
      <c r="D13659" s="496"/>
    </row>
    <row r="13660" spans="1:4" x14ac:dyDescent="0.2">
      <c r="A13660" s="146"/>
      <c r="D13660" s="496"/>
    </row>
    <row r="13661" spans="1:4" x14ac:dyDescent="0.2">
      <c r="A13661" s="146"/>
      <c r="D13661" s="496"/>
    </row>
    <row r="13662" spans="1:4" x14ac:dyDescent="0.2">
      <c r="A13662" s="146"/>
      <c r="D13662" s="496"/>
    </row>
    <row r="13663" spans="1:4" x14ac:dyDescent="0.2">
      <c r="A13663" s="146"/>
      <c r="D13663" s="496"/>
    </row>
    <row r="13664" spans="1:4" x14ac:dyDescent="0.2">
      <c r="A13664" s="146"/>
      <c r="D13664" s="496"/>
    </row>
    <row r="13665" spans="1:4" x14ac:dyDescent="0.2">
      <c r="A13665" s="146"/>
      <c r="D13665" s="496"/>
    </row>
    <row r="13666" spans="1:4" x14ac:dyDescent="0.2">
      <c r="A13666" s="146"/>
      <c r="D13666" s="496"/>
    </row>
    <row r="13667" spans="1:4" x14ac:dyDescent="0.2">
      <c r="A13667" s="146"/>
      <c r="D13667" s="496"/>
    </row>
    <row r="13668" spans="1:4" x14ac:dyDescent="0.2">
      <c r="A13668" s="146"/>
      <c r="D13668" s="496"/>
    </row>
    <row r="13669" spans="1:4" x14ac:dyDescent="0.2">
      <c r="A13669" s="146"/>
      <c r="D13669" s="496"/>
    </row>
    <row r="13670" spans="1:4" x14ac:dyDescent="0.2">
      <c r="A13670" s="146"/>
      <c r="D13670" s="496"/>
    </row>
    <row r="13671" spans="1:4" x14ac:dyDescent="0.2">
      <c r="A13671" s="146"/>
      <c r="D13671" s="496"/>
    </row>
    <row r="13672" spans="1:4" x14ac:dyDescent="0.2">
      <c r="A13672" s="146"/>
      <c r="D13672" s="496"/>
    </row>
    <row r="13673" spans="1:4" x14ac:dyDescent="0.2">
      <c r="A13673" s="146"/>
      <c r="D13673" s="496"/>
    </row>
    <row r="13674" spans="1:4" x14ac:dyDescent="0.2">
      <c r="A13674" s="146"/>
      <c r="D13674" s="496"/>
    </row>
    <row r="13675" spans="1:4" x14ac:dyDescent="0.2">
      <c r="A13675" s="146"/>
      <c r="D13675" s="496"/>
    </row>
    <row r="13676" spans="1:4" x14ac:dyDescent="0.2">
      <c r="A13676" s="146"/>
      <c r="D13676" s="496"/>
    </row>
    <row r="13677" spans="1:4" x14ac:dyDescent="0.2">
      <c r="A13677" s="146"/>
      <c r="D13677" s="496"/>
    </row>
    <row r="13678" spans="1:4" x14ac:dyDescent="0.2">
      <c r="A13678" s="146"/>
      <c r="D13678" s="496"/>
    </row>
    <row r="13679" spans="1:4" x14ac:dyDescent="0.2">
      <c r="A13679" s="146"/>
      <c r="D13679" s="496"/>
    </row>
    <row r="13680" spans="1:4" x14ac:dyDescent="0.2">
      <c r="A13680" s="146"/>
      <c r="D13680" s="496"/>
    </row>
    <row r="13681" spans="1:4" x14ac:dyDescent="0.2">
      <c r="A13681" s="146"/>
      <c r="D13681" s="496"/>
    </row>
    <row r="13682" spans="1:4" x14ac:dyDescent="0.2">
      <c r="A13682" s="146"/>
      <c r="D13682" s="496"/>
    </row>
    <row r="13683" spans="1:4" x14ac:dyDescent="0.2">
      <c r="A13683" s="146"/>
      <c r="D13683" s="496"/>
    </row>
    <row r="13684" spans="1:4" x14ac:dyDescent="0.2">
      <c r="A13684" s="146"/>
      <c r="D13684" s="496"/>
    </row>
    <row r="13685" spans="1:4" x14ac:dyDescent="0.2">
      <c r="A13685" s="146"/>
      <c r="D13685" s="496"/>
    </row>
    <row r="13686" spans="1:4" x14ac:dyDescent="0.2">
      <c r="A13686" s="146"/>
      <c r="D13686" s="496"/>
    </row>
    <row r="13687" spans="1:4" x14ac:dyDescent="0.2">
      <c r="A13687" s="146"/>
      <c r="D13687" s="496"/>
    </row>
    <row r="13688" spans="1:4" x14ac:dyDescent="0.2">
      <c r="A13688" s="146"/>
      <c r="D13688" s="496"/>
    </row>
    <row r="13689" spans="1:4" x14ac:dyDescent="0.2">
      <c r="A13689" s="146"/>
      <c r="D13689" s="496"/>
    </row>
    <row r="13690" spans="1:4" x14ac:dyDescent="0.2">
      <c r="A13690" s="146"/>
      <c r="D13690" s="496"/>
    </row>
    <row r="13691" spans="1:4" x14ac:dyDescent="0.2">
      <c r="A13691" s="146"/>
      <c r="D13691" s="496"/>
    </row>
    <row r="13692" spans="1:4" x14ac:dyDescent="0.2">
      <c r="A13692" s="146"/>
      <c r="D13692" s="496"/>
    </row>
    <row r="13693" spans="1:4" x14ac:dyDescent="0.2">
      <c r="A13693" s="146"/>
      <c r="D13693" s="496"/>
    </row>
    <row r="13694" spans="1:4" x14ac:dyDescent="0.2">
      <c r="A13694" s="146"/>
      <c r="D13694" s="496"/>
    </row>
    <row r="13695" spans="1:4" x14ac:dyDescent="0.2">
      <c r="A13695" s="146"/>
      <c r="D13695" s="496"/>
    </row>
    <row r="13696" spans="1:4" x14ac:dyDescent="0.2">
      <c r="A13696" s="146"/>
      <c r="D13696" s="496"/>
    </row>
    <row r="13697" spans="1:4" x14ac:dyDescent="0.2">
      <c r="A13697" s="146"/>
      <c r="D13697" s="496"/>
    </row>
    <row r="13698" spans="1:4" x14ac:dyDescent="0.2">
      <c r="A13698" s="146"/>
      <c r="D13698" s="496"/>
    </row>
    <row r="13699" spans="1:4" x14ac:dyDescent="0.2">
      <c r="A13699" s="146"/>
      <c r="D13699" s="496"/>
    </row>
    <row r="13700" spans="1:4" x14ac:dyDescent="0.2">
      <c r="A13700" s="146"/>
      <c r="D13700" s="496"/>
    </row>
    <row r="13701" spans="1:4" x14ac:dyDescent="0.2">
      <c r="A13701" s="146"/>
      <c r="D13701" s="496"/>
    </row>
    <row r="13702" spans="1:4" x14ac:dyDescent="0.2">
      <c r="A13702" s="146"/>
      <c r="D13702" s="496"/>
    </row>
    <row r="13703" spans="1:4" x14ac:dyDescent="0.2">
      <c r="A13703" s="146"/>
      <c r="D13703" s="496"/>
    </row>
    <row r="13704" spans="1:4" x14ac:dyDescent="0.2">
      <c r="A13704" s="146"/>
      <c r="D13704" s="496"/>
    </row>
    <row r="13705" spans="1:4" x14ac:dyDescent="0.2">
      <c r="A13705" s="146"/>
      <c r="D13705" s="496"/>
    </row>
    <row r="13706" spans="1:4" x14ac:dyDescent="0.2">
      <c r="A13706" s="146"/>
      <c r="D13706" s="496"/>
    </row>
    <row r="13707" spans="1:4" x14ac:dyDescent="0.2">
      <c r="A13707" s="146"/>
      <c r="D13707" s="496"/>
    </row>
    <row r="13708" spans="1:4" x14ac:dyDescent="0.2">
      <c r="A13708" s="146"/>
      <c r="D13708" s="496"/>
    </row>
    <row r="13709" spans="1:4" x14ac:dyDescent="0.2">
      <c r="A13709" s="146"/>
      <c r="D13709" s="496"/>
    </row>
    <row r="13710" spans="1:4" x14ac:dyDescent="0.2">
      <c r="A13710" s="146"/>
      <c r="D13710" s="496"/>
    </row>
    <row r="13711" spans="1:4" x14ac:dyDescent="0.2">
      <c r="A13711" s="146"/>
      <c r="D13711" s="496"/>
    </row>
    <row r="13712" spans="1:4" x14ac:dyDescent="0.2">
      <c r="A13712" s="146"/>
      <c r="D13712" s="496"/>
    </row>
    <row r="13713" spans="1:4" x14ac:dyDescent="0.2">
      <c r="A13713" s="146"/>
      <c r="D13713" s="496"/>
    </row>
    <row r="13714" spans="1:4" x14ac:dyDescent="0.2">
      <c r="A13714" s="146"/>
      <c r="D13714" s="496"/>
    </row>
    <row r="13715" spans="1:4" x14ac:dyDescent="0.2">
      <c r="A13715" s="146"/>
      <c r="D13715" s="496"/>
    </row>
    <row r="13716" spans="1:4" x14ac:dyDescent="0.2">
      <c r="A13716" s="146"/>
      <c r="D13716" s="496"/>
    </row>
    <row r="13717" spans="1:4" x14ac:dyDescent="0.2">
      <c r="A13717" s="146"/>
      <c r="D13717" s="496"/>
    </row>
    <row r="13718" spans="1:4" x14ac:dyDescent="0.2">
      <c r="A13718" s="146"/>
      <c r="D13718" s="496"/>
    </row>
    <row r="13719" spans="1:4" x14ac:dyDescent="0.2">
      <c r="A13719" s="146"/>
      <c r="D13719" s="496"/>
    </row>
    <row r="13720" spans="1:4" x14ac:dyDescent="0.2">
      <c r="A13720" s="146"/>
      <c r="D13720" s="496"/>
    </row>
    <row r="13721" spans="1:4" x14ac:dyDescent="0.2">
      <c r="A13721" s="146"/>
      <c r="D13721" s="496"/>
    </row>
    <row r="13722" spans="1:4" x14ac:dyDescent="0.2">
      <c r="A13722" s="146"/>
      <c r="D13722" s="496"/>
    </row>
    <row r="13723" spans="1:4" x14ac:dyDescent="0.2">
      <c r="A13723" s="146"/>
      <c r="D13723" s="496"/>
    </row>
    <row r="13724" spans="1:4" x14ac:dyDescent="0.2">
      <c r="A13724" s="146"/>
      <c r="D13724" s="496"/>
    </row>
    <row r="13725" spans="1:4" x14ac:dyDescent="0.2">
      <c r="A13725" s="146"/>
      <c r="D13725" s="496"/>
    </row>
    <row r="13726" spans="1:4" x14ac:dyDescent="0.2">
      <c r="A13726" s="146"/>
      <c r="D13726" s="496"/>
    </row>
    <row r="13727" spans="1:4" x14ac:dyDescent="0.2">
      <c r="A13727" s="146"/>
      <c r="D13727" s="496"/>
    </row>
    <row r="13728" spans="1:4" x14ac:dyDescent="0.2">
      <c r="A13728" s="146"/>
      <c r="D13728" s="496"/>
    </row>
    <row r="13729" spans="1:4" x14ac:dyDescent="0.2">
      <c r="A13729" s="146"/>
      <c r="D13729" s="496"/>
    </row>
    <row r="13730" spans="1:4" x14ac:dyDescent="0.2">
      <c r="A13730" s="146"/>
      <c r="D13730" s="496"/>
    </row>
    <row r="13731" spans="1:4" x14ac:dyDescent="0.2">
      <c r="A13731" s="146"/>
      <c r="D13731" s="496"/>
    </row>
    <row r="13732" spans="1:4" x14ac:dyDescent="0.2">
      <c r="A13732" s="146"/>
      <c r="D13732" s="496"/>
    </row>
    <row r="13733" spans="1:4" x14ac:dyDescent="0.2">
      <c r="A13733" s="146"/>
      <c r="D13733" s="496"/>
    </row>
    <row r="13734" spans="1:4" x14ac:dyDescent="0.2">
      <c r="A13734" s="146"/>
      <c r="D13734" s="496"/>
    </row>
    <row r="13735" spans="1:4" x14ac:dyDescent="0.2">
      <c r="A13735" s="146"/>
      <c r="D13735" s="496"/>
    </row>
    <row r="13736" spans="1:4" x14ac:dyDescent="0.2">
      <c r="A13736" s="146"/>
      <c r="D13736" s="496"/>
    </row>
    <row r="13737" spans="1:4" x14ac:dyDescent="0.2">
      <c r="A13737" s="146"/>
      <c r="D13737" s="496"/>
    </row>
    <row r="13738" spans="1:4" x14ac:dyDescent="0.2">
      <c r="A13738" s="146"/>
      <c r="D13738" s="496"/>
    </row>
    <row r="13739" spans="1:4" x14ac:dyDescent="0.2">
      <c r="A13739" s="146"/>
      <c r="D13739" s="496"/>
    </row>
    <row r="13740" spans="1:4" x14ac:dyDescent="0.2">
      <c r="A13740" s="146"/>
      <c r="D13740" s="496"/>
    </row>
    <row r="13741" spans="1:4" x14ac:dyDescent="0.2">
      <c r="A13741" s="146"/>
      <c r="D13741" s="496"/>
    </row>
    <row r="13742" spans="1:4" x14ac:dyDescent="0.2">
      <c r="A13742" s="146"/>
      <c r="D13742" s="496"/>
    </row>
    <row r="13743" spans="1:4" x14ac:dyDescent="0.2">
      <c r="A13743" s="146"/>
      <c r="D13743" s="496"/>
    </row>
    <row r="13744" spans="1:4" x14ac:dyDescent="0.2">
      <c r="A13744" s="146"/>
      <c r="D13744" s="496"/>
    </row>
    <row r="13745" spans="1:4" x14ac:dyDescent="0.2">
      <c r="A13745" s="146"/>
      <c r="D13745" s="496"/>
    </row>
    <row r="13746" spans="1:4" x14ac:dyDescent="0.2">
      <c r="A13746" s="146"/>
      <c r="D13746" s="496"/>
    </row>
    <row r="13747" spans="1:4" x14ac:dyDescent="0.2">
      <c r="A13747" s="146"/>
      <c r="D13747" s="496"/>
    </row>
    <row r="13748" spans="1:4" x14ac:dyDescent="0.2">
      <c r="A13748" s="146"/>
      <c r="D13748" s="496"/>
    </row>
    <row r="13749" spans="1:4" x14ac:dyDescent="0.2">
      <c r="A13749" s="146"/>
      <c r="D13749" s="496"/>
    </row>
    <row r="13750" spans="1:4" x14ac:dyDescent="0.2">
      <c r="A13750" s="146"/>
      <c r="D13750" s="496"/>
    </row>
    <row r="13751" spans="1:4" x14ac:dyDescent="0.2">
      <c r="A13751" s="146"/>
      <c r="D13751" s="496"/>
    </row>
    <row r="13752" spans="1:4" x14ac:dyDescent="0.2">
      <c r="A13752" s="146"/>
      <c r="D13752" s="496"/>
    </row>
    <row r="13753" spans="1:4" x14ac:dyDescent="0.2">
      <c r="A13753" s="146"/>
      <c r="D13753" s="496"/>
    </row>
    <row r="13754" spans="1:4" x14ac:dyDescent="0.2">
      <c r="A13754" s="146"/>
      <c r="D13754" s="496"/>
    </row>
    <row r="13755" spans="1:4" x14ac:dyDescent="0.2">
      <c r="A13755" s="146"/>
      <c r="D13755" s="496"/>
    </row>
    <row r="13756" spans="1:4" x14ac:dyDescent="0.2">
      <c r="A13756" s="146"/>
      <c r="D13756" s="496"/>
    </row>
    <row r="13757" spans="1:4" x14ac:dyDescent="0.2">
      <c r="A13757" s="146"/>
      <c r="D13757" s="496"/>
    </row>
    <row r="13758" spans="1:4" x14ac:dyDescent="0.2">
      <c r="A13758" s="146"/>
      <c r="D13758" s="496"/>
    </row>
    <row r="13759" spans="1:4" x14ac:dyDescent="0.2">
      <c r="A13759" s="146"/>
      <c r="D13759" s="496"/>
    </row>
    <row r="13760" spans="1:4" x14ac:dyDescent="0.2">
      <c r="A13760" s="146"/>
      <c r="D13760" s="496"/>
    </row>
    <row r="13761" spans="1:4" x14ac:dyDescent="0.2">
      <c r="A13761" s="146"/>
      <c r="D13761" s="496"/>
    </row>
    <row r="13762" spans="1:4" x14ac:dyDescent="0.2">
      <c r="A13762" s="146"/>
      <c r="D13762" s="496"/>
    </row>
    <row r="13763" spans="1:4" x14ac:dyDescent="0.2">
      <c r="A13763" s="146"/>
      <c r="D13763" s="496"/>
    </row>
    <row r="13764" spans="1:4" x14ac:dyDescent="0.2">
      <c r="A13764" s="146"/>
      <c r="D13764" s="496"/>
    </row>
    <row r="13765" spans="1:4" x14ac:dyDescent="0.2">
      <c r="A13765" s="146"/>
      <c r="D13765" s="496"/>
    </row>
    <row r="13766" spans="1:4" x14ac:dyDescent="0.2">
      <c r="A13766" s="146"/>
      <c r="D13766" s="496"/>
    </row>
    <row r="13767" spans="1:4" x14ac:dyDescent="0.2">
      <c r="A13767" s="146"/>
      <c r="D13767" s="496"/>
    </row>
    <row r="13768" spans="1:4" x14ac:dyDescent="0.2">
      <c r="A13768" s="146"/>
      <c r="D13768" s="496"/>
    </row>
    <row r="13769" spans="1:4" x14ac:dyDescent="0.2">
      <c r="A13769" s="146"/>
      <c r="D13769" s="496"/>
    </row>
    <row r="13770" spans="1:4" x14ac:dyDescent="0.2">
      <c r="A13770" s="146"/>
      <c r="D13770" s="496"/>
    </row>
    <row r="13771" spans="1:4" x14ac:dyDescent="0.2">
      <c r="A13771" s="146"/>
      <c r="D13771" s="496"/>
    </row>
    <row r="13772" spans="1:4" x14ac:dyDescent="0.2">
      <c r="A13772" s="146"/>
      <c r="D13772" s="496"/>
    </row>
    <row r="13773" spans="1:4" x14ac:dyDescent="0.2">
      <c r="A13773" s="146"/>
      <c r="D13773" s="496"/>
    </row>
    <row r="13774" spans="1:4" x14ac:dyDescent="0.2">
      <c r="A13774" s="146"/>
      <c r="D13774" s="496"/>
    </row>
    <row r="13775" spans="1:4" x14ac:dyDescent="0.2">
      <c r="A13775" s="146"/>
      <c r="D13775" s="496"/>
    </row>
    <row r="13776" spans="1:4" x14ac:dyDescent="0.2">
      <c r="D13776" s="496"/>
    </row>
    <row r="13777" s="496" customFormat="1" x14ac:dyDescent="0.2"/>
    <row r="13778" s="496" customFormat="1" x14ac:dyDescent="0.2"/>
    <row r="13779" s="496" customFormat="1" x14ac:dyDescent="0.2"/>
    <row r="13780" s="496" customFormat="1" x14ac:dyDescent="0.2"/>
    <row r="13781" s="496" customFormat="1" x14ac:dyDescent="0.2"/>
    <row r="13782" s="496" customFormat="1" x14ac:dyDescent="0.2"/>
    <row r="13783" s="496" customFormat="1" x14ac:dyDescent="0.2"/>
    <row r="13784" s="496" customFormat="1" x14ac:dyDescent="0.2"/>
    <row r="13785" s="496" customFormat="1" x14ac:dyDescent="0.2"/>
    <row r="13786" s="496" customFormat="1" x14ac:dyDescent="0.2"/>
    <row r="13787" s="496" customFormat="1" x14ac:dyDescent="0.2"/>
    <row r="13788" s="496" customFormat="1" x14ac:dyDescent="0.2"/>
    <row r="13789" s="496" customFormat="1" x14ac:dyDescent="0.2"/>
    <row r="13790" s="496" customFormat="1" x14ac:dyDescent="0.2"/>
    <row r="13791" s="496" customFormat="1" x14ac:dyDescent="0.2"/>
    <row r="13792" s="496" customFormat="1" x14ac:dyDescent="0.2"/>
    <row r="13793" s="496" customFormat="1" x14ac:dyDescent="0.2"/>
    <row r="13794" s="496" customFormat="1" x14ac:dyDescent="0.2"/>
    <row r="13795" s="496" customFormat="1" x14ac:dyDescent="0.2"/>
    <row r="13796" s="496" customFormat="1" x14ac:dyDescent="0.2"/>
    <row r="13797" s="496" customFormat="1" x14ac:dyDescent="0.2"/>
    <row r="13798" s="496" customFormat="1" x14ac:dyDescent="0.2"/>
    <row r="13799" s="496" customFormat="1" x14ac:dyDescent="0.2"/>
    <row r="13800" s="496" customFormat="1" x14ac:dyDescent="0.2"/>
    <row r="13801" s="496" customFormat="1" x14ac:dyDescent="0.2"/>
    <row r="13802" s="496" customFormat="1" x14ac:dyDescent="0.2"/>
    <row r="13803" s="496" customFormat="1" x14ac:dyDescent="0.2"/>
    <row r="13804" s="496" customFormat="1" x14ac:dyDescent="0.2"/>
    <row r="13805" s="496" customFormat="1" x14ac:dyDescent="0.2"/>
    <row r="13806" s="496" customFormat="1" x14ac:dyDescent="0.2"/>
    <row r="13807" s="496" customFormat="1" x14ac:dyDescent="0.2"/>
    <row r="13808" s="496" customFormat="1" x14ac:dyDescent="0.2"/>
    <row r="13809" s="496" customFormat="1" x14ac:dyDescent="0.2"/>
    <row r="13810" s="496" customFormat="1" x14ac:dyDescent="0.2"/>
    <row r="13811" s="496" customFormat="1" x14ac:dyDescent="0.2"/>
    <row r="13812" s="496" customFormat="1" x14ac:dyDescent="0.2"/>
    <row r="13813" s="496" customFormat="1" x14ac:dyDescent="0.2"/>
    <row r="13814" s="496" customFormat="1" x14ac:dyDescent="0.2"/>
    <row r="13815" s="496" customFormat="1" x14ac:dyDescent="0.2"/>
    <row r="13816" s="496" customFormat="1" x14ac:dyDescent="0.2"/>
    <row r="13817" s="496" customFormat="1" x14ac:dyDescent="0.2"/>
    <row r="13818" s="496" customFormat="1" x14ac:dyDescent="0.2"/>
    <row r="13819" s="496" customFormat="1" x14ac:dyDescent="0.2"/>
    <row r="13820" s="496" customFormat="1" x14ac:dyDescent="0.2"/>
    <row r="13821" s="496" customFormat="1" x14ac:dyDescent="0.2"/>
    <row r="13822" s="496" customFormat="1" x14ac:dyDescent="0.2"/>
    <row r="13823" s="496" customFormat="1" x14ac:dyDescent="0.2"/>
    <row r="13824" s="496" customFormat="1" x14ac:dyDescent="0.2"/>
    <row r="13825" s="496" customFormat="1" x14ac:dyDescent="0.2"/>
    <row r="13826" s="496" customFormat="1" x14ac:dyDescent="0.2"/>
    <row r="13827" s="496" customFormat="1" x14ac:dyDescent="0.2"/>
    <row r="13828" s="496" customFormat="1" x14ac:dyDescent="0.2"/>
    <row r="13829" s="496" customFormat="1" x14ac:dyDescent="0.2"/>
    <row r="13830" s="496" customFormat="1" x14ac:dyDescent="0.2"/>
    <row r="13831" s="496" customFormat="1" x14ac:dyDescent="0.2"/>
    <row r="13832" s="496" customFormat="1" x14ac:dyDescent="0.2"/>
    <row r="13833" s="496" customFormat="1" x14ac:dyDescent="0.2"/>
    <row r="13834" s="496" customFormat="1" x14ac:dyDescent="0.2"/>
    <row r="13835" s="496" customFormat="1" x14ac:dyDescent="0.2"/>
    <row r="13836" s="496" customFormat="1" x14ac:dyDescent="0.2"/>
    <row r="13837" s="496" customFormat="1" x14ac:dyDescent="0.2"/>
    <row r="13838" s="496" customFormat="1" x14ac:dyDescent="0.2"/>
    <row r="13839" s="496" customFormat="1" x14ac:dyDescent="0.2"/>
    <row r="13840" s="496" customFormat="1" x14ac:dyDescent="0.2"/>
    <row r="13841" s="496" customFormat="1" x14ac:dyDescent="0.2"/>
    <row r="13842" s="496" customFormat="1" x14ac:dyDescent="0.2"/>
    <row r="13843" s="496" customFormat="1" x14ac:dyDescent="0.2"/>
    <row r="13844" s="496" customFormat="1" x14ac:dyDescent="0.2"/>
    <row r="13845" s="496" customFormat="1" x14ac:dyDescent="0.2"/>
    <row r="13846" s="496" customFormat="1" x14ac:dyDescent="0.2"/>
    <row r="13847" s="496" customFormat="1" x14ac:dyDescent="0.2"/>
    <row r="13848" s="496" customFormat="1" x14ac:dyDescent="0.2"/>
    <row r="13849" s="496" customFormat="1" x14ac:dyDescent="0.2"/>
    <row r="13850" s="496" customFormat="1" x14ac:dyDescent="0.2"/>
    <row r="13851" s="496" customFormat="1" x14ac:dyDescent="0.2"/>
    <row r="13852" s="496" customFormat="1" x14ac:dyDescent="0.2"/>
    <row r="13853" s="496" customFormat="1" x14ac:dyDescent="0.2"/>
    <row r="13854" s="496" customFormat="1" x14ac:dyDescent="0.2"/>
    <row r="13855" s="496" customFormat="1" x14ac:dyDescent="0.2"/>
    <row r="13856" s="496" customFormat="1" x14ac:dyDescent="0.2"/>
    <row r="13857" s="496" customFormat="1" x14ac:dyDescent="0.2"/>
    <row r="13858" s="496" customFormat="1" x14ac:dyDescent="0.2"/>
    <row r="13859" s="496" customFormat="1" x14ac:dyDescent="0.2"/>
    <row r="13860" s="496" customFormat="1" x14ac:dyDescent="0.2"/>
    <row r="13861" s="496" customFormat="1" x14ac:dyDescent="0.2"/>
    <row r="13862" s="496" customFormat="1" x14ac:dyDescent="0.2"/>
    <row r="13863" s="496" customFormat="1" x14ac:dyDescent="0.2"/>
    <row r="13864" s="496" customFormat="1" x14ac:dyDescent="0.2"/>
    <row r="13865" s="496" customFormat="1" x14ac:dyDescent="0.2"/>
    <row r="13866" s="496" customFormat="1" x14ac:dyDescent="0.2"/>
    <row r="13867" s="496" customFormat="1" x14ac:dyDescent="0.2"/>
    <row r="13868" s="496" customFormat="1" x14ac:dyDescent="0.2"/>
    <row r="13869" s="496" customFormat="1" x14ac:dyDescent="0.2"/>
    <row r="13870" s="496" customFormat="1" x14ac:dyDescent="0.2"/>
    <row r="13871" s="496" customFormat="1" x14ac:dyDescent="0.2"/>
    <row r="13872" s="496" customFormat="1" x14ac:dyDescent="0.2"/>
    <row r="13873" s="496" customFormat="1" x14ac:dyDescent="0.2"/>
    <row r="13874" s="496" customFormat="1" x14ac:dyDescent="0.2"/>
    <row r="13875" s="496" customFormat="1" x14ac:dyDescent="0.2"/>
    <row r="13876" s="496" customFormat="1" x14ac:dyDescent="0.2"/>
    <row r="13877" s="496" customFormat="1" x14ac:dyDescent="0.2"/>
    <row r="13878" s="496" customFormat="1" x14ac:dyDescent="0.2"/>
    <row r="13879" s="496" customFormat="1" x14ac:dyDescent="0.2"/>
    <row r="13880" s="496" customFormat="1" x14ac:dyDescent="0.2"/>
    <row r="13881" s="496" customFormat="1" x14ac:dyDescent="0.2"/>
    <row r="13882" s="496" customFormat="1" x14ac:dyDescent="0.2"/>
    <row r="13883" s="496" customFormat="1" x14ac:dyDescent="0.2"/>
    <row r="13884" s="496" customFormat="1" x14ac:dyDescent="0.2"/>
    <row r="13885" s="496" customFormat="1" x14ac:dyDescent="0.2"/>
    <row r="13886" s="496" customFormat="1" x14ac:dyDescent="0.2"/>
    <row r="13887" s="496" customFormat="1" x14ac:dyDescent="0.2"/>
    <row r="13888" s="496" customFormat="1" x14ac:dyDescent="0.2"/>
    <row r="13889" s="496" customFormat="1" x14ac:dyDescent="0.2"/>
    <row r="13890" s="496" customFormat="1" x14ac:dyDescent="0.2"/>
    <row r="13891" s="496" customFormat="1" x14ac:dyDescent="0.2"/>
    <row r="13892" s="496" customFormat="1" x14ac:dyDescent="0.2"/>
    <row r="13893" s="496" customFormat="1" x14ac:dyDescent="0.2"/>
    <row r="13894" s="496" customFormat="1" x14ac:dyDescent="0.2"/>
    <row r="13895" s="496" customFormat="1" x14ac:dyDescent="0.2"/>
    <row r="13896" s="496" customFormat="1" x14ac:dyDescent="0.2"/>
    <row r="13897" s="496" customFormat="1" x14ac:dyDescent="0.2"/>
    <row r="13898" s="496" customFormat="1" x14ac:dyDescent="0.2"/>
    <row r="13899" s="496" customFormat="1" x14ac:dyDescent="0.2"/>
    <row r="13900" s="496" customFormat="1" x14ac:dyDescent="0.2"/>
    <row r="13901" s="496" customFormat="1" x14ac:dyDescent="0.2"/>
    <row r="13902" s="496" customFormat="1" x14ac:dyDescent="0.2"/>
    <row r="13903" s="496" customFormat="1" x14ac:dyDescent="0.2"/>
    <row r="13904" s="496" customFormat="1" x14ac:dyDescent="0.2"/>
    <row r="13905" s="496" customFormat="1" x14ac:dyDescent="0.2"/>
    <row r="13906" s="496" customFormat="1" x14ac:dyDescent="0.2"/>
    <row r="13907" s="496" customFormat="1" x14ac:dyDescent="0.2"/>
    <row r="13908" s="496" customFormat="1" x14ac:dyDescent="0.2"/>
    <row r="13909" s="496" customFormat="1" x14ac:dyDescent="0.2"/>
    <row r="13910" s="496" customFormat="1" x14ac:dyDescent="0.2"/>
    <row r="13911" s="496" customFormat="1" x14ac:dyDescent="0.2"/>
    <row r="13912" s="496" customFormat="1" x14ac:dyDescent="0.2"/>
    <row r="13913" s="496" customFormat="1" x14ac:dyDescent="0.2"/>
    <row r="13914" s="496" customFormat="1" x14ac:dyDescent="0.2"/>
    <row r="13915" s="496" customFormat="1" x14ac:dyDescent="0.2"/>
    <row r="13916" s="496" customFormat="1" x14ac:dyDescent="0.2"/>
    <row r="13917" s="496" customFormat="1" x14ac:dyDescent="0.2"/>
    <row r="13918" s="496" customFormat="1" x14ac:dyDescent="0.2"/>
    <row r="13919" s="496" customFormat="1" x14ac:dyDescent="0.2"/>
    <row r="13920" s="496" customFormat="1" x14ac:dyDescent="0.2"/>
    <row r="13921" s="496" customFormat="1" x14ac:dyDescent="0.2"/>
    <row r="13922" s="496" customFormat="1" x14ac:dyDescent="0.2"/>
    <row r="13923" s="496" customFormat="1" x14ac:dyDescent="0.2"/>
    <row r="13924" s="496" customFormat="1" x14ac:dyDescent="0.2"/>
    <row r="13925" s="496" customFormat="1" x14ac:dyDescent="0.2"/>
    <row r="13926" s="496" customFormat="1" x14ac:dyDescent="0.2"/>
    <row r="13927" s="496" customFormat="1" x14ac:dyDescent="0.2"/>
    <row r="13928" s="496" customFormat="1" x14ac:dyDescent="0.2"/>
    <row r="13929" s="496" customFormat="1" x14ac:dyDescent="0.2"/>
    <row r="13930" s="496" customFormat="1" x14ac:dyDescent="0.2"/>
    <row r="13931" s="496" customFormat="1" x14ac:dyDescent="0.2"/>
    <row r="13932" s="496" customFormat="1" x14ac:dyDescent="0.2"/>
    <row r="13933" s="496" customFormat="1" x14ac:dyDescent="0.2"/>
    <row r="13934" s="496" customFormat="1" x14ac:dyDescent="0.2"/>
    <row r="13935" s="496" customFormat="1" x14ac:dyDescent="0.2"/>
    <row r="13936" s="496" customFormat="1" x14ac:dyDescent="0.2"/>
    <row r="13937" s="496" customFormat="1" x14ac:dyDescent="0.2"/>
    <row r="13938" s="496" customFormat="1" x14ac:dyDescent="0.2"/>
    <row r="13939" s="496" customFormat="1" x14ac:dyDescent="0.2"/>
    <row r="13940" s="496" customFormat="1" x14ac:dyDescent="0.2"/>
    <row r="13941" s="496" customFormat="1" x14ac:dyDescent="0.2"/>
    <row r="13942" s="496" customFormat="1" x14ac:dyDescent="0.2"/>
    <row r="13943" s="496" customFormat="1" x14ac:dyDescent="0.2"/>
    <row r="13944" s="496" customFormat="1" x14ac:dyDescent="0.2"/>
    <row r="13945" s="496" customFormat="1" x14ac:dyDescent="0.2"/>
    <row r="13946" s="496" customFormat="1" x14ac:dyDescent="0.2"/>
    <row r="13947" s="496" customFormat="1" x14ac:dyDescent="0.2"/>
    <row r="13948" s="496" customFormat="1" x14ac:dyDescent="0.2"/>
    <row r="13949" s="496" customFormat="1" x14ac:dyDescent="0.2"/>
    <row r="13950" s="496" customFormat="1" x14ac:dyDescent="0.2"/>
    <row r="13951" s="496" customFormat="1" x14ac:dyDescent="0.2"/>
    <row r="13952" s="496" customFormat="1" x14ac:dyDescent="0.2"/>
    <row r="13953" s="496" customFormat="1" x14ac:dyDescent="0.2"/>
    <row r="13954" s="496" customFormat="1" x14ac:dyDescent="0.2"/>
    <row r="13955" s="496" customFormat="1" x14ac:dyDescent="0.2"/>
    <row r="13956" s="496" customFormat="1" x14ac:dyDescent="0.2"/>
    <row r="13957" s="496" customFormat="1" x14ac:dyDescent="0.2"/>
    <row r="13958" s="496" customFormat="1" x14ac:dyDescent="0.2"/>
    <row r="13959" s="496" customFormat="1" x14ac:dyDescent="0.2"/>
    <row r="13960" s="496" customFormat="1" x14ac:dyDescent="0.2"/>
    <row r="13961" s="496" customFormat="1" x14ac:dyDescent="0.2"/>
    <row r="13962" s="496" customFormat="1" x14ac:dyDescent="0.2"/>
    <row r="13963" s="496" customFormat="1" x14ac:dyDescent="0.2"/>
    <row r="13964" s="496" customFormat="1" x14ac:dyDescent="0.2"/>
    <row r="13965" s="496" customFormat="1" x14ac:dyDescent="0.2"/>
    <row r="13966" s="496" customFormat="1" x14ac:dyDescent="0.2"/>
    <row r="13967" s="496" customFormat="1" x14ac:dyDescent="0.2"/>
    <row r="13968" s="496" customFormat="1" x14ac:dyDescent="0.2"/>
    <row r="13969" s="496" customFormat="1" x14ac:dyDescent="0.2"/>
    <row r="13970" s="496" customFormat="1" x14ac:dyDescent="0.2"/>
    <row r="13971" s="496" customFormat="1" x14ac:dyDescent="0.2"/>
    <row r="13972" s="496" customFormat="1" x14ac:dyDescent="0.2"/>
    <row r="13973" s="496" customFormat="1" x14ac:dyDescent="0.2"/>
    <row r="13974" s="496" customFormat="1" x14ac:dyDescent="0.2"/>
    <row r="13975" s="496" customFormat="1" x14ac:dyDescent="0.2"/>
    <row r="13976" s="496" customFormat="1" x14ac:dyDescent="0.2"/>
    <row r="13977" s="496" customFormat="1" x14ac:dyDescent="0.2"/>
    <row r="13978" s="496" customFormat="1" x14ac:dyDescent="0.2"/>
    <row r="13979" s="496" customFormat="1" x14ac:dyDescent="0.2"/>
    <row r="13980" s="496" customFormat="1" x14ac:dyDescent="0.2"/>
    <row r="13981" s="496" customFormat="1" x14ac:dyDescent="0.2"/>
    <row r="13982" s="496" customFormat="1" x14ac:dyDescent="0.2"/>
    <row r="13983" s="496" customFormat="1" x14ac:dyDescent="0.2"/>
    <row r="13984" s="496" customFormat="1" x14ac:dyDescent="0.2"/>
    <row r="13985" s="496" customFormat="1" x14ac:dyDescent="0.2"/>
    <row r="13986" s="496" customFormat="1" x14ac:dyDescent="0.2"/>
    <row r="13987" s="496" customFormat="1" x14ac:dyDescent="0.2"/>
    <row r="13988" s="496" customFormat="1" x14ac:dyDescent="0.2"/>
    <row r="13989" s="496" customFormat="1" x14ac:dyDescent="0.2"/>
    <row r="13990" s="496" customFormat="1" x14ac:dyDescent="0.2"/>
    <row r="13991" s="496" customFormat="1" x14ac:dyDescent="0.2"/>
    <row r="13992" s="496" customFormat="1" x14ac:dyDescent="0.2"/>
    <row r="13993" s="496" customFormat="1" x14ac:dyDescent="0.2"/>
    <row r="13994" s="496" customFormat="1" x14ac:dyDescent="0.2"/>
    <row r="13995" s="496" customFormat="1" x14ac:dyDescent="0.2"/>
    <row r="13996" s="496" customFormat="1" x14ac:dyDescent="0.2"/>
    <row r="13997" s="496" customFormat="1" x14ac:dyDescent="0.2"/>
    <row r="13998" s="496" customFormat="1" x14ac:dyDescent="0.2"/>
    <row r="13999" s="496" customFormat="1" x14ac:dyDescent="0.2"/>
    <row r="14000" s="496" customFormat="1" x14ac:dyDescent="0.2"/>
    <row r="14001" s="496" customFormat="1" x14ac:dyDescent="0.2"/>
    <row r="14002" s="496" customFormat="1" x14ac:dyDescent="0.2"/>
    <row r="14003" s="496" customFormat="1" x14ac:dyDescent="0.2"/>
    <row r="14004" s="496" customFormat="1" x14ac:dyDescent="0.2"/>
    <row r="14005" s="496" customFormat="1" x14ac:dyDescent="0.2"/>
    <row r="14006" s="496" customFormat="1" x14ac:dyDescent="0.2"/>
    <row r="14007" s="496" customFormat="1" x14ac:dyDescent="0.2"/>
    <row r="14008" s="496" customFormat="1" x14ac:dyDescent="0.2"/>
    <row r="14009" s="496" customFormat="1" x14ac:dyDescent="0.2"/>
    <row r="14010" s="496" customFormat="1" x14ac:dyDescent="0.2"/>
    <row r="14011" s="496" customFormat="1" x14ac:dyDescent="0.2"/>
    <row r="14012" s="496" customFormat="1" x14ac:dyDescent="0.2"/>
    <row r="14013" s="496" customFormat="1" x14ac:dyDescent="0.2"/>
    <row r="14014" s="496" customFormat="1" x14ac:dyDescent="0.2"/>
    <row r="14015" s="496" customFormat="1" x14ac:dyDescent="0.2"/>
    <row r="14016" s="496" customFormat="1" x14ac:dyDescent="0.2"/>
    <row r="14017" s="496" customFormat="1" x14ac:dyDescent="0.2"/>
    <row r="14018" s="496" customFormat="1" x14ac:dyDescent="0.2"/>
    <row r="14019" s="496" customFormat="1" x14ac:dyDescent="0.2"/>
    <row r="14020" s="496" customFormat="1" x14ac:dyDescent="0.2"/>
    <row r="14021" s="496" customFormat="1" x14ac:dyDescent="0.2"/>
    <row r="14022" s="496" customFormat="1" x14ac:dyDescent="0.2"/>
    <row r="14023" s="496" customFormat="1" x14ac:dyDescent="0.2"/>
    <row r="14024" s="496" customFormat="1" x14ac:dyDescent="0.2"/>
    <row r="14025" s="496" customFormat="1" x14ac:dyDescent="0.2"/>
    <row r="14026" s="496" customFormat="1" x14ac:dyDescent="0.2"/>
    <row r="14027" s="496" customFormat="1" x14ac:dyDescent="0.2"/>
    <row r="14028" s="496" customFormat="1" x14ac:dyDescent="0.2"/>
    <row r="14029" s="496" customFormat="1" x14ac:dyDescent="0.2"/>
    <row r="14030" s="496" customFormat="1" x14ac:dyDescent="0.2"/>
    <row r="14031" s="496" customFormat="1" x14ac:dyDescent="0.2"/>
    <row r="14032" s="496" customFormat="1" x14ac:dyDescent="0.2"/>
    <row r="14033" s="496" customFormat="1" x14ac:dyDescent="0.2"/>
    <row r="14034" s="496" customFormat="1" x14ac:dyDescent="0.2"/>
    <row r="14035" s="496" customFormat="1" x14ac:dyDescent="0.2"/>
    <row r="14036" s="496" customFormat="1" x14ac:dyDescent="0.2"/>
    <row r="14037" s="496" customFormat="1" x14ac:dyDescent="0.2"/>
    <row r="14038" s="496" customFormat="1" x14ac:dyDescent="0.2"/>
    <row r="14039" s="496" customFormat="1" x14ac:dyDescent="0.2"/>
    <row r="14040" s="496" customFormat="1" x14ac:dyDescent="0.2"/>
    <row r="14041" s="496" customFormat="1" x14ac:dyDescent="0.2"/>
    <row r="14042" s="496" customFormat="1" x14ac:dyDescent="0.2"/>
    <row r="14043" s="496" customFormat="1" x14ac:dyDescent="0.2"/>
    <row r="14044" s="496" customFormat="1" x14ac:dyDescent="0.2"/>
    <row r="14045" s="496" customFormat="1" x14ac:dyDescent="0.2"/>
    <row r="14046" s="496" customFormat="1" x14ac:dyDescent="0.2"/>
    <row r="14047" s="496" customFormat="1" x14ac:dyDescent="0.2"/>
    <row r="14048" s="496" customFormat="1" x14ac:dyDescent="0.2"/>
    <row r="14049" s="496" customFormat="1" x14ac:dyDescent="0.2"/>
    <row r="14050" s="496" customFormat="1" x14ac:dyDescent="0.2"/>
    <row r="14051" s="496" customFormat="1" x14ac:dyDescent="0.2"/>
    <row r="14052" s="496" customFormat="1" x14ac:dyDescent="0.2"/>
    <row r="14053" s="496" customFormat="1" x14ac:dyDescent="0.2"/>
    <row r="14054" s="496" customFormat="1" x14ac:dyDescent="0.2"/>
    <row r="14055" s="496" customFormat="1" x14ac:dyDescent="0.2"/>
    <row r="14056" s="496" customFormat="1" x14ac:dyDescent="0.2"/>
    <row r="14057" s="496" customFormat="1" x14ac:dyDescent="0.2"/>
    <row r="14058" s="496" customFormat="1" x14ac:dyDescent="0.2"/>
    <row r="14059" s="496" customFormat="1" x14ac:dyDescent="0.2"/>
    <row r="14060" s="496" customFormat="1" x14ac:dyDescent="0.2"/>
    <row r="14061" s="496" customFormat="1" x14ac:dyDescent="0.2"/>
    <row r="14062" s="496" customFormat="1" x14ac:dyDescent="0.2"/>
    <row r="14063" s="496" customFormat="1" x14ac:dyDescent="0.2"/>
    <row r="14064" s="496" customFormat="1" x14ac:dyDescent="0.2"/>
    <row r="14065" s="496" customFormat="1" x14ac:dyDescent="0.2"/>
    <row r="14066" s="496" customFormat="1" x14ac:dyDescent="0.2"/>
    <row r="14067" s="496" customFormat="1" x14ac:dyDescent="0.2"/>
    <row r="14068" s="496" customFormat="1" x14ac:dyDescent="0.2"/>
    <row r="14069" s="496" customFormat="1" x14ac:dyDescent="0.2"/>
    <row r="14070" s="496" customFormat="1" x14ac:dyDescent="0.2"/>
    <row r="14071" s="496" customFormat="1" x14ac:dyDescent="0.2"/>
    <row r="14072" s="496" customFormat="1" x14ac:dyDescent="0.2"/>
    <row r="14073" s="496" customFormat="1" x14ac:dyDescent="0.2"/>
    <row r="14074" s="496" customFormat="1" x14ac:dyDescent="0.2"/>
    <row r="14075" s="496" customFormat="1" x14ac:dyDescent="0.2"/>
    <row r="14076" s="496" customFormat="1" x14ac:dyDescent="0.2"/>
    <row r="14077" s="496" customFormat="1" x14ac:dyDescent="0.2"/>
    <row r="14078" s="496" customFormat="1" x14ac:dyDescent="0.2"/>
    <row r="14079" s="496" customFormat="1" x14ac:dyDescent="0.2"/>
    <row r="14080" s="496" customFormat="1" x14ac:dyDescent="0.2"/>
    <row r="14081" s="496" customFormat="1" x14ac:dyDescent="0.2"/>
    <row r="14082" s="496" customFormat="1" x14ac:dyDescent="0.2"/>
    <row r="14083" s="496" customFormat="1" x14ac:dyDescent="0.2"/>
    <row r="14084" s="496" customFormat="1" x14ac:dyDescent="0.2"/>
    <row r="14085" s="496" customFormat="1" x14ac:dyDescent="0.2"/>
    <row r="14086" s="496" customFormat="1" x14ac:dyDescent="0.2"/>
    <row r="14087" s="496" customFormat="1" x14ac:dyDescent="0.2"/>
    <row r="14088" s="496" customFormat="1" x14ac:dyDescent="0.2"/>
    <row r="14089" s="496" customFormat="1" x14ac:dyDescent="0.2"/>
    <row r="14090" s="496" customFormat="1" x14ac:dyDescent="0.2"/>
    <row r="14091" s="496" customFormat="1" x14ac:dyDescent="0.2"/>
    <row r="14092" s="496" customFormat="1" x14ac:dyDescent="0.2"/>
    <row r="14093" s="496" customFormat="1" x14ac:dyDescent="0.2"/>
    <row r="14094" s="496" customFormat="1" x14ac:dyDescent="0.2"/>
    <row r="14095" s="496" customFormat="1" x14ac:dyDescent="0.2"/>
    <row r="14096" s="496" customFormat="1" x14ac:dyDescent="0.2"/>
    <row r="14097" s="496" customFormat="1" x14ac:dyDescent="0.2"/>
    <row r="14098" s="496" customFormat="1" x14ac:dyDescent="0.2"/>
    <row r="14099" s="496" customFormat="1" x14ac:dyDescent="0.2"/>
    <row r="14100" s="496" customFormat="1" x14ac:dyDescent="0.2"/>
    <row r="14101" s="496" customFormat="1" x14ac:dyDescent="0.2"/>
    <row r="14102" s="496" customFormat="1" x14ac:dyDescent="0.2"/>
    <row r="14103" s="496" customFormat="1" x14ac:dyDescent="0.2"/>
    <row r="14104" s="496" customFormat="1" x14ac:dyDescent="0.2"/>
    <row r="14105" s="496" customFormat="1" x14ac:dyDescent="0.2"/>
    <row r="14106" s="496" customFormat="1" x14ac:dyDescent="0.2"/>
    <row r="14107" s="496" customFormat="1" x14ac:dyDescent="0.2"/>
    <row r="14108" s="496" customFormat="1" x14ac:dyDescent="0.2"/>
    <row r="14109" s="496" customFormat="1" x14ac:dyDescent="0.2"/>
    <row r="14110" s="496" customFormat="1" x14ac:dyDescent="0.2"/>
    <row r="14111" s="496" customFormat="1" x14ac:dyDescent="0.2"/>
    <row r="14112" s="496" customFormat="1" x14ac:dyDescent="0.2"/>
    <row r="14113" s="496" customFormat="1" x14ac:dyDescent="0.2"/>
    <row r="14114" s="496" customFormat="1" x14ac:dyDescent="0.2"/>
    <row r="14115" s="496" customFormat="1" x14ac:dyDescent="0.2"/>
    <row r="14116" s="496" customFormat="1" x14ac:dyDescent="0.2"/>
    <row r="14117" s="496" customFormat="1" x14ac:dyDescent="0.2"/>
    <row r="14118" s="496" customFormat="1" x14ac:dyDescent="0.2"/>
    <row r="14119" s="496" customFormat="1" x14ac:dyDescent="0.2"/>
    <row r="14120" s="496" customFormat="1" x14ac:dyDescent="0.2"/>
    <row r="14121" s="496" customFormat="1" x14ac:dyDescent="0.2"/>
    <row r="14122" s="496" customFormat="1" x14ac:dyDescent="0.2"/>
    <row r="14123" s="496" customFormat="1" x14ac:dyDescent="0.2"/>
    <row r="14124" s="496" customFormat="1" x14ac:dyDescent="0.2"/>
    <row r="14125" s="496" customFormat="1" x14ac:dyDescent="0.2"/>
    <row r="14126" s="496" customFormat="1" x14ac:dyDescent="0.2"/>
    <row r="14127" s="496" customFormat="1" x14ac:dyDescent="0.2"/>
    <row r="14128" s="496" customFormat="1" x14ac:dyDescent="0.2"/>
    <row r="14129" s="496" customFormat="1" x14ac:dyDescent="0.2"/>
    <row r="14130" s="496" customFormat="1" x14ac:dyDescent="0.2"/>
    <row r="14131" s="496" customFormat="1" x14ac:dyDescent="0.2"/>
    <row r="14132" s="496" customFormat="1" x14ac:dyDescent="0.2"/>
    <row r="14133" s="496" customFormat="1" x14ac:dyDescent="0.2"/>
    <row r="14134" s="496" customFormat="1" x14ac:dyDescent="0.2"/>
    <row r="14135" s="496" customFormat="1" x14ac:dyDescent="0.2"/>
    <row r="14136" s="496" customFormat="1" x14ac:dyDescent="0.2"/>
    <row r="14137" s="496" customFormat="1" x14ac:dyDescent="0.2"/>
    <row r="14138" s="496" customFormat="1" x14ac:dyDescent="0.2"/>
    <row r="14139" s="496" customFormat="1" x14ac:dyDescent="0.2"/>
    <row r="14140" s="496" customFormat="1" x14ac:dyDescent="0.2"/>
    <row r="14141" s="496" customFormat="1" x14ac:dyDescent="0.2"/>
    <row r="14142" s="496" customFormat="1" x14ac:dyDescent="0.2"/>
    <row r="14143" s="496" customFormat="1" x14ac:dyDescent="0.2"/>
    <row r="14144" s="496" customFormat="1" x14ac:dyDescent="0.2"/>
    <row r="14145" s="496" customFormat="1" x14ac:dyDescent="0.2"/>
    <row r="14146" s="496" customFormat="1" x14ac:dyDescent="0.2"/>
    <row r="14147" s="496" customFormat="1" x14ac:dyDescent="0.2"/>
    <row r="14148" s="496" customFormat="1" x14ac:dyDescent="0.2"/>
    <row r="14149" s="496" customFormat="1" x14ac:dyDescent="0.2"/>
    <row r="14150" s="496" customFormat="1" x14ac:dyDescent="0.2"/>
    <row r="14151" s="496" customFormat="1" x14ac:dyDescent="0.2"/>
    <row r="14152" s="496" customFormat="1" x14ac:dyDescent="0.2"/>
    <row r="14153" s="496" customFormat="1" x14ac:dyDescent="0.2"/>
    <row r="14154" s="496" customFormat="1" x14ac:dyDescent="0.2"/>
    <row r="14155" s="496" customFormat="1" x14ac:dyDescent="0.2"/>
    <row r="14156" s="496" customFormat="1" x14ac:dyDescent="0.2"/>
    <row r="14157" s="496" customFormat="1" x14ac:dyDescent="0.2"/>
    <row r="14158" s="496" customFormat="1" x14ac:dyDescent="0.2"/>
    <row r="14159" s="496" customFormat="1" x14ac:dyDescent="0.2"/>
    <row r="14160" s="496" customFormat="1" x14ac:dyDescent="0.2"/>
    <row r="14161" s="496" customFormat="1" x14ac:dyDescent="0.2"/>
    <row r="14162" s="496" customFormat="1" x14ac:dyDescent="0.2"/>
    <row r="14163" s="496" customFormat="1" x14ac:dyDescent="0.2"/>
    <row r="14164" s="496" customFormat="1" x14ac:dyDescent="0.2"/>
    <row r="14165" s="496" customFormat="1" x14ac:dyDescent="0.2"/>
    <row r="14166" s="496" customFormat="1" x14ac:dyDescent="0.2"/>
    <row r="14167" s="496" customFormat="1" x14ac:dyDescent="0.2"/>
    <row r="14168" s="496" customFormat="1" x14ac:dyDescent="0.2"/>
    <row r="14169" s="496" customFormat="1" x14ac:dyDescent="0.2"/>
    <row r="14170" s="496" customFormat="1" x14ac:dyDescent="0.2"/>
    <row r="14171" s="496" customFormat="1" x14ac:dyDescent="0.2"/>
    <row r="14172" s="496" customFormat="1" x14ac:dyDescent="0.2"/>
    <row r="14173" s="496" customFormat="1" x14ac:dyDescent="0.2"/>
    <row r="14174" s="496" customFormat="1" x14ac:dyDescent="0.2"/>
    <row r="14175" s="496" customFormat="1" x14ac:dyDescent="0.2"/>
    <row r="14176" s="496" customFormat="1" x14ac:dyDescent="0.2"/>
    <row r="14177" s="496" customFormat="1" x14ac:dyDescent="0.2"/>
    <row r="14178" s="496" customFormat="1" x14ac:dyDescent="0.2"/>
    <row r="14179" s="496" customFormat="1" x14ac:dyDescent="0.2"/>
    <row r="14180" s="496" customFormat="1" x14ac:dyDescent="0.2"/>
    <row r="14181" s="496" customFormat="1" x14ac:dyDescent="0.2"/>
    <row r="14182" s="496" customFormat="1" x14ac:dyDescent="0.2"/>
    <row r="14183" s="496" customFormat="1" x14ac:dyDescent="0.2"/>
    <row r="14184" s="496" customFormat="1" x14ac:dyDescent="0.2"/>
    <row r="14185" s="496" customFormat="1" x14ac:dyDescent="0.2"/>
    <row r="14186" s="496" customFormat="1" x14ac:dyDescent="0.2"/>
    <row r="14187" s="496" customFormat="1" x14ac:dyDescent="0.2"/>
    <row r="14188" s="496" customFormat="1" x14ac:dyDescent="0.2"/>
    <row r="14189" s="496" customFormat="1" x14ac:dyDescent="0.2"/>
    <row r="14190" s="496" customFormat="1" x14ac:dyDescent="0.2"/>
    <row r="14191" s="496" customFormat="1" x14ac:dyDescent="0.2"/>
    <row r="14192" s="496" customFormat="1" x14ac:dyDescent="0.2"/>
    <row r="14193" s="496" customFormat="1" x14ac:dyDescent="0.2"/>
    <row r="14194" s="496" customFormat="1" x14ac:dyDescent="0.2"/>
    <row r="14195" s="496" customFormat="1" x14ac:dyDescent="0.2"/>
    <row r="14196" s="496" customFormat="1" x14ac:dyDescent="0.2"/>
    <row r="14197" s="496" customFormat="1" x14ac:dyDescent="0.2"/>
    <row r="14198" s="496" customFormat="1" x14ac:dyDescent="0.2"/>
    <row r="14199" s="496" customFormat="1" x14ac:dyDescent="0.2"/>
    <row r="14200" s="496" customFormat="1" x14ac:dyDescent="0.2"/>
    <row r="14201" s="496" customFormat="1" x14ac:dyDescent="0.2"/>
    <row r="14202" s="496" customFormat="1" x14ac:dyDescent="0.2"/>
    <row r="14203" s="496" customFormat="1" x14ac:dyDescent="0.2"/>
    <row r="14204" s="496" customFormat="1" x14ac:dyDescent="0.2"/>
    <row r="14205" s="496" customFormat="1" x14ac:dyDescent="0.2"/>
    <row r="14206" s="496" customFormat="1" x14ac:dyDescent="0.2"/>
    <row r="14207" s="496" customFormat="1" x14ac:dyDescent="0.2"/>
    <row r="14208" s="496" customFormat="1" x14ac:dyDescent="0.2"/>
    <row r="14209" s="496" customFormat="1" x14ac:dyDescent="0.2"/>
    <row r="14210" s="496" customFormat="1" x14ac:dyDescent="0.2"/>
    <row r="14211" s="496" customFormat="1" x14ac:dyDescent="0.2"/>
    <row r="14212" s="496" customFormat="1" x14ac:dyDescent="0.2"/>
    <row r="14213" s="496" customFormat="1" x14ac:dyDescent="0.2"/>
    <row r="14214" s="496" customFormat="1" x14ac:dyDescent="0.2"/>
    <row r="14215" s="496" customFormat="1" x14ac:dyDescent="0.2"/>
    <row r="14216" s="496" customFormat="1" x14ac:dyDescent="0.2"/>
    <row r="14217" s="496" customFormat="1" x14ac:dyDescent="0.2"/>
    <row r="14218" s="496" customFormat="1" x14ac:dyDescent="0.2"/>
    <row r="14219" s="496" customFormat="1" x14ac:dyDescent="0.2"/>
    <row r="14220" s="496" customFormat="1" x14ac:dyDescent="0.2"/>
    <row r="14221" s="496" customFormat="1" x14ac:dyDescent="0.2"/>
    <row r="14222" s="496" customFormat="1" x14ac:dyDescent="0.2"/>
    <row r="14223" s="496" customFormat="1" x14ac:dyDescent="0.2"/>
    <row r="14224" s="496" customFormat="1" x14ac:dyDescent="0.2"/>
    <row r="14225" s="496" customFormat="1" x14ac:dyDescent="0.2"/>
    <row r="14226" s="496" customFormat="1" x14ac:dyDescent="0.2"/>
    <row r="14227" s="496" customFormat="1" x14ac:dyDescent="0.2"/>
    <row r="14228" s="496" customFormat="1" x14ac:dyDescent="0.2"/>
    <row r="14229" s="496" customFormat="1" x14ac:dyDescent="0.2"/>
    <row r="14230" s="496" customFormat="1" x14ac:dyDescent="0.2"/>
    <row r="14231" s="496" customFormat="1" x14ac:dyDescent="0.2"/>
    <row r="14232" s="496" customFormat="1" x14ac:dyDescent="0.2"/>
    <row r="14233" s="496" customFormat="1" x14ac:dyDescent="0.2"/>
    <row r="14234" s="496" customFormat="1" x14ac:dyDescent="0.2"/>
    <row r="14235" s="496" customFormat="1" x14ac:dyDescent="0.2"/>
    <row r="14236" s="496" customFormat="1" x14ac:dyDescent="0.2"/>
    <row r="14237" s="496" customFormat="1" x14ac:dyDescent="0.2"/>
    <row r="14238" s="496" customFormat="1" x14ac:dyDescent="0.2"/>
    <row r="14239" s="496" customFormat="1" x14ac:dyDescent="0.2"/>
    <row r="14240" s="496" customFormat="1" x14ac:dyDescent="0.2"/>
    <row r="14241" s="496" customFormat="1" x14ac:dyDescent="0.2"/>
    <row r="14242" s="496" customFormat="1" x14ac:dyDescent="0.2"/>
    <row r="14243" s="496" customFormat="1" x14ac:dyDescent="0.2"/>
    <row r="14244" s="496" customFormat="1" x14ac:dyDescent="0.2"/>
    <row r="14245" s="496" customFormat="1" x14ac:dyDescent="0.2"/>
    <row r="14246" s="496" customFormat="1" x14ac:dyDescent="0.2"/>
    <row r="14247" s="496" customFormat="1" x14ac:dyDescent="0.2"/>
    <row r="14248" s="496" customFormat="1" x14ac:dyDescent="0.2"/>
    <row r="14249" s="496" customFormat="1" x14ac:dyDescent="0.2"/>
    <row r="14250" s="496" customFormat="1" x14ac:dyDescent="0.2"/>
    <row r="14251" s="496" customFormat="1" x14ac:dyDescent="0.2"/>
    <row r="14252" s="496" customFormat="1" x14ac:dyDescent="0.2"/>
    <row r="14253" s="496" customFormat="1" x14ac:dyDescent="0.2"/>
    <row r="14254" s="496" customFormat="1" x14ac:dyDescent="0.2"/>
    <row r="14255" s="496" customFormat="1" x14ac:dyDescent="0.2"/>
    <row r="14256" s="496" customFormat="1" x14ac:dyDescent="0.2"/>
    <row r="14257" s="496" customFormat="1" x14ac:dyDescent="0.2"/>
    <row r="14258" s="496" customFormat="1" x14ac:dyDescent="0.2"/>
    <row r="14259" s="496" customFormat="1" x14ac:dyDescent="0.2"/>
    <row r="14260" s="496" customFormat="1" x14ac:dyDescent="0.2"/>
    <row r="14261" s="496" customFormat="1" x14ac:dyDescent="0.2"/>
    <row r="14262" s="496" customFormat="1" x14ac:dyDescent="0.2"/>
    <row r="14263" s="496" customFormat="1" x14ac:dyDescent="0.2"/>
    <row r="14264" s="496" customFormat="1" x14ac:dyDescent="0.2"/>
    <row r="14265" s="496" customFormat="1" x14ac:dyDescent="0.2"/>
    <row r="14266" s="496" customFormat="1" x14ac:dyDescent="0.2"/>
    <row r="14267" s="496" customFormat="1" x14ac:dyDescent="0.2"/>
    <row r="14268" s="496" customFormat="1" x14ac:dyDescent="0.2"/>
    <row r="14269" s="496" customFormat="1" x14ac:dyDescent="0.2"/>
    <row r="14270" s="496" customFormat="1" x14ac:dyDescent="0.2"/>
    <row r="14271" s="496" customFormat="1" x14ac:dyDescent="0.2"/>
    <row r="14272" s="496" customFormat="1" x14ac:dyDescent="0.2"/>
    <row r="14273" s="496" customFormat="1" x14ac:dyDescent="0.2"/>
    <row r="14274" s="496" customFormat="1" x14ac:dyDescent="0.2"/>
    <row r="14275" s="496" customFormat="1" x14ac:dyDescent="0.2"/>
    <row r="14276" s="496" customFormat="1" x14ac:dyDescent="0.2"/>
    <row r="14277" s="496" customFormat="1" x14ac:dyDescent="0.2"/>
    <row r="14278" s="496" customFormat="1" x14ac:dyDescent="0.2"/>
    <row r="14279" s="496" customFormat="1" x14ac:dyDescent="0.2"/>
    <row r="14280" s="496" customFormat="1" x14ac:dyDescent="0.2"/>
    <row r="14281" s="496" customFormat="1" x14ac:dyDescent="0.2"/>
    <row r="14282" s="496" customFormat="1" x14ac:dyDescent="0.2"/>
    <row r="14283" s="496" customFormat="1" x14ac:dyDescent="0.2"/>
    <row r="14284" s="496" customFormat="1" x14ac:dyDescent="0.2"/>
    <row r="14285" s="496" customFormat="1" x14ac:dyDescent="0.2"/>
    <row r="14286" s="496" customFormat="1" x14ac:dyDescent="0.2"/>
    <row r="14287" s="496" customFormat="1" x14ac:dyDescent="0.2"/>
    <row r="14288" s="496" customFormat="1" x14ac:dyDescent="0.2"/>
    <row r="14289" s="496" customFormat="1" x14ac:dyDescent="0.2"/>
    <row r="14290" s="496" customFormat="1" x14ac:dyDescent="0.2"/>
    <row r="14291" s="496" customFormat="1" x14ac:dyDescent="0.2"/>
    <row r="14292" s="496" customFormat="1" x14ac:dyDescent="0.2"/>
    <row r="14293" s="496" customFormat="1" x14ac:dyDescent="0.2"/>
    <row r="14294" s="496" customFormat="1" x14ac:dyDescent="0.2"/>
    <row r="14295" s="496" customFormat="1" x14ac:dyDescent="0.2"/>
    <row r="14296" s="496" customFormat="1" x14ac:dyDescent="0.2"/>
    <row r="14297" s="496" customFormat="1" x14ac:dyDescent="0.2"/>
    <row r="14298" s="496" customFormat="1" x14ac:dyDescent="0.2"/>
    <row r="14299" s="496" customFormat="1" x14ac:dyDescent="0.2"/>
    <row r="14300" s="496" customFormat="1" x14ac:dyDescent="0.2"/>
    <row r="14301" s="496" customFormat="1" x14ac:dyDescent="0.2"/>
    <row r="14302" s="496" customFormat="1" x14ac:dyDescent="0.2"/>
    <row r="14303" s="496" customFormat="1" x14ac:dyDescent="0.2"/>
    <row r="14304" s="496" customFormat="1" x14ac:dyDescent="0.2"/>
    <row r="14305" s="496" customFormat="1" x14ac:dyDescent="0.2"/>
    <row r="14306" s="496" customFormat="1" x14ac:dyDescent="0.2"/>
    <row r="14307" s="496" customFormat="1" x14ac:dyDescent="0.2"/>
    <row r="14308" s="496" customFormat="1" x14ac:dyDescent="0.2"/>
    <row r="14309" s="496" customFormat="1" x14ac:dyDescent="0.2"/>
    <row r="14310" s="496" customFormat="1" x14ac:dyDescent="0.2"/>
    <row r="14311" s="496" customFormat="1" x14ac:dyDescent="0.2"/>
    <row r="14312" s="496" customFormat="1" x14ac:dyDescent="0.2"/>
    <row r="14313" s="496" customFormat="1" x14ac:dyDescent="0.2"/>
    <row r="14314" s="496" customFormat="1" x14ac:dyDescent="0.2"/>
    <row r="14315" s="496" customFormat="1" x14ac:dyDescent="0.2"/>
    <row r="14316" s="496" customFormat="1" x14ac:dyDescent="0.2"/>
    <row r="14317" s="496" customFormat="1" x14ac:dyDescent="0.2"/>
    <row r="14318" s="496" customFormat="1" x14ac:dyDescent="0.2"/>
    <row r="14319" s="496" customFormat="1" x14ac:dyDescent="0.2"/>
    <row r="14320" s="496" customFormat="1" x14ac:dyDescent="0.2"/>
    <row r="14321" s="496" customFormat="1" x14ac:dyDescent="0.2"/>
    <row r="14322" s="496" customFormat="1" x14ac:dyDescent="0.2"/>
    <row r="14323" s="496" customFormat="1" x14ac:dyDescent="0.2"/>
    <row r="14324" s="496" customFormat="1" x14ac:dyDescent="0.2"/>
    <row r="14325" s="496" customFormat="1" x14ac:dyDescent="0.2"/>
    <row r="14326" s="496" customFormat="1" x14ac:dyDescent="0.2"/>
    <row r="14327" s="496" customFormat="1" x14ac:dyDescent="0.2"/>
    <row r="14328" s="496" customFormat="1" x14ac:dyDescent="0.2"/>
    <row r="14329" s="496" customFormat="1" x14ac:dyDescent="0.2"/>
    <row r="14330" s="496" customFormat="1" x14ac:dyDescent="0.2"/>
    <row r="14331" s="496" customFormat="1" x14ac:dyDescent="0.2"/>
    <row r="14332" s="496" customFormat="1" x14ac:dyDescent="0.2"/>
    <row r="14333" s="496" customFormat="1" x14ac:dyDescent="0.2"/>
    <row r="14334" s="496" customFormat="1" x14ac:dyDescent="0.2"/>
    <row r="14335" s="496" customFormat="1" x14ac:dyDescent="0.2"/>
    <row r="14336" s="496" customFormat="1" x14ac:dyDescent="0.2"/>
    <row r="14337" s="496" customFormat="1" x14ac:dyDescent="0.2"/>
    <row r="14338" s="496" customFormat="1" x14ac:dyDescent="0.2"/>
    <row r="14339" s="496" customFormat="1" x14ac:dyDescent="0.2"/>
    <row r="14340" s="496" customFormat="1" x14ac:dyDescent="0.2"/>
    <row r="14341" s="496" customFormat="1" x14ac:dyDescent="0.2"/>
    <row r="14342" s="496" customFormat="1" x14ac:dyDescent="0.2"/>
    <row r="14343" s="496" customFormat="1" x14ac:dyDescent="0.2"/>
    <row r="14344" s="496" customFormat="1" x14ac:dyDescent="0.2"/>
    <row r="14345" s="496" customFormat="1" x14ac:dyDescent="0.2"/>
    <row r="14346" s="496" customFormat="1" x14ac:dyDescent="0.2"/>
    <row r="14347" s="496" customFormat="1" x14ac:dyDescent="0.2"/>
    <row r="14348" s="496" customFormat="1" x14ac:dyDescent="0.2"/>
    <row r="14349" s="496" customFormat="1" x14ac:dyDescent="0.2"/>
    <row r="14350" s="496" customFormat="1" x14ac:dyDescent="0.2"/>
    <row r="14351" s="496" customFormat="1" x14ac:dyDescent="0.2"/>
    <row r="14352" s="496" customFormat="1" x14ac:dyDescent="0.2"/>
    <row r="14353" s="496" customFormat="1" x14ac:dyDescent="0.2"/>
    <row r="14354" s="496" customFormat="1" x14ac:dyDescent="0.2"/>
    <row r="14355" s="496" customFormat="1" x14ac:dyDescent="0.2"/>
    <row r="14356" s="496" customFormat="1" x14ac:dyDescent="0.2"/>
    <row r="14357" s="496" customFormat="1" x14ac:dyDescent="0.2"/>
    <row r="14358" s="496" customFormat="1" x14ac:dyDescent="0.2"/>
    <row r="14359" s="496" customFormat="1" x14ac:dyDescent="0.2"/>
    <row r="14360" s="496" customFormat="1" x14ac:dyDescent="0.2"/>
    <row r="14361" s="496" customFormat="1" x14ac:dyDescent="0.2"/>
    <row r="14362" s="496" customFormat="1" x14ac:dyDescent="0.2"/>
    <row r="14363" s="496" customFormat="1" x14ac:dyDescent="0.2"/>
    <row r="14364" s="496" customFormat="1" x14ac:dyDescent="0.2"/>
    <row r="14365" s="496" customFormat="1" x14ac:dyDescent="0.2"/>
    <row r="14366" s="496" customFormat="1" x14ac:dyDescent="0.2"/>
    <row r="14367" s="496" customFormat="1" x14ac:dyDescent="0.2"/>
    <row r="14368" s="496" customFormat="1" x14ac:dyDescent="0.2"/>
    <row r="14369" s="496" customFormat="1" x14ac:dyDescent="0.2"/>
    <row r="14370" s="496" customFormat="1" x14ac:dyDescent="0.2"/>
    <row r="14371" s="496" customFormat="1" x14ac:dyDescent="0.2"/>
    <row r="14372" s="496" customFormat="1" x14ac:dyDescent="0.2"/>
    <row r="14373" s="496" customFormat="1" x14ac:dyDescent="0.2"/>
    <row r="14374" s="496" customFormat="1" x14ac:dyDescent="0.2"/>
    <row r="14375" s="496" customFormat="1" x14ac:dyDescent="0.2"/>
    <row r="14376" s="496" customFormat="1" x14ac:dyDescent="0.2"/>
    <row r="14377" s="496" customFormat="1" x14ac:dyDescent="0.2"/>
    <row r="14378" s="496" customFormat="1" x14ac:dyDescent="0.2"/>
    <row r="14379" s="496" customFormat="1" x14ac:dyDescent="0.2"/>
    <row r="14380" s="496" customFormat="1" x14ac:dyDescent="0.2"/>
    <row r="14381" s="496" customFormat="1" x14ac:dyDescent="0.2"/>
    <row r="14382" s="496" customFormat="1" x14ac:dyDescent="0.2"/>
    <row r="14383" s="496" customFormat="1" x14ac:dyDescent="0.2"/>
    <row r="14384" s="496" customFormat="1" x14ac:dyDescent="0.2"/>
    <row r="14385" s="496" customFormat="1" x14ac:dyDescent="0.2"/>
    <row r="14386" s="496" customFormat="1" x14ac:dyDescent="0.2"/>
    <row r="14387" s="496" customFormat="1" x14ac:dyDescent="0.2"/>
    <row r="14388" s="496" customFormat="1" x14ac:dyDescent="0.2"/>
    <row r="14389" s="496" customFormat="1" x14ac:dyDescent="0.2"/>
    <row r="14390" s="496" customFormat="1" x14ac:dyDescent="0.2"/>
    <row r="14391" s="496" customFormat="1" x14ac:dyDescent="0.2"/>
    <row r="14392" s="496" customFormat="1" x14ac:dyDescent="0.2"/>
    <row r="14393" s="496" customFormat="1" x14ac:dyDescent="0.2"/>
    <row r="14394" s="496" customFormat="1" x14ac:dyDescent="0.2"/>
    <row r="14395" s="496" customFormat="1" x14ac:dyDescent="0.2"/>
    <row r="14396" s="496" customFormat="1" x14ac:dyDescent="0.2"/>
    <row r="14397" s="496" customFormat="1" x14ac:dyDescent="0.2"/>
    <row r="14398" s="496" customFormat="1" x14ac:dyDescent="0.2"/>
    <row r="14399" s="496" customFormat="1" x14ac:dyDescent="0.2"/>
    <row r="14400" s="496" customFormat="1" x14ac:dyDescent="0.2"/>
    <row r="14401" s="496" customFormat="1" x14ac:dyDescent="0.2"/>
    <row r="14402" s="496" customFormat="1" x14ac:dyDescent="0.2"/>
    <row r="14403" s="496" customFormat="1" x14ac:dyDescent="0.2"/>
    <row r="14404" s="496" customFormat="1" x14ac:dyDescent="0.2"/>
    <row r="14405" s="496" customFormat="1" x14ac:dyDescent="0.2"/>
    <row r="14406" s="496" customFormat="1" x14ac:dyDescent="0.2"/>
    <row r="14407" s="496" customFormat="1" x14ac:dyDescent="0.2"/>
    <row r="14408" s="496" customFormat="1" x14ac:dyDescent="0.2"/>
    <row r="14409" s="496" customFormat="1" x14ac:dyDescent="0.2"/>
    <row r="14410" s="496" customFormat="1" x14ac:dyDescent="0.2"/>
    <row r="14411" s="496" customFormat="1" x14ac:dyDescent="0.2"/>
    <row r="14412" s="496" customFormat="1" x14ac:dyDescent="0.2"/>
    <row r="14413" s="496" customFormat="1" x14ac:dyDescent="0.2"/>
    <row r="14414" s="496" customFormat="1" x14ac:dyDescent="0.2"/>
    <row r="14415" s="496" customFormat="1" x14ac:dyDescent="0.2"/>
    <row r="14416" s="496" customFormat="1" x14ac:dyDescent="0.2"/>
    <row r="14417" s="496" customFormat="1" x14ac:dyDescent="0.2"/>
    <row r="14418" s="496" customFormat="1" x14ac:dyDescent="0.2"/>
    <row r="14419" s="496" customFormat="1" x14ac:dyDescent="0.2"/>
    <row r="14420" s="496" customFormat="1" x14ac:dyDescent="0.2"/>
    <row r="14421" s="496" customFormat="1" x14ac:dyDescent="0.2"/>
    <row r="14422" s="496" customFormat="1" x14ac:dyDescent="0.2"/>
    <row r="14423" s="496" customFormat="1" x14ac:dyDescent="0.2"/>
    <row r="14424" s="496" customFormat="1" x14ac:dyDescent="0.2"/>
    <row r="14425" s="496" customFormat="1" x14ac:dyDescent="0.2"/>
    <row r="14426" s="496" customFormat="1" x14ac:dyDescent="0.2"/>
    <row r="14427" s="496" customFormat="1" x14ac:dyDescent="0.2"/>
    <row r="14428" s="496" customFormat="1" x14ac:dyDescent="0.2"/>
    <row r="14429" s="496" customFormat="1" x14ac:dyDescent="0.2"/>
    <row r="14430" s="496" customFormat="1" x14ac:dyDescent="0.2"/>
    <row r="14431" s="496" customFormat="1" x14ac:dyDescent="0.2"/>
    <row r="14432" s="496" customFormat="1" x14ac:dyDescent="0.2"/>
    <row r="14433" s="496" customFormat="1" x14ac:dyDescent="0.2"/>
    <row r="14434" s="496" customFormat="1" x14ac:dyDescent="0.2"/>
    <row r="14435" s="496" customFormat="1" x14ac:dyDescent="0.2"/>
    <row r="14436" s="496" customFormat="1" x14ac:dyDescent="0.2"/>
    <row r="14437" s="496" customFormat="1" x14ac:dyDescent="0.2"/>
    <row r="14438" s="496" customFormat="1" x14ac:dyDescent="0.2"/>
    <row r="14439" s="496" customFormat="1" x14ac:dyDescent="0.2"/>
    <row r="14440" s="496" customFormat="1" x14ac:dyDescent="0.2"/>
    <row r="14441" s="496" customFormat="1" x14ac:dyDescent="0.2"/>
    <row r="14442" s="496" customFormat="1" x14ac:dyDescent="0.2"/>
    <row r="14443" s="496" customFormat="1" x14ac:dyDescent="0.2"/>
    <row r="14444" s="496" customFormat="1" x14ac:dyDescent="0.2"/>
    <row r="14445" s="496" customFormat="1" x14ac:dyDescent="0.2"/>
    <row r="14446" s="496" customFormat="1" x14ac:dyDescent="0.2"/>
    <row r="14447" s="496" customFormat="1" x14ac:dyDescent="0.2"/>
    <row r="14448" s="496" customFormat="1" x14ac:dyDescent="0.2"/>
    <row r="14449" s="496" customFormat="1" x14ac:dyDescent="0.2"/>
    <row r="14450" s="496" customFormat="1" x14ac:dyDescent="0.2"/>
    <row r="14451" s="496" customFormat="1" x14ac:dyDescent="0.2"/>
    <row r="14452" s="496" customFormat="1" x14ac:dyDescent="0.2"/>
    <row r="14453" s="496" customFormat="1" x14ac:dyDescent="0.2"/>
    <row r="14454" s="496" customFormat="1" x14ac:dyDescent="0.2"/>
    <row r="14455" s="496" customFormat="1" x14ac:dyDescent="0.2"/>
    <row r="14456" s="496" customFormat="1" x14ac:dyDescent="0.2"/>
    <row r="14457" s="496" customFormat="1" x14ac:dyDescent="0.2"/>
    <row r="14458" s="496" customFormat="1" x14ac:dyDescent="0.2"/>
    <row r="14459" s="496" customFormat="1" x14ac:dyDescent="0.2"/>
    <row r="14460" s="496" customFormat="1" x14ac:dyDescent="0.2"/>
    <row r="14461" s="496" customFormat="1" x14ac:dyDescent="0.2"/>
    <row r="14462" s="496" customFormat="1" x14ac:dyDescent="0.2"/>
    <row r="14463" s="496" customFormat="1" x14ac:dyDescent="0.2"/>
    <row r="14464" s="496" customFormat="1" x14ac:dyDescent="0.2"/>
    <row r="14465" s="496" customFormat="1" x14ac:dyDescent="0.2"/>
    <row r="14466" s="496" customFormat="1" x14ac:dyDescent="0.2"/>
    <row r="14467" s="496" customFormat="1" x14ac:dyDescent="0.2"/>
    <row r="14468" s="496" customFormat="1" x14ac:dyDescent="0.2"/>
    <row r="14469" s="496" customFormat="1" x14ac:dyDescent="0.2"/>
    <row r="14470" s="496" customFormat="1" x14ac:dyDescent="0.2"/>
    <row r="14471" s="496" customFormat="1" x14ac:dyDescent="0.2"/>
    <row r="14472" s="496" customFormat="1" x14ac:dyDescent="0.2"/>
    <row r="14473" s="496" customFormat="1" x14ac:dyDescent="0.2"/>
    <row r="14474" s="496" customFormat="1" x14ac:dyDescent="0.2"/>
    <row r="14475" s="496" customFormat="1" x14ac:dyDescent="0.2"/>
    <row r="14476" s="496" customFormat="1" x14ac:dyDescent="0.2"/>
    <row r="14477" s="496" customFormat="1" x14ac:dyDescent="0.2"/>
    <row r="14478" s="496" customFormat="1" x14ac:dyDescent="0.2"/>
    <row r="14479" s="496" customFormat="1" x14ac:dyDescent="0.2"/>
    <row r="14480" s="496" customFormat="1" x14ac:dyDescent="0.2"/>
    <row r="14481" s="496" customFormat="1" x14ac:dyDescent="0.2"/>
    <row r="14482" s="496" customFormat="1" x14ac:dyDescent="0.2"/>
    <row r="14483" s="496" customFormat="1" x14ac:dyDescent="0.2"/>
    <row r="14484" s="496" customFormat="1" x14ac:dyDescent="0.2"/>
    <row r="14485" s="496" customFormat="1" x14ac:dyDescent="0.2"/>
    <row r="14486" s="496" customFormat="1" x14ac:dyDescent="0.2"/>
    <row r="14487" s="496" customFormat="1" x14ac:dyDescent="0.2"/>
    <row r="14488" s="496" customFormat="1" x14ac:dyDescent="0.2"/>
    <row r="14489" s="496" customFormat="1" x14ac:dyDescent="0.2"/>
    <row r="14490" s="496" customFormat="1" x14ac:dyDescent="0.2"/>
    <row r="14491" s="496" customFormat="1" x14ac:dyDescent="0.2"/>
    <row r="14492" s="496" customFormat="1" x14ac:dyDescent="0.2"/>
    <row r="14493" s="496" customFormat="1" x14ac:dyDescent="0.2"/>
    <row r="14494" s="496" customFormat="1" x14ac:dyDescent="0.2"/>
    <row r="14495" s="496" customFormat="1" x14ac:dyDescent="0.2"/>
    <row r="14496" s="496" customFormat="1" x14ac:dyDescent="0.2"/>
    <row r="14497" s="496" customFormat="1" x14ac:dyDescent="0.2"/>
    <row r="14498" s="496" customFormat="1" x14ac:dyDescent="0.2"/>
    <row r="14499" s="496" customFormat="1" x14ac:dyDescent="0.2"/>
    <row r="14500" s="496" customFormat="1" x14ac:dyDescent="0.2"/>
    <row r="14501" s="496" customFormat="1" x14ac:dyDescent="0.2"/>
    <row r="14502" s="496" customFormat="1" x14ac:dyDescent="0.2"/>
    <row r="14503" s="496" customFormat="1" x14ac:dyDescent="0.2"/>
    <row r="14504" s="496" customFormat="1" x14ac:dyDescent="0.2"/>
    <row r="14505" s="496" customFormat="1" x14ac:dyDescent="0.2"/>
    <row r="14506" s="496" customFormat="1" x14ac:dyDescent="0.2"/>
    <row r="14507" s="496" customFormat="1" x14ac:dyDescent="0.2"/>
    <row r="14508" s="496" customFormat="1" x14ac:dyDescent="0.2"/>
    <row r="14509" s="496" customFormat="1" x14ac:dyDescent="0.2"/>
    <row r="14510" s="496" customFormat="1" x14ac:dyDescent="0.2"/>
    <row r="14511" s="496" customFormat="1" x14ac:dyDescent="0.2"/>
    <row r="14512" s="496" customFormat="1" x14ac:dyDescent="0.2"/>
    <row r="14513" s="496" customFormat="1" x14ac:dyDescent="0.2"/>
    <row r="14514" s="496" customFormat="1" x14ac:dyDescent="0.2"/>
    <row r="14515" s="496" customFormat="1" x14ac:dyDescent="0.2"/>
    <row r="14516" s="496" customFormat="1" x14ac:dyDescent="0.2"/>
    <row r="14517" s="496" customFormat="1" x14ac:dyDescent="0.2"/>
    <row r="14518" s="496" customFormat="1" x14ac:dyDescent="0.2"/>
    <row r="14519" s="496" customFormat="1" x14ac:dyDescent="0.2"/>
    <row r="14520" s="496" customFormat="1" x14ac:dyDescent="0.2"/>
    <row r="14521" s="496" customFormat="1" x14ac:dyDescent="0.2"/>
    <row r="14522" s="496" customFormat="1" x14ac:dyDescent="0.2"/>
    <row r="14523" s="496" customFormat="1" x14ac:dyDescent="0.2"/>
    <row r="14524" s="496" customFormat="1" x14ac:dyDescent="0.2"/>
    <row r="14525" s="496" customFormat="1" x14ac:dyDescent="0.2"/>
    <row r="14526" s="496" customFormat="1" x14ac:dyDescent="0.2"/>
    <row r="14527" s="496" customFormat="1" x14ac:dyDescent="0.2"/>
    <row r="14528" s="496" customFormat="1" x14ac:dyDescent="0.2"/>
    <row r="14529" s="496" customFormat="1" x14ac:dyDescent="0.2"/>
    <row r="14530" s="496" customFormat="1" x14ac:dyDescent="0.2"/>
    <row r="14531" s="496" customFormat="1" x14ac:dyDescent="0.2"/>
    <row r="14532" s="496" customFormat="1" x14ac:dyDescent="0.2"/>
    <row r="14533" s="496" customFormat="1" x14ac:dyDescent="0.2"/>
    <row r="14534" s="496" customFormat="1" x14ac:dyDescent="0.2"/>
    <row r="14535" s="496" customFormat="1" x14ac:dyDescent="0.2"/>
    <row r="14536" s="496" customFormat="1" x14ac:dyDescent="0.2"/>
    <row r="14537" s="496" customFormat="1" x14ac:dyDescent="0.2"/>
    <row r="14538" s="496" customFormat="1" x14ac:dyDescent="0.2"/>
    <row r="14539" s="496" customFormat="1" x14ac:dyDescent="0.2"/>
    <row r="14540" s="496" customFormat="1" x14ac:dyDescent="0.2"/>
    <row r="14541" s="496" customFormat="1" x14ac:dyDescent="0.2"/>
    <row r="14542" s="496" customFormat="1" x14ac:dyDescent="0.2"/>
    <row r="14543" s="496" customFormat="1" x14ac:dyDescent="0.2"/>
    <row r="14544" s="496" customFormat="1" x14ac:dyDescent="0.2"/>
    <row r="14545" s="496" customFormat="1" x14ac:dyDescent="0.2"/>
    <row r="14546" s="496" customFormat="1" x14ac:dyDescent="0.2"/>
    <row r="14547" s="496" customFormat="1" x14ac:dyDescent="0.2"/>
    <row r="14548" s="496" customFormat="1" x14ac:dyDescent="0.2"/>
    <row r="14549" s="496" customFormat="1" x14ac:dyDescent="0.2"/>
    <row r="14550" s="496" customFormat="1" x14ac:dyDescent="0.2"/>
    <row r="14551" s="496" customFormat="1" x14ac:dyDescent="0.2"/>
    <row r="14552" s="496" customFormat="1" x14ac:dyDescent="0.2"/>
    <row r="14553" s="496" customFormat="1" x14ac:dyDescent="0.2"/>
    <row r="14554" s="496" customFormat="1" x14ac:dyDescent="0.2"/>
    <row r="14555" s="496" customFormat="1" x14ac:dyDescent="0.2"/>
    <row r="14556" s="496" customFormat="1" x14ac:dyDescent="0.2"/>
    <row r="14557" s="496" customFormat="1" x14ac:dyDescent="0.2"/>
    <row r="14558" s="496" customFormat="1" x14ac:dyDescent="0.2"/>
    <row r="14559" s="496" customFormat="1" x14ac:dyDescent="0.2"/>
    <row r="14560" s="496" customFormat="1" x14ac:dyDescent="0.2"/>
    <row r="14561" s="496" customFormat="1" x14ac:dyDescent="0.2"/>
    <row r="14562" s="496" customFormat="1" x14ac:dyDescent="0.2"/>
    <row r="14563" s="496" customFormat="1" x14ac:dyDescent="0.2"/>
    <row r="14564" s="496" customFormat="1" x14ac:dyDescent="0.2"/>
    <row r="14565" s="496" customFormat="1" x14ac:dyDescent="0.2"/>
    <row r="14566" s="496" customFormat="1" x14ac:dyDescent="0.2"/>
    <row r="14567" s="496" customFormat="1" x14ac:dyDescent="0.2"/>
    <row r="14568" s="496" customFormat="1" x14ac:dyDescent="0.2"/>
    <row r="14569" s="496" customFormat="1" x14ac:dyDescent="0.2"/>
    <row r="14570" s="496" customFormat="1" x14ac:dyDescent="0.2"/>
    <row r="14571" s="496" customFormat="1" x14ac:dyDescent="0.2"/>
    <row r="14572" s="496" customFormat="1" x14ac:dyDescent="0.2"/>
    <row r="14573" s="496" customFormat="1" x14ac:dyDescent="0.2"/>
    <row r="14574" s="496" customFormat="1" x14ac:dyDescent="0.2"/>
    <row r="14575" s="496" customFormat="1" x14ac:dyDescent="0.2"/>
    <row r="14576" s="496" customFormat="1" x14ac:dyDescent="0.2"/>
    <row r="14577" s="496" customFormat="1" x14ac:dyDescent="0.2"/>
    <row r="14578" s="496" customFormat="1" x14ac:dyDescent="0.2"/>
    <row r="14579" s="496" customFormat="1" x14ac:dyDescent="0.2"/>
    <row r="14580" s="496" customFormat="1" x14ac:dyDescent="0.2"/>
    <row r="14581" s="496" customFormat="1" x14ac:dyDescent="0.2"/>
    <row r="14582" s="496" customFormat="1" x14ac:dyDescent="0.2"/>
    <row r="14583" s="496" customFormat="1" x14ac:dyDescent="0.2"/>
    <row r="14584" s="496" customFormat="1" x14ac:dyDescent="0.2"/>
    <row r="14585" s="496" customFormat="1" x14ac:dyDescent="0.2"/>
    <row r="14586" s="496" customFormat="1" x14ac:dyDescent="0.2"/>
    <row r="14587" s="496" customFormat="1" x14ac:dyDescent="0.2"/>
    <row r="14588" s="496" customFormat="1" x14ac:dyDescent="0.2"/>
    <row r="14589" s="496" customFormat="1" x14ac:dyDescent="0.2"/>
    <row r="14590" s="496" customFormat="1" x14ac:dyDescent="0.2"/>
    <row r="14591" s="496" customFormat="1" x14ac:dyDescent="0.2"/>
    <row r="14592" s="496" customFormat="1" x14ac:dyDescent="0.2"/>
    <row r="14593" s="496" customFormat="1" x14ac:dyDescent="0.2"/>
    <row r="14594" s="496" customFormat="1" x14ac:dyDescent="0.2"/>
    <row r="14595" s="496" customFormat="1" x14ac:dyDescent="0.2"/>
    <row r="14596" s="496" customFormat="1" x14ac:dyDescent="0.2"/>
    <row r="14597" s="496" customFormat="1" x14ac:dyDescent="0.2"/>
    <row r="14598" s="496" customFormat="1" x14ac:dyDescent="0.2"/>
    <row r="14599" s="496" customFormat="1" x14ac:dyDescent="0.2"/>
    <row r="14600" s="496" customFormat="1" x14ac:dyDescent="0.2"/>
    <row r="14601" s="496" customFormat="1" x14ac:dyDescent="0.2"/>
    <row r="14602" s="496" customFormat="1" x14ac:dyDescent="0.2"/>
    <row r="14603" s="496" customFormat="1" x14ac:dyDescent="0.2"/>
    <row r="14604" s="496" customFormat="1" x14ac:dyDescent="0.2"/>
    <row r="14605" s="496" customFormat="1" x14ac:dyDescent="0.2"/>
    <row r="14606" s="496" customFormat="1" x14ac:dyDescent="0.2"/>
    <row r="14607" s="496" customFormat="1" x14ac:dyDescent="0.2"/>
    <row r="14608" s="496" customFormat="1" x14ac:dyDescent="0.2"/>
    <row r="14609" s="496" customFormat="1" x14ac:dyDescent="0.2"/>
    <row r="14610" s="496" customFormat="1" x14ac:dyDescent="0.2"/>
    <row r="14611" s="496" customFormat="1" x14ac:dyDescent="0.2"/>
    <row r="14612" s="496" customFormat="1" x14ac:dyDescent="0.2"/>
    <row r="14613" s="496" customFormat="1" x14ac:dyDescent="0.2"/>
    <row r="14614" s="496" customFormat="1" x14ac:dyDescent="0.2"/>
    <row r="14615" s="496" customFormat="1" x14ac:dyDescent="0.2"/>
    <row r="14616" s="496" customFormat="1" x14ac:dyDescent="0.2"/>
    <row r="14617" s="496" customFormat="1" x14ac:dyDescent="0.2"/>
    <row r="14618" s="496" customFormat="1" x14ac:dyDescent="0.2"/>
    <row r="14619" s="496" customFormat="1" x14ac:dyDescent="0.2"/>
    <row r="14620" s="496" customFormat="1" x14ac:dyDescent="0.2"/>
    <row r="14621" s="496" customFormat="1" x14ac:dyDescent="0.2"/>
    <row r="14622" s="496" customFormat="1" x14ac:dyDescent="0.2"/>
    <row r="14623" s="496" customFormat="1" x14ac:dyDescent="0.2"/>
    <row r="14624" s="496" customFormat="1" x14ac:dyDescent="0.2"/>
    <row r="14625" s="496" customFormat="1" x14ac:dyDescent="0.2"/>
    <row r="14626" s="496" customFormat="1" x14ac:dyDescent="0.2"/>
    <row r="14627" s="496" customFormat="1" x14ac:dyDescent="0.2"/>
    <row r="14628" s="496" customFormat="1" x14ac:dyDescent="0.2"/>
    <row r="14629" s="496" customFormat="1" x14ac:dyDescent="0.2"/>
    <row r="14630" s="496" customFormat="1" x14ac:dyDescent="0.2"/>
    <row r="14631" s="496" customFormat="1" x14ac:dyDescent="0.2"/>
    <row r="14632" s="496" customFormat="1" x14ac:dyDescent="0.2"/>
    <row r="14633" s="496" customFormat="1" x14ac:dyDescent="0.2"/>
    <row r="14634" s="496" customFormat="1" x14ac:dyDescent="0.2"/>
    <row r="14635" s="496" customFormat="1" x14ac:dyDescent="0.2"/>
    <row r="14636" s="496" customFormat="1" x14ac:dyDescent="0.2"/>
    <row r="14637" s="496" customFormat="1" x14ac:dyDescent="0.2"/>
    <row r="14638" s="496" customFormat="1" x14ac:dyDescent="0.2"/>
    <row r="14639" s="496" customFormat="1" x14ac:dyDescent="0.2"/>
    <row r="14640" s="496" customFormat="1" x14ac:dyDescent="0.2"/>
    <row r="14641" s="496" customFormat="1" x14ac:dyDescent="0.2"/>
    <row r="14642" s="496" customFormat="1" x14ac:dyDescent="0.2"/>
    <row r="14643" s="496" customFormat="1" x14ac:dyDescent="0.2"/>
    <row r="14644" s="496" customFormat="1" x14ac:dyDescent="0.2"/>
    <row r="14645" s="496" customFormat="1" x14ac:dyDescent="0.2"/>
    <row r="14646" s="496" customFormat="1" x14ac:dyDescent="0.2"/>
    <row r="14647" s="496" customFormat="1" x14ac:dyDescent="0.2"/>
    <row r="14648" s="496" customFormat="1" x14ac:dyDescent="0.2"/>
    <row r="14649" s="496" customFormat="1" x14ac:dyDescent="0.2"/>
    <row r="14650" s="496" customFormat="1" x14ac:dyDescent="0.2"/>
    <row r="14651" s="496" customFormat="1" x14ac:dyDescent="0.2"/>
    <row r="14652" s="496" customFormat="1" x14ac:dyDescent="0.2"/>
    <row r="14653" s="496" customFormat="1" x14ac:dyDescent="0.2"/>
    <row r="14654" s="496" customFormat="1" x14ac:dyDescent="0.2"/>
    <row r="14655" s="496" customFormat="1" x14ac:dyDescent="0.2"/>
    <row r="14656" s="496" customFormat="1" x14ac:dyDescent="0.2"/>
    <row r="14657" s="496" customFormat="1" x14ac:dyDescent="0.2"/>
    <row r="14658" s="496" customFormat="1" x14ac:dyDescent="0.2"/>
    <row r="14659" s="496" customFormat="1" x14ac:dyDescent="0.2"/>
    <row r="14660" s="496" customFormat="1" x14ac:dyDescent="0.2"/>
    <row r="14661" s="496" customFormat="1" x14ac:dyDescent="0.2"/>
    <row r="14662" s="496" customFormat="1" x14ac:dyDescent="0.2"/>
    <row r="14663" s="496" customFormat="1" x14ac:dyDescent="0.2"/>
    <row r="14664" s="496" customFormat="1" x14ac:dyDescent="0.2"/>
    <row r="14665" s="496" customFormat="1" x14ac:dyDescent="0.2"/>
    <row r="14666" s="496" customFormat="1" x14ac:dyDescent="0.2"/>
    <row r="14667" s="496" customFormat="1" x14ac:dyDescent="0.2"/>
    <row r="14668" s="496" customFormat="1" x14ac:dyDescent="0.2"/>
    <row r="14669" s="496" customFormat="1" x14ac:dyDescent="0.2"/>
    <row r="14670" s="496" customFormat="1" x14ac:dyDescent="0.2"/>
    <row r="14671" s="496" customFormat="1" x14ac:dyDescent="0.2"/>
    <row r="14672" s="496" customFormat="1" x14ac:dyDescent="0.2"/>
    <row r="14673" s="496" customFormat="1" x14ac:dyDescent="0.2"/>
    <row r="14674" s="496" customFormat="1" x14ac:dyDescent="0.2"/>
    <row r="14675" s="496" customFormat="1" x14ac:dyDescent="0.2"/>
    <row r="14676" s="496" customFormat="1" x14ac:dyDescent="0.2"/>
    <row r="14677" s="496" customFormat="1" x14ac:dyDescent="0.2"/>
    <row r="14678" s="496" customFormat="1" x14ac:dyDescent="0.2"/>
    <row r="14679" s="496" customFormat="1" x14ac:dyDescent="0.2"/>
    <row r="14680" s="496" customFormat="1" x14ac:dyDescent="0.2"/>
    <row r="14681" s="496" customFormat="1" x14ac:dyDescent="0.2"/>
    <row r="14682" s="496" customFormat="1" x14ac:dyDescent="0.2"/>
    <row r="14683" s="496" customFormat="1" x14ac:dyDescent="0.2"/>
    <row r="14684" s="496" customFormat="1" x14ac:dyDescent="0.2"/>
    <row r="14685" s="496" customFormat="1" x14ac:dyDescent="0.2"/>
    <row r="14686" s="496" customFormat="1" x14ac:dyDescent="0.2"/>
    <row r="14687" s="496" customFormat="1" x14ac:dyDescent="0.2"/>
    <row r="14688" s="496" customFormat="1" x14ac:dyDescent="0.2"/>
    <row r="14689" s="496" customFormat="1" x14ac:dyDescent="0.2"/>
    <row r="14690" s="496" customFormat="1" x14ac:dyDescent="0.2"/>
    <row r="14691" s="496" customFormat="1" x14ac:dyDescent="0.2"/>
    <row r="14692" s="496" customFormat="1" x14ac:dyDescent="0.2"/>
    <row r="14693" s="496" customFormat="1" x14ac:dyDescent="0.2"/>
    <row r="14694" s="496" customFormat="1" x14ac:dyDescent="0.2"/>
    <row r="14695" s="496" customFormat="1" x14ac:dyDescent="0.2"/>
    <row r="14696" s="496" customFormat="1" x14ac:dyDescent="0.2"/>
    <row r="14697" s="496" customFormat="1" x14ac:dyDescent="0.2"/>
    <row r="14698" s="496" customFormat="1" x14ac:dyDescent="0.2"/>
    <row r="14699" s="496" customFormat="1" x14ac:dyDescent="0.2"/>
    <row r="14700" s="496" customFormat="1" x14ac:dyDescent="0.2"/>
    <row r="14701" s="496" customFormat="1" x14ac:dyDescent="0.2"/>
    <row r="14702" s="496" customFormat="1" x14ac:dyDescent="0.2"/>
    <row r="14703" s="496" customFormat="1" x14ac:dyDescent="0.2"/>
    <row r="14704" s="496" customFormat="1" x14ac:dyDescent="0.2"/>
    <row r="14705" s="496" customFormat="1" x14ac:dyDescent="0.2"/>
    <row r="14706" s="496" customFormat="1" x14ac:dyDescent="0.2"/>
    <row r="14707" s="496" customFormat="1" x14ac:dyDescent="0.2"/>
    <row r="14708" s="496" customFormat="1" x14ac:dyDescent="0.2"/>
    <row r="14709" s="496" customFormat="1" x14ac:dyDescent="0.2"/>
    <row r="14710" s="496" customFormat="1" x14ac:dyDescent="0.2"/>
    <row r="14711" s="496" customFormat="1" x14ac:dyDescent="0.2"/>
    <row r="14712" s="496" customFormat="1" x14ac:dyDescent="0.2"/>
    <row r="14713" s="496" customFormat="1" x14ac:dyDescent="0.2"/>
    <row r="14714" s="496" customFormat="1" x14ac:dyDescent="0.2"/>
    <row r="14715" s="496" customFormat="1" x14ac:dyDescent="0.2"/>
    <row r="14716" s="496" customFormat="1" x14ac:dyDescent="0.2"/>
    <row r="14717" s="496" customFormat="1" x14ac:dyDescent="0.2"/>
    <row r="14718" s="496" customFormat="1" x14ac:dyDescent="0.2"/>
    <row r="14719" s="496" customFormat="1" x14ac:dyDescent="0.2"/>
    <row r="14720" s="496" customFormat="1" x14ac:dyDescent="0.2"/>
    <row r="14721" s="496" customFormat="1" x14ac:dyDescent="0.2"/>
    <row r="14722" s="496" customFormat="1" x14ac:dyDescent="0.2"/>
    <row r="14723" s="496" customFormat="1" x14ac:dyDescent="0.2"/>
    <row r="14724" s="496" customFormat="1" x14ac:dyDescent="0.2"/>
    <row r="14725" s="496" customFormat="1" x14ac:dyDescent="0.2"/>
    <row r="14726" s="496" customFormat="1" x14ac:dyDescent="0.2"/>
    <row r="14727" s="496" customFormat="1" x14ac:dyDescent="0.2"/>
    <row r="14728" s="496" customFormat="1" x14ac:dyDescent="0.2"/>
    <row r="14729" s="496" customFormat="1" x14ac:dyDescent="0.2"/>
    <row r="14730" s="496" customFormat="1" x14ac:dyDescent="0.2"/>
    <row r="14731" s="496" customFormat="1" x14ac:dyDescent="0.2"/>
    <row r="14732" s="496" customFormat="1" x14ac:dyDescent="0.2"/>
    <row r="14733" s="496" customFormat="1" x14ac:dyDescent="0.2"/>
    <row r="14734" s="496" customFormat="1" x14ac:dyDescent="0.2"/>
    <row r="14735" s="496" customFormat="1" x14ac:dyDescent="0.2"/>
    <row r="14736" s="496" customFormat="1" x14ac:dyDescent="0.2"/>
    <row r="14737" s="496" customFormat="1" x14ac:dyDescent="0.2"/>
    <row r="14738" s="496" customFormat="1" x14ac:dyDescent="0.2"/>
    <row r="14739" s="496" customFormat="1" x14ac:dyDescent="0.2"/>
    <row r="14740" s="496" customFormat="1" x14ac:dyDescent="0.2"/>
    <row r="14741" s="496" customFormat="1" x14ac:dyDescent="0.2"/>
    <row r="14742" s="496" customFormat="1" x14ac:dyDescent="0.2"/>
    <row r="14743" s="496" customFormat="1" x14ac:dyDescent="0.2"/>
    <row r="14744" s="496" customFormat="1" x14ac:dyDescent="0.2"/>
    <row r="14745" s="496" customFormat="1" x14ac:dyDescent="0.2"/>
    <row r="14746" s="496" customFormat="1" x14ac:dyDescent="0.2"/>
    <row r="14747" s="496" customFormat="1" x14ac:dyDescent="0.2"/>
    <row r="14748" s="496" customFormat="1" x14ac:dyDescent="0.2"/>
    <row r="14749" s="496" customFormat="1" x14ac:dyDescent="0.2"/>
    <row r="14750" s="496" customFormat="1" x14ac:dyDescent="0.2"/>
    <row r="14751" s="496" customFormat="1" x14ac:dyDescent="0.2"/>
    <row r="14752" s="496" customFormat="1" x14ac:dyDescent="0.2"/>
    <row r="14753" s="496" customFormat="1" x14ac:dyDescent="0.2"/>
    <row r="14754" s="496" customFormat="1" x14ac:dyDescent="0.2"/>
    <row r="14755" s="496" customFormat="1" x14ac:dyDescent="0.2"/>
    <row r="14756" s="496" customFormat="1" x14ac:dyDescent="0.2"/>
    <row r="14757" s="496" customFormat="1" x14ac:dyDescent="0.2"/>
    <row r="14758" s="496" customFormat="1" x14ac:dyDescent="0.2"/>
    <row r="14759" s="496" customFormat="1" x14ac:dyDescent="0.2"/>
    <row r="14760" s="496" customFormat="1" x14ac:dyDescent="0.2"/>
    <row r="14761" s="496" customFormat="1" x14ac:dyDescent="0.2"/>
    <row r="14762" s="496" customFormat="1" x14ac:dyDescent="0.2"/>
    <row r="14763" s="496" customFormat="1" x14ac:dyDescent="0.2"/>
    <row r="14764" s="496" customFormat="1" x14ac:dyDescent="0.2"/>
    <row r="14765" s="496" customFormat="1" x14ac:dyDescent="0.2"/>
    <row r="14766" s="496" customFormat="1" x14ac:dyDescent="0.2"/>
    <row r="14767" s="496" customFormat="1" x14ac:dyDescent="0.2"/>
    <row r="14768" s="496" customFormat="1" x14ac:dyDescent="0.2"/>
    <row r="14769" s="496" customFormat="1" x14ac:dyDescent="0.2"/>
    <row r="14770" s="496" customFormat="1" x14ac:dyDescent="0.2"/>
    <row r="14771" s="496" customFormat="1" x14ac:dyDescent="0.2"/>
    <row r="14772" s="496" customFormat="1" x14ac:dyDescent="0.2"/>
    <row r="14773" s="496" customFormat="1" x14ac:dyDescent="0.2"/>
    <row r="14774" s="496" customFormat="1" x14ac:dyDescent="0.2"/>
    <row r="14775" s="496" customFormat="1" x14ac:dyDescent="0.2"/>
    <row r="14776" s="496" customFormat="1" x14ac:dyDescent="0.2"/>
    <row r="14777" s="496" customFormat="1" x14ac:dyDescent="0.2"/>
    <row r="14778" s="496" customFormat="1" x14ac:dyDescent="0.2"/>
    <row r="14779" s="496" customFormat="1" x14ac:dyDescent="0.2"/>
    <row r="14780" s="496" customFormat="1" x14ac:dyDescent="0.2"/>
    <row r="14781" s="496" customFormat="1" x14ac:dyDescent="0.2"/>
    <row r="14782" s="496" customFormat="1" x14ac:dyDescent="0.2"/>
    <row r="14783" s="496" customFormat="1" x14ac:dyDescent="0.2"/>
    <row r="14784" s="496" customFormat="1" x14ac:dyDescent="0.2"/>
    <row r="14785" s="496" customFormat="1" x14ac:dyDescent="0.2"/>
    <row r="14786" s="496" customFormat="1" x14ac:dyDescent="0.2"/>
    <row r="14787" s="496" customFormat="1" x14ac:dyDescent="0.2"/>
    <row r="14788" s="496" customFormat="1" x14ac:dyDescent="0.2"/>
    <row r="14789" s="496" customFormat="1" x14ac:dyDescent="0.2"/>
    <row r="14790" s="496" customFormat="1" x14ac:dyDescent="0.2"/>
    <row r="14791" s="496" customFormat="1" x14ac:dyDescent="0.2"/>
    <row r="14792" s="496" customFormat="1" x14ac:dyDescent="0.2"/>
    <row r="14793" s="496" customFormat="1" x14ac:dyDescent="0.2"/>
    <row r="14794" s="496" customFormat="1" x14ac:dyDescent="0.2"/>
    <row r="14795" s="496" customFormat="1" x14ac:dyDescent="0.2"/>
    <row r="14796" s="496" customFormat="1" x14ac:dyDescent="0.2"/>
    <row r="14797" s="496" customFormat="1" x14ac:dyDescent="0.2"/>
    <row r="14798" s="496" customFormat="1" x14ac:dyDescent="0.2"/>
    <row r="14799" s="496" customFormat="1" x14ac:dyDescent="0.2"/>
    <row r="14800" s="496" customFormat="1" x14ac:dyDescent="0.2"/>
    <row r="14801" s="496" customFormat="1" x14ac:dyDescent="0.2"/>
    <row r="14802" s="496" customFormat="1" x14ac:dyDescent="0.2"/>
    <row r="14803" s="496" customFormat="1" x14ac:dyDescent="0.2"/>
    <row r="14804" s="496" customFormat="1" x14ac:dyDescent="0.2"/>
    <row r="14805" s="496" customFormat="1" x14ac:dyDescent="0.2"/>
    <row r="14806" s="496" customFormat="1" x14ac:dyDescent="0.2"/>
    <row r="14807" s="496" customFormat="1" x14ac:dyDescent="0.2"/>
    <row r="14808" s="496" customFormat="1" x14ac:dyDescent="0.2"/>
    <row r="14809" s="496" customFormat="1" x14ac:dyDescent="0.2"/>
    <row r="14810" s="496" customFormat="1" x14ac:dyDescent="0.2"/>
    <row r="14811" s="496" customFormat="1" x14ac:dyDescent="0.2"/>
    <row r="14812" s="496" customFormat="1" x14ac:dyDescent="0.2"/>
    <row r="14813" s="496" customFormat="1" x14ac:dyDescent="0.2"/>
    <row r="14814" s="496" customFormat="1" x14ac:dyDescent="0.2"/>
    <row r="14815" s="496" customFormat="1" x14ac:dyDescent="0.2"/>
    <row r="14816" s="496" customFormat="1" x14ac:dyDescent="0.2"/>
    <row r="14817" s="496" customFormat="1" x14ac:dyDescent="0.2"/>
    <row r="14818" s="496" customFormat="1" x14ac:dyDescent="0.2"/>
    <row r="14819" s="496" customFormat="1" x14ac:dyDescent="0.2"/>
    <row r="14820" s="496" customFormat="1" x14ac:dyDescent="0.2"/>
    <row r="14821" s="496" customFormat="1" x14ac:dyDescent="0.2"/>
    <row r="14822" s="496" customFormat="1" x14ac:dyDescent="0.2"/>
    <row r="14823" s="496" customFormat="1" x14ac:dyDescent="0.2"/>
    <row r="14824" s="496" customFormat="1" x14ac:dyDescent="0.2"/>
    <row r="14825" s="496" customFormat="1" x14ac:dyDescent="0.2"/>
    <row r="14826" s="496" customFormat="1" x14ac:dyDescent="0.2"/>
    <row r="14827" s="496" customFormat="1" x14ac:dyDescent="0.2"/>
    <row r="14828" s="496" customFormat="1" x14ac:dyDescent="0.2"/>
    <row r="14829" s="496" customFormat="1" x14ac:dyDescent="0.2"/>
    <row r="14830" s="496" customFormat="1" x14ac:dyDescent="0.2"/>
    <row r="14831" s="496" customFormat="1" x14ac:dyDescent="0.2"/>
    <row r="14832" s="496" customFormat="1" x14ac:dyDescent="0.2"/>
    <row r="14833" s="496" customFormat="1" x14ac:dyDescent="0.2"/>
    <row r="14834" s="496" customFormat="1" x14ac:dyDescent="0.2"/>
    <row r="14835" s="496" customFormat="1" x14ac:dyDescent="0.2"/>
    <row r="14836" s="496" customFormat="1" x14ac:dyDescent="0.2"/>
    <row r="14837" s="496" customFormat="1" x14ac:dyDescent="0.2"/>
    <row r="14838" s="496" customFormat="1" x14ac:dyDescent="0.2"/>
    <row r="14839" s="496" customFormat="1" x14ac:dyDescent="0.2"/>
    <row r="14840" s="496" customFormat="1" x14ac:dyDescent="0.2"/>
    <row r="14841" s="496" customFormat="1" x14ac:dyDescent="0.2"/>
    <row r="14842" s="496" customFormat="1" x14ac:dyDescent="0.2"/>
    <row r="14843" s="496" customFormat="1" x14ac:dyDescent="0.2"/>
    <row r="14844" s="496" customFormat="1" x14ac:dyDescent="0.2"/>
    <row r="14845" s="496" customFormat="1" x14ac:dyDescent="0.2"/>
    <row r="14846" s="496" customFormat="1" x14ac:dyDescent="0.2"/>
    <row r="14847" s="496" customFormat="1" x14ac:dyDescent="0.2"/>
    <row r="14848" s="496" customFormat="1" x14ac:dyDescent="0.2"/>
    <row r="14849" s="496" customFormat="1" x14ac:dyDescent="0.2"/>
    <row r="14850" s="496" customFormat="1" x14ac:dyDescent="0.2"/>
    <row r="14851" s="496" customFormat="1" x14ac:dyDescent="0.2"/>
    <row r="14852" s="496" customFormat="1" x14ac:dyDescent="0.2"/>
    <row r="14853" s="496" customFormat="1" x14ac:dyDescent="0.2"/>
    <row r="14854" s="496" customFormat="1" x14ac:dyDescent="0.2"/>
    <row r="14855" s="496" customFormat="1" x14ac:dyDescent="0.2"/>
    <row r="14856" s="496" customFormat="1" x14ac:dyDescent="0.2"/>
    <row r="14857" s="496" customFormat="1" x14ac:dyDescent="0.2"/>
    <row r="14858" s="496" customFormat="1" x14ac:dyDescent="0.2"/>
    <row r="14859" s="496" customFormat="1" x14ac:dyDescent="0.2"/>
    <row r="14860" s="496" customFormat="1" x14ac:dyDescent="0.2"/>
    <row r="14861" s="496" customFormat="1" x14ac:dyDescent="0.2"/>
    <row r="14862" s="496" customFormat="1" x14ac:dyDescent="0.2"/>
    <row r="14863" s="496" customFormat="1" x14ac:dyDescent="0.2"/>
    <row r="14864" s="496" customFormat="1" x14ac:dyDescent="0.2"/>
    <row r="14865" s="496" customFormat="1" x14ac:dyDescent="0.2"/>
    <row r="14866" s="496" customFormat="1" x14ac:dyDescent="0.2"/>
    <row r="14867" s="496" customFormat="1" x14ac:dyDescent="0.2"/>
    <row r="14868" s="496" customFormat="1" x14ac:dyDescent="0.2"/>
    <row r="14869" s="496" customFormat="1" x14ac:dyDescent="0.2"/>
    <row r="14870" s="496" customFormat="1" x14ac:dyDescent="0.2"/>
    <row r="14871" s="496" customFormat="1" x14ac:dyDescent="0.2"/>
    <row r="14872" s="496" customFormat="1" x14ac:dyDescent="0.2"/>
    <row r="14873" s="496" customFormat="1" x14ac:dyDescent="0.2"/>
    <row r="14874" s="496" customFormat="1" x14ac:dyDescent="0.2"/>
    <row r="14875" s="496" customFormat="1" x14ac:dyDescent="0.2"/>
    <row r="14876" s="496" customFormat="1" x14ac:dyDescent="0.2"/>
    <row r="14877" s="496" customFormat="1" x14ac:dyDescent="0.2"/>
    <row r="14878" s="496" customFormat="1" x14ac:dyDescent="0.2"/>
    <row r="14879" s="496" customFormat="1" x14ac:dyDescent="0.2"/>
    <row r="14880" s="496" customFormat="1" x14ac:dyDescent="0.2"/>
    <row r="14881" s="496" customFormat="1" x14ac:dyDescent="0.2"/>
    <row r="14882" s="496" customFormat="1" x14ac:dyDescent="0.2"/>
    <row r="14883" s="496" customFormat="1" x14ac:dyDescent="0.2"/>
    <row r="14884" s="496" customFormat="1" x14ac:dyDescent="0.2"/>
    <row r="14885" s="496" customFormat="1" x14ac:dyDescent="0.2"/>
    <row r="14886" s="496" customFormat="1" x14ac:dyDescent="0.2"/>
    <row r="14887" s="496" customFormat="1" x14ac:dyDescent="0.2"/>
    <row r="14888" s="496" customFormat="1" x14ac:dyDescent="0.2"/>
    <row r="14889" s="496" customFormat="1" x14ac:dyDescent="0.2"/>
    <row r="14890" s="496" customFormat="1" x14ac:dyDescent="0.2"/>
    <row r="14891" s="496" customFormat="1" x14ac:dyDescent="0.2"/>
    <row r="14892" s="496" customFormat="1" x14ac:dyDescent="0.2"/>
    <row r="14893" s="496" customFormat="1" x14ac:dyDescent="0.2"/>
    <row r="14894" s="496" customFormat="1" x14ac:dyDescent="0.2"/>
    <row r="14895" s="496" customFormat="1" x14ac:dyDescent="0.2"/>
    <row r="14896" s="496" customFormat="1" x14ac:dyDescent="0.2"/>
    <row r="14897" s="496" customFormat="1" x14ac:dyDescent="0.2"/>
    <row r="14898" s="496" customFormat="1" x14ac:dyDescent="0.2"/>
    <row r="14899" s="496" customFormat="1" x14ac:dyDescent="0.2"/>
    <row r="14900" s="496" customFormat="1" x14ac:dyDescent="0.2"/>
    <row r="14901" s="496" customFormat="1" x14ac:dyDescent="0.2"/>
    <row r="14902" s="496" customFormat="1" x14ac:dyDescent="0.2"/>
    <row r="14903" s="496" customFormat="1" x14ac:dyDescent="0.2"/>
    <row r="14904" s="496" customFormat="1" x14ac:dyDescent="0.2"/>
    <row r="14905" s="496" customFormat="1" x14ac:dyDescent="0.2"/>
    <row r="14906" s="496" customFormat="1" x14ac:dyDescent="0.2"/>
    <row r="14907" s="496" customFormat="1" x14ac:dyDescent="0.2"/>
    <row r="14908" s="496" customFormat="1" x14ac:dyDescent="0.2"/>
    <row r="14909" s="496" customFormat="1" x14ac:dyDescent="0.2"/>
    <row r="14910" s="496" customFormat="1" x14ac:dyDescent="0.2"/>
    <row r="14911" s="496" customFormat="1" x14ac:dyDescent="0.2"/>
    <row r="14912" s="496" customFormat="1" x14ac:dyDescent="0.2"/>
    <row r="14913" s="496" customFormat="1" x14ac:dyDescent="0.2"/>
    <row r="14914" s="496" customFormat="1" x14ac:dyDescent="0.2"/>
    <row r="14915" s="496" customFormat="1" x14ac:dyDescent="0.2"/>
    <row r="14916" s="496" customFormat="1" x14ac:dyDescent="0.2"/>
    <row r="14917" s="496" customFormat="1" x14ac:dyDescent="0.2"/>
    <row r="14918" s="496" customFormat="1" x14ac:dyDescent="0.2"/>
    <row r="14919" s="496" customFormat="1" x14ac:dyDescent="0.2"/>
    <row r="14920" s="496" customFormat="1" x14ac:dyDescent="0.2"/>
    <row r="14921" s="496" customFormat="1" x14ac:dyDescent="0.2"/>
    <row r="14922" s="496" customFormat="1" x14ac:dyDescent="0.2"/>
    <row r="14923" s="496" customFormat="1" x14ac:dyDescent="0.2"/>
    <row r="14924" s="496" customFormat="1" x14ac:dyDescent="0.2"/>
    <row r="14925" s="496" customFormat="1" x14ac:dyDescent="0.2"/>
    <row r="14926" s="496" customFormat="1" x14ac:dyDescent="0.2"/>
    <row r="14927" s="496" customFormat="1" x14ac:dyDescent="0.2"/>
    <row r="14928" s="496" customFormat="1" x14ac:dyDescent="0.2"/>
    <row r="14929" s="496" customFormat="1" x14ac:dyDescent="0.2"/>
    <row r="14930" s="496" customFormat="1" x14ac:dyDescent="0.2"/>
    <row r="14931" s="496" customFormat="1" x14ac:dyDescent="0.2"/>
    <row r="14932" s="496" customFormat="1" x14ac:dyDescent="0.2"/>
    <row r="14933" s="496" customFormat="1" x14ac:dyDescent="0.2"/>
    <row r="14934" s="496" customFormat="1" x14ac:dyDescent="0.2"/>
    <row r="14935" s="496" customFormat="1" x14ac:dyDescent="0.2"/>
    <row r="14936" s="496" customFormat="1" x14ac:dyDescent="0.2"/>
    <row r="14937" s="496" customFormat="1" x14ac:dyDescent="0.2"/>
    <row r="14938" s="496" customFormat="1" x14ac:dyDescent="0.2"/>
    <row r="14939" s="496" customFormat="1" x14ac:dyDescent="0.2"/>
    <row r="14940" s="496" customFormat="1" x14ac:dyDescent="0.2"/>
    <row r="14941" s="496" customFormat="1" x14ac:dyDescent="0.2"/>
    <row r="14942" s="496" customFormat="1" x14ac:dyDescent="0.2"/>
    <row r="14943" s="496" customFormat="1" x14ac:dyDescent="0.2"/>
    <row r="14944" s="496" customFormat="1" x14ac:dyDescent="0.2"/>
    <row r="14945" s="496" customFormat="1" x14ac:dyDescent="0.2"/>
    <row r="14946" s="496" customFormat="1" x14ac:dyDescent="0.2"/>
    <row r="14947" s="496" customFormat="1" x14ac:dyDescent="0.2"/>
    <row r="14948" s="496" customFormat="1" x14ac:dyDescent="0.2"/>
    <row r="14949" s="496" customFormat="1" x14ac:dyDescent="0.2"/>
    <row r="14950" s="496" customFormat="1" x14ac:dyDescent="0.2"/>
    <row r="14951" s="496" customFormat="1" x14ac:dyDescent="0.2"/>
    <row r="14952" s="496" customFormat="1" x14ac:dyDescent="0.2"/>
    <row r="14953" s="496" customFormat="1" x14ac:dyDescent="0.2"/>
    <row r="14954" s="496" customFormat="1" x14ac:dyDescent="0.2"/>
    <row r="14955" s="496" customFormat="1" x14ac:dyDescent="0.2"/>
    <row r="14956" s="496" customFormat="1" x14ac:dyDescent="0.2"/>
    <row r="14957" s="496" customFormat="1" x14ac:dyDescent="0.2"/>
    <row r="14958" s="496" customFormat="1" x14ac:dyDescent="0.2"/>
    <row r="14959" s="496" customFormat="1" x14ac:dyDescent="0.2"/>
    <row r="14960" s="496" customFormat="1" x14ac:dyDescent="0.2"/>
    <row r="14961" s="496" customFormat="1" x14ac:dyDescent="0.2"/>
    <row r="14962" s="496" customFormat="1" x14ac:dyDescent="0.2"/>
    <row r="14963" s="496" customFormat="1" x14ac:dyDescent="0.2"/>
    <row r="14964" s="496" customFormat="1" x14ac:dyDescent="0.2"/>
    <row r="14965" s="496" customFormat="1" x14ac:dyDescent="0.2"/>
    <row r="14966" s="496" customFormat="1" x14ac:dyDescent="0.2"/>
    <row r="14967" s="496" customFormat="1" x14ac:dyDescent="0.2"/>
    <row r="14968" s="496" customFormat="1" x14ac:dyDescent="0.2"/>
    <row r="14969" s="496" customFormat="1" x14ac:dyDescent="0.2"/>
    <row r="14970" s="496" customFormat="1" x14ac:dyDescent="0.2"/>
    <row r="14971" s="496" customFormat="1" x14ac:dyDescent="0.2"/>
    <row r="14972" s="496" customFormat="1" x14ac:dyDescent="0.2"/>
    <row r="14973" s="496" customFormat="1" x14ac:dyDescent="0.2"/>
    <row r="14974" s="496" customFormat="1" x14ac:dyDescent="0.2"/>
    <row r="14975" s="496" customFormat="1" x14ac:dyDescent="0.2"/>
    <row r="14976" s="496" customFormat="1" x14ac:dyDescent="0.2"/>
    <row r="14977" s="496" customFormat="1" x14ac:dyDescent="0.2"/>
    <row r="14978" s="496" customFormat="1" x14ac:dyDescent="0.2"/>
    <row r="14979" s="496" customFormat="1" x14ac:dyDescent="0.2"/>
    <row r="14980" s="496" customFormat="1" x14ac:dyDescent="0.2"/>
    <row r="14981" s="496" customFormat="1" x14ac:dyDescent="0.2"/>
    <row r="14982" s="496" customFormat="1" x14ac:dyDescent="0.2"/>
    <row r="14983" s="496" customFormat="1" x14ac:dyDescent="0.2"/>
    <row r="14984" s="496" customFormat="1" x14ac:dyDescent="0.2"/>
    <row r="14985" s="496" customFormat="1" x14ac:dyDescent="0.2"/>
    <row r="14986" s="496" customFormat="1" x14ac:dyDescent="0.2"/>
    <row r="14987" s="496" customFormat="1" x14ac:dyDescent="0.2"/>
    <row r="14988" s="496" customFormat="1" x14ac:dyDescent="0.2"/>
    <row r="14989" s="496" customFormat="1" x14ac:dyDescent="0.2"/>
    <row r="14990" s="496" customFormat="1" x14ac:dyDescent="0.2"/>
    <row r="14991" s="496" customFormat="1" x14ac:dyDescent="0.2"/>
    <row r="14992" s="496" customFormat="1" x14ac:dyDescent="0.2"/>
    <row r="14993" s="496" customFormat="1" x14ac:dyDescent="0.2"/>
    <row r="14994" s="496" customFormat="1" x14ac:dyDescent="0.2"/>
    <row r="14995" s="496" customFormat="1" x14ac:dyDescent="0.2"/>
    <row r="14996" s="496" customFormat="1" x14ac:dyDescent="0.2"/>
    <row r="14997" s="496" customFormat="1" x14ac:dyDescent="0.2"/>
    <row r="14998" s="496" customFormat="1" x14ac:dyDescent="0.2"/>
    <row r="14999" s="496" customFormat="1" x14ac:dyDescent="0.2"/>
    <row r="15000" s="496" customFormat="1" x14ac:dyDescent="0.2"/>
    <row r="15001" s="496" customFormat="1" x14ac:dyDescent="0.2"/>
    <row r="15002" s="496" customFormat="1" x14ac:dyDescent="0.2"/>
    <row r="15003" s="496" customFormat="1" x14ac:dyDescent="0.2"/>
    <row r="15004" s="496" customFormat="1" x14ac:dyDescent="0.2"/>
    <row r="15005" s="496" customFormat="1" x14ac:dyDescent="0.2"/>
    <row r="15006" s="496" customFormat="1" x14ac:dyDescent="0.2"/>
    <row r="15007" s="496" customFormat="1" x14ac:dyDescent="0.2"/>
    <row r="15008" s="496" customFormat="1" x14ac:dyDescent="0.2"/>
    <row r="15009" s="496" customFormat="1" x14ac:dyDescent="0.2"/>
    <row r="15010" s="496" customFormat="1" x14ac:dyDescent="0.2"/>
    <row r="15011" s="496" customFormat="1" x14ac:dyDescent="0.2"/>
    <row r="15012" s="496" customFormat="1" x14ac:dyDescent="0.2"/>
    <row r="15013" s="496" customFormat="1" x14ac:dyDescent="0.2"/>
    <row r="15014" s="496" customFormat="1" x14ac:dyDescent="0.2"/>
    <row r="15015" s="496" customFormat="1" x14ac:dyDescent="0.2"/>
    <row r="15016" s="496" customFormat="1" x14ac:dyDescent="0.2"/>
    <row r="15017" s="496" customFormat="1" x14ac:dyDescent="0.2"/>
    <row r="15018" s="496" customFormat="1" x14ac:dyDescent="0.2"/>
    <row r="15019" s="496" customFormat="1" x14ac:dyDescent="0.2"/>
    <row r="15020" s="496" customFormat="1" x14ac:dyDescent="0.2"/>
    <row r="15021" s="496" customFormat="1" x14ac:dyDescent="0.2"/>
    <row r="15022" s="496" customFormat="1" x14ac:dyDescent="0.2"/>
    <row r="15023" s="496" customFormat="1" x14ac:dyDescent="0.2"/>
    <row r="15024" s="496" customFormat="1" x14ac:dyDescent="0.2"/>
    <row r="15025" s="496" customFormat="1" x14ac:dyDescent="0.2"/>
    <row r="15026" s="496" customFormat="1" x14ac:dyDescent="0.2"/>
    <row r="15027" s="496" customFormat="1" x14ac:dyDescent="0.2"/>
    <row r="15028" s="496" customFormat="1" x14ac:dyDescent="0.2"/>
    <row r="15029" s="496" customFormat="1" x14ac:dyDescent="0.2"/>
    <row r="15030" s="496" customFormat="1" x14ac:dyDescent="0.2"/>
    <row r="15031" s="496" customFormat="1" x14ac:dyDescent="0.2"/>
    <row r="15032" s="496" customFormat="1" x14ac:dyDescent="0.2"/>
    <row r="15033" s="496" customFormat="1" x14ac:dyDescent="0.2"/>
    <row r="15034" s="496" customFormat="1" x14ac:dyDescent="0.2"/>
    <row r="15035" s="496" customFormat="1" x14ac:dyDescent="0.2"/>
    <row r="15036" s="496" customFormat="1" x14ac:dyDescent="0.2"/>
    <row r="15037" s="496" customFormat="1" x14ac:dyDescent="0.2"/>
    <row r="15038" s="496" customFormat="1" x14ac:dyDescent="0.2"/>
    <row r="15039" s="496" customFormat="1" x14ac:dyDescent="0.2"/>
    <row r="15040" s="496" customFormat="1" x14ac:dyDescent="0.2"/>
    <row r="15041" s="496" customFormat="1" x14ac:dyDescent="0.2"/>
    <row r="15042" s="496" customFormat="1" x14ac:dyDescent="0.2"/>
    <row r="15043" s="496" customFormat="1" x14ac:dyDescent="0.2"/>
    <row r="15044" s="496" customFormat="1" x14ac:dyDescent="0.2"/>
    <row r="15045" s="496" customFormat="1" x14ac:dyDescent="0.2"/>
    <row r="15046" s="496" customFormat="1" x14ac:dyDescent="0.2"/>
    <row r="15047" s="496" customFormat="1" x14ac:dyDescent="0.2"/>
    <row r="15048" s="496" customFormat="1" x14ac:dyDescent="0.2"/>
    <row r="15049" s="496" customFormat="1" x14ac:dyDescent="0.2"/>
    <row r="15050" s="496" customFormat="1" x14ac:dyDescent="0.2"/>
    <row r="15051" s="496" customFormat="1" x14ac:dyDescent="0.2"/>
    <row r="15052" s="496" customFormat="1" x14ac:dyDescent="0.2"/>
    <row r="15053" s="496" customFormat="1" x14ac:dyDescent="0.2"/>
    <row r="15054" s="496" customFormat="1" x14ac:dyDescent="0.2"/>
    <row r="15055" s="496" customFormat="1" x14ac:dyDescent="0.2"/>
    <row r="15056" s="496" customFormat="1" x14ac:dyDescent="0.2"/>
    <row r="15057" s="496" customFormat="1" x14ac:dyDescent="0.2"/>
    <row r="15058" s="496" customFormat="1" x14ac:dyDescent="0.2"/>
    <row r="15059" s="496" customFormat="1" x14ac:dyDescent="0.2"/>
    <row r="15060" s="496" customFormat="1" x14ac:dyDescent="0.2"/>
    <row r="15061" s="496" customFormat="1" x14ac:dyDescent="0.2"/>
    <row r="15062" s="496" customFormat="1" x14ac:dyDescent="0.2"/>
    <row r="15063" s="496" customFormat="1" x14ac:dyDescent="0.2"/>
    <row r="15064" s="496" customFormat="1" x14ac:dyDescent="0.2"/>
    <row r="15065" s="496" customFormat="1" x14ac:dyDescent="0.2"/>
    <row r="15066" s="496" customFormat="1" x14ac:dyDescent="0.2"/>
    <row r="15067" s="496" customFormat="1" x14ac:dyDescent="0.2"/>
    <row r="15068" s="496" customFormat="1" x14ac:dyDescent="0.2"/>
    <row r="15069" s="496" customFormat="1" x14ac:dyDescent="0.2"/>
    <row r="15070" s="496" customFormat="1" x14ac:dyDescent="0.2"/>
    <row r="15071" s="496" customFormat="1" x14ac:dyDescent="0.2"/>
    <row r="15072" s="496" customFormat="1" x14ac:dyDescent="0.2"/>
    <row r="15073" s="496" customFormat="1" x14ac:dyDescent="0.2"/>
    <row r="15074" s="496" customFormat="1" x14ac:dyDescent="0.2"/>
    <row r="15075" s="496" customFormat="1" x14ac:dyDescent="0.2"/>
    <row r="15076" s="496" customFormat="1" x14ac:dyDescent="0.2"/>
    <row r="15077" s="496" customFormat="1" x14ac:dyDescent="0.2"/>
    <row r="15078" s="496" customFormat="1" x14ac:dyDescent="0.2"/>
    <row r="15079" s="496" customFormat="1" x14ac:dyDescent="0.2"/>
    <row r="15080" s="496" customFormat="1" x14ac:dyDescent="0.2"/>
    <row r="15081" s="496" customFormat="1" x14ac:dyDescent="0.2"/>
    <row r="15082" s="496" customFormat="1" x14ac:dyDescent="0.2"/>
    <row r="15083" s="496" customFormat="1" x14ac:dyDescent="0.2"/>
    <row r="15084" s="496" customFormat="1" x14ac:dyDescent="0.2"/>
    <row r="15085" s="496" customFormat="1" x14ac:dyDescent="0.2"/>
    <row r="15086" s="496" customFormat="1" x14ac:dyDescent="0.2"/>
    <row r="15087" s="496" customFormat="1" x14ac:dyDescent="0.2"/>
    <row r="15088" s="496" customFormat="1" x14ac:dyDescent="0.2"/>
    <row r="15089" s="496" customFormat="1" x14ac:dyDescent="0.2"/>
    <row r="15090" s="496" customFormat="1" x14ac:dyDescent="0.2"/>
    <row r="15091" s="496" customFormat="1" x14ac:dyDescent="0.2"/>
    <row r="15092" s="496" customFormat="1" x14ac:dyDescent="0.2"/>
    <row r="15093" s="496" customFormat="1" x14ac:dyDescent="0.2"/>
    <row r="15094" s="496" customFormat="1" x14ac:dyDescent="0.2"/>
    <row r="15095" s="496" customFormat="1" x14ac:dyDescent="0.2"/>
    <row r="15096" s="496" customFormat="1" x14ac:dyDescent="0.2"/>
    <row r="15097" s="496" customFormat="1" x14ac:dyDescent="0.2"/>
    <row r="15098" s="496" customFormat="1" x14ac:dyDescent="0.2"/>
    <row r="15099" s="496" customFormat="1" x14ac:dyDescent="0.2"/>
    <row r="15100" s="496" customFormat="1" x14ac:dyDescent="0.2"/>
    <row r="15101" s="496" customFormat="1" x14ac:dyDescent="0.2"/>
    <row r="15102" s="496" customFormat="1" x14ac:dyDescent="0.2"/>
    <row r="15103" s="496" customFormat="1" x14ac:dyDescent="0.2"/>
    <row r="15104" s="496" customFormat="1" x14ac:dyDescent="0.2"/>
    <row r="15105" s="496" customFormat="1" x14ac:dyDescent="0.2"/>
    <row r="15106" s="496" customFormat="1" x14ac:dyDescent="0.2"/>
    <row r="15107" s="496" customFormat="1" x14ac:dyDescent="0.2"/>
    <row r="15108" s="496" customFormat="1" x14ac:dyDescent="0.2"/>
    <row r="15109" s="496" customFormat="1" x14ac:dyDescent="0.2"/>
    <row r="15110" s="496" customFormat="1" x14ac:dyDescent="0.2"/>
    <row r="15111" s="496" customFormat="1" x14ac:dyDescent="0.2"/>
    <row r="15112" s="496" customFormat="1" x14ac:dyDescent="0.2"/>
    <row r="15113" s="496" customFormat="1" x14ac:dyDescent="0.2"/>
    <row r="15114" s="496" customFormat="1" x14ac:dyDescent="0.2"/>
    <row r="15115" s="496" customFormat="1" x14ac:dyDescent="0.2"/>
    <row r="15116" s="496" customFormat="1" x14ac:dyDescent="0.2"/>
    <row r="15117" s="496" customFormat="1" x14ac:dyDescent="0.2"/>
    <row r="15118" s="496" customFormat="1" x14ac:dyDescent="0.2"/>
    <row r="15119" s="496" customFormat="1" x14ac:dyDescent="0.2"/>
    <row r="15120" s="496" customFormat="1" x14ac:dyDescent="0.2"/>
    <row r="15121" s="496" customFormat="1" x14ac:dyDescent="0.2"/>
    <row r="15122" s="496" customFormat="1" x14ac:dyDescent="0.2"/>
    <row r="15123" s="496" customFormat="1" x14ac:dyDescent="0.2"/>
    <row r="15124" s="496" customFormat="1" x14ac:dyDescent="0.2"/>
    <row r="15125" s="496" customFormat="1" x14ac:dyDescent="0.2"/>
    <row r="15126" s="496" customFormat="1" x14ac:dyDescent="0.2"/>
    <row r="15127" s="496" customFormat="1" x14ac:dyDescent="0.2"/>
    <row r="15128" s="496" customFormat="1" x14ac:dyDescent="0.2"/>
    <row r="15129" s="496" customFormat="1" x14ac:dyDescent="0.2"/>
    <row r="15130" s="496" customFormat="1" x14ac:dyDescent="0.2"/>
    <row r="15131" s="496" customFormat="1" x14ac:dyDescent="0.2"/>
    <row r="15132" s="496" customFormat="1" x14ac:dyDescent="0.2"/>
    <row r="15133" s="496" customFormat="1" x14ac:dyDescent="0.2"/>
    <row r="15134" s="496" customFormat="1" x14ac:dyDescent="0.2"/>
    <row r="15135" s="496" customFormat="1" x14ac:dyDescent="0.2"/>
    <row r="15136" s="496" customFormat="1" x14ac:dyDescent="0.2"/>
    <row r="15137" s="496" customFormat="1" x14ac:dyDescent="0.2"/>
    <row r="15138" s="496" customFormat="1" x14ac:dyDescent="0.2"/>
    <row r="15139" s="496" customFormat="1" x14ac:dyDescent="0.2"/>
    <row r="15140" s="496" customFormat="1" x14ac:dyDescent="0.2"/>
    <row r="15141" s="496" customFormat="1" x14ac:dyDescent="0.2"/>
    <row r="15142" s="496" customFormat="1" x14ac:dyDescent="0.2"/>
    <row r="15143" s="496" customFormat="1" x14ac:dyDescent="0.2"/>
    <row r="15144" s="496" customFormat="1" x14ac:dyDescent="0.2"/>
    <row r="15145" s="496" customFormat="1" x14ac:dyDescent="0.2"/>
    <row r="15146" s="496" customFormat="1" x14ac:dyDescent="0.2"/>
    <row r="15147" s="496" customFormat="1" x14ac:dyDescent="0.2"/>
    <row r="15148" s="496" customFormat="1" x14ac:dyDescent="0.2"/>
    <row r="15149" s="496" customFormat="1" x14ac:dyDescent="0.2"/>
    <row r="15150" s="496" customFormat="1" x14ac:dyDescent="0.2"/>
    <row r="15151" s="496" customFormat="1" x14ac:dyDescent="0.2"/>
    <row r="15152" s="496" customFormat="1" x14ac:dyDescent="0.2"/>
    <row r="15153" s="496" customFormat="1" x14ac:dyDescent="0.2"/>
    <row r="15154" s="496" customFormat="1" x14ac:dyDescent="0.2"/>
    <row r="15155" s="496" customFormat="1" x14ac:dyDescent="0.2"/>
    <row r="15156" s="496" customFormat="1" x14ac:dyDescent="0.2"/>
    <row r="15157" s="496" customFormat="1" x14ac:dyDescent="0.2"/>
    <row r="15158" s="496" customFormat="1" x14ac:dyDescent="0.2"/>
    <row r="15159" s="496" customFormat="1" x14ac:dyDescent="0.2"/>
    <row r="15160" s="496" customFormat="1" x14ac:dyDescent="0.2"/>
    <row r="15161" s="496" customFormat="1" x14ac:dyDescent="0.2"/>
    <row r="15162" s="496" customFormat="1" x14ac:dyDescent="0.2"/>
    <row r="15163" s="496" customFormat="1" x14ac:dyDescent="0.2"/>
    <row r="15164" s="496" customFormat="1" x14ac:dyDescent="0.2"/>
    <row r="15165" s="496" customFormat="1" x14ac:dyDescent="0.2"/>
    <row r="15166" s="496" customFormat="1" x14ac:dyDescent="0.2"/>
    <row r="15167" s="496" customFormat="1" x14ac:dyDescent="0.2"/>
    <row r="15168" s="496" customFormat="1" x14ac:dyDescent="0.2"/>
    <row r="15169" s="496" customFormat="1" x14ac:dyDescent="0.2"/>
    <row r="15170" s="496" customFormat="1" x14ac:dyDescent="0.2"/>
    <row r="15171" s="496" customFormat="1" x14ac:dyDescent="0.2"/>
    <row r="15172" s="496" customFormat="1" x14ac:dyDescent="0.2"/>
    <row r="15173" s="496" customFormat="1" x14ac:dyDescent="0.2"/>
    <row r="15174" s="496" customFormat="1" x14ac:dyDescent="0.2"/>
    <row r="15175" s="496" customFormat="1" x14ac:dyDescent="0.2"/>
    <row r="15176" s="496" customFormat="1" x14ac:dyDescent="0.2"/>
    <row r="15177" s="496" customFormat="1" x14ac:dyDescent="0.2"/>
    <row r="15178" s="496" customFormat="1" x14ac:dyDescent="0.2"/>
    <row r="15179" s="496" customFormat="1" x14ac:dyDescent="0.2"/>
    <row r="15180" s="496" customFormat="1" x14ac:dyDescent="0.2"/>
    <row r="15181" s="496" customFormat="1" x14ac:dyDescent="0.2"/>
    <row r="15182" s="496" customFormat="1" x14ac:dyDescent="0.2"/>
    <row r="15183" s="496" customFormat="1" x14ac:dyDescent="0.2"/>
    <row r="15184" s="496" customFormat="1" x14ac:dyDescent="0.2"/>
    <row r="15185" s="496" customFormat="1" x14ac:dyDescent="0.2"/>
    <row r="15186" s="496" customFormat="1" x14ac:dyDescent="0.2"/>
    <row r="15187" s="496" customFormat="1" x14ac:dyDescent="0.2"/>
    <row r="15188" s="496" customFormat="1" x14ac:dyDescent="0.2"/>
    <row r="15189" s="496" customFormat="1" x14ac:dyDescent="0.2"/>
    <row r="15190" s="496" customFormat="1" x14ac:dyDescent="0.2"/>
    <row r="15191" s="496" customFormat="1" x14ac:dyDescent="0.2"/>
    <row r="15192" s="496" customFormat="1" x14ac:dyDescent="0.2"/>
    <row r="15193" s="496" customFormat="1" x14ac:dyDescent="0.2"/>
    <row r="15194" s="496" customFormat="1" x14ac:dyDescent="0.2"/>
    <row r="15195" s="496" customFormat="1" x14ac:dyDescent="0.2"/>
    <row r="15196" s="496" customFormat="1" x14ac:dyDescent="0.2"/>
    <row r="15197" s="496" customFormat="1" x14ac:dyDescent="0.2"/>
    <row r="15198" s="496" customFormat="1" x14ac:dyDescent="0.2"/>
    <row r="15199" s="496" customFormat="1" x14ac:dyDescent="0.2"/>
    <row r="15200" s="496" customFormat="1" x14ac:dyDescent="0.2"/>
    <row r="15201" s="496" customFormat="1" x14ac:dyDescent="0.2"/>
    <row r="15202" s="496" customFormat="1" x14ac:dyDescent="0.2"/>
    <row r="15203" s="496" customFormat="1" x14ac:dyDescent="0.2"/>
    <row r="15204" s="496" customFormat="1" x14ac:dyDescent="0.2"/>
    <row r="15205" s="496" customFormat="1" x14ac:dyDescent="0.2"/>
    <row r="15206" s="496" customFormat="1" x14ac:dyDescent="0.2"/>
    <row r="15207" s="496" customFormat="1" x14ac:dyDescent="0.2"/>
    <row r="15208" s="496" customFormat="1" x14ac:dyDescent="0.2"/>
    <row r="15209" s="496" customFormat="1" x14ac:dyDescent="0.2"/>
    <row r="15210" s="496" customFormat="1" x14ac:dyDescent="0.2"/>
    <row r="15211" s="496" customFormat="1" x14ac:dyDescent="0.2"/>
    <row r="15212" s="496" customFormat="1" x14ac:dyDescent="0.2"/>
    <row r="15213" s="496" customFormat="1" x14ac:dyDescent="0.2"/>
    <row r="15214" s="496" customFormat="1" x14ac:dyDescent="0.2"/>
    <row r="15215" s="496" customFormat="1" x14ac:dyDescent="0.2"/>
    <row r="15216" s="496" customFormat="1" x14ac:dyDescent="0.2"/>
    <row r="15217" s="496" customFormat="1" x14ac:dyDescent="0.2"/>
    <row r="15218" s="496" customFormat="1" x14ac:dyDescent="0.2"/>
    <row r="15219" s="496" customFormat="1" x14ac:dyDescent="0.2"/>
    <row r="15220" s="496" customFormat="1" x14ac:dyDescent="0.2"/>
    <row r="15221" s="496" customFormat="1" x14ac:dyDescent="0.2"/>
    <row r="15222" s="496" customFormat="1" x14ac:dyDescent="0.2"/>
    <row r="15223" s="496" customFormat="1" x14ac:dyDescent="0.2"/>
    <row r="15224" s="496" customFormat="1" x14ac:dyDescent="0.2"/>
    <row r="15225" s="496" customFormat="1" x14ac:dyDescent="0.2"/>
    <row r="15226" s="496" customFormat="1" x14ac:dyDescent="0.2"/>
    <row r="15227" s="496" customFormat="1" x14ac:dyDescent="0.2"/>
    <row r="15228" s="496" customFormat="1" x14ac:dyDescent="0.2"/>
    <row r="15229" s="496" customFormat="1" x14ac:dyDescent="0.2"/>
    <row r="15230" s="496" customFormat="1" x14ac:dyDescent="0.2"/>
    <row r="15231" s="496" customFormat="1" x14ac:dyDescent="0.2"/>
    <row r="15232" s="496" customFormat="1" x14ac:dyDescent="0.2"/>
    <row r="15233" s="496" customFormat="1" x14ac:dyDescent="0.2"/>
    <row r="15234" s="496" customFormat="1" x14ac:dyDescent="0.2"/>
    <row r="15235" s="496" customFormat="1" x14ac:dyDescent="0.2"/>
    <row r="15236" s="496" customFormat="1" x14ac:dyDescent="0.2"/>
    <row r="15237" s="496" customFormat="1" x14ac:dyDescent="0.2"/>
    <row r="15238" s="496" customFormat="1" x14ac:dyDescent="0.2"/>
    <row r="15239" s="496" customFormat="1" x14ac:dyDescent="0.2"/>
    <row r="15240" s="496" customFormat="1" x14ac:dyDescent="0.2"/>
    <row r="15241" s="496" customFormat="1" x14ac:dyDescent="0.2"/>
    <row r="15242" s="496" customFormat="1" x14ac:dyDescent="0.2"/>
    <row r="15243" s="496" customFormat="1" x14ac:dyDescent="0.2"/>
    <row r="15244" s="496" customFormat="1" x14ac:dyDescent="0.2"/>
    <row r="15245" s="496" customFormat="1" x14ac:dyDescent="0.2"/>
    <row r="15246" s="496" customFormat="1" x14ac:dyDescent="0.2"/>
    <row r="15247" s="496" customFormat="1" x14ac:dyDescent="0.2"/>
    <row r="15248" s="496" customFormat="1" x14ac:dyDescent="0.2"/>
    <row r="15249" s="496" customFormat="1" x14ac:dyDescent="0.2"/>
    <row r="15250" s="496" customFormat="1" x14ac:dyDescent="0.2"/>
    <row r="15251" s="496" customFormat="1" x14ac:dyDescent="0.2"/>
    <row r="15252" s="496" customFormat="1" x14ac:dyDescent="0.2"/>
    <row r="15253" s="496" customFormat="1" x14ac:dyDescent="0.2"/>
    <row r="15254" s="496" customFormat="1" x14ac:dyDescent="0.2"/>
    <row r="15255" s="496" customFormat="1" x14ac:dyDescent="0.2"/>
    <row r="15256" s="496" customFormat="1" x14ac:dyDescent="0.2"/>
    <row r="15257" s="496" customFormat="1" x14ac:dyDescent="0.2"/>
    <row r="15258" s="496" customFormat="1" x14ac:dyDescent="0.2"/>
    <row r="15259" s="496" customFormat="1" x14ac:dyDescent="0.2"/>
    <row r="15260" s="496" customFormat="1" x14ac:dyDescent="0.2"/>
    <row r="15261" s="496" customFormat="1" x14ac:dyDescent="0.2"/>
    <row r="15262" s="496" customFormat="1" x14ac:dyDescent="0.2"/>
    <row r="15263" s="496" customFormat="1" x14ac:dyDescent="0.2"/>
    <row r="15264" s="496" customFormat="1" x14ac:dyDescent="0.2"/>
    <row r="15265" s="496" customFormat="1" x14ac:dyDescent="0.2"/>
    <row r="15266" s="496" customFormat="1" x14ac:dyDescent="0.2"/>
    <row r="15267" s="496" customFormat="1" x14ac:dyDescent="0.2"/>
    <row r="15268" s="496" customFormat="1" x14ac:dyDescent="0.2"/>
    <row r="15269" s="496" customFormat="1" x14ac:dyDescent="0.2"/>
    <row r="15270" s="496" customFormat="1" x14ac:dyDescent="0.2"/>
    <row r="15271" s="496" customFormat="1" x14ac:dyDescent="0.2"/>
    <row r="15272" s="496" customFormat="1" x14ac:dyDescent="0.2"/>
    <row r="15273" s="496" customFormat="1" x14ac:dyDescent="0.2"/>
    <row r="15274" s="496" customFormat="1" x14ac:dyDescent="0.2"/>
    <row r="15275" s="496" customFormat="1" x14ac:dyDescent="0.2"/>
    <row r="15276" s="496" customFormat="1" x14ac:dyDescent="0.2"/>
    <row r="15277" s="496" customFormat="1" x14ac:dyDescent="0.2"/>
    <row r="15278" s="496" customFormat="1" x14ac:dyDescent="0.2"/>
    <row r="15279" s="496" customFormat="1" x14ac:dyDescent="0.2"/>
    <row r="15280" s="496" customFormat="1" x14ac:dyDescent="0.2"/>
    <row r="15281" s="496" customFormat="1" x14ac:dyDescent="0.2"/>
    <row r="15282" s="496" customFormat="1" x14ac:dyDescent="0.2"/>
    <row r="15283" s="496" customFormat="1" x14ac:dyDescent="0.2"/>
    <row r="15284" s="496" customFormat="1" x14ac:dyDescent="0.2"/>
    <row r="15285" s="496" customFormat="1" x14ac:dyDescent="0.2"/>
    <row r="15286" s="496" customFormat="1" x14ac:dyDescent="0.2"/>
    <row r="15287" s="496" customFormat="1" x14ac:dyDescent="0.2"/>
    <row r="15288" s="496" customFormat="1" x14ac:dyDescent="0.2"/>
    <row r="15289" s="496" customFormat="1" x14ac:dyDescent="0.2"/>
    <row r="15290" s="496" customFormat="1" x14ac:dyDescent="0.2"/>
    <row r="15291" s="496" customFormat="1" x14ac:dyDescent="0.2"/>
    <row r="15292" s="496" customFormat="1" x14ac:dyDescent="0.2"/>
    <row r="15293" s="496" customFormat="1" x14ac:dyDescent="0.2"/>
    <row r="15294" s="496" customFormat="1" x14ac:dyDescent="0.2"/>
    <row r="15295" s="496" customFormat="1" x14ac:dyDescent="0.2"/>
    <row r="15296" s="496" customFormat="1" x14ac:dyDescent="0.2"/>
    <row r="15297" s="496" customFormat="1" x14ac:dyDescent="0.2"/>
    <row r="15298" s="496" customFormat="1" x14ac:dyDescent="0.2"/>
    <row r="15299" s="496" customFormat="1" x14ac:dyDescent="0.2"/>
    <row r="15300" s="496" customFormat="1" x14ac:dyDescent="0.2"/>
    <row r="15301" s="496" customFormat="1" x14ac:dyDescent="0.2"/>
    <row r="15302" s="496" customFormat="1" x14ac:dyDescent="0.2"/>
    <row r="15303" s="496" customFormat="1" x14ac:dyDescent="0.2"/>
    <row r="15304" s="496" customFormat="1" x14ac:dyDescent="0.2"/>
    <row r="15305" s="496" customFormat="1" x14ac:dyDescent="0.2"/>
    <row r="15306" s="496" customFormat="1" x14ac:dyDescent="0.2"/>
    <row r="15307" s="496" customFormat="1" x14ac:dyDescent="0.2"/>
    <row r="15308" s="496" customFormat="1" x14ac:dyDescent="0.2"/>
    <row r="15309" s="496" customFormat="1" x14ac:dyDescent="0.2"/>
    <row r="15310" s="496" customFormat="1" x14ac:dyDescent="0.2"/>
    <row r="15311" s="496" customFormat="1" x14ac:dyDescent="0.2"/>
    <row r="15312" s="496" customFormat="1" x14ac:dyDescent="0.2"/>
    <row r="15313" s="496" customFormat="1" x14ac:dyDescent="0.2"/>
    <row r="15314" s="496" customFormat="1" x14ac:dyDescent="0.2"/>
    <row r="15315" s="496" customFormat="1" x14ac:dyDescent="0.2"/>
    <row r="15316" s="496" customFormat="1" x14ac:dyDescent="0.2"/>
    <row r="15317" s="496" customFormat="1" x14ac:dyDescent="0.2"/>
    <row r="15318" s="496" customFormat="1" x14ac:dyDescent="0.2"/>
    <row r="15319" s="496" customFormat="1" x14ac:dyDescent="0.2"/>
    <row r="15320" s="496" customFormat="1" x14ac:dyDescent="0.2"/>
    <row r="15321" s="496" customFormat="1" x14ac:dyDescent="0.2"/>
    <row r="15322" s="496" customFormat="1" x14ac:dyDescent="0.2"/>
    <row r="15323" s="496" customFormat="1" x14ac:dyDescent="0.2"/>
    <row r="15324" s="496" customFormat="1" x14ac:dyDescent="0.2"/>
    <row r="15325" s="496" customFormat="1" x14ac:dyDescent="0.2"/>
    <row r="15326" s="496" customFormat="1" x14ac:dyDescent="0.2"/>
    <row r="15327" s="496" customFormat="1" x14ac:dyDescent="0.2"/>
    <row r="15328" s="496" customFormat="1" x14ac:dyDescent="0.2"/>
    <row r="15329" s="496" customFormat="1" x14ac:dyDescent="0.2"/>
    <row r="15330" s="496" customFormat="1" x14ac:dyDescent="0.2"/>
    <row r="15331" s="496" customFormat="1" x14ac:dyDescent="0.2"/>
    <row r="15332" s="496" customFormat="1" x14ac:dyDescent="0.2"/>
    <row r="15333" s="496" customFormat="1" x14ac:dyDescent="0.2"/>
    <row r="15334" s="496" customFormat="1" x14ac:dyDescent="0.2"/>
    <row r="15335" s="496" customFormat="1" x14ac:dyDescent="0.2"/>
    <row r="15336" s="496" customFormat="1" x14ac:dyDescent="0.2"/>
    <row r="15337" s="496" customFormat="1" x14ac:dyDescent="0.2"/>
    <row r="15338" s="496" customFormat="1" x14ac:dyDescent="0.2"/>
    <row r="15339" s="496" customFormat="1" x14ac:dyDescent="0.2"/>
    <row r="15340" s="496" customFormat="1" x14ac:dyDescent="0.2"/>
    <row r="15341" s="496" customFormat="1" x14ac:dyDescent="0.2"/>
    <row r="15342" s="496" customFormat="1" x14ac:dyDescent="0.2"/>
    <row r="15343" s="496" customFormat="1" x14ac:dyDescent="0.2"/>
    <row r="15344" s="496" customFormat="1" x14ac:dyDescent="0.2"/>
    <row r="15345" s="496" customFormat="1" x14ac:dyDescent="0.2"/>
    <row r="15346" s="496" customFormat="1" x14ac:dyDescent="0.2"/>
    <row r="15347" s="496" customFormat="1" x14ac:dyDescent="0.2"/>
    <row r="15348" s="496" customFormat="1" x14ac:dyDescent="0.2"/>
    <row r="15349" s="496" customFormat="1" x14ac:dyDescent="0.2"/>
    <row r="15350" s="496" customFormat="1" x14ac:dyDescent="0.2"/>
    <row r="15351" s="496" customFormat="1" x14ac:dyDescent="0.2"/>
    <row r="15352" s="496" customFormat="1" x14ac:dyDescent="0.2"/>
    <row r="15353" s="496" customFormat="1" x14ac:dyDescent="0.2"/>
    <row r="15354" s="496" customFormat="1" x14ac:dyDescent="0.2"/>
    <row r="15355" s="496" customFormat="1" x14ac:dyDescent="0.2"/>
    <row r="15356" s="496" customFormat="1" x14ac:dyDescent="0.2"/>
    <row r="15357" s="496" customFormat="1" x14ac:dyDescent="0.2"/>
    <row r="15358" s="496" customFormat="1" x14ac:dyDescent="0.2"/>
    <row r="15359" s="496" customFormat="1" x14ac:dyDescent="0.2"/>
    <row r="15360" s="496" customFormat="1" x14ac:dyDescent="0.2"/>
    <row r="15361" s="496" customFormat="1" x14ac:dyDescent="0.2"/>
    <row r="15362" s="496" customFormat="1" x14ac:dyDescent="0.2"/>
    <row r="15363" s="496" customFormat="1" x14ac:dyDescent="0.2"/>
    <row r="15364" s="496" customFormat="1" x14ac:dyDescent="0.2"/>
    <row r="15365" s="496" customFormat="1" x14ac:dyDescent="0.2"/>
    <row r="15366" s="496" customFormat="1" x14ac:dyDescent="0.2"/>
    <row r="15367" s="496" customFormat="1" x14ac:dyDescent="0.2"/>
    <row r="15368" s="496" customFormat="1" x14ac:dyDescent="0.2"/>
    <row r="15369" s="496" customFormat="1" x14ac:dyDescent="0.2"/>
    <row r="15370" s="496" customFormat="1" x14ac:dyDescent="0.2"/>
    <row r="15371" s="496" customFormat="1" x14ac:dyDescent="0.2"/>
    <row r="15372" s="496" customFormat="1" x14ac:dyDescent="0.2"/>
    <row r="15373" s="496" customFormat="1" x14ac:dyDescent="0.2"/>
    <row r="15374" s="496" customFormat="1" x14ac:dyDescent="0.2"/>
    <row r="15375" s="496" customFormat="1" x14ac:dyDescent="0.2"/>
    <row r="15376" s="496" customFormat="1" x14ac:dyDescent="0.2"/>
    <row r="15377" s="496" customFormat="1" x14ac:dyDescent="0.2"/>
    <row r="15378" s="496" customFormat="1" x14ac:dyDescent="0.2"/>
    <row r="15379" s="496" customFormat="1" x14ac:dyDescent="0.2"/>
    <row r="15380" s="496" customFormat="1" x14ac:dyDescent="0.2"/>
    <row r="15381" s="496" customFormat="1" x14ac:dyDescent="0.2"/>
    <row r="15382" s="496" customFormat="1" x14ac:dyDescent="0.2"/>
    <row r="15383" s="496" customFormat="1" x14ac:dyDescent="0.2"/>
    <row r="15384" s="496" customFormat="1" x14ac:dyDescent="0.2"/>
    <row r="15385" s="496" customFormat="1" x14ac:dyDescent="0.2"/>
    <row r="15386" s="496" customFormat="1" x14ac:dyDescent="0.2"/>
    <row r="15387" s="496" customFormat="1" x14ac:dyDescent="0.2"/>
    <row r="15388" s="496" customFormat="1" x14ac:dyDescent="0.2"/>
    <row r="15389" s="496" customFormat="1" x14ac:dyDescent="0.2"/>
    <row r="15390" s="496" customFormat="1" x14ac:dyDescent="0.2"/>
    <row r="15391" s="496" customFormat="1" x14ac:dyDescent="0.2"/>
    <row r="15392" s="496" customFormat="1" x14ac:dyDescent="0.2"/>
    <row r="15393" s="496" customFormat="1" x14ac:dyDescent="0.2"/>
    <row r="15394" s="496" customFormat="1" x14ac:dyDescent="0.2"/>
    <row r="15395" s="496" customFormat="1" x14ac:dyDescent="0.2"/>
    <row r="15396" s="496" customFormat="1" x14ac:dyDescent="0.2"/>
    <row r="15397" s="496" customFormat="1" x14ac:dyDescent="0.2"/>
    <row r="15398" s="496" customFormat="1" x14ac:dyDescent="0.2"/>
    <row r="15399" s="496" customFormat="1" x14ac:dyDescent="0.2"/>
    <row r="15400" s="496" customFormat="1" x14ac:dyDescent="0.2"/>
    <row r="15401" s="496" customFormat="1" x14ac:dyDescent="0.2"/>
    <row r="15402" s="496" customFormat="1" x14ac:dyDescent="0.2"/>
    <row r="15403" s="496" customFormat="1" x14ac:dyDescent="0.2"/>
    <row r="15404" s="496" customFormat="1" x14ac:dyDescent="0.2"/>
    <row r="15405" s="496" customFormat="1" x14ac:dyDescent="0.2"/>
    <row r="15406" s="496" customFormat="1" x14ac:dyDescent="0.2"/>
    <row r="15407" s="496" customFormat="1" x14ac:dyDescent="0.2"/>
    <row r="15408" s="496" customFormat="1" x14ac:dyDescent="0.2"/>
    <row r="15409" s="496" customFormat="1" x14ac:dyDescent="0.2"/>
    <row r="15410" s="496" customFormat="1" x14ac:dyDescent="0.2"/>
    <row r="15411" s="496" customFormat="1" x14ac:dyDescent="0.2"/>
    <row r="15412" s="496" customFormat="1" x14ac:dyDescent="0.2"/>
    <row r="15413" s="496" customFormat="1" x14ac:dyDescent="0.2"/>
    <row r="15414" s="496" customFormat="1" x14ac:dyDescent="0.2"/>
    <row r="15415" s="496" customFormat="1" x14ac:dyDescent="0.2"/>
    <row r="15416" s="496" customFormat="1" x14ac:dyDescent="0.2"/>
    <row r="15417" s="496" customFormat="1" x14ac:dyDescent="0.2"/>
    <row r="15418" s="496" customFormat="1" x14ac:dyDescent="0.2"/>
    <row r="15419" s="496" customFormat="1" x14ac:dyDescent="0.2"/>
    <row r="15420" s="496" customFormat="1" x14ac:dyDescent="0.2"/>
    <row r="15421" s="496" customFormat="1" x14ac:dyDescent="0.2"/>
    <row r="15422" s="496" customFormat="1" x14ac:dyDescent="0.2"/>
    <row r="15423" s="496" customFormat="1" x14ac:dyDescent="0.2"/>
    <row r="15424" s="496" customFormat="1" x14ac:dyDescent="0.2"/>
    <row r="15425" s="496" customFormat="1" x14ac:dyDescent="0.2"/>
    <row r="15426" s="496" customFormat="1" x14ac:dyDescent="0.2"/>
    <row r="15427" s="496" customFormat="1" x14ac:dyDescent="0.2"/>
    <row r="15428" s="496" customFormat="1" x14ac:dyDescent="0.2"/>
    <row r="15429" s="496" customFormat="1" x14ac:dyDescent="0.2"/>
    <row r="15430" s="496" customFormat="1" x14ac:dyDescent="0.2"/>
    <row r="15431" s="496" customFormat="1" x14ac:dyDescent="0.2"/>
    <row r="15432" s="496" customFormat="1" x14ac:dyDescent="0.2"/>
    <row r="15433" s="496" customFormat="1" x14ac:dyDescent="0.2"/>
    <row r="15434" s="496" customFormat="1" x14ac:dyDescent="0.2"/>
    <row r="15435" s="496" customFormat="1" x14ac:dyDescent="0.2"/>
    <row r="15436" s="496" customFormat="1" x14ac:dyDescent="0.2"/>
    <row r="15437" s="496" customFormat="1" x14ac:dyDescent="0.2"/>
    <row r="15438" s="496" customFormat="1" x14ac:dyDescent="0.2"/>
    <row r="15439" s="496" customFormat="1" x14ac:dyDescent="0.2"/>
    <row r="15440" s="496" customFormat="1" x14ac:dyDescent="0.2"/>
    <row r="15441" s="496" customFormat="1" x14ac:dyDescent="0.2"/>
    <row r="15442" s="496" customFormat="1" x14ac:dyDescent="0.2"/>
    <row r="15443" s="496" customFormat="1" x14ac:dyDescent="0.2"/>
    <row r="15444" s="496" customFormat="1" x14ac:dyDescent="0.2"/>
    <row r="15445" s="496" customFormat="1" x14ac:dyDescent="0.2"/>
    <row r="15446" s="496" customFormat="1" x14ac:dyDescent="0.2"/>
    <row r="15447" s="496" customFormat="1" x14ac:dyDescent="0.2"/>
    <row r="15448" s="496" customFormat="1" x14ac:dyDescent="0.2"/>
    <row r="15449" s="496" customFormat="1" x14ac:dyDescent="0.2"/>
    <row r="15450" s="496" customFormat="1" x14ac:dyDescent="0.2"/>
    <row r="15451" s="496" customFormat="1" x14ac:dyDescent="0.2"/>
    <row r="15452" s="496" customFormat="1" x14ac:dyDescent="0.2"/>
    <row r="15453" s="496" customFormat="1" x14ac:dyDescent="0.2"/>
    <row r="15454" s="496" customFormat="1" x14ac:dyDescent="0.2"/>
    <row r="15455" s="496" customFormat="1" x14ac:dyDescent="0.2"/>
    <row r="15456" s="496" customFormat="1" x14ac:dyDescent="0.2"/>
    <row r="15457" s="496" customFormat="1" x14ac:dyDescent="0.2"/>
    <row r="15458" s="496" customFormat="1" x14ac:dyDescent="0.2"/>
    <row r="15459" s="496" customFormat="1" x14ac:dyDescent="0.2"/>
    <row r="15460" s="496" customFormat="1" x14ac:dyDescent="0.2"/>
    <row r="15461" s="496" customFormat="1" x14ac:dyDescent="0.2"/>
    <row r="15462" s="496" customFormat="1" x14ac:dyDescent="0.2"/>
    <row r="15463" s="496" customFormat="1" x14ac:dyDescent="0.2"/>
    <row r="15464" s="496" customFormat="1" x14ac:dyDescent="0.2"/>
    <row r="15465" s="496" customFormat="1" x14ac:dyDescent="0.2"/>
    <row r="15466" s="496" customFormat="1" x14ac:dyDescent="0.2"/>
    <row r="15467" s="496" customFormat="1" x14ac:dyDescent="0.2"/>
    <row r="15468" s="496" customFormat="1" x14ac:dyDescent="0.2"/>
    <row r="15469" s="496" customFormat="1" x14ac:dyDescent="0.2"/>
    <row r="15470" s="496" customFormat="1" x14ac:dyDescent="0.2"/>
    <row r="15471" s="496" customFormat="1" x14ac:dyDescent="0.2"/>
    <row r="15472" s="496" customFormat="1" x14ac:dyDescent="0.2"/>
    <row r="15473" s="496" customFormat="1" x14ac:dyDescent="0.2"/>
    <row r="15474" s="496" customFormat="1" x14ac:dyDescent="0.2"/>
    <row r="15475" s="496" customFormat="1" x14ac:dyDescent="0.2"/>
    <row r="15476" s="496" customFormat="1" x14ac:dyDescent="0.2"/>
    <row r="15477" s="496" customFormat="1" x14ac:dyDescent="0.2"/>
    <row r="15478" s="496" customFormat="1" x14ac:dyDescent="0.2"/>
    <row r="15479" s="496" customFormat="1" x14ac:dyDescent="0.2"/>
    <row r="15480" s="496" customFormat="1" x14ac:dyDescent="0.2"/>
    <row r="15481" s="496" customFormat="1" x14ac:dyDescent="0.2"/>
    <row r="15482" s="496" customFormat="1" x14ac:dyDescent="0.2"/>
    <row r="15483" s="496" customFormat="1" x14ac:dyDescent="0.2"/>
    <row r="15484" s="496" customFormat="1" x14ac:dyDescent="0.2"/>
    <row r="15485" s="496" customFormat="1" x14ac:dyDescent="0.2"/>
    <row r="15486" s="496" customFormat="1" x14ac:dyDescent="0.2"/>
    <row r="15487" s="496" customFormat="1" x14ac:dyDescent="0.2"/>
    <row r="15488" s="496" customFormat="1" x14ac:dyDescent="0.2"/>
    <row r="15489" s="496" customFormat="1" x14ac:dyDescent="0.2"/>
    <row r="15490" s="496" customFormat="1" x14ac:dyDescent="0.2"/>
    <row r="15491" s="496" customFormat="1" x14ac:dyDescent="0.2"/>
    <row r="15492" s="496" customFormat="1" x14ac:dyDescent="0.2"/>
    <row r="15493" s="496" customFormat="1" x14ac:dyDescent="0.2"/>
    <row r="15494" s="496" customFormat="1" x14ac:dyDescent="0.2"/>
    <row r="15495" s="496" customFormat="1" x14ac:dyDescent="0.2"/>
    <row r="15496" s="496" customFormat="1" x14ac:dyDescent="0.2"/>
    <row r="15497" s="496" customFormat="1" x14ac:dyDescent="0.2"/>
    <row r="15498" s="496" customFormat="1" x14ac:dyDescent="0.2"/>
    <row r="15499" s="496" customFormat="1" x14ac:dyDescent="0.2"/>
    <row r="15500" s="496" customFormat="1" x14ac:dyDescent="0.2"/>
    <row r="15501" s="496" customFormat="1" x14ac:dyDescent="0.2"/>
    <row r="15502" s="496" customFormat="1" x14ac:dyDescent="0.2"/>
    <row r="15503" s="496" customFormat="1" x14ac:dyDescent="0.2"/>
    <row r="15504" s="496" customFormat="1" x14ac:dyDescent="0.2"/>
    <row r="15505" s="496" customFormat="1" x14ac:dyDescent="0.2"/>
    <row r="15506" s="496" customFormat="1" x14ac:dyDescent="0.2"/>
    <row r="15507" s="496" customFormat="1" x14ac:dyDescent="0.2"/>
    <row r="15508" s="496" customFormat="1" x14ac:dyDescent="0.2"/>
    <row r="15509" s="496" customFormat="1" x14ac:dyDescent="0.2"/>
    <row r="15510" s="496" customFormat="1" x14ac:dyDescent="0.2"/>
    <row r="15511" s="496" customFormat="1" x14ac:dyDescent="0.2"/>
    <row r="15512" s="496" customFormat="1" x14ac:dyDescent="0.2"/>
    <row r="15513" s="496" customFormat="1" x14ac:dyDescent="0.2"/>
    <row r="15514" s="496" customFormat="1" x14ac:dyDescent="0.2"/>
    <row r="15515" s="496" customFormat="1" x14ac:dyDescent="0.2"/>
    <row r="15516" s="496" customFormat="1" x14ac:dyDescent="0.2"/>
    <row r="15517" s="496" customFormat="1" x14ac:dyDescent="0.2"/>
    <row r="15518" s="496" customFormat="1" x14ac:dyDescent="0.2"/>
    <row r="15519" s="496" customFormat="1" x14ac:dyDescent="0.2"/>
    <row r="15520" s="496" customFormat="1" x14ac:dyDescent="0.2"/>
    <row r="15521" s="496" customFormat="1" x14ac:dyDescent="0.2"/>
    <row r="15522" s="496" customFormat="1" x14ac:dyDescent="0.2"/>
    <row r="15523" s="496" customFormat="1" x14ac:dyDescent="0.2"/>
    <row r="15524" s="496" customFormat="1" x14ac:dyDescent="0.2"/>
    <row r="15525" s="496" customFormat="1" x14ac:dyDescent="0.2"/>
    <row r="15526" s="496" customFormat="1" x14ac:dyDescent="0.2"/>
    <row r="15527" s="496" customFormat="1" x14ac:dyDescent="0.2"/>
    <row r="15528" s="496" customFormat="1" x14ac:dyDescent="0.2"/>
    <row r="15529" s="496" customFormat="1" x14ac:dyDescent="0.2"/>
    <row r="15530" s="496" customFormat="1" x14ac:dyDescent="0.2"/>
    <row r="15531" s="496" customFormat="1" x14ac:dyDescent="0.2"/>
    <row r="15532" s="496" customFormat="1" x14ac:dyDescent="0.2"/>
    <row r="15533" s="496" customFormat="1" x14ac:dyDescent="0.2"/>
    <row r="15534" s="496" customFormat="1" x14ac:dyDescent="0.2"/>
    <row r="15535" s="496" customFormat="1" x14ac:dyDescent="0.2"/>
    <row r="15536" s="496" customFormat="1" x14ac:dyDescent="0.2"/>
    <row r="15537" s="496" customFormat="1" x14ac:dyDescent="0.2"/>
    <row r="15538" s="496" customFormat="1" x14ac:dyDescent="0.2"/>
    <row r="15539" s="496" customFormat="1" x14ac:dyDescent="0.2"/>
    <row r="15540" s="496" customFormat="1" x14ac:dyDescent="0.2"/>
    <row r="15541" s="496" customFormat="1" x14ac:dyDescent="0.2"/>
    <row r="15542" s="496" customFormat="1" x14ac:dyDescent="0.2"/>
    <row r="15543" s="496" customFormat="1" x14ac:dyDescent="0.2"/>
    <row r="15544" s="496" customFormat="1" x14ac:dyDescent="0.2"/>
    <row r="15545" s="496" customFormat="1" x14ac:dyDescent="0.2"/>
    <row r="15546" s="496" customFormat="1" x14ac:dyDescent="0.2"/>
    <row r="15547" s="496" customFormat="1" x14ac:dyDescent="0.2"/>
    <row r="15548" s="496" customFormat="1" x14ac:dyDescent="0.2"/>
    <row r="15549" s="496" customFormat="1" x14ac:dyDescent="0.2"/>
    <row r="15550" s="496" customFormat="1" x14ac:dyDescent="0.2"/>
    <row r="15551" s="496" customFormat="1" x14ac:dyDescent="0.2"/>
    <row r="15552" s="496" customFormat="1" x14ac:dyDescent="0.2"/>
    <row r="15553" s="496" customFormat="1" x14ac:dyDescent="0.2"/>
    <row r="15554" s="496" customFormat="1" x14ac:dyDescent="0.2"/>
    <row r="15555" s="496" customFormat="1" x14ac:dyDescent="0.2"/>
    <row r="15556" s="496" customFormat="1" x14ac:dyDescent="0.2"/>
    <row r="15557" s="496" customFormat="1" x14ac:dyDescent="0.2"/>
    <row r="15558" s="496" customFormat="1" x14ac:dyDescent="0.2"/>
    <row r="15559" s="496" customFormat="1" x14ac:dyDescent="0.2"/>
    <row r="15560" s="496" customFormat="1" x14ac:dyDescent="0.2"/>
    <row r="15561" s="496" customFormat="1" x14ac:dyDescent="0.2"/>
    <row r="15562" s="496" customFormat="1" x14ac:dyDescent="0.2"/>
    <row r="15563" s="496" customFormat="1" x14ac:dyDescent="0.2"/>
    <row r="15564" s="496" customFormat="1" x14ac:dyDescent="0.2"/>
    <row r="15565" s="496" customFormat="1" x14ac:dyDescent="0.2"/>
    <row r="15566" s="496" customFormat="1" x14ac:dyDescent="0.2"/>
    <row r="15567" s="496" customFormat="1" x14ac:dyDescent="0.2"/>
    <row r="15568" s="496" customFormat="1" x14ac:dyDescent="0.2"/>
    <row r="15569" s="496" customFormat="1" x14ac:dyDescent="0.2"/>
    <row r="15570" s="496" customFormat="1" x14ac:dyDescent="0.2"/>
    <row r="15571" s="496" customFormat="1" x14ac:dyDescent="0.2"/>
    <row r="15572" s="496" customFormat="1" x14ac:dyDescent="0.2"/>
    <row r="15573" s="496" customFormat="1" x14ac:dyDescent="0.2"/>
    <row r="15574" s="496" customFormat="1" x14ac:dyDescent="0.2"/>
    <row r="15575" s="496" customFormat="1" x14ac:dyDescent="0.2"/>
    <row r="15576" s="496" customFormat="1" x14ac:dyDescent="0.2"/>
    <row r="15577" s="496" customFormat="1" x14ac:dyDescent="0.2"/>
    <row r="15578" s="496" customFormat="1" x14ac:dyDescent="0.2"/>
    <row r="15579" s="496" customFormat="1" x14ac:dyDescent="0.2"/>
    <row r="15580" s="496" customFormat="1" x14ac:dyDescent="0.2"/>
    <row r="15581" s="496" customFormat="1" x14ac:dyDescent="0.2"/>
    <row r="15582" s="496" customFormat="1" x14ac:dyDescent="0.2"/>
    <row r="15583" s="496" customFormat="1" x14ac:dyDescent="0.2"/>
    <row r="15584" s="496" customFormat="1" x14ac:dyDescent="0.2"/>
    <row r="15585" s="496" customFormat="1" x14ac:dyDescent="0.2"/>
    <row r="15586" s="496" customFormat="1" x14ac:dyDescent="0.2"/>
    <row r="15587" s="496" customFormat="1" x14ac:dyDescent="0.2"/>
    <row r="15588" s="496" customFormat="1" x14ac:dyDescent="0.2"/>
    <row r="15589" s="496" customFormat="1" x14ac:dyDescent="0.2"/>
    <row r="15590" s="496" customFormat="1" x14ac:dyDescent="0.2"/>
    <row r="15591" s="496" customFormat="1" x14ac:dyDescent="0.2"/>
    <row r="15592" s="496" customFormat="1" x14ac:dyDescent="0.2"/>
    <row r="15593" s="496" customFormat="1" x14ac:dyDescent="0.2"/>
    <row r="15594" s="496" customFormat="1" x14ac:dyDescent="0.2"/>
    <row r="15595" s="496" customFormat="1" x14ac:dyDescent="0.2"/>
    <row r="15596" s="496" customFormat="1" x14ac:dyDescent="0.2"/>
    <row r="15597" s="496" customFormat="1" x14ac:dyDescent="0.2"/>
    <row r="15598" s="496" customFormat="1" x14ac:dyDescent="0.2"/>
    <row r="15599" s="496" customFormat="1" x14ac:dyDescent="0.2"/>
    <row r="15600" s="496" customFormat="1" x14ac:dyDescent="0.2"/>
    <row r="15601" s="496" customFormat="1" x14ac:dyDescent="0.2"/>
    <row r="15602" s="496" customFormat="1" x14ac:dyDescent="0.2"/>
    <row r="15603" s="496" customFormat="1" x14ac:dyDescent="0.2"/>
    <row r="15604" s="496" customFormat="1" x14ac:dyDescent="0.2"/>
    <row r="15605" s="496" customFormat="1" x14ac:dyDescent="0.2"/>
    <row r="15606" s="496" customFormat="1" x14ac:dyDescent="0.2"/>
    <row r="15607" s="496" customFormat="1" x14ac:dyDescent="0.2"/>
    <row r="15608" s="496" customFormat="1" x14ac:dyDescent="0.2"/>
    <row r="15609" s="496" customFormat="1" x14ac:dyDescent="0.2"/>
    <row r="15610" s="496" customFormat="1" x14ac:dyDescent="0.2"/>
    <row r="15611" s="496" customFormat="1" x14ac:dyDescent="0.2"/>
    <row r="15612" s="496" customFormat="1" x14ac:dyDescent="0.2"/>
    <row r="15613" s="496" customFormat="1" x14ac:dyDescent="0.2"/>
    <row r="15614" s="496" customFormat="1" x14ac:dyDescent="0.2"/>
    <row r="15615" s="496" customFormat="1" x14ac:dyDescent="0.2"/>
    <row r="15616" s="496" customFormat="1" x14ac:dyDescent="0.2"/>
    <row r="15617" s="496" customFormat="1" x14ac:dyDescent="0.2"/>
    <row r="15618" s="496" customFormat="1" x14ac:dyDescent="0.2"/>
    <row r="15619" s="496" customFormat="1" x14ac:dyDescent="0.2"/>
    <row r="15620" s="496" customFormat="1" x14ac:dyDescent="0.2"/>
    <row r="15621" s="496" customFormat="1" x14ac:dyDescent="0.2"/>
    <row r="15622" s="496" customFormat="1" x14ac:dyDescent="0.2"/>
    <row r="15623" s="496" customFormat="1" x14ac:dyDescent="0.2"/>
    <row r="15624" s="496" customFormat="1" x14ac:dyDescent="0.2"/>
    <row r="15625" s="496" customFormat="1" x14ac:dyDescent="0.2"/>
    <row r="15626" s="496" customFormat="1" x14ac:dyDescent="0.2"/>
    <row r="15627" s="496" customFormat="1" x14ac:dyDescent="0.2"/>
    <row r="15628" s="496" customFormat="1" x14ac:dyDescent="0.2"/>
    <row r="15629" s="496" customFormat="1" x14ac:dyDescent="0.2"/>
    <row r="15630" s="496" customFormat="1" x14ac:dyDescent="0.2"/>
    <row r="15631" s="496" customFormat="1" x14ac:dyDescent="0.2"/>
    <row r="15632" s="496" customFormat="1" x14ac:dyDescent="0.2"/>
    <row r="15633" s="496" customFormat="1" x14ac:dyDescent="0.2"/>
    <row r="15634" s="496" customFormat="1" x14ac:dyDescent="0.2"/>
    <row r="15635" s="496" customFormat="1" x14ac:dyDescent="0.2"/>
    <row r="15636" s="496" customFormat="1" x14ac:dyDescent="0.2"/>
    <row r="15637" s="496" customFormat="1" x14ac:dyDescent="0.2"/>
    <row r="15638" s="496" customFormat="1" x14ac:dyDescent="0.2"/>
    <row r="15639" s="496" customFormat="1" x14ac:dyDescent="0.2"/>
    <row r="15640" s="496" customFormat="1" x14ac:dyDescent="0.2"/>
    <row r="15641" s="496" customFormat="1" x14ac:dyDescent="0.2"/>
    <row r="15642" s="496" customFormat="1" x14ac:dyDescent="0.2"/>
    <row r="15643" s="496" customFormat="1" x14ac:dyDescent="0.2"/>
    <row r="15644" s="496" customFormat="1" x14ac:dyDescent="0.2"/>
    <row r="15645" s="496" customFormat="1" x14ac:dyDescent="0.2"/>
    <row r="15646" s="496" customFormat="1" x14ac:dyDescent="0.2"/>
    <row r="15647" s="496" customFormat="1" x14ac:dyDescent="0.2"/>
    <row r="15648" s="496" customFormat="1" x14ac:dyDescent="0.2"/>
    <row r="15649" s="496" customFormat="1" x14ac:dyDescent="0.2"/>
    <row r="15650" s="496" customFormat="1" x14ac:dyDescent="0.2"/>
    <row r="15651" s="496" customFormat="1" x14ac:dyDescent="0.2"/>
    <row r="15652" s="496" customFormat="1" x14ac:dyDescent="0.2"/>
    <row r="15653" s="496" customFormat="1" x14ac:dyDescent="0.2"/>
    <row r="15654" s="496" customFormat="1" x14ac:dyDescent="0.2"/>
    <row r="15655" s="496" customFormat="1" x14ac:dyDescent="0.2"/>
    <row r="15656" s="496" customFormat="1" x14ac:dyDescent="0.2"/>
    <row r="15657" s="496" customFormat="1" x14ac:dyDescent="0.2"/>
    <row r="15658" s="496" customFormat="1" x14ac:dyDescent="0.2"/>
    <row r="15659" s="496" customFormat="1" x14ac:dyDescent="0.2"/>
    <row r="15660" s="496" customFormat="1" x14ac:dyDescent="0.2"/>
    <row r="15661" s="496" customFormat="1" x14ac:dyDescent="0.2"/>
    <row r="15662" s="496" customFormat="1" x14ac:dyDescent="0.2"/>
    <row r="15663" s="496" customFormat="1" x14ac:dyDescent="0.2"/>
    <row r="15664" s="496" customFormat="1" x14ac:dyDescent="0.2"/>
    <row r="15665" s="496" customFormat="1" x14ac:dyDescent="0.2"/>
    <row r="15666" s="496" customFormat="1" x14ac:dyDescent="0.2"/>
    <row r="15667" s="496" customFormat="1" x14ac:dyDescent="0.2"/>
    <row r="15668" s="496" customFormat="1" x14ac:dyDescent="0.2"/>
    <row r="15669" s="496" customFormat="1" x14ac:dyDescent="0.2"/>
    <row r="15670" s="496" customFormat="1" x14ac:dyDescent="0.2"/>
    <row r="15671" s="496" customFormat="1" x14ac:dyDescent="0.2"/>
    <row r="15672" s="496" customFormat="1" x14ac:dyDescent="0.2"/>
    <row r="15673" s="496" customFormat="1" x14ac:dyDescent="0.2"/>
    <row r="15674" s="496" customFormat="1" x14ac:dyDescent="0.2"/>
    <row r="15675" s="496" customFormat="1" x14ac:dyDescent="0.2"/>
    <row r="15676" s="496" customFormat="1" x14ac:dyDescent="0.2"/>
    <row r="15677" s="496" customFormat="1" x14ac:dyDescent="0.2"/>
    <row r="15678" s="496" customFormat="1" x14ac:dyDescent="0.2"/>
    <row r="15679" s="496" customFormat="1" x14ac:dyDescent="0.2"/>
    <row r="15680" s="496" customFormat="1" x14ac:dyDescent="0.2"/>
    <row r="15681" s="496" customFormat="1" x14ac:dyDescent="0.2"/>
    <row r="15682" s="496" customFormat="1" x14ac:dyDescent="0.2"/>
    <row r="15683" s="496" customFormat="1" x14ac:dyDescent="0.2"/>
    <row r="15684" s="496" customFormat="1" x14ac:dyDescent="0.2"/>
    <row r="15685" s="496" customFormat="1" x14ac:dyDescent="0.2"/>
    <row r="15686" s="496" customFormat="1" x14ac:dyDescent="0.2"/>
    <row r="15687" s="496" customFormat="1" x14ac:dyDescent="0.2"/>
    <row r="15688" s="496" customFormat="1" x14ac:dyDescent="0.2"/>
    <row r="15689" s="496" customFormat="1" x14ac:dyDescent="0.2"/>
    <row r="15690" s="496" customFormat="1" x14ac:dyDescent="0.2"/>
    <row r="15691" s="496" customFormat="1" x14ac:dyDescent="0.2"/>
    <row r="15692" s="496" customFormat="1" x14ac:dyDescent="0.2"/>
    <row r="15693" s="496" customFormat="1" x14ac:dyDescent="0.2"/>
    <row r="15694" s="496" customFormat="1" x14ac:dyDescent="0.2"/>
    <row r="15695" s="496" customFormat="1" x14ac:dyDescent="0.2"/>
    <row r="15696" s="496" customFormat="1" x14ac:dyDescent="0.2"/>
    <row r="15697" s="496" customFormat="1" x14ac:dyDescent="0.2"/>
    <row r="15698" s="496" customFormat="1" x14ac:dyDescent="0.2"/>
    <row r="15699" s="496" customFormat="1" x14ac:dyDescent="0.2"/>
    <row r="15700" s="496" customFormat="1" x14ac:dyDescent="0.2"/>
    <row r="15701" s="496" customFormat="1" x14ac:dyDescent="0.2"/>
    <row r="15702" s="496" customFormat="1" x14ac:dyDescent="0.2"/>
    <row r="15703" s="496" customFormat="1" x14ac:dyDescent="0.2"/>
    <row r="15704" s="496" customFormat="1" x14ac:dyDescent="0.2"/>
    <row r="15705" s="496" customFormat="1" x14ac:dyDescent="0.2"/>
    <row r="15706" s="496" customFormat="1" x14ac:dyDescent="0.2"/>
    <row r="15707" s="496" customFormat="1" x14ac:dyDescent="0.2"/>
    <row r="15708" s="496" customFormat="1" x14ac:dyDescent="0.2"/>
    <row r="15709" s="496" customFormat="1" x14ac:dyDescent="0.2"/>
    <row r="15710" s="496" customFormat="1" x14ac:dyDescent="0.2"/>
    <row r="15711" s="496" customFormat="1" x14ac:dyDescent="0.2"/>
    <row r="15712" s="496" customFormat="1" x14ac:dyDescent="0.2"/>
    <row r="15713" s="496" customFormat="1" x14ac:dyDescent="0.2"/>
    <row r="15714" s="496" customFormat="1" x14ac:dyDescent="0.2"/>
    <row r="15715" s="496" customFormat="1" x14ac:dyDescent="0.2"/>
    <row r="15716" s="496" customFormat="1" x14ac:dyDescent="0.2"/>
    <row r="15717" s="496" customFormat="1" x14ac:dyDescent="0.2"/>
    <row r="15718" s="496" customFormat="1" x14ac:dyDescent="0.2"/>
    <row r="15719" s="496" customFormat="1" x14ac:dyDescent="0.2"/>
    <row r="15720" s="496" customFormat="1" x14ac:dyDescent="0.2"/>
    <row r="15721" s="496" customFormat="1" x14ac:dyDescent="0.2"/>
    <row r="15722" s="496" customFormat="1" x14ac:dyDescent="0.2"/>
    <row r="15723" s="496" customFormat="1" x14ac:dyDescent="0.2"/>
    <row r="15724" s="496" customFormat="1" x14ac:dyDescent="0.2"/>
    <row r="15725" s="496" customFormat="1" x14ac:dyDescent="0.2"/>
    <row r="15726" s="496" customFormat="1" x14ac:dyDescent="0.2"/>
    <row r="15727" s="496" customFormat="1" x14ac:dyDescent="0.2"/>
    <row r="15728" s="496" customFormat="1" x14ac:dyDescent="0.2"/>
    <row r="15729" s="496" customFormat="1" x14ac:dyDescent="0.2"/>
    <row r="15730" s="496" customFormat="1" x14ac:dyDescent="0.2"/>
    <row r="15731" s="496" customFormat="1" x14ac:dyDescent="0.2"/>
    <row r="15732" s="496" customFormat="1" x14ac:dyDescent="0.2"/>
    <row r="15733" s="496" customFormat="1" x14ac:dyDescent="0.2"/>
    <row r="15734" s="496" customFormat="1" x14ac:dyDescent="0.2"/>
    <row r="15735" s="496" customFormat="1" x14ac:dyDescent="0.2"/>
    <row r="15736" s="496" customFormat="1" x14ac:dyDescent="0.2"/>
    <row r="15737" s="496" customFormat="1" x14ac:dyDescent="0.2"/>
    <row r="15738" s="496" customFormat="1" x14ac:dyDescent="0.2"/>
    <row r="15739" s="496" customFormat="1" x14ac:dyDescent="0.2"/>
    <row r="15740" s="496" customFormat="1" x14ac:dyDescent="0.2"/>
    <row r="15741" s="496" customFormat="1" x14ac:dyDescent="0.2"/>
    <row r="15742" s="496" customFormat="1" x14ac:dyDescent="0.2"/>
    <row r="15743" s="496" customFormat="1" x14ac:dyDescent="0.2"/>
    <row r="15744" s="496" customFormat="1" x14ac:dyDescent="0.2"/>
    <row r="15745" s="496" customFormat="1" x14ac:dyDescent="0.2"/>
    <row r="15746" s="496" customFormat="1" x14ac:dyDescent="0.2"/>
    <row r="15747" s="496" customFormat="1" x14ac:dyDescent="0.2"/>
    <row r="15748" s="496" customFormat="1" x14ac:dyDescent="0.2"/>
    <row r="15749" s="496" customFormat="1" x14ac:dyDescent="0.2"/>
    <row r="15750" s="496" customFormat="1" x14ac:dyDescent="0.2"/>
    <row r="15751" s="496" customFormat="1" x14ac:dyDescent="0.2"/>
    <row r="15752" s="496" customFormat="1" x14ac:dyDescent="0.2"/>
    <row r="15753" s="496" customFormat="1" x14ac:dyDescent="0.2"/>
    <row r="15754" s="496" customFormat="1" x14ac:dyDescent="0.2"/>
    <row r="15755" s="496" customFormat="1" x14ac:dyDescent="0.2"/>
    <row r="15756" s="496" customFormat="1" x14ac:dyDescent="0.2"/>
    <row r="15757" s="496" customFormat="1" x14ac:dyDescent="0.2"/>
    <row r="15758" s="496" customFormat="1" x14ac:dyDescent="0.2"/>
    <row r="15759" s="496" customFormat="1" x14ac:dyDescent="0.2"/>
    <row r="15760" s="496" customFormat="1" x14ac:dyDescent="0.2"/>
    <row r="15761" s="496" customFormat="1" x14ac:dyDescent="0.2"/>
    <row r="15762" s="496" customFormat="1" x14ac:dyDescent="0.2"/>
    <row r="15763" s="496" customFormat="1" x14ac:dyDescent="0.2"/>
    <row r="15764" s="496" customFormat="1" x14ac:dyDescent="0.2"/>
    <row r="15765" s="496" customFormat="1" x14ac:dyDescent="0.2"/>
    <row r="15766" s="496" customFormat="1" x14ac:dyDescent="0.2"/>
    <row r="15767" s="496" customFormat="1" x14ac:dyDescent="0.2"/>
    <row r="15768" s="496" customFormat="1" x14ac:dyDescent="0.2"/>
    <row r="15769" s="496" customFormat="1" x14ac:dyDescent="0.2"/>
    <row r="15770" s="496" customFormat="1" x14ac:dyDescent="0.2"/>
    <row r="15771" s="496" customFormat="1" x14ac:dyDescent="0.2"/>
    <row r="15772" s="496" customFormat="1" x14ac:dyDescent="0.2"/>
    <row r="15773" s="496" customFormat="1" x14ac:dyDescent="0.2"/>
    <row r="15774" s="496" customFormat="1" x14ac:dyDescent="0.2"/>
    <row r="15775" s="496" customFormat="1" x14ac:dyDescent="0.2"/>
    <row r="15776" s="496" customFormat="1" x14ac:dyDescent="0.2"/>
    <row r="15777" s="496" customFormat="1" x14ac:dyDescent="0.2"/>
    <row r="15778" s="496" customFormat="1" x14ac:dyDescent="0.2"/>
    <row r="15779" s="496" customFormat="1" x14ac:dyDescent="0.2"/>
    <row r="15780" s="496" customFormat="1" x14ac:dyDescent="0.2"/>
    <row r="15781" s="496" customFormat="1" x14ac:dyDescent="0.2"/>
    <row r="15782" s="496" customFormat="1" x14ac:dyDescent="0.2"/>
    <row r="15783" s="496" customFormat="1" x14ac:dyDescent="0.2"/>
    <row r="15784" s="496" customFormat="1" x14ac:dyDescent="0.2"/>
    <row r="15785" s="496" customFormat="1" x14ac:dyDescent="0.2"/>
    <row r="15786" s="496" customFormat="1" x14ac:dyDescent="0.2"/>
    <row r="15787" s="496" customFormat="1" x14ac:dyDescent="0.2"/>
    <row r="15788" s="496" customFormat="1" x14ac:dyDescent="0.2"/>
    <row r="15789" s="496" customFormat="1" x14ac:dyDescent="0.2"/>
    <row r="15790" s="496" customFormat="1" x14ac:dyDescent="0.2"/>
    <row r="15791" s="496" customFormat="1" x14ac:dyDescent="0.2"/>
    <row r="15792" s="496" customFormat="1" x14ac:dyDescent="0.2"/>
    <row r="15793" s="496" customFormat="1" x14ac:dyDescent="0.2"/>
    <row r="15794" s="496" customFormat="1" x14ac:dyDescent="0.2"/>
    <row r="15795" s="496" customFormat="1" x14ac:dyDescent="0.2"/>
    <row r="15796" s="496" customFormat="1" x14ac:dyDescent="0.2"/>
    <row r="15797" s="496" customFormat="1" x14ac:dyDescent="0.2"/>
    <row r="15798" s="496" customFormat="1" x14ac:dyDescent="0.2"/>
    <row r="15799" s="496" customFormat="1" x14ac:dyDescent="0.2"/>
    <row r="15800" s="496" customFormat="1" x14ac:dyDescent="0.2"/>
    <row r="15801" s="496" customFormat="1" x14ac:dyDescent="0.2"/>
    <row r="15802" s="496" customFormat="1" x14ac:dyDescent="0.2"/>
    <row r="15803" s="496" customFormat="1" x14ac:dyDescent="0.2"/>
    <row r="15804" s="496" customFormat="1" x14ac:dyDescent="0.2"/>
    <row r="15805" s="496" customFormat="1" x14ac:dyDescent="0.2"/>
    <row r="15806" s="496" customFormat="1" x14ac:dyDescent="0.2"/>
    <row r="15807" s="496" customFormat="1" x14ac:dyDescent="0.2"/>
    <row r="15808" s="496" customFormat="1" x14ac:dyDescent="0.2"/>
    <row r="15809" s="496" customFormat="1" x14ac:dyDescent="0.2"/>
    <row r="15810" s="496" customFormat="1" x14ac:dyDescent="0.2"/>
    <row r="15811" s="496" customFormat="1" x14ac:dyDescent="0.2"/>
    <row r="15812" s="496" customFormat="1" x14ac:dyDescent="0.2"/>
    <row r="15813" s="496" customFormat="1" x14ac:dyDescent="0.2"/>
    <row r="15814" s="496" customFormat="1" x14ac:dyDescent="0.2"/>
    <row r="15815" s="496" customFormat="1" x14ac:dyDescent="0.2"/>
    <row r="15816" s="496" customFormat="1" x14ac:dyDescent="0.2"/>
    <row r="15817" s="496" customFormat="1" x14ac:dyDescent="0.2"/>
    <row r="15818" s="496" customFormat="1" x14ac:dyDescent="0.2"/>
    <row r="15819" s="496" customFormat="1" x14ac:dyDescent="0.2"/>
    <row r="15820" s="496" customFormat="1" x14ac:dyDescent="0.2"/>
    <row r="15821" s="496" customFormat="1" x14ac:dyDescent="0.2"/>
    <row r="15822" s="496" customFormat="1" x14ac:dyDescent="0.2"/>
    <row r="15823" s="496" customFormat="1" x14ac:dyDescent="0.2"/>
    <row r="15824" s="496" customFormat="1" x14ac:dyDescent="0.2"/>
    <row r="15825" s="496" customFormat="1" x14ac:dyDescent="0.2"/>
    <row r="15826" s="496" customFormat="1" x14ac:dyDescent="0.2"/>
    <row r="15827" s="496" customFormat="1" x14ac:dyDescent="0.2"/>
    <row r="15828" s="496" customFormat="1" x14ac:dyDescent="0.2"/>
    <row r="15829" s="496" customFormat="1" x14ac:dyDescent="0.2"/>
    <row r="15830" s="496" customFormat="1" x14ac:dyDescent="0.2"/>
    <row r="15831" s="496" customFormat="1" x14ac:dyDescent="0.2"/>
    <row r="15832" s="496" customFormat="1" x14ac:dyDescent="0.2"/>
    <row r="15833" s="496" customFormat="1" x14ac:dyDescent="0.2"/>
    <row r="15834" s="496" customFormat="1" x14ac:dyDescent="0.2"/>
    <row r="15835" s="496" customFormat="1" x14ac:dyDescent="0.2"/>
    <row r="15836" s="496" customFormat="1" x14ac:dyDescent="0.2"/>
    <row r="15837" s="496" customFormat="1" x14ac:dyDescent="0.2"/>
    <row r="15838" s="496" customFormat="1" x14ac:dyDescent="0.2"/>
    <row r="15839" s="496" customFormat="1" x14ac:dyDescent="0.2"/>
    <row r="15840" s="496" customFormat="1" x14ac:dyDescent="0.2"/>
    <row r="15841" s="496" customFormat="1" x14ac:dyDescent="0.2"/>
    <row r="15842" s="496" customFormat="1" x14ac:dyDescent="0.2"/>
    <row r="15843" s="496" customFormat="1" x14ac:dyDescent="0.2"/>
    <row r="15844" s="496" customFormat="1" x14ac:dyDescent="0.2"/>
    <row r="15845" s="496" customFormat="1" x14ac:dyDescent="0.2"/>
    <row r="15846" s="496" customFormat="1" x14ac:dyDescent="0.2"/>
    <row r="15847" s="496" customFormat="1" x14ac:dyDescent="0.2"/>
    <row r="15848" s="496" customFormat="1" x14ac:dyDescent="0.2"/>
    <row r="15849" s="496" customFormat="1" x14ac:dyDescent="0.2"/>
    <row r="15850" s="496" customFormat="1" x14ac:dyDescent="0.2"/>
    <row r="15851" s="496" customFormat="1" x14ac:dyDescent="0.2"/>
    <row r="15852" s="496" customFormat="1" x14ac:dyDescent="0.2"/>
    <row r="15853" s="496" customFormat="1" x14ac:dyDescent="0.2"/>
    <row r="15854" s="496" customFormat="1" x14ac:dyDescent="0.2"/>
    <row r="15855" s="496" customFormat="1" x14ac:dyDescent="0.2"/>
    <row r="15856" s="496" customFormat="1" x14ac:dyDescent="0.2"/>
    <row r="15857" s="496" customFormat="1" x14ac:dyDescent="0.2"/>
    <row r="15858" s="496" customFormat="1" x14ac:dyDescent="0.2"/>
    <row r="15859" s="496" customFormat="1" x14ac:dyDescent="0.2"/>
    <row r="15860" s="496" customFormat="1" x14ac:dyDescent="0.2"/>
    <row r="15861" s="496" customFormat="1" x14ac:dyDescent="0.2"/>
    <row r="15862" s="496" customFormat="1" x14ac:dyDescent="0.2"/>
    <row r="15863" s="496" customFormat="1" x14ac:dyDescent="0.2"/>
    <row r="15864" s="496" customFormat="1" x14ac:dyDescent="0.2"/>
    <row r="15865" s="496" customFormat="1" x14ac:dyDescent="0.2"/>
    <row r="15866" s="496" customFormat="1" x14ac:dyDescent="0.2"/>
    <row r="15867" s="496" customFormat="1" x14ac:dyDescent="0.2"/>
    <row r="15868" s="496" customFormat="1" x14ac:dyDescent="0.2"/>
    <row r="15869" s="496" customFormat="1" x14ac:dyDescent="0.2"/>
    <row r="15870" s="496" customFormat="1" x14ac:dyDescent="0.2"/>
    <row r="15871" s="496" customFormat="1" x14ac:dyDescent="0.2"/>
    <row r="15872" s="496" customFormat="1" x14ac:dyDescent="0.2"/>
    <row r="15873" s="496" customFormat="1" x14ac:dyDescent="0.2"/>
    <row r="15874" s="496" customFormat="1" x14ac:dyDescent="0.2"/>
    <row r="15875" s="496" customFormat="1" x14ac:dyDescent="0.2"/>
    <row r="15876" s="496" customFormat="1" x14ac:dyDescent="0.2"/>
    <row r="15877" s="496" customFormat="1" x14ac:dyDescent="0.2"/>
    <row r="15878" s="496" customFormat="1" x14ac:dyDescent="0.2"/>
    <row r="15879" s="496" customFormat="1" x14ac:dyDescent="0.2"/>
    <row r="15880" s="496" customFormat="1" x14ac:dyDescent="0.2"/>
    <row r="15881" s="496" customFormat="1" x14ac:dyDescent="0.2"/>
    <row r="15882" s="496" customFormat="1" x14ac:dyDescent="0.2"/>
    <row r="15883" s="496" customFormat="1" x14ac:dyDescent="0.2"/>
    <row r="15884" s="496" customFormat="1" x14ac:dyDescent="0.2"/>
    <row r="15885" s="496" customFormat="1" x14ac:dyDescent="0.2"/>
    <row r="15886" s="496" customFormat="1" x14ac:dyDescent="0.2"/>
    <row r="15887" s="496" customFormat="1" x14ac:dyDescent="0.2"/>
    <row r="15888" s="496" customFormat="1" x14ac:dyDescent="0.2"/>
    <row r="15889" s="496" customFormat="1" x14ac:dyDescent="0.2"/>
    <row r="15890" s="496" customFormat="1" x14ac:dyDescent="0.2"/>
    <row r="15891" s="496" customFormat="1" x14ac:dyDescent="0.2"/>
    <row r="15892" s="496" customFormat="1" x14ac:dyDescent="0.2"/>
    <row r="15893" s="496" customFormat="1" x14ac:dyDescent="0.2"/>
    <row r="15894" s="496" customFormat="1" x14ac:dyDescent="0.2"/>
    <row r="15895" s="496" customFormat="1" x14ac:dyDescent="0.2"/>
    <row r="15896" s="496" customFormat="1" x14ac:dyDescent="0.2"/>
    <row r="15897" s="496" customFormat="1" x14ac:dyDescent="0.2"/>
    <row r="15898" s="496" customFormat="1" x14ac:dyDescent="0.2"/>
    <row r="15899" s="496" customFormat="1" x14ac:dyDescent="0.2"/>
    <row r="15900" s="496" customFormat="1" x14ac:dyDescent="0.2"/>
    <row r="15901" s="496" customFormat="1" x14ac:dyDescent="0.2"/>
    <row r="15902" s="496" customFormat="1" x14ac:dyDescent="0.2"/>
    <row r="15903" s="496" customFormat="1" x14ac:dyDescent="0.2"/>
    <row r="15904" s="496" customFormat="1" x14ac:dyDescent="0.2"/>
    <row r="15905" s="496" customFormat="1" x14ac:dyDescent="0.2"/>
    <row r="15906" s="496" customFormat="1" x14ac:dyDescent="0.2"/>
    <row r="15907" s="496" customFormat="1" x14ac:dyDescent="0.2"/>
    <row r="15908" s="496" customFormat="1" x14ac:dyDescent="0.2"/>
    <row r="15909" s="496" customFormat="1" x14ac:dyDescent="0.2"/>
    <row r="15910" s="496" customFormat="1" x14ac:dyDescent="0.2"/>
    <row r="15911" s="496" customFormat="1" x14ac:dyDescent="0.2"/>
    <row r="15912" s="496" customFormat="1" x14ac:dyDescent="0.2"/>
    <row r="15913" s="496" customFormat="1" x14ac:dyDescent="0.2"/>
    <row r="15914" s="496" customFormat="1" x14ac:dyDescent="0.2"/>
    <row r="15915" s="496" customFormat="1" x14ac:dyDescent="0.2"/>
    <row r="15916" s="496" customFormat="1" x14ac:dyDescent="0.2"/>
    <row r="15917" s="496" customFormat="1" x14ac:dyDescent="0.2"/>
    <row r="15918" s="496" customFormat="1" x14ac:dyDescent="0.2"/>
    <row r="15919" s="496" customFormat="1" x14ac:dyDescent="0.2"/>
    <row r="15920" s="496" customFormat="1" x14ac:dyDescent="0.2"/>
    <row r="15921" s="496" customFormat="1" x14ac:dyDescent="0.2"/>
    <row r="15922" s="496" customFormat="1" x14ac:dyDescent="0.2"/>
    <row r="15923" s="496" customFormat="1" x14ac:dyDescent="0.2"/>
    <row r="15924" s="496" customFormat="1" x14ac:dyDescent="0.2"/>
    <row r="15925" s="496" customFormat="1" x14ac:dyDescent="0.2"/>
    <row r="15926" s="496" customFormat="1" x14ac:dyDescent="0.2"/>
    <row r="15927" s="496" customFormat="1" x14ac:dyDescent="0.2"/>
    <row r="15928" s="496" customFormat="1" x14ac:dyDescent="0.2"/>
    <row r="15929" s="496" customFormat="1" x14ac:dyDescent="0.2"/>
    <row r="15930" s="496" customFormat="1" x14ac:dyDescent="0.2"/>
    <row r="15931" s="496" customFormat="1" x14ac:dyDescent="0.2"/>
    <row r="15932" s="496" customFormat="1" x14ac:dyDescent="0.2"/>
    <row r="15933" s="496" customFormat="1" x14ac:dyDescent="0.2"/>
    <row r="15934" s="496" customFormat="1" x14ac:dyDescent="0.2"/>
    <row r="15935" s="496" customFormat="1" x14ac:dyDescent="0.2"/>
    <row r="15936" s="496" customFormat="1" x14ac:dyDescent="0.2"/>
    <row r="15937" s="496" customFormat="1" x14ac:dyDescent="0.2"/>
    <row r="15938" s="496" customFormat="1" x14ac:dyDescent="0.2"/>
    <row r="15939" s="496" customFormat="1" x14ac:dyDescent="0.2"/>
    <row r="15940" s="496" customFormat="1" x14ac:dyDescent="0.2"/>
    <row r="15941" s="496" customFormat="1" x14ac:dyDescent="0.2"/>
    <row r="15942" s="496" customFormat="1" x14ac:dyDescent="0.2"/>
    <row r="15943" s="496" customFormat="1" x14ac:dyDescent="0.2"/>
    <row r="15944" s="496" customFormat="1" x14ac:dyDescent="0.2"/>
    <row r="15945" s="496" customFormat="1" x14ac:dyDescent="0.2"/>
    <row r="15946" s="496" customFormat="1" x14ac:dyDescent="0.2"/>
    <row r="15947" s="496" customFormat="1" x14ac:dyDescent="0.2"/>
    <row r="15948" s="496" customFormat="1" x14ac:dyDescent="0.2"/>
    <row r="15949" s="496" customFormat="1" x14ac:dyDescent="0.2"/>
    <row r="15950" s="496" customFormat="1" x14ac:dyDescent="0.2"/>
    <row r="15951" s="496" customFormat="1" x14ac:dyDescent="0.2"/>
    <row r="15952" s="496" customFormat="1" x14ac:dyDescent="0.2"/>
    <row r="15953" s="496" customFormat="1" x14ac:dyDescent="0.2"/>
    <row r="15954" s="496" customFormat="1" x14ac:dyDescent="0.2"/>
    <row r="15955" s="496" customFormat="1" x14ac:dyDescent="0.2"/>
    <row r="15956" s="496" customFormat="1" x14ac:dyDescent="0.2"/>
    <row r="15957" s="496" customFormat="1" x14ac:dyDescent="0.2"/>
    <row r="15958" s="496" customFormat="1" x14ac:dyDescent="0.2"/>
    <row r="15959" s="496" customFormat="1" x14ac:dyDescent="0.2"/>
    <row r="15960" s="496" customFormat="1" x14ac:dyDescent="0.2"/>
    <row r="15961" s="496" customFormat="1" x14ac:dyDescent="0.2"/>
    <row r="15962" s="496" customFormat="1" x14ac:dyDescent="0.2"/>
    <row r="15963" s="496" customFormat="1" x14ac:dyDescent="0.2"/>
    <row r="15964" s="496" customFormat="1" x14ac:dyDescent="0.2"/>
    <row r="15965" s="496" customFormat="1" x14ac:dyDescent="0.2"/>
    <row r="15966" s="496" customFormat="1" x14ac:dyDescent="0.2"/>
    <row r="15967" s="496" customFormat="1" x14ac:dyDescent="0.2"/>
    <row r="15968" s="496" customFormat="1" x14ac:dyDescent="0.2"/>
    <row r="15969" s="496" customFormat="1" x14ac:dyDescent="0.2"/>
    <row r="15970" s="496" customFormat="1" x14ac:dyDescent="0.2"/>
    <row r="15971" s="496" customFormat="1" x14ac:dyDescent="0.2"/>
    <row r="15972" s="496" customFormat="1" x14ac:dyDescent="0.2"/>
    <row r="15973" s="496" customFormat="1" x14ac:dyDescent="0.2"/>
    <row r="15974" s="496" customFormat="1" x14ac:dyDescent="0.2"/>
    <row r="15975" s="496" customFormat="1" x14ac:dyDescent="0.2"/>
    <row r="15976" s="496" customFormat="1" x14ac:dyDescent="0.2"/>
    <row r="15977" s="496" customFormat="1" x14ac:dyDescent="0.2"/>
    <row r="15978" s="496" customFormat="1" x14ac:dyDescent="0.2"/>
    <row r="15979" s="496" customFormat="1" x14ac:dyDescent="0.2"/>
    <row r="15980" s="496" customFormat="1" x14ac:dyDescent="0.2"/>
    <row r="15981" s="496" customFormat="1" x14ac:dyDescent="0.2"/>
    <row r="15982" s="496" customFormat="1" x14ac:dyDescent="0.2"/>
    <row r="15983" s="496" customFormat="1" x14ac:dyDescent="0.2"/>
    <row r="15984" s="496" customFormat="1" x14ac:dyDescent="0.2"/>
    <row r="15985" s="496" customFormat="1" x14ac:dyDescent="0.2"/>
    <row r="15986" s="496" customFormat="1" x14ac:dyDescent="0.2"/>
    <row r="15987" s="496" customFormat="1" x14ac:dyDescent="0.2"/>
    <row r="15988" s="496" customFormat="1" x14ac:dyDescent="0.2"/>
    <row r="15989" s="496" customFormat="1" x14ac:dyDescent="0.2"/>
    <row r="15990" s="496" customFormat="1" x14ac:dyDescent="0.2"/>
    <row r="15991" s="496" customFormat="1" x14ac:dyDescent="0.2"/>
    <row r="15992" s="496" customFormat="1" x14ac:dyDescent="0.2"/>
    <row r="15993" s="496" customFormat="1" x14ac:dyDescent="0.2"/>
    <row r="15994" s="496" customFormat="1" x14ac:dyDescent="0.2"/>
    <row r="15995" s="496" customFormat="1" x14ac:dyDescent="0.2"/>
    <row r="15996" s="496" customFormat="1" x14ac:dyDescent="0.2"/>
    <row r="15997" s="496" customFormat="1" x14ac:dyDescent="0.2"/>
    <row r="15998" s="496" customFormat="1" x14ac:dyDescent="0.2"/>
    <row r="15999" s="496" customFormat="1" x14ac:dyDescent="0.2"/>
    <row r="16000" s="496" customFormat="1" x14ac:dyDescent="0.2"/>
    <row r="16001" s="496" customFormat="1" x14ac:dyDescent="0.2"/>
    <row r="16002" s="496" customFormat="1" x14ac:dyDescent="0.2"/>
    <row r="16003" s="496" customFormat="1" x14ac:dyDescent="0.2"/>
    <row r="16004" s="496" customFormat="1" x14ac:dyDescent="0.2"/>
    <row r="16005" s="496" customFormat="1" x14ac:dyDescent="0.2"/>
    <row r="16006" s="496" customFormat="1" x14ac:dyDescent="0.2"/>
    <row r="16007" s="496" customFormat="1" x14ac:dyDescent="0.2"/>
    <row r="16008" s="496" customFormat="1" x14ac:dyDescent="0.2"/>
    <row r="16009" s="496" customFormat="1" x14ac:dyDescent="0.2"/>
    <row r="16010" s="496" customFormat="1" x14ac:dyDescent="0.2"/>
    <row r="16011" s="496" customFormat="1" x14ac:dyDescent="0.2"/>
    <row r="16012" s="496" customFormat="1" x14ac:dyDescent="0.2"/>
    <row r="16013" s="496" customFormat="1" x14ac:dyDescent="0.2"/>
    <row r="16014" s="496" customFormat="1" x14ac:dyDescent="0.2"/>
    <row r="16015" s="496" customFormat="1" x14ac:dyDescent="0.2"/>
    <row r="16016" s="496" customFormat="1" x14ac:dyDescent="0.2"/>
    <row r="16017" s="496" customFormat="1" x14ac:dyDescent="0.2"/>
    <row r="16018" s="496" customFormat="1" x14ac:dyDescent="0.2"/>
    <row r="16019" s="496" customFormat="1" x14ac:dyDescent="0.2"/>
    <row r="16020" s="496" customFormat="1" x14ac:dyDescent="0.2"/>
    <row r="16021" s="496" customFormat="1" x14ac:dyDescent="0.2"/>
    <row r="16022" s="496" customFormat="1" x14ac:dyDescent="0.2"/>
    <row r="16023" s="496" customFormat="1" x14ac:dyDescent="0.2"/>
    <row r="16024" s="496" customFormat="1" x14ac:dyDescent="0.2"/>
    <row r="16025" s="496" customFormat="1" x14ac:dyDescent="0.2"/>
    <row r="16026" s="496" customFormat="1" x14ac:dyDescent="0.2"/>
    <row r="16027" s="496" customFormat="1" x14ac:dyDescent="0.2"/>
    <row r="16028" s="496" customFormat="1" x14ac:dyDescent="0.2"/>
    <row r="16029" s="496" customFormat="1" x14ac:dyDescent="0.2"/>
    <row r="16030" s="496" customFormat="1" x14ac:dyDescent="0.2"/>
    <row r="16031" s="496" customFormat="1" x14ac:dyDescent="0.2"/>
    <row r="16032" s="496" customFormat="1" x14ac:dyDescent="0.2"/>
    <row r="16033" s="496" customFormat="1" x14ac:dyDescent="0.2"/>
    <row r="16034" s="496" customFormat="1" x14ac:dyDescent="0.2"/>
    <row r="16035" s="496" customFormat="1" x14ac:dyDescent="0.2"/>
    <row r="16036" s="496" customFormat="1" x14ac:dyDescent="0.2"/>
    <row r="16037" s="496" customFormat="1" x14ac:dyDescent="0.2"/>
    <row r="16038" s="496" customFormat="1" x14ac:dyDescent="0.2"/>
    <row r="16039" s="496" customFormat="1" x14ac:dyDescent="0.2"/>
    <row r="16040" s="496" customFormat="1" x14ac:dyDescent="0.2"/>
    <row r="16041" s="496" customFormat="1" x14ac:dyDescent="0.2"/>
    <row r="16042" s="496" customFormat="1" x14ac:dyDescent="0.2"/>
    <row r="16043" s="496" customFormat="1" x14ac:dyDescent="0.2"/>
    <row r="16044" s="496" customFormat="1" x14ac:dyDescent="0.2"/>
    <row r="16045" s="496" customFormat="1" x14ac:dyDescent="0.2"/>
    <row r="16046" s="496" customFormat="1" x14ac:dyDescent="0.2"/>
    <row r="16047" s="496" customFormat="1" x14ac:dyDescent="0.2"/>
    <row r="16048" s="496" customFormat="1" x14ac:dyDescent="0.2"/>
    <row r="16049" s="496" customFormat="1" x14ac:dyDescent="0.2"/>
    <row r="16050" s="496" customFormat="1" x14ac:dyDescent="0.2"/>
    <row r="16051" s="496" customFormat="1" x14ac:dyDescent="0.2"/>
    <row r="16052" s="496" customFormat="1" x14ac:dyDescent="0.2"/>
    <row r="16053" s="496" customFormat="1" x14ac:dyDescent="0.2"/>
    <row r="16054" s="496" customFormat="1" x14ac:dyDescent="0.2"/>
    <row r="16055" s="496" customFormat="1" x14ac:dyDescent="0.2"/>
    <row r="16056" s="496" customFormat="1" x14ac:dyDescent="0.2"/>
    <row r="16057" s="496" customFormat="1" x14ac:dyDescent="0.2"/>
    <row r="16058" s="496" customFormat="1" x14ac:dyDescent="0.2"/>
    <row r="16059" s="496" customFormat="1" x14ac:dyDescent="0.2"/>
    <row r="16060" s="496" customFormat="1" x14ac:dyDescent="0.2"/>
    <row r="16061" s="496" customFormat="1" x14ac:dyDescent="0.2"/>
    <row r="16062" s="496" customFormat="1" x14ac:dyDescent="0.2"/>
    <row r="16063" s="496" customFormat="1" x14ac:dyDescent="0.2"/>
    <row r="16064" s="496" customFormat="1" x14ac:dyDescent="0.2"/>
    <row r="16065" s="496" customFormat="1" x14ac:dyDescent="0.2"/>
    <row r="16066" s="496" customFormat="1" x14ac:dyDescent="0.2"/>
    <row r="16067" s="496" customFormat="1" x14ac:dyDescent="0.2"/>
    <row r="16068" s="496" customFormat="1" x14ac:dyDescent="0.2"/>
    <row r="16069" s="496" customFormat="1" x14ac:dyDescent="0.2"/>
    <row r="16070" s="496" customFormat="1" x14ac:dyDescent="0.2"/>
    <row r="16071" s="496" customFormat="1" x14ac:dyDescent="0.2"/>
    <row r="16072" s="496" customFormat="1" x14ac:dyDescent="0.2"/>
    <row r="16073" s="496" customFormat="1" x14ac:dyDescent="0.2"/>
    <row r="16074" s="496" customFormat="1" x14ac:dyDescent="0.2"/>
    <row r="16075" s="496" customFormat="1" x14ac:dyDescent="0.2"/>
    <row r="16076" s="496" customFormat="1" x14ac:dyDescent="0.2"/>
    <row r="16077" s="496" customFormat="1" x14ac:dyDescent="0.2"/>
    <row r="16078" s="496" customFormat="1" x14ac:dyDescent="0.2"/>
    <row r="16079" s="496" customFormat="1" x14ac:dyDescent="0.2"/>
    <row r="16080" s="496" customFormat="1" x14ac:dyDescent="0.2"/>
    <row r="16081" s="496" customFormat="1" x14ac:dyDescent="0.2"/>
    <row r="16082" s="496" customFormat="1" x14ac:dyDescent="0.2"/>
    <row r="16083" s="496" customFormat="1" x14ac:dyDescent="0.2"/>
    <row r="16084" s="496" customFormat="1" x14ac:dyDescent="0.2"/>
    <row r="16085" s="496" customFormat="1" x14ac:dyDescent="0.2"/>
    <row r="16086" s="496" customFormat="1" x14ac:dyDescent="0.2"/>
    <row r="16087" s="496" customFormat="1" x14ac:dyDescent="0.2"/>
    <row r="16088" s="496" customFormat="1" x14ac:dyDescent="0.2"/>
    <row r="16089" s="496" customFormat="1" x14ac:dyDescent="0.2"/>
    <row r="16090" s="496" customFormat="1" x14ac:dyDescent="0.2"/>
    <row r="16091" s="496" customFormat="1" x14ac:dyDescent="0.2"/>
    <row r="16092" s="496" customFormat="1" x14ac:dyDescent="0.2"/>
    <row r="16093" s="496" customFormat="1" x14ac:dyDescent="0.2"/>
    <row r="16094" s="496" customFormat="1" x14ac:dyDescent="0.2"/>
    <row r="16095" s="496" customFormat="1" x14ac:dyDescent="0.2"/>
    <row r="16096" s="496" customFormat="1" x14ac:dyDescent="0.2"/>
    <row r="16097" s="496" customFormat="1" x14ac:dyDescent="0.2"/>
    <row r="16098" s="496" customFormat="1" x14ac:dyDescent="0.2"/>
    <row r="16099" s="496" customFormat="1" x14ac:dyDescent="0.2"/>
    <row r="16100" s="496" customFormat="1" x14ac:dyDescent="0.2"/>
    <row r="16101" s="496" customFormat="1" x14ac:dyDescent="0.2"/>
    <row r="16102" s="496" customFormat="1" x14ac:dyDescent="0.2"/>
    <row r="16103" s="496" customFormat="1" x14ac:dyDescent="0.2"/>
    <row r="16104" s="496" customFormat="1" x14ac:dyDescent="0.2"/>
    <row r="16105" s="496" customFormat="1" x14ac:dyDescent="0.2"/>
    <row r="16106" s="496" customFormat="1" x14ac:dyDescent="0.2"/>
    <row r="16107" s="496" customFormat="1" x14ac:dyDescent="0.2"/>
    <row r="16108" s="496" customFormat="1" x14ac:dyDescent="0.2"/>
    <row r="16109" s="496" customFormat="1" x14ac:dyDescent="0.2"/>
    <row r="16110" s="496" customFormat="1" x14ac:dyDescent="0.2"/>
    <row r="16111" s="496" customFormat="1" x14ac:dyDescent="0.2"/>
    <row r="16112" s="496" customFormat="1" x14ac:dyDescent="0.2"/>
    <row r="16113" s="496" customFormat="1" x14ac:dyDescent="0.2"/>
    <row r="16114" s="496" customFormat="1" x14ac:dyDescent="0.2"/>
    <row r="16115" s="496" customFormat="1" x14ac:dyDescent="0.2"/>
    <row r="16116" s="496" customFormat="1" x14ac:dyDescent="0.2"/>
    <row r="16117" s="496" customFormat="1" x14ac:dyDescent="0.2"/>
    <row r="16118" s="496" customFormat="1" x14ac:dyDescent="0.2"/>
    <row r="16119" s="496" customFormat="1" x14ac:dyDescent="0.2"/>
    <row r="16120" s="496" customFormat="1" x14ac:dyDescent="0.2"/>
    <row r="16121" s="496" customFormat="1" x14ac:dyDescent="0.2"/>
    <row r="16122" s="496" customFormat="1" x14ac:dyDescent="0.2"/>
    <row r="16123" s="496" customFormat="1" x14ac:dyDescent="0.2"/>
    <row r="16124" s="496" customFormat="1" x14ac:dyDescent="0.2"/>
    <row r="16125" s="496" customFormat="1" x14ac:dyDescent="0.2"/>
    <row r="16126" s="496" customFormat="1" x14ac:dyDescent="0.2"/>
    <row r="16127" s="496" customFormat="1" x14ac:dyDescent="0.2"/>
    <row r="16128" s="496" customFormat="1" x14ac:dyDescent="0.2"/>
    <row r="16129" s="496" customFormat="1" x14ac:dyDescent="0.2"/>
    <row r="16130" s="496" customFormat="1" x14ac:dyDescent="0.2"/>
    <row r="16131" s="496" customFormat="1" x14ac:dyDescent="0.2"/>
    <row r="16132" s="496" customFormat="1" x14ac:dyDescent="0.2"/>
    <row r="16133" s="496" customFormat="1" x14ac:dyDescent="0.2"/>
    <row r="16134" s="496" customFormat="1" x14ac:dyDescent="0.2"/>
    <row r="16135" s="496" customFormat="1" x14ac:dyDescent="0.2"/>
    <row r="16136" s="496" customFormat="1" x14ac:dyDescent="0.2"/>
    <row r="16137" s="496" customFormat="1" x14ac:dyDescent="0.2"/>
    <row r="16138" s="496" customFormat="1" x14ac:dyDescent="0.2"/>
    <row r="16139" s="496" customFormat="1" x14ac:dyDescent="0.2"/>
    <row r="16140" s="496" customFormat="1" x14ac:dyDescent="0.2"/>
    <row r="16141" s="496" customFormat="1" x14ac:dyDescent="0.2"/>
    <row r="16142" s="496" customFormat="1" x14ac:dyDescent="0.2"/>
    <row r="16143" s="496" customFormat="1" x14ac:dyDescent="0.2"/>
    <row r="16144" s="496" customFormat="1" x14ac:dyDescent="0.2"/>
    <row r="16145" s="496" customFormat="1" x14ac:dyDescent="0.2"/>
    <row r="16146" s="496" customFormat="1" x14ac:dyDescent="0.2"/>
    <row r="16147" s="496" customFormat="1" x14ac:dyDescent="0.2"/>
    <row r="16148" s="496" customFormat="1" x14ac:dyDescent="0.2"/>
    <row r="16149" s="496" customFormat="1" x14ac:dyDescent="0.2"/>
    <row r="16150" s="496" customFormat="1" x14ac:dyDescent="0.2"/>
    <row r="16151" s="496" customFormat="1" x14ac:dyDescent="0.2"/>
    <row r="16152" s="496" customFormat="1" x14ac:dyDescent="0.2"/>
    <row r="16153" s="496" customFormat="1" x14ac:dyDescent="0.2"/>
    <row r="16154" s="496" customFormat="1" x14ac:dyDescent="0.2"/>
    <row r="16155" s="496" customFormat="1" x14ac:dyDescent="0.2"/>
    <row r="16156" s="496" customFormat="1" x14ac:dyDescent="0.2"/>
    <row r="16157" s="496" customFormat="1" x14ac:dyDescent="0.2"/>
    <row r="16158" s="496" customFormat="1" x14ac:dyDescent="0.2"/>
    <row r="16159" s="496" customFormat="1" x14ac:dyDescent="0.2"/>
    <row r="16160" s="496" customFormat="1" x14ac:dyDescent="0.2"/>
    <row r="16161" s="496" customFormat="1" x14ac:dyDescent="0.2"/>
    <row r="16162" s="496" customFormat="1" x14ac:dyDescent="0.2"/>
    <row r="16163" s="496" customFormat="1" x14ac:dyDescent="0.2"/>
    <row r="16164" s="496" customFormat="1" x14ac:dyDescent="0.2"/>
    <row r="16165" s="496" customFormat="1" x14ac:dyDescent="0.2"/>
    <row r="16166" s="496" customFormat="1" x14ac:dyDescent="0.2"/>
    <row r="16167" s="496" customFormat="1" x14ac:dyDescent="0.2"/>
    <row r="16168" s="496" customFormat="1" x14ac:dyDescent="0.2"/>
    <row r="16169" s="496" customFormat="1" x14ac:dyDescent="0.2"/>
    <row r="16170" s="496" customFormat="1" x14ac:dyDescent="0.2"/>
    <row r="16171" s="496" customFormat="1" x14ac:dyDescent="0.2"/>
    <row r="16172" s="496" customFormat="1" x14ac:dyDescent="0.2"/>
    <row r="16173" s="496" customFormat="1" x14ac:dyDescent="0.2"/>
    <row r="16174" s="496" customFormat="1" x14ac:dyDescent="0.2"/>
    <row r="16175" s="496" customFormat="1" x14ac:dyDescent="0.2"/>
    <row r="16176" s="496" customFormat="1" x14ac:dyDescent="0.2"/>
    <row r="16177" s="496" customFormat="1" x14ac:dyDescent="0.2"/>
    <row r="16178" s="496" customFormat="1" x14ac:dyDescent="0.2"/>
    <row r="16179" s="496" customFormat="1" x14ac:dyDescent="0.2"/>
    <row r="16180" s="496" customFormat="1" x14ac:dyDescent="0.2"/>
    <row r="16181" s="496" customFormat="1" x14ac:dyDescent="0.2"/>
    <row r="16182" s="496" customFormat="1" x14ac:dyDescent="0.2"/>
    <row r="16183" s="496" customFormat="1" x14ac:dyDescent="0.2"/>
    <row r="16184" s="496" customFormat="1" x14ac:dyDescent="0.2"/>
    <row r="16185" s="496" customFormat="1" x14ac:dyDescent="0.2"/>
    <row r="16186" s="496" customFormat="1" x14ac:dyDescent="0.2"/>
    <row r="16187" s="496" customFormat="1" x14ac:dyDescent="0.2"/>
    <row r="16188" s="496" customFormat="1" x14ac:dyDescent="0.2"/>
    <row r="16189" s="496" customFormat="1" x14ac:dyDescent="0.2"/>
    <row r="16190" s="496" customFormat="1" x14ac:dyDescent="0.2"/>
    <row r="16191" s="496" customFormat="1" x14ac:dyDescent="0.2"/>
    <row r="16192" s="496" customFormat="1" x14ac:dyDescent="0.2"/>
    <row r="16193" s="496" customFormat="1" x14ac:dyDescent="0.2"/>
    <row r="16194" s="496" customFormat="1" x14ac:dyDescent="0.2"/>
    <row r="16195" s="496" customFormat="1" x14ac:dyDescent="0.2"/>
    <row r="16196" s="496" customFormat="1" x14ac:dyDescent="0.2"/>
    <row r="16197" s="496" customFormat="1" x14ac:dyDescent="0.2"/>
    <row r="16198" s="496" customFormat="1" x14ac:dyDescent="0.2"/>
    <row r="16199" s="496" customFormat="1" x14ac:dyDescent="0.2"/>
    <row r="16200" s="496" customFormat="1" x14ac:dyDescent="0.2"/>
    <row r="16201" s="496" customFormat="1" x14ac:dyDescent="0.2"/>
    <row r="16202" s="496" customFormat="1" x14ac:dyDescent="0.2"/>
    <row r="16203" s="496" customFormat="1" x14ac:dyDescent="0.2"/>
    <row r="16204" s="496" customFormat="1" x14ac:dyDescent="0.2"/>
    <row r="16205" s="496" customFormat="1" x14ac:dyDescent="0.2"/>
    <row r="16206" s="496" customFormat="1" x14ac:dyDescent="0.2"/>
    <row r="16207" s="496" customFormat="1" x14ac:dyDescent="0.2"/>
    <row r="16208" s="496" customFormat="1" x14ac:dyDescent="0.2"/>
    <row r="16209" s="496" customFormat="1" x14ac:dyDescent="0.2"/>
    <row r="16210" s="496" customFormat="1" x14ac:dyDescent="0.2"/>
    <row r="16211" s="496" customFormat="1" x14ac:dyDescent="0.2"/>
    <row r="16212" s="496" customFormat="1" x14ac:dyDescent="0.2"/>
    <row r="16213" s="496" customFormat="1" x14ac:dyDescent="0.2"/>
    <row r="16214" s="496" customFormat="1" x14ac:dyDescent="0.2"/>
    <row r="16215" s="496" customFormat="1" x14ac:dyDescent="0.2"/>
    <row r="16216" s="496" customFormat="1" x14ac:dyDescent="0.2"/>
    <row r="16217" s="496" customFormat="1" x14ac:dyDescent="0.2"/>
    <row r="16218" s="496" customFormat="1" x14ac:dyDescent="0.2"/>
    <row r="16219" s="496" customFormat="1" x14ac:dyDescent="0.2"/>
    <row r="16220" s="496" customFormat="1" x14ac:dyDescent="0.2"/>
    <row r="16221" s="496" customFormat="1" x14ac:dyDescent="0.2"/>
    <row r="16222" s="496" customFormat="1" x14ac:dyDescent="0.2"/>
    <row r="16223" s="496" customFormat="1" x14ac:dyDescent="0.2"/>
    <row r="16224" s="496" customFormat="1" x14ac:dyDescent="0.2"/>
    <row r="16225" s="496" customFormat="1" x14ac:dyDescent="0.2"/>
    <row r="16226" s="496" customFormat="1" x14ac:dyDescent="0.2"/>
    <row r="16227" s="496" customFormat="1" x14ac:dyDescent="0.2"/>
    <row r="16228" s="496" customFormat="1" x14ac:dyDescent="0.2"/>
    <row r="16229" s="496" customFormat="1" x14ac:dyDescent="0.2"/>
    <row r="16230" s="496" customFormat="1" x14ac:dyDescent="0.2"/>
    <row r="16231" s="496" customFormat="1" x14ac:dyDescent="0.2"/>
    <row r="16232" s="496" customFormat="1" x14ac:dyDescent="0.2"/>
    <row r="16233" s="496" customFormat="1" x14ac:dyDescent="0.2"/>
    <row r="16234" s="496" customFormat="1" x14ac:dyDescent="0.2"/>
    <row r="16235" s="496" customFormat="1" x14ac:dyDescent="0.2"/>
    <row r="16236" s="496" customFormat="1" x14ac:dyDescent="0.2"/>
    <row r="16237" s="496" customFormat="1" x14ac:dyDescent="0.2"/>
    <row r="16238" s="496" customFormat="1" x14ac:dyDescent="0.2"/>
    <row r="16239" s="496" customFormat="1" x14ac:dyDescent="0.2"/>
    <row r="16240" s="496" customFormat="1" x14ac:dyDescent="0.2"/>
    <row r="16241" s="496" customFormat="1" x14ac:dyDescent="0.2"/>
    <row r="16242" s="496" customFormat="1" x14ac:dyDescent="0.2"/>
    <row r="16243" s="496" customFormat="1" x14ac:dyDescent="0.2"/>
    <row r="16244" s="496" customFormat="1" x14ac:dyDescent="0.2"/>
    <row r="16245" s="496" customFormat="1" x14ac:dyDescent="0.2"/>
    <row r="16246" s="496" customFormat="1" x14ac:dyDescent="0.2"/>
    <row r="16247" s="496" customFormat="1" x14ac:dyDescent="0.2"/>
    <row r="16248" s="496" customFormat="1" x14ac:dyDescent="0.2"/>
    <row r="16249" s="496" customFormat="1" x14ac:dyDescent="0.2"/>
    <row r="16250" s="496" customFormat="1" x14ac:dyDescent="0.2"/>
    <row r="16251" s="496" customFormat="1" x14ac:dyDescent="0.2"/>
    <row r="16252" s="496" customFormat="1" x14ac:dyDescent="0.2"/>
    <row r="16253" s="496" customFormat="1" x14ac:dyDescent="0.2"/>
    <row r="16254" s="496" customFormat="1" x14ac:dyDescent="0.2"/>
    <row r="16255" s="496" customFormat="1" x14ac:dyDescent="0.2"/>
    <row r="16256" s="496" customFormat="1" x14ac:dyDescent="0.2"/>
    <row r="16257" s="496" customFormat="1" x14ac:dyDescent="0.2"/>
    <row r="16258" s="496" customFormat="1" x14ac:dyDescent="0.2"/>
    <row r="16259" s="496" customFormat="1" x14ac:dyDescent="0.2"/>
    <row r="16260" s="496" customFormat="1" x14ac:dyDescent="0.2"/>
    <row r="16261" s="496" customFormat="1" x14ac:dyDescent="0.2"/>
    <row r="16262" s="496" customFormat="1" x14ac:dyDescent="0.2"/>
    <row r="16263" s="496" customFormat="1" x14ac:dyDescent="0.2"/>
    <row r="16264" s="496" customFormat="1" x14ac:dyDescent="0.2"/>
    <row r="16265" s="496" customFormat="1" x14ac:dyDescent="0.2"/>
    <row r="16266" s="496" customFormat="1" x14ac:dyDescent="0.2"/>
    <row r="16267" s="496" customFormat="1" x14ac:dyDescent="0.2"/>
    <row r="16268" s="496" customFormat="1" x14ac:dyDescent="0.2"/>
    <row r="16269" s="496" customFormat="1" x14ac:dyDescent="0.2"/>
    <row r="16270" s="496" customFormat="1" x14ac:dyDescent="0.2"/>
    <row r="16271" s="496" customFormat="1" x14ac:dyDescent="0.2"/>
    <row r="16272" s="496" customFormat="1" x14ac:dyDescent="0.2"/>
    <row r="16273" s="496" customFormat="1" x14ac:dyDescent="0.2"/>
    <row r="16274" s="496" customFormat="1" x14ac:dyDescent="0.2"/>
    <row r="16275" s="496" customFormat="1" x14ac:dyDescent="0.2"/>
    <row r="16276" s="496" customFormat="1" x14ac:dyDescent="0.2"/>
    <row r="16277" s="496" customFormat="1" x14ac:dyDescent="0.2"/>
    <row r="16278" s="496" customFormat="1" x14ac:dyDescent="0.2"/>
    <row r="16279" s="496" customFormat="1" x14ac:dyDescent="0.2"/>
    <row r="16280" s="496" customFormat="1" x14ac:dyDescent="0.2"/>
    <row r="16281" s="496" customFormat="1" x14ac:dyDescent="0.2"/>
    <row r="16282" s="496" customFormat="1" x14ac:dyDescent="0.2"/>
    <row r="16283" s="496" customFormat="1" x14ac:dyDescent="0.2"/>
    <row r="16284" s="496" customFormat="1" x14ac:dyDescent="0.2"/>
    <row r="16285" s="496" customFormat="1" x14ac:dyDescent="0.2"/>
    <row r="16286" s="496" customFormat="1" x14ac:dyDescent="0.2"/>
    <row r="16287" s="496" customFormat="1" x14ac:dyDescent="0.2"/>
    <row r="16288" s="496" customFormat="1" x14ac:dyDescent="0.2"/>
    <row r="16289" s="496" customFormat="1" x14ac:dyDescent="0.2"/>
    <row r="16290" s="496" customFormat="1" x14ac:dyDescent="0.2"/>
    <row r="16291" s="496" customFormat="1" x14ac:dyDescent="0.2"/>
    <row r="16292" s="496" customFormat="1" x14ac:dyDescent="0.2"/>
    <row r="16293" s="496" customFormat="1" x14ac:dyDescent="0.2"/>
    <row r="16294" s="496" customFormat="1" x14ac:dyDescent="0.2"/>
    <row r="16295" s="496" customFormat="1" x14ac:dyDescent="0.2"/>
    <row r="16296" s="496" customFormat="1" x14ac:dyDescent="0.2"/>
    <row r="16297" s="496" customFormat="1" x14ac:dyDescent="0.2"/>
    <row r="16298" s="496" customFormat="1" x14ac:dyDescent="0.2"/>
    <row r="16299" s="496" customFormat="1" x14ac:dyDescent="0.2"/>
    <row r="16300" s="496" customFormat="1" x14ac:dyDescent="0.2"/>
    <row r="16301" s="496" customFormat="1" x14ac:dyDescent="0.2"/>
    <row r="16302" s="496" customFormat="1" x14ac:dyDescent="0.2"/>
    <row r="16303" s="496" customFormat="1" x14ac:dyDescent="0.2"/>
    <row r="16304" s="496" customFormat="1" x14ac:dyDescent="0.2"/>
    <row r="16305" s="496" customFormat="1" x14ac:dyDescent="0.2"/>
    <row r="16306" s="496" customFormat="1" x14ac:dyDescent="0.2"/>
    <row r="16307" s="496" customFormat="1" x14ac:dyDescent="0.2"/>
    <row r="16308" s="496" customFormat="1" x14ac:dyDescent="0.2"/>
    <row r="16309" s="496" customFormat="1" x14ac:dyDescent="0.2"/>
    <row r="16310" s="496" customFormat="1" x14ac:dyDescent="0.2"/>
    <row r="16311" s="496" customFormat="1" x14ac:dyDescent="0.2"/>
    <row r="16312" s="496" customFormat="1" x14ac:dyDescent="0.2"/>
    <row r="16313" s="496" customFormat="1" x14ac:dyDescent="0.2"/>
    <row r="16314" s="496" customFormat="1" x14ac:dyDescent="0.2"/>
    <row r="16315" s="496" customFormat="1" x14ac:dyDescent="0.2"/>
    <row r="16316" s="496" customFormat="1" x14ac:dyDescent="0.2"/>
    <row r="16317" s="496" customFormat="1" x14ac:dyDescent="0.2"/>
    <row r="16318" s="496" customFormat="1" x14ac:dyDescent="0.2"/>
    <row r="16319" s="496" customFormat="1" x14ac:dyDescent="0.2"/>
    <row r="16320" s="496" customFormat="1" x14ac:dyDescent="0.2"/>
    <row r="16321" s="496" customFormat="1" x14ac:dyDescent="0.2"/>
    <row r="16322" s="496" customFormat="1" x14ac:dyDescent="0.2"/>
    <row r="16323" s="496" customFormat="1" x14ac:dyDescent="0.2"/>
    <row r="16324" s="496" customFormat="1" x14ac:dyDescent="0.2"/>
    <row r="16325" s="496" customFormat="1" x14ac:dyDescent="0.2"/>
    <row r="16326" s="496" customFormat="1" x14ac:dyDescent="0.2"/>
    <row r="16327" s="496" customFormat="1" x14ac:dyDescent="0.2"/>
    <row r="16328" s="496" customFormat="1" x14ac:dyDescent="0.2"/>
    <row r="16329" s="496" customFormat="1" x14ac:dyDescent="0.2"/>
    <row r="16330" s="496" customFormat="1" x14ac:dyDescent="0.2"/>
    <row r="16331" s="496" customFormat="1" x14ac:dyDescent="0.2"/>
    <row r="16332" s="496" customFormat="1" x14ac:dyDescent="0.2"/>
    <row r="16333" s="496" customFormat="1" x14ac:dyDescent="0.2"/>
    <row r="16334" s="496" customFormat="1" x14ac:dyDescent="0.2"/>
    <row r="16335" s="496" customFormat="1" x14ac:dyDescent="0.2"/>
    <row r="16336" s="496" customFormat="1" x14ac:dyDescent="0.2"/>
    <row r="16337" s="496" customFormat="1" x14ac:dyDescent="0.2"/>
    <row r="16338" s="496" customFormat="1" x14ac:dyDescent="0.2"/>
    <row r="16339" s="496" customFormat="1" x14ac:dyDescent="0.2"/>
    <row r="16340" s="496" customFormat="1" x14ac:dyDescent="0.2"/>
    <row r="16341" s="496" customFormat="1" x14ac:dyDescent="0.2"/>
    <row r="16342" s="496" customFormat="1" x14ac:dyDescent="0.2"/>
    <row r="16343" s="496" customFormat="1" x14ac:dyDescent="0.2"/>
    <row r="16344" s="496" customFormat="1" x14ac:dyDescent="0.2"/>
    <row r="16345" s="496" customFormat="1" x14ac:dyDescent="0.2"/>
    <row r="16346" s="496" customFormat="1" x14ac:dyDescent="0.2"/>
    <row r="16347" s="496" customFormat="1" x14ac:dyDescent="0.2"/>
    <row r="16348" s="496" customFormat="1" x14ac:dyDescent="0.2"/>
    <row r="16349" s="496" customFormat="1" x14ac:dyDescent="0.2"/>
    <row r="16350" s="496" customFormat="1" x14ac:dyDescent="0.2"/>
    <row r="16351" s="496" customFormat="1" x14ac:dyDescent="0.2"/>
    <row r="16352" s="496" customFormat="1" x14ac:dyDescent="0.2"/>
    <row r="16353" s="496" customFormat="1" x14ac:dyDescent="0.2"/>
    <row r="16354" s="496" customFormat="1" x14ac:dyDescent="0.2"/>
    <row r="16355" s="496" customFormat="1" x14ac:dyDescent="0.2"/>
    <row r="16356" s="496" customFormat="1" x14ac:dyDescent="0.2"/>
    <row r="16357" s="496" customFormat="1" x14ac:dyDescent="0.2"/>
    <row r="16358" s="496" customFormat="1" x14ac:dyDescent="0.2"/>
    <row r="16359" s="496" customFormat="1" x14ac:dyDescent="0.2"/>
    <row r="16360" s="496" customFormat="1" x14ac:dyDescent="0.2"/>
    <row r="16361" s="496" customFormat="1" x14ac:dyDescent="0.2"/>
    <row r="16362" s="496" customFormat="1" x14ac:dyDescent="0.2"/>
    <row r="16363" s="496" customFormat="1" x14ac:dyDescent="0.2"/>
    <row r="16364" s="496" customFormat="1" x14ac:dyDescent="0.2"/>
    <row r="16365" s="496" customFormat="1" x14ac:dyDescent="0.2"/>
    <row r="16366" s="496" customFormat="1" x14ac:dyDescent="0.2"/>
    <row r="16367" s="496" customFormat="1" x14ac:dyDescent="0.2"/>
    <row r="16368" s="496" customFormat="1" x14ac:dyDescent="0.2"/>
    <row r="16369" s="496" customFormat="1" x14ac:dyDescent="0.2"/>
    <row r="16370" s="496" customFormat="1" x14ac:dyDescent="0.2"/>
    <row r="16371" s="496" customFormat="1" x14ac:dyDescent="0.2"/>
    <row r="16372" s="496" customFormat="1" x14ac:dyDescent="0.2"/>
    <row r="16373" s="496" customFormat="1" x14ac:dyDescent="0.2"/>
    <row r="16374" s="496" customFormat="1" x14ac:dyDescent="0.2"/>
    <row r="16375" s="496" customFormat="1" x14ac:dyDescent="0.2"/>
    <row r="16376" s="496" customFormat="1" x14ac:dyDescent="0.2"/>
    <row r="16377" s="496" customFormat="1" x14ac:dyDescent="0.2"/>
    <row r="16378" s="496" customFormat="1" x14ac:dyDescent="0.2"/>
    <row r="16379" s="496" customFormat="1" x14ac:dyDescent="0.2"/>
    <row r="16380" s="496" customFormat="1" x14ac:dyDescent="0.2"/>
    <row r="16381" s="496" customFormat="1" x14ac:dyDescent="0.2"/>
    <row r="16382" s="496" customFormat="1" x14ac:dyDescent="0.2"/>
    <row r="16383" s="496" customFormat="1" x14ac:dyDescent="0.2"/>
    <row r="16384" s="496" customFormat="1" x14ac:dyDescent="0.2"/>
    <row r="16385" s="496" customFormat="1" x14ac:dyDescent="0.2"/>
    <row r="16386" s="496" customFormat="1" x14ac:dyDescent="0.2"/>
    <row r="16387" s="496" customFormat="1" x14ac:dyDescent="0.2"/>
    <row r="16388" s="496" customFormat="1" x14ac:dyDescent="0.2"/>
    <row r="16389" s="496" customFormat="1" x14ac:dyDescent="0.2"/>
    <row r="16390" s="496" customFormat="1" x14ac:dyDescent="0.2"/>
    <row r="16391" s="496" customFormat="1" x14ac:dyDescent="0.2"/>
    <row r="16392" s="496" customFormat="1" x14ac:dyDescent="0.2"/>
    <row r="16393" s="496" customFormat="1" x14ac:dyDescent="0.2"/>
    <row r="16394" s="496" customFormat="1" x14ac:dyDescent="0.2"/>
    <row r="16395" s="496" customFormat="1" x14ac:dyDescent="0.2"/>
    <row r="16396" s="496" customFormat="1" x14ac:dyDescent="0.2"/>
    <row r="16397" s="496" customFormat="1" x14ac:dyDescent="0.2"/>
    <row r="16398" s="496" customFormat="1" x14ac:dyDescent="0.2"/>
    <row r="16399" s="496" customFormat="1" x14ac:dyDescent="0.2"/>
    <row r="16400" s="496" customFormat="1" x14ac:dyDescent="0.2"/>
    <row r="16401" s="496" customFormat="1" x14ac:dyDescent="0.2"/>
    <row r="16402" s="496" customFormat="1" x14ac:dyDescent="0.2"/>
    <row r="16403" s="496" customFormat="1" x14ac:dyDescent="0.2"/>
    <row r="16404" s="496" customFormat="1" x14ac:dyDescent="0.2"/>
    <row r="16405" s="496" customFormat="1" x14ac:dyDescent="0.2"/>
    <row r="16406" s="496" customFormat="1" x14ac:dyDescent="0.2"/>
    <row r="16407" s="496" customFormat="1" x14ac:dyDescent="0.2"/>
    <row r="16408" s="496" customFormat="1" x14ac:dyDescent="0.2"/>
    <row r="16409" s="496" customFormat="1" x14ac:dyDescent="0.2"/>
    <row r="16410" s="496" customFormat="1" x14ac:dyDescent="0.2"/>
    <row r="16411" s="496" customFormat="1" x14ac:dyDescent="0.2"/>
    <row r="16412" s="496" customFormat="1" x14ac:dyDescent="0.2"/>
    <row r="16413" s="496" customFormat="1" x14ac:dyDescent="0.2"/>
    <row r="16414" s="496" customFormat="1" x14ac:dyDescent="0.2"/>
    <row r="16415" s="496" customFormat="1" x14ac:dyDescent="0.2"/>
    <row r="16416" s="496" customFormat="1" x14ac:dyDescent="0.2"/>
    <row r="16417" s="496" customFormat="1" x14ac:dyDescent="0.2"/>
    <row r="16418" s="496" customFormat="1" x14ac:dyDescent="0.2"/>
    <row r="16419" s="496" customFormat="1" x14ac:dyDescent="0.2"/>
    <row r="16420" s="496" customFormat="1" x14ac:dyDescent="0.2"/>
    <row r="16421" s="496" customFormat="1" x14ac:dyDescent="0.2"/>
    <row r="16422" s="496" customFormat="1" x14ac:dyDescent="0.2"/>
    <row r="16423" s="496" customFormat="1" x14ac:dyDescent="0.2"/>
    <row r="16424" s="496" customFormat="1" x14ac:dyDescent="0.2"/>
    <row r="16425" s="496" customFormat="1" x14ac:dyDescent="0.2"/>
    <row r="16426" s="496" customFormat="1" x14ac:dyDescent="0.2"/>
    <row r="16427" s="496" customFormat="1" x14ac:dyDescent="0.2"/>
    <row r="16428" s="496" customFormat="1" x14ac:dyDescent="0.2"/>
    <row r="16429" s="496" customFormat="1" x14ac:dyDescent="0.2"/>
    <row r="16430" s="496" customFormat="1" x14ac:dyDescent="0.2"/>
    <row r="16431" s="496" customFormat="1" x14ac:dyDescent="0.2"/>
    <row r="16432" s="496" customFormat="1" x14ac:dyDescent="0.2"/>
    <row r="16433" s="496" customFormat="1" x14ac:dyDescent="0.2"/>
    <row r="16434" s="496" customFormat="1" x14ac:dyDescent="0.2"/>
    <row r="16435" s="496" customFormat="1" x14ac:dyDescent="0.2"/>
    <row r="16436" s="496" customFormat="1" x14ac:dyDescent="0.2"/>
    <row r="16437" s="496" customFormat="1" x14ac:dyDescent="0.2"/>
    <row r="16438" s="496" customFormat="1" x14ac:dyDescent="0.2"/>
    <row r="16439" s="496" customFormat="1" x14ac:dyDescent="0.2"/>
    <row r="16440" s="496" customFormat="1" x14ac:dyDescent="0.2"/>
    <row r="16441" s="496" customFormat="1" x14ac:dyDescent="0.2"/>
    <row r="16442" s="496" customFormat="1" x14ac:dyDescent="0.2"/>
    <row r="16443" s="496" customFormat="1" x14ac:dyDescent="0.2"/>
    <row r="16444" s="496" customFormat="1" x14ac:dyDescent="0.2"/>
    <row r="16445" s="496" customFormat="1" x14ac:dyDescent="0.2"/>
    <row r="16446" s="496" customFormat="1" x14ac:dyDescent="0.2"/>
    <row r="16447" s="496" customFormat="1" x14ac:dyDescent="0.2"/>
    <row r="16448" s="496" customFormat="1" x14ac:dyDescent="0.2"/>
    <row r="16449" s="496" customFormat="1" x14ac:dyDescent="0.2"/>
    <row r="16450" s="496" customFormat="1" x14ac:dyDescent="0.2"/>
    <row r="16451" s="496" customFormat="1" x14ac:dyDescent="0.2"/>
    <row r="16452" s="496" customFormat="1" x14ac:dyDescent="0.2"/>
    <row r="16453" s="496" customFormat="1" x14ac:dyDescent="0.2"/>
    <row r="16454" s="496" customFormat="1" x14ac:dyDescent="0.2"/>
    <row r="16455" s="496" customFormat="1" x14ac:dyDescent="0.2"/>
    <row r="16456" s="496" customFormat="1" x14ac:dyDescent="0.2"/>
    <row r="16457" s="496" customFormat="1" x14ac:dyDescent="0.2"/>
    <row r="16458" s="496" customFormat="1" x14ac:dyDescent="0.2"/>
    <row r="16459" s="496" customFormat="1" x14ac:dyDescent="0.2"/>
    <row r="16460" s="496" customFormat="1" x14ac:dyDescent="0.2"/>
    <row r="16461" s="496" customFormat="1" x14ac:dyDescent="0.2"/>
    <row r="16462" s="496" customFormat="1" x14ac:dyDescent="0.2"/>
    <row r="16463" s="496" customFormat="1" x14ac:dyDescent="0.2"/>
    <row r="16464" s="496" customFormat="1" x14ac:dyDescent="0.2"/>
    <row r="16465" s="496" customFormat="1" x14ac:dyDescent="0.2"/>
    <row r="16466" s="496" customFormat="1" x14ac:dyDescent="0.2"/>
    <row r="16467" s="496" customFormat="1" x14ac:dyDescent="0.2"/>
    <row r="16468" s="496" customFormat="1" x14ac:dyDescent="0.2"/>
    <row r="16469" s="496" customFormat="1" x14ac:dyDescent="0.2"/>
    <row r="16470" s="496" customFormat="1" x14ac:dyDescent="0.2"/>
    <row r="16471" s="496" customFormat="1" x14ac:dyDescent="0.2"/>
    <row r="16472" s="496" customFormat="1" x14ac:dyDescent="0.2"/>
    <row r="16473" s="496" customFormat="1" x14ac:dyDescent="0.2"/>
    <row r="16474" s="496" customFormat="1" x14ac:dyDescent="0.2"/>
    <row r="16475" s="496" customFormat="1" x14ac:dyDescent="0.2"/>
    <row r="16476" s="496" customFormat="1" x14ac:dyDescent="0.2"/>
    <row r="16477" s="496" customFormat="1" x14ac:dyDescent="0.2"/>
    <row r="16478" s="496" customFormat="1" x14ac:dyDescent="0.2"/>
    <row r="16479" s="496" customFormat="1" x14ac:dyDescent="0.2"/>
    <row r="16480" s="496" customFormat="1" x14ac:dyDescent="0.2"/>
    <row r="16481" s="496" customFormat="1" x14ac:dyDescent="0.2"/>
    <row r="16482" s="496" customFormat="1" x14ac:dyDescent="0.2"/>
    <row r="16483" s="496" customFormat="1" x14ac:dyDescent="0.2"/>
    <row r="16484" s="496" customFormat="1" x14ac:dyDescent="0.2"/>
    <row r="16485" s="496" customFormat="1" x14ac:dyDescent="0.2"/>
    <row r="16486" s="496" customFormat="1" x14ac:dyDescent="0.2"/>
    <row r="16487" s="496" customFormat="1" x14ac:dyDescent="0.2"/>
    <row r="16488" s="496" customFormat="1" x14ac:dyDescent="0.2"/>
    <row r="16489" s="496" customFormat="1" x14ac:dyDescent="0.2"/>
    <row r="16490" s="496" customFormat="1" x14ac:dyDescent="0.2"/>
    <row r="16491" s="496" customFormat="1" x14ac:dyDescent="0.2"/>
    <row r="16492" s="496" customFormat="1" x14ac:dyDescent="0.2"/>
    <row r="16493" s="496" customFormat="1" x14ac:dyDescent="0.2"/>
    <row r="16494" s="496" customFormat="1" x14ac:dyDescent="0.2"/>
    <row r="16495" s="496" customFormat="1" x14ac:dyDescent="0.2"/>
    <row r="16496" s="496" customFormat="1" x14ac:dyDescent="0.2"/>
    <row r="16497" s="496" customFormat="1" x14ac:dyDescent="0.2"/>
    <row r="16498" s="496" customFormat="1" x14ac:dyDescent="0.2"/>
    <row r="16499" s="496" customFormat="1" x14ac:dyDescent="0.2"/>
    <row r="16500" s="496" customFormat="1" x14ac:dyDescent="0.2"/>
    <row r="16501" s="496" customFormat="1" x14ac:dyDescent="0.2"/>
    <row r="16502" s="496" customFormat="1" x14ac:dyDescent="0.2"/>
    <row r="16503" s="496" customFormat="1" x14ac:dyDescent="0.2"/>
    <row r="16504" s="496" customFormat="1" x14ac:dyDescent="0.2"/>
    <row r="16505" s="496" customFormat="1" x14ac:dyDescent="0.2"/>
    <row r="16506" s="496" customFormat="1" x14ac:dyDescent="0.2"/>
    <row r="16507" s="496" customFormat="1" x14ac:dyDescent="0.2"/>
    <row r="16508" s="496" customFormat="1" x14ac:dyDescent="0.2"/>
    <row r="16509" s="496" customFormat="1" x14ac:dyDescent="0.2"/>
    <row r="16510" s="496" customFormat="1" x14ac:dyDescent="0.2"/>
    <row r="16511" s="496" customFormat="1" x14ac:dyDescent="0.2"/>
    <row r="16512" s="496" customFormat="1" x14ac:dyDescent="0.2"/>
    <row r="16513" s="496" customFormat="1" x14ac:dyDescent="0.2"/>
    <row r="16514" s="496" customFormat="1" x14ac:dyDescent="0.2"/>
    <row r="16515" s="496" customFormat="1" x14ac:dyDescent="0.2"/>
    <row r="16516" s="496" customFormat="1" x14ac:dyDescent="0.2"/>
    <row r="16517" s="496" customFormat="1" x14ac:dyDescent="0.2"/>
    <row r="16518" s="496" customFormat="1" x14ac:dyDescent="0.2"/>
    <row r="16519" s="496" customFormat="1" x14ac:dyDescent="0.2"/>
    <row r="16520" s="496" customFormat="1" x14ac:dyDescent="0.2"/>
    <row r="16521" s="496" customFormat="1" x14ac:dyDescent="0.2"/>
    <row r="16522" s="496" customFormat="1" x14ac:dyDescent="0.2"/>
    <row r="16523" s="496" customFormat="1" x14ac:dyDescent="0.2"/>
    <row r="16524" s="496" customFormat="1" x14ac:dyDescent="0.2"/>
    <row r="16525" s="496" customFormat="1" x14ac:dyDescent="0.2"/>
    <row r="16526" s="496" customFormat="1" x14ac:dyDescent="0.2"/>
    <row r="16527" s="496" customFormat="1" x14ac:dyDescent="0.2"/>
    <row r="16528" s="496" customFormat="1" x14ac:dyDescent="0.2"/>
    <row r="16529" s="496" customFormat="1" x14ac:dyDescent="0.2"/>
    <row r="16530" s="496" customFormat="1" x14ac:dyDescent="0.2"/>
    <row r="16531" s="496" customFormat="1" x14ac:dyDescent="0.2"/>
    <row r="16532" s="496" customFormat="1" x14ac:dyDescent="0.2"/>
    <row r="16533" s="496" customFormat="1" x14ac:dyDescent="0.2"/>
    <row r="16534" s="496" customFormat="1" x14ac:dyDescent="0.2"/>
    <row r="16535" s="496" customFormat="1" x14ac:dyDescent="0.2"/>
    <row r="16536" s="496" customFormat="1" x14ac:dyDescent="0.2"/>
    <row r="16537" s="496" customFormat="1" x14ac:dyDescent="0.2"/>
    <row r="16538" s="496" customFormat="1" x14ac:dyDescent="0.2"/>
    <row r="16539" s="496" customFormat="1" x14ac:dyDescent="0.2"/>
    <row r="16540" s="496" customFormat="1" x14ac:dyDescent="0.2"/>
    <row r="16541" s="496" customFormat="1" x14ac:dyDescent="0.2"/>
    <row r="16542" s="496" customFormat="1" x14ac:dyDescent="0.2"/>
    <row r="16543" s="496" customFormat="1" x14ac:dyDescent="0.2"/>
    <row r="16544" s="496" customFormat="1" x14ac:dyDescent="0.2"/>
    <row r="16545" s="496" customFormat="1" x14ac:dyDescent="0.2"/>
    <row r="16546" s="496" customFormat="1" x14ac:dyDescent="0.2"/>
    <row r="16547" s="496" customFormat="1" x14ac:dyDescent="0.2"/>
    <row r="16548" s="496" customFormat="1" x14ac:dyDescent="0.2"/>
    <row r="16549" s="496" customFormat="1" x14ac:dyDescent="0.2"/>
    <row r="16550" s="496" customFormat="1" x14ac:dyDescent="0.2"/>
    <row r="16551" s="496" customFormat="1" x14ac:dyDescent="0.2"/>
    <row r="16552" s="496" customFormat="1" x14ac:dyDescent="0.2"/>
    <row r="16553" s="496" customFormat="1" x14ac:dyDescent="0.2"/>
    <row r="16554" s="496" customFormat="1" x14ac:dyDescent="0.2"/>
    <row r="16555" s="496" customFormat="1" x14ac:dyDescent="0.2"/>
    <row r="16556" s="496" customFormat="1" x14ac:dyDescent="0.2"/>
    <row r="16557" s="496" customFormat="1" x14ac:dyDescent="0.2"/>
    <row r="16558" s="496" customFormat="1" x14ac:dyDescent="0.2"/>
    <row r="16559" s="496" customFormat="1" x14ac:dyDescent="0.2"/>
    <row r="16560" s="496" customFormat="1" x14ac:dyDescent="0.2"/>
    <row r="16561" s="496" customFormat="1" x14ac:dyDescent="0.2"/>
    <row r="16562" s="496" customFormat="1" x14ac:dyDescent="0.2"/>
    <row r="16563" s="496" customFormat="1" x14ac:dyDescent="0.2"/>
    <row r="16564" s="496" customFormat="1" x14ac:dyDescent="0.2"/>
    <row r="16565" s="496" customFormat="1" x14ac:dyDescent="0.2"/>
    <row r="16566" s="496" customFormat="1" x14ac:dyDescent="0.2"/>
    <row r="16567" s="496" customFormat="1" x14ac:dyDescent="0.2"/>
    <row r="16568" s="496" customFormat="1" x14ac:dyDescent="0.2"/>
    <row r="16569" s="496" customFormat="1" x14ac:dyDescent="0.2"/>
    <row r="16570" s="496" customFormat="1" x14ac:dyDescent="0.2"/>
    <row r="16571" s="496" customFormat="1" x14ac:dyDescent="0.2"/>
    <row r="16572" s="496" customFormat="1" x14ac:dyDescent="0.2"/>
    <row r="16573" s="496" customFormat="1" x14ac:dyDescent="0.2"/>
    <row r="16574" s="496" customFormat="1" x14ac:dyDescent="0.2"/>
    <row r="16575" s="496" customFormat="1" x14ac:dyDescent="0.2"/>
    <row r="16576" s="496" customFormat="1" x14ac:dyDescent="0.2"/>
    <row r="16577" s="496" customFormat="1" x14ac:dyDescent="0.2"/>
    <row r="16578" s="496" customFormat="1" x14ac:dyDescent="0.2"/>
    <row r="16579" s="496" customFormat="1" x14ac:dyDescent="0.2"/>
    <row r="16580" s="496" customFormat="1" x14ac:dyDescent="0.2"/>
    <row r="16581" s="496" customFormat="1" x14ac:dyDescent="0.2"/>
    <row r="16582" s="496" customFormat="1" x14ac:dyDescent="0.2"/>
    <row r="16583" s="496" customFormat="1" x14ac:dyDescent="0.2"/>
    <row r="16584" s="496" customFormat="1" x14ac:dyDescent="0.2"/>
    <row r="16585" s="496" customFormat="1" x14ac:dyDescent="0.2"/>
    <row r="16586" s="496" customFormat="1" x14ac:dyDescent="0.2"/>
    <row r="16587" s="496" customFormat="1" x14ac:dyDescent="0.2"/>
    <row r="16588" s="496" customFormat="1" x14ac:dyDescent="0.2"/>
    <row r="16589" s="496" customFormat="1" x14ac:dyDescent="0.2"/>
    <row r="16590" s="496" customFormat="1" x14ac:dyDescent="0.2"/>
    <row r="16591" s="496" customFormat="1" x14ac:dyDescent="0.2"/>
    <row r="16592" s="496" customFormat="1" x14ac:dyDescent="0.2"/>
    <row r="16593" s="496" customFormat="1" x14ac:dyDescent="0.2"/>
    <row r="16594" s="496" customFormat="1" x14ac:dyDescent="0.2"/>
    <row r="16595" s="496" customFormat="1" x14ac:dyDescent="0.2"/>
    <row r="16596" s="496" customFormat="1" x14ac:dyDescent="0.2"/>
    <row r="16597" s="496" customFormat="1" x14ac:dyDescent="0.2"/>
    <row r="16598" s="496" customFormat="1" x14ac:dyDescent="0.2"/>
    <row r="16599" s="496" customFormat="1" x14ac:dyDescent="0.2"/>
    <row r="16600" s="496" customFormat="1" x14ac:dyDescent="0.2"/>
    <row r="16601" s="496" customFormat="1" x14ac:dyDescent="0.2"/>
    <row r="16602" s="496" customFormat="1" x14ac:dyDescent="0.2"/>
    <row r="16603" s="496" customFormat="1" x14ac:dyDescent="0.2"/>
    <row r="16604" s="496" customFormat="1" x14ac:dyDescent="0.2"/>
    <row r="16605" s="496" customFormat="1" x14ac:dyDescent="0.2"/>
    <row r="16606" s="496" customFormat="1" x14ac:dyDescent="0.2"/>
    <row r="16607" s="496" customFormat="1" x14ac:dyDescent="0.2"/>
    <row r="16608" s="496" customFormat="1" x14ac:dyDescent="0.2"/>
    <row r="16609" s="496" customFormat="1" x14ac:dyDescent="0.2"/>
    <row r="16610" s="496" customFormat="1" x14ac:dyDescent="0.2"/>
    <row r="16611" s="496" customFormat="1" x14ac:dyDescent="0.2"/>
    <row r="16612" s="496" customFormat="1" x14ac:dyDescent="0.2"/>
    <row r="16613" s="496" customFormat="1" x14ac:dyDescent="0.2"/>
    <row r="16614" s="496" customFormat="1" x14ac:dyDescent="0.2"/>
    <row r="16615" s="496" customFormat="1" x14ac:dyDescent="0.2"/>
    <row r="16616" s="496" customFormat="1" x14ac:dyDescent="0.2"/>
    <row r="16617" s="496" customFormat="1" x14ac:dyDescent="0.2"/>
    <row r="16618" s="496" customFormat="1" x14ac:dyDescent="0.2"/>
    <row r="16619" s="496" customFormat="1" x14ac:dyDescent="0.2"/>
    <row r="16620" s="496" customFormat="1" x14ac:dyDescent="0.2"/>
    <row r="16621" s="496" customFormat="1" x14ac:dyDescent="0.2"/>
    <row r="16622" s="496" customFormat="1" x14ac:dyDescent="0.2"/>
    <row r="16623" s="496" customFormat="1" x14ac:dyDescent="0.2"/>
    <row r="16624" s="496" customFormat="1" x14ac:dyDescent="0.2"/>
    <row r="16625" s="496" customFormat="1" x14ac:dyDescent="0.2"/>
    <row r="16626" s="496" customFormat="1" x14ac:dyDescent="0.2"/>
    <row r="16627" s="496" customFormat="1" x14ac:dyDescent="0.2"/>
    <row r="16628" s="496" customFormat="1" x14ac:dyDescent="0.2"/>
    <row r="16629" s="496" customFormat="1" x14ac:dyDescent="0.2"/>
    <row r="16630" s="496" customFormat="1" x14ac:dyDescent="0.2"/>
    <row r="16631" s="496" customFormat="1" x14ac:dyDescent="0.2"/>
    <row r="16632" s="496" customFormat="1" x14ac:dyDescent="0.2"/>
    <row r="16633" s="496" customFormat="1" x14ac:dyDescent="0.2"/>
    <row r="16634" s="496" customFormat="1" x14ac:dyDescent="0.2"/>
    <row r="16635" s="496" customFormat="1" x14ac:dyDescent="0.2"/>
    <row r="16636" s="496" customFormat="1" x14ac:dyDescent="0.2"/>
    <row r="16637" s="496" customFormat="1" x14ac:dyDescent="0.2"/>
    <row r="16638" s="496" customFormat="1" x14ac:dyDescent="0.2"/>
    <row r="16639" s="496" customFormat="1" x14ac:dyDescent="0.2"/>
    <row r="16640" s="496" customFormat="1" x14ac:dyDescent="0.2"/>
    <row r="16641" s="496" customFormat="1" x14ac:dyDescent="0.2"/>
    <row r="16642" s="496" customFormat="1" x14ac:dyDescent="0.2"/>
    <row r="16643" s="496" customFormat="1" x14ac:dyDescent="0.2"/>
    <row r="16644" s="496" customFormat="1" x14ac:dyDescent="0.2"/>
    <row r="16645" s="496" customFormat="1" x14ac:dyDescent="0.2"/>
    <row r="16646" s="496" customFormat="1" x14ac:dyDescent="0.2"/>
    <row r="16647" s="496" customFormat="1" x14ac:dyDescent="0.2"/>
    <row r="16648" s="496" customFormat="1" x14ac:dyDescent="0.2"/>
    <row r="16649" s="496" customFormat="1" x14ac:dyDescent="0.2"/>
    <row r="16650" s="496" customFormat="1" x14ac:dyDescent="0.2"/>
    <row r="16651" s="496" customFormat="1" x14ac:dyDescent="0.2"/>
    <row r="16652" s="496" customFormat="1" x14ac:dyDescent="0.2"/>
    <row r="16653" s="496" customFormat="1" x14ac:dyDescent="0.2"/>
    <row r="16654" s="496" customFormat="1" x14ac:dyDescent="0.2"/>
    <row r="16655" s="496" customFormat="1" x14ac:dyDescent="0.2"/>
    <row r="16656" s="496" customFormat="1" x14ac:dyDescent="0.2"/>
    <row r="16657" s="496" customFormat="1" x14ac:dyDescent="0.2"/>
    <row r="16658" s="496" customFormat="1" x14ac:dyDescent="0.2"/>
    <row r="16659" s="496" customFormat="1" x14ac:dyDescent="0.2"/>
    <row r="16660" s="496" customFormat="1" x14ac:dyDescent="0.2"/>
    <row r="16661" s="496" customFormat="1" x14ac:dyDescent="0.2"/>
    <row r="16662" s="496" customFormat="1" x14ac:dyDescent="0.2"/>
    <row r="16663" s="496" customFormat="1" x14ac:dyDescent="0.2"/>
    <row r="16664" s="496" customFormat="1" x14ac:dyDescent="0.2"/>
    <row r="16665" s="496" customFormat="1" x14ac:dyDescent="0.2"/>
    <row r="16666" s="496" customFormat="1" x14ac:dyDescent="0.2"/>
    <row r="16667" s="496" customFormat="1" x14ac:dyDescent="0.2"/>
    <row r="16668" s="496" customFormat="1" x14ac:dyDescent="0.2"/>
    <row r="16669" s="496" customFormat="1" x14ac:dyDescent="0.2"/>
    <row r="16670" s="496" customFormat="1" x14ac:dyDescent="0.2"/>
    <row r="16671" s="496" customFormat="1" x14ac:dyDescent="0.2"/>
    <row r="16672" s="496" customFormat="1" x14ac:dyDescent="0.2"/>
    <row r="16673" s="496" customFormat="1" x14ac:dyDescent="0.2"/>
    <row r="16674" s="496" customFormat="1" x14ac:dyDescent="0.2"/>
    <row r="16675" s="496" customFormat="1" x14ac:dyDescent="0.2"/>
    <row r="16676" s="496" customFormat="1" x14ac:dyDescent="0.2"/>
    <row r="16677" s="496" customFormat="1" x14ac:dyDescent="0.2"/>
    <row r="16678" s="496" customFormat="1" x14ac:dyDescent="0.2"/>
    <row r="16679" s="496" customFormat="1" x14ac:dyDescent="0.2"/>
    <row r="16680" s="496" customFormat="1" x14ac:dyDescent="0.2"/>
    <row r="16681" s="496" customFormat="1" x14ac:dyDescent="0.2"/>
    <row r="16682" s="496" customFormat="1" x14ac:dyDescent="0.2"/>
    <row r="16683" s="496" customFormat="1" x14ac:dyDescent="0.2"/>
    <row r="16684" s="496" customFormat="1" x14ac:dyDescent="0.2"/>
    <row r="16685" s="496" customFormat="1" x14ac:dyDescent="0.2"/>
    <row r="16686" s="496" customFormat="1" x14ac:dyDescent="0.2"/>
    <row r="16687" s="496" customFormat="1" x14ac:dyDescent="0.2"/>
    <row r="16688" s="496" customFormat="1" x14ac:dyDescent="0.2"/>
    <row r="16689" s="496" customFormat="1" x14ac:dyDescent="0.2"/>
    <row r="16690" s="496" customFormat="1" x14ac:dyDescent="0.2"/>
    <row r="16691" s="496" customFormat="1" x14ac:dyDescent="0.2"/>
    <row r="16692" s="496" customFormat="1" x14ac:dyDescent="0.2"/>
    <row r="16693" s="496" customFormat="1" x14ac:dyDescent="0.2"/>
    <row r="16694" s="496" customFormat="1" x14ac:dyDescent="0.2"/>
    <row r="16695" s="496" customFormat="1" x14ac:dyDescent="0.2"/>
    <row r="16696" s="496" customFormat="1" x14ac:dyDescent="0.2"/>
    <row r="16697" s="496" customFormat="1" x14ac:dyDescent="0.2"/>
    <row r="16698" s="496" customFormat="1" x14ac:dyDescent="0.2"/>
    <row r="16699" s="496" customFormat="1" x14ac:dyDescent="0.2"/>
    <row r="16700" s="496" customFormat="1" x14ac:dyDescent="0.2"/>
    <row r="16701" s="496" customFormat="1" x14ac:dyDescent="0.2"/>
    <row r="16702" s="496" customFormat="1" x14ac:dyDescent="0.2"/>
    <row r="16703" s="496" customFormat="1" x14ac:dyDescent="0.2"/>
    <row r="16704" s="496" customFormat="1" x14ac:dyDescent="0.2"/>
    <row r="16705" s="496" customFormat="1" x14ac:dyDescent="0.2"/>
    <row r="16706" s="496" customFormat="1" x14ac:dyDescent="0.2"/>
    <row r="16707" s="496" customFormat="1" x14ac:dyDescent="0.2"/>
    <row r="16708" s="496" customFormat="1" x14ac:dyDescent="0.2"/>
    <row r="16709" s="496" customFormat="1" x14ac:dyDescent="0.2"/>
    <row r="16710" s="496" customFormat="1" x14ac:dyDescent="0.2"/>
    <row r="16711" s="496" customFormat="1" x14ac:dyDescent="0.2"/>
    <row r="16712" s="496" customFormat="1" x14ac:dyDescent="0.2"/>
    <row r="16713" s="496" customFormat="1" x14ac:dyDescent="0.2"/>
    <row r="16714" s="496" customFormat="1" x14ac:dyDescent="0.2"/>
    <row r="16715" s="496" customFormat="1" x14ac:dyDescent="0.2"/>
    <row r="16716" s="496" customFormat="1" x14ac:dyDescent="0.2"/>
    <row r="16717" s="496" customFormat="1" x14ac:dyDescent="0.2"/>
    <row r="16718" s="496" customFormat="1" x14ac:dyDescent="0.2"/>
    <row r="16719" s="496" customFormat="1" x14ac:dyDescent="0.2"/>
    <row r="16720" s="496" customFormat="1" x14ac:dyDescent="0.2"/>
    <row r="16721" s="496" customFormat="1" x14ac:dyDescent="0.2"/>
    <row r="16722" s="496" customFormat="1" x14ac:dyDescent="0.2"/>
    <row r="16723" s="496" customFormat="1" x14ac:dyDescent="0.2"/>
    <row r="16724" s="496" customFormat="1" x14ac:dyDescent="0.2"/>
    <row r="16725" s="496" customFormat="1" x14ac:dyDescent="0.2"/>
    <row r="16726" s="496" customFormat="1" x14ac:dyDescent="0.2"/>
    <row r="16727" s="496" customFormat="1" x14ac:dyDescent="0.2"/>
    <row r="16728" s="496" customFormat="1" x14ac:dyDescent="0.2"/>
    <row r="16729" s="496" customFormat="1" x14ac:dyDescent="0.2"/>
    <row r="16730" s="496" customFormat="1" x14ac:dyDescent="0.2"/>
    <row r="16731" s="496" customFormat="1" x14ac:dyDescent="0.2"/>
    <row r="16732" s="496" customFormat="1" x14ac:dyDescent="0.2"/>
    <row r="16733" s="496" customFormat="1" x14ac:dyDescent="0.2"/>
    <row r="16734" s="496" customFormat="1" x14ac:dyDescent="0.2"/>
    <row r="16735" s="496" customFormat="1" x14ac:dyDescent="0.2"/>
    <row r="16736" s="496" customFormat="1" x14ac:dyDescent="0.2"/>
    <row r="16737" s="496" customFormat="1" x14ac:dyDescent="0.2"/>
    <row r="16738" s="496" customFormat="1" x14ac:dyDescent="0.2"/>
    <row r="16739" s="496" customFormat="1" x14ac:dyDescent="0.2"/>
    <row r="16740" s="496" customFormat="1" x14ac:dyDescent="0.2"/>
    <row r="16741" s="496" customFormat="1" x14ac:dyDescent="0.2"/>
    <row r="16742" s="496" customFormat="1" x14ac:dyDescent="0.2"/>
    <row r="16743" s="496" customFormat="1" x14ac:dyDescent="0.2"/>
    <row r="16744" s="496" customFormat="1" x14ac:dyDescent="0.2"/>
    <row r="16745" s="496" customFormat="1" x14ac:dyDescent="0.2"/>
    <row r="16746" s="496" customFormat="1" x14ac:dyDescent="0.2"/>
    <row r="16747" s="496" customFormat="1" x14ac:dyDescent="0.2"/>
    <row r="16748" s="496" customFormat="1" x14ac:dyDescent="0.2"/>
    <row r="16749" s="496" customFormat="1" x14ac:dyDescent="0.2"/>
    <row r="16750" s="496" customFormat="1" x14ac:dyDescent="0.2"/>
    <row r="16751" s="496" customFormat="1" x14ac:dyDescent="0.2"/>
    <row r="16752" s="496" customFormat="1" x14ac:dyDescent="0.2"/>
    <row r="16753" s="496" customFormat="1" x14ac:dyDescent="0.2"/>
    <row r="16754" s="496" customFormat="1" x14ac:dyDescent="0.2"/>
    <row r="16755" s="496" customFormat="1" x14ac:dyDescent="0.2"/>
    <row r="16756" s="496" customFormat="1" x14ac:dyDescent="0.2"/>
    <row r="16757" s="496" customFormat="1" x14ac:dyDescent="0.2"/>
    <row r="16758" s="496" customFormat="1" x14ac:dyDescent="0.2"/>
    <row r="16759" s="496" customFormat="1" x14ac:dyDescent="0.2"/>
    <row r="16760" s="496" customFormat="1" x14ac:dyDescent="0.2"/>
    <row r="16761" s="496" customFormat="1" x14ac:dyDescent="0.2"/>
    <row r="16762" s="496" customFormat="1" x14ac:dyDescent="0.2"/>
    <row r="16763" s="496" customFormat="1" x14ac:dyDescent="0.2"/>
    <row r="16764" s="496" customFormat="1" x14ac:dyDescent="0.2"/>
    <row r="16765" s="496" customFormat="1" x14ac:dyDescent="0.2"/>
    <row r="16766" s="496" customFormat="1" x14ac:dyDescent="0.2"/>
    <row r="16767" s="496" customFormat="1" x14ac:dyDescent="0.2"/>
    <row r="16768" s="496" customFormat="1" x14ac:dyDescent="0.2"/>
    <row r="16769" s="496" customFormat="1" x14ac:dyDescent="0.2"/>
    <row r="16770" s="496" customFormat="1" x14ac:dyDescent="0.2"/>
    <row r="16771" s="496" customFormat="1" x14ac:dyDescent="0.2"/>
    <row r="16772" s="496" customFormat="1" x14ac:dyDescent="0.2"/>
    <row r="16773" s="496" customFormat="1" x14ac:dyDescent="0.2"/>
    <row r="16774" s="496" customFormat="1" x14ac:dyDescent="0.2"/>
    <row r="16775" s="496" customFormat="1" x14ac:dyDescent="0.2"/>
    <row r="16776" s="496" customFormat="1" x14ac:dyDescent="0.2"/>
    <row r="16777" s="496" customFormat="1" x14ac:dyDescent="0.2"/>
    <row r="16778" s="496" customFormat="1" x14ac:dyDescent="0.2"/>
    <row r="16779" s="496" customFormat="1" x14ac:dyDescent="0.2"/>
    <row r="16780" s="496" customFormat="1" x14ac:dyDescent="0.2"/>
    <row r="16781" s="496" customFormat="1" x14ac:dyDescent="0.2"/>
    <row r="16782" s="496" customFormat="1" x14ac:dyDescent="0.2"/>
    <row r="16783" s="496" customFormat="1" x14ac:dyDescent="0.2"/>
    <row r="16784" s="496" customFormat="1" x14ac:dyDescent="0.2"/>
    <row r="16785" s="496" customFormat="1" x14ac:dyDescent="0.2"/>
    <row r="16786" s="496" customFormat="1" x14ac:dyDescent="0.2"/>
    <row r="16787" s="496" customFormat="1" x14ac:dyDescent="0.2"/>
    <row r="16788" s="496" customFormat="1" x14ac:dyDescent="0.2"/>
    <row r="16789" s="496" customFormat="1" x14ac:dyDescent="0.2"/>
    <row r="16790" s="496" customFormat="1" x14ac:dyDescent="0.2"/>
    <row r="16791" s="496" customFormat="1" x14ac:dyDescent="0.2"/>
    <row r="16792" s="496" customFormat="1" x14ac:dyDescent="0.2"/>
    <row r="16793" s="496" customFormat="1" x14ac:dyDescent="0.2"/>
    <row r="16794" s="496" customFormat="1" x14ac:dyDescent="0.2"/>
    <row r="16795" s="496" customFormat="1" x14ac:dyDescent="0.2"/>
    <row r="16796" s="496" customFormat="1" x14ac:dyDescent="0.2"/>
    <row r="16797" s="496" customFormat="1" x14ac:dyDescent="0.2"/>
    <row r="16798" s="496" customFormat="1" x14ac:dyDescent="0.2"/>
    <row r="16799" s="496" customFormat="1" x14ac:dyDescent="0.2"/>
    <row r="16800" s="496" customFormat="1" x14ac:dyDescent="0.2"/>
    <row r="16801" s="496" customFormat="1" x14ac:dyDescent="0.2"/>
    <row r="16802" s="496" customFormat="1" x14ac:dyDescent="0.2"/>
    <row r="16803" s="496" customFormat="1" x14ac:dyDescent="0.2"/>
    <row r="16804" s="496" customFormat="1" x14ac:dyDescent="0.2"/>
    <row r="16805" s="496" customFormat="1" x14ac:dyDescent="0.2"/>
    <row r="16806" s="496" customFormat="1" x14ac:dyDescent="0.2"/>
    <row r="16807" s="496" customFormat="1" x14ac:dyDescent="0.2"/>
    <row r="16808" s="496" customFormat="1" x14ac:dyDescent="0.2"/>
    <row r="16809" s="496" customFormat="1" x14ac:dyDescent="0.2"/>
    <row r="16810" s="496" customFormat="1" x14ac:dyDescent="0.2"/>
    <row r="16811" s="496" customFormat="1" x14ac:dyDescent="0.2"/>
    <row r="16812" s="496" customFormat="1" x14ac:dyDescent="0.2"/>
    <row r="16813" s="496" customFormat="1" x14ac:dyDescent="0.2"/>
    <row r="16814" s="496" customFormat="1" x14ac:dyDescent="0.2"/>
    <row r="16815" s="496" customFormat="1" x14ac:dyDescent="0.2"/>
    <row r="16816" s="496" customFormat="1" x14ac:dyDescent="0.2"/>
    <row r="16817" s="496" customFormat="1" x14ac:dyDescent="0.2"/>
    <row r="16818" s="496" customFormat="1" x14ac:dyDescent="0.2"/>
    <row r="16819" s="496" customFormat="1" x14ac:dyDescent="0.2"/>
    <row r="16820" s="496" customFormat="1" x14ac:dyDescent="0.2"/>
    <row r="16821" s="496" customFormat="1" x14ac:dyDescent="0.2"/>
    <row r="16822" s="496" customFormat="1" x14ac:dyDescent="0.2"/>
    <row r="16823" s="496" customFormat="1" x14ac:dyDescent="0.2"/>
    <row r="16824" s="496" customFormat="1" x14ac:dyDescent="0.2"/>
    <row r="16825" s="496" customFormat="1" x14ac:dyDescent="0.2"/>
    <row r="16826" s="496" customFormat="1" x14ac:dyDescent="0.2"/>
    <row r="16827" s="496" customFormat="1" x14ac:dyDescent="0.2"/>
    <row r="16828" s="496" customFormat="1" x14ac:dyDescent="0.2"/>
    <row r="16829" s="496" customFormat="1" x14ac:dyDescent="0.2"/>
    <row r="16830" s="496" customFormat="1" x14ac:dyDescent="0.2"/>
    <row r="16831" s="496" customFormat="1" x14ac:dyDescent="0.2"/>
    <row r="16832" s="496" customFormat="1" x14ac:dyDescent="0.2"/>
    <row r="16833" s="496" customFormat="1" x14ac:dyDescent="0.2"/>
    <row r="16834" s="496" customFormat="1" x14ac:dyDescent="0.2"/>
    <row r="16835" s="496" customFormat="1" x14ac:dyDescent="0.2"/>
    <row r="16836" s="496" customFormat="1" x14ac:dyDescent="0.2"/>
    <row r="16837" s="496" customFormat="1" x14ac:dyDescent="0.2"/>
    <row r="16838" s="496" customFormat="1" x14ac:dyDescent="0.2"/>
    <row r="16839" s="496" customFormat="1" x14ac:dyDescent="0.2"/>
    <row r="16840" s="496" customFormat="1" x14ac:dyDescent="0.2"/>
    <row r="16841" s="496" customFormat="1" x14ac:dyDescent="0.2"/>
    <row r="16842" s="496" customFormat="1" x14ac:dyDescent="0.2"/>
    <row r="16843" s="496" customFormat="1" x14ac:dyDescent="0.2"/>
    <row r="16844" s="496" customFormat="1" x14ac:dyDescent="0.2"/>
    <row r="16845" s="496" customFormat="1" x14ac:dyDescent="0.2"/>
    <row r="16846" s="496" customFormat="1" x14ac:dyDescent="0.2"/>
    <row r="16847" s="496" customFormat="1" x14ac:dyDescent="0.2"/>
    <row r="16848" s="496" customFormat="1" x14ac:dyDescent="0.2"/>
    <row r="16849" s="496" customFormat="1" x14ac:dyDescent="0.2"/>
    <row r="16850" s="496" customFormat="1" x14ac:dyDescent="0.2"/>
    <row r="16851" s="496" customFormat="1" x14ac:dyDescent="0.2"/>
    <row r="16852" s="496" customFormat="1" x14ac:dyDescent="0.2"/>
    <row r="16853" s="496" customFormat="1" x14ac:dyDescent="0.2"/>
    <row r="16854" s="496" customFormat="1" x14ac:dyDescent="0.2"/>
    <row r="16855" s="496" customFormat="1" x14ac:dyDescent="0.2"/>
    <row r="16856" s="496" customFormat="1" x14ac:dyDescent="0.2"/>
    <row r="16857" s="496" customFormat="1" x14ac:dyDescent="0.2"/>
    <row r="16858" s="496" customFormat="1" x14ac:dyDescent="0.2"/>
    <row r="16859" s="496" customFormat="1" x14ac:dyDescent="0.2"/>
    <row r="16860" s="496" customFormat="1" x14ac:dyDescent="0.2"/>
    <row r="16861" s="496" customFormat="1" x14ac:dyDescent="0.2"/>
    <row r="16862" s="496" customFormat="1" x14ac:dyDescent="0.2"/>
    <row r="16863" s="496" customFormat="1" x14ac:dyDescent="0.2"/>
    <row r="16864" s="496" customFormat="1" x14ac:dyDescent="0.2"/>
    <row r="16865" s="496" customFormat="1" x14ac:dyDescent="0.2"/>
    <row r="16866" s="496" customFormat="1" x14ac:dyDescent="0.2"/>
    <row r="16867" s="496" customFormat="1" x14ac:dyDescent="0.2"/>
    <row r="16868" s="496" customFormat="1" x14ac:dyDescent="0.2"/>
    <row r="16869" s="496" customFormat="1" x14ac:dyDescent="0.2"/>
    <row r="16870" s="496" customFormat="1" x14ac:dyDescent="0.2"/>
    <row r="16871" s="496" customFormat="1" x14ac:dyDescent="0.2"/>
    <row r="16872" s="496" customFormat="1" x14ac:dyDescent="0.2"/>
    <row r="16873" s="496" customFormat="1" x14ac:dyDescent="0.2"/>
    <row r="16874" s="496" customFormat="1" x14ac:dyDescent="0.2"/>
    <row r="16875" s="496" customFormat="1" x14ac:dyDescent="0.2"/>
    <row r="16876" s="496" customFormat="1" x14ac:dyDescent="0.2"/>
    <row r="16877" s="496" customFormat="1" x14ac:dyDescent="0.2"/>
    <row r="16878" s="496" customFormat="1" x14ac:dyDescent="0.2"/>
    <row r="16879" s="496" customFormat="1" x14ac:dyDescent="0.2"/>
    <row r="16880" s="496" customFormat="1" x14ac:dyDescent="0.2"/>
    <row r="16881" s="496" customFormat="1" x14ac:dyDescent="0.2"/>
    <row r="16882" s="496" customFormat="1" x14ac:dyDescent="0.2"/>
    <row r="16883" s="496" customFormat="1" x14ac:dyDescent="0.2"/>
    <row r="16884" s="496" customFormat="1" x14ac:dyDescent="0.2"/>
    <row r="16885" s="496" customFormat="1" x14ac:dyDescent="0.2"/>
    <row r="16886" s="496" customFormat="1" x14ac:dyDescent="0.2"/>
    <row r="16887" s="496" customFormat="1" x14ac:dyDescent="0.2"/>
    <row r="16888" s="496" customFormat="1" x14ac:dyDescent="0.2"/>
    <row r="16889" s="496" customFormat="1" x14ac:dyDescent="0.2"/>
    <row r="16890" s="496" customFormat="1" x14ac:dyDescent="0.2"/>
    <row r="16891" s="496" customFormat="1" x14ac:dyDescent="0.2"/>
    <row r="16892" s="496" customFormat="1" x14ac:dyDescent="0.2"/>
    <row r="16893" s="496" customFormat="1" x14ac:dyDescent="0.2"/>
    <row r="16894" s="496" customFormat="1" x14ac:dyDescent="0.2"/>
    <row r="16895" s="496" customFormat="1" x14ac:dyDescent="0.2"/>
    <row r="16896" s="496" customFormat="1" x14ac:dyDescent="0.2"/>
    <row r="16897" s="496" customFormat="1" x14ac:dyDescent="0.2"/>
    <row r="16898" s="496" customFormat="1" x14ac:dyDescent="0.2"/>
    <row r="16899" s="496" customFormat="1" x14ac:dyDescent="0.2"/>
    <row r="16900" s="496" customFormat="1" x14ac:dyDescent="0.2"/>
    <row r="16901" s="496" customFormat="1" x14ac:dyDescent="0.2"/>
    <row r="16902" s="496" customFormat="1" x14ac:dyDescent="0.2"/>
    <row r="16903" s="496" customFormat="1" x14ac:dyDescent="0.2"/>
    <row r="16904" s="496" customFormat="1" x14ac:dyDescent="0.2"/>
    <row r="16905" s="496" customFormat="1" x14ac:dyDescent="0.2"/>
    <row r="16906" s="496" customFormat="1" x14ac:dyDescent="0.2"/>
    <row r="16907" s="496" customFormat="1" x14ac:dyDescent="0.2"/>
    <row r="16908" s="496" customFormat="1" x14ac:dyDescent="0.2"/>
    <row r="16909" s="496" customFormat="1" x14ac:dyDescent="0.2"/>
    <row r="16910" s="496" customFormat="1" x14ac:dyDescent="0.2"/>
    <row r="16911" s="496" customFormat="1" x14ac:dyDescent="0.2"/>
    <row r="16912" s="496" customFormat="1" x14ac:dyDescent="0.2"/>
    <row r="16913" s="496" customFormat="1" x14ac:dyDescent="0.2"/>
    <row r="16914" s="496" customFormat="1" x14ac:dyDescent="0.2"/>
    <row r="16915" s="496" customFormat="1" x14ac:dyDescent="0.2"/>
    <row r="16916" s="496" customFormat="1" x14ac:dyDescent="0.2"/>
    <row r="16917" s="496" customFormat="1" x14ac:dyDescent="0.2"/>
    <row r="16918" s="496" customFormat="1" x14ac:dyDescent="0.2"/>
    <row r="16919" s="496" customFormat="1" x14ac:dyDescent="0.2"/>
    <row r="16920" s="496" customFormat="1" x14ac:dyDescent="0.2"/>
    <row r="16921" s="496" customFormat="1" x14ac:dyDescent="0.2"/>
    <row r="16922" s="496" customFormat="1" x14ac:dyDescent="0.2"/>
    <row r="16923" s="496" customFormat="1" x14ac:dyDescent="0.2"/>
    <row r="16924" s="496" customFormat="1" x14ac:dyDescent="0.2"/>
    <row r="16925" s="496" customFormat="1" x14ac:dyDescent="0.2"/>
    <row r="16926" s="496" customFormat="1" x14ac:dyDescent="0.2"/>
    <row r="16927" s="496" customFormat="1" x14ac:dyDescent="0.2"/>
    <row r="16928" s="496" customFormat="1" x14ac:dyDescent="0.2"/>
    <row r="16929" s="496" customFormat="1" x14ac:dyDescent="0.2"/>
    <row r="16930" s="496" customFormat="1" x14ac:dyDescent="0.2"/>
    <row r="16931" s="496" customFormat="1" x14ac:dyDescent="0.2"/>
    <row r="16932" s="496" customFormat="1" x14ac:dyDescent="0.2"/>
    <row r="16933" s="496" customFormat="1" x14ac:dyDescent="0.2"/>
    <row r="16934" s="496" customFormat="1" x14ac:dyDescent="0.2"/>
    <row r="16935" s="496" customFormat="1" x14ac:dyDescent="0.2"/>
    <row r="16936" s="496" customFormat="1" x14ac:dyDescent="0.2"/>
    <row r="16937" s="496" customFormat="1" x14ac:dyDescent="0.2"/>
    <row r="16938" s="496" customFormat="1" x14ac:dyDescent="0.2"/>
    <row r="16939" s="496" customFormat="1" x14ac:dyDescent="0.2"/>
    <row r="16940" s="496" customFormat="1" x14ac:dyDescent="0.2"/>
    <row r="16941" s="496" customFormat="1" x14ac:dyDescent="0.2"/>
    <row r="16942" s="496" customFormat="1" x14ac:dyDescent="0.2"/>
    <row r="16943" s="496" customFormat="1" x14ac:dyDescent="0.2"/>
    <row r="16944" s="496" customFormat="1" x14ac:dyDescent="0.2"/>
    <row r="16945" s="496" customFormat="1" x14ac:dyDescent="0.2"/>
    <row r="16946" s="496" customFormat="1" x14ac:dyDescent="0.2"/>
    <row r="16947" s="496" customFormat="1" x14ac:dyDescent="0.2"/>
    <row r="16948" s="496" customFormat="1" x14ac:dyDescent="0.2"/>
    <row r="16949" s="496" customFormat="1" x14ac:dyDescent="0.2"/>
    <row r="16950" s="496" customFormat="1" x14ac:dyDescent="0.2"/>
    <row r="16951" s="496" customFormat="1" x14ac:dyDescent="0.2"/>
    <row r="16952" s="496" customFormat="1" x14ac:dyDescent="0.2"/>
    <row r="16953" s="496" customFormat="1" x14ac:dyDescent="0.2"/>
    <row r="16954" s="496" customFormat="1" x14ac:dyDescent="0.2"/>
    <row r="16955" s="496" customFormat="1" x14ac:dyDescent="0.2"/>
    <row r="16956" s="496" customFormat="1" x14ac:dyDescent="0.2"/>
    <row r="16957" s="496" customFormat="1" x14ac:dyDescent="0.2"/>
    <row r="16958" s="496" customFormat="1" x14ac:dyDescent="0.2"/>
    <row r="16959" s="496" customFormat="1" x14ac:dyDescent="0.2"/>
    <row r="16960" s="496" customFormat="1" x14ac:dyDescent="0.2"/>
    <row r="16961" s="496" customFormat="1" x14ac:dyDescent="0.2"/>
    <row r="16962" s="496" customFormat="1" x14ac:dyDescent="0.2"/>
    <row r="16963" s="496" customFormat="1" x14ac:dyDescent="0.2"/>
    <row r="16964" s="496" customFormat="1" x14ac:dyDescent="0.2"/>
    <row r="16965" s="496" customFormat="1" x14ac:dyDescent="0.2"/>
    <row r="16966" s="496" customFormat="1" x14ac:dyDescent="0.2"/>
    <row r="16967" s="496" customFormat="1" x14ac:dyDescent="0.2"/>
    <row r="16968" s="496" customFormat="1" x14ac:dyDescent="0.2"/>
    <row r="16969" s="496" customFormat="1" x14ac:dyDescent="0.2"/>
    <row r="16970" s="496" customFormat="1" x14ac:dyDescent="0.2"/>
    <row r="16971" s="496" customFormat="1" x14ac:dyDescent="0.2"/>
    <row r="16972" s="496" customFormat="1" x14ac:dyDescent="0.2"/>
    <row r="16973" s="496" customFormat="1" x14ac:dyDescent="0.2"/>
    <row r="16974" s="496" customFormat="1" x14ac:dyDescent="0.2"/>
    <row r="16975" s="496" customFormat="1" x14ac:dyDescent="0.2"/>
    <row r="16976" s="496" customFormat="1" x14ac:dyDescent="0.2"/>
    <row r="16977" s="496" customFormat="1" x14ac:dyDescent="0.2"/>
    <row r="16978" s="496" customFormat="1" x14ac:dyDescent="0.2"/>
    <row r="16979" s="496" customFormat="1" x14ac:dyDescent="0.2"/>
    <row r="16980" s="496" customFormat="1" x14ac:dyDescent="0.2"/>
    <row r="16981" s="496" customFormat="1" x14ac:dyDescent="0.2"/>
    <row r="16982" s="496" customFormat="1" x14ac:dyDescent="0.2"/>
    <row r="16983" s="496" customFormat="1" x14ac:dyDescent="0.2"/>
    <row r="16984" s="496" customFormat="1" x14ac:dyDescent="0.2"/>
    <row r="16985" s="496" customFormat="1" x14ac:dyDescent="0.2"/>
    <row r="16986" s="496" customFormat="1" x14ac:dyDescent="0.2"/>
    <row r="16987" s="496" customFormat="1" x14ac:dyDescent="0.2"/>
    <row r="16988" s="496" customFormat="1" x14ac:dyDescent="0.2"/>
    <row r="16989" s="496" customFormat="1" x14ac:dyDescent="0.2"/>
    <row r="16990" s="496" customFormat="1" x14ac:dyDescent="0.2"/>
    <row r="16991" s="496" customFormat="1" x14ac:dyDescent="0.2"/>
    <row r="16992" s="496" customFormat="1" x14ac:dyDescent="0.2"/>
    <row r="16993" s="496" customFormat="1" x14ac:dyDescent="0.2"/>
    <row r="16994" s="496" customFormat="1" x14ac:dyDescent="0.2"/>
    <row r="16995" s="496" customFormat="1" x14ac:dyDescent="0.2"/>
    <row r="16996" s="496" customFormat="1" x14ac:dyDescent="0.2"/>
    <row r="16997" s="496" customFormat="1" x14ac:dyDescent="0.2"/>
    <row r="16998" s="496" customFormat="1" x14ac:dyDescent="0.2"/>
    <row r="16999" s="496" customFormat="1" x14ac:dyDescent="0.2"/>
    <row r="17000" s="496" customFormat="1" x14ac:dyDescent="0.2"/>
    <row r="17001" s="496" customFormat="1" x14ac:dyDescent="0.2"/>
    <row r="17002" s="496" customFormat="1" x14ac:dyDescent="0.2"/>
    <row r="17003" s="496" customFormat="1" x14ac:dyDescent="0.2"/>
    <row r="17004" s="496" customFormat="1" x14ac:dyDescent="0.2"/>
    <row r="17005" s="496" customFormat="1" x14ac:dyDescent="0.2"/>
    <row r="17006" s="496" customFormat="1" x14ac:dyDescent="0.2"/>
    <row r="17007" s="496" customFormat="1" x14ac:dyDescent="0.2"/>
    <row r="17008" s="496" customFormat="1" x14ac:dyDescent="0.2"/>
    <row r="17009" s="496" customFormat="1" x14ac:dyDescent="0.2"/>
    <row r="17010" s="496" customFormat="1" x14ac:dyDescent="0.2"/>
    <row r="17011" s="496" customFormat="1" x14ac:dyDescent="0.2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indexed="18"/>
  </sheetPr>
  <dimension ref="A1:FS727"/>
  <sheetViews>
    <sheetView topLeftCell="A2" zoomScale="80" zoomScaleNormal="80" workbookViewId="0">
      <pane xSplit="5" ySplit="8" topLeftCell="F10" activePane="bottomRight" state="frozen"/>
      <selection activeCell="A2" sqref="A2"/>
      <selection pane="topRight" activeCell="F2" sqref="F2"/>
      <selection pane="bottomLeft" activeCell="A10" sqref="A10"/>
      <selection pane="bottomRight" activeCell="A2" sqref="A2:E2"/>
    </sheetView>
  </sheetViews>
  <sheetFormatPr defaultColWidth="9" defaultRowHeight="12.75" x14ac:dyDescent="0.2"/>
  <cols>
    <col min="1" max="1" width="4" style="103" customWidth="1"/>
    <col min="2" max="2" width="33.125" style="113" customWidth="1"/>
    <col min="3" max="3" width="8.25" style="113" customWidth="1"/>
    <col min="4" max="4" width="7.25" style="103" customWidth="1"/>
    <col min="5" max="5" width="8.25" style="103" customWidth="1"/>
    <col min="6" max="6" width="8" style="50" customWidth="1"/>
    <col min="7" max="7" width="8.5" style="74" customWidth="1"/>
    <col min="8" max="8" width="8.125" style="50" customWidth="1"/>
    <col min="9" max="9" width="8.5" style="74" customWidth="1"/>
    <col min="10" max="10" width="7" style="50" customWidth="1"/>
    <col min="11" max="11" width="8.5" style="74" customWidth="1"/>
    <col min="12" max="12" width="7.5" style="71" customWidth="1"/>
    <col min="13" max="13" width="8" style="71" customWidth="1"/>
    <col min="14" max="14" width="7.25" style="50" customWidth="1"/>
    <col min="15" max="15" width="6.5" style="50" customWidth="1"/>
    <col min="16" max="17" width="5.5" style="50" customWidth="1"/>
    <col min="18" max="18" width="6.75" style="71" customWidth="1"/>
    <col min="19" max="19" width="9.5" style="71" customWidth="1"/>
    <col min="20" max="20" width="6.5" style="71" customWidth="1"/>
    <col min="21" max="22" width="5.5" style="71" customWidth="1"/>
    <col min="23" max="23" width="5.75" style="71" customWidth="1"/>
    <col min="24" max="24" width="3.5" style="103" customWidth="1"/>
    <col min="25" max="25" width="6.5" style="72" customWidth="1"/>
    <col min="26" max="26" width="3.5" style="102" customWidth="1"/>
    <col min="27" max="27" width="6.5" style="73" customWidth="1"/>
    <col min="28" max="28" width="3.5" style="101" customWidth="1"/>
    <col min="29" max="29" width="6.5" style="72" customWidth="1"/>
    <col min="30" max="30" width="3.5" style="102" customWidth="1"/>
    <col min="31" max="31" width="6.5" style="73" customWidth="1"/>
    <col min="32" max="32" width="3.5" style="101" customWidth="1"/>
    <col min="33" max="33" width="6.5" style="72" customWidth="1"/>
    <col min="34" max="34" width="3.5" style="102" customWidth="1"/>
    <col min="35" max="35" width="6.5" style="73" customWidth="1"/>
    <col min="36" max="36" width="3.5" style="101" customWidth="1"/>
    <col min="37" max="37" width="6.5" style="72" customWidth="1"/>
    <col min="38" max="38" width="3.5" style="102" customWidth="1"/>
    <col min="39" max="39" width="6.5" style="73" customWidth="1"/>
    <col min="40" max="40" width="3.5" style="101" customWidth="1"/>
    <col min="41" max="41" width="6.5" style="72" customWidth="1"/>
    <col min="42" max="42" width="3.5" style="102" customWidth="1"/>
    <col min="43" max="43" width="6.5" style="73" customWidth="1"/>
    <col min="44" max="44" width="10" style="50" customWidth="1"/>
    <col min="45" max="45" width="8.5" style="50" customWidth="1"/>
    <col min="46" max="46" width="10" style="50" customWidth="1"/>
    <col min="47" max="47" width="9.5" style="71" customWidth="1"/>
    <col min="48" max="48" width="8.875" style="50" customWidth="1"/>
    <col min="49" max="49" width="8.875" style="71" customWidth="1"/>
    <col min="50" max="50" width="4.625" style="103" customWidth="1"/>
    <col min="51" max="51" width="6.5" style="50" customWidth="1"/>
    <col min="52" max="52" width="5.75" style="104" customWidth="1"/>
    <col min="53" max="53" width="6.5" style="71" customWidth="1"/>
    <col min="54" max="54" width="4.5" style="103" bestFit="1" customWidth="1"/>
    <col min="55" max="55" width="8" style="50" bestFit="1" customWidth="1"/>
    <col min="56" max="56" width="5.625" style="104" customWidth="1"/>
    <col min="57" max="57" width="8" style="71" bestFit="1" customWidth="1"/>
    <col min="58" max="58" width="4.5" style="103" bestFit="1" customWidth="1"/>
    <col min="59" max="59" width="8" style="50" bestFit="1" customWidth="1"/>
    <col min="60" max="60" width="4.5" style="104" bestFit="1" customWidth="1"/>
    <col min="61" max="61" width="8" style="71" bestFit="1" customWidth="1"/>
    <col min="62" max="62" width="4.5" style="103" bestFit="1" customWidth="1"/>
    <col min="63" max="63" width="8" style="50" bestFit="1" customWidth="1"/>
    <col min="64" max="64" width="4.5" style="104" bestFit="1" customWidth="1"/>
    <col min="65" max="65" width="8" style="71" bestFit="1" customWidth="1"/>
    <col min="66" max="66" width="4.5" style="103" bestFit="1" customWidth="1"/>
    <col min="67" max="67" width="8" style="50" bestFit="1" customWidth="1"/>
    <col min="68" max="68" width="4.5" style="104" bestFit="1" customWidth="1"/>
    <col min="69" max="69" width="8" style="71" bestFit="1" customWidth="1"/>
    <col min="70" max="70" width="4.5" style="103" bestFit="1" customWidth="1"/>
    <col min="71" max="71" width="8" style="50" bestFit="1" customWidth="1"/>
    <col min="72" max="72" width="4.5" style="104" bestFit="1" customWidth="1"/>
    <col min="73" max="73" width="8" style="71" bestFit="1" customWidth="1"/>
    <col min="74" max="74" width="4.5" style="103" bestFit="1" customWidth="1"/>
    <col min="75" max="75" width="8" style="50" bestFit="1" customWidth="1"/>
    <col min="76" max="76" width="4.5" style="104" bestFit="1" customWidth="1"/>
    <col min="77" max="77" width="8" style="71" bestFit="1" customWidth="1"/>
    <col min="78" max="78" width="4.5" style="103" bestFit="1" customWidth="1"/>
    <col min="79" max="79" width="8" style="50" bestFit="1" customWidth="1"/>
    <col min="80" max="80" width="4.5" style="104" bestFit="1" customWidth="1"/>
    <col min="81" max="81" width="8" style="71" bestFit="1" customWidth="1"/>
    <col min="82" max="82" width="4.5" style="103" bestFit="1" customWidth="1"/>
    <col min="83" max="83" width="8" style="50" bestFit="1" customWidth="1"/>
    <col min="84" max="84" width="4.5" style="104" bestFit="1" customWidth="1"/>
    <col min="85" max="85" width="8" style="71" bestFit="1" customWidth="1"/>
    <col min="86" max="86" width="4.5" style="103" bestFit="1" customWidth="1"/>
    <col min="87" max="87" width="8" style="50" bestFit="1" customWidth="1"/>
    <col min="88" max="88" width="4.5" style="104" bestFit="1" customWidth="1"/>
    <col min="89" max="89" width="8" style="71" bestFit="1" customWidth="1"/>
    <col min="90" max="90" width="11.5" style="50" customWidth="1"/>
    <col min="91" max="91" width="13" style="50" customWidth="1"/>
    <col min="92" max="93" width="9" style="71"/>
    <col min="94" max="94" width="10.625" style="103" customWidth="1"/>
    <col min="95" max="95" width="6.5" style="50" customWidth="1"/>
    <col min="96" max="96" width="5.875" style="104" customWidth="1"/>
    <col min="97" max="97" width="6.5" style="71" customWidth="1"/>
    <col min="98" max="98" width="5.75" style="103" customWidth="1"/>
    <col min="99" max="99" width="5.75" style="50" customWidth="1"/>
    <col min="100" max="100" width="5.75" style="104" customWidth="1"/>
    <col min="101" max="101" width="5.75" style="71" customWidth="1"/>
    <col min="102" max="102" width="5.75" style="103" customWidth="1"/>
    <col min="103" max="103" width="5.75" style="50" customWidth="1"/>
    <col min="104" max="104" width="5.75" style="104" customWidth="1"/>
    <col min="105" max="105" width="5.75" style="71" customWidth="1"/>
    <col min="106" max="106" width="5.75" style="103" customWidth="1"/>
    <col min="107" max="107" width="5.75" style="50" customWidth="1"/>
    <col min="108" max="108" width="5.75" style="104" customWidth="1"/>
    <col min="109" max="109" width="5.75" style="71" customWidth="1"/>
    <col min="110" max="110" width="5.75" style="103" customWidth="1"/>
    <col min="111" max="111" width="5.75" style="50" customWidth="1"/>
    <col min="112" max="112" width="5.75" style="104" customWidth="1"/>
    <col min="113" max="113" width="5.75" style="71" customWidth="1"/>
    <col min="114" max="114" width="5.75" style="103" customWidth="1"/>
    <col min="115" max="115" width="5.75" style="50" customWidth="1"/>
    <col min="116" max="116" width="5.75" style="104" customWidth="1"/>
    <col min="117" max="117" width="5.75" style="71" customWidth="1"/>
    <col min="118" max="118" width="5.75" style="103" customWidth="1"/>
    <col min="119" max="119" width="5.75" style="50" customWidth="1"/>
    <col min="120" max="120" width="5.75" style="104" customWidth="1"/>
    <col min="121" max="121" width="5.75" style="71" customWidth="1"/>
    <col min="122" max="122" width="5.75" style="103" customWidth="1"/>
    <col min="123" max="123" width="5.75" style="50" customWidth="1"/>
    <col min="124" max="124" width="5.75" style="104" customWidth="1"/>
    <col min="125" max="125" width="5.75" style="71" customWidth="1"/>
    <col min="126" max="126" width="5.75" style="103" customWidth="1"/>
    <col min="127" max="127" width="5.75" style="50" customWidth="1"/>
    <col min="128" max="128" width="5.75" style="104" customWidth="1"/>
    <col min="129" max="129" width="5.75" style="71" customWidth="1"/>
    <col min="130" max="130" width="5.75" style="103" customWidth="1"/>
    <col min="131" max="131" width="5.75" style="50" customWidth="1"/>
    <col min="132" max="132" width="5.75" style="104" customWidth="1"/>
    <col min="133" max="133" width="5.75" style="71" customWidth="1"/>
    <col min="134" max="134" width="5.75" style="50" customWidth="1"/>
    <col min="135" max="135" width="5.75" style="71" customWidth="1"/>
    <col min="136" max="136" width="5.75" style="50" customWidth="1"/>
    <col min="137" max="137" width="8.875" style="50" customWidth="1"/>
    <col min="138" max="138" width="10.625" style="70" customWidth="1"/>
    <col min="139" max="139" width="9" style="71"/>
    <col min="140" max="140" width="9" style="74"/>
    <col min="141" max="141" width="11.5" style="74" customWidth="1"/>
    <col min="142" max="142" width="11.125" style="50" customWidth="1"/>
    <col min="143" max="143" width="13.625" style="71" customWidth="1"/>
    <col min="144" max="144" width="14.125" style="70" customWidth="1"/>
    <col min="145" max="145" width="14.625" style="74" customWidth="1"/>
    <col min="146" max="146" width="8.875" style="70" customWidth="1"/>
    <col min="147" max="147" width="9" style="74"/>
    <col min="148" max="148" width="8.875" style="70" customWidth="1"/>
    <col min="149" max="149" width="9" style="74"/>
    <col min="150" max="150" width="8.875" style="70" customWidth="1"/>
    <col min="151" max="151" width="9" style="74"/>
    <col min="152" max="152" width="8.875" style="70" customWidth="1"/>
    <col min="153" max="153" width="9" style="74"/>
    <col min="154" max="154" width="8.875" style="70" customWidth="1"/>
    <col min="155" max="155" width="9" style="74"/>
    <col min="156" max="156" width="8.875" style="70" customWidth="1"/>
    <col min="157" max="157" width="9" style="74"/>
    <col min="158" max="158" width="8.875" style="70" customWidth="1"/>
    <col min="159" max="159" width="9" style="74"/>
    <col min="160" max="160" width="8.875" style="70" customWidth="1"/>
    <col min="161" max="161" width="9" style="74"/>
    <col min="162" max="162" width="8.875" style="70" customWidth="1"/>
    <col min="163" max="163" width="9" style="74"/>
    <col min="164" max="164" width="11.625" style="50" customWidth="1"/>
    <col min="165" max="165" width="12.125" style="50" customWidth="1"/>
    <col min="166" max="166" width="12" style="50" customWidth="1"/>
    <col min="167" max="167" width="13.375" style="50" customWidth="1"/>
    <col min="168" max="168" width="9" style="43"/>
    <col min="169" max="169" width="11" style="43" customWidth="1"/>
    <col min="170" max="171" width="9" style="43"/>
    <col min="172" max="172" width="9" style="50"/>
    <col min="173" max="16384" width="9" style="43"/>
  </cols>
  <sheetData>
    <row r="1" spans="1:175" s="248" customFormat="1" ht="15.75" hidden="1" x14ac:dyDescent="0.2">
      <c r="A1" s="320"/>
      <c r="B1" s="321" t="s">
        <v>490</v>
      </c>
      <c r="C1" s="322"/>
      <c r="D1" s="323"/>
      <c r="E1" s="323"/>
      <c r="F1" s="324"/>
      <c r="G1" s="325"/>
      <c r="H1" s="326"/>
      <c r="I1" s="325"/>
      <c r="J1" s="326"/>
      <c r="K1" s="327"/>
      <c r="L1" s="328">
        <f>IF(N1&gt;0,J1/N1, )</f>
        <v>0</v>
      </c>
      <c r="M1" s="329">
        <f>IF(S1&gt;0,K1/S1, )</f>
        <v>0</v>
      </c>
      <c r="N1" s="330"/>
      <c r="O1" s="330"/>
      <c r="P1" s="330"/>
      <c r="Q1" s="330"/>
      <c r="R1" s="331">
        <f>SUM(O1:Q1)</f>
        <v>0</v>
      </c>
      <c r="S1" s="332"/>
      <c r="T1" s="333"/>
      <c r="U1" s="333"/>
      <c r="V1" s="333"/>
      <c r="W1" s="334">
        <f>SUM(T1:V1)</f>
        <v>0</v>
      </c>
      <c r="X1" s="335"/>
      <c r="Y1" s="326"/>
      <c r="Z1" s="336"/>
      <c r="AA1" s="336"/>
      <c r="AB1" s="337"/>
      <c r="AC1" s="326"/>
      <c r="AD1" s="336"/>
      <c r="AE1" s="338"/>
      <c r="AF1" s="337"/>
      <c r="AG1" s="326"/>
      <c r="AH1" s="336"/>
      <c r="AI1" s="338"/>
      <c r="AJ1" s="337"/>
      <c r="AK1" s="326"/>
      <c r="AL1" s="336"/>
      <c r="AM1" s="338"/>
      <c r="AN1" s="337"/>
      <c r="AO1" s="326"/>
      <c r="AP1" s="336"/>
      <c r="AQ1" s="336"/>
      <c r="AR1" s="331">
        <f>COUNTA(X1,AB1,AF1,AJ1,AN1)</f>
        <v>0</v>
      </c>
      <c r="AS1" s="339">
        <f>IF(FN1&gt;0,N1/FN1,)</f>
        <v>0</v>
      </c>
      <c r="AT1" s="340">
        <f>COUNTA(Z1,AD1,AH1,AL1,AP1)</f>
        <v>0</v>
      </c>
      <c r="AU1" s="341">
        <f>IF(FO1&gt;0,S1/FO1,)</f>
        <v>0</v>
      </c>
      <c r="AV1" s="326"/>
      <c r="AW1" s="342"/>
      <c r="AX1" s="335"/>
      <c r="AY1" s="326"/>
      <c r="AZ1" s="336"/>
      <c r="BA1" s="336"/>
      <c r="BB1" s="337"/>
      <c r="BC1" s="326"/>
      <c r="BD1" s="336"/>
      <c r="BE1" s="338"/>
      <c r="BF1" s="337"/>
      <c r="BG1" s="326"/>
      <c r="BH1" s="336"/>
      <c r="BI1" s="338"/>
      <c r="BJ1" s="337"/>
      <c r="BK1" s="326"/>
      <c r="BL1" s="336"/>
      <c r="BM1" s="338"/>
      <c r="BN1" s="337"/>
      <c r="BO1" s="326"/>
      <c r="BP1" s="336"/>
      <c r="BQ1" s="338"/>
      <c r="BR1" s="337"/>
      <c r="BS1" s="326"/>
      <c r="BT1" s="343"/>
      <c r="BU1" s="344"/>
      <c r="BV1" s="337"/>
      <c r="BW1" s="326"/>
      <c r="BX1" s="336"/>
      <c r="BY1" s="338"/>
      <c r="BZ1" s="337"/>
      <c r="CA1" s="326"/>
      <c r="CB1" s="336"/>
      <c r="CC1" s="338"/>
      <c r="CD1" s="337"/>
      <c r="CE1" s="326"/>
      <c r="CF1" s="336"/>
      <c r="CG1" s="338"/>
      <c r="CH1" s="337"/>
      <c r="CI1" s="326"/>
      <c r="CJ1" s="336"/>
      <c r="CK1" s="338"/>
      <c r="CL1" s="330"/>
      <c r="CM1" s="345"/>
      <c r="CN1" s="346">
        <f>AY1+BC1+BG1+BK1+BO1+BS1+BW1+CA1+CE1+CI1+CL1</f>
        <v>0</v>
      </c>
      <c r="CO1" s="346">
        <f>COUNTA(AX1,BB1,BF1,BJ1,BN1,BR1,BV1,BZ1,CD1,CH1)</f>
        <v>0</v>
      </c>
      <c r="CP1" s="347">
        <f>BA1+BE1+BI1+BM1+BQ1+BU1+BY1+CC1+CG1+CK1+CM1</f>
        <v>0</v>
      </c>
      <c r="CQ1" s="347">
        <f>COUNTA(AZ1,BD1,BH1,BL1,BP1,BT1,BX1,CB1,CF1,CJ1)</f>
        <v>0</v>
      </c>
      <c r="CR1" s="335"/>
      <c r="CS1" s="326"/>
      <c r="CT1" s="336"/>
      <c r="CU1" s="336"/>
      <c r="CV1" s="337"/>
      <c r="CW1" s="326"/>
      <c r="CX1" s="336"/>
      <c r="CY1" s="338"/>
      <c r="CZ1" s="337"/>
      <c r="DA1" s="326"/>
      <c r="DB1" s="336"/>
      <c r="DC1" s="338"/>
      <c r="DD1" s="337"/>
      <c r="DE1" s="326"/>
      <c r="DF1" s="336"/>
      <c r="DG1" s="338"/>
      <c r="DH1" s="337"/>
      <c r="DI1" s="326"/>
      <c r="DJ1" s="336"/>
      <c r="DK1" s="338"/>
      <c r="DL1" s="337"/>
      <c r="DM1" s="326"/>
      <c r="DN1" s="336"/>
      <c r="DO1" s="338"/>
      <c r="DP1" s="337"/>
      <c r="DQ1" s="326"/>
      <c r="DR1" s="336"/>
      <c r="DS1" s="338"/>
      <c r="DT1" s="337"/>
      <c r="DU1" s="326"/>
      <c r="DV1" s="336"/>
      <c r="DW1" s="338"/>
      <c r="DX1" s="337"/>
      <c r="DY1" s="326"/>
      <c r="DZ1" s="336"/>
      <c r="EA1" s="338"/>
      <c r="EB1" s="337"/>
      <c r="EC1" s="326"/>
      <c r="ED1" s="336"/>
      <c r="EE1" s="338"/>
      <c r="EF1" s="330"/>
      <c r="EG1" s="348"/>
      <c r="EH1" s="331">
        <f>CS1+CW1+DA1+DE1+DI1+DM1+DQ1+DU1+DY1+EC1+EF1</f>
        <v>0</v>
      </c>
      <c r="EI1" s="331">
        <f>COUNTA(CR1,CV1,CZ1,DD1,DH1,DL1,DP1,DT1,DX1,EB1)</f>
        <v>0</v>
      </c>
      <c r="EJ1" s="328">
        <f>IF(EH1&gt;0,CS1/EH1,)</f>
        <v>0</v>
      </c>
      <c r="EK1" s="349">
        <f>CU1+CY1+DC1+DG1+DK1+DO1+DS1+DW1+EA1+EE1+EG1</f>
        <v>0</v>
      </c>
      <c r="EL1" s="349">
        <f>COUNTA(CT1,CX1,DB1,DF1,DJ1,DN1,DR1,DV1,DZ1,ED1)</f>
        <v>0</v>
      </c>
      <c r="EM1" s="329">
        <f>IF(EK1&gt;0,CU1/EK1,)</f>
        <v>0</v>
      </c>
      <c r="EN1" s="331">
        <f>CN1+EH1</f>
        <v>0</v>
      </c>
      <c r="EO1" s="347">
        <f>CP1+EK1</f>
        <v>0</v>
      </c>
      <c r="EP1" s="350"/>
      <c r="EQ1" s="351"/>
      <c r="ER1" s="350"/>
      <c r="ES1" s="351"/>
      <c r="ET1" s="350"/>
      <c r="EU1" s="351"/>
      <c r="EV1" s="350"/>
      <c r="EW1" s="351"/>
      <c r="EX1" s="350"/>
      <c r="EY1" s="351"/>
      <c r="EZ1" s="350"/>
      <c r="FA1" s="351"/>
      <c r="FB1" s="350"/>
      <c r="FC1" s="352"/>
      <c r="FD1" s="350"/>
      <c r="FE1" s="351"/>
      <c r="FF1" s="350"/>
      <c r="FG1" s="352"/>
      <c r="FH1" s="353"/>
      <c r="FI1" s="351"/>
      <c r="FJ1" s="346">
        <f>EP1+ER1+ET1+EV1+EX1+EZ1+FB1+FD1+FF1+FH1</f>
        <v>0</v>
      </c>
      <c r="FK1" s="347">
        <f>EQ1+ES1+EU1+EW1+EY1+FA1+FC1+FE1+FG1+FI1</f>
        <v>0</v>
      </c>
      <c r="FL1" s="353"/>
      <c r="FM1" s="352"/>
      <c r="FN1" s="331">
        <f>F1+H1+J1+N1+AV1+EN1+FJ1+FL1</f>
        <v>0</v>
      </c>
      <c r="FO1" s="347">
        <f>G1+I1+K1+S1+AW1+EO1+FK1+FM1</f>
        <v>0</v>
      </c>
    </row>
    <row r="2" spans="1:175" s="266" customFormat="1" ht="18" customHeight="1" x14ac:dyDescent="0.25">
      <c r="A2" s="890" t="s">
        <v>465</v>
      </c>
      <c r="B2" s="891"/>
      <c r="C2" s="891"/>
      <c r="D2" s="891"/>
      <c r="E2" s="891"/>
      <c r="F2" s="892" t="s">
        <v>419</v>
      </c>
      <c r="G2" s="893"/>
      <c r="H2" s="892" t="s">
        <v>420</v>
      </c>
      <c r="I2" s="893"/>
      <c r="J2" s="892" t="s">
        <v>421</v>
      </c>
      <c r="K2" s="893"/>
      <c r="L2" s="896" t="s">
        <v>422</v>
      </c>
      <c r="M2" s="897"/>
      <c r="N2" s="902" t="s">
        <v>455</v>
      </c>
      <c r="O2" s="903"/>
      <c r="P2" s="903"/>
      <c r="Q2" s="903"/>
      <c r="R2" s="904"/>
      <c r="S2" s="905" t="s">
        <v>455</v>
      </c>
      <c r="T2" s="906"/>
      <c r="U2" s="906"/>
      <c r="V2" s="906"/>
      <c r="W2" s="906"/>
      <c r="X2" s="888" t="s">
        <v>456</v>
      </c>
      <c r="Y2" s="889"/>
      <c r="Z2" s="889"/>
      <c r="AA2" s="889"/>
      <c r="AB2" s="889"/>
      <c r="AC2" s="889"/>
      <c r="AD2" s="889"/>
      <c r="AE2" s="889"/>
      <c r="AF2" s="889"/>
      <c r="AG2" s="889"/>
      <c r="AH2" s="889"/>
      <c r="AI2" s="889"/>
      <c r="AJ2" s="889"/>
      <c r="AK2" s="889"/>
      <c r="AL2" s="889"/>
      <c r="AM2" s="889"/>
      <c r="AN2" s="889"/>
      <c r="AO2" s="889"/>
      <c r="AP2" s="889"/>
      <c r="AQ2" s="889"/>
      <c r="AR2" s="269"/>
      <c r="AS2" s="181"/>
      <c r="AT2" s="182"/>
      <c r="AU2" s="183"/>
      <c r="AV2" s="858" t="s">
        <v>423</v>
      </c>
      <c r="AW2" s="883"/>
      <c r="AX2" s="884" t="s">
        <v>457</v>
      </c>
      <c r="AY2" s="885"/>
      <c r="AZ2" s="885"/>
      <c r="BA2" s="885"/>
      <c r="BB2" s="885"/>
      <c r="BC2" s="885"/>
      <c r="BD2" s="885"/>
      <c r="BE2" s="885"/>
      <c r="BF2" s="885"/>
      <c r="BG2" s="885"/>
      <c r="BH2" s="885"/>
      <c r="BI2" s="885"/>
      <c r="BJ2" s="885"/>
      <c r="BK2" s="885"/>
      <c r="BL2" s="885"/>
      <c r="BM2" s="885"/>
      <c r="BN2" s="885"/>
      <c r="BO2" s="885"/>
      <c r="BP2" s="885"/>
      <c r="BQ2" s="885"/>
      <c r="BR2" s="885"/>
      <c r="BS2" s="885"/>
      <c r="BT2" s="885"/>
      <c r="BU2" s="885"/>
      <c r="BV2" s="885"/>
      <c r="BW2" s="885"/>
      <c r="BX2" s="885"/>
      <c r="BY2" s="885"/>
      <c r="BZ2" s="885"/>
      <c r="CA2" s="885"/>
      <c r="CB2" s="885"/>
      <c r="CC2" s="885"/>
      <c r="CD2" s="885"/>
      <c r="CE2" s="885"/>
      <c r="CF2" s="885"/>
      <c r="CG2" s="885"/>
      <c r="CH2" s="885"/>
      <c r="CI2" s="885"/>
      <c r="CJ2" s="885"/>
      <c r="CK2" s="886"/>
      <c r="CL2" s="858" t="s">
        <v>424</v>
      </c>
      <c r="CM2" s="887"/>
      <c r="CN2" s="184"/>
      <c r="CO2" s="184"/>
      <c r="CP2" s="185"/>
      <c r="CQ2" s="185"/>
      <c r="CR2" s="884" t="s">
        <v>458</v>
      </c>
      <c r="CS2" s="885"/>
      <c r="CT2" s="885"/>
      <c r="CU2" s="885"/>
      <c r="CV2" s="885"/>
      <c r="CW2" s="885"/>
      <c r="CX2" s="885"/>
      <c r="CY2" s="885"/>
      <c r="CZ2" s="885"/>
      <c r="DA2" s="885"/>
      <c r="DB2" s="885"/>
      <c r="DC2" s="885"/>
      <c r="DD2" s="885"/>
      <c r="DE2" s="885"/>
      <c r="DF2" s="885"/>
      <c r="DG2" s="885"/>
      <c r="DH2" s="885"/>
      <c r="DI2" s="885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885"/>
      <c r="ED2" s="885"/>
      <c r="EE2" s="886"/>
      <c r="EF2" s="858" t="s">
        <v>425</v>
      </c>
      <c r="EG2" s="887"/>
      <c r="EH2" s="186"/>
      <c r="EI2" s="187"/>
      <c r="EJ2" s="188"/>
      <c r="EK2" s="189"/>
      <c r="EL2" s="189"/>
      <c r="EM2" s="190"/>
      <c r="EN2" s="263" t="s">
        <v>190</v>
      </c>
      <c r="EO2" s="191" t="s">
        <v>190</v>
      </c>
      <c r="EP2" s="907" t="s">
        <v>460</v>
      </c>
      <c r="EQ2" s="908"/>
      <c r="ER2" s="909"/>
      <c r="ES2" s="909"/>
      <c r="ET2" s="909"/>
      <c r="EU2" s="909"/>
      <c r="EV2" s="909"/>
      <c r="EW2" s="909"/>
      <c r="EX2" s="909"/>
      <c r="EY2" s="909"/>
      <c r="EZ2" s="909"/>
      <c r="FA2" s="909"/>
      <c r="FB2" s="909"/>
      <c r="FC2" s="909"/>
      <c r="FD2" s="909"/>
      <c r="FE2" s="909"/>
      <c r="FF2" s="909"/>
      <c r="FG2" s="909"/>
      <c r="FH2" s="270"/>
      <c r="FI2" s="268"/>
      <c r="FJ2" s="268"/>
      <c r="FK2" s="268"/>
      <c r="FL2" s="858" t="s">
        <v>463</v>
      </c>
      <c r="FM2" s="859"/>
      <c r="FN2" s="186"/>
      <c r="FO2" s="192"/>
      <c r="FP2" s="265"/>
      <c r="FQ2" s="265"/>
      <c r="FR2" s="265"/>
      <c r="FS2" s="265"/>
    </row>
    <row r="3" spans="1:175" s="266" customFormat="1" ht="15" customHeight="1" x14ac:dyDescent="0.25">
      <c r="A3" s="259" t="s">
        <v>466</v>
      </c>
      <c r="B3" s="260"/>
      <c r="C3" s="260"/>
      <c r="D3" s="260"/>
      <c r="E3" s="260"/>
      <c r="F3" s="892"/>
      <c r="G3" s="893"/>
      <c r="H3" s="892"/>
      <c r="I3" s="893"/>
      <c r="J3" s="892"/>
      <c r="K3" s="893"/>
      <c r="L3" s="896"/>
      <c r="M3" s="897"/>
      <c r="N3" s="271"/>
      <c r="O3" s="194" t="s">
        <v>259</v>
      </c>
      <c r="P3" s="195"/>
      <c r="Q3" s="195"/>
      <c r="R3" s="196"/>
      <c r="S3" s="197"/>
      <c r="T3" s="198" t="s">
        <v>259</v>
      </c>
      <c r="U3" s="199"/>
      <c r="V3" s="199"/>
      <c r="W3" s="199"/>
      <c r="X3" s="200"/>
      <c r="Y3" s="256"/>
      <c r="Z3" s="256"/>
      <c r="AA3" s="256"/>
      <c r="AB3" s="201"/>
      <c r="AC3" s="256"/>
      <c r="AD3" s="256"/>
      <c r="AE3" s="256"/>
      <c r="AF3" s="201"/>
      <c r="AG3" s="256"/>
      <c r="AH3" s="256"/>
      <c r="AI3" s="256"/>
      <c r="AJ3" s="201"/>
      <c r="AK3" s="256"/>
      <c r="AL3" s="256"/>
      <c r="AM3" s="256"/>
      <c r="AN3" s="201"/>
      <c r="AO3" s="256"/>
      <c r="AP3" s="256"/>
      <c r="AQ3" s="256"/>
      <c r="AR3" s="272"/>
      <c r="AS3" s="202"/>
      <c r="AT3" s="203"/>
      <c r="AU3" s="204"/>
      <c r="AV3" s="858"/>
      <c r="AW3" s="883"/>
      <c r="AX3" s="200"/>
      <c r="AY3" s="256"/>
      <c r="AZ3" s="256"/>
      <c r="BA3" s="256"/>
      <c r="BB3" s="256"/>
      <c r="BC3" s="205"/>
      <c r="BD3" s="256"/>
      <c r="BE3" s="256"/>
      <c r="BF3" s="256"/>
      <c r="BG3" s="205"/>
      <c r="BH3" s="256"/>
      <c r="BI3" s="256"/>
      <c r="BJ3" s="256"/>
      <c r="BK3" s="205"/>
      <c r="BL3" s="256"/>
      <c r="BM3" s="256"/>
      <c r="BN3" s="256"/>
      <c r="BO3" s="205"/>
      <c r="BP3" s="256"/>
      <c r="BQ3" s="256"/>
      <c r="BR3" s="256"/>
      <c r="BS3" s="205"/>
      <c r="BT3" s="256"/>
      <c r="BU3" s="256"/>
      <c r="BV3" s="256"/>
      <c r="BW3" s="205"/>
      <c r="BX3" s="256"/>
      <c r="BY3" s="256"/>
      <c r="BZ3" s="256"/>
      <c r="CA3" s="205"/>
      <c r="CB3" s="256"/>
      <c r="CC3" s="256"/>
      <c r="CD3" s="256"/>
      <c r="CE3" s="205"/>
      <c r="CF3" s="256"/>
      <c r="CG3" s="256"/>
      <c r="CH3" s="256"/>
      <c r="CI3" s="205"/>
      <c r="CJ3" s="256"/>
      <c r="CK3" s="273"/>
      <c r="CL3" s="858"/>
      <c r="CM3" s="887"/>
      <c r="CN3" s="184"/>
      <c r="CO3" s="184"/>
      <c r="CP3" s="185"/>
      <c r="CQ3" s="185"/>
      <c r="CR3" s="200"/>
      <c r="CS3" s="256"/>
      <c r="CT3" s="256"/>
      <c r="CU3" s="256"/>
      <c r="CV3" s="256"/>
      <c r="CW3" s="205"/>
      <c r="CX3" s="256"/>
      <c r="CY3" s="256"/>
      <c r="CZ3" s="256"/>
      <c r="DA3" s="205"/>
      <c r="DB3" s="256"/>
      <c r="DC3" s="256"/>
      <c r="DD3" s="256"/>
      <c r="DE3" s="205"/>
      <c r="DF3" s="256"/>
      <c r="DG3" s="256"/>
      <c r="DH3" s="256"/>
      <c r="DI3" s="205"/>
      <c r="DJ3" s="256"/>
      <c r="DK3" s="256"/>
      <c r="DL3" s="256"/>
      <c r="DM3" s="205"/>
      <c r="DN3" s="256"/>
      <c r="DO3" s="256"/>
      <c r="DP3" s="256"/>
      <c r="DQ3" s="205"/>
      <c r="DR3" s="256"/>
      <c r="DS3" s="256"/>
      <c r="DT3" s="256"/>
      <c r="DU3" s="205"/>
      <c r="DV3" s="256"/>
      <c r="DW3" s="256"/>
      <c r="DX3" s="256"/>
      <c r="DY3" s="205"/>
      <c r="DZ3" s="256"/>
      <c r="EA3" s="256"/>
      <c r="EB3" s="256"/>
      <c r="EC3" s="205"/>
      <c r="ED3" s="256"/>
      <c r="EE3" s="273"/>
      <c r="EF3" s="858"/>
      <c r="EG3" s="887"/>
      <c r="EH3" s="206" t="s">
        <v>190</v>
      </c>
      <c r="EI3" s="207"/>
      <c r="EJ3" s="208"/>
      <c r="EK3" s="209" t="s">
        <v>190</v>
      </c>
      <c r="EL3" s="209"/>
      <c r="EM3" s="210"/>
      <c r="EN3" s="206" t="s">
        <v>183</v>
      </c>
      <c r="EO3" s="211" t="s">
        <v>183</v>
      </c>
      <c r="EP3" s="213"/>
      <c r="EQ3" s="212"/>
      <c r="ER3" s="213"/>
      <c r="ES3" s="212"/>
      <c r="ET3" s="213"/>
      <c r="EU3" s="212"/>
      <c r="EV3" s="213"/>
      <c r="EW3" s="212"/>
      <c r="EX3" s="213"/>
      <c r="EY3" s="212"/>
      <c r="EZ3" s="213"/>
      <c r="FA3" s="212"/>
      <c r="FB3" s="213"/>
      <c r="FC3" s="212"/>
      <c r="FD3" s="213"/>
      <c r="FE3" s="212"/>
      <c r="FF3" s="213"/>
      <c r="FG3" s="274"/>
      <c r="FH3" s="267"/>
      <c r="FI3" s="264"/>
      <c r="FJ3" s="184"/>
      <c r="FK3" s="185"/>
      <c r="FL3" s="860"/>
      <c r="FM3" s="859"/>
      <c r="FN3" s="272"/>
      <c r="FO3" s="185"/>
      <c r="FP3" s="265"/>
      <c r="FQ3" s="265"/>
      <c r="FR3" s="265"/>
      <c r="FS3" s="265"/>
    </row>
    <row r="4" spans="1:175" s="266" customFormat="1" ht="15" customHeight="1" x14ac:dyDescent="0.25">
      <c r="A4" s="900" t="s">
        <v>448</v>
      </c>
      <c r="B4" s="901"/>
      <c r="C4" s="901"/>
      <c r="D4" s="901"/>
      <c r="E4" s="901"/>
      <c r="F4" s="892"/>
      <c r="G4" s="893"/>
      <c r="H4" s="892"/>
      <c r="I4" s="893"/>
      <c r="J4" s="892"/>
      <c r="K4" s="893"/>
      <c r="L4" s="896"/>
      <c r="M4" s="897"/>
      <c r="N4" s="275"/>
      <c r="O4" s="194" t="s">
        <v>260</v>
      </c>
      <c r="P4" s="195"/>
      <c r="Q4" s="195"/>
      <c r="R4" s="196"/>
      <c r="S4" s="214" t="s">
        <v>216</v>
      </c>
      <c r="T4" s="215" t="s">
        <v>260</v>
      </c>
      <c r="U4" s="205"/>
      <c r="V4" s="205"/>
      <c r="W4" s="205"/>
      <c r="X4" s="216"/>
      <c r="Y4" s="256"/>
      <c r="Z4" s="256"/>
      <c r="AA4" s="256"/>
      <c r="AB4" s="201"/>
      <c r="AC4" s="256"/>
      <c r="AD4" s="256"/>
      <c r="AE4" s="256"/>
      <c r="AF4" s="201"/>
      <c r="AG4" s="256"/>
      <c r="AH4" s="256"/>
      <c r="AI4" s="256"/>
      <c r="AJ4" s="201"/>
      <c r="AK4" s="256"/>
      <c r="AL4" s="256"/>
      <c r="AM4" s="256"/>
      <c r="AN4" s="201"/>
      <c r="AO4" s="256"/>
      <c r="AP4" s="256"/>
      <c r="AQ4" s="256"/>
      <c r="AR4" s="272"/>
      <c r="AS4" s="230" t="s">
        <v>245</v>
      </c>
      <c r="AT4" s="203"/>
      <c r="AU4" s="204" t="s">
        <v>245</v>
      </c>
      <c r="AV4" s="858"/>
      <c r="AW4" s="883"/>
      <c r="AX4" s="200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76"/>
      <c r="CL4" s="858"/>
      <c r="CM4" s="887"/>
      <c r="CN4" s="184"/>
      <c r="CO4" s="184"/>
      <c r="CP4" s="185"/>
      <c r="CQ4" s="185"/>
      <c r="CR4" s="216"/>
      <c r="CS4" s="256"/>
      <c r="CT4" s="256"/>
      <c r="CU4" s="256"/>
      <c r="CV4" s="218"/>
      <c r="CW4" s="205"/>
      <c r="CX4" s="256"/>
      <c r="CY4" s="256"/>
      <c r="CZ4" s="218"/>
      <c r="DA4" s="205"/>
      <c r="DB4" s="256"/>
      <c r="DC4" s="256"/>
      <c r="DD4" s="218"/>
      <c r="DE4" s="205"/>
      <c r="DF4" s="256"/>
      <c r="DG4" s="256"/>
      <c r="DH4" s="218"/>
      <c r="DI4" s="205"/>
      <c r="DJ4" s="256"/>
      <c r="DK4" s="256"/>
      <c r="DL4" s="218"/>
      <c r="DM4" s="205"/>
      <c r="DN4" s="256"/>
      <c r="DO4" s="256"/>
      <c r="DP4" s="218"/>
      <c r="DQ4" s="205"/>
      <c r="DR4" s="256"/>
      <c r="DS4" s="256"/>
      <c r="DT4" s="218"/>
      <c r="DU4" s="205"/>
      <c r="DV4" s="256"/>
      <c r="DW4" s="256"/>
      <c r="DX4" s="218"/>
      <c r="DY4" s="205"/>
      <c r="DZ4" s="256"/>
      <c r="EA4" s="256"/>
      <c r="EB4" s="218"/>
      <c r="EC4" s="205"/>
      <c r="ED4" s="256"/>
      <c r="EE4" s="273"/>
      <c r="EF4" s="858"/>
      <c r="EG4" s="887"/>
      <c r="EH4" s="206" t="s">
        <v>38</v>
      </c>
      <c r="EI4" s="207"/>
      <c r="EJ4" s="208"/>
      <c r="EK4" s="209" t="s">
        <v>38</v>
      </c>
      <c r="EL4" s="209"/>
      <c r="EM4" s="219"/>
      <c r="EN4" s="206" t="s">
        <v>26</v>
      </c>
      <c r="EO4" s="211" t="s">
        <v>26</v>
      </c>
      <c r="EP4" s="221"/>
      <c r="EQ4" s="220"/>
      <c r="ER4" s="221"/>
      <c r="ES4" s="220"/>
      <c r="ET4" s="221"/>
      <c r="EU4" s="220"/>
      <c r="EV4" s="221"/>
      <c r="EW4" s="220"/>
      <c r="EX4" s="221"/>
      <c r="EY4" s="220"/>
      <c r="EZ4" s="221"/>
      <c r="FA4" s="220"/>
      <c r="FB4" s="221"/>
      <c r="FC4" s="220"/>
      <c r="FD4" s="221"/>
      <c r="FE4" s="220"/>
      <c r="FF4" s="221"/>
      <c r="FG4" s="277"/>
      <c r="FH4" s="267"/>
      <c r="FI4" s="264"/>
      <c r="FJ4" s="184"/>
      <c r="FK4" s="185"/>
      <c r="FL4" s="860"/>
      <c r="FM4" s="859"/>
      <c r="FN4" s="272"/>
      <c r="FO4" s="185"/>
      <c r="FP4" s="265"/>
      <c r="FQ4" s="265"/>
      <c r="FR4" s="265"/>
      <c r="FS4" s="265"/>
    </row>
    <row r="5" spans="1:175" s="266" customFormat="1" ht="15" customHeight="1" x14ac:dyDescent="0.25">
      <c r="A5" s="900"/>
      <c r="B5" s="901"/>
      <c r="C5" s="901"/>
      <c r="D5" s="901"/>
      <c r="E5" s="901"/>
      <c r="F5" s="892"/>
      <c r="G5" s="893"/>
      <c r="H5" s="892"/>
      <c r="I5" s="893"/>
      <c r="J5" s="892"/>
      <c r="K5" s="893"/>
      <c r="L5" s="896"/>
      <c r="M5" s="897"/>
      <c r="N5" s="278"/>
      <c r="O5" s="222" t="s">
        <v>261</v>
      </c>
      <c r="P5" s="223"/>
      <c r="Q5" s="223"/>
      <c r="R5" s="224"/>
      <c r="S5" s="214" t="s">
        <v>216</v>
      </c>
      <c r="T5" s="225" t="s">
        <v>261</v>
      </c>
      <c r="U5" s="226"/>
      <c r="V5" s="226"/>
      <c r="W5" s="226"/>
      <c r="X5" s="888" t="s">
        <v>427</v>
      </c>
      <c r="Y5" s="889"/>
      <c r="Z5" s="889"/>
      <c r="AA5" s="889"/>
      <c r="AB5" s="889"/>
      <c r="AC5" s="889"/>
      <c r="AD5" s="889"/>
      <c r="AE5" s="889"/>
      <c r="AF5" s="889"/>
      <c r="AG5" s="889"/>
      <c r="AH5" s="889"/>
      <c r="AI5" s="889"/>
      <c r="AJ5" s="889"/>
      <c r="AK5" s="889"/>
      <c r="AL5" s="889"/>
      <c r="AM5" s="889"/>
      <c r="AN5" s="889"/>
      <c r="AO5" s="889"/>
      <c r="AP5" s="889"/>
      <c r="AQ5" s="889"/>
      <c r="AR5" s="206" t="s">
        <v>428</v>
      </c>
      <c r="AS5" s="230" t="s">
        <v>429</v>
      </c>
      <c r="AT5" s="209" t="s">
        <v>428</v>
      </c>
      <c r="AU5" s="219" t="s">
        <v>429</v>
      </c>
      <c r="AV5" s="858"/>
      <c r="AW5" s="883"/>
      <c r="AX5" s="216" t="s">
        <v>430</v>
      </c>
      <c r="AY5" s="255"/>
      <c r="AZ5" s="227"/>
      <c r="BA5" s="255"/>
      <c r="BB5" s="262"/>
      <c r="BC5" s="228"/>
      <c r="BD5" s="255"/>
      <c r="BE5" s="255"/>
      <c r="BF5" s="262"/>
      <c r="BG5" s="228"/>
      <c r="BH5" s="255"/>
      <c r="BI5" s="255"/>
      <c r="BJ5" s="262"/>
      <c r="BK5" s="228"/>
      <c r="BL5" s="255"/>
      <c r="BM5" s="255"/>
      <c r="BN5" s="262"/>
      <c r="BO5" s="228"/>
      <c r="BP5" s="255"/>
      <c r="BQ5" s="255"/>
      <c r="BR5" s="262"/>
      <c r="BS5" s="228"/>
      <c r="BT5" s="255"/>
      <c r="BU5" s="255"/>
      <c r="BV5" s="262"/>
      <c r="BW5" s="228"/>
      <c r="BX5" s="255"/>
      <c r="BY5" s="255"/>
      <c r="BZ5" s="262"/>
      <c r="CA5" s="228"/>
      <c r="CB5" s="255"/>
      <c r="CC5" s="255"/>
      <c r="CD5" s="262"/>
      <c r="CE5" s="228"/>
      <c r="CF5" s="255"/>
      <c r="CG5" s="255"/>
      <c r="CH5" s="262"/>
      <c r="CI5" s="228"/>
      <c r="CJ5" s="255"/>
      <c r="CK5" s="279"/>
      <c r="CL5" s="858"/>
      <c r="CM5" s="887"/>
      <c r="CN5" s="229" t="s">
        <v>431</v>
      </c>
      <c r="CO5" s="229" t="s">
        <v>432</v>
      </c>
      <c r="CP5" s="211" t="s">
        <v>190</v>
      </c>
      <c r="CQ5" s="211" t="s">
        <v>428</v>
      </c>
      <c r="CR5" s="216" t="s">
        <v>430</v>
      </c>
      <c r="CS5" s="255"/>
      <c r="CT5" s="227"/>
      <c r="CU5" s="255"/>
      <c r="CV5" s="262"/>
      <c r="CW5" s="228"/>
      <c r="CX5" s="255"/>
      <c r="CY5" s="255"/>
      <c r="CZ5" s="262"/>
      <c r="DA5" s="228"/>
      <c r="DB5" s="255"/>
      <c r="DC5" s="255"/>
      <c r="DD5" s="262"/>
      <c r="DE5" s="228"/>
      <c r="DF5" s="255"/>
      <c r="DG5" s="255"/>
      <c r="DH5" s="262"/>
      <c r="DI5" s="228"/>
      <c r="DJ5" s="255"/>
      <c r="DK5" s="255"/>
      <c r="DL5" s="262"/>
      <c r="DM5" s="228"/>
      <c r="DN5" s="255"/>
      <c r="DO5" s="255"/>
      <c r="DP5" s="262"/>
      <c r="DQ5" s="228"/>
      <c r="DR5" s="255"/>
      <c r="DS5" s="255"/>
      <c r="DT5" s="262"/>
      <c r="DU5" s="228"/>
      <c r="DV5" s="255"/>
      <c r="DW5" s="255"/>
      <c r="DX5" s="262"/>
      <c r="DY5" s="228"/>
      <c r="DZ5" s="255"/>
      <c r="EA5" s="255"/>
      <c r="EB5" s="262"/>
      <c r="EC5" s="228"/>
      <c r="ED5" s="255"/>
      <c r="EE5" s="279"/>
      <c r="EF5" s="858"/>
      <c r="EG5" s="887"/>
      <c r="EH5" s="206" t="s">
        <v>433</v>
      </c>
      <c r="EI5" s="206" t="s">
        <v>428</v>
      </c>
      <c r="EJ5" s="230" t="s">
        <v>32</v>
      </c>
      <c r="EK5" s="209" t="s">
        <v>433</v>
      </c>
      <c r="EL5" s="209" t="s">
        <v>428</v>
      </c>
      <c r="EM5" s="219" t="s">
        <v>32</v>
      </c>
      <c r="EN5" s="206" t="s">
        <v>27</v>
      </c>
      <c r="EO5" s="211" t="s">
        <v>27</v>
      </c>
      <c r="EP5" s="257"/>
      <c r="EQ5" s="220"/>
      <c r="ER5" s="257"/>
      <c r="ES5" s="258"/>
      <c r="ET5" s="257"/>
      <c r="EU5" s="258"/>
      <c r="EV5" s="257"/>
      <c r="EW5" s="258"/>
      <c r="EX5" s="868" t="s">
        <v>434</v>
      </c>
      <c r="EY5" s="869"/>
      <c r="EZ5" s="257"/>
      <c r="FA5" s="258"/>
      <c r="FB5" s="868" t="s">
        <v>435</v>
      </c>
      <c r="FC5" s="869"/>
      <c r="FD5" s="868" t="s">
        <v>436</v>
      </c>
      <c r="FE5" s="869"/>
      <c r="FF5" s="868"/>
      <c r="FG5" s="870"/>
      <c r="FH5" s="267"/>
      <c r="FI5" s="264"/>
      <c r="FJ5" s="229" t="s">
        <v>190</v>
      </c>
      <c r="FK5" s="211" t="s">
        <v>190</v>
      </c>
      <c r="FL5" s="860"/>
      <c r="FM5" s="859"/>
      <c r="FN5" s="206"/>
      <c r="FO5" s="211"/>
      <c r="FP5" s="231"/>
      <c r="FQ5" s="231"/>
      <c r="FR5" s="231"/>
      <c r="FS5" s="231"/>
    </row>
    <row r="6" spans="1:175" s="266" customFormat="1" ht="15" customHeight="1" x14ac:dyDescent="0.2">
      <c r="A6" s="193"/>
      <c r="B6" s="193"/>
      <c r="C6" s="193"/>
      <c r="D6" s="193"/>
      <c r="E6" s="193"/>
      <c r="F6" s="894"/>
      <c r="G6" s="895"/>
      <c r="H6" s="894"/>
      <c r="I6" s="895"/>
      <c r="J6" s="894"/>
      <c r="K6" s="895"/>
      <c r="L6" s="896"/>
      <c r="M6" s="897"/>
      <c r="N6" s="278"/>
      <c r="O6" s="194" t="s">
        <v>28</v>
      </c>
      <c r="P6" s="232" t="s">
        <v>29</v>
      </c>
      <c r="Q6" s="232" t="s">
        <v>216</v>
      </c>
      <c r="R6" s="233" t="s">
        <v>30</v>
      </c>
      <c r="S6" s="205" t="s">
        <v>216</v>
      </c>
      <c r="T6" s="198" t="s">
        <v>28</v>
      </c>
      <c r="U6" s="234" t="s">
        <v>29</v>
      </c>
      <c r="V6" s="198"/>
      <c r="W6" s="235" t="s">
        <v>30</v>
      </c>
      <c r="X6" s="236">
        <v>1</v>
      </c>
      <c r="Y6" s="237"/>
      <c r="Z6" s="238">
        <v>1</v>
      </c>
      <c r="AA6" s="239"/>
      <c r="AB6" s="232">
        <v>2</v>
      </c>
      <c r="AC6" s="237"/>
      <c r="AD6" s="198">
        <v>2</v>
      </c>
      <c r="AE6" s="239"/>
      <c r="AF6" s="232">
        <v>3</v>
      </c>
      <c r="AG6" s="237"/>
      <c r="AH6" s="198">
        <v>3</v>
      </c>
      <c r="AI6" s="239"/>
      <c r="AJ6" s="232">
        <v>4</v>
      </c>
      <c r="AK6" s="237"/>
      <c r="AL6" s="198">
        <v>4</v>
      </c>
      <c r="AM6" s="239"/>
      <c r="AN6" s="232">
        <v>5</v>
      </c>
      <c r="AO6" s="240"/>
      <c r="AP6" s="198">
        <v>5</v>
      </c>
      <c r="AQ6" s="199"/>
      <c r="AR6" s="206" t="s">
        <v>245</v>
      </c>
      <c r="AS6" s="230" t="s">
        <v>437</v>
      </c>
      <c r="AT6" s="209" t="s">
        <v>245</v>
      </c>
      <c r="AU6" s="219" t="s">
        <v>437</v>
      </c>
      <c r="AV6" s="858"/>
      <c r="AW6" s="883"/>
      <c r="AX6" s="236">
        <v>1</v>
      </c>
      <c r="AY6" s="237"/>
      <c r="AZ6" s="238">
        <v>1</v>
      </c>
      <c r="BA6" s="239"/>
      <c r="BB6" s="232">
        <v>2</v>
      </c>
      <c r="BC6" s="237"/>
      <c r="BD6" s="198">
        <v>2</v>
      </c>
      <c r="BE6" s="239"/>
      <c r="BF6" s="232">
        <v>3</v>
      </c>
      <c r="BG6" s="237"/>
      <c r="BH6" s="198">
        <v>3</v>
      </c>
      <c r="BI6" s="239"/>
      <c r="BJ6" s="232">
        <v>4</v>
      </c>
      <c r="BK6" s="237"/>
      <c r="BL6" s="198">
        <v>4</v>
      </c>
      <c r="BM6" s="239"/>
      <c r="BN6" s="232">
        <v>5</v>
      </c>
      <c r="BO6" s="240"/>
      <c r="BP6" s="198">
        <v>5</v>
      </c>
      <c r="BQ6" s="239"/>
      <c r="BR6" s="232">
        <v>6</v>
      </c>
      <c r="BS6" s="240"/>
      <c r="BT6" s="198">
        <v>6</v>
      </c>
      <c r="BU6" s="239"/>
      <c r="BV6" s="232">
        <v>7</v>
      </c>
      <c r="BW6" s="240"/>
      <c r="BX6" s="198">
        <v>7</v>
      </c>
      <c r="BY6" s="239"/>
      <c r="BZ6" s="232">
        <v>8</v>
      </c>
      <c r="CA6" s="240"/>
      <c r="CB6" s="198">
        <v>8</v>
      </c>
      <c r="CC6" s="239"/>
      <c r="CD6" s="232">
        <v>9</v>
      </c>
      <c r="CE6" s="240"/>
      <c r="CF6" s="198">
        <v>9</v>
      </c>
      <c r="CG6" s="239"/>
      <c r="CH6" s="232">
        <v>10</v>
      </c>
      <c r="CI6" s="240"/>
      <c r="CJ6" s="198">
        <v>10</v>
      </c>
      <c r="CK6" s="239"/>
      <c r="CL6" s="874" t="s">
        <v>467</v>
      </c>
      <c r="CM6" s="875"/>
      <c r="CN6" s="229" t="s">
        <v>38</v>
      </c>
      <c r="CO6" s="229" t="s">
        <v>31</v>
      </c>
      <c r="CP6" s="211" t="s">
        <v>38</v>
      </c>
      <c r="CQ6" s="211" t="s">
        <v>31</v>
      </c>
      <c r="CR6" s="236">
        <v>1</v>
      </c>
      <c r="CS6" s="237"/>
      <c r="CT6" s="238">
        <v>1</v>
      </c>
      <c r="CU6" s="239"/>
      <c r="CV6" s="232">
        <v>2</v>
      </c>
      <c r="CW6" s="237"/>
      <c r="CX6" s="198">
        <v>2</v>
      </c>
      <c r="CY6" s="239"/>
      <c r="CZ6" s="232">
        <v>3</v>
      </c>
      <c r="DA6" s="237"/>
      <c r="DB6" s="198">
        <v>3</v>
      </c>
      <c r="DC6" s="239"/>
      <c r="DD6" s="232">
        <v>4</v>
      </c>
      <c r="DE6" s="237"/>
      <c r="DF6" s="198">
        <v>4</v>
      </c>
      <c r="DG6" s="239"/>
      <c r="DH6" s="232">
        <v>5</v>
      </c>
      <c r="DI6" s="240"/>
      <c r="DJ6" s="198">
        <v>5</v>
      </c>
      <c r="DK6" s="239"/>
      <c r="DL6" s="232">
        <v>6</v>
      </c>
      <c r="DM6" s="240"/>
      <c r="DN6" s="198">
        <v>6</v>
      </c>
      <c r="DO6" s="239"/>
      <c r="DP6" s="232">
        <v>7</v>
      </c>
      <c r="DQ6" s="240"/>
      <c r="DR6" s="198">
        <v>7</v>
      </c>
      <c r="DS6" s="239"/>
      <c r="DT6" s="232">
        <v>8</v>
      </c>
      <c r="DU6" s="240"/>
      <c r="DV6" s="198">
        <v>8</v>
      </c>
      <c r="DW6" s="239"/>
      <c r="DX6" s="232">
        <v>9</v>
      </c>
      <c r="DY6" s="240"/>
      <c r="DZ6" s="198">
        <v>9</v>
      </c>
      <c r="EA6" s="239"/>
      <c r="EB6" s="232">
        <v>10</v>
      </c>
      <c r="EC6" s="240"/>
      <c r="ED6" s="198">
        <v>10</v>
      </c>
      <c r="EE6" s="239"/>
      <c r="EF6" s="858"/>
      <c r="EG6" s="887"/>
      <c r="EH6" s="206" t="s">
        <v>438</v>
      </c>
      <c r="EI6" s="206" t="s">
        <v>184</v>
      </c>
      <c r="EJ6" s="230" t="s">
        <v>184</v>
      </c>
      <c r="EK6" s="209" t="s">
        <v>438</v>
      </c>
      <c r="EL6" s="209" t="s">
        <v>184</v>
      </c>
      <c r="EM6" s="219" t="s">
        <v>184</v>
      </c>
      <c r="EN6" s="206" t="s">
        <v>439</v>
      </c>
      <c r="EO6" s="211" t="s">
        <v>439</v>
      </c>
      <c r="EP6" s="868" t="s">
        <v>440</v>
      </c>
      <c r="EQ6" s="869"/>
      <c r="ER6" s="878" t="s">
        <v>441</v>
      </c>
      <c r="ES6" s="879"/>
      <c r="ET6" s="878" t="s">
        <v>442</v>
      </c>
      <c r="EU6" s="879"/>
      <c r="EV6" s="878" t="s">
        <v>443</v>
      </c>
      <c r="EW6" s="879"/>
      <c r="EX6" s="878" t="s">
        <v>43</v>
      </c>
      <c r="EY6" s="879"/>
      <c r="EZ6" s="878" t="s">
        <v>444</v>
      </c>
      <c r="FA6" s="879"/>
      <c r="FB6" s="868" t="s">
        <v>445</v>
      </c>
      <c r="FC6" s="869"/>
      <c r="FD6" s="868" t="s">
        <v>446</v>
      </c>
      <c r="FE6" s="869"/>
      <c r="FF6" s="868" t="s">
        <v>447</v>
      </c>
      <c r="FG6" s="870"/>
      <c r="FH6" s="858" t="s">
        <v>426</v>
      </c>
      <c r="FI6" s="871"/>
      <c r="FJ6" s="229" t="s">
        <v>33</v>
      </c>
      <c r="FK6" s="211" t="s">
        <v>33</v>
      </c>
      <c r="FL6" s="861" t="s">
        <v>470</v>
      </c>
      <c r="FM6" s="862"/>
      <c r="FN6" s="206" t="s">
        <v>241</v>
      </c>
      <c r="FO6" s="211" t="s">
        <v>241</v>
      </c>
      <c r="FP6" s="231"/>
      <c r="FQ6" s="231"/>
      <c r="FR6" s="231"/>
      <c r="FS6" s="231"/>
    </row>
    <row r="7" spans="1:175" s="266" customFormat="1" ht="15" customHeight="1" x14ac:dyDescent="0.2">
      <c r="A7" s="193"/>
      <c r="B7" s="193"/>
      <c r="C7" s="193"/>
      <c r="D7" s="193"/>
      <c r="E7" s="193"/>
      <c r="F7" s="881" t="s">
        <v>449</v>
      </c>
      <c r="G7" s="881"/>
      <c r="H7" s="880" t="s">
        <v>450</v>
      </c>
      <c r="I7" s="882"/>
      <c r="J7" s="880" t="s">
        <v>451</v>
      </c>
      <c r="K7" s="882"/>
      <c r="L7" s="898"/>
      <c r="M7" s="899"/>
      <c r="N7" s="280" t="s">
        <v>190</v>
      </c>
      <c r="O7" s="241" t="s">
        <v>36</v>
      </c>
      <c r="P7" s="241" t="s">
        <v>37</v>
      </c>
      <c r="Q7" s="241" t="s">
        <v>24</v>
      </c>
      <c r="R7" s="242" t="s">
        <v>190</v>
      </c>
      <c r="S7" s="262" t="s">
        <v>190</v>
      </c>
      <c r="T7" s="261" t="s">
        <v>36</v>
      </c>
      <c r="U7" s="261" t="s">
        <v>37</v>
      </c>
      <c r="V7" s="261" t="s">
        <v>24</v>
      </c>
      <c r="W7" s="243" t="s">
        <v>190</v>
      </c>
      <c r="X7" s="244" t="s">
        <v>464</v>
      </c>
      <c r="Y7" s="245"/>
      <c r="Z7" s="246" t="s">
        <v>531</v>
      </c>
      <c r="AA7" s="247"/>
      <c r="AB7" s="244" t="s">
        <v>464</v>
      </c>
      <c r="AC7" s="245"/>
      <c r="AD7" s="246" t="s">
        <v>531</v>
      </c>
      <c r="AE7" s="247"/>
      <c r="AF7" s="244" t="s">
        <v>464</v>
      </c>
      <c r="AG7" s="245"/>
      <c r="AH7" s="246" t="s">
        <v>531</v>
      </c>
      <c r="AI7" s="247"/>
      <c r="AJ7" s="244" t="s">
        <v>464</v>
      </c>
      <c r="AK7" s="245"/>
      <c r="AL7" s="246" t="s">
        <v>531</v>
      </c>
      <c r="AM7" s="247"/>
      <c r="AN7" s="244" t="s">
        <v>464</v>
      </c>
      <c r="AO7" s="245"/>
      <c r="AP7" s="246" t="s">
        <v>531</v>
      </c>
      <c r="AQ7" s="281"/>
      <c r="AR7" s="206" t="s">
        <v>39</v>
      </c>
      <c r="AS7" s="230" t="s">
        <v>25</v>
      </c>
      <c r="AT7" s="209" t="s">
        <v>39</v>
      </c>
      <c r="AU7" s="219" t="s">
        <v>25</v>
      </c>
      <c r="AV7" s="880" t="s">
        <v>452</v>
      </c>
      <c r="AW7" s="881"/>
      <c r="AX7" s="244" t="s">
        <v>464</v>
      </c>
      <c r="AY7" s="245"/>
      <c r="AZ7" s="246" t="s">
        <v>531</v>
      </c>
      <c r="BA7" s="281"/>
      <c r="BB7" s="244" t="s">
        <v>464</v>
      </c>
      <c r="BC7" s="245"/>
      <c r="BD7" s="246" t="s">
        <v>531</v>
      </c>
      <c r="BE7" s="247"/>
      <c r="BF7" s="244" t="s">
        <v>464</v>
      </c>
      <c r="BG7" s="245"/>
      <c r="BH7" s="246" t="s">
        <v>531</v>
      </c>
      <c r="BI7" s="247"/>
      <c r="BJ7" s="244" t="s">
        <v>464</v>
      </c>
      <c r="BK7" s="245"/>
      <c r="BL7" s="246" t="s">
        <v>531</v>
      </c>
      <c r="BM7" s="247"/>
      <c r="BN7" s="244" t="s">
        <v>464</v>
      </c>
      <c r="BO7" s="245"/>
      <c r="BP7" s="246" t="s">
        <v>531</v>
      </c>
      <c r="BQ7" s="247"/>
      <c r="BR7" s="244" t="s">
        <v>464</v>
      </c>
      <c r="BS7" s="245"/>
      <c r="BT7" s="246" t="s">
        <v>531</v>
      </c>
      <c r="BU7" s="247"/>
      <c r="BV7" s="244" t="s">
        <v>464</v>
      </c>
      <c r="BW7" s="245"/>
      <c r="BX7" s="246" t="s">
        <v>531</v>
      </c>
      <c r="BY7" s="247"/>
      <c r="BZ7" s="244" t="s">
        <v>464</v>
      </c>
      <c r="CA7" s="245"/>
      <c r="CB7" s="246" t="s">
        <v>531</v>
      </c>
      <c r="CC7" s="247"/>
      <c r="CD7" s="244" t="s">
        <v>464</v>
      </c>
      <c r="CE7" s="245"/>
      <c r="CF7" s="246" t="s">
        <v>531</v>
      </c>
      <c r="CG7" s="247"/>
      <c r="CH7" s="244" t="s">
        <v>464</v>
      </c>
      <c r="CI7" s="245"/>
      <c r="CJ7" s="246" t="s">
        <v>531</v>
      </c>
      <c r="CK7" s="247"/>
      <c r="CL7" s="876"/>
      <c r="CM7" s="877"/>
      <c r="CN7" s="229" t="s">
        <v>31</v>
      </c>
      <c r="CO7" s="229" t="s">
        <v>39</v>
      </c>
      <c r="CP7" s="211" t="s">
        <v>31</v>
      </c>
      <c r="CQ7" s="211" t="s">
        <v>39</v>
      </c>
      <c r="CR7" s="244" t="s">
        <v>464</v>
      </c>
      <c r="CS7" s="245"/>
      <c r="CT7" s="246" t="s">
        <v>531</v>
      </c>
      <c r="CU7" s="281"/>
      <c r="CV7" s="244" t="s">
        <v>464</v>
      </c>
      <c r="CW7" s="245"/>
      <c r="CX7" s="246" t="s">
        <v>531</v>
      </c>
      <c r="CY7" s="247"/>
      <c r="CZ7" s="244" t="s">
        <v>464</v>
      </c>
      <c r="DA7" s="245"/>
      <c r="DB7" s="246" t="s">
        <v>531</v>
      </c>
      <c r="DC7" s="247"/>
      <c r="DD7" s="244" t="s">
        <v>464</v>
      </c>
      <c r="DE7" s="245"/>
      <c r="DF7" s="246" t="s">
        <v>531</v>
      </c>
      <c r="DG7" s="247"/>
      <c r="DH7" s="244" t="s">
        <v>464</v>
      </c>
      <c r="DI7" s="245"/>
      <c r="DJ7" s="246" t="s">
        <v>531</v>
      </c>
      <c r="DK7" s="247"/>
      <c r="DL7" s="244" t="s">
        <v>464</v>
      </c>
      <c r="DM7" s="245"/>
      <c r="DN7" s="246" t="s">
        <v>531</v>
      </c>
      <c r="DO7" s="247"/>
      <c r="DP7" s="244" t="s">
        <v>464</v>
      </c>
      <c r="DQ7" s="245"/>
      <c r="DR7" s="246" t="s">
        <v>531</v>
      </c>
      <c r="DS7" s="247"/>
      <c r="DT7" s="244" t="s">
        <v>464</v>
      </c>
      <c r="DU7" s="245"/>
      <c r="DV7" s="246" t="s">
        <v>531</v>
      </c>
      <c r="DW7" s="247"/>
      <c r="DX7" s="244" t="s">
        <v>464</v>
      </c>
      <c r="DY7" s="245"/>
      <c r="DZ7" s="246" t="s">
        <v>531</v>
      </c>
      <c r="EA7" s="247"/>
      <c r="EB7" s="244" t="s">
        <v>464</v>
      </c>
      <c r="EC7" s="245"/>
      <c r="ED7" s="246" t="s">
        <v>531</v>
      </c>
      <c r="EE7" s="247"/>
      <c r="EF7" s="880" t="s">
        <v>459</v>
      </c>
      <c r="EG7" s="882"/>
      <c r="EH7" s="206" t="s">
        <v>453</v>
      </c>
      <c r="EI7" s="206" t="s">
        <v>39</v>
      </c>
      <c r="EJ7" s="230" t="s">
        <v>2</v>
      </c>
      <c r="EK7" s="209" t="s">
        <v>453</v>
      </c>
      <c r="EL7" s="209" t="s">
        <v>39</v>
      </c>
      <c r="EM7" s="219" t="s">
        <v>2</v>
      </c>
      <c r="EN7" s="206" t="s">
        <v>38</v>
      </c>
      <c r="EO7" s="211" t="s">
        <v>38</v>
      </c>
      <c r="EP7" s="865" t="s">
        <v>185</v>
      </c>
      <c r="EQ7" s="866"/>
      <c r="ER7" s="865" t="s">
        <v>40</v>
      </c>
      <c r="ES7" s="866"/>
      <c r="ET7" s="865" t="s">
        <v>41</v>
      </c>
      <c r="EU7" s="866"/>
      <c r="EV7" s="865" t="s">
        <v>42</v>
      </c>
      <c r="EW7" s="866"/>
      <c r="EX7" s="865" t="s">
        <v>40</v>
      </c>
      <c r="EY7" s="866"/>
      <c r="EZ7" s="865" t="s">
        <v>44</v>
      </c>
      <c r="FA7" s="866"/>
      <c r="FB7" s="865" t="s">
        <v>40</v>
      </c>
      <c r="FC7" s="866"/>
      <c r="FD7" s="865" t="s">
        <v>40</v>
      </c>
      <c r="FE7" s="866"/>
      <c r="FF7" s="865" t="s">
        <v>45</v>
      </c>
      <c r="FG7" s="867"/>
      <c r="FH7" s="872"/>
      <c r="FI7" s="873"/>
      <c r="FJ7" s="229" t="s">
        <v>401</v>
      </c>
      <c r="FK7" s="211" t="s">
        <v>401</v>
      </c>
      <c r="FL7" s="863"/>
      <c r="FM7" s="864"/>
      <c r="FN7" s="206" t="s">
        <v>190</v>
      </c>
      <c r="FO7" s="211" t="s">
        <v>190</v>
      </c>
      <c r="FP7" s="231"/>
      <c r="FQ7" s="231"/>
      <c r="FR7" s="231"/>
      <c r="FS7" s="231"/>
    </row>
    <row r="8" spans="1:175" s="390" customFormat="1" ht="30" customHeight="1" x14ac:dyDescent="0.2">
      <c r="A8" s="361" t="s">
        <v>237</v>
      </c>
      <c r="B8" s="362" t="s">
        <v>34</v>
      </c>
      <c r="C8" s="362" t="s">
        <v>461</v>
      </c>
      <c r="D8" s="363" t="s">
        <v>454</v>
      </c>
      <c r="E8" s="364" t="s">
        <v>35</v>
      </c>
      <c r="F8" s="365" t="s">
        <v>464</v>
      </c>
      <c r="G8" s="366" t="s">
        <v>531</v>
      </c>
      <c r="H8" s="365" t="s">
        <v>464</v>
      </c>
      <c r="I8" s="366" t="s">
        <v>531</v>
      </c>
      <c r="J8" s="365" t="s">
        <v>464</v>
      </c>
      <c r="K8" s="366" t="s">
        <v>531</v>
      </c>
      <c r="L8" s="367" t="s">
        <v>464</v>
      </c>
      <c r="M8" s="368" t="s">
        <v>531</v>
      </c>
      <c r="N8" s="369" t="s">
        <v>464</v>
      </c>
      <c r="O8" s="370"/>
      <c r="P8" s="371"/>
      <c r="Q8" s="371"/>
      <c r="R8" s="372" t="s">
        <v>216</v>
      </c>
      <c r="S8" s="373" t="s">
        <v>531</v>
      </c>
      <c r="T8" s="374"/>
      <c r="U8" s="374"/>
      <c r="V8" s="374"/>
      <c r="W8" s="375" t="s">
        <v>216</v>
      </c>
      <c r="X8" s="222" t="s">
        <v>2</v>
      </c>
      <c r="Y8" s="376" t="s">
        <v>38</v>
      </c>
      <c r="Z8" s="225" t="s">
        <v>2</v>
      </c>
      <c r="AA8" s="377" t="s">
        <v>38</v>
      </c>
      <c r="AB8" s="222" t="s">
        <v>2</v>
      </c>
      <c r="AC8" s="376" t="s">
        <v>38</v>
      </c>
      <c r="AD8" s="225" t="s">
        <v>2</v>
      </c>
      <c r="AE8" s="377" t="s">
        <v>38</v>
      </c>
      <c r="AF8" s="222" t="s">
        <v>2</v>
      </c>
      <c r="AG8" s="376" t="s">
        <v>38</v>
      </c>
      <c r="AH8" s="225" t="s">
        <v>2</v>
      </c>
      <c r="AI8" s="377" t="s">
        <v>38</v>
      </c>
      <c r="AJ8" s="222" t="s">
        <v>2</v>
      </c>
      <c r="AK8" s="376" t="s">
        <v>38</v>
      </c>
      <c r="AL8" s="225" t="s">
        <v>2</v>
      </c>
      <c r="AM8" s="377" t="s">
        <v>38</v>
      </c>
      <c r="AN8" s="222" t="s">
        <v>2</v>
      </c>
      <c r="AO8" s="376" t="s">
        <v>38</v>
      </c>
      <c r="AP8" s="225" t="s">
        <v>2</v>
      </c>
      <c r="AQ8" s="378" t="s">
        <v>38</v>
      </c>
      <c r="AR8" s="379" t="s">
        <v>464</v>
      </c>
      <c r="AS8" s="379" t="s">
        <v>464</v>
      </c>
      <c r="AT8" s="380" t="s">
        <v>531</v>
      </c>
      <c r="AU8" s="380" t="s">
        <v>531</v>
      </c>
      <c r="AV8" s="370" t="s">
        <v>464</v>
      </c>
      <c r="AW8" s="366" t="s">
        <v>531</v>
      </c>
      <c r="AX8" s="222" t="s">
        <v>2</v>
      </c>
      <c r="AY8" s="376" t="s">
        <v>38</v>
      </c>
      <c r="AZ8" s="225" t="s">
        <v>2</v>
      </c>
      <c r="BA8" s="377" t="s">
        <v>38</v>
      </c>
      <c r="BB8" s="222" t="s">
        <v>2</v>
      </c>
      <c r="BC8" s="376" t="s">
        <v>38</v>
      </c>
      <c r="BD8" s="225" t="s">
        <v>2</v>
      </c>
      <c r="BE8" s="377" t="s">
        <v>38</v>
      </c>
      <c r="BF8" s="222" t="s">
        <v>2</v>
      </c>
      <c r="BG8" s="376" t="s">
        <v>38</v>
      </c>
      <c r="BH8" s="225" t="s">
        <v>2</v>
      </c>
      <c r="BI8" s="377" t="s">
        <v>38</v>
      </c>
      <c r="BJ8" s="222" t="s">
        <v>2</v>
      </c>
      <c r="BK8" s="376" t="s">
        <v>38</v>
      </c>
      <c r="BL8" s="225" t="s">
        <v>2</v>
      </c>
      <c r="BM8" s="377" t="s">
        <v>38</v>
      </c>
      <c r="BN8" s="222" t="s">
        <v>2</v>
      </c>
      <c r="BO8" s="376" t="s">
        <v>38</v>
      </c>
      <c r="BP8" s="225" t="s">
        <v>2</v>
      </c>
      <c r="BQ8" s="377" t="s">
        <v>38</v>
      </c>
      <c r="BR8" s="222" t="s">
        <v>2</v>
      </c>
      <c r="BS8" s="376" t="s">
        <v>38</v>
      </c>
      <c r="BT8" s="225" t="s">
        <v>2</v>
      </c>
      <c r="BU8" s="377" t="s">
        <v>38</v>
      </c>
      <c r="BV8" s="222" t="s">
        <v>2</v>
      </c>
      <c r="BW8" s="376" t="s">
        <v>38</v>
      </c>
      <c r="BX8" s="225" t="s">
        <v>2</v>
      </c>
      <c r="BY8" s="377" t="s">
        <v>38</v>
      </c>
      <c r="BZ8" s="222" t="s">
        <v>2</v>
      </c>
      <c r="CA8" s="376" t="s">
        <v>38</v>
      </c>
      <c r="CB8" s="225" t="s">
        <v>2</v>
      </c>
      <c r="CC8" s="377" t="s">
        <v>38</v>
      </c>
      <c r="CD8" s="222" t="s">
        <v>2</v>
      </c>
      <c r="CE8" s="376" t="s">
        <v>38</v>
      </c>
      <c r="CF8" s="225" t="s">
        <v>2</v>
      </c>
      <c r="CG8" s="377" t="s">
        <v>38</v>
      </c>
      <c r="CH8" s="222" t="s">
        <v>2</v>
      </c>
      <c r="CI8" s="376" t="s">
        <v>38</v>
      </c>
      <c r="CJ8" s="225" t="s">
        <v>2</v>
      </c>
      <c r="CK8" s="377" t="s">
        <v>38</v>
      </c>
      <c r="CL8" s="381" t="s">
        <v>464</v>
      </c>
      <c r="CM8" s="382" t="s">
        <v>531</v>
      </c>
      <c r="CN8" s="383" t="s">
        <v>464</v>
      </c>
      <c r="CO8" s="383" t="s">
        <v>464</v>
      </c>
      <c r="CP8" s="384" t="s">
        <v>531</v>
      </c>
      <c r="CQ8" s="384" t="s">
        <v>531</v>
      </c>
      <c r="CR8" s="222" t="s">
        <v>2</v>
      </c>
      <c r="CS8" s="376" t="s">
        <v>38</v>
      </c>
      <c r="CT8" s="225" t="s">
        <v>2</v>
      </c>
      <c r="CU8" s="377" t="s">
        <v>38</v>
      </c>
      <c r="CV8" s="222" t="s">
        <v>2</v>
      </c>
      <c r="CW8" s="376" t="s">
        <v>38</v>
      </c>
      <c r="CX8" s="225" t="s">
        <v>2</v>
      </c>
      <c r="CY8" s="377" t="s">
        <v>38</v>
      </c>
      <c r="CZ8" s="222" t="s">
        <v>2</v>
      </c>
      <c r="DA8" s="376" t="s">
        <v>38</v>
      </c>
      <c r="DB8" s="225" t="s">
        <v>2</v>
      </c>
      <c r="DC8" s="377" t="s">
        <v>38</v>
      </c>
      <c r="DD8" s="222" t="s">
        <v>2</v>
      </c>
      <c r="DE8" s="376" t="s">
        <v>38</v>
      </c>
      <c r="DF8" s="225" t="s">
        <v>2</v>
      </c>
      <c r="DG8" s="377" t="s">
        <v>38</v>
      </c>
      <c r="DH8" s="222" t="s">
        <v>2</v>
      </c>
      <c r="DI8" s="376" t="s">
        <v>38</v>
      </c>
      <c r="DJ8" s="225" t="s">
        <v>2</v>
      </c>
      <c r="DK8" s="377" t="s">
        <v>38</v>
      </c>
      <c r="DL8" s="222" t="s">
        <v>2</v>
      </c>
      <c r="DM8" s="376" t="s">
        <v>38</v>
      </c>
      <c r="DN8" s="225" t="s">
        <v>2</v>
      </c>
      <c r="DO8" s="377" t="s">
        <v>38</v>
      </c>
      <c r="DP8" s="222" t="s">
        <v>2</v>
      </c>
      <c r="DQ8" s="376" t="s">
        <v>38</v>
      </c>
      <c r="DR8" s="225" t="s">
        <v>2</v>
      </c>
      <c r="DS8" s="377" t="s">
        <v>38</v>
      </c>
      <c r="DT8" s="222" t="s">
        <v>2</v>
      </c>
      <c r="DU8" s="376" t="s">
        <v>38</v>
      </c>
      <c r="DV8" s="225" t="s">
        <v>2</v>
      </c>
      <c r="DW8" s="377" t="s">
        <v>38</v>
      </c>
      <c r="DX8" s="222" t="s">
        <v>2</v>
      </c>
      <c r="DY8" s="376" t="s">
        <v>38</v>
      </c>
      <c r="DZ8" s="225" t="s">
        <v>2</v>
      </c>
      <c r="EA8" s="377" t="s">
        <v>38</v>
      </c>
      <c r="EB8" s="222" t="s">
        <v>2</v>
      </c>
      <c r="EC8" s="376" t="s">
        <v>38</v>
      </c>
      <c r="ED8" s="225" t="s">
        <v>2</v>
      </c>
      <c r="EE8" s="377" t="s">
        <v>38</v>
      </c>
      <c r="EF8" s="381" t="s">
        <v>464</v>
      </c>
      <c r="EG8" s="382" t="s">
        <v>531</v>
      </c>
      <c r="EH8" s="379" t="s">
        <v>464</v>
      </c>
      <c r="EI8" s="379" t="s">
        <v>464</v>
      </c>
      <c r="EJ8" s="379" t="s">
        <v>464</v>
      </c>
      <c r="EK8" s="380" t="s">
        <v>531</v>
      </c>
      <c r="EL8" s="380" t="s">
        <v>531</v>
      </c>
      <c r="EM8" s="384" t="s">
        <v>531</v>
      </c>
      <c r="EN8" s="379" t="s">
        <v>464</v>
      </c>
      <c r="EO8" s="384" t="s">
        <v>531</v>
      </c>
      <c r="EP8" s="385" t="s">
        <v>464</v>
      </c>
      <c r="EQ8" s="386" t="s">
        <v>531</v>
      </c>
      <c r="ER8" s="387" t="s">
        <v>464</v>
      </c>
      <c r="ES8" s="388" t="s">
        <v>531</v>
      </c>
      <c r="ET8" s="387" t="s">
        <v>464</v>
      </c>
      <c r="EU8" s="388" t="s">
        <v>531</v>
      </c>
      <c r="EV8" s="387" t="s">
        <v>464</v>
      </c>
      <c r="EW8" s="388" t="s">
        <v>531</v>
      </c>
      <c r="EX8" s="387" t="s">
        <v>464</v>
      </c>
      <c r="EY8" s="388" t="s">
        <v>531</v>
      </c>
      <c r="EZ8" s="387" t="s">
        <v>464</v>
      </c>
      <c r="FA8" s="388" t="s">
        <v>531</v>
      </c>
      <c r="FB8" s="387" t="s">
        <v>464</v>
      </c>
      <c r="FC8" s="388" t="s">
        <v>531</v>
      </c>
      <c r="FD8" s="387" t="s">
        <v>464</v>
      </c>
      <c r="FE8" s="388" t="s">
        <v>531</v>
      </c>
      <c r="FF8" s="387" t="s">
        <v>464</v>
      </c>
      <c r="FG8" s="386" t="s">
        <v>531</v>
      </c>
      <c r="FH8" s="385" t="s">
        <v>464</v>
      </c>
      <c r="FI8" s="388" t="s">
        <v>531</v>
      </c>
      <c r="FJ8" s="383" t="s">
        <v>464</v>
      </c>
      <c r="FK8" s="384" t="s">
        <v>531</v>
      </c>
      <c r="FL8" s="319" t="s">
        <v>464</v>
      </c>
      <c r="FM8" s="386" t="s">
        <v>531</v>
      </c>
      <c r="FN8" s="379" t="s">
        <v>464</v>
      </c>
      <c r="FO8" s="384" t="s">
        <v>531</v>
      </c>
      <c r="FP8" s="389"/>
      <c r="FQ8" s="389"/>
      <c r="FR8" s="389"/>
      <c r="FS8" s="389"/>
    </row>
    <row r="9" spans="1:175" s="51" customFormat="1" ht="76.5" hidden="1" x14ac:dyDescent="0.2">
      <c r="A9" s="111" t="s">
        <v>237</v>
      </c>
      <c r="B9" s="112" t="s">
        <v>34</v>
      </c>
      <c r="C9" s="112" t="s">
        <v>462</v>
      </c>
      <c r="D9" s="111" t="s">
        <v>46</v>
      </c>
      <c r="E9" s="111" t="s">
        <v>236</v>
      </c>
      <c r="F9" s="394" t="s">
        <v>47</v>
      </c>
      <c r="G9" s="394" t="s">
        <v>48</v>
      </c>
      <c r="H9" s="394" t="s">
        <v>49</v>
      </c>
      <c r="I9" s="394" t="s">
        <v>50</v>
      </c>
      <c r="J9" s="394" t="s">
        <v>51</v>
      </c>
      <c r="K9" s="394" t="s">
        <v>53</v>
      </c>
      <c r="L9" s="394" t="s">
        <v>52</v>
      </c>
      <c r="M9" s="394" t="s">
        <v>54</v>
      </c>
      <c r="N9" s="394" t="s">
        <v>57</v>
      </c>
      <c r="O9" s="394" t="s">
        <v>247</v>
      </c>
      <c r="P9" s="394" t="s">
        <v>255</v>
      </c>
      <c r="Q9" s="394" t="s">
        <v>246</v>
      </c>
      <c r="R9" s="394" t="s">
        <v>248</v>
      </c>
      <c r="S9" s="394" t="s">
        <v>58</v>
      </c>
      <c r="T9" s="394" t="s">
        <v>249</v>
      </c>
      <c r="U9" s="394" t="s">
        <v>250</v>
      </c>
      <c r="V9" s="394" t="s">
        <v>251</v>
      </c>
      <c r="W9" s="394" t="s">
        <v>252</v>
      </c>
      <c r="X9" s="395" t="s">
        <v>4</v>
      </c>
      <c r="Y9" s="396" t="s">
        <v>5</v>
      </c>
      <c r="Z9" s="397" t="s">
        <v>6</v>
      </c>
      <c r="AA9" s="396" t="s">
        <v>7</v>
      </c>
      <c r="AB9" s="397" t="s">
        <v>8</v>
      </c>
      <c r="AC9" s="396" t="s">
        <v>9</v>
      </c>
      <c r="AD9" s="397" t="s">
        <v>10</v>
      </c>
      <c r="AE9" s="396" t="s">
        <v>11</v>
      </c>
      <c r="AF9" s="397" t="s">
        <v>12</v>
      </c>
      <c r="AG9" s="396" t="s">
        <v>13</v>
      </c>
      <c r="AH9" s="397" t="s">
        <v>14</v>
      </c>
      <c r="AI9" s="396" t="s">
        <v>15</v>
      </c>
      <c r="AJ9" s="397" t="s">
        <v>16</v>
      </c>
      <c r="AK9" s="396" t="s">
        <v>17</v>
      </c>
      <c r="AL9" s="397" t="s">
        <v>18</v>
      </c>
      <c r="AM9" s="396" t="s">
        <v>19</v>
      </c>
      <c r="AN9" s="397" t="s">
        <v>20</v>
      </c>
      <c r="AO9" s="396" t="s">
        <v>21</v>
      </c>
      <c r="AP9" s="397" t="s">
        <v>22</v>
      </c>
      <c r="AQ9" s="396" t="s">
        <v>23</v>
      </c>
      <c r="AR9" s="394" t="s">
        <v>254</v>
      </c>
      <c r="AS9" s="394" t="s">
        <v>239</v>
      </c>
      <c r="AT9" s="394" t="s">
        <v>253</v>
      </c>
      <c r="AU9" s="394" t="s">
        <v>240</v>
      </c>
      <c r="AV9" s="394" t="s">
        <v>59</v>
      </c>
      <c r="AW9" s="394" t="s">
        <v>60</v>
      </c>
      <c r="AX9" s="395" t="s">
        <v>61</v>
      </c>
      <c r="AY9" s="394" t="s">
        <v>62</v>
      </c>
      <c r="AZ9" s="395" t="s">
        <v>63</v>
      </c>
      <c r="BA9" s="394" t="s">
        <v>64</v>
      </c>
      <c r="BB9" s="395" t="s">
        <v>65</v>
      </c>
      <c r="BC9" s="394" t="s">
        <v>66</v>
      </c>
      <c r="BD9" s="395" t="s">
        <v>67</v>
      </c>
      <c r="BE9" s="394" t="s">
        <v>68</v>
      </c>
      <c r="BF9" s="395" t="s">
        <v>69</v>
      </c>
      <c r="BG9" s="394" t="s">
        <v>70</v>
      </c>
      <c r="BH9" s="395" t="s">
        <v>71</v>
      </c>
      <c r="BI9" s="394" t="s">
        <v>72</v>
      </c>
      <c r="BJ9" s="395" t="s">
        <v>73</v>
      </c>
      <c r="BK9" s="394" t="s">
        <v>74</v>
      </c>
      <c r="BL9" s="395" t="s">
        <v>75</v>
      </c>
      <c r="BM9" s="394" t="s">
        <v>76</v>
      </c>
      <c r="BN9" s="395" t="s">
        <v>77</v>
      </c>
      <c r="BO9" s="394" t="s">
        <v>78</v>
      </c>
      <c r="BP9" s="395" t="s">
        <v>79</v>
      </c>
      <c r="BQ9" s="394" t="s">
        <v>80</v>
      </c>
      <c r="BR9" s="395" t="s">
        <v>81</v>
      </c>
      <c r="BS9" s="394" t="s">
        <v>82</v>
      </c>
      <c r="BT9" s="395" t="s">
        <v>83</v>
      </c>
      <c r="BU9" s="394" t="s">
        <v>84</v>
      </c>
      <c r="BV9" s="395" t="s">
        <v>85</v>
      </c>
      <c r="BW9" s="394" t="s">
        <v>86</v>
      </c>
      <c r="BX9" s="395" t="s">
        <v>87</v>
      </c>
      <c r="BY9" s="394" t="s">
        <v>88</v>
      </c>
      <c r="BZ9" s="395" t="s">
        <v>89</v>
      </c>
      <c r="CA9" s="394" t="s">
        <v>90</v>
      </c>
      <c r="CB9" s="395" t="s">
        <v>91</v>
      </c>
      <c r="CC9" s="394" t="s">
        <v>92</v>
      </c>
      <c r="CD9" s="395" t="s">
        <v>93</v>
      </c>
      <c r="CE9" s="394" t="s">
        <v>94</v>
      </c>
      <c r="CF9" s="395" t="s">
        <v>95</v>
      </c>
      <c r="CG9" s="394" t="s">
        <v>96</v>
      </c>
      <c r="CH9" s="395" t="s">
        <v>97</v>
      </c>
      <c r="CI9" s="394" t="s">
        <v>98</v>
      </c>
      <c r="CJ9" s="395" t="s">
        <v>99</v>
      </c>
      <c r="CK9" s="394" t="s">
        <v>100</v>
      </c>
      <c r="CL9" s="394" t="s">
        <v>101</v>
      </c>
      <c r="CM9" s="394" t="s">
        <v>102</v>
      </c>
      <c r="CN9" s="394" t="s">
        <v>103</v>
      </c>
      <c r="CO9" s="394" t="s">
        <v>104</v>
      </c>
      <c r="CP9" s="394" t="s">
        <v>105</v>
      </c>
      <c r="CQ9" s="394" t="s">
        <v>106</v>
      </c>
      <c r="CR9" s="395" t="s">
        <v>107</v>
      </c>
      <c r="CS9" s="394" t="s">
        <v>108</v>
      </c>
      <c r="CT9" s="395" t="s">
        <v>109</v>
      </c>
      <c r="CU9" s="394" t="s">
        <v>110</v>
      </c>
      <c r="CV9" s="395" t="s">
        <v>111</v>
      </c>
      <c r="CW9" s="394" t="s">
        <v>112</v>
      </c>
      <c r="CX9" s="395" t="s">
        <v>113</v>
      </c>
      <c r="CY9" s="394" t="s">
        <v>114</v>
      </c>
      <c r="CZ9" s="395" t="s">
        <v>115</v>
      </c>
      <c r="DA9" s="394" t="s">
        <v>116</v>
      </c>
      <c r="DB9" s="395" t="s">
        <v>117</v>
      </c>
      <c r="DC9" s="394" t="s">
        <v>118</v>
      </c>
      <c r="DD9" s="395" t="s">
        <v>119</v>
      </c>
      <c r="DE9" s="394" t="s">
        <v>120</v>
      </c>
      <c r="DF9" s="395" t="s">
        <v>121</v>
      </c>
      <c r="DG9" s="394" t="s">
        <v>122</v>
      </c>
      <c r="DH9" s="395" t="s">
        <v>123</v>
      </c>
      <c r="DI9" s="394" t="s">
        <v>124</v>
      </c>
      <c r="DJ9" s="395" t="s">
        <v>125</v>
      </c>
      <c r="DK9" s="394" t="s">
        <v>126</v>
      </c>
      <c r="DL9" s="395" t="s">
        <v>127</v>
      </c>
      <c r="DM9" s="394" t="s">
        <v>128</v>
      </c>
      <c r="DN9" s="395" t="s">
        <v>129</v>
      </c>
      <c r="DO9" s="394" t="s">
        <v>130</v>
      </c>
      <c r="DP9" s="395" t="s">
        <v>131</v>
      </c>
      <c r="DQ9" s="394" t="s">
        <v>132</v>
      </c>
      <c r="DR9" s="395" t="s">
        <v>133</v>
      </c>
      <c r="DS9" s="394" t="s">
        <v>134</v>
      </c>
      <c r="DT9" s="395" t="s">
        <v>135</v>
      </c>
      <c r="DU9" s="394" t="s">
        <v>136</v>
      </c>
      <c r="DV9" s="395" t="s">
        <v>137</v>
      </c>
      <c r="DW9" s="394" t="s">
        <v>138</v>
      </c>
      <c r="DX9" s="395" t="s">
        <v>139</v>
      </c>
      <c r="DY9" s="394" t="s">
        <v>140</v>
      </c>
      <c r="DZ9" s="395" t="s">
        <v>141</v>
      </c>
      <c r="EA9" s="394" t="s">
        <v>142</v>
      </c>
      <c r="EB9" s="395" t="s">
        <v>143</v>
      </c>
      <c r="EC9" s="394" t="s">
        <v>144</v>
      </c>
      <c r="ED9" s="395" t="s">
        <v>145</v>
      </c>
      <c r="EE9" s="394" t="s">
        <v>146</v>
      </c>
      <c r="EF9" s="394" t="s">
        <v>147</v>
      </c>
      <c r="EG9" s="394" t="s">
        <v>148</v>
      </c>
      <c r="EH9" s="394" t="s">
        <v>149</v>
      </c>
      <c r="EI9" s="394" t="s">
        <v>150</v>
      </c>
      <c r="EJ9" s="394" t="s">
        <v>151</v>
      </c>
      <c r="EK9" s="394" t="s">
        <v>152</v>
      </c>
      <c r="EL9" s="394" t="s">
        <v>153</v>
      </c>
      <c r="EM9" s="394" t="s">
        <v>154</v>
      </c>
      <c r="EN9" s="394" t="s">
        <v>155</v>
      </c>
      <c r="EO9" s="394" t="s">
        <v>156</v>
      </c>
      <c r="EP9" s="394" t="s">
        <v>157</v>
      </c>
      <c r="EQ9" s="394" t="s">
        <v>158</v>
      </c>
      <c r="ER9" s="394" t="s">
        <v>159</v>
      </c>
      <c r="ES9" s="394" t="s">
        <v>160</v>
      </c>
      <c r="ET9" s="394" t="s">
        <v>161</v>
      </c>
      <c r="EU9" s="394" t="s">
        <v>162</v>
      </c>
      <c r="EV9" s="394" t="s">
        <v>163</v>
      </c>
      <c r="EW9" s="394" t="s">
        <v>164</v>
      </c>
      <c r="EX9" s="394" t="s">
        <v>165</v>
      </c>
      <c r="EY9" s="394" t="s">
        <v>166</v>
      </c>
      <c r="EZ9" s="394" t="s">
        <v>167</v>
      </c>
      <c r="FA9" s="394" t="s">
        <v>168</v>
      </c>
      <c r="FB9" s="394" t="s">
        <v>169</v>
      </c>
      <c r="FC9" s="394" t="s">
        <v>170</v>
      </c>
      <c r="FD9" s="394" t="s">
        <v>171</v>
      </c>
      <c r="FE9" s="394" t="s">
        <v>172</v>
      </c>
      <c r="FF9" s="394" t="s">
        <v>173</v>
      </c>
      <c r="FG9" s="394" t="s">
        <v>174</v>
      </c>
      <c r="FH9" s="394" t="s">
        <v>402</v>
      </c>
      <c r="FI9" s="394" t="s">
        <v>403</v>
      </c>
      <c r="FJ9" s="394" t="s">
        <v>55</v>
      </c>
      <c r="FK9" s="394" t="s">
        <v>56</v>
      </c>
      <c r="FL9" s="398" t="s">
        <v>468</v>
      </c>
      <c r="FM9" s="398" t="s">
        <v>469</v>
      </c>
      <c r="FN9" s="394" t="s">
        <v>242</v>
      </c>
      <c r="FO9" s="394" t="s">
        <v>243</v>
      </c>
    </row>
    <row r="10" spans="1:175" s="248" customFormat="1" x14ac:dyDescent="0.2">
      <c r="A10" s="354" t="s">
        <v>0</v>
      </c>
      <c r="B10" s="355" t="s">
        <v>494</v>
      </c>
      <c r="C10" s="479"/>
      <c r="D10" s="477">
        <v>100858</v>
      </c>
      <c r="E10" s="482">
        <v>1</v>
      </c>
      <c r="F10" s="413"/>
      <c r="G10" s="412"/>
      <c r="H10" s="413"/>
      <c r="I10" s="412"/>
      <c r="J10" s="413"/>
      <c r="K10" s="412"/>
      <c r="L10" s="402">
        <f t="shared" ref="L10" si="0">IF(N10&gt;0,J10/N10, )</f>
        <v>0</v>
      </c>
      <c r="M10" s="403">
        <f t="shared" ref="M10" si="1">IF(S10&gt;0,K10/S10, )</f>
        <v>0</v>
      </c>
      <c r="N10" s="414">
        <v>4157</v>
      </c>
      <c r="O10" s="414">
        <v>420</v>
      </c>
      <c r="P10" s="414"/>
      <c r="Q10" s="414"/>
      <c r="R10" s="404">
        <f t="shared" ref="R10:R73" si="2">SUM(O10:Q10)</f>
        <v>420</v>
      </c>
      <c r="S10" s="391">
        <v>4285</v>
      </c>
      <c r="T10" s="415">
        <v>457</v>
      </c>
      <c r="U10" s="415"/>
      <c r="V10" s="415"/>
      <c r="W10" s="405">
        <f t="shared" ref="W10:W73" si="3">SUM(T10:V10)</f>
        <v>457</v>
      </c>
      <c r="X10" s="416"/>
      <c r="Y10" s="413"/>
      <c r="Z10" s="417"/>
      <c r="AA10" s="417"/>
      <c r="AB10" s="418"/>
      <c r="AC10" s="413"/>
      <c r="AD10" s="417"/>
      <c r="AE10" s="419"/>
      <c r="AF10" s="418"/>
      <c r="AG10" s="413"/>
      <c r="AH10" s="417"/>
      <c r="AI10" s="419"/>
      <c r="AJ10" s="418"/>
      <c r="AK10" s="413"/>
      <c r="AL10" s="417"/>
      <c r="AM10" s="419"/>
      <c r="AN10" s="418"/>
      <c r="AO10" s="413"/>
      <c r="AP10" s="417"/>
      <c r="AQ10" s="417"/>
      <c r="AR10" s="404">
        <f t="shared" ref="AR10" si="4">COUNTA(X10,AB10,AF10,AJ10,AN10)</f>
        <v>0</v>
      </c>
      <c r="AS10" s="406">
        <f t="shared" ref="AS10" si="5">IF(FN10&gt;0,N10/FN10,)</f>
        <v>0.72840371473628873</v>
      </c>
      <c r="AT10" s="407">
        <f t="shared" ref="AT10" si="6">COUNTA(Z10,AD10,AH10,AL10,AP10)</f>
        <v>0</v>
      </c>
      <c r="AU10" s="408">
        <f t="shared" ref="AU10" si="7">IF(FO10&gt;0,S10/FO10,)</f>
        <v>0.72271883960195649</v>
      </c>
      <c r="AV10" s="413">
        <v>40</v>
      </c>
      <c r="AW10" s="412">
        <v>58</v>
      </c>
      <c r="AX10" s="416">
        <v>52</v>
      </c>
      <c r="AY10" s="413">
        <v>263</v>
      </c>
      <c r="AZ10" s="417">
        <v>52</v>
      </c>
      <c r="BA10" s="417">
        <v>275</v>
      </c>
      <c r="BB10" s="418">
        <v>13</v>
      </c>
      <c r="BC10" s="413">
        <v>259</v>
      </c>
      <c r="BD10" s="417">
        <v>13</v>
      </c>
      <c r="BE10" s="419">
        <v>261</v>
      </c>
      <c r="BF10" s="418">
        <v>14</v>
      </c>
      <c r="BG10" s="413">
        <v>227</v>
      </c>
      <c r="BH10" s="417">
        <v>14</v>
      </c>
      <c r="BI10" s="419">
        <v>204</v>
      </c>
      <c r="BJ10" s="418">
        <v>1</v>
      </c>
      <c r="BK10" s="413">
        <v>50</v>
      </c>
      <c r="BL10" s="417">
        <v>4</v>
      </c>
      <c r="BM10" s="419">
        <v>62</v>
      </c>
      <c r="BN10" s="418">
        <v>51</v>
      </c>
      <c r="BO10" s="413">
        <v>50</v>
      </c>
      <c r="BP10" s="417">
        <v>1</v>
      </c>
      <c r="BQ10" s="419">
        <v>53</v>
      </c>
      <c r="BR10" s="418">
        <v>4</v>
      </c>
      <c r="BS10" s="413">
        <v>40</v>
      </c>
      <c r="BT10" s="422">
        <v>51</v>
      </c>
      <c r="BU10" s="392">
        <v>45</v>
      </c>
      <c r="BV10" s="418">
        <v>42</v>
      </c>
      <c r="BW10" s="413">
        <v>29</v>
      </c>
      <c r="BX10" s="417">
        <v>23</v>
      </c>
      <c r="BY10" s="419">
        <v>26</v>
      </c>
      <c r="BZ10" s="418">
        <v>44</v>
      </c>
      <c r="CA10" s="413">
        <v>23</v>
      </c>
      <c r="CB10" s="417">
        <v>42</v>
      </c>
      <c r="CC10" s="419">
        <v>24</v>
      </c>
      <c r="CD10" s="418">
        <v>23</v>
      </c>
      <c r="CE10" s="413">
        <v>17</v>
      </c>
      <c r="CF10" s="417">
        <v>3</v>
      </c>
      <c r="CG10" s="419">
        <v>22</v>
      </c>
      <c r="CH10" s="418">
        <v>26</v>
      </c>
      <c r="CI10" s="413">
        <v>16</v>
      </c>
      <c r="CJ10" s="417">
        <v>44</v>
      </c>
      <c r="CK10" s="419">
        <v>21</v>
      </c>
      <c r="CL10" s="414">
        <v>103</v>
      </c>
      <c r="CM10" s="412">
        <v>116</v>
      </c>
      <c r="CN10" s="409">
        <f t="shared" ref="CN10" si="8">AY10+BC10+BG10+BK10+BO10+BS10+BW10+CA10+CE10+CI10+CL10</f>
        <v>1077</v>
      </c>
      <c r="CO10" s="409">
        <f t="shared" ref="CO10" si="9">COUNTA(AX10,BB10,BF10,BJ10,BN10,BR10,BV10,BZ10,CD10,CH10)</f>
        <v>10</v>
      </c>
      <c r="CP10" s="410">
        <f t="shared" ref="CP10" si="10">BA10+BE10+BI10+BM10+BQ10+BU10+BY10+CC10+CG10+CK10+CM10</f>
        <v>1109</v>
      </c>
      <c r="CQ10" s="410">
        <f t="shared" ref="CQ10" si="11">COUNTA(AZ10,BD10,BH10,BL10,BP10,BT10,BX10,CB10,CF10,CJ10)</f>
        <v>10</v>
      </c>
      <c r="CR10" s="416">
        <v>14</v>
      </c>
      <c r="CS10" s="413">
        <v>63</v>
      </c>
      <c r="CT10" s="417">
        <v>14</v>
      </c>
      <c r="CU10" s="417">
        <v>67</v>
      </c>
      <c r="CV10" s="418">
        <v>13</v>
      </c>
      <c r="CW10" s="413">
        <v>37</v>
      </c>
      <c r="CX10" s="417">
        <v>13</v>
      </c>
      <c r="CY10" s="419">
        <v>49</v>
      </c>
      <c r="CZ10" s="418">
        <v>42</v>
      </c>
      <c r="DA10" s="413">
        <v>18</v>
      </c>
      <c r="DB10" s="417">
        <v>42</v>
      </c>
      <c r="DC10" s="419">
        <v>29</v>
      </c>
      <c r="DD10" s="418">
        <v>1</v>
      </c>
      <c r="DE10" s="413">
        <v>17</v>
      </c>
      <c r="DF10" s="417">
        <v>1</v>
      </c>
      <c r="DG10" s="419">
        <v>19</v>
      </c>
      <c r="DH10" s="418">
        <v>40</v>
      </c>
      <c r="DI10" s="413">
        <v>12</v>
      </c>
      <c r="DJ10" s="417">
        <v>40</v>
      </c>
      <c r="DK10" s="419">
        <v>16</v>
      </c>
      <c r="DL10" s="418">
        <v>52</v>
      </c>
      <c r="DM10" s="413">
        <v>11</v>
      </c>
      <c r="DN10" s="417">
        <v>27</v>
      </c>
      <c r="DO10" s="419">
        <v>12</v>
      </c>
      <c r="DP10" s="418">
        <v>23</v>
      </c>
      <c r="DQ10" s="413">
        <v>9</v>
      </c>
      <c r="DR10" s="417">
        <v>51</v>
      </c>
      <c r="DS10" s="419">
        <v>12</v>
      </c>
      <c r="DT10" s="418">
        <v>51</v>
      </c>
      <c r="DU10" s="413">
        <v>7</v>
      </c>
      <c r="DV10" s="417">
        <v>26</v>
      </c>
      <c r="DW10" s="419">
        <v>11</v>
      </c>
      <c r="DX10" s="418">
        <v>27</v>
      </c>
      <c r="DY10" s="413">
        <v>6</v>
      </c>
      <c r="DZ10" s="417">
        <v>44</v>
      </c>
      <c r="EA10" s="419">
        <v>10</v>
      </c>
      <c r="EB10" s="418">
        <v>19</v>
      </c>
      <c r="EC10" s="413">
        <v>4</v>
      </c>
      <c r="ED10" s="417">
        <v>52</v>
      </c>
      <c r="EE10" s="419">
        <v>9</v>
      </c>
      <c r="EF10" s="414">
        <v>20</v>
      </c>
      <c r="EG10" s="412">
        <v>13</v>
      </c>
      <c r="EH10" s="404">
        <f t="shared" ref="EH10" si="12">CS10+CW10+DA10+DE10+DI10+DM10+DQ10+DU10+DY10+EC10+EF10</f>
        <v>204</v>
      </c>
      <c r="EI10" s="404">
        <f t="shared" ref="EI10" si="13">COUNTA(CR10,CV10,CZ10,DD10,DH10,DL10,DP10,DT10,DX10,EB10)</f>
        <v>10</v>
      </c>
      <c r="EJ10" s="402">
        <f t="shared" ref="EJ10" si="14">IF(EH10&gt;0,CS10/EH10,)</f>
        <v>0.30882352941176472</v>
      </c>
      <c r="EK10" s="411">
        <f t="shared" ref="EK10" si="15">CU10+CY10+DC10+DG10+DK10+DO10+DS10+DW10+EA10+EE10+EG10</f>
        <v>247</v>
      </c>
      <c r="EL10" s="411">
        <f t="shared" ref="EL10" si="16">COUNTA(CT10,CX10,DB10,DF10,DJ10,DN10,DR10,DV10,DZ10,ED10)</f>
        <v>10</v>
      </c>
      <c r="EM10" s="403">
        <f t="shared" ref="EM10" si="17">IF(EK10&gt;0,CU10/EK10,)</f>
        <v>0.27125506072874495</v>
      </c>
      <c r="EN10" s="404">
        <f t="shared" ref="EN10" si="18">CN10+EH10</f>
        <v>1281</v>
      </c>
      <c r="EO10" s="410">
        <f t="shared" ref="EO10" si="19">CP10+EK10</f>
        <v>1356</v>
      </c>
      <c r="EP10" s="420"/>
      <c r="EQ10" s="412"/>
      <c r="ER10" s="420"/>
      <c r="ES10" s="412"/>
      <c r="ET10" s="420"/>
      <c r="EU10" s="412"/>
      <c r="EV10" s="420">
        <v>133</v>
      </c>
      <c r="EW10" s="412">
        <v>131</v>
      </c>
      <c r="EX10" s="420"/>
      <c r="EY10" s="412"/>
      <c r="EZ10" s="420"/>
      <c r="FA10" s="412"/>
      <c r="FB10" s="420"/>
      <c r="FC10" s="412"/>
      <c r="FD10" s="420">
        <v>90</v>
      </c>
      <c r="FE10" s="412">
        <v>90</v>
      </c>
      <c r="FF10" s="420"/>
      <c r="FG10" s="412"/>
      <c r="FH10" s="421">
        <v>6</v>
      </c>
      <c r="FI10" s="412">
        <v>9</v>
      </c>
      <c r="FJ10" s="409">
        <f t="shared" ref="FJ10" si="20">EP10+ER10+ET10+EV10+EX10+EZ10+FB10+FD10+FF10+FH10</f>
        <v>229</v>
      </c>
      <c r="FK10" s="410">
        <f t="shared" ref="FK10" si="21">EQ10+ES10+EU10+EW10+EY10+FA10+FC10+FE10+FG10+FI10</f>
        <v>230</v>
      </c>
      <c r="FL10" s="421"/>
      <c r="FM10" s="412"/>
      <c r="FN10" s="404">
        <f t="shared" ref="FN10" si="22">F10+H10+J10+N10+AV10+EN10+FJ10+FL10</f>
        <v>5707</v>
      </c>
      <c r="FO10" s="410">
        <f t="shared" ref="FO10" si="23">G10+I10+K10+S10+AW10+EO10+FK10+FM10</f>
        <v>5929</v>
      </c>
      <c r="FQ10" s="393"/>
    </row>
    <row r="11" spans="1:175" s="248" customFormat="1" x14ac:dyDescent="0.2">
      <c r="A11" s="354" t="s">
        <v>0</v>
      </c>
      <c r="B11" s="355" t="s">
        <v>498</v>
      </c>
      <c r="C11" s="479"/>
      <c r="D11" s="477">
        <v>100751</v>
      </c>
      <c r="E11" s="482">
        <v>1</v>
      </c>
      <c r="F11" s="427"/>
      <c r="G11" s="426"/>
      <c r="H11" s="427"/>
      <c r="I11" s="426"/>
      <c r="J11" s="427"/>
      <c r="K11" s="426"/>
      <c r="L11" s="458">
        <f t="shared" ref="L11:L74" si="24">IF(N11&gt;0,J11/N11, )</f>
        <v>0</v>
      </c>
      <c r="M11" s="449">
        <f t="shared" ref="M11:M74" si="25">IF(S11&gt;0,K11/S11, )</f>
        <v>0</v>
      </c>
      <c r="N11" s="428">
        <v>4463</v>
      </c>
      <c r="O11" s="428">
        <v>304</v>
      </c>
      <c r="P11" s="428"/>
      <c r="Q11" s="428"/>
      <c r="R11" s="460">
        <f t="shared" si="2"/>
        <v>304</v>
      </c>
      <c r="S11" s="391">
        <v>4482</v>
      </c>
      <c r="T11" s="429">
        <v>367</v>
      </c>
      <c r="U11" s="429"/>
      <c r="V11" s="429"/>
      <c r="W11" s="462">
        <f t="shared" si="3"/>
        <v>367</v>
      </c>
      <c r="X11" s="430"/>
      <c r="Y11" s="427"/>
      <c r="Z11" s="431"/>
      <c r="AA11" s="431"/>
      <c r="AB11" s="432"/>
      <c r="AC11" s="427"/>
      <c r="AD11" s="431"/>
      <c r="AE11" s="433"/>
      <c r="AF11" s="432"/>
      <c r="AG11" s="427"/>
      <c r="AH11" s="431"/>
      <c r="AI11" s="433"/>
      <c r="AJ11" s="432"/>
      <c r="AK11" s="427"/>
      <c r="AL11" s="431"/>
      <c r="AM11" s="433"/>
      <c r="AN11" s="432"/>
      <c r="AO11" s="427"/>
      <c r="AP11" s="431"/>
      <c r="AQ11" s="431"/>
      <c r="AR11" s="460">
        <f t="shared" ref="AR11:AR74" si="26">COUNTA(X11,AB11,AF11,AJ11,AN11)</f>
        <v>0</v>
      </c>
      <c r="AS11" s="467">
        <f t="shared" ref="AS11:AS74" si="27">IF(FN11&gt;0,N11/FN11,)</f>
        <v>0.69506307428749414</v>
      </c>
      <c r="AT11" s="447">
        <f t="shared" ref="AT11:AT74" si="28">COUNTA(Z11,AD11,AH11,AL11,AP11)</f>
        <v>0</v>
      </c>
      <c r="AU11" s="448">
        <f t="shared" ref="AU11:AU74" si="29">IF(FO11&gt;0,S11/FO11,)</f>
        <v>0.68605541099035661</v>
      </c>
      <c r="AV11" s="427"/>
      <c r="AW11" s="426">
        <v>0</v>
      </c>
      <c r="AX11" s="430">
        <v>52</v>
      </c>
      <c r="AY11" s="427">
        <v>375</v>
      </c>
      <c r="AZ11" s="431">
        <v>52</v>
      </c>
      <c r="BA11" s="431">
        <v>373</v>
      </c>
      <c r="BB11" s="432">
        <v>13</v>
      </c>
      <c r="BC11" s="427">
        <v>223</v>
      </c>
      <c r="BD11" s="431">
        <v>13</v>
      </c>
      <c r="BE11" s="433">
        <v>216</v>
      </c>
      <c r="BF11" s="432">
        <v>44</v>
      </c>
      <c r="BG11" s="427">
        <v>150</v>
      </c>
      <c r="BH11" s="431">
        <v>44</v>
      </c>
      <c r="BI11" s="433">
        <v>210</v>
      </c>
      <c r="BJ11" s="432">
        <v>51</v>
      </c>
      <c r="BK11" s="427">
        <v>132</v>
      </c>
      <c r="BL11" s="431">
        <v>19</v>
      </c>
      <c r="BM11" s="433">
        <v>138</v>
      </c>
      <c r="BN11" s="432">
        <v>19</v>
      </c>
      <c r="BO11" s="427">
        <v>127</v>
      </c>
      <c r="BP11" s="431">
        <v>51</v>
      </c>
      <c r="BQ11" s="433">
        <v>134</v>
      </c>
      <c r="BR11" s="432">
        <v>25</v>
      </c>
      <c r="BS11" s="427">
        <v>123</v>
      </c>
      <c r="BT11" s="446">
        <v>25</v>
      </c>
      <c r="BU11" s="392">
        <v>110</v>
      </c>
      <c r="BV11" s="432">
        <v>22</v>
      </c>
      <c r="BW11" s="427">
        <v>94</v>
      </c>
      <c r="BX11" s="431">
        <v>22</v>
      </c>
      <c r="BY11" s="433">
        <v>79</v>
      </c>
      <c r="BZ11" s="432">
        <v>14</v>
      </c>
      <c r="CA11" s="427">
        <v>73</v>
      </c>
      <c r="CB11" s="431">
        <v>14</v>
      </c>
      <c r="CC11" s="433">
        <v>75</v>
      </c>
      <c r="CD11" s="432">
        <v>9</v>
      </c>
      <c r="CE11" s="427">
        <v>48</v>
      </c>
      <c r="CF11" s="431">
        <v>9</v>
      </c>
      <c r="CG11" s="433">
        <v>50</v>
      </c>
      <c r="CH11" s="432">
        <v>42</v>
      </c>
      <c r="CI11" s="427">
        <v>26</v>
      </c>
      <c r="CJ11" s="431">
        <v>50</v>
      </c>
      <c r="CK11" s="433">
        <v>34</v>
      </c>
      <c r="CL11" s="428">
        <v>186</v>
      </c>
      <c r="CM11" s="426">
        <v>205</v>
      </c>
      <c r="CN11" s="468">
        <f t="shared" ref="CN11:CN74" si="30">AY11+BC11+BG11+BK11+BO11+BS11+BW11+CA11+CE11+CI11+CL11</f>
        <v>1557</v>
      </c>
      <c r="CO11" s="468">
        <f t="shared" ref="CO11:CO74" si="31">COUNTA(AX11,BB11,BF11,BJ11,BN11,BR11,BV11,BZ11,CD11,CH11)</f>
        <v>10</v>
      </c>
      <c r="CP11" s="469">
        <f t="shared" ref="CP11:CP74" si="32">BA11+BE11+BI11+BM11+BQ11+BU11+BY11+CC11+CG11+CK11+CM11</f>
        <v>1624</v>
      </c>
      <c r="CQ11" s="469">
        <f t="shared" ref="CQ11:CQ74" si="33">COUNTA(AZ11,BD11,BH11,BL11,BP11,BT11,BX11,CB11,CF11,CJ11)</f>
        <v>10</v>
      </c>
      <c r="CR11" s="430">
        <v>13</v>
      </c>
      <c r="CS11" s="427">
        <v>57</v>
      </c>
      <c r="CT11" s="431">
        <v>13</v>
      </c>
      <c r="CU11" s="431">
        <v>63</v>
      </c>
      <c r="CV11" s="432">
        <v>42</v>
      </c>
      <c r="CW11" s="427">
        <v>21</v>
      </c>
      <c r="CX11" s="431">
        <v>14</v>
      </c>
      <c r="CY11" s="433">
        <v>14</v>
      </c>
      <c r="CZ11" s="432">
        <v>14</v>
      </c>
      <c r="DA11" s="427">
        <v>19</v>
      </c>
      <c r="DB11" s="431">
        <v>42</v>
      </c>
      <c r="DC11" s="433">
        <v>14</v>
      </c>
      <c r="DD11" s="432">
        <v>40</v>
      </c>
      <c r="DE11" s="427">
        <v>19</v>
      </c>
      <c r="DF11" s="431">
        <v>40</v>
      </c>
      <c r="DG11" s="433">
        <v>12</v>
      </c>
      <c r="DH11" s="432">
        <v>31</v>
      </c>
      <c r="DI11" s="427">
        <v>14</v>
      </c>
      <c r="DJ11" s="431">
        <v>52</v>
      </c>
      <c r="DK11" s="433">
        <v>11</v>
      </c>
      <c r="DL11" s="432">
        <v>52</v>
      </c>
      <c r="DM11" s="427">
        <v>11</v>
      </c>
      <c r="DN11" s="431">
        <v>26</v>
      </c>
      <c r="DO11" s="433">
        <v>10</v>
      </c>
      <c r="DP11" s="432">
        <v>9</v>
      </c>
      <c r="DQ11" s="427">
        <v>10</v>
      </c>
      <c r="DR11" s="431">
        <v>27</v>
      </c>
      <c r="DS11" s="433">
        <v>8</v>
      </c>
      <c r="DT11" s="432">
        <v>50</v>
      </c>
      <c r="DU11" s="427">
        <v>9</v>
      </c>
      <c r="DV11" s="431">
        <v>9</v>
      </c>
      <c r="DW11" s="433">
        <v>8</v>
      </c>
      <c r="DX11" s="432">
        <v>44</v>
      </c>
      <c r="DY11" s="427">
        <v>8</v>
      </c>
      <c r="DZ11" s="431">
        <v>54</v>
      </c>
      <c r="EA11" s="433">
        <v>7</v>
      </c>
      <c r="EB11" s="432">
        <v>23</v>
      </c>
      <c r="EC11" s="427">
        <v>5</v>
      </c>
      <c r="ED11" s="431">
        <v>16</v>
      </c>
      <c r="EE11" s="433">
        <v>6</v>
      </c>
      <c r="EF11" s="428">
        <v>17</v>
      </c>
      <c r="EG11" s="426">
        <v>30</v>
      </c>
      <c r="EH11" s="460">
        <f t="shared" ref="EH11:EH74" si="34">CS11+CW11+DA11+DE11+DI11+DM11+DQ11+DU11+DY11+EC11+EF11</f>
        <v>190</v>
      </c>
      <c r="EI11" s="460">
        <f t="shared" ref="EI11:EI74" si="35">COUNTA(CR11,CV11,CZ11,DD11,DH11,DL11,DP11,DT11,DX11,EB11)</f>
        <v>10</v>
      </c>
      <c r="EJ11" s="458">
        <f t="shared" ref="EJ11:EJ74" si="36">IF(EH11&gt;0,CS11/EH11,)</f>
        <v>0.3</v>
      </c>
      <c r="EK11" s="470">
        <f t="shared" ref="EK11:EK74" si="37">CU11+CY11+DC11+DG11+DK11+DO11+DS11+DW11+EA11+EE11+EG11</f>
        <v>183</v>
      </c>
      <c r="EL11" s="470">
        <f t="shared" ref="EL11:EL74" si="38">COUNTA(CT11,CX11,DB11,DF11,DJ11,DN11,DR11,DV11,DZ11,ED11)</f>
        <v>10</v>
      </c>
      <c r="EM11" s="449">
        <f t="shared" ref="EM11:EM74" si="39">IF(EK11&gt;0,CU11/EK11,)</f>
        <v>0.34426229508196721</v>
      </c>
      <c r="EN11" s="460">
        <f t="shared" ref="EN11:EN74" si="40">CN11+EH11</f>
        <v>1747</v>
      </c>
      <c r="EO11" s="469">
        <f t="shared" ref="EO11:EO74" si="41">CP11+EK11</f>
        <v>1807</v>
      </c>
      <c r="EP11" s="434">
        <v>159</v>
      </c>
      <c r="EQ11" s="426">
        <v>175</v>
      </c>
      <c r="ER11" s="434"/>
      <c r="ES11" s="426"/>
      <c r="ET11" s="434"/>
      <c r="EU11" s="426"/>
      <c r="EV11" s="434"/>
      <c r="EW11" s="426"/>
      <c r="EX11" s="434"/>
      <c r="EY11" s="426"/>
      <c r="EZ11" s="434"/>
      <c r="FA11" s="426"/>
      <c r="FB11" s="434"/>
      <c r="FC11" s="426"/>
      <c r="FD11" s="434"/>
      <c r="FE11" s="426"/>
      <c r="FF11" s="434"/>
      <c r="FG11" s="426"/>
      <c r="FH11" s="435">
        <v>52</v>
      </c>
      <c r="FI11" s="426">
        <v>69</v>
      </c>
      <c r="FJ11" s="468">
        <f t="shared" ref="FJ11:FJ74" si="42">EP11+ER11+ET11+EV11+EX11+EZ11+FB11+FD11+FF11+FH11</f>
        <v>211</v>
      </c>
      <c r="FK11" s="469">
        <f t="shared" ref="FK11:FK74" si="43">EQ11+ES11+EU11+EW11+EY11+FA11+FC11+FE11+FG11+FI11</f>
        <v>244</v>
      </c>
      <c r="FL11" s="435"/>
      <c r="FM11" s="426"/>
      <c r="FN11" s="460">
        <f t="shared" ref="FN11:FN74" si="44">F11+H11+J11+N11+AV11+EN11+FJ11+FL11</f>
        <v>6421</v>
      </c>
      <c r="FO11" s="469">
        <f t="shared" ref="FO11:FO74" si="45">G11+I11+K11+S11+AW11+EO11+FK11+FM11</f>
        <v>6533</v>
      </c>
      <c r="FQ11" s="393"/>
    </row>
    <row r="12" spans="1:175" s="248" customFormat="1" x14ac:dyDescent="0.2">
      <c r="A12" s="354" t="s">
        <v>0</v>
      </c>
      <c r="B12" s="355" t="s">
        <v>499</v>
      </c>
      <c r="C12" s="480" t="s">
        <v>598</v>
      </c>
      <c r="D12" s="477">
        <v>100663</v>
      </c>
      <c r="E12" s="483">
        <v>2</v>
      </c>
      <c r="F12" s="427">
        <v>17</v>
      </c>
      <c r="G12" s="426">
        <v>22</v>
      </c>
      <c r="H12" s="427"/>
      <c r="I12" s="426"/>
      <c r="J12" s="427"/>
      <c r="K12" s="426"/>
      <c r="L12" s="458">
        <f t="shared" si="24"/>
        <v>0</v>
      </c>
      <c r="M12" s="449">
        <f t="shared" si="25"/>
        <v>0</v>
      </c>
      <c r="N12" s="428">
        <v>1997</v>
      </c>
      <c r="O12" s="428">
        <v>157</v>
      </c>
      <c r="P12" s="428"/>
      <c r="Q12" s="428">
        <v>90</v>
      </c>
      <c r="R12" s="460">
        <f t="shared" si="2"/>
        <v>247</v>
      </c>
      <c r="S12" s="391">
        <v>1986</v>
      </c>
      <c r="T12" s="429">
        <v>140</v>
      </c>
      <c r="U12" s="429"/>
      <c r="V12" s="429">
        <v>57</v>
      </c>
      <c r="W12" s="462">
        <f t="shared" si="3"/>
        <v>197</v>
      </c>
      <c r="X12" s="430"/>
      <c r="Y12" s="427"/>
      <c r="Z12" s="431"/>
      <c r="AA12" s="431"/>
      <c r="AB12" s="432"/>
      <c r="AC12" s="427"/>
      <c r="AD12" s="431"/>
      <c r="AE12" s="433"/>
      <c r="AF12" s="432"/>
      <c r="AG12" s="427"/>
      <c r="AH12" s="431"/>
      <c r="AI12" s="433"/>
      <c r="AJ12" s="432"/>
      <c r="AK12" s="427"/>
      <c r="AL12" s="431"/>
      <c r="AM12" s="433"/>
      <c r="AN12" s="432"/>
      <c r="AO12" s="427"/>
      <c r="AP12" s="431"/>
      <c r="AQ12" s="431"/>
      <c r="AR12" s="460">
        <f t="shared" si="26"/>
        <v>0</v>
      </c>
      <c r="AS12" s="467">
        <f t="shared" si="27"/>
        <v>0.50050125313283211</v>
      </c>
      <c r="AT12" s="447">
        <f t="shared" si="28"/>
        <v>0</v>
      </c>
      <c r="AU12" s="448">
        <f t="shared" si="29"/>
        <v>0.47936278059377263</v>
      </c>
      <c r="AV12" s="427">
        <v>23</v>
      </c>
      <c r="AW12" s="426">
        <v>23</v>
      </c>
      <c r="AX12" s="430">
        <v>51</v>
      </c>
      <c r="AY12" s="427">
        <v>650</v>
      </c>
      <c r="AZ12" s="431">
        <v>51</v>
      </c>
      <c r="BA12" s="431">
        <v>671</v>
      </c>
      <c r="BB12" s="432">
        <v>13</v>
      </c>
      <c r="BC12" s="427">
        <v>343</v>
      </c>
      <c r="BD12" s="431">
        <v>13</v>
      </c>
      <c r="BE12" s="433">
        <v>400</v>
      </c>
      <c r="BF12" s="432">
        <v>52</v>
      </c>
      <c r="BG12" s="427">
        <v>148</v>
      </c>
      <c r="BH12" s="431">
        <v>52</v>
      </c>
      <c r="BI12" s="433">
        <v>187</v>
      </c>
      <c r="BJ12" s="432">
        <v>14</v>
      </c>
      <c r="BK12" s="427">
        <v>114</v>
      </c>
      <c r="BL12" s="431">
        <v>14</v>
      </c>
      <c r="BM12" s="433">
        <v>134</v>
      </c>
      <c r="BN12" s="432">
        <v>44</v>
      </c>
      <c r="BO12" s="427">
        <v>44</v>
      </c>
      <c r="BP12" s="431">
        <v>26</v>
      </c>
      <c r="BQ12" s="433">
        <v>34</v>
      </c>
      <c r="BR12" s="432">
        <v>23</v>
      </c>
      <c r="BS12" s="427">
        <v>19</v>
      </c>
      <c r="BT12" s="446">
        <v>40</v>
      </c>
      <c r="BU12" s="392">
        <v>19</v>
      </c>
      <c r="BV12" s="432">
        <v>26</v>
      </c>
      <c r="BW12" s="427">
        <v>19</v>
      </c>
      <c r="BX12" s="431">
        <v>23</v>
      </c>
      <c r="BY12" s="433">
        <v>15</v>
      </c>
      <c r="BZ12" s="432">
        <v>9</v>
      </c>
      <c r="CA12" s="427">
        <v>18</v>
      </c>
      <c r="CB12" s="431">
        <v>44</v>
      </c>
      <c r="CC12" s="433">
        <v>15</v>
      </c>
      <c r="CD12" s="432">
        <v>11</v>
      </c>
      <c r="CE12" s="427">
        <v>16</v>
      </c>
      <c r="CF12" s="431">
        <v>11</v>
      </c>
      <c r="CG12" s="433">
        <v>14</v>
      </c>
      <c r="CH12" s="432">
        <v>43</v>
      </c>
      <c r="CI12" s="427">
        <v>12</v>
      </c>
      <c r="CJ12" s="431">
        <v>43</v>
      </c>
      <c r="CK12" s="433">
        <v>14</v>
      </c>
      <c r="CL12" s="428">
        <v>42</v>
      </c>
      <c r="CM12" s="426">
        <v>44</v>
      </c>
      <c r="CN12" s="468">
        <f t="shared" si="30"/>
        <v>1425</v>
      </c>
      <c r="CO12" s="468">
        <f t="shared" si="31"/>
        <v>10</v>
      </c>
      <c r="CP12" s="469">
        <f t="shared" si="32"/>
        <v>1547</v>
      </c>
      <c r="CQ12" s="469">
        <f t="shared" si="33"/>
        <v>10</v>
      </c>
      <c r="CR12" s="430">
        <v>26</v>
      </c>
      <c r="CS12" s="427">
        <v>77</v>
      </c>
      <c r="CT12" s="431">
        <v>26</v>
      </c>
      <c r="CU12" s="431">
        <v>93</v>
      </c>
      <c r="CV12" s="432">
        <v>51</v>
      </c>
      <c r="CW12" s="427">
        <v>16</v>
      </c>
      <c r="CX12" s="431">
        <v>42</v>
      </c>
      <c r="CY12" s="433">
        <v>15</v>
      </c>
      <c r="CZ12" s="432">
        <v>14</v>
      </c>
      <c r="DA12" s="427">
        <v>11</v>
      </c>
      <c r="DB12" s="431">
        <v>14</v>
      </c>
      <c r="DC12" s="433">
        <v>14</v>
      </c>
      <c r="DD12" s="432">
        <v>42</v>
      </c>
      <c r="DE12" s="427">
        <v>10</v>
      </c>
      <c r="DF12" s="431">
        <v>51</v>
      </c>
      <c r="DG12" s="433">
        <v>14</v>
      </c>
      <c r="DH12" s="432">
        <v>13</v>
      </c>
      <c r="DI12" s="427">
        <v>9</v>
      </c>
      <c r="DJ12" s="431">
        <v>13</v>
      </c>
      <c r="DK12" s="433">
        <v>11</v>
      </c>
      <c r="DL12" s="432">
        <v>40</v>
      </c>
      <c r="DM12" s="427">
        <v>8</v>
      </c>
      <c r="DN12" s="431">
        <v>31</v>
      </c>
      <c r="DO12" s="433">
        <v>9</v>
      </c>
      <c r="DP12" s="432">
        <v>27</v>
      </c>
      <c r="DQ12" s="427">
        <v>6</v>
      </c>
      <c r="DR12" s="431">
        <v>30</v>
      </c>
      <c r="DS12" s="433">
        <v>5</v>
      </c>
      <c r="DT12" s="432">
        <v>11</v>
      </c>
      <c r="DU12" s="427">
        <v>5</v>
      </c>
      <c r="DV12" s="431">
        <v>40</v>
      </c>
      <c r="DW12" s="433">
        <v>5</v>
      </c>
      <c r="DX12" s="432">
        <v>31</v>
      </c>
      <c r="DY12" s="427">
        <v>5</v>
      </c>
      <c r="DZ12" s="431">
        <v>11</v>
      </c>
      <c r="EA12" s="433">
        <v>4</v>
      </c>
      <c r="EB12" s="432">
        <v>30</v>
      </c>
      <c r="EC12" s="427">
        <v>4</v>
      </c>
      <c r="ED12" s="431">
        <v>45</v>
      </c>
      <c r="EE12" s="433">
        <v>4</v>
      </c>
      <c r="EF12" s="428">
        <v>2</v>
      </c>
      <c r="EG12" s="426">
        <v>0</v>
      </c>
      <c r="EH12" s="460">
        <f t="shared" si="34"/>
        <v>153</v>
      </c>
      <c r="EI12" s="460">
        <f t="shared" si="35"/>
        <v>10</v>
      </c>
      <c r="EJ12" s="458">
        <f t="shared" si="36"/>
        <v>0.50326797385620914</v>
      </c>
      <c r="EK12" s="470">
        <f t="shared" si="37"/>
        <v>174</v>
      </c>
      <c r="EL12" s="470">
        <f t="shared" si="38"/>
        <v>10</v>
      </c>
      <c r="EM12" s="449">
        <f t="shared" si="39"/>
        <v>0.53448275862068961</v>
      </c>
      <c r="EN12" s="460">
        <f t="shared" si="40"/>
        <v>1578</v>
      </c>
      <c r="EO12" s="469">
        <f t="shared" si="41"/>
        <v>1721</v>
      </c>
      <c r="EP12" s="434"/>
      <c r="EQ12" s="426"/>
      <c r="ER12" s="434">
        <v>160</v>
      </c>
      <c r="ES12" s="426">
        <v>178</v>
      </c>
      <c r="ET12" s="434">
        <v>58</v>
      </c>
      <c r="EU12" s="426">
        <v>65</v>
      </c>
      <c r="EV12" s="434"/>
      <c r="EW12" s="426"/>
      <c r="EX12" s="434"/>
      <c r="EY12" s="426"/>
      <c r="EZ12" s="434">
        <v>43</v>
      </c>
      <c r="FA12" s="426">
        <v>36</v>
      </c>
      <c r="FB12" s="434"/>
      <c r="FC12" s="426"/>
      <c r="FD12" s="434"/>
      <c r="FE12" s="426"/>
      <c r="FF12" s="434"/>
      <c r="FG12" s="426"/>
      <c r="FH12" s="435">
        <v>114</v>
      </c>
      <c r="FI12" s="426">
        <v>112</v>
      </c>
      <c r="FJ12" s="468">
        <f t="shared" si="42"/>
        <v>375</v>
      </c>
      <c r="FK12" s="469">
        <f t="shared" si="43"/>
        <v>391</v>
      </c>
      <c r="FL12" s="435"/>
      <c r="FM12" s="426"/>
      <c r="FN12" s="460">
        <f t="shared" si="44"/>
        <v>3990</v>
      </c>
      <c r="FO12" s="469">
        <f t="shared" si="45"/>
        <v>4143</v>
      </c>
      <c r="FQ12" s="393"/>
    </row>
    <row r="13" spans="1:175" s="248" customFormat="1" ht="12.75" customHeight="1" x14ac:dyDescent="0.2">
      <c r="A13" s="354" t="s">
        <v>0</v>
      </c>
      <c r="B13" s="355" t="s">
        <v>500</v>
      </c>
      <c r="C13" s="479"/>
      <c r="D13" s="477">
        <v>100706</v>
      </c>
      <c r="E13" s="482">
        <v>2</v>
      </c>
      <c r="F13" s="427"/>
      <c r="G13" s="426"/>
      <c r="H13" s="427"/>
      <c r="I13" s="426"/>
      <c r="J13" s="427"/>
      <c r="K13" s="426"/>
      <c r="L13" s="458">
        <f t="shared" si="24"/>
        <v>0</v>
      </c>
      <c r="M13" s="449">
        <f t="shared" si="25"/>
        <v>0</v>
      </c>
      <c r="N13" s="428">
        <v>1028</v>
      </c>
      <c r="O13" s="428">
        <v>22</v>
      </c>
      <c r="P13" s="428"/>
      <c r="Q13" s="428"/>
      <c r="R13" s="460">
        <f t="shared" si="2"/>
        <v>22</v>
      </c>
      <c r="S13" s="391">
        <v>1084</v>
      </c>
      <c r="T13" s="429">
        <v>16</v>
      </c>
      <c r="U13" s="429"/>
      <c r="V13" s="429"/>
      <c r="W13" s="462">
        <f t="shared" si="3"/>
        <v>16</v>
      </c>
      <c r="X13" s="430"/>
      <c r="Y13" s="427"/>
      <c r="Z13" s="431"/>
      <c r="AA13" s="431"/>
      <c r="AB13" s="432"/>
      <c r="AC13" s="427"/>
      <c r="AD13" s="431"/>
      <c r="AE13" s="433"/>
      <c r="AF13" s="432"/>
      <c r="AG13" s="427"/>
      <c r="AH13" s="431"/>
      <c r="AI13" s="433"/>
      <c r="AJ13" s="432"/>
      <c r="AK13" s="427"/>
      <c r="AL13" s="431"/>
      <c r="AM13" s="433"/>
      <c r="AN13" s="432"/>
      <c r="AO13" s="427"/>
      <c r="AP13" s="431"/>
      <c r="AQ13" s="431"/>
      <c r="AR13" s="460">
        <f t="shared" si="26"/>
        <v>0</v>
      </c>
      <c r="AS13" s="467">
        <f t="shared" si="27"/>
        <v>0.7133934767522554</v>
      </c>
      <c r="AT13" s="447">
        <f t="shared" si="28"/>
        <v>0</v>
      </c>
      <c r="AU13" s="448">
        <f t="shared" si="29"/>
        <v>0.71551155115511555</v>
      </c>
      <c r="AV13" s="427">
        <v>31</v>
      </c>
      <c r="AW13" s="426">
        <v>15</v>
      </c>
      <c r="AX13" s="430">
        <v>52</v>
      </c>
      <c r="AY13" s="427">
        <v>112</v>
      </c>
      <c r="AZ13" s="431">
        <v>14</v>
      </c>
      <c r="BA13" s="431">
        <v>144</v>
      </c>
      <c r="BB13" s="432">
        <v>14</v>
      </c>
      <c r="BC13" s="427">
        <v>101</v>
      </c>
      <c r="BD13" s="431">
        <v>52</v>
      </c>
      <c r="BE13" s="433">
        <v>85</v>
      </c>
      <c r="BF13" s="432">
        <v>51</v>
      </c>
      <c r="BG13" s="427">
        <v>46</v>
      </c>
      <c r="BH13" s="431">
        <v>51</v>
      </c>
      <c r="BI13" s="433">
        <v>45</v>
      </c>
      <c r="BJ13" s="432">
        <v>40</v>
      </c>
      <c r="BK13" s="427">
        <v>23</v>
      </c>
      <c r="BL13" s="431">
        <v>11</v>
      </c>
      <c r="BM13" s="433">
        <v>27</v>
      </c>
      <c r="BN13" s="432">
        <v>11</v>
      </c>
      <c r="BO13" s="427">
        <v>20</v>
      </c>
      <c r="BP13" s="431">
        <v>40</v>
      </c>
      <c r="BQ13" s="433">
        <v>18</v>
      </c>
      <c r="BR13" s="432">
        <v>26</v>
      </c>
      <c r="BS13" s="427">
        <v>10</v>
      </c>
      <c r="BT13" s="446">
        <v>23</v>
      </c>
      <c r="BU13" s="392">
        <v>15</v>
      </c>
      <c r="BV13" s="432">
        <v>23</v>
      </c>
      <c r="BW13" s="427">
        <v>9</v>
      </c>
      <c r="BX13" s="431">
        <v>44</v>
      </c>
      <c r="BY13" s="433">
        <v>13</v>
      </c>
      <c r="BZ13" s="432">
        <v>44</v>
      </c>
      <c r="CA13" s="427">
        <v>9</v>
      </c>
      <c r="CB13" s="431">
        <v>26</v>
      </c>
      <c r="CC13" s="433">
        <v>9</v>
      </c>
      <c r="CD13" s="432">
        <v>27</v>
      </c>
      <c r="CE13" s="427">
        <v>5</v>
      </c>
      <c r="CF13" s="431">
        <v>27</v>
      </c>
      <c r="CG13" s="433">
        <v>6</v>
      </c>
      <c r="CH13" s="432">
        <v>42</v>
      </c>
      <c r="CI13" s="427">
        <v>4</v>
      </c>
      <c r="CJ13" s="431">
        <v>42</v>
      </c>
      <c r="CK13" s="433">
        <v>5</v>
      </c>
      <c r="CL13" s="428">
        <v>2</v>
      </c>
      <c r="CM13" s="426">
        <v>4</v>
      </c>
      <c r="CN13" s="468">
        <f t="shared" si="30"/>
        <v>341</v>
      </c>
      <c r="CO13" s="468">
        <f t="shared" si="31"/>
        <v>10</v>
      </c>
      <c r="CP13" s="469">
        <f t="shared" si="32"/>
        <v>371</v>
      </c>
      <c r="CQ13" s="469">
        <f t="shared" si="33"/>
        <v>10</v>
      </c>
      <c r="CR13" s="430">
        <v>14</v>
      </c>
      <c r="CS13" s="427">
        <v>18</v>
      </c>
      <c r="CT13" s="431">
        <v>14</v>
      </c>
      <c r="CU13" s="431">
        <v>16</v>
      </c>
      <c r="CV13" s="432">
        <v>40</v>
      </c>
      <c r="CW13" s="427">
        <v>7</v>
      </c>
      <c r="CX13" s="431">
        <v>26</v>
      </c>
      <c r="CY13" s="433">
        <v>9</v>
      </c>
      <c r="CZ13" s="432">
        <v>11</v>
      </c>
      <c r="DA13" s="427">
        <v>2</v>
      </c>
      <c r="DB13" s="431">
        <v>11</v>
      </c>
      <c r="DC13" s="433">
        <v>4</v>
      </c>
      <c r="DD13" s="432">
        <v>26</v>
      </c>
      <c r="DE13" s="427">
        <v>2</v>
      </c>
      <c r="DF13" s="431">
        <v>40</v>
      </c>
      <c r="DG13" s="433">
        <v>4</v>
      </c>
      <c r="DH13" s="432">
        <v>27</v>
      </c>
      <c r="DI13" s="427">
        <v>1</v>
      </c>
      <c r="DJ13" s="431">
        <v>27</v>
      </c>
      <c r="DK13" s="433">
        <v>3</v>
      </c>
      <c r="DL13" s="432"/>
      <c r="DM13" s="427"/>
      <c r="DN13" s="431">
        <v>30</v>
      </c>
      <c r="DO13" s="433">
        <v>1</v>
      </c>
      <c r="DP13" s="432"/>
      <c r="DQ13" s="427"/>
      <c r="DR13" s="431"/>
      <c r="DS13" s="433"/>
      <c r="DT13" s="432"/>
      <c r="DU13" s="427"/>
      <c r="DV13" s="431"/>
      <c r="DW13" s="433"/>
      <c r="DX13" s="432"/>
      <c r="DY13" s="427"/>
      <c r="DZ13" s="431"/>
      <c r="EA13" s="433"/>
      <c r="EB13" s="432"/>
      <c r="EC13" s="427"/>
      <c r="ED13" s="431"/>
      <c r="EE13" s="433"/>
      <c r="EF13" s="428"/>
      <c r="EG13" s="426">
        <v>0</v>
      </c>
      <c r="EH13" s="460">
        <f t="shared" si="34"/>
        <v>30</v>
      </c>
      <c r="EI13" s="460">
        <f t="shared" si="35"/>
        <v>5</v>
      </c>
      <c r="EJ13" s="458">
        <f t="shared" si="36"/>
        <v>0.6</v>
      </c>
      <c r="EK13" s="470">
        <f t="shared" si="37"/>
        <v>37</v>
      </c>
      <c r="EL13" s="470">
        <f t="shared" si="38"/>
        <v>6</v>
      </c>
      <c r="EM13" s="449">
        <f t="shared" si="39"/>
        <v>0.43243243243243246</v>
      </c>
      <c r="EN13" s="460">
        <f t="shared" si="40"/>
        <v>371</v>
      </c>
      <c r="EO13" s="469">
        <f t="shared" si="41"/>
        <v>408</v>
      </c>
      <c r="EP13" s="434"/>
      <c r="EQ13" s="426"/>
      <c r="ER13" s="434"/>
      <c r="ES13" s="426"/>
      <c r="ET13" s="434"/>
      <c r="EU13" s="426"/>
      <c r="EV13" s="434"/>
      <c r="EW13" s="426"/>
      <c r="EX13" s="434"/>
      <c r="EY13" s="426"/>
      <c r="EZ13" s="434"/>
      <c r="FA13" s="426"/>
      <c r="FB13" s="434"/>
      <c r="FC13" s="426"/>
      <c r="FD13" s="434"/>
      <c r="FE13" s="426"/>
      <c r="FF13" s="434"/>
      <c r="FG13" s="426"/>
      <c r="FH13" s="435">
        <v>11</v>
      </c>
      <c r="FI13" s="426">
        <v>8</v>
      </c>
      <c r="FJ13" s="468">
        <f t="shared" si="42"/>
        <v>11</v>
      </c>
      <c r="FK13" s="469">
        <f t="shared" si="43"/>
        <v>8</v>
      </c>
      <c r="FL13" s="435"/>
      <c r="FM13" s="426"/>
      <c r="FN13" s="460">
        <f t="shared" si="44"/>
        <v>1441</v>
      </c>
      <c r="FO13" s="469">
        <f t="shared" si="45"/>
        <v>1515</v>
      </c>
      <c r="FQ13" s="393"/>
    </row>
    <row r="14" spans="1:175" s="248" customFormat="1" x14ac:dyDescent="0.2">
      <c r="A14" s="354" t="s">
        <v>0</v>
      </c>
      <c r="B14" s="355" t="s">
        <v>491</v>
      </c>
      <c r="C14" s="479"/>
      <c r="D14" s="477">
        <v>100654</v>
      </c>
      <c r="E14" s="482">
        <v>3</v>
      </c>
      <c r="F14" s="427"/>
      <c r="G14" s="426"/>
      <c r="H14" s="427"/>
      <c r="I14" s="426"/>
      <c r="J14" s="427"/>
      <c r="K14" s="426"/>
      <c r="L14" s="458">
        <f t="shared" si="24"/>
        <v>0</v>
      </c>
      <c r="M14" s="449">
        <f t="shared" si="25"/>
        <v>0</v>
      </c>
      <c r="N14" s="428">
        <v>619</v>
      </c>
      <c r="O14" s="428">
        <v>89</v>
      </c>
      <c r="P14" s="428"/>
      <c r="Q14" s="428"/>
      <c r="R14" s="460">
        <f t="shared" si="2"/>
        <v>89</v>
      </c>
      <c r="S14" s="391">
        <v>532</v>
      </c>
      <c r="T14" s="429">
        <v>64</v>
      </c>
      <c r="U14" s="429"/>
      <c r="V14" s="429"/>
      <c r="W14" s="462">
        <f t="shared" si="3"/>
        <v>64</v>
      </c>
      <c r="X14" s="430"/>
      <c r="Y14" s="427"/>
      <c r="Z14" s="431"/>
      <c r="AA14" s="431"/>
      <c r="AB14" s="432"/>
      <c r="AC14" s="427"/>
      <c r="AD14" s="431"/>
      <c r="AE14" s="433"/>
      <c r="AF14" s="432"/>
      <c r="AG14" s="427"/>
      <c r="AH14" s="431"/>
      <c r="AI14" s="433"/>
      <c r="AJ14" s="432"/>
      <c r="AK14" s="427"/>
      <c r="AL14" s="431"/>
      <c r="AM14" s="433"/>
      <c r="AN14" s="432"/>
      <c r="AO14" s="427"/>
      <c r="AP14" s="431"/>
      <c r="AQ14" s="431"/>
      <c r="AR14" s="460">
        <f t="shared" si="26"/>
        <v>0</v>
      </c>
      <c r="AS14" s="467">
        <f t="shared" si="27"/>
        <v>0.71313364055299544</v>
      </c>
      <c r="AT14" s="447">
        <f t="shared" si="28"/>
        <v>0</v>
      </c>
      <c r="AU14" s="448">
        <f t="shared" si="29"/>
        <v>0.70744680851063835</v>
      </c>
      <c r="AV14" s="427"/>
      <c r="AW14" s="426"/>
      <c r="AX14" s="430">
        <v>13</v>
      </c>
      <c r="AY14" s="427">
        <v>74</v>
      </c>
      <c r="AZ14" s="431">
        <v>13</v>
      </c>
      <c r="BA14" s="431">
        <v>60</v>
      </c>
      <c r="BB14" s="432">
        <v>44</v>
      </c>
      <c r="BC14" s="427">
        <v>36</v>
      </c>
      <c r="BD14" s="431">
        <v>44</v>
      </c>
      <c r="BE14" s="433">
        <v>43</v>
      </c>
      <c r="BF14" s="432">
        <v>42</v>
      </c>
      <c r="BG14" s="427">
        <v>26</v>
      </c>
      <c r="BH14" s="431">
        <v>52</v>
      </c>
      <c r="BI14" s="433">
        <v>25</v>
      </c>
      <c r="BJ14" s="432">
        <v>52</v>
      </c>
      <c r="BK14" s="427">
        <v>23</v>
      </c>
      <c r="BL14" s="431">
        <v>1</v>
      </c>
      <c r="BM14" s="433">
        <v>14</v>
      </c>
      <c r="BN14" s="432">
        <v>1</v>
      </c>
      <c r="BO14" s="427">
        <v>18</v>
      </c>
      <c r="BP14" s="431">
        <v>42</v>
      </c>
      <c r="BQ14" s="433">
        <v>12</v>
      </c>
      <c r="BR14" s="432">
        <v>4</v>
      </c>
      <c r="BS14" s="427">
        <v>11</v>
      </c>
      <c r="BT14" s="446">
        <v>11</v>
      </c>
      <c r="BU14" s="392">
        <v>9</v>
      </c>
      <c r="BV14" s="432">
        <v>51</v>
      </c>
      <c r="BW14" s="427">
        <v>11</v>
      </c>
      <c r="BX14" s="431">
        <v>26</v>
      </c>
      <c r="BY14" s="433">
        <v>9</v>
      </c>
      <c r="BZ14" s="432">
        <v>11</v>
      </c>
      <c r="CA14" s="427">
        <v>10</v>
      </c>
      <c r="CB14" s="431">
        <v>51</v>
      </c>
      <c r="CC14" s="433">
        <v>9</v>
      </c>
      <c r="CD14" s="432">
        <v>26</v>
      </c>
      <c r="CE14" s="427">
        <v>10</v>
      </c>
      <c r="CF14" s="431">
        <v>19</v>
      </c>
      <c r="CG14" s="433">
        <v>7</v>
      </c>
      <c r="CH14" s="432">
        <v>19</v>
      </c>
      <c r="CI14" s="427">
        <v>9</v>
      </c>
      <c r="CJ14" s="431">
        <v>4</v>
      </c>
      <c r="CK14" s="433">
        <v>7</v>
      </c>
      <c r="CL14" s="428">
        <v>12</v>
      </c>
      <c r="CM14" s="426">
        <v>14</v>
      </c>
      <c r="CN14" s="468">
        <f t="shared" si="30"/>
        <v>240</v>
      </c>
      <c r="CO14" s="468">
        <f t="shared" si="31"/>
        <v>10</v>
      </c>
      <c r="CP14" s="469">
        <f t="shared" si="32"/>
        <v>209</v>
      </c>
      <c r="CQ14" s="469">
        <f t="shared" si="33"/>
        <v>10</v>
      </c>
      <c r="CR14" s="430">
        <v>1</v>
      </c>
      <c r="CS14" s="427">
        <v>5</v>
      </c>
      <c r="CT14" s="431">
        <v>40</v>
      </c>
      <c r="CU14" s="431">
        <v>5</v>
      </c>
      <c r="CV14" s="432">
        <v>13</v>
      </c>
      <c r="CW14" s="427">
        <v>3</v>
      </c>
      <c r="CX14" s="431">
        <v>1</v>
      </c>
      <c r="CY14" s="433">
        <v>4</v>
      </c>
      <c r="CZ14" s="432">
        <v>40</v>
      </c>
      <c r="DA14" s="427">
        <v>1</v>
      </c>
      <c r="DB14" s="431">
        <v>13</v>
      </c>
      <c r="DC14" s="433">
        <v>2</v>
      </c>
      <c r="DD14" s="432"/>
      <c r="DE14" s="427"/>
      <c r="DF14" s="431"/>
      <c r="DG14" s="433"/>
      <c r="DH14" s="432"/>
      <c r="DI14" s="427"/>
      <c r="DJ14" s="431"/>
      <c r="DK14" s="433"/>
      <c r="DL14" s="432"/>
      <c r="DM14" s="427"/>
      <c r="DN14" s="431"/>
      <c r="DO14" s="433"/>
      <c r="DP14" s="432"/>
      <c r="DQ14" s="427"/>
      <c r="DR14" s="431"/>
      <c r="DS14" s="433"/>
      <c r="DT14" s="432"/>
      <c r="DU14" s="427"/>
      <c r="DV14" s="431"/>
      <c r="DW14" s="433"/>
      <c r="DX14" s="432"/>
      <c r="DY14" s="427"/>
      <c r="DZ14" s="431"/>
      <c r="EA14" s="433"/>
      <c r="EB14" s="432"/>
      <c r="EC14" s="427"/>
      <c r="ED14" s="431"/>
      <c r="EE14" s="433"/>
      <c r="EF14" s="428"/>
      <c r="EG14" s="426"/>
      <c r="EH14" s="460">
        <f t="shared" si="34"/>
        <v>9</v>
      </c>
      <c r="EI14" s="460">
        <f t="shared" si="35"/>
        <v>3</v>
      </c>
      <c r="EJ14" s="458">
        <f t="shared" si="36"/>
        <v>0.55555555555555558</v>
      </c>
      <c r="EK14" s="470">
        <f t="shared" si="37"/>
        <v>11</v>
      </c>
      <c r="EL14" s="470">
        <f t="shared" si="38"/>
        <v>3</v>
      </c>
      <c r="EM14" s="449">
        <f t="shared" si="39"/>
        <v>0.45454545454545453</v>
      </c>
      <c r="EN14" s="460">
        <f t="shared" si="40"/>
        <v>249</v>
      </c>
      <c r="EO14" s="469">
        <f t="shared" si="41"/>
        <v>220</v>
      </c>
      <c r="EP14" s="434"/>
      <c r="EQ14" s="426"/>
      <c r="ER14" s="434"/>
      <c r="ES14" s="426"/>
      <c r="ET14" s="434"/>
      <c r="EU14" s="426"/>
      <c r="EV14" s="434"/>
      <c r="EW14" s="426"/>
      <c r="EX14" s="434"/>
      <c r="EY14" s="426"/>
      <c r="EZ14" s="434"/>
      <c r="FA14" s="426"/>
      <c r="FB14" s="434"/>
      <c r="FC14" s="426"/>
      <c r="FD14" s="434"/>
      <c r="FE14" s="426"/>
      <c r="FF14" s="434"/>
      <c r="FG14" s="426"/>
      <c r="FH14" s="435"/>
      <c r="FI14" s="426"/>
      <c r="FJ14" s="468">
        <f t="shared" si="42"/>
        <v>0</v>
      </c>
      <c r="FK14" s="469">
        <f t="shared" si="43"/>
        <v>0</v>
      </c>
      <c r="FL14" s="435"/>
      <c r="FM14" s="426"/>
      <c r="FN14" s="460">
        <f t="shared" si="44"/>
        <v>868</v>
      </c>
      <c r="FO14" s="469">
        <f t="shared" si="45"/>
        <v>752</v>
      </c>
      <c r="FQ14" s="393"/>
    </row>
    <row r="15" spans="1:175" s="248" customFormat="1" x14ac:dyDescent="0.2">
      <c r="A15" s="354" t="s">
        <v>0</v>
      </c>
      <c r="B15" s="355" t="s">
        <v>496</v>
      </c>
      <c r="C15" s="479"/>
      <c r="D15" s="477">
        <v>101480</v>
      </c>
      <c r="E15" s="482">
        <v>3</v>
      </c>
      <c r="F15" s="427"/>
      <c r="G15" s="426"/>
      <c r="H15" s="427"/>
      <c r="I15" s="426"/>
      <c r="J15" s="427"/>
      <c r="K15" s="426"/>
      <c r="L15" s="458">
        <f t="shared" si="24"/>
        <v>0</v>
      </c>
      <c r="M15" s="449">
        <f t="shared" si="25"/>
        <v>0</v>
      </c>
      <c r="N15" s="428">
        <v>1217</v>
      </c>
      <c r="O15" s="428">
        <v>198</v>
      </c>
      <c r="P15" s="428"/>
      <c r="Q15" s="428"/>
      <c r="R15" s="460">
        <f t="shared" si="2"/>
        <v>198</v>
      </c>
      <c r="S15" s="391">
        <v>1258</v>
      </c>
      <c r="T15" s="429">
        <v>191</v>
      </c>
      <c r="U15" s="429"/>
      <c r="V15" s="429"/>
      <c r="W15" s="462">
        <f t="shared" si="3"/>
        <v>191</v>
      </c>
      <c r="X15" s="430"/>
      <c r="Y15" s="427"/>
      <c r="Z15" s="431"/>
      <c r="AA15" s="431"/>
      <c r="AB15" s="432"/>
      <c r="AC15" s="427"/>
      <c r="AD15" s="431"/>
      <c r="AE15" s="433"/>
      <c r="AF15" s="432"/>
      <c r="AG15" s="427"/>
      <c r="AH15" s="431"/>
      <c r="AI15" s="433"/>
      <c r="AJ15" s="432"/>
      <c r="AK15" s="427"/>
      <c r="AL15" s="431"/>
      <c r="AM15" s="433"/>
      <c r="AN15" s="432"/>
      <c r="AO15" s="427"/>
      <c r="AP15" s="431"/>
      <c r="AQ15" s="431"/>
      <c r="AR15" s="460">
        <f t="shared" si="26"/>
        <v>0</v>
      </c>
      <c r="AS15" s="467">
        <f t="shared" si="27"/>
        <v>0.72268408551068886</v>
      </c>
      <c r="AT15" s="447">
        <f t="shared" si="28"/>
        <v>0</v>
      </c>
      <c r="AU15" s="448">
        <f t="shared" si="29"/>
        <v>0.74262101534828806</v>
      </c>
      <c r="AV15" s="427">
        <v>19</v>
      </c>
      <c r="AW15" s="426">
        <v>17</v>
      </c>
      <c r="AX15" s="430">
        <v>13</v>
      </c>
      <c r="AY15" s="427">
        <v>248</v>
      </c>
      <c r="AZ15" s="431">
        <v>13</v>
      </c>
      <c r="BA15" s="431">
        <v>238</v>
      </c>
      <c r="BB15" s="432">
        <v>44</v>
      </c>
      <c r="BC15" s="427">
        <v>65</v>
      </c>
      <c r="BD15" s="431">
        <v>44</v>
      </c>
      <c r="BE15" s="433">
        <v>62</v>
      </c>
      <c r="BF15" s="432">
        <v>52</v>
      </c>
      <c r="BG15" s="427">
        <v>23</v>
      </c>
      <c r="BH15" s="431">
        <v>51</v>
      </c>
      <c r="BI15" s="433">
        <v>19</v>
      </c>
      <c r="BJ15" s="432">
        <v>51</v>
      </c>
      <c r="BK15" s="427">
        <v>16</v>
      </c>
      <c r="BL15" s="431">
        <v>52</v>
      </c>
      <c r="BM15" s="433">
        <v>16</v>
      </c>
      <c r="BN15" s="432">
        <v>54</v>
      </c>
      <c r="BO15" s="427">
        <v>15</v>
      </c>
      <c r="BP15" s="431">
        <v>26</v>
      </c>
      <c r="BQ15" s="433">
        <v>14</v>
      </c>
      <c r="BR15" s="432">
        <v>42</v>
      </c>
      <c r="BS15" s="427">
        <v>13</v>
      </c>
      <c r="BT15" s="446">
        <v>11</v>
      </c>
      <c r="BU15" s="392">
        <v>10</v>
      </c>
      <c r="BV15" s="432">
        <v>11</v>
      </c>
      <c r="BW15" s="427">
        <v>12</v>
      </c>
      <c r="BX15" s="431">
        <v>23</v>
      </c>
      <c r="BY15" s="433">
        <v>10</v>
      </c>
      <c r="BZ15" s="432">
        <v>43</v>
      </c>
      <c r="CA15" s="427">
        <v>11</v>
      </c>
      <c r="CB15" s="431">
        <v>31</v>
      </c>
      <c r="CC15" s="433">
        <v>9</v>
      </c>
      <c r="CD15" s="432">
        <v>26</v>
      </c>
      <c r="CE15" s="427">
        <v>10</v>
      </c>
      <c r="CF15" s="431">
        <v>42</v>
      </c>
      <c r="CG15" s="433">
        <v>9</v>
      </c>
      <c r="CH15" s="432">
        <v>15</v>
      </c>
      <c r="CI15" s="427">
        <v>9</v>
      </c>
      <c r="CJ15" s="431">
        <v>15</v>
      </c>
      <c r="CK15" s="433">
        <v>8</v>
      </c>
      <c r="CL15" s="428">
        <v>26</v>
      </c>
      <c r="CM15" s="426">
        <v>24</v>
      </c>
      <c r="CN15" s="468">
        <f t="shared" si="30"/>
        <v>448</v>
      </c>
      <c r="CO15" s="468">
        <f t="shared" si="31"/>
        <v>10</v>
      </c>
      <c r="CP15" s="469">
        <f t="shared" si="32"/>
        <v>419</v>
      </c>
      <c r="CQ15" s="469">
        <f t="shared" si="33"/>
        <v>10</v>
      </c>
      <c r="CR15" s="430"/>
      <c r="CS15" s="427"/>
      <c r="CT15" s="431"/>
      <c r="CU15" s="431"/>
      <c r="CV15" s="432"/>
      <c r="CW15" s="427"/>
      <c r="CX15" s="431"/>
      <c r="CY15" s="433"/>
      <c r="CZ15" s="432"/>
      <c r="DA15" s="427"/>
      <c r="DB15" s="431"/>
      <c r="DC15" s="433"/>
      <c r="DD15" s="432"/>
      <c r="DE15" s="427"/>
      <c r="DF15" s="431"/>
      <c r="DG15" s="433"/>
      <c r="DH15" s="432"/>
      <c r="DI15" s="427"/>
      <c r="DJ15" s="431"/>
      <c r="DK15" s="433"/>
      <c r="DL15" s="432"/>
      <c r="DM15" s="427"/>
      <c r="DN15" s="431"/>
      <c r="DO15" s="433"/>
      <c r="DP15" s="432"/>
      <c r="DQ15" s="427"/>
      <c r="DR15" s="431"/>
      <c r="DS15" s="433"/>
      <c r="DT15" s="432"/>
      <c r="DU15" s="427"/>
      <c r="DV15" s="431"/>
      <c r="DW15" s="433"/>
      <c r="DX15" s="432"/>
      <c r="DY15" s="427"/>
      <c r="DZ15" s="431"/>
      <c r="EA15" s="433"/>
      <c r="EB15" s="432"/>
      <c r="EC15" s="427"/>
      <c r="ED15" s="431"/>
      <c r="EE15" s="433"/>
      <c r="EF15" s="428"/>
      <c r="EG15" s="426"/>
      <c r="EH15" s="460">
        <f t="shared" si="34"/>
        <v>0</v>
      </c>
      <c r="EI15" s="460">
        <f t="shared" si="35"/>
        <v>0</v>
      </c>
      <c r="EJ15" s="458">
        <f t="shared" si="36"/>
        <v>0</v>
      </c>
      <c r="EK15" s="470">
        <f t="shared" si="37"/>
        <v>0</v>
      </c>
      <c r="EL15" s="470">
        <f t="shared" si="38"/>
        <v>0</v>
      </c>
      <c r="EM15" s="449">
        <f t="shared" si="39"/>
        <v>0</v>
      </c>
      <c r="EN15" s="460">
        <f t="shared" si="40"/>
        <v>448</v>
      </c>
      <c r="EO15" s="469">
        <f t="shared" si="41"/>
        <v>419</v>
      </c>
      <c r="EP15" s="434"/>
      <c r="EQ15" s="426"/>
      <c r="ER15" s="434"/>
      <c r="ES15" s="426"/>
      <c r="ET15" s="434"/>
      <c r="EU15" s="426"/>
      <c r="EV15" s="434"/>
      <c r="EW15" s="426"/>
      <c r="EX15" s="434"/>
      <c r="EY15" s="426"/>
      <c r="EZ15" s="434"/>
      <c r="FA15" s="426"/>
      <c r="FB15" s="434"/>
      <c r="FC15" s="426"/>
      <c r="FD15" s="434"/>
      <c r="FE15" s="426"/>
      <c r="FF15" s="434"/>
      <c r="FG15" s="426"/>
      <c r="FH15" s="435"/>
      <c r="FI15" s="426"/>
      <c r="FJ15" s="468">
        <f t="shared" si="42"/>
        <v>0</v>
      </c>
      <c r="FK15" s="469">
        <f t="shared" si="43"/>
        <v>0</v>
      </c>
      <c r="FL15" s="435"/>
      <c r="FM15" s="426"/>
      <c r="FN15" s="460">
        <f t="shared" si="44"/>
        <v>1684</v>
      </c>
      <c r="FO15" s="469">
        <f t="shared" si="45"/>
        <v>1694</v>
      </c>
      <c r="FQ15" s="393"/>
    </row>
    <row r="16" spans="1:175" s="248" customFormat="1" x14ac:dyDescent="0.2">
      <c r="A16" s="354" t="s">
        <v>0</v>
      </c>
      <c r="B16" s="355" t="s">
        <v>497</v>
      </c>
      <c r="C16" s="479"/>
      <c r="D16" s="477">
        <v>102368</v>
      </c>
      <c r="E16" s="482">
        <v>3</v>
      </c>
      <c r="F16" s="427"/>
      <c r="G16" s="426"/>
      <c r="H16" s="427"/>
      <c r="I16" s="426"/>
      <c r="J16" s="427">
        <v>212</v>
      </c>
      <c r="K16" s="426">
        <v>218</v>
      </c>
      <c r="L16" s="458">
        <f t="shared" si="24"/>
        <v>0.10584123814278582</v>
      </c>
      <c r="M16" s="449">
        <f t="shared" si="25"/>
        <v>0.13038277511961721</v>
      </c>
      <c r="N16" s="428">
        <v>2003</v>
      </c>
      <c r="O16" s="428">
        <v>235</v>
      </c>
      <c r="P16" s="428"/>
      <c r="Q16" s="428"/>
      <c r="R16" s="460">
        <f t="shared" si="2"/>
        <v>235</v>
      </c>
      <c r="S16" s="391">
        <v>1672</v>
      </c>
      <c r="T16" s="429">
        <v>201</v>
      </c>
      <c r="U16" s="429"/>
      <c r="V16" s="429">
        <v>6</v>
      </c>
      <c r="W16" s="462">
        <f t="shared" si="3"/>
        <v>207</v>
      </c>
      <c r="X16" s="430"/>
      <c r="Y16" s="427"/>
      <c r="Z16" s="431"/>
      <c r="AA16" s="431"/>
      <c r="AB16" s="432"/>
      <c r="AC16" s="427"/>
      <c r="AD16" s="431"/>
      <c r="AE16" s="433"/>
      <c r="AF16" s="432"/>
      <c r="AG16" s="427"/>
      <c r="AH16" s="431"/>
      <c r="AI16" s="433"/>
      <c r="AJ16" s="432"/>
      <c r="AK16" s="427"/>
      <c r="AL16" s="431"/>
      <c r="AM16" s="433"/>
      <c r="AN16" s="432"/>
      <c r="AO16" s="427"/>
      <c r="AP16" s="431"/>
      <c r="AQ16" s="431"/>
      <c r="AR16" s="460">
        <f t="shared" si="26"/>
        <v>0</v>
      </c>
      <c r="AS16" s="467">
        <f t="shared" si="27"/>
        <v>0.64219301058031419</v>
      </c>
      <c r="AT16" s="447">
        <f t="shared" si="28"/>
        <v>0</v>
      </c>
      <c r="AU16" s="448">
        <f t="shared" si="29"/>
        <v>0.62133036046079526</v>
      </c>
      <c r="AV16" s="427"/>
      <c r="AW16" s="426">
        <v>0</v>
      </c>
      <c r="AX16" s="430">
        <v>52</v>
      </c>
      <c r="AY16" s="427">
        <v>376</v>
      </c>
      <c r="AZ16" s="431">
        <v>13</v>
      </c>
      <c r="BA16" s="431">
        <v>275</v>
      </c>
      <c r="BB16" s="432">
        <v>13</v>
      </c>
      <c r="BC16" s="427">
        <v>284</v>
      </c>
      <c r="BD16" s="431">
        <v>52</v>
      </c>
      <c r="BE16" s="433">
        <v>249</v>
      </c>
      <c r="BF16" s="432">
        <v>42</v>
      </c>
      <c r="BG16" s="427">
        <v>109</v>
      </c>
      <c r="BH16" s="431">
        <v>42</v>
      </c>
      <c r="BI16" s="433">
        <v>97</v>
      </c>
      <c r="BJ16" s="432">
        <v>51</v>
      </c>
      <c r="BK16" s="427">
        <v>35</v>
      </c>
      <c r="BL16" s="431">
        <v>51</v>
      </c>
      <c r="BM16" s="433">
        <v>55</v>
      </c>
      <c r="BN16" s="432">
        <v>44</v>
      </c>
      <c r="BO16" s="427">
        <v>31</v>
      </c>
      <c r="BP16" s="431">
        <v>31</v>
      </c>
      <c r="BQ16" s="433">
        <v>29</v>
      </c>
      <c r="BR16" s="432">
        <v>31</v>
      </c>
      <c r="BS16" s="427">
        <v>20</v>
      </c>
      <c r="BT16" s="446">
        <v>43</v>
      </c>
      <c r="BU16" s="392">
        <v>27</v>
      </c>
      <c r="BV16" s="432">
        <v>43</v>
      </c>
      <c r="BW16" s="427">
        <v>14</v>
      </c>
      <c r="BX16" s="431">
        <v>44</v>
      </c>
      <c r="BY16" s="433">
        <v>27</v>
      </c>
      <c r="BZ16" s="432">
        <v>30</v>
      </c>
      <c r="CA16" s="427">
        <v>11</v>
      </c>
      <c r="CB16" s="431">
        <v>11</v>
      </c>
      <c r="CC16" s="433">
        <v>13</v>
      </c>
      <c r="CD16" s="432">
        <v>45</v>
      </c>
      <c r="CE16" s="427">
        <v>11</v>
      </c>
      <c r="CF16" s="431">
        <v>30</v>
      </c>
      <c r="CG16" s="433">
        <v>13</v>
      </c>
      <c r="CH16" s="432">
        <v>11</v>
      </c>
      <c r="CI16" s="427">
        <v>5</v>
      </c>
      <c r="CJ16" s="431">
        <v>45</v>
      </c>
      <c r="CK16" s="433">
        <v>9</v>
      </c>
      <c r="CL16" s="428">
        <v>0</v>
      </c>
      <c r="CM16" s="426">
        <v>0</v>
      </c>
      <c r="CN16" s="468">
        <f t="shared" si="30"/>
        <v>896</v>
      </c>
      <c r="CO16" s="468">
        <f t="shared" si="31"/>
        <v>10</v>
      </c>
      <c r="CP16" s="469">
        <f t="shared" si="32"/>
        <v>794</v>
      </c>
      <c r="CQ16" s="469">
        <f t="shared" si="33"/>
        <v>10</v>
      </c>
      <c r="CR16" s="430"/>
      <c r="CS16" s="427"/>
      <c r="CT16" s="431"/>
      <c r="CU16" s="431"/>
      <c r="CV16" s="432"/>
      <c r="CW16" s="427"/>
      <c r="CX16" s="431"/>
      <c r="CY16" s="433"/>
      <c r="CZ16" s="432"/>
      <c r="DA16" s="427"/>
      <c r="DB16" s="431"/>
      <c r="DC16" s="433"/>
      <c r="DD16" s="432"/>
      <c r="DE16" s="427"/>
      <c r="DF16" s="431"/>
      <c r="DG16" s="433"/>
      <c r="DH16" s="432"/>
      <c r="DI16" s="427"/>
      <c r="DJ16" s="431"/>
      <c r="DK16" s="433"/>
      <c r="DL16" s="432"/>
      <c r="DM16" s="427"/>
      <c r="DN16" s="431"/>
      <c r="DO16" s="433"/>
      <c r="DP16" s="432"/>
      <c r="DQ16" s="427"/>
      <c r="DR16" s="431"/>
      <c r="DS16" s="433"/>
      <c r="DT16" s="432"/>
      <c r="DU16" s="427"/>
      <c r="DV16" s="431"/>
      <c r="DW16" s="433"/>
      <c r="DX16" s="432"/>
      <c r="DY16" s="427"/>
      <c r="DZ16" s="431"/>
      <c r="EA16" s="433"/>
      <c r="EB16" s="432"/>
      <c r="EC16" s="427"/>
      <c r="ED16" s="431"/>
      <c r="EE16" s="433"/>
      <c r="EF16" s="428"/>
      <c r="EG16" s="426"/>
      <c r="EH16" s="460">
        <f t="shared" si="34"/>
        <v>0</v>
      </c>
      <c r="EI16" s="460">
        <f t="shared" si="35"/>
        <v>0</v>
      </c>
      <c r="EJ16" s="458">
        <f t="shared" si="36"/>
        <v>0</v>
      </c>
      <c r="EK16" s="470">
        <f t="shared" si="37"/>
        <v>0</v>
      </c>
      <c r="EL16" s="470">
        <f t="shared" si="38"/>
        <v>0</v>
      </c>
      <c r="EM16" s="449">
        <f t="shared" si="39"/>
        <v>0</v>
      </c>
      <c r="EN16" s="460">
        <f t="shared" si="40"/>
        <v>896</v>
      </c>
      <c r="EO16" s="469">
        <f t="shared" si="41"/>
        <v>794</v>
      </c>
      <c r="EP16" s="434"/>
      <c r="EQ16" s="426"/>
      <c r="ER16" s="434"/>
      <c r="ES16" s="426"/>
      <c r="ET16" s="434"/>
      <c r="EU16" s="426"/>
      <c r="EV16" s="434"/>
      <c r="EW16" s="426"/>
      <c r="EX16" s="434"/>
      <c r="EY16" s="426"/>
      <c r="EZ16" s="434"/>
      <c r="FA16" s="426"/>
      <c r="FB16" s="434"/>
      <c r="FC16" s="426"/>
      <c r="FD16" s="434"/>
      <c r="FE16" s="426"/>
      <c r="FF16" s="434"/>
      <c r="FG16" s="426"/>
      <c r="FH16" s="435">
        <v>8</v>
      </c>
      <c r="FI16" s="426">
        <v>7</v>
      </c>
      <c r="FJ16" s="468">
        <f t="shared" si="42"/>
        <v>8</v>
      </c>
      <c r="FK16" s="469">
        <f t="shared" si="43"/>
        <v>7</v>
      </c>
      <c r="FL16" s="435"/>
      <c r="FM16" s="426"/>
      <c r="FN16" s="460">
        <f t="shared" si="44"/>
        <v>3119</v>
      </c>
      <c r="FO16" s="469">
        <f t="shared" si="45"/>
        <v>2691</v>
      </c>
      <c r="FQ16" s="393"/>
    </row>
    <row r="17" spans="1:173" s="248" customFormat="1" x14ac:dyDescent="0.2">
      <c r="A17" s="354" t="s">
        <v>0</v>
      </c>
      <c r="B17" s="355" t="s">
        <v>503</v>
      </c>
      <c r="C17" s="479"/>
      <c r="D17" s="477">
        <v>102094</v>
      </c>
      <c r="E17" s="482">
        <v>3</v>
      </c>
      <c r="F17" s="427">
        <v>99</v>
      </c>
      <c r="G17" s="426">
        <v>159</v>
      </c>
      <c r="H17" s="427">
        <v>34</v>
      </c>
      <c r="I17" s="426">
        <v>31</v>
      </c>
      <c r="J17" s="427"/>
      <c r="K17" s="426"/>
      <c r="L17" s="458">
        <f t="shared" si="24"/>
        <v>0</v>
      </c>
      <c r="M17" s="449">
        <f t="shared" si="25"/>
        <v>0</v>
      </c>
      <c r="N17" s="428">
        <v>1713</v>
      </c>
      <c r="O17" s="428">
        <v>204</v>
      </c>
      <c r="P17" s="428"/>
      <c r="Q17" s="428"/>
      <c r="R17" s="460">
        <f t="shared" si="2"/>
        <v>204</v>
      </c>
      <c r="S17" s="391">
        <v>1669</v>
      </c>
      <c r="T17" s="429">
        <v>225</v>
      </c>
      <c r="U17" s="429"/>
      <c r="V17" s="429"/>
      <c r="W17" s="462">
        <f t="shared" si="3"/>
        <v>225</v>
      </c>
      <c r="X17" s="430"/>
      <c r="Y17" s="427"/>
      <c r="Z17" s="431"/>
      <c r="AA17" s="431"/>
      <c r="AB17" s="432"/>
      <c r="AC17" s="427"/>
      <c r="AD17" s="431"/>
      <c r="AE17" s="433"/>
      <c r="AF17" s="432"/>
      <c r="AG17" s="427"/>
      <c r="AH17" s="431"/>
      <c r="AI17" s="433"/>
      <c r="AJ17" s="432"/>
      <c r="AK17" s="427"/>
      <c r="AL17" s="431"/>
      <c r="AM17" s="433"/>
      <c r="AN17" s="432"/>
      <c r="AO17" s="427"/>
      <c r="AP17" s="431"/>
      <c r="AQ17" s="431"/>
      <c r="AR17" s="460">
        <f t="shared" si="26"/>
        <v>0</v>
      </c>
      <c r="AS17" s="467">
        <f t="shared" si="27"/>
        <v>0.62087712939470818</v>
      </c>
      <c r="AT17" s="447">
        <f t="shared" si="28"/>
        <v>0</v>
      </c>
      <c r="AU17" s="448">
        <f t="shared" si="29"/>
        <v>0.59756534192624422</v>
      </c>
      <c r="AV17" s="427"/>
      <c r="AW17" s="426">
        <v>2</v>
      </c>
      <c r="AX17" s="430">
        <v>51</v>
      </c>
      <c r="AY17" s="427">
        <v>380</v>
      </c>
      <c r="AZ17" s="431">
        <v>51</v>
      </c>
      <c r="BA17" s="431">
        <v>422</v>
      </c>
      <c r="BB17" s="432">
        <v>13</v>
      </c>
      <c r="BC17" s="427">
        <v>144</v>
      </c>
      <c r="BD17" s="431">
        <v>13</v>
      </c>
      <c r="BE17" s="433">
        <v>174</v>
      </c>
      <c r="BF17" s="432">
        <v>14</v>
      </c>
      <c r="BG17" s="427">
        <v>89</v>
      </c>
      <c r="BH17" s="431">
        <v>11</v>
      </c>
      <c r="BI17" s="433">
        <v>47</v>
      </c>
      <c r="BJ17" s="432">
        <v>11</v>
      </c>
      <c r="BK17" s="427">
        <v>44</v>
      </c>
      <c r="BL17" s="431">
        <v>14</v>
      </c>
      <c r="BM17" s="433">
        <v>43</v>
      </c>
      <c r="BN17" s="432">
        <v>52</v>
      </c>
      <c r="BO17" s="427">
        <v>35</v>
      </c>
      <c r="BP17" s="431">
        <v>52</v>
      </c>
      <c r="BQ17" s="433">
        <v>31</v>
      </c>
      <c r="BR17" s="432">
        <v>9</v>
      </c>
      <c r="BS17" s="427">
        <v>12</v>
      </c>
      <c r="BT17" s="446">
        <v>44</v>
      </c>
      <c r="BU17" s="392">
        <v>13</v>
      </c>
      <c r="BV17" s="432">
        <v>44</v>
      </c>
      <c r="BW17" s="427">
        <v>11</v>
      </c>
      <c r="BX17" s="431">
        <v>9</v>
      </c>
      <c r="BY17" s="433">
        <v>9</v>
      </c>
      <c r="BZ17" s="432">
        <v>42</v>
      </c>
      <c r="CA17" s="427">
        <v>9</v>
      </c>
      <c r="CB17" s="431">
        <v>23</v>
      </c>
      <c r="CC17" s="433">
        <v>7</v>
      </c>
      <c r="CD17" s="432">
        <v>26</v>
      </c>
      <c r="CE17" s="427">
        <v>7</v>
      </c>
      <c r="CF17" s="431">
        <v>30</v>
      </c>
      <c r="CG17" s="433">
        <v>7</v>
      </c>
      <c r="CH17" s="432">
        <v>23</v>
      </c>
      <c r="CI17" s="427">
        <v>5</v>
      </c>
      <c r="CJ17" s="431">
        <v>27</v>
      </c>
      <c r="CK17" s="433">
        <v>5</v>
      </c>
      <c r="CL17" s="428">
        <v>5</v>
      </c>
      <c r="CM17" s="426">
        <v>16</v>
      </c>
      <c r="CN17" s="468">
        <f t="shared" si="30"/>
        <v>741</v>
      </c>
      <c r="CO17" s="468">
        <f t="shared" si="31"/>
        <v>10</v>
      </c>
      <c r="CP17" s="469">
        <f t="shared" si="32"/>
        <v>774</v>
      </c>
      <c r="CQ17" s="469">
        <f t="shared" si="33"/>
        <v>10</v>
      </c>
      <c r="CR17" s="430">
        <v>26</v>
      </c>
      <c r="CS17" s="427">
        <v>9</v>
      </c>
      <c r="CT17" s="431">
        <v>26</v>
      </c>
      <c r="CU17" s="431">
        <v>8</v>
      </c>
      <c r="CV17" s="432">
        <v>13</v>
      </c>
      <c r="CW17" s="427">
        <v>4</v>
      </c>
      <c r="CX17" s="431">
        <v>30</v>
      </c>
      <c r="CY17" s="433">
        <v>7</v>
      </c>
      <c r="CZ17" s="432">
        <v>30</v>
      </c>
      <c r="DA17" s="427">
        <v>2</v>
      </c>
      <c r="DB17" s="431">
        <v>13</v>
      </c>
      <c r="DC17" s="433">
        <v>4</v>
      </c>
      <c r="DD17" s="432"/>
      <c r="DE17" s="427"/>
      <c r="DF17" s="431">
        <v>51</v>
      </c>
      <c r="DG17" s="433">
        <v>2</v>
      </c>
      <c r="DH17" s="432"/>
      <c r="DI17" s="427"/>
      <c r="DJ17" s="431"/>
      <c r="DK17" s="433"/>
      <c r="DL17" s="432"/>
      <c r="DM17" s="427"/>
      <c r="DN17" s="431"/>
      <c r="DO17" s="433"/>
      <c r="DP17" s="432"/>
      <c r="DQ17" s="427"/>
      <c r="DR17" s="431"/>
      <c r="DS17" s="433"/>
      <c r="DT17" s="432"/>
      <c r="DU17" s="427"/>
      <c r="DV17" s="431"/>
      <c r="DW17" s="433"/>
      <c r="DX17" s="432"/>
      <c r="DY17" s="427"/>
      <c r="DZ17" s="431"/>
      <c r="EA17" s="433"/>
      <c r="EB17" s="432"/>
      <c r="EC17" s="427"/>
      <c r="ED17" s="431"/>
      <c r="EE17" s="433"/>
      <c r="EF17" s="428"/>
      <c r="EG17" s="426"/>
      <c r="EH17" s="460">
        <f t="shared" si="34"/>
        <v>15</v>
      </c>
      <c r="EI17" s="460">
        <f t="shared" si="35"/>
        <v>3</v>
      </c>
      <c r="EJ17" s="458">
        <f t="shared" si="36"/>
        <v>0.6</v>
      </c>
      <c r="EK17" s="470">
        <f t="shared" si="37"/>
        <v>21</v>
      </c>
      <c r="EL17" s="470">
        <f t="shared" si="38"/>
        <v>4</v>
      </c>
      <c r="EM17" s="449">
        <f t="shared" si="39"/>
        <v>0.38095238095238093</v>
      </c>
      <c r="EN17" s="460">
        <f t="shared" si="40"/>
        <v>756</v>
      </c>
      <c r="EO17" s="469">
        <f t="shared" si="41"/>
        <v>795</v>
      </c>
      <c r="EP17" s="434"/>
      <c r="EQ17" s="426"/>
      <c r="ER17" s="434">
        <v>69</v>
      </c>
      <c r="ES17" s="426">
        <v>78</v>
      </c>
      <c r="ET17" s="434"/>
      <c r="EU17" s="426"/>
      <c r="EV17" s="434"/>
      <c r="EW17" s="426"/>
      <c r="EX17" s="434"/>
      <c r="EY17" s="426"/>
      <c r="EZ17" s="434"/>
      <c r="FA17" s="426"/>
      <c r="FB17" s="434"/>
      <c r="FC17" s="426"/>
      <c r="FD17" s="434"/>
      <c r="FE17" s="426"/>
      <c r="FF17" s="434"/>
      <c r="FG17" s="426"/>
      <c r="FH17" s="435">
        <v>88</v>
      </c>
      <c r="FI17" s="426">
        <v>59</v>
      </c>
      <c r="FJ17" s="468">
        <f t="shared" si="42"/>
        <v>157</v>
      </c>
      <c r="FK17" s="469">
        <f t="shared" si="43"/>
        <v>137</v>
      </c>
      <c r="FL17" s="435"/>
      <c r="FM17" s="426"/>
      <c r="FN17" s="460">
        <f t="shared" si="44"/>
        <v>2759</v>
      </c>
      <c r="FO17" s="469">
        <f t="shared" si="45"/>
        <v>2793</v>
      </c>
      <c r="FQ17" s="393"/>
    </row>
    <row r="18" spans="1:173" s="248" customFormat="1" x14ac:dyDescent="0.2">
      <c r="A18" s="354" t="s">
        <v>0</v>
      </c>
      <c r="B18" s="355" t="s">
        <v>492</v>
      </c>
      <c r="C18" s="479"/>
      <c r="D18" s="477">
        <v>100724</v>
      </c>
      <c r="E18" s="512">
        <v>4</v>
      </c>
      <c r="F18" s="427"/>
      <c r="G18" s="426"/>
      <c r="H18" s="427"/>
      <c r="I18" s="426"/>
      <c r="J18" s="427"/>
      <c r="K18" s="426"/>
      <c r="L18" s="458">
        <f t="shared" si="24"/>
        <v>0</v>
      </c>
      <c r="M18" s="449">
        <f t="shared" si="25"/>
        <v>0</v>
      </c>
      <c r="N18" s="428">
        <v>568</v>
      </c>
      <c r="O18" s="428">
        <v>101</v>
      </c>
      <c r="P18" s="428"/>
      <c r="Q18" s="428"/>
      <c r="R18" s="460">
        <f t="shared" si="2"/>
        <v>101</v>
      </c>
      <c r="S18" s="391">
        <v>542</v>
      </c>
      <c r="T18" s="429">
        <v>101</v>
      </c>
      <c r="U18" s="429"/>
      <c r="V18" s="429"/>
      <c r="W18" s="462">
        <f t="shared" si="3"/>
        <v>101</v>
      </c>
      <c r="X18" s="430"/>
      <c r="Y18" s="427"/>
      <c r="Z18" s="431"/>
      <c r="AA18" s="431"/>
      <c r="AB18" s="432"/>
      <c r="AC18" s="427"/>
      <c r="AD18" s="431"/>
      <c r="AE18" s="433"/>
      <c r="AF18" s="432"/>
      <c r="AG18" s="427"/>
      <c r="AH18" s="431"/>
      <c r="AI18" s="433"/>
      <c r="AJ18" s="432"/>
      <c r="AK18" s="427"/>
      <c r="AL18" s="431"/>
      <c r="AM18" s="433"/>
      <c r="AN18" s="432"/>
      <c r="AO18" s="427"/>
      <c r="AP18" s="431"/>
      <c r="AQ18" s="431"/>
      <c r="AR18" s="460">
        <f t="shared" si="26"/>
        <v>0</v>
      </c>
      <c r="AS18" s="467">
        <f t="shared" si="27"/>
        <v>0.65740740740740744</v>
      </c>
      <c r="AT18" s="447">
        <f t="shared" si="28"/>
        <v>0</v>
      </c>
      <c r="AU18" s="448">
        <f t="shared" si="29"/>
        <v>0.68694550063371351</v>
      </c>
      <c r="AV18" s="427"/>
      <c r="AW18" s="426"/>
      <c r="AX18" s="430">
        <v>13</v>
      </c>
      <c r="AY18" s="427">
        <v>187</v>
      </c>
      <c r="AZ18" s="431">
        <v>13</v>
      </c>
      <c r="BA18" s="431">
        <v>142</v>
      </c>
      <c r="BB18" s="432">
        <v>44</v>
      </c>
      <c r="BC18" s="427">
        <v>24</v>
      </c>
      <c r="BD18" s="431">
        <v>52</v>
      </c>
      <c r="BE18" s="433">
        <v>24</v>
      </c>
      <c r="BF18" s="432">
        <v>52</v>
      </c>
      <c r="BG18" s="427">
        <v>18</v>
      </c>
      <c r="BH18" s="431">
        <v>44</v>
      </c>
      <c r="BI18" s="433">
        <v>22</v>
      </c>
      <c r="BJ18" s="432">
        <v>26</v>
      </c>
      <c r="BK18" s="427">
        <v>7</v>
      </c>
      <c r="BL18" s="431">
        <v>51</v>
      </c>
      <c r="BM18" s="433">
        <v>11</v>
      </c>
      <c r="BN18" s="432">
        <v>51</v>
      </c>
      <c r="BO18" s="427">
        <v>6</v>
      </c>
      <c r="BP18" s="431">
        <v>27</v>
      </c>
      <c r="BQ18" s="433">
        <v>3</v>
      </c>
      <c r="BR18" s="432">
        <v>54</v>
      </c>
      <c r="BS18" s="427">
        <v>2</v>
      </c>
      <c r="BT18" s="446">
        <v>26</v>
      </c>
      <c r="BU18" s="392">
        <v>2</v>
      </c>
      <c r="BV18" s="432">
        <v>27</v>
      </c>
      <c r="BW18" s="427">
        <v>1</v>
      </c>
      <c r="BX18" s="431"/>
      <c r="BY18" s="433"/>
      <c r="BZ18" s="432"/>
      <c r="CA18" s="427">
        <v>0</v>
      </c>
      <c r="CB18" s="431"/>
      <c r="CC18" s="433"/>
      <c r="CD18" s="432"/>
      <c r="CE18" s="427">
        <v>0</v>
      </c>
      <c r="CF18" s="431"/>
      <c r="CG18" s="433"/>
      <c r="CH18" s="432"/>
      <c r="CI18" s="427">
        <v>0</v>
      </c>
      <c r="CJ18" s="431"/>
      <c r="CK18" s="433"/>
      <c r="CL18" s="428">
        <v>0</v>
      </c>
      <c r="CM18" s="426"/>
      <c r="CN18" s="468">
        <f t="shared" si="30"/>
        <v>245</v>
      </c>
      <c r="CO18" s="468">
        <f t="shared" si="31"/>
        <v>7</v>
      </c>
      <c r="CP18" s="469">
        <f t="shared" si="32"/>
        <v>204</v>
      </c>
      <c r="CQ18" s="469">
        <f t="shared" si="33"/>
        <v>6</v>
      </c>
      <c r="CR18" s="430"/>
      <c r="CS18" s="427"/>
      <c r="CT18" s="431"/>
      <c r="CU18" s="431"/>
      <c r="CV18" s="432"/>
      <c r="CW18" s="427"/>
      <c r="CX18" s="431"/>
      <c r="CY18" s="433"/>
      <c r="CZ18" s="432"/>
      <c r="DA18" s="427"/>
      <c r="DB18" s="431"/>
      <c r="DC18" s="433"/>
      <c r="DD18" s="432"/>
      <c r="DE18" s="427"/>
      <c r="DF18" s="431"/>
      <c r="DG18" s="433"/>
      <c r="DH18" s="432"/>
      <c r="DI18" s="427"/>
      <c r="DJ18" s="431"/>
      <c r="DK18" s="433"/>
      <c r="DL18" s="432"/>
      <c r="DM18" s="427"/>
      <c r="DN18" s="431"/>
      <c r="DO18" s="433"/>
      <c r="DP18" s="432"/>
      <c r="DQ18" s="427"/>
      <c r="DR18" s="431"/>
      <c r="DS18" s="433"/>
      <c r="DT18" s="432"/>
      <c r="DU18" s="427"/>
      <c r="DV18" s="431"/>
      <c r="DW18" s="433"/>
      <c r="DX18" s="432"/>
      <c r="DY18" s="427"/>
      <c r="DZ18" s="431"/>
      <c r="EA18" s="433"/>
      <c r="EB18" s="432"/>
      <c r="EC18" s="427"/>
      <c r="ED18" s="431"/>
      <c r="EE18" s="433"/>
      <c r="EF18" s="428"/>
      <c r="EG18" s="426"/>
      <c r="EH18" s="460">
        <f t="shared" si="34"/>
        <v>0</v>
      </c>
      <c r="EI18" s="460">
        <f t="shared" si="35"/>
        <v>0</v>
      </c>
      <c r="EJ18" s="458">
        <f t="shared" si="36"/>
        <v>0</v>
      </c>
      <c r="EK18" s="470">
        <f t="shared" si="37"/>
        <v>0</v>
      </c>
      <c r="EL18" s="470">
        <f t="shared" si="38"/>
        <v>0</v>
      </c>
      <c r="EM18" s="449">
        <f t="shared" si="39"/>
        <v>0</v>
      </c>
      <c r="EN18" s="460">
        <f t="shared" si="40"/>
        <v>245</v>
      </c>
      <c r="EO18" s="469">
        <f t="shared" si="41"/>
        <v>204</v>
      </c>
      <c r="EP18" s="434"/>
      <c r="EQ18" s="426"/>
      <c r="ER18" s="434"/>
      <c r="ES18" s="426"/>
      <c r="ET18" s="434"/>
      <c r="EU18" s="426"/>
      <c r="EV18" s="434"/>
      <c r="EW18" s="426"/>
      <c r="EX18" s="434"/>
      <c r="EY18" s="426"/>
      <c r="EZ18" s="434"/>
      <c r="FA18" s="426"/>
      <c r="FB18" s="434"/>
      <c r="FC18" s="426"/>
      <c r="FD18" s="434"/>
      <c r="FE18" s="426"/>
      <c r="FF18" s="434"/>
      <c r="FG18" s="426"/>
      <c r="FH18" s="435">
        <v>51</v>
      </c>
      <c r="FI18" s="426">
        <v>43</v>
      </c>
      <c r="FJ18" s="468">
        <f t="shared" si="42"/>
        <v>51</v>
      </c>
      <c r="FK18" s="469">
        <f t="shared" si="43"/>
        <v>43</v>
      </c>
      <c r="FL18" s="435"/>
      <c r="FM18" s="426"/>
      <c r="FN18" s="460">
        <f t="shared" si="44"/>
        <v>864</v>
      </c>
      <c r="FO18" s="469">
        <f t="shared" si="45"/>
        <v>789</v>
      </c>
      <c r="FQ18" s="393"/>
    </row>
    <row r="19" spans="1:173" s="248" customFormat="1" x14ac:dyDescent="0.2">
      <c r="A19" s="354" t="s">
        <v>0</v>
      </c>
      <c r="B19" s="355" t="s">
        <v>495</v>
      </c>
      <c r="C19" s="479"/>
      <c r="D19" s="477">
        <v>100830</v>
      </c>
      <c r="E19" s="512">
        <v>4</v>
      </c>
      <c r="F19" s="427"/>
      <c r="G19" s="426"/>
      <c r="H19" s="427"/>
      <c r="I19" s="426"/>
      <c r="J19" s="427"/>
      <c r="K19" s="426"/>
      <c r="L19" s="458">
        <f t="shared" si="24"/>
        <v>0</v>
      </c>
      <c r="M19" s="449">
        <f t="shared" si="25"/>
        <v>0</v>
      </c>
      <c r="N19" s="428">
        <v>640</v>
      </c>
      <c r="O19" s="428">
        <v>94</v>
      </c>
      <c r="P19" s="428"/>
      <c r="Q19" s="428">
        <v>2</v>
      </c>
      <c r="R19" s="460">
        <f t="shared" si="2"/>
        <v>96</v>
      </c>
      <c r="S19" s="391">
        <v>547</v>
      </c>
      <c r="T19" s="429">
        <v>82</v>
      </c>
      <c r="U19" s="429"/>
      <c r="V19" s="429"/>
      <c r="W19" s="462">
        <f t="shared" si="3"/>
        <v>82</v>
      </c>
      <c r="X19" s="430"/>
      <c r="Y19" s="427"/>
      <c r="Z19" s="431"/>
      <c r="AA19" s="431"/>
      <c r="AB19" s="432"/>
      <c r="AC19" s="427"/>
      <c r="AD19" s="431"/>
      <c r="AE19" s="433"/>
      <c r="AF19" s="432"/>
      <c r="AG19" s="427"/>
      <c r="AH19" s="431"/>
      <c r="AI19" s="433"/>
      <c r="AJ19" s="432"/>
      <c r="AK19" s="427"/>
      <c r="AL19" s="431"/>
      <c r="AM19" s="433"/>
      <c r="AN19" s="432"/>
      <c r="AO19" s="427"/>
      <c r="AP19" s="431"/>
      <c r="AQ19" s="431"/>
      <c r="AR19" s="460">
        <f t="shared" si="26"/>
        <v>0</v>
      </c>
      <c r="AS19" s="467">
        <f t="shared" si="27"/>
        <v>0.68157614483493079</v>
      </c>
      <c r="AT19" s="447">
        <f t="shared" si="28"/>
        <v>0</v>
      </c>
      <c r="AU19" s="448">
        <f t="shared" si="29"/>
        <v>0.62585812356979409</v>
      </c>
      <c r="AV19" s="427"/>
      <c r="AW19" s="426"/>
      <c r="AX19" s="430">
        <v>13</v>
      </c>
      <c r="AY19" s="427">
        <v>119</v>
      </c>
      <c r="AZ19" s="431">
        <v>13</v>
      </c>
      <c r="BA19" s="431">
        <v>149</v>
      </c>
      <c r="BB19" s="432">
        <v>52</v>
      </c>
      <c r="BC19" s="427">
        <v>90</v>
      </c>
      <c r="BD19" s="431">
        <v>52</v>
      </c>
      <c r="BE19" s="433">
        <v>95</v>
      </c>
      <c r="BF19" s="432">
        <v>44</v>
      </c>
      <c r="BG19" s="427">
        <v>37</v>
      </c>
      <c r="BH19" s="431">
        <v>44</v>
      </c>
      <c r="BI19" s="433">
        <v>37</v>
      </c>
      <c r="BJ19" s="432">
        <v>43</v>
      </c>
      <c r="BK19" s="427">
        <v>33</v>
      </c>
      <c r="BL19" s="431">
        <v>43</v>
      </c>
      <c r="BM19" s="433">
        <v>29</v>
      </c>
      <c r="BN19" s="432">
        <v>42</v>
      </c>
      <c r="BO19" s="427">
        <v>10</v>
      </c>
      <c r="BP19" s="431">
        <v>24</v>
      </c>
      <c r="BQ19" s="433">
        <v>7</v>
      </c>
      <c r="BR19" s="432">
        <v>24</v>
      </c>
      <c r="BS19" s="427">
        <v>9</v>
      </c>
      <c r="BT19" s="446">
        <v>42</v>
      </c>
      <c r="BU19" s="392">
        <v>7</v>
      </c>
      <c r="BV19" s="432">
        <v>45</v>
      </c>
      <c r="BW19" s="427">
        <v>1</v>
      </c>
      <c r="BX19" s="431">
        <v>45</v>
      </c>
      <c r="BY19" s="433">
        <v>3</v>
      </c>
      <c r="BZ19" s="432"/>
      <c r="CA19" s="427"/>
      <c r="CB19" s="431"/>
      <c r="CC19" s="433"/>
      <c r="CD19" s="432"/>
      <c r="CE19" s="427"/>
      <c r="CF19" s="431"/>
      <c r="CG19" s="433"/>
      <c r="CH19" s="432"/>
      <c r="CI19" s="427"/>
      <c r="CJ19" s="431"/>
      <c r="CK19" s="433"/>
      <c r="CL19" s="428"/>
      <c r="CM19" s="426"/>
      <c r="CN19" s="468">
        <f t="shared" si="30"/>
        <v>299</v>
      </c>
      <c r="CO19" s="468">
        <f t="shared" si="31"/>
        <v>7</v>
      </c>
      <c r="CP19" s="469">
        <f t="shared" si="32"/>
        <v>327</v>
      </c>
      <c r="CQ19" s="469">
        <f t="shared" si="33"/>
        <v>7</v>
      </c>
      <c r="CR19" s="430"/>
      <c r="CS19" s="427"/>
      <c r="CT19" s="431"/>
      <c r="CU19" s="431"/>
      <c r="CV19" s="432"/>
      <c r="CW19" s="427"/>
      <c r="CX19" s="431"/>
      <c r="CY19" s="433"/>
      <c r="CZ19" s="432"/>
      <c r="DA19" s="427"/>
      <c r="DB19" s="431"/>
      <c r="DC19" s="433"/>
      <c r="DD19" s="432"/>
      <c r="DE19" s="427"/>
      <c r="DF19" s="431"/>
      <c r="DG19" s="433"/>
      <c r="DH19" s="432"/>
      <c r="DI19" s="427"/>
      <c r="DJ19" s="431"/>
      <c r="DK19" s="433"/>
      <c r="DL19" s="432"/>
      <c r="DM19" s="427"/>
      <c r="DN19" s="431"/>
      <c r="DO19" s="433"/>
      <c r="DP19" s="432"/>
      <c r="DQ19" s="427"/>
      <c r="DR19" s="431"/>
      <c r="DS19" s="433"/>
      <c r="DT19" s="432"/>
      <c r="DU19" s="427"/>
      <c r="DV19" s="431"/>
      <c r="DW19" s="433"/>
      <c r="DX19" s="432"/>
      <c r="DY19" s="427"/>
      <c r="DZ19" s="431"/>
      <c r="EA19" s="433"/>
      <c r="EB19" s="432"/>
      <c r="EC19" s="427"/>
      <c r="ED19" s="431"/>
      <c r="EE19" s="433"/>
      <c r="EF19" s="428"/>
      <c r="EG19" s="426"/>
      <c r="EH19" s="460">
        <f t="shared" si="34"/>
        <v>0</v>
      </c>
      <c r="EI19" s="460">
        <f t="shared" si="35"/>
        <v>0</v>
      </c>
      <c r="EJ19" s="458">
        <f t="shared" si="36"/>
        <v>0</v>
      </c>
      <c r="EK19" s="470">
        <f t="shared" si="37"/>
        <v>0</v>
      </c>
      <c r="EL19" s="470">
        <f t="shared" si="38"/>
        <v>0</v>
      </c>
      <c r="EM19" s="449">
        <f t="shared" si="39"/>
        <v>0</v>
      </c>
      <c r="EN19" s="460">
        <f t="shared" si="40"/>
        <v>299</v>
      </c>
      <c r="EO19" s="469">
        <f t="shared" si="41"/>
        <v>327</v>
      </c>
      <c r="EP19" s="434"/>
      <c r="EQ19" s="426"/>
      <c r="ER19" s="434"/>
      <c r="ES19" s="426"/>
      <c r="ET19" s="434"/>
      <c r="EU19" s="426"/>
      <c r="EV19" s="434"/>
      <c r="EW19" s="426"/>
      <c r="EX19" s="434"/>
      <c r="EY19" s="426"/>
      <c r="EZ19" s="434"/>
      <c r="FA19" s="426"/>
      <c r="FB19" s="434"/>
      <c r="FC19" s="426"/>
      <c r="FD19" s="434"/>
      <c r="FE19" s="426"/>
      <c r="FF19" s="434"/>
      <c r="FG19" s="426"/>
      <c r="FH19" s="435"/>
      <c r="FI19" s="426"/>
      <c r="FJ19" s="468">
        <f t="shared" si="42"/>
        <v>0</v>
      </c>
      <c r="FK19" s="469">
        <f t="shared" si="43"/>
        <v>0</v>
      </c>
      <c r="FL19" s="435"/>
      <c r="FM19" s="426"/>
      <c r="FN19" s="460">
        <f t="shared" si="44"/>
        <v>939</v>
      </c>
      <c r="FO19" s="469">
        <f t="shared" si="45"/>
        <v>874</v>
      </c>
      <c r="FQ19" s="393"/>
    </row>
    <row r="20" spans="1:173" s="248" customFormat="1" x14ac:dyDescent="0.2">
      <c r="A20" s="354" t="s">
        <v>0</v>
      </c>
      <c r="B20" s="355" t="s">
        <v>502</v>
      </c>
      <c r="C20" s="479"/>
      <c r="D20" s="477">
        <v>101879</v>
      </c>
      <c r="E20" s="512">
        <v>4</v>
      </c>
      <c r="F20" s="427"/>
      <c r="G20" s="426"/>
      <c r="H20" s="427"/>
      <c r="I20" s="426"/>
      <c r="J20" s="427"/>
      <c r="K20" s="426"/>
      <c r="L20" s="458">
        <f t="shared" si="24"/>
        <v>0</v>
      </c>
      <c r="M20" s="449">
        <f t="shared" si="25"/>
        <v>0</v>
      </c>
      <c r="N20" s="428">
        <v>912</v>
      </c>
      <c r="O20" s="428">
        <v>114</v>
      </c>
      <c r="P20" s="428"/>
      <c r="Q20" s="428">
        <v>17</v>
      </c>
      <c r="R20" s="460">
        <f t="shared" si="2"/>
        <v>131</v>
      </c>
      <c r="S20" s="391">
        <v>941</v>
      </c>
      <c r="T20" s="429">
        <v>113</v>
      </c>
      <c r="U20" s="429"/>
      <c r="V20" s="429">
        <v>7</v>
      </c>
      <c r="W20" s="462">
        <f t="shared" si="3"/>
        <v>120</v>
      </c>
      <c r="X20" s="430"/>
      <c r="Y20" s="427"/>
      <c r="Z20" s="431"/>
      <c r="AA20" s="431"/>
      <c r="AB20" s="432"/>
      <c r="AC20" s="427"/>
      <c r="AD20" s="431"/>
      <c r="AE20" s="433"/>
      <c r="AF20" s="432"/>
      <c r="AG20" s="427"/>
      <c r="AH20" s="431"/>
      <c r="AI20" s="433"/>
      <c r="AJ20" s="432"/>
      <c r="AK20" s="427"/>
      <c r="AL20" s="431"/>
      <c r="AM20" s="433"/>
      <c r="AN20" s="432"/>
      <c r="AO20" s="427"/>
      <c r="AP20" s="431"/>
      <c r="AQ20" s="431"/>
      <c r="AR20" s="460">
        <f t="shared" si="26"/>
        <v>0</v>
      </c>
      <c r="AS20" s="467">
        <f t="shared" si="27"/>
        <v>0.71250000000000002</v>
      </c>
      <c r="AT20" s="447">
        <f t="shared" si="28"/>
        <v>0</v>
      </c>
      <c r="AU20" s="448">
        <f t="shared" si="29"/>
        <v>0.71613394216133941</v>
      </c>
      <c r="AV20" s="427"/>
      <c r="AW20" s="426"/>
      <c r="AX20" s="430">
        <v>52</v>
      </c>
      <c r="AY20" s="427">
        <v>230</v>
      </c>
      <c r="AZ20" s="431">
        <v>52</v>
      </c>
      <c r="BA20" s="431">
        <v>242</v>
      </c>
      <c r="BB20" s="432">
        <v>13</v>
      </c>
      <c r="BC20" s="427">
        <v>68</v>
      </c>
      <c r="BD20" s="431">
        <v>13</v>
      </c>
      <c r="BE20" s="433">
        <v>75</v>
      </c>
      <c r="BF20" s="432">
        <v>51</v>
      </c>
      <c r="BG20" s="427">
        <v>18</v>
      </c>
      <c r="BH20" s="431">
        <v>51</v>
      </c>
      <c r="BI20" s="433">
        <v>15</v>
      </c>
      <c r="BJ20" s="432">
        <v>42</v>
      </c>
      <c r="BK20" s="427">
        <v>16</v>
      </c>
      <c r="BL20" s="431">
        <v>42</v>
      </c>
      <c r="BM20" s="433">
        <v>13</v>
      </c>
      <c r="BN20" s="432">
        <v>54</v>
      </c>
      <c r="BO20" s="427">
        <v>11</v>
      </c>
      <c r="BP20" s="431">
        <v>43</v>
      </c>
      <c r="BQ20" s="433">
        <v>12</v>
      </c>
      <c r="BR20" s="432">
        <v>23</v>
      </c>
      <c r="BS20" s="427">
        <v>10</v>
      </c>
      <c r="BT20" s="446">
        <v>23</v>
      </c>
      <c r="BU20" s="392">
        <v>7</v>
      </c>
      <c r="BV20" s="432">
        <v>43</v>
      </c>
      <c r="BW20" s="427">
        <v>9</v>
      </c>
      <c r="BX20" s="431">
        <v>31</v>
      </c>
      <c r="BY20" s="433">
        <v>4</v>
      </c>
      <c r="BZ20" s="432">
        <v>31</v>
      </c>
      <c r="CA20" s="427">
        <v>6</v>
      </c>
      <c r="CB20" s="431">
        <v>54</v>
      </c>
      <c r="CC20" s="433">
        <v>4</v>
      </c>
      <c r="CD20" s="432"/>
      <c r="CE20" s="427"/>
      <c r="CF20" s="431">
        <v>45</v>
      </c>
      <c r="CG20" s="433">
        <v>1</v>
      </c>
      <c r="CH20" s="432"/>
      <c r="CI20" s="427"/>
      <c r="CJ20" s="431"/>
      <c r="CK20" s="433"/>
      <c r="CL20" s="428"/>
      <c r="CM20" s="426"/>
      <c r="CN20" s="468">
        <f t="shared" si="30"/>
        <v>368</v>
      </c>
      <c r="CO20" s="468">
        <f t="shared" si="31"/>
        <v>8</v>
      </c>
      <c r="CP20" s="469">
        <f t="shared" si="32"/>
        <v>373</v>
      </c>
      <c r="CQ20" s="469">
        <f t="shared" si="33"/>
        <v>9</v>
      </c>
      <c r="CR20" s="430"/>
      <c r="CS20" s="427"/>
      <c r="CT20" s="431"/>
      <c r="CU20" s="431"/>
      <c r="CV20" s="432"/>
      <c r="CW20" s="427"/>
      <c r="CX20" s="431"/>
      <c r="CY20" s="433"/>
      <c r="CZ20" s="432"/>
      <c r="DA20" s="427"/>
      <c r="DB20" s="431"/>
      <c r="DC20" s="433"/>
      <c r="DD20" s="432"/>
      <c r="DE20" s="427"/>
      <c r="DF20" s="431"/>
      <c r="DG20" s="433"/>
      <c r="DH20" s="432"/>
      <c r="DI20" s="427"/>
      <c r="DJ20" s="431"/>
      <c r="DK20" s="433"/>
      <c r="DL20" s="432"/>
      <c r="DM20" s="427"/>
      <c r="DN20" s="431"/>
      <c r="DO20" s="433"/>
      <c r="DP20" s="432"/>
      <c r="DQ20" s="427"/>
      <c r="DR20" s="431"/>
      <c r="DS20" s="433"/>
      <c r="DT20" s="432"/>
      <c r="DU20" s="427"/>
      <c r="DV20" s="431"/>
      <c r="DW20" s="433"/>
      <c r="DX20" s="432"/>
      <c r="DY20" s="427"/>
      <c r="DZ20" s="431"/>
      <c r="EA20" s="433"/>
      <c r="EB20" s="432"/>
      <c r="EC20" s="427"/>
      <c r="ED20" s="431"/>
      <c r="EE20" s="433"/>
      <c r="EF20" s="428"/>
      <c r="EG20" s="426"/>
      <c r="EH20" s="460">
        <f t="shared" si="34"/>
        <v>0</v>
      </c>
      <c r="EI20" s="460">
        <f t="shared" si="35"/>
        <v>0</v>
      </c>
      <c r="EJ20" s="458">
        <f t="shared" si="36"/>
        <v>0</v>
      </c>
      <c r="EK20" s="470">
        <f t="shared" si="37"/>
        <v>0</v>
      </c>
      <c r="EL20" s="470">
        <f t="shared" si="38"/>
        <v>0</v>
      </c>
      <c r="EM20" s="449">
        <f t="shared" si="39"/>
        <v>0</v>
      </c>
      <c r="EN20" s="460">
        <f t="shared" si="40"/>
        <v>368</v>
      </c>
      <c r="EO20" s="469">
        <f t="shared" si="41"/>
        <v>373</v>
      </c>
      <c r="EP20" s="434"/>
      <c r="EQ20" s="426"/>
      <c r="ER20" s="434"/>
      <c r="ES20" s="426"/>
      <c r="ET20" s="434"/>
      <c r="EU20" s="426"/>
      <c r="EV20" s="434"/>
      <c r="EW20" s="426"/>
      <c r="EX20" s="434"/>
      <c r="EY20" s="426"/>
      <c r="EZ20" s="434"/>
      <c r="FA20" s="426"/>
      <c r="FB20" s="434"/>
      <c r="FC20" s="426"/>
      <c r="FD20" s="434"/>
      <c r="FE20" s="426"/>
      <c r="FF20" s="434"/>
      <c r="FG20" s="426"/>
      <c r="FH20" s="435"/>
      <c r="FI20" s="426"/>
      <c r="FJ20" s="468">
        <f t="shared" si="42"/>
        <v>0</v>
      </c>
      <c r="FK20" s="469">
        <f t="shared" si="43"/>
        <v>0</v>
      </c>
      <c r="FL20" s="435"/>
      <c r="FM20" s="426"/>
      <c r="FN20" s="460">
        <f t="shared" si="44"/>
        <v>1280</v>
      </c>
      <c r="FO20" s="469">
        <f t="shared" si="45"/>
        <v>1314</v>
      </c>
      <c r="FQ20" s="393"/>
    </row>
    <row r="21" spans="1:173" s="248" customFormat="1" x14ac:dyDescent="0.2">
      <c r="A21" s="354" t="s">
        <v>0</v>
      </c>
      <c r="B21" s="355" t="s">
        <v>501</v>
      </c>
      <c r="C21" s="479"/>
      <c r="D21" s="477">
        <v>101709</v>
      </c>
      <c r="E21" s="482">
        <v>5</v>
      </c>
      <c r="F21" s="427"/>
      <c r="G21" s="426"/>
      <c r="H21" s="427"/>
      <c r="I21" s="426"/>
      <c r="J21" s="427"/>
      <c r="K21" s="426"/>
      <c r="L21" s="458">
        <f t="shared" si="24"/>
        <v>0</v>
      </c>
      <c r="M21" s="449">
        <f t="shared" si="25"/>
        <v>0</v>
      </c>
      <c r="N21" s="428">
        <v>437</v>
      </c>
      <c r="O21" s="428">
        <v>58</v>
      </c>
      <c r="P21" s="428"/>
      <c r="Q21" s="428">
        <v>2</v>
      </c>
      <c r="R21" s="460">
        <f t="shared" si="2"/>
        <v>60</v>
      </c>
      <c r="S21" s="391">
        <v>397</v>
      </c>
      <c r="T21" s="429">
        <v>35</v>
      </c>
      <c r="U21" s="429"/>
      <c r="V21" s="429"/>
      <c r="W21" s="462">
        <f t="shared" si="3"/>
        <v>35</v>
      </c>
      <c r="X21" s="430"/>
      <c r="Y21" s="427"/>
      <c r="Z21" s="431"/>
      <c r="AA21" s="431"/>
      <c r="AB21" s="432"/>
      <c r="AC21" s="427"/>
      <c r="AD21" s="431"/>
      <c r="AE21" s="433"/>
      <c r="AF21" s="432"/>
      <c r="AG21" s="427"/>
      <c r="AH21" s="431"/>
      <c r="AI21" s="433"/>
      <c r="AJ21" s="432"/>
      <c r="AK21" s="427"/>
      <c r="AL21" s="431"/>
      <c r="AM21" s="433"/>
      <c r="AN21" s="432"/>
      <c r="AO21" s="427"/>
      <c r="AP21" s="431"/>
      <c r="AQ21" s="431"/>
      <c r="AR21" s="460">
        <f t="shared" si="26"/>
        <v>0</v>
      </c>
      <c r="AS21" s="467">
        <f t="shared" si="27"/>
        <v>0.68068535825545173</v>
      </c>
      <c r="AT21" s="447">
        <f t="shared" si="28"/>
        <v>0</v>
      </c>
      <c r="AU21" s="448">
        <f t="shared" si="29"/>
        <v>0.63418530351437696</v>
      </c>
      <c r="AV21" s="427"/>
      <c r="AW21" s="426"/>
      <c r="AX21" s="430">
        <v>13</v>
      </c>
      <c r="AY21" s="427">
        <v>185</v>
      </c>
      <c r="AZ21" s="431">
        <v>13</v>
      </c>
      <c r="BA21" s="431">
        <v>198</v>
      </c>
      <c r="BB21" s="432">
        <v>51</v>
      </c>
      <c r="BC21" s="427">
        <v>18</v>
      </c>
      <c r="BD21" s="431">
        <v>51</v>
      </c>
      <c r="BE21" s="433">
        <v>19</v>
      </c>
      <c r="BF21" s="432">
        <v>23</v>
      </c>
      <c r="BG21" s="427">
        <v>2</v>
      </c>
      <c r="BH21" s="431">
        <v>52</v>
      </c>
      <c r="BI21" s="433">
        <v>9</v>
      </c>
      <c r="BJ21" s="432"/>
      <c r="BK21" s="427"/>
      <c r="BL21" s="431">
        <v>23</v>
      </c>
      <c r="BM21" s="433">
        <v>3</v>
      </c>
      <c r="BN21" s="432"/>
      <c r="BO21" s="427"/>
      <c r="BP21" s="431"/>
      <c r="BQ21" s="433"/>
      <c r="BR21" s="432"/>
      <c r="BS21" s="427"/>
      <c r="BT21" s="446"/>
      <c r="BU21" s="392"/>
      <c r="BV21" s="432"/>
      <c r="BW21" s="427"/>
      <c r="BX21" s="431"/>
      <c r="BY21" s="433"/>
      <c r="BZ21" s="432"/>
      <c r="CA21" s="427"/>
      <c r="CB21" s="431"/>
      <c r="CC21" s="433"/>
      <c r="CD21" s="432"/>
      <c r="CE21" s="427"/>
      <c r="CF21" s="431"/>
      <c r="CG21" s="433"/>
      <c r="CH21" s="432"/>
      <c r="CI21" s="427"/>
      <c r="CJ21" s="431"/>
      <c r="CK21" s="433"/>
      <c r="CL21" s="428"/>
      <c r="CM21" s="426"/>
      <c r="CN21" s="468">
        <f t="shared" si="30"/>
        <v>205</v>
      </c>
      <c r="CO21" s="468">
        <f t="shared" si="31"/>
        <v>3</v>
      </c>
      <c r="CP21" s="469">
        <f t="shared" si="32"/>
        <v>229</v>
      </c>
      <c r="CQ21" s="469">
        <f t="shared" si="33"/>
        <v>4</v>
      </c>
      <c r="CR21" s="430"/>
      <c r="CS21" s="427"/>
      <c r="CT21" s="431"/>
      <c r="CU21" s="431"/>
      <c r="CV21" s="432"/>
      <c r="CW21" s="427"/>
      <c r="CX21" s="431"/>
      <c r="CY21" s="433"/>
      <c r="CZ21" s="432"/>
      <c r="DA21" s="427"/>
      <c r="DB21" s="431"/>
      <c r="DC21" s="433"/>
      <c r="DD21" s="432"/>
      <c r="DE21" s="427"/>
      <c r="DF21" s="431"/>
      <c r="DG21" s="433"/>
      <c r="DH21" s="432"/>
      <c r="DI21" s="427"/>
      <c r="DJ21" s="431"/>
      <c r="DK21" s="433"/>
      <c r="DL21" s="432"/>
      <c r="DM21" s="427"/>
      <c r="DN21" s="431"/>
      <c r="DO21" s="433"/>
      <c r="DP21" s="432"/>
      <c r="DQ21" s="427"/>
      <c r="DR21" s="431"/>
      <c r="DS21" s="433"/>
      <c r="DT21" s="432"/>
      <c r="DU21" s="427"/>
      <c r="DV21" s="431"/>
      <c r="DW21" s="433"/>
      <c r="DX21" s="432"/>
      <c r="DY21" s="427"/>
      <c r="DZ21" s="431"/>
      <c r="EA21" s="433"/>
      <c r="EB21" s="432"/>
      <c r="EC21" s="427"/>
      <c r="ED21" s="431"/>
      <c r="EE21" s="433"/>
      <c r="EF21" s="428"/>
      <c r="EG21" s="426"/>
      <c r="EH21" s="460">
        <f t="shared" si="34"/>
        <v>0</v>
      </c>
      <c r="EI21" s="460">
        <f t="shared" si="35"/>
        <v>0</v>
      </c>
      <c r="EJ21" s="458">
        <f t="shared" si="36"/>
        <v>0</v>
      </c>
      <c r="EK21" s="470">
        <f t="shared" si="37"/>
        <v>0</v>
      </c>
      <c r="EL21" s="470">
        <f t="shared" si="38"/>
        <v>0</v>
      </c>
      <c r="EM21" s="449">
        <f t="shared" si="39"/>
        <v>0</v>
      </c>
      <c r="EN21" s="460">
        <f t="shared" si="40"/>
        <v>205</v>
      </c>
      <c r="EO21" s="469">
        <f t="shared" si="41"/>
        <v>229</v>
      </c>
      <c r="EP21" s="434"/>
      <c r="EQ21" s="426"/>
      <c r="ER21" s="434"/>
      <c r="ES21" s="426"/>
      <c r="ET21" s="434"/>
      <c r="EU21" s="426"/>
      <c r="EV21" s="434"/>
      <c r="EW21" s="426"/>
      <c r="EX21" s="434"/>
      <c r="EY21" s="426"/>
      <c r="EZ21" s="434"/>
      <c r="FA21" s="426"/>
      <c r="FB21" s="434"/>
      <c r="FC21" s="426"/>
      <c r="FD21" s="434"/>
      <c r="FE21" s="426"/>
      <c r="FF21" s="434"/>
      <c r="FG21" s="426"/>
      <c r="FH21" s="435"/>
      <c r="FI21" s="426"/>
      <c r="FJ21" s="468">
        <f t="shared" si="42"/>
        <v>0</v>
      </c>
      <c r="FK21" s="469">
        <f t="shared" si="43"/>
        <v>0</v>
      </c>
      <c r="FL21" s="435"/>
      <c r="FM21" s="426"/>
      <c r="FN21" s="460">
        <f t="shared" si="44"/>
        <v>642</v>
      </c>
      <c r="FO21" s="469">
        <f t="shared" si="45"/>
        <v>626</v>
      </c>
      <c r="FQ21" s="393"/>
    </row>
    <row r="22" spans="1:173" s="248" customFormat="1" x14ac:dyDescent="0.2">
      <c r="A22" s="354" t="s">
        <v>0</v>
      </c>
      <c r="B22" s="355" t="s">
        <v>504</v>
      </c>
      <c r="C22" s="479"/>
      <c r="D22" s="477">
        <v>101587</v>
      </c>
      <c r="E22" s="482">
        <v>5</v>
      </c>
      <c r="F22" s="427"/>
      <c r="G22" s="426"/>
      <c r="H22" s="427"/>
      <c r="I22" s="426"/>
      <c r="J22" s="427">
        <v>63</v>
      </c>
      <c r="K22" s="426">
        <v>53</v>
      </c>
      <c r="L22" s="458">
        <f t="shared" si="24"/>
        <v>0.33689839572192515</v>
      </c>
      <c r="M22" s="449">
        <f t="shared" si="25"/>
        <v>0.27319587628865977</v>
      </c>
      <c r="N22" s="428">
        <v>187</v>
      </c>
      <c r="O22" s="428">
        <v>68</v>
      </c>
      <c r="P22" s="428"/>
      <c r="Q22" s="428">
        <v>1</v>
      </c>
      <c r="R22" s="460">
        <f t="shared" si="2"/>
        <v>69</v>
      </c>
      <c r="S22" s="391">
        <v>194</v>
      </c>
      <c r="T22" s="429">
        <v>66</v>
      </c>
      <c r="U22" s="429"/>
      <c r="V22" s="429">
        <v>20</v>
      </c>
      <c r="W22" s="462">
        <f t="shared" si="3"/>
        <v>86</v>
      </c>
      <c r="X22" s="430"/>
      <c r="Y22" s="427"/>
      <c r="Z22" s="431"/>
      <c r="AA22" s="431"/>
      <c r="AB22" s="432"/>
      <c r="AC22" s="427"/>
      <c r="AD22" s="431"/>
      <c r="AE22" s="433"/>
      <c r="AF22" s="432"/>
      <c r="AG22" s="427"/>
      <c r="AH22" s="431"/>
      <c r="AI22" s="433"/>
      <c r="AJ22" s="432"/>
      <c r="AK22" s="427"/>
      <c r="AL22" s="431"/>
      <c r="AM22" s="433"/>
      <c r="AN22" s="432"/>
      <c r="AO22" s="427"/>
      <c r="AP22" s="431"/>
      <c r="AQ22" s="431"/>
      <c r="AR22" s="460">
        <f t="shared" si="26"/>
        <v>0</v>
      </c>
      <c r="AS22" s="467">
        <f t="shared" si="27"/>
        <v>0.14552529182879378</v>
      </c>
      <c r="AT22" s="447">
        <f t="shared" si="28"/>
        <v>0</v>
      </c>
      <c r="AU22" s="448">
        <f t="shared" si="29"/>
        <v>0.17062445030782761</v>
      </c>
      <c r="AV22" s="427"/>
      <c r="AW22" s="426"/>
      <c r="AX22" s="430">
        <v>13</v>
      </c>
      <c r="AY22" s="427">
        <v>1035</v>
      </c>
      <c r="AZ22" s="431">
        <v>13</v>
      </c>
      <c r="BA22" s="431">
        <v>890</v>
      </c>
      <c r="BB22" s="432"/>
      <c r="BC22" s="427"/>
      <c r="BD22" s="431"/>
      <c r="BE22" s="433"/>
      <c r="BF22" s="432"/>
      <c r="BG22" s="427"/>
      <c r="BH22" s="431"/>
      <c r="BI22" s="433"/>
      <c r="BJ22" s="432"/>
      <c r="BK22" s="427"/>
      <c r="BL22" s="431"/>
      <c r="BM22" s="433"/>
      <c r="BN22" s="432"/>
      <c r="BO22" s="427"/>
      <c r="BP22" s="431"/>
      <c r="BQ22" s="433"/>
      <c r="BR22" s="432"/>
      <c r="BS22" s="427"/>
      <c r="BT22" s="446"/>
      <c r="BU22" s="392"/>
      <c r="BV22" s="432"/>
      <c r="BW22" s="427"/>
      <c r="BX22" s="431"/>
      <c r="BY22" s="433"/>
      <c r="BZ22" s="432"/>
      <c r="CA22" s="427"/>
      <c r="CB22" s="431"/>
      <c r="CC22" s="433"/>
      <c r="CD22" s="432"/>
      <c r="CE22" s="427"/>
      <c r="CF22" s="431"/>
      <c r="CG22" s="433"/>
      <c r="CH22" s="432"/>
      <c r="CI22" s="427"/>
      <c r="CJ22" s="431"/>
      <c r="CK22" s="433"/>
      <c r="CL22" s="428"/>
      <c r="CM22" s="426"/>
      <c r="CN22" s="468">
        <f t="shared" si="30"/>
        <v>1035</v>
      </c>
      <c r="CO22" s="468">
        <f t="shared" si="31"/>
        <v>1</v>
      </c>
      <c r="CP22" s="469">
        <f t="shared" si="32"/>
        <v>890</v>
      </c>
      <c r="CQ22" s="469">
        <f t="shared" si="33"/>
        <v>1</v>
      </c>
      <c r="CR22" s="430"/>
      <c r="CS22" s="427"/>
      <c r="CT22" s="431"/>
      <c r="CU22" s="431"/>
      <c r="CV22" s="432"/>
      <c r="CW22" s="427"/>
      <c r="CX22" s="431"/>
      <c r="CY22" s="433"/>
      <c r="CZ22" s="432"/>
      <c r="DA22" s="427"/>
      <c r="DB22" s="431"/>
      <c r="DC22" s="433"/>
      <c r="DD22" s="432"/>
      <c r="DE22" s="427"/>
      <c r="DF22" s="431"/>
      <c r="DG22" s="433"/>
      <c r="DH22" s="432"/>
      <c r="DI22" s="427"/>
      <c r="DJ22" s="431"/>
      <c r="DK22" s="433"/>
      <c r="DL22" s="432"/>
      <c r="DM22" s="427"/>
      <c r="DN22" s="431"/>
      <c r="DO22" s="433"/>
      <c r="DP22" s="432"/>
      <c r="DQ22" s="427"/>
      <c r="DR22" s="431"/>
      <c r="DS22" s="433"/>
      <c r="DT22" s="432"/>
      <c r="DU22" s="427"/>
      <c r="DV22" s="431"/>
      <c r="DW22" s="433"/>
      <c r="DX22" s="432"/>
      <c r="DY22" s="427"/>
      <c r="DZ22" s="431"/>
      <c r="EA22" s="433"/>
      <c r="EB22" s="432"/>
      <c r="EC22" s="427"/>
      <c r="ED22" s="431"/>
      <c r="EE22" s="433"/>
      <c r="EF22" s="428"/>
      <c r="EG22" s="426"/>
      <c r="EH22" s="460">
        <f t="shared" si="34"/>
        <v>0</v>
      </c>
      <c r="EI22" s="460">
        <f t="shared" si="35"/>
        <v>0</v>
      </c>
      <c r="EJ22" s="458">
        <f t="shared" si="36"/>
        <v>0</v>
      </c>
      <c r="EK22" s="470">
        <f t="shared" si="37"/>
        <v>0</v>
      </c>
      <c r="EL22" s="470">
        <f t="shared" si="38"/>
        <v>0</v>
      </c>
      <c r="EM22" s="449">
        <f t="shared" si="39"/>
        <v>0</v>
      </c>
      <c r="EN22" s="460">
        <f t="shared" si="40"/>
        <v>1035</v>
      </c>
      <c r="EO22" s="469">
        <f t="shared" si="41"/>
        <v>890</v>
      </c>
      <c r="EP22" s="434"/>
      <c r="EQ22" s="426"/>
      <c r="ER22" s="434"/>
      <c r="ES22" s="426"/>
      <c r="ET22" s="434"/>
      <c r="EU22" s="426"/>
      <c r="EV22" s="434"/>
      <c r="EW22" s="426"/>
      <c r="EX22" s="434"/>
      <c r="EY22" s="426"/>
      <c r="EZ22" s="434"/>
      <c r="FA22" s="426"/>
      <c r="FB22" s="434"/>
      <c r="FC22" s="426"/>
      <c r="FD22" s="434"/>
      <c r="FE22" s="426"/>
      <c r="FF22" s="434"/>
      <c r="FG22" s="426"/>
      <c r="FH22" s="435"/>
      <c r="FI22" s="426"/>
      <c r="FJ22" s="468">
        <f t="shared" si="42"/>
        <v>0</v>
      </c>
      <c r="FK22" s="469">
        <f t="shared" si="43"/>
        <v>0</v>
      </c>
      <c r="FL22" s="435"/>
      <c r="FM22" s="426"/>
      <c r="FN22" s="460">
        <f t="shared" si="44"/>
        <v>1285</v>
      </c>
      <c r="FO22" s="469">
        <f t="shared" si="45"/>
        <v>1137</v>
      </c>
      <c r="FQ22" s="393"/>
    </row>
    <row r="23" spans="1:173" s="248" customFormat="1" x14ac:dyDescent="0.2">
      <c r="A23" s="354" t="s">
        <v>0</v>
      </c>
      <c r="B23" s="358" t="s">
        <v>493</v>
      </c>
      <c r="C23" s="481"/>
      <c r="D23" s="478">
        <v>100812</v>
      </c>
      <c r="E23" s="482">
        <v>6</v>
      </c>
      <c r="F23" s="427"/>
      <c r="G23" s="426"/>
      <c r="H23" s="427"/>
      <c r="I23" s="426"/>
      <c r="J23" s="427"/>
      <c r="K23" s="426"/>
      <c r="L23" s="458">
        <f t="shared" si="24"/>
        <v>0</v>
      </c>
      <c r="M23" s="449">
        <f t="shared" si="25"/>
        <v>0</v>
      </c>
      <c r="N23" s="428">
        <v>961</v>
      </c>
      <c r="O23" s="428">
        <v>285</v>
      </c>
      <c r="P23" s="428"/>
      <c r="Q23" s="428"/>
      <c r="R23" s="460">
        <f t="shared" si="2"/>
        <v>285</v>
      </c>
      <c r="S23" s="391">
        <v>940</v>
      </c>
      <c r="T23" s="429">
        <v>278</v>
      </c>
      <c r="U23" s="429"/>
      <c r="V23" s="429"/>
      <c r="W23" s="462">
        <f t="shared" si="3"/>
        <v>278</v>
      </c>
      <c r="X23" s="430"/>
      <c r="Y23" s="427"/>
      <c r="Z23" s="431"/>
      <c r="AA23" s="431"/>
      <c r="AB23" s="432"/>
      <c r="AC23" s="427"/>
      <c r="AD23" s="431"/>
      <c r="AE23" s="433"/>
      <c r="AF23" s="432"/>
      <c r="AG23" s="427"/>
      <c r="AH23" s="431"/>
      <c r="AI23" s="433"/>
      <c r="AJ23" s="432"/>
      <c r="AK23" s="427"/>
      <c r="AL23" s="431"/>
      <c r="AM23" s="433"/>
      <c r="AN23" s="432"/>
      <c r="AO23" s="427"/>
      <c r="AP23" s="431"/>
      <c r="AQ23" s="431"/>
      <c r="AR23" s="460">
        <f t="shared" si="26"/>
        <v>0</v>
      </c>
      <c r="AS23" s="467">
        <f t="shared" si="27"/>
        <v>1</v>
      </c>
      <c r="AT23" s="447">
        <f t="shared" si="28"/>
        <v>0</v>
      </c>
      <c r="AU23" s="448">
        <f t="shared" si="29"/>
        <v>1</v>
      </c>
      <c r="AV23" s="427"/>
      <c r="AW23" s="426"/>
      <c r="AX23" s="430"/>
      <c r="AY23" s="427"/>
      <c r="AZ23" s="431"/>
      <c r="BA23" s="431"/>
      <c r="BB23" s="432"/>
      <c r="BC23" s="427"/>
      <c r="BD23" s="431"/>
      <c r="BE23" s="433"/>
      <c r="BF23" s="432"/>
      <c r="BG23" s="427"/>
      <c r="BH23" s="431"/>
      <c r="BI23" s="433"/>
      <c r="BJ23" s="432"/>
      <c r="BK23" s="427"/>
      <c r="BL23" s="431"/>
      <c r="BM23" s="433"/>
      <c r="BN23" s="432"/>
      <c r="BO23" s="427"/>
      <c r="BP23" s="431"/>
      <c r="BQ23" s="433"/>
      <c r="BR23" s="432"/>
      <c r="BS23" s="427"/>
      <c r="BT23" s="446"/>
      <c r="BU23" s="392"/>
      <c r="BV23" s="432"/>
      <c r="BW23" s="427"/>
      <c r="BX23" s="431"/>
      <c r="BY23" s="433"/>
      <c r="BZ23" s="432"/>
      <c r="CA23" s="427"/>
      <c r="CB23" s="431"/>
      <c r="CC23" s="433"/>
      <c r="CD23" s="432"/>
      <c r="CE23" s="427"/>
      <c r="CF23" s="431"/>
      <c r="CG23" s="433"/>
      <c r="CH23" s="432"/>
      <c r="CI23" s="427"/>
      <c r="CJ23" s="431"/>
      <c r="CK23" s="433"/>
      <c r="CL23" s="428"/>
      <c r="CM23" s="426"/>
      <c r="CN23" s="468">
        <f t="shared" si="30"/>
        <v>0</v>
      </c>
      <c r="CO23" s="468">
        <f t="shared" si="31"/>
        <v>0</v>
      </c>
      <c r="CP23" s="469">
        <f t="shared" si="32"/>
        <v>0</v>
      </c>
      <c r="CQ23" s="469">
        <f t="shared" si="33"/>
        <v>0</v>
      </c>
      <c r="CR23" s="430"/>
      <c r="CS23" s="427"/>
      <c r="CT23" s="431"/>
      <c r="CU23" s="431"/>
      <c r="CV23" s="432"/>
      <c r="CW23" s="427"/>
      <c r="CX23" s="431"/>
      <c r="CY23" s="433"/>
      <c r="CZ23" s="432"/>
      <c r="DA23" s="427"/>
      <c r="DB23" s="431"/>
      <c r="DC23" s="433"/>
      <c r="DD23" s="432"/>
      <c r="DE23" s="427"/>
      <c r="DF23" s="431"/>
      <c r="DG23" s="433"/>
      <c r="DH23" s="432"/>
      <c r="DI23" s="427"/>
      <c r="DJ23" s="431"/>
      <c r="DK23" s="433"/>
      <c r="DL23" s="432"/>
      <c r="DM23" s="427"/>
      <c r="DN23" s="431"/>
      <c r="DO23" s="433"/>
      <c r="DP23" s="432"/>
      <c r="DQ23" s="427"/>
      <c r="DR23" s="431"/>
      <c r="DS23" s="433"/>
      <c r="DT23" s="432"/>
      <c r="DU23" s="427"/>
      <c r="DV23" s="431"/>
      <c r="DW23" s="433"/>
      <c r="DX23" s="432"/>
      <c r="DY23" s="427"/>
      <c r="DZ23" s="431"/>
      <c r="EA23" s="433"/>
      <c r="EB23" s="432"/>
      <c r="EC23" s="427"/>
      <c r="ED23" s="431"/>
      <c r="EE23" s="433"/>
      <c r="EF23" s="428"/>
      <c r="EG23" s="426"/>
      <c r="EH23" s="460">
        <f t="shared" si="34"/>
        <v>0</v>
      </c>
      <c r="EI23" s="460">
        <f t="shared" si="35"/>
        <v>0</v>
      </c>
      <c r="EJ23" s="458">
        <f t="shared" si="36"/>
        <v>0</v>
      </c>
      <c r="EK23" s="470">
        <f t="shared" si="37"/>
        <v>0</v>
      </c>
      <c r="EL23" s="470">
        <f t="shared" si="38"/>
        <v>0</v>
      </c>
      <c r="EM23" s="449">
        <f t="shared" si="39"/>
        <v>0</v>
      </c>
      <c r="EN23" s="460">
        <f t="shared" si="40"/>
        <v>0</v>
      </c>
      <c r="EO23" s="469">
        <f t="shared" si="41"/>
        <v>0</v>
      </c>
      <c r="EP23" s="434"/>
      <c r="EQ23" s="426"/>
      <c r="ER23" s="434"/>
      <c r="ES23" s="426"/>
      <c r="ET23" s="434"/>
      <c r="EU23" s="426"/>
      <c r="EV23" s="434"/>
      <c r="EW23" s="426"/>
      <c r="EX23" s="434"/>
      <c r="EY23" s="426"/>
      <c r="EZ23" s="434"/>
      <c r="FA23" s="426"/>
      <c r="FB23" s="434"/>
      <c r="FC23" s="426"/>
      <c r="FD23" s="434"/>
      <c r="FE23" s="426"/>
      <c r="FF23" s="434"/>
      <c r="FG23" s="426"/>
      <c r="FH23" s="435"/>
      <c r="FI23" s="426"/>
      <c r="FJ23" s="468">
        <f t="shared" si="42"/>
        <v>0</v>
      </c>
      <c r="FK23" s="469">
        <f t="shared" si="43"/>
        <v>0</v>
      </c>
      <c r="FL23" s="435"/>
      <c r="FM23" s="426"/>
      <c r="FN23" s="460">
        <f t="shared" si="44"/>
        <v>961</v>
      </c>
      <c r="FO23" s="469">
        <f t="shared" si="45"/>
        <v>940</v>
      </c>
      <c r="FQ23" s="393"/>
    </row>
    <row r="24" spans="1:173" s="248" customFormat="1" x14ac:dyDescent="0.2">
      <c r="A24" s="354" t="s">
        <v>0</v>
      </c>
      <c r="B24" s="355" t="s">
        <v>510</v>
      </c>
      <c r="C24" s="494"/>
      <c r="D24" s="488">
        <v>101240</v>
      </c>
      <c r="E24" s="500">
        <v>8</v>
      </c>
      <c r="F24" s="427">
        <v>340</v>
      </c>
      <c r="G24" s="426">
        <v>338</v>
      </c>
      <c r="H24" s="427"/>
      <c r="I24" s="426"/>
      <c r="J24" s="427">
        <v>609</v>
      </c>
      <c r="K24" s="426">
        <v>634</v>
      </c>
      <c r="L24" s="458">
        <f t="shared" si="24"/>
        <v>0</v>
      </c>
      <c r="M24" s="449">
        <f t="shared" si="25"/>
        <v>0</v>
      </c>
      <c r="N24" s="428"/>
      <c r="O24" s="428"/>
      <c r="P24" s="428"/>
      <c r="Q24" s="428"/>
      <c r="R24" s="460">
        <f t="shared" si="2"/>
        <v>0</v>
      </c>
      <c r="S24" s="391"/>
      <c r="T24" s="429"/>
      <c r="U24" s="429"/>
      <c r="V24" s="429"/>
      <c r="W24" s="462">
        <f t="shared" si="3"/>
        <v>0</v>
      </c>
      <c r="X24" s="430"/>
      <c r="Y24" s="427"/>
      <c r="Z24" s="431"/>
      <c r="AA24" s="431"/>
      <c r="AB24" s="432"/>
      <c r="AC24" s="427"/>
      <c r="AD24" s="431"/>
      <c r="AE24" s="433"/>
      <c r="AF24" s="432"/>
      <c r="AG24" s="427"/>
      <c r="AH24" s="431"/>
      <c r="AI24" s="433"/>
      <c r="AJ24" s="432"/>
      <c r="AK24" s="427"/>
      <c r="AL24" s="431"/>
      <c r="AM24" s="433"/>
      <c r="AN24" s="432"/>
      <c r="AO24" s="427"/>
      <c r="AP24" s="431"/>
      <c r="AQ24" s="431"/>
      <c r="AR24" s="460">
        <f t="shared" si="26"/>
        <v>0</v>
      </c>
      <c r="AS24" s="467">
        <f t="shared" si="27"/>
        <v>0</v>
      </c>
      <c r="AT24" s="447">
        <f t="shared" si="28"/>
        <v>0</v>
      </c>
      <c r="AU24" s="448">
        <f t="shared" si="29"/>
        <v>0</v>
      </c>
      <c r="AV24" s="427"/>
      <c r="AW24" s="426"/>
      <c r="AX24" s="430"/>
      <c r="AY24" s="427"/>
      <c r="AZ24" s="431"/>
      <c r="BA24" s="431"/>
      <c r="BB24" s="432"/>
      <c r="BC24" s="427"/>
      <c r="BD24" s="431"/>
      <c r="BE24" s="433"/>
      <c r="BF24" s="432"/>
      <c r="BG24" s="427"/>
      <c r="BH24" s="431"/>
      <c r="BI24" s="433"/>
      <c r="BJ24" s="432"/>
      <c r="BK24" s="427"/>
      <c r="BL24" s="431"/>
      <c r="BM24" s="433"/>
      <c r="BN24" s="432"/>
      <c r="BO24" s="427"/>
      <c r="BP24" s="431"/>
      <c r="BQ24" s="433"/>
      <c r="BR24" s="432"/>
      <c r="BS24" s="427"/>
      <c r="BT24" s="446"/>
      <c r="BU24" s="392"/>
      <c r="BV24" s="432"/>
      <c r="BW24" s="427"/>
      <c r="BX24" s="431"/>
      <c r="BY24" s="433"/>
      <c r="BZ24" s="432"/>
      <c r="CA24" s="427"/>
      <c r="CB24" s="431"/>
      <c r="CC24" s="433"/>
      <c r="CD24" s="432"/>
      <c r="CE24" s="427"/>
      <c r="CF24" s="431"/>
      <c r="CG24" s="433"/>
      <c r="CH24" s="432"/>
      <c r="CI24" s="427"/>
      <c r="CJ24" s="431"/>
      <c r="CK24" s="433"/>
      <c r="CL24" s="428"/>
      <c r="CM24" s="426"/>
      <c r="CN24" s="468">
        <f t="shared" si="30"/>
        <v>0</v>
      </c>
      <c r="CO24" s="468">
        <f t="shared" si="31"/>
        <v>0</v>
      </c>
      <c r="CP24" s="469">
        <f t="shared" si="32"/>
        <v>0</v>
      </c>
      <c r="CQ24" s="469">
        <f t="shared" si="33"/>
        <v>0</v>
      </c>
      <c r="CR24" s="430"/>
      <c r="CS24" s="427"/>
      <c r="CT24" s="431"/>
      <c r="CU24" s="431"/>
      <c r="CV24" s="432"/>
      <c r="CW24" s="427"/>
      <c r="CX24" s="431"/>
      <c r="CY24" s="433"/>
      <c r="CZ24" s="432"/>
      <c r="DA24" s="427"/>
      <c r="DB24" s="431"/>
      <c r="DC24" s="433"/>
      <c r="DD24" s="432"/>
      <c r="DE24" s="427"/>
      <c r="DF24" s="431"/>
      <c r="DG24" s="433"/>
      <c r="DH24" s="432"/>
      <c r="DI24" s="427"/>
      <c r="DJ24" s="431"/>
      <c r="DK24" s="433"/>
      <c r="DL24" s="432"/>
      <c r="DM24" s="427"/>
      <c r="DN24" s="431"/>
      <c r="DO24" s="433"/>
      <c r="DP24" s="432"/>
      <c r="DQ24" s="427"/>
      <c r="DR24" s="431"/>
      <c r="DS24" s="433"/>
      <c r="DT24" s="432"/>
      <c r="DU24" s="427"/>
      <c r="DV24" s="431"/>
      <c r="DW24" s="433"/>
      <c r="DX24" s="432"/>
      <c r="DY24" s="427"/>
      <c r="DZ24" s="431"/>
      <c r="EA24" s="433"/>
      <c r="EB24" s="432"/>
      <c r="EC24" s="427"/>
      <c r="ED24" s="431"/>
      <c r="EE24" s="433"/>
      <c r="EF24" s="428"/>
      <c r="EG24" s="426"/>
      <c r="EH24" s="460">
        <f t="shared" si="34"/>
        <v>0</v>
      </c>
      <c r="EI24" s="460">
        <f t="shared" si="35"/>
        <v>0</v>
      </c>
      <c r="EJ24" s="458">
        <f t="shared" si="36"/>
        <v>0</v>
      </c>
      <c r="EK24" s="470">
        <f t="shared" si="37"/>
        <v>0</v>
      </c>
      <c r="EL24" s="470">
        <f t="shared" si="38"/>
        <v>0</v>
      </c>
      <c r="EM24" s="449">
        <f t="shared" si="39"/>
        <v>0</v>
      </c>
      <c r="EN24" s="460">
        <f t="shared" si="40"/>
        <v>0</v>
      </c>
      <c r="EO24" s="469">
        <f t="shared" si="41"/>
        <v>0</v>
      </c>
      <c r="EP24" s="434"/>
      <c r="EQ24" s="426"/>
      <c r="ER24" s="434"/>
      <c r="ES24" s="426"/>
      <c r="ET24" s="434"/>
      <c r="EU24" s="426"/>
      <c r="EV24" s="434"/>
      <c r="EW24" s="426"/>
      <c r="EX24" s="434"/>
      <c r="EY24" s="426"/>
      <c r="EZ24" s="434"/>
      <c r="FA24" s="426"/>
      <c r="FB24" s="434"/>
      <c r="FC24" s="426"/>
      <c r="FD24" s="434"/>
      <c r="FE24" s="426"/>
      <c r="FF24" s="434"/>
      <c r="FG24" s="426"/>
      <c r="FH24" s="435"/>
      <c r="FI24" s="426"/>
      <c r="FJ24" s="468">
        <f t="shared" si="42"/>
        <v>0</v>
      </c>
      <c r="FK24" s="469">
        <f t="shared" si="43"/>
        <v>0</v>
      </c>
      <c r="FL24" s="435"/>
      <c r="FM24" s="426"/>
      <c r="FN24" s="460">
        <f t="shared" si="44"/>
        <v>949</v>
      </c>
      <c r="FO24" s="469">
        <f t="shared" si="45"/>
        <v>972</v>
      </c>
      <c r="FQ24" s="393"/>
    </row>
    <row r="25" spans="1:173" s="248" customFormat="1" x14ac:dyDescent="0.2">
      <c r="A25" s="354" t="s">
        <v>0</v>
      </c>
      <c r="B25" s="359" t="s">
        <v>506</v>
      </c>
      <c r="C25" s="492"/>
      <c r="D25" s="488">
        <v>101505</v>
      </c>
      <c r="E25" s="499">
        <v>8</v>
      </c>
      <c r="F25" s="427">
        <v>328</v>
      </c>
      <c r="G25" s="426">
        <v>411</v>
      </c>
      <c r="H25" s="427"/>
      <c r="I25" s="426"/>
      <c r="J25" s="427">
        <v>764</v>
      </c>
      <c r="K25" s="426">
        <v>898</v>
      </c>
      <c r="L25" s="458">
        <f t="shared" si="24"/>
        <v>0</v>
      </c>
      <c r="M25" s="449">
        <f t="shared" si="25"/>
        <v>0</v>
      </c>
      <c r="N25" s="428"/>
      <c r="O25" s="428"/>
      <c r="P25" s="428"/>
      <c r="Q25" s="428"/>
      <c r="R25" s="460">
        <f t="shared" si="2"/>
        <v>0</v>
      </c>
      <c r="S25" s="391"/>
      <c r="T25" s="429"/>
      <c r="U25" s="429"/>
      <c r="V25" s="429"/>
      <c r="W25" s="462">
        <f t="shared" si="3"/>
        <v>0</v>
      </c>
      <c r="X25" s="430"/>
      <c r="Y25" s="427"/>
      <c r="Z25" s="431"/>
      <c r="AA25" s="431"/>
      <c r="AB25" s="432"/>
      <c r="AC25" s="427"/>
      <c r="AD25" s="431"/>
      <c r="AE25" s="433"/>
      <c r="AF25" s="432"/>
      <c r="AG25" s="427"/>
      <c r="AH25" s="431"/>
      <c r="AI25" s="433"/>
      <c r="AJ25" s="432"/>
      <c r="AK25" s="427"/>
      <c r="AL25" s="431"/>
      <c r="AM25" s="433"/>
      <c r="AN25" s="432"/>
      <c r="AO25" s="427"/>
      <c r="AP25" s="431"/>
      <c r="AQ25" s="431"/>
      <c r="AR25" s="460">
        <f t="shared" si="26"/>
        <v>0</v>
      </c>
      <c r="AS25" s="467">
        <f t="shared" si="27"/>
        <v>0</v>
      </c>
      <c r="AT25" s="447">
        <f t="shared" si="28"/>
        <v>0</v>
      </c>
      <c r="AU25" s="448">
        <f t="shared" si="29"/>
        <v>0</v>
      </c>
      <c r="AV25" s="427"/>
      <c r="AW25" s="426"/>
      <c r="AX25" s="430"/>
      <c r="AY25" s="427"/>
      <c r="AZ25" s="431"/>
      <c r="BA25" s="431"/>
      <c r="BB25" s="432"/>
      <c r="BC25" s="427"/>
      <c r="BD25" s="431"/>
      <c r="BE25" s="433"/>
      <c r="BF25" s="432"/>
      <c r="BG25" s="427"/>
      <c r="BH25" s="431"/>
      <c r="BI25" s="433"/>
      <c r="BJ25" s="432"/>
      <c r="BK25" s="427"/>
      <c r="BL25" s="431"/>
      <c r="BM25" s="433"/>
      <c r="BN25" s="432"/>
      <c r="BO25" s="427"/>
      <c r="BP25" s="431"/>
      <c r="BQ25" s="433"/>
      <c r="BR25" s="432"/>
      <c r="BS25" s="427"/>
      <c r="BT25" s="446"/>
      <c r="BU25" s="392"/>
      <c r="BV25" s="432"/>
      <c r="BW25" s="427"/>
      <c r="BX25" s="431"/>
      <c r="BY25" s="433"/>
      <c r="BZ25" s="432"/>
      <c r="CA25" s="427"/>
      <c r="CB25" s="431"/>
      <c r="CC25" s="433"/>
      <c r="CD25" s="432"/>
      <c r="CE25" s="427"/>
      <c r="CF25" s="431"/>
      <c r="CG25" s="433"/>
      <c r="CH25" s="432"/>
      <c r="CI25" s="427"/>
      <c r="CJ25" s="431"/>
      <c r="CK25" s="433"/>
      <c r="CL25" s="428"/>
      <c r="CM25" s="426"/>
      <c r="CN25" s="468">
        <f t="shared" si="30"/>
        <v>0</v>
      </c>
      <c r="CO25" s="468">
        <f t="shared" si="31"/>
        <v>0</v>
      </c>
      <c r="CP25" s="469">
        <f t="shared" si="32"/>
        <v>0</v>
      </c>
      <c r="CQ25" s="469">
        <f t="shared" si="33"/>
        <v>0</v>
      </c>
      <c r="CR25" s="430"/>
      <c r="CS25" s="427"/>
      <c r="CT25" s="431"/>
      <c r="CU25" s="431"/>
      <c r="CV25" s="432"/>
      <c r="CW25" s="427"/>
      <c r="CX25" s="431"/>
      <c r="CY25" s="433"/>
      <c r="CZ25" s="432"/>
      <c r="DA25" s="427"/>
      <c r="DB25" s="431"/>
      <c r="DC25" s="433"/>
      <c r="DD25" s="432"/>
      <c r="DE25" s="427"/>
      <c r="DF25" s="431"/>
      <c r="DG25" s="433"/>
      <c r="DH25" s="432"/>
      <c r="DI25" s="427"/>
      <c r="DJ25" s="431"/>
      <c r="DK25" s="433"/>
      <c r="DL25" s="432"/>
      <c r="DM25" s="427"/>
      <c r="DN25" s="431"/>
      <c r="DO25" s="433"/>
      <c r="DP25" s="432"/>
      <c r="DQ25" s="427"/>
      <c r="DR25" s="431"/>
      <c r="DS25" s="433"/>
      <c r="DT25" s="432"/>
      <c r="DU25" s="427"/>
      <c r="DV25" s="431"/>
      <c r="DW25" s="433"/>
      <c r="DX25" s="432"/>
      <c r="DY25" s="427"/>
      <c r="DZ25" s="431"/>
      <c r="EA25" s="433"/>
      <c r="EB25" s="432"/>
      <c r="EC25" s="427"/>
      <c r="ED25" s="431"/>
      <c r="EE25" s="433"/>
      <c r="EF25" s="428"/>
      <c r="EG25" s="426"/>
      <c r="EH25" s="460">
        <f t="shared" si="34"/>
        <v>0</v>
      </c>
      <c r="EI25" s="460">
        <f t="shared" si="35"/>
        <v>0</v>
      </c>
      <c r="EJ25" s="458">
        <f t="shared" si="36"/>
        <v>0</v>
      </c>
      <c r="EK25" s="470">
        <f t="shared" si="37"/>
        <v>0</v>
      </c>
      <c r="EL25" s="470">
        <f t="shared" si="38"/>
        <v>0</v>
      </c>
      <c r="EM25" s="449">
        <f t="shared" si="39"/>
        <v>0</v>
      </c>
      <c r="EN25" s="460">
        <f t="shared" si="40"/>
        <v>0</v>
      </c>
      <c r="EO25" s="469">
        <f t="shared" si="41"/>
        <v>0</v>
      </c>
      <c r="EP25" s="434"/>
      <c r="EQ25" s="426"/>
      <c r="ER25" s="434"/>
      <c r="ES25" s="426"/>
      <c r="ET25" s="434"/>
      <c r="EU25" s="426"/>
      <c r="EV25" s="434"/>
      <c r="EW25" s="426"/>
      <c r="EX25" s="434"/>
      <c r="EY25" s="426"/>
      <c r="EZ25" s="434"/>
      <c r="FA25" s="426"/>
      <c r="FB25" s="434"/>
      <c r="FC25" s="426"/>
      <c r="FD25" s="434"/>
      <c r="FE25" s="426"/>
      <c r="FF25" s="434"/>
      <c r="FG25" s="426"/>
      <c r="FH25" s="435"/>
      <c r="FI25" s="426"/>
      <c r="FJ25" s="468">
        <f t="shared" si="42"/>
        <v>0</v>
      </c>
      <c r="FK25" s="469">
        <f t="shared" si="43"/>
        <v>0</v>
      </c>
      <c r="FL25" s="435"/>
      <c r="FM25" s="426"/>
      <c r="FN25" s="460">
        <f t="shared" si="44"/>
        <v>1092</v>
      </c>
      <c r="FO25" s="469">
        <f t="shared" si="45"/>
        <v>1309</v>
      </c>
      <c r="FQ25" s="393"/>
    </row>
    <row r="26" spans="1:173" s="248" customFormat="1" x14ac:dyDescent="0.2">
      <c r="A26" s="354" t="s">
        <v>0</v>
      </c>
      <c r="B26" s="359" t="s">
        <v>505</v>
      </c>
      <c r="C26" s="492"/>
      <c r="D26" s="488">
        <v>101514</v>
      </c>
      <c r="E26" s="499">
        <v>8</v>
      </c>
      <c r="F26" s="427">
        <v>356</v>
      </c>
      <c r="G26" s="426">
        <v>378</v>
      </c>
      <c r="H26" s="427"/>
      <c r="I26" s="426"/>
      <c r="J26" s="427">
        <v>843</v>
      </c>
      <c r="K26" s="426">
        <v>1045</v>
      </c>
      <c r="L26" s="458">
        <f t="shared" si="24"/>
        <v>0</v>
      </c>
      <c r="M26" s="449">
        <f t="shared" si="25"/>
        <v>0</v>
      </c>
      <c r="N26" s="428"/>
      <c r="O26" s="428"/>
      <c r="P26" s="428"/>
      <c r="Q26" s="428"/>
      <c r="R26" s="460">
        <f t="shared" si="2"/>
        <v>0</v>
      </c>
      <c r="S26" s="391"/>
      <c r="T26" s="429"/>
      <c r="U26" s="429"/>
      <c r="V26" s="429"/>
      <c r="W26" s="462">
        <f t="shared" si="3"/>
        <v>0</v>
      </c>
      <c r="X26" s="430"/>
      <c r="Y26" s="427"/>
      <c r="Z26" s="431"/>
      <c r="AA26" s="431"/>
      <c r="AB26" s="432"/>
      <c r="AC26" s="427"/>
      <c r="AD26" s="431"/>
      <c r="AE26" s="433"/>
      <c r="AF26" s="432"/>
      <c r="AG26" s="427"/>
      <c r="AH26" s="431"/>
      <c r="AI26" s="433"/>
      <c r="AJ26" s="432"/>
      <c r="AK26" s="427"/>
      <c r="AL26" s="431"/>
      <c r="AM26" s="433"/>
      <c r="AN26" s="432"/>
      <c r="AO26" s="427"/>
      <c r="AP26" s="431"/>
      <c r="AQ26" s="431"/>
      <c r="AR26" s="460">
        <f t="shared" si="26"/>
        <v>0</v>
      </c>
      <c r="AS26" s="467">
        <f t="shared" si="27"/>
        <v>0</v>
      </c>
      <c r="AT26" s="447">
        <f t="shared" si="28"/>
        <v>0</v>
      </c>
      <c r="AU26" s="448">
        <f t="shared" si="29"/>
        <v>0</v>
      </c>
      <c r="AV26" s="427"/>
      <c r="AW26" s="426"/>
      <c r="AX26" s="430"/>
      <c r="AY26" s="427"/>
      <c r="AZ26" s="431"/>
      <c r="BA26" s="431"/>
      <c r="BB26" s="432"/>
      <c r="BC26" s="427"/>
      <c r="BD26" s="431"/>
      <c r="BE26" s="433"/>
      <c r="BF26" s="432"/>
      <c r="BG26" s="427"/>
      <c r="BH26" s="431"/>
      <c r="BI26" s="433"/>
      <c r="BJ26" s="432"/>
      <c r="BK26" s="427"/>
      <c r="BL26" s="431"/>
      <c r="BM26" s="433"/>
      <c r="BN26" s="432"/>
      <c r="BO26" s="427"/>
      <c r="BP26" s="431"/>
      <c r="BQ26" s="433"/>
      <c r="BR26" s="432"/>
      <c r="BS26" s="427"/>
      <c r="BT26" s="446"/>
      <c r="BU26" s="392"/>
      <c r="BV26" s="432"/>
      <c r="BW26" s="427"/>
      <c r="BX26" s="431"/>
      <c r="BY26" s="433"/>
      <c r="BZ26" s="432"/>
      <c r="CA26" s="427"/>
      <c r="CB26" s="431"/>
      <c r="CC26" s="433"/>
      <c r="CD26" s="432"/>
      <c r="CE26" s="427"/>
      <c r="CF26" s="431"/>
      <c r="CG26" s="433"/>
      <c r="CH26" s="432"/>
      <c r="CI26" s="427"/>
      <c r="CJ26" s="431"/>
      <c r="CK26" s="433"/>
      <c r="CL26" s="428"/>
      <c r="CM26" s="426"/>
      <c r="CN26" s="468">
        <f t="shared" si="30"/>
        <v>0</v>
      </c>
      <c r="CO26" s="468">
        <f t="shared" si="31"/>
        <v>0</v>
      </c>
      <c r="CP26" s="469">
        <f t="shared" si="32"/>
        <v>0</v>
      </c>
      <c r="CQ26" s="469">
        <f t="shared" si="33"/>
        <v>0</v>
      </c>
      <c r="CR26" s="430"/>
      <c r="CS26" s="427"/>
      <c r="CT26" s="431"/>
      <c r="CU26" s="431"/>
      <c r="CV26" s="432"/>
      <c r="CW26" s="427"/>
      <c r="CX26" s="431"/>
      <c r="CY26" s="433"/>
      <c r="CZ26" s="432"/>
      <c r="DA26" s="427"/>
      <c r="DB26" s="431"/>
      <c r="DC26" s="433"/>
      <c r="DD26" s="432"/>
      <c r="DE26" s="427"/>
      <c r="DF26" s="431"/>
      <c r="DG26" s="433"/>
      <c r="DH26" s="432"/>
      <c r="DI26" s="427"/>
      <c r="DJ26" s="431"/>
      <c r="DK26" s="433"/>
      <c r="DL26" s="432"/>
      <c r="DM26" s="427"/>
      <c r="DN26" s="431"/>
      <c r="DO26" s="433"/>
      <c r="DP26" s="432"/>
      <c r="DQ26" s="427"/>
      <c r="DR26" s="431"/>
      <c r="DS26" s="433"/>
      <c r="DT26" s="432"/>
      <c r="DU26" s="427"/>
      <c r="DV26" s="431"/>
      <c r="DW26" s="433"/>
      <c r="DX26" s="432"/>
      <c r="DY26" s="427"/>
      <c r="DZ26" s="431"/>
      <c r="EA26" s="433"/>
      <c r="EB26" s="432"/>
      <c r="EC26" s="427"/>
      <c r="ED26" s="431"/>
      <c r="EE26" s="433"/>
      <c r="EF26" s="428"/>
      <c r="EG26" s="426"/>
      <c r="EH26" s="460">
        <f t="shared" si="34"/>
        <v>0</v>
      </c>
      <c r="EI26" s="460">
        <f t="shared" si="35"/>
        <v>0</v>
      </c>
      <c r="EJ26" s="458">
        <f t="shared" si="36"/>
        <v>0</v>
      </c>
      <c r="EK26" s="470">
        <f t="shared" si="37"/>
        <v>0</v>
      </c>
      <c r="EL26" s="470">
        <f t="shared" si="38"/>
        <v>0</v>
      </c>
      <c r="EM26" s="449">
        <f t="shared" si="39"/>
        <v>0</v>
      </c>
      <c r="EN26" s="460">
        <f t="shared" si="40"/>
        <v>0</v>
      </c>
      <c r="EO26" s="469">
        <f t="shared" si="41"/>
        <v>0</v>
      </c>
      <c r="EP26" s="434"/>
      <c r="EQ26" s="426"/>
      <c r="ER26" s="434"/>
      <c r="ES26" s="426"/>
      <c r="ET26" s="434"/>
      <c r="EU26" s="426"/>
      <c r="EV26" s="434"/>
      <c r="EW26" s="426"/>
      <c r="EX26" s="434"/>
      <c r="EY26" s="426"/>
      <c r="EZ26" s="434"/>
      <c r="FA26" s="426"/>
      <c r="FB26" s="434"/>
      <c r="FC26" s="426"/>
      <c r="FD26" s="434"/>
      <c r="FE26" s="426"/>
      <c r="FF26" s="434"/>
      <c r="FG26" s="426"/>
      <c r="FH26" s="435"/>
      <c r="FI26" s="426"/>
      <c r="FJ26" s="468">
        <f t="shared" si="42"/>
        <v>0</v>
      </c>
      <c r="FK26" s="469">
        <f t="shared" si="43"/>
        <v>0</v>
      </c>
      <c r="FL26" s="435"/>
      <c r="FM26" s="426"/>
      <c r="FN26" s="460">
        <f t="shared" si="44"/>
        <v>1199</v>
      </c>
      <c r="FO26" s="469">
        <f t="shared" si="45"/>
        <v>1423</v>
      </c>
      <c r="FQ26" s="393"/>
    </row>
    <row r="27" spans="1:173" s="248" customFormat="1" x14ac:dyDescent="0.2">
      <c r="A27" s="354" t="s">
        <v>0</v>
      </c>
      <c r="B27" s="355" t="s">
        <v>517</v>
      </c>
      <c r="C27" s="490" t="s">
        <v>599</v>
      </c>
      <c r="D27" s="488">
        <v>101295</v>
      </c>
      <c r="E27" s="500">
        <v>8</v>
      </c>
      <c r="F27" s="427">
        <v>253</v>
      </c>
      <c r="G27" s="426">
        <v>214</v>
      </c>
      <c r="H27" s="427"/>
      <c r="I27" s="426"/>
      <c r="J27" s="427">
        <v>854</v>
      </c>
      <c r="K27" s="426">
        <v>823</v>
      </c>
      <c r="L27" s="458">
        <f t="shared" si="24"/>
        <v>0</v>
      </c>
      <c r="M27" s="449">
        <f t="shared" si="25"/>
        <v>0</v>
      </c>
      <c r="N27" s="428"/>
      <c r="O27" s="428"/>
      <c r="P27" s="428"/>
      <c r="Q27" s="428"/>
      <c r="R27" s="460">
        <f t="shared" si="2"/>
        <v>0</v>
      </c>
      <c r="S27" s="391"/>
      <c r="T27" s="429"/>
      <c r="U27" s="429"/>
      <c r="V27" s="429"/>
      <c r="W27" s="462">
        <f t="shared" si="3"/>
        <v>0</v>
      </c>
      <c r="X27" s="430"/>
      <c r="Y27" s="427"/>
      <c r="Z27" s="431"/>
      <c r="AA27" s="431"/>
      <c r="AB27" s="432"/>
      <c r="AC27" s="427"/>
      <c r="AD27" s="431"/>
      <c r="AE27" s="433"/>
      <c r="AF27" s="432"/>
      <c r="AG27" s="427"/>
      <c r="AH27" s="431"/>
      <c r="AI27" s="433"/>
      <c r="AJ27" s="432"/>
      <c r="AK27" s="427"/>
      <c r="AL27" s="431"/>
      <c r="AM27" s="433"/>
      <c r="AN27" s="432"/>
      <c r="AO27" s="427"/>
      <c r="AP27" s="431"/>
      <c r="AQ27" s="431"/>
      <c r="AR27" s="460">
        <f t="shared" si="26"/>
        <v>0</v>
      </c>
      <c r="AS27" s="467">
        <f t="shared" si="27"/>
        <v>0</v>
      </c>
      <c r="AT27" s="447">
        <f t="shared" si="28"/>
        <v>0</v>
      </c>
      <c r="AU27" s="448">
        <f t="shared" si="29"/>
        <v>0</v>
      </c>
      <c r="AV27" s="427"/>
      <c r="AW27" s="426"/>
      <c r="AX27" s="430"/>
      <c r="AY27" s="427"/>
      <c r="AZ27" s="431"/>
      <c r="BA27" s="431"/>
      <c r="BB27" s="432"/>
      <c r="BC27" s="427"/>
      <c r="BD27" s="431"/>
      <c r="BE27" s="433"/>
      <c r="BF27" s="432"/>
      <c r="BG27" s="427"/>
      <c r="BH27" s="431"/>
      <c r="BI27" s="433"/>
      <c r="BJ27" s="432"/>
      <c r="BK27" s="427"/>
      <c r="BL27" s="431"/>
      <c r="BM27" s="433"/>
      <c r="BN27" s="432"/>
      <c r="BO27" s="427"/>
      <c r="BP27" s="431"/>
      <c r="BQ27" s="433"/>
      <c r="BR27" s="432"/>
      <c r="BS27" s="427"/>
      <c r="BT27" s="446"/>
      <c r="BU27" s="392"/>
      <c r="BV27" s="432"/>
      <c r="BW27" s="427"/>
      <c r="BX27" s="431"/>
      <c r="BY27" s="433"/>
      <c r="BZ27" s="432"/>
      <c r="CA27" s="427"/>
      <c r="CB27" s="431"/>
      <c r="CC27" s="433"/>
      <c r="CD27" s="432"/>
      <c r="CE27" s="427"/>
      <c r="CF27" s="431"/>
      <c r="CG27" s="433"/>
      <c r="CH27" s="432"/>
      <c r="CI27" s="427"/>
      <c r="CJ27" s="431"/>
      <c r="CK27" s="433"/>
      <c r="CL27" s="428"/>
      <c r="CM27" s="426"/>
      <c r="CN27" s="468">
        <f t="shared" si="30"/>
        <v>0</v>
      </c>
      <c r="CO27" s="468">
        <f t="shared" si="31"/>
        <v>0</v>
      </c>
      <c r="CP27" s="469">
        <f t="shared" si="32"/>
        <v>0</v>
      </c>
      <c r="CQ27" s="469">
        <f t="shared" si="33"/>
        <v>0</v>
      </c>
      <c r="CR27" s="430"/>
      <c r="CS27" s="427"/>
      <c r="CT27" s="431"/>
      <c r="CU27" s="431"/>
      <c r="CV27" s="432"/>
      <c r="CW27" s="427"/>
      <c r="CX27" s="431"/>
      <c r="CY27" s="433"/>
      <c r="CZ27" s="432"/>
      <c r="DA27" s="427"/>
      <c r="DB27" s="431"/>
      <c r="DC27" s="433"/>
      <c r="DD27" s="432"/>
      <c r="DE27" s="427"/>
      <c r="DF27" s="431"/>
      <c r="DG27" s="433"/>
      <c r="DH27" s="432"/>
      <c r="DI27" s="427"/>
      <c r="DJ27" s="431"/>
      <c r="DK27" s="433"/>
      <c r="DL27" s="432"/>
      <c r="DM27" s="427"/>
      <c r="DN27" s="431"/>
      <c r="DO27" s="433"/>
      <c r="DP27" s="432"/>
      <c r="DQ27" s="427"/>
      <c r="DR27" s="431"/>
      <c r="DS27" s="433"/>
      <c r="DT27" s="432"/>
      <c r="DU27" s="427"/>
      <c r="DV27" s="431"/>
      <c r="DW27" s="433"/>
      <c r="DX27" s="432"/>
      <c r="DY27" s="427"/>
      <c r="DZ27" s="431"/>
      <c r="EA27" s="433"/>
      <c r="EB27" s="432"/>
      <c r="EC27" s="427"/>
      <c r="ED27" s="431"/>
      <c r="EE27" s="433"/>
      <c r="EF27" s="428"/>
      <c r="EG27" s="426"/>
      <c r="EH27" s="460">
        <f t="shared" si="34"/>
        <v>0</v>
      </c>
      <c r="EI27" s="460">
        <f t="shared" si="35"/>
        <v>0</v>
      </c>
      <c r="EJ27" s="458">
        <f t="shared" si="36"/>
        <v>0</v>
      </c>
      <c r="EK27" s="470">
        <f t="shared" si="37"/>
        <v>0</v>
      </c>
      <c r="EL27" s="470">
        <f t="shared" si="38"/>
        <v>0</v>
      </c>
      <c r="EM27" s="449">
        <f t="shared" si="39"/>
        <v>0</v>
      </c>
      <c r="EN27" s="460">
        <f t="shared" si="40"/>
        <v>0</v>
      </c>
      <c r="EO27" s="469">
        <f t="shared" si="41"/>
        <v>0</v>
      </c>
      <c r="EP27" s="434"/>
      <c r="EQ27" s="426"/>
      <c r="ER27" s="434"/>
      <c r="ES27" s="426"/>
      <c r="ET27" s="434"/>
      <c r="EU27" s="426"/>
      <c r="EV27" s="434"/>
      <c r="EW27" s="426"/>
      <c r="EX27" s="434"/>
      <c r="EY27" s="426"/>
      <c r="EZ27" s="434"/>
      <c r="FA27" s="426"/>
      <c r="FB27" s="434"/>
      <c r="FC27" s="426"/>
      <c r="FD27" s="434"/>
      <c r="FE27" s="426"/>
      <c r="FF27" s="434"/>
      <c r="FG27" s="426"/>
      <c r="FH27" s="435"/>
      <c r="FI27" s="426"/>
      <c r="FJ27" s="468">
        <f t="shared" si="42"/>
        <v>0</v>
      </c>
      <c r="FK27" s="469">
        <f t="shared" si="43"/>
        <v>0</v>
      </c>
      <c r="FL27" s="435"/>
      <c r="FM27" s="426"/>
      <c r="FN27" s="460">
        <f t="shared" si="44"/>
        <v>1107</v>
      </c>
      <c r="FO27" s="469">
        <f t="shared" si="45"/>
        <v>1037</v>
      </c>
      <c r="FQ27" s="393"/>
    </row>
    <row r="28" spans="1:173" s="248" customFormat="1" x14ac:dyDescent="0.2">
      <c r="A28" s="354" t="s">
        <v>0</v>
      </c>
      <c r="B28" s="359" t="s">
        <v>507</v>
      </c>
      <c r="C28" s="492"/>
      <c r="D28" s="488">
        <v>102429</v>
      </c>
      <c r="E28" s="499">
        <v>9</v>
      </c>
      <c r="F28" s="427">
        <v>340</v>
      </c>
      <c r="G28" s="426">
        <v>342</v>
      </c>
      <c r="H28" s="427"/>
      <c r="I28" s="426"/>
      <c r="J28" s="427">
        <v>422</v>
      </c>
      <c r="K28" s="426">
        <v>424</v>
      </c>
      <c r="L28" s="458">
        <f t="shared" si="24"/>
        <v>0</v>
      </c>
      <c r="M28" s="449">
        <f t="shared" si="25"/>
        <v>0</v>
      </c>
      <c r="N28" s="428"/>
      <c r="O28" s="428"/>
      <c r="P28" s="428"/>
      <c r="Q28" s="428"/>
      <c r="R28" s="460">
        <f t="shared" si="2"/>
        <v>0</v>
      </c>
      <c r="S28" s="391"/>
      <c r="T28" s="429"/>
      <c r="U28" s="429"/>
      <c r="V28" s="429"/>
      <c r="W28" s="462">
        <f t="shared" si="3"/>
        <v>0</v>
      </c>
      <c r="X28" s="430"/>
      <c r="Y28" s="427"/>
      <c r="Z28" s="431"/>
      <c r="AA28" s="431"/>
      <c r="AB28" s="432"/>
      <c r="AC28" s="427"/>
      <c r="AD28" s="431"/>
      <c r="AE28" s="433"/>
      <c r="AF28" s="432"/>
      <c r="AG28" s="427"/>
      <c r="AH28" s="431"/>
      <c r="AI28" s="433"/>
      <c r="AJ28" s="432"/>
      <c r="AK28" s="427"/>
      <c r="AL28" s="431"/>
      <c r="AM28" s="433"/>
      <c r="AN28" s="432"/>
      <c r="AO28" s="427"/>
      <c r="AP28" s="431"/>
      <c r="AQ28" s="431"/>
      <c r="AR28" s="460">
        <f t="shared" si="26"/>
        <v>0</v>
      </c>
      <c r="AS28" s="467">
        <f t="shared" si="27"/>
        <v>0</v>
      </c>
      <c r="AT28" s="447">
        <f t="shared" si="28"/>
        <v>0</v>
      </c>
      <c r="AU28" s="448">
        <f t="shared" si="29"/>
        <v>0</v>
      </c>
      <c r="AV28" s="427"/>
      <c r="AW28" s="426"/>
      <c r="AX28" s="430"/>
      <c r="AY28" s="427"/>
      <c r="AZ28" s="431"/>
      <c r="BA28" s="431"/>
      <c r="BB28" s="432"/>
      <c r="BC28" s="427"/>
      <c r="BD28" s="431"/>
      <c r="BE28" s="433"/>
      <c r="BF28" s="432"/>
      <c r="BG28" s="427"/>
      <c r="BH28" s="431"/>
      <c r="BI28" s="433"/>
      <c r="BJ28" s="432"/>
      <c r="BK28" s="427"/>
      <c r="BL28" s="431"/>
      <c r="BM28" s="433"/>
      <c r="BN28" s="432"/>
      <c r="BO28" s="427"/>
      <c r="BP28" s="431"/>
      <c r="BQ28" s="433"/>
      <c r="BR28" s="432"/>
      <c r="BS28" s="427"/>
      <c r="BT28" s="446"/>
      <c r="BU28" s="392"/>
      <c r="BV28" s="432"/>
      <c r="BW28" s="427"/>
      <c r="BX28" s="431"/>
      <c r="BY28" s="433"/>
      <c r="BZ28" s="432"/>
      <c r="CA28" s="427"/>
      <c r="CB28" s="431"/>
      <c r="CC28" s="433"/>
      <c r="CD28" s="432"/>
      <c r="CE28" s="427"/>
      <c r="CF28" s="431"/>
      <c r="CG28" s="433"/>
      <c r="CH28" s="432"/>
      <c r="CI28" s="427"/>
      <c r="CJ28" s="431"/>
      <c r="CK28" s="433"/>
      <c r="CL28" s="428"/>
      <c r="CM28" s="426"/>
      <c r="CN28" s="468">
        <f t="shared" si="30"/>
        <v>0</v>
      </c>
      <c r="CO28" s="468">
        <f t="shared" si="31"/>
        <v>0</v>
      </c>
      <c r="CP28" s="469">
        <f t="shared" si="32"/>
        <v>0</v>
      </c>
      <c r="CQ28" s="469">
        <f t="shared" si="33"/>
        <v>0</v>
      </c>
      <c r="CR28" s="430"/>
      <c r="CS28" s="427"/>
      <c r="CT28" s="431"/>
      <c r="CU28" s="431"/>
      <c r="CV28" s="432"/>
      <c r="CW28" s="427"/>
      <c r="CX28" s="431"/>
      <c r="CY28" s="433"/>
      <c r="CZ28" s="432"/>
      <c r="DA28" s="427"/>
      <c r="DB28" s="431"/>
      <c r="DC28" s="433"/>
      <c r="DD28" s="432"/>
      <c r="DE28" s="427"/>
      <c r="DF28" s="431"/>
      <c r="DG28" s="433"/>
      <c r="DH28" s="432"/>
      <c r="DI28" s="427"/>
      <c r="DJ28" s="431"/>
      <c r="DK28" s="433"/>
      <c r="DL28" s="432"/>
      <c r="DM28" s="427"/>
      <c r="DN28" s="431"/>
      <c r="DO28" s="433"/>
      <c r="DP28" s="432"/>
      <c r="DQ28" s="427"/>
      <c r="DR28" s="431"/>
      <c r="DS28" s="433"/>
      <c r="DT28" s="432"/>
      <c r="DU28" s="427"/>
      <c r="DV28" s="431"/>
      <c r="DW28" s="433"/>
      <c r="DX28" s="432"/>
      <c r="DY28" s="427"/>
      <c r="DZ28" s="431"/>
      <c r="EA28" s="433"/>
      <c r="EB28" s="432"/>
      <c r="EC28" s="427"/>
      <c r="ED28" s="431"/>
      <c r="EE28" s="433"/>
      <c r="EF28" s="428"/>
      <c r="EG28" s="426"/>
      <c r="EH28" s="460">
        <f t="shared" si="34"/>
        <v>0</v>
      </c>
      <c r="EI28" s="460">
        <f t="shared" si="35"/>
        <v>0</v>
      </c>
      <c r="EJ28" s="458">
        <f t="shared" si="36"/>
        <v>0</v>
      </c>
      <c r="EK28" s="470">
        <f t="shared" si="37"/>
        <v>0</v>
      </c>
      <c r="EL28" s="470">
        <f t="shared" si="38"/>
        <v>0</v>
      </c>
      <c r="EM28" s="449">
        <f t="shared" si="39"/>
        <v>0</v>
      </c>
      <c r="EN28" s="460">
        <f t="shared" si="40"/>
        <v>0</v>
      </c>
      <c r="EO28" s="469">
        <f t="shared" si="41"/>
        <v>0</v>
      </c>
      <c r="EP28" s="434"/>
      <c r="EQ28" s="426"/>
      <c r="ER28" s="434"/>
      <c r="ES28" s="426"/>
      <c r="ET28" s="434"/>
      <c r="EU28" s="426"/>
      <c r="EV28" s="434"/>
      <c r="EW28" s="426"/>
      <c r="EX28" s="434"/>
      <c r="EY28" s="426"/>
      <c r="EZ28" s="434"/>
      <c r="FA28" s="426"/>
      <c r="FB28" s="434"/>
      <c r="FC28" s="426"/>
      <c r="FD28" s="434"/>
      <c r="FE28" s="426"/>
      <c r="FF28" s="434"/>
      <c r="FG28" s="426"/>
      <c r="FH28" s="435"/>
      <c r="FI28" s="426"/>
      <c r="FJ28" s="468">
        <f t="shared" si="42"/>
        <v>0</v>
      </c>
      <c r="FK28" s="469">
        <f t="shared" si="43"/>
        <v>0</v>
      </c>
      <c r="FL28" s="435"/>
      <c r="FM28" s="426"/>
      <c r="FN28" s="460">
        <f t="shared" si="44"/>
        <v>762</v>
      </c>
      <c r="FO28" s="469">
        <f t="shared" si="45"/>
        <v>766</v>
      </c>
      <c r="FQ28" s="393"/>
    </row>
    <row r="29" spans="1:173" s="248" customFormat="1" x14ac:dyDescent="0.2">
      <c r="A29" s="354" t="s">
        <v>0</v>
      </c>
      <c r="B29" s="360" t="s">
        <v>508</v>
      </c>
      <c r="C29" s="493"/>
      <c r="D29" s="488">
        <v>102030</v>
      </c>
      <c r="E29" s="499">
        <v>9</v>
      </c>
      <c r="F29" s="427">
        <v>166</v>
      </c>
      <c r="G29" s="426">
        <v>191</v>
      </c>
      <c r="H29" s="427"/>
      <c r="I29" s="426"/>
      <c r="J29" s="427">
        <v>239</v>
      </c>
      <c r="K29" s="426">
        <v>307</v>
      </c>
      <c r="L29" s="458">
        <f t="shared" si="24"/>
        <v>0</v>
      </c>
      <c r="M29" s="449">
        <f t="shared" si="25"/>
        <v>0</v>
      </c>
      <c r="N29" s="428"/>
      <c r="O29" s="428"/>
      <c r="P29" s="428"/>
      <c r="Q29" s="428"/>
      <c r="R29" s="460">
        <f t="shared" si="2"/>
        <v>0</v>
      </c>
      <c r="S29" s="391"/>
      <c r="T29" s="429"/>
      <c r="U29" s="429"/>
      <c r="V29" s="429"/>
      <c r="W29" s="462">
        <f t="shared" si="3"/>
        <v>0</v>
      </c>
      <c r="X29" s="430"/>
      <c r="Y29" s="427"/>
      <c r="Z29" s="431"/>
      <c r="AA29" s="431"/>
      <c r="AB29" s="432"/>
      <c r="AC29" s="427"/>
      <c r="AD29" s="431"/>
      <c r="AE29" s="433"/>
      <c r="AF29" s="432"/>
      <c r="AG29" s="427"/>
      <c r="AH29" s="431"/>
      <c r="AI29" s="433"/>
      <c r="AJ29" s="432"/>
      <c r="AK29" s="427"/>
      <c r="AL29" s="431"/>
      <c r="AM29" s="433"/>
      <c r="AN29" s="432"/>
      <c r="AO29" s="427"/>
      <c r="AP29" s="431"/>
      <c r="AQ29" s="431"/>
      <c r="AR29" s="460">
        <f t="shared" si="26"/>
        <v>0</v>
      </c>
      <c r="AS29" s="467">
        <f t="shared" si="27"/>
        <v>0</v>
      </c>
      <c r="AT29" s="447">
        <f t="shared" si="28"/>
        <v>0</v>
      </c>
      <c r="AU29" s="448">
        <f t="shared" si="29"/>
        <v>0</v>
      </c>
      <c r="AV29" s="427"/>
      <c r="AW29" s="426"/>
      <c r="AX29" s="430"/>
      <c r="AY29" s="427"/>
      <c r="AZ29" s="431"/>
      <c r="BA29" s="431"/>
      <c r="BB29" s="432"/>
      <c r="BC29" s="427"/>
      <c r="BD29" s="431"/>
      <c r="BE29" s="433"/>
      <c r="BF29" s="432"/>
      <c r="BG29" s="427"/>
      <c r="BH29" s="431"/>
      <c r="BI29" s="433"/>
      <c r="BJ29" s="432"/>
      <c r="BK29" s="427"/>
      <c r="BL29" s="431"/>
      <c r="BM29" s="433"/>
      <c r="BN29" s="432"/>
      <c r="BO29" s="427"/>
      <c r="BP29" s="431"/>
      <c r="BQ29" s="433"/>
      <c r="BR29" s="432"/>
      <c r="BS29" s="427"/>
      <c r="BT29" s="446"/>
      <c r="BU29" s="392"/>
      <c r="BV29" s="432"/>
      <c r="BW29" s="427"/>
      <c r="BX29" s="431"/>
      <c r="BY29" s="433"/>
      <c r="BZ29" s="432"/>
      <c r="CA29" s="427"/>
      <c r="CB29" s="431"/>
      <c r="CC29" s="433"/>
      <c r="CD29" s="432"/>
      <c r="CE29" s="427"/>
      <c r="CF29" s="431"/>
      <c r="CG29" s="433"/>
      <c r="CH29" s="432"/>
      <c r="CI29" s="427"/>
      <c r="CJ29" s="431"/>
      <c r="CK29" s="433"/>
      <c r="CL29" s="428"/>
      <c r="CM29" s="426"/>
      <c r="CN29" s="468">
        <f t="shared" si="30"/>
        <v>0</v>
      </c>
      <c r="CO29" s="468">
        <f t="shared" si="31"/>
        <v>0</v>
      </c>
      <c r="CP29" s="469">
        <f t="shared" si="32"/>
        <v>0</v>
      </c>
      <c r="CQ29" s="469">
        <f t="shared" si="33"/>
        <v>0</v>
      </c>
      <c r="CR29" s="430"/>
      <c r="CS29" s="427"/>
      <c r="CT29" s="431"/>
      <c r="CU29" s="431"/>
      <c r="CV29" s="432"/>
      <c r="CW29" s="427"/>
      <c r="CX29" s="431"/>
      <c r="CY29" s="433"/>
      <c r="CZ29" s="432"/>
      <c r="DA29" s="427"/>
      <c r="DB29" s="431"/>
      <c r="DC29" s="433"/>
      <c r="DD29" s="432"/>
      <c r="DE29" s="427"/>
      <c r="DF29" s="431"/>
      <c r="DG29" s="433"/>
      <c r="DH29" s="432"/>
      <c r="DI29" s="427"/>
      <c r="DJ29" s="431"/>
      <c r="DK29" s="433"/>
      <c r="DL29" s="432"/>
      <c r="DM29" s="427"/>
      <c r="DN29" s="431"/>
      <c r="DO29" s="433"/>
      <c r="DP29" s="432"/>
      <c r="DQ29" s="427"/>
      <c r="DR29" s="431"/>
      <c r="DS29" s="433"/>
      <c r="DT29" s="432"/>
      <c r="DU29" s="427"/>
      <c r="DV29" s="431"/>
      <c r="DW29" s="433"/>
      <c r="DX29" s="432"/>
      <c r="DY29" s="427"/>
      <c r="DZ29" s="431"/>
      <c r="EA29" s="433"/>
      <c r="EB29" s="432"/>
      <c r="EC29" s="427"/>
      <c r="ED29" s="431"/>
      <c r="EE29" s="433"/>
      <c r="EF29" s="428"/>
      <c r="EG29" s="426"/>
      <c r="EH29" s="460">
        <f t="shared" si="34"/>
        <v>0</v>
      </c>
      <c r="EI29" s="460">
        <f t="shared" si="35"/>
        <v>0</v>
      </c>
      <c r="EJ29" s="458">
        <f t="shared" si="36"/>
        <v>0</v>
      </c>
      <c r="EK29" s="470">
        <f t="shared" si="37"/>
        <v>0</v>
      </c>
      <c r="EL29" s="470">
        <f t="shared" si="38"/>
        <v>0</v>
      </c>
      <c r="EM29" s="449">
        <f t="shared" si="39"/>
        <v>0</v>
      </c>
      <c r="EN29" s="460">
        <f t="shared" si="40"/>
        <v>0</v>
      </c>
      <c r="EO29" s="469">
        <f t="shared" si="41"/>
        <v>0</v>
      </c>
      <c r="EP29" s="434"/>
      <c r="EQ29" s="426"/>
      <c r="ER29" s="434"/>
      <c r="ES29" s="426"/>
      <c r="ET29" s="434"/>
      <c r="EU29" s="426"/>
      <c r="EV29" s="434"/>
      <c r="EW29" s="426"/>
      <c r="EX29" s="434"/>
      <c r="EY29" s="426"/>
      <c r="EZ29" s="434"/>
      <c r="FA29" s="426"/>
      <c r="FB29" s="434"/>
      <c r="FC29" s="426"/>
      <c r="FD29" s="434"/>
      <c r="FE29" s="426"/>
      <c r="FF29" s="434"/>
      <c r="FG29" s="426"/>
      <c r="FH29" s="435"/>
      <c r="FI29" s="426"/>
      <c r="FJ29" s="468">
        <f t="shared" si="42"/>
        <v>0</v>
      </c>
      <c r="FK29" s="469">
        <f t="shared" si="43"/>
        <v>0</v>
      </c>
      <c r="FL29" s="435"/>
      <c r="FM29" s="426"/>
      <c r="FN29" s="460">
        <f t="shared" si="44"/>
        <v>405</v>
      </c>
      <c r="FO29" s="469">
        <f t="shared" si="45"/>
        <v>498</v>
      </c>
      <c r="FQ29" s="393"/>
    </row>
    <row r="30" spans="1:173" s="248" customFormat="1" x14ac:dyDescent="0.2">
      <c r="A30" s="354" t="s">
        <v>0</v>
      </c>
      <c r="B30" s="355" t="s">
        <v>519</v>
      </c>
      <c r="C30" s="490" t="s">
        <v>600</v>
      </c>
      <c r="D30" s="488">
        <v>100760</v>
      </c>
      <c r="E30" s="500">
        <v>9</v>
      </c>
      <c r="F30" s="427">
        <v>81</v>
      </c>
      <c r="G30" s="426">
        <v>85</v>
      </c>
      <c r="H30" s="427"/>
      <c r="I30" s="426"/>
      <c r="J30" s="427">
        <v>245</v>
      </c>
      <c r="K30" s="426">
        <v>253</v>
      </c>
      <c r="L30" s="458">
        <f t="shared" si="24"/>
        <v>0</v>
      </c>
      <c r="M30" s="449">
        <f t="shared" si="25"/>
        <v>0</v>
      </c>
      <c r="N30" s="428"/>
      <c r="O30" s="428"/>
      <c r="P30" s="428"/>
      <c r="Q30" s="428"/>
      <c r="R30" s="460">
        <f t="shared" si="2"/>
        <v>0</v>
      </c>
      <c r="S30" s="391"/>
      <c r="T30" s="429"/>
      <c r="U30" s="429"/>
      <c r="V30" s="429"/>
      <c r="W30" s="462">
        <f t="shared" si="3"/>
        <v>0</v>
      </c>
      <c r="X30" s="430"/>
      <c r="Y30" s="427"/>
      <c r="Z30" s="431"/>
      <c r="AA30" s="431"/>
      <c r="AB30" s="432"/>
      <c r="AC30" s="427"/>
      <c r="AD30" s="431"/>
      <c r="AE30" s="433"/>
      <c r="AF30" s="432"/>
      <c r="AG30" s="427"/>
      <c r="AH30" s="431"/>
      <c r="AI30" s="433"/>
      <c r="AJ30" s="432"/>
      <c r="AK30" s="427"/>
      <c r="AL30" s="431"/>
      <c r="AM30" s="433"/>
      <c r="AN30" s="432"/>
      <c r="AO30" s="427"/>
      <c r="AP30" s="431"/>
      <c r="AQ30" s="431"/>
      <c r="AR30" s="460">
        <f t="shared" si="26"/>
        <v>0</v>
      </c>
      <c r="AS30" s="467">
        <f t="shared" si="27"/>
        <v>0</v>
      </c>
      <c r="AT30" s="447">
        <f t="shared" si="28"/>
        <v>0</v>
      </c>
      <c r="AU30" s="448">
        <f t="shared" si="29"/>
        <v>0</v>
      </c>
      <c r="AV30" s="427"/>
      <c r="AW30" s="426"/>
      <c r="AX30" s="430"/>
      <c r="AY30" s="427"/>
      <c r="AZ30" s="431"/>
      <c r="BA30" s="431"/>
      <c r="BB30" s="432"/>
      <c r="BC30" s="427"/>
      <c r="BD30" s="431"/>
      <c r="BE30" s="433"/>
      <c r="BF30" s="432"/>
      <c r="BG30" s="427"/>
      <c r="BH30" s="431"/>
      <c r="BI30" s="433"/>
      <c r="BJ30" s="432"/>
      <c r="BK30" s="427"/>
      <c r="BL30" s="431"/>
      <c r="BM30" s="433"/>
      <c r="BN30" s="432"/>
      <c r="BO30" s="427"/>
      <c r="BP30" s="431"/>
      <c r="BQ30" s="433"/>
      <c r="BR30" s="432"/>
      <c r="BS30" s="427"/>
      <c r="BT30" s="446"/>
      <c r="BU30" s="392"/>
      <c r="BV30" s="432"/>
      <c r="BW30" s="427"/>
      <c r="BX30" s="431"/>
      <c r="BY30" s="433"/>
      <c r="BZ30" s="432"/>
      <c r="CA30" s="427"/>
      <c r="CB30" s="431"/>
      <c r="CC30" s="433"/>
      <c r="CD30" s="432"/>
      <c r="CE30" s="427"/>
      <c r="CF30" s="431"/>
      <c r="CG30" s="433"/>
      <c r="CH30" s="432"/>
      <c r="CI30" s="427"/>
      <c r="CJ30" s="431"/>
      <c r="CK30" s="433"/>
      <c r="CL30" s="428"/>
      <c r="CM30" s="426"/>
      <c r="CN30" s="468">
        <f t="shared" si="30"/>
        <v>0</v>
      </c>
      <c r="CO30" s="468">
        <f t="shared" si="31"/>
        <v>0</v>
      </c>
      <c r="CP30" s="469">
        <f t="shared" si="32"/>
        <v>0</v>
      </c>
      <c r="CQ30" s="469">
        <f t="shared" si="33"/>
        <v>0</v>
      </c>
      <c r="CR30" s="430"/>
      <c r="CS30" s="427"/>
      <c r="CT30" s="431"/>
      <c r="CU30" s="431"/>
      <c r="CV30" s="432"/>
      <c r="CW30" s="427"/>
      <c r="CX30" s="431"/>
      <c r="CY30" s="433"/>
      <c r="CZ30" s="432"/>
      <c r="DA30" s="427"/>
      <c r="DB30" s="431"/>
      <c r="DC30" s="433"/>
      <c r="DD30" s="432"/>
      <c r="DE30" s="427"/>
      <c r="DF30" s="431"/>
      <c r="DG30" s="433"/>
      <c r="DH30" s="432"/>
      <c r="DI30" s="427"/>
      <c r="DJ30" s="431"/>
      <c r="DK30" s="433"/>
      <c r="DL30" s="432"/>
      <c r="DM30" s="427"/>
      <c r="DN30" s="431"/>
      <c r="DO30" s="433"/>
      <c r="DP30" s="432"/>
      <c r="DQ30" s="427"/>
      <c r="DR30" s="431"/>
      <c r="DS30" s="433"/>
      <c r="DT30" s="432"/>
      <c r="DU30" s="427"/>
      <c r="DV30" s="431"/>
      <c r="DW30" s="433"/>
      <c r="DX30" s="432"/>
      <c r="DY30" s="427"/>
      <c r="DZ30" s="431"/>
      <c r="EA30" s="433"/>
      <c r="EB30" s="432"/>
      <c r="EC30" s="427"/>
      <c r="ED30" s="431"/>
      <c r="EE30" s="433"/>
      <c r="EF30" s="428"/>
      <c r="EG30" s="426"/>
      <c r="EH30" s="460">
        <f t="shared" si="34"/>
        <v>0</v>
      </c>
      <c r="EI30" s="460">
        <f t="shared" si="35"/>
        <v>0</v>
      </c>
      <c r="EJ30" s="458">
        <f t="shared" si="36"/>
        <v>0</v>
      </c>
      <c r="EK30" s="470">
        <f t="shared" si="37"/>
        <v>0</v>
      </c>
      <c r="EL30" s="470">
        <f t="shared" si="38"/>
        <v>0</v>
      </c>
      <c r="EM30" s="449">
        <f t="shared" si="39"/>
        <v>0</v>
      </c>
      <c r="EN30" s="460">
        <f t="shared" si="40"/>
        <v>0</v>
      </c>
      <c r="EO30" s="469">
        <f t="shared" si="41"/>
        <v>0</v>
      </c>
      <c r="EP30" s="434"/>
      <c r="EQ30" s="426"/>
      <c r="ER30" s="434"/>
      <c r="ES30" s="426"/>
      <c r="ET30" s="434"/>
      <c r="EU30" s="426"/>
      <c r="EV30" s="434"/>
      <c r="EW30" s="426"/>
      <c r="EX30" s="434"/>
      <c r="EY30" s="426"/>
      <c r="EZ30" s="434"/>
      <c r="FA30" s="426"/>
      <c r="FB30" s="434"/>
      <c r="FC30" s="426"/>
      <c r="FD30" s="434"/>
      <c r="FE30" s="426"/>
      <c r="FF30" s="434"/>
      <c r="FG30" s="426"/>
      <c r="FH30" s="435"/>
      <c r="FI30" s="426"/>
      <c r="FJ30" s="468">
        <f t="shared" si="42"/>
        <v>0</v>
      </c>
      <c r="FK30" s="469">
        <f t="shared" si="43"/>
        <v>0</v>
      </c>
      <c r="FL30" s="435"/>
      <c r="FM30" s="426"/>
      <c r="FN30" s="460">
        <f t="shared" si="44"/>
        <v>326</v>
      </c>
      <c r="FO30" s="469">
        <f t="shared" si="45"/>
        <v>338</v>
      </c>
      <c r="FQ30" s="393"/>
    </row>
    <row r="31" spans="1:173" s="248" customFormat="1" x14ac:dyDescent="0.2">
      <c r="A31" s="354" t="s">
        <v>0</v>
      </c>
      <c r="B31" s="355" t="s">
        <v>521</v>
      </c>
      <c r="C31" s="494"/>
      <c r="D31" s="488">
        <v>101143</v>
      </c>
      <c r="E31" s="500">
        <v>9</v>
      </c>
      <c r="F31" s="427">
        <v>195</v>
      </c>
      <c r="G31" s="426">
        <v>268</v>
      </c>
      <c r="H31" s="427"/>
      <c r="I31" s="426"/>
      <c r="J31" s="427">
        <v>254</v>
      </c>
      <c r="K31" s="426">
        <v>330</v>
      </c>
      <c r="L31" s="458">
        <f t="shared" si="24"/>
        <v>0</v>
      </c>
      <c r="M31" s="449">
        <f t="shared" si="25"/>
        <v>0</v>
      </c>
      <c r="N31" s="428"/>
      <c r="O31" s="428"/>
      <c r="P31" s="428"/>
      <c r="Q31" s="428"/>
      <c r="R31" s="460">
        <f t="shared" si="2"/>
        <v>0</v>
      </c>
      <c r="S31" s="391"/>
      <c r="T31" s="429"/>
      <c r="U31" s="429"/>
      <c r="V31" s="429"/>
      <c r="W31" s="462">
        <f t="shared" si="3"/>
        <v>0</v>
      </c>
      <c r="X31" s="430"/>
      <c r="Y31" s="427"/>
      <c r="Z31" s="431"/>
      <c r="AA31" s="431"/>
      <c r="AB31" s="432"/>
      <c r="AC31" s="427"/>
      <c r="AD31" s="431"/>
      <c r="AE31" s="433"/>
      <c r="AF31" s="432"/>
      <c r="AG31" s="427"/>
      <c r="AH31" s="431"/>
      <c r="AI31" s="433"/>
      <c r="AJ31" s="432"/>
      <c r="AK31" s="427"/>
      <c r="AL31" s="431"/>
      <c r="AM31" s="433"/>
      <c r="AN31" s="432"/>
      <c r="AO31" s="427"/>
      <c r="AP31" s="431"/>
      <c r="AQ31" s="431"/>
      <c r="AR31" s="460">
        <f t="shared" si="26"/>
        <v>0</v>
      </c>
      <c r="AS31" s="467">
        <f t="shared" si="27"/>
        <v>0</v>
      </c>
      <c r="AT31" s="447">
        <f t="shared" si="28"/>
        <v>0</v>
      </c>
      <c r="AU31" s="448">
        <f t="shared" si="29"/>
        <v>0</v>
      </c>
      <c r="AV31" s="427"/>
      <c r="AW31" s="426"/>
      <c r="AX31" s="430"/>
      <c r="AY31" s="427"/>
      <c r="AZ31" s="431"/>
      <c r="BA31" s="431"/>
      <c r="BB31" s="432"/>
      <c r="BC31" s="427"/>
      <c r="BD31" s="431"/>
      <c r="BE31" s="433"/>
      <c r="BF31" s="432"/>
      <c r="BG31" s="427"/>
      <c r="BH31" s="431"/>
      <c r="BI31" s="433"/>
      <c r="BJ31" s="432"/>
      <c r="BK31" s="427"/>
      <c r="BL31" s="431"/>
      <c r="BM31" s="433"/>
      <c r="BN31" s="432"/>
      <c r="BO31" s="427"/>
      <c r="BP31" s="431"/>
      <c r="BQ31" s="433"/>
      <c r="BR31" s="432"/>
      <c r="BS31" s="427"/>
      <c r="BT31" s="446"/>
      <c r="BU31" s="392"/>
      <c r="BV31" s="432"/>
      <c r="BW31" s="427"/>
      <c r="BX31" s="431"/>
      <c r="BY31" s="433"/>
      <c r="BZ31" s="432"/>
      <c r="CA31" s="427"/>
      <c r="CB31" s="431"/>
      <c r="CC31" s="433"/>
      <c r="CD31" s="432"/>
      <c r="CE31" s="427"/>
      <c r="CF31" s="431"/>
      <c r="CG31" s="433"/>
      <c r="CH31" s="432"/>
      <c r="CI31" s="427"/>
      <c r="CJ31" s="431"/>
      <c r="CK31" s="433"/>
      <c r="CL31" s="428"/>
      <c r="CM31" s="426"/>
      <c r="CN31" s="468">
        <f t="shared" si="30"/>
        <v>0</v>
      </c>
      <c r="CO31" s="468">
        <f t="shared" si="31"/>
        <v>0</v>
      </c>
      <c r="CP31" s="469">
        <f t="shared" si="32"/>
        <v>0</v>
      </c>
      <c r="CQ31" s="469">
        <f t="shared" si="33"/>
        <v>0</v>
      </c>
      <c r="CR31" s="430"/>
      <c r="CS31" s="427"/>
      <c r="CT31" s="431"/>
      <c r="CU31" s="431"/>
      <c r="CV31" s="432"/>
      <c r="CW31" s="427"/>
      <c r="CX31" s="431"/>
      <c r="CY31" s="433"/>
      <c r="CZ31" s="432"/>
      <c r="DA31" s="427"/>
      <c r="DB31" s="431"/>
      <c r="DC31" s="433"/>
      <c r="DD31" s="432"/>
      <c r="DE31" s="427"/>
      <c r="DF31" s="431"/>
      <c r="DG31" s="433"/>
      <c r="DH31" s="432"/>
      <c r="DI31" s="427"/>
      <c r="DJ31" s="431"/>
      <c r="DK31" s="433"/>
      <c r="DL31" s="432"/>
      <c r="DM31" s="427"/>
      <c r="DN31" s="431"/>
      <c r="DO31" s="433"/>
      <c r="DP31" s="432"/>
      <c r="DQ31" s="427"/>
      <c r="DR31" s="431"/>
      <c r="DS31" s="433"/>
      <c r="DT31" s="432"/>
      <c r="DU31" s="427"/>
      <c r="DV31" s="431"/>
      <c r="DW31" s="433"/>
      <c r="DX31" s="432"/>
      <c r="DY31" s="427"/>
      <c r="DZ31" s="431"/>
      <c r="EA31" s="433"/>
      <c r="EB31" s="432"/>
      <c r="EC31" s="427"/>
      <c r="ED31" s="431"/>
      <c r="EE31" s="433"/>
      <c r="EF31" s="428"/>
      <c r="EG31" s="426"/>
      <c r="EH31" s="460">
        <f t="shared" si="34"/>
        <v>0</v>
      </c>
      <c r="EI31" s="460">
        <f t="shared" si="35"/>
        <v>0</v>
      </c>
      <c r="EJ31" s="458">
        <f t="shared" si="36"/>
        <v>0</v>
      </c>
      <c r="EK31" s="470">
        <f t="shared" si="37"/>
        <v>0</v>
      </c>
      <c r="EL31" s="470">
        <f t="shared" si="38"/>
        <v>0</v>
      </c>
      <c r="EM31" s="449">
        <f t="shared" si="39"/>
        <v>0</v>
      </c>
      <c r="EN31" s="460">
        <f t="shared" si="40"/>
        <v>0</v>
      </c>
      <c r="EO31" s="469">
        <f t="shared" si="41"/>
        <v>0</v>
      </c>
      <c r="EP31" s="434"/>
      <c r="EQ31" s="426"/>
      <c r="ER31" s="434"/>
      <c r="ES31" s="426"/>
      <c r="ET31" s="434"/>
      <c r="EU31" s="426"/>
      <c r="EV31" s="434"/>
      <c r="EW31" s="426"/>
      <c r="EX31" s="434"/>
      <c r="EY31" s="426"/>
      <c r="EZ31" s="434"/>
      <c r="FA31" s="426"/>
      <c r="FB31" s="434"/>
      <c r="FC31" s="426"/>
      <c r="FD31" s="434"/>
      <c r="FE31" s="426"/>
      <c r="FF31" s="434"/>
      <c r="FG31" s="426"/>
      <c r="FH31" s="435"/>
      <c r="FI31" s="426"/>
      <c r="FJ31" s="468">
        <f t="shared" si="42"/>
        <v>0</v>
      </c>
      <c r="FK31" s="469">
        <f t="shared" si="43"/>
        <v>0</v>
      </c>
      <c r="FL31" s="435"/>
      <c r="FM31" s="426"/>
      <c r="FN31" s="460">
        <f t="shared" si="44"/>
        <v>449</v>
      </c>
      <c r="FO31" s="469">
        <f t="shared" si="45"/>
        <v>598</v>
      </c>
      <c r="FQ31" s="393"/>
    </row>
    <row r="32" spans="1:173" s="248" customFormat="1" x14ac:dyDescent="0.2">
      <c r="A32" s="354" t="s">
        <v>0</v>
      </c>
      <c r="B32" s="359" t="s">
        <v>516</v>
      </c>
      <c r="C32" s="492"/>
      <c r="D32" s="488">
        <v>101286</v>
      </c>
      <c r="E32" s="499">
        <v>9</v>
      </c>
      <c r="F32" s="427">
        <v>261</v>
      </c>
      <c r="G32" s="426">
        <v>374</v>
      </c>
      <c r="H32" s="427"/>
      <c r="I32" s="426"/>
      <c r="J32" s="427">
        <v>463</v>
      </c>
      <c r="K32" s="426">
        <v>503</v>
      </c>
      <c r="L32" s="458">
        <f t="shared" si="24"/>
        <v>0</v>
      </c>
      <c r="M32" s="449">
        <f t="shared" si="25"/>
        <v>0</v>
      </c>
      <c r="N32" s="428"/>
      <c r="O32" s="428"/>
      <c r="P32" s="428"/>
      <c r="Q32" s="428"/>
      <c r="R32" s="460">
        <f t="shared" si="2"/>
        <v>0</v>
      </c>
      <c r="S32" s="391"/>
      <c r="T32" s="429"/>
      <c r="U32" s="429"/>
      <c r="V32" s="429"/>
      <c r="W32" s="462">
        <f t="shared" si="3"/>
        <v>0</v>
      </c>
      <c r="X32" s="430"/>
      <c r="Y32" s="427"/>
      <c r="Z32" s="431"/>
      <c r="AA32" s="431"/>
      <c r="AB32" s="432"/>
      <c r="AC32" s="427"/>
      <c r="AD32" s="431"/>
      <c r="AE32" s="433"/>
      <c r="AF32" s="432"/>
      <c r="AG32" s="427"/>
      <c r="AH32" s="431"/>
      <c r="AI32" s="433"/>
      <c r="AJ32" s="432"/>
      <c r="AK32" s="427"/>
      <c r="AL32" s="431"/>
      <c r="AM32" s="433"/>
      <c r="AN32" s="432"/>
      <c r="AO32" s="427"/>
      <c r="AP32" s="431"/>
      <c r="AQ32" s="431"/>
      <c r="AR32" s="460">
        <f t="shared" si="26"/>
        <v>0</v>
      </c>
      <c r="AS32" s="467">
        <f t="shared" si="27"/>
        <v>0</v>
      </c>
      <c r="AT32" s="447">
        <f t="shared" si="28"/>
        <v>0</v>
      </c>
      <c r="AU32" s="448">
        <f t="shared" si="29"/>
        <v>0</v>
      </c>
      <c r="AV32" s="427"/>
      <c r="AW32" s="426"/>
      <c r="AX32" s="430"/>
      <c r="AY32" s="427"/>
      <c r="AZ32" s="431"/>
      <c r="BA32" s="431"/>
      <c r="BB32" s="432"/>
      <c r="BC32" s="427"/>
      <c r="BD32" s="431"/>
      <c r="BE32" s="433"/>
      <c r="BF32" s="432"/>
      <c r="BG32" s="427"/>
      <c r="BH32" s="431"/>
      <c r="BI32" s="433"/>
      <c r="BJ32" s="432"/>
      <c r="BK32" s="427"/>
      <c r="BL32" s="431"/>
      <c r="BM32" s="433"/>
      <c r="BN32" s="432"/>
      <c r="BO32" s="427"/>
      <c r="BP32" s="431"/>
      <c r="BQ32" s="433"/>
      <c r="BR32" s="432"/>
      <c r="BS32" s="427"/>
      <c r="BT32" s="446"/>
      <c r="BU32" s="392"/>
      <c r="BV32" s="432"/>
      <c r="BW32" s="427"/>
      <c r="BX32" s="431"/>
      <c r="BY32" s="433"/>
      <c r="BZ32" s="432"/>
      <c r="CA32" s="427"/>
      <c r="CB32" s="431"/>
      <c r="CC32" s="433"/>
      <c r="CD32" s="432"/>
      <c r="CE32" s="427"/>
      <c r="CF32" s="431"/>
      <c r="CG32" s="433"/>
      <c r="CH32" s="432"/>
      <c r="CI32" s="427"/>
      <c r="CJ32" s="431"/>
      <c r="CK32" s="433"/>
      <c r="CL32" s="428"/>
      <c r="CM32" s="426"/>
      <c r="CN32" s="468">
        <f t="shared" si="30"/>
        <v>0</v>
      </c>
      <c r="CO32" s="468">
        <f t="shared" si="31"/>
        <v>0</v>
      </c>
      <c r="CP32" s="469">
        <f t="shared" si="32"/>
        <v>0</v>
      </c>
      <c r="CQ32" s="469">
        <f t="shared" si="33"/>
        <v>0</v>
      </c>
      <c r="CR32" s="430"/>
      <c r="CS32" s="427"/>
      <c r="CT32" s="431"/>
      <c r="CU32" s="431"/>
      <c r="CV32" s="432"/>
      <c r="CW32" s="427"/>
      <c r="CX32" s="431"/>
      <c r="CY32" s="433"/>
      <c r="CZ32" s="432"/>
      <c r="DA32" s="427"/>
      <c r="DB32" s="431"/>
      <c r="DC32" s="433"/>
      <c r="DD32" s="432"/>
      <c r="DE32" s="427"/>
      <c r="DF32" s="431"/>
      <c r="DG32" s="433"/>
      <c r="DH32" s="432"/>
      <c r="DI32" s="427"/>
      <c r="DJ32" s="431"/>
      <c r="DK32" s="433"/>
      <c r="DL32" s="432"/>
      <c r="DM32" s="427"/>
      <c r="DN32" s="431"/>
      <c r="DO32" s="433"/>
      <c r="DP32" s="432"/>
      <c r="DQ32" s="427"/>
      <c r="DR32" s="431"/>
      <c r="DS32" s="433"/>
      <c r="DT32" s="432"/>
      <c r="DU32" s="427"/>
      <c r="DV32" s="431"/>
      <c r="DW32" s="433"/>
      <c r="DX32" s="432"/>
      <c r="DY32" s="427"/>
      <c r="DZ32" s="431"/>
      <c r="EA32" s="433"/>
      <c r="EB32" s="432"/>
      <c r="EC32" s="427"/>
      <c r="ED32" s="431"/>
      <c r="EE32" s="433"/>
      <c r="EF32" s="428"/>
      <c r="EG32" s="426"/>
      <c r="EH32" s="460">
        <f t="shared" si="34"/>
        <v>0</v>
      </c>
      <c r="EI32" s="460">
        <f t="shared" si="35"/>
        <v>0</v>
      </c>
      <c r="EJ32" s="458">
        <f t="shared" si="36"/>
        <v>0</v>
      </c>
      <c r="EK32" s="470">
        <f t="shared" si="37"/>
        <v>0</v>
      </c>
      <c r="EL32" s="470">
        <f t="shared" si="38"/>
        <v>0</v>
      </c>
      <c r="EM32" s="449">
        <f t="shared" si="39"/>
        <v>0</v>
      </c>
      <c r="EN32" s="460">
        <f t="shared" si="40"/>
        <v>0</v>
      </c>
      <c r="EO32" s="469">
        <f t="shared" si="41"/>
        <v>0</v>
      </c>
      <c r="EP32" s="434"/>
      <c r="EQ32" s="426"/>
      <c r="ER32" s="434"/>
      <c r="ES32" s="426"/>
      <c r="ET32" s="434"/>
      <c r="EU32" s="426"/>
      <c r="EV32" s="434"/>
      <c r="EW32" s="426"/>
      <c r="EX32" s="434"/>
      <c r="EY32" s="426"/>
      <c r="EZ32" s="434"/>
      <c r="FA32" s="426"/>
      <c r="FB32" s="434"/>
      <c r="FC32" s="426"/>
      <c r="FD32" s="434"/>
      <c r="FE32" s="426"/>
      <c r="FF32" s="434"/>
      <c r="FG32" s="426"/>
      <c r="FH32" s="435"/>
      <c r="FI32" s="426"/>
      <c r="FJ32" s="468">
        <f t="shared" si="42"/>
        <v>0</v>
      </c>
      <c r="FK32" s="469">
        <f t="shared" si="43"/>
        <v>0</v>
      </c>
      <c r="FL32" s="435"/>
      <c r="FM32" s="426"/>
      <c r="FN32" s="460">
        <f t="shared" si="44"/>
        <v>724</v>
      </c>
      <c r="FO32" s="469">
        <f t="shared" si="45"/>
        <v>877</v>
      </c>
      <c r="FQ32" s="393"/>
    </row>
    <row r="33" spans="1:173" s="248" customFormat="1" x14ac:dyDescent="0.2">
      <c r="A33" s="354" t="s">
        <v>0</v>
      </c>
      <c r="B33" s="359" t="s">
        <v>509</v>
      </c>
      <c r="C33" s="492"/>
      <c r="D33" s="488">
        <v>101161</v>
      </c>
      <c r="E33" s="499">
        <v>9</v>
      </c>
      <c r="F33" s="427">
        <v>64</v>
      </c>
      <c r="G33" s="426">
        <v>76</v>
      </c>
      <c r="H33" s="427"/>
      <c r="I33" s="426"/>
      <c r="J33" s="427">
        <v>378</v>
      </c>
      <c r="K33" s="426">
        <v>431</v>
      </c>
      <c r="L33" s="458">
        <f t="shared" si="24"/>
        <v>0</v>
      </c>
      <c r="M33" s="449">
        <f t="shared" si="25"/>
        <v>0</v>
      </c>
      <c r="N33" s="428"/>
      <c r="O33" s="428"/>
      <c r="P33" s="428"/>
      <c r="Q33" s="428"/>
      <c r="R33" s="460">
        <f t="shared" si="2"/>
        <v>0</v>
      </c>
      <c r="S33" s="391"/>
      <c r="T33" s="429"/>
      <c r="U33" s="429"/>
      <c r="V33" s="429"/>
      <c r="W33" s="462">
        <f t="shared" si="3"/>
        <v>0</v>
      </c>
      <c r="X33" s="430"/>
      <c r="Y33" s="427"/>
      <c r="Z33" s="431"/>
      <c r="AA33" s="431"/>
      <c r="AB33" s="432"/>
      <c r="AC33" s="427"/>
      <c r="AD33" s="431"/>
      <c r="AE33" s="433"/>
      <c r="AF33" s="432"/>
      <c r="AG33" s="427"/>
      <c r="AH33" s="431"/>
      <c r="AI33" s="433"/>
      <c r="AJ33" s="432"/>
      <c r="AK33" s="427"/>
      <c r="AL33" s="431"/>
      <c r="AM33" s="433"/>
      <c r="AN33" s="432"/>
      <c r="AO33" s="427"/>
      <c r="AP33" s="431"/>
      <c r="AQ33" s="431"/>
      <c r="AR33" s="460">
        <f t="shared" si="26"/>
        <v>0</v>
      </c>
      <c r="AS33" s="467">
        <f t="shared" si="27"/>
        <v>0</v>
      </c>
      <c r="AT33" s="447">
        <f t="shared" si="28"/>
        <v>0</v>
      </c>
      <c r="AU33" s="448">
        <f t="shared" si="29"/>
        <v>0</v>
      </c>
      <c r="AV33" s="427"/>
      <c r="AW33" s="426"/>
      <c r="AX33" s="430"/>
      <c r="AY33" s="427"/>
      <c r="AZ33" s="431"/>
      <c r="BA33" s="431"/>
      <c r="BB33" s="432"/>
      <c r="BC33" s="427"/>
      <c r="BD33" s="431"/>
      <c r="BE33" s="433"/>
      <c r="BF33" s="432"/>
      <c r="BG33" s="427"/>
      <c r="BH33" s="431"/>
      <c r="BI33" s="433"/>
      <c r="BJ33" s="432"/>
      <c r="BK33" s="427"/>
      <c r="BL33" s="431"/>
      <c r="BM33" s="433"/>
      <c r="BN33" s="432"/>
      <c r="BO33" s="427"/>
      <c r="BP33" s="431"/>
      <c r="BQ33" s="433"/>
      <c r="BR33" s="432"/>
      <c r="BS33" s="427"/>
      <c r="BT33" s="446"/>
      <c r="BU33" s="392"/>
      <c r="BV33" s="432"/>
      <c r="BW33" s="427"/>
      <c r="BX33" s="431"/>
      <c r="BY33" s="433"/>
      <c r="BZ33" s="432"/>
      <c r="CA33" s="427"/>
      <c r="CB33" s="431"/>
      <c r="CC33" s="433"/>
      <c r="CD33" s="432"/>
      <c r="CE33" s="427"/>
      <c r="CF33" s="431"/>
      <c r="CG33" s="433"/>
      <c r="CH33" s="432"/>
      <c r="CI33" s="427"/>
      <c r="CJ33" s="431"/>
      <c r="CK33" s="433"/>
      <c r="CL33" s="428"/>
      <c r="CM33" s="426"/>
      <c r="CN33" s="468">
        <f t="shared" si="30"/>
        <v>0</v>
      </c>
      <c r="CO33" s="468">
        <f t="shared" si="31"/>
        <v>0</v>
      </c>
      <c r="CP33" s="469">
        <f t="shared" si="32"/>
        <v>0</v>
      </c>
      <c r="CQ33" s="469">
        <f t="shared" si="33"/>
        <v>0</v>
      </c>
      <c r="CR33" s="430"/>
      <c r="CS33" s="427"/>
      <c r="CT33" s="431"/>
      <c r="CU33" s="431"/>
      <c r="CV33" s="432"/>
      <c r="CW33" s="427"/>
      <c r="CX33" s="431"/>
      <c r="CY33" s="433"/>
      <c r="CZ33" s="432"/>
      <c r="DA33" s="427"/>
      <c r="DB33" s="431"/>
      <c r="DC33" s="433"/>
      <c r="DD33" s="432"/>
      <c r="DE33" s="427"/>
      <c r="DF33" s="431"/>
      <c r="DG33" s="433"/>
      <c r="DH33" s="432"/>
      <c r="DI33" s="427"/>
      <c r="DJ33" s="431"/>
      <c r="DK33" s="433"/>
      <c r="DL33" s="432"/>
      <c r="DM33" s="427"/>
      <c r="DN33" s="431"/>
      <c r="DO33" s="433"/>
      <c r="DP33" s="432"/>
      <c r="DQ33" s="427"/>
      <c r="DR33" s="431"/>
      <c r="DS33" s="433"/>
      <c r="DT33" s="432"/>
      <c r="DU33" s="427"/>
      <c r="DV33" s="431"/>
      <c r="DW33" s="433"/>
      <c r="DX33" s="432"/>
      <c r="DY33" s="427"/>
      <c r="DZ33" s="431"/>
      <c r="EA33" s="433"/>
      <c r="EB33" s="432"/>
      <c r="EC33" s="427"/>
      <c r="ED33" s="431"/>
      <c r="EE33" s="433"/>
      <c r="EF33" s="428"/>
      <c r="EG33" s="426"/>
      <c r="EH33" s="460">
        <f t="shared" si="34"/>
        <v>0</v>
      </c>
      <c r="EI33" s="460">
        <f t="shared" si="35"/>
        <v>0</v>
      </c>
      <c r="EJ33" s="458">
        <f t="shared" si="36"/>
        <v>0</v>
      </c>
      <c r="EK33" s="470">
        <f t="shared" si="37"/>
        <v>0</v>
      </c>
      <c r="EL33" s="470">
        <f t="shared" si="38"/>
        <v>0</v>
      </c>
      <c r="EM33" s="449">
        <f t="shared" si="39"/>
        <v>0</v>
      </c>
      <c r="EN33" s="460">
        <f t="shared" si="40"/>
        <v>0</v>
      </c>
      <c r="EO33" s="469">
        <f t="shared" si="41"/>
        <v>0</v>
      </c>
      <c r="EP33" s="434"/>
      <c r="EQ33" s="426"/>
      <c r="ER33" s="434"/>
      <c r="ES33" s="426"/>
      <c r="ET33" s="434"/>
      <c r="EU33" s="426"/>
      <c r="EV33" s="434"/>
      <c r="EW33" s="426"/>
      <c r="EX33" s="434"/>
      <c r="EY33" s="426"/>
      <c r="EZ33" s="434"/>
      <c r="FA33" s="426"/>
      <c r="FB33" s="434"/>
      <c r="FC33" s="426"/>
      <c r="FD33" s="434"/>
      <c r="FE33" s="426"/>
      <c r="FF33" s="434"/>
      <c r="FG33" s="426"/>
      <c r="FH33" s="435"/>
      <c r="FI33" s="426"/>
      <c r="FJ33" s="468">
        <f t="shared" si="42"/>
        <v>0</v>
      </c>
      <c r="FK33" s="469">
        <f t="shared" si="43"/>
        <v>0</v>
      </c>
      <c r="FL33" s="435"/>
      <c r="FM33" s="426"/>
      <c r="FN33" s="460">
        <f t="shared" si="44"/>
        <v>442</v>
      </c>
      <c r="FO33" s="469">
        <f t="shared" si="45"/>
        <v>507</v>
      </c>
      <c r="FQ33" s="393"/>
    </row>
    <row r="34" spans="1:173" s="248" customFormat="1" x14ac:dyDescent="0.2">
      <c r="A34" s="354" t="s">
        <v>0</v>
      </c>
      <c r="B34" s="359" t="s">
        <v>511</v>
      </c>
      <c r="C34" s="492"/>
      <c r="D34" s="488">
        <v>101569</v>
      </c>
      <c r="E34" s="499">
        <v>9</v>
      </c>
      <c r="F34" s="427">
        <v>396</v>
      </c>
      <c r="G34" s="426">
        <v>372</v>
      </c>
      <c r="H34" s="427"/>
      <c r="I34" s="426"/>
      <c r="J34" s="427">
        <v>244</v>
      </c>
      <c r="K34" s="426">
        <v>280</v>
      </c>
      <c r="L34" s="458">
        <f t="shared" si="24"/>
        <v>0</v>
      </c>
      <c r="M34" s="449">
        <f t="shared" si="25"/>
        <v>0</v>
      </c>
      <c r="N34" s="428"/>
      <c r="O34" s="428"/>
      <c r="P34" s="428"/>
      <c r="Q34" s="428"/>
      <c r="R34" s="460">
        <f t="shared" si="2"/>
        <v>0</v>
      </c>
      <c r="S34" s="391"/>
      <c r="T34" s="429"/>
      <c r="U34" s="429"/>
      <c r="V34" s="429"/>
      <c r="W34" s="462">
        <f t="shared" si="3"/>
        <v>0</v>
      </c>
      <c r="X34" s="430"/>
      <c r="Y34" s="427"/>
      <c r="Z34" s="431"/>
      <c r="AA34" s="431"/>
      <c r="AB34" s="432"/>
      <c r="AC34" s="427"/>
      <c r="AD34" s="431"/>
      <c r="AE34" s="433"/>
      <c r="AF34" s="432"/>
      <c r="AG34" s="427"/>
      <c r="AH34" s="431"/>
      <c r="AI34" s="433"/>
      <c r="AJ34" s="432"/>
      <c r="AK34" s="427"/>
      <c r="AL34" s="431"/>
      <c r="AM34" s="433"/>
      <c r="AN34" s="432"/>
      <c r="AO34" s="427"/>
      <c r="AP34" s="431"/>
      <c r="AQ34" s="431"/>
      <c r="AR34" s="460">
        <f t="shared" si="26"/>
        <v>0</v>
      </c>
      <c r="AS34" s="467">
        <f t="shared" si="27"/>
        <v>0</v>
      </c>
      <c r="AT34" s="447">
        <f t="shared" si="28"/>
        <v>0</v>
      </c>
      <c r="AU34" s="448">
        <f t="shared" si="29"/>
        <v>0</v>
      </c>
      <c r="AV34" s="427"/>
      <c r="AW34" s="426"/>
      <c r="AX34" s="430"/>
      <c r="AY34" s="427"/>
      <c r="AZ34" s="431"/>
      <c r="BA34" s="431"/>
      <c r="BB34" s="432"/>
      <c r="BC34" s="427"/>
      <c r="BD34" s="431"/>
      <c r="BE34" s="433"/>
      <c r="BF34" s="432"/>
      <c r="BG34" s="427"/>
      <c r="BH34" s="431"/>
      <c r="BI34" s="433"/>
      <c r="BJ34" s="432"/>
      <c r="BK34" s="427"/>
      <c r="BL34" s="431"/>
      <c r="BM34" s="433"/>
      <c r="BN34" s="432"/>
      <c r="BO34" s="427"/>
      <c r="BP34" s="431"/>
      <c r="BQ34" s="433"/>
      <c r="BR34" s="432"/>
      <c r="BS34" s="427"/>
      <c r="BT34" s="446"/>
      <c r="BU34" s="392"/>
      <c r="BV34" s="432"/>
      <c r="BW34" s="427"/>
      <c r="BX34" s="431"/>
      <c r="BY34" s="433"/>
      <c r="BZ34" s="432"/>
      <c r="CA34" s="427"/>
      <c r="CB34" s="431"/>
      <c r="CC34" s="433"/>
      <c r="CD34" s="432"/>
      <c r="CE34" s="427"/>
      <c r="CF34" s="431"/>
      <c r="CG34" s="433"/>
      <c r="CH34" s="432"/>
      <c r="CI34" s="427"/>
      <c r="CJ34" s="431"/>
      <c r="CK34" s="433"/>
      <c r="CL34" s="428"/>
      <c r="CM34" s="426"/>
      <c r="CN34" s="468">
        <f t="shared" si="30"/>
        <v>0</v>
      </c>
      <c r="CO34" s="468">
        <f t="shared" si="31"/>
        <v>0</v>
      </c>
      <c r="CP34" s="469">
        <f t="shared" si="32"/>
        <v>0</v>
      </c>
      <c r="CQ34" s="469">
        <f t="shared" si="33"/>
        <v>0</v>
      </c>
      <c r="CR34" s="430"/>
      <c r="CS34" s="427"/>
      <c r="CT34" s="431"/>
      <c r="CU34" s="431"/>
      <c r="CV34" s="432"/>
      <c r="CW34" s="427"/>
      <c r="CX34" s="431"/>
      <c r="CY34" s="433"/>
      <c r="CZ34" s="432"/>
      <c r="DA34" s="427"/>
      <c r="DB34" s="431"/>
      <c r="DC34" s="433"/>
      <c r="DD34" s="432"/>
      <c r="DE34" s="427"/>
      <c r="DF34" s="431"/>
      <c r="DG34" s="433"/>
      <c r="DH34" s="432"/>
      <c r="DI34" s="427"/>
      <c r="DJ34" s="431"/>
      <c r="DK34" s="433"/>
      <c r="DL34" s="432"/>
      <c r="DM34" s="427"/>
      <c r="DN34" s="431"/>
      <c r="DO34" s="433"/>
      <c r="DP34" s="432"/>
      <c r="DQ34" s="427"/>
      <c r="DR34" s="431"/>
      <c r="DS34" s="433"/>
      <c r="DT34" s="432"/>
      <c r="DU34" s="427"/>
      <c r="DV34" s="431"/>
      <c r="DW34" s="433"/>
      <c r="DX34" s="432"/>
      <c r="DY34" s="427"/>
      <c r="DZ34" s="431"/>
      <c r="EA34" s="433"/>
      <c r="EB34" s="432"/>
      <c r="EC34" s="427"/>
      <c r="ED34" s="431"/>
      <c r="EE34" s="433"/>
      <c r="EF34" s="428"/>
      <c r="EG34" s="426"/>
      <c r="EH34" s="460">
        <f t="shared" si="34"/>
        <v>0</v>
      </c>
      <c r="EI34" s="460">
        <f t="shared" si="35"/>
        <v>0</v>
      </c>
      <c r="EJ34" s="458">
        <f t="shared" si="36"/>
        <v>0</v>
      </c>
      <c r="EK34" s="470">
        <f t="shared" si="37"/>
        <v>0</v>
      </c>
      <c r="EL34" s="470">
        <f t="shared" si="38"/>
        <v>0</v>
      </c>
      <c r="EM34" s="449">
        <f t="shared" si="39"/>
        <v>0</v>
      </c>
      <c r="EN34" s="460">
        <f t="shared" si="40"/>
        <v>0</v>
      </c>
      <c r="EO34" s="469">
        <f t="shared" si="41"/>
        <v>0</v>
      </c>
      <c r="EP34" s="434"/>
      <c r="EQ34" s="426"/>
      <c r="ER34" s="434"/>
      <c r="ES34" s="426"/>
      <c r="ET34" s="434"/>
      <c r="EU34" s="426"/>
      <c r="EV34" s="434"/>
      <c r="EW34" s="426"/>
      <c r="EX34" s="434"/>
      <c r="EY34" s="426"/>
      <c r="EZ34" s="434"/>
      <c r="FA34" s="426"/>
      <c r="FB34" s="434"/>
      <c r="FC34" s="426"/>
      <c r="FD34" s="434"/>
      <c r="FE34" s="426"/>
      <c r="FF34" s="434"/>
      <c r="FG34" s="426"/>
      <c r="FH34" s="435"/>
      <c r="FI34" s="426"/>
      <c r="FJ34" s="468">
        <f t="shared" si="42"/>
        <v>0</v>
      </c>
      <c r="FK34" s="469">
        <f t="shared" si="43"/>
        <v>0</v>
      </c>
      <c r="FL34" s="435"/>
      <c r="FM34" s="426"/>
      <c r="FN34" s="460">
        <f t="shared" si="44"/>
        <v>640</v>
      </c>
      <c r="FO34" s="469">
        <f t="shared" si="45"/>
        <v>652</v>
      </c>
      <c r="FQ34" s="393"/>
    </row>
    <row r="35" spans="1:173" s="248" customFormat="1" x14ac:dyDescent="0.2">
      <c r="A35" s="354" t="s">
        <v>0</v>
      </c>
      <c r="B35" s="360" t="s">
        <v>512</v>
      </c>
      <c r="C35" s="493"/>
      <c r="D35" s="489">
        <v>101897</v>
      </c>
      <c r="E35" s="500">
        <v>9</v>
      </c>
      <c r="F35" s="427">
        <v>391</v>
      </c>
      <c r="G35" s="426">
        <v>370</v>
      </c>
      <c r="H35" s="427"/>
      <c r="I35" s="426"/>
      <c r="J35" s="427">
        <v>411</v>
      </c>
      <c r="K35" s="426">
        <v>532</v>
      </c>
      <c r="L35" s="458">
        <f t="shared" si="24"/>
        <v>0</v>
      </c>
      <c r="M35" s="449">
        <f t="shared" si="25"/>
        <v>0</v>
      </c>
      <c r="N35" s="428"/>
      <c r="O35" s="428"/>
      <c r="P35" s="428"/>
      <c r="Q35" s="428"/>
      <c r="R35" s="460">
        <f t="shared" si="2"/>
        <v>0</v>
      </c>
      <c r="S35" s="391"/>
      <c r="T35" s="429"/>
      <c r="U35" s="429"/>
      <c r="V35" s="429"/>
      <c r="W35" s="462">
        <f t="shared" si="3"/>
        <v>0</v>
      </c>
      <c r="X35" s="430"/>
      <c r="Y35" s="427"/>
      <c r="Z35" s="431"/>
      <c r="AA35" s="431"/>
      <c r="AB35" s="432"/>
      <c r="AC35" s="427"/>
      <c r="AD35" s="431"/>
      <c r="AE35" s="433"/>
      <c r="AF35" s="432"/>
      <c r="AG35" s="427"/>
      <c r="AH35" s="431"/>
      <c r="AI35" s="433"/>
      <c r="AJ35" s="432"/>
      <c r="AK35" s="427"/>
      <c r="AL35" s="431"/>
      <c r="AM35" s="433"/>
      <c r="AN35" s="432"/>
      <c r="AO35" s="427"/>
      <c r="AP35" s="431"/>
      <c r="AQ35" s="431"/>
      <c r="AR35" s="460">
        <f t="shared" si="26"/>
        <v>0</v>
      </c>
      <c r="AS35" s="467">
        <f t="shared" si="27"/>
        <v>0</v>
      </c>
      <c r="AT35" s="447">
        <f t="shared" si="28"/>
        <v>0</v>
      </c>
      <c r="AU35" s="448">
        <f t="shared" si="29"/>
        <v>0</v>
      </c>
      <c r="AV35" s="427"/>
      <c r="AW35" s="426"/>
      <c r="AX35" s="430"/>
      <c r="AY35" s="427"/>
      <c r="AZ35" s="431"/>
      <c r="BA35" s="431"/>
      <c r="BB35" s="432"/>
      <c r="BC35" s="427"/>
      <c r="BD35" s="431"/>
      <c r="BE35" s="433"/>
      <c r="BF35" s="432"/>
      <c r="BG35" s="427"/>
      <c r="BH35" s="431"/>
      <c r="BI35" s="433"/>
      <c r="BJ35" s="432"/>
      <c r="BK35" s="427"/>
      <c r="BL35" s="431"/>
      <c r="BM35" s="433"/>
      <c r="BN35" s="432"/>
      <c r="BO35" s="427"/>
      <c r="BP35" s="431"/>
      <c r="BQ35" s="433"/>
      <c r="BR35" s="432"/>
      <c r="BS35" s="427"/>
      <c r="BT35" s="446"/>
      <c r="BU35" s="392"/>
      <c r="BV35" s="432"/>
      <c r="BW35" s="427"/>
      <c r="BX35" s="431"/>
      <c r="BY35" s="433"/>
      <c r="BZ35" s="432"/>
      <c r="CA35" s="427"/>
      <c r="CB35" s="431"/>
      <c r="CC35" s="433"/>
      <c r="CD35" s="432"/>
      <c r="CE35" s="427"/>
      <c r="CF35" s="431"/>
      <c r="CG35" s="433"/>
      <c r="CH35" s="432"/>
      <c r="CI35" s="427"/>
      <c r="CJ35" s="431"/>
      <c r="CK35" s="433"/>
      <c r="CL35" s="428"/>
      <c r="CM35" s="426"/>
      <c r="CN35" s="468">
        <f t="shared" si="30"/>
        <v>0</v>
      </c>
      <c r="CO35" s="468">
        <f t="shared" si="31"/>
        <v>0</v>
      </c>
      <c r="CP35" s="469">
        <f t="shared" si="32"/>
        <v>0</v>
      </c>
      <c r="CQ35" s="469">
        <f t="shared" si="33"/>
        <v>0</v>
      </c>
      <c r="CR35" s="430"/>
      <c r="CS35" s="427"/>
      <c r="CT35" s="431"/>
      <c r="CU35" s="431"/>
      <c r="CV35" s="432"/>
      <c r="CW35" s="427"/>
      <c r="CX35" s="431"/>
      <c r="CY35" s="433"/>
      <c r="CZ35" s="432"/>
      <c r="DA35" s="427"/>
      <c r="DB35" s="431"/>
      <c r="DC35" s="433"/>
      <c r="DD35" s="432"/>
      <c r="DE35" s="427"/>
      <c r="DF35" s="431"/>
      <c r="DG35" s="433"/>
      <c r="DH35" s="432"/>
      <c r="DI35" s="427"/>
      <c r="DJ35" s="431"/>
      <c r="DK35" s="433"/>
      <c r="DL35" s="432"/>
      <c r="DM35" s="427"/>
      <c r="DN35" s="431"/>
      <c r="DO35" s="433"/>
      <c r="DP35" s="432"/>
      <c r="DQ35" s="427"/>
      <c r="DR35" s="431"/>
      <c r="DS35" s="433"/>
      <c r="DT35" s="432"/>
      <c r="DU35" s="427"/>
      <c r="DV35" s="431"/>
      <c r="DW35" s="433"/>
      <c r="DX35" s="432"/>
      <c r="DY35" s="427"/>
      <c r="DZ35" s="431"/>
      <c r="EA35" s="433"/>
      <c r="EB35" s="432"/>
      <c r="EC35" s="427"/>
      <c r="ED35" s="431"/>
      <c r="EE35" s="433"/>
      <c r="EF35" s="428"/>
      <c r="EG35" s="426"/>
      <c r="EH35" s="460">
        <f t="shared" si="34"/>
        <v>0</v>
      </c>
      <c r="EI35" s="460">
        <f t="shared" si="35"/>
        <v>0</v>
      </c>
      <c r="EJ35" s="458">
        <f t="shared" si="36"/>
        <v>0</v>
      </c>
      <c r="EK35" s="470">
        <f t="shared" si="37"/>
        <v>0</v>
      </c>
      <c r="EL35" s="470">
        <f t="shared" si="38"/>
        <v>0</v>
      </c>
      <c r="EM35" s="449">
        <f t="shared" si="39"/>
        <v>0</v>
      </c>
      <c r="EN35" s="460">
        <f t="shared" si="40"/>
        <v>0</v>
      </c>
      <c r="EO35" s="469">
        <f t="shared" si="41"/>
        <v>0</v>
      </c>
      <c r="EP35" s="434"/>
      <c r="EQ35" s="426"/>
      <c r="ER35" s="434"/>
      <c r="ES35" s="426"/>
      <c r="ET35" s="434"/>
      <c r="EU35" s="426"/>
      <c r="EV35" s="434"/>
      <c r="EW35" s="426"/>
      <c r="EX35" s="434"/>
      <c r="EY35" s="426"/>
      <c r="EZ35" s="434"/>
      <c r="FA35" s="426"/>
      <c r="FB35" s="434"/>
      <c r="FC35" s="426"/>
      <c r="FD35" s="434"/>
      <c r="FE35" s="426"/>
      <c r="FF35" s="434"/>
      <c r="FG35" s="426"/>
      <c r="FH35" s="435"/>
      <c r="FI35" s="426"/>
      <c r="FJ35" s="468">
        <f t="shared" si="42"/>
        <v>0</v>
      </c>
      <c r="FK35" s="469">
        <f t="shared" si="43"/>
        <v>0</v>
      </c>
      <c r="FL35" s="435"/>
      <c r="FM35" s="426"/>
      <c r="FN35" s="460">
        <f t="shared" si="44"/>
        <v>802</v>
      </c>
      <c r="FO35" s="469">
        <f t="shared" si="45"/>
        <v>902</v>
      </c>
      <c r="FQ35" s="393"/>
    </row>
    <row r="36" spans="1:173" s="248" customFormat="1" x14ac:dyDescent="0.2">
      <c r="A36" s="354" t="s">
        <v>0</v>
      </c>
      <c r="B36" s="359" t="s">
        <v>513</v>
      </c>
      <c r="C36" s="492"/>
      <c r="D36" s="488">
        <v>101736</v>
      </c>
      <c r="E36" s="499">
        <v>9</v>
      </c>
      <c r="F36" s="427">
        <v>150</v>
      </c>
      <c r="G36" s="426">
        <v>335</v>
      </c>
      <c r="H36" s="427"/>
      <c r="I36" s="426"/>
      <c r="J36" s="427">
        <v>295</v>
      </c>
      <c r="K36" s="426">
        <v>431</v>
      </c>
      <c r="L36" s="458">
        <f t="shared" si="24"/>
        <v>0</v>
      </c>
      <c r="M36" s="449">
        <f t="shared" si="25"/>
        <v>0</v>
      </c>
      <c r="N36" s="428"/>
      <c r="O36" s="428"/>
      <c r="P36" s="428"/>
      <c r="Q36" s="428"/>
      <c r="R36" s="460">
        <f t="shared" si="2"/>
        <v>0</v>
      </c>
      <c r="S36" s="391"/>
      <c r="T36" s="429"/>
      <c r="U36" s="429"/>
      <c r="V36" s="429"/>
      <c r="W36" s="462">
        <f t="shared" si="3"/>
        <v>0</v>
      </c>
      <c r="X36" s="430"/>
      <c r="Y36" s="427"/>
      <c r="Z36" s="431"/>
      <c r="AA36" s="431"/>
      <c r="AB36" s="432"/>
      <c r="AC36" s="427"/>
      <c r="AD36" s="431"/>
      <c r="AE36" s="433"/>
      <c r="AF36" s="432"/>
      <c r="AG36" s="427"/>
      <c r="AH36" s="431"/>
      <c r="AI36" s="433"/>
      <c r="AJ36" s="432"/>
      <c r="AK36" s="427"/>
      <c r="AL36" s="431"/>
      <c r="AM36" s="433"/>
      <c r="AN36" s="432"/>
      <c r="AO36" s="427"/>
      <c r="AP36" s="431"/>
      <c r="AQ36" s="431"/>
      <c r="AR36" s="460">
        <f t="shared" si="26"/>
        <v>0</v>
      </c>
      <c r="AS36" s="467">
        <f t="shared" si="27"/>
        <v>0</v>
      </c>
      <c r="AT36" s="447">
        <f t="shared" si="28"/>
        <v>0</v>
      </c>
      <c r="AU36" s="448">
        <f t="shared" si="29"/>
        <v>0</v>
      </c>
      <c r="AV36" s="427"/>
      <c r="AW36" s="426"/>
      <c r="AX36" s="430"/>
      <c r="AY36" s="427"/>
      <c r="AZ36" s="431"/>
      <c r="BA36" s="431"/>
      <c r="BB36" s="432"/>
      <c r="BC36" s="427"/>
      <c r="BD36" s="431"/>
      <c r="BE36" s="433"/>
      <c r="BF36" s="432"/>
      <c r="BG36" s="427"/>
      <c r="BH36" s="431"/>
      <c r="BI36" s="433"/>
      <c r="BJ36" s="432"/>
      <c r="BK36" s="427"/>
      <c r="BL36" s="431"/>
      <c r="BM36" s="433"/>
      <c r="BN36" s="432"/>
      <c r="BO36" s="427"/>
      <c r="BP36" s="431"/>
      <c r="BQ36" s="433"/>
      <c r="BR36" s="432"/>
      <c r="BS36" s="427"/>
      <c r="BT36" s="446"/>
      <c r="BU36" s="392"/>
      <c r="BV36" s="432"/>
      <c r="BW36" s="427"/>
      <c r="BX36" s="431"/>
      <c r="BY36" s="433"/>
      <c r="BZ36" s="432"/>
      <c r="CA36" s="427"/>
      <c r="CB36" s="431"/>
      <c r="CC36" s="433"/>
      <c r="CD36" s="432"/>
      <c r="CE36" s="427"/>
      <c r="CF36" s="431"/>
      <c r="CG36" s="433"/>
      <c r="CH36" s="432"/>
      <c r="CI36" s="427"/>
      <c r="CJ36" s="431"/>
      <c r="CK36" s="433"/>
      <c r="CL36" s="428"/>
      <c r="CM36" s="426"/>
      <c r="CN36" s="468">
        <f t="shared" si="30"/>
        <v>0</v>
      </c>
      <c r="CO36" s="468">
        <f t="shared" si="31"/>
        <v>0</v>
      </c>
      <c r="CP36" s="469">
        <f t="shared" si="32"/>
        <v>0</v>
      </c>
      <c r="CQ36" s="469">
        <f t="shared" si="33"/>
        <v>0</v>
      </c>
      <c r="CR36" s="430"/>
      <c r="CS36" s="427"/>
      <c r="CT36" s="431"/>
      <c r="CU36" s="431"/>
      <c r="CV36" s="432"/>
      <c r="CW36" s="427"/>
      <c r="CX36" s="431"/>
      <c r="CY36" s="433"/>
      <c r="CZ36" s="432"/>
      <c r="DA36" s="427"/>
      <c r="DB36" s="431"/>
      <c r="DC36" s="433"/>
      <c r="DD36" s="432"/>
      <c r="DE36" s="427"/>
      <c r="DF36" s="431"/>
      <c r="DG36" s="433"/>
      <c r="DH36" s="432"/>
      <c r="DI36" s="427"/>
      <c r="DJ36" s="431"/>
      <c r="DK36" s="433"/>
      <c r="DL36" s="432"/>
      <c r="DM36" s="427"/>
      <c r="DN36" s="431"/>
      <c r="DO36" s="433"/>
      <c r="DP36" s="432"/>
      <c r="DQ36" s="427"/>
      <c r="DR36" s="431"/>
      <c r="DS36" s="433"/>
      <c r="DT36" s="432"/>
      <c r="DU36" s="427"/>
      <c r="DV36" s="431"/>
      <c r="DW36" s="433"/>
      <c r="DX36" s="432"/>
      <c r="DY36" s="427"/>
      <c r="DZ36" s="431"/>
      <c r="EA36" s="433"/>
      <c r="EB36" s="432"/>
      <c r="EC36" s="427"/>
      <c r="ED36" s="431"/>
      <c r="EE36" s="433"/>
      <c r="EF36" s="428"/>
      <c r="EG36" s="426"/>
      <c r="EH36" s="460">
        <f t="shared" si="34"/>
        <v>0</v>
      </c>
      <c r="EI36" s="460">
        <f t="shared" si="35"/>
        <v>0</v>
      </c>
      <c r="EJ36" s="458">
        <f t="shared" si="36"/>
        <v>0</v>
      </c>
      <c r="EK36" s="470">
        <f t="shared" si="37"/>
        <v>0</v>
      </c>
      <c r="EL36" s="470">
        <f t="shared" si="38"/>
        <v>0</v>
      </c>
      <c r="EM36" s="449">
        <f t="shared" si="39"/>
        <v>0</v>
      </c>
      <c r="EN36" s="460">
        <f t="shared" si="40"/>
        <v>0</v>
      </c>
      <c r="EO36" s="469">
        <f t="shared" si="41"/>
        <v>0</v>
      </c>
      <c r="EP36" s="434"/>
      <c r="EQ36" s="426"/>
      <c r="ER36" s="434"/>
      <c r="ES36" s="426"/>
      <c r="ET36" s="434"/>
      <c r="EU36" s="426"/>
      <c r="EV36" s="434"/>
      <c r="EW36" s="426"/>
      <c r="EX36" s="434"/>
      <c r="EY36" s="426"/>
      <c r="EZ36" s="434"/>
      <c r="FA36" s="426"/>
      <c r="FB36" s="434"/>
      <c r="FC36" s="426"/>
      <c r="FD36" s="434"/>
      <c r="FE36" s="426"/>
      <c r="FF36" s="434"/>
      <c r="FG36" s="426"/>
      <c r="FH36" s="435"/>
      <c r="FI36" s="426"/>
      <c r="FJ36" s="468">
        <f t="shared" si="42"/>
        <v>0</v>
      </c>
      <c r="FK36" s="469">
        <f t="shared" si="43"/>
        <v>0</v>
      </c>
      <c r="FL36" s="435"/>
      <c r="FM36" s="426"/>
      <c r="FN36" s="460">
        <f t="shared" si="44"/>
        <v>445</v>
      </c>
      <c r="FO36" s="469">
        <f t="shared" si="45"/>
        <v>766</v>
      </c>
      <c r="FQ36" s="393"/>
    </row>
    <row r="37" spans="1:173" s="248" customFormat="1" x14ac:dyDescent="0.2">
      <c r="A37" s="354" t="s">
        <v>0</v>
      </c>
      <c r="B37" s="355" t="s">
        <v>514</v>
      </c>
      <c r="C37" s="491"/>
      <c r="D37" s="488">
        <v>102067</v>
      </c>
      <c r="E37" s="499">
        <v>9</v>
      </c>
      <c r="F37" s="427">
        <v>240</v>
      </c>
      <c r="G37" s="426">
        <v>203</v>
      </c>
      <c r="H37" s="427"/>
      <c r="I37" s="426"/>
      <c r="J37" s="427">
        <v>352</v>
      </c>
      <c r="K37" s="426">
        <v>355</v>
      </c>
      <c r="L37" s="458">
        <f t="shared" si="24"/>
        <v>0</v>
      </c>
      <c r="M37" s="449">
        <f t="shared" si="25"/>
        <v>0</v>
      </c>
      <c r="N37" s="428"/>
      <c r="O37" s="428"/>
      <c r="P37" s="428"/>
      <c r="Q37" s="428"/>
      <c r="R37" s="460">
        <f t="shared" si="2"/>
        <v>0</v>
      </c>
      <c r="S37" s="391"/>
      <c r="T37" s="429"/>
      <c r="U37" s="429"/>
      <c r="V37" s="429"/>
      <c r="W37" s="462">
        <f t="shared" si="3"/>
        <v>0</v>
      </c>
      <c r="X37" s="430"/>
      <c r="Y37" s="427"/>
      <c r="Z37" s="431"/>
      <c r="AA37" s="431"/>
      <c r="AB37" s="432"/>
      <c r="AC37" s="427"/>
      <c r="AD37" s="431"/>
      <c r="AE37" s="433"/>
      <c r="AF37" s="432"/>
      <c r="AG37" s="427"/>
      <c r="AH37" s="431"/>
      <c r="AI37" s="433"/>
      <c r="AJ37" s="432"/>
      <c r="AK37" s="427"/>
      <c r="AL37" s="431"/>
      <c r="AM37" s="433"/>
      <c r="AN37" s="432"/>
      <c r="AO37" s="427"/>
      <c r="AP37" s="431"/>
      <c r="AQ37" s="431"/>
      <c r="AR37" s="460">
        <f t="shared" si="26"/>
        <v>0</v>
      </c>
      <c r="AS37" s="467">
        <f t="shared" si="27"/>
        <v>0</v>
      </c>
      <c r="AT37" s="447">
        <f t="shared" si="28"/>
        <v>0</v>
      </c>
      <c r="AU37" s="448">
        <f t="shared" si="29"/>
        <v>0</v>
      </c>
      <c r="AV37" s="427"/>
      <c r="AW37" s="426"/>
      <c r="AX37" s="430"/>
      <c r="AY37" s="427"/>
      <c r="AZ37" s="431"/>
      <c r="BA37" s="431"/>
      <c r="BB37" s="432"/>
      <c r="BC37" s="427"/>
      <c r="BD37" s="431"/>
      <c r="BE37" s="433"/>
      <c r="BF37" s="432"/>
      <c r="BG37" s="427"/>
      <c r="BH37" s="431"/>
      <c r="BI37" s="433"/>
      <c r="BJ37" s="432"/>
      <c r="BK37" s="427"/>
      <c r="BL37" s="431"/>
      <c r="BM37" s="433"/>
      <c r="BN37" s="432"/>
      <c r="BO37" s="427"/>
      <c r="BP37" s="431"/>
      <c r="BQ37" s="433"/>
      <c r="BR37" s="432"/>
      <c r="BS37" s="427"/>
      <c r="BT37" s="446"/>
      <c r="BU37" s="392"/>
      <c r="BV37" s="432"/>
      <c r="BW37" s="427"/>
      <c r="BX37" s="431"/>
      <c r="BY37" s="433"/>
      <c r="BZ37" s="432"/>
      <c r="CA37" s="427"/>
      <c r="CB37" s="431"/>
      <c r="CC37" s="433"/>
      <c r="CD37" s="432"/>
      <c r="CE37" s="427"/>
      <c r="CF37" s="431"/>
      <c r="CG37" s="433"/>
      <c r="CH37" s="432"/>
      <c r="CI37" s="427"/>
      <c r="CJ37" s="431"/>
      <c r="CK37" s="433"/>
      <c r="CL37" s="428"/>
      <c r="CM37" s="426"/>
      <c r="CN37" s="468">
        <f t="shared" si="30"/>
        <v>0</v>
      </c>
      <c r="CO37" s="468">
        <f t="shared" si="31"/>
        <v>0</v>
      </c>
      <c r="CP37" s="469">
        <f t="shared" si="32"/>
        <v>0</v>
      </c>
      <c r="CQ37" s="469">
        <f t="shared" si="33"/>
        <v>0</v>
      </c>
      <c r="CR37" s="430"/>
      <c r="CS37" s="427"/>
      <c r="CT37" s="431"/>
      <c r="CU37" s="431"/>
      <c r="CV37" s="432"/>
      <c r="CW37" s="427"/>
      <c r="CX37" s="431"/>
      <c r="CY37" s="433"/>
      <c r="CZ37" s="432"/>
      <c r="DA37" s="427"/>
      <c r="DB37" s="431"/>
      <c r="DC37" s="433"/>
      <c r="DD37" s="432"/>
      <c r="DE37" s="427"/>
      <c r="DF37" s="431"/>
      <c r="DG37" s="433"/>
      <c r="DH37" s="432"/>
      <c r="DI37" s="427"/>
      <c r="DJ37" s="431"/>
      <c r="DK37" s="433"/>
      <c r="DL37" s="432"/>
      <c r="DM37" s="427"/>
      <c r="DN37" s="431"/>
      <c r="DO37" s="433"/>
      <c r="DP37" s="432"/>
      <c r="DQ37" s="427"/>
      <c r="DR37" s="431"/>
      <c r="DS37" s="433"/>
      <c r="DT37" s="432"/>
      <c r="DU37" s="427"/>
      <c r="DV37" s="431"/>
      <c r="DW37" s="433"/>
      <c r="DX37" s="432"/>
      <c r="DY37" s="427"/>
      <c r="DZ37" s="431"/>
      <c r="EA37" s="433"/>
      <c r="EB37" s="432"/>
      <c r="EC37" s="427"/>
      <c r="ED37" s="431"/>
      <c r="EE37" s="433"/>
      <c r="EF37" s="428"/>
      <c r="EG37" s="426"/>
      <c r="EH37" s="460">
        <f t="shared" si="34"/>
        <v>0</v>
      </c>
      <c r="EI37" s="460">
        <f t="shared" si="35"/>
        <v>0</v>
      </c>
      <c r="EJ37" s="458">
        <f t="shared" si="36"/>
        <v>0</v>
      </c>
      <c r="EK37" s="470">
        <f t="shared" si="37"/>
        <v>0</v>
      </c>
      <c r="EL37" s="470">
        <f t="shared" si="38"/>
        <v>0</v>
      </c>
      <c r="EM37" s="449">
        <f t="shared" si="39"/>
        <v>0</v>
      </c>
      <c r="EN37" s="460">
        <f t="shared" si="40"/>
        <v>0</v>
      </c>
      <c r="EO37" s="469">
        <f t="shared" si="41"/>
        <v>0</v>
      </c>
      <c r="EP37" s="434"/>
      <c r="EQ37" s="426"/>
      <c r="ER37" s="434"/>
      <c r="ES37" s="426"/>
      <c r="ET37" s="434"/>
      <c r="EU37" s="426"/>
      <c r="EV37" s="434"/>
      <c r="EW37" s="426"/>
      <c r="EX37" s="434"/>
      <c r="EY37" s="426"/>
      <c r="EZ37" s="434"/>
      <c r="FA37" s="426"/>
      <c r="FB37" s="434"/>
      <c r="FC37" s="426"/>
      <c r="FD37" s="434"/>
      <c r="FE37" s="426"/>
      <c r="FF37" s="434"/>
      <c r="FG37" s="426"/>
      <c r="FH37" s="435"/>
      <c r="FI37" s="426"/>
      <c r="FJ37" s="468">
        <f t="shared" si="42"/>
        <v>0</v>
      </c>
      <c r="FK37" s="469">
        <f t="shared" si="43"/>
        <v>0</v>
      </c>
      <c r="FL37" s="435"/>
      <c r="FM37" s="426"/>
      <c r="FN37" s="460">
        <f t="shared" si="44"/>
        <v>592</v>
      </c>
      <c r="FO37" s="469">
        <f t="shared" si="45"/>
        <v>558</v>
      </c>
      <c r="FQ37" s="393"/>
    </row>
    <row r="38" spans="1:173" s="248" customFormat="1" x14ac:dyDescent="0.2">
      <c r="A38" s="354" t="s">
        <v>0</v>
      </c>
      <c r="B38" s="359" t="s">
        <v>515</v>
      </c>
      <c r="C38" s="492"/>
      <c r="D38" s="488">
        <v>251260</v>
      </c>
      <c r="E38" s="499">
        <v>9</v>
      </c>
      <c r="F38" s="427">
        <v>145</v>
      </c>
      <c r="G38" s="426">
        <v>148</v>
      </c>
      <c r="H38" s="427"/>
      <c r="I38" s="426"/>
      <c r="J38" s="427">
        <v>507</v>
      </c>
      <c r="K38" s="426">
        <v>581</v>
      </c>
      <c r="L38" s="458">
        <f t="shared" si="24"/>
        <v>0</v>
      </c>
      <c r="M38" s="449">
        <f t="shared" si="25"/>
        <v>0</v>
      </c>
      <c r="N38" s="428"/>
      <c r="O38" s="428"/>
      <c r="P38" s="428"/>
      <c r="Q38" s="428"/>
      <c r="R38" s="460">
        <f t="shared" si="2"/>
        <v>0</v>
      </c>
      <c r="S38" s="391"/>
      <c r="T38" s="429"/>
      <c r="U38" s="429"/>
      <c r="V38" s="429"/>
      <c r="W38" s="462">
        <f t="shared" si="3"/>
        <v>0</v>
      </c>
      <c r="X38" s="430"/>
      <c r="Y38" s="427"/>
      <c r="Z38" s="431"/>
      <c r="AA38" s="431"/>
      <c r="AB38" s="432"/>
      <c r="AC38" s="427"/>
      <c r="AD38" s="431"/>
      <c r="AE38" s="433"/>
      <c r="AF38" s="432"/>
      <c r="AG38" s="427"/>
      <c r="AH38" s="431"/>
      <c r="AI38" s="433"/>
      <c r="AJ38" s="432"/>
      <c r="AK38" s="427"/>
      <c r="AL38" s="431"/>
      <c r="AM38" s="433"/>
      <c r="AN38" s="432"/>
      <c r="AO38" s="427"/>
      <c r="AP38" s="431"/>
      <c r="AQ38" s="431"/>
      <c r="AR38" s="460">
        <f t="shared" si="26"/>
        <v>0</v>
      </c>
      <c r="AS38" s="467">
        <f t="shared" si="27"/>
        <v>0</v>
      </c>
      <c r="AT38" s="447">
        <f t="shared" si="28"/>
        <v>0</v>
      </c>
      <c r="AU38" s="448">
        <f t="shared" si="29"/>
        <v>0</v>
      </c>
      <c r="AV38" s="427"/>
      <c r="AW38" s="426"/>
      <c r="AX38" s="430"/>
      <c r="AY38" s="427"/>
      <c r="AZ38" s="431"/>
      <c r="BA38" s="431"/>
      <c r="BB38" s="432"/>
      <c r="BC38" s="427"/>
      <c r="BD38" s="431"/>
      <c r="BE38" s="433"/>
      <c r="BF38" s="432"/>
      <c r="BG38" s="427"/>
      <c r="BH38" s="431"/>
      <c r="BI38" s="433"/>
      <c r="BJ38" s="432"/>
      <c r="BK38" s="427"/>
      <c r="BL38" s="431"/>
      <c r="BM38" s="433"/>
      <c r="BN38" s="432"/>
      <c r="BO38" s="427"/>
      <c r="BP38" s="431"/>
      <c r="BQ38" s="433"/>
      <c r="BR38" s="432"/>
      <c r="BS38" s="427"/>
      <c r="BT38" s="446"/>
      <c r="BU38" s="392"/>
      <c r="BV38" s="432"/>
      <c r="BW38" s="427"/>
      <c r="BX38" s="431"/>
      <c r="BY38" s="433"/>
      <c r="BZ38" s="432"/>
      <c r="CA38" s="427"/>
      <c r="CB38" s="431"/>
      <c r="CC38" s="433"/>
      <c r="CD38" s="432"/>
      <c r="CE38" s="427"/>
      <c r="CF38" s="431"/>
      <c r="CG38" s="433"/>
      <c r="CH38" s="432"/>
      <c r="CI38" s="427"/>
      <c r="CJ38" s="431"/>
      <c r="CK38" s="433"/>
      <c r="CL38" s="428"/>
      <c r="CM38" s="426"/>
      <c r="CN38" s="468">
        <f t="shared" si="30"/>
        <v>0</v>
      </c>
      <c r="CO38" s="468">
        <f t="shared" si="31"/>
        <v>0</v>
      </c>
      <c r="CP38" s="469">
        <f t="shared" si="32"/>
        <v>0</v>
      </c>
      <c r="CQ38" s="469">
        <f t="shared" si="33"/>
        <v>0</v>
      </c>
      <c r="CR38" s="430"/>
      <c r="CS38" s="427"/>
      <c r="CT38" s="431"/>
      <c r="CU38" s="431"/>
      <c r="CV38" s="432"/>
      <c r="CW38" s="427"/>
      <c r="CX38" s="431"/>
      <c r="CY38" s="433"/>
      <c r="CZ38" s="432"/>
      <c r="DA38" s="427"/>
      <c r="DB38" s="431"/>
      <c r="DC38" s="433"/>
      <c r="DD38" s="432"/>
      <c r="DE38" s="427"/>
      <c r="DF38" s="431"/>
      <c r="DG38" s="433"/>
      <c r="DH38" s="432"/>
      <c r="DI38" s="427"/>
      <c r="DJ38" s="431"/>
      <c r="DK38" s="433"/>
      <c r="DL38" s="432"/>
      <c r="DM38" s="427"/>
      <c r="DN38" s="431"/>
      <c r="DO38" s="433"/>
      <c r="DP38" s="432"/>
      <c r="DQ38" s="427"/>
      <c r="DR38" s="431"/>
      <c r="DS38" s="433"/>
      <c r="DT38" s="432"/>
      <c r="DU38" s="427"/>
      <c r="DV38" s="431"/>
      <c r="DW38" s="433"/>
      <c r="DX38" s="432"/>
      <c r="DY38" s="427"/>
      <c r="DZ38" s="431"/>
      <c r="EA38" s="433"/>
      <c r="EB38" s="432"/>
      <c r="EC38" s="427"/>
      <c r="ED38" s="431"/>
      <c r="EE38" s="433"/>
      <c r="EF38" s="428"/>
      <c r="EG38" s="426"/>
      <c r="EH38" s="460">
        <f t="shared" si="34"/>
        <v>0</v>
      </c>
      <c r="EI38" s="460">
        <f t="shared" si="35"/>
        <v>0</v>
      </c>
      <c r="EJ38" s="458">
        <f t="shared" si="36"/>
        <v>0</v>
      </c>
      <c r="EK38" s="470">
        <f t="shared" si="37"/>
        <v>0</v>
      </c>
      <c r="EL38" s="470">
        <f t="shared" si="38"/>
        <v>0</v>
      </c>
      <c r="EM38" s="449">
        <f t="shared" si="39"/>
        <v>0</v>
      </c>
      <c r="EN38" s="460">
        <f t="shared" si="40"/>
        <v>0</v>
      </c>
      <c r="EO38" s="469">
        <f t="shared" si="41"/>
        <v>0</v>
      </c>
      <c r="EP38" s="434"/>
      <c r="EQ38" s="426"/>
      <c r="ER38" s="434"/>
      <c r="ES38" s="426"/>
      <c r="ET38" s="434"/>
      <c r="EU38" s="426"/>
      <c r="EV38" s="434"/>
      <c r="EW38" s="426"/>
      <c r="EX38" s="434"/>
      <c r="EY38" s="426"/>
      <c r="EZ38" s="434"/>
      <c r="FA38" s="426"/>
      <c r="FB38" s="434"/>
      <c r="FC38" s="426"/>
      <c r="FD38" s="434"/>
      <c r="FE38" s="426"/>
      <c r="FF38" s="434"/>
      <c r="FG38" s="426"/>
      <c r="FH38" s="435"/>
      <c r="FI38" s="426"/>
      <c r="FJ38" s="468">
        <f t="shared" si="42"/>
        <v>0</v>
      </c>
      <c r="FK38" s="469">
        <f t="shared" si="43"/>
        <v>0</v>
      </c>
      <c r="FL38" s="435"/>
      <c r="FM38" s="426"/>
      <c r="FN38" s="460">
        <f t="shared" si="44"/>
        <v>652</v>
      </c>
      <c r="FO38" s="469">
        <f t="shared" si="45"/>
        <v>729</v>
      </c>
      <c r="FQ38" s="393"/>
    </row>
    <row r="39" spans="1:173" s="248" customFormat="1" x14ac:dyDescent="0.2">
      <c r="A39" s="354" t="s">
        <v>0</v>
      </c>
      <c r="B39" s="355" t="s">
        <v>518</v>
      </c>
      <c r="C39" s="491"/>
      <c r="D39" s="488">
        <v>101949</v>
      </c>
      <c r="E39" s="499">
        <v>10</v>
      </c>
      <c r="F39" s="427">
        <v>112</v>
      </c>
      <c r="G39" s="426">
        <v>125</v>
      </c>
      <c r="H39" s="427"/>
      <c r="I39" s="426"/>
      <c r="J39" s="427">
        <v>180</v>
      </c>
      <c r="K39" s="426">
        <v>169</v>
      </c>
      <c r="L39" s="458">
        <f t="shared" si="24"/>
        <v>0</v>
      </c>
      <c r="M39" s="449">
        <f t="shared" si="25"/>
        <v>0</v>
      </c>
      <c r="N39" s="428"/>
      <c r="O39" s="428"/>
      <c r="P39" s="428"/>
      <c r="Q39" s="428"/>
      <c r="R39" s="460">
        <f t="shared" si="2"/>
        <v>0</v>
      </c>
      <c r="S39" s="391"/>
      <c r="T39" s="429"/>
      <c r="U39" s="429"/>
      <c r="V39" s="429"/>
      <c r="W39" s="462">
        <f t="shared" si="3"/>
        <v>0</v>
      </c>
      <c r="X39" s="430"/>
      <c r="Y39" s="427"/>
      <c r="Z39" s="431"/>
      <c r="AA39" s="431"/>
      <c r="AB39" s="432"/>
      <c r="AC39" s="427"/>
      <c r="AD39" s="431"/>
      <c r="AE39" s="433"/>
      <c r="AF39" s="432"/>
      <c r="AG39" s="427"/>
      <c r="AH39" s="431"/>
      <c r="AI39" s="433"/>
      <c r="AJ39" s="432"/>
      <c r="AK39" s="427"/>
      <c r="AL39" s="431"/>
      <c r="AM39" s="433"/>
      <c r="AN39" s="432"/>
      <c r="AO39" s="427"/>
      <c r="AP39" s="431"/>
      <c r="AQ39" s="431"/>
      <c r="AR39" s="460">
        <f t="shared" si="26"/>
        <v>0</v>
      </c>
      <c r="AS39" s="467">
        <f t="shared" si="27"/>
        <v>0</v>
      </c>
      <c r="AT39" s="447">
        <f t="shared" si="28"/>
        <v>0</v>
      </c>
      <c r="AU39" s="448">
        <f t="shared" si="29"/>
        <v>0</v>
      </c>
      <c r="AV39" s="427"/>
      <c r="AW39" s="426"/>
      <c r="AX39" s="430"/>
      <c r="AY39" s="427"/>
      <c r="AZ39" s="431"/>
      <c r="BA39" s="431"/>
      <c r="BB39" s="432"/>
      <c r="BC39" s="427"/>
      <c r="BD39" s="431"/>
      <c r="BE39" s="433"/>
      <c r="BF39" s="432"/>
      <c r="BG39" s="427"/>
      <c r="BH39" s="431"/>
      <c r="BI39" s="433"/>
      <c r="BJ39" s="432"/>
      <c r="BK39" s="427"/>
      <c r="BL39" s="431"/>
      <c r="BM39" s="433"/>
      <c r="BN39" s="432"/>
      <c r="BO39" s="427"/>
      <c r="BP39" s="431"/>
      <c r="BQ39" s="433"/>
      <c r="BR39" s="432"/>
      <c r="BS39" s="427"/>
      <c r="BT39" s="446"/>
      <c r="BU39" s="392"/>
      <c r="BV39" s="432"/>
      <c r="BW39" s="427"/>
      <c r="BX39" s="431"/>
      <c r="BY39" s="433"/>
      <c r="BZ39" s="432"/>
      <c r="CA39" s="427"/>
      <c r="CB39" s="431"/>
      <c r="CC39" s="433"/>
      <c r="CD39" s="432"/>
      <c r="CE39" s="427"/>
      <c r="CF39" s="431"/>
      <c r="CG39" s="433"/>
      <c r="CH39" s="432"/>
      <c r="CI39" s="427"/>
      <c r="CJ39" s="431"/>
      <c r="CK39" s="433"/>
      <c r="CL39" s="428"/>
      <c r="CM39" s="426"/>
      <c r="CN39" s="468">
        <f t="shared" si="30"/>
        <v>0</v>
      </c>
      <c r="CO39" s="468">
        <f t="shared" si="31"/>
        <v>0</v>
      </c>
      <c r="CP39" s="469">
        <f t="shared" si="32"/>
        <v>0</v>
      </c>
      <c r="CQ39" s="469">
        <f t="shared" si="33"/>
        <v>0</v>
      </c>
      <c r="CR39" s="430"/>
      <c r="CS39" s="427"/>
      <c r="CT39" s="431"/>
      <c r="CU39" s="431"/>
      <c r="CV39" s="432"/>
      <c r="CW39" s="427"/>
      <c r="CX39" s="431"/>
      <c r="CY39" s="433"/>
      <c r="CZ39" s="432"/>
      <c r="DA39" s="427"/>
      <c r="DB39" s="431"/>
      <c r="DC39" s="433"/>
      <c r="DD39" s="432"/>
      <c r="DE39" s="427"/>
      <c r="DF39" s="431"/>
      <c r="DG39" s="433"/>
      <c r="DH39" s="432"/>
      <c r="DI39" s="427"/>
      <c r="DJ39" s="431"/>
      <c r="DK39" s="433"/>
      <c r="DL39" s="432"/>
      <c r="DM39" s="427"/>
      <c r="DN39" s="431"/>
      <c r="DO39" s="433"/>
      <c r="DP39" s="432"/>
      <c r="DQ39" s="427"/>
      <c r="DR39" s="431"/>
      <c r="DS39" s="433"/>
      <c r="DT39" s="432"/>
      <c r="DU39" s="427"/>
      <c r="DV39" s="431"/>
      <c r="DW39" s="433"/>
      <c r="DX39" s="432"/>
      <c r="DY39" s="427"/>
      <c r="DZ39" s="431"/>
      <c r="EA39" s="433"/>
      <c r="EB39" s="432"/>
      <c r="EC39" s="427"/>
      <c r="ED39" s="431"/>
      <c r="EE39" s="433"/>
      <c r="EF39" s="428"/>
      <c r="EG39" s="426"/>
      <c r="EH39" s="460">
        <f t="shared" si="34"/>
        <v>0</v>
      </c>
      <c r="EI39" s="460">
        <f t="shared" si="35"/>
        <v>0</v>
      </c>
      <c r="EJ39" s="458">
        <f t="shared" si="36"/>
        <v>0</v>
      </c>
      <c r="EK39" s="470">
        <f t="shared" si="37"/>
        <v>0</v>
      </c>
      <c r="EL39" s="470">
        <f t="shared" si="38"/>
        <v>0</v>
      </c>
      <c r="EM39" s="449">
        <f t="shared" si="39"/>
        <v>0</v>
      </c>
      <c r="EN39" s="460">
        <f t="shared" si="40"/>
        <v>0</v>
      </c>
      <c r="EO39" s="469">
        <f t="shared" si="41"/>
        <v>0</v>
      </c>
      <c r="EP39" s="434"/>
      <c r="EQ39" s="426"/>
      <c r="ER39" s="434"/>
      <c r="ES39" s="426"/>
      <c r="ET39" s="434"/>
      <c r="EU39" s="426"/>
      <c r="EV39" s="434"/>
      <c r="EW39" s="426"/>
      <c r="EX39" s="434"/>
      <c r="EY39" s="426"/>
      <c r="EZ39" s="434"/>
      <c r="FA39" s="426"/>
      <c r="FB39" s="434"/>
      <c r="FC39" s="426"/>
      <c r="FD39" s="434"/>
      <c r="FE39" s="426"/>
      <c r="FF39" s="434"/>
      <c r="FG39" s="426"/>
      <c r="FH39" s="435"/>
      <c r="FI39" s="426"/>
      <c r="FJ39" s="468">
        <f t="shared" si="42"/>
        <v>0</v>
      </c>
      <c r="FK39" s="469">
        <f t="shared" si="43"/>
        <v>0</v>
      </c>
      <c r="FL39" s="435"/>
      <c r="FM39" s="426"/>
      <c r="FN39" s="460">
        <f t="shared" si="44"/>
        <v>292</v>
      </c>
      <c r="FO39" s="469">
        <f t="shared" si="45"/>
        <v>294</v>
      </c>
      <c r="FQ39" s="393"/>
    </row>
    <row r="40" spans="1:173" s="248" customFormat="1" x14ac:dyDescent="0.2">
      <c r="A40" s="354" t="s">
        <v>0</v>
      </c>
      <c r="B40" s="355" t="s">
        <v>520</v>
      </c>
      <c r="C40" s="491"/>
      <c r="D40" s="488">
        <v>101028</v>
      </c>
      <c r="E40" s="499">
        <v>10</v>
      </c>
      <c r="F40" s="427">
        <v>65</v>
      </c>
      <c r="G40" s="426">
        <v>58</v>
      </c>
      <c r="H40" s="427"/>
      <c r="I40" s="426"/>
      <c r="J40" s="427">
        <v>177</v>
      </c>
      <c r="K40" s="426">
        <v>184</v>
      </c>
      <c r="L40" s="458">
        <f t="shared" si="24"/>
        <v>0</v>
      </c>
      <c r="M40" s="449">
        <f t="shared" si="25"/>
        <v>0</v>
      </c>
      <c r="N40" s="428"/>
      <c r="O40" s="428"/>
      <c r="P40" s="428"/>
      <c r="Q40" s="428"/>
      <c r="R40" s="460">
        <f t="shared" si="2"/>
        <v>0</v>
      </c>
      <c r="S40" s="391"/>
      <c r="T40" s="429"/>
      <c r="U40" s="429"/>
      <c r="V40" s="429"/>
      <c r="W40" s="462">
        <f t="shared" si="3"/>
        <v>0</v>
      </c>
      <c r="X40" s="430"/>
      <c r="Y40" s="427"/>
      <c r="Z40" s="431"/>
      <c r="AA40" s="431"/>
      <c r="AB40" s="432"/>
      <c r="AC40" s="427"/>
      <c r="AD40" s="431"/>
      <c r="AE40" s="433"/>
      <c r="AF40" s="432"/>
      <c r="AG40" s="427"/>
      <c r="AH40" s="431"/>
      <c r="AI40" s="433"/>
      <c r="AJ40" s="432"/>
      <c r="AK40" s="427"/>
      <c r="AL40" s="431"/>
      <c r="AM40" s="433"/>
      <c r="AN40" s="432"/>
      <c r="AO40" s="427"/>
      <c r="AP40" s="431"/>
      <c r="AQ40" s="431"/>
      <c r="AR40" s="460">
        <f t="shared" si="26"/>
        <v>0</v>
      </c>
      <c r="AS40" s="467">
        <f t="shared" si="27"/>
        <v>0</v>
      </c>
      <c r="AT40" s="447">
        <f t="shared" si="28"/>
        <v>0</v>
      </c>
      <c r="AU40" s="448">
        <f t="shared" si="29"/>
        <v>0</v>
      </c>
      <c r="AV40" s="427"/>
      <c r="AW40" s="426"/>
      <c r="AX40" s="430"/>
      <c r="AY40" s="427"/>
      <c r="AZ40" s="431"/>
      <c r="BA40" s="431"/>
      <c r="BB40" s="432"/>
      <c r="BC40" s="427"/>
      <c r="BD40" s="431"/>
      <c r="BE40" s="433"/>
      <c r="BF40" s="432"/>
      <c r="BG40" s="427"/>
      <c r="BH40" s="431"/>
      <c r="BI40" s="433"/>
      <c r="BJ40" s="432"/>
      <c r="BK40" s="427"/>
      <c r="BL40" s="431"/>
      <c r="BM40" s="433"/>
      <c r="BN40" s="432"/>
      <c r="BO40" s="427"/>
      <c r="BP40" s="431"/>
      <c r="BQ40" s="433"/>
      <c r="BR40" s="432"/>
      <c r="BS40" s="427"/>
      <c r="BT40" s="446"/>
      <c r="BU40" s="392"/>
      <c r="BV40" s="432"/>
      <c r="BW40" s="427"/>
      <c r="BX40" s="431"/>
      <c r="BY40" s="433"/>
      <c r="BZ40" s="432"/>
      <c r="CA40" s="427"/>
      <c r="CB40" s="431"/>
      <c r="CC40" s="433"/>
      <c r="CD40" s="432"/>
      <c r="CE40" s="427"/>
      <c r="CF40" s="431"/>
      <c r="CG40" s="433"/>
      <c r="CH40" s="432"/>
      <c r="CI40" s="427"/>
      <c r="CJ40" s="431"/>
      <c r="CK40" s="433"/>
      <c r="CL40" s="428"/>
      <c r="CM40" s="426"/>
      <c r="CN40" s="468">
        <f t="shared" si="30"/>
        <v>0</v>
      </c>
      <c r="CO40" s="468">
        <f t="shared" si="31"/>
        <v>0</v>
      </c>
      <c r="CP40" s="469">
        <f t="shared" si="32"/>
        <v>0</v>
      </c>
      <c r="CQ40" s="469">
        <f t="shared" si="33"/>
        <v>0</v>
      </c>
      <c r="CR40" s="430"/>
      <c r="CS40" s="427"/>
      <c r="CT40" s="431"/>
      <c r="CU40" s="431"/>
      <c r="CV40" s="432"/>
      <c r="CW40" s="427"/>
      <c r="CX40" s="431"/>
      <c r="CY40" s="433"/>
      <c r="CZ40" s="432"/>
      <c r="DA40" s="427"/>
      <c r="DB40" s="431"/>
      <c r="DC40" s="433"/>
      <c r="DD40" s="432"/>
      <c r="DE40" s="427"/>
      <c r="DF40" s="431"/>
      <c r="DG40" s="433"/>
      <c r="DH40" s="432"/>
      <c r="DI40" s="427"/>
      <c r="DJ40" s="431"/>
      <c r="DK40" s="433"/>
      <c r="DL40" s="432"/>
      <c r="DM40" s="427"/>
      <c r="DN40" s="431"/>
      <c r="DO40" s="433"/>
      <c r="DP40" s="432"/>
      <c r="DQ40" s="427"/>
      <c r="DR40" s="431"/>
      <c r="DS40" s="433"/>
      <c r="DT40" s="432"/>
      <c r="DU40" s="427"/>
      <c r="DV40" s="431"/>
      <c r="DW40" s="433"/>
      <c r="DX40" s="432"/>
      <c r="DY40" s="427"/>
      <c r="DZ40" s="431"/>
      <c r="EA40" s="433"/>
      <c r="EB40" s="432"/>
      <c r="EC40" s="427"/>
      <c r="ED40" s="431"/>
      <c r="EE40" s="433"/>
      <c r="EF40" s="428"/>
      <c r="EG40" s="426"/>
      <c r="EH40" s="460">
        <f t="shared" si="34"/>
        <v>0</v>
      </c>
      <c r="EI40" s="460">
        <f t="shared" si="35"/>
        <v>0</v>
      </c>
      <c r="EJ40" s="458">
        <f t="shared" si="36"/>
        <v>0</v>
      </c>
      <c r="EK40" s="470">
        <f t="shared" si="37"/>
        <v>0</v>
      </c>
      <c r="EL40" s="470">
        <f t="shared" si="38"/>
        <v>0</v>
      </c>
      <c r="EM40" s="449">
        <f t="shared" si="39"/>
        <v>0</v>
      </c>
      <c r="EN40" s="460">
        <f t="shared" si="40"/>
        <v>0</v>
      </c>
      <c r="EO40" s="469">
        <f t="shared" si="41"/>
        <v>0</v>
      </c>
      <c r="EP40" s="434"/>
      <c r="EQ40" s="426"/>
      <c r="ER40" s="434"/>
      <c r="ES40" s="426"/>
      <c r="ET40" s="434"/>
      <c r="EU40" s="426"/>
      <c r="EV40" s="434"/>
      <c r="EW40" s="426"/>
      <c r="EX40" s="434"/>
      <c r="EY40" s="426"/>
      <c r="EZ40" s="434"/>
      <c r="FA40" s="426"/>
      <c r="FB40" s="434"/>
      <c r="FC40" s="426"/>
      <c r="FD40" s="434"/>
      <c r="FE40" s="426"/>
      <c r="FF40" s="434"/>
      <c r="FG40" s="426"/>
      <c r="FH40" s="435"/>
      <c r="FI40" s="426"/>
      <c r="FJ40" s="468">
        <f t="shared" si="42"/>
        <v>0</v>
      </c>
      <c r="FK40" s="469">
        <f t="shared" si="43"/>
        <v>0</v>
      </c>
      <c r="FL40" s="435"/>
      <c r="FM40" s="426"/>
      <c r="FN40" s="460">
        <f t="shared" si="44"/>
        <v>242</v>
      </c>
      <c r="FO40" s="469">
        <f t="shared" si="45"/>
        <v>242</v>
      </c>
      <c r="FQ40" s="393"/>
    </row>
    <row r="41" spans="1:173" s="248" customFormat="1" x14ac:dyDescent="0.2">
      <c r="A41" s="354" t="s">
        <v>0</v>
      </c>
      <c r="B41" s="355" t="s">
        <v>525</v>
      </c>
      <c r="C41" s="491"/>
      <c r="D41" s="488">
        <v>101301</v>
      </c>
      <c r="E41" s="499">
        <v>10</v>
      </c>
      <c r="F41" s="427">
        <v>227</v>
      </c>
      <c r="G41" s="426">
        <v>244</v>
      </c>
      <c r="H41" s="427"/>
      <c r="I41" s="426"/>
      <c r="J41" s="427">
        <v>231</v>
      </c>
      <c r="K41" s="426">
        <v>293</v>
      </c>
      <c r="L41" s="458">
        <f t="shared" si="24"/>
        <v>0</v>
      </c>
      <c r="M41" s="449">
        <f t="shared" si="25"/>
        <v>0</v>
      </c>
      <c r="N41" s="428"/>
      <c r="O41" s="428"/>
      <c r="P41" s="428"/>
      <c r="Q41" s="428"/>
      <c r="R41" s="460">
        <f t="shared" si="2"/>
        <v>0</v>
      </c>
      <c r="S41" s="391"/>
      <c r="T41" s="429"/>
      <c r="U41" s="429"/>
      <c r="V41" s="429"/>
      <c r="W41" s="462">
        <f t="shared" si="3"/>
        <v>0</v>
      </c>
      <c r="X41" s="430"/>
      <c r="Y41" s="427"/>
      <c r="Z41" s="431"/>
      <c r="AA41" s="431"/>
      <c r="AB41" s="432"/>
      <c r="AC41" s="427"/>
      <c r="AD41" s="431"/>
      <c r="AE41" s="433"/>
      <c r="AF41" s="432"/>
      <c r="AG41" s="427"/>
      <c r="AH41" s="431"/>
      <c r="AI41" s="433"/>
      <c r="AJ41" s="432"/>
      <c r="AK41" s="427"/>
      <c r="AL41" s="431"/>
      <c r="AM41" s="433"/>
      <c r="AN41" s="432"/>
      <c r="AO41" s="427"/>
      <c r="AP41" s="431"/>
      <c r="AQ41" s="431"/>
      <c r="AR41" s="460">
        <f t="shared" si="26"/>
        <v>0</v>
      </c>
      <c r="AS41" s="467">
        <f t="shared" si="27"/>
        <v>0</v>
      </c>
      <c r="AT41" s="447">
        <f t="shared" si="28"/>
        <v>0</v>
      </c>
      <c r="AU41" s="448">
        <f t="shared" si="29"/>
        <v>0</v>
      </c>
      <c r="AV41" s="427"/>
      <c r="AW41" s="426"/>
      <c r="AX41" s="430"/>
      <c r="AY41" s="427"/>
      <c r="AZ41" s="431"/>
      <c r="BA41" s="431"/>
      <c r="BB41" s="432"/>
      <c r="BC41" s="427"/>
      <c r="BD41" s="431"/>
      <c r="BE41" s="433"/>
      <c r="BF41" s="432"/>
      <c r="BG41" s="427"/>
      <c r="BH41" s="431"/>
      <c r="BI41" s="433"/>
      <c r="BJ41" s="432"/>
      <c r="BK41" s="427"/>
      <c r="BL41" s="431"/>
      <c r="BM41" s="433"/>
      <c r="BN41" s="432"/>
      <c r="BO41" s="427"/>
      <c r="BP41" s="431"/>
      <c r="BQ41" s="433"/>
      <c r="BR41" s="432"/>
      <c r="BS41" s="427"/>
      <c r="BT41" s="446"/>
      <c r="BU41" s="392"/>
      <c r="BV41" s="432"/>
      <c r="BW41" s="427"/>
      <c r="BX41" s="431"/>
      <c r="BY41" s="433"/>
      <c r="BZ41" s="432"/>
      <c r="CA41" s="427"/>
      <c r="CB41" s="431"/>
      <c r="CC41" s="433"/>
      <c r="CD41" s="432"/>
      <c r="CE41" s="427"/>
      <c r="CF41" s="431"/>
      <c r="CG41" s="433"/>
      <c r="CH41" s="432"/>
      <c r="CI41" s="427"/>
      <c r="CJ41" s="431"/>
      <c r="CK41" s="433"/>
      <c r="CL41" s="428"/>
      <c r="CM41" s="426"/>
      <c r="CN41" s="468">
        <f t="shared" si="30"/>
        <v>0</v>
      </c>
      <c r="CO41" s="468">
        <f t="shared" si="31"/>
        <v>0</v>
      </c>
      <c r="CP41" s="469">
        <f t="shared" si="32"/>
        <v>0</v>
      </c>
      <c r="CQ41" s="469">
        <f t="shared" si="33"/>
        <v>0</v>
      </c>
      <c r="CR41" s="430"/>
      <c r="CS41" s="427"/>
      <c r="CT41" s="431"/>
      <c r="CU41" s="431"/>
      <c r="CV41" s="432"/>
      <c r="CW41" s="427"/>
      <c r="CX41" s="431"/>
      <c r="CY41" s="433"/>
      <c r="CZ41" s="432"/>
      <c r="DA41" s="427"/>
      <c r="DB41" s="431"/>
      <c r="DC41" s="433"/>
      <c r="DD41" s="432"/>
      <c r="DE41" s="427"/>
      <c r="DF41" s="431"/>
      <c r="DG41" s="433"/>
      <c r="DH41" s="432"/>
      <c r="DI41" s="427"/>
      <c r="DJ41" s="431"/>
      <c r="DK41" s="433"/>
      <c r="DL41" s="432"/>
      <c r="DM41" s="427"/>
      <c r="DN41" s="431"/>
      <c r="DO41" s="433"/>
      <c r="DP41" s="432"/>
      <c r="DQ41" s="427"/>
      <c r="DR41" s="431"/>
      <c r="DS41" s="433"/>
      <c r="DT41" s="432"/>
      <c r="DU41" s="427"/>
      <c r="DV41" s="431"/>
      <c r="DW41" s="433"/>
      <c r="DX41" s="432"/>
      <c r="DY41" s="427"/>
      <c r="DZ41" s="431"/>
      <c r="EA41" s="433"/>
      <c r="EB41" s="432"/>
      <c r="EC41" s="427"/>
      <c r="ED41" s="431"/>
      <c r="EE41" s="433"/>
      <c r="EF41" s="428"/>
      <c r="EG41" s="426"/>
      <c r="EH41" s="460">
        <f t="shared" si="34"/>
        <v>0</v>
      </c>
      <c r="EI41" s="460">
        <f t="shared" si="35"/>
        <v>0</v>
      </c>
      <c r="EJ41" s="458">
        <f t="shared" si="36"/>
        <v>0</v>
      </c>
      <c r="EK41" s="470">
        <f t="shared" si="37"/>
        <v>0</v>
      </c>
      <c r="EL41" s="470">
        <f t="shared" si="38"/>
        <v>0</v>
      </c>
      <c r="EM41" s="449">
        <f t="shared" si="39"/>
        <v>0</v>
      </c>
      <c r="EN41" s="460">
        <f t="shared" si="40"/>
        <v>0</v>
      </c>
      <c r="EO41" s="469">
        <f t="shared" si="41"/>
        <v>0</v>
      </c>
      <c r="EP41" s="434"/>
      <c r="EQ41" s="426"/>
      <c r="ER41" s="434"/>
      <c r="ES41" s="426"/>
      <c r="ET41" s="434"/>
      <c r="EU41" s="426"/>
      <c r="EV41" s="434"/>
      <c r="EW41" s="426"/>
      <c r="EX41" s="434"/>
      <c r="EY41" s="426"/>
      <c r="EZ41" s="434"/>
      <c r="FA41" s="426"/>
      <c r="FB41" s="434"/>
      <c r="FC41" s="426"/>
      <c r="FD41" s="434"/>
      <c r="FE41" s="426"/>
      <c r="FF41" s="434"/>
      <c r="FG41" s="426"/>
      <c r="FH41" s="435"/>
      <c r="FI41" s="426"/>
      <c r="FJ41" s="468">
        <f t="shared" si="42"/>
        <v>0</v>
      </c>
      <c r="FK41" s="469">
        <f t="shared" si="43"/>
        <v>0</v>
      </c>
      <c r="FL41" s="435"/>
      <c r="FM41" s="426"/>
      <c r="FN41" s="460">
        <f t="shared" si="44"/>
        <v>458</v>
      </c>
      <c r="FO41" s="469">
        <f t="shared" si="45"/>
        <v>537</v>
      </c>
      <c r="FQ41" s="393"/>
    </row>
    <row r="42" spans="1:173" s="248" customFormat="1" x14ac:dyDescent="0.2">
      <c r="A42" s="354" t="s">
        <v>0</v>
      </c>
      <c r="B42" s="355" t="s">
        <v>522</v>
      </c>
      <c r="C42" s="491"/>
      <c r="D42" s="488">
        <v>101499</v>
      </c>
      <c r="E42" s="499">
        <v>10</v>
      </c>
      <c r="F42" s="427">
        <v>118</v>
      </c>
      <c r="G42" s="426">
        <v>85</v>
      </c>
      <c r="H42" s="427"/>
      <c r="I42" s="426"/>
      <c r="J42" s="427">
        <v>141</v>
      </c>
      <c r="K42" s="426">
        <v>162</v>
      </c>
      <c r="L42" s="458">
        <f t="shared" si="24"/>
        <v>0</v>
      </c>
      <c r="M42" s="449">
        <f t="shared" si="25"/>
        <v>0</v>
      </c>
      <c r="N42" s="428"/>
      <c r="O42" s="428"/>
      <c r="P42" s="428"/>
      <c r="Q42" s="428"/>
      <c r="R42" s="460">
        <f t="shared" si="2"/>
        <v>0</v>
      </c>
      <c r="S42" s="391"/>
      <c r="T42" s="429"/>
      <c r="U42" s="429"/>
      <c r="V42" s="429"/>
      <c r="W42" s="462">
        <f t="shared" si="3"/>
        <v>0</v>
      </c>
      <c r="X42" s="430"/>
      <c r="Y42" s="427"/>
      <c r="Z42" s="431"/>
      <c r="AA42" s="431"/>
      <c r="AB42" s="432"/>
      <c r="AC42" s="427"/>
      <c r="AD42" s="431"/>
      <c r="AE42" s="433"/>
      <c r="AF42" s="432"/>
      <c r="AG42" s="427"/>
      <c r="AH42" s="431"/>
      <c r="AI42" s="433"/>
      <c r="AJ42" s="432"/>
      <c r="AK42" s="427"/>
      <c r="AL42" s="431"/>
      <c r="AM42" s="433"/>
      <c r="AN42" s="432"/>
      <c r="AO42" s="427"/>
      <c r="AP42" s="431"/>
      <c r="AQ42" s="431"/>
      <c r="AR42" s="460">
        <f t="shared" si="26"/>
        <v>0</v>
      </c>
      <c r="AS42" s="467">
        <f t="shared" si="27"/>
        <v>0</v>
      </c>
      <c r="AT42" s="447">
        <f t="shared" si="28"/>
        <v>0</v>
      </c>
      <c r="AU42" s="448">
        <f t="shared" si="29"/>
        <v>0</v>
      </c>
      <c r="AV42" s="427"/>
      <c r="AW42" s="426"/>
      <c r="AX42" s="430"/>
      <c r="AY42" s="427"/>
      <c r="AZ42" s="431"/>
      <c r="BA42" s="431"/>
      <c r="BB42" s="432"/>
      <c r="BC42" s="427"/>
      <c r="BD42" s="431"/>
      <c r="BE42" s="433"/>
      <c r="BF42" s="432"/>
      <c r="BG42" s="427"/>
      <c r="BH42" s="431"/>
      <c r="BI42" s="433"/>
      <c r="BJ42" s="432"/>
      <c r="BK42" s="427"/>
      <c r="BL42" s="431"/>
      <c r="BM42" s="433"/>
      <c r="BN42" s="432"/>
      <c r="BO42" s="427"/>
      <c r="BP42" s="431"/>
      <c r="BQ42" s="433"/>
      <c r="BR42" s="432"/>
      <c r="BS42" s="427"/>
      <c r="BT42" s="446"/>
      <c r="BU42" s="392"/>
      <c r="BV42" s="432"/>
      <c r="BW42" s="427"/>
      <c r="BX42" s="431"/>
      <c r="BY42" s="433"/>
      <c r="BZ42" s="432"/>
      <c r="CA42" s="427"/>
      <c r="CB42" s="431"/>
      <c r="CC42" s="433"/>
      <c r="CD42" s="432"/>
      <c r="CE42" s="427"/>
      <c r="CF42" s="431"/>
      <c r="CG42" s="433"/>
      <c r="CH42" s="432"/>
      <c r="CI42" s="427"/>
      <c r="CJ42" s="431"/>
      <c r="CK42" s="433"/>
      <c r="CL42" s="428"/>
      <c r="CM42" s="426"/>
      <c r="CN42" s="468">
        <f t="shared" si="30"/>
        <v>0</v>
      </c>
      <c r="CO42" s="468">
        <f t="shared" si="31"/>
        <v>0</v>
      </c>
      <c r="CP42" s="469">
        <f t="shared" si="32"/>
        <v>0</v>
      </c>
      <c r="CQ42" s="469">
        <f t="shared" si="33"/>
        <v>0</v>
      </c>
      <c r="CR42" s="430"/>
      <c r="CS42" s="427"/>
      <c r="CT42" s="431"/>
      <c r="CU42" s="431"/>
      <c r="CV42" s="432"/>
      <c r="CW42" s="427"/>
      <c r="CX42" s="431"/>
      <c r="CY42" s="433"/>
      <c r="CZ42" s="432"/>
      <c r="DA42" s="427"/>
      <c r="DB42" s="431"/>
      <c r="DC42" s="433"/>
      <c r="DD42" s="432"/>
      <c r="DE42" s="427"/>
      <c r="DF42" s="431"/>
      <c r="DG42" s="433"/>
      <c r="DH42" s="432"/>
      <c r="DI42" s="427"/>
      <c r="DJ42" s="431"/>
      <c r="DK42" s="433"/>
      <c r="DL42" s="432"/>
      <c r="DM42" s="427"/>
      <c r="DN42" s="431"/>
      <c r="DO42" s="433"/>
      <c r="DP42" s="432"/>
      <c r="DQ42" s="427"/>
      <c r="DR42" s="431"/>
      <c r="DS42" s="433"/>
      <c r="DT42" s="432"/>
      <c r="DU42" s="427"/>
      <c r="DV42" s="431"/>
      <c r="DW42" s="433"/>
      <c r="DX42" s="432"/>
      <c r="DY42" s="427"/>
      <c r="DZ42" s="431"/>
      <c r="EA42" s="433"/>
      <c r="EB42" s="432"/>
      <c r="EC42" s="427"/>
      <c r="ED42" s="431"/>
      <c r="EE42" s="433"/>
      <c r="EF42" s="428"/>
      <c r="EG42" s="426"/>
      <c r="EH42" s="460">
        <f t="shared" si="34"/>
        <v>0</v>
      </c>
      <c r="EI42" s="460">
        <f t="shared" si="35"/>
        <v>0</v>
      </c>
      <c r="EJ42" s="458">
        <f t="shared" si="36"/>
        <v>0</v>
      </c>
      <c r="EK42" s="470">
        <f t="shared" si="37"/>
        <v>0</v>
      </c>
      <c r="EL42" s="470">
        <f t="shared" si="38"/>
        <v>0</v>
      </c>
      <c r="EM42" s="449">
        <f t="shared" si="39"/>
        <v>0</v>
      </c>
      <c r="EN42" s="460">
        <f t="shared" si="40"/>
        <v>0</v>
      </c>
      <c r="EO42" s="469">
        <f t="shared" si="41"/>
        <v>0</v>
      </c>
      <c r="EP42" s="434"/>
      <c r="EQ42" s="426"/>
      <c r="ER42" s="434"/>
      <c r="ES42" s="426"/>
      <c r="ET42" s="434"/>
      <c r="EU42" s="426"/>
      <c r="EV42" s="434"/>
      <c r="EW42" s="426"/>
      <c r="EX42" s="434"/>
      <c r="EY42" s="426"/>
      <c r="EZ42" s="434"/>
      <c r="FA42" s="426"/>
      <c r="FB42" s="434"/>
      <c r="FC42" s="426"/>
      <c r="FD42" s="434"/>
      <c r="FE42" s="426"/>
      <c r="FF42" s="434"/>
      <c r="FG42" s="426"/>
      <c r="FH42" s="435"/>
      <c r="FI42" s="426"/>
      <c r="FJ42" s="468">
        <f t="shared" si="42"/>
        <v>0</v>
      </c>
      <c r="FK42" s="469">
        <f t="shared" si="43"/>
        <v>0</v>
      </c>
      <c r="FL42" s="435"/>
      <c r="FM42" s="426"/>
      <c r="FN42" s="460">
        <f t="shared" si="44"/>
        <v>259</v>
      </c>
      <c r="FO42" s="469">
        <f t="shared" si="45"/>
        <v>247</v>
      </c>
      <c r="FQ42" s="393"/>
    </row>
    <row r="43" spans="1:173" s="248" customFormat="1" x14ac:dyDescent="0.2">
      <c r="A43" s="354" t="s">
        <v>0</v>
      </c>
      <c r="B43" s="355" t="s">
        <v>523</v>
      </c>
      <c r="C43" s="491"/>
      <c r="D43" s="488">
        <v>101602</v>
      </c>
      <c r="E43" s="499">
        <v>10</v>
      </c>
      <c r="F43" s="427">
        <v>141</v>
      </c>
      <c r="G43" s="426">
        <v>165</v>
      </c>
      <c r="H43" s="427"/>
      <c r="I43" s="426"/>
      <c r="J43" s="427">
        <v>237</v>
      </c>
      <c r="K43" s="426">
        <v>237</v>
      </c>
      <c r="L43" s="458">
        <f t="shared" si="24"/>
        <v>0</v>
      </c>
      <c r="M43" s="449">
        <f t="shared" si="25"/>
        <v>0</v>
      </c>
      <c r="N43" s="428"/>
      <c r="O43" s="428"/>
      <c r="P43" s="428"/>
      <c r="Q43" s="428"/>
      <c r="R43" s="460">
        <f t="shared" si="2"/>
        <v>0</v>
      </c>
      <c r="S43" s="391"/>
      <c r="T43" s="429"/>
      <c r="U43" s="429"/>
      <c r="V43" s="429"/>
      <c r="W43" s="462">
        <f t="shared" si="3"/>
        <v>0</v>
      </c>
      <c r="X43" s="430"/>
      <c r="Y43" s="427"/>
      <c r="Z43" s="431"/>
      <c r="AA43" s="431"/>
      <c r="AB43" s="432"/>
      <c r="AC43" s="427"/>
      <c r="AD43" s="431"/>
      <c r="AE43" s="433"/>
      <c r="AF43" s="432"/>
      <c r="AG43" s="427"/>
      <c r="AH43" s="431"/>
      <c r="AI43" s="433"/>
      <c r="AJ43" s="432"/>
      <c r="AK43" s="427"/>
      <c r="AL43" s="431"/>
      <c r="AM43" s="433"/>
      <c r="AN43" s="432"/>
      <c r="AO43" s="427"/>
      <c r="AP43" s="431"/>
      <c r="AQ43" s="431"/>
      <c r="AR43" s="460">
        <f t="shared" si="26"/>
        <v>0</v>
      </c>
      <c r="AS43" s="467">
        <f t="shared" si="27"/>
        <v>0</v>
      </c>
      <c r="AT43" s="447">
        <f t="shared" si="28"/>
        <v>0</v>
      </c>
      <c r="AU43" s="448">
        <f t="shared" si="29"/>
        <v>0</v>
      </c>
      <c r="AV43" s="427"/>
      <c r="AW43" s="426"/>
      <c r="AX43" s="430"/>
      <c r="AY43" s="427"/>
      <c r="AZ43" s="431"/>
      <c r="BA43" s="431"/>
      <c r="BB43" s="432"/>
      <c r="BC43" s="427"/>
      <c r="BD43" s="431"/>
      <c r="BE43" s="433"/>
      <c r="BF43" s="432"/>
      <c r="BG43" s="427"/>
      <c r="BH43" s="431"/>
      <c r="BI43" s="433"/>
      <c r="BJ43" s="432"/>
      <c r="BK43" s="427"/>
      <c r="BL43" s="431"/>
      <c r="BM43" s="433"/>
      <c r="BN43" s="432"/>
      <c r="BO43" s="427"/>
      <c r="BP43" s="431"/>
      <c r="BQ43" s="433"/>
      <c r="BR43" s="432"/>
      <c r="BS43" s="427"/>
      <c r="BT43" s="446"/>
      <c r="BU43" s="392"/>
      <c r="BV43" s="432"/>
      <c r="BW43" s="427"/>
      <c r="BX43" s="431"/>
      <c r="BY43" s="433"/>
      <c r="BZ43" s="432"/>
      <c r="CA43" s="427"/>
      <c r="CB43" s="431"/>
      <c r="CC43" s="433"/>
      <c r="CD43" s="432"/>
      <c r="CE43" s="427"/>
      <c r="CF43" s="431"/>
      <c r="CG43" s="433"/>
      <c r="CH43" s="432"/>
      <c r="CI43" s="427"/>
      <c r="CJ43" s="431"/>
      <c r="CK43" s="433"/>
      <c r="CL43" s="428"/>
      <c r="CM43" s="426"/>
      <c r="CN43" s="468">
        <f t="shared" si="30"/>
        <v>0</v>
      </c>
      <c r="CO43" s="468">
        <f t="shared" si="31"/>
        <v>0</v>
      </c>
      <c r="CP43" s="469">
        <f t="shared" si="32"/>
        <v>0</v>
      </c>
      <c r="CQ43" s="469">
        <f t="shared" si="33"/>
        <v>0</v>
      </c>
      <c r="CR43" s="430"/>
      <c r="CS43" s="427"/>
      <c r="CT43" s="431"/>
      <c r="CU43" s="431"/>
      <c r="CV43" s="432"/>
      <c r="CW43" s="427"/>
      <c r="CX43" s="431"/>
      <c r="CY43" s="433"/>
      <c r="CZ43" s="432"/>
      <c r="DA43" s="427"/>
      <c r="DB43" s="431"/>
      <c r="DC43" s="433"/>
      <c r="DD43" s="432"/>
      <c r="DE43" s="427"/>
      <c r="DF43" s="431"/>
      <c r="DG43" s="433"/>
      <c r="DH43" s="432"/>
      <c r="DI43" s="427"/>
      <c r="DJ43" s="431"/>
      <c r="DK43" s="433"/>
      <c r="DL43" s="432"/>
      <c r="DM43" s="427"/>
      <c r="DN43" s="431"/>
      <c r="DO43" s="433"/>
      <c r="DP43" s="432"/>
      <c r="DQ43" s="427"/>
      <c r="DR43" s="431"/>
      <c r="DS43" s="433"/>
      <c r="DT43" s="432"/>
      <c r="DU43" s="427"/>
      <c r="DV43" s="431"/>
      <c r="DW43" s="433"/>
      <c r="DX43" s="432"/>
      <c r="DY43" s="427"/>
      <c r="DZ43" s="431"/>
      <c r="EA43" s="433"/>
      <c r="EB43" s="432"/>
      <c r="EC43" s="427"/>
      <c r="ED43" s="431"/>
      <c r="EE43" s="433"/>
      <c r="EF43" s="428"/>
      <c r="EG43" s="426"/>
      <c r="EH43" s="460">
        <f t="shared" si="34"/>
        <v>0</v>
      </c>
      <c r="EI43" s="460">
        <f t="shared" si="35"/>
        <v>0</v>
      </c>
      <c r="EJ43" s="458">
        <f t="shared" si="36"/>
        <v>0</v>
      </c>
      <c r="EK43" s="470">
        <f t="shared" si="37"/>
        <v>0</v>
      </c>
      <c r="EL43" s="470">
        <f t="shared" si="38"/>
        <v>0</v>
      </c>
      <c r="EM43" s="449">
        <f t="shared" si="39"/>
        <v>0</v>
      </c>
      <c r="EN43" s="460">
        <f t="shared" si="40"/>
        <v>0</v>
      </c>
      <c r="EO43" s="469">
        <f t="shared" si="41"/>
        <v>0</v>
      </c>
      <c r="EP43" s="434"/>
      <c r="EQ43" s="426"/>
      <c r="ER43" s="434"/>
      <c r="ES43" s="426"/>
      <c r="ET43" s="434"/>
      <c r="EU43" s="426"/>
      <c r="EV43" s="434"/>
      <c r="EW43" s="426"/>
      <c r="EX43" s="434"/>
      <c r="EY43" s="426"/>
      <c r="EZ43" s="434"/>
      <c r="FA43" s="426"/>
      <c r="FB43" s="434"/>
      <c r="FC43" s="426"/>
      <c r="FD43" s="434"/>
      <c r="FE43" s="426"/>
      <c r="FF43" s="434"/>
      <c r="FG43" s="426"/>
      <c r="FH43" s="435"/>
      <c r="FI43" s="426"/>
      <c r="FJ43" s="468">
        <f t="shared" si="42"/>
        <v>0</v>
      </c>
      <c r="FK43" s="469">
        <f t="shared" si="43"/>
        <v>0</v>
      </c>
      <c r="FL43" s="435"/>
      <c r="FM43" s="426"/>
      <c r="FN43" s="460">
        <f t="shared" si="44"/>
        <v>378</v>
      </c>
      <c r="FO43" s="469">
        <f t="shared" si="45"/>
        <v>402</v>
      </c>
      <c r="FQ43" s="393"/>
    </row>
    <row r="44" spans="1:173" s="248" customFormat="1" x14ac:dyDescent="0.2">
      <c r="A44" s="354" t="s">
        <v>0</v>
      </c>
      <c r="B44" s="355" t="s">
        <v>524</v>
      </c>
      <c r="C44" s="491" t="s">
        <v>599</v>
      </c>
      <c r="D44" s="488">
        <v>102076</v>
      </c>
      <c r="E44" s="499">
        <v>10</v>
      </c>
      <c r="F44" s="427">
        <v>161</v>
      </c>
      <c r="G44" s="426">
        <v>89</v>
      </c>
      <c r="H44" s="427"/>
      <c r="I44" s="426"/>
      <c r="J44" s="427">
        <v>344</v>
      </c>
      <c r="K44" s="426">
        <v>431</v>
      </c>
      <c r="L44" s="458">
        <f t="shared" si="24"/>
        <v>0</v>
      </c>
      <c r="M44" s="449">
        <f t="shared" si="25"/>
        <v>0</v>
      </c>
      <c r="N44" s="428"/>
      <c r="O44" s="428"/>
      <c r="P44" s="428"/>
      <c r="Q44" s="428"/>
      <c r="R44" s="460">
        <f t="shared" si="2"/>
        <v>0</v>
      </c>
      <c r="S44" s="391"/>
      <c r="T44" s="429"/>
      <c r="U44" s="429"/>
      <c r="V44" s="429"/>
      <c r="W44" s="462">
        <f t="shared" si="3"/>
        <v>0</v>
      </c>
      <c r="X44" s="430"/>
      <c r="Y44" s="427"/>
      <c r="Z44" s="431"/>
      <c r="AA44" s="431"/>
      <c r="AB44" s="432"/>
      <c r="AC44" s="427"/>
      <c r="AD44" s="431"/>
      <c r="AE44" s="433"/>
      <c r="AF44" s="432"/>
      <c r="AG44" s="427"/>
      <c r="AH44" s="431"/>
      <c r="AI44" s="433"/>
      <c r="AJ44" s="432"/>
      <c r="AK44" s="427"/>
      <c r="AL44" s="431"/>
      <c r="AM44" s="433"/>
      <c r="AN44" s="432"/>
      <c r="AO44" s="427"/>
      <c r="AP44" s="431"/>
      <c r="AQ44" s="431"/>
      <c r="AR44" s="460">
        <f t="shared" si="26"/>
        <v>0</v>
      </c>
      <c r="AS44" s="467">
        <f t="shared" si="27"/>
        <v>0</v>
      </c>
      <c r="AT44" s="447">
        <f t="shared" si="28"/>
        <v>0</v>
      </c>
      <c r="AU44" s="448">
        <f t="shared" si="29"/>
        <v>0</v>
      </c>
      <c r="AV44" s="427"/>
      <c r="AW44" s="426"/>
      <c r="AX44" s="430"/>
      <c r="AY44" s="427"/>
      <c r="AZ44" s="431"/>
      <c r="BA44" s="431"/>
      <c r="BB44" s="432"/>
      <c r="BC44" s="427"/>
      <c r="BD44" s="431"/>
      <c r="BE44" s="433"/>
      <c r="BF44" s="432"/>
      <c r="BG44" s="427"/>
      <c r="BH44" s="431"/>
      <c r="BI44" s="433"/>
      <c r="BJ44" s="432"/>
      <c r="BK44" s="427"/>
      <c r="BL44" s="431"/>
      <c r="BM44" s="433"/>
      <c r="BN44" s="432"/>
      <c r="BO44" s="427"/>
      <c r="BP44" s="431"/>
      <c r="BQ44" s="433"/>
      <c r="BR44" s="432"/>
      <c r="BS44" s="427"/>
      <c r="BT44" s="446"/>
      <c r="BU44" s="392"/>
      <c r="BV44" s="432"/>
      <c r="BW44" s="427"/>
      <c r="BX44" s="431"/>
      <c r="BY44" s="433"/>
      <c r="BZ44" s="432"/>
      <c r="CA44" s="427"/>
      <c r="CB44" s="431"/>
      <c r="CC44" s="433"/>
      <c r="CD44" s="432"/>
      <c r="CE44" s="427"/>
      <c r="CF44" s="431"/>
      <c r="CG44" s="433"/>
      <c r="CH44" s="432"/>
      <c r="CI44" s="427"/>
      <c r="CJ44" s="431"/>
      <c r="CK44" s="433"/>
      <c r="CL44" s="428"/>
      <c r="CM44" s="426"/>
      <c r="CN44" s="468">
        <f t="shared" si="30"/>
        <v>0</v>
      </c>
      <c r="CO44" s="468">
        <f t="shared" si="31"/>
        <v>0</v>
      </c>
      <c r="CP44" s="469">
        <f t="shared" si="32"/>
        <v>0</v>
      </c>
      <c r="CQ44" s="469">
        <f t="shared" si="33"/>
        <v>0</v>
      </c>
      <c r="CR44" s="430"/>
      <c r="CS44" s="427"/>
      <c r="CT44" s="431"/>
      <c r="CU44" s="431"/>
      <c r="CV44" s="432"/>
      <c r="CW44" s="427"/>
      <c r="CX44" s="431"/>
      <c r="CY44" s="433"/>
      <c r="CZ44" s="432"/>
      <c r="DA44" s="427"/>
      <c r="DB44" s="431"/>
      <c r="DC44" s="433"/>
      <c r="DD44" s="432"/>
      <c r="DE44" s="427"/>
      <c r="DF44" s="431"/>
      <c r="DG44" s="433"/>
      <c r="DH44" s="432"/>
      <c r="DI44" s="427"/>
      <c r="DJ44" s="431"/>
      <c r="DK44" s="433"/>
      <c r="DL44" s="432"/>
      <c r="DM44" s="427"/>
      <c r="DN44" s="431"/>
      <c r="DO44" s="433"/>
      <c r="DP44" s="432"/>
      <c r="DQ44" s="427"/>
      <c r="DR44" s="431"/>
      <c r="DS44" s="433"/>
      <c r="DT44" s="432"/>
      <c r="DU44" s="427"/>
      <c r="DV44" s="431"/>
      <c r="DW44" s="433"/>
      <c r="DX44" s="432"/>
      <c r="DY44" s="427"/>
      <c r="DZ44" s="431"/>
      <c r="EA44" s="433"/>
      <c r="EB44" s="432"/>
      <c r="EC44" s="427"/>
      <c r="ED44" s="431"/>
      <c r="EE44" s="433"/>
      <c r="EF44" s="428"/>
      <c r="EG44" s="426"/>
      <c r="EH44" s="460">
        <f t="shared" si="34"/>
        <v>0</v>
      </c>
      <c r="EI44" s="460">
        <f t="shared" si="35"/>
        <v>0</v>
      </c>
      <c r="EJ44" s="458">
        <f t="shared" si="36"/>
        <v>0</v>
      </c>
      <c r="EK44" s="470">
        <f t="shared" si="37"/>
        <v>0</v>
      </c>
      <c r="EL44" s="470">
        <f t="shared" si="38"/>
        <v>0</v>
      </c>
      <c r="EM44" s="449">
        <f t="shared" si="39"/>
        <v>0</v>
      </c>
      <c r="EN44" s="460">
        <f t="shared" si="40"/>
        <v>0</v>
      </c>
      <c r="EO44" s="469">
        <f t="shared" si="41"/>
        <v>0</v>
      </c>
      <c r="EP44" s="434"/>
      <c r="EQ44" s="426"/>
      <c r="ER44" s="434"/>
      <c r="ES44" s="426"/>
      <c r="ET44" s="434"/>
      <c r="EU44" s="426"/>
      <c r="EV44" s="434"/>
      <c r="EW44" s="426"/>
      <c r="EX44" s="434"/>
      <c r="EY44" s="426"/>
      <c r="EZ44" s="434"/>
      <c r="FA44" s="426"/>
      <c r="FB44" s="434"/>
      <c r="FC44" s="426"/>
      <c r="FD44" s="434"/>
      <c r="FE44" s="426"/>
      <c r="FF44" s="434"/>
      <c r="FG44" s="426"/>
      <c r="FH44" s="435"/>
      <c r="FI44" s="426"/>
      <c r="FJ44" s="468">
        <f t="shared" si="42"/>
        <v>0</v>
      </c>
      <c r="FK44" s="469">
        <f t="shared" si="43"/>
        <v>0</v>
      </c>
      <c r="FL44" s="435"/>
      <c r="FM44" s="426"/>
      <c r="FN44" s="460">
        <f t="shared" si="44"/>
        <v>505</v>
      </c>
      <c r="FO44" s="469">
        <f t="shared" si="45"/>
        <v>520</v>
      </c>
      <c r="FQ44" s="393"/>
    </row>
    <row r="45" spans="1:173" s="248" customFormat="1" x14ac:dyDescent="0.2">
      <c r="A45" s="354" t="s">
        <v>0</v>
      </c>
      <c r="B45" s="359" t="s">
        <v>526</v>
      </c>
      <c r="C45" s="492"/>
      <c r="D45" s="488">
        <v>102313</v>
      </c>
      <c r="E45" s="499">
        <v>12</v>
      </c>
      <c r="F45" s="427">
        <v>359</v>
      </c>
      <c r="G45" s="426">
        <v>284</v>
      </c>
      <c r="H45" s="427"/>
      <c r="I45" s="426"/>
      <c r="J45" s="427">
        <v>219</v>
      </c>
      <c r="K45" s="426">
        <v>179</v>
      </c>
      <c r="L45" s="458">
        <f t="shared" si="24"/>
        <v>0</v>
      </c>
      <c r="M45" s="449">
        <f t="shared" si="25"/>
        <v>0</v>
      </c>
      <c r="N45" s="428"/>
      <c r="O45" s="428"/>
      <c r="P45" s="428"/>
      <c r="Q45" s="428"/>
      <c r="R45" s="460">
        <f t="shared" si="2"/>
        <v>0</v>
      </c>
      <c r="S45" s="391"/>
      <c r="T45" s="429"/>
      <c r="U45" s="429"/>
      <c r="V45" s="429"/>
      <c r="W45" s="462">
        <f t="shared" si="3"/>
        <v>0</v>
      </c>
      <c r="X45" s="430"/>
      <c r="Y45" s="427"/>
      <c r="Z45" s="431"/>
      <c r="AA45" s="431"/>
      <c r="AB45" s="432"/>
      <c r="AC45" s="427"/>
      <c r="AD45" s="431"/>
      <c r="AE45" s="433"/>
      <c r="AF45" s="432"/>
      <c r="AG45" s="427"/>
      <c r="AH45" s="431"/>
      <c r="AI45" s="433"/>
      <c r="AJ45" s="432"/>
      <c r="AK45" s="427"/>
      <c r="AL45" s="431"/>
      <c r="AM45" s="433"/>
      <c r="AN45" s="432"/>
      <c r="AO45" s="427"/>
      <c r="AP45" s="431"/>
      <c r="AQ45" s="431"/>
      <c r="AR45" s="460">
        <f t="shared" si="26"/>
        <v>0</v>
      </c>
      <c r="AS45" s="467">
        <f t="shared" si="27"/>
        <v>0</v>
      </c>
      <c r="AT45" s="447">
        <f t="shared" si="28"/>
        <v>0</v>
      </c>
      <c r="AU45" s="448">
        <f t="shared" si="29"/>
        <v>0</v>
      </c>
      <c r="AV45" s="427"/>
      <c r="AW45" s="426"/>
      <c r="AX45" s="430"/>
      <c r="AY45" s="427"/>
      <c r="AZ45" s="431"/>
      <c r="BA45" s="431"/>
      <c r="BB45" s="432"/>
      <c r="BC45" s="427"/>
      <c r="BD45" s="431"/>
      <c r="BE45" s="433"/>
      <c r="BF45" s="432"/>
      <c r="BG45" s="427"/>
      <c r="BH45" s="431"/>
      <c r="BI45" s="433"/>
      <c r="BJ45" s="432"/>
      <c r="BK45" s="427"/>
      <c r="BL45" s="431"/>
      <c r="BM45" s="433"/>
      <c r="BN45" s="432"/>
      <c r="BO45" s="427"/>
      <c r="BP45" s="431"/>
      <c r="BQ45" s="433"/>
      <c r="BR45" s="432"/>
      <c r="BS45" s="427"/>
      <c r="BT45" s="446"/>
      <c r="BU45" s="392"/>
      <c r="BV45" s="432"/>
      <c r="BW45" s="427"/>
      <c r="BX45" s="431"/>
      <c r="BY45" s="433"/>
      <c r="BZ45" s="432"/>
      <c r="CA45" s="427"/>
      <c r="CB45" s="431"/>
      <c r="CC45" s="433"/>
      <c r="CD45" s="432"/>
      <c r="CE45" s="427"/>
      <c r="CF45" s="431"/>
      <c r="CG45" s="433"/>
      <c r="CH45" s="432"/>
      <c r="CI45" s="427"/>
      <c r="CJ45" s="431"/>
      <c r="CK45" s="433"/>
      <c r="CL45" s="428"/>
      <c r="CM45" s="426"/>
      <c r="CN45" s="468">
        <f t="shared" si="30"/>
        <v>0</v>
      </c>
      <c r="CO45" s="468">
        <f t="shared" si="31"/>
        <v>0</v>
      </c>
      <c r="CP45" s="469">
        <f t="shared" si="32"/>
        <v>0</v>
      </c>
      <c r="CQ45" s="469">
        <f t="shared" si="33"/>
        <v>0</v>
      </c>
      <c r="CR45" s="430"/>
      <c r="CS45" s="427"/>
      <c r="CT45" s="431"/>
      <c r="CU45" s="431"/>
      <c r="CV45" s="432"/>
      <c r="CW45" s="427"/>
      <c r="CX45" s="431"/>
      <c r="CY45" s="433"/>
      <c r="CZ45" s="432"/>
      <c r="DA45" s="427"/>
      <c r="DB45" s="431"/>
      <c r="DC45" s="433"/>
      <c r="DD45" s="432"/>
      <c r="DE45" s="427"/>
      <c r="DF45" s="431"/>
      <c r="DG45" s="433"/>
      <c r="DH45" s="432"/>
      <c r="DI45" s="427"/>
      <c r="DJ45" s="431"/>
      <c r="DK45" s="433"/>
      <c r="DL45" s="432"/>
      <c r="DM45" s="427"/>
      <c r="DN45" s="431"/>
      <c r="DO45" s="433"/>
      <c r="DP45" s="432"/>
      <c r="DQ45" s="427"/>
      <c r="DR45" s="431"/>
      <c r="DS45" s="433"/>
      <c r="DT45" s="432"/>
      <c r="DU45" s="427"/>
      <c r="DV45" s="431"/>
      <c r="DW45" s="433"/>
      <c r="DX45" s="432"/>
      <c r="DY45" s="427"/>
      <c r="DZ45" s="431"/>
      <c r="EA45" s="433"/>
      <c r="EB45" s="432"/>
      <c r="EC45" s="427"/>
      <c r="ED45" s="431"/>
      <c r="EE45" s="433"/>
      <c r="EF45" s="428"/>
      <c r="EG45" s="426"/>
      <c r="EH45" s="460">
        <f t="shared" si="34"/>
        <v>0</v>
      </c>
      <c r="EI45" s="460">
        <f t="shared" si="35"/>
        <v>0</v>
      </c>
      <c r="EJ45" s="458">
        <f t="shared" si="36"/>
        <v>0</v>
      </c>
      <c r="EK45" s="470">
        <f t="shared" si="37"/>
        <v>0</v>
      </c>
      <c r="EL45" s="470">
        <f t="shared" si="38"/>
        <v>0</v>
      </c>
      <c r="EM45" s="449">
        <f t="shared" si="39"/>
        <v>0</v>
      </c>
      <c r="EN45" s="460">
        <f t="shared" si="40"/>
        <v>0</v>
      </c>
      <c r="EO45" s="469">
        <f t="shared" si="41"/>
        <v>0</v>
      </c>
      <c r="EP45" s="434"/>
      <c r="EQ45" s="426"/>
      <c r="ER45" s="434"/>
      <c r="ES45" s="426"/>
      <c r="ET45" s="434"/>
      <c r="EU45" s="426"/>
      <c r="EV45" s="434"/>
      <c r="EW45" s="426"/>
      <c r="EX45" s="434"/>
      <c r="EY45" s="426"/>
      <c r="EZ45" s="434"/>
      <c r="FA45" s="426"/>
      <c r="FB45" s="434"/>
      <c r="FC45" s="426"/>
      <c r="FD45" s="434"/>
      <c r="FE45" s="426"/>
      <c r="FF45" s="434"/>
      <c r="FG45" s="426"/>
      <c r="FH45" s="435"/>
      <c r="FI45" s="426"/>
      <c r="FJ45" s="468">
        <f t="shared" si="42"/>
        <v>0</v>
      </c>
      <c r="FK45" s="469">
        <f t="shared" si="43"/>
        <v>0</v>
      </c>
      <c r="FL45" s="435"/>
      <c r="FM45" s="426"/>
      <c r="FN45" s="460">
        <f t="shared" si="44"/>
        <v>578</v>
      </c>
      <c r="FO45" s="469">
        <f t="shared" si="45"/>
        <v>463</v>
      </c>
      <c r="FQ45" s="393"/>
    </row>
    <row r="46" spans="1:173" s="248" customFormat="1" x14ac:dyDescent="0.2">
      <c r="A46" s="354" t="s">
        <v>0</v>
      </c>
      <c r="B46" s="355" t="s">
        <v>527</v>
      </c>
      <c r="C46" s="491"/>
      <c r="D46" s="488">
        <v>101462</v>
      </c>
      <c r="E46" s="499">
        <v>13</v>
      </c>
      <c r="F46" s="427">
        <v>254</v>
      </c>
      <c r="G46" s="426">
        <v>175</v>
      </c>
      <c r="H46" s="427"/>
      <c r="I46" s="426"/>
      <c r="J46" s="427">
        <v>75</v>
      </c>
      <c r="K46" s="426">
        <v>71</v>
      </c>
      <c r="L46" s="458">
        <f t="shared" si="24"/>
        <v>0</v>
      </c>
      <c r="M46" s="449">
        <f t="shared" si="25"/>
        <v>0</v>
      </c>
      <c r="N46" s="428"/>
      <c r="O46" s="428"/>
      <c r="P46" s="428"/>
      <c r="Q46" s="428"/>
      <c r="R46" s="460">
        <f t="shared" si="2"/>
        <v>0</v>
      </c>
      <c r="S46" s="391"/>
      <c r="T46" s="429"/>
      <c r="U46" s="429"/>
      <c r="V46" s="429"/>
      <c r="W46" s="462">
        <f t="shared" si="3"/>
        <v>0</v>
      </c>
      <c r="X46" s="430"/>
      <c r="Y46" s="427"/>
      <c r="Z46" s="431"/>
      <c r="AA46" s="431"/>
      <c r="AB46" s="432"/>
      <c r="AC46" s="427"/>
      <c r="AD46" s="431"/>
      <c r="AE46" s="433"/>
      <c r="AF46" s="432"/>
      <c r="AG46" s="427"/>
      <c r="AH46" s="431"/>
      <c r="AI46" s="433"/>
      <c r="AJ46" s="432"/>
      <c r="AK46" s="427"/>
      <c r="AL46" s="431"/>
      <c r="AM46" s="433"/>
      <c r="AN46" s="432"/>
      <c r="AO46" s="427"/>
      <c r="AP46" s="431"/>
      <c r="AQ46" s="431"/>
      <c r="AR46" s="460">
        <f t="shared" si="26"/>
        <v>0</v>
      </c>
      <c r="AS46" s="467">
        <f t="shared" si="27"/>
        <v>0</v>
      </c>
      <c r="AT46" s="447">
        <f t="shared" si="28"/>
        <v>0</v>
      </c>
      <c r="AU46" s="448">
        <f t="shared" si="29"/>
        <v>0</v>
      </c>
      <c r="AV46" s="427"/>
      <c r="AW46" s="426"/>
      <c r="AX46" s="430"/>
      <c r="AY46" s="427"/>
      <c r="AZ46" s="431"/>
      <c r="BA46" s="431"/>
      <c r="BB46" s="432"/>
      <c r="BC46" s="427"/>
      <c r="BD46" s="431"/>
      <c r="BE46" s="433"/>
      <c r="BF46" s="432"/>
      <c r="BG46" s="427"/>
      <c r="BH46" s="431"/>
      <c r="BI46" s="433"/>
      <c r="BJ46" s="432"/>
      <c r="BK46" s="427"/>
      <c r="BL46" s="431"/>
      <c r="BM46" s="433"/>
      <c r="BN46" s="432"/>
      <c r="BO46" s="427"/>
      <c r="BP46" s="431"/>
      <c r="BQ46" s="433"/>
      <c r="BR46" s="432"/>
      <c r="BS46" s="427"/>
      <c r="BT46" s="446"/>
      <c r="BU46" s="392"/>
      <c r="BV46" s="432"/>
      <c r="BW46" s="427"/>
      <c r="BX46" s="431"/>
      <c r="BY46" s="433"/>
      <c r="BZ46" s="432"/>
      <c r="CA46" s="427"/>
      <c r="CB46" s="431"/>
      <c r="CC46" s="433"/>
      <c r="CD46" s="432"/>
      <c r="CE46" s="427"/>
      <c r="CF46" s="431"/>
      <c r="CG46" s="433"/>
      <c r="CH46" s="432"/>
      <c r="CI46" s="427"/>
      <c r="CJ46" s="431"/>
      <c r="CK46" s="433"/>
      <c r="CL46" s="428"/>
      <c r="CM46" s="426"/>
      <c r="CN46" s="468">
        <f t="shared" si="30"/>
        <v>0</v>
      </c>
      <c r="CO46" s="468">
        <f t="shared" si="31"/>
        <v>0</v>
      </c>
      <c r="CP46" s="469">
        <f t="shared" si="32"/>
        <v>0</v>
      </c>
      <c r="CQ46" s="469">
        <f t="shared" si="33"/>
        <v>0</v>
      </c>
      <c r="CR46" s="430"/>
      <c r="CS46" s="427"/>
      <c r="CT46" s="431"/>
      <c r="CU46" s="431"/>
      <c r="CV46" s="432"/>
      <c r="CW46" s="427"/>
      <c r="CX46" s="431"/>
      <c r="CY46" s="433"/>
      <c r="CZ46" s="432"/>
      <c r="DA46" s="427"/>
      <c r="DB46" s="431"/>
      <c r="DC46" s="433"/>
      <c r="DD46" s="432"/>
      <c r="DE46" s="427"/>
      <c r="DF46" s="431"/>
      <c r="DG46" s="433"/>
      <c r="DH46" s="432"/>
      <c r="DI46" s="427"/>
      <c r="DJ46" s="431"/>
      <c r="DK46" s="433"/>
      <c r="DL46" s="432"/>
      <c r="DM46" s="427"/>
      <c r="DN46" s="431"/>
      <c r="DO46" s="433"/>
      <c r="DP46" s="432"/>
      <c r="DQ46" s="427"/>
      <c r="DR46" s="431"/>
      <c r="DS46" s="433"/>
      <c r="DT46" s="432"/>
      <c r="DU46" s="427"/>
      <c r="DV46" s="431"/>
      <c r="DW46" s="433"/>
      <c r="DX46" s="432"/>
      <c r="DY46" s="427"/>
      <c r="DZ46" s="431"/>
      <c r="EA46" s="433"/>
      <c r="EB46" s="432"/>
      <c r="EC46" s="427"/>
      <c r="ED46" s="431"/>
      <c r="EE46" s="433"/>
      <c r="EF46" s="428"/>
      <c r="EG46" s="426"/>
      <c r="EH46" s="460">
        <f t="shared" si="34"/>
        <v>0</v>
      </c>
      <c r="EI46" s="460">
        <f t="shared" si="35"/>
        <v>0</v>
      </c>
      <c r="EJ46" s="458">
        <f t="shared" si="36"/>
        <v>0</v>
      </c>
      <c r="EK46" s="470">
        <f t="shared" si="37"/>
        <v>0</v>
      </c>
      <c r="EL46" s="470">
        <f t="shared" si="38"/>
        <v>0</v>
      </c>
      <c r="EM46" s="449">
        <f t="shared" si="39"/>
        <v>0</v>
      </c>
      <c r="EN46" s="460">
        <f t="shared" si="40"/>
        <v>0</v>
      </c>
      <c r="EO46" s="469">
        <f t="shared" si="41"/>
        <v>0</v>
      </c>
      <c r="EP46" s="434"/>
      <c r="EQ46" s="426"/>
      <c r="ER46" s="434"/>
      <c r="ES46" s="426"/>
      <c r="ET46" s="434"/>
      <c r="EU46" s="426"/>
      <c r="EV46" s="434"/>
      <c r="EW46" s="426"/>
      <c r="EX46" s="434"/>
      <c r="EY46" s="426"/>
      <c r="EZ46" s="434"/>
      <c r="FA46" s="426"/>
      <c r="FB46" s="434"/>
      <c r="FC46" s="426"/>
      <c r="FD46" s="434"/>
      <c r="FE46" s="426"/>
      <c r="FF46" s="434"/>
      <c r="FG46" s="426"/>
      <c r="FH46" s="435"/>
      <c r="FI46" s="426"/>
      <c r="FJ46" s="468">
        <f t="shared" si="42"/>
        <v>0</v>
      </c>
      <c r="FK46" s="469">
        <f t="shared" si="43"/>
        <v>0</v>
      </c>
      <c r="FL46" s="435"/>
      <c r="FM46" s="426"/>
      <c r="FN46" s="460">
        <f t="shared" si="44"/>
        <v>329</v>
      </c>
      <c r="FO46" s="469">
        <f t="shared" si="45"/>
        <v>246</v>
      </c>
      <c r="FQ46" s="393"/>
    </row>
    <row r="47" spans="1:173" s="248" customFormat="1" x14ac:dyDescent="0.2">
      <c r="A47" s="354" t="s">
        <v>0</v>
      </c>
      <c r="B47" s="359" t="s">
        <v>528</v>
      </c>
      <c r="C47" s="492"/>
      <c r="D47" s="488">
        <v>101471</v>
      </c>
      <c r="E47" s="499">
        <v>13</v>
      </c>
      <c r="F47" s="427">
        <v>219</v>
      </c>
      <c r="G47" s="426">
        <v>330</v>
      </c>
      <c r="H47" s="427"/>
      <c r="I47" s="426"/>
      <c r="J47" s="427">
        <v>15</v>
      </c>
      <c r="K47" s="426">
        <v>6</v>
      </c>
      <c r="L47" s="458">
        <f t="shared" si="24"/>
        <v>0</v>
      </c>
      <c r="M47" s="449">
        <f t="shared" si="25"/>
        <v>0</v>
      </c>
      <c r="N47" s="428"/>
      <c r="O47" s="428"/>
      <c r="P47" s="428"/>
      <c r="Q47" s="428"/>
      <c r="R47" s="460">
        <f t="shared" si="2"/>
        <v>0</v>
      </c>
      <c r="S47" s="391"/>
      <c r="T47" s="429"/>
      <c r="U47" s="429"/>
      <c r="V47" s="429"/>
      <c r="W47" s="462">
        <f t="shared" si="3"/>
        <v>0</v>
      </c>
      <c r="X47" s="430"/>
      <c r="Y47" s="427"/>
      <c r="Z47" s="431"/>
      <c r="AA47" s="431"/>
      <c r="AB47" s="432"/>
      <c r="AC47" s="427"/>
      <c r="AD47" s="431"/>
      <c r="AE47" s="433"/>
      <c r="AF47" s="432"/>
      <c r="AG47" s="427"/>
      <c r="AH47" s="431"/>
      <c r="AI47" s="433"/>
      <c r="AJ47" s="432"/>
      <c r="AK47" s="427"/>
      <c r="AL47" s="431"/>
      <c r="AM47" s="433"/>
      <c r="AN47" s="432"/>
      <c r="AO47" s="427"/>
      <c r="AP47" s="431"/>
      <c r="AQ47" s="431"/>
      <c r="AR47" s="460">
        <f t="shared" si="26"/>
        <v>0</v>
      </c>
      <c r="AS47" s="467">
        <f t="shared" si="27"/>
        <v>0</v>
      </c>
      <c r="AT47" s="447">
        <f t="shared" si="28"/>
        <v>0</v>
      </c>
      <c r="AU47" s="448">
        <f t="shared" si="29"/>
        <v>0</v>
      </c>
      <c r="AV47" s="427"/>
      <c r="AW47" s="426"/>
      <c r="AX47" s="430"/>
      <c r="AY47" s="427"/>
      <c r="AZ47" s="431"/>
      <c r="BA47" s="431"/>
      <c r="BB47" s="432"/>
      <c r="BC47" s="427"/>
      <c r="BD47" s="431"/>
      <c r="BE47" s="433"/>
      <c r="BF47" s="432"/>
      <c r="BG47" s="427"/>
      <c r="BH47" s="431"/>
      <c r="BI47" s="433"/>
      <c r="BJ47" s="432"/>
      <c r="BK47" s="427"/>
      <c r="BL47" s="431"/>
      <c r="BM47" s="433"/>
      <c r="BN47" s="432"/>
      <c r="BO47" s="427"/>
      <c r="BP47" s="431"/>
      <c r="BQ47" s="433"/>
      <c r="BR47" s="432"/>
      <c r="BS47" s="427"/>
      <c r="BT47" s="446"/>
      <c r="BU47" s="392"/>
      <c r="BV47" s="432"/>
      <c r="BW47" s="427"/>
      <c r="BX47" s="431"/>
      <c r="BY47" s="433"/>
      <c r="BZ47" s="432"/>
      <c r="CA47" s="427"/>
      <c r="CB47" s="431"/>
      <c r="CC47" s="433"/>
      <c r="CD47" s="432"/>
      <c r="CE47" s="427"/>
      <c r="CF47" s="431"/>
      <c r="CG47" s="433"/>
      <c r="CH47" s="432"/>
      <c r="CI47" s="427"/>
      <c r="CJ47" s="431"/>
      <c r="CK47" s="433"/>
      <c r="CL47" s="428"/>
      <c r="CM47" s="426"/>
      <c r="CN47" s="468">
        <f t="shared" si="30"/>
        <v>0</v>
      </c>
      <c r="CO47" s="468">
        <f t="shared" si="31"/>
        <v>0</v>
      </c>
      <c r="CP47" s="469">
        <f t="shared" si="32"/>
        <v>0</v>
      </c>
      <c r="CQ47" s="469">
        <f t="shared" si="33"/>
        <v>0</v>
      </c>
      <c r="CR47" s="430"/>
      <c r="CS47" s="427"/>
      <c r="CT47" s="431"/>
      <c r="CU47" s="431"/>
      <c r="CV47" s="432"/>
      <c r="CW47" s="427"/>
      <c r="CX47" s="431"/>
      <c r="CY47" s="433"/>
      <c r="CZ47" s="432"/>
      <c r="DA47" s="427"/>
      <c r="DB47" s="431"/>
      <c r="DC47" s="433"/>
      <c r="DD47" s="432"/>
      <c r="DE47" s="427"/>
      <c r="DF47" s="431"/>
      <c r="DG47" s="433"/>
      <c r="DH47" s="432"/>
      <c r="DI47" s="427"/>
      <c r="DJ47" s="431"/>
      <c r="DK47" s="433"/>
      <c r="DL47" s="432"/>
      <c r="DM47" s="427"/>
      <c r="DN47" s="431"/>
      <c r="DO47" s="433"/>
      <c r="DP47" s="432"/>
      <c r="DQ47" s="427"/>
      <c r="DR47" s="431"/>
      <c r="DS47" s="433"/>
      <c r="DT47" s="432"/>
      <c r="DU47" s="427"/>
      <c r="DV47" s="431"/>
      <c r="DW47" s="433"/>
      <c r="DX47" s="432"/>
      <c r="DY47" s="427"/>
      <c r="DZ47" s="431"/>
      <c r="EA47" s="433"/>
      <c r="EB47" s="432"/>
      <c r="EC47" s="427"/>
      <c r="ED47" s="431"/>
      <c r="EE47" s="433"/>
      <c r="EF47" s="428"/>
      <c r="EG47" s="426"/>
      <c r="EH47" s="460">
        <f t="shared" si="34"/>
        <v>0</v>
      </c>
      <c r="EI47" s="460">
        <f t="shared" si="35"/>
        <v>0</v>
      </c>
      <c r="EJ47" s="458">
        <f t="shared" si="36"/>
        <v>0</v>
      </c>
      <c r="EK47" s="470">
        <f t="shared" si="37"/>
        <v>0</v>
      </c>
      <c r="EL47" s="470">
        <f t="shared" si="38"/>
        <v>0</v>
      </c>
      <c r="EM47" s="449">
        <f t="shared" si="39"/>
        <v>0</v>
      </c>
      <c r="EN47" s="460">
        <f t="shared" si="40"/>
        <v>0</v>
      </c>
      <c r="EO47" s="469">
        <f t="shared" si="41"/>
        <v>0</v>
      </c>
      <c r="EP47" s="434"/>
      <c r="EQ47" s="426"/>
      <c r="ER47" s="434"/>
      <c r="ES47" s="426"/>
      <c r="ET47" s="434"/>
      <c r="EU47" s="426"/>
      <c r="EV47" s="434"/>
      <c r="EW47" s="426"/>
      <c r="EX47" s="434"/>
      <c r="EY47" s="426"/>
      <c r="EZ47" s="434"/>
      <c r="FA47" s="426"/>
      <c r="FB47" s="434"/>
      <c r="FC47" s="426"/>
      <c r="FD47" s="434"/>
      <c r="FE47" s="426"/>
      <c r="FF47" s="434"/>
      <c r="FG47" s="426"/>
      <c r="FH47" s="435"/>
      <c r="FI47" s="426"/>
      <c r="FJ47" s="468">
        <f t="shared" si="42"/>
        <v>0</v>
      </c>
      <c r="FK47" s="469">
        <f t="shared" si="43"/>
        <v>0</v>
      </c>
      <c r="FL47" s="435"/>
      <c r="FM47" s="426"/>
      <c r="FN47" s="460">
        <f t="shared" si="44"/>
        <v>234</v>
      </c>
      <c r="FO47" s="469">
        <f t="shared" si="45"/>
        <v>336</v>
      </c>
      <c r="FQ47" s="393"/>
    </row>
    <row r="48" spans="1:173" s="248" customFormat="1" x14ac:dyDescent="0.2">
      <c r="A48" s="354" t="s">
        <v>0</v>
      </c>
      <c r="B48" s="359" t="s">
        <v>529</v>
      </c>
      <c r="C48" s="492"/>
      <c r="D48" s="488">
        <v>101994</v>
      </c>
      <c r="E48" s="499">
        <v>13</v>
      </c>
      <c r="F48" s="427">
        <v>169</v>
      </c>
      <c r="G48" s="426">
        <v>169</v>
      </c>
      <c r="H48" s="427"/>
      <c r="I48" s="426"/>
      <c r="J48" s="427">
        <v>66</v>
      </c>
      <c r="K48" s="426">
        <v>83</v>
      </c>
      <c r="L48" s="458">
        <f t="shared" si="24"/>
        <v>0</v>
      </c>
      <c r="M48" s="449">
        <f t="shared" si="25"/>
        <v>0</v>
      </c>
      <c r="N48" s="428"/>
      <c r="O48" s="428"/>
      <c r="P48" s="428"/>
      <c r="Q48" s="428"/>
      <c r="R48" s="460">
        <f t="shared" si="2"/>
        <v>0</v>
      </c>
      <c r="S48" s="391"/>
      <c r="T48" s="429"/>
      <c r="U48" s="429"/>
      <c r="V48" s="429"/>
      <c r="W48" s="462">
        <f t="shared" si="3"/>
        <v>0</v>
      </c>
      <c r="X48" s="430"/>
      <c r="Y48" s="427"/>
      <c r="Z48" s="431"/>
      <c r="AA48" s="431"/>
      <c r="AB48" s="432"/>
      <c r="AC48" s="427"/>
      <c r="AD48" s="431"/>
      <c r="AE48" s="433"/>
      <c r="AF48" s="432"/>
      <c r="AG48" s="427"/>
      <c r="AH48" s="431"/>
      <c r="AI48" s="433"/>
      <c r="AJ48" s="432"/>
      <c r="AK48" s="427"/>
      <c r="AL48" s="431"/>
      <c r="AM48" s="433"/>
      <c r="AN48" s="432"/>
      <c r="AO48" s="427"/>
      <c r="AP48" s="431"/>
      <c r="AQ48" s="431"/>
      <c r="AR48" s="460">
        <f t="shared" si="26"/>
        <v>0</v>
      </c>
      <c r="AS48" s="467">
        <f t="shared" si="27"/>
        <v>0</v>
      </c>
      <c r="AT48" s="447">
        <f t="shared" si="28"/>
        <v>0</v>
      </c>
      <c r="AU48" s="448">
        <f t="shared" si="29"/>
        <v>0</v>
      </c>
      <c r="AV48" s="427"/>
      <c r="AW48" s="426"/>
      <c r="AX48" s="430"/>
      <c r="AY48" s="427"/>
      <c r="AZ48" s="431"/>
      <c r="BA48" s="431"/>
      <c r="BB48" s="432"/>
      <c r="BC48" s="427"/>
      <c r="BD48" s="431"/>
      <c r="BE48" s="433"/>
      <c r="BF48" s="432"/>
      <c r="BG48" s="427"/>
      <c r="BH48" s="431"/>
      <c r="BI48" s="433"/>
      <c r="BJ48" s="432"/>
      <c r="BK48" s="427"/>
      <c r="BL48" s="431"/>
      <c r="BM48" s="433"/>
      <c r="BN48" s="432"/>
      <c r="BO48" s="427"/>
      <c r="BP48" s="431"/>
      <c r="BQ48" s="433"/>
      <c r="BR48" s="432"/>
      <c r="BS48" s="427"/>
      <c r="BT48" s="446"/>
      <c r="BU48" s="392"/>
      <c r="BV48" s="432"/>
      <c r="BW48" s="427"/>
      <c r="BX48" s="431"/>
      <c r="BY48" s="433"/>
      <c r="BZ48" s="432"/>
      <c r="CA48" s="427"/>
      <c r="CB48" s="431"/>
      <c r="CC48" s="433"/>
      <c r="CD48" s="432"/>
      <c r="CE48" s="427"/>
      <c r="CF48" s="431"/>
      <c r="CG48" s="433"/>
      <c r="CH48" s="432"/>
      <c r="CI48" s="427"/>
      <c r="CJ48" s="431"/>
      <c r="CK48" s="433"/>
      <c r="CL48" s="428"/>
      <c r="CM48" s="426"/>
      <c r="CN48" s="468">
        <f t="shared" si="30"/>
        <v>0</v>
      </c>
      <c r="CO48" s="468">
        <f t="shared" si="31"/>
        <v>0</v>
      </c>
      <c r="CP48" s="469">
        <f t="shared" si="32"/>
        <v>0</v>
      </c>
      <c r="CQ48" s="469">
        <f t="shared" si="33"/>
        <v>0</v>
      </c>
      <c r="CR48" s="430"/>
      <c r="CS48" s="427"/>
      <c r="CT48" s="431"/>
      <c r="CU48" s="431"/>
      <c r="CV48" s="432"/>
      <c r="CW48" s="427"/>
      <c r="CX48" s="431"/>
      <c r="CY48" s="433"/>
      <c r="CZ48" s="432"/>
      <c r="DA48" s="427"/>
      <c r="DB48" s="431"/>
      <c r="DC48" s="433"/>
      <c r="DD48" s="432"/>
      <c r="DE48" s="427"/>
      <c r="DF48" s="431"/>
      <c r="DG48" s="433"/>
      <c r="DH48" s="432"/>
      <c r="DI48" s="427"/>
      <c r="DJ48" s="431"/>
      <c r="DK48" s="433"/>
      <c r="DL48" s="432"/>
      <c r="DM48" s="427"/>
      <c r="DN48" s="431"/>
      <c r="DO48" s="433"/>
      <c r="DP48" s="432"/>
      <c r="DQ48" s="427"/>
      <c r="DR48" s="431"/>
      <c r="DS48" s="433"/>
      <c r="DT48" s="432"/>
      <c r="DU48" s="427"/>
      <c r="DV48" s="431"/>
      <c r="DW48" s="433"/>
      <c r="DX48" s="432"/>
      <c r="DY48" s="427"/>
      <c r="DZ48" s="431"/>
      <c r="EA48" s="433"/>
      <c r="EB48" s="432"/>
      <c r="EC48" s="427"/>
      <c r="ED48" s="431"/>
      <c r="EE48" s="433"/>
      <c r="EF48" s="428"/>
      <c r="EG48" s="426"/>
      <c r="EH48" s="460">
        <f t="shared" si="34"/>
        <v>0</v>
      </c>
      <c r="EI48" s="460">
        <f t="shared" si="35"/>
        <v>0</v>
      </c>
      <c r="EJ48" s="458">
        <f t="shared" si="36"/>
        <v>0</v>
      </c>
      <c r="EK48" s="470">
        <f t="shared" si="37"/>
        <v>0</v>
      </c>
      <c r="EL48" s="470">
        <f t="shared" si="38"/>
        <v>0</v>
      </c>
      <c r="EM48" s="449">
        <f t="shared" si="39"/>
        <v>0</v>
      </c>
      <c r="EN48" s="460">
        <f t="shared" si="40"/>
        <v>0</v>
      </c>
      <c r="EO48" s="469">
        <f t="shared" si="41"/>
        <v>0</v>
      </c>
      <c r="EP48" s="434"/>
      <c r="EQ48" s="426"/>
      <c r="ER48" s="434"/>
      <c r="ES48" s="426"/>
      <c r="ET48" s="434"/>
      <c r="EU48" s="426"/>
      <c r="EV48" s="434"/>
      <c r="EW48" s="426"/>
      <c r="EX48" s="434"/>
      <c r="EY48" s="426"/>
      <c r="EZ48" s="434"/>
      <c r="FA48" s="426"/>
      <c r="FB48" s="434"/>
      <c r="FC48" s="426"/>
      <c r="FD48" s="434"/>
      <c r="FE48" s="426"/>
      <c r="FF48" s="434"/>
      <c r="FG48" s="426"/>
      <c r="FH48" s="435"/>
      <c r="FI48" s="426"/>
      <c r="FJ48" s="468">
        <f t="shared" si="42"/>
        <v>0</v>
      </c>
      <c r="FK48" s="469">
        <f t="shared" si="43"/>
        <v>0</v>
      </c>
      <c r="FL48" s="435"/>
      <c r="FM48" s="426"/>
      <c r="FN48" s="460">
        <f t="shared" si="44"/>
        <v>235</v>
      </c>
      <c r="FO48" s="469">
        <f t="shared" si="45"/>
        <v>252</v>
      </c>
      <c r="FQ48" s="393"/>
    </row>
    <row r="49" spans="1:173" s="248" customFormat="1" x14ac:dyDescent="0.2">
      <c r="A49" s="354" t="s">
        <v>0</v>
      </c>
      <c r="B49" s="355" t="s">
        <v>530</v>
      </c>
      <c r="C49" s="356"/>
      <c r="D49" s="357">
        <v>101648</v>
      </c>
      <c r="E49" s="357">
        <v>15</v>
      </c>
      <c r="F49" s="427">
        <v>87</v>
      </c>
      <c r="G49" s="426"/>
      <c r="H49" s="427"/>
      <c r="I49" s="426"/>
      <c r="J49" s="427">
        <v>94</v>
      </c>
      <c r="K49" s="426">
        <v>84</v>
      </c>
      <c r="L49" s="458">
        <f t="shared" si="24"/>
        <v>0</v>
      </c>
      <c r="M49" s="449">
        <f t="shared" si="25"/>
        <v>0</v>
      </c>
      <c r="N49" s="428"/>
      <c r="O49" s="428"/>
      <c r="P49" s="428"/>
      <c r="Q49" s="428"/>
      <c r="R49" s="460">
        <f t="shared" si="2"/>
        <v>0</v>
      </c>
      <c r="S49" s="391"/>
      <c r="T49" s="429"/>
      <c r="U49" s="429"/>
      <c r="V49" s="429"/>
      <c r="W49" s="462">
        <f t="shared" si="3"/>
        <v>0</v>
      </c>
      <c r="X49" s="430"/>
      <c r="Y49" s="427"/>
      <c r="Z49" s="431"/>
      <c r="AA49" s="431"/>
      <c r="AB49" s="432"/>
      <c r="AC49" s="427"/>
      <c r="AD49" s="431"/>
      <c r="AE49" s="433"/>
      <c r="AF49" s="432"/>
      <c r="AG49" s="427"/>
      <c r="AH49" s="431"/>
      <c r="AI49" s="433"/>
      <c r="AJ49" s="432"/>
      <c r="AK49" s="427"/>
      <c r="AL49" s="431"/>
      <c r="AM49" s="433"/>
      <c r="AN49" s="432"/>
      <c r="AO49" s="427"/>
      <c r="AP49" s="431"/>
      <c r="AQ49" s="431"/>
      <c r="AR49" s="460">
        <f t="shared" si="26"/>
        <v>0</v>
      </c>
      <c r="AS49" s="467">
        <f t="shared" si="27"/>
        <v>0</v>
      </c>
      <c r="AT49" s="447">
        <f t="shared" si="28"/>
        <v>0</v>
      </c>
      <c r="AU49" s="448">
        <f t="shared" si="29"/>
        <v>0</v>
      </c>
      <c r="AV49" s="427"/>
      <c r="AW49" s="426"/>
      <c r="AX49" s="430"/>
      <c r="AY49" s="427"/>
      <c r="AZ49" s="431"/>
      <c r="BA49" s="431"/>
      <c r="BB49" s="432"/>
      <c r="BC49" s="427"/>
      <c r="BD49" s="431"/>
      <c r="BE49" s="433"/>
      <c r="BF49" s="432"/>
      <c r="BG49" s="427"/>
      <c r="BH49" s="431"/>
      <c r="BI49" s="433"/>
      <c r="BJ49" s="432"/>
      <c r="BK49" s="427"/>
      <c r="BL49" s="431"/>
      <c r="BM49" s="433"/>
      <c r="BN49" s="432"/>
      <c r="BO49" s="427"/>
      <c r="BP49" s="431"/>
      <c r="BQ49" s="433"/>
      <c r="BR49" s="432"/>
      <c r="BS49" s="427"/>
      <c r="BT49" s="446"/>
      <c r="BU49" s="392"/>
      <c r="BV49" s="432"/>
      <c r="BW49" s="427"/>
      <c r="BX49" s="431"/>
      <c r="BY49" s="433"/>
      <c r="BZ49" s="432"/>
      <c r="CA49" s="427"/>
      <c r="CB49" s="431"/>
      <c r="CC49" s="433"/>
      <c r="CD49" s="432"/>
      <c r="CE49" s="427"/>
      <c r="CF49" s="431"/>
      <c r="CG49" s="433"/>
      <c r="CH49" s="432"/>
      <c r="CI49" s="427"/>
      <c r="CJ49" s="431"/>
      <c r="CK49" s="433"/>
      <c r="CL49" s="428"/>
      <c r="CM49" s="426"/>
      <c r="CN49" s="468">
        <f t="shared" si="30"/>
        <v>0</v>
      </c>
      <c r="CO49" s="468">
        <f t="shared" si="31"/>
        <v>0</v>
      </c>
      <c r="CP49" s="469">
        <f t="shared" si="32"/>
        <v>0</v>
      </c>
      <c r="CQ49" s="469">
        <f t="shared" si="33"/>
        <v>0</v>
      </c>
      <c r="CR49" s="430"/>
      <c r="CS49" s="427"/>
      <c r="CT49" s="431"/>
      <c r="CU49" s="431"/>
      <c r="CV49" s="432"/>
      <c r="CW49" s="427"/>
      <c r="CX49" s="431"/>
      <c r="CY49" s="433"/>
      <c r="CZ49" s="432"/>
      <c r="DA49" s="427"/>
      <c r="DB49" s="431"/>
      <c r="DC49" s="433"/>
      <c r="DD49" s="432"/>
      <c r="DE49" s="427"/>
      <c r="DF49" s="431"/>
      <c r="DG49" s="433"/>
      <c r="DH49" s="432"/>
      <c r="DI49" s="427"/>
      <c r="DJ49" s="431"/>
      <c r="DK49" s="433"/>
      <c r="DL49" s="432"/>
      <c r="DM49" s="427"/>
      <c r="DN49" s="431"/>
      <c r="DO49" s="433"/>
      <c r="DP49" s="432"/>
      <c r="DQ49" s="427"/>
      <c r="DR49" s="431"/>
      <c r="DS49" s="433"/>
      <c r="DT49" s="432"/>
      <c r="DU49" s="427"/>
      <c r="DV49" s="431"/>
      <c r="DW49" s="433"/>
      <c r="DX49" s="432"/>
      <c r="DY49" s="427"/>
      <c r="DZ49" s="431"/>
      <c r="EA49" s="433"/>
      <c r="EB49" s="432"/>
      <c r="EC49" s="427"/>
      <c r="ED49" s="431"/>
      <c r="EE49" s="433"/>
      <c r="EF49" s="428"/>
      <c r="EG49" s="426"/>
      <c r="EH49" s="460">
        <f t="shared" si="34"/>
        <v>0</v>
      </c>
      <c r="EI49" s="460">
        <f t="shared" si="35"/>
        <v>0</v>
      </c>
      <c r="EJ49" s="458">
        <f t="shared" si="36"/>
        <v>0</v>
      </c>
      <c r="EK49" s="470">
        <f t="shared" si="37"/>
        <v>0</v>
      </c>
      <c r="EL49" s="470">
        <f t="shared" si="38"/>
        <v>0</v>
      </c>
      <c r="EM49" s="449">
        <f t="shared" si="39"/>
        <v>0</v>
      </c>
      <c r="EN49" s="460">
        <f t="shared" si="40"/>
        <v>0</v>
      </c>
      <c r="EO49" s="469">
        <f t="shared" si="41"/>
        <v>0</v>
      </c>
      <c r="EP49" s="434"/>
      <c r="EQ49" s="426"/>
      <c r="ER49" s="434"/>
      <c r="ES49" s="426"/>
      <c r="ET49" s="434"/>
      <c r="EU49" s="426"/>
      <c r="EV49" s="434"/>
      <c r="EW49" s="426"/>
      <c r="EX49" s="434"/>
      <c r="EY49" s="426"/>
      <c r="EZ49" s="434"/>
      <c r="FA49" s="426"/>
      <c r="FB49" s="434"/>
      <c r="FC49" s="426"/>
      <c r="FD49" s="434"/>
      <c r="FE49" s="426"/>
      <c r="FF49" s="434"/>
      <c r="FG49" s="426"/>
      <c r="FH49" s="435"/>
      <c r="FI49" s="426"/>
      <c r="FJ49" s="468">
        <f t="shared" si="42"/>
        <v>0</v>
      </c>
      <c r="FK49" s="469">
        <f t="shared" si="43"/>
        <v>0</v>
      </c>
      <c r="FL49" s="435"/>
      <c r="FM49" s="426"/>
      <c r="FN49" s="460">
        <f t="shared" si="44"/>
        <v>181</v>
      </c>
      <c r="FO49" s="469">
        <f t="shared" si="45"/>
        <v>84</v>
      </c>
      <c r="FQ49" s="393"/>
    </row>
    <row r="50" spans="1:173" x14ac:dyDescent="0.2">
      <c r="A50" s="725" t="s">
        <v>980</v>
      </c>
      <c r="B50" s="658" t="s">
        <v>981</v>
      </c>
      <c r="C50" s="659"/>
      <c r="D50" s="475">
        <v>106397</v>
      </c>
      <c r="E50" s="475">
        <v>1</v>
      </c>
      <c r="F50" s="457"/>
      <c r="G50" s="628">
        <v>0</v>
      </c>
      <c r="H50" s="427"/>
      <c r="I50" s="426">
        <v>0</v>
      </c>
      <c r="J50" s="427"/>
      <c r="K50" s="426">
        <v>0</v>
      </c>
      <c r="L50" s="458">
        <f t="shared" si="24"/>
        <v>0</v>
      </c>
      <c r="M50" s="449">
        <f t="shared" si="25"/>
        <v>0</v>
      </c>
      <c r="N50" s="428">
        <v>2958</v>
      </c>
      <c r="O50" s="428">
        <v>142</v>
      </c>
      <c r="P50" s="428"/>
      <c r="Q50" s="428"/>
      <c r="R50" s="460">
        <f t="shared" si="2"/>
        <v>142</v>
      </c>
      <c r="S50" s="461">
        <v>3130</v>
      </c>
      <c r="T50" s="660">
        <v>150</v>
      </c>
      <c r="U50" s="429"/>
      <c r="V50" s="429"/>
      <c r="W50" s="462">
        <f t="shared" si="3"/>
        <v>150</v>
      </c>
      <c r="X50" s="430"/>
      <c r="Y50" s="427"/>
      <c r="Z50" s="431"/>
      <c r="AA50" s="431"/>
      <c r="AB50" s="432"/>
      <c r="AC50" s="427"/>
      <c r="AD50" s="431"/>
      <c r="AE50" s="433"/>
      <c r="AF50" s="432"/>
      <c r="AG50" s="427"/>
      <c r="AH50" s="431"/>
      <c r="AI50" s="433"/>
      <c r="AJ50" s="432"/>
      <c r="AK50" s="427"/>
      <c r="AL50" s="431"/>
      <c r="AM50" s="433"/>
      <c r="AN50" s="432"/>
      <c r="AO50" s="427"/>
      <c r="AP50" s="431"/>
      <c r="AQ50" s="431"/>
      <c r="AR50" s="460">
        <f t="shared" si="26"/>
        <v>0</v>
      </c>
      <c r="AS50" s="467">
        <f t="shared" si="27"/>
        <v>0.67828479706489342</v>
      </c>
      <c r="AT50" s="447">
        <f t="shared" si="28"/>
        <v>0</v>
      </c>
      <c r="AU50" s="448">
        <f t="shared" si="29"/>
        <v>0.68191721132897598</v>
      </c>
      <c r="AV50" s="427">
        <v>3</v>
      </c>
      <c r="AW50" s="628">
        <v>13</v>
      </c>
      <c r="AX50" s="430">
        <v>13</v>
      </c>
      <c r="AY50" s="427">
        <v>279</v>
      </c>
      <c r="AZ50" s="431">
        <v>13</v>
      </c>
      <c r="BA50" s="431">
        <v>270</v>
      </c>
      <c r="BB50" s="432">
        <v>15</v>
      </c>
      <c r="BC50" s="427">
        <v>258</v>
      </c>
      <c r="BD50" s="431">
        <v>15</v>
      </c>
      <c r="BE50" s="433">
        <v>254</v>
      </c>
      <c r="BF50" s="432">
        <v>52</v>
      </c>
      <c r="BG50" s="427">
        <v>166</v>
      </c>
      <c r="BH50" s="431">
        <v>52</v>
      </c>
      <c r="BI50" s="433">
        <v>139</v>
      </c>
      <c r="BJ50" s="432">
        <v>14</v>
      </c>
      <c r="BK50" s="427">
        <v>62</v>
      </c>
      <c r="BL50" s="431">
        <v>14</v>
      </c>
      <c r="BM50" s="433">
        <v>72</v>
      </c>
      <c r="BN50" s="432">
        <v>51</v>
      </c>
      <c r="BO50" s="427">
        <v>61</v>
      </c>
      <c r="BP50" s="431">
        <v>1</v>
      </c>
      <c r="BQ50" s="433">
        <v>67</v>
      </c>
      <c r="BR50" s="432">
        <v>1</v>
      </c>
      <c r="BS50" s="427">
        <v>53</v>
      </c>
      <c r="BT50" s="392">
        <v>51</v>
      </c>
      <c r="BU50" s="392">
        <v>64</v>
      </c>
      <c r="BV50" s="432">
        <v>45</v>
      </c>
      <c r="BW50" s="427">
        <v>30</v>
      </c>
      <c r="BX50" s="431">
        <v>45</v>
      </c>
      <c r="BY50" s="433">
        <v>42</v>
      </c>
      <c r="BZ50" s="432">
        <v>31</v>
      </c>
      <c r="CA50" s="427">
        <v>25</v>
      </c>
      <c r="CB50" s="431">
        <v>31</v>
      </c>
      <c r="CC50" s="433">
        <v>39</v>
      </c>
      <c r="CD50" s="432">
        <v>50</v>
      </c>
      <c r="CE50" s="427">
        <v>23</v>
      </c>
      <c r="CF50" s="431">
        <v>44</v>
      </c>
      <c r="CG50" s="433">
        <v>33</v>
      </c>
      <c r="CH50" s="432">
        <v>9</v>
      </c>
      <c r="CI50" s="427">
        <v>20</v>
      </c>
      <c r="CJ50" s="431">
        <v>50</v>
      </c>
      <c r="CK50" s="433">
        <v>26</v>
      </c>
      <c r="CL50" s="428">
        <v>135</v>
      </c>
      <c r="CM50" s="628">
        <v>146</v>
      </c>
      <c r="CN50" s="468">
        <f t="shared" si="30"/>
        <v>1112</v>
      </c>
      <c r="CO50" s="468">
        <f t="shared" si="31"/>
        <v>10</v>
      </c>
      <c r="CP50" s="469">
        <f t="shared" si="32"/>
        <v>1152</v>
      </c>
      <c r="CQ50" s="469">
        <f t="shared" si="33"/>
        <v>10</v>
      </c>
      <c r="CR50" s="430">
        <v>13</v>
      </c>
      <c r="CS50" s="427">
        <v>34</v>
      </c>
      <c r="CT50" s="431">
        <v>13</v>
      </c>
      <c r="CU50" s="431">
        <v>41</v>
      </c>
      <c r="CV50" s="432">
        <v>40</v>
      </c>
      <c r="CW50" s="427">
        <v>26</v>
      </c>
      <c r="CX50" s="431">
        <v>40</v>
      </c>
      <c r="CY50" s="433">
        <v>19</v>
      </c>
      <c r="CZ50" s="432">
        <v>26</v>
      </c>
      <c r="DA50" s="427">
        <v>22</v>
      </c>
      <c r="DB50" s="431">
        <v>14</v>
      </c>
      <c r="DC50" s="433">
        <v>17</v>
      </c>
      <c r="DD50" s="432">
        <v>1</v>
      </c>
      <c r="DE50" s="427">
        <v>18</v>
      </c>
      <c r="DF50" s="431">
        <v>26</v>
      </c>
      <c r="DG50" s="433">
        <v>13</v>
      </c>
      <c r="DH50" s="432">
        <v>14</v>
      </c>
      <c r="DI50" s="427">
        <v>10</v>
      </c>
      <c r="DJ50" s="431">
        <v>1</v>
      </c>
      <c r="DK50" s="433">
        <v>12</v>
      </c>
      <c r="DL50" s="432">
        <v>52</v>
      </c>
      <c r="DM50" s="427">
        <v>10</v>
      </c>
      <c r="DN50" s="431">
        <v>52</v>
      </c>
      <c r="DO50" s="433">
        <v>9</v>
      </c>
      <c r="DP50" s="432">
        <v>44</v>
      </c>
      <c r="DQ50" s="427">
        <v>9</v>
      </c>
      <c r="DR50" s="431">
        <v>51</v>
      </c>
      <c r="DS50" s="433">
        <v>8</v>
      </c>
      <c r="DT50" s="432">
        <v>31</v>
      </c>
      <c r="DU50" s="427">
        <v>8</v>
      </c>
      <c r="DV50" s="431">
        <v>31</v>
      </c>
      <c r="DW50" s="433">
        <v>7</v>
      </c>
      <c r="DX50" s="432">
        <v>42</v>
      </c>
      <c r="DY50" s="427">
        <v>8</v>
      </c>
      <c r="DZ50" s="431">
        <v>42</v>
      </c>
      <c r="EA50" s="433">
        <v>7</v>
      </c>
      <c r="EB50" s="432">
        <v>23</v>
      </c>
      <c r="EC50" s="427">
        <v>5</v>
      </c>
      <c r="ED50" s="431">
        <v>23</v>
      </c>
      <c r="EE50" s="433">
        <v>5</v>
      </c>
      <c r="EF50" s="428">
        <v>16</v>
      </c>
      <c r="EG50" s="628">
        <v>26</v>
      </c>
      <c r="EH50" s="460">
        <f t="shared" si="34"/>
        <v>166</v>
      </c>
      <c r="EI50" s="460">
        <f t="shared" si="35"/>
        <v>10</v>
      </c>
      <c r="EJ50" s="458">
        <f t="shared" si="36"/>
        <v>0.20481927710843373</v>
      </c>
      <c r="EK50" s="470">
        <f t="shared" si="37"/>
        <v>164</v>
      </c>
      <c r="EL50" s="470">
        <f t="shared" si="38"/>
        <v>10</v>
      </c>
      <c r="EM50" s="449">
        <f t="shared" si="39"/>
        <v>0.25</v>
      </c>
      <c r="EN50" s="460">
        <f t="shared" si="40"/>
        <v>1278</v>
      </c>
      <c r="EO50" s="469">
        <f t="shared" si="41"/>
        <v>1316</v>
      </c>
      <c r="EP50" s="434">
        <v>122</v>
      </c>
      <c r="EQ50" s="426">
        <v>131</v>
      </c>
      <c r="ER50" s="434"/>
      <c r="ES50" s="426"/>
      <c r="ET50" s="434"/>
      <c r="EU50" s="426"/>
      <c r="EV50" s="434"/>
      <c r="EW50" s="426"/>
      <c r="EX50" s="434"/>
      <c r="EY50" s="426"/>
      <c r="EZ50" s="434"/>
      <c r="FA50" s="426"/>
      <c r="FB50" s="434"/>
      <c r="FC50" s="426"/>
      <c r="FD50" s="434"/>
      <c r="FE50" s="426"/>
      <c r="FF50" s="434"/>
      <c r="FG50" s="426"/>
      <c r="FH50" s="435"/>
      <c r="FI50" s="426"/>
      <c r="FJ50" s="468">
        <f t="shared" si="42"/>
        <v>122</v>
      </c>
      <c r="FK50" s="469">
        <f t="shared" si="43"/>
        <v>131</v>
      </c>
      <c r="FL50" s="435"/>
      <c r="FM50" s="426"/>
      <c r="FN50" s="460">
        <f t="shared" si="44"/>
        <v>4361</v>
      </c>
      <c r="FO50" s="469">
        <f t="shared" si="45"/>
        <v>4590</v>
      </c>
    </row>
    <row r="51" spans="1:173" x14ac:dyDescent="0.2">
      <c r="A51" s="725" t="s">
        <v>980</v>
      </c>
      <c r="B51" s="658" t="s">
        <v>982</v>
      </c>
      <c r="C51" s="659"/>
      <c r="D51" s="475">
        <v>106458</v>
      </c>
      <c r="E51" s="475">
        <v>3</v>
      </c>
      <c r="F51" s="457"/>
      <c r="G51" s="628">
        <v>0</v>
      </c>
      <c r="H51" s="427"/>
      <c r="I51" s="426"/>
      <c r="J51" s="427">
        <v>601</v>
      </c>
      <c r="K51" s="426">
        <v>456</v>
      </c>
      <c r="L51" s="458">
        <f t="shared" si="24"/>
        <v>0.37989886219974717</v>
      </c>
      <c r="M51" s="449">
        <f t="shared" si="25"/>
        <v>0.27787934186471663</v>
      </c>
      <c r="N51" s="428">
        <v>1582</v>
      </c>
      <c r="O51" s="428">
        <v>310</v>
      </c>
      <c r="P51" s="428"/>
      <c r="Q51" s="428"/>
      <c r="R51" s="460">
        <f t="shared" si="2"/>
        <v>310</v>
      </c>
      <c r="S51" s="461">
        <v>1641</v>
      </c>
      <c r="T51" s="660">
        <v>309</v>
      </c>
      <c r="U51" s="429"/>
      <c r="V51" s="429"/>
      <c r="W51" s="462">
        <f t="shared" si="3"/>
        <v>309</v>
      </c>
      <c r="X51" s="430"/>
      <c r="Y51" s="427"/>
      <c r="Z51" s="431"/>
      <c r="AA51" s="431"/>
      <c r="AB51" s="432"/>
      <c r="AC51" s="427"/>
      <c r="AD51" s="431"/>
      <c r="AE51" s="433"/>
      <c r="AF51" s="432"/>
      <c r="AG51" s="427"/>
      <c r="AH51" s="431"/>
      <c r="AI51" s="433"/>
      <c r="AJ51" s="432"/>
      <c r="AK51" s="427"/>
      <c r="AL51" s="431"/>
      <c r="AM51" s="433"/>
      <c r="AN51" s="432"/>
      <c r="AO51" s="427"/>
      <c r="AP51" s="431"/>
      <c r="AQ51" s="431"/>
      <c r="AR51" s="460">
        <f t="shared" si="26"/>
        <v>0</v>
      </c>
      <c r="AS51" s="467">
        <f t="shared" si="27"/>
        <v>0.44513224535734386</v>
      </c>
      <c r="AT51" s="447">
        <f t="shared" si="28"/>
        <v>0</v>
      </c>
      <c r="AU51" s="448">
        <f t="shared" si="29"/>
        <v>0.41055791843882911</v>
      </c>
      <c r="AV51" s="427">
        <v>8</v>
      </c>
      <c r="AW51" s="628">
        <v>8</v>
      </c>
      <c r="AX51" s="430">
        <v>13</v>
      </c>
      <c r="AY51" s="427">
        <v>919</v>
      </c>
      <c r="AZ51" s="431">
        <v>13</v>
      </c>
      <c r="BA51" s="431">
        <v>1430</v>
      </c>
      <c r="BB51" s="432">
        <v>51</v>
      </c>
      <c r="BC51" s="427">
        <v>117</v>
      </c>
      <c r="BD51" s="431">
        <v>51</v>
      </c>
      <c r="BE51" s="433">
        <v>112</v>
      </c>
      <c r="BF51" s="432">
        <v>52</v>
      </c>
      <c r="BG51" s="427">
        <v>70</v>
      </c>
      <c r="BH51" s="431">
        <v>52</v>
      </c>
      <c r="BI51" s="433">
        <v>76</v>
      </c>
      <c r="BJ51" s="432">
        <v>44</v>
      </c>
      <c r="BK51" s="427">
        <v>60</v>
      </c>
      <c r="BL51" s="431">
        <v>44</v>
      </c>
      <c r="BM51" s="433">
        <v>49</v>
      </c>
      <c r="BN51" s="432">
        <v>9</v>
      </c>
      <c r="BO51" s="427">
        <v>27</v>
      </c>
      <c r="BP51" s="431">
        <v>9</v>
      </c>
      <c r="BQ51" s="433">
        <v>34</v>
      </c>
      <c r="BR51" s="432">
        <v>19</v>
      </c>
      <c r="BS51" s="427">
        <v>25</v>
      </c>
      <c r="BT51" s="392">
        <v>31</v>
      </c>
      <c r="BU51" s="392">
        <v>27</v>
      </c>
      <c r="BV51" s="432">
        <v>54</v>
      </c>
      <c r="BW51" s="427">
        <v>18</v>
      </c>
      <c r="BX51" s="431">
        <v>1</v>
      </c>
      <c r="BY51" s="433">
        <v>18</v>
      </c>
      <c r="BZ51" s="432">
        <v>45</v>
      </c>
      <c r="CA51" s="427">
        <v>16</v>
      </c>
      <c r="CB51" s="431">
        <v>26</v>
      </c>
      <c r="CC51" s="433">
        <v>16</v>
      </c>
      <c r="CD51" s="432">
        <v>11</v>
      </c>
      <c r="CE51" s="427">
        <v>15</v>
      </c>
      <c r="CF51" s="431">
        <v>11</v>
      </c>
      <c r="CG51" s="433">
        <v>15</v>
      </c>
      <c r="CH51" s="432">
        <v>26</v>
      </c>
      <c r="CI51" s="427">
        <v>13</v>
      </c>
      <c r="CJ51" s="431">
        <v>19</v>
      </c>
      <c r="CK51" s="433">
        <v>12</v>
      </c>
      <c r="CL51" s="428">
        <v>69</v>
      </c>
      <c r="CM51" s="628">
        <v>63</v>
      </c>
      <c r="CN51" s="468">
        <f t="shared" si="30"/>
        <v>1349</v>
      </c>
      <c r="CO51" s="468">
        <f t="shared" si="31"/>
        <v>10</v>
      </c>
      <c r="CP51" s="469">
        <f t="shared" si="32"/>
        <v>1852</v>
      </c>
      <c r="CQ51" s="469">
        <f t="shared" si="33"/>
        <v>10</v>
      </c>
      <c r="CR51" s="430">
        <v>13</v>
      </c>
      <c r="CS51" s="427">
        <v>8</v>
      </c>
      <c r="CT51" s="431">
        <v>13</v>
      </c>
      <c r="CU51" s="431">
        <v>11</v>
      </c>
      <c r="CV51" s="432">
        <v>5</v>
      </c>
      <c r="CW51" s="427">
        <v>4</v>
      </c>
      <c r="CX51" s="431">
        <v>3</v>
      </c>
      <c r="CY51" s="433">
        <v>3</v>
      </c>
      <c r="CZ51" s="432">
        <v>3</v>
      </c>
      <c r="DA51" s="427">
        <v>1</v>
      </c>
      <c r="DB51" s="431">
        <v>5</v>
      </c>
      <c r="DC51" s="433">
        <v>3</v>
      </c>
      <c r="DD51" s="432">
        <v>26</v>
      </c>
      <c r="DE51" s="427">
        <v>1</v>
      </c>
      <c r="DF51" s="431"/>
      <c r="DG51" s="433"/>
      <c r="DH51" s="432"/>
      <c r="DI51" s="427"/>
      <c r="DJ51" s="431"/>
      <c r="DK51" s="433"/>
      <c r="DL51" s="432"/>
      <c r="DM51" s="427"/>
      <c r="DN51" s="431"/>
      <c r="DO51" s="433"/>
      <c r="DP51" s="432"/>
      <c r="DQ51" s="427"/>
      <c r="DR51" s="431"/>
      <c r="DS51" s="433"/>
      <c r="DT51" s="432"/>
      <c r="DU51" s="427"/>
      <c r="DV51" s="431"/>
      <c r="DW51" s="433"/>
      <c r="DX51" s="432"/>
      <c r="DY51" s="427"/>
      <c r="DZ51" s="431"/>
      <c r="EA51" s="433"/>
      <c r="EB51" s="432"/>
      <c r="EC51" s="427"/>
      <c r="ED51" s="431"/>
      <c r="EE51" s="433"/>
      <c r="EF51" s="428"/>
      <c r="EG51" s="628"/>
      <c r="EH51" s="460">
        <f t="shared" si="34"/>
        <v>14</v>
      </c>
      <c r="EI51" s="460">
        <f t="shared" si="35"/>
        <v>4</v>
      </c>
      <c r="EJ51" s="458">
        <f t="shared" si="36"/>
        <v>0.5714285714285714</v>
      </c>
      <c r="EK51" s="470">
        <f t="shared" si="37"/>
        <v>17</v>
      </c>
      <c r="EL51" s="470">
        <f t="shared" si="38"/>
        <v>3</v>
      </c>
      <c r="EM51" s="449">
        <f t="shared" si="39"/>
        <v>0.6470588235294118</v>
      </c>
      <c r="EN51" s="460">
        <f t="shared" si="40"/>
        <v>1363</v>
      </c>
      <c r="EO51" s="469">
        <f t="shared" si="41"/>
        <v>1869</v>
      </c>
      <c r="EP51" s="434"/>
      <c r="EQ51" s="426"/>
      <c r="ER51" s="434"/>
      <c r="ES51" s="426"/>
      <c r="ET51" s="434"/>
      <c r="EU51" s="426"/>
      <c r="EV51" s="434"/>
      <c r="EW51" s="426"/>
      <c r="EX51" s="434"/>
      <c r="EY51" s="426"/>
      <c r="EZ51" s="434"/>
      <c r="FA51" s="426"/>
      <c r="FB51" s="434"/>
      <c r="FC51" s="426"/>
      <c r="FD51" s="434"/>
      <c r="FE51" s="426"/>
      <c r="FF51" s="434"/>
      <c r="FG51" s="426"/>
      <c r="FH51" s="435"/>
      <c r="FI51" s="426">
        <v>23</v>
      </c>
      <c r="FJ51" s="468">
        <f t="shared" si="42"/>
        <v>0</v>
      </c>
      <c r="FK51" s="469">
        <f t="shared" si="43"/>
        <v>23</v>
      </c>
      <c r="FL51" s="435"/>
      <c r="FM51" s="426"/>
      <c r="FN51" s="460">
        <f t="shared" si="44"/>
        <v>3554</v>
      </c>
      <c r="FO51" s="469">
        <f t="shared" si="45"/>
        <v>3997</v>
      </c>
    </row>
    <row r="52" spans="1:173" x14ac:dyDescent="0.2">
      <c r="A52" s="725" t="s">
        <v>980</v>
      </c>
      <c r="B52" s="658" t="s">
        <v>985</v>
      </c>
      <c r="C52" s="662" t="s">
        <v>1014</v>
      </c>
      <c r="D52" s="475">
        <v>106467</v>
      </c>
      <c r="E52" s="508">
        <v>3</v>
      </c>
      <c r="F52" s="457">
        <v>357</v>
      </c>
      <c r="G52" s="628">
        <v>390</v>
      </c>
      <c r="H52" s="427"/>
      <c r="I52" s="426"/>
      <c r="J52" s="427">
        <v>263</v>
      </c>
      <c r="K52" s="426">
        <v>264</v>
      </c>
      <c r="L52" s="458">
        <f t="shared" si="24"/>
        <v>0.22889469103568319</v>
      </c>
      <c r="M52" s="449">
        <f t="shared" si="25"/>
        <v>0.22278481012658227</v>
      </c>
      <c r="N52" s="428">
        <v>1149</v>
      </c>
      <c r="O52" s="428">
        <v>222</v>
      </c>
      <c r="P52" s="428"/>
      <c r="Q52" s="428"/>
      <c r="R52" s="460">
        <f t="shared" si="2"/>
        <v>222</v>
      </c>
      <c r="S52" s="461">
        <v>1185</v>
      </c>
      <c r="T52" s="660">
        <v>199</v>
      </c>
      <c r="U52" s="429"/>
      <c r="V52" s="429"/>
      <c r="W52" s="462">
        <f t="shared" si="3"/>
        <v>199</v>
      </c>
      <c r="X52" s="430"/>
      <c r="Y52" s="427"/>
      <c r="Z52" s="431"/>
      <c r="AA52" s="431"/>
      <c r="AB52" s="432"/>
      <c r="AC52" s="427"/>
      <c r="AD52" s="431"/>
      <c r="AE52" s="433"/>
      <c r="AF52" s="432"/>
      <c r="AG52" s="427"/>
      <c r="AH52" s="431"/>
      <c r="AI52" s="433"/>
      <c r="AJ52" s="432"/>
      <c r="AK52" s="427"/>
      <c r="AL52" s="431"/>
      <c r="AM52" s="433"/>
      <c r="AN52" s="432"/>
      <c r="AO52" s="427"/>
      <c r="AP52" s="431"/>
      <c r="AQ52" s="431"/>
      <c r="AR52" s="460">
        <f t="shared" si="26"/>
        <v>0</v>
      </c>
      <c r="AS52" s="467">
        <f t="shared" si="27"/>
        <v>0.57738693467336688</v>
      </c>
      <c r="AT52" s="447">
        <f t="shared" si="28"/>
        <v>0</v>
      </c>
      <c r="AU52" s="448">
        <f t="shared" si="29"/>
        <v>0.57053442465093884</v>
      </c>
      <c r="AV52" s="427"/>
      <c r="AW52" s="628">
        <v>0</v>
      </c>
      <c r="AX52" s="430">
        <v>13</v>
      </c>
      <c r="AY52" s="427">
        <v>117</v>
      </c>
      <c r="AZ52" s="431">
        <v>13</v>
      </c>
      <c r="BA52" s="431">
        <v>142</v>
      </c>
      <c r="BB52" s="432">
        <v>23</v>
      </c>
      <c r="BC52" s="427">
        <v>26</v>
      </c>
      <c r="BD52" s="431">
        <v>23</v>
      </c>
      <c r="BE52" s="433">
        <v>25</v>
      </c>
      <c r="BF52" s="432">
        <v>11</v>
      </c>
      <c r="BG52" s="427">
        <v>24</v>
      </c>
      <c r="BH52" s="431">
        <v>43</v>
      </c>
      <c r="BI52" s="433">
        <v>24</v>
      </c>
      <c r="BJ52" s="432">
        <v>43</v>
      </c>
      <c r="BK52" s="427">
        <v>24</v>
      </c>
      <c r="BL52" s="431">
        <v>11</v>
      </c>
      <c r="BM52" s="433">
        <v>18</v>
      </c>
      <c r="BN52" s="432">
        <v>3</v>
      </c>
      <c r="BO52" s="427">
        <v>5</v>
      </c>
      <c r="BP52" s="431">
        <v>9</v>
      </c>
      <c r="BQ52" s="433">
        <v>6</v>
      </c>
      <c r="BR52" s="432">
        <v>54</v>
      </c>
      <c r="BS52" s="427">
        <v>5</v>
      </c>
      <c r="BT52" s="392">
        <v>42</v>
      </c>
      <c r="BU52" s="392">
        <v>5</v>
      </c>
      <c r="BV52" s="432">
        <v>9</v>
      </c>
      <c r="BW52" s="427">
        <v>4</v>
      </c>
      <c r="BX52" s="431">
        <v>54</v>
      </c>
      <c r="BY52" s="433">
        <v>5</v>
      </c>
      <c r="BZ52" s="432">
        <v>14</v>
      </c>
      <c r="CA52" s="427">
        <v>4</v>
      </c>
      <c r="CB52" s="431">
        <v>51</v>
      </c>
      <c r="CC52" s="433">
        <v>4</v>
      </c>
      <c r="CD52" s="432">
        <v>51</v>
      </c>
      <c r="CE52" s="427">
        <v>4</v>
      </c>
      <c r="CF52" s="431">
        <v>24</v>
      </c>
      <c r="CG52" s="433">
        <v>3</v>
      </c>
      <c r="CH52" s="432">
        <v>16</v>
      </c>
      <c r="CI52" s="427">
        <v>3</v>
      </c>
      <c r="CJ52" s="431">
        <v>3</v>
      </c>
      <c r="CK52" s="433">
        <v>2</v>
      </c>
      <c r="CL52" s="428">
        <v>5</v>
      </c>
      <c r="CM52" s="628">
        <v>4</v>
      </c>
      <c r="CN52" s="468">
        <f t="shared" si="30"/>
        <v>221</v>
      </c>
      <c r="CO52" s="468">
        <f t="shared" si="31"/>
        <v>10</v>
      </c>
      <c r="CP52" s="469">
        <f t="shared" si="32"/>
        <v>238</v>
      </c>
      <c r="CQ52" s="469">
        <f t="shared" si="33"/>
        <v>10</v>
      </c>
      <c r="CR52" s="430"/>
      <c r="CS52" s="427"/>
      <c r="CT52" s="431"/>
      <c r="CU52" s="431"/>
      <c r="CV52" s="432"/>
      <c r="CW52" s="427"/>
      <c r="CX52" s="431"/>
      <c r="CY52" s="433"/>
      <c r="CZ52" s="432"/>
      <c r="DA52" s="427"/>
      <c r="DB52" s="431"/>
      <c r="DC52" s="433"/>
      <c r="DD52" s="432"/>
      <c r="DE52" s="427"/>
      <c r="DF52" s="431"/>
      <c r="DG52" s="433"/>
      <c r="DH52" s="432"/>
      <c r="DI52" s="427"/>
      <c r="DJ52" s="431"/>
      <c r="DK52" s="433"/>
      <c r="DL52" s="432"/>
      <c r="DM52" s="427"/>
      <c r="DN52" s="431"/>
      <c r="DO52" s="433"/>
      <c r="DP52" s="432"/>
      <c r="DQ52" s="427"/>
      <c r="DR52" s="431"/>
      <c r="DS52" s="433"/>
      <c r="DT52" s="432"/>
      <c r="DU52" s="427"/>
      <c r="DV52" s="431"/>
      <c r="DW52" s="433"/>
      <c r="DX52" s="432"/>
      <c r="DY52" s="427"/>
      <c r="DZ52" s="431"/>
      <c r="EA52" s="433"/>
      <c r="EB52" s="432"/>
      <c r="EC52" s="427"/>
      <c r="ED52" s="431"/>
      <c r="EE52" s="433"/>
      <c r="EF52" s="428"/>
      <c r="EG52" s="628"/>
      <c r="EH52" s="460">
        <f t="shared" si="34"/>
        <v>0</v>
      </c>
      <c r="EI52" s="460">
        <f t="shared" si="35"/>
        <v>0</v>
      </c>
      <c r="EJ52" s="458">
        <f t="shared" si="36"/>
        <v>0</v>
      </c>
      <c r="EK52" s="470">
        <f t="shared" si="37"/>
        <v>0</v>
      </c>
      <c r="EL52" s="470">
        <f t="shared" si="38"/>
        <v>0</v>
      </c>
      <c r="EM52" s="449">
        <f t="shared" si="39"/>
        <v>0</v>
      </c>
      <c r="EN52" s="460">
        <f t="shared" si="40"/>
        <v>221</v>
      </c>
      <c r="EO52" s="469">
        <f t="shared" si="41"/>
        <v>238</v>
      </c>
      <c r="EP52" s="434"/>
      <c r="EQ52" s="426"/>
      <c r="ER52" s="434"/>
      <c r="ES52" s="426"/>
      <c r="ET52" s="434"/>
      <c r="EU52" s="426"/>
      <c r="EV52" s="434"/>
      <c r="EW52" s="426"/>
      <c r="EX52" s="434"/>
      <c r="EY52" s="426"/>
      <c r="EZ52" s="434"/>
      <c r="FA52" s="426"/>
      <c r="FB52" s="434"/>
      <c r="FC52" s="426"/>
      <c r="FD52" s="434"/>
      <c r="FE52" s="426"/>
      <c r="FF52" s="434"/>
      <c r="FG52" s="426"/>
      <c r="FH52" s="435"/>
      <c r="FI52" s="426"/>
      <c r="FJ52" s="468">
        <f t="shared" si="42"/>
        <v>0</v>
      </c>
      <c r="FK52" s="469">
        <f t="shared" si="43"/>
        <v>0</v>
      </c>
      <c r="FL52" s="435"/>
      <c r="FM52" s="426"/>
      <c r="FN52" s="460">
        <f t="shared" si="44"/>
        <v>1990</v>
      </c>
      <c r="FO52" s="469">
        <f t="shared" si="45"/>
        <v>2077</v>
      </c>
    </row>
    <row r="53" spans="1:173" x14ac:dyDescent="0.2">
      <c r="A53" s="725" t="s">
        <v>980</v>
      </c>
      <c r="B53" s="658" t="s">
        <v>983</v>
      </c>
      <c r="C53" s="659" t="s">
        <v>639</v>
      </c>
      <c r="D53" s="475">
        <v>106245</v>
      </c>
      <c r="E53" s="475">
        <v>3</v>
      </c>
      <c r="F53" s="457"/>
      <c r="G53" s="628">
        <v>1</v>
      </c>
      <c r="H53" s="427"/>
      <c r="I53" s="426"/>
      <c r="J53" s="427">
        <v>209</v>
      </c>
      <c r="K53" s="426">
        <v>245</v>
      </c>
      <c r="L53" s="458">
        <f t="shared" si="24"/>
        <v>0.17772108843537415</v>
      </c>
      <c r="M53" s="449">
        <f t="shared" si="25"/>
        <v>0.1982200647249191</v>
      </c>
      <c r="N53" s="428">
        <v>1176</v>
      </c>
      <c r="O53" s="428">
        <v>43</v>
      </c>
      <c r="P53" s="428"/>
      <c r="Q53" s="428"/>
      <c r="R53" s="460">
        <f t="shared" si="2"/>
        <v>43</v>
      </c>
      <c r="S53" s="461">
        <v>1236</v>
      </c>
      <c r="T53" s="660">
        <v>38</v>
      </c>
      <c r="U53" s="429"/>
      <c r="V53" s="429"/>
      <c r="W53" s="462">
        <f t="shared" si="3"/>
        <v>38</v>
      </c>
      <c r="X53" s="430"/>
      <c r="Y53" s="427"/>
      <c r="Z53" s="431"/>
      <c r="AA53" s="431"/>
      <c r="AB53" s="432"/>
      <c r="AC53" s="427"/>
      <c r="AD53" s="431"/>
      <c r="AE53" s="433"/>
      <c r="AF53" s="432"/>
      <c r="AG53" s="427"/>
      <c r="AH53" s="431"/>
      <c r="AI53" s="433"/>
      <c r="AJ53" s="432"/>
      <c r="AK53" s="427"/>
      <c r="AL53" s="431"/>
      <c r="AM53" s="433"/>
      <c r="AN53" s="432"/>
      <c r="AO53" s="427"/>
      <c r="AP53" s="431"/>
      <c r="AQ53" s="431"/>
      <c r="AR53" s="460">
        <f t="shared" si="26"/>
        <v>0</v>
      </c>
      <c r="AS53" s="467">
        <f t="shared" si="27"/>
        <v>0.51897616946160641</v>
      </c>
      <c r="AT53" s="447">
        <f t="shared" si="28"/>
        <v>0</v>
      </c>
      <c r="AU53" s="448">
        <f t="shared" si="29"/>
        <v>0.52865697177074422</v>
      </c>
      <c r="AV53" s="427">
        <v>118</v>
      </c>
      <c r="AW53" s="628">
        <v>71</v>
      </c>
      <c r="AX53" s="430">
        <v>13</v>
      </c>
      <c r="AY53" s="427">
        <v>183</v>
      </c>
      <c r="AZ53" s="431">
        <v>13</v>
      </c>
      <c r="BA53" s="431">
        <v>206</v>
      </c>
      <c r="BB53" s="432">
        <v>52</v>
      </c>
      <c r="BC53" s="427">
        <v>117</v>
      </c>
      <c r="BD53" s="431">
        <v>52</v>
      </c>
      <c r="BE53" s="433">
        <v>118</v>
      </c>
      <c r="BF53" s="432">
        <v>44</v>
      </c>
      <c r="BG53" s="427">
        <v>115</v>
      </c>
      <c r="BH53" s="431">
        <v>44</v>
      </c>
      <c r="BI53" s="433">
        <v>94</v>
      </c>
      <c r="BJ53" s="432">
        <v>51</v>
      </c>
      <c r="BK53" s="427">
        <v>71</v>
      </c>
      <c r="BL53" s="431">
        <v>51</v>
      </c>
      <c r="BM53" s="433">
        <v>75</v>
      </c>
      <c r="BN53" s="432">
        <v>11</v>
      </c>
      <c r="BO53" s="427">
        <v>30</v>
      </c>
      <c r="BP53" s="431">
        <v>40</v>
      </c>
      <c r="BQ53" s="433">
        <v>30</v>
      </c>
      <c r="BR53" s="432">
        <v>9</v>
      </c>
      <c r="BS53" s="427">
        <v>18</v>
      </c>
      <c r="BT53" s="392">
        <v>23</v>
      </c>
      <c r="BU53" s="392">
        <v>20</v>
      </c>
      <c r="BV53" s="432">
        <v>23</v>
      </c>
      <c r="BW53" s="427">
        <v>15</v>
      </c>
      <c r="BX53" s="431">
        <v>26</v>
      </c>
      <c r="BY53" s="433">
        <v>14</v>
      </c>
      <c r="BZ53" s="432">
        <v>27</v>
      </c>
      <c r="CA53" s="427">
        <v>8</v>
      </c>
      <c r="CB53" s="431">
        <v>9</v>
      </c>
      <c r="CC53" s="433">
        <v>13</v>
      </c>
      <c r="CD53" s="432">
        <v>40</v>
      </c>
      <c r="CE53" s="427">
        <v>8</v>
      </c>
      <c r="CF53" s="431">
        <v>11</v>
      </c>
      <c r="CG53" s="433">
        <v>12</v>
      </c>
      <c r="CH53" s="432">
        <v>14</v>
      </c>
      <c r="CI53" s="427">
        <v>7</v>
      </c>
      <c r="CJ53" s="431">
        <v>27</v>
      </c>
      <c r="CK53" s="433">
        <v>6</v>
      </c>
      <c r="CL53" s="428">
        <v>26</v>
      </c>
      <c r="CM53" s="628">
        <v>14</v>
      </c>
      <c r="CN53" s="468">
        <f t="shared" si="30"/>
        <v>598</v>
      </c>
      <c r="CO53" s="468">
        <f t="shared" si="31"/>
        <v>10</v>
      </c>
      <c r="CP53" s="469">
        <f t="shared" si="32"/>
        <v>602</v>
      </c>
      <c r="CQ53" s="469">
        <f t="shared" si="33"/>
        <v>10</v>
      </c>
      <c r="CR53" s="430">
        <v>13</v>
      </c>
      <c r="CS53" s="427">
        <v>10</v>
      </c>
      <c r="CT53" s="431">
        <v>13</v>
      </c>
      <c r="CU53" s="431">
        <v>11</v>
      </c>
      <c r="CV53" s="432">
        <v>11</v>
      </c>
      <c r="CW53" s="427">
        <v>5</v>
      </c>
      <c r="CX53" s="431">
        <v>11</v>
      </c>
      <c r="CY53" s="433">
        <v>9</v>
      </c>
      <c r="CZ53" s="432">
        <v>40</v>
      </c>
      <c r="DA53" s="427">
        <v>5</v>
      </c>
      <c r="DB53" s="431">
        <v>40</v>
      </c>
      <c r="DC53" s="433">
        <v>8</v>
      </c>
      <c r="DD53" s="432">
        <v>26</v>
      </c>
      <c r="DE53" s="427">
        <v>1</v>
      </c>
      <c r="DF53" s="431">
        <v>14</v>
      </c>
      <c r="DG53" s="433">
        <v>7</v>
      </c>
      <c r="DH53" s="432"/>
      <c r="DI53" s="427"/>
      <c r="DJ53" s="431">
        <v>51</v>
      </c>
      <c r="DK53" s="433">
        <v>2</v>
      </c>
      <c r="DL53" s="432"/>
      <c r="DM53" s="427"/>
      <c r="DN53" s="431">
        <v>26</v>
      </c>
      <c r="DO53" s="433">
        <v>1</v>
      </c>
      <c r="DP53" s="432"/>
      <c r="DQ53" s="427"/>
      <c r="DR53" s="431">
        <v>43</v>
      </c>
      <c r="DS53" s="433">
        <v>1</v>
      </c>
      <c r="DT53" s="432"/>
      <c r="DU53" s="427"/>
      <c r="DV53" s="431"/>
      <c r="DW53" s="433"/>
      <c r="DX53" s="432"/>
      <c r="DY53" s="427"/>
      <c r="DZ53" s="431"/>
      <c r="EA53" s="433"/>
      <c r="EB53" s="432"/>
      <c r="EC53" s="427"/>
      <c r="ED53" s="431"/>
      <c r="EE53" s="433"/>
      <c r="EF53" s="428"/>
      <c r="EG53" s="628"/>
      <c r="EH53" s="460">
        <f t="shared" si="34"/>
        <v>21</v>
      </c>
      <c r="EI53" s="460">
        <f t="shared" si="35"/>
        <v>4</v>
      </c>
      <c r="EJ53" s="458">
        <f t="shared" si="36"/>
        <v>0.47619047619047616</v>
      </c>
      <c r="EK53" s="470">
        <f t="shared" si="37"/>
        <v>39</v>
      </c>
      <c r="EL53" s="470">
        <f t="shared" si="38"/>
        <v>7</v>
      </c>
      <c r="EM53" s="449">
        <f t="shared" si="39"/>
        <v>0.28205128205128205</v>
      </c>
      <c r="EN53" s="460">
        <f t="shared" si="40"/>
        <v>619</v>
      </c>
      <c r="EO53" s="469">
        <f t="shared" si="41"/>
        <v>641</v>
      </c>
      <c r="EP53" s="434">
        <v>144</v>
      </c>
      <c r="EQ53" s="426">
        <v>144</v>
      </c>
      <c r="ER53" s="434"/>
      <c r="ES53" s="426"/>
      <c r="ET53" s="434"/>
      <c r="EU53" s="426"/>
      <c r="EV53" s="434"/>
      <c r="EW53" s="426"/>
      <c r="EX53" s="434"/>
      <c r="EY53" s="426"/>
      <c r="EZ53" s="434"/>
      <c r="FA53" s="426"/>
      <c r="FB53" s="434"/>
      <c r="FC53" s="426"/>
      <c r="FD53" s="434"/>
      <c r="FE53" s="426"/>
      <c r="FF53" s="434"/>
      <c r="FG53" s="426"/>
      <c r="FH53" s="435"/>
      <c r="FI53" s="426"/>
      <c r="FJ53" s="468">
        <f t="shared" si="42"/>
        <v>144</v>
      </c>
      <c r="FK53" s="469">
        <f t="shared" si="43"/>
        <v>144</v>
      </c>
      <c r="FL53" s="435"/>
      <c r="FM53" s="426"/>
      <c r="FN53" s="460">
        <f t="shared" si="44"/>
        <v>2266</v>
      </c>
      <c r="FO53" s="469">
        <f t="shared" si="45"/>
        <v>2338</v>
      </c>
    </row>
    <row r="54" spans="1:173" x14ac:dyDescent="0.2">
      <c r="A54" s="725" t="s">
        <v>980</v>
      </c>
      <c r="B54" s="658" t="s">
        <v>984</v>
      </c>
      <c r="C54" s="659"/>
      <c r="D54" s="475">
        <v>106704</v>
      </c>
      <c r="E54" s="475">
        <v>3</v>
      </c>
      <c r="F54" s="457"/>
      <c r="G54" s="628">
        <v>0</v>
      </c>
      <c r="H54" s="427"/>
      <c r="I54" s="426"/>
      <c r="J54" s="427">
        <v>1886</v>
      </c>
      <c r="K54" s="426">
        <v>25</v>
      </c>
      <c r="L54" s="458">
        <f t="shared" si="24"/>
        <v>1.2581721147431622</v>
      </c>
      <c r="M54" s="449">
        <f t="shared" si="25"/>
        <v>1.6087516087516088E-2</v>
      </c>
      <c r="N54" s="428">
        <v>1499</v>
      </c>
      <c r="O54" s="428">
        <v>123</v>
      </c>
      <c r="P54" s="428"/>
      <c r="Q54" s="428"/>
      <c r="R54" s="460">
        <f t="shared" si="2"/>
        <v>123</v>
      </c>
      <c r="S54" s="461">
        <v>1554</v>
      </c>
      <c r="T54" s="660">
        <v>132</v>
      </c>
      <c r="U54" s="429"/>
      <c r="V54" s="429"/>
      <c r="W54" s="462">
        <f t="shared" si="3"/>
        <v>132</v>
      </c>
      <c r="X54" s="430"/>
      <c r="Y54" s="427"/>
      <c r="Z54" s="431"/>
      <c r="AA54" s="431"/>
      <c r="AB54" s="432"/>
      <c r="AC54" s="427"/>
      <c r="AD54" s="431"/>
      <c r="AE54" s="433"/>
      <c r="AF54" s="432"/>
      <c r="AG54" s="427"/>
      <c r="AH54" s="431"/>
      <c r="AI54" s="433"/>
      <c r="AJ54" s="432"/>
      <c r="AK54" s="427"/>
      <c r="AL54" s="431"/>
      <c r="AM54" s="433"/>
      <c r="AN54" s="432"/>
      <c r="AO54" s="427"/>
      <c r="AP54" s="431"/>
      <c r="AQ54" s="431"/>
      <c r="AR54" s="460">
        <f t="shared" si="26"/>
        <v>0</v>
      </c>
      <c r="AS54" s="467">
        <f t="shared" si="27"/>
        <v>0.37550100200400799</v>
      </c>
      <c r="AT54" s="447">
        <f t="shared" si="28"/>
        <v>0</v>
      </c>
      <c r="AU54" s="448">
        <f t="shared" si="29"/>
        <v>0.72011121408711776</v>
      </c>
      <c r="AV54" s="427">
        <v>2</v>
      </c>
      <c r="AW54" s="628">
        <v>6</v>
      </c>
      <c r="AX54" s="430">
        <v>13</v>
      </c>
      <c r="AY54" s="427">
        <v>156</v>
      </c>
      <c r="AZ54" s="431">
        <v>13</v>
      </c>
      <c r="BA54" s="431">
        <v>160</v>
      </c>
      <c r="BB54" s="432">
        <v>51</v>
      </c>
      <c r="BC54" s="427">
        <v>146</v>
      </c>
      <c r="BD54" s="431">
        <v>51</v>
      </c>
      <c r="BE54" s="433">
        <v>136</v>
      </c>
      <c r="BF54" s="432">
        <v>52</v>
      </c>
      <c r="BG54" s="427">
        <v>52</v>
      </c>
      <c r="BH54" s="431">
        <v>52</v>
      </c>
      <c r="BI54" s="433">
        <v>42</v>
      </c>
      <c r="BJ54" s="432">
        <v>25</v>
      </c>
      <c r="BK54" s="427">
        <v>51</v>
      </c>
      <c r="BL54" s="431">
        <v>25</v>
      </c>
      <c r="BM54" s="433">
        <v>40</v>
      </c>
      <c r="BN54" s="432">
        <v>19</v>
      </c>
      <c r="BO54" s="427">
        <v>31</v>
      </c>
      <c r="BP54" s="431">
        <v>19</v>
      </c>
      <c r="BQ54" s="433">
        <v>33</v>
      </c>
      <c r="BR54" s="432">
        <v>42</v>
      </c>
      <c r="BS54" s="427">
        <v>30</v>
      </c>
      <c r="BT54" s="392">
        <v>42</v>
      </c>
      <c r="BU54" s="392">
        <v>25</v>
      </c>
      <c r="BV54" s="432">
        <v>50</v>
      </c>
      <c r="BW54" s="427">
        <v>17</v>
      </c>
      <c r="BX54" s="431">
        <v>27</v>
      </c>
      <c r="BY54" s="433">
        <v>15</v>
      </c>
      <c r="BZ54" s="432">
        <v>27</v>
      </c>
      <c r="CA54" s="427">
        <v>16</v>
      </c>
      <c r="CB54" s="431">
        <v>50</v>
      </c>
      <c r="CC54" s="433">
        <v>11</v>
      </c>
      <c r="CD54" s="432">
        <v>26</v>
      </c>
      <c r="CE54" s="427">
        <v>10</v>
      </c>
      <c r="CF54" s="431">
        <v>11</v>
      </c>
      <c r="CG54" s="433">
        <v>10</v>
      </c>
      <c r="CH54" s="432">
        <v>44</v>
      </c>
      <c r="CI54" s="427">
        <v>10</v>
      </c>
      <c r="CJ54" s="431">
        <v>26</v>
      </c>
      <c r="CK54" s="433">
        <v>10</v>
      </c>
      <c r="CL54" s="428">
        <v>28</v>
      </c>
      <c r="CM54" s="628">
        <v>31</v>
      </c>
      <c r="CN54" s="468">
        <f t="shared" si="30"/>
        <v>547</v>
      </c>
      <c r="CO54" s="468">
        <f t="shared" si="31"/>
        <v>10</v>
      </c>
      <c r="CP54" s="469">
        <f t="shared" si="32"/>
        <v>513</v>
      </c>
      <c r="CQ54" s="469">
        <f t="shared" si="33"/>
        <v>10</v>
      </c>
      <c r="CR54" s="430">
        <v>51</v>
      </c>
      <c r="CS54" s="427">
        <v>0</v>
      </c>
      <c r="CT54" s="431">
        <v>42</v>
      </c>
      <c r="CU54" s="780">
        <v>3</v>
      </c>
      <c r="CV54" s="465">
        <v>42</v>
      </c>
      <c r="CW54" s="427">
        <v>3</v>
      </c>
      <c r="CX54" s="431">
        <v>51</v>
      </c>
      <c r="CY54" s="433">
        <v>2</v>
      </c>
      <c r="CZ54" s="432"/>
      <c r="DA54" s="427"/>
      <c r="DB54" s="431"/>
      <c r="DC54" s="433"/>
      <c r="DD54" s="432"/>
      <c r="DE54" s="427"/>
      <c r="DF54" s="431"/>
      <c r="DG54" s="433"/>
      <c r="DH54" s="432"/>
      <c r="DI54" s="427"/>
      <c r="DJ54" s="431"/>
      <c r="DK54" s="433"/>
      <c r="DL54" s="432"/>
      <c r="DM54" s="427"/>
      <c r="DN54" s="431"/>
      <c r="DO54" s="433"/>
      <c r="DP54" s="432"/>
      <c r="DQ54" s="427"/>
      <c r="DR54" s="431"/>
      <c r="DS54" s="433"/>
      <c r="DT54" s="432"/>
      <c r="DU54" s="427"/>
      <c r="DV54" s="431"/>
      <c r="DW54" s="433"/>
      <c r="DX54" s="432"/>
      <c r="DY54" s="427"/>
      <c r="DZ54" s="431"/>
      <c r="EA54" s="433"/>
      <c r="EB54" s="432"/>
      <c r="EC54" s="427"/>
      <c r="ED54" s="431"/>
      <c r="EE54" s="433"/>
      <c r="EF54" s="428"/>
      <c r="EG54" s="628"/>
      <c r="EH54" s="460">
        <f t="shared" si="34"/>
        <v>3</v>
      </c>
      <c r="EI54" s="460">
        <f t="shared" si="35"/>
        <v>2</v>
      </c>
      <c r="EJ54" s="458">
        <f t="shared" si="36"/>
        <v>0</v>
      </c>
      <c r="EK54" s="470">
        <f t="shared" si="37"/>
        <v>5</v>
      </c>
      <c r="EL54" s="470">
        <f t="shared" si="38"/>
        <v>2</v>
      </c>
      <c r="EM54" s="449">
        <f t="shared" si="39"/>
        <v>0.6</v>
      </c>
      <c r="EN54" s="460">
        <f t="shared" si="40"/>
        <v>550</v>
      </c>
      <c r="EO54" s="469">
        <f t="shared" si="41"/>
        <v>518</v>
      </c>
      <c r="EP54" s="434"/>
      <c r="EQ54" s="426"/>
      <c r="ER54" s="434"/>
      <c r="ES54" s="426"/>
      <c r="ET54" s="434"/>
      <c r="EU54" s="426"/>
      <c r="EV54" s="434"/>
      <c r="EW54" s="426"/>
      <c r="EX54" s="434"/>
      <c r="EY54" s="426"/>
      <c r="EZ54" s="434"/>
      <c r="FA54" s="426"/>
      <c r="FB54" s="434"/>
      <c r="FC54" s="426"/>
      <c r="FD54" s="434"/>
      <c r="FE54" s="426"/>
      <c r="FF54" s="434"/>
      <c r="FG54" s="426"/>
      <c r="FH54" s="435">
        <v>55</v>
      </c>
      <c r="FI54" s="426">
        <v>55</v>
      </c>
      <c r="FJ54" s="468">
        <f t="shared" si="42"/>
        <v>55</v>
      </c>
      <c r="FK54" s="469">
        <f t="shared" si="43"/>
        <v>55</v>
      </c>
      <c r="FL54" s="435"/>
      <c r="FM54" s="426"/>
      <c r="FN54" s="460">
        <f t="shared" si="44"/>
        <v>3992</v>
      </c>
      <c r="FO54" s="469">
        <f t="shared" si="45"/>
        <v>2158</v>
      </c>
    </row>
    <row r="55" spans="1:173" x14ac:dyDescent="0.2">
      <c r="A55" s="725" t="s">
        <v>980</v>
      </c>
      <c r="B55" s="658" t="s">
        <v>986</v>
      </c>
      <c r="C55" s="659"/>
      <c r="D55" s="475">
        <v>107071</v>
      </c>
      <c r="E55" s="475">
        <v>4</v>
      </c>
      <c r="F55" s="457"/>
      <c r="G55" s="628">
        <v>8</v>
      </c>
      <c r="H55" s="427"/>
      <c r="I55" s="426"/>
      <c r="J55" s="427"/>
      <c r="K55" s="426">
        <v>0</v>
      </c>
      <c r="L55" s="458">
        <f t="shared" si="24"/>
        <v>0</v>
      </c>
      <c r="M55" s="449">
        <f t="shared" si="25"/>
        <v>0</v>
      </c>
      <c r="N55" s="428">
        <v>447</v>
      </c>
      <c r="O55" s="428">
        <v>84</v>
      </c>
      <c r="P55" s="428"/>
      <c r="Q55" s="428"/>
      <c r="R55" s="460">
        <f t="shared" si="2"/>
        <v>84</v>
      </c>
      <c r="S55" s="461">
        <v>507</v>
      </c>
      <c r="T55" s="660">
        <v>116</v>
      </c>
      <c r="U55" s="429"/>
      <c r="V55" s="429"/>
      <c r="W55" s="462">
        <f t="shared" si="3"/>
        <v>116</v>
      </c>
      <c r="X55" s="430"/>
      <c r="Y55" s="427"/>
      <c r="Z55" s="431"/>
      <c r="AA55" s="431"/>
      <c r="AB55" s="432"/>
      <c r="AC55" s="427"/>
      <c r="AD55" s="431"/>
      <c r="AE55" s="433"/>
      <c r="AF55" s="432"/>
      <c r="AG55" s="427"/>
      <c r="AH55" s="431"/>
      <c r="AI55" s="433"/>
      <c r="AJ55" s="432"/>
      <c r="AK55" s="427"/>
      <c r="AL55" s="431"/>
      <c r="AM55" s="433"/>
      <c r="AN55" s="432"/>
      <c r="AO55" s="427"/>
      <c r="AP55" s="431"/>
      <c r="AQ55" s="431"/>
      <c r="AR55" s="460">
        <f t="shared" si="26"/>
        <v>0</v>
      </c>
      <c r="AS55" s="467">
        <f t="shared" si="27"/>
        <v>0.63948497854077258</v>
      </c>
      <c r="AT55" s="447">
        <f t="shared" si="28"/>
        <v>0</v>
      </c>
      <c r="AU55" s="448">
        <f t="shared" si="29"/>
        <v>0.66101694915254239</v>
      </c>
      <c r="AV55" s="427">
        <v>120</v>
      </c>
      <c r="AW55" s="628">
        <v>131</v>
      </c>
      <c r="AX55" s="430">
        <v>13</v>
      </c>
      <c r="AY55" s="427">
        <v>59</v>
      </c>
      <c r="AZ55" s="431">
        <v>13</v>
      </c>
      <c r="BA55" s="431">
        <v>61</v>
      </c>
      <c r="BB55" s="432">
        <v>52</v>
      </c>
      <c r="BC55" s="427">
        <v>31</v>
      </c>
      <c r="BD55" s="431">
        <v>52</v>
      </c>
      <c r="BE55" s="433">
        <v>22</v>
      </c>
      <c r="BF55" s="432">
        <v>31</v>
      </c>
      <c r="BG55" s="427">
        <v>19</v>
      </c>
      <c r="BH55" s="431">
        <v>31</v>
      </c>
      <c r="BI55" s="433">
        <v>18</v>
      </c>
      <c r="BJ55" s="432">
        <v>44</v>
      </c>
      <c r="BK55" s="427">
        <v>19</v>
      </c>
      <c r="BL55" s="431">
        <v>44</v>
      </c>
      <c r="BM55" s="433">
        <v>14</v>
      </c>
      <c r="BN55" s="432">
        <v>24</v>
      </c>
      <c r="BO55" s="427">
        <v>4</v>
      </c>
      <c r="BP55" s="431">
        <v>24</v>
      </c>
      <c r="BQ55" s="433">
        <v>6</v>
      </c>
      <c r="BR55" s="432"/>
      <c r="BS55" s="427"/>
      <c r="BT55" s="392"/>
      <c r="BU55" s="392"/>
      <c r="BV55" s="432"/>
      <c r="BW55" s="427"/>
      <c r="BX55" s="431"/>
      <c r="BY55" s="433"/>
      <c r="BZ55" s="432"/>
      <c r="CA55" s="427"/>
      <c r="CB55" s="431"/>
      <c r="CC55" s="433"/>
      <c r="CD55" s="432"/>
      <c r="CE55" s="427"/>
      <c r="CF55" s="431"/>
      <c r="CG55" s="433"/>
      <c r="CH55" s="432"/>
      <c r="CI55" s="427"/>
      <c r="CJ55" s="431"/>
      <c r="CK55" s="433"/>
      <c r="CL55" s="428"/>
      <c r="CM55" s="628"/>
      <c r="CN55" s="468">
        <f t="shared" si="30"/>
        <v>132</v>
      </c>
      <c r="CO55" s="468">
        <f t="shared" si="31"/>
        <v>5</v>
      </c>
      <c r="CP55" s="469">
        <f t="shared" si="32"/>
        <v>121</v>
      </c>
      <c r="CQ55" s="469">
        <f t="shared" si="33"/>
        <v>5</v>
      </c>
      <c r="CR55" s="430"/>
      <c r="CS55" s="427"/>
      <c r="CT55" s="431"/>
      <c r="CU55" s="431"/>
      <c r="CV55" s="432"/>
      <c r="CW55" s="427"/>
      <c r="CX55" s="431"/>
      <c r="CY55" s="433"/>
      <c r="CZ55" s="432"/>
      <c r="DA55" s="427"/>
      <c r="DB55" s="431"/>
      <c r="DC55" s="433"/>
      <c r="DD55" s="432"/>
      <c r="DE55" s="427"/>
      <c r="DF55" s="431"/>
      <c r="DG55" s="433"/>
      <c r="DH55" s="432"/>
      <c r="DI55" s="427"/>
      <c r="DJ55" s="431"/>
      <c r="DK55" s="433"/>
      <c r="DL55" s="432"/>
      <c r="DM55" s="427"/>
      <c r="DN55" s="431"/>
      <c r="DO55" s="433"/>
      <c r="DP55" s="432"/>
      <c r="DQ55" s="427"/>
      <c r="DR55" s="431"/>
      <c r="DS55" s="433"/>
      <c r="DT55" s="432"/>
      <c r="DU55" s="427"/>
      <c r="DV55" s="431"/>
      <c r="DW55" s="433"/>
      <c r="DX55" s="432"/>
      <c r="DY55" s="427"/>
      <c r="DZ55" s="431"/>
      <c r="EA55" s="433"/>
      <c r="EB55" s="432"/>
      <c r="EC55" s="427"/>
      <c r="ED55" s="431"/>
      <c r="EE55" s="433"/>
      <c r="EF55" s="428"/>
      <c r="EG55" s="628"/>
      <c r="EH55" s="460">
        <f t="shared" si="34"/>
        <v>0</v>
      </c>
      <c r="EI55" s="460">
        <f t="shared" si="35"/>
        <v>0</v>
      </c>
      <c r="EJ55" s="458">
        <f t="shared" si="36"/>
        <v>0</v>
      </c>
      <c r="EK55" s="470">
        <f t="shared" si="37"/>
        <v>0</v>
      </c>
      <c r="EL55" s="470">
        <f t="shared" si="38"/>
        <v>0</v>
      </c>
      <c r="EM55" s="449">
        <f t="shared" si="39"/>
        <v>0</v>
      </c>
      <c r="EN55" s="460">
        <f t="shared" si="40"/>
        <v>132</v>
      </c>
      <c r="EO55" s="469">
        <f t="shared" si="41"/>
        <v>121</v>
      </c>
      <c r="EP55" s="434"/>
      <c r="EQ55" s="426"/>
      <c r="ER55" s="434"/>
      <c r="ES55" s="426"/>
      <c r="ET55" s="434"/>
      <c r="EU55" s="426"/>
      <c r="EV55" s="434"/>
      <c r="EW55" s="426"/>
      <c r="EX55" s="434"/>
      <c r="EY55" s="426"/>
      <c r="EZ55" s="434"/>
      <c r="FA55" s="426"/>
      <c r="FB55" s="434"/>
      <c r="FC55" s="426"/>
      <c r="FD55" s="434"/>
      <c r="FE55" s="426"/>
      <c r="FF55" s="434"/>
      <c r="FG55" s="426"/>
      <c r="FH55" s="435"/>
      <c r="FI55" s="426"/>
      <c r="FJ55" s="468">
        <f t="shared" si="42"/>
        <v>0</v>
      </c>
      <c r="FK55" s="469">
        <f t="shared" si="43"/>
        <v>0</v>
      </c>
      <c r="FL55" s="435"/>
      <c r="FM55" s="426"/>
      <c r="FN55" s="460">
        <f t="shared" si="44"/>
        <v>699</v>
      </c>
      <c r="FO55" s="469">
        <f t="shared" si="45"/>
        <v>767</v>
      </c>
    </row>
    <row r="56" spans="1:173" x14ac:dyDescent="0.2">
      <c r="A56" s="725" t="s">
        <v>980</v>
      </c>
      <c r="B56" s="658" t="s">
        <v>987</v>
      </c>
      <c r="C56" s="662"/>
      <c r="D56" s="475">
        <v>107983</v>
      </c>
      <c r="E56" s="507">
        <v>4</v>
      </c>
      <c r="F56" s="457"/>
      <c r="G56" s="628">
        <v>0</v>
      </c>
      <c r="H56" s="427"/>
      <c r="I56" s="426"/>
      <c r="J56" s="427">
        <v>63</v>
      </c>
      <c r="K56" s="426">
        <v>144</v>
      </c>
      <c r="L56" s="458">
        <f t="shared" si="24"/>
        <v>0.16755319148936171</v>
      </c>
      <c r="M56" s="449">
        <f t="shared" si="25"/>
        <v>0.35467980295566504</v>
      </c>
      <c r="N56" s="428">
        <v>376</v>
      </c>
      <c r="O56" s="428">
        <v>77</v>
      </c>
      <c r="P56" s="428"/>
      <c r="Q56" s="428"/>
      <c r="R56" s="460">
        <f t="shared" si="2"/>
        <v>77</v>
      </c>
      <c r="S56" s="461">
        <v>406</v>
      </c>
      <c r="T56" s="660">
        <v>61</v>
      </c>
      <c r="U56" s="429"/>
      <c r="V56" s="429"/>
      <c r="W56" s="462">
        <f t="shared" si="3"/>
        <v>61</v>
      </c>
      <c r="X56" s="430"/>
      <c r="Y56" s="427"/>
      <c r="Z56" s="431"/>
      <c r="AA56" s="431"/>
      <c r="AB56" s="432"/>
      <c r="AC56" s="427"/>
      <c r="AD56" s="431"/>
      <c r="AE56" s="433"/>
      <c r="AF56" s="432"/>
      <c r="AG56" s="427"/>
      <c r="AH56" s="431"/>
      <c r="AI56" s="433"/>
      <c r="AJ56" s="432"/>
      <c r="AK56" s="427"/>
      <c r="AL56" s="431"/>
      <c r="AM56" s="433"/>
      <c r="AN56" s="432"/>
      <c r="AO56" s="427"/>
      <c r="AP56" s="431"/>
      <c r="AQ56" s="431"/>
      <c r="AR56" s="460">
        <f t="shared" si="26"/>
        <v>0</v>
      </c>
      <c r="AS56" s="467">
        <f t="shared" si="27"/>
        <v>0.64716006884681587</v>
      </c>
      <c r="AT56" s="447">
        <f t="shared" si="28"/>
        <v>0</v>
      </c>
      <c r="AU56" s="448">
        <f t="shared" si="29"/>
        <v>0.58082975679542204</v>
      </c>
      <c r="AV56" s="427"/>
      <c r="AW56" s="628">
        <v>0</v>
      </c>
      <c r="AX56" s="430">
        <v>13</v>
      </c>
      <c r="AY56" s="427">
        <v>93</v>
      </c>
      <c r="AZ56" s="431">
        <v>13</v>
      </c>
      <c r="BA56" s="431">
        <v>94</v>
      </c>
      <c r="BB56" s="432">
        <v>52</v>
      </c>
      <c r="BC56" s="427">
        <v>22</v>
      </c>
      <c r="BD56" s="431">
        <v>52</v>
      </c>
      <c r="BE56" s="433">
        <v>25</v>
      </c>
      <c r="BF56" s="432">
        <v>44</v>
      </c>
      <c r="BG56" s="427">
        <v>14</v>
      </c>
      <c r="BH56" s="431">
        <v>31</v>
      </c>
      <c r="BI56" s="433">
        <v>13</v>
      </c>
      <c r="BJ56" s="432">
        <v>1</v>
      </c>
      <c r="BK56" s="427">
        <v>7</v>
      </c>
      <c r="BL56" s="431">
        <v>44</v>
      </c>
      <c r="BM56" s="433">
        <v>8</v>
      </c>
      <c r="BN56" s="432">
        <v>11</v>
      </c>
      <c r="BO56" s="427">
        <v>4</v>
      </c>
      <c r="BP56" s="431">
        <v>1</v>
      </c>
      <c r="BQ56" s="433">
        <v>6</v>
      </c>
      <c r="BR56" s="432">
        <v>31</v>
      </c>
      <c r="BS56" s="427">
        <v>2</v>
      </c>
      <c r="BT56" s="392">
        <v>11</v>
      </c>
      <c r="BU56" s="392">
        <v>3</v>
      </c>
      <c r="BV56" s="432"/>
      <c r="BW56" s="427"/>
      <c r="BX56" s="431"/>
      <c r="BY56" s="433"/>
      <c r="BZ56" s="432"/>
      <c r="CA56" s="427"/>
      <c r="CB56" s="431"/>
      <c r="CC56" s="433"/>
      <c r="CD56" s="432"/>
      <c r="CE56" s="427"/>
      <c r="CF56" s="431"/>
      <c r="CG56" s="433"/>
      <c r="CH56" s="432"/>
      <c r="CI56" s="427"/>
      <c r="CJ56" s="431"/>
      <c r="CK56" s="433"/>
      <c r="CL56" s="428"/>
      <c r="CM56" s="628"/>
      <c r="CN56" s="468">
        <f t="shared" si="30"/>
        <v>142</v>
      </c>
      <c r="CO56" s="468">
        <f t="shared" si="31"/>
        <v>6</v>
      </c>
      <c r="CP56" s="469">
        <f t="shared" si="32"/>
        <v>149</v>
      </c>
      <c r="CQ56" s="469">
        <f t="shared" si="33"/>
        <v>6</v>
      </c>
      <c r="CR56" s="430"/>
      <c r="CS56" s="427"/>
      <c r="CT56" s="431"/>
      <c r="CU56" s="431"/>
      <c r="CV56" s="432"/>
      <c r="CW56" s="427"/>
      <c r="CX56" s="431"/>
      <c r="CY56" s="433"/>
      <c r="CZ56" s="432"/>
      <c r="DA56" s="427"/>
      <c r="DB56" s="431"/>
      <c r="DC56" s="433"/>
      <c r="DD56" s="432"/>
      <c r="DE56" s="427"/>
      <c r="DF56" s="431"/>
      <c r="DG56" s="433"/>
      <c r="DH56" s="432"/>
      <c r="DI56" s="427"/>
      <c r="DJ56" s="431"/>
      <c r="DK56" s="433"/>
      <c r="DL56" s="432"/>
      <c r="DM56" s="427"/>
      <c r="DN56" s="431"/>
      <c r="DO56" s="433"/>
      <c r="DP56" s="432"/>
      <c r="DQ56" s="427"/>
      <c r="DR56" s="431"/>
      <c r="DS56" s="433"/>
      <c r="DT56" s="432"/>
      <c r="DU56" s="427"/>
      <c r="DV56" s="431"/>
      <c r="DW56" s="433"/>
      <c r="DX56" s="432"/>
      <c r="DY56" s="427"/>
      <c r="DZ56" s="431"/>
      <c r="EA56" s="433"/>
      <c r="EB56" s="432"/>
      <c r="EC56" s="427"/>
      <c r="ED56" s="431"/>
      <c r="EE56" s="433"/>
      <c r="EF56" s="428"/>
      <c r="EG56" s="628"/>
      <c r="EH56" s="460">
        <f t="shared" si="34"/>
        <v>0</v>
      </c>
      <c r="EI56" s="460">
        <f t="shared" si="35"/>
        <v>0</v>
      </c>
      <c r="EJ56" s="458">
        <f t="shared" si="36"/>
        <v>0</v>
      </c>
      <c r="EK56" s="470">
        <f t="shared" si="37"/>
        <v>0</v>
      </c>
      <c r="EL56" s="470">
        <f t="shared" si="38"/>
        <v>0</v>
      </c>
      <c r="EM56" s="449">
        <f t="shared" si="39"/>
        <v>0</v>
      </c>
      <c r="EN56" s="460">
        <f t="shared" si="40"/>
        <v>142</v>
      </c>
      <c r="EO56" s="469">
        <f t="shared" si="41"/>
        <v>149</v>
      </c>
      <c r="EP56" s="434"/>
      <c r="EQ56" s="426"/>
      <c r="ER56" s="434"/>
      <c r="ES56" s="426"/>
      <c r="ET56" s="434"/>
      <c r="EU56" s="426"/>
      <c r="EV56" s="434"/>
      <c r="EW56" s="426"/>
      <c r="EX56" s="434"/>
      <c r="EY56" s="426"/>
      <c r="EZ56" s="434"/>
      <c r="FA56" s="426"/>
      <c r="FB56" s="434"/>
      <c r="FC56" s="426"/>
      <c r="FD56" s="434"/>
      <c r="FE56" s="426"/>
      <c r="FF56" s="434"/>
      <c r="FG56" s="426"/>
      <c r="FH56" s="435"/>
      <c r="FI56" s="426"/>
      <c r="FJ56" s="468">
        <f t="shared" si="42"/>
        <v>0</v>
      </c>
      <c r="FK56" s="469">
        <f t="shared" si="43"/>
        <v>0</v>
      </c>
      <c r="FL56" s="435"/>
      <c r="FM56" s="426"/>
      <c r="FN56" s="460">
        <f t="shared" si="44"/>
        <v>581</v>
      </c>
      <c r="FO56" s="469">
        <f t="shared" si="45"/>
        <v>699</v>
      </c>
    </row>
    <row r="57" spans="1:173" x14ac:dyDescent="0.2">
      <c r="A57" s="725" t="s">
        <v>980</v>
      </c>
      <c r="B57" s="658" t="s">
        <v>988</v>
      </c>
      <c r="C57" s="659"/>
      <c r="D57" s="475">
        <v>106485</v>
      </c>
      <c r="E57" s="475">
        <v>5</v>
      </c>
      <c r="F57" s="457">
        <v>389</v>
      </c>
      <c r="G57" s="628">
        <v>424</v>
      </c>
      <c r="H57" s="427">
        <v>16</v>
      </c>
      <c r="I57" s="426">
        <v>23</v>
      </c>
      <c r="J57" s="427">
        <v>153</v>
      </c>
      <c r="K57" s="426">
        <f>193</f>
        <v>193</v>
      </c>
      <c r="L57" s="458">
        <f t="shared" si="24"/>
        <v>0.49514563106796117</v>
      </c>
      <c r="M57" s="449">
        <f t="shared" si="25"/>
        <v>0.52162162162162162</v>
      </c>
      <c r="N57" s="428">
        <v>309</v>
      </c>
      <c r="O57" s="428">
        <v>23</v>
      </c>
      <c r="P57" s="428"/>
      <c r="Q57" s="428"/>
      <c r="R57" s="460">
        <f t="shared" si="2"/>
        <v>23</v>
      </c>
      <c r="S57" s="461">
        <v>370</v>
      </c>
      <c r="T57" s="660">
        <v>51</v>
      </c>
      <c r="U57" s="429"/>
      <c r="V57" s="429"/>
      <c r="W57" s="462">
        <f t="shared" si="3"/>
        <v>51</v>
      </c>
      <c r="X57" s="430"/>
      <c r="Y57" s="427"/>
      <c r="Z57" s="431"/>
      <c r="AA57" s="431"/>
      <c r="AB57" s="432"/>
      <c r="AC57" s="427"/>
      <c r="AD57" s="431"/>
      <c r="AE57" s="433"/>
      <c r="AF57" s="432"/>
      <c r="AG57" s="427"/>
      <c r="AH57" s="431"/>
      <c r="AI57" s="433"/>
      <c r="AJ57" s="432"/>
      <c r="AK57" s="427"/>
      <c r="AL57" s="431"/>
      <c r="AM57" s="433"/>
      <c r="AN57" s="432"/>
      <c r="AO57" s="427"/>
      <c r="AP57" s="431"/>
      <c r="AQ57" s="431"/>
      <c r="AR57" s="460">
        <f t="shared" si="26"/>
        <v>0</v>
      </c>
      <c r="AS57" s="467">
        <f t="shared" si="27"/>
        <v>0.33083511777301927</v>
      </c>
      <c r="AT57" s="447">
        <f t="shared" si="28"/>
        <v>0</v>
      </c>
      <c r="AU57" s="448">
        <f t="shared" si="29"/>
        <v>0.34971644612476371</v>
      </c>
      <c r="AV57" s="427"/>
      <c r="AW57" s="628">
        <v>0</v>
      </c>
      <c r="AX57" s="430">
        <v>13</v>
      </c>
      <c r="AY57" s="427">
        <v>62</v>
      </c>
      <c r="AZ57" s="431">
        <v>13</v>
      </c>
      <c r="BA57" s="431">
        <v>42</v>
      </c>
      <c r="BB57" s="432">
        <v>3</v>
      </c>
      <c r="BC57" s="427">
        <v>5</v>
      </c>
      <c r="BD57" s="431">
        <v>3</v>
      </c>
      <c r="BE57" s="433">
        <v>6</v>
      </c>
      <c r="BF57" s="432"/>
      <c r="BG57" s="427"/>
      <c r="BH57" s="431"/>
      <c r="BI57" s="433"/>
      <c r="BJ57" s="432"/>
      <c r="BK57" s="427"/>
      <c r="BL57" s="431"/>
      <c r="BM57" s="433"/>
      <c r="BN57" s="432"/>
      <c r="BO57" s="427"/>
      <c r="BP57" s="431"/>
      <c r="BQ57" s="433"/>
      <c r="BR57" s="432"/>
      <c r="BS57" s="427"/>
      <c r="BT57" s="392"/>
      <c r="BU57" s="392"/>
      <c r="BV57" s="432"/>
      <c r="BW57" s="427"/>
      <c r="BX57" s="431"/>
      <c r="BY57" s="433"/>
      <c r="BZ57" s="432"/>
      <c r="CA57" s="427"/>
      <c r="CB57" s="431"/>
      <c r="CC57" s="433"/>
      <c r="CD57" s="432"/>
      <c r="CE57" s="427"/>
      <c r="CF57" s="431"/>
      <c r="CG57" s="433"/>
      <c r="CH57" s="432"/>
      <c r="CI57" s="427"/>
      <c r="CJ57" s="431"/>
      <c r="CK57" s="433"/>
      <c r="CL57" s="428"/>
      <c r="CM57" s="628"/>
      <c r="CN57" s="468">
        <f t="shared" si="30"/>
        <v>67</v>
      </c>
      <c r="CO57" s="468">
        <f t="shared" si="31"/>
        <v>2</v>
      </c>
      <c r="CP57" s="469">
        <f t="shared" si="32"/>
        <v>48</v>
      </c>
      <c r="CQ57" s="469">
        <f t="shared" si="33"/>
        <v>2</v>
      </c>
      <c r="CR57" s="430"/>
      <c r="CS57" s="427"/>
      <c r="CT57" s="431"/>
      <c r="CU57" s="431"/>
      <c r="CV57" s="432"/>
      <c r="CW57" s="427"/>
      <c r="CX57" s="431"/>
      <c r="CY57" s="433"/>
      <c r="CZ57" s="432"/>
      <c r="DA57" s="427"/>
      <c r="DB57" s="431"/>
      <c r="DC57" s="433"/>
      <c r="DD57" s="432"/>
      <c r="DE57" s="427"/>
      <c r="DF57" s="431"/>
      <c r="DG57" s="433"/>
      <c r="DH57" s="432"/>
      <c r="DI57" s="427"/>
      <c r="DJ57" s="431"/>
      <c r="DK57" s="433"/>
      <c r="DL57" s="432"/>
      <c r="DM57" s="427"/>
      <c r="DN57" s="431"/>
      <c r="DO57" s="433"/>
      <c r="DP57" s="432"/>
      <c r="DQ57" s="427"/>
      <c r="DR57" s="431"/>
      <c r="DS57" s="433"/>
      <c r="DT57" s="432"/>
      <c r="DU57" s="427"/>
      <c r="DV57" s="431"/>
      <c r="DW57" s="433"/>
      <c r="DX57" s="432"/>
      <c r="DY57" s="427"/>
      <c r="DZ57" s="431"/>
      <c r="EA57" s="433"/>
      <c r="EB57" s="432"/>
      <c r="EC57" s="427"/>
      <c r="ED57" s="431"/>
      <c r="EE57" s="433"/>
      <c r="EF57" s="428"/>
      <c r="EG57" s="628"/>
      <c r="EH57" s="460">
        <f t="shared" si="34"/>
        <v>0</v>
      </c>
      <c r="EI57" s="460">
        <f t="shared" si="35"/>
        <v>0</v>
      </c>
      <c r="EJ57" s="458">
        <f t="shared" si="36"/>
        <v>0</v>
      </c>
      <c r="EK57" s="470">
        <f t="shared" si="37"/>
        <v>0</v>
      </c>
      <c r="EL57" s="470">
        <f t="shared" si="38"/>
        <v>0</v>
      </c>
      <c r="EM57" s="449">
        <f t="shared" si="39"/>
        <v>0</v>
      </c>
      <c r="EN57" s="460">
        <f t="shared" si="40"/>
        <v>67</v>
      </c>
      <c r="EO57" s="469">
        <f t="shared" si="41"/>
        <v>48</v>
      </c>
      <c r="EP57" s="434"/>
      <c r="EQ57" s="426"/>
      <c r="ER57" s="434"/>
      <c r="ES57" s="426"/>
      <c r="ET57" s="434"/>
      <c r="EU57" s="426"/>
      <c r="EV57" s="434"/>
      <c r="EW57" s="426"/>
      <c r="EX57" s="434"/>
      <c r="EY57" s="426"/>
      <c r="EZ57" s="434"/>
      <c r="FA57" s="426"/>
      <c r="FB57" s="434"/>
      <c r="FC57" s="426"/>
      <c r="FD57" s="434"/>
      <c r="FE57" s="426"/>
      <c r="FF57" s="434"/>
      <c r="FG57" s="426"/>
      <c r="FH57" s="435"/>
      <c r="FI57" s="426"/>
      <c r="FJ57" s="468">
        <f t="shared" si="42"/>
        <v>0</v>
      </c>
      <c r="FK57" s="469">
        <f t="shared" si="43"/>
        <v>0</v>
      </c>
      <c r="FL57" s="435"/>
      <c r="FM57" s="426"/>
      <c r="FN57" s="460">
        <f t="shared" si="44"/>
        <v>934</v>
      </c>
      <c r="FO57" s="469">
        <f t="shared" si="45"/>
        <v>1058</v>
      </c>
    </row>
    <row r="58" spans="1:173" x14ac:dyDescent="0.2">
      <c r="A58" s="725" t="s">
        <v>980</v>
      </c>
      <c r="B58" s="658" t="s">
        <v>989</v>
      </c>
      <c r="C58" s="659"/>
      <c r="D58" s="475">
        <v>108092</v>
      </c>
      <c r="E58" s="475">
        <v>6</v>
      </c>
      <c r="F58" s="457">
        <v>372</v>
      </c>
      <c r="G58" s="628">
        <v>224</v>
      </c>
      <c r="H58" s="427"/>
      <c r="I58" s="426"/>
      <c r="J58" s="427">
        <v>402</v>
      </c>
      <c r="K58" s="426">
        <v>326</v>
      </c>
      <c r="L58" s="458">
        <f t="shared" si="24"/>
        <v>0.75706214689265539</v>
      </c>
      <c r="M58" s="449">
        <f t="shared" si="25"/>
        <v>0.51993620414673047</v>
      </c>
      <c r="N58" s="428">
        <v>531</v>
      </c>
      <c r="O58" s="428">
        <v>109</v>
      </c>
      <c r="P58" s="428"/>
      <c r="Q58" s="428"/>
      <c r="R58" s="460">
        <f t="shared" si="2"/>
        <v>109</v>
      </c>
      <c r="S58" s="461">
        <v>627</v>
      </c>
      <c r="T58" s="660">
        <v>89</v>
      </c>
      <c r="U58" s="429"/>
      <c r="V58" s="429"/>
      <c r="W58" s="462">
        <f t="shared" si="3"/>
        <v>89</v>
      </c>
      <c r="X58" s="430"/>
      <c r="Y58" s="427"/>
      <c r="Z58" s="431"/>
      <c r="AA58" s="431"/>
      <c r="AB58" s="432"/>
      <c r="AC58" s="427"/>
      <c r="AD58" s="431"/>
      <c r="AE58" s="433"/>
      <c r="AF58" s="432"/>
      <c r="AG58" s="427"/>
      <c r="AH58" s="431"/>
      <c r="AI58" s="433"/>
      <c r="AJ58" s="432"/>
      <c r="AK58" s="427"/>
      <c r="AL58" s="431"/>
      <c r="AM58" s="433"/>
      <c r="AN58" s="432"/>
      <c r="AO58" s="427"/>
      <c r="AP58" s="431"/>
      <c r="AQ58" s="431"/>
      <c r="AR58" s="460">
        <f t="shared" si="26"/>
        <v>0</v>
      </c>
      <c r="AS58" s="467">
        <f t="shared" si="27"/>
        <v>0.40689655172413791</v>
      </c>
      <c r="AT58" s="447">
        <f t="shared" si="28"/>
        <v>0</v>
      </c>
      <c r="AU58" s="448">
        <f t="shared" si="29"/>
        <v>0.53271028037383172</v>
      </c>
      <c r="AV58" s="427"/>
      <c r="AW58" s="628">
        <v>0</v>
      </c>
      <c r="AX58" s="430"/>
      <c r="AY58" s="427"/>
      <c r="AZ58" s="431"/>
      <c r="BA58" s="431"/>
      <c r="BB58" s="432"/>
      <c r="BC58" s="427"/>
      <c r="BD58" s="431"/>
      <c r="BE58" s="433"/>
      <c r="BF58" s="432"/>
      <c r="BG58" s="427"/>
      <c r="BH58" s="431"/>
      <c r="BI58" s="433"/>
      <c r="BJ58" s="432"/>
      <c r="BK58" s="427"/>
      <c r="BL58" s="431"/>
      <c r="BM58" s="433"/>
      <c r="BN58" s="432"/>
      <c r="BO58" s="427"/>
      <c r="BP58" s="431"/>
      <c r="BQ58" s="433"/>
      <c r="BR58" s="432"/>
      <c r="BS58" s="427"/>
      <c r="BT58" s="392"/>
      <c r="BU58" s="392"/>
      <c r="BV58" s="432"/>
      <c r="BW58" s="427"/>
      <c r="BX58" s="431"/>
      <c r="BY58" s="433"/>
      <c r="BZ58" s="432"/>
      <c r="CA58" s="427"/>
      <c r="CB58" s="431"/>
      <c r="CC58" s="433"/>
      <c r="CD58" s="432"/>
      <c r="CE58" s="427"/>
      <c r="CF58" s="431"/>
      <c r="CG58" s="433"/>
      <c r="CH58" s="432"/>
      <c r="CI58" s="427"/>
      <c r="CJ58" s="431"/>
      <c r="CK58" s="433"/>
      <c r="CL58" s="428"/>
      <c r="CM58" s="628"/>
      <c r="CN58" s="468">
        <f t="shared" si="30"/>
        <v>0</v>
      </c>
      <c r="CO58" s="468">
        <f t="shared" si="31"/>
        <v>0</v>
      </c>
      <c r="CP58" s="469">
        <f t="shared" si="32"/>
        <v>0</v>
      </c>
      <c r="CQ58" s="469">
        <f t="shared" si="33"/>
        <v>0</v>
      </c>
      <c r="CR58" s="430"/>
      <c r="CS58" s="427"/>
      <c r="CT58" s="431"/>
      <c r="CU58" s="431"/>
      <c r="CV58" s="432"/>
      <c r="CW58" s="427"/>
      <c r="CX58" s="431"/>
      <c r="CY58" s="433"/>
      <c r="CZ58" s="432"/>
      <c r="DA58" s="427"/>
      <c r="DB58" s="431"/>
      <c r="DC58" s="433"/>
      <c r="DD58" s="432"/>
      <c r="DE58" s="427"/>
      <c r="DF58" s="431"/>
      <c r="DG58" s="433"/>
      <c r="DH58" s="432"/>
      <c r="DI58" s="427"/>
      <c r="DJ58" s="431"/>
      <c r="DK58" s="433"/>
      <c r="DL58" s="432"/>
      <c r="DM58" s="427"/>
      <c r="DN58" s="431"/>
      <c r="DO58" s="433"/>
      <c r="DP58" s="432"/>
      <c r="DQ58" s="427"/>
      <c r="DR58" s="431"/>
      <c r="DS58" s="433"/>
      <c r="DT58" s="432"/>
      <c r="DU58" s="427"/>
      <c r="DV58" s="431"/>
      <c r="DW58" s="433"/>
      <c r="DX58" s="432"/>
      <c r="DY58" s="427"/>
      <c r="DZ58" s="431"/>
      <c r="EA58" s="433"/>
      <c r="EB58" s="432"/>
      <c r="EC58" s="427"/>
      <c r="ED58" s="431"/>
      <c r="EE58" s="433"/>
      <c r="EF58" s="428"/>
      <c r="EG58" s="628"/>
      <c r="EH58" s="460">
        <f t="shared" si="34"/>
        <v>0</v>
      </c>
      <c r="EI58" s="460">
        <f t="shared" si="35"/>
        <v>0</v>
      </c>
      <c r="EJ58" s="458">
        <f t="shared" si="36"/>
        <v>0</v>
      </c>
      <c r="EK58" s="470">
        <f t="shared" si="37"/>
        <v>0</v>
      </c>
      <c r="EL58" s="470">
        <f t="shared" si="38"/>
        <v>0</v>
      </c>
      <c r="EM58" s="449">
        <f t="shared" si="39"/>
        <v>0</v>
      </c>
      <c r="EN58" s="460">
        <f t="shared" si="40"/>
        <v>0</v>
      </c>
      <c r="EO58" s="469">
        <f t="shared" si="41"/>
        <v>0</v>
      </c>
      <c r="EP58" s="434"/>
      <c r="EQ58" s="426"/>
      <c r="ER58" s="434"/>
      <c r="ES58" s="426"/>
      <c r="ET58" s="434"/>
      <c r="EU58" s="426"/>
      <c r="EV58" s="434"/>
      <c r="EW58" s="426"/>
      <c r="EX58" s="434"/>
      <c r="EY58" s="426"/>
      <c r="EZ58" s="434"/>
      <c r="FA58" s="426"/>
      <c r="FB58" s="434"/>
      <c r="FC58" s="426"/>
      <c r="FD58" s="434"/>
      <c r="FE58" s="426"/>
      <c r="FF58" s="434"/>
      <c r="FG58" s="426"/>
      <c r="FH58" s="435"/>
      <c r="FI58" s="426"/>
      <c r="FJ58" s="468">
        <f t="shared" si="42"/>
        <v>0</v>
      </c>
      <c r="FK58" s="469">
        <f t="shared" si="43"/>
        <v>0</v>
      </c>
      <c r="FL58" s="435"/>
      <c r="FM58" s="426"/>
      <c r="FN58" s="460">
        <f t="shared" si="44"/>
        <v>1305</v>
      </c>
      <c r="FO58" s="469">
        <f t="shared" si="45"/>
        <v>1177</v>
      </c>
    </row>
    <row r="59" spans="1:173" x14ac:dyDescent="0.2">
      <c r="A59" s="725" t="s">
        <v>980</v>
      </c>
      <c r="B59" s="658" t="s">
        <v>990</v>
      </c>
      <c r="C59" s="659" t="s">
        <v>640</v>
      </c>
      <c r="D59" s="475">
        <v>106412</v>
      </c>
      <c r="E59" s="475">
        <v>6</v>
      </c>
      <c r="F59" s="457"/>
      <c r="G59" s="628">
        <v>0</v>
      </c>
      <c r="H59" s="427"/>
      <c r="I59" s="426"/>
      <c r="J59" s="427"/>
      <c r="K59" s="426">
        <v>0</v>
      </c>
      <c r="L59" s="458">
        <f t="shared" si="24"/>
        <v>0</v>
      </c>
      <c r="M59" s="449">
        <f t="shared" si="25"/>
        <v>0</v>
      </c>
      <c r="N59" s="428">
        <v>382</v>
      </c>
      <c r="O59" s="428">
        <v>17</v>
      </c>
      <c r="P59" s="428"/>
      <c r="Q59" s="428"/>
      <c r="R59" s="460">
        <f t="shared" si="2"/>
        <v>17</v>
      </c>
      <c r="S59" s="461">
        <v>461</v>
      </c>
      <c r="T59" s="660">
        <v>23</v>
      </c>
      <c r="U59" s="429"/>
      <c r="V59" s="429"/>
      <c r="W59" s="462">
        <f t="shared" si="3"/>
        <v>23</v>
      </c>
      <c r="X59" s="430"/>
      <c r="Y59" s="427"/>
      <c r="Z59" s="431"/>
      <c r="AA59" s="431"/>
      <c r="AB59" s="432"/>
      <c r="AC59" s="427"/>
      <c r="AD59" s="431"/>
      <c r="AE59" s="433"/>
      <c r="AF59" s="432"/>
      <c r="AG59" s="427"/>
      <c r="AH59" s="431"/>
      <c r="AI59" s="433"/>
      <c r="AJ59" s="432"/>
      <c r="AK59" s="427"/>
      <c r="AL59" s="431"/>
      <c r="AM59" s="433"/>
      <c r="AN59" s="432"/>
      <c r="AO59" s="427"/>
      <c r="AP59" s="431"/>
      <c r="AQ59" s="431"/>
      <c r="AR59" s="460">
        <f t="shared" si="26"/>
        <v>0</v>
      </c>
      <c r="AS59" s="467">
        <f t="shared" si="27"/>
        <v>0.94789081885856075</v>
      </c>
      <c r="AT59" s="447">
        <f t="shared" si="28"/>
        <v>0</v>
      </c>
      <c r="AU59" s="448">
        <f t="shared" si="29"/>
        <v>0.92570281124497988</v>
      </c>
      <c r="AV59" s="427"/>
      <c r="AW59" s="628">
        <v>0</v>
      </c>
      <c r="AX59" s="430">
        <v>13</v>
      </c>
      <c r="AY59" s="427">
        <v>14</v>
      </c>
      <c r="AZ59" s="431">
        <v>13</v>
      </c>
      <c r="BA59" s="431">
        <v>19</v>
      </c>
      <c r="BB59" s="432">
        <v>51</v>
      </c>
      <c r="BC59" s="427">
        <v>5</v>
      </c>
      <c r="BD59" s="431">
        <v>1</v>
      </c>
      <c r="BE59" s="433">
        <v>12</v>
      </c>
      <c r="BF59" s="432">
        <v>1</v>
      </c>
      <c r="BG59" s="427">
        <v>2</v>
      </c>
      <c r="BH59" s="431">
        <v>51</v>
      </c>
      <c r="BI59" s="433">
        <v>6</v>
      </c>
      <c r="BJ59" s="432"/>
      <c r="BK59" s="427"/>
      <c r="BL59" s="431"/>
      <c r="BM59" s="433"/>
      <c r="BN59" s="432"/>
      <c r="BO59" s="427"/>
      <c r="BP59" s="431"/>
      <c r="BQ59" s="433"/>
      <c r="BR59" s="432"/>
      <c r="BS59" s="427"/>
      <c r="BT59" s="392"/>
      <c r="BU59" s="392"/>
      <c r="BV59" s="432"/>
      <c r="BW59" s="427"/>
      <c r="BX59" s="431"/>
      <c r="BY59" s="433"/>
      <c r="BZ59" s="432"/>
      <c r="CA59" s="427"/>
      <c r="CB59" s="431"/>
      <c r="CC59" s="433"/>
      <c r="CD59" s="432"/>
      <c r="CE59" s="427"/>
      <c r="CF59" s="431"/>
      <c r="CG59" s="433"/>
      <c r="CH59" s="432"/>
      <c r="CI59" s="427"/>
      <c r="CJ59" s="431"/>
      <c r="CK59" s="433"/>
      <c r="CL59" s="428"/>
      <c r="CM59" s="628"/>
      <c r="CN59" s="468">
        <f t="shared" si="30"/>
        <v>21</v>
      </c>
      <c r="CO59" s="468">
        <f t="shared" si="31"/>
        <v>3</v>
      </c>
      <c r="CP59" s="469">
        <f t="shared" si="32"/>
        <v>37</v>
      </c>
      <c r="CQ59" s="469">
        <f t="shared" si="33"/>
        <v>3</v>
      </c>
      <c r="CR59" s="430"/>
      <c r="CS59" s="427"/>
      <c r="CT59" s="431"/>
      <c r="CU59" s="431"/>
      <c r="CV59" s="432"/>
      <c r="CW59" s="427"/>
      <c r="CX59" s="431"/>
      <c r="CY59" s="433"/>
      <c r="CZ59" s="432"/>
      <c r="DA59" s="427"/>
      <c r="DB59" s="431"/>
      <c r="DC59" s="433"/>
      <c r="DD59" s="432"/>
      <c r="DE59" s="427"/>
      <c r="DF59" s="431"/>
      <c r="DG59" s="433"/>
      <c r="DH59" s="432"/>
      <c r="DI59" s="427"/>
      <c r="DJ59" s="431"/>
      <c r="DK59" s="433"/>
      <c r="DL59" s="432"/>
      <c r="DM59" s="427"/>
      <c r="DN59" s="431"/>
      <c r="DO59" s="433"/>
      <c r="DP59" s="432"/>
      <c r="DQ59" s="427"/>
      <c r="DR59" s="431"/>
      <c r="DS59" s="433"/>
      <c r="DT59" s="432"/>
      <c r="DU59" s="427"/>
      <c r="DV59" s="431"/>
      <c r="DW59" s="433"/>
      <c r="DX59" s="432"/>
      <c r="DY59" s="427"/>
      <c r="DZ59" s="431"/>
      <c r="EA59" s="433"/>
      <c r="EB59" s="432"/>
      <c r="EC59" s="427"/>
      <c r="ED59" s="431"/>
      <c r="EE59" s="433"/>
      <c r="EF59" s="428"/>
      <c r="EG59" s="628"/>
      <c r="EH59" s="460">
        <f t="shared" si="34"/>
        <v>0</v>
      </c>
      <c r="EI59" s="460">
        <f t="shared" si="35"/>
        <v>0</v>
      </c>
      <c r="EJ59" s="458">
        <f t="shared" si="36"/>
        <v>0</v>
      </c>
      <c r="EK59" s="470">
        <f t="shared" si="37"/>
        <v>0</v>
      </c>
      <c r="EL59" s="470">
        <f t="shared" si="38"/>
        <v>0</v>
      </c>
      <c r="EM59" s="449">
        <f t="shared" si="39"/>
        <v>0</v>
      </c>
      <c r="EN59" s="460">
        <f t="shared" si="40"/>
        <v>21</v>
      </c>
      <c r="EO59" s="469">
        <f t="shared" si="41"/>
        <v>37</v>
      </c>
      <c r="EP59" s="434"/>
      <c r="EQ59" s="426"/>
      <c r="ER59" s="434"/>
      <c r="ES59" s="426"/>
      <c r="ET59" s="434"/>
      <c r="EU59" s="426"/>
      <c r="EV59" s="434"/>
      <c r="EW59" s="426"/>
      <c r="EX59" s="434"/>
      <c r="EY59" s="426"/>
      <c r="EZ59" s="434"/>
      <c r="FA59" s="426"/>
      <c r="FB59" s="434"/>
      <c r="FC59" s="426"/>
      <c r="FD59" s="434"/>
      <c r="FE59" s="426"/>
      <c r="FF59" s="434"/>
      <c r="FG59" s="426"/>
      <c r="FH59" s="435"/>
      <c r="FI59" s="426"/>
      <c r="FJ59" s="468">
        <f t="shared" si="42"/>
        <v>0</v>
      </c>
      <c r="FK59" s="469">
        <f t="shared" si="43"/>
        <v>0</v>
      </c>
      <c r="FL59" s="435"/>
      <c r="FM59" s="426"/>
      <c r="FN59" s="460">
        <f t="shared" si="44"/>
        <v>403</v>
      </c>
      <c r="FO59" s="469">
        <f t="shared" si="45"/>
        <v>498</v>
      </c>
    </row>
    <row r="60" spans="1:173" x14ac:dyDescent="0.2">
      <c r="A60" s="734" t="s">
        <v>980</v>
      </c>
      <c r="B60" s="658" t="s">
        <v>991</v>
      </c>
      <c r="C60" s="662"/>
      <c r="D60" s="531">
        <v>367459</v>
      </c>
      <c r="E60" s="507">
        <v>8</v>
      </c>
      <c r="F60" s="457">
        <v>197</v>
      </c>
      <c r="G60" s="628">
        <v>341</v>
      </c>
      <c r="H60" s="427"/>
      <c r="I60" s="426"/>
      <c r="J60" s="427">
        <v>727</v>
      </c>
      <c r="K60" s="426">
        <v>769</v>
      </c>
      <c r="L60" s="458">
        <f t="shared" si="24"/>
        <v>0</v>
      </c>
      <c r="M60" s="449">
        <f t="shared" si="25"/>
        <v>0</v>
      </c>
      <c r="N60" s="428"/>
      <c r="O60" s="428"/>
      <c r="P60" s="428"/>
      <c r="Q60" s="428"/>
      <c r="R60" s="460">
        <f t="shared" si="2"/>
        <v>0</v>
      </c>
      <c r="S60" s="461"/>
      <c r="T60" s="429"/>
      <c r="U60" s="429"/>
      <c r="V60" s="429"/>
      <c r="W60" s="462">
        <f t="shared" si="3"/>
        <v>0</v>
      </c>
      <c r="X60" s="430"/>
      <c r="Y60" s="427"/>
      <c r="Z60" s="431"/>
      <c r="AA60" s="431"/>
      <c r="AB60" s="432"/>
      <c r="AC60" s="427"/>
      <c r="AD60" s="431"/>
      <c r="AE60" s="433"/>
      <c r="AF60" s="432"/>
      <c r="AG60" s="427"/>
      <c r="AH60" s="431"/>
      <c r="AI60" s="433"/>
      <c r="AJ60" s="432"/>
      <c r="AK60" s="427"/>
      <c r="AL60" s="431"/>
      <c r="AM60" s="433"/>
      <c r="AN60" s="432"/>
      <c r="AO60" s="427"/>
      <c r="AP60" s="431"/>
      <c r="AQ60" s="431"/>
      <c r="AR60" s="460">
        <f t="shared" si="26"/>
        <v>0</v>
      </c>
      <c r="AS60" s="467">
        <f t="shared" si="27"/>
        <v>0</v>
      </c>
      <c r="AT60" s="447">
        <f t="shared" si="28"/>
        <v>0</v>
      </c>
      <c r="AU60" s="448">
        <f t="shared" si="29"/>
        <v>0</v>
      </c>
      <c r="AV60" s="427"/>
      <c r="AW60" s="628"/>
      <c r="AX60" s="430"/>
      <c r="AY60" s="427"/>
      <c r="AZ60" s="431"/>
      <c r="BA60" s="431"/>
      <c r="BB60" s="432"/>
      <c r="BC60" s="427"/>
      <c r="BD60" s="431"/>
      <c r="BE60" s="433"/>
      <c r="BF60" s="432"/>
      <c r="BG60" s="427"/>
      <c r="BH60" s="431"/>
      <c r="BI60" s="433"/>
      <c r="BJ60" s="432"/>
      <c r="BK60" s="427"/>
      <c r="BL60" s="431"/>
      <c r="BM60" s="433"/>
      <c r="BN60" s="432"/>
      <c r="BO60" s="427"/>
      <c r="BP60" s="431"/>
      <c r="BQ60" s="433"/>
      <c r="BR60" s="432"/>
      <c r="BS60" s="427"/>
      <c r="BT60" s="392"/>
      <c r="BU60" s="392"/>
      <c r="BV60" s="432"/>
      <c r="BW60" s="427"/>
      <c r="BX60" s="431"/>
      <c r="BY60" s="433"/>
      <c r="BZ60" s="432"/>
      <c r="CA60" s="427"/>
      <c r="CB60" s="431"/>
      <c r="CC60" s="433"/>
      <c r="CD60" s="432"/>
      <c r="CE60" s="427"/>
      <c r="CF60" s="431"/>
      <c r="CG60" s="433"/>
      <c r="CH60" s="432"/>
      <c r="CI60" s="427"/>
      <c r="CJ60" s="431"/>
      <c r="CK60" s="433"/>
      <c r="CL60" s="428"/>
      <c r="CM60" s="628"/>
      <c r="CN60" s="468">
        <f t="shared" si="30"/>
        <v>0</v>
      </c>
      <c r="CO60" s="468">
        <f t="shared" si="31"/>
        <v>0</v>
      </c>
      <c r="CP60" s="469">
        <f t="shared" si="32"/>
        <v>0</v>
      </c>
      <c r="CQ60" s="469">
        <f t="shared" si="33"/>
        <v>0</v>
      </c>
      <c r="CR60" s="430"/>
      <c r="CS60" s="427"/>
      <c r="CT60" s="431"/>
      <c r="CU60" s="431"/>
      <c r="CV60" s="432"/>
      <c r="CW60" s="427"/>
      <c r="CX60" s="431"/>
      <c r="CY60" s="433"/>
      <c r="CZ60" s="432"/>
      <c r="DA60" s="427"/>
      <c r="DB60" s="431"/>
      <c r="DC60" s="433"/>
      <c r="DD60" s="432"/>
      <c r="DE60" s="427"/>
      <c r="DF60" s="431"/>
      <c r="DG60" s="433"/>
      <c r="DH60" s="432"/>
      <c r="DI60" s="427"/>
      <c r="DJ60" s="431"/>
      <c r="DK60" s="433"/>
      <c r="DL60" s="432"/>
      <c r="DM60" s="427"/>
      <c r="DN60" s="431"/>
      <c r="DO60" s="433"/>
      <c r="DP60" s="432"/>
      <c r="DQ60" s="427"/>
      <c r="DR60" s="431"/>
      <c r="DS60" s="433"/>
      <c r="DT60" s="432"/>
      <c r="DU60" s="427"/>
      <c r="DV60" s="431"/>
      <c r="DW60" s="433"/>
      <c r="DX60" s="432"/>
      <c r="DY60" s="427"/>
      <c r="DZ60" s="431"/>
      <c r="EA60" s="433"/>
      <c r="EB60" s="432"/>
      <c r="EC60" s="427"/>
      <c r="ED60" s="431"/>
      <c r="EE60" s="433"/>
      <c r="EF60" s="428"/>
      <c r="EG60" s="628"/>
      <c r="EH60" s="460">
        <f t="shared" si="34"/>
        <v>0</v>
      </c>
      <c r="EI60" s="460">
        <f t="shared" si="35"/>
        <v>0</v>
      </c>
      <c r="EJ60" s="458">
        <f t="shared" si="36"/>
        <v>0</v>
      </c>
      <c r="EK60" s="470">
        <f t="shared" si="37"/>
        <v>0</v>
      </c>
      <c r="EL60" s="470">
        <f t="shared" si="38"/>
        <v>0</v>
      </c>
      <c r="EM60" s="449">
        <f t="shared" si="39"/>
        <v>0</v>
      </c>
      <c r="EN60" s="460">
        <f t="shared" si="40"/>
        <v>0</v>
      </c>
      <c r="EO60" s="469">
        <f t="shared" si="41"/>
        <v>0</v>
      </c>
      <c r="EP60" s="434"/>
      <c r="EQ60" s="426"/>
      <c r="ER60" s="434"/>
      <c r="ES60" s="426"/>
      <c r="ET60" s="434"/>
      <c r="EU60" s="426"/>
      <c r="EV60" s="434"/>
      <c r="EW60" s="426"/>
      <c r="EX60" s="434"/>
      <c r="EY60" s="426"/>
      <c r="EZ60" s="434"/>
      <c r="FA60" s="426"/>
      <c r="FB60" s="434"/>
      <c r="FC60" s="426"/>
      <c r="FD60" s="434"/>
      <c r="FE60" s="426"/>
      <c r="FF60" s="434"/>
      <c r="FG60" s="426"/>
      <c r="FH60" s="435"/>
      <c r="FI60" s="426"/>
      <c r="FJ60" s="468">
        <f t="shared" si="42"/>
        <v>0</v>
      </c>
      <c r="FK60" s="469">
        <f t="shared" si="43"/>
        <v>0</v>
      </c>
      <c r="FL60" s="435"/>
      <c r="FM60" s="426"/>
      <c r="FN60" s="460">
        <f t="shared" si="44"/>
        <v>924</v>
      </c>
      <c r="FO60" s="469">
        <f t="shared" si="45"/>
        <v>1110</v>
      </c>
    </row>
    <row r="61" spans="1:173" x14ac:dyDescent="0.2">
      <c r="A61" s="456" t="s">
        <v>980</v>
      </c>
      <c r="B61" s="451" t="s">
        <v>992</v>
      </c>
      <c r="C61" s="502"/>
      <c r="D61" s="501">
        <v>107664</v>
      </c>
      <c r="E61" s="510">
        <v>8</v>
      </c>
      <c r="F61" s="457">
        <v>2170</v>
      </c>
      <c r="G61" s="628">
        <v>1222</v>
      </c>
      <c r="H61" s="427">
        <v>4</v>
      </c>
      <c r="I61" s="426">
        <v>3</v>
      </c>
      <c r="J61" s="427">
        <v>1551</v>
      </c>
      <c r="K61" s="426">
        <f>1064</f>
        <v>1064</v>
      </c>
      <c r="L61" s="458">
        <f t="shared" si="24"/>
        <v>0</v>
      </c>
      <c r="M61" s="449">
        <f t="shared" si="25"/>
        <v>0</v>
      </c>
      <c r="N61" s="428"/>
      <c r="O61" s="428"/>
      <c r="P61" s="428"/>
      <c r="Q61" s="428"/>
      <c r="R61" s="460">
        <f t="shared" si="2"/>
        <v>0</v>
      </c>
      <c r="S61" s="461"/>
      <c r="T61" s="429"/>
      <c r="U61" s="429"/>
      <c r="V61" s="429"/>
      <c r="W61" s="462">
        <f t="shared" si="3"/>
        <v>0</v>
      </c>
      <c r="X61" s="430"/>
      <c r="Y61" s="427"/>
      <c r="Z61" s="431"/>
      <c r="AA61" s="431"/>
      <c r="AB61" s="432"/>
      <c r="AC61" s="427"/>
      <c r="AD61" s="431"/>
      <c r="AE61" s="433"/>
      <c r="AF61" s="432"/>
      <c r="AG61" s="427"/>
      <c r="AH61" s="431"/>
      <c r="AI61" s="433"/>
      <c r="AJ61" s="432"/>
      <c r="AK61" s="427"/>
      <c r="AL61" s="431"/>
      <c r="AM61" s="433"/>
      <c r="AN61" s="432"/>
      <c r="AO61" s="427"/>
      <c r="AP61" s="431"/>
      <c r="AQ61" s="431"/>
      <c r="AR61" s="460">
        <f t="shared" si="26"/>
        <v>0</v>
      </c>
      <c r="AS61" s="467">
        <f t="shared" si="27"/>
        <v>0</v>
      </c>
      <c r="AT61" s="447">
        <f t="shared" si="28"/>
        <v>0</v>
      </c>
      <c r="AU61" s="448">
        <f t="shared" si="29"/>
        <v>0</v>
      </c>
      <c r="AV61" s="427"/>
      <c r="AW61" s="628"/>
      <c r="AX61" s="430"/>
      <c r="AY61" s="427"/>
      <c r="AZ61" s="431"/>
      <c r="BA61" s="431"/>
      <c r="BB61" s="432"/>
      <c r="BC61" s="427"/>
      <c r="BD61" s="431"/>
      <c r="BE61" s="433"/>
      <c r="BF61" s="432"/>
      <c r="BG61" s="427"/>
      <c r="BH61" s="431"/>
      <c r="BI61" s="433"/>
      <c r="BJ61" s="432"/>
      <c r="BK61" s="427"/>
      <c r="BL61" s="431"/>
      <c r="BM61" s="433"/>
      <c r="BN61" s="432"/>
      <c r="BO61" s="427"/>
      <c r="BP61" s="431"/>
      <c r="BQ61" s="433"/>
      <c r="BR61" s="432"/>
      <c r="BS61" s="427"/>
      <c r="BT61" s="392"/>
      <c r="BU61" s="392"/>
      <c r="BV61" s="432"/>
      <c r="BW61" s="427"/>
      <c r="BX61" s="431"/>
      <c r="BY61" s="433"/>
      <c r="BZ61" s="432"/>
      <c r="CA61" s="427"/>
      <c r="CB61" s="431"/>
      <c r="CC61" s="433"/>
      <c r="CD61" s="432"/>
      <c r="CE61" s="427"/>
      <c r="CF61" s="431"/>
      <c r="CG61" s="433"/>
      <c r="CH61" s="432"/>
      <c r="CI61" s="427"/>
      <c r="CJ61" s="431"/>
      <c r="CK61" s="433"/>
      <c r="CL61" s="428"/>
      <c r="CM61" s="426"/>
      <c r="CN61" s="468">
        <f t="shared" si="30"/>
        <v>0</v>
      </c>
      <c r="CO61" s="468">
        <f t="shared" si="31"/>
        <v>0</v>
      </c>
      <c r="CP61" s="469">
        <f t="shared" si="32"/>
        <v>0</v>
      </c>
      <c r="CQ61" s="469">
        <f t="shared" si="33"/>
        <v>0</v>
      </c>
      <c r="CR61" s="430"/>
      <c r="CS61" s="427"/>
      <c r="CT61" s="431"/>
      <c r="CU61" s="431"/>
      <c r="CV61" s="432"/>
      <c r="CW61" s="427"/>
      <c r="CX61" s="431"/>
      <c r="CY61" s="433"/>
      <c r="CZ61" s="432"/>
      <c r="DA61" s="427"/>
      <c r="DB61" s="431"/>
      <c r="DC61" s="433"/>
      <c r="DD61" s="432"/>
      <c r="DE61" s="427"/>
      <c r="DF61" s="431"/>
      <c r="DG61" s="433"/>
      <c r="DH61" s="432"/>
      <c r="DI61" s="427"/>
      <c r="DJ61" s="431"/>
      <c r="DK61" s="433"/>
      <c r="DL61" s="432"/>
      <c r="DM61" s="427"/>
      <c r="DN61" s="431"/>
      <c r="DO61" s="433"/>
      <c r="DP61" s="432"/>
      <c r="DQ61" s="427"/>
      <c r="DR61" s="431"/>
      <c r="DS61" s="433"/>
      <c r="DT61" s="432"/>
      <c r="DU61" s="427"/>
      <c r="DV61" s="431"/>
      <c r="DW61" s="433"/>
      <c r="DX61" s="432"/>
      <c r="DY61" s="427"/>
      <c r="DZ61" s="431"/>
      <c r="EA61" s="433"/>
      <c r="EB61" s="432"/>
      <c r="EC61" s="427"/>
      <c r="ED61" s="431"/>
      <c r="EE61" s="433"/>
      <c r="EF61" s="428"/>
      <c r="EG61" s="628"/>
      <c r="EH61" s="460">
        <f t="shared" si="34"/>
        <v>0</v>
      </c>
      <c r="EI61" s="460">
        <f t="shared" si="35"/>
        <v>0</v>
      </c>
      <c r="EJ61" s="458">
        <f t="shared" si="36"/>
        <v>0</v>
      </c>
      <c r="EK61" s="470">
        <f t="shared" si="37"/>
        <v>0</v>
      </c>
      <c r="EL61" s="470">
        <f t="shared" si="38"/>
        <v>0</v>
      </c>
      <c r="EM61" s="449">
        <f t="shared" si="39"/>
        <v>0</v>
      </c>
      <c r="EN61" s="460">
        <f t="shared" si="40"/>
        <v>0</v>
      </c>
      <c r="EO61" s="469">
        <f t="shared" si="41"/>
        <v>0</v>
      </c>
      <c r="EP61" s="434"/>
      <c r="EQ61" s="426"/>
      <c r="ER61" s="434"/>
      <c r="ES61" s="426"/>
      <c r="ET61" s="434"/>
      <c r="EU61" s="426"/>
      <c r="EV61" s="434"/>
      <c r="EW61" s="426"/>
      <c r="EX61" s="434"/>
      <c r="EY61" s="426"/>
      <c r="EZ61" s="434"/>
      <c r="FA61" s="426"/>
      <c r="FB61" s="434"/>
      <c r="FC61" s="426"/>
      <c r="FD61" s="434"/>
      <c r="FE61" s="426"/>
      <c r="FF61" s="434"/>
      <c r="FG61" s="426"/>
      <c r="FH61" s="435"/>
      <c r="FI61" s="426"/>
      <c r="FJ61" s="468">
        <f t="shared" si="42"/>
        <v>0</v>
      </c>
      <c r="FK61" s="469">
        <f t="shared" si="43"/>
        <v>0</v>
      </c>
      <c r="FL61" s="435"/>
      <c r="FM61" s="426"/>
      <c r="FN61" s="460">
        <f t="shared" si="44"/>
        <v>3725</v>
      </c>
      <c r="FO61" s="469">
        <f t="shared" si="45"/>
        <v>2289</v>
      </c>
    </row>
    <row r="62" spans="1:173" x14ac:dyDescent="0.2">
      <c r="A62" s="734" t="s">
        <v>980</v>
      </c>
      <c r="B62" s="664" t="s">
        <v>993</v>
      </c>
      <c r="C62" s="665"/>
      <c r="D62" s="531">
        <v>106449</v>
      </c>
      <c r="E62" s="531">
        <v>9</v>
      </c>
      <c r="F62" s="457">
        <v>586</v>
      </c>
      <c r="G62" s="628">
        <v>529</v>
      </c>
      <c r="H62" s="427"/>
      <c r="I62" s="426"/>
      <c r="J62" s="427">
        <v>554</v>
      </c>
      <c r="K62" s="426">
        <v>706</v>
      </c>
      <c r="L62" s="458">
        <f t="shared" si="24"/>
        <v>0</v>
      </c>
      <c r="M62" s="449">
        <f t="shared" si="25"/>
        <v>0</v>
      </c>
      <c r="N62" s="428"/>
      <c r="O62" s="428"/>
      <c r="P62" s="428"/>
      <c r="Q62" s="428"/>
      <c r="R62" s="460">
        <f t="shared" si="2"/>
        <v>0</v>
      </c>
      <c r="S62" s="461"/>
      <c r="T62" s="429"/>
      <c r="U62" s="429"/>
      <c r="V62" s="429"/>
      <c r="W62" s="462">
        <f t="shared" si="3"/>
        <v>0</v>
      </c>
      <c r="X62" s="430"/>
      <c r="Y62" s="427"/>
      <c r="Z62" s="431"/>
      <c r="AA62" s="431"/>
      <c r="AB62" s="432"/>
      <c r="AC62" s="427"/>
      <c r="AD62" s="431"/>
      <c r="AE62" s="433"/>
      <c r="AF62" s="432"/>
      <c r="AG62" s="427"/>
      <c r="AH62" s="431"/>
      <c r="AI62" s="433"/>
      <c r="AJ62" s="432"/>
      <c r="AK62" s="427"/>
      <c r="AL62" s="431"/>
      <c r="AM62" s="433"/>
      <c r="AN62" s="432"/>
      <c r="AO62" s="427"/>
      <c r="AP62" s="431"/>
      <c r="AQ62" s="431"/>
      <c r="AR62" s="460">
        <f t="shared" si="26"/>
        <v>0</v>
      </c>
      <c r="AS62" s="467">
        <f t="shared" si="27"/>
        <v>0</v>
      </c>
      <c r="AT62" s="447">
        <f t="shared" si="28"/>
        <v>0</v>
      </c>
      <c r="AU62" s="448">
        <f t="shared" si="29"/>
        <v>0</v>
      </c>
      <c r="AV62" s="427"/>
      <c r="AW62" s="628"/>
      <c r="AX62" s="430"/>
      <c r="AY62" s="427"/>
      <c r="AZ62" s="431"/>
      <c r="BA62" s="431"/>
      <c r="BB62" s="432"/>
      <c r="BC62" s="427"/>
      <c r="BD62" s="431"/>
      <c r="BE62" s="433"/>
      <c r="BF62" s="432"/>
      <c r="BG62" s="427"/>
      <c r="BH62" s="431"/>
      <c r="BI62" s="433"/>
      <c r="BJ62" s="432"/>
      <c r="BK62" s="427"/>
      <c r="BL62" s="431"/>
      <c r="BM62" s="433"/>
      <c r="BN62" s="432"/>
      <c r="BO62" s="427"/>
      <c r="BP62" s="431"/>
      <c r="BQ62" s="433"/>
      <c r="BR62" s="432"/>
      <c r="BS62" s="427"/>
      <c r="BT62" s="392"/>
      <c r="BU62" s="392"/>
      <c r="BV62" s="432"/>
      <c r="BW62" s="427"/>
      <c r="BX62" s="431"/>
      <c r="BY62" s="433"/>
      <c r="BZ62" s="432"/>
      <c r="CA62" s="427"/>
      <c r="CB62" s="431"/>
      <c r="CC62" s="433"/>
      <c r="CD62" s="432"/>
      <c r="CE62" s="427"/>
      <c r="CF62" s="431"/>
      <c r="CG62" s="433"/>
      <c r="CH62" s="432"/>
      <c r="CI62" s="427"/>
      <c r="CJ62" s="431"/>
      <c r="CK62" s="433"/>
      <c r="CL62" s="428"/>
      <c r="CM62" s="426"/>
      <c r="CN62" s="468">
        <f t="shared" si="30"/>
        <v>0</v>
      </c>
      <c r="CO62" s="468">
        <f t="shared" si="31"/>
        <v>0</v>
      </c>
      <c r="CP62" s="469">
        <f t="shared" si="32"/>
        <v>0</v>
      </c>
      <c r="CQ62" s="469">
        <f t="shared" si="33"/>
        <v>0</v>
      </c>
      <c r="CR62" s="430"/>
      <c r="CS62" s="427"/>
      <c r="CT62" s="431"/>
      <c r="CU62" s="431"/>
      <c r="CV62" s="432"/>
      <c r="CW62" s="427"/>
      <c r="CX62" s="431"/>
      <c r="CY62" s="433"/>
      <c r="CZ62" s="432"/>
      <c r="DA62" s="427"/>
      <c r="DB62" s="431"/>
      <c r="DC62" s="433"/>
      <c r="DD62" s="432"/>
      <c r="DE62" s="427"/>
      <c r="DF62" s="431"/>
      <c r="DG62" s="433"/>
      <c r="DH62" s="432"/>
      <c r="DI62" s="427"/>
      <c r="DJ62" s="431"/>
      <c r="DK62" s="433"/>
      <c r="DL62" s="432"/>
      <c r="DM62" s="427"/>
      <c r="DN62" s="431"/>
      <c r="DO62" s="433"/>
      <c r="DP62" s="432"/>
      <c r="DQ62" s="427"/>
      <c r="DR62" s="431"/>
      <c r="DS62" s="433"/>
      <c r="DT62" s="432"/>
      <c r="DU62" s="427"/>
      <c r="DV62" s="431"/>
      <c r="DW62" s="433"/>
      <c r="DX62" s="432"/>
      <c r="DY62" s="427"/>
      <c r="DZ62" s="431"/>
      <c r="EA62" s="433"/>
      <c r="EB62" s="432"/>
      <c r="EC62" s="427"/>
      <c r="ED62" s="431"/>
      <c r="EE62" s="433"/>
      <c r="EF62" s="428"/>
      <c r="EG62" s="628"/>
      <c r="EH62" s="460">
        <f t="shared" si="34"/>
        <v>0</v>
      </c>
      <c r="EI62" s="460">
        <f t="shared" si="35"/>
        <v>0</v>
      </c>
      <c r="EJ62" s="458">
        <f t="shared" si="36"/>
        <v>0</v>
      </c>
      <c r="EK62" s="470">
        <f t="shared" si="37"/>
        <v>0</v>
      </c>
      <c r="EL62" s="470">
        <f t="shared" si="38"/>
        <v>0</v>
      </c>
      <c r="EM62" s="449">
        <f t="shared" si="39"/>
        <v>0</v>
      </c>
      <c r="EN62" s="460">
        <f t="shared" si="40"/>
        <v>0</v>
      </c>
      <c r="EO62" s="469">
        <f t="shared" si="41"/>
        <v>0</v>
      </c>
      <c r="EP62" s="434"/>
      <c r="EQ62" s="426"/>
      <c r="ER62" s="434"/>
      <c r="ES62" s="426"/>
      <c r="ET62" s="434"/>
      <c r="EU62" s="426"/>
      <c r="EV62" s="434"/>
      <c r="EW62" s="426"/>
      <c r="EX62" s="434"/>
      <c r="EY62" s="426"/>
      <c r="EZ62" s="434"/>
      <c r="FA62" s="426"/>
      <c r="FB62" s="434"/>
      <c r="FC62" s="426"/>
      <c r="FD62" s="434"/>
      <c r="FE62" s="426"/>
      <c r="FF62" s="434"/>
      <c r="FG62" s="426"/>
      <c r="FH62" s="435"/>
      <c r="FI62" s="426"/>
      <c r="FJ62" s="468">
        <f t="shared" si="42"/>
        <v>0</v>
      </c>
      <c r="FK62" s="469">
        <f t="shared" si="43"/>
        <v>0</v>
      </c>
      <c r="FL62" s="435"/>
      <c r="FM62" s="426"/>
      <c r="FN62" s="460">
        <f t="shared" si="44"/>
        <v>1140</v>
      </c>
      <c r="FO62" s="469">
        <f t="shared" si="45"/>
        <v>1235</v>
      </c>
    </row>
    <row r="63" spans="1:173" x14ac:dyDescent="0.2">
      <c r="A63" s="734" t="s">
        <v>980</v>
      </c>
      <c r="B63" s="666" t="s">
        <v>994</v>
      </c>
      <c r="C63" s="667"/>
      <c r="D63" s="475">
        <v>106980</v>
      </c>
      <c r="E63" s="475">
        <v>9</v>
      </c>
      <c r="F63" s="457">
        <v>222</v>
      </c>
      <c r="G63" s="628">
        <v>185</v>
      </c>
      <c r="H63" s="427"/>
      <c r="I63" s="426"/>
      <c r="J63" s="427">
        <v>408</v>
      </c>
      <c r="K63" s="426">
        <v>482</v>
      </c>
      <c r="L63" s="458">
        <f t="shared" si="24"/>
        <v>0</v>
      </c>
      <c r="M63" s="449">
        <f t="shared" si="25"/>
        <v>0</v>
      </c>
      <c r="N63" s="428"/>
      <c r="O63" s="428"/>
      <c r="P63" s="428"/>
      <c r="Q63" s="428"/>
      <c r="R63" s="460">
        <f t="shared" si="2"/>
        <v>0</v>
      </c>
      <c r="S63" s="461"/>
      <c r="T63" s="429"/>
      <c r="U63" s="429"/>
      <c r="V63" s="429"/>
      <c r="W63" s="462">
        <f t="shared" si="3"/>
        <v>0</v>
      </c>
      <c r="X63" s="430"/>
      <c r="Y63" s="427"/>
      <c r="Z63" s="431"/>
      <c r="AA63" s="431"/>
      <c r="AB63" s="432"/>
      <c r="AC63" s="427"/>
      <c r="AD63" s="431"/>
      <c r="AE63" s="433"/>
      <c r="AF63" s="432"/>
      <c r="AG63" s="427"/>
      <c r="AH63" s="431"/>
      <c r="AI63" s="433"/>
      <c r="AJ63" s="432"/>
      <c r="AK63" s="427"/>
      <c r="AL63" s="431"/>
      <c r="AM63" s="433"/>
      <c r="AN63" s="432"/>
      <c r="AO63" s="427"/>
      <c r="AP63" s="431"/>
      <c r="AQ63" s="431"/>
      <c r="AR63" s="460">
        <f t="shared" si="26"/>
        <v>0</v>
      </c>
      <c r="AS63" s="467">
        <f t="shared" si="27"/>
        <v>0</v>
      </c>
      <c r="AT63" s="447">
        <f t="shared" si="28"/>
        <v>0</v>
      </c>
      <c r="AU63" s="448">
        <f t="shared" si="29"/>
        <v>0</v>
      </c>
      <c r="AV63" s="427"/>
      <c r="AW63" s="628"/>
      <c r="AX63" s="430"/>
      <c r="AY63" s="427"/>
      <c r="AZ63" s="431"/>
      <c r="BA63" s="431"/>
      <c r="BB63" s="432"/>
      <c r="BC63" s="427"/>
      <c r="BD63" s="431"/>
      <c r="BE63" s="433"/>
      <c r="BF63" s="432"/>
      <c r="BG63" s="427"/>
      <c r="BH63" s="431"/>
      <c r="BI63" s="433"/>
      <c r="BJ63" s="432"/>
      <c r="BK63" s="427"/>
      <c r="BL63" s="431"/>
      <c r="BM63" s="433"/>
      <c r="BN63" s="432"/>
      <c r="BO63" s="427"/>
      <c r="BP63" s="431"/>
      <c r="BQ63" s="433"/>
      <c r="BR63" s="432"/>
      <c r="BS63" s="427"/>
      <c r="BT63" s="392"/>
      <c r="BU63" s="392"/>
      <c r="BV63" s="432"/>
      <c r="BW63" s="427"/>
      <c r="BX63" s="431"/>
      <c r="BY63" s="433"/>
      <c r="BZ63" s="432"/>
      <c r="CA63" s="427"/>
      <c r="CB63" s="431"/>
      <c r="CC63" s="433"/>
      <c r="CD63" s="432"/>
      <c r="CE63" s="427"/>
      <c r="CF63" s="431"/>
      <c r="CG63" s="433"/>
      <c r="CH63" s="432"/>
      <c r="CI63" s="427"/>
      <c r="CJ63" s="431"/>
      <c r="CK63" s="433"/>
      <c r="CL63" s="428"/>
      <c r="CM63" s="426"/>
      <c r="CN63" s="468">
        <f t="shared" si="30"/>
        <v>0</v>
      </c>
      <c r="CO63" s="468">
        <f t="shared" si="31"/>
        <v>0</v>
      </c>
      <c r="CP63" s="469">
        <f t="shared" si="32"/>
        <v>0</v>
      </c>
      <c r="CQ63" s="469">
        <f t="shared" si="33"/>
        <v>0</v>
      </c>
      <c r="CR63" s="430"/>
      <c r="CS63" s="427"/>
      <c r="CT63" s="431"/>
      <c r="CU63" s="431"/>
      <c r="CV63" s="432"/>
      <c r="CW63" s="427"/>
      <c r="CX63" s="431"/>
      <c r="CY63" s="433"/>
      <c r="CZ63" s="432"/>
      <c r="DA63" s="427"/>
      <c r="DB63" s="431"/>
      <c r="DC63" s="433"/>
      <c r="DD63" s="432"/>
      <c r="DE63" s="427"/>
      <c r="DF63" s="431"/>
      <c r="DG63" s="433"/>
      <c r="DH63" s="432"/>
      <c r="DI63" s="427"/>
      <c r="DJ63" s="431"/>
      <c r="DK63" s="433"/>
      <c r="DL63" s="432"/>
      <c r="DM63" s="427"/>
      <c r="DN63" s="431"/>
      <c r="DO63" s="433"/>
      <c r="DP63" s="432"/>
      <c r="DQ63" s="427"/>
      <c r="DR63" s="431"/>
      <c r="DS63" s="433"/>
      <c r="DT63" s="432"/>
      <c r="DU63" s="427"/>
      <c r="DV63" s="431"/>
      <c r="DW63" s="433"/>
      <c r="DX63" s="432"/>
      <c r="DY63" s="427"/>
      <c r="DZ63" s="431"/>
      <c r="EA63" s="433"/>
      <c r="EB63" s="432"/>
      <c r="EC63" s="427"/>
      <c r="ED63" s="431"/>
      <c r="EE63" s="433"/>
      <c r="EF63" s="428"/>
      <c r="EG63" s="628"/>
      <c r="EH63" s="460">
        <f t="shared" si="34"/>
        <v>0</v>
      </c>
      <c r="EI63" s="460">
        <f t="shared" si="35"/>
        <v>0</v>
      </c>
      <c r="EJ63" s="458">
        <f t="shared" si="36"/>
        <v>0</v>
      </c>
      <c r="EK63" s="470">
        <f t="shared" si="37"/>
        <v>0</v>
      </c>
      <c r="EL63" s="470">
        <f t="shared" si="38"/>
        <v>0</v>
      </c>
      <c r="EM63" s="449">
        <f t="shared" si="39"/>
        <v>0</v>
      </c>
      <c r="EN63" s="460">
        <f t="shared" si="40"/>
        <v>0</v>
      </c>
      <c r="EO63" s="469">
        <f t="shared" si="41"/>
        <v>0</v>
      </c>
      <c r="EP63" s="434"/>
      <c r="EQ63" s="426"/>
      <c r="ER63" s="434"/>
      <c r="ES63" s="426"/>
      <c r="ET63" s="434"/>
      <c r="EU63" s="426"/>
      <c r="EV63" s="434"/>
      <c r="EW63" s="426"/>
      <c r="EX63" s="434"/>
      <c r="EY63" s="426"/>
      <c r="EZ63" s="434"/>
      <c r="FA63" s="426"/>
      <c r="FB63" s="434"/>
      <c r="FC63" s="426"/>
      <c r="FD63" s="434"/>
      <c r="FE63" s="426"/>
      <c r="FF63" s="434"/>
      <c r="FG63" s="426"/>
      <c r="FH63" s="435"/>
      <c r="FI63" s="426"/>
      <c r="FJ63" s="468">
        <f t="shared" si="42"/>
        <v>0</v>
      </c>
      <c r="FK63" s="469">
        <f t="shared" si="43"/>
        <v>0</v>
      </c>
      <c r="FL63" s="435"/>
      <c r="FM63" s="426"/>
      <c r="FN63" s="460">
        <f t="shared" si="44"/>
        <v>630</v>
      </c>
      <c r="FO63" s="469">
        <f t="shared" si="45"/>
        <v>667</v>
      </c>
    </row>
    <row r="64" spans="1:173" x14ac:dyDescent="0.2">
      <c r="A64" s="734" t="s">
        <v>980</v>
      </c>
      <c r="B64" s="664" t="s">
        <v>995</v>
      </c>
      <c r="C64" s="665"/>
      <c r="D64" s="531">
        <v>107327</v>
      </c>
      <c r="E64" s="531">
        <v>10</v>
      </c>
      <c r="F64" s="457">
        <v>210</v>
      </c>
      <c r="G64" s="628">
        <v>249</v>
      </c>
      <c r="H64" s="427"/>
      <c r="I64" s="426"/>
      <c r="J64" s="427">
        <v>283</v>
      </c>
      <c r="K64" s="426">
        <v>184</v>
      </c>
      <c r="L64" s="458">
        <f t="shared" si="24"/>
        <v>0</v>
      </c>
      <c r="M64" s="449">
        <f t="shared" si="25"/>
        <v>0</v>
      </c>
      <c r="N64" s="428"/>
      <c r="O64" s="428"/>
      <c r="P64" s="428"/>
      <c r="Q64" s="428"/>
      <c r="R64" s="460">
        <f t="shared" si="2"/>
        <v>0</v>
      </c>
      <c r="S64" s="461"/>
      <c r="T64" s="429"/>
      <c r="U64" s="429"/>
      <c r="V64" s="429"/>
      <c r="W64" s="462">
        <f t="shared" si="3"/>
        <v>0</v>
      </c>
      <c r="X64" s="430"/>
      <c r="Y64" s="427"/>
      <c r="Z64" s="431"/>
      <c r="AA64" s="431"/>
      <c r="AB64" s="432"/>
      <c r="AC64" s="427"/>
      <c r="AD64" s="431"/>
      <c r="AE64" s="433"/>
      <c r="AF64" s="432"/>
      <c r="AG64" s="427"/>
      <c r="AH64" s="431"/>
      <c r="AI64" s="433"/>
      <c r="AJ64" s="432"/>
      <c r="AK64" s="427"/>
      <c r="AL64" s="431"/>
      <c r="AM64" s="433"/>
      <c r="AN64" s="432"/>
      <c r="AO64" s="427"/>
      <c r="AP64" s="431"/>
      <c r="AQ64" s="431"/>
      <c r="AR64" s="460">
        <f t="shared" si="26"/>
        <v>0</v>
      </c>
      <c r="AS64" s="467">
        <f t="shared" si="27"/>
        <v>0</v>
      </c>
      <c r="AT64" s="447">
        <f t="shared" si="28"/>
        <v>0</v>
      </c>
      <c r="AU64" s="448">
        <f t="shared" si="29"/>
        <v>0</v>
      </c>
      <c r="AV64" s="427"/>
      <c r="AW64" s="628"/>
      <c r="AX64" s="430"/>
      <c r="AY64" s="427"/>
      <c r="AZ64" s="431"/>
      <c r="BA64" s="431"/>
      <c r="BB64" s="432"/>
      <c r="BC64" s="427"/>
      <c r="BD64" s="431"/>
      <c r="BE64" s="433"/>
      <c r="BF64" s="432"/>
      <c r="BG64" s="427"/>
      <c r="BH64" s="431"/>
      <c r="BI64" s="433"/>
      <c r="BJ64" s="432"/>
      <c r="BK64" s="427"/>
      <c r="BL64" s="431"/>
      <c r="BM64" s="433"/>
      <c r="BN64" s="432"/>
      <c r="BO64" s="427"/>
      <c r="BP64" s="431"/>
      <c r="BQ64" s="433"/>
      <c r="BR64" s="432"/>
      <c r="BS64" s="427"/>
      <c r="BT64" s="392"/>
      <c r="BU64" s="392"/>
      <c r="BV64" s="432"/>
      <c r="BW64" s="427"/>
      <c r="BX64" s="431"/>
      <c r="BY64" s="433"/>
      <c r="BZ64" s="432"/>
      <c r="CA64" s="427"/>
      <c r="CB64" s="431"/>
      <c r="CC64" s="433"/>
      <c r="CD64" s="432"/>
      <c r="CE64" s="427"/>
      <c r="CF64" s="431"/>
      <c r="CG64" s="433"/>
      <c r="CH64" s="432"/>
      <c r="CI64" s="427"/>
      <c r="CJ64" s="431"/>
      <c r="CK64" s="433"/>
      <c r="CL64" s="428"/>
      <c r="CM64" s="426"/>
      <c r="CN64" s="468">
        <f t="shared" si="30"/>
        <v>0</v>
      </c>
      <c r="CO64" s="468">
        <f t="shared" si="31"/>
        <v>0</v>
      </c>
      <c r="CP64" s="469">
        <f t="shared" si="32"/>
        <v>0</v>
      </c>
      <c r="CQ64" s="469">
        <f t="shared" si="33"/>
        <v>0</v>
      </c>
      <c r="CR64" s="430"/>
      <c r="CS64" s="427"/>
      <c r="CT64" s="431"/>
      <c r="CU64" s="431"/>
      <c r="CV64" s="432"/>
      <c r="CW64" s="427"/>
      <c r="CX64" s="431"/>
      <c r="CY64" s="433"/>
      <c r="CZ64" s="432"/>
      <c r="DA64" s="427"/>
      <c r="DB64" s="431"/>
      <c r="DC64" s="433"/>
      <c r="DD64" s="432"/>
      <c r="DE64" s="427"/>
      <c r="DF64" s="431"/>
      <c r="DG64" s="433"/>
      <c r="DH64" s="432"/>
      <c r="DI64" s="427"/>
      <c r="DJ64" s="431"/>
      <c r="DK64" s="433"/>
      <c r="DL64" s="432"/>
      <c r="DM64" s="427"/>
      <c r="DN64" s="431"/>
      <c r="DO64" s="433"/>
      <c r="DP64" s="432"/>
      <c r="DQ64" s="427"/>
      <c r="DR64" s="431"/>
      <c r="DS64" s="433"/>
      <c r="DT64" s="432"/>
      <c r="DU64" s="427"/>
      <c r="DV64" s="431"/>
      <c r="DW64" s="433"/>
      <c r="DX64" s="432"/>
      <c r="DY64" s="427"/>
      <c r="DZ64" s="431"/>
      <c r="EA64" s="433"/>
      <c r="EB64" s="432"/>
      <c r="EC64" s="427"/>
      <c r="ED64" s="431"/>
      <c r="EE64" s="433"/>
      <c r="EF64" s="428"/>
      <c r="EG64" s="426"/>
      <c r="EH64" s="460">
        <f t="shared" si="34"/>
        <v>0</v>
      </c>
      <c r="EI64" s="460">
        <f t="shared" si="35"/>
        <v>0</v>
      </c>
      <c r="EJ64" s="458">
        <f t="shared" si="36"/>
        <v>0</v>
      </c>
      <c r="EK64" s="470">
        <f t="shared" si="37"/>
        <v>0</v>
      </c>
      <c r="EL64" s="470">
        <f t="shared" si="38"/>
        <v>0</v>
      </c>
      <c r="EM64" s="449">
        <f t="shared" si="39"/>
        <v>0</v>
      </c>
      <c r="EN64" s="460">
        <f t="shared" si="40"/>
        <v>0</v>
      </c>
      <c r="EO64" s="469">
        <f t="shared" si="41"/>
        <v>0</v>
      </c>
      <c r="EP64" s="434"/>
      <c r="EQ64" s="426"/>
      <c r="ER64" s="434"/>
      <c r="ES64" s="426"/>
      <c r="ET64" s="434"/>
      <c r="EU64" s="426"/>
      <c r="EV64" s="434"/>
      <c r="EW64" s="426"/>
      <c r="EX64" s="434"/>
      <c r="EY64" s="426"/>
      <c r="EZ64" s="434"/>
      <c r="FA64" s="426"/>
      <c r="FB64" s="434"/>
      <c r="FC64" s="426"/>
      <c r="FD64" s="434"/>
      <c r="FE64" s="426"/>
      <c r="FF64" s="434"/>
      <c r="FG64" s="426"/>
      <c r="FH64" s="435"/>
      <c r="FI64" s="426"/>
      <c r="FJ64" s="468">
        <f t="shared" si="42"/>
        <v>0</v>
      </c>
      <c r="FK64" s="469">
        <f t="shared" si="43"/>
        <v>0</v>
      </c>
      <c r="FL64" s="435"/>
      <c r="FM64" s="426"/>
      <c r="FN64" s="460">
        <f t="shared" si="44"/>
        <v>493</v>
      </c>
      <c r="FO64" s="469">
        <f t="shared" si="45"/>
        <v>433</v>
      </c>
    </row>
    <row r="65" spans="1:171" x14ac:dyDescent="0.2">
      <c r="A65" s="734" t="s">
        <v>980</v>
      </c>
      <c r="B65" s="664" t="s">
        <v>996</v>
      </c>
      <c r="C65" s="665"/>
      <c r="D65" s="531">
        <v>420538</v>
      </c>
      <c r="E65" s="531">
        <v>10</v>
      </c>
      <c r="F65" s="457">
        <v>335</v>
      </c>
      <c r="G65" s="628">
        <v>303</v>
      </c>
      <c r="H65" s="427"/>
      <c r="I65" s="426"/>
      <c r="J65" s="427">
        <v>244</v>
      </c>
      <c r="K65" s="426">
        <v>268</v>
      </c>
      <c r="L65" s="458">
        <f t="shared" si="24"/>
        <v>0</v>
      </c>
      <c r="M65" s="449">
        <f t="shared" si="25"/>
        <v>0</v>
      </c>
      <c r="N65" s="428"/>
      <c r="O65" s="428"/>
      <c r="P65" s="428"/>
      <c r="Q65" s="428"/>
      <c r="R65" s="460">
        <f t="shared" si="2"/>
        <v>0</v>
      </c>
      <c r="S65" s="461"/>
      <c r="T65" s="429"/>
      <c r="U65" s="429"/>
      <c r="V65" s="429"/>
      <c r="W65" s="462">
        <f t="shared" si="3"/>
        <v>0</v>
      </c>
      <c r="X65" s="430"/>
      <c r="Y65" s="427"/>
      <c r="Z65" s="431"/>
      <c r="AA65" s="431"/>
      <c r="AB65" s="432"/>
      <c r="AC65" s="427"/>
      <c r="AD65" s="431"/>
      <c r="AE65" s="433"/>
      <c r="AF65" s="432"/>
      <c r="AG65" s="427"/>
      <c r="AH65" s="431"/>
      <c r="AI65" s="433"/>
      <c r="AJ65" s="432"/>
      <c r="AK65" s="427"/>
      <c r="AL65" s="431"/>
      <c r="AM65" s="433"/>
      <c r="AN65" s="432"/>
      <c r="AO65" s="427"/>
      <c r="AP65" s="431"/>
      <c r="AQ65" s="431"/>
      <c r="AR65" s="460">
        <f t="shared" si="26"/>
        <v>0</v>
      </c>
      <c r="AS65" s="467">
        <f t="shared" si="27"/>
        <v>0</v>
      </c>
      <c r="AT65" s="447">
        <f t="shared" si="28"/>
        <v>0</v>
      </c>
      <c r="AU65" s="448">
        <f t="shared" si="29"/>
        <v>0</v>
      </c>
      <c r="AV65" s="427"/>
      <c r="AW65" s="628"/>
      <c r="AX65" s="430"/>
      <c r="AY65" s="427"/>
      <c r="AZ65" s="431"/>
      <c r="BA65" s="431"/>
      <c r="BB65" s="432"/>
      <c r="BC65" s="427"/>
      <c r="BD65" s="431"/>
      <c r="BE65" s="433"/>
      <c r="BF65" s="432"/>
      <c r="BG65" s="427"/>
      <c r="BH65" s="431"/>
      <c r="BI65" s="433"/>
      <c r="BJ65" s="432"/>
      <c r="BK65" s="427"/>
      <c r="BL65" s="431"/>
      <c r="BM65" s="433"/>
      <c r="BN65" s="432"/>
      <c r="BO65" s="427"/>
      <c r="BP65" s="431"/>
      <c r="BQ65" s="433"/>
      <c r="BR65" s="432"/>
      <c r="BS65" s="427"/>
      <c r="BT65" s="392"/>
      <c r="BU65" s="392"/>
      <c r="BV65" s="432"/>
      <c r="BW65" s="427"/>
      <c r="BX65" s="431"/>
      <c r="BY65" s="433"/>
      <c r="BZ65" s="432"/>
      <c r="CA65" s="427"/>
      <c r="CB65" s="431"/>
      <c r="CC65" s="433"/>
      <c r="CD65" s="432"/>
      <c r="CE65" s="427"/>
      <c r="CF65" s="431"/>
      <c r="CG65" s="433"/>
      <c r="CH65" s="432"/>
      <c r="CI65" s="427"/>
      <c r="CJ65" s="431"/>
      <c r="CK65" s="433"/>
      <c r="CL65" s="428"/>
      <c r="CM65" s="426"/>
      <c r="CN65" s="468">
        <f t="shared" si="30"/>
        <v>0</v>
      </c>
      <c r="CO65" s="468">
        <f t="shared" si="31"/>
        <v>0</v>
      </c>
      <c r="CP65" s="469">
        <f t="shared" si="32"/>
        <v>0</v>
      </c>
      <c r="CQ65" s="469">
        <f t="shared" si="33"/>
        <v>0</v>
      </c>
      <c r="CR65" s="430"/>
      <c r="CS65" s="427"/>
      <c r="CT65" s="431"/>
      <c r="CU65" s="431"/>
      <c r="CV65" s="432"/>
      <c r="CW65" s="427"/>
      <c r="CX65" s="431"/>
      <c r="CY65" s="433"/>
      <c r="CZ65" s="432"/>
      <c r="DA65" s="427"/>
      <c r="DB65" s="431"/>
      <c r="DC65" s="433"/>
      <c r="DD65" s="432"/>
      <c r="DE65" s="427"/>
      <c r="DF65" s="431"/>
      <c r="DG65" s="433"/>
      <c r="DH65" s="432"/>
      <c r="DI65" s="427"/>
      <c r="DJ65" s="431"/>
      <c r="DK65" s="433"/>
      <c r="DL65" s="432"/>
      <c r="DM65" s="427"/>
      <c r="DN65" s="431"/>
      <c r="DO65" s="433"/>
      <c r="DP65" s="432"/>
      <c r="DQ65" s="427"/>
      <c r="DR65" s="431"/>
      <c r="DS65" s="433"/>
      <c r="DT65" s="432"/>
      <c r="DU65" s="427"/>
      <c r="DV65" s="431"/>
      <c r="DW65" s="433"/>
      <c r="DX65" s="432"/>
      <c r="DY65" s="427"/>
      <c r="DZ65" s="431"/>
      <c r="EA65" s="433"/>
      <c r="EB65" s="432"/>
      <c r="EC65" s="427"/>
      <c r="ED65" s="431"/>
      <c r="EE65" s="433"/>
      <c r="EF65" s="428"/>
      <c r="EG65" s="426"/>
      <c r="EH65" s="460">
        <f t="shared" si="34"/>
        <v>0</v>
      </c>
      <c r="EI65" s="460">
        <f t="shared" si="35"/>
        <v>0</v>
      </c>
      <c r="EJ65" s="458">
        <f t="shared" si="36"/>
        <v>0</v>
      </c>
      <c r="EK65" s="470">
        <f t="shared" si="37"/>
        <v>0</v>
      </c>
      <c r="EL65" s="470">
        <f t="shared" si="38"/>
        <v>0</v>
      </c>
      <c r="EM65" s="449">
        <f t="shared" si="39"/>
        <v>0</v>
      </c>
      <c r="EN65" s="460">
        <f t="shared" si="40"/>
        <v>0</v>
      </c>
      <c r="EO65" s="469">
        <f t="shared" si="41"/>
        <v>0</v>
      </c>
      <c r="EP65" s="434"/>
      <c r="EQ65" s="426"/>
      <c r="ER65" s="434"/>
      <c r="ES65" s="426"/>
      <c r="ET65" s="434"/>
      <c r="EU65" s="426"/>
      <c r="EV65" s="434"/>
      <c r="EW65" s="426"/>
      <c r="EX65" s="434"/>
      <c r="EY65" s="426"/>
      <c r="EZ65" s="434"/>
      <c r="FA65" s="426"/>
      <c r="FB65" s="434"/>
      <c r="FC65" s="426"/>
      <c r="FD65" s="434"/>
      <c r="FE65" s="426"/>
      <c r="FF65" s="434"/>
      <c r="FG65" s="426"/>
      <c r="FH65" s="435"/>
      <c r="FI65" s="426"/>
      <c r="FJ65" s="468">
        <f t="shared" si="42"/>
        <v>0</v>
      </c>
      <c r="FK65" s="469">
        <f t="shared" si="43"/>
        <v>0</v>
      </c>
      <c r="FL65" s="435"/>
      <c r="FM65" s="426"/>
      <c r="FN65" s="460">
        <f t="shared" si="44"/>
        <v>579</v>
      </c>
      <c r="FO65" s="469">
        <f t="shared" si="45"/>
        <v>571</v>
      </c>
    </row>
    <row r="66" spans="1:171" x14ac:dyDescent="0.2">
      <c r="A66" s="734" t="s">
        <v>980</v>
      </c>
      <c r="B66" s="664" t="s">
        <v>997</v>
      </c>
      <c r="C66" s="665"/>
      <c r="D66" s="531">
        <v>440402</v>
      </c>
      <c r="E66" s="531">
        <v>10</v>
      </c>
      <c r="F66" s="457">
        <v>434</v>
      </c>
      <c r="G66" s="628">
        <v>541</v>
      </c>
      <c r="H66" s="427"/>
      <c r="I66" s="426"/>
      <c r="J66" s="427">
        <v>137</v>
      </c>
      <c r="K66" s="426">
        <v>189</v>
      </c>
      <c r="L66" s="458">
        <f t="shared" si="24"/>
        <v>0</v>
      </c>
      <c r="M66" s="449">
        <f t="shared" si="25"/>
        <v>0</v>
      </c>
      <c r="N66" s="428"/>
      <c r="O66" s="428"/>
      <c r="P66" s="428"/>
      <c r="Q66" s="428"/>
      <c r="R66" s="460">
        <f t="shared" si="2"/>
        <v>0</v>
      </c>
      <c r="S66" s="461"/>
      <c r="T66" s="429"/>
      <c r="U66" s="429"/>
      <c r="V66" s="429"/>
      <c r="W66" s="462">
        <f t="shared" si="3"/>
        <v>0</v>
      </c>
      <c r="X66" s="430"/>
      <c r="Y66" s="427"/>
      <c r="Z66" s="431"/>
      <c r="AA66" s="431"/>
      <c r="AB66" s="432"/>
      <c r="AC66" s="427"/>
      <c r="AD66" s="431"/>
      <c r="AE66" s="433"/>
      <c r="AF66" s="432"/>
      <c r="AG66" s="427"/>
      <c r="AH66" s="431"/>
      <c r="AI66" s="433"/>
      <c r="AJ66" s="432"/>
      <c r="AK66" s="427"/>
      <c r="AL66" s="431"/>
      <c r="AM66" s="433"/>
      <c r="AN66" s="432"/>
      <c r="AO66" s="427"/>
      <c r="AP66" s="431"/>
      <c r="AQ66" s="431"/>
      <c r="AR66" s="460">
        <f t="shared" si="26"/>
        <v>0</v>
      </c>
      <c r="AS66" s="467">
        <f t="shared" si="27"/>
        <v>0</v>
      </c>
      <c r="AT66" s="447">
        <f t="shared" si="28"/>
        <v>0</v>
      </c>
      <c r="AU66" s="448">
        <f t="shared" si="29"/>
        <v>0</v>
      </c>
      <c r="AV66" s="427"/>
      <c r="AW66" s="628"/>
      <c r="AX66" s="430"/>
      <c r="AY66" s="427"/>
      <c r="AZ66" s="431"/>
      <c r="BA66" s="431"/>
      <c r="BB66" s="432"/>
      <c r="BC66" s="427"/>
      <c r="BD66" s="431"/>
      <c r="BE66" s="433"/>
      <c r="BF66" s="432"/>
      <c r="BG66" s="427"/>
      <c r="BH66" s="431"/>
      <c r="BI66" s="433"/>
      <c r="BJ66" s="432"/>
      <c r="BK66" s="427"/>
      <c r="BL66" s="431"/>
      <c r="BM66" s="433"/>
      <c r="BN66" s="432"/>
      <c r="BO66" s="427"/>
      <c r="BP66" s="431"/>
      <c r="BQ66" s="433"/>
      <c r="BR66" s="432"/>
      <c r="BS66" s="427"/>
      <c r="BT66" s="392"/>
      <c r="BU66" s="392"/>
      <c r="BV66" s="432"/>
      <c r="BW66" s="427"/>
      <c r="BX66" s="431"/>
      <c r="BY66" s="433"/>
      <c r="BZ66" s="432"/>
      <c r="CA66" s="427"/>
      <c r="CB66" s="431"/>
      <c r="CC66" s="433"/>
      <c r="CD66" s="432"/>
      <c r="CE66" s="427"/>
      <c r="CF66" s="431"/>
      <c r="CG66" s="433"/>
      <c r="CH66" s="432"/>
      <c r="CI66" s="427"/>
      <c r="CJ66" s="431"/>
      <c r="CK66" s="433"/>
      <c r="CL66" s="428"/>
      <c r="CM66" s="426"/>
      <c r="CN66" s="468">
        <f t="shared" si="30"/>
        <v>0</v>
      </c>
      <c r="CO66" s="468">
        <f t="shared" si="31"/>
        <v>0</v>
      </c>
      <c r="CP66" s="469">
        <f t="shared" si="32"/>
        <v>0</v>
      </c>
      <c r="CQ66" s="469">
        <f t="shared" si="33"/>
        <v>0</v>
      </c>
      <c r="CR66" s="430"/>
      <c r="CS66" s="427"/>
      <c r="CT66" s="431"/>
      <c r="CU66" s="431"/>
      <c r="CV66" s="432"/>
      <c r="CW66" s="427"/>
      <c r="CX66" s="431"/>
      <c r="CY66" s="433"/>
      <c r="CZ66" s="432"/>
      <c r="DA66" s="427"/>
      <c r="DB66" s="431"/>
      <c r="DC66" s="433"/>
      <c r="DD66" s="432"/>
      <c r="DE66" s="427"/>
      <c r="DF66" s="431"/>
      <c r="DG66" s="433"/>
      <c r="DH66" s="432"/>
      <c r="DI66" s="427"/>
      <c r="DJ66" s="431"/>
      <c r="DK66" s="433"/>
      <c r="DL66" s="432"/>
      <c r="DM66" s="427"/>
      <c r="DN66" s="431"/>
      <c r="DO66" s="433"/>
      <c r="DP66" s="432"/>
      <c r="DQ66" s="427"/>
      <c r="DR66" s="431"/>
      <c r="DS66" s="433"/>
      <c r="DT66" s="432"/>
      <c r="DU66" s="427"/>
      <c r="DV66" s="431"/>
      <c r="DW66" s="433"/>
      <c r="DX66" s="432"/>
      <c r="DY66" s="427"/>
      <c r="DZ66" s="431"/>
      <c r="EA66" s="433"/>
      <c r="EB66" s="432"/>
      <c r="EC66" s="427"/>
      <c r="ED66" s="431"/>
      <c r="EE66" s="433"/>
      <c r="EF66" s="428"/>
      <c r="EG66" s="426"/>
      <c r="EH66" s="460">
        <f t="shared" si="34"/>
        <v>0</v>
      </c>
      <c r="EI66" s="460">
        <f t="shared" si="35"/>
        <v>0</v>
      </c>
      <c r="EJ66" s="458">
        <f t="shared" si="36"/>
        <v>0</v>
      </c>
      <c r="EK66" s="470">
        <f t="shared" si="37"/>
        <v>0</v>
      </c>
      <c r="EL66" s="470">
        <f t="shared" si="38"/>
        <v>0</v>
      </c>
      <c r="EM66" s="449">
        <f t="shared" si="39"/>
        <v>0</v>
      </c>
      <c r="EN66" s="460">
        <f t="shared" si="40"/>
        <v>0</v>
      </c>
      <c r="EO66" s="469">
        <f t="shared" si="41"/>
        <v>0</v>
      </c>
      <c r="EP66" s="434"/>
      <c r="EQ66" s="426"/>
      <c r="ER66" s="434"/>
      <c r="ES66" s="426"/>
      <c r="ET66" s="434"/>
      <c r="EU66" s="426"/>
      <c r="EV66" s="434"/>
      <c r="EW66" s="426"/>
      <c r="EX66" s="434"/>
      <c r="EY66" s="426"/>
      <c r="EZ66" s="434"/>
      <c r="FA66" s="426"/>
      <c r="FB66" s="434"/>
      <c r="FC66" s="426"/>
      <c r="FD66" s="434"/>
      <c r="FE66" s="426"/>
      <c r="FF66" s="434"/>
      <c r="FG66" s="426"/>
      <c r="FH66" s="435"/>
      <c r="FI66" s="426"/>
      <c r="FJ66" s="468">
        <f t="shared" si="42"/>
        <v>0</v>
      </c>
      <c r="FK66" s="469">
        <f t="shared" si="43"/>
        <v>0</v>
      </c>
      <c r="FL66" s="435"/>
      <c r="FM66" s="426"/>
      <c r="FN66" s="460">
        <f t="shared" si="44"/>
        <v>571</v>
      </c>
      <c r="FO66" s="469">
        <f t="shared" si="45"/>
        <v>730</v>
      </c>
    </row>
    <row r="67" spans="1:171" x14ac:dyDescent="0.2">
      <c r="A67" s="663" t="s">
        <v>980</v>
      </c>
      <c r="B67" s="658" t="s">
        <v>998</v>
      </c>
      <c r="C67" s="659"/>
      <c r="D67" s="531">
        <v>106625</v>
      </c>
      <c r="E67" s="531">
        <v>10</v>
      </c>
      <c r="F67" s="457">
        <v>210</v>
      </c>
      <c r="G67" s="628">
        <v>269</v>
      </c>
      <c r="H67" s="427"/>
      <c r="I67" s="426"/>
      <c r="J67" s="427">
        <v>218</v>
      </c>
      <c r="K67" s="426">
        <v>251</v>
      </c>
      <c r="L67" s="458">
        <f t="shared" si="24"/>
        <v>0</v>
      </c>
      <c r="M67" s="449">
        <f t="shared" si="25"/>
        <v>0</v>
      </c>
      <c r="N67" s="428"/>
      <c r="O67" s="428"/>
      <c r="P67" s="428"/>
      <c r="Q67" s="428"/>
      <c r="R67" s="460">
        <f t="shared" si="2"/>
        <v>0</v>
      </c>
      <c r="S67" s="461"/>
      <c r="T67" s="429"/>
      <c r="U67" s="429"/>
      <c r="V67" s="429"/>
      <c r="W67" s="462">
        <f t="shared" si="3"/>
        <v>0</v>
      </c>
      <c r="X67" s="430"/>
      <c r="Y67" s="427"/>
      <c r="Z67" s="431"/>
      <c r="AA67" s="431"/>
      <c r="AB67" s="432"/>
      <c r="AC67" s="427"/>
      <c r="AD67" s="431"/>
      <c r="AE67" s="433"/>
      <c r="AF67" s="432"/>
      <c r="AG67" s="427"/>
      <c r="AH67" s="431"/>
      <c r="AI67" s="433"/>
      <c r="AJ67" s="432"/>
      <c r="AK67" s="427"/>
      <c r="AL67" s="431"/>
      <c r="AM67" s="433"/>
      <c r="AN67" s="432"/>
      <c r="AO67" s="427"/>
      <c r="AP67" s="431"/>
      <c r="AQ67" s="431"/>
      <c r="AR67" s="460">
        <f t="shared" si="26"/>
        <v>0</v>
      </c>
      <c r="AS67" s="467">
        <f t="shared" si="27"/>
        <v>0</v>
      </c>
      <c r="AT67" s="447">
        <f t="shared" si="28"/>
        <v>0</v>
      </c>
      <c r="AU67" s="448">
        <f t="shared" si="29"/>
        <v>0</v>
      </c>
      <c r="AV67" s="427"/>
      <c r="AW67" s="628"/>
      <c r="AX67" s="430"/>
      <c r="AY67" s="427"/>
      <c r="AZ67" s="431"/>
      <c r="BA67" s="431"/>
      <c r="BB67" s="432"/>
      <c r="BC67" s="427"/>
      <c r="BD67" s="431"/>
      <c r="BE67" s="433"/>
      <c r="BF67" s="432"/>
      <c r="BG67" s="427"/>
      <c r="BH67" s="431"/>
      <c r="BI67" s="433"/>
      <c r="BJ67" s="432"/>
      <c r="BK67" s="427"/>
      <c r="BL67" s="431"/>
      <c r="BM67" s="433"/>
      <c r="BN67" s="432"/>
      <c r="BO67" s="427"/>
      <c r="BP67" s="431"/>
      <c r="BQ67" s="433"/>
      <c r="BR67" s="432"/>
      <c r="BS67" s="427"/>
      <c r="BT67" s="392"/>
      <c r="BU67" s="392"/>
      <c r="BV67" s="432"/>
      <c r="BW67" s="427"/>
      <c r="BX67" s="431"/>
      <c r="BY67" s="433"/>
      <c r="BZ67" s="432"/>
      <c r="CA67" s="427"/>
      <c r="CB67" s="431"/>
      <c r="CC67" s="433"/>
      <c r="CD67" s="432"/>
      <c r="CE67" s="427"/>
      <c r="CF67" s="431"/>
      <c r="CG67" s="433"/>
      <c r="CH67" s="432"/>
      <c r="CI67" s="427"/>
      <c r="CJ67" s="431"/>
      <c r="CK67" s="433"/>
      <c r="CL67" s="428"/>
      <c r="CM67" s="426"/>
      <c r="CN67" s="468">
        <f t="shared" si="30"/>
        <v>0</v>
      </c>
      <c r="CO67" s="468">
        <f t="shared" si="31"/>
        <v>0</v>
      </c>
      <c r="CP67" s="469">
        <f t="shared" si="32"/>
        <v>0</v>
      </c>
      <c r="CQ67" s="469">
        <f t="shared" si="33"/>
        <v>0</v>
      </c>
      <c r="CR67" s="430"/>
      <c r="CS67" s="427"/>
      <c r="CT67" s="431"/>
      <c r="CU67" s="431"/>
      <c r="CV67" s="432"/>
      <c r="CW67" s="427"/>
      <c r="CX67" s="431"/>
      <c r="CY67" s="433"/>
      <c r="CZ67" s="432"/>
      <c r="DA67" s="427"/>
      <c r="DB67" s="431"/>
      <c r="DC67" s="433"/>
      <c r="DD67" s="432"/>
      <c r="DE67" s="427"/>
      <c r="DF67" s="431"/>
      <c r="DG67" s="433"/>
      <c r="DH67" s="432"/>
      <c r="DI67" s="427"/>
      <c r="DJ67" s="431"/>
      <c r="DK67" s="433"/>
      <c r="DL67" s="432"/>
      <c r="DM67" s="427"/>
      <c r="DN67" s="431"/>
      <c r="DO67" s="433"/>
      <c r="DP67" s="432"/>
      <c r="DQ67" s="427"/>
      <c r="DR67" s="431"/>
      <c r="DS67" s="433"/>
      <c r="DT67" s="432"/>
      <c r="DU67" s="427"/>
      <c r="DV67" s="431"/>
      <c r="DW67" s="433"/>
      <c r="DX67" s="432"/>
      <c r="DY67" s="427"/>
      <c r="DZ67" s="431"/>
      <c r="EA67" s="433"/>
      <c r="EB67" s="432"/>
      <c r="EC67" s="427"/>
      <c r="ED67" s="431"/>
      <c r="EE67" s="433"/>
      <c r="EF67" s="428"/>
      <c r="EG67" s="426"/>
      <c r="EH67" s="460">
        <f t="shared" si="34"/>
        <v>0</v>
      </c>
      <c r="EI67" s="460">
        <f t="shared" si="35"/>
        <v>0</v>
      </c>
      <c r="EJ67" s="458">
        <f t="shared" si="36"/>
        <v>0</v>
      </c>
      <c r="EK67" s="470">
        <f t="shared" si="37"/>
        <v>0</v>
      </c>
      <c r="EL67" s="470">
        <f t="shared" si="38"/>
        <v>0</v>
      </c>
      <c r="EM67" s="449">
        <f t="shared" si="39"/>
        <v>0</v>
      </c>
      <c r="EN67" s="460">
        <f t="shared" si="40"/>
        <v>0</v>
      </c>
      <c r="EO67" s="469">
        <f t="shared" si="41"/>
        <v>0</v>
      </c>
      <c r="EP67" s="434"/>
      <c r="EQ67" s="426"/>
      <c r="ER67" s="434"/>
      <c r="ES67" s="426"/>
      <c r="ET67" s="434"/>
      <c r="EU67" s="426"/>
      <c r="EV67" s="434"/>
      <c r="EW67" s="426"/>
      <c r="EX67" s="434"/>
      <c r="EY67" s="426"/>
      <c r="EZ67" s="434"/>
      <c r="FA67" s="426"/>
      <c r="FB67" s="434"/>
      <c r="FC67" s="426"/>
      <c r="FD67" s="434"/>
      <c r="FE67" s="426"/>
      <c r="FF67" s="434"/>
      <c r="FG67" s="426"/>
      <c r="FH67" s="435"/>
      <c r="FI67" s="426"/>
      <c r="FJ67" s="468">
        <f t="shared" si="42"/>
        <v>0</v>
      </c>
      <c r="FK67" s="469">
        <f t="shared" si="43"/>
        <v>0</v>
      </c>
      <c r="FL67" s="435"/>
      <c r="FM67" s="426"/>
      <c r="FN67" s="460">
        <f t="shared" si="44"/>
        <v>428</v>
      </c>
      <c r="FO67" s="469">
        <f t="shared" si="45"/>
        <v>520</v>
      </c>
    </row>
    <row r="68" spans="1:171" x14ac:dyDescent="0.2">
      <c r="A68" s="663" t="s">
        <v>980</v>
      </c>
      <c r="B68" s="664" t="s">
        <v>999</v>
      </c>
      <c r="C68" s="662"/>
      <c r="D68" s="531">
        <v>107521</v>
      </c>
      <c r="E68" s="531">
        <v>10</v>
      </c>
      <c r="F68" s="457">
        <v>536</v>
      </c>
      <c r="G68" s="628">
        <v>493</v>
      </c>
      <c r="H68" s="427"/>
      <c r="I68" s="426"/>
      <c r="J68" s="427">
        <v>108</v>
      </c>
      <c r="K68" s="426">
        <v>151</v>
      </c>
      <c r="L68" s="458">
        <f t="shared" si="24"/>
        <v>0</v>
      </c>
      <c r="M68" s="449">
        <f t="shared" si="25"/>
        <v>0</v>
      </c>
      <c r="N68" s="428"/>
      <c r="O68" s="428"/>
      <c r="P68" s="428"/>
      <c r="Q68" s="428"/>
      <c r="R68" s="460">
        <f t="shared" si="2"/>
        <v>0</v>
      </c>
      <c r="S68" s="461"/>
      <c r="T68" s="429"/>
      <c r="U68" s="429"/>
      <c r="V68" s="429"/>
      <c r="W68" s="462">
        <f t="shared" si="3"/>
        <v>0</v>
      </c>
      <c r="X68" s="430"/>
      <c r="Y68" s="427"/>
      <c r="Z68" s="431"/>
      <c r="AA68" s="431"/>
      <c r="AB68" s="432"/>
      <c r="AC68" s="427"/>
      <c r="AD68" s="431"/>
      <c r="AE68" s="433"/>
      <c r="AF68" s="432"/>
      <c r="AG68" s="427"/>
      <c r="AH68" s="431"/>
      <c r="AI68" s="433"/>
      <c r="AJ68" s="432"/>
      <c r="AK68" s="427"/>
      <c r="AL68" s="431"/>
      <c r="AM68" s="433"/>
      <c r="AN68" s="432"/>
      <c r="AO68" s="427"/>
      <c r="AP68" s="431"/>
      <c r="AQ68" s="431"/>
      <c r="AR68" s="460">
        <f t="shared" si="26"/>
        <v>0</v>
      </c>
      <c r="AS68" s="467">
        <f t="shared" si="27"/>
        <v>0</v>
      </c>
      <c r="AT68" s="447">
        <f t="shared" si="28"/>
        <v>0</v>
      </c>
      <c r="AU68" s="448">
        <f t="shared" si="29"/>
        <v>0</v>
      </c>
      <c r="AV68" s="427"/>
      <c r="AW68" s="628"/>
      <c r="AX68" s="430"/>
      <c r="AY68" s="427"/>
      <c r="AZ68" s="431"/>
      <c r="BA68" s="431"/>
      <c r="BB68" s="432"/>
      <c r="BC68" s="427"/>
      <c r="BD68" s="431"/>
      <c r="BE68" s="433"/>
      <c r="BF68" s="432"/>
      <c r="BG68" s="427"/>
      <c r="BH68" s="431"/>
      <c r="BI68" s="433"/>
      <c r="BJ68" s="432"/>
      <c r="BK68" s="427"/>
      <c r="BL68" s="431"/>
      <c r="BM68" s="433"/>
      <c r="BN68" s="432"/>
      <c r="BO68" s="427"/>
      <c r="BP68" s="431"/>
      <c r="BQ68" s="433"/>
      <c r="BR68" s="432"/>
      <c r="BS68" s="427"/>
      <c r="BT68" s="392"/>
      <c r="BU68" s="392"/>
      <c r="BV68" s="432"/>
      <c r="BW68" s="427"/>
      <c r="BX68" s="431"/>
      <c r="BY68" s="433"/>
      <c r="BZ68" s="432"/>
      <c r="CA68" s="427"/>
      <c r="CB68" s="431"/>
      <c r="CC68" s="433"/>
      <c r="CD68" s="432"/>
      <c r="CE68" s="427"/>
      <c r="CF68" s="431"/>
      <c r="CG68" s="433"/>
      <c r="CH68" s="432"/>
      <c r="CI68" s="427"/>
      <c r="CJ68" s="431"/>
      <c r="CK68" s="433"/>
      <c r="CL68" s="428"/>
      <c r="CM68" s="426"/>
      <c r="CN68" s="468">
        <f t="shared" si="30"/>
        <v>0</v>
      </c>
      <c r="CO68" s="468">
        <f t="shared" si="31"/>
        <v>0</v>
      </c>
      <c r="CP68" s="469">
        <f t="shared" si="32"/>
        <v>0</v>
      </c>
      <c r="CQ68" s="469">
        <f t="shared" si="33"/>
        <v>0</v>
      </c>
      <c r="CR68" s="430"/>
      <c r="CS68" s="427"/>
      <c r="CT68" s="431"/>
      <c r="CU68" s="431"/>
      <c r="CV68" s="432"/>
      <c r="CW68" s="427"/>
      <c r="CX68" s="431"/>
      <c r="CY68" s="433"/>
      <c r="CZ68" s="432"/>
      <c r="DA68" s="427"/>
      <c r="DB68" s="431"/>
      <c r="DC68" s="433"/>
      <c r="DD68" s="432"/>
      <c r="DE68" s="427"/>
      <c r="DF68" s="431"/>
      <c r="DG68" s="433"/>
      <c r="DH68" s="432"/>
      <c r="DI68" s="427"/>
      <c r="DJ68" s="431"/>
      <c r="DK68" s="433"/>
      <c r="DL68" s="432"/>
      <c r="DM68" s="427"/>
      <c r="DN68" s="431"/>
      <c r="DO68" s="433"/>
      <c r="DP68" s="432"/>
      <c r="DQ68" s="427"/>
      <c r="DR68" s="431"/>
      <c r="DS68" s="433"/>
      <c r="DT68" s="432"/>
      <c r="DU68" s="427"/>
      <c r="DV68" s="431"/>
      <c r="DW68" s="433"/>
      <c r="DX68" s="432"/>
      <c r="DY68" s="427"/>
      <c r="DZ68" s="431"/>
      <c r="EA68" s="433"/>
      <c r="EB68" s="432"/>
      <c r="EC68" s="427"/>
      <c r="ED68" s="431"/>
      <c r="EE68" s="433"/>
      <c r="EF68" s="428"/>
      <c r="EG68" s="426"/>
      <c r="EH68" s="460">
        <f t="shared" si="34"/>
        <v>0</v>
      </c>
      <c r="EI68" s="460">
        <f t="shared" si="35"/>
        <v>0</v>
      </c>
      <c r="EJ68" s="458">
        <f t="shared" si="36"/>
        <v>0</v>
      </c>
      <c r="EK68" s="470">
        <f t="shared" si="37"/>
        <v>0</v>
      </c>
      <c r="EL68" s="470">
        <f t="shared" si="38"/>
        <v>0</v>
      </c>
      <c r="EM68" s="449">
        <f t="shared" si="39"/>
        <v>0</v>
      </c>
      <c r="EN68" s="460">
        <f t="shared" si="40"/>
        <v>0</v>
      </c>
      <c r="EO68" s="469">
        <f t="shared" si="41"/>
        <v>0</v>
      </c>
      <c r="EP68" s="434"/>
      <c r="EQ68" s="426"/>
      <c r="ER68" s="434"/>
      <c r="ES68" s="426"/>
      <c r="ET68" s="434"/>
      <c r="EU68" s="426"/>
      <c r="EV68" s="434"/>
      <c r="EW68" s="426"/>
      <c r="EX68" s="434"/>
      <c r="EY68" s="426"/>
      <c r="EZ68" s="434"/>
      <c r="FA68" s="426"/>
      <c r="FB68" s="434"/>
      <c r="FC68" s="426"/>
      <c r="FD68" s="434"/>
      <c r="FE68" s="426"/>
      <c r="FF68" s="434"/>
      <c r="FG68" s="426"/>
      <c r="FH68" s="435"/>
      <c r="FI68" s="426"/>
      <c r="FJ68" s="468">
        <f t="shared" si="42"/>
        <v>0</v>
      </c>
      <c r="FK68" s="469">
        <f t="shared" si="43"/>
        <v>0</v>
      </c>
      <c r="FL68" s="435"/>
      <c r="FM68" s="426"/>
      <c r="FN68" s="460">
        <f t="shared" si="44"/>
        <v>644</v>
      </c>
      <c r="FO68" s="469">
        <f t="shared" si="45"/>
        <v>644</v>
      </c>
    </row>
    <row r="69" spans="1:171" x14ac:dyDescent="0.2">
      <c r="A69" s="734" t="s">
        <v>980</v>
      </c>
      <c r="B69" s="664" t="s">
        <v>1000</v>
      </c>
      <c r="C69" s="665"/>
      <c r="D69" s="531">
        <v>106795</v>
      </c>
      <c r="E69" s="531">
        <v>10</v>
      </c>
      <c r="F69" s="457">
        <v>167</v>
      </c>
      <c r="G69" s="628">
        <v>154</v>
      </c>
      <c r="H69" s="427"/>
      <c r="I69" s="426"/>
      <c r="J69" s="427">
        <v>104</v>
      </c>
      <c r="K69" s="426">
        <v>133</v>
      </c>
      <c r="L69" s="458">
        <f t="shared" si="24"/>
        <v>0</v>
      </c>
      <c r="M69" s="449">
        <f t="shared" si="25"/>
        <v>0</v>
      </c>
      <c r="N69" s="428"/>
      <c r="O69" s="428"/>
      <c r="P69" s="428"/>
      <c r="Q69" s="428"/>
      <c r="R69" s="460">
        <f t="shared" si="2"/>
        <v>0</v>
      </c>
      <c r="S69" s="461"/>
      <c r="T69" s="429"/>
      <c r="U69" s="429"/>
      <c r="V69" s="429"/>
      <c r="W69" s="462">
        <f t="shared" si="3"/>
        <v>0</v>
      </c>
      <c r="X69" s="430"/>
      <c r="Y69" s="427"/>
      <c r="Z69" s="431"/>
      <c r="AA69" s="431"/>
      <c r="AB69" s="432"/>
      <c r="AC69" s="427"/>
      <c r="AD69" s="431"/>
      <c r="AE69" s="433"/>
      <c r="AF69" s="432"/>
      <c r="AG69" s="427"/>
      <c r="AH69" s="431"/>
      <c r="AI69" s="433"/>
      <c r="AJ69" s="432"/>
      <c r="AK69" s="427"/>
      <c r="AL69" s="431"/>
      <c r="AM69" s="433"/>
      <c r="AN69" s="432"/>
      <c r="AO69" s="427"/>
      <c r="AP69" s="431"/>
      <c r="AQ69" s="431"/>
      <c r="AR69" s="460">
        <f t="shared" si="26"/>
        <v>0</v>
      </c>
      <c r="AS69" s="467">
        <f t="shared" si="27"/>
        <v>0</v>
      </c>
      <c r="AT69" s="447">
        <f t="shared" si="28"/>
        <v>0</v>
      </c>
      <c r="AU69" s="448">
        <f t="shared" si="29"/>
        <v>0</v>
      </c>
      <c r="AV69" s="427"/>
      <c r="AW69" s="628"/>
      <c r="AX69" s="430"/>
      <c r="AY69" s="427"/>
      <c r="AZ69" s="431"/>
      <c r="BA69" s="431"/>
      <c r="BB69" s="432"/>
      <c r="BC69" s="427"/>
      <c r="BD69" s="431"/>
      <c r="BE69" s="433"/>
      <c r="BF69" s="432"/>
      <c r="BG69" s="427"/>
      <c r="BH69" s="431"/>
      <c r="BI69" s="433"/>
      <c r="BJ69" s="432"/>
      <c r="BK69" s="427"/>
      <c r="BL69" s="431"/>
      <c r="BM69" s="433"/>
      <c r="BN69" s="432"/>
      <c r="BO69" s="427"/>
      <c r="BP69" s="431"/>
      <c r="BQ69" s="433"/>
      <c r="BR69" s="432"/>
      <c r="BS69" s="427"/>
      <c r="BT69" s="392"/>
      <c r="BU69" s="392"/>
      <c r="BV69" s="432"/>
      <c r="BW69" s="427"/>
      <c r="BX69" s="431"/>
      <c r="BY69" s="433"/>
      <c r="BZ69" s="432"/>
      <c r="CA69" s="427"/>
      <c r="CB69" s="431"/>
      <c r="CC69" s="433"/>
      <c r="CD69" s="432"/>
      <c r="CE69" s="427"/>
      <c r="CF69" s="431"/>
      <c r="CG69" s="433"/>
      <c r="CH69" s="432"/>
      <c r="CI69" s="427"/>
      <c r="CJ69" s="431"/>
      <c r="CK69" s="433"/>
      <c r="CL69" s="428"/>
      <c r="CM69" s="426"/>
      <c r="CN69" s="468">
        <f t="shared" si="30"/>
        <v>0</v>
      </c>
      <c r="CO69" s="468">
        <f t="shared" si="31"/>
        <v>0</v>
      </c>
      <c r="CP69" s="469">
        <f t="shared" si="32"/>
        <v>0</v>
      </c>
      <c r="CQ69" s="469">
        <f t="shared" si="33"/>
        <v>0</v>
      </c>
      <c r="CR69" s="430"/>
      <c r="CS69" s="427"/>
      <c r="CT69" s="431"/>
      <c r="CU69" s="431"/>
      <c r="CV69" s="432"/>
      <c r="CW69" s="427"/>
      <c r="CX69" s="431"/>
      <c r="CY69" s="433"/>
      <c r="CZ69" s="432"/>
      <c r="DA69" s="427"/>
      <c r="DB69" s="431"/>
      <c r="DC69" s="433"/>
      <c r="DD69" s="432"/>
      <c r="DE69" s="427"/>
      <c r="DF69" s="431"/>
      <c r="DG69" s="433"/>
      <c r="DH69" s="432"/>
      <c r="DI69" s="427"/>
      <c r="DJ69" s="431"/>
      <c r="DK69" s="433"/>
      <c r="DL69" s="432"/>
      <c r="DM69" s="427"/>
      <c r="DN69" s="431"/>
      <c r="DO69" s="433"/>
      <c r="DP69" s="432"/>
      <c r="DQ69" s="427"/>
      <c r="DR69" s="431"/>
      <c r="DS69" s="433"/>
      <c r="DT69" s="432"/>
      <c r="DU69" s="427"/>
      <c r="DV69" s="431"/>
      <c r="DW69" s="433"/>
      <c r="DX69" s="432"/>
      <c r="DY69" s="427"/>
      <c r="DZ69" s="431"/>
      <c r="EA69" s="433"/>
      <c r="EB69" s="432"/>
      <c r="EC69" s="427"/>
      <c r="ED69" s="431"/>
      <c r="EE69" s="433"/>
      <c r="EF69" s="428"/>
      <c r="EG69" s="426"/>
      <c r="EH69" s="460">
        <f t="shared" si="34"/>
        <v>0</v>
      </c>
      <c r="EI69" s="460">
        <f t="shared" si="35"/>
        <v>0</v>
      </c>
      <c r="EJ69" s="458">
        <f t="shared" si="36"/>
        <v>0</v>
      </c>
      <c r="EK69" s="470">
        <f t="shared" si="37"/>
        <v>0</v>
      </c>
      <c r="EL69" s="470">
        <f t="shared" si="38"/>
        <v>0</v>
      </c>
      <c r="EM69" s="449">
        <f t="shared" si="39"/>
        <v>0</v>
      </c>
      <c r="EN69" s="460">
        <f t="shared" si="40"/>
        <v>0</v>
      </c>
      <c r="EO69" s="469">
        <f t="shared" si="41"/>
        <v>0</v>
      </c>
      <c r="EP69" s="434"/>
      <c r="EQ69" s="426"/>
      <c r="ER69" s="434"/>
      <c r="ES69" s="426"/>
      <c r="ET69" s="434"/>
      <c r="EU69" s="426"/>
      <c r="EV69" s="434"/>
      <c r="EW69" s="426"/>
      <c r="EX69" s="434"/>
      <c r="EY69" s="426"/>
      <c r="EZ69" s="434"/>
      <c r="FA69" s="426"/>
      <c r="FB69" s="434"/>
      <c r="FC69" s="426"/>
      <c r="FD69" s="434"/>
      <c r="FE69" s="426"/>
      <c r="FF69" s="434"/>
      <c r="FG69" s="426"/>
      <c r="FH69" s="435"/>
      <c r="FI69" s="426"/>
      <c r="FJ69" s="468">
        <f t="shared" si="42"/>
        <v>0</v>
      </c>
      <c r="FK69" s="469">
        <f t="shared" si="43"/>
        <v>0</v>
      </c>
      <c r="FL69" s="435"/>
      <c r="FM69" s="426"/>
      <c r="FN69" s="460">
        <f t="shared" si="44"/>
        <v>271</v>
      </c>
      <c r="FO69" s="469">
        <f t="shared" si="45"/>
        <v>287</v>
      </c>
    </row>
    <row r="70" spans="1:171" x14ac:dyDescent="0.2">
      <c r="A70" s="734" t="s">
        <v>980</v>
      </c>
      <c r="B70" s="664" t="s">
        <v>1001</v>
      </c>
      <c r="C70" s="665"/>
      <c r="D70" s="531">
        <v>106883</v>
      </c>
      <c r="E70" s="531">
        <v>10</v>
      </c>
      <c r="F70" s="457">
        <v>97</v>
      </c>
      <c r="G70" s="628">
        <v>270</v>
      </c>
      <c r="H70" s="427"/>
      <c r="I70" s="426"/>
      <c r="J70" s="427">
        <v>112</v>
      </c>
      <c r="K70" s="426">
        <v>118</v>
      </c>
      <c r="L70" s="458">
        <f t="shared" si="24"/>
        <v>0</v>
      </c>
      <c r="M70" s="449">
        <f t="shared" si="25"/>
        <v>0</v>
      </c>
      <c r="N70" s="428"/>
      <c r="O70" s="428"/>
      <c r="P70" s="428"/>
      <c r="Q70" s="428"/>
      <c r="R70" s="460">
        <f t="shared" si="2"/>
        <v>0</v>
      </c>
      <c r="S70" s="461"/>
      <c r="T70" s="429"/>
      <c r="U70" s="429"/>
      <c r="V70" s="429"/>
      <c r="W70" s="462">
        <f t="shared" si="3"/>
        <v>0</v>
      </c>
      <c r="X70" s="430"/>
      <c r="Y70" s="427"/>
      <c r="Z70" s="431"/>
      <c r="AA70" s="431"/>
      <c r="AB70" s="432"/>
      <c r="AC70" s="427"/>
      <c r="AD70" s="431"/>
      <c r="AE70" s="433"/>
      <c r="AF70" s="432"/>
      <c r="AG70" s="427"/>
      <c r="AH70" s="431"/>
      <c r="AI70" s="433"/>
      <c r="AJ70" s="432"/>
      <c r="AK70" s="427"/>
      <c r="AL70" s="431"/>
      <c r="AM70" s="433"/>
      <c r="AN70" s="432"/>
      <c r="AO70" s="427"/>
      <c r="AP70" s="431"/>
      <c r="AQ70" s="431"/>
      <c r="AR70" s="460">
        <f t="shared" si="26"/>
        <v>0</v>
      </c>
      <c r="AS70" s="467">
        <f t="shared" si="27"/>
        <v>0</v>
      </c>
      <c r="AT70" s="447">
        <f t="shared" si="28"/>
        <v>0</v>
      </c>
      <c r="AU70" s="448">
        <f t="shared" si="29"/>
        <v>0</v>
      </c>
      <c r="AV70" s="427"/>
      <c r="AW70" s="628"/>
      <c r="AX70" s="430"/>
      <c r="AY70" s="427"/>
      <c r="AZ70" s="431"/>
      <c r="BA70" s="431"/>
      <c r="BB70" s="432"/>
      <c r="BC70" s="427"/>
      <c r="BD70" s="431"/>
      <c r="BE70" s="433"/>
      <c r="BF70" s="432"/>
      <c r="BG70" s="427"/>
      <c r="BH70" s="431"/>
      <c r="BI70" s="433"/>
      <c r="BJ70" s="432"/>
      <c r="BK70" s="427"/>
      <c r="BL70" s="431"/>
      <c r="BM70" s="433"/>
      <c r="BN70" s="432"/>
      <c r="BO70" s="427"/>
      <c r="BP70" s="431"/>
      <c r="BQ70" s="433"/>
      <c r="BR70" s="432"/>
      <c r="BS70" s="427"/>
      <c r="BT70" s="392"/>
      <c r="BU70" s="392"/>
      <c r="BV70" s="432"/>
      <c r="BW70" s="427"/>
      <c r="BX70" s="431"/>
      <c r="BY70" s="433"/>
      <c r="BZ70" s="432"/>
      <c r="CA70" s="427"/>
      <c r="CB70" s="431"/>
      <c r="CC70" s="433"/>
      <c r="CD70" s="432"/>
      <c r="CE70" s="427"/>
      <c r="CF70" s="431"/>
      <c r="CG70" s="433"/>
      <c r="CH70" s="432"/>
      <c r="CI70" s="427"/>
      <c r="CJ70" s="431"/>
      <c r="CK70" s="433"/>
      <c r="CL70" s="428"/>
      <c r="CM70" s="426"/>
      <c r="CN70" s="468">
        <f t="shared" si="30"/>
        <v>0</v>
      </c>
      <c r="CO70" s="468">
        <f t="shared" si="31"/>
        <v>0</v>
      </c>
      <c r="CP70" s="469">
        <f t="shared" si="32"/>
        <v>0</v>
      </c>
      <c r="CQ70" s="469">
        <f t="shared" si="33"/>
        <v>0</v>
      </c>
      <c r="CR70" s="430"/>
      <c r="CS70" s="427"/>
      <c r="CT70" s="431"/>
      <c r="CU70" s="431"/>
      <c r="CV70" s="432"/>
      <c r="CW70" s="427"/>
      <c r="CX70" s="431"/>
      <c r="CY70" s="433"/>
      <c r="CZ70" s="432"/>
      <c r="DA70" s="427"/>
      <c r="DB70" s="431"/>
      <c r="DC70" s="433"/>
      <c r="DD70" s="432"/>
      <c r="DE70" s="427"/>
      <c r="DF70" s="431"/>
      <c r="DG70" s="433"/>
      <c r="DH70" s="432"/>
      <c r="DI70" s="427"/>
      <c r="DJ70" s="431"/>
      <c r="DK70" s="433"/>
      <c r="DL70" s="432"/>
      <c r="DM70" s="427"/>
      <c r="DN70" s="431"/>
      <c r="DO70" s="433"/>
      <c r="DP70" s="432"/>
      <c r="DQ70" s="427"/>
      <c r="DR70" s="431"/>
      <c r="DS70" s="433"/>
      <c r="DT70" s="432"/>
      <c r="DU70" s="427"/>
      <c r="DV70" s="431"/>
      <c r="DW70" s="433"/>
      <c r="DX70" s="432"/>
      <c r="DY70" s="427"/>
      <c r="DZ70" s="431"/>
      <c r="EA70" s="433"/>
      <c r="EB70" s="432"/>
      <c r="EC70" s="427"/>
      <c r="ED70" s="431"/>
      <c r="EE70" s="433"/>
      <c r="EF70" s="428"/>
      <c r="EG70" s="426"/>
      <c r="EH70" s="460">
        <f t="shared" si="34"/>
        <v>0</v>
      </c>
      <c r="EI70" s="460">
        <f t="shared" si="35"/>
        <v>0</v>
      </c>
      <c r="EJ70" s="458">
        <f t="shared" si="36"/>
        <v>0</v>
      </c>
      <c r="EK70" s="470">
        <f t="shared" si="37"/>
        <v>0</v>
      </c>
      <c r="EL70" s="470">
        <f t="shared" si="38"/>
        <v>0</v>
      </c>
      <c r="EM70" s="449">
        <f t="shared" si="39"/>
        <v>0</v>
      </c>
      <c r="EN70" s="460">
        <f t="shared" si="40"/>
        <v>0</v>
      </c>
      <c r="EO70" s="469">
        <f t="shared" si="41"/>
        <v>0</v>
      </c>
      <c r="EP70" s="434"/>
      <c r="EQ70" s="426"/>
      <c r="ER70" s="434"/>
      <c r="ES70" s="426"/>
      <c r="ET70" s="434"/>
      <c r="EU70" s="426"/>
      <c r="EV70" s="434"/>
      <c r="EW70" s="426"/>
      <c r="EX70" s="434"/>
      <c r="EY70" s="426"/>
      <c r="EZ70" s="434"/>
      <c r="FA70" s="426"/>
      <c r="FB70" s="434"/>
      <c r="FC70" s="426"/>
      <c r="FD70" s="434"/>
      <c r="FE70" s="426"/>
      <c r="FF70" s="434"/>
      <c r="FG70" s="426"/>
      <c r="FH70" s="435"/>
      <c r="FI70" s="426"/>
      <c r="FJ70" s="468">
        <f t="shared" si="42"/>
        <v>0</v>
      </c>
      <c r="FK70" s="469">
        <f t="shared" si="43"/>
        <v>0</v>
      </c>
      <c r="FL70" s="435"/>
      <c r="FM70" s="426"/>
      <c r="FN70" s="460">
        <f t="shared" si="44"/>
        <v>209</v>
      </c>
      <c r="FO70" s="469">
        <f t="shared" si="45"/>
        <v>388</v>
      </c>
    </row>
    <row r="71" spans="1:171" x14ac:dyDescent="0.2">
      <c r="A71" s="734" t="s">
        <v>980</v>
      </c>
      <c r="B71" s="664" t="s">
        <v>1002</v>
      </c>
      <c r="C71" s="665"/>
      <c r="D71" s="531">
        <v>107318</v>
      </c>
      <c r="E71" s="531">
        <v>10</v>
      </c>
      <c r="F71" s="457">
        <v>79</v>
      </c>
      <c r="G71" s="628">
        <v>145</v>
      </c>
      <c r="H71" s="427"/>
      <c r="I71" s="426"/>
      <c r="J71" s="427">
        <v>115</v>
      </c>
      <c r="K71" s="426">
        <v>134</v>
      </c>
      <c r="L71" s="458">
        <f t="shared" si="24"/>
        <v>0</v>
      </c>
      <c r="M71" s="449">
        <f t="shared" si="25"/>
        <v>0</v>
      </c>
      <c r="N71" s="428"/>
      <c r="O71" s="428"/>
      <c r="P71" s="428"/>
      <c r="Q71" s="428"/>
      <c r="R71" s="460">
        <f t="shared" si="2"/>
        <v>0</v>
      </c>
      <c r="S71" s="461"/>
      <c r="T71" s="429"/>
      <c r="U71" s="429"/>
      <c r="V71" s="429"/>
      <c r="W71" s="462">
        <f t="shared" si="3"/>
        <v>0</v>
      </c>
      <c r="X71" s="430"/>
      <c r="Y71" s="427"/>
      <c r="Z71" s="431"/>
      <c r="AA71" s="431"/>
      <c r="AB71" s="432"/>
      <c r="AC71" s="427"/>
      <c r="AD71" s="431"/>
      <c r="AE71" s="433"/>
      <c r="AF71" s="432"/>
      <c r="AG71" s="427"/>
      <c r="AH71" s="431"/>
      <c r="AI71" s="433"/>
      <c r="AJ71" s="432"/>
      <c r="AK71" s="427"/>
      <c r="AL71" s="431"/>
      <c r="AM71" s="433"/>
      <c r="AN71" s="432"/>
      <c r="AO71" s="427"/>
      <c r="AP71" s="431"/>
      <c r="AQ71" s="431"/>
      <c r="AR71" s="460">
        <f t="shared" si="26"/>
        <v>0</v>
      </c>
      <c r="AS71" s="467">
        <f t="shared" si="27"/>
        <v>0</v>
      </c>
      <c r="AT71" s="447">
        <f t="shared" si="28"/>
        <v>0</v>
      </c>
      <c r="AU71" s="448">
        <f t="shared" si="29"/>
        <v>0</v>
      </c>
      <c r="AV71" s="427"/>
      <c r="AW71" s="628"/>
      <c r="AX71" s="430"/>
      <c r="AY71" s="427"/>
      <c r="AZ71" s="431"/>
      <c r="BA71" s="431"/>
      <c r="BB71" s="432"/>
      <c r="BC71" s="427"/>
      <c r="BD71" s="431"/>
      <c r="BE71" s="433"/>
      <c r="BF71" s="432"/>
      <c r="BG71" s="427"/>
      <c r="BH71" s="431"/>
      <c r="BI71" s="433"/>
      <c r="BJ71" s="432"/>
      <c r="BK71" s="427"/>
      <c r="BL71" s="431"/>
      <c r="BM71" s="433"/>
      <c r="BN71" s="432"/>
      <c r="BO71" s="427"/>
      <c r="BP71" s="431"/>
      <c r="BQ71" s="433"/>
      <c r="BR71" s="432"/>
      <c r="BS71" s="427"/>
      <c r="BT71" s="392"/>
      <c r="BU71" s="392"/>
      <c r="BV71" s="432"/>
      <c r="BW71" s="427"/>
      <c r="BX71" s="431"/>
      <c r="BY71" s="433"/>
      <c r="BZ71" s="432"/>
      <c r="CA71" s="427"/>
      <c r="CB71" s="431"/>
      <c r="CC71" s="433"/>
      <c r="CD71" s="432"/>
      <c r="CE71" s="427"/>
      <c r="CF71" s="431"/>
      <c r="CG71" s="433"/>
      <c r="CH71" s="432"/>
      <c r="CI71" s="427"/>
      <c r="CJ71" s="431"/>
      <c r="CK71" s="433"/>
      <c r="CL71" s="428"/>
      <c r="CM71" s="426"/>
      <c r="CN71" s="468">
        <f t="shared" si="30"/>
        <v>0</v>
      </c>
      <c r="CO71" s="468">
        <f t="shared" si="31"/>
        <v>0</v>
      </c>
      <c r="CP71" s="469">
        <f t="shared" si="32"/>
        <v>0</v>
      </c>
      <c r="CQ71" s="469">
        <f t="shared" si="33"/>
        <v>0</v>
      </c>
      <c r="CR71" s="430"/>
      <c r="CS71" s="427"/>
      <c r="CT71" s="431"/>
      <c r="CU71" s="431"/>
      <c r="CV71" s="432"/>
      <c r="CW71" s="427"/>
      <c r="CX71" s="431"/>
      <c r="CY71" s="433"/>
      <c r="CZ71" s="432"/>
      <c r="DA71" s="427"/>
      <c r="DB71" s="431"/>
      <c r="DC71" s="433"/>
      <c r="DD71" s="432"/>
      <c r="DE71" s="427"/>
      <c r="DF71" s="431"/>
      <c r="DG71" s="433"/>
      <c r="DH71" s="432"/>
      <c r="DI71" s="427"/>
      <c r="DJ71" s="431"/>
      <c r="DK71" s="433"/>
      <c r="DL71" s="432"/>
      <c r="DM71" s="427"/>
      <c r="DN71" s="431"/>
      <c r="DO71" s="433"/>
      <c r="DP71" s="432"/>
      <c r="DQ71" s="427"/>
      <c r="DR71" s="431"/>
      <c r="DS71" s="433"/>
      <c r="DT71" s="432"/>
      <c r="DU71" s="427"/>
      <c r="DV71" s="431"/>
      <c r="DW71" s="433"/>
      <c r="DX71" s="432"/>
      <c r="DY71" s="427"/>
      <c r="DZ71" s="431"/>
      <c r="EA71" s="433"/>
      <c r="EB71" s="432"/>
      <c r="EC71" s="427"/>
      <c r="ED71" s="431"/>
      <c r="EE71" s="433"/>
      <c r="EF71" s="428"/>
      <c r="EG71" s="426"/>
      <c r="EH71" s="460">
        <f t="shared" si="34"/>
        <v>0</v>
      </c>
      <c r="EI71" s="460">
        <f t="shared" si="35"/>
        <v>0</v>
      </c>
      <c r="EJ71" s="458">
        <f t="shared" si="36"/>
        <v>0</v>
      </c>
      <c r="EK71" s="470">
        <f t="shared" si="37"/>
        <v>0</v>
      </c>
      <c r="EL71" s="470">
        <f t="shared" si="38"/>
        <v>0</v>
      </c>
      <c r="EM71" s="449">
        <f t="shared" si="39"/>
        <v>0</v>
      </c>
      <c r="EN71" s="460">
        <f t="shared" si="40"/>
        <v>0</v>
      </c>
      <c r="EO71" s="469">
        <f t="shared" si="41"/>
        <v>0</v>
      </c>
      <c r="EP71" s="434"/>
      <c r="EQ71" s="426"/>
      <c r="ER71" s="434"/>
      <c r="ES71" s="426"/>
      <c r="ET71" s="434"/>
      <c r="EU71" s="426"/>
      <c r="EV71" s="434"/>
      <c r="EW71" s="426"/>
      <c r="EX71" s="434"/>
      <c r="EY71" s="426"/>
      <c r="EZ71" s="434"/>
      <c r="FA71" s="426"/>
      <c r="FB71" s="434"/>
      <c r="FC71" s="426"/>
      <c r="FD71" s="434"/>
      <c r="FE71" s="426"/>
      <c r="FF71" s="434"/>
      <c r="FG71" s="426"/>
      <c r="FH71" s="435"/>
      <c r="FI71" s="426"/>
      <c r="FJ71" s="468">
        <f t="shared" si="42"/>
        <v>0</v>
      </c>
      <c r="FK71" s="469">
        <f t="shared" si="43"/>
        <v>0</v>
      </c>
      <c r="FL71" s="435"/>
      <c r="FM71" s="426"/>
      <c r="FN71" s="460">
        <f t="shared" si="44"/>
        <v>194</v>
      </c>
      <c r="FO71" s="469">
        <f t="shared" si="45"/>
        <v>279</v>
      </c>
    </row>
    <row r="72" spans="1:171" x14ac:dyDescent="0.2">
      <c r="A72" s="734" t="s">
        <v>980</v>
      </c>
      <c r="B72" s="664" t="s">
        <v>1003</v>
      </c>
      <c r="C72" s="665"/>
      <c r="D72" s="531">
        <v>107460</v>
      </c>
      <c r="E72" s="531">
        <v>10</v>
      </c>
      <c r="F72" s="457">
        <v>273</v>
      </c>
      <c r="G72" s="628">
        <v>389</v>
      </c>
      <c r="H72" s="427"/>
      <c r="I72" s="426"/>
      <c r="J72" s="427">
        <v>217</v>
      </c>
      <c r="K72" s="426">
        <v>285</v>
      </c>
      <c r="L72" s="458">
        <f t="shared" si="24"/>
        <v>0</v>
      </c>
      <c r="M72" s="449">
        <f t="shared" si="25"/>
        <v>0</v>
      </c>
      <c r="N72" s="428"/>
      <c r="O72" s="428"/>
      <c r="P72" s="428"/>
      <c r="Q72" s="428"/>
      <c r="R72" s="460">
        <f t="shared" si="2"/>
        <v>0</v>
      </c>
      <c r="S72" s="461"/>
      <c r="T72" s="429"/>
      <c r="U72" s="429"/>
      <c r="V72" s="429"/>
      <c r="W72" s="462">
        <f t="shared" si="3"/>
        <v>0</v>
      </c>
      <c r="X72" s="430"/>
      <c r="Y72" s="427"/>
      <c r="Z72" s="431"/>
      <c r="AA72" s="431"/>
      <c r="AB72" s="432"/>
      <c r="AC72" s="427"/>
      <c r="AD72" s="431"/>
      <c r="AE72" s="433"/>
      <c r="AF72" s="432"/>
      <c r="AG72" s="427"/>
      <c r="AH72" s="431"/>
      <c r="AI72" s="433"/>
      <c r="AJ72" s="432"/>
      <c r="AK72" s="427"/>
      <c r="AL72" s="431"/>
      <c r="AM72" s="433"/>
      <c r="AN72" s="432"/>
      <c r="AO72" s="427"/>
      <c r="AP72" s="431"/>
      <c r="AQ72" s="431"/>
      <c r="AR72" s="460">
        <f t="shared" si="26"/>
        <v>0</v>
      </c>
      <c r="AS72" s="467">
        <f t="shared" si="27"/>
        <v>0</v>
      </c>
      <c r="AT72" s="447">
        <f t="shared" si="28"/>
        <v>0</v>
      </c>
      <c r="AU72" s="448">
        <f t="shared" si="29"/>
        <v>0</v>
      </c>
      <c r="AV72" s="427"/>
      <c r="AW72" s="628"/>
      <c r="AX72" s="430"/>
      <c r="AY72" s="427"/>
      <c r="AZ72" s="431"/>
      <c r="BA72" s="431"/>
      <c r="BB72" s="432"/>
      <c r="BC72" s="427"/>
      <c r="BD72" s="431"/>
      <c r="BE72" s="433"/>
      <c r="BF72" s="432"/>
      <c r="BG72" s="427"/>
      <c r="BH72" s="431"/>
      <c r="BI72" s="433"/>
      <c r="BJ72" s="432"/>
      <c r="BK72" s="427"/>
      <c r="BL72" s="431"/>
      <c r="BM72" s="433"/>
      <c r="BN72" s="432"/>
      <c r="BO72" s="427"/>
      <c r="BP72" s="431"/>
      <c r="BQ72" s="433"/>
      <c r="BR72" s="432"/>
      <c r="BS72" s="427"/>
      <c r="BT72" s="392"/>
      <c r="BU72" s="392"/>
      <c r="BV72" s="432"/>
      <c r="BW72" s="427"/>
      <c r="BX72" s="431"/>
      <c r="BY72" s="433"/>
      <c r="BZ72" s="432"/>
      <c r="CA72" s="427"/>
      <c r="CB72" s="431"/>
      <c r="CC72" s="433"/>
      <c r="CD72" s="432"/>
      <c r="CE72" s="427"/>
      <c r="CF72" s="431"/>
      <c r="CG72" s="433"/>
      <c r="CH72" s="432"/>
      <c r="CI72" s="427"/>
      <c r="CJ72" s="431"/>
      <c r="CK72" s="433"/>
      <c r="CL72" s="428"/>
      <c r="CM72" s="426"/>
      <c r="CN72" s="468">
        <f t="shared" si="30"/>
        <v>0</v>
      </c>
      <c r="CO72" s="468">
        <f t="shared" si="31"/>
        <v>0</v>
      </c>
      <c r="CP72" s="469">
        <f t="shared" si="32"/>
        <v>0</v>
      </c>
      <c r="CQ72" s="469">
        <f t="shared" si="33"/>
        <v>0</v>
      </c>
      <c r="CR72" s="430"/>
      <c r="CS72" s="427"/>
      <c r="CT72" s="431"/>
      <c r="CU72" s="431"/>
      <c r="CV72" s="432"/>
      <c r="CW72" s="427"/>
      <c r="CX72" s="431"/>
      <c r="CY72" s="433"/>
      <c r="CZ72" s="432"/>
      <c r="DA72" s="427"/>
      <c r="DB72" s="431"/>
      <c r="DC72" s="433"/>
      <c r="DD72" s="432"/>
      <c r="DE72" s="427"/>
      <c r="DF72" s="431"/>
      <c r="DG72" s="433"/>
      <c r="DH72" s="432"/>
      <c r="DI72" s="427"/>
      <c r="DJ72" s="431"/>
      <c r="DK72" s="433"/>
      <c r="DL72" s="432"/>
      <c r="DM72" s="427"/>
      <c r="DN72" s="431"/>
      <c r="DO72" s="433"/>
      <c r="DP72" s="432"/>
      <c r="DQ72" s="427"/>
      <c r="DR72" s="431"/>
      <c r="DS72" s="433"/>
      <c r="DT72" s="432"/>
      <c r="DU72" s="427"/>
      <c r="DV72" s="431"/>
      <c r="DW72" s="433"/>
      <c r="DX72" s="432"/>
      <c r="DY72" s="427"/>
      <c r="DZ72" s="431"/>
      <c r="EA72" s="433"/>
      <c r="EB72" s="432"/>
      <c r="EC72" s="427"/>
      <c r="ED72" s="431"/>
      <c r="EE72" s="433"/>
      <c r="EF72" s="428"/>
      <c r="EG72" s="426"/>
      <c r="EH72" s="460">
        <f t="shared" si="34"/>
        <v>0</v>
      </c>
      <c r="EI72" s="460">
        <f t="shared" si="35"/>
        <v>0</v>
      </c>
      <c r="EJ72" s="458">
        <f t="shared" si="36"/>
        <v>0</v>
      </c>
      <c r="EK72" s="470">
        <f t="shared" si="37"/>
        <v>0</v>
      </c>
      <c r="EL72" s="470">
        <f t="shared" si="38"/>
        <v>0</v>
      </c>
      <c r="EM72" s="449">
        <f t="shared" si="39"/>
        <v>0</v>
      </c>
      <c r="EN72" s="460">
        <f t="shared" si="40"/>
        <v>0</v>
      </c>
      <c r="EO72" s="469">
        <f t="shared" si="41"/>
        <v>0</v>
      </c>
      <c r="EP72" s="434"/>
      <c r="EQ72" s="426"/>
      <c r="ER72" s="434"/>
      <c r="ES72" s="426"/>
      <c r="ET72" s="434"/>
      <c r="EU72" s="426"/>
      <c r="EV72" s="434"/>
      <c r="EW72" s="426"/>
      <c r="EX72" s="434"/>
      <c r="EY72" s="426"/>
      <c r="EZ72" s="434"/>
      <c r="FA72" s="426"/>
      <c r="FB72" s="434"/>
      <c r="FC72" s="426"/>
      <c r="FD72" s="434"/>
      <c r="FE72" s="426"/>
      <c r="FF72" s="434"/>
      <c r="FG72" s="426"/>
      <c r="FH72" s="435"/>
      <c r="FI72" s="426"/>
      <c r="FJ72" s="468">
        <f t="shared" si="42"/>
        <v>0</v>
      </c>
      <c r="FK72" s="469">
        <f t="shared" si="43"/>
        <v>0</v>
      </c>
      <c r="FL72" s="435"/>
      <c r="FM72" s="426"/>
      <c r="FN72" s="460">
        <f t="shared" si="44"/>
        <v>490</v>
      </c>
      <c r="FO72" s="469">
        <f t="shared" si="45"/>
        <v>674</v>
      </c>
    </row>
    <row r="73" spans="1:171" x14ac:dyDescent="0.2">
      <c r="A73" s="734" t="s">
        <v>980</v>
      </c>
      <c r="B73" s="664" t="s">
        <v>1004</v>
      </c>
      <c r="C73" s="665"/>
      <c r="D73" s="531">
        <v>107549</v>
      </c>
      <c r="E73" s="531">
        <v>10</v>
      </c>
      <c r="F73" s="457">
        <v>216</v>
      </c>
      <c r="G73" s="628">
        <v>186</v>
      </c>
      <c r="H73" s="427"/>
      <c r="I73" s="426"/>
      <c r="J73" s="427">
        <v>159</v>
      </c>
      <c r="K73" s="426">
        <v>217</v>
      </c>
      <c r="L73" s="458">
        <f t="shared" si="24"/>
        <v>0</v>
      </c>
      <c r="M73" s="449">
        <f t="shared" si="25"/>
        <v>0</v>
      </c>
      <c r="N73" s="428"/>
      <c r="O73" s="428"/>
      <c r="P73" s="428"/>
      <c r="Q73" s="428"/>
      <c r="R73" s="460">
        <f t="shared" si="2"/>
        <v>0</v>
      </c>
      <c r="S73" s="461"/>
      <c r="T73" s="429"/>
      <c r="U73" s="429"/>
      <c r="V73" s="429"/>
      <c r="W73" s="462">
        <f t="shared" si="3"/>
        <v>0</v>
      </c>
      <c r="X73" s="430"/>
      <c r="Y73" s="427"/>
      <c r="Z73" s="431"/>
      <c r="AA73" s="431"/>
      <c r="AB73" s="432"/>
      <c r="AC73" s="427"/>
      <c r="AD73" s="431"/>
      <c r="AE73" s="433"/>
      <c r="AF73" s="432"/>
      <c r="AG73" s="427"/>
      <c r="AH73" s="431"/>
      <c r="AI73" s="433"/>
      <c r="AJ73" s="432"/>
      <c r="AK73" s="427"/>
      <c r="AL73" s="431"/>
      <c r="AM73" s="433"/>
      <c r="AN73" s="432"/>
      <c r="AO73" s="427"/>
      <c r="AP73" s="431"/>
      <c r="AQ73" s="431"/>
      <c r="AR73" s="460">
        <f t="shared" si="26"/>
        <v>0</v>
      </c>
      <c r="AS73" s="467">
        <f t="shared" si="27"/>
        <v>0</v>
      </c>
      <c r="AT73" s="447">
        <f t="shared" si="28"/>
        <v>0</v>
      </c>
      <c r="AU73" s="448">
        <f t="shared" si="29"/>
        <v>0</v>
      </c>
      <c r="AV73" s="427"/>
      <c r="AW73" s="628"/>
      <c r="AX73" s="430"/>
      <c r="AY73" s="427"/>
      <c r="AZ73" s="431"/>
      <c r="BA73" s="431"/>
      <c r="BB73" s="432"/>
      <c r="BC73" s="427"/>
      <c r="BD73" s="431"/>
      <c r="BE73" s="433"/>
      <c r="BF73" s="432"/>
      <c r="BG73" s="427"/>
      <c r="BH73" s="431"/>
      <c r="BI73" s="433"/>
      <c r="BJ73" s="432"/>
      <c r="BK73" s="427"/>
      <c r="BL73" s="431"/>
      <c r="BM73" s="433"/>
      <c r="BN73" s="432"/>
      <c r="BO73" s="427"/>
      <c r="BP73" s="431"/>
      <c r="BQ73" s="433"/>
      <c r="BR73" s="432"/>
      <c r="BS73" s="427"/>
      <c r="BT73" s="392"/>
      <c r="BU73" s="392"/>
      <c r="BV73" s="432"/>
      <c r="BW73" s="427"/>
      <c r="BX73" s="431"/>
      <c r="BY73" s="433"/>
      <c r="BZ73" s="432"/>
      <c r="CA73" s="427"/>
      <c r="CB73" s="431"/>
      <c r="CC73" s="433"/>
      <c r="CD73" s="432"/>
      <c r="CE73" s="427"/>
      <c r="CF73" s="431"/>
      <c r="CG73" s="433"/>
      <c r="CH73" s="432"/>
      <c r="CI73" s="427"/>
      <c r="CJ73" s="431"/>
      <c r="CK73" s="433"/>
      <c r="CL73" s="428"/>
      <c r="CM73" s="426"/>
      <c r="CN73" s="468">
        <f t="shared" si="30"/>
        <v>0</v>
      </c>
      <c r="CO73" s="468">
        <f t="shared" si="31"/>
        <v>0</v>
      </c>
      <c r="CP73" s="469">
        <f t="shared" si="32"/>
        <v>0</v>
      </c>
      <c r="CQ73" s="469">
        <f t="shared" si="33"/>
        <v>0</v>
      </c>
      <c r="CR73" s="430"/>
      <c r="CS73" s="427"/>
      <c r="CT73" s="431"/>
      <c r="CU73" s="431"/>
      <c r="CV73" s="432"/>
      <c r="CW73" s="427"/>
      <c r="CX73" s="431"/>
      <c r="CY73" s="433"/>
      <c r="CZ73" s="432"/>
      <c r="DA73" s="427"/>
      <c r="DB73" s="431"/>
      <c r="DC73" s="433"/>
      <c r="DD73" s="432"/>
      <c r="DE73" s="427"/>
      <c r="DF73" s="431"/>
      <c r="DG73" s="433"/>
      <c r="DH73" s="432"/>
      <c r="DI73" s="427"/>
      <c r="DJ73" s="431"/>
      <c r="DK73" s="433"/>
      <c r="DL73" s="432"/>
      <c r="DM73" s="427"/>
      <c r="DN73" s="431"/>
      <c r="DO73" s="433"/>
      <c r="DP73" s="432"/>
      <c r="DQ73" s="427"/>
      <c r="DR73" s="431"/>
      <c r="DS73" s="433"/>
      <c r="DT73" s="432"/>
      <c r="DU73" s="427"/>
      <c r="DV73" s="431"/>
      <c r="DW73" s="433"/>
      <c r="DX73" s="432"/>
      <c r="DY73" s="427"/>
      <c r="DZ73" s="431"/>
      <c r="EA73" s="433"/>
      <c r="EB73" s="432"/>
      <c r="EC73" s="427"/>
      <c r="ED73" s="431"/>
      <c r="EE73" s="433"/>
      <c r="EF73" s="428"/>
      <c r="EG73" s="426"/>
      <c r="EH73" s="460">
        <f t="shared" si="34"/>
        <v>0</v>
      </c>
      <c r="EI73" s="460">
        <f t="shared" si="35"/>
        <v>0</v>
      </c>
      <c r="EJ73" s="458">
        <f t="shared" si="36"/>
        <v>0</v>
      </c>
      <c r="EK73" s="470">
        <f t="shared" si="37"/>
        <v>0</v>
      </c>
      <c r="EL73" s="470">
        <f t="shared" si="38"/>
        <v>0</v>
      </c>
      <c r="EM73" s="449">
        <f t="shared" si="39"/>
        <v>0</v>
      </c>
      <c r="EN73" s="460">
        <f t="shared" si="40"/>
        <v>0</v>
      </c>
      <c r="EO73" s="469">
        <f t="shared" si="41"/>
        <v>0</v>
      </c>
      <c r="EP73" s="434"/>
      <c r="EQ73" s="426"/>
      <c r="ER73" s="434"/>
      <c r="ES73" s="426"/>
      <c r="ET73" s="434"/>
      <c r="EU73" s="426"/>
      <c r="EV73" s="434"/>
      <c r="EW73" s="426"/>
      <c r="EX73" s="434"/>
      <c r="EY73" s="426"/>
      <c r="EZ73" s="434"/>
      <c r="FA73" s="426"/>
      <c r="FB73" s="434"/>
      <c r="FC73" s="426"/>
      <c r="FD73" s="434"/>
      <c r="FE73" s="426"/>
      <c r="FF73" s="434"/>
      <c r="FG73" s="426"/>
      <c r="FH73" s="435"/>
      <c r="FI73" s="426"/>
      <c r="FJ73" s="468">
        <f t="shared" si="42"/>
        <v>0</v>
      </c>
      <c r="FK73" s="469">
        <f t="shared" si="43"/>
        <v>0</v>
      </c>
      <c r="FL73" s="435"/>
      <c r="FM73" s="426"/>
      <c r="FN73" s="460">
        <f t="shared" si="44"/>
        <v>375</v>
      </c>
      <c r="FO73" s="469">
        <f t="shared" si="45"/>
        <v>403</v>
      </c>
    </row>
    <row r="74" spans="1:171" x14ac:dyDescent="0.2">
      <c r="A74" s="734" t="s">
        <v>980</v>
      </c>
      <c r="B74" s="664" t="s">
        <v>1005</v>
      </c>
      <c r="C74" s="665"/>
      <c r="D74" s="531">
        <v>107619</v>
      </c>
      <c r="E74" s="531">
        <v>10</v>
      </c>
      <c r="F74" s="457">
        <v>260</v>
      </c>
      <c r="G74" s="628">
        <v>167</v>
      </c>
      <c r="H74" s="427"/>
      <c r="I74" s="426"/>
      <c r="J74" s="427">
        <v>221</v>
      </c>
      <c r="K74" s="426">
        <v>122</v>
      </c>
      <c r="L74" s="458">
        <f t="shared" si="24"/>
        <v>0</v>
      </c>
      <c r="M74" s="449">
        <f t="shared" si="25"/>
        <v>0</v>
      </c>
      <c r="N74" s="428"/>
      <c r="O74" s="428"/>
      <c r="P74" s="428"/>
      <c r="Q74" s="428"/>
      <c r="R74" s="460">
        <f t="shared" ref="R74:R137" si="46">SUM(O74:Q74)</f>
        <v>0</v>
      </c>
      <c r="S74" s="461"/>
      <c r="T74" s="429"/>
      <c r="U74" s="429"/>
      <c r="V74" s="429"/>
      <c r="W74" s="462">
        <f t="shared" ref="W74:W137" si="47">SUM(T74:V74)</f>
        <v>0</v>
      </c>
      <c r="X74" s="430"/>
      <c r="Y74" s="427"/>
      <c r="Z74" s="431"/>
      <c r="AA74" s="431"/>
      <c r="AB74" s="432"/>
      <c r="AC74" s="427"/>
      <c r="AD74" s="431"/>
      <c r="AE74" s="433"/>
      <c r="AF74" s="432"/>
      <c r="AG74" s="427"/>
      <c r="AH74" s="431"/>
      <c r="AI74" s="433"/>
      <c r="AJ74" s="432"/>
      <c r="AK74" s="427"/>
      <c r="AL74" s="431"/>
      <c r="AM74" s="433"/>
      <c r="AN74" s="432"/>
      <c r="AO74" s="427"/>
      <c r="AP74" s="431"/>
      <c r="AQ74" s="431"/>
      <c r="AR74" s="460">
        <f t="shared" si="26"/>
        <v>0</v>
      </c>
      <c r="AS74" s="467">
        <f t="shared" si="27"/>
        <v>0</v>
      </c>
      <c r="AT74" s="447">
        <f t="shared" si="28"/>
        <v>0</v>
      </c>
      <c r="AU74" s="448">
        <f t="shared" si="29"/>
        <v>0</v>
      </c>
      <c r="AV74" s="427"/>
      <c r="AW74" s="628"/>
      <c r="AX74" s="430"/>
      <c r="AY74" s="427"/>
      <c r="AZ74" s="431"/>
      <c r="BA74" s="431"/>
      <c r="BB74" s="432"/>
      <c r="BC74" s="427"/>
      <c r="BD74" s="431"/>
      <c r="BE74" s="433"/>
      <c r="BF74" s="432"/>
      <c r="BG74" s="427"/>
      <c r="BH74" s="431"/>
      <c r="BI74" s="433"/>
      <c r="BJ74" s="432"/>
      <c r="BK74" s="427"/>
      <c r="BL74" s="431"/>
      <c r="BM74" s="433"/>
      <c r="BN74" s="432"/>
      <c r="BO74" s="427"/>
      <c r="BP74" s="431"/>
      <c r="BQ74" s="433"/>
      <c r="BR74" s="432"/>
      <c r="BS74" s="427"/>
      <c r="BT74" s="392"/>
      <c r="BU74" s="392"/>
      <c r="BV74" s="432"/>
      <c r="BW74" s="427"/>
      <c r="BX74" s="431"/>
      <c r="BY74" s="433"/>
      <c r="BZ74" s="432"/>
      <c r="CA74" s="427"/>
      <c r="CB74" s="431"/>
      <c r="CC74" s="433"/>
      <c r="CD74" s="432"/>
      <c r="CE74" s="427"/>
      <c r="CF74" s="431"/>
      <c r="CG74" s="433"/>
      <c r="CH74" s="432"/>
      <c r="CI74" s="427"/>
      <c r="CJ74" s="431"/>
      <c r="CK74" s="433"/>
      <c r="CL74" s="428"/>
      <c r="CM74" s="426"/>
      <c r="CN74" s="468">
        <f t="shared" si="30"/>
        <v>0</v>
      </c>
      <c r="CO74" s="468">
        <f t="shared" si="31"/>
        <v>0</v>
      </c>
      <c r="CP74" s="469">
        <f t="shared" si="32"/>
        <v>0</v>
      </c>
      <c r="CQ74" s="469">
        <f t="shared" si="33"/>
        <v>0</v>
      </c>
      <c r="CR74" s="430"/>
      <c r="CS74" s="427"/>
      <c r="CT74" s="431"/>
      <c r="CU74" s="431"/>
      <c r="CV74" s="432"/>
      <c r="CW74" s="427"/>
      <c r="CX74" s="431"/>
      <c r="CY74" s="433"/>
      <c r="CZ74" s="432"/>
      <c r="DA74" s="427"/>
      <c r="DB74" s="431"/>
      <c r="DC74" s="433"/>
      <c r="DD74" s="432"/>
      <c r="DE74" s="427"/>
      <c r="DF74" s="431"/>
      <c r="DG74" s="433"/>
      <c r="DH74" s="432"/>
      <c r="DI74" s="427"/>
      <c r="DJ74" s="431"/>
      <c r="DK74" s="433"/>
      <c r="DL74" s="432"/>
      <c r="DM74" s="427"/>
      <c r="DN74" s="431"/>
      <c r="DO74" s="433"/>
      <c r="DP74" s="432"/>
      <c r="DQ74" s="427"/>
      <c r="DR74" s="431"/>
      <c r="DS74" s="433"/>
      <c r="DT74" s="432"/>
      <c r="DU74" s="427"/>
      <c r="DV74" s="431"/>
      <c r="DW74" s="433"/>
      <c r="DX74" s="432"/>
      <c r="DY74" s="427"/>
      <c r="DZ74" s="431"/>
      <c r="EA74" s="433"/>
      <c r="EB74" s="432"/>
      <c r="EC74" s="427"/>
      <c r="ED74" s="431"/>
      <c r="EE74" s="433"/>
      <c r="EF74" s="428"/>
      <c r="EG74" s="426"/>
      <c r="EH74" s="460">
        <f t="shared" si="34"/>
        <v>0</v>
      </c>
      <c r="EI74" s="460">
        <f t="shared" si="35"/>
        <v>0</v>
      </c>
      <c r="EJ74" s="458">
        <f t="shared" si="36"/>
        <v>0</v>
      </c>
      <c r="EK74" s="470">
        <f t="shared" si="37"/>
        <v>0</v>
      </c>
      <c r="EL74" s="470">
        <f t="shared" si="38"/>
        <v>0</v>
      </c>
      <c r="EM74" s="449">
        <f t="shared" si="39"/>
        <v>0</v>
      </c>
      <c r="EN74" s="460">
        <f t="shared" si="40"/>
        <v>0</v>
      </c>
      <c r="EO74" s="469">
        <f t="shared" si="41"/>
        <v>0</v>
      </c>
      <c r="EP74" s="434"/>
      <c r="EQ74" s="426"/>
      <c r="ER74" s="434"/>
      <c r="ES74" s="426"/>
      <c r="ET74" s="434"/>
      <c r="EU74" s="426"/>
      <c r="EV74" s="434"/>
      <c r="EW74" s="426"/>
      <c r="EX74" s="434"/>
      <c r="EY74" s="426"/>
      <c r="EZ74" s="434"/>
      <c r="FA74" s="426"/>
      <c r="FB74" s="434"/>
      <c r="FC74" s="426"/>
      <c r="FD74" s="434"/>
      <c r="FE74" s="426"/>
      <c r="FF74" s="434"/>
      <c r="FG74" s="426"/>
      <c r="FH74" s="435"/>
      <c r="FI74" s="426"/>
      <c r="FJ74" s="468">
        <f t="shared" si="42"/>
        <v>0</v>
      </c>
      <c r="FK74" s="469">
        <f t="shared" si="43"/>
        <v>0</v>
      </c>
      <c r="FL74" s="435"/>
      <c r="FM74" s="426"/>
      <c r="FN74" s="460">
        <f t="shared" si="44"/>
        <v>481</v>
      </c>
      <c r="FO74" s="469">
        <f t="shared" si="45"/>
        <v>289</v>
      </c>
    </row>
    <row r="75" spans="1:171" x14ac:dyDescent="0.2">
      <c r="A75" s="734" t="s">
        <v>980</v>
      </c>
      <c r="B75" s="664" t="s">
        <v>1006</v>
      </c>
      <c r="C75" s="665"/>
      <c r="D75" s="531">
        <v>107743</v>
      </c>
      <c r="E75" s="531">
        <v>10</v>
      </c>
      <c r="F75" s="457">
        <v>102</v>
      </c>
      <c r="G75" s="628">
        <v>135</v>
      </c>
      <c r="H75" s="427"/>
      <c r="I75" s="426"/>
      <c r="J75" s="427">
        <v>95</v>
      </c>
      <c r="K75" s="426">
        <v>117</v>
      </c>
      <c r="L75" s="458">
        <f t="shared" ref="L75:L138" si="48">IF(N75&gt;0,J75/N75, )</f>
        <v>0</v>
      </c>
      <c r="M75" s="449">
        <f t="shared" ref="M75:M138" si="49">IF(S75&gt;0,K75/S75, )</f>
        <v>0</v>
      </c>
      <c r="N75" s="428"/>
      <c r="O75" s="428"/>
      <c r="P75" s="428"/>
      <c r="Q75" s="428"/>
      <c r="R75" s="460">
        <f t="shared" si="46"/>
        <v>0</v>
      </c>
      <c r="S75" s="461"/>
      <c r="T75" s="429"/>
      <c r="U75" s="429"/>
      <c r="V75" s="429"/>
      <c r="W75" s="462">
        <f t="shared" si="47"/>
        <v>0</v>
      </c>
      <c r="X75" s="430"/>
      <c r="Y75" s="427"/>
      <c r="Z75" s="431"/>
      <c r="AA75" s="431"/>
      <c r="AB75" s="432"/>
      <c r="AC75" s="427"/>
      <c r="AD75" s="431"/>
      <c r="AE75" s="433"/>
      <c r="AF75" s="432"/>
      <c r="AG75" s="427"/>
      <c r="AH75" s="431"/>
      <c r="AI75" s="433"/>
      <c r="AJ75" s="432"/>
      <c r="AK75" s="427"/>
      <c r="AL75" s="431"/>
      <c r="AM75" s="433"/>
      <c r="AN75" s="432"/>
      <c r="AO75" s="427"/>
      <c r="AP75" s="431"/>
      <c r="AQ75" s="431"/>
      <c r="AR75" s="460">
        <f t="shared" ref="AR75:AR138" si="50">COUNTA(X75,AB75,AF75,AJ75,AN75)</f>
        <v>0</v>
      </c>
      <c r="AS75" s="467">
        <f t="shared" ref="AS75:AS138" si="51">IF(FN75&gt;0,N75/FN75,)</f>
        <v>0</v>
      </c>
      <c r="AT75" s="447">
        <f t="shared" ref="AT75:AT138" si="52">COUNTA(Z75,AD75,AH75,AL75,AP75)</f>
        <v>0</v>
      </c>
      <c r="AU75" s="448">
        <f t="shared" ref="AU75:AU138" si="53">IF(FO75&gt;0,S75/FO75,)</f>
        <v>0</v>
      </c>
      <c r="AV75" s="427"/>
      <c r="AW75" s="628"/>
      <c r="AX75" s="430"/>
      <c r="AY75" s="427"/>
      <c r="AZ75" s="431"/>
      <c r="BA75" s="431"/>
      <c r="BB75" s="432"/>
      <c r="BC75" s="427"/>
      <c r="BD75" s="431"/>
      <c r="BE75" s="433"/>
      <c r="BF75" s="432"/>
      <c r="BG75" s="427"/>
      <c r="BH75" s="431"/>
      <c r="BI75" s="433"/>
      <c r="BJ75" s="432"/>
      <c r="BK75" s="427"/>
      <c r="BL75" s="431"/>
      <c r="BM75" s="433"/>
      <c r="BN75" s="432"/>
      <c r="BO75" s="427"/>
      <c r="BP75" s="431"/>
      <c r="BQ75" s="433"/>
      <c r="BR75" s="432"/>
      <c r="BS75" s="427"/>
      <c r="BT75" s="392"/>
      <c r="BU75" s="392"/>
      <c r="BV75" s="432"/>
      <c r="BW75" s="427"/>
      <c r="BX75" s="431"/>
      <c r="BY75" s="433"/>
      <c r="BZ75" s="432"/>
      <c r="CA75" s="427"/>
      <c r="CB75" s="431"/>
      <c r="CC75" s="433"/>
      <c r="CD75" s="432"/>
      <c r="CE75" s="427"/>
      <c r="CF75" s="431"/>
      <c r="CG75" s="433"/>
      <c r="CH75" s="432"/>
      <c r="CI75" s="427"/>
      <c r="CJ75" s="431"/>
      <c r="CK75" s="433"/>
      <c r="CL75" s="428"/>
      <c r="CM75" s="426"/>
      <c r="CN75" s="468">
        <f t="shared" ref="CN75:CN138" si="54">AY75+BC75+BG75+BK75+BO75+BS75+BW75+CA75+CE75+CI75+CL75</f>
        <v>0</v>
      </c>
      <c r="CO75" s="468">
        <f t="shared" ref="CO75:CO138" si="55">COUNTA(AX75,BB75,BF75,BJ75,BN75,BR75,BV75,BZ75,CD75,CH75)</f>
        <v>0</v>
      </c>
      <c r="CP75" s="469">
        <f t="shared" ref="CP75:CP138" si="56">BA75+BE75+BI75+BM75+BQ75+BU75+BY75+CC75+CG75+CK75+CM75</f>
        <v>0</v>
      </c>
      <c r="CQ75" s="469">
        <f t="shared" ref="CQ75:CQ138" si="57">COUNTA(AZ75,BD75,BH75,BL75,BP75,BT75,BX75,CB75,CF75,CJ75)</f>
        <v>0</v>
      </c>
      <c r="CR75" s="430"/>
      <c r="CS75" s="427"/>
      <c r="CT75" s="431"/>
      <c r="CU75" s="431"/>
      <c r="CV75" s="432"/>
      <c r="CW75" s="427"/>
      <c r="CX75" s="431"/>
      <c r="CY75" s="433"/>
      <c r="CZ75" s="432"/>
      <c r="DA75" s="427"/>
      <c r="DB75" s="431"/>
      <c r="DC75" s="433"/>
      <c r="DD75" s="432"/>
      <c r="DE75" s="427"/>
      <c r="DF75" s="431"/>
      <c r="DG75" s="433"/>
      <c r="DH75" s="432"/>
      <c r="DI75" s="427"/>
      <c r="DJ75" s="431"/>
      <c r="DK75" s="433"/>
      <c r="DL75" s="432"/>
      <c r="DM75" s="427"/>
      <c r="DN75" s="431"/>
      <c r="DO75" s="433"/>
      <c r="DP75" s="432"/>
      <c r="DQ75" s="427"/>
      <c r="DR75" s="431"/>
      <c r="DS75" s="433"/>
      <c r="DT75" s="432"/>
      <c r="DU75" s="427"/>
      <c r="DV75" s="431"/>
      <c r="DW75" s="433"/>
      <c r="DX75" s="432"/>
      <c r="DY75" s="427"/>
      <c r="DZ75" s="431"/>
      <c r="EA75" s="433"/>
      <c r="EB75" s="432"/>
      <c r="EC75" s="427"/>
      <c r="ED75" s="431"/>
      <c r="EE75" s="433"/>
      <c r="EF75" s="428"/>
      <c r="EG75" s="426"/>
      <c r="EH75" s="460">
        <f t="shared" ref="EH75:EH138" si="58">CS75+CW75+DA75+DE75+DI75+DM75+DQ75+DU75+DY75+EC75+EF75</f>
        <v>0</v>
      </c>
      <c r="EI75" s="460">
        <f t="shared" ref="EI75:EI138" si="59">COUNTA(CR75,CV75,CZ75,DD75,DH75,DL75,DP75,DT75,DX75,EB75)</f>
        <v>0</v>
      </c>
      <c r="EJ75" s="458">
        <f t="shared" ref="EJ75:EJ138" si="60">IF(EH75&gt;0,CS75/EH75,)</f>
        <v>0</v>
      </c>
      <c r="EK75" s="470">
        <f t="shared" ref="EK75:EK138" si="61">CU75+CY75+DC75+DG75+DK75+DO75+DS75+DW75+EA75+EE75+EG75</f>
        <v>0</v>
      </c>
      <c r="EL75" s="470">
        <f t="shared" ref="EL75:EL138" si="62">COUNTA(CT75,CX75,DB75,DF75,DJ75,DN75,DR75,DV75,DZ75,ED75)</f>
        <v>0</v>
      </c>
      <c r="EM75" s="449">
        <f t="shared" ref="EM75:EM138" si="63">IF(EK75&gt;0,CU75/EK75,)</f>
        <v>0</v>
      </c>
      <c r="EN75" s="460">
        <f t="shared" ref="EN75:EN138" si="64">CN75+EH75</f>
        <v>0</v>
      </c>
      <c r="EO75" s="469">
        <f t="shared" ref="EO75:EO138" si="65">CP75+EK75</f>
        <v>0</v>
      </c>
      <c r="EP75" s="434"/>
      <c r="EQ75" s="426"/>
      <c r="ER75" s="434"/>
      <c r="ES75" s="426"/>
      <c r="ET75" s="434"/>
      <c r="EU75" s="426"/>
      <c r="EV75" s="434"/>
      <c r="EW75" s="426"/>
      <c r="EX75" s="434"/>
      <c r="EY75" s="426"/>
      <c r="EZ75" s="434"/>
      <c r="FA75" s="426"/>
      <c r="FB75" s="434"/>
      <c r="FC75" s="426"/>
      <c r="FD75" s="434"/>
      <c r="FE75" s="426"/>
      <c r="FF75" s="434"/>
      <c r="FG75" s="426"/>
      <c r="FH75" s="435"/>
      <c r="FI75" s="426"/>
      <c r="FJ75" s="468">
        <f t="shared" ref="FJ75:FJ138" si="66">EP75+ER75+ET75+EV75+EX75+EZ75+FB75+FD75+FF75+FH75</f>
        <v>0</v>
      </c>
      <c r="FK75" s="469">
        <f t="shared" ref="FK75:FK138" si="67">EQ75+ES75+EU75+EW75+EY75+FA75+FC75+FE75+FG75+FI75</f>
        <v>0</v>
      </c>
      <c r="FL75" s="435"/>
      <c r="FM75" s="426"/>
      <c r="FN75" s="460">
        <f t="shared" ref="FN75:FN138" si="68">F75+H75+J75+N75+AV75+EN75+FJ75+FL75</f>
        <v>197</v>
      </c>
      <c r="FO75" s="469">
        <f t="shared" ref="FO75:FO138" si="69">G75+I75+K75+S75+AW75+EO75+FK75+FM75</f>
        <v>252</v>
      </c>
    </row>
    <row r="76" spans="1:171" x14ac:dyDescent="0.2">
      <c r="A76" s="663" t="s">
        <v>980</v>
      </c>
      <c r="B76" s="664" t="s">
        <v>1007</v>
      </c>
      <c r="C76" s="665"/>
      <c r="D76" s="531">
        <v>107974</v>
      </c>
      <c r="E76" s="531">
        <v>10</v>
      </c>
      <c r="F76" s="457">
        <v>310</v>
      </c>
      <c r="G76" s="628">
        <v>473</v>
      </c>
      <c r="H76" s="427"/>
      <c r="I76" s="426"/>
      <c r="J76" s="427">
        <v>136</v>
      </c>
      <c r="K76" s="426">
        <v>158</v>
      </c>
      <c r="L76" s="458">
        <f t="shared" si="48"/>
        <v>0</v>
      </c>
      <c r="M76" s="449">
        <f t="shared" si="49"/>
        <v>0</v>
      </c>
      <c r="N76" s="428"/>
      <c r="O76" s="428"/>
      <c r="P76" s="428"/>
      <c r="Q76" s="428"/>
      <c r="R76" s="460">
        <f t="shared" si="46"/>
        <v>0</v>
      </c>
      <c r="S76" s="461"/>
      <c r="T76" s="429"/>
      <c r="U76" s="429"/>
      <c r="V76" s="429"/>
      <c r="W76" s="462">
        <f t="shared" si="47"/>
        <v>0</v>
      </c>
      <c r="X76" s="430"/>
      <c r="Y76" s="427"/>
      <c r="Z76" s="431"/>
      <c r="AA76" s="431"/>
      <c r="AB76" s="432"/>
      <c r="AC76" s="427"/>
      <c r="AD76" s="431"/>
      <c r="AE76" s="433"/>
      <c r="AF76" s="432"/>
      <c r="AG76" s="427"/>
      <c r="AH76" s="431"/>
      <c r="AI76" s="433"/>
      <c r="AJ76" s="432"/>
      <c r="AK76" s="427"/>
      <c r="AL76" s="431"/>
      <c r="AM76" s="433"/>
      <c r="AN76" s="432"/>
      <c r="AO76" s="427"/>
      <c r="AP76" s="431"/>
      <c r="AQ76" s="431"/>
      <c r="AR76" s="460">
        <f t="shared" si="50"/>
        <v>0</v>
      </c>
      <c r="AS76" s="467">
        <f t="shared" si="51"/>
        <v>0</v>
      </c>
      <c r="AT76" s="447">
        <f t="shared" si="52"/>
        <v>0</v>
      </c>
      <c r="AU76" s="448">
        <f t="shared" si="53"/>
        <v>0</v>
      </c>
      <c r="AV76" s="427"/>
      <c r="AW76" s="628"/>
      <c r="AX76" s="430"/>
      <c r="AY76" s="427"/>
      <c r="AZ76" s="431"/>
      <c r="BA76" s="431"/>
      <c r="BB76" s="432"/>
      <c r="BC76" s="427"/>
      <c r="BD76" s="431"/>
      <c r="BE76" s="433"/>
      <c r="BF76" s="432"/>
      <c r="BG76" s="427"/>
      <c r="BH76" s="431"/>
      <c r="BI76" s="433"/>
      <c r="BJ76" s="432"/>
      <c r="BK76" s="427"/>
      <c r="BL76" s="431"/>
      <c r="BM76" s="433"/>
      <c r="BN76" s="432"/>
      <c r="BO76" s="427"/>
      <c r="BP76" s="431"/>
      <c r="BQ76" s="433"/>
      <c r="BR76" s="432"/>
      <c r="BS76" s="427"/>
      <c r="BT76" s="392"/>
      <c r="BU76" s="392"/>
      <c r="BV76" s="432"/>
      <c r="BW76" s="427"/>
      <c r="BX76" s="431"/>
      <c r="BY76" s="433"/>
      <c r="BZ76" s="432"/>
      <c r="CA76" s="427"/>
      <c r="CB76" s="431"/>
      <c r="CC76" s="433"/>
      <c r="CD76" s="432"/>
      <c r="CE76" s="427"/>
      <c r="CF76" s="431"/>
      <c r="CG76" s="433"/>
      <c r="CH76" s="432"/>
      <c r="CI76" s="427"/>
      <c r="CJ76" s="431"/>
      <c r="CK76" s="433"/>
      <c r="CL76" s="428"/>
      <c r="CM76" s="426"/>
      <c r="CN76" s="468">
        <f t="shared" si="54"/>
        <v>0</v>
      </c>
      <c r="CO76" s="468">
        <f t="shared" si="55"/>
        <v>0</v>
      </c>
      <c r="CP76" s="469">
        <f t="shared" si="56"/>
        <v>0</v>
      </c>
      <c r="CQ76" s="469">
        <f t="shared" si="57"/>
        <v>0</v>
      </c>
      <c r="CR76" s="430"/>
      <c r="CS76" s="427"/>
      <c r="CT76" s="431"/>
      <c r="CU76" s="431"/>
      <c r="CV76" s="432"/>
      <c r="CW76" s="427"/>
      <c r="CX76" s="431"/>
      <c r="CY76" s="433"/>
      <c r="CZ76" s="432"/>
      <c r="DA76" s="427"/>
      <c r="DB76" s="431"/>
      <c r="DC76" s="433"/>
      <c r="DD76" s="432"/>
      <c r="DE76" s="427"/>
      <c r="DF76" s="431"/>
      <c r="DG76" s="433"/>
      <c r="DH76" s="432"/>
      <c r="DI76" s="427"/>
      <c r="DJ76" s="431"/>
      <c r="DK76" s="433"/>
      <c r="DL76" s="432"/>
      <c r="DM76" s="427"/>
      <c r="DN76" s="431"/>
      <c r="DO76" s="433"/>
      <c r="DP76" s="432"/>
      <c r="DQ76" s="427"/>
      <c r="DR76" s="431"/>
      <c r="DS76" s="433"/>
      <c r="DT76" s="432"/>
      <c r="DU76" s="427"/>
      <c r="DV76" s="431"/>
      <c r="DW76" s="433"/>
      <c r="DX76" s="432"/>
      <c r="DY76" s="427"/>
      <c r="DZ76" s="431"/>
      <c r="EA76" s="433"/>
      <c r="EB76" s="432"/>
      <c r="EC76" s="427"/>
      <c r="ED76" s="431"/>
      <c r="EE76" s="433"/>
      <c r="EF76" s="428"/>
      <c r="EG76" s="426"/>
      <c r="EH76" s="460">
        <f t="shared" si="58"/>
        <v>0</v>
      </c>
      <c r="EI76" s="460">
        <f t="shared" si="59"/>
        <v>0</v>
      </c>
      <c r="EJ76" s="458">
        <f t="shared" si="60"/>
        <v>0</v>
      </c>
      <c r="EK76" s="470">
        <f t="shared" si="61"/>
        <v>0</v>
      </c>
      <c r="EL76" s="470">
        <f t="shared" si="62"/>
        <v>0</v>
      </c>
      <c r="EM76" s="449">
        <f t="shared" si="63"/>
        <v>0</v>
      </c>
      <c r="EN76" s="460">
        <f t="shared" si="64"/>
        <v>0</v>
      </c>
      <c r="EO76" s="469">
        <f t="shared" si="65"/>
        <v>0</v>
      </c>
      <c r="EP76" s="434"/>
      <c r="EQ76" s="426"/>
      <c r="ER76" s="434"/>
      <c r="ES76" s="426"/>
      <c r="ET76" s="434"/>
      <c r="EU76" s="426"/>
      <c r="EV76" s="434"/>
      <c r="EW76" s="426"/>
      <c r="EX76" s="434"/>
      <c r="EY76" s="426"/>
      <c r="EZ76" s="434"/>
      <c r="FA76" s="426"/>
      <c r="FB76" s="434"/>
      <c r="FC76" s="426"/>
      <c r="FD76" s="434"/>
      <c r="FE76" s="426"/>
      <c r="FF76" s="434"/>
      <c r="FG76" s="426"/>
      <c r="FH76" s="435"/>
      <c r="FI76" s="426"/>
      <c r="FJ76" s="468">
        <f t="shared" si="66"/>
        <v>0</v>
      </c>
      <c r="FK76" s="469">
        <f t="shared" si="67"/>
        <v>0</v>
      </c>
      <c r="FL76" s="435"/>
      <c r="FM76" s="426"/>
      <c r="FN76" s="460">
        <f t="shared" si="68"/>
        <v>446</v>
      </c>
      <c r="FO76" s="469">
        <f t="shared" si="69"/>
        <v>631</v>
      </c>
    </row>
    <row r="77" spans="1:171" x14ac:dyDescent="0.2">
      <c r="A77" s="663" t="s">
        <v>980</v>
      </c>
      <c r="B77" s="664" t="s">
        <v>1008</v>
      </c>
      <c r="C77" s="665"/>
      <c r="D77" s="531">
        <v>107637</v>
      </c>
      <c r="E77" s="531">
        <v>10</v>
      </c>
      <c r="F77" s="457">
        <v>427</v>
      </c>
      <c r="G77" s="628">
        <v>512</v>
      </c>
      <c r="H77" s="427"/>
      <c r="I77" s="426"/>
      <c r="J77" s="427">
        <v>168</v>
      </c>
      <c r="K77" s="426">
        <v>196</v>
      </c>
      <c r="L77" s="458">
        <f t="shared" si="48"/>
        <v>0</v>
      </c>
      <c r="M77" s="449">
        <f t="shared" si="49"/>
        <v>0</v>
      </c>
      <c r="N77" s="428"/>
      <c r="O77" s="428"/>
      <c r="P77" s="428"/>
      <c r="Q77" s="428"/>
      <c r="R77" s="460">
        <f t="shared" si="46"/>
        <v>0</v>
      </c>
      <c r="S77" s="461"/>
      <c r="T77" s="429"/>
      <c r="U77" s="429"/>
      <c r="V77" s="429"/>
      <c r="W77" s="462">
        <f t="shared" si="47"/>
        <v>0</v>
      </c>
      <c r="X77" s="430"/>
      <c r="Y77" s="427"/>
      <c r="Z77" s="431"/>
      <c r="AA77" s="431"/>
      <c r="AB77" s="432"/>
      <c r="AC77" s="427"/>
      <c r="AD77" s="431"/>
      <c r="AE77" s="433"/>
      <c r="AF77" s="432"/>
      <c r="AG77" s="427"/>
      <c r="AH77" s="431"/>
      <c r="AI77" s="433"/>
      <c r="AJ77" s="432"/>
      <c r="AK77" s="427"/>
      <c r="AL77" s="431"/>
      <c r="AM77" s="433"/>
      <c r="AN77" s="432"/>
      <c r="AO77" s="427"/>
      <c r="AP77" s="431"/>
      <c r="AQ77" s="431"/>
      <c r="AR77" s="460">
        <f t="shared" si="50"/>
        <v>0</v>
      </c>
      <c r="AS77" s="467">
        <f t="shared" si="51"/>
        <v>0</v>
      </c>
      <c r="AT77" s="447">
        <f t="shared" si="52"/>
        <v>0</v>
      </c>
      <c r="AU77" s="448">
        <f t="shared" si="53"/>
        <v>0</v>
      </c>
      <c r="AV77" s="427"/>
      <c r="AW77" s="628"/>
      <c r="AX77" s="430"/>
      <c r="AY77" s="427"/>
      <c r="AZ77" s="431"/>
      <c r="BA77" s="431"/>
      <c r="BB77" s="432"/>
      <c r="BC77" s="427"/>
      <c r="BD77" s="431"/>
      <c r="BE77" s="433"/>
      <c r="BF77" s="432"/>
      <c r="BG77" s="427"/>
      <c r="BH77" s="431"/>
      <c r="BI77" s="433"/>
      <c r="BJ77" s="432"/>
      <c r="BK77" s="427"/>
      <c r="BL77" s="431"/>
      <c r="BM77" s="433"/>
      <c r="BN77" s="432"/>
      <c r="BO77" s="427"/>
      <c r="BP77" s="431"/>
      <c r="BQ77" s="433"/>
      <c r="BR77" s="432"/>
      <c r="BS77" s="427"/>
      <c r="BT77" s="392"/>
      <c r="BU77" s="392"/>
      <c r="BV77" s="432"/>
      <c r="BW77" s="427"/>
      <c r="BX77" s="431"/>
      <c r="BY77" s="433"/>
      <c r="BZ77" s="432"/>
      <c r="CA77" s="427"/>
      <c r="CB77" s="431"/>
      <c r="CC77" s="433"/>
      <c r="CD77" s="432"/>
      <c r="CE77" s="427"/>
      <c r="CF77" s="431"/>
      <c r="CG77" s="433"/>
      <c r="CH77" s="432"/>
      <c r="CI77" s="427"/>
      <c r="CJ77" s="431"/>
      <c r="CK77" s="433"/>
      <c r="CL77" s="428"/>
      <c r="CM77" s="426"/>
      <c r="CN77" s="468">
        <f t="shared" si="54"/>
        <v>0</v>
      </c>
      <c r="CO77" s="468">
        <f t="shared" si="55"/>
        <v>0</v>
      </c>
      <c r="CP77" s="469">
        <f t="shared" si="56"/>
        <v>0</v>
      </c>
      <c r="CQ77" s="469">
        <f t="shared" si="57"/>
        <v>0</v>
      </c>
      <c r="CR77" s="430"/>
      <c r="CS77" s="427"/>
      <c r="CT77" s="431"/>
      <c r="CU77" s="431"/>
      <c r="CV77" s="432"/>
      <c r="CW77" s="427"/>
      <c r="CX77" s="431"/>
      <c r="CY77" s="433"/>
      <c r="CZ77" s="432"/>
      <c r="DA77" s="427"/>
      <c r="DB77" s="431"/>
      <c r="DC77" s="433"/>
      <c r="DD77" s="432"/>
      <c r="DE77" s="427"/>
      <c r="DF77" s="431"/>
      <c r="DG77" s="433"/>
      <c r="DH77" s="432"/>
      <c r="DI77" s="427"/>
      <c r="DJ77" s="431"/>
      <c r="DK77" s="433"/>
      <c r="DL77" s="432"/>
      <c r="DM77" s="427"/>
      <c r="DN77" s="431"/>
      <c r="DO77" s="433"/>
      <c r="DP77" s="432"/>
      <c r="DQ77" s="427"/>
      <c r="DR77" s="431"/>
      <c r="DS77" s="433"/>
      <c r="DT77" s="432"/>
      <c r="DU77" s="427"/>
      <c r="DV77" s="431"/>
      <c r="DW77" s="433"/>
      <c r="DX77" s="432"/>
      <c r="DY77" s="427"/>
      <c r="DZ77" s="431"/>
      <c r="EA77" s="433"/>
      <c r="EB77" s="432"/>
      <c r="EC77" s="427"/>
      <c r="ED77" s="431"/>
      <c r="EE77" s="433"/>
      <c r="EF77" s="428"/>
      <c r="EG77" s="426"/>
      <c r="EH77" s="460">
        <f t="shared" si="58"/>
        <v>0</v>
      </c>
      <c r="EI77" s="460">
        <f t="shared" si="59"/>
        <v>0</v>
      </c>
      <c r="EJ77" s="458">
        <f t="shared" si="60"/>
        <v>0</v>
      </c>
      <c r="EK77" s="470">
        <f t="shared" si="61"/>
        <v>0</v>
      </c>
      <c r="EL77" s="470">
        <f t="shared" si="62"/>
        <v>0</v>
      </c>
      <c r="EM77" s="449">
        <f t="shared" si="63"/>
        <v>0</v>
      </c>
      <c r="EN77" s="460">
        <f t="shared" si="64"/>
        <v>0</v>
      </c>
      <c r="EO77" s="469">
        <f t="shared" si="65"/>
        <v>0</v>
      </c>
      <c r="EP77" s="434"/>
      <c r="EQ77" s="426"/>
      <c r="ER77" s="434"/>
      <c r="ES77" s="426"/>
      <c r="ET77" s="434"/>
      <c r="EU77" s="426"/>
      <c r="EV77" s="434"/>
      <c r="EW77" s="426"/>
      <c r="EX77" s="434"/>
      <c r="EY77" s="426"/>
      <c r="EZ77" s="434"/>
      <c r="FA77" s="426"/>
      <c r="FB77" s="434"/>
      <c r="FC77" s="426"/>
      <c r="FD77" s="434"/>
      <c r="FE77" s="426"/>
      <c r="FF77" s="434"/>
      <c r="FG77" s="426"/>
      <c r="FH77" s="435"/>
      <c r="FI77" s="426"/>
      <c r="FJ77" s="468">
        <f t="shared" si="66"/>
        <v>0</v>
      </c>
      <c r="FK77" s="469">
        <f t="shared" si="67"/>
        <v>0</v>
      </c>
      <c r="FL77" s="435"/>
      <c r="FM77" s="426"/>
      <c r="FN77" s="460">
        <f t="shared" si="68"/>
        <v>595</v>
      </c>
      <c r="FO77" s="469">
        <f t="shared" si="69"/>
        <v>708</v>
      </c>
    </row>
    <row r="78" spans="1:171" x14ac:dyDescent="0.2">
      <c r="A78" s="663" t="s">
        <v>980</v>
      </c>
      <c r="B78" s="664" t="s">
        <v>1009</v>
      </c>
      <c r="C78" s="665"/>
      <c r="D78" s="531">
        <v>107992</v>
      </c>
      <c r="E78" s="531">
        <v>10</v>
      </c>
      <c r="F78" s="457">
        <v>612</v>
      </c>
      <c r="G78" s="628">
        <v>604</v>
      </c>
      <c r="H78" s="427"/>
      <c r="I78" s="426"/>
      <c r="J78" s="427">
        <v>140</v>
      </c>
      <c r="K78" s="426">
        <v>138</v>
      </c>
      <c r="L78" s="458">
        <f t="shared" si="48"/>
        <v>0</v>
      </c>
      <c r="M78" s="449">
        <f t="shared" si="49"/>
        <v>0</v>
      </c>
      <c r="N78" s="428"/>
      <c r="O78" s="428"/>
      <c r="P78" s="428"/>
      <c r="Q78" s="428"/>
      <c r="R78" s="460">
        <f t="shared" si="46"/>
        <v>0</v>
      </c>
      <c r="S78" s="461"/>
      <c r="T78" s="429"/>
      <c r="U78" s="429"/>
      <c r="V78" s="429"/>
      <c r="W78" s="462">
        <f t="shared" si="47"/>
        <v>0</v>
      </c>
      <c r="X78" s="430"/>
      <c r="Y78" s="427"/>
      <c r="Z78" s="431"/>
      <c r="AA78" s="431"/>
      <c r="AB78" s="432"/>
      <c r="AC78" s="427"/>
      <c r="AD78" s="431"/>
      <c r="AE78" s="433"/>
      <c r="AF78" s="432"/>
      <c r="AG78" s="427"/>
      <c r="AH78" s="431"/>
      <c r="AI78" s="433"/>
      <c r="AJ78" s="432"/>
      <c r="AK78" s="427"/>
      <c r="AL78" s="431"/>
      <c r="AM78" s="433"/>
      <c r="AN78" s="432"/>
      <c r="AO78" s="427"/>
      <c r="AP78" s="431"/>
      <c r="AQ78" s="431"/>
      <c r="AR78" s="460">
        <f t="shared" si="50"/>
        <v>0</v>
      </c>
      <c r="AS78" s="467">
        <f t="shared" si="51"/>
        <v>0</v>
      </c>
      <c r="AT78" s="447">
        <f t="shared" si="52"/>
        <v>0</v>
      </c>
      <c r="AU78" s="448">
        <f t="shared" si="53"/>
        <v>0</v>
      </c>
      <c r="AV78" s="427"/>
      <c r="AW78" s="628"/>
      <c r="AX78" s="430"/>
      <c r="AY78" s="427"/>
      <c r="AZ78" s="431"/>
      <c r="BA78" s="431"/>
      <c r="BB78" s="432"/>
      <c r="BC78" s="427"/>
      <c r="BD78" s="431"/>
      <c r="BE78" s="433"/>
      <c r="BF78" s="432"/>
      <c r="BG78" s="427"/>
      <c r="BH78" s="431"/>
      <c r="BI78" s="433"/>
      <c r="BJ78" s="432"/>
      <c r="BK78" s="427"/>
      <c r="BL78" s="431"/>
      <c r="BM78" s="433"/>
      <c r="BN78" s="432"/>
      <c r="BO78" s="427"/>
      <c r="BP78" s="431"/>
      <c r="BQ78" s="433"/>
      <c r="BR78" s="432"/>
      <c r="BS78" s="427"/>
      <c r="BT78" s="392"/>
      <c r="BU78" s="392"/>
      <c r="BV78" s="432"/>
      <c r="BW78" s="427"/>
      <c r="BX78" s="431"/>
      <c r="BY78" s="433"/>
      <c r="BZ78" s="432"/>
      <c r="CA78" s="427"/>
      <c r="CB78" s="431"/>
      <c r="CC78" s="433"/>
      <c r="CD78" s="432"/>
      <c r="CE78" s="427"/>
      <c r="CF78" s="431"/>
      <c r="CG78" s="433"/>
      <c r="CH78" s="432"/>
      <c r="CI78" s="427"/>
      <c r="CJ78" s="431"/>
      <c r="CK78" s="433"/>
      <c r="CL78" s="428"/>
      <c r="CM78" s="426"/>
      <c r="CN78" s="468">
        <f t="shared" si="54"/>
        <v>0</v>
      </c>
      <c r="CO78" s="468">
        <f t="shared" si="55"/>
        <v>0</v>
      </c>
      <c r="CP78" s="469">
        <f t="shared" si="56"/>
        <v>0</v>
      </c>
      <c r="CQ78" s="469">
        <f t="shared" si="57"/>
        <v>0</v>
      </c>
      <c r="CR78" s="430"/>
      <c r="CS78" s="427"/>
      <c r="CT78" s="431"/>
      <c r="CU78" s="431"/>
      <c r="CV78" s="432"/>
      <c r="CW78" s="427"/>
      <c r="CX78" s="431"/>
      <c r="CY78" s="433"/>
      <c r="CZ78" s="432"/>
      <c r="DA78" s="427"/>
      <c r="DB78" s="431"/>
      <c r="DC78" s="433"/>
      <c r="DD78" s="432"/>
      <c r="DE78" s="427"/>
      <c r="DF78" s="431"/>
      <c r="DG78" s="433"/>
      <c r="DH78" s="432"/>
      <c r="DI78" s="427"/>
      <c r="DJ78" s="431"/>
      <c r="DK78" s="433"/>
      <c r="DL78" s="432"/>
      <c r="DM78" s="427"/>
      <c r="DN78" s="431"/>
      <c r="DO78" s="433"/>
      <c r="DP78" s="432"/>
      <c r="DQ78" s="427"/>
      <c r="DR78" s="431"/>
      <c r="DS78" s="433"/>
      <c r="DT78" s="432"/>
      <c r="DU78" s="427"/>
      <c r="DV78" s="431"/>
      <c r="DW78" s="433"/>
      <c r="DX78" s="432"/>
      <c r="DY78" s="427"/>
      <c r="DZ78" s="431"/>
      <c r="EA78" s="433"/>
      <c r="EB78" s="432"/>
      <c r="EC78" s="427"/>
      <c r="ED78" s="431"/>
      <c r="EE78" s="433"/>
      <c r="EF78" s="428"/>
      <c r="EG78" s="426"/>
      <c r="EH78" s="460">
        <f t="shared" si="58"/>
        <v>0</v>
      </c>
      <c r="EI78" s="460">
        <f t="shared" si="59"/>
        <v>0</v>
      </c>
      <c r="EJ78" s="458">
        <f t="shared" si="60"/>
        <v>0</v>
      </c>
      <c r="EK78" s="470">
        <f t="shared" si="61"/>
        <v>0</v>
      </c>
      <c r="EL78" s="470">
        <f t="shared" si="62"/>
        <v>0</v>
      </c>
      <c r="EM78" s="449">
        <f t="shared" si="63"/>
        <v>0</v>
      </c>
      <c r="EN78" s="460">
        <f t="shared" si="64"/>
        <v>0</v>
      </c>
      <c r="EO78" s="469">
        <f t="shared" si="65"/>
        <v>0</v>
      </c>
      <c r="EP78" s="434"/>
      <c r="EQ78" s="426"/>
      <c r="ER78" s="434"/>
      <c r="ES78" s="426"/>
      <c r="ET78" s="434"/>
      <c r="EU78" s="426"/>
      <c r="EV78" s="434"/>
      <c r="EW78" s="426"/>
      <c r="EX78" s="434"/>
      <c r="EY78" s="426"/>
      <c r="EZ78" s="434"/>
      <c r="FA78" s="426"/>
      <c r="FB78" s="434"/>
      <c r="FC78" s="426"/>
      <c r="FD78" s="434"/>
      <c r="FE78" s="426"/>
      <c r="FF78" s="434"/>
      <c r="FG78" s="426"/>
      <c r="FH78" s="435"/>
      <c r="FI78" s="426"/>
      <c r="FJ78" s="468">
        <f t="shared" si="66"/>
        <v>0</v>
      </c>
      <c r="FK78" s="469">
        <f t="shared" si="67"/>
        <v>0</v>
      </c>
      <c r="FL78" s="435"/>
      <c r="FM78" s="426"/>
      <c r="FN78" s="460">
        <f t="shared" si="68"/>
        <v>752</v>
      </c>
      <c r="FO78" s="469">
        <f t="shared" si="69"/>
        <v>742</v>
      </c>
    </row>
    <row r="79" spans="1:171" x14ac:dyDescent="0.2">
      <c r="A79" s="734" t="s">
        <v>980</v>
      </c>
      <c r="B79" s="664" t="s">
        <v>1010</v>
      </c>
      <c r="C79" s="665"/>
      <c r="D79" s="531">
        <v>106999</v>
      </c>
      <c r="E79" s="531">
        <v>10</v>
      </c>
      <c r="F79" s="457">
        <v>331</v>
      </c>
      <c r="G79" s="628">
        <v>253</v>
      </c>
      <c r="H79" s="427"/>
      <c r="I79" s="426"/>
      <c r="J79" s="427">
        <v>240</v>
      </c>
      <c r="K79" s="426">
        <v>221</v>
      </c>
      <c r="L79" s="458">
        <f t="shared" si="48"/>
        <v>0</v>
      </c>
      <c r="M79" s="449">
        <f t="shared" si="49"/>
        <v>0</v>
      </c>
      <c r="N79" s="428"/>
      <c r="O79" s="428"/>
      <c r="P79" s="428"/>
      <c r="Q79" s="428"/>
      <c r="R79" s="460">
        <f t="shared" si="46"/>
        <v>0</v>
      </c>
      <c r="S79" s="461"/>
      <c r="T79" s="429"/>
      <c r="U79" s="429"/>
      <c r="V79" s="429"/>
      <c r="W79" s="462">
        <f t="shared" si="47"/>
        <v>0</v>
      </c>
      <c r="X79" s="430"/>
      <c r="Y79" s="427"/>
      <c r="Z79" s="431"/>
      <c r="AA79" s="431"/>
      <c r="AB79" s="432"/>
      <c r="AC79" s="427"/>
      <c r="AD79" s="431"/>
      <c r="AE79" s="433"/>
      <c r="AF79" s="432"/>
      <c r="AG79" s="427"/>
      <c r="AH79" s="431"/>
      <c r="AI79" s="433"/>
      <c r="AJ79" s="432"/>
      <c r="AK79" s="427"/>
      <c r="AL79" s="431"/>
      <c r="AM79" s="433"/>
      <c r="AN79" s="432"/>
      <c r="AO79" s="427"/>
      <c r="AP79" s="431"/>
      <c r="AQ79" s="431"/>
      <c r="AR79" s="460">
        <f t="shared" si="50"/>
        <v>0</v>
      </c>
      <c r="AS79" s="467">
        <f t="shared" si="51"/>
        <v>0</v>
      </c>
      <c r="AT79" s="447">
        <f t="shared" si="52"/>
        <v>0</v>
      </c>
      <c r="AU79" s="448">
        <f t="shared" si="53"/>
        <v>0</v>
      </c>
      <c r="AV79" s="427"/>
      <c r="AW79" s="628"/>
      <c r="AX79" s="430"/>
      <c r="AY79" s="427"/>
      <c r="AZ79" s="431"/>
      <c r="BA79" s="431"/>
      <c r="BB79" s="432"/>
      <c r="BC79" s="427"/>
      <c r="BD79" s="431"/>
      <c r="BE79" s="433"/>
      <c r="BF79" s="432"/>
      <c r="BG79" s="427"/>
      <c r="BH79" s="431"/>
      <c r="BI79" s="433"/>
      <c r="BJ79" s="432"/>
      <c r="BK79" s="427"/>
      <c r="BL79" s="431"/>
      <c r="BM79" s="433"/>
      <c r="BN79" s="432"/>
      <c r="BO79" s="427"/>
      <c r="BP79" s="431"/>
      <c r="BQ79" s="433"/>
      <c r="BR79" s="432"/>
      <c r="BS79" s="427"/>
      <c r="BT79" s="392"/>
      <c r="BU79" s="392"/>
      <c r="BV79" s="432"/>
      <c r="BW79" s="427"/>
      <c r="BX79" s="431"/>
      <c r="BY79" s="433"/>
      <c r="BZ79" s="432"/>
      <c r="CA79" s="427"/>
      <c r="CB79" s="431"/>
      <c r="CC79" s="433"/>
      <c r="CD79" s="432"/>
      <c r="CE79" s="427"/>
      <c r="CF79" s="431"/>
      <c r="CG79" s="433"/>
      <c r="CH79" s="432"/>
      <c r="CI79" s="427"/>
      <c r="CJ79" s="431"/>
      <c r="CK79" s="433"/>
      <c r="CL79" s="428"/>
      <c r="CM79" s="426"/>
      <c r="CN79" s="468">
        <f t="shared" si="54"/>
        <v>0</v>
      </c>
      <c r="CO79" s="468">
        <f t="shared" si="55"/>
        <v>0</v>
      </c>
      <c r="CP79" s="469">
        <f t="shared" si="56"/>
        <v>0</v>
      </c>
      <c r="CQ79" s="469">
        <f t="shared" si="57"/>
        <v>0</v>
      </c>
      <c r="CR79" s="430"/>
      <c r="CS79" s="427"/>
      <c r="CT79" s="431"/>
      <c r="CU79" s="431"/>
      <c r="CV79" s="432"/>
      <c r="CW79" s="427"/>
      <c r="CX79" s="431"/>
      <c r="CY79" s="433"/>
      <c r="CZ79" s="432"/>
      <c r="DA79" s="427"/>
      <c r="DB79" s="431"/>
      <c r="DC79" s="433"/>
      <c r="DD79" s="432"/>
      <c r="DE79" s="427"/>
      <c r="DF79" s="431"/>
      <c r="DG79" s="433"/>
      <c r="DH79" s="432"/>
      <c r="DI79" s="427"/>
      <c r="DJ79" s="431"/>
      <c r="DK79" s="433"/>
      <c r="DL79" s="432"/>
      <c r="DM79" s="427"/>
      <c r="DN79" s="431"/>
      <c r="DO79" s="433"/>
      <c r="DP79" s="432"/>
      <c r="DQ79" s="427"/>
      <c r="DR79" s="431"/>
      <c r="DS79" s="433"/>
      <c r="DT79" s="432"/>
      <c r="DU79" s="427"/>
      <c r="DV79" s="431"/>
      <c r="DW79" s="433"/>
      <c r="DX79" s="432"/>
      <c r="DY79" s="427"/>
      <c r="DZ79" s="431"/>
      <c r="EA79" s="433"/>
      <c r="EB79" s="432"/>
      <c r="EC79" s="427"/>
      <c r="ED79" s="431"/>
      <c r="EE79" s="433"/>
      <c r="EF79" s="428"/>
      <c r="EG79" s="426"/>
      <c r="EH79" s="460">
        <f t="shared" si="58"/>
        <v>0</v>
      </c>
      <c r="EI79" s="460">
        <f t="shared" si="59"/>
        <v>0</v>
      </c>
      <c r="EJ79" s="458">
        <f t="shared" si="60"/>
        <v>0</v>
      </c>
      <c r="EK79" s="470">
        <f t="shared" si="61"/>
        <v>0</v>
      </c>
      <c r="EL79" s="470">
        <f t="shared" si="62"/>
        <v>0</v>
      </c>
      <c r="EM79" s="449">
        <f t="shared" si="63"/>
        <v>0</v>
      </c>
      <c r="EN79" s="460">
        <f t="shared" si="64"/>
        <v>0</v>
      </c>
      <c r="EO79" s="469">
        <f t="shared" si="65"/>
        <v>0</v>
      </c>
      <c r="EP79" s="434"/>
      <c r="EQ79" s="426"/>
      <c r="ER79" s="434"/>
      <c r="ES79" s="426"/>
      <c r="ET79" s="434"/>
      <c r="EU79" s="426"/>
      <c r="EV79" s="434"/>
      <c r="EW79" s="426"/>
      <c r="EX79" s="434"/>
      <c r="EY79" s="426"/>
      <c r="EZ79" s="434"/>
      <c r="FA79" s="426"/>
      <c r="FB79" s="434"/>
      <c r="FC79" s="426"/>
      <c r="FD79" s="434"/>
      <c r="FE79" s="426"/>
      <c r="FF79" s="434"/>
      <c r="FG79" s="426"/>
      <c r="FH79" s="435"/>
      <c r="FI79" s="426"/>
      <c r="FJ79" s="468">
        <f t="shared" si="66"/>
        <v>0</v>
      </c>
      <c r="FK79" s="469">
        <f t="shared" si="67"/>
        <v>0</v>
      </c>
      <c r="FL79" s="435"/>
      <c r="FM79" s="426"/>
      <c r="FN79" s="460">
        <f t="shared" si="68"/>
        <v>571</v>
      </c>
      <c r="FO79" s="469">
        <f t="shared" si="69"/>
        <v>474</v>
      </c>
    </row>
    <row r="80" spans="1:171" x14ac:dyDescent="0.2">
      <c r="A80" s="663" t="s">
        <v>980</v>
      </c>
      <c r="B80" s="664" t="s">
        <v>1011</v>
      </c>
      <c r="C80" s="665"/>
      <c r="D80" s="531">
        <v>107725</v>
      </c>
      <c r="E80" s="531">
        <v>10</v>
      </c>
      <c r="F80" s="457">
        <v>373</v>
      </c>
      <c r="G80" s="628">
        <v>293</v>
      </c>
      <c r="H80" s="427"/>
      <c r="I80" s="426"/>
      <c r="J80" s="427">
        <v>161</v>
      </c>
      <c r="K80" s="426">
        <v>170</v>
      </c>
      <c r="L80" s="458">
        <f t="shared" si="48"/>
        <v>0</v>
      </c>
      <c r="M80" s="449">
        <f t="shared" si="49"/>
        <v>0</v>
      </c>
      <c r="N80" s="428"/>
      <c r="O80" s="428"/>
      <c r="P80" s="428"/>
      <c r="Q80" s="428"/>
      <c r="R80" s="460">
        <f t="shared" si="46"/>
        <v>0</v>
      </c>
      <c r="S80" s="461"/>
      <c r="T80" s="429"/>
      <c r="U80" s="429"/>
      <c r="V80" s="429"/>
      <c r="W80" s="462">
        <f t="shared" si="47"/>
        <v>0</v>
      </c>
      <c r="X80" s="430"/>
      <c r="Y80" s="427"/>
      <c r="Z80" s="431"/>
      <c r="AA80" s="431"/>
      <c r="AB80" s="432"/>
      <c r="AC80" s="427"/>
      <c r="AD80" s="431"/>
      <c r="AE80" s="433"/>
      <c r="AF80" s="432"/>
      <c r="AG80" s="427"/>
      <c r="AH80" s="431"/>
      <c r="AI80" s="433"/>
      <c r="AJ80" s="432"/>
      <c r="AK80" s="427"/>
      <c r="AL80" s="431"/>
      <c r="AM80" s="433"/>
      <c r="AN80" s="432"/>
      <c r="AO80" s="427"/>
      <c r="AP80" s="431"/>
      <c r="AQ80" s="431"/>
      <c r="AR80" s="460">
        <f t="shared" si="50"/>
        <v>0</v>
      </c>
      <c r="AS80" s="467">
        <f t="shared" si="51"/>
        <v>0</v>
      </c>
      <c r="AT80" s="447">
        <f t="shared" si="52"/>
        <v>0</v>
      </c>
      <c r="AU80" s="448">
        <f t="shared" si="53"/>
        <v>0</v>
      </c>
      <c r="AV80" s="427"/>
      <c r="AW80" s="628"/>
      <c r="AX80" s="430"/>
      <c r="AY80" s="427"/>
      <c r="AZ80" s="431"/>
      <c r="BA80" s="431"/>
      <c r="BB80" s="432"/>
      <c r="BC80" s="427"/>
      <c r="BD80" s="431"/>
      <c r="BE80" s="433"/>
      <c r="BF80" s="432"/>
      <c r="BG80" s="427"/>
      <c r="BH80" s="431"/>
      <c r="BI80" s="433"/>
      <c r="BJ80" s="432"/>
      <c r="BK80" s="427"/>
      <c r="BL80" s="431"/>
      <c r="BM80" s="433"/>
      <c r="BN80" s="432"/>
      <c r="BO80" s="427"/>
      <c r="BP80" s="431"/>
      <c r="BQ80" s="433"/>
      <c r="BR80" s="432"/>
      <c r="BS80" s="427"/>
      <c r="BT80" s="392"/>
      <c r="BU80" s="392"/>
      <c r="BV80" s="432"/>
      <c r="BW80" s="427"/>
      <c r="BX80" s="431"/>
      <c r="BY80" s="433"/>
      <c r="BZ80" s="432"/>
      <c r="CA80" s="427"/>
      <c r="CB80" s="431"/>
      <c r="CC80" s="433"/>
      <c r="CD80" s="432"/>
      <c r="CE80" s="427"/>
      <c r="CF80" s="431"/>
      <c r="CG80" s="433"/>
      <c r="CH80" s="432"/>
      <c r="CI80" s="427"/>
      <c r="CJ80" s="431"/>
      <c r="CK80" s="433"/>
      <c r="CL80" s="428"/>
      <c r="CM80" s="426"/>
      <c r="CN80" s="468">
        <f t="shared" si="54"/>
        <v>0</v>
      </c>
      <c r="CO80" s="468">
        <f t="shared" si="55"/>
        <v>0</v>
      </c>
      <c r="CP80" s="469">
        <f t="shared" si="56"/>
        <v>0</v>
      </c>
      <c r="CQ80" s="469">
        <f t="shared" si="57"/>
        <v>0</v>
      </c>
      <c r="CR80" s="430"/>
      <c r="CS80" s="427"/>
      <c r="CT80" s="431"/>
      <c r="CU80" s="431"/>
      <c r="CV80" s="432"/>
      <c r="CW80" s="427"/>
      <c r="CX80" s="431"/>
      <c r="CY80" s="433"/>
      <c r="CZ80" s="432"/>
      <c r="DA80" s="427"/>
      <c r="DB80" s="431"/>
      <c r="DC80" s="433"/>
      <c r="DD80" s="432"/>
      <c r="DE80" s="427"/>
      <c r="DF80" s="431"/>
      <c r="DG80" s="433"/>
      <c r="DH80" s="432"/>
      <c r="DI80" s="427"/>
      <c r="DJ80" s="431"/>
      <c r="DK80" s="433"/>
      <c r="DL80" s="432"/>
      <c r="DM80" s="427"/>
      <c r="DN80" s="431"/>
      <c r="DO80" s="433"/>
      <c r="DP80" s="432"/>
      <c r="DQ80" s="427"/>
      <c r="DR80" s="431"/>
      <c r="DS80" s="433"/>
      <c r="DT80" s="432"/>
      <c r="DU80" s="427"/>
      <c r="DV80" s="431"/>
      <c r="DW80" s="433"/>
      <c r="DX80" s="432"/>
      <c r="DY80" s="427"/>
      <c r="DZ80" s="431"/>
      <c r="EA80" s="433"/>
      <c r="EB80" s="432"/>
      <c r="EC80" s="427"/>
      <c r="ED80" s="431"/>
      <c r="EE80" s="433"/>
      <c r="EF80" s="428"/>
      <c r="EG80" s="426"/>
      <c r="EH80" s="460">
        <f t="shared" si="58"/>
        <v>0</v>
      </c>
      <c r="EI80" s="460">
        <f t="shared" si="59"/>
        <v>0</v>
      </c>
      <c r="EJ80" s="458">
        <f t="shared" si="60"/>
        <v>0</v>
      </c>
      <c r="EK80" s="470">
        <f t="shared" si="61"/>
        <v>0</v>
      </c>
      <c r="EL80" s="470">
        <f t="shared" si="62"/>
        <v>0</v>
      </c>
      <c r="EM80" s="449">
        <f t="shared" si="63"/>
        <v>0</v>
      </c>
      <c r="EN80" s="460">
        <f t="shared" si="64"/>
        <v>0</v>
      </c>
      <c r="EO80" s="469">
        <f t="shared" si="65"/>
        <v>0</v>
      </c>
      <c r="EP80" s="434"/>
      <c r="EQ80" s="426"/>
      <c r="ER80" s="434"/>
      <c r="ES80" s="426"/>
      <c r="ET80" s="434"/>
      <c r="EU80" s="426"/>
      <c r="EV80" s="434"/>
      <c r="EW80" s="426"/>
      <c r="EX80" s="434"/>
      <c r="EY80" s="426"/>
      <c r="EZ80" s="434"/>
      <c r="FA80" s="426"/>
      <c r="FB80" s="434"/>
      <c r="FC80" s="426"/>
      <c r="FD80" s="434"/>
      <c r="FE80" s="426"/>
      <c r="FF80" s="434"/>
      <c r="FG80" s="426"/>
      <c r="FH80" s="435"/>
      <c r="FI80" s="426"/>
      <c r="FJ80" s="468">
        <f t="shared" si="66"/>
        <v>0</v>
      </c>
      <c r="FK80" s="469">
        <f t="shared" si="67"/>
        <v>0</v>
      </c>
      <c r="FL80" s="435"/>
      <c r="FM80" s="426"/>
      <c r="FN80" s="460">
        <f t="shared" si="68"/>
        <v>534</v>
      </c>
      <c r="FO80" s="469">
        <f t="shared" si="69"/>
        <v>463</v>
      </c>
    </row>
    <row r="81" spans="1:171" x14ac:dyDescent="0.2">
      <c r="A81" s="734" t="s">
        <v>980</v>
      </c>
      <c r="B81" s="664" t="s">
        <v>1012</v>
      </c>
      <c r="C81" s="665"/>
      <c r="D81" s="531">
        <v>107585</v>
      </c>
      <c r="E81" s="531">
        <v>10</v>
      </c>
      <c r="F81" s="457">
        <v>436</v>
      </c>
      <c r="G81" s="628">
        <v>476</v>
      </c>
      <c r="H81" s="427"/>
      <c r="I81" s="426"/>
      <c r="J81" s="427">
        <v>351</v>
      </c>
      <c r="K81" s="426">
        <v>433</v>
      </c>
      <c r="L81" s="458">
        <f t="shared" si="48"/>
        <v>0</v>
      </c>
      <c r="M81" s="449">
        <f t="shared" si="49"/>
        <v>0</v>
      </c>
      <c r="N81" s="428"/>
      <c r="O81" s="428"/>
      <c r="P81" s="428"/>
      <c r="Q81" s="428"/>
      <c r="R81" s="460">
        <f t="shared" si="46"/>
        <v>0</v>
      </c>
      <c r="S81" s="461"/>
      <c r="T81" s="429"/>
      <c r="U81" s="429"/>
      <c r="V81" s="429"/>
      <c r="W81" s="462">
        <f t="shared" si="47"/>
        <v>0</v>
      </c>
      <c r="X81" s="430"/>
      <c r="Y81" s="427"/>
      <c r="Z81" s="431"/>
      <c r="AA81" s="431"/>
      <c r="AB81" s="432"/>
      <c r="AC81" s="427"/>
      <c r="AD81" s="431"/>
      <c r="AE81" s="433"/>
      <c r="AF81" s="432"/>
      <c r="AG81" s="427"/>
      <c r="AH81" s="431"/>
      <c r="AI81" s="433"/>
      <c r="AJ81" s="432"/>
      <c r="AK81" s="427"/>
      <c r="AL81" s="431"/>
      <c r="AM81" s="433"/>
      <c r="AN81" s="432"/>
      <c r="AO81" s="427"/>
      <c r="AP81" s="431"/>
      <c r="AQ81" s="431"/>
      <c r="AR81" s="460">
        <f t="shared" si="50"/>
        <v>0</v>
      </c>
      <c r="AS81" s="467">
        <f t="shared" si="51"/>
        <v>0</v>
      </c>
      <c r="AT81" s="447">
        <f t="shared" si="52"/>
        <v>0</v>
      </c>
      <c r="AU81" s="448">
        <f t="shared" si="53"/>
        <v>0</v>
      </c>
      <c r="AV81" s="427"/>
      <c r="AW81" s="628"/>
      <c r="AX81" s="430"/>
      <c r="AY81" s="427"/>
      <c r="AZ81" s="431"/>
      <c r="BA81" s="431"/>
      <c r="BB81" s="432"/>
      <c r="BC81" s="427"/>
      <c r="BD81" s="431"/>
      <c r="BE81" s="433"/>
      <c r="BF81" s="432"/>
      <c r="BG81" s="427"/>
      <c r="BH81" s="431"/>
      <c r="BI81" s="433"/>
      <c r="BJ81" s="432"/>
      <c r="BK81" s="427"/>
      <c r="BL81" s="431"/>
      <c r="BM81" s="433"/>
      <c r="BN81" s="432"/>
      <c r="BO81" s="427"/>
      <c r="BP81" s="431"/>
      <c r="BQ81" s="433"/>
      <c r="BR81" s="432"/>
      <c r="BS81" s="427"/>
      <c r="BT81" s="392"/>
      <c r="BU81" s="392"/>
      <c r="BV81" s="432"/>
      <c r="BW81" s="427"/>
      <c r="BX81" s="431"/>
      <c r="BY81" s="433"/>
      <c r="BZ81" s="432"/>
      <c r="CA81" s="427"/>
      <c r="CB81" s="431"/>
      <c r="CC81" s="433"/>
      <c r="CD81" s="432"/>
      <c r="CE81" s="427"/>
      <c r="CF81" s="431"/>
      <c r="CG81" s="433"/>
      <c r="CH81" s="432"/>
      <c r="CI81" s="427"/>
      <c r="CJ81" s="431"/>
      <c r="CK81" s="433"/>
      <c r="CL81" s="428"/>
      <c r="CM81" s="426"/>
      <c r="CN81" s="468">
        <f t="shared" si="54"/>
        <v>0</v>
      </c>
      <c r="CO81" s="468">
        <f t="shared" si="55"/>
        <v>0</v>
      </c>
      <c r="CP81" s="469">
        <f t="shared" si="56"/>
        <v>0</v>
      </c>
      <c r="CQ81" s="469">
        <f t="shared" si="57"/>
        <v>0</v>
      </c>
      <c r="CR81" s="430"/>
      <c r="CS81" s="427"/>
      <c r="CT81" s="431"/>
      <c r="CU81" s="431"/>
      <c r="CV81" s="432"/>
      <c r="CW81" s="427"/>
      <c r="CX81" s="431"/>
      <c r="CY81" s="433"/>
      <c r="CZ81" s="432"/>
      <c r="DA81" s="427"/>
      <c r="DB81" s="431"/>
      <c r="DC81" s="433"/>
      <c r="DD81" s="432"/>
      <c r="DE81" s="427"/>
      <c r="DF81" s="431"/>
      <c r="DG81" s="433"/>
      <c r="DH81" s="432"/>
      <c r="DI81" s="427"/>
      <c r="DJ81" s="431"/>
      <c r="DK81" s="433"/>
      <c r="DL81" s="432"/>
      <c r="DM81" s="427"/>
      <c r="DN81" s="431"/>
      <c r="DO81" s="433"/>
      <c r="DP81" s="432"/>
      <c r="DQ81" s="427"/>
      <c r="DR81" s="431"/>
      <c r="DS81" s="433"/>
      <c r="DT81" s="432"/>
      <c r="DU81" s="427"/>
      <c r="DV81" s="431"/>
      <c r="DW81" s="433"/>
      <c r="DX81" s="432"/>
      <c r="DY81" s="427"/>
      <c r="DZ81" s="431"/>
      <c r="EA81" s="433"/>
      <c r="EB81" s="432"/>
      <c r="EC81" s="427"/>
      <c r="ED81" s="431"/>
      <c r="EE81" s="433"/>
      <c r="EF81" s="428"/>
      <c r="EG81" s="426"/>
      <c r="EH81" s="460">
        <f t="shared" si="58"/>
        <v>0</v>
      </c>
      <c r="EI81" s="460">
        <f t="shared" si="59"/>
        <v>0</v>
      </c>
      <c r="EJ81" s="458">
        <f t="shared" si="60"/>
        <v>0</v>
      </c>
      <c r="EK81" s="470">
        <f t="shared" si="61"/>
        <v>0</v>
      </c>
      <c r="EL81" s="470">
        <f t="shared" si="62"/>
        <v>0</v>
      </c>
      <c r="EM81" s="449">
        <f t="shared" si="63"/>
        <v>0</v>
      </c>
      <c r="EN81" s="460">
        <f t="shared" si="64"/>
        <v>0</v>
      </c>
      <c r="EO81" s="469">
        <f t="shared" si="65"/>
        <v>0</v>
      </c>
      <c r="EP81" s="434"/>
      <c r="EQ81" s="426"/>
      <c r="ER81" s="434"/>
      <c r="ES81" s="426"/>
      <c r="ET81" s="434"/>
      <c r="EU81" s="426"/>
      <c r="EV81" s="434"/>
      <c r="EW81" s="426"/>
      <c r="EX81" s="434"/>
      <c r="EY81" s="426"/>
      <c r="EZ81" s="434"/>
      <c r="FA81" s="426"/>
      <c r="FB81" s="434"/>
      <c r="FC81" s="426"/>
      <c r="FD81" s="434"/>
      <c r="FE81" s="426"/>
      <c r="FF81" s="434"/>
      <c r="FG81" s="426"/>
      <c r="FH81" s="435"/>
      <c r="FI81" s="426"/>
      <c r="FJ81" s="468">
        <f t="shared" si="66"/>
        <v>0</v>
      </c>
      <c r="FK81" s="469">
        <f t="shared" si="67"/>
        <v>0</v>
      </c>
      <c r="FL81" s="435"/>
      <c r="FM81" s="426"/>
      <c r="FN81" s="460">
        <f t="shared" si="68"/>
        <v>787</v>
      </c>
      <c r="FO81" s="469">
        <f t="shared" si="69"/>
        <v>909</v>
      </c>
    </row>
    <row r="82" spans="1:171" x14ac:dyDescent="0.2">
      <c r="A82" s="725" t="s">
        <v>980</v>
      </c>
      <c r="B82" s="658" t="s">
        <v>1013</v>
      </c>
      <c r="C82" s="659"/>
      <c r="D82" s="475">
        <v>106263</v>
      </c>
      <c r="E82" s="475">
        <v>15</v>
      </c>
      <c r="F82" s="457">
        <v>18</v>
      </c>
      <c r="G82" s="628">
        <v>12</v>
      </c>
      <c r="H82" s="427"/>
      <c r="I82" s="426"/>
      <c r="J82" s="427">
        <v>116</v>
      </c>
      <c r="K82" s="426">
        <v>64</v>
      </c>
      <c r="L82" s="458">
        <f t="shared" si="48"/>
        <v>0.35582822085889571</v>
      </c>
      <c r="M82" s="449">
        <f t="shared" si="49"/>
        <v>0.18768328445747801</v>
      </c>
      <c r="N82" s="428">
        <v>326</v>
      </c>
      <c r="O82" s="428"/>
      <c r="P82" s="428"/>
      <c r="Q82" s="428"/>
      <c r="R82" s="460">
        <f t="shared" si="46"/>
        <v>0</v>
      </c>
      <c r="S82" s="461">
        <v>341</v>
      </c>
      <c r="T82" s="429">
        <v>0</v>
      </c>
      <c r="U82" s="429"/>
      <c r="V82" s="429"/>
      <c r="W82" s="462">
        <f t="shared" si="47"/>
        <v>0</v>
      </c>
      <c r="X82" s="430"/>
      <c r="Y82" s="427"/>
      <c r="Z82" s="431"/>
      <c r="AA82" s="431"/>
      <c r="AB82" s="432"/>
      <c r="AC82" s="427"/>
      <c r="AD82" s="431"/>
      <c r="AE82" s="433"/>
      <c r="AF82" s="432"/>
      <c r="AG82" s="427"/>
      <c r="AH82" s="431"/>
      <c r="AI82" s="433"/>
      <c r="AJ82" s="432"/>
      <c r="AK82" s="427"/>
      <c r="AL82" s="431"/>
      <c r="AM82" s="433"/>
      <c r="AN82" s="432"/>
      <c r="AO82" s="427"/>
      <c r="AP82" s="431"/>
      <c r="AQ82" s="431"/>
      <c r="AR82" s="460">
        <f t="shared" si="50"/>
        <v>0</v>
      </c>
      <c r="AS82" s="467">
        <f t="shared" si="51"/>
        <v>0.35942668136714445</v>
      </c>
      <c r="AT82" s="447">
        <f t="shared" si="52"/>
        <v>0</v>
      </c>
      <c r="AU82" s="448">
        <f t="shared" si="53"/>
        <v>0.39016018306636158</v>
      </c>
      <c r="AV82" s="427">
        <v>26</v>
      </c>
      <c r="AW82" s="628">
        <v>22</v>
      </c>
      <c r="AX82" s="430">
        <v>51</v>
      </c>
      <c r="AY82" s="427">
        <v>129</v>
      </c>
      <c r="AZ82" s="431">
        <v>51</v>
      </c>
      <c r="BA82" s="431">
        <v>133</v>
      </c>
      <c r="BB82" s="432">
        <v>26</v>
      </c>
      <c r="BC82" s="427">
        <v>7</v>
      </c>
      <c r="BD82" s="431">
        <v>26</v>
      </c>
      <c r="BE82" s="433">
        <v>14</v>
      </c>
      <c r="BF82" s="432">
        <v>30</v>
      </c>
      <c r="BG82" s="427">
        <v>5</v>
      </c>
      <c r="BH82" s="431">
        <v>30</v>
      </c>
      <c r="BI82" s="433">
        <v>11</v>
      </c>
      <c r="BJ82" s="432"/>
      <c r="BK82" s="427"/>
      <c r="BL82" s="431"/>
      <c r="BM82" s="433"/>
      <c r="BN82" s="432"/>
      <c r="BO82" s="427"/>
      <c r="BP82" s="431"/>
      <c r="BQ82" s="433"/>
      <c r="BR82" s="432"/>
      <c r="BS82" s="427"/>
      <c r="BT82" s="392"/>
      <c r="BU82" s="392"/>
      <c r="BV82" s="432"/>
      <c r="BW82" s="427"/>
      <c r="BX82" s="431"/>
      <c r="BY82" s="433"/>
      <c r="BZ82" s="432"/>
      <c r="CA82" s="427"/>
      <c r="CB82" s="431"/>
      <c r="CC82" s="433"/>
      <c r="CD82" s="432"/>
      <c r="CE82" s="427"/>
      <c r="CF82" s="431"/>
      <c r="CG82" s="433"/>
      <c r="CH82" s="432"/>
      <c r="CI82" s="427"/>
      <c r="CJ82" s="431"/>
      <c r="CK82" s="433"/>
      <c r="CL82" s="428"/>
      <c r="CM82" s="426"/>
      <c r="CN82" s="468">
        <f t="shared" si="54"/>
        <v>141</v>
      </c>
      <c r="CO82" s="468">
        <f t="shared" si="55"/>
        <v>3</v>
      </c>
      <c r="CP82" s="469">
        <f t="shared" si="56"/>
        <v>158</v>
      </c>
      <c r="CQ82" s="469">
        <f t="shared" si="57"/>
        <v>3</v>
      </c>
      <c r="CR82" s="430">
        <v>51</v>
      </c>
      <c r="CS82" s="427">
        <v>14</v>
      </c>
      <c r="CT82" s="431">
        <v>26</v>
      </c>
      <c r="CU82" s="431">
        <v>15</v>
      </c>
      <c r="CV82" s="432">
        <v>26</v>
      </c>
      <c r="CW82" s="427">
        <v>8</v>
      </c>
      <c r="CX82" s="431">
        <v>51</v>
      </c>
      <c r="CY82" s="433">
        <v>13</v>
      </c>
      <c r="CZ82" s="432">
        <v>30</v>
      </c>
      <c r="DA82" s="427">
        <v>6</v>
      </c>
      <c r="DB82" s="431">
        <v>30</v>
      </c>
      <c r="DC82" s="433">
        <v>4</v>
      </c>
      <c r="DD82" s="432"/>
      <c r="DE82" s="427"/>
      <c r="DF82" s="431"/>
      <c r="DG82" s="433"/>
      <c r="DH82" s="432"/>
      <c r="DI82" s="427"/>
      <c r="DJ82" s="431"/>
      <c r="DK82" s="433"/>
      <c r="DL82" s="432"/>
      <c r="DM82" s="427"/>
      <c r="DN82" s="431"/>
      <c r="DO82" s="433"/>
      <c r="DP82" s="432"/>
      <c r="DQ82" s="427"/>
      <c r="DR82" s="431"/>
      <c r="DS82" s="433"/>
      <c r="DT82" s="432"/>
      <c r="DU82" s="427"/>
      <c r="DV82" s="431"/>
      <c r="DW82" s="433"/>
      <c r="DX82" s="432"/>
      <c r="DY82" s="427"/>
      <c r="DZ82" s="431"/>
      <c r="EA82" s="433"/>
      <c r="EB82" s="432"/>
      <c r="EC82" s="427"/>
      <c r="ED82" s="431"/>
      <c r="EE82" s="433"/>
      <c r="EF82" s="428"/>
      <c r="EG82" s="426"/>
      <c r="EH82" s="460">
        <f t="shared" si="58"/>
        <v>28</v>
      </c>
      <c r="EI82" s="460">
        <f t="shared" si="59"/>
        <v>3</v>
      </c>
      <c r="EJ82" s="458">
        <f t="shared" si="60"/>
        <v>0.5</v>
      </c>
      <c r="EK82" s="470">
        <f t="shared" si="61"/>
        <v>32</v>
      </c>
      <c r="EL82" s="470">
        <f t="shared" si="62"/>
        <v>3</v>
      </c>
      <c r="EM82" s="449">
        <f t="shared" si="63"/>
        <v>0.46875</v>
      </c>
      <c r="EN82" s="460">
        <f t="shared" si="64"/>
        <v>169</v>
      </c>
      <c r="EO82" s="469">
        <f t="shared" si="65"/>
        <v>190</v>
      </c>
      <c r="EP82" s="434"/>
      <c r="EQ82" s="426"/>
      <c r="ER82" s="434">
        <v>140</v>
      </c>
      <c r="ES82" s="426">
        <v>132</v>
      </c>
      <c r="ET82" s="434"/>
      <c r="EU82" s="426"/>
      <c r="EV82" s="434">
        <v>112</v>
      </c>
      <c r="EW82" s="426">
        <v>113</v>
      </c>
      <c r="EX82" s="434"/>
      <c r="EY82" s="426"/>
      <c r="EZ82" s="434"/>
      <c r="FA82" s="426"/>
      <c r="FB82" s="434"/>
      <c r="FC82" s="426"/>
      <c r="FD82" s="434"/>
      <c r="FE82" s="426"/>
      <c r="FF82" s="434"/>
      <c r="FG82" s="426"/>
      <c r="FH82" s="435"/>
      <c r="FI82" s="426"/>
      <c r="FJ82" s="468">
        <f t="shared" si="66"/>
        <v>252</v>
      </c>
      <c r="FK82" s="469">
        <f t="shared" si="67"/>
        <v>245</v>
      </c>
      <c r="FL82" s="435"/>
      <c r="FM82" s="426"/>
      <c r="FN82" s="460">
        <f t="shared" si="68"/>
        <v>907</v>
      </c>
      <c r="FO82" s="469">
        <f t="shared" si="69"/>
        <v>874</v>
      </c>
    </row>
    <row r="83" spans="1:171" x14ac:dyDescent="0.2">
      <c r="A83" s="732" t="s">
        <v>1087</v>
      </c>
      <c r="B83" s="682" t="s">
        <v>1088</v>
      </c>
      <c r="C83" s="683"/>
      <c r="D83" s="607">
        <v>130943</v>
      </c>
      <c r="E83" s="607">
        <v>1</v>
      </c>
      <c r="F83" s="457"/>
      <c r="G83" s="426"/>
      <c r="H83" s="427"/>
      <c r="I83" s="426"/>
      <c r="J83" s="427">
        <v>252</v>
      </c>
      <c r="K83" s="426">
        <v>303</v>
      </c>
      <c r="L83" s="458">
        <f t="shared" si="48"/>
        <v>6.9594034797017396E-2</v>
      </c>
      <c r="M83" s="449">
        <f t="shared" si="49"/>
        <v>8.5714285714285715E-2</v>
      </c>
      <c r="N83" s="428">
        <v>3621</v>
      </c>
      <c r="O83" s="428">
        <v>321</v>
      </c>
      <c r="P83" s="428"/>
      <c r="Q83" s="428"/>
      <c r="R83" s="460">
        <f t="shared" si="46"/>
        <v>321</v>
      </c>
      <c r="S83" s="461">
        <v>3535</v>
      </c>
      <c r="T83" s="429">
        <v>306</v>
      </c>
      <c r="U83" s="429"/>
      <c r="V83" s="429"/>
      <c r="W83" s="462">
        <f t="shared" si="47"/>
        <v>306</v>
      </c>
      <c r="X83" s="430"/>
      <c r="Y83" s="427"/>
      <c r="Z83" s="431"/>
      <c r="AA83" s="431"/>
      <c r="AB83" s="432"/>
      <c r="AC83" s="427"/>
      <c r="AD83" s="431"/>
      <c r="AE83" s="433"/>
      <c r="AF83" s="432"/>
      <c r="AG83" s="427"/>
      <c r="AH83" s="431"/>
      <c r="AI83" s="433"/>
      <c r="AJ83" s="432"/>
      <c r="AK83" s="427"/>
      <c r="AL83" s="431"/>
      <c r="AM83" s="433"/>
      <c r="AN83" s="432"/>
      <c r="AO83" s="427"/>
      <c r="AP83" s="431"/>
      <c r="AQ83" s="431"/>
      <c r="AR83" s="460">
        <f t="shared" si="50"/>
        <v>0</v>
      </c>
      <c r="AS83" s="467">
        <f t="shared" si="51"/>
        <v>0.73329283110571086</v>
      </c>
      <c r="AT83" s="447">
        <f t="shared" si="52"/>
        <v>0</v>
      </c>
      <c r="AU83" s="448">
        <f t="shared" si="53"/>
        <v>0.72364380757420677</v>
      </c>
      <c r="AV83" s="427"/>
      <c r="AW83" s="426"/>
      <c r="AX83" s="430">
        <v>52</v>
      </c>
      <c r="AY83" s="427">
        <v>194</v>
      </c>
      <c r="AZ83" s="431">
        <v>52</v>
      </c>
      <c r="BA83" s="431">
        <v>214</v>
      </c>
      <c r="BB83" s="432">
        <v>13</v>
      </c>
      <c r="BC83" s="427">
        <v>130</v>
      </c>
      <c r="BD83" s="431">
        <v>13</v>
      </c>
      <c r="BE83" s="433">
        <v>111</v>
      </c>
      <c r="BF83" s="432">
        <v>45</v>
      </c>
      <c r="BG83" s="427">
        <v>80</v>
      </c>
      <c r="BH83" s="431">
        <v>14</v>
      </c>
      <c r="BI83" s="433">
        <v>62</v>
      </c>
      <c r="BJ83" s="432">
        <v>14</v>
      </c>
      <c r="BK83" s="427">
        <v>77</v>
      </c>
      <c r="BL83" s="431">
        <v>45</v>
      </c>
      <c r="BM83" s="433">
        <v>48</v>
      </c>
      <c r="BN83" s="432">
        <v>50</v>
      </c>
      <c r="BO83" s="427">
        <v>54</v>
      </c>
      <c r="BP83" s="431">
        <v>26</v>
      </c>
      <c r="BQ83" s="433">
        <v>43</v>
      </c>
      <c r="BR83" s="432">
        <v>27</v>
      </c>
      <c r="BS83" s="427">
        <v>37</v>
      </c>
      <c r="BT83" s="392">
        <v>40</v>
      </c>
      <c r="BU83" s="392">
        <v>31</v>
      </c>
      <c r="BV83" s="432">
        <v>51</v>
      </c>
      <c r="BW83" s="427">
        <v>28</v>
      </c>
      <c r="BX83" s="431">
        <v>50</v>
      </c>
      <c r="BY83" s="433">
        <v>31</v>
      </c>
      <c r="BZ83" s="432">
        <v>11</v>
      </c>
      <c r="CA83" s="427">
        <v>26</v>
      </c>
      <c r="CB83" s="431">
        <v>51</v>
      </c>
      <c r="CC83" s="433">
        <v>31</v>
      </c>
      <c r="CD83" s="432">
        <v>44</v>
      </c>
      <c r="CE83" s="427">
        <v>25</v>
      </c>
      <c r="CF83" s="431">
        <v>27</v>
      </c>
      <c r="CG83" s="433">
        <v>27</v>
      </c>
      <c r="CH83" s="432">
        <v>16</v>
      </c>
      <c r="CI83" s="427">
        <v>24</v>
      </c>
      <c r="CJ83" s="431">
        <v>44</v>
      </c>
      <c r="CK83" s="433">
        <v>25</v>
      </c>
      <c r="CL83" s="428">
        <v>138</v>
      </c>
      <c r="CM83" s="426">
        <v>162</v>
      </c>
      <c r="CN83" s="468">
        <f t="shared" si="54"/>
        <v>813</v>
      </c>
      <c r="CO83" s="468">
        <f t="shared" si="55"/>
        <v>10</v>
      </c>
      <c r="CP83" s="469">
        <f t="shared" si="56"/>
        <v>785</v>
      </c>
      <c r="CQ83" s="469">
        <f t="shared" si="57"/>
        <v>10</v>
      </c>
      <c r="CR83" s="430">
        <v>40</v>
      </c>
      <c r="CS83" s="427">
        <v>61</v>
      </c>
      <c r="CT83" s="431">
        <v>14</v>
      </c>
      <c r="CU83" s="431">
        <v>59</v>
      </c>
      <c r="CV83" s="432">
        <v>14</v>
      </c>
      <c r="CW83" s="427">
        <v>43</v>
      </c>
      <c r="CX83" s="431">
        <v>40</v>
      </c>
      <c r="CY83" s="433">
        <v>32</v>
      </c>
      <c r="CZ83" s="432">
        <v>45</v>
      </c>
      <c r="DA83" s="427">
        <v>24</v>
      </c>
      <c r="DB83" s="431">
        <v>13</v>
      </c>
      <c r="DC83" s="433">
        <v>27</v>
      </c>
      <c r="DD83" s="432">
        <v>26</v>
      </c>
      <c r="DE83" s="427">
        <v>16</v>
      </c>
      <c r="DF83" s="431">
        <v>45</v>
      </c>
      <c r="DG83" s="433">
        <v>23</v>
      </c>
      <c r="DH83" s="432">
        <v>1</v>
      </c>
      <c r="DI83" s="427">
        <v>12</v>
      </c>
      <c r="DJ83" s="431">
        <v>26</v>
      </c>
      <c r="DK83" s="433">
        <v>21</v>
      </c>
      <c r="DL83" s="432">
        <v>13</v>
      </c>
      <c r="DM83" s="427">
        <v>10</v>
      </c>
      <c r="DN83" s="431">
        <v>30</v>
      </c>
      <c r="DO83" s="433">
        <v>13</v>
      </c>
      <c r="DP83" s="432">
        <v>54</v>
      </c>
      <c r="DQ83" s="427">
        <v>8</v>
      </c>
      <c r="DR83" s="431">
        <v>11</v>
      </c>
      <c r="DS83" s="433">
        <v>10</v>
      </c>
      <c r="DT83" s="432">
        <v>16</v>
      </c>
      <c r="DU83" s="427">
        <v>5</v>
      </c>
      <c r="DV83" s="431">
        <v>54</v>
      </c>
      <c r="DW83" s="433">
        <v>9</v>
      </c>
      <c r="DX83" s="432">
        <v>19</v>
      </c>
      <c r="DY83" s="427">
        <v>5</v>
      </c>
      <c r="DZ83" s="431">
        <v>42</v>
      </c>
      <c r="EA83" s="433">
        <v>8</v>
      </c>
      <c r="EB83" s="432">
        <v>22</v>
      </c>
      <c r="EC83" s="427">
        <v>5</v>
      </c>
      <c r="ED83" s="431">
        <v>1</v>
      </c>
      <c r="EE83" s="433">
        <v>5</v>
      </c>
      <c r="EF83" s="428">
        <v>22</v>
      </c>
      <c r="EG83" s="426">
        <v>21</v>
      </c>
      <c r="EH83" s="460">
        <f t="shared" si="58"/>
        <v>211</v>
      </c>
      <c r="EI83" s="460">
        <f t="shared" si="59"/>
        <v>10</v>
      </c>
      <c r="EJ83" s="458">
        <f t="shared" si="60"/>
        <v>0.2890995260663507</v>
      </c>
      <c r="EK83" s="470">
        <f t="shared" si="61"/>
        <v>228</v>
      </c>
      <c r="EL83" s="470">
        <f t="shared" si="62"/>
        <v>10</v>
      </c>
      <c r="EM83" s="449">
        <f t="shared" si="63"/>
        <v>0.25877192982456143</v>
      </c>
      <c r="EN83" s="460">
        <f t="shared" si="64"/>
        <v>1024</v>
      </c>
      <c r="EO83" s="469">
        <f t="shared" si="65"/>
        <v>1013</v>
      </c>
      <c r="EP83" s="434"/>
      <c r="EQ83" s="426"/>
      <c r="ER83" s="434"/>
      <c r="ES83" s="426"/>
      <c r="ET83" s="434"/>
      <c r="EU83" s="426"/>
      <c r="EV83" s="434"/>
      <c r="EW83" s="426"/>
      <c r="EX83" s="434"/>
      <c r="EY83" s="426"/>
      <c r="EZ83" s="434"/>
      <c r="FA83" s="426"/>
      <c r="FB83" s="434"/>
      <c r="FC83" s="426"/>
      <c r="FD83" s="434"/>
      <c r="FE83" s="426"/>
      <c r="FF83" s="434"/>
      <c r="FG83" s="426"/>
      <c r="FH83" s="435">
        <v>41</v>
      </c>
      <c r="FI83" s="426">
        <v>34</v>
      </c>
      <c r="FJ83" s="468">
        <f t="shared" si="66"/>
        <v>41</v>
      </c>
      <c r="FK83" s="469">
        <f t="shared" si="67"/>
        <v>34</v>
      </c>
      <c r="FL83" s="435"/>
      <c r="FM83" s="426"/>
      <c r="FN83" s="460">
        <f t="shared" si="68"/>
        <v>4938</v>
      </c>
      <c r="FO83" s="469">
        <f t="shared" si="69"/>
        <v>4885</v>
      </c>
    </row>
    <row r="84" spans="1:171" x14ac:dyDescent="0.2">
      <c r="A84" s="732" t="s">
        <v>1087</v>
      </c>
      <c r="B84" s="682" t="s">
        <v>1089</v>
      </c>
      <c r="C84" s="691" t="s">
        <v>1014</v>
      </c>
      <c r="D84" s="607">
        <v>130934</v>
      </c>
      <c r="E84" s="686">
        <v>3</v>
      </c>
      <c r="F84" s="457"/>
      <c r="G84" s="426"/>
      <c r="H84" s="427"/>
      <c r="I84" s="426"/>
      <c r="J84" s="427"/>
      <c r="K84" s="426"/>
      <c r="L84" s="458">
        <f t="shared" si="48"/>
        <v>0</v>
      </c>
      <c r="M84" s="449">
        <f t="shared" si="49"/>
        <v>0</v>
      </c>
      <c r="N84" s="428">
        <v>497</v>
      </c>
      <c r="O84" s="428">
        <v>26</v>
      </c>
      <c r="P84" s="428"/>
      <c r="Q84" s="428"/>
      <c r="R84" s="460">
        <f t="shared" si="46"/>
        <v>26</v>
      </c>
      <c r="S84" s="461">
        <v>505</v>
      </c>
      <c r="T84" s="429">
        <v>28</v>
      </c>
      <c r="U84" s="429"/>
      <c r="V84" s="429"/>
      <c r="W84" s="462">
        <f t="shared" si="47"/>
        <v>28</v>
      </c>
      <c r="X84" s="430"/>
      <c r="Y84" s="427"/>
      <c r="Z84" s="431"/>
      <c r="AA84" s="431"/>
      <c r="AB84" s="432"/>
      <c r="AC84" s="427"/>
      <c r="AD84" s="431"/>
      <c r="AE84" s="433"/>
      <c r="AF84" s="432"/>
      <c r="AG84" s="427"/>
      <c r="AH84" s="431"/>
      <c r="AI84" s="433"/>
      <c r="AJ84" s="432"/>
      <c r="AK84" s="427"/>
      <c r="AL84" s="431"/>
      <c r="AM84" s="433"/>
      <c r="AN84" s="432"/>
      <c r="AO84" s="427"/>
      <c r="AP84" s="431"/>
      <c r="AQ84" s="431"/>
      <c r="AR84" s="460">
        <f t="shared" si="50"/>
        <v>0</v>
      </c>
      <c r="AS84" s="467">
        <f t="shared" si="51"/>
        <v>0.80944625407166126</v>
      </c>
      <c r="AT84" s="447">
        <f t="shared" si="52"/>
        <v>0</v>
      </c>
      <c r="AU84" s="448">
        <f t="shared" si="53"/>
        <v>0.79905063291139244</v>
      </c>
      <c r="AV84" s="427"/>
      <c r="AW84" s="426"/>
      <c r="AX84" s="430">
        <v>52</v>
      </c>
      <c r="AY84" s="427">
        <v>41</v>
      </c>
      <c r="AZ84" s="431">
        <v>52</v>
      </c>
      <c r="BA84" s="431">
        <v>25</v>
      </c>
      <c r="BB84" s="432">
        <v>44</v>
      </c>
      <c r="BC84" s="427">
        <v>36</v>
      </c>
      <c r="BD84" s="431">
        <v>44</v>
      </c>
      <c r="BE84" s="433">
        <v>25</v>
      </c>
      <c r="BF84" s="432">
        <v>16</v>
      </c>
      <c r="BG84" s="427">
        <v>16</v>
      </c>
      <c r="BH84" s="431">
        <v>31</v>
      </c>
      <c r="BI84" s="433">
        <v>19</v>
      </c>
      <c r="BJ84" s="432">
        <v>31</v>
      </c>
      <c r="BK84" s="427">
        <v>8</v>
      </c>
      <c r="BL84" s="431">
        <v>13</v>
      </c>
      <c r="BM84" s="433">
        <v>15</v>
      </c>
      <c r="BN84" s="432">
        <v>27</v>
      </c>
      <c r="BO84" s="427">
        <v>3</v>
      </c>
      <c r="BP84" s="431">
        <v>26</v>
      </c>
      <c r="BQ84" s="433">
        <v>7</v>
      </c>
      <c r="BR84" s="432">
        <v>26</v>
      </c>
      <c r="BS84" s="427">
        <v>2</v>
      </c>
      <c r="BT84" s="392">
        <v>51</v>
      </c>
      <c r="BU84" s="392">
        <v>6</v>
      </c>
      <c r="BV84" s="432">
        <v>51</v>
      </c>
      <c r="BW84" s="427">
        <v>2</v>
      </c>
      <c r="BX84" s="431">
        <v>19</v>
      </c>
      <c r="BY84" s="433">
        <v>6</v>
      </c>
      <c r="BZ84" s="432">
        <v>1</v>
      </c>
      <c r="CA84" s="427">
        <v>2</v>
      </c>
      <c r="CB84" s="431">
        <v>30</v>
      </c>
      <c r="CC84" s="433">
        <v>3</v>
      </c>
      <c r="CD84" s="432">
        <v>19</v>
      </c>
      <c r="CE84" s="427">
        <v>1</v>
      </c>
      <c r="CF84" s="431">
        <v>40</v>
      </c>
      <c r="CG84" s="433">
        <v>2</v>
      </c>
      <c r="CH84" s="432">
        <v>40</v>
      </c>
      <c r="CI84" s="427">
        <v>1</v>
      </c>
      <c r="CJ84" s="431">
        <v>27</v>
      </c>
      <c r="CK84" s="433">
        <v>2</v>
      </c>
      <c r="CL84" s="428">
        <v>0</v>
      </c>
      <c r="CM84" s="426">
        <v>2</v>
      </c>
      <c r="CN84" s="468">
        <f t="shared" si="54"/>
        <v>112</v>
      </c>
      <c r="CO84" s="468">
        <f t="shared" si="55"/>
        <v>10</v>
      </c>
      <c r="CP84" s="469">
        <f t="shared" si="56"/>
        <v>112</v>
      </c>
      <c r="CQ84" s="469">
        <f t="shared" si="57"/>
        <v>10</v>
      </c>
      <c r="CR84" s="430">
        <v>13</v>
      </c>
      <c r="CS84" s="427">
        <v>5</v>
      </c>
      <c r="CT84" s="431">
        <v>13</v>
      </c>
      <c r="CU84" s="431">
        <v>13</v>
      </c>
      <c r="CV84" s="432"/>
      <c r="CW84" s="427"/>
      <c r="CX84" s="431">
        <v>27</v>
      </c>
      <c r="CY84" s="433">
        <v>2</v>
      </c>
      <c r="CZ84" s="432"/>
      <c r="DA84" s="427"/>
      <c r="DB84" s="431"/>
      <c r="DC84" s="433"/>
      <c r="DD84" s="432"/>
      <c r="DE84" s="427"/>
      <c r="DF84" s="431"/>
      <c r="DG84" s="433"/>
      <c r="DH84" s="432"/>
      <c r="DI84" s="427"/>
      <c r="DJ84" s="431"/>
      <c r="DK84" s="433"/>
      <c r="DL84" s="432"/>
      <c r="DM84" s="427"/>
      <c r="DN84" s="431"/>
      <c r="DO84" s="433"/>
      <c r="DP84" s="432"/>
      <c r="DQ84" s="427"/>
      <c r="DR84" s="431"/>
      <c r="DS84" s="433"/>
      <c r="DT84" s="432"/>
      <c r="DU84" s="427"/>
      <c r="DV84" s="431"/>
      <c r="DW84" s="433"/>
      <c r="DX84" s="432"/>
      <c r="DY84" s="427"/>
      <c r="DZ84" s="431"/>
      <c r="EA84" s="433"/>
      <c r="EB84" s="432"/>
      <c r="EC84" s="427"/>
      <c r="ED84" s="431"/>
      <c r="EE84" s="433"/>
      <c r="EF84" s="428"/>
      <c r="EG84" s="426"/>
      <c r="EH84" s="460">
        <f t="shared" si="58"/>
        <v>5</v>
      </c>
      <c r="EI84" s="460">
        <f t="shared" si="59"/>
        <v>1</v>
      </c>
      <c r="EJ84" s="458">
        <f t="shared" si="60"/>
        <v>1</v>
      </c>
      <c r="EK84" s="470">
        <f t="shared" si="61"/>
        <v>15</v>
      </c>
      <c r="EL84" s="470">
        <f t="shared" si="62"/>
        <v>2</v>
      </c>
      <c r="EM84" s="449">
        <f t="shared" si="63"/>
        <v>0.8666666666666667</v>
      </c>
      <c r="EN84" s="460">
        <f t="shared" si="64"/>
        <v>117</v>
      </c>
      <c r="EO84" s="469">
        <f t="shared" si="65"/>
        <v>127</v>
      </c>
      <c r="EP84" s="434"/>
      <c r="EQ84" s="426"/>
      <c r="ER84" s="434"/>
      <c r="ES84" s="426"/>
      <c r="ET84" s="434"/>
      <c r="EU84" s="426"/>
      <c r="EV84" s="434"/>
      <c r="EW84" s="426"/>
      <c r="EX84" s="434"/>
      <c r="EY84" s="426"/>
      <c r="EZ84" s="434"/>
      <c r="FA84" s="426"/>
      <c r="FB84" s="434"/>
      <c r="FC84" s="426"/>
      <c r="FD84" s="434"/>
      <c r="FE84" s="426"/>
      <c r="FF84" s="434"/>
      <c r="FG84" s="426"/>
      <c r="FH84" s="435"/>
      <c r="FI84" s="426"/>
      <c r="FJ84" s="468">
        <f t="shared" si="66"/>
        <v>0</v>
      </c>
      <c r="FK84" s="469">
        <f t="shared" si="67"/>
        <v>0</v>
      </c>
      <c r="FL84" s="435"/>
      <c r="FM84" s="426"/>
      <c r="FN84" s="460">
        <f t="shared" si="68"/>
        <v>614</v>
      </c>
      <c r="FO84" s="469">
        <f t="shared" si="69"/>
        <v>632</v>
      </c>
    </row>
    <row r="85" spans="1:171" x14ac:dyDescent="0.2">
      <c r="A85" s="736" t="s">
        <v>1087</v>
      </c>
      <c r="B85" s="684" t="s">
        <v>1090</v>
      </c>
      <c r="C85" s="685"/>
      <c r="D85" s="620">
        <v>130916</v>
      </c>
      <c r="E85" s="614">
        <v>8</v>
      </c>
      <c r="F85" s="457">
        <v>117</v>
      </c>
      <c r="G85" s="426">
        <v>72</v>
      </c>
      <c r="H85" s="427"/>
      <c r="I85" s="426"/>
      <c r="J85" s="427">
        <v>573</v>
      </c>
      <c r="K85" s="426">
        <v>566</v>
      </c>
      <c r="L85" s="458">
        <f t="shared" si="48"/>
        <v>0</v>
      </c>
      <c r="M85" s="449">
        <f t="shared" si="49"/>
        <v>0</v>
      </c>
      <c r="N85" s="428"/>
      <c r="O85" s="428"/>
      <c r="P85" s="428"/>
      <c r="Q85" s="428"/>
      <c r="R85" s="460">
        <f t="shared" si="46"/>
        <v>0</v>
      </c>
      <c r="S85" s="461"/>
      <c r="T85" s="429"/>
      <c r="U85" s="429"/>
      <c r="V85" s="429"/>
      <c r="W85" s="462">
        <f t="shared" si="47"/>
        <v>0</v>
      </c>
      <c r="X85" s="430"/>
      <c r="Y85" s="427"/>
      <c r="Z85" s="431"/>
      <c r="AA85" s="431"/>
      <c r="AB85" s="432"/>
      <c r="AC85" s="427"/>
      <c r="AD85" s="431"/>
      <c r="AE85" s="433"/>
      <c r="AF85" s="432"/>
      <c r="AG85" s="427"/>
      <c r="AH85" s="431"/>
      <c r="AI85" s="433"/>
      <c r="AJ85" s="432"/>
      <c r="AK85" s="427"/>
      <c r="AL85" s="431"/>
      <c r="AM85" s="433"/>
      <c r="AN85" s="432"/>
      <c r="AO85" s="427"/>
      <c r="AP85" s="431"/>
      <c r="AQ85" s="431"/>
      <c r="AR85" s="460">
        <f t="shared" si="50"/>
        <v>0</v>
      </c>
      <c r="AS85" s="467">
        <f t="shared" si="51"/>
        <v>0</v>
      </c>
      <c r="AT85" s="447">
        <f t="shared" si="52"/>
        <v>0</v>
      </c>
      <c r="AU85" s="448">
        <f t="shared" si="53"/>
        <v>0</v>
      </c>
      <c r="AV85" s="427"/>
      <c r="AW85" s="426"/>
      <c r="AX85" s="430"/>
      <c r="AY85" s="427"/>
      <c r="AZ85" s="431"/>
      <c r="BA85" s="431"/>
      <c r="BB85" s="432"/>
      <c r="BC85" s="427"/>
      <c r="BD85" s="431"/>
      <c r="BE85" s="433"/>
      <c r="BF85" s="432"/>
      <c r="BG85" s="427"/>
      <c r="BH85" s="431"/>
      <c r="BI85" s="433"/>
      <c r="BJ85" s="432"/>
      <c r="BK85" s="427"/>
      <c r="BL85" s="431"/>
      <c r="BM85" s="433"/>
      <c r="BN85" s="432"/>
      <c r="BO85" s="427"/>
      <c r="BP85" s="431"/>
      <c r="BQ85" s="433"/>
      <c r="BR85" s="432"/>
      <c r="BS85" s="427"/>
      <c r="BT85" s="392"/>
      <c r="BU85" s="392"/>
      <c r="BV85" s="432"/>
      <c r="BW85" s="427"/>
      <c r="BX85" s="431"/>
      <c r="BY85" s="433"/>
      <c r="BZ85" s="432"/>
      <c r="CA85" s="427"/>
      <c r="CB85" s="431"/>
      <c r="CC85" s="433"/>
      <c r="CD85" s="432"/>
      <c r="CE85" s="427"/>
      <c r="CF85" s="431"/>
      <c r="CG85" s="433"/>
      <c r="CH85" s="432"/>
      <c r="CI85" s="427"/>
      <c r="CJ85" s="431"/>
      <c r="CK85" s="433"/>
      <c r="CL85" s="428"/>
      <c r="CM85" s="426"/>
      <c r="CN85" s="468">
        <f t="shared" si="54"/>
        <v>0</v>
      </c>
      <c r="CO85" s="468">
        <f t="shared" si="55"/>
        <v>0</v>
      </c>
      <c r="CP85" s="469">
        <f t="shared" si="56"/>
        <v>0</v>
      </c>
      <c r="CQ85" s="469">
        <f t="shared" si="57"/>
        <v>0</v>
      </c>
      <c r="CR85" s="430"/>
      <c r="CS85" s="427"/>
      <c r="CT85" s="431"/>
      <c r="CU85" s="431"/>
      <c r="CV85" s="432"/>
      <c r="CW85" s="427"/>
      <c r="CX85" s="431"/>
      <c r="CY85" s="433"/>
      <c r="CZ85" s="432"/>
      <c r="DA85" s="427"/>
      <c r="DB85" s="431"/>
      <c r="DC85" s="433"/>
      <c r="DD85" s="432"/>
      <c r="DE85" s="427"/>
      <c r="DF85" s="431"/>
      <c r="DG85" s="433"/>
      <c r="DH85" s="432"/>
      <c r="DI85" s="427"/>
      <c r="DJ85" s="431"/>
      <c r="DK85" s="433"/>
      <c r="DL85" s="432"/>
      <c r="DM85" s="427"/>
      <c r="DN85" s="431"/>
      <c r="DO85" s="433"/>
      <c r="DP85" s="432"/>
      <c r="DQ85" s="427"/>
      <c r="DR85" s="431"/>
      <c r="DS85" s="433"/>
      <c r="DT85" s="432"/>
      <c r="DU85" s="427"/>
      <c r="DV85" s="431"/>
      <c r="DW85" s="433"/>
      <c r="DX85" s="432"/>
      <c r="DY85" s="427"/>
      <c r="DZ85" s="431"/>
      <c r="EA85" s="433"/>
      <c r="EB85" s="432"/>
      <c r="EC85" s="427"/>
      <c r="ED85" s="431"/>
      <c r="EE85" s="433"/>
      <c r="EF85" s="428"/>
      <c r="EG85" s="426"/>
      <c r="EH85" s="460">
        <f t="shared" si="58"/>
        <v>0</v>
      </c>
      <c r="EI85" s="460">
        <f t="shared" si="59"/>
        <v>0</v>
      </c>
      <c r="EJ85" s="458">
        <f t="shared" si="60"/>
        <v>0</v>
      </c>
      <c r="EK85" s="470">
        <f t="shared" si="61"/>
        <v>0</v>
      </c>
      <c r="EL85" s="470">
        <f t="shared" si="62"/>
        <v>0</v>
      </c>
      <c r="EM85" s="449">
        <f t="shared" si="63"/>
        <v>0</v>
      </c>
      <c r="EN85" s="460">
        <f t="shared" si="64"/>
        <v>0</v>
      </c>
      <c r="EO85" s="469">
        <f t="shared" si="65"/>
        <v>0</v>
      </c>
      <c r="EP85" s="434"/>
      <c r="EQ85" s="426"/>
      <c r="ER85" s="434"/>
      <c r="ES85" s="426"/>
      <c r="ET85" s="434"/>
      <c r="EU85" s="426"/>
      <c r="EV85" s="434"/>
      <c r="EW85" s="426"/>
      <c r="EX85" s="434"/>
      <c r="EY85" s="426"/>
      <c r="EZ85" s="434"/>
      <c r="FA85" s="426"/>
      <c r="FB85" s="434"/>
      <c r="FC85" s="426"/>
      <c r="FD85" s="434"/>
      <c r="FE85" s="426"/>
      <c r="FF85" s="434"/>
      <c r="FG85" s="426"/>
      <c r="FH85" s="435"/>
      <c r="FI85" s="426"/>
      <c r="FJ85" s="468">
        <f t="shared" si="66"/>
        <v>0</v>
      </c>
      <c r="FK85" s="469">
        <f t="shared" si="67"/>
        <v>0</v>
      </c>
      <c r="FL85" s="435"/>
      <c r="FM85" s="426"/>
      <c r="FN85" s="460">
        <f t="shared" si="68"/>
        <v>690</v>
      </c>
      <c r="FO85" s="469">
        <f t="shared" si="69"/>
        <v>638</v>
      </c>
    </row>
    <row r="86" spans="1:171" x14ac:dyDescent="0.2">
      <c r="A86" s="736" t="s">
        <v>1087</v>
      </c>
      <c r="B86" s="687" t="s">
        <v>1091</v>
      </c>
      <c r="C86" s="688"/>
      <c r="D86" s="620">
        <v>130891</v>
      </c>
      <c r="E86" s="620">
        <v>9</v>
      </c>
      <c r="F86" s="457">
        <v>540</v>
      </c>
      <c r="G86" s="426">
        <v>268</v>
      </c>
      <c r="H86" s="427"/>
      <c r="I86" s="426"/>
      <c r="J86" s="427">
        <v>460</v>
      </c>
      <c r="K86" s="426">
        <v>477</v>
      </c>
      <c r="L86" s="458">
        <f t="shared" si="48"/>
        <v>0</v>
      </c>
      <c r="M86" s="449">
        <f t="shared" si="49"/>
        <v>0</v>
      </c>
      <c r="N86" s="428"/>
      <c r="O86" s="428"/>
      <c r="P86" s="428"/>
      <c r="Q86" s="428"/>
      <c r="R86" s="460">
        <f t="shared" si="46"/>
        <v>0</v>
      </c>
      <c r="S86" s="461"/>
      <c r="T86" s="429"/>
      <c r="U86" s="429"/>
      <c r="V86" s="429"/>
      <c r="W86" s="462">
        <f t="shared" si="47"/>
        <v>0</v>
      </c>
      <c r="X86" s="430"/>
      <c r="Y86" s="427"/>
      <c r="Z86" s="431"/>
      <c r="AA86" s="431"/>
      <c r="AB86" s="432"/>
      <c r="AC86" s="427"/>
      <c r="AD86" s="431"/>
      <c r="AE86" s="433"/>
      <c r="AF86" s="432"/>
      <c r="AG86" s="427"/>
      <c r="AH86" s="431"/>
      <c r="AI86" s="433"/>
      <c r="AJ86" s="432"/>
      <c r="AK86" s="427"/>
      <c r="AL86" s="431"/>
      <c r="AM86" s="433"/>
      <c r="AN86" s="432"/>
      <c r="AO86" s="427"/>
      <c r="AP86" s="431"/>
      <c r="AQ86" s="431"/>
      <c r="AR86" s="460">
        <f t="shared" si="50"/>
        <v>0</v>
      </c>
      <c r="AS86" s="467">
        <f t="shared" si="51"/>
        <v>0</v>
      </c>
      <c r="AT86" s="447">
        <f t="shared" si="52"/>
        <v>0</v>
      </c>
      <c r="AU86" s="448">
        <f t="shared" si="53"/>
        <v>0</v>
      </c>
      <c r="AV86" s="427"/>
      <c r="AW86" s="426"/>
      <c r="AX86" s="430"/>
      <c r="AY86" s="427"/>
      <c r="AZ86" s="431"/>
      <c r="BA86" s="431"/>
      <c r="BB86" s="432"/>
      <c r="BC86" s="427"/>
      <c r="BD86" s="431"/>
      <c r="BE86" s="433"/>
      <c r="BF86" s="432"/>
      <c r="BG86" s="427"/>
      <c r="BH86" s="431"/>
      <c r="BI86" s="433"/>
      <c r="BJ86" s="432"/>
      <c r="BK86" s="427"/>
      <c r="BL86" s="431"/>
      <c r="BM86" s="433"/>
      <c r="BN86" s="432"/>
      <c r="BO86" s="427"/>
      <c r="BP86" s="431"/>
      <c r="BQ86" s="433"/>
      <c r="BR86" s="432"/>
      <c r="BS86" s="427"/>
      <c r="BT86" s="392"/>
      <c r="BU86" s="392"/>
      <c r="BV86" s="432"/>
      <c r="BW86" s="427"/>
      <c r="BX86" s="431"/>
      <c r="BY86" s="433"/>
      <c r="BZ86" s="432"/>
      <c r="CA86" s="427"/>
      <c r="CB86" s="431"/>
      <c r="CC86" s="433"/>
      <c r="CD86" s="432"/>
      <c r="CE86" s="427"/>
      <c r="CF86" s="431"/>
      <c r="CG86" s="433"/>
      <c r="CH86" s="432"/>
      <c r="CI86" s="427"/>
      <c r="CJ86" s="431"/>
      <c r="CK86" s="433"/>
      <c r="CL86" s="428"/>
      <c r="CM86" s="426"/>
      <c r="CN86" s="468">
        <f t="shared" si="54"/>
        <v>0</v>
      </c>
      <c r="CO86" s="468">
        <f t="shared" si="55"/>
        <v>0</v>
      </c>
      <c r="CP86" s="469">
        <f t="shared" si="56"/>
        <v>0</v>
      </c>
      <c r="CQ86" s="469">
        <f t="shared" si="57"/>
        <v>0</v>
      </c>
      <c r="CR86" s="430"/>
      <c r="CS86" s="427"/>
      <c r="CT86" s="431"/>
      <c r="CU86" s="431"/>
      <c r="CV86" s="432"/>
      <c r="CW86" s="427"/>
      <c r="CX86" s="431"/>
      <c r="CY86" s="433"/>
      <c r="CZ86" s="432"/>
      <c r="DA86" s="427"/>
      <c r="DB86" s="431"/>
      <c r="DC86" s="433"/>
      <c r="DD86" s="432"/>
      <c r="DE86" s="427"/>
      <c r="DF86" s="431"/>
      <c r="DG86" s="433"/>
      <c r="DH86" s="432"/>
      <c r="DI86" s="427"/>
      <c r="DJ86" s="431"/>
      <c r="DK86" s="433"/>
      <c r="DL86" s="432"/>
      <c r="DM86" s="427"/>
      <c r="DN86" s="431"/>
      <c r="DO86" s="433"/>
      <c r="DP86" s="432"/>
      <c r="DQ86" s="427"/>
      <c r="DR86" s="431"/>
      <c r="DS86" s="433"/>
      <c r="DT86" s="432"/>
      <c r="DU86" s="427"/>
      <c r="DV86" s="431"/>
      <c r="DW86" s="433"/>
      <c r="DX86" s="432"/>
      <c r="DY86" s="427"/>
      <c r="DZ86" s="431"/>
      <c r="EA86" s="433"/>
      <c r="EB86" s="432"/>
      <c r="EC86" s="427"/>
      <c r="ED86" s="431"/>
      <c r="EE86" s="433"/>
      <c r="EF86" s="428"/>
      <c r="EG86" s="426"/>
      <c r="EH86" s="460">
        <f t="shared" si="58"/>
        <v>0</v>
      </c>
      <c r="EI86" s="460">
        <f t="shared" si="59"/>
        <v>0</v>
      </c>
      <c r="EJ86" s="458">
        <f t="shared" si="60"/>
        <v>0</v>
      </c>
      <c r="EK86" s="470">
        <f t="shared" si="61"/>
        <v>0</v>
      </c>
      <c r="EL86" s="470">
        <f t="shared" si="62"/>
        <v>0</v>
      </c>
      <c r="EM86" s="449">
        <f t="shared" si="63"/>
        <v>0</v>
      </c>
      <c r="EN86" s="460">
        <f t="shared" si="64"/>
        <v>0</v>
      </c>
      <c r="EO86" s="469">
        <f t="shared" si="65"/>
        <v>0</v>
      </c>
      <c r="EP86" s="434"/>
      <c r="EQ86" s="426"/>
      <c r="ER86" s="434"/>
      <c r="ES86" s="426"/>
      <c r="ET86" s="434"/>
      <c r="EU86" s="426"/>
      <c r="EV86" s="434"/>
      <c r="EW86" s="426"/>
      <c r="EX86" s="434"/>
      <c r="EY86" s="426"/>
      <c r="EZ86" s="434"/>
      <c r="FA86" s="426"/>
      <c r="FB86" s="434"/>
      <c r="FC86" s="426"/>
      <c r="FD86" s="434"/>
      <c r="FE86" s="426"/>
      <c r="FF86" s="434"/>
      <c r="FG86" s="426"/>
      <c r="FH86" s="435"/>
      <c r="FI86" s="426"/>
      <c r="FJ86" s="468">
        <f t="shared" si="66"/>
        <v>0</v>
      </c>
      <c r="FK86" s="469">
        <f t="shared" si="67"/>
        <v>0</v>
      </c>
      <c r="FL86" s="435"/>
      <c r="FM86" s="426"/>
      <c r="FN86" s="460">
        <f t="shared" si="68"/>
        <v>1000</v>
      </c>
      <c r="FO86" s="469">
        <f t="shared" si="69"/>
        <v>745</v>
      </c>
    </row>
    <row r="87" spans="1:171" x14ac:dyDescent="0.2">
      <c r="A87" s="736" t="s">
        <v>1087</v>
      </c>
      <c r="B87" s="689" t="s">
        <v>1092</v>
      </c>
      <c r="C87" s="690"/>
      <c r="D87" s="620">
        <v>130907</v>
      </c>
      <c r="E87" s="620">
        <v>9</v>
      </c>
      <c r="F87" s="457">
        <v>79</v>
      </c>
      <c r="G87" s="426">
        <v>75</v>
      </c>
      <c r="H87" s="427"/>
      <c r="I87" s="426"/>
      <c r="J87" s="427">
        <v>308</v>
      </c>
      <c r="K87" s="426">
        <v>389</v>
      </c>
      <c r="L87" s="458">
        <f t="shared" si="48"/>
        <v>0</v>
      </c>
      <c r="M87" s="449">
        <f t="shared" si="49"/>
        <v>0</v>
      </c>
      <c r="N87" s="428"/>
      <c r="O87" s="428"/>
      <c r="P87" s="428"/>
      <c r="Q87" s="428"/>
      <c r="R87" s="460">
        <f t="shared" si="46"/>
        <v>0</v>
      </c>
      <c r="S87" s="461"/>
      <c r="T87" s="429"/>
      <c r="U87" s="429"/>
      <c r="V87" s="429"/>
      <c r="W87" s="462">
        <f t="shared" si="47"/>
        <v>0</v>
      </c>
      <c r="X87" s="430"/>
      <c r="Y87" s="427"/>
      <c r="Z87" s="431"/>
      <c r="AA87" s="431"/>
      <c r="AB87" s="432"/>
      <c r="AC87" s="427"/>
      <c r="AD87" s="431"/>
      <c r="AE87" s="433"/>
      <c r="AF87" s="432"/>
      <c r="AG87" s="427"/>
      <c r="AH87" s="431"/>
      <c r="AI87" s="433"/>
      <c r="AJ87" s="432"/>
      <c r="AK87" s="427"/>
      <c r="AL87" s="431"/>
      <c r="AM87" s="433"/>
      <c r="AN87" s="432"/>
      <c r="AO87" s="427"/>
      <c r="AP87" s="431"/>
      <c r="AQ87" s="431"/>
      <c r="AR87" s="460">
        <f t="shared" si="50"/>
        <v>0</v>
      </c>
      <c r="AS87" s="467">
        <f t="shared" si="51"/>
        <v>0</v>
      </c>
      <c r="AT87" s="447">
        <f t="shared" si="52"/>
        <v>0</v>
      </c>
      <c r="AU87" s="448">
        <f t="shared" si="53"/>
        <v>0</v>
      </c>
      <c r="AV87" s="427"/>
      <c r="AW87" s="426"/>
      <c r="AX87" s="430"/>
      <c r="AY87" s="427"/>
      <c r="AZ87" s="431"/>
      <c r="BA87" s="431"/>
      <c r="BB87" s="432"/>
      <c r="BC87" s="427"/>
      <c r="BD87" s="431"/>
      <c r="BE87" s="433"/>
      <c r="BF87" s="432"/>
      <c r="BG87" s="427"/>
      <c r="BH87" s="431"/>
      <c r="BI87" s="433"/>
      <c r="BJ87" s="432"/>
      <c r="BK87" s="427"/>
      <c r="BL87" s="431"/>
      <c r="BM87" s="433"/>
      <c r="BN87" s="432"/>
      <c r="BO87" s="427"/>
      <c r="BP87" s="431"/>
      <c r="BQ87" s="433"/>
      <c r="BR87" s="432"/>
      <c r="BS87" s="427"/>
      <c r="BT87" s="392"/>
      <c r="BU87" s="392"/>
      <c r="BV87" s="432"/>
      <c r="BW87" s="427"/>
      <c r="BX87" s="431"/>
      <c r="BY87" s="433"/>
      <c r="BZ87" s="432"/>
      <c r="CA87" s="427"/>
      <c r="CB87" s="431"/>
      <c r="CC87" s="433"/>
      <c r="CD87" s="432"/>
      <c r="CE87" s="427"/>
      <c r="CF87" s="431"/>
      <c r="CG87" s="433"/>
      <c r="CH87" s="432"/>
      <c r="CI87" s="427"/>
      <c r="CJ87" s="431"/>
      <c r="CK87" s="433"/>
      <c r="CL87" s="428"/>
      <c r="CM87" s="426"/>
      <c r="CN87" s="468">
        <f t="shared" si="54"/>
        <v>0</v>
      </c>
      <c r="CO87" s="468">
        <f t="shared" si="55"/>
        <v>0</v>
      </c>
      <c r="CP87" s="469">
        <f t="shared" si="56"/>
        <v>0</v>
      </c>
      <c r="CQ87" s="469">
        <f t="shared" si="57"/>
        <v>0</v>
      </c>
      <c r="CR87" s="430"/>
      <c r="CS87" s="427"/>
      <c r="CT87" s="431"/>
      <c r="CU87" s="431"/>
      <c r="CV87" s="432"/>
      <c r="CW87" s="427"/>
      <c r="CX87" s="431"/>
      <c r="CY87" s="433"/>
      <c r="CZ87" s="432"/>
      <c r="DA87" s="427"/>
      <c r="DB87" s="431"/>
      <c r="DC87" s="433"/>
      <c r="DD87" s="432"/>
      <c r="DE87" s="427"/>
      <c r="DF87" s="431"/>
      <c r="DG87" s="433"/>
      <c r="DH87" s="432"/>
      <c r="DI87" s="427"/>
      <c r="DJ87" s="431"/>
      <c r="DK87" s="433"/>
      <c r="DL87" s="432"/>
      <c r="DM87" s="427"/>
      <c r="DN87" s="431"/>
      <c r="DO87" s="433"/>
      <c r="DP87" s="432"/>
      <c r="DQ87" s="427"/>
      <c r="DR87" s="431"/>
      <c r="DS87" s="433"/>
      <c r="DT87" s="432"/>
      <c r="DU87" s="427"/>
      <c r="DV87" s="431"/>
      <c r="DW87" s="433"/>
      <c r="DX87" s="432"/>
      <c r="DY87" s="427"/>
      <c r="DZ87" s="431"/>
      <c r="EA87" s="433"/>
      <c r="EB87" s="432"/>
      <c r="EC87" s="427"/>
      <c r="ED87" s="431"/>
      <c r="EE87" s="433"/>
      <c r="EF87" s="428"/>
      <c r="EG87" s="426"/>
      <c r="EH87" s="460">
        <f t="shared" si="58"/>
        <v>0</v>
      </c>
      <c r="EI87" s="460">
        <f t="shared" si="59"/>
        <v>0</v>
      </c>
      <c r="EJ87" s="458">
        <f t="shared" si="60"/>
        <v>0</v>
      </c>
      <c r="EK87" s="470">
        <f t="shared" si="61"/>
        <v>0</v>
      </c>
      <c r="EL87" s="470">
        <f t="shared" si="62"/>
        <v>0</v>
      </c>
      <c r="EM87" s="449">
        <f t="shared" si="63"/>
        <v>0</v>
      </c>
      <c r="EN87" s="460">
        <f t="shared" si="64"/>
        <v>0</v>
      </c>
      <c r="EO87" s="469">
        <f t="shared" si="65"/>
        <v>0</v>
      </c>
      <c r="EP87" s="434"/>
      <c r="EQ87" s="426"/>
      <c r="ER87" s="434"/>
      <c r="ES87" s="426"/>
      <c r="ET87" s="434"/>
      <c r="EU87" s="426"/>
      <c r="EV87" s="434"/>
      <c r="EW87" s="426"/>
      <c r="EX87" s="434"/>
      <c r="EY87" s="426"/>
      <c r="EZ87" s="434"/>
      <c r="FA87" s="426"/>
      <c r="FB87" s="434"/>
      <c r="FC87" s="426"/>
      <c r="FD87" s="434"/>
      <c r="FE87" s="426"/>
      <c r="FF87" s="434"/>
      <c r="FG87" s="426"/>
      <c r="FH87" s="435"/>
      <c r="FI87" s="426"/>
      <c r="FJ87" s="468">
        <f t="shared" si="66"/>
        <v>0</v>
      </c>
      <c r="FK87" s="469">
        <f t="shared" si="67"/>
        <v>0</v>
      </c>
      <c r="FL87" s="435"/>
      <c r="FM87" s="426"/>
      <c r="FN87" s="460">
        <f t="shared" si="68"/>
        <v>387</v>
      </c>
      <c r="FO87" s="469">
        <f t="shared" si="69"/>
        <v>464</v>
      </c>
    </row>
    <row r="88" spans="1:171" x14ac:dyDescent="0.2">
      <c r="A88" s="739" t="s">
        <v>1074</v>
      </c>
      <c r="B88" s="679" t="s">
        <v>1075</v>
      </c>
      <c r="C88" s="680"/>
      <c r="D88" s="632">
        <v>133951</v>
      </c>
      <c r="E88" s="632">
        <v>1</v>
      </c>
      <c r="F88" s="457"/>
      <c r="G88" s="426"/>
      <c r="H88" s="427"/>
      <c r="I88" s="426"/>
      <c r="J88" s="427">
        <v>54</v>
      </c>
      <c r="K88" s="743">
        <v>74</v>
      </c>
      <c r="L88" s="458">
        <f t="shared" si="48"/>
        <v>8.1362061172216369E-3</v>
      </c>
      <c r="M88" s="449">
        <f t="shared" si="49"/>
        <v>1.0223818734457032E-2</v>
      </c>
      <c r="N88" s="428">
        <v>6637</v>
      </c>
      <c r="O88" s="428"/>
      <c r="P88" s="428"/>
      <c r="Q88" s="428">
        <v>312</v>
      </c>
      <c r="R88" s="460">
        <f t="shared" si="46"/>
        <v>312</v>
      </c>
      <c r="S88" s="461">
        <v>7238</v>
      </c>
      <c r="T88" s="429"/>
      <c r="U88" s="429"/>
      <c r="V88" s="429">
        <v>301</v>
      </c>
      <c r="W88" s="462">
        <f t="shared" si="47"/>
        <v>301</v>
      </c>
      <c r="X88" s="430"/>
      <c r="Y88" s="427"/>
      <c r="Z88" s="431"/>
      <c r="AA88" s="431"/>
      <c r="AB88" s="432"/>
      <c r="AC88" s="427"/>
      <c r="AD88" s="431"/>
      <c r="AE88" s="433"/>
      <c r="AF88" s="432"/>
      <c r="AG88" s="427"/>
      <c r="AH88" s="431"/>
      <c r="AI88" s="433"/>
      <c r="AJ88" s="432"/>
      <c r="AK88" s="427"/>
      <c r="AL88" s="431"/>
      <c r="AM88" s="433"/>
      <c r="AN88" s="432"/>
      <c r="AO88" s="427"/>
      <c r="AP88" s="431"/>
      <c r="AQ88" s="431"/>
      <c r="AR88" s="460">
        <f t="shared" si="50"/>
        <v>0</v>
      </c>
      <c r="AS88" s="467">
        <f t="shared" si="51"/>
        <v>0.67531542531542532</v>
      </c>
      <c r="AT88" s="447">
        <f t="shared" si="52"/>
        <v>0</v>
      </c>
      <c r="AU88" s="448">
        <f t="shared" si="53"/>
        <v>0.66888457628684961</v>
      </c>
      <c r="AV88" s="427">
        <v>143</v>
      </c>
      <c r="AW88" s="426">
        <v>141</v>
      </c>
      <c r="AX88" s="430">
        <v>52</v>
      </c>
      <c r="AY88" s="427">
        <v>1036</v>
      </c>
      <c r="AZ88" s="431">
        <v>52</v>
      </c>
      <c r="BA88" s="431">
        <v>1321</v>
      </c>
      <c r="BB88" s="432">
        <v>51</v>
      </c>
      <c r="BC88" s="427">
        <v>439</v>
      </c>
      <c r="BD88" s="431">
        <v>51</v>
      </c>
      <c r="BE88" s="433">
        <v>432</v>
      </c>
      <c r="BF88" s="432">
        <v>13</v>
      </c>
      <c r="BG88" s="427">
        <v>267</v>
      </c>
      <c r="BH88" s="431">
        <v>13</v>
      </c>
      <c r="BI88" s="433">
        <v>285</v>
      </c>
      <c r="BJ88" s="432">
        <v>44</v>
      </c>
      <c r="BK88" s="427">
        <v>153</v>
      </c>
      <c r="BL88" s="431">
        <v>44</v>
      </c>
      <c r="BM88" s="433">
        <v>200</v>
      </c>
      <c r="BN88" s="432">
        <v>14</v>
      </c>
      <c r="BO88" s="427">
        <v>147</v>
      </c>
      <c r="BP88" s="431">
        <v>14</v>
      </c>
      <c r="BQ88" s="433">
        <v>197</v>
      </c>
      <c r="BR88" s="432">
        <v>9</v>
      </c>
      <c r="BS88" s="427">
        <v>92</v>
      </c>
      <c r="BT88" s="392">
        <v>43</v>
      </c>
      <c r="BU88" s="392">
        <v>83</v>
      </c>
      <c r="BV88" s="432">
        <v>15</v>
      </c>
      <c r="BW88" s="427">
        <v>90</v>
      </c>
      <c r="BX88" s="431">
        <v>15</v>
      </c>
      <c r="BY88" s="433">
        <v>69</v>
      </c>
      <c r="BZ88" s="432">
        <v>43</v>
      </c>
      <c r="CA88" s="427">
        <v>61</v>
      </c>
      <c r="CB88" s="431">
        <v>9</v>
      </c>
      <c r="CC88" s="433">
        <v>68</v>
      </c>
      <c r="CD88" s="432">
        <v>4</v>
      </c>
      <c r="CE88" s="427">
        <v>49</v>
      </c>
      <c r="CF88" s="431">
        <v>4</v>
      </c>
      <c r="CG88" s="433">
        <v>61</v>
      </c>
      <c r="CH88" s="432">
        <v>45</v>
      </c>
      <c r="CI88" s="427">
        <v>33</v>
      </c>
      <c r="CJ88" s="431">
        <v>50</v>
      </c>
      <c r="CK88" s="433">
        <v>32</v>
      </c>
      <c r="CL88" s="428">
        <v>204</v>
      </c>
      <c r="CM88" s="426">
        <v>205</v>
      </c>
      <c r="CN88" s="468">
        <f t="shared" si="54"/>
        <v>2571</v>
      </c>
      <c r="CO88" s="468">
        <f t="shared" si="55"/>
        <v>10</v>
      </c>
      <c r="CP88" s="469">
        <f t="shared" si="56"/>
        <v>2953</v>
      </c>
      <c r="CQ88" s="469">
        <f t="shared" si="57"/>
        <v>10</v>
      </c>
      <c r="CR88" s="430">
        <v>51</v>
      </c>
      <c r="CS88" s="427">
        <v>57</v>
      </c>
      <c r="CT88" s="431">
        <v>51</v>
      </c>
      <c r="CU88" s="431">
        <v>55</v>
      </c>
      <c r="CV88" s="432">
        <v>14</v>
      </c>
      <c r="CW88" s="427">
        <v>35</v>
      </c>
      <c r="CX88" s="431">
        <v>13</v>
      </c>
      <c r="CY88" s="433">
        <v>27</v>
      </c>
      <c r="CZ88" s="432">
        <v>13</v>
      </c>
      <c r="DA88" s="427">
        <v>27</v>
      </c>
      <c r="DB88" s="431">
        <v>14</v>
      </c>
      <c r="DC88" s="433">
        <v>26</v>
      </c>
      <c r="DD88" s="432">
        <v>40</v>
      </c>
      <c r="DE88" s="427">
        <v>18</v>
      </c>
      <c r="DF88" s="431">
        <v>45</v>
      </c>
      <c r="DG88" s="433">
        <v>20</v>
      </c>
      <c r="DH88" s="432">
        <v>45</v>
      </c>
      <c r="DI88" s="427">
        <v>18</v>
      </c>
      <c r="DJ88" s="431">
        <v>52</v>
      </c>
      <c r="DK88" s="433">
        <v>14</v>
      </c>
      <c r="DL88" s="432">
        <v>42</v>
      </c>
      <c r="DM88" s="427">
        <v>12</v>
      </c>
      <c r="DN88" s="431">
        <v>40</v>
      </c>
      <c r="DO88" s="433">
        <v>13</v>
      </c>
      <c r="DP88" s="432">
        <v>26</v>
      </c>
      <c r="DQ88" s="427">
        <v>10</v>
      </c>
      <c r="DR88" s="431">
        <v>42</v>
      </c>
      <c r="DS88" s="433">
        <v>10</v>
      </c>
      <c r="DT88" s="432">
        <v>11</v>
      </c>
      <c r="DU88" s="427">
        <v>7</v>
      </c>
      <c r="DV88" s="431">
        <v>26</v>
      </c>
      <c r="DW88" s="433">
        <v>9</v>
      </c>
      <c r="DX88" s="432">
        <v>44</v>
      </c>
      <c r="DY88" s="427">
        <v>6</v>
      </c>
      <c r="DZ88" s="431">
        <v>44</v>
      </c>
      <c r="EA88" s="433">
        <v>7</v>
      </c>
      <c r="EB88" s="432">
        <v>52</v>
      </c>
      <c r="EC88" s="427">
        <v>3</v>
      </c>
      <c r="ED88" s="431">
        <v>11</v>
      </c>
      <c r="EE88" s="433">
        <v>5</v>
      </c>
      <c r="EF88" s="428">
        <v>4</v>
      </c>
      <c r="EG88" s="426">
        <v>10</v>
      </c>
      <c r="EH88" s="460">
        <f t="shared" si="58"/>
        <v>197</v>
      </c>
      <c r="EI88" s="460">
        <f t="shared" si="59"/>
        <v>10</v>
      </c>
      <c r="EJ88" s="458">
        <f t="shared" si="60"/>
        <v>0.28934010152284262</v>
      </c>
      <c r="EK88" s="470">
        <f t="shared" si="61"/>
        <v>196</v>
      </c>
      <c r="EL88" s="470">
        <f t="shared" si="62"/>
        <v>10</v>
      </c>
      <c r="EM88" s="449">
        <f t="shared" si="63"/>
        <v>0.28061224489795916</v>
      </c>
      <c r="EN88" s="460">
        <f t="shared" si="64"/>
        <v>2768</v>
      </c>
      <c r="EO88" s="469">
        <f t="shared" si="65"/>
        <v>3149</v>
      </c>
      <c r="EP88" s="434">
        <v>177</v>
      </c>
      <c r="EQ88" s="743">
        <v>185</v>
      </c>
      <c r="ER88" s="434"/>
      <c r="ES88" s="426"/>
      <c r="ET88" s="434"/>
      <c r="EU88" s="426"/>
      <c r="EV88" s="434"/>
      <c r="EW88" s="426"/>
      <c r="EX88" s="434"/>
      <c r="EY88" s="426"/>
      <c r="EZ88" s="434"/>
      <c r="FA88" s="426"/>
      <c r="FB88" s="434"/>
      <c r="FC88" s="426"/>
      <c r="FD88" s="434"/>
      <c r="FE88" s="426"/>
      <c r="FF88" s="434"/>
      <c r="FG88" s="426"/>
      <c r="FH88" s="435">
        <v>49</v>
      </c>
      <c r="FI88" s="743">
        <v>34</v>
      </c>
      <c r="FJ88" s="468">
        <f t="shared" si="66"/>
        <v>226</v>
      </c>
      <c r="FK88" s="469">
        <f t="shared" si="67"/>
        <v>219</v>
      </c>
      <c r="FL88" s="435"/>
      <c r="FM88" s="426"/>
      <c r="FN88" s="460">
        <f t="shared" si="68"/>
        <v>9828</v>
      </c>
      <c r="FO88" s="469">
        <f t="shared" si="69"/>
        <v>10821</v>
      </c>
    </row>
    <row r="89" spans="1:171" x14ac:dyDescent="0.2">
      <c r="A89" s="739" t="s">
        <v>1074</v>
      </c>
      <c r="B89" s="679" t="s">
        <v>1076</v>
      </c>
      <c r="C89" s="680"/>
      <c r="D89" s="632">
        <v>134097</v>
      </c>
      <c r="E89" s="632">
        <v>1</v>
      </c>
      <c r="F89" s="457"/>
      <c r="G89" s="426"/>
      <c r="H89" s="427"/>
      <c r="I89" s="426"/>
      <c r="J89" s="427">
        <v>111</v>
      </c>
      <c r="K89" s="743">
        <v>163</v>
      </c>
      <c r="L89" s="458">
        <f t="shared" si="48"/>
        <v>1.4075576971848846E-2</v>
      </c>
      <c r="M89" s="449">
        <f t="shared" si="49"/>
        <v>2.0737913486005091E-2</v>
      </c>
      <c r="N89" s="428">
        <v>7886</v>
      </c>
      <c r="O89" s="428"/>
      <c r="P89" s="428"/>
      <c r="Q89" s="428">
        <v>294</v>
      </c>
      <c r="R89" s="460">
        <f t="shared" si="46"/>
        <v>294</v>
      </c>
      <c r="S89" s="461">
        <v>7860</v>
      </c>
      <c r="T89" s="429"/>
      <c r="U89" s="429"/>
      <c r="V89" s="429">
        <v>257</v>
      </c>
      <c r="W89" s="462">
        <f t="shared" si="47"/>
        <v>257</v>
      </c>
      <c r="X89" s="430"/>
      <c r="Y89" s="427"/>
      <c r="Z89" s="431"/>
      <c r="AA89" s="431"/>
      <c r="AB89" s="432"/>
      <c r="AC89" s="427"/>
      <c r="AD89" s="431"/>
      <c r="AE89" s="433"/>
      <c r="AF89" s="432"/>
      <c r="AG89" s="427"/>
      <c r="AH89" s="431"/>
      <c r="AI89" s="433"/>
      <c r="AJ89" s="432"/>
      <c r="AK89" s="427"/>
      <c r="AL89" s="431"/>
      <c r="AM89" s="433"/>
      <c r="AN89" s="432"/>
      <c r="AO89" s="427"/>
      <c r="AP89" s="431"/>
      <c r="AQ89" s="431"/>
      <c r="AR89" s="460">
        <f t="shared" si="50"/>
        <v>0</v>
      </c>
      <c r="AS89" s="467">
        <f t="shared" si="51"/>
        <v>0.71476479651953229</v>
      </c>
      <c r="AT89" s="447">
        <f t="shared" si="52"/>
        <v>0</v>
      </c>
      <c r="AU89" s="448">
        <f t="shared" si="53"/>
        <v>0.7125373946151754</v>
      </c>
      <c r="AV89" s="427"/>
      <c r="AW89" s="426"/>
      <c r="AX89" s="430">
        <v>13</v>
      </c>
      <c r="AY89" s="427">
        <v>340</v>
      </c>
      <c r="AZ89" s="431">
        <v>13</v>
      </c>
      <c r="BA89" s="431">
        <v>288</v>
      </c>
      <c r="BB89" s="432">
        <v>52</v>
      </c>
      <c r="BC89" s="427">
        <v>239</v>
      </c>
      <c r="BD89" s="431">
        <v>52</v>
      </c>
      <c r="BE89" s="433">
        <v>281</v>
      </c>
      <c r="BF89" s="432">
        <v>25</v>
      </c>
      <c r="BG89" s="427">
        <v>238</v>
      </c>
      <c r="BH89" s="431">
        <v>44</v>
      </c>
      <c r="BI89" s="433">
        <v>279</v>
      </c>
      <c r="BJ89" s="432">
        <v>44</v>
      </c>
      <c r="BK89" s="427">
        <v>224</v>
      </c>
      <c r="BL89" s="431">
        <v>25</v>
      </c>
      <c r="BM89" s="433">
        <v>227</v>
      </c>
      <c r="BN89" s="432">
        <v>50</v>
      </c>
      <c r="BO89" s="427">
        <v>183</v>
      </c>
      <c r="BP89" s="431">
        <v>50</v>
      </c>
      <c r="BQ89" s="433">
        <v>163</v>
      </c>
      <c r="BR89" s="432">
        <v>45</v>
      </c>
      <c r="BS89" s="427">
        <v>170</v>
      </c>
      <c r="BT89" s="392">
        <v>45</v>
      </c>
      <c r="BU89" s="392">
        <v>156</v>
      </c>
      <c r="BV89" s="432">
        <v>51</v>
      </c>
      <c r="BW89" s="427">
        <v>160</v>
      </c>
      <c r="BX89" s="431">
        <v>51</v>
      </c>
      <c r="BY89" s="433">
        <v>126</v>
      </c>
      <c r="BZ89" s="432">
        <v>9</v>
      </c>
      <c r="CA89" s="427">
        <v>89</v>
      </c>
      <c r="CB89" s="431">
        <v>9</v>
      </c>
      <c r="CC89" s="433">
        <v>87</v>
      </c>
      <c r="CD89" s="432">
        <v>31</v>
      </c>
      <c r="CE89" s="427">
        <v>66</v>
      </c>
      <c r="CF89" s="431">
        <v>31</v>
      </c>
      <c r="CG89" s="433">
        <v>70</v>
      </c>
      <c r="CH89" s="432">
        <v>14</v>
      </c>
      <c r="CI89" s="427">
        <v>61</v>
      </c>
      <c r="CJ89" s="431">
        <v>40</v>
      </c>
      <c r="CK89" s="433">
        <v>64</v>
      </c>
      <c r="CL89" s="428">
        <v>448</v>
      </c>
      <c r="CM89" s="426">
        <v>401</v>
      </c>
      <c r="CN89" s="468">
        <f t="shared" si="54"/>
        <v>2218</v>
      </c>
      <c r="CO89" s="468">
        <f t="shared" si="55"/>
        <v>10</v>
      </c>
      <c r="CP89" s="469">
        <f t="shared" si="56"/>
        <v>2142</v>
      </c>
      <c r="CQ89" s="469">
        <f t="shared" si="57"/>
        <v>10</v>
      </c>
      <c r="CR89" s="430">
        <v>13</v>
      </c>
      <c r="CS89" s="427">
        <v>73</v>
      </c>
      <c r="CT89" s="431">
        <v>13</v>
      </c>
      <c r="CU89" s="431">
        <v>64</v>
      </c>
      <c r="CV89" s="432">
        <v>40</v>
      </c>
      <c r="CW89" s="427">
        <v>64</v>
      </c>
      <c r="CX89" s="431">
        <v>40</v>
      </c>
      <c r="CY89" s="433">
        <v>56</v>
      </c>
      <c r="CZ89" s="432">
        <v>50</v>
      </c>
      <c r="DA89" s="427">
        <v>41</v>
      </c>
      <c r="DB89" s="431">
        <v>45</v>
      </c>
      <c r="DC89" s="433">
        <v>43</v>
      </c>
      <c r="DD89" s="432">
        <v>27</v>
      </c>
      <c r="DE89" s="427">
        <v>27</v>
      </c>
      <c r="DF89" s="431">
        <v>50</v>
      </c>
      <c r="DG89" s="433">
        <v>35</v>
      </c>
      <c r="DH89" s="432">
        <v>26</v>
      </c>
      <c r="DI89" s="427">
        <v>25</v>
      </c>
      <c r="DJ89" s="431">
        <v>26</v>
      </c>
      <c r="DK89" s="433">
        <v>30</v>
      </c>
      <c r="DL89" s="432">
        <v>45</v>
      </c>
      <c r="DM89" s="427">
        <v>25</v>
      </c>
      <c r="DN89" s="431">
        <v>51</v>
      </c>
      <c r="DO89" s="433">
        <v>25</v>
      </c>
      <c r="DP89" s="432">
        <v>42</v>
      </c>
      <c r="DQ89" s="427">
        <v>23</v>
      </c>
      <c r="DR89" s="431">
        <v>23</v>
      </c>
      <c r="DS89" s="433">
        <v>20</v>
      </c>
      <c r="DT89" s="432">
        <v>14</v>
      </c>
      <c r="DU89" s="427">
        <v>21</v>
      </c>
      <c r="DV89" s="431">
        <v>14</v>
      </c>
      <c r="DW89" s="433">
        <v>20</v>
      </c>
      <c r="DX89" s="432">
        <v>52</v>
      </c>
      <c r="DY89" s="427">
        <v>19</v>
      </c>
      <c r="DZ89" s="431">
        <v>42</v>
      </c>
      <c r="EA89" s="433">
        <v>20</v>
      </c>
      <c r="EB89" s="432">
        <v>23</v>
      </c>
      <c r="EC89" s="427">
        <v>15</v>
      </c>
      <c r="ED89" s="431">
        <v>27</v>
      </c>
      <c r="EE89" s="433">
        <v>19</v>
      </c>
      <c r="EF89" s="428">
        <v>96</v>
      </c>
      <c r="EG89" s="426">
        <v>112</v>
      </c>
      <c r="EH89" s="460">
        <f t="shared" si="58"/>
        <v>429</v>
      </c>
      <c r="EI89" s="460">
        <f t="shared" si="59"/>
        <v>10</v>
      </c>
      <c r="EJ89" s="458">
        <f t="shared" si="60"/>
        <v>0.17016317016317017</v>
      </c>
      <c r="EK89" s="470">
        <f t="shared" si="61"/>
        <v>444</v>
      </c>
      <c r="EL89" s="470">
        <f t="shared" si="62"/>
        <v>10</v>
      </c>
      <c r="EM89" s="449">
        <f t="shared" si="63"/>
        <v>0.14414414414414414</v>
      </c>
      <c r="EN89" s="460">
        <f t="shared" si="64"/>
        <v>2647</v>
      </c>
      <c r="EO89" s="469">
        <f t="shared" si="65"/>
        <v>2586</v>
      </c>
      <c r="EP89" s="434">
        <v>276</v>
      </c>
      <c r="EQ89" s="743">
        <v>288</v>
      </c>
      <c r="ER89" s="434">
        <v>113</v>
      </c>
      <c r="ES89" s="743">
        <v>118</v>
      </c>
      <c r="ET89" s="434"/>
      <c r="EU89" s="426"/>
      <c r="EV89" s="434"/>
      <c r="EW89" s="426"/>
      <c r="EX89" s="434"/>
      <c r="EY89" s="426"/>
      <c r="EZ89" s="434"/>
      <c r="FA89" s="426"/>
      <c r="FB89" s="434"/>
      <c r="FC89" s="426"/>
      <c r="FD89" s="434"/>
      <c r="FE89" s="426"/>
      <c r="FF89" s="434"/>
      <c r="FG89" s="426"/>
      <c r="FH89" s="435"/>
      <c r="FI89" s="743">
        <v>16</v>
      </c>
      <c r="FJ89" s="468">
        <f t="shared" si="66"/>
        <v>389</v>
      </c>
      <c r="FK89" s="469">
        <f t="shared" si="67"/>
        <v>422</v>
      </c>
      <c r="FL89" s="435"/>
      <c r="FM89" s="426"/>
      <c r="FN89" s="460">
        <f t="shared" si="68"/>
        <v>11033</v>
      </c>
      <c r="FO89" s="469">
        <f t="shared" si="69"/>
        <v>11031</v>
      </c>
    </row>
    <row r="90" spans="1:171" x14ac:dyDescent="0.2">
      <c r="A90" s="739" t="s">
        <v>1074</v>
      </c>
      <c r="B90" s="679" t="s">
        <v>1077</v>
      </c>
      <c r="C90" s="680"/>
      <c r="D90" s="632">
        <v>132903</v>
      </c>
      <c r="E90" s="632">
        <v>1</v>
      </c>
      <c r="F90" s="457"/>
      <c r="G90" s="426"/>
      <c r="H90" s="427"/>
      <c r="I90" s="426"/>
      <c r="J90" s="427">
        <v>337</v>
      </c>
      <c r="K90" s="743">
        <v>316</v>
      </c>
      <c r="L90" s="458">
        <f t="shared" si="48"/>
        <v>3.1655081720834116E-2</v>
      </c>
      <c r="M90" s="449">
        <f t="shared" si="49"/>
        <v>2.7444849748132709E-2</v>
      </c>
      <c r="N90" s="428">
        <v>10646</v>
      </c>
      <c r="O90" s="428"/>
      <c r="P90" s="428"/>
      <c r="Q90" s="428">
        <v>798</v>
      </c>
      <c r="R90" s="460">
        <f t="shared" si="46"/>
        <v>798</v>
      </c>
      <c r="S90" s="461">
        <v>11514</v>
      </c>
      <c r="T90" s="429"/>
      <c r="U90" s="429"/>
      <c r="V90" s="429">
        <v>820</v>
      </c>
      <c r="W90" s="462">
        <f t="shared" si="47"/>
        <v>820</v>
      </c>
      <c r="X90" s="430"/>
      <c r="Y90" s="427"/>
      <c r="Z90" s="431"/>
      <c r="AA90" s="431"/>
      <c r="AB90" s="432"/>
      <c r="AC90" s="427"/>
      <c r="AD90" s="431"/>
      <c r="AE90" s="433"/>
      <c r="AF90" s="432"/>
      <c r="AG90" s="427"/>
      <c r="AH90" s="431"/>
      <c r="AI90" s="433"/>
      <c r="AJ90" s="432"/>
      <c r="AK90" s="427"/>
      <c r="AL90" s="431"/>
      <c r="AM90" s="433"/>
      <c r="AN90" s="432"/>
      <c r="AO90" s="427"/>
      <c r="AP90" s="431"/>
      <c r="AQ90" s="431"/>
      <c r="AR90" s="460">
        <f t="shared" si="50"/>
        <v>0</v>
      </c>
      <c r="AS90" s="467">
        <f t="shared" si="51"/>
        <v>0.78637908110503763</v>
      </c>
      <c r="AT90" s="447">
        <f t="shared" si="52"/>
        <v>0</v>
      </c>
      <c r="AU90" s="448">
        <f t="shared" si="53"/>
        <v>0.79270223752151459</v>
      </c>
      <c r="AV90" s="427"/>
      <c r="AW90" s="426"/>
      <c r="AX90" s="430">
        <v>52</v>
      </c>
      <c r="AY90" s="427">
        <v>483</v>
      </c>
      <c r="AZ90" s="431">
        <v>13</v>
      </c>
      <c r="BA90" s="431">
        <v>481</v>
      </c>
      <c r="BB90" s="432">
        <v>13</v>
      </c>
      <c r="BC90" s="427">
        <v>463</v>
      </c>
      <c r="BD90" s="431">
        <v>52</v>
      </c>
      <c r="BE90" s="433">
        <v>462</v>
      </c>
      <c r="BF90" s="432">
        <v>14</v>
      </c>
      <c r="BG90" s="427">
        <v>275</v>
      </c>
      <c r="BH90" s="431">
        <v>51</v>
      </c>
      <c r="BI90" s="433">
        <v>387</v>
      </c>
      <c r="BJ90" s="432">
        <v>51</v>
      </c>
      <c r="BK90" s="427">
        <v>274</v>
      </c>
      <c r="BL90" s="431">
        <v>14</v>
      </c>
      <c r="BM90" s="433">
        <v>329</v>
      </c>
      <c r="BN90" s="432">
        <v>44</v>
      </c>
      <c r="BO90" s="427">
        <v>172</v>
      </c>
      <c r="BP90" s="431">
        <v>44</v>
      </c>
      <c r="BQ90" s="433">
        <v>166</v>
      </c>
      <c r="BR90" s="432">
        <v>50</v>
      </c>
      <c r="BS90" s="427">
        <v>104</v>
      </c>
      <c r="BT90" s="392">
        <v>43</v>
      </c>
      <c r="BU90" s="392">
        <v>98</v>
      </c>
      <c r="BV90" s="432">
        <v>43</v>
      </c>
      <c r="BW90" s="427">
        <v>81</v>
      </c>
      <c r="BX90" s="431">
        <v>50</v>
      </c>
      <c r="BY90" s="433">
        <v>81</v>
      </c>
      <c r="BZ90" s="432">
        <v>11</v>
      </c>
      <c r="CA90" s="427">
        <v>59</v>
      </c>
      <c r="CB90" s="431">
        <v>11</v>
      </c>
      <c r="CC90" s="433">
        <v>65</v>
      </c>
      <c r="CD90" s="432">
        <v>26</v>
      </c>
      <c r="CE90" s="427">
        <v>57</v>
      </c>
      <c r="CF90" s="431">
        <v>45</v>
      </c>
      <c r="CG90" s="433">
        <v>45</v>
      </c>
      <c r="CH90" s="432">
        <v>42</v>
      </c>
      <c r="CI90" s="427">
        <v>50</v>
      </c>
      <c r="CJ90" s="431">
        <v>26</v>
      </c>
      <c r="CK90" s="433">
        <v>34</v>
      </c>
      <c r="CL90" s="428">
        <v>212</v>
      </c>
      <c r="CM90" s="426">
        <v>244</v>
      </c>
      <c r="CN90" s="468">
        <f t="shared" si="54"/>
        <v>2230</v>
      </c>
      <c r="CO90" s="468">
        <f t="shared" si="55"/>
        <v>10</v>
      </c>
      <c r="CP90" s="469">
        <f t="shared" si="56"/>
        <v>2392</v>
      </c>
      <c r="CQ90" s="469">
        <f t="shared" si="57"/>
        <v>10</v>
      </c>
      <c r="CR90" s="430">
        <v>13</v>
      </c>
      <c r="CS90" s="427">
        <v>69</v>
      </c>
      <c r="CT90" s="431">
        <v>14</v>
      </c>
      <c r="CU90" s="431">
        <v>53</v>
      </c>
      <c r="CV90" s="432">
        <v>14</v>
      </c>
      <c r="CW90" s="427">
        <v>66</v>
      </c>
      <c r="CX90" s="431">
        <v>13</v>
      </c>
      <c r="CY90" s="433">
        <v>52</v>
      </c>
      <c r="CZ90" s="432">
        <v>51</v>
      </c>
      <c r="DA90" s="427">
        <v>45</v>
      </c>
      <c r="DB90" s="431">
        <v>51</v>
      </c>
      <c r="DC90" s="433">
        <v>40</v>
      </c>
      <c r="DD90" s="432">
        <v>40</v>
      </c>
      <c r="DE90" s="427">
        <v>21</v>
      </c>
      <c r="DF90" s="431">
        <v>44</v>
      </c>
      <c r="DG90" s="433">
        <v>21</v>
      </c>
      <c r="DH90" s="432">
        <v>42</v>
      </c>
      <c r="DI90" s="427">
        <v>18</v>
      </c>
      <c r="DJ90" s="431">
        <v>42</v>
      </c>
      <c r="DK90" s="433">
        <v>17</v>
      </c>
      <c r="DL90" s="432">
        <v>44</v>
      </c>
      <c r="DM90" s="427">
        <v>14</v>
      </c>
      <c r="DN90" s="431">
        <v>40</v>
      </c>
      <c r="DO90" s="433">
        <v>16</v>
      </c>
      <c r="DP90" s="432">
        <v>11</v>
      </c>
      <c r="DQ90" s="427">
        <v>13</v>
      </c>
      <c r="DR90" s="431">
        <v>11</v>
      </c>
      <c r="DS90" s="433">
        <v>16</v>
      </c>
      <c r="DT90" s="432">
        <v>26</v>
      </c>
      <c r="DU90" s="427">
        <v>11</v>
      </c>
      <c r="DV90" s="431">
        <v>26</v>
      </c>
      <c r="DW90" s="433">
        <v>11</v>
      </c>
      <c r="DX90" s="432">
        <v>45</v>
      </c>
      <c r="DY90" s="427">
        <v>7</v>
      </c>
      <c r="DZ90" s="431">
        <v>52</v>
      </c>
      <c r="EA90" s="433">
        <v>10</v>
      </c>
      <c r="EB90" s="432">
        <v>52</v>
      </c>
      <c r="EC90" s="427">
        <v>7</v>
      </c>
      <c r="ED90" s="431">
        <v>30</v>
      </c>
      <c r="EE90" s="433">
        <v>10</v>
      </c>
      <c r="EF90" s="428">
        <v>14</v>
      </c>
      <c r="EG90" s="426">
        <v>20</v>
      </c>
      <c r="EH90" s="460">
        <f t="shared" si="58"/>
        <v>285</v>
      </c>
      <c r="EI90" s="460">
        <f t="shared" si="59"/>
        <v>10</v>
      </c>
      <c r="EJ90" s="458">
        <f t="shared" si="60"/>
        <v>0.24210526315789474</v>
      </c>
      <c r="EK90" s="470">
        <f t="shared" si="61"/>
        <v>266</v>
      </c>
      <c r="EL90" s="470">
        <f t="shared" si="62"/>
        <v>10</v>
      </c>
      <c r="EM90" s="449">
        <f t="shared" si="63"/>
        <v>0.19924812030075187</v>
      </c>
      <c r="EN90" s="460">
        <f t="shared" si="64"/>
        <v>2515</v>
      </c>
      <c r="EO90" s="469">
        <f t="shared" si="65"/>
        <v>2658</v>
      </c>
      <c r="EP90" s="434"/>
      <c r="EQ90" s="743"/>
      <c r="ER90" s="434"/>
      <c r="ES90" s="743"/>
      <c r="ET90" s="434"/>
      <c r="EU90" s="426"/>
      <c r="EV90" s="434"/>
      <c r="EW90" s="426"/>
      <c r="EX90" s="434"/>
      <c r="EY90" s="426"/>
      <c r="EZ90" s="434"/>
      <c r="FA90" s="426"/>
      <c r="FB90" s="434"/>
      <c r="FC90" s="426"/>
      <c r="FD90" s="434"/>
      <c r="FE90" s="426"/>
      <c r="FF90" s="434"/>
      <c r="FG90" s="426"/>
      <c r="FH90" s="435">
        <v>40</v>
      </c>
      <c r="FI90" s="743">
        <v>37</v>
      </c>
      <c r="FJ90" s="468">
        <f t="shared" si="66"/>
        <v>40</v>
      </c>
      <c r="FK90" s="469">
        <f t="shared" si="67"/>
        <v>37</v>
      </c>
      <c r="FL90" s="435"/>
      <c r="FM90" s="426"/>
      <c r="FN90" s="460">
        <f t="shared" si="68"/>
        <v>13538</v>
      </c>
      <c r="FO90" s="469">
        <f t="shared" si="69"/>
        <v>14525</v>
      </c>
    </row>
    <row r="91" spans="1:171" x14ac:dyDescent="0.2">
      <c r="A91" s="739" t="s">
        <v>1074</v>
      </c>
      <c r="B91" s="679" t="s">
        <v>1078</v>
      </c>
      <c r="C91" s="680"/>
      <c r="D91" s="632">
        <v>134130</v>
      </c>
      <c r="E91" s="632">
        <v>1</v>
      </c>
      <c r="F91" s="457"/>
      <c r="G91" s="450"/>
      <c r="H91" s="457"/>
      <c r="I91" s="450"/>
      <c r="J91" s="457">
        <v>198</v>
      </c>
      <c r="K91" s="743">
        <v>210</v>
      </c>
      <c r="L91" s="458">
        <f t="shared" si="48"/>
        <v>2.2797927461139896E-2</v>
      </c>
      <c r="M91" s="449">
        <f t="shared" si="49"/>
        <v>2.4415765608650157E-2</v>
      </c>
      <c r="N91" s="459">
        <v>8685</v>
      </c>
      <c r="O91" s="459"/>
      <c r="P91" s="459"/>
      <c r="Q91" s="459">
        <v>33</v>
      </c>
      <c r="R91" s="460">
        <f t="shared" si="46"/>
        <v>33</v>
      </c>
      <c r="S91" s="461">
        <v>8601</v>
      </c>
      <c r="T91" s="461"/>
      <c r="U91" s="461"/>
      <c r="V91" s="461">
        <v>47</v>
      </c>
      <c r="W91" s="462">
        <f t="shared" si="47"/>
        <v>47</v>
      </c>
      <c r="X91" s="463"/>
      <c r="Y91" s="457"/>
      <c r="Z91" s="464"/>
      <c r="AA91" s="464"/>
      <c r="AB91" s="465"/>
      <c r="AC91" s="457"/>
      <c r="AD91" s="464"/>
      <c r="AE91" s="466"/>
      <c r="AF91" s="465"/>
      <c r="AG91" s="457"/>
      <c r="AH91" s="464"/>
      <c r="AI91" s="466"/>
      <c r="AJ91" s="465"/>
      <c r="AK91" s="457"/>
      <c r="AL91" s="464"/>
      <c r="AM91" s="466"/>
      <c r="AN91" s="465"/>
      <c r="AO91" s="457"/>
      <c r="AP91" s="464"/>
      <c r="AQ91" s="464"/>
      <c r="AR91" s="460">
        <f t="shared" si="50"/>
        <v>0</v>
      </c>
      <c r="AS91" s="467">
        <f t="shared" si="51"/>
        <v>0.57539419636941835</v>
      </c>
      <c r="AT91" s="447">
        <f t="shared" si="52"/>
        <v>0</v>
      </c>
      <c r="AU91" s="448">
        <f t="shared" si="53"/>
        <v>0.57903594991248153</v>
      </c>
      <c r="AV91" s="457"/>
      <c r="AW91" s="450"/>
      <c r="AX91" s="463">
        <v>52</v>
      </c>
      <c r="AY91" s="457">
        <v>1105</v>
      </c>
      <c r="AZ91" s="464">
        <v>52</v>
      </c>
      <c r="BA91" s="464">
        <v>1101</v>
      </c>
      <c r="BB91" s="465">
        <v>14</v>
      </c>
      <c r="BC91" s="457">
        <v>873</v>
      </c>
      <c r="BD91" s="464">
        <v>14</v>
      </c>
      <c r="BE91" s="466">
        <v>965</v>
      </c>
      <c r="BF91" s="465">
        <v>51</v>
      </c>
      <c r="BG91" s="457">
        <v>536</v>
      </c>
      <c r="BH91" s="464">
        <v>51</v>
      </c>
      <c r="BI91" s="466">
        <v>548</v>
      </c>
      <c r="BJ91" s="465">
        <v>13</v>
      </c>
      <c r="BK91" s="457">
        <v>488</v>
      </c>
      <c r="BL91" s="464">
        <v>13</v>
      </c>
      <c r="BM91" s="466">
        <v>366</v>
      </c>
      <c r="BN91" s="465">
        <v>1</v>
      </c>
      <c r="BO91" s="457">
        <v>117</v>
      </c>
      <c r="BP91" s="464">
        <v>22</v>
      </c>
      <c r="BQ91" s="466">
        <v>114</v>
      </c>
      <c r="BR91" s="465">
        <v>22</v>
      </c>
      <c r="BS91" s="457">
        <v>114</v>
      </c>
      <c r="BT91" s="392">
        <v>4</v>
      </c>
      <c r="BU91" s="392">
        <v>104</v>
      </c>
      <c r="BV91" s="465">
        <v>4</v>
      </c>
      <c r="BW91" s="457">
        <v>93</v>
      </c>
      <c r="BX91" s="464">
        <v>1</v>
      </c>
      <c r="BY91" s="466">
        <v>104</v>
      </c>
      <c r="BZ91" s="465">
        <v>26</v>
      </c>
      <c r="CA91" s="457">
        <v>84</v>
      </c>
      <c r="CB91" s="464">
        <v>26</v>
      </c>
      <c r="CC91" s="466">
        <v>90</v>
      </c>
      <c r="CD91" s="465">
        <v>50</v>
      </c>
      <c r="CE91" s="457">
        <v>65</v>
      </c>
      <c r="CF91" s="464">
        <v>31</v>
      </c>
      <c r="CG91" s="466">
        <v>69</v>
      </c>
      <c r="CH91" s="465">
        <v>15</v>
      </c>
      <c r="CI91" s="457">
        <v>64</v>
      </c>
      <c r="CJ91" s="464">
        <v>45</v>
      </c>
      <c r="CK91" s="466">
        <v>67</v>
      </c>
      <c r="CL91" s="459">
        <v>382</v>
      </c>
      <c r="CM91" s="450">
        <v>423</v>
      </c>
      <c r="CN91" s="468">
        <f t="shared" si="54"/>
        <v>3921</v>
      </c>
      <c r="CO91" s="468">
        <f t="shared" si="55"/>
        <v>10</v>
      </c>
      <c r="CP91" s="469">
        <f t="shared" si="56"/>
        <v>3951</v>
      </c>
      <c r="CQ91" s="469">
        <f t="shared" si="57"/>
        <v>10</v>
      </c>
      <c r="CR91" s="463">
        <v>14</v>
      </c>
      <c r="CS91" s="457">
        <v>234</v>
      </c>
      <c r="CT91" s="464">
        <v>14</v>
      </c>
      <c r="CU91" s="464">
        <v>210</v>
      </c>
      <c r="CV91" s="465">
        <v>51</v>
      </c>
      <c r="CW91" s="457">
        <v>214</v>
      </c>
      <c r="CX91" s="464">
        <v>51</v>
      </c>
      <c r="CY91" s="466">
        <v>169</v>
      </c>
      <c r="CZ91" s="465">
        <v>26</v>
      </c>
      <c r="DA91" s="457">
        <v>111</v>
      </c>
      <c r="DB91" s="464">
        <v>26</v>
      </c>
      <c r="DC91" s="466">
        <v>117</v>
      </c>
      <c r="DD91" s="465">
        <v>40</v>
      </c>
      <c r="DE91" s="457">
        <v>72</v>
      </c>
      <c r="DF91" s="464">
        <v>40</v>
      </c>
      <c r="DG91" s="466">
        <v>75</v>
      </c>
      <c r="DH91" s="465">
        <v>45</v>
      </c>
      <c r="DI91" s="457">
        <v>60</v>
      </c>
      <c r="DJ91" s="464">
        <v>13</v>
      </c>
      <c r="DK91" s="466">
        <v>62</v>
      </c>
      <c r="DL91" s="465">
        <v>13</v>
      </c>
      <c r="DM91" s="457">
        <v>50</v>
      </c>
      <c r="DN91" s="464">
        <v>42</v>
      </c>
      <c r="DO91" s="466">
        <v>38</v>
      </c>
      <c r="DP91" s="465">
        <v>42</v>
      </c>
      <c r="DQ91" s="457">
        <v>45</v>
      </c>
      <c r="DR91" s="464">
        <v>45</v>
      </c>
      <c r="DS91" s="466">
        <v>35</v>
      </c>
      <c r="DT91" s="465">
        <v>1</v>
      </c>
      <c r="DU91" s="457">
        <v>42</v>
      </c>
      <c r="DV91" s="464">
        <v>1</v>
      </c>
      <c r="DW91" s="466">
        <v>32</v>
      </c>
      <c r="DX91" s="465">
        <v>23</v>
      </c>
      <c r="DY91" s="457">
        <v>23</v>
      </c>
      <c r="DZ91" s="464">
        <v>27</v>
      </c>
      <c r="EA91" s="466">
        <v>21</v>
      </c>
      <c r="EB91" s="465">
        <v>16</v>
      </c>
      <c r="EC91" s="457">
        <v>19</v>
      </c>
      <c r="ED91" s="464">
        <v>9</v>
      </c>
      <c r="EE91" s="466">
        <v>18</v>
      </c>
      <c r="EF91" s="459">
        <v>67</v>
      </c>
      <c r="EG91" s="450">
        <v>82</v>
      </c>
      <c r="EH91" s="460">
        <f t="shared" si="58"/>
        <v>937</v>
      </c>
      <c r="EI91" s="460">
        <f t="shared" si="59"/>
        <v>10</v>
      </c>
      <c r="EJ91" s="458">
        <f t="shared" si="60"/>
        <v>0.24973319103521879</v>
      </c>
      <c r="EK91" s="470">
        <f t="shared" si="61"/>
        <v>859</v>
      </c>
      <c r="EL91" s="470">
        <f t="shared" si="62"/>
        <v>10</v>
      </c>
      <c r="EM91" s="449">
        <f t="shared" si="63"/>
        <v>0.24447031431897556</v>
      </c>
      <c r="EN91" s="460">
        <f t="shared" si="64"/>
        <v>4858</v>
      </c>
      <c r="EO91" s="469">
        <f t="shared" si="65"/>
        <v>4810</v>
      </c>
      <c r="EP91" s="471">
        <v>410</v>
      </c>
      <c r="EQ91" s="743">
        <v>334</v>
      </c>
      <c r="ER91" s="471">
        <v>127</v>
      </c>
      <c r="ES91" s="743">
        <v>134</v>
      </c>
      <c r="ET91" s="471">
        <v>83</v>
      </c>
      <c r="EU91" s="450">
        <v>83</v>
      </c>
      <c r="EV91" s="471">
        <v>484</v>
      </c>
      <c r="EW91" s="450">
        <v>461</v>
      </c>
      <c r="EX91" s="471"/>
      <c r="EY91" s="450"/>
      <c r="EZ91" s="471"/>
      <c r="FA91" s="450"/>
      <c r="FB91" s="471"/>
      <c r="FC91" s="450"/>
      <c r="FD91" s="471">
        <v>87</v>
      </c>
      <c r="FE91" s="450">
        <v>84</v>
      </c>
      <c r="FF91" s="471"/>
      <c r="FG91" s="450"/>
      <c r="FH91" s="472">
        <v>162</v>
      </c>
      <c r="FI91" s="743">
        <v>137</v>
      </c>
      <c r="FJ91" s="468">
        <f t="shared" si="66"/>
        <v>1353</v>
      </c>
      <c r="FK91" s="469">
        <f t="shared" si="67"/>
        <v>1233</v>
      </c>
      <c r="FL91" s="472"/>
      <c r="FM91" s="450"/>
      <c r="FN91" s="460">
        <f t="shared" si="68"/>
        <v>15094</v>
      </c>
      <c r="FO91" s="469">
        <f t="shared" si="69"/>
        <v>14854</v>
      </c>
    </row>
    <row r="92" spans="1:171" x14ac:dyDescent="0.2">
      <c r="A92" s="739" t="s">
        <v>1074</v>
      </c>
      <c r="B92" s="679" t="s">
        <v>1079</v>
      </c>
      <c r="C92" s="680"/>
      <c r="D92" s="632">
        <v>137351</v>
      </c>
      <c r="E92" s="632">
        <v>1</v>
      </c>
      <c r="F92" s="457"/>
      <c r="G92" s="450"/>
      <c r="H92" s="457"/>
      <c r="I92" s="450"/>
      <c r="J92" s="457">
        <v>170</v>
      </c>
      <c r="K92" s="743">
        <v>190</v>
      </c>
      <c r="L92" s="458">
        <f t="shared" si="48"/>
        <v>2.0757020757020756E-2</v>
      </c>
      <c r="M92" s="449">
        <f t="shared" si="49"/>
        <v>2.1524866885691628E-2</v>
      </c>
      <c r="N92" s="459">
        <v>8190</v>
      </c>
      <c r="O92" s="459"/>
      <c r="P92" s="459"/>
      <c r="Q92" s="459">
        <v>725</v>
      </c>
      <c r="R92" s="460">
        <f t="shared" si="46"/>
        <v>725</v>
      </c>
      <c r="S92" s="461">
        <v>8827</v>
      </c>
      <c r="T92" s="461"/>
      <c r="U92" s="461"/>
      <c r="V92" s="461">
        <v>656</v>
      </c>
      <c r="W92" s="462">
        <f t="shared" si="47"/>
        <v>656</v>
      </c>
      <c r="X92" s="463"/>
      <c r="Y92" s="457"/>
      <c r="Z92" s="464"/>
      <c r="AA92" s="464"/>
      <c r="AB92" s="465"/>
      <c r="AC92" s="457"/>
      <c r="AD92" s="464"/>
      <c r="AE92" s="466"/>
      <c r="AF92" s="465"/>
      <c r="AG92" s="457"/>
      <c r="AH92" s="464"/>
      <c r="AI92" s="466"/>
      <c r="AJ92" s="465"/>
      <c r="AK92" s="457"/>
      <c r="AL92" s="464"/>
      <c r="AM92" s="466"/>
      <c r="AN92" s="465"/>
      <c r="AO92" s="457"/>
      <c r="AP92" s="464"/>
      <c r="AQ92" s="464"/>
      <c r="AR92" s="460">
        <f t="shared" si="50"/>
        <v>0</v>
      </c>
      <c r="AS92" s="467">
        <f t="shared" si="51"/>
        <v>0.71835803876852911</v>
      </c>
      <c r="AT92" s="447">
        <f t="shared" si="52"/>
        <v>0</v>
      </c>
      <c r="AU92" s="448">
        <f t="shared" si="53"/>
        <v>0.7236432202000328</v>
      </c>
      <c r="AV92" s="457"/>
      <c r="AW92" s="450"/>
      <c r="AX92" s="463">
        <v>13</v>
      </c>
      <c r="AY92" s="457">
        <v>620</v>
      </c>
      <c r="AZ92" s="464">
        <v>13</v>
      </c>
      <c r="BA92" s="464">
        <v>647</v>
      </c>
      <c r="BB92" s="465">
        <v>51</v>
      </c>
      <c r="BC92" s="457">
        <v>544</v>
      </c>
      <c r="BD92" s="464">
        <v>51</v>
      </c>
      <c r="BE92" s="466">
        <v>546</v>
      </c>
      <c r="BF92" s="465">
        <v>52</v>
      </c>
      <c r="BG92" s="457">
        <v>373</v>
      </c>
      <c r="BH92" s="464">
        <v>52</v>
      </c>
      <c r="BI92" s="466">
        <v>350</v>
      </c>
      <c r="BJ92" s="465">
        <v>14</v>
      </c>
      <c r="BK92" s="457">
        <v>239</v>
      </c>
      <c r="BL92" s="464">
        <v>14</v>
      </c>
      <c r="BM92" s="466">
        <v>227</v>
      </c>
      <c r="BN92" s="465">
        <v>26</v>
      </c>
      <c r="BO92" s="457">
        <v>169</v>
      </c>
      <c r="BP92" s="464">
        <v>26</v>
      </c>
      <c r="BQ92" s="466">
        <v>201</v>
      </c>
      <c r="BR92" s="465">
        <v>25</v>
      </c>
      <c r="BS92" s="457">
        <v>152</v>
      </c>
      <c r="BT92" s="392">
        <v>25</v>
      </c>
      <c r="BU92" s="392">
        <v>136</v>
      </c>
      <c r="BV92" s="465">
        <v>44</v>
      </c>
      <c r="BW92" s="457">
        <v>98</v>
      </c>
      <c r="BX92" s="464">
        <v>44</v>
      </c>
      <c r="BY92" s="466">
        <v>108</v>
      </c>
      <c r="BZ92" s="465">
        <v>4</v>
      </c>
      <c r="CA92" s="457">
        <v>42</v>
      </c>
      <c r="CB92" s="464">
        <v>45</v>
      </c>
      <c r="CC92" s="466">
        <v>53</v>
      </c>
      <c r="CD92" s="465">
        <v>45</v>
      </c>
      <c r="CE92" s="457">
        <v>41</v>
      </c>
      <c r="CF92" s="464">
        <v>11</v>
      </c>
      <c r="CG92" s="466">
        <v>48</v>
      </c>
      <c r="CH92" s="465">
        <v>50</v>
      </c>
      <c r="CI92" s="457">
        <v>35</v>
      </c>
      <c r="CJ92" s="464">
        <v>50</v>
      </c>
      <c r="CK92" s="466">
        <v>47</v>
      </c>
      <c r="CL92" s="459">
        <v>256</v>
      </c>
      <c r="CM92" s="450">
        <v>367</v>
      </c>
      <c r="CN92" s="468">
        <f t="shared" si="54"/>
        <v>2569</v>
      </c>
      <c r="CO92" s="468">
        <f t="shared" si="55"/>
        <v>10</v>
      </c>
      <c r="CP92" s="469">
        <f t="shared" si="56"/>
        <v>2730</v>
      </c>
      <c r="CQ92" s="469">
        <f t="shared" si="57"/>
        <v>10</v>
      </c>
      <c r="CR92" s="463">
        <v>51</v>
      </c>
      <c r="CS92" s="457">
        <v>81</v>
      </c>
      <c r="CT92" s="464">
        <v>51</v>
      </c>
      <c r="CU92" s="464">
        <v>62</v>
      </c>
      <c r="CV92" s="465">
        <v>13</v>
      </c>
      <c r="CW92" s="457">
        <v>63</v>
      </c>
      <c r="CX92" s="464">
        <v>14</v>
      </c>
      <c r="CY92" s="466">
        <v>53</v>
      </c>
      <c r="CZ92" s="465">
        <v>14</v>
      </c>
      <c r="DA92" s="457">
        <v>40</v>
      </c>
      <c r="DB92" s="464">
        <v>13</v>
      </c>
      <c r="DC92" s="466">
        <v>52</v>
      </c>
      <c r="DD92" s="465">
        <v>40</v>
      </c>
      <c r="DE92" s="457">
        <v>38</v>
      </c>
      <c r="DF92" s="464">
        <v>40</v>
      </c>
      <c r="DG92" s="466">
        <v>36</v>
      </c>
      <c r="DH92" s="465">
        <v>26</v>
      </c>
      <c r="DI92" s="457">
        <v>25</v>
      </c>
      <c r="DJ92" s="464">
        <v>26</v>
      </c>
      <c r="DK92" s="466">
        <v>26</v>
      </c>
      <c r="DL92" s="465">
        <v>42</v>
      </c>
      <c r="DM92" s="457">
        <v>23</v>
      </c>
      <c r="DN92" s="464">
        <v>42</v>
      </c>
      <c r="DO92" s="466">
        <v>22</v>
      </c>
      <c r="DP92" s="465">
        <v>45</v>
      </c>
      <c r="DQ92" s="457">
        <v>13</v>
      </c>
      <c r="DR92" s="464">
        <v>45</v>
      </c>
      <c r="DS92" s="466">
        <v>21</v>
      </c>
      <c r="DT92" s="465">
        <v>23</v>
      </c>
      <c r="DU92" s="457">
        <v>12</v>
      </c>
      <c r="DV92" s="464">
        <v>23</v>
      </c>
      <c r="DW92" s="466">
        <v>9</v>
      </c>
      <c r="DX92" s="465">
        <v>38</v>
      </c>
      <c r="DY92" s="457">
        <v>5</v>
      </c>
      <c r="DZ92" s="464">
        <v>52</v>
      </c>
      <c r="EA92" s="466">
        <v>6</v>
      </c>
      <c r="EB92" s="465">
        <v>52</v>
      </c>
      <c r="EC92" s="457">
        <v>4</v>
      </c>
      <c r="ED92" s="464">
        <v>38</v>
      </c>
      <c r="EE92" s="466">
        <v>6</v>
      </c>
      <c r="EF92" s="459">
        <v>12</v>
      </c>
      <c r="EG92" s="450">
        <v>12</v>
      </c>
      <c r="EH92" s="460">
        <f t="shared" si="58"/>
        <v>316</v>
      </c>
      <c r="EI92" s="460">
        <f t="shared" si="59"/>
        <v>10</v>
      </c>
      <c r="EJ92" s="458">
        <f t="shared" si="60"/>
        <v>0.25632911392405061</v>
      </c>
      <c r="EK92" s="470">
        <f t="shared" si="61"/>
        <v>305</v>
      </c>
      <c r="EL92" s="470">
        <f t="shared" si="62"/>
        <v>10</v>
      </c>
      <c r="EM92" s="449">
        <f t="shared" si="63"/>
        <v>0.20327868852459016</v>
      </c>
      <c r="EN92" s="460">
        <f t="shared" si="64"/>
        <v>2885</v>
      </c>
      <c r="EO92" s="469">
        <f t="shared" si="65"/>
        <v>3035</v>
      </c>
      <c r="EP92" s="471"/>
      <c r="EQ92" s="743"/>
      <c r="ER92" s="471">
        <v>109</v>
      </c>
      <c r="ES92" s="743">
        <v>109</v>
      </c>
      <c r="ET92" s="471"/>
      <c r="EU92" s="450"/>
      <c r="EV92" s="471"/>
      <c r="EW92" s="450"/>
      <c r="EX92" s="471"/>
      <c r="EY92" s="450"/>
      <c r="EZ92" s="471"/>
      <c r="FA92" s="450"/>
      <c r="FB92" s="471"/>
      <c r="FC92" s="450"/>
      <c r="FD92" s="471"/>
      <c r="FE92" s="450"/>
      <c r="FF92" s="471"/>
      <c r="FG92" s="450"/>
      <c r="FH92" s="472">
        <v>47</v>
      </c>
      <c r="FI92" s="743">
        <v>37</v>
      </c>
      <c r="FJ92" s="468">
        <f t="shared" si="66"/>
        <v>156</v>
      </c>
      <c r="FK92" s="469">
        <f t="shared" si="67"/>
        <v>146</v>
      </c>
      <c r="FL92" s="472"/>
      <c r="FM92" s="450"/>
      <c r="FN92" s="460">
        <f t="shared" si="68"/>
        <v>11401</v>
      </c>
      <c r="FO92" s="469">
        <f t="shared" si="69"/>
        <v>12198</v>
      </c>
    </row>
    <row r="93" spans="1:171" x14ac:dyDescent="0.2">
      <c r="A93" s="739" t="s">
        <v>1074</v>
      </c>
      <c r="B93" s="679" t="s">
        <v>1080</v>
      </c>
      <c r="C93" s="680" t="s">
        <v>602</v>
      </c>
      <c r="D93" s="632">
        <v>133669</v>
      </c>
      <c r="E93" s="632">
        <v>2</v>
      </c>
      <c r="F93" s="457"/>
      <c r="G93" s="450"/>
      <c r="H93" s="457"/>
      <c r="I93" s="450"/>
      <c r="J93" s="457">
        <v>220</v>
      </c>
      <c r="K93" s="743">
        <v>251</v>
      </c>
      <c r="L93" s="458">
        <f t="shared" si="48"/>
        <v>4.7898976703679513E-2</v>
      </c>
      <c r="M93" s="449">
        <f t="shared" si="49"/>
        <v>5.1308258381030251E-2</v>
      </c>
      <c r="N93" s="459">
        <v>4593</v>
      </c>
      <c r="O93" s="459"/>
      <c r="P93" s="459"/>
      <c r="Q93" s="459">
        <v>456</v>
      </c>
      <c r="R93" s="460">
        <f t="shared" si="46"/>
        <v>456</v>
      </c>
      <c r="S93" s="461">
        <v>4892</v>
      </c>
      <c r="T93" s="461"/>
      <c r="U93" s="461"/>
      <c r="V93" s="461">
        <v>430</v>
      </c>
      <c r="W93" s="462">
        <f t="shared" si="47"/>
        <v>430</v>
      </c>
      <c r="X93" s="463"/>
      <c r="Y93" s="457"/>
      <c r="Z93" s="464"/>
      <c r="AA93" s="464"/>
      <c r="AB93" s="465"/>
      <c r="AC93" s="457"/>
      <c r="AD93" s="464"/>
      <c r="AE93" s="466"/>
      <c r="AF93" s="465"/>
      <c r="AG93" s="457"/>
      <c r="AH93" s="464"/>
      <c r="AI93" s="466"/>
      <c r="AJ93" s="465"/>
      <c r="AK93" s="457"/>
      <c r="AL93" s="464"/>
      <c r="AM93" s="466"/>
      <c r="AN93" s="465"/>
      <c r="AO93" s="457"/>
      <c r="AP93" s="464"/>
      <c r="AQ93" s="464"/>
      <c r="AR93" s="460">
        <f t="shared" si="50"/>
        <v>0</v>
      </c>
      <c r="AS93" s="467">
        <f t="shared" si="51"/>
        <v>0.73323754789272033</v>
      </c>
      <c r="AT93" s="447">
        <f t="shared" si="52"/>
        <v>0</v>
      </c>
      <c r="AU93" s="448">
        <f t="shared" si="53"/>
        <v>0.74938725490196079</v>
      </c>
      <c r="AV93" s="457"/>
      <c r="AW93" s="450"/>
      <c r="AX93" s="463">
        <v>52</v>
      </c>
      <c r="AY93" s="457">
        <v>458</v>
      </c>
      <c r="AZ93" s="464">
        <v>52</v>
      </c>
      <c r="BA93" s="464">
        <v>428</v>
      </c>
      <c r="BB93" s="465">
        <v>13</v>
      </c>
      <c r="BC93" s="457">
        <v>259</v>
      </c>
      <c r="BD93" s="464">
        <v>13</v>
      </c>
      <c r="BE93" s="466">
        <v>220</v>
      </c>
      <c r="BF93" s="465">
        <v>51</v>
      </c>
      <c r="BG93" s="457">
        <v>180</v>
      </c>
      <c r="BH93" s="464">
        <v>51</v>
      </c>
      <c r="BI93" s="466">
        <v>166</v>
      </c>
      <c r="BJ93" s="465">
        <v>44</v>
      </c>
      <c r="BK93" s="457">
        <v>79</v>
      </c>
      <c r="BL93" s="464">
        <v>44</v>
      </c>
      <c r="BM93" s="466">
        <v>89</v>
      </c>
      <c r="BN93" s="465">
        <v>14</v>
      </c>
      <c r="BO93" s="457">
        <v>77</v>
      </c>
      <c r="BP93" s="464">
        <v>14</v>
      </c>
      <c r="BQ93" s="466">
        <v>62</v>
      </c>
      <c r="BR93" s="465">
        <v>45</v>
      </c>
      <c r="BS93" s="457">
        <v>44</v>
      </c>
      <c r="BT93" s="392">
        <v>45</v>
      </c>
      <c r="BU93" s="392">
        <v>51</v>
      </c>
      <c r="BV93" s="465">
        <v>26</v>
      </c>
      <c r="BW93" s="457">
        <v>41</v>
      </c>
      <c r="BX93" s="464">
        <v>26</v>
      </c>
      <c r="BY93" s="466">
        <v>41</v>
      </c>
      <c r="BZ93" s="465">
        <v>50</v>
      </c>
      <c r="CA93" s="457">
        <v>27</v>
      </c>
      <c r="CB93" s="464">
        <v>11</v>
      </c>
      <c r="CC93" s="466">
        <v>32</v>
      </c>
      <c r="CD93" s="465">
        <v>23</v>
      </c>
      <c r="CE93" s="457">
        <v>26</v>
      </c>
      <c r="CF93" s="464">
        <v>31</v>
      </c>
      <c r="CG93" s="466">
        <v>29</v>
      </c>
      <c r="CH93" s="465">
        <v>31</v>
      </c>
      <c r="CI93" s="457">
        <v>23</v>
      </c>
      <c r="CJ93" s="464">
        <v>23</v>
      </c>
      <c r="CK93" s="466">
        <v>27</v>
      </c>
      <c r="CL93" s="459">
        <v>135</v>
      </c>
      <c r="CM93" s="450">
        <v>114</v>
      </c>
      <c r="CN93" s="468">
        <f t="shared" si="54"/>
        <v>1349</v>
      </c>
      <c r="CO93" s="468">
        <f t="shared" si="55"/>
        <v>10</v>
      </c>
      <c r="CP93" s="469">
        <f t="shared" si="56"/>
        <v>1259</v>
      </c>
      <c r="CQ93" s="469">
        <f t="shared" si="57"/>
        <v>10</v>
      </c>
      <c r="CR93" s="463">
        <v>51</v>
      </c>
      <c r="CS93" s="457">
        <v>25</v>
      </c>
      <c r="CT93" s="464">
        <v>13</v>
      </c>
      <c r="CU93" s="464">
        <v>33</v>
      </c>
      <c r="CV93" s="465">
        <v>13</v>
      </c>
      <c r="CW93" s="457">
        <v>14</v>
      </c>
      <c r="CX93" s="464">
        <v>40</v>
      </c>
      <c r="CY93" s="466">
        <v>14</v>
      </c>
      <c r="CZ93" s="465">
        <v>42</v>
      </c>
      <c r="DA93" s="457">
        <v>10</v>
      </c>
      <c r="DB93" s="464">
        <v>51</v>
      </c>
      <c r="DC93" s="466">
        <v>13</v>
      </c>
      <c r="DD93" s="465">
        <v>30</v>
      </c>
      <c r="DE93" s="457">
        <v>10</v>
      </c>
      <c r="DF93" s="464">
        <v>52</v>
      </c>
      <c r="DG93" s="466">
        <v>11</v>
      </c>
      <c r="DH93" s="465">
        <v>27</v>
      </c>
      <c r="DI93" s="457">
        <v>6</v>
      </c>
      <c r="DJ93" s="464">
        <v>42</v>
      </c>
      <c r="DK93" s="466">
        <v>10</v>
      </c>
      <c r="DL93" s="465">
        <v>26</v>
      </c>
      <c r="DM93" s="457">
        <v>6</v>
      </c>
      <c r="DN93" s="464">
        <v>14</v>
      </c>
      <c r="DO93" s="466">
        <v>10</v>
      </c>
      <c r="DP93" s="465">
        <v>52</v>
      </c>
      <c r="DQ93" s="457">
        <v>4</v>
      </c>
      <c r="DR93" s="464">
        <v>26</v>
      </c>
      <c r="DS93" s="466">
        <v>9</v>
      </c>
      <c r="DT93" s="465">
        <v>14</v>
      </c>
      <c r="DU93" s="457">
        <v>4</v>
      </c>
      <c r="DV93" s="464">
        <v>27</v>
      </c>
      <c r="DW93" s="466">
        <v>7</v>
      </c>
      <c r="DX93" s="465">
        <v>40</v>
      </c>
      <c r="DY93" s="457">
        <v>3</v>
      </c>
      <c r="DZ93" s="464">
        <v>30</v>
      </c>
      <c r="EA93" s="466">
        <v>5</v>
      </c>
      <c r="EB93" s="465">
        <v>11</v>
      </c>
      <c r="EC93" s="457">
        <v>3</v>
      </c>
      <c r="ED93" s="464">
        <v>44</v>
      </c>
      <c r="EE93" s="466">
        <v>3</v>
      </c>
      <c r="EF93" s="459">
        <v>3</v>
      </c>
      <c r="EG93" s="450">
        <v>2</v>
      </c>
      <c r="EH93" s="460">
        <f t="shared" si="58"/>
        <v>88</v>
      </c>
      <c r="EI93" s="460">
        <f t="shared" si="59"/>
        <v>10</v>
      </c>
      <c r="EJ93" s="458">
        <f t="shared" si="60"/>
        <v>0.28409090909090912</v>
      </c>
      <c r="EK93" s="470">
        <f t="shared" si="61"/>
        <v>117</v>
      </c>
      <c r="EL93" s="470">
        <f t="shared" si="62"/>
        <v>10</v>
      </c>
      <c r="EM93" s="449">
        <f t="shared" si="63"/>
        <v>0.28205128205128205</v>
      </c>
      <c r="EN93" s="460">
        <f t="shared" si="64"/>
        <v>1437</v>
      </c>
      <c r="EO93" s="469">
        <f t="shared" si="65"/>
        <v>1376</v>
      </c>
      <c r="EP93" s="471"/>
      <c r="EQ93" s="743"/>
      <c r="ER93" s="471"/>
      <c r="ES93" s="450"/>
      <c r="ET93" s="471"/>
      <c r="EU93" s="450"/>
      <c r="EV93" s="471"/>
      <c r="EW93" s="450"/>
      <c r="EX93" s="471"/>
      <c r="EY93" s="450"/>
      <c r="EZ93" s="471"/>
      <c r="FA93" s="450"/>
      <c r="FB93" s="471"/>
      <c r="FC93" s="450"/>
      <c r="FD93" s="471"/>
      <c r="FE93" s="450"/>
      <c r="FF93" s="471"/>
      <c r="FG93" s="450"/>
      <c r="FH93" s="472">
        <v>14</v>
      </c>
      <c r="FI93" s="743">
        <v>9</v>
      </c>
      <c r="FJ93" s="468">
        <f t="shared" si="66"/>
        <v>14</v>
      </c>
      <c r="FK93" s="469">
        <f t="shared" si="67"/>
        <v>9</v>
      </c>
      <c r="FL93" s="472"/>
      <c r="FM93" s="450"/>
      <c r="FN93" s="460">
        <f t="shared" si="68"/>
        <v>6264</v>
      </c>
      <c r="FO93" s="469">
        <f t="shared" si="69"/>
        <v>6528</v>
      </c>
    </row>
    <row r="94" spans="1:171" x14ac:dyDescent="0.2">
      <c r="A94" s="739" t="s">
        <v>1074</v>
      </c>
      <c r="B94" s="679" t="s">
        <v>1081</v>
      </c>
      <c r="C94" s="680" t="s">
        <v>1086</v>
      </c>
      <c r="D94" s="632">
        <v>133650</v>
      </c>
      <c r="E94" s="632">
        <v>3</v>
      </c>
      <c r="F94" s="457"/>
      <c r="G94" s="450"/>
      <c r="H94" s="457"/>
      <c r="I94" s="450"/>
      <c r="J94" s="457">
        <v>67</v>
      </c>
      <c r="K94" s="743">
        <v>59</v>
      </c>
      <c r="L94" s="458">
        <f t="shared" si="48"/>
        <v>5.1697530864197531E-2</v>
      </c>
      <c r="M94" s="449">
        <f t="shared" si="49"/>
        <v>4.0245566166439289E-2</v>
      </c>
      <c r="N94" s="459">
        <v>1296</v>
      </c>
      <c r="O94" s="459"/>
      <c r="P94" s="459"/>
      <c r="Q94" s="459">
        <v>66</v>
      </c>
      <c r="R94" s="460">
        <f t="shared" si="46"/>
        <v>66</v>
      </c>
      <c r="S94" s="461">
        <v>1466</v>
      </c>
      <c r="T94" s="461"/>
      <c r="U94" s="461"/>
      <c r="V94" s="461">
        <v>59</v>
      </c>
      <c r="W94" s="462">
        <f t="shared" si="47"/>
        <v>59</v>
      </c>
      <c r="X94" s="463"/>
      <c r="Y94" s="457"/>
      <c r="Z94" s="464"/>
      <c r="AA94" s="464"/>
      <c r="AB94" s="465"/>
      <c r="AC94" s="457"/>
      <c r="AD94" s="464"/>
      <c r="AE94" s="466"/>
      <c r="AF94" s="465"/>
      <c r="AG94" s="457"/>
      <c r="AH94" s="464"/>
      <c r="AI94" s="466"/>
      <c r="AJ94" s="465"/>
      <c r="AK94" s="457"/>
      <c r="AL94" s="464"/>
      <c r="AM94" s="466"/>
      <c r="AN94" s="465"/>
      <c r="AO94" s="457"/>
      <c r="AP94" s="464"/>
      <c r="AQ94" s="464"/>
      <c r="AR94" s="460">
        <f t="shared" si="50"/>
        <v>0</v>
      </c>
      <c r="AS94" s="467">
        <f t="shared" si="51"/>
        <v>0.6467065868263473</v>
      </c>
      <c r="AT94" s="447">
        <f t="shared" si="52"/>
        <v>0</v>
      </c>
      <c r="AU94" s="448">
        <f t="shared" si="53"/>
        <v>0.68281322775966469</v>
      </c>
      <c r="AV94" s="457"/>
      <c r="AW94" s="450"/>
      <c r="AX94" s="463">
        <v>45</v>
      </c>
      <c r="AY94" s="457">
        <v>88</v>
      </c>
      <c r="AZ94" s="464">
        <v>45</v>
      </c>
      <c r="BA94" s="464">
        <v>69</v>
      </c>
      <c r="BB94" s="465">
        <v>52</v>
      </c>
      <c r="BC94" s="457">
        <v>50</v>
      </c>
      <c r="BD94" s="464">
        <v>52</v>
      </c>
      <c r="BE94" s="466">
        <v>38</v>
      </c>
      <c r="BF94" s="465">
        <v>51</v>
      </c>
      <c r="BG94" s="457">
        <v>43</v>
      </c>
      <c r="BH94" s="464">
        <v>51</v>
      </c>
      <c r="BI94" s="466">
        <v>35</v>
      </c>
      <c r="BJ94" s="465">
        <v>13</v>
      </c>
      <c r="BK94" s="457">
        <v>42</v>
      </c>
      <c r="BL94" s="464">
        <v>13</v>
      </c>
      <c r="BM94" s="466">
        <v>34</v>
      </c>
      <c r="BN94" s="465">
        <v>44</v>
      </c>
      <c r="BO94" s="457">
        <v>16</v>
      </c>
      <c r="BP94" s="464">
        <v>4</v>
      </c>
      <c r="BQ94" s="466">
        <v>22</v>
      </c>
      <c r="BR94" s="465">
        <v>4</v>
      </c>
      <c r="BS94" s="457">
        <v>13</v>
      </c>
      <c r="BT94" s="392">
        <v>44</v>
      </c>
      <c r="BU94" s="392">
        <v>20</v>
      </c>
      <c r="BV94" s="465">
        <v>42</v>
      </c>
      <c r="BW94" s="457">
        <v>13</v>
      </c>
      <c r="BX94" s="464">
        <v>14</v>
      </c>
      <c r="BY94" s="466">
        <v>13</v>
      </c>
      <c r="BZ94" s="465">
        <v>40</v>
      </c>
      <c r="CA94" s="457">
        <v>8</v>
      </c>
      <c r="CB94" s="464">
        <v>42</v>
      </c>
      <c r="CC94" s="466">
        <v>10</v>
      </c>
      <c r="CD94" s="465">
        <v>11</v>
      </c>
      <c r="CE94" s="457">
        <v>6</v>
      </c>
      <c r="CF94" s="464">
        <v>26</v>
      </c>
      <c r="CG94" s="466">
        <v>8</v>
      </c>
      <c r="CH94" s="465">
        <v>1</v>
      </c>
      <c r="CI94" s="457">
        <v>5</v>
      </c>
      <c r="CJ94" s="464">
        <v>40</v>
      </c>
      <c r="CK94" s="466">
        <v>7</v>
      </c>
      <c r="CL94" s="459">
        <v>10</v>
      </c>
      <c r="CM94" s="450">
        <v>14</v>
      </c>
      <c r="CN94" s="468">
        <f t="shared" si="54"/>
        <v>294</v>
      </c>
      <c r="CO94" s="468">
        <f t="shared" si="55"/>
        <v>10</v>
      </c>
      <c r="CP94" s="469">
        <f t="shared" si="56"/>
        <v>270</v>
      </c>
      <c r="CQ94" s="469">
        <f t="shared" si="57"/>
        <v>10</v>
      </c>
      <c r="CR94" s="463">
        <v>51</v>
      </c>
      <c r="CS94" s="457">
        <v>23</v>
      </c>
      <c r="CT94" s="464">
        <v>51</v>
      </c>
      <c r="CU94" s="464">
        <v>32</v>
      </c>
      <c r="CV94" s="465">
        <v>14</v>
      </c>
      <c r="CW94" s="457">
        <v>4</v>
      </c>
      <c r="CX94" s="464">
        <v>13</v>
      </c>
      <c r="CY94" s="466">
        <v>6</v>
      </c>
      <c r="CZ94" s="465">
        <v>13</v>
      </c>
      <c r="DA94" s="457">
        <v>3</v>
      </c>
      <c r="DB94" s="464">
        <v>3</v>
      </c>
      <c r="DC94" s="466">
        <v>3</v>
      </c>
      <c r="DD94" s="465">
        <v>3</v>
      </c>
      <c r="DE94" s="457">
        <v>2</v>
      </c>
      <c r="DF94" s="464">
        <v>40</v>
      </c>
      <c r="DG94" s="466">
        <v>2</v>
      </c>
      <c r="DH94" s="465">
        <v>26</v>
      </c>
      <c r="DI94" s="457">
        <v>2</v>
      </c>
      <c r="DJ94" s="464">
        <v>14</v>
      </c>
      <c r="DK94" s="466">
        <v>1</v>
      </c>
      <c r="DL94" s="465">
        <v>40</v>
      </c>
      <c r="DM94" s="457">
        <v>1</v>
      </c>
      <c r="DN94" s="464"/>
      <c r="DO94" s="466"/>
      <c r="DP94" s="465"/>
      <c r="DQ94" s="457"/>
      <c r="DR94" s="464"/>
      <c r="DS94" s="466"/>
      <c r="DT94" s="465"/>
      <c r="DU94" s="457"/>
      <c r="DV94" s="464"/>
      <c r="DW94" s="466"/>
      <c r="DX94" s="465"/>
      <c r="DY94" s="457"/>
      <c r="DZ94" s="464"/>
      <c r="EA94" s="466"/>
      <c r="EB94" s="465"/>
      <c r="EC94" s="457"/>
      <c r="ED94" s="464"/>
      <c r="EE94" s="466"/>
      <c r="EF94" s="459"/>
      <c r="EG94" s="450"/>
      <c r="EH94" s="460">
        <f t="shared" si="58"/>
        <v>35</v>
      </c>
      <c r="EI94" s="460">
        <f t="shared" si="59"/>
        <v>6</v>
      </c>
      <c r="EJ94" s="458">
        <f t="shared" si="60"/>
        <v>0.65714285714285714</v>
      </c>
      <c r="EK94" s="470">
        <f t="shared" si="61"/>
        <v>44</v>
      </c>
      <c r="EL94" s="470">
        <f t="shared" si="62"/>
        <v>5</v>
      </c>
      <c r="EM94" s="449">
        <f t="shared" si="63"/>
        <v>0.72727272727272729</v>
      </c>
      <c r="EN94" s="460">
        <f t="shared" si="64"/>
        <v>329</v>
      </c>
      <c r="EO94" s="469">
        <f t="shared" si="65"/>
        <v>314</v>
      </c>
      <c r="EP94" s="471">
        <v>160</v>
      </c>
      <c r="EQ94" s="743">
        <v>152</v>
      </c>
      <c r="ER94" s="471"/>
      <c r="ES94" s="450"/>
      <c r="ET94" s="471"/>
      <c r="EU94" s="450"/>
      <c r="EV94" s="471">
        <v>139</v>
      </c>
      <c r="EW94" s="450">
        <v>135</v>
      </c>
      <c r="EX94" s="471"/>
      <c r="EY94" s="450"/>
      <c r="EZ94" s="471"/>
      <c r="FA94" s="450"/>
      <c r="FB94" s="471"/>
      <c r="FC94" s="450"/>
      <c r="FD94" s="471"/>
      <c r="FE94" s="450"/>
      <c r="FF94" s="471"/>
      <c r="FG94" s="450"/>
      <c r="FH94" s="472">
        <v>13</v>
      </c>
      <c r="FI94" s="743">
        <v>21</v>
      </c>
      <c r="FJ94" s="468">
        <f t="shared" si="66"/>
        <v>312</v>
      </c>
      <c r="FK94" s="469">
        <f t="shared" si="67"/>
        <v>308</v>
      </c>
      <c r="FL94" s="472"/>
      <c r="FM94" s="450"/>
      <c r="FN94" s="460">
        <f t="shared" si="68"/>
        <v>2004</v>
      </c>
      <c r="FO94" s="469">
        <f t="shared" si="69"/>
        <v>2147</v>
      </c>
    </row>
    <row r="95" spans="1:171" x14ac:dyDescent="0.2">
      <c r="A95" s="739" t="s">
        <v>1074</v>
      </c>
      <c r="B95" s="679" t="s">
        <v>1082</v>
      </c>
      <c r="C95" s="680"/>
      <c r="D95" s="632">
        <v>136172</v>
      </c>
      <c r="E95" s="632">
        <v>3</v>
      </c>
      <c r="F95" s="457"/>
      <c r="G95" s="450"/>
      <c r="H95" s="457"/>
      <c r="I95" s="450"/>
      <c r="J95" s="457">
        <v>347</v>
      </c>
      <c r="K95" s="743">
        <v>380</v>
      </c>
      <c r="L95" s="458">
        <f t="shared" si="48"/>
        <v>0.11585976627712855</v>
      </c>
      <c r="M95" s="449">
        <f t="shared" si="49"/>
        <v>0.12206874397687119</v>
      </c>
      <c r="N95" s="459">
        <v>2995</v>
      </c>
      <c r="O95" s="459"/>
      <c r="P95" s="459"/>
      <c r="Q95" s="459">
        <v>317</v>
      </c>
      <c r="R95" s="460">
        <f t="shared" si="46"/>
        <v>317</v>
      </c>
      <c r="S95" s="461">
        <v>3113</v>
      </c>
      <c r="T95" s="461"/>
      <c r="U95" s="461"/>
      <c r="V95" s="461">
        <v>243</v>
      </c>
      <c r="W95" s="462">
        <f t="shared" si="47"/>
        <v>243</v>
      </c>
      <c r="X95" s="463"/>
      <c r="Y95" s="457"/>
      <c r="Z95" s="464"/>
      <c r="AA95" s="464"/>
      <c r="AB95" s="465"/>
      <c r="AC95" s="457"/>
      <c r="AD95" s="464"/>
      <c r="AE95" s="466"/>
      <c r="AF95" s="465"/>
      <c r="AG95" s="457"/>
      <c r="AH95" s="464"/>
      <c r="AI95" s="466"/>
      <c r="AJ95" s="465"/>
      <c r="AK95" s="457"/>
      <c r="AL95" s="464"/>
      <c r="AM95" s="466"/>
      <c r="AN95" s="465"/>
      <c r="AO95" s="457"/>
      <c r="AP95" s="464"/>
      <c r="AQ95" s="464"/>
      <c r="AR95" s="460">
        <f t="shared" si="50"/>
        <v>0</v>
      </c>
      <c r="AS95" s="467">
        <f t="shared" si="51"/>
        <v>0.75612219136581671</v>
      </c>
      <c r="AT95" s="447">
        <f t="shared" si="52"/>
        <v>0</v>
      </c>
      <c r="AU95" s="448">
        <f t="shared" si="53"/>
        <v>0.75048216007714563</v>
      </c>
      <c r="AV95" s="457"/>
      <c r="AW95" s="450"/>
      <c r="AX95" s="463">
        <v>52</v>
      </c>
      <c r="AY95" s="457">
        <v>205</v>
      </c>
      <c r="AZ95" s="464">
        <v>52</v>
      </c>
      <c r="BA95" s="464">
        <v>174</v>
      </c>
      <c r="BB95" s="465">
        <v>51</v>
      </c>
      <c r="BC95" s="457">
        <v>127</v>
      </c>
      <c r="BD95" s="464">
        <v>13</v>
      </c>
      <c r="BE95" s="466">
        <v>153</v>
      </c>
      <c r="BF95" s="465">
        <v>13</v>
      </c>
      <c r="BG95" s="457">
        <v>113</v>
      </c>
      <c r="BH95" s="464">
        <v>51</v>
      </c>
      <c r="BI95" s="466">
        <v>133</v>
      </c>
      <c r="BJ95" s="465">
        <v>44</v>
      </c>
      <c r="BK95" s="457">
        <v>28</v>
      </c>
      <c r="BL95" s="464">
        <v>44</v>
      </c>
      <c r="BM95" s="466">
        <v>26</v>
      </c>
      <c r="BN95" s="465">
        <v>42</v>
      </c>
      <c r="BO95" s="457">
        <v>27</v>
      </c>
      <c r="BP95" s="464">
        <v>23</v>
      </c>
      <c r="BQ95" s="466">
        <v>19</v>
      </c>
      <c r="BR95" s="465">
        <v>54</v>
      </c>
      <c r="BS95" s="457">
        <v>12</v>
      </c>
      <c r="BT95" s="392">
        <v>43</v>
      </c>
      <c r="BU95" s="392">
        <v>14</v>
      </c>
      <c r="BV95" s="465">
        <v>23</v>
      </c>
      <c r="BW95" s="457">
        <v>10</v>
      </c>
      <c r="BX95" s="464">
        <v>42</v>
      </c>
      <c r="BY95" s="466">
        <v>13</v>
      </c>
      <c r="BZ95" s="465">
        <v>43</v>
      </c>
      <c r="CA95" s="457">
        <v>9</v>
      </c>
      <c r="CB95" s="464">
        <v>14</v>
      </c>
      <c r="CC95" s="466">
        <v>12</v>
      </c>
      <c r="CD95" s="465">
        <v>27</v>
      </c>
      <c r="CE95" s="457">
        <v>9</v>
      </c>
      <c r="CF95" s="464">
        <v>54</v>
      </c>
      <c r="CG95" s="466">
        <v>10</v>
      </c>
      <c r="CH95" s="465">
        <v>26</v>
      </c>
      <c r="CI95" s="457">
        <v>9</v>
      </c>
      <c r="CJ95" s="464">
        <v>26</v>
      </c>
      <c r="CK95" s="466">
        <v>9</v>
      </c>
      <c r="CL95" s="459">
        <v>10</v>
      </c>
      <c r="CM95" s="450">
        <v>14</v>
      </c>
      <c r="CN95" s="468">
        <f t="shared" si="54"/>
        <v>559</v>
      </c>
      <c r="CO95" s="468">
        <f t="shared" si="55"/>
        <v>10</v>
      </c>
      <c r="CP95" s="469">
        <f t="shared" si="56"/>
        <v>577</v>
      </c>
      <c r="CQ95" s="469">
        <f t="shared" si="57"/>
        <v>10</v>
      </c>
      <c r="CR95" s="463">
        <v>51</v>
      </c>
      <c r="CS95" s="457">
        <v>28</v>
      </c>
      <c r="CT95" s="464">
        <v>51</v>
      </c>
      <c r="CU95" s="464">
        <v>35</v>
      </c>
      <c r="CV95" s="465">
        <v>13</v>
      </c>
      <c r="CW95" s="457">
        <v>8</v>
      </c>
      <c r="CX95" s="464">
        <v>13</v>
      </c>
      <c r="CY95" s="466">
        <v>8</v>
      </c>
      <c r="CZ95" s="465"/>
      <c r="DA95" s="457"/>
      <c r="DB95" s="464"/>
      <c r="DC95" s="466"/>
      <c r="DD95" s="465"/>
      <c r="DE95" s="457"/>
      <c r="DF95" s="464"/>
      <c r="DG95" s="466"/>
      <c r="DH95" s="465"/>
      <c r="DI95" s="457"/>
      <c r="DJ95" s="464"/>
      <c r="DK95" s="466"/>
      <c r="DL95" s="465"/>
      <c r="DM95" s="457"/>
      <c r="DN95" s="464"/>
      <c r="DO95" s="466"/>
      <c r="DP95" s="465"/>
      <c r="DQ95" s="457"/>
      <c r="DR95" s="464"/>
      <c r="DS95" s="466"/>
      <c r="DT95" s="465"/>
      <c r="DU95" s="457"/>
      <c r="DV95" s="464"/>
      <c r="DW95" s="466"/>
      <c r="DX95" s="465"/>
      <c r="DY95" s="457"/>
      <c r="DZ95" s="464"/>
      <c r="EA95" s="466"/>
      <c r="EB95" s="465"/>
      <c r="EC95" s="457"/>
      <c r="ED95" s="464"/>
      <c r="EE95" s="466"/>
      <c r="EF95" s="459"/>
      <c r="EG95" s="450"/>
      <c r="EH95" s="460">
        <f t="shared" si="58"/>
        <v>36</v>
      </c>
      <c r="EI95" s="460">
        <f t="shared" si="59"/>
        <v>2</v>
      </c>
      <c r="EJ95" s="458">
        <f t="shared" si="60"/>
        <v>0.77777777777777779</v>
      </c>
      <c r="EK95" s="470">
        <f t="shared" si="61"/>
        <v>43</v>
      </c>
      <c r="EL95" s="470">
        <f t="shared" si="62"/>
        <v>2</v>
      </c>
      <c r="EM95" s="449">
        <f t="shared" si="63"/>
        <v>0.81395348837209303</v>
      </c>
      <c r="EN95" s="460">
        <f t="shared" si="64"/>
        <v>595</v>
      </c>
      <c r="EO95" s="469">
        <f t="shared" si="65"/>
        <v>620</v>
      </c>
      <c r="EP95" s="471"/>
      <c r="EQ95" s="743"/>
      <c r="ER95" s="471"/>
      <c r="ES95" s="450"/>
      <c r="ET95" s="471"/>
      <c r="EU95" s="450"/>
      <c r="EV95" s="471"/>
      <c r="EW95" s="450"/>
      <c r="EX95" s="471"/>
      <c r="EY95" s="450"/>
      <c r="EZ95" s="471"/>
      <c r="FA95" s="450"/>
      <c r="FB95" s="471"/>
      <c r="FC95" s="450"/>
      <c r="FD95" s="471"/>
      <c r="FE95" s="450"/>
      <c r="FF95" s="471"/>
      <c r="FG95" s="450"/>
      <c r="FH95" s="472">
        <v>24</v>
      </c>
      <c r="FI95" s="743">
        <v>35</v>
      </c>
      <c r="FJ95" s="468">
        <f t="shared" si="66"/>
        <v>24</v>
      </c>
      <c r="FK95" s="469">
        <f t="shared" si="67"/>
        <v>35</v>
      </c>
      <c r="FL95" s="472"/>
      <c r="FM95" s="450"/>
      <c r="FN95" s="460">
        <f t="shared" si="68"/>
        <v>3961</v>
      </c>
      <c r="FO95" s="469">
        <f t="shared" si="69"/>
        <v>4148</v>
      </c>
    </row>
    <row r="96" spans="1:171" x14ac:dyDescent="0.2">
      <c r="A96" s="739" t="s">
        <v>1074</v>
      </c>
      <c r="B96" s="679" t="s">
        <v>1083</v>
      </c>
      <c r="C96" s="680"/>
      <c r="D96" s="632">
        <v>138354</v>
      </c>
      <c r="E96" s="632">
        <v>3</v>
      </c>
      <c r="F96" s="457"/>
      <c r="G96" s="450"/>
      <c r="H96" s="457"/>
      <c r="I96" s="450"/>
      <c r="J96" s="457">
        <v>161</v>
      </c>
      <c r="K96" s="743">
        <v>186</v>
      </c>
      <c r="L96" s="458">
        <f t="shared" si="48"/>
        <v>8.4603258013662641E-2</v>
      </c>
      <c r="M96" s="449">
        <f t="shared" si="49"/>
        <v>9.0599123234291284E-2</v>
      </c>
      <c r="N96" s="459">
        <v>1903</v>
      </c>
      <c r="O96" s="459"/>
      <c r="P96" s="459"/>
      <c r="Q96" s="459">
        <v>207</v>
      </c>
      <c r="R96" s="460">
        <f t="shared" si="46"/>
        <v>207</v>
      </c>
      <c r="S96" s="461">
        <v>2053</v>
      </c>
      <c r="T96" s="461"/>
      <c r="U96" s="461"/>
      <c r="V96" s="461">
        <v>129</v>
      </c>
      <c r="W96" s="462">
        <f t="shared" si="47"/>
        <v>129</v>
      </c>
      <c r="X96" s="463"/>
      <c r="Y96" s="457"/>
      <c r="Z96" s="464"/>
      <c r="AA96" s="464"/>
      <c r="AB96" s="465"/>
      <c r="AC96" s="457"/>
      <c r="AD96" s="464"/>
      <c r="AE96" s="466"/>
      <c r="AF96" s="465"/>
      <c r="AG96" s="457"/>
      <c r="AH96" s="464"/>
      <c r="AI96" s="466"/>
      <c r="AJ96" s="465"/>
      <c r="AK96" s="457"/>
      <c r="AL96" s="464"/>
      <c r="AM96" s="466"/>
      <c r="AN96" s="465"/>
      <c r="AO96" s="457"/>
      <c r="AP96" s="464"/>
      <c r="AQ96" s="464"/>
      <c r="AR96" s="460">
        <f t="shared" si="50"/>
        <v>0</v>
      </c>
      <c r="AS96" s="467">
        <f t="shared" si="51"/>
        <v>0.7219271623672231</v>
      </c>
      <c r="AT96" s="447">
        <f t="shared" si="52"/>
        <v>0</v>
      </c>
      <c r="AU96" s="448">
        <f t="shared" si="53"/>
        <v>0.75201465201465201</v>
      </c>
      <c r="AV96" s="457"/>
      <c r="AW96" s="450"/>
      <c r="AX96" s="463">
        <v>13</v>
      </c>
      <c r="AY96" s="457">
        <v>172</v>
      </c>
      <c r="AZ96" s="464">
        <v>13</v>
      </c>
      <c r="BA96" s="464">
        <v>158</v>
      </c>
      <c r="BB96" s="465">
        <v>52</v>
      </c>
      <c r="BC96" s="457">
        <v>120</v>
      </c>
      <c r="BD96" s="464">
        <v>52</v>
      </c>
      <c r="BE96" s="466">
        <v>121</v>
      </c>
      <c r="BF96" s="465">
        <v>11</v>
      </c>
      <c r="BG96" s="457">
        <v>64</v>
      </c>
      <c r="BH96" s="464">
        <v>42</v>
      </c>
      <c r="BI96" s="466">
        <v>41</v>
      </c>
      <c r="BJ96" s="465">
        <v>44</v>
      </c>
      <c r="BK96" s="457">
        <v>52</v>
      </c>
      <c r="BL96" s="464">
        <v>44</v>
      </c>
      <c r="BM96" s="466">
        <v>31</v>
      </c>
      <c r="BN96" s="465">
        <v>51</v>
      </c>
      <c r="BO96" s="457">
        <v>20</v>
      </c>
      <c r="BP96" s="464">
        <v>51</v>
      </c>
      <c r="BQ96" s="466">
        <v>23</v>
      </c>
      <c r="BR96" s="465">
        <v>31</v>
      </c>
      <c r="BS96" s="457">
        <v>20</v>
      </c>
      <c r="BT96" s="392">
        <v>31</v>
      </c>
      <c r="BU96" s="392">
        <v>18</v>
      </c>
      <c r="BV96" s="465">
        <v>42</v>
      </c>
      <c r="BW96" s="457">
        <v>19</v>
      </c>
      <c r="BX96" s="464">
        <v>54</v>
      </c>
      <c r="BY96" s="466">
        <v>17</v>
      </c>
      <c r="BZ96" s="465">
        <v>54</v>
      </c>
      <c r="CA96" s="457">
        <v>16</v>
      </c>
      <c r="CB96" s="464">
        <v>27</v>
      </c>
      <c r="CC96" s="466">
        <v>15</v>
      </c>
      <c r="CD96" s="465">
        <v>45</v>
      </c>
      <c r="CE96" s="457">
        <v>13</v>
      </c>
      <c r="CF96" s="464">
        <v>23</v>
      </c>
      <c r="CG96" s="466">
        <v>14</v>
      </c>
      <c r="CH96" s="465">
        <v>27</v>
      </c>
      <c r="CI96" s="457">
        <v>13</v>
      </c>
      <c r="CJ96" s="464">
        <v>43</v>
      </c>
      <c r="CK96" s="466">
        <v>10</v>
      </c>
      <c r="CL96" s="459">
        <v>36</v>
      </c>
      <c r="CM96" s="450">
        <v>25</v>
      </c>
      <c r="CN96" s="468">
        <f t="shared" si="54"/>
        <v>545</v>
      </c>
      <c r="CO96" s="468">
        <f t="shared" si="55"/>
        <v>10</v>
      </c>
      <c r="CP96" s="469">
        <f t="shared" si="56"/>
        <v>473</v>
      </c>
      <c r="CQ96" s="469">
        <f t="shared" si="57"/>
        <v>10</v>
      </c>
      <c r="CR96" s="463">
        <v>13</v>
      </c>
      <c r="CS96" s="457">
        <v>27</v>
      </c>
      <c r="CT96" s="464">
        <v>13</v>
      </c>
      <c r="CU96" s="464">
        <v>18</v>
      </c>
      <c r="CV96" s="465"/>
      <c r="CW96" s="457"/>
      <c r="CX96" s="464"/>
      <c r="CY96" s="466"/>
      <c r="CZ96" s="465"/>
      <c r="DA96" s="457"/>
      <c r="DB96" s="464"/>
      <c r="DC96" s="466"/>
      <c r="DD96" s="465"/>
      <c r="DE96" s="457"/>
      <c r="DF96" s="464"/>
      <c r="DG96" s="466"/>
      <c r="DH96" s="465"/>
      <c r="DI96" s="457"/>
      <c r="DJ96" s="464"/>
      <c r="DK96" s="466"/>
      <c r="DL96" s="465"/>
      <c r="DM96" s="457"/>
      <c r="DN96" s="464"/>
      <c r="DO96" s="466"/>
      <c r="DP96" s="465"/>
      <c r="DQ96" s="457"/>
      <c r="DR96" s="464"/>
      <c r="DS96" s="466"/>
      <c r="DT96" s="465"/>
      <c r="DU96" s="457"/>
      <c r="DV96" s="464"/>
      <c r="DW96" s="466"/>
      <c r="DX96" s="465"/>
      <c r="DY96" s="457"/>
      <c r="DZ96" s="464"/>
      <c r="EA96" s="466"/>
      <c r="EB96" s="465"/>
      <c r="EC96" s="457"/>
      <c r="ED96" s="464"/>
      <c r="EE96" s="466"/>
      <c r="EF96" s="459"/>
      <c r="EG96" s="450"/>
      <c r="EH96" s="460">
        <f t="shared" si="58"/>
        <v>27</v>
      </c>
      <c r="EI96" s="460">
        <f t="shared" si="59"/>
        <v>1</v>
      </c>
      <c r="EJ96" s="458">
        <f t="shared" si="60"/>
        <v>1</v>
      </c>
      <c r="EK96" s="470">
        <f t="shared" si="61"/>
        <v>18</v>
      </c>
      <c r="EL96" s="470">
        <f t="shared" si="62"/>
        <v>1</v>
      </c>
      <c r="EM96" s="449">
        <f t="shared" si="63"/>
        <v>1</v>
      </c>
      <c r="EN96" s="460">
        <f t="shared" si="64"/>
        <v>572</v>
      </c>
      <c r="EO96" s="469">
        <f t="shared" si="65"/>
        <v>491</v>
      </c>
      <c r="EP96" s="471"/>
      <c r="EQ96" s="450"/>
      <c r="ER96" s="471"/>
      <c r="ES96" s="450"/>
      <c r="ET96" s="471"/>
      <c r="EU96" s="450"/>
      <c r="EV96" s="471"/>
      <c r="EW96" s="450"/>
      <c r="EX96" s="471"/>
      <c r="EY96" s="450"/>
      <c r="EZ96" s="471"/>
      <c r="FA96" s="450"/>
      <c r="FB96" s="471"/>
      <c r="FC96" s="450"/>
      <c r="FD96" s="471"/>
      <c r="FE96" s="450"/>
      <c r="FF96" s="471"/>
      <c r="FG96" s="450"/>
      <c r="FH96" s="681"/>
      <c r="FI96" s="743"/>
      <c r="FJ96" s="468">
        <f t="shared" si="66"/>
        <v>0</v>
      </c>
      <c r="FK96" s="469">
        <f t="shared" si="67"/>
        <v>0</v>
      </c>
      <c r="FL96" s="472"/>
      <c r="FM96" s="450"/>
      <c r="FN96" s="460">
        <f t="shared" si="68"/>
        <v>2636</v>
      </c>
      <c r="FO96" s="469">
        <f t="shared" si="69"/>
        <v>2730</v>
      </c>
    </row>
    <row r="97" spans="1:171" x14ac:dyDescent="0.2">
      <c r="A97" s="739" t="s">
        <v>1074</v>
      </c>
      <c r="B97" s="679" t="s">
        <v>1084</v>
      </c>
      <c r="C97" s="680"/>
      <c r="D97" s="632">
        <v>433660</v>
      </c>
      <c r="E97" s="632">
        <v>4</v>
      </c>
      <c r="F97" s="457"/>
      <c r="G97" s="450"/>
      <c r="H97" s="457"/>
      <c r="I97" s="450"/>
      <c r="J97" s="457">
        <v>258</v>
      </c>
      <c r="K97" s="743">
        <v>306</v>
      </c>
      <c r="L97" s="458">
        <f t="shared" si="48"/>
        <v>0.15965346534653466</v>
      </c>
      <c r="M97" s="449">
        <f t="shared" si="49"/>
        <v>0.17545871559633028</v>
      </c>
      <c r="N97" s="459">
        <v>1616</v>
      </c>
      <c r="O97" s="459"/>
      <c r="P97" s="459"/>
      <c r="Q97" s="459">
        <v>159</v>
      </c>
      <c r="R97" s="460">
        <f t="shared" si="46"/>
        <v>159</v>
      </c>
      <c r="S97" s="461">
        <v>1744</v>
      </c>
      <c r="T97" s="461"/>
      <c r="U97" s="461"/>
      <c r="V97" s="461">
        <v>162</v>
      </c>
      <c r="W97" s="462">
        <f t="shared" si="47"/>
        <v>162</v>
      </c>
      <c r="X97" s="463"/>
      <c r="Y97" s="457"/>
      <c r="Z97" s="464"/>
      <c r="AA97" s="464"/>
      <c r="AB97" s="465"/>
      <c r="AC97" s="457"/>
      <c r="AD97" s="464"/>
      <c r="AE97" s="466"/>
      <c r="AF97" s="465"/>
      <c r="AG97" s="457"/>
      <c r="AH97" s="464"/>
      <c r="AI97" s="466"/>
      <c r="AJ97" s="465"/>
      <c r="AK97" s="457"/>
      <c r="AL97" s="464"/>
      <c r="AM97" s="466"/>
      <c r="AN97" s="465"/>
      <c r="AO97" s="457"/>
      <c r="AP97" s="464"/>
      <c r="AQ97" s="464"/>
      <c r="AR97" s="460">
        <f t="shared" si="50"/>
        <v>0</v>
      </c>
      <c r="AS97" s="467">
        <f t="shared" si="51"/>
        <v>0.69655172413793098</v>
      </c>
      <c r="AT97" s="447">
        <f t="shared" si="52"/>
        <v>0</v>
      </c>
      <c r="AU97" s="448">
        <f t="shared" si="53"/>
        <v>0.69927826784282276</v>
      </c>
      <c r="AV97" s="457">
        <v>23</v>
      </c>
      <c r="AW97" s="450">
        <v>35</v>
      </c>
      <c r="AX97" s="463">
        <v>13</v>
      </c>
      <c r="AY97" s="457">
        <v>115</v>
      </c>
      <c r="AZ97" s="464">
        <v>52</v>
      </c>
      <c r="BA97" s="464">
        <v>113</v>
      </c>
      <c r="BB97" s="465">
        <v>52</v>
      </c>
      <c r="BC97" s="457">
        <v>110</v>
      </c>
      <c r="BD97" s="464">
        <v>13</v>
      </c>
      <c r="BE97" s="466">
        <v>76</v>
      </c>
      <c r="BF97" s="465">
        <v>51</v>
      </c>
      <c r="BG97" s="457">
        <v>64</v>
      </c>
      <c r="BH97" s="464">
        <v>51</v>
      </c>
      <c r="BI97" s="466">
        <v>68</v>
      </c>
      <c r="BJ97" s="465">
        <v>44</v>
      </c>
      <c r="BK97" s="457">
        <v>53</v>
      </c>
      <c r="BL97" s="464">
        <v>44</v>
      </c>
      <c r="BM97" s="466">
        <v>68</v>
      </c>
      <c r="BN97" s="465">
        <v>43</v>
      </c>
      <c r="BO97" s="457">
        <v>26</v>
      </c>
      <c r="BP97" s="464">
        <v>43</v>
      </c>
      <c r="BQ97" s="466">
        <v>17</v>
      </c>
      <c r="BR97" s="465">
        <v>23</v>
      </c>
      <c r="BS97" s="457">
        <v>8</v>
      </c>
      <c r="BT97" s="392">
        <v>54</v>
      </c>
      <c r="BU97" s="392">
        <v>11</v>
      </c>
      <c r="BV97" s="465">
        <v>3</v>
      </c>
      <c r="BW97" s="457">
        <v>7</v>
      </c>
      <c r="BX97" s="464">
        <v>3</v>
      </c>
      <c r="BY97" s="466">
        <v>10</v>
      </c>
      <c r="BZ97" s="465">
        <v>54</v>
      </c>
      <c r="CA97" s="457">
        <v>2</v>
      </c>
      <c r="CB97" s="464">
        <v>23</v>
      </c>
      <c r="CC97" s="466">
        <v>5</v>
      </c>
      <c r="CD97" s="465"/>
      <c r="CE97" s="457"/>
      <c r="CF97" s="464">
        <v>27</v>
      </c>
      <c r="CG97" s="466">
        <v>3</v>
      </c>
      <c r="CH97" s="465"/>
      <c r="CI97" s="457"/>
      <c r="CJ97" s="464"/>
      <c r="CK97" s="466"/>
      <c r="CL97" s="459"/>
      <c r="CM97" s="450"/>
      <c r="CN97" s="468">
        <f t="shared" si="54"/>
        <v>385</v>
      </c>
      <c r="CO97" s="468">
        <f t="shared" si="55"/>
        <v>8</v>
      </c>
      <c r="CP97" s="469">
        <f t="shared" si="56"/>
        <v>371</v>
      </c>
      <c r="CQ97" s="469">
        <f t="shared" si="57"/>
        <v>9</v>
      </c>
      <c r="CR97" s="463">
        <v>51</v>
      </c>
      <c r="CS97" s="457">
        <v>19</v>
      </c>
      <c r="CT97" s="464">
        <v>51</v>
      </c>
      <c r="CU97" s="464">
        <v>19</v>
      </c>
      <c r="CV97" s="465"/>
      <c r="CW97" s="457"/>
      <c r="CX97" s="464"/>
      <c r="CY97" s="466"/>
      <c r="CZ97" s="465"/>
      <c r="DA97" s="457"/>
      <c r="DB97" s="464"/>
      <c r="DC97" s="466"/>
      <c r="DD97" s="465"/>
      <c r="DE97" s="457"/>
      <c r="DF97" s="464"/>
      <c r="DG97" s="466"/>
      <c r="DH97" s="465"/>
      <c r="DI97" s="457"/>
      <c r="DJ97" s="464"/>
      <c r="DK97" s="466"/>
      <c r="DL97" s="465"/>
      <c r="DM97" s="457"/>
      <c r="DN97" s="464"/>
      <c r="DO97" s="466"/>
      <c r="DP97" s="465"/>
      <c r="DQ97" s="457"/>
      <c r="DR97" s="464"/>
      <c r="DS97" s="466"/>
      <c r="DT97" s="465"/>
      <c r="DU97" s="457"/>
      <c r="DV97" s="464"/>
      <c r="DW97" s="466"/>
      <c r="DX97" s="465"/>
      <c r="DY97" s="457"/>
      <c r="DZ97" s="464"/>
      <c r="EA97" s="466"/>
      <c r="EB97" s="465"/>
      <c r="EC97" s="457"/>
      <c r="ED97" s="464"/>
      <c r="EE97" s="466"/>
      <c r="EF97" s="459"/>
      <c r="EG97" s="450"/>
      <c r="EH97" s="460">
        <f t="shared" si="58"/>
        <v>19</v>
      </c>
      <c r="EI97" s="460">
        <f t="shared" si="59"/>
        <v>1</v>
      </c>
      <c r="EJ97" s="458">
        <f t="shared" si="60"/>
        <v>1</v>
      </c>
      <c r="EK97" s="470">
        <f t="shared" si="61"/>
        <v>19</v>
      </c>
      <c r="EL97" s="470">
        <f t="shared" si="62"/>
        <v>1</v>
      </c>
      <c r="EM97" s="449">
        <f t="shared" si="63"/>
        <v>1</v>
      </c>
      <c r="EN97" s="460">
        <f t="shared" si="64"/>
        <v>404</v>
      </c>
      <c r="EO97" s="469">
        <f t="shared" si="65"/>
        <v>390</v>
      </c>
      <c r="EP97" s="471"/>
      <c r="EQ97" s="450"/>
      <c r="ER97" s="471"/>
      <c r="ES97" s="450"/>
      <c r="ET97" s="471"/>
      <c r="EU97" s="450"/>
      <c r="EV97" s="471"/>
      <c r="EW97" s="450"/>
      <c r="EX97" s="471"/>
      <c r="EY97" s="450"/>
      <c r="EZ97" s="471"/>
      <c r="FA97" s="450"/>
      <c r="FB97" s="471"/>
      <c r="FC97" s="450"/>
      <c r="FD97" s="471"/>
      <c r="FE97" s="450"/>
      <c r="FF97" s="471"/>
      <c r="FG97" s="450"/>
      <c r="FH97" s="681">
        <v>19</v>
      </c>
      <c r="FI97" s="743">
        <v>19</v>
      </c>
      <c r="FJ97" s="468">
        <f t="shared" si="66"/>
        <v>19</v>
      </c>
      <c r="FK97" s="469">
        <f t="shared" si="67"/>
        <v>19</v>
      </c>
      <c r="FL97" s="472"/>
      <c r="FM97" s="450"/>
      <c r="FN97" s="460">
        <f t="shared" si="68"/>
        <v>2320</v>
      </c>
      <c r="FO97" s="469">
        <f t="shared" si="69"/>
        <v>2494</v>
      </c>
    </row>
    <row r="98" spans="1:171" x14ac:dyDescent="0.2">
      <c r="A98" s="739" t="s">
        <v>1074</v>
      </c>
      <c r="B98" s="679" t="s">
        <v>1085</v>
      </c>
      <c r="C98" s="680"/>
      <c r="D98" s="632">
        <v>262129</v>
      </c>
      <c r="E98" s="632">
        <v>6</v>
      </c>
      <c r="F98" s="457"/>
      <c r="G98" s="450"/>
      <c r="H98" s="457"/>
      <c r="I98" s="450"/>
      <c r="J98" s="457">
        <v>0</v>
      </c>
      <c r="K98" s="450"/>
      <c r="L98" s="458">
        <f t="shared" si="48"/>
        <v>0</v>
      </c>
      <c r="M98" s="449">
        <f t="shared" si="49"/>
        <v>0</v>
      </c>
      <c r="N98" s="459">
        <v>167</v>
      </c>
      <c r="O98" s="459"/>
      <c r="P98" s="459"/>
      <c r="Q98" s="459">
        <v>0</v>
      </c>
      <c r="R98" s="460">
        <f t="shared" si="46"/>
        <v>0</v>
      </c>
      <c r="S98" s="461">
        <v>179</v>
      </c>
      <c r="T98" s="461"/>
      <c r="U98" s="461"/>
      <c r="V98" s="461"/>
      <c r="W98" s="462">
        <f t="shared" si="47"/>
        <v>0</v>
      </c>
      <c r="X98" s="463"/>
      <c r="Y98" s="457"/>
      <c r="Z98" s="464"/>
      <c r="AA98" s="464"/>
      <c r="AB98" s="465"/>
      <c r="AC98" s="457"/>
      <c r="AD98" s="464"/>
      <c r="AE98" s="466"/>
      <c r="AF98" s="465"/>
      <c r="AG98" s="457"/>
      <c r="AH98" s="464"/>
      <c r="AI98" s="466"/>
      <c r="AJ98" s="465"/>
      <c r="AK98" s="457"/>
      <c r="AL98" s="464"/>
      <c r="AM98" s="466"/>
      <c r="AN98" s="465"/>
      <c r="AO98" s="457"/>
      <c r="AP98" s="464"/>
      <c r="AQ98" s="464"/>
      <c r="AR98" s="460">
        <f t="shared" si="50"/>
        <v>0</v>
      </c>
      <c r="AS98" s="467">
        <f t="shared" si="51"/>
        <v>1</v>
      </c>
      <c r="AT98" s="447">
        <f t="shared" si="52"/>
        <v>0</v>
      </c>
      <c r="AU98" s="448">
        <f t="shared" si="53"/>
        <v>1</v>
      </c>
      <c r="AV98" s="457"/>
      <c r="AW98" s="450"/>
      <c r="AX98" s="463"/>
      <c r="AY98" s="457"/>
      <c r="AZ98" s="464"/>
      <c r="BA98" s="464"/>
      <c r="BB98" s="465"/>
      <c r="BC98" s="457"/>
      <c r="BD98" s="464"/>
      <c r="BE98" s="466"/>
      <c r="BF98" s="465"/>
      <c r="BG98" s="457"/>
      <c r="BH98" s="464"/>
      <c r="BI98" s="466"/>
      <c r="BJ98" s="465"/>
      <c r="BK98" s="457"/>
      <c r="BL98" s="464"/>
      <c r="BM98" s="466"/>
      <c r="BN98" s="465"/>
      <c r="BO98" s="457"/>
      <c r="BP98" s="464"/>
      <c r="BQ98" s="466"/>
      <c r="BR98" s="465"/>
      <c r="BS98" s="457"/>
      <c r="BT98" s="392"/>
      <c r="BU98" s="392"/>
      <c r="BV98" s="465"/>
      <c r="BW98" s="457"/>
      <c r="BX98" s="464"/>
      <c r="BY98" s="466"/>
      <c r="BZ98" s="465"/>
      <c r="CA98" s="457"/>
      <c r="CB98" s="464"/>
      <c r="CC98" s="466"/>
      <c r="CD98" s="465"/>
      <c r="CE98" s="457"/>
      <c r="CF98" s="464"/>
      <c r="CG98" s="466"/>
      <c r="CH98" s="465"/>
      <c r="CI98" s="457"/>
      <c r="CJ98" s="464"/>
      <c r="CK98" s="466"/>
      <c r="CL98" s="459"/>
      <c r="CM98" s="450"/>
      <c r="CN98" s="468">
        <f t="shared" si="54"/>
        <v>0</v>
      </c>
      <c r="CO98" s="468">
        <f t="shared" si="55"/>
        <v>0</v>
      </c>
      <c r="CP98" s="469">
        <f t="shared" si="56"/>
        <v>0</v>
      </c>
      <c r="CQ98" s="469">
        <f t="shared" si="57"/>
        <v>0</v>
      </c>
      <c r="CR98" s="463"/>
      <c r="CS98" s="457"/>
      <c r="CT98" s="464"/>
      <c r="CU98" s="464"/>
      <c r="CV98" s="465"/>
      <c r="CW98" s="457"/>
      <c r="CX98" s="464"/>
      <c r="CY98" s="466"/>
      <c r="CZ98" s="465"/>
      <c r="DA98" s="457"/>
      <c r="DB98" s="464"/>
      <c r="DC98" s="466"/>
      <c r="DD98" s="465"/>
      <c r="DE98" s="457"/>
      <c r="DF98" s="464"/>
      <c r="DG98" s="466"/>
      <c r="DH98" s="465"/>
      <c r="DI98" s="457"/>
      <c r="DJ98" s="464"/>
      <c r="DK98" s="466"/>
      <c r="DL98" s="465"/>
      <c r="DM98" s="457"/>
      <c r="DN98" s="464"/>
      <c r="DO98" s="466"/>
      <c r="DP98" s="465"/>
      <c r="DQ98" s="457"/>
      <c r="DR98" s="464"/>
      <c r="DS98" s="466"/>
      <c r="DT98" s="465"/>
      <c r="DU98" s="457"/>
      <c r="DV98" s="464"/>
      <c r="DW98" s="466"/>
      <c r="DX98" s="465"/>
      <c r="DY98" s="457"/>
      <c r="DZ98" s="464"/>
      <c r="EA98" s="466"/>
      <c r="EB98" s="465"/>
      <c r="EC98" s="457"/>
      <c r="ED98" s="464"/>
      <c r="EE98" s="466"/>
      <c r="EF98" s="459"/>
      <c r="EG98" s="450"/>
      <c r="EH98" s="460">
        <f t="shared" si="58"/>
        <v>0</v>
      </c>
      <c r="EI98" s="460">
        <f t="shared" si="59"/>
        <v>0</v>
      </c>
      <c r="EJ98" s="458">
        <f t="shared" si="60"/>
        <v>0</v>
      </c>
      <c r="EK98" s="470">
        <f t="shared" si="61"/>
        <v>0</v>
      </c>
      <c r="EL98" s="470">
        <f t="shared" si="62"/>
        <v>0</v>
      </c>
      <c r="EM98" s="449">
        <f t="shared" si="63"/>
        <v>0</v>
      </c>
      <c r="EN98" s="460">
        <f t="shared" si="64"/>
        <v>0</v>
      </c>
      <c r="EO98" s="469">
        <f t="shared" si="65"/>
        <v>0</v>
      </c>
      <c r="EP98" s="471"/>
      <c r="EQ98" s="450"/>
      <c r="ER98" s="471"/>
      <c r="ES98" s="450"/>
      <c r="ET98" s="471"/>
      <c r="EU98" s="450"/>
      <c r="EV98" s="471"/>
      <c r="EW98" s="450"/>
      <c r="EX98" s="471"/>
      <c r="EY98" s="450"/>
      <c r="EZ98" s="471"/>
      <c r="FA98" s="450"/>
      <c r="FB98" s="471"/>
      <c r="FC98" s="450"/>
      <c r="FD98" s="471"/>
      <c r="FE98" s="450"/>
      <c r="FF98" s="471"/>
      <c r="FG98" s="450"/>
      <c r="FH98" s="472"/>
      <c r="FI98" s="450"/>
      <c r="FJ98" s="468">
        <f t="shared" si="66"/>
        <v>0</v>
      </c>
      <c r="FK98" s="469">
        <f t="shared" si="67"/>
        <v>0</v>
      </c>
      <c r="FL98" s="472"/>
      <c r="FM98" s="450"/>
      <c r="FN98" s="460">
        <f t="shared" si="68"/>
        <v>167</v>
      </c>
      <c r="FO98" s="469">
        <f t="shared" si="69"/>
        <v>179</v>
      </c>
    </row>
    <row r="99" spans="1:171" ht="15.75" x14ac:dyDescent="0.25">
      <c r="A99" s="828" t="s">
        <v>1074</v>
      </c>
      <c r="B99" s="829" t="s">
        <v>1240</v>
      </c>
      <c r="C99" s="830"/>
      <c r="D99" s="718">
        <v>133021</v>
      </c>
      <c r="E99" s="821">
        <v>7</v>
      </c>
      <c r="F99" s="532">
        <v>182</v>
      </c>
      <c r="G99" s="831">
        <v>151</v>
      </c>
      <c r="H99" s="457">
        <v>11</v>
      </c>
      <c r="I99" s="831">
        <v>7</v>
      </c>
      <c r="J99" s="457">
        <v>357</v>
      </c>
      <c r="K99" s="831">
        <v>377</v>
      </c>
      <c r="L99" s="458">
        <f t="shared" si="48"/>
        <v>8.1136363636363633</v>
      </c>
      <c r="M99" s="449">
        <f t="shared" si="49"/>
        <v>4.5975609756097562</v>
      </c>
      <c r="N99" s="459">
        <v>44</v>
      </c>
      <c r="O99" s="459"/>
      <c r="P99" s="459"/>
      <c r="Q99" s="459"/>
      <c r="R99" s="460">
        <f t="shared" si="46"/>
        <v>0</v>
      </c>
      <c r="S99" s="831">
        <v>82</v>
      </c>
      <c r="T99" s="461"/>
      <c r="U99" s="461"/>
      <c r="V99" s="461"/>
      <c r="W99" s="462">
        <f t="shared" si="47"/>
        <v>0</v>
      </c>
      <c r="X99" s="463" t="s">
        <v>873</v>
      </c>
      <c r="Y99" s="457">
        <v>24</v>
      </c>
      <c r="Z99" s="832" t="s">
        <v>1241</v>
      </c>
      <c r="AA99" s="831">
        <v>30</v>
      </c>
      <c r="AB99" s="465" t="s">
        <v>1241</v>
      </c>
      <c r="AC99" s="457">
        <v>10</v>
      </c>
      <c r="AD99" s="832" t="s">
        <v>873</v>
      </c>
      <c r="AE99" s="833">
        <v>27</v>
      </c>
      <c r="AF99" s="465" t="s">
        <v>1242</v>
      </c>
      <c r="AG99" s="457">
        <v>10</v>
      </c>
      <c r="AH99" s="832" t="s">
        <v>1242</v>
      </c>
      <c r="AI99" s="833">
        <v>25</v>
      </c>
      <c r="AJ99" s="465"/>
      <c r="AK99" s="457"/>
      <c r="AL99" s="466"/>
      <c r="AM99" s="834"/>
      <c r="AN99" s="465"/>
      <c r="AO99" s="457"/>
      <c r="AP99" s="466"/>
      <c r="AQ99" s="392"/>
      <c r="AR99" s="460">
        <f t="shared" si="50"/>
        <v>3</v>
      </c>
      <c r="AS99" s="467">
        <f t="shared" si="51"/>
        <v>7.407407407407407E-2</v>
      </c>
      <c r="AT99" s="447">
        <f t="shared" si="52"/>
        <v>3</v>
      </c>
      <c r="AU99" s="448">
        <f t="shared" si="53"/>
        <v>0.13290113452188007</v>
      </c>
      <c r="AV99" s="457"/>
      <c r="AW99" s="450"/>
      <c r="AX99" s="463"/>
      <c r="AY99" s="457"/>
      <c r="AZ99" s="464"/>
      <c r="BA99" s="464"/>
      <c r="BB99" s="465"/>
      <c r="BC99" s="457"/>
      <c r="BD99" s="464"/>
      <c r="BE99" s="466"/>
      <c r="BF99" s="465"/>
      <c r="BG99" s="457"/>
      <c r="BH99" s="464"/>
      <c r="BI99" s="466"/>
      <c r="BJ99" s="465"/>
      <c r="BK99" s="457"/>
      <c r="BL99" s="464"/>
      <c r="BM99" s="466"/>
      <c r="BN99" s="465"/>
      <c r="BO99" s="457"/>
      <c r="BP99" s="464"/>
      <c r="BQ99" s="466"/>
      <c r="BR99" s="465"/>
      <c r="BS99" s="457"/>
      <c r="BT99" s="464"/>
      <c r="BU99" s="466"/>
      <c r="BV99" s="465"/>
      <c r="BW99" s="457"/>
      <c r="BX99" s="464"/>
      <c r="BY99" s="466"/>
      <c r="BZ99" s="465"/>
      <c r="CA99" s="457"/>
      <c r="CB99" s="464"/>
      <c r="CC99" s="466"/>
      <c r="CD99" s="465"/>
      <c r="CE99" s="457"/>
      <c r="CF99" s="464"/>
      <c r="CG99" s="466"/>
      <c r="CH99" s="465"/>
      <c r="CI99" s="457"/>
      <c r="CJ99" s="464"/>
      <c r="CK99" s="466"/>
      <c r="CL99" s="459"/>
      <c r="CM99" s="450"/>
      <c r="CN99" s="468">
        <f t="shared" si="54"/>
        <v>0</v>
      </c>
      <c r="CO99" s="468">
        <f t="shared" si="55"/>
        <v>0</v>
      </c>
      <c r="CP99" s="469">
        <f t="shared" si="56"/>
        <v>0</v>
      </c>
      <c r="CQ99" s="469">
        <f t="shared" si="57"/>
        <v>0</v>
      </c>
      <c r="CR99" s="463"/>
      <c r="CS99" s="457"/>
      <c r="CT99" s="464"/>
      <c r="CU99" s="464"/>
      <c r="CV99" s="465"/>
      <c r="CW99" s="457"/>
      <c r="CX99" s="464"/>
      <c r="CY99" s="466"/>
      <c r="CZ99" s="465"/>
      <c r="DA99" s="457"/>
      <c r="DB99" s="464"/>
      <c r="DC99" s="466"/>
      <c r="DD99" s="465"/>
      <c r="DE99" s="457"/>
      <c r="DF99" s="464"/>
      <c r="DG99" s="466"/>
      <c r="DH99" s="465"/>
      <c r="DI99" s="457"/>
      <c r="DJ99" s="464"/>
      <c r="DK99" s="466"/>
      <c r="DL99" s="465"/>
      <c r="DM99" s="457"/>
      <c r="DN99" s="464"/>
      <c r="DO99" s="466"/>
      <c r="DP99" s="465"/>
      <c r="DQ99" s="457"/>
      <c r="DR99" s="464"/>
      <c r="DS99" s="466"/>
      <c r="DT99" s="465"/>
      <c r="DU99" s="457"/>
      <c r="DV99" s="464"/>
      <c r="DW99" s="466"/>
      <c r="DX99" s="465"/>
      <c r="DY99" s="457"/>
      <c r="DZ99" s="464"/>
      <c r="EA99" s="466"/>
      <c r="EB99" s="465"/>
      <c r="EC99" s="457"/>
      <c r="ED99" s="464"/>
      <c r="EE99" s="466"/>
      <c r="EF99" s="459"/>
      <c r="EG99" s="450"/>
      <c r="EH99" s="460">
        <f t="shared" si="58"/>
        <v>0</v>
      </c>
      <c r="EI99" s="460">
        <f t="shared" si="59"/>
        <v>0</v>
      </c>
      <c r="EJ99" s="458">
        <f t="shared" si="60"/>
        <v>0</v>
      </c>
      <c r="EK99" s="470">
        <f t="shared" si="61"/>
        <v>0</v>
      </c>
      <c r="EL99" s="470">
        <f t="shared" si="62"/>
        <v>0</v>
      </c>
      <c r="EM99" s="449">
        <f t="shared" si="63"/>
        <v>0</v>
      </c>
      <c r="EN99" s="460">
        <f t="shared" si="64"/>
        <v>0</v>
      </c>
      <c r="EO99" s="469">
        <f t="shared" si="65"/>
        <v>0</v>
      </c>
      <c r="EP99" s="471"/>
      <c r="EQ99" s="450"/>
      <c r="ER99" s="471"/>
      <c r="ES99" s="450"/>
      <c r="ET99" s="471"/>
      <c r="EU99" s="450"/>
      <c r="EV99" s="471"/>
      <c r="EW99" s="450"/>
      <c r="EX99" s="471"/>
      <c r="EY99" s="450"/>
      <c r="EZ99" s="471"/>
      <c r="FA99" s="450"/>
      <c r="FB99" s="471"/>
      <c r="FC99" s="450"/>
      <c r="FD99" s="471"/>
      <c r="FE99" s="450"/>
      <c r="FF99" s="471"/>
      <c r="FG99" s="450"/>
      <c r="FH99" s="472"/>
      <c r="FI99" s="450"/>
      <c r="FJ99" s="468">
        <f t="shared" si="66"/>
        <v>0</v>
      </c>
      <c r="FK99" s="469">
        <f t="shared" si="67"/>
        <v>0</v>
      </c>
      <c r="FL99" s="472"/>
      <c r="FM99" s="450"/>
      <c r="FN99" s="460">
        <f t="shared" si="68"/>
        <v>594</v>
      </c>
      <c r="FO99" s="469">
        <f t="shared" si="69"/>
        <v>617</v>
      </c>
    </row>
    <row r="100" spans="1:171" ht="15.75" x14ac:dyDescent="0.25">
      <c r="A100" s="828" t="s">
        <v>1074</v>
      </c>
      <c r="B100" s="835" t="s">
        <v>1243</v>
      </c>
      <c r="C100" s="836"/>
      <c r="D100" s="718">
        <v>133386</v>
      </c>
      <c r="E100" s="821">
        <v>7</v>
      </c>
      <c r="F100" s="532">
        <v>1711</v>
      </c>
      <c r="G100" s="831">
        <v>1453</v>
      </c>
      <c r="H100" s="457">
        <v>82</v>
      </c>
      <c r="I100" s="831">
        <v>59</v>
      </c>
      <c r="J100" s="457">
        <v>2698</v>
      </c>
      <c r="K100" s="831">
        <v>2758</v>
      </c>
      <c r="L100" s="458">
        <f t="shared" si="48"/>
        <v>9.8827838827838832</v>
      </c>
      <c r="M100" s="449">
        <f t="shared" si="49"/>
        <v>7.7690140845070426</v>
      </c>
      <c r="N100" s="459">
        <v>273</v>
      </c>
      <c r="O100" s="459"/>
      <c r="P100" s="459"/>
      <c r="Q100" s="459"/>
      <c r="R100" s="460">
        <f t="shared" si="46"/>
        <v>0</v>
      </c>
      <c r="S100" s="831">
        <v>355</v>
      </c>
      <c r="T100" s="461"/>
      <c r="U100" s="461"/>
      <c r="V100" s="461"/>
      <c r="W100" s="462">
        <f t="shared" si="47"/>
        <v>0</v>
      </c>
      <c r="X100" s="463" t="s">
        <v>1242</v>
      </c>
      <c r="Y100" s="457">
        <v>226</v>
      </c>
      <c r="Z100" s="832" t="s">
        <v>1242</v>
      </c>
      <c r="AA100" s="831">
        <v>281</v>
      </c>
      <c r="AB100" s="465" t="s">
        <v>873</v>
      </c>
      <c r="AC100" s="457">
        <v>45</v>
      </c>
      <c r="AD100" s="832" t="s">
        <v>873</v>
      </c>
      <c r="AE100" s="831">
        <v>57</v>
      </c>
      <c r="AF100" s="465" t="s">
        <v>1244</v>
      </c>
      <c r="AG100" s="457">
        <v>2</v>
      </c>
      <c r="AH100" s="832" t="s">
        <v>1244</v>
      </c>
      <c r="AI100" s="831">
        <v>17</v>
      </c>
      <c r="AJ100" s="465"/>
      <c r="AK100" s="457"/>
      <c r="AL100" s="466"/>
      <c r="AM100" s="392"/>
      <c r="AN100" s="465"/>
      <c r="AO100" s="457"/>
      <c r="AP100" s="466"/>
      <c r="AQ100" s="392"/>
      <c r="AR100" s="460">
        <f t="shared" si="50"/>
        <v>3</v>
      </c>
      <c r="AS100" s="467">
        <f t="shared" si="51"/>
        <v>5.7304785894206546E-2</v>
      </c>
      <c r="AT100" s="447">
        <f t="shared" si="52"/>
        <v>3</v>
      </c>
      <c r="AU100" s="448">
        <f t="shared" si="53"/>
        <v>7.675675675675675E-2</v>
      </c>
      <c r="AV100" s="457"/>
      <c r="AW100" s="450"/>
      <c r="AX100" s="463"/>
      <c r="AY100" s="457"/>
      <c r="AZ100" s="464"/>
      <c r="BA100" s="464"/>
      <c r="BB100" s="465"/>
      <c r="BC100" s="457"/>
      <c r="BD100" s="464"/>
      <c r="BE100" s="466"/>
      <c r="BF100" s="465"/>
      <c r="BG100" s="457"/>
      <c r="BH100" s="464"/>
      <c r="BI100" s="466"/>
      <c r="BJ100" s="465"/>
      <c r="BK100" s="457"/>
      <c r="BL100" s="464"/>
      <c r="BM100" s="466"/>
      <c r="BN100" s="465"/>
      <c r="BO100" s="457"/>
      <c r="BP100" s="464"/>
      <c r="BQ100" s="466"/>
      <c r="BR100" s="465"/>
      <c r="BS100" s="457"/>
      <c r="BT100" s="464"/>
      <c r="BU100" s="466"/>
      <c r="BV100" s="465"/>
      <c r="BW100" s="457"/>
      <c r="BX100" s="464"/>
      <c r="BY100" s="466"/>
      <c r="BZ100" s="465"/>
      <c r="CA100" s="457"/>
      <c r="CB100" s="464"/>
      <c r="CC100" s="466"/>
      <c r="CD100" s="465"/>
      <c r="CE100" s="457"/>
      <c r="CF100" s="464"/>
      <c r="CG100" s="466"/>
      <c r="CH100" s="465"/>
      <c r="CI100" s="457"/>
      <c r="CJ100" s="464"/>
      <c r="CK100" s="466"/>
      <c r="CL100" s="459"/>
      <c r="CM100" s="450"/>
      <c r="CN100" s="468">
        <f t="shared" si="54"/>
        <v>0</v>
      </c>
      <c r="CO100" s="468">
        <f t="shared" si="55"/>
        <v>0</v>
      </c>
      <c r="CP100" s="469">
        <f t="shared" si="56"/>
        <v>0</v>
      </c>
      <c r="CQ100" s="469">
        <f t="shared" si="57"/>
        <v>0</v>
      </c>
      <c r="CR100" s="463"/>
      <c r="CS100" s="457"/>
      <c r="CT100" s="464"/>
      <c r="CU100" s="464"/>
      <c r="CV100" s="465"/>
      <c r="CW100" s="457"/>
      <c r="CX100" s="464"/>
      <c r="CY100" s="466"/>
      <c r="CZ100" s="465"/>
      <c r="DA100" s="457"/>
      <c r="DB100" s="464"/>
      <c r="DC100" s="466"/>
      <c r="DD100" s="465"/>
      <c r="DE100" s="457"/>
      <c r="DF100" s="464"/>
      <c r="DG100" s="466"/>
      <c r="DH100" s="465"/>
      <c r="DI100" s="457"/>
      <c r="DJ100" s="464"/>
      <c r="DK100" s="466"/>
      <c r="DL100" s="465"/>
      <c r="DM100" s="457"/>
      <c r="DN100" s="464"/>
      <c r="DO100" s="466"/>
      <c r="DP100" s="465"/>
      <c r="DQ100" s="457"/>
      <c r="DR100" s="464"/>
      <c r="DS100" s="466"/>
      <c r="DT100" s="465"/>
      <c r="DU100" s="457"/>
      <c r="DV100" s="464"/>
      <c r="DW100" s="466"/>
      <c r="DX100" s="465"/>
      <c r="DY100" s="457"/>
      <c r="DZ100" s="464"/>
      <c r="EA100" s="466"/>
      <c r="EB100" s="465"/>
      <c r="EC100" s="457"/>
      <c r="ED100" s="464"/>
      <c r="EE100" s="466"/>
      <c r="EF100" s="459"/>
      <c r="EG100" s="450"/>
      <c r="EH100" s="460">
        <f t="shared" si="58"/>
        <v>0</v>
      </c>
      <c r="EI100" s="460">
        <f t="shared" si="59"/>
        <v>0</v>
      </c>
      <c r="EJ100" s="458">
        <f t="shared" si="60"/>
        <v>0</v>
      </c>
      <c r="EK100" s="470">
        <f t="shared" si="61"/>
        <v>0</v>
      </c>
      <c r="EL100" s="470">
        <f t="shared" si="62"/>
        <v>0</v>
      </c>
      <c r="EM100" s="449">
        <f t="shared" si="63"/>
        <v>0</v>
      </c>
      <c r="EN100" s="460">
        <f t="shared" si="64"/>
        <v>0</v>
      </c>
      <c r="EO100" s="469">
        <f t="shared" si="65"/>
        <v>0</v>
      </c>
      <c r="EP100" s="471"/>
      <c r="EQ100" s="450"/>
      <c r="ER100" s="471"/>
      <c r="ES100" s="450"/>
      <c r="ET100" s="471"/>
      <c r="EU100" s="450"/>
      <c r="EV100" s="471"/>
      <c r="EW100" s="450"/>
      <c r="EX100" s="471"/>
      <c r="EY100" s="450"/>
      <c r="EZ100" s="471"/>
      <c r="FA100" s="450"/>
      <c r="FB100" s="471"/>
      <c r="FC100" s="450"/>
      <c r="FD100" s="471"/>
      <c r="FE100" s="450"/>
      <c r="FF100" s="471"/>
      <c r="FG100" s="450"/>
      <c r="FH100" s="472"/>
      <c r="FI100" s="450"/>
      <c r="FJ100" s="468">
        <f t="shared" si="66"/>
        <v>0</v>
      </c>
      <c r="FK100" s="469">
        <f t="shared" si="67"/>
        <v>0</v>
      </c>
      <c r="FL100" s="472"/>
      <c r="FM100" s="450"/>
      <c r="FN100" s="460">
        <f t="shared" si="68"/>
        <v>4764</v>
      </c>
      <c r="FO100" s="469">
        <f t="shared" si="69"/>
        <v>4625</v>
      </c>
    </row>
    <row r="101" spans="1:171" ht="15.75" x14ac:dyDescent="0.25">
      <c r="A101" s="828" t="s">
        <v>1074</v>
      </c>
      <c r="B101" s="835" t="s">
        <v>1245</v>
      </c>
      <c r="C101" s="836"/>
      <c r="D101" s="837">
        <v>133508</v>
      </c>
      <c r="E101" s="837">
        <v>7</v>
      </c>
      <c r="F101" s="532">
        <v>290</v>
      </c>
      <c r="G101" s="831">
        <v>286</v>
      </c>
      <c r="H101" s="457">
        <v>0</v>
      </c>
      <c r="I101" s="831">
        <v>0</v>
      </c>
      <c r="J101" s="457">
        <v>2073</v>
      </c>
      <c r="K101" s="831">
        <v>2399</v>
      </c>
      <c r="L101" s="458">
        <f t="shared" si="48"/>
        <v>8.3253012048192776</v>
      </c>
      <c r="M101" s="449">
        <f t="shared" si="49"/>
        <v>8.1598639455782305</v>
      </c>
      <c r="N101" s="459">
        <v>249</v>
      </c>
      <c r="O101" s="459"/>
      <c r="P101" s="459"/>
      <c r="Q101" s="459"/>
      <c r="R101" s="460">
        <f t="shared" si="46"/>
        <v>0</v>
      </c>
      <c r="S101" s="831">
        <v>294</v>
      </c>
      <c r="T101" s="461"/>
      <c r="U101" s="461"/>
      <c r="V101" s="461"/>
      <c r="W101" s="462">
        <f t="shared" si="47"/>
        <v>0</v>
      </c>
      <c r="X101" s="463" t="s">
        <v>873</v>
      </c>
      <c r="Y101" s="457">
        <v>94</v>
      </c>
      <c r="Z101" s="832" t="s">
        <v>873</v>
      </c>
      <c r="AA101" s="831">
        <v>110</v>
      </c>
      <c r="AB101" s="465" t="s">
        <v>1241</v>
      </c>
      <c r="AC101" s="457">
        <v>82</v>
      </c>
      <c r="AD101" s="832" t="s">
        <v>1242</v>
      </c>
      <c r="AE101" s="833">
        <v>78</v>
      </c>
      <c r="AF101" s="465" t="s">
        <v>1242</v>
      </c>
      <c r="AG101" s="457">
        <v>39</v>
      </c>
      <c r="AH101" s="832" t="s">
        <v>1241</v>
      </c>
      <c r="AI101" s="833">
        <v>77</v>
      </c>
      <c r="AJ101" s="465" t="s">
        <v>1246</v>
      </c>
      <c r="AK101" s="457">
        <v>34</v>
      </c>
      <c r="AL101" s="832" t="s">
        <v>1246</v>
      </c>
      <c r="AM101" s="833">
        <v>29</v>
      </c>
      <c r="AN101" s="465"/>
      <c r="AO101" s="457"/>
      <c r="AP101" s="466"/>
      <c r="AQ101" s="392"/>
      <c r="AR101" s="460">
        <f t="shared" si="50"/>
        <v>4</v>
      </c>
      <c r="AS101" s="467">
        <f t="shared" si="51"/>
        <v>9.5329249617151612E-2</v>
      </c>
      <c r="AT101" s="447">
        <f t="shared" si="52"/>
        <v>4</v>
      </c>
      <c r="AU101" s="448">
        <f t="shared" si="53"/>
        <v>9.8690835850956699E-2</v>
      </c>
      <c r="AV101" s="457"/>
      <c r="AW101" s="450"/>
      <c r="AX101" s="463"/>
      <c r="AY101" s="457"/>
      <c r="AZ101" s="464"/>
      <c r="BA101" s="464"/>
      <c r="BB101" s="465"/>
      <c r="BC101" s="457"/>
      <c r="BD101" s="464"/>
      <c r="BE101" s="466"/>
      <c r="BF101" s="465"/>
      <c r="BG101" s="457"/>
      <c r="BH101" s="464"/>
      <c r="BI101" s="466"/>
      <c r="BJ101" s="465"/>
      <c r="BK101" s="457"/>
      <c r="BL101" s="464"/>
      <c r="BM101" s="466"/>
      <c r="BN101" s="465"/>
      <c r="BO101" s="457"/>
      <c r="BP101" s="464"/>
      <c r="BQ101" s="466"/>
      <c r="BR101" s="465"/>
      <c r="BS101" s="457"/>
      <c r="BT101" s="464"/>
      <c r="BU101" s="466"/>
      <c r="BV101" s="465"/>
      <c r="BW101" s="457"/>
      <c r="BX101" s="464"/>
      <c r="BY101" s="466"/>
      <c r="BZ101" s="465"/>
      <c r="CA101" s="457"/>
      <c r="CB101" s="464"/>
      <c r="CC101" s="466"/>
      <c r="CD101" s="465"/>
      <c r="CE101" s="457"/>
      <c r="CF101" s="464"/>
      <c r="CG101" s="466"/>
      <c r="CH101" s="465"/>
      <c r="CI101" s="457"/>
      <c r="CJ101" s="464"/>
      <c r="CK101" s="466"/>
      <c r="CL101" s="459"/>
      <c r="CM101" s="450"/>
      <c r="CN101" s="468">
        <f t="shared" si="54"/>
        <v>0</v>
      </c>
      <c r="CO101" s="468">
        <f t="shared" si="55"/>
        <v>0</v>
      </c>
      <c r="CP101" s="469">
        <f t="shared" si="56"/>
        <v>0</v>
      </c>
      <c r="CQ101" s="469">
        <f t="shared" si="57"/>
        <v>0</v>
      </c>
      <c r="CR101" s="463"/>
      <c r="CS101" s="457"/>
      <c r="CT101" s="464"/>
      <c r="CU101" s="464"/>
      <c r="CV101" s="465"/>
      <c r="CW101" s="457"/>
      <c r="CX101" s="464"/>
      <c r="CY101" s="466"/>
      <c r="CZ101" s="465"/>
      <c r="DA101" s="457"/>
      <c r="DB101" s="464"/>
      <c r="DC101" s="466"/>
      <c r="DD101" s="465"/>
      <c r="DE101" s="457"/>
      <c r="DF101" s="464"/>
      <c r="DG101" s="466"/>
      <c r="DH101" s="465"/>
      <c r="DI101" s="457"/>
      <c r="DJ101" s="464"/>
      <c r="DK101" s="466"/>
      <c r="DL101" s="465"/>
      <c r="DM101" s="457"/>
      <c r="DN101" s="464"/>
      <c r="DO101" s="466"/>
      <c r="DP101" s="465"/>
      <c r="DQ101" s="457"/>
      <c r="DR101" s="464"/>
      <c r="DS101" s="466"/>
      <c r="DT101" s="465"/>
      <c r="DU101" s="457"/>
      <c r="DV101" s="464"/>
      <c r="DW101" s="466"/>
      <c r="DX101" s="465"/>
      <c r="DY101" s="457"/>
      <c r="DZ101" s="464"/>
      <c r="EA101" s="466"/>
      <c r="EB101" s="465"/>
      <c r="EC101" s="457"/>
      <c r="ED101" s="464"/>
      <c r="EE101" s="466"/>
      <c r="EF101" s="459"/>
      <c r="EG101" s="450"/>
      <c r="EH101" s="460">
        <f t="shared" si="58"/>
        <v>0</v>
      </c>
      <c r="EI101" s="460">
        <f t="shared" si="59"/>
        <v>0</v>
      </c>
      <c r="EJ101" s="458">
        <f t="shared" si="60"/>
        <v>0</v>
      </c>
      <c r="EK101" s="470">
        <f t="shared" si="61"/>
        <v>0</v>
      </c>
      <c r="EL101" s="470">
        <f t="shared" si="62"/>
        <v>0</v>
      </c>
      <c r="EM101" s="449">
        <f t="shared" si="63"/>
        <v>0</v>
      </c>
      <c r="EN101" s="460">
        <f t="shared" si="64"/>
        <v>0</v>
      </c>
      <c r="EO101" s="469">
        <f t="shared" si="65"/>
        <v>0</v>
      </c>
      <c r="EP101" s="471"/>
      <c r="EQ101" s="450"/>
      <c r="ER101" s="471"/>
      <c r="ES101" s="450"/>
      <c r="ET101" s="471"/>
      <c r="EU101" s="450"/>
      <c r="EV101" s="471"/>
      <c r="EW101" s="450"/>
      <c r="EX101" s="471"/>
      <c r="EY101" s="450"/>
      <c r="EZ101" s="471"/>
      <c r="FA101" s="450"/>
      <c r="FB101" s="471"/>
      <c r="FC101" s="450"/>
      <c r="FD101" s="471"/>
      <c r="FE101" s="450"/>
      <c r="FF101" s="471"/>
      <c r="FG101" s="450"/>
      <c r="FH101" s="472"/>
      <c r="FI101" s="450"/>
      <c r="FJ101" s="468">
        <f t="shared" si="66"/>
        <v>0</v>
      </c>
      <c r="FK101" s="469">
        <f t="shared" si="67"/>
        <v>0</v>
      </c>
      <c r="FL101" s="472"/>
      <c r="FM101" s="450"/>
      <c r="FN101" s="460">
        <f t="shared" si="68"/>
        <v>2612</v>
      </c>
      <c r="FO101" s="469">
        <f t="shared" si="69"/>
        <v>2979</v>
      </c>
    </row>
    <row r="102" spans="1:171" ht="15.75" x14ac:dyDescent="0.25">
      <c r="A102" s="828" t="s">
        <v>1074</v>
      </c>
      <c r="B102" s="835" t="s">
        <v>1247</v>
      </c>
      <c r="C102" s="838"/>
      <c r="D102" s="718">
        <v>133702</v>
      </c>
      <c r="E102" s="848">
        <v>7</v>
      </c>
      <c r="F102" s="532">
        <v>2176</v>
      </c>
      <c r="G102" s="831">
        <v>2341</v>
      </c>
      <c r="H102" s="457">
        <v>9</v>
      </c>
      <c r="I102" s="831">
        <v>24</v>
      </c>
      <c r="J102" s="457">
        <v>5409</v>
      </c>
      <c r="K102" s="831">
        <v>5744</v>
      </c>
      <c r="L102" s="458">
        <f t="shared" si="48"/>
        <v>26.385365853658538</v>
      </c>
      <c r="M102" s="449">
        <f t="shared" si="49"/>
        <v>14.653061224489797</v>
      </c>
      <c r="N102" s="459">
        <v>205</v>
      </c>
      <c r="O102" s="459"/>
      <c r="P102" s="459"/>
      <c r="Q102" s="459"/>
      <c r="R102" s="460">
        <f t="shared" si="46"/>
        <v>0</v>
      </c>
      <c r="S102" s="831">
        <v>392</v>
      </c>
      <c r="T102" s="461"/>
      <c r="U102" s="461"/>
      <c r="V102" s="461"/>
      <c r="W102" s="462">
        <f t="shared" si="47"/>
        <v>0</v>
      </c>
      <c r="X102" s="463" t="s">
        <v>1242</v>
      </c>
      <c r="Y102" s="457">
        <v>129</v>
      </c>
      <c r="Z102" s="832" t="s">
        <v>1242</v>
      </c>
      <c r="AA102" s="831">
        <v>227</v>
      </c>
      <c r="AB102" s="465" t="s">
        <v>1241</v>
      </c>
      <c r="AC102" s="457">
        <v>35</v>
      </c>
      <c r="AD102" s="832" t="s">
        <v>873</v>
      </c>
      <c r="AE102" s="831">
        <v>64</v>
      </c>
      <c r="AF102" s="465" t="s">
        <v>873</v>
      </c>
      <c r="AG102" s="457">
        <v>27</v>
      </c>
      <c r="AH102" s="832" t="s">
        <v>1248</v>
      </c>
      <c r="AI102" s="831">
        <v>60</v>
      </c>
      <c r="AJ102" s="465" t="s">
        <v>1248</v>
      </c>
      <c r="AK102" s="457">
        <v>12</v>
      </c>
      <c r="AL102" s="832" t="s">
        <v>1241</v>
      </c>
      <c r="AM102" s="833">
        <v>26</v>
      </c>
      <c r="AN102" s="465" t="s">
        <v>1246</v>
      </c>
      <c r="AO102" s="457">
        <v>2</v>
      </c>
      <c r="AP102" s="832" t="s">
        <v>1246</v>
      </c>
      <c r="AQ102" s="831">
        <v>15</v>
      </c>
      <c r="AR102" s="460">
        <f t="shared" si="50"/>
        <v>5</v>
      </c>
      <c r="AS102" s="467">
        <f t="shared" si="51"/>
        <v>2.6285421207847159E-2</v>
      </c>
      <c r="AT102" s="447">
        <f t="shared" si="52"/>
        <v>5</v>
      </c>
      <c r="AU102" s="448">
        <f t="shared" si="53"/>
        <v>4.6112222091518648E-2</v>
      </c>
      <c r="AV102" s="457"/>
      <c r="AW102" s="450"/>
      <c r="AX102" s="463"/>
      <c r="AY102" s="457"/>
      <c r="AZ102" s="464"/>
      <c r="BA102" s="464"/>
      <c r="BB102" s="465"/>
      <c r="BC102" s="457"/>
      <c r="BD102" s="464"/>
      <c r="BE102" s="466"/>
      <c r="BF102" s="465"/>
      <c r="BG102" s="457"/>
      <c r="BH102" s="464"/>
      <c r="BI102" s="466"/>
      <c r="BJ102" s="465"/>
      <c r="BK102" s="457"/>
      <c r="BL102" s="464"/>
      <c r="BM102" s="466"/>
      <c r="BN102" s="465"/>
      <c r="BO102" s="457"/>
      <c r="BP102" s="464"/>
      <c r="BQ102" s="466"/>
      <c r="BR102" s="465"/>
      <c r="BS102" s="457"/>
      <c r="BT102" s="464"/>
      <c r="BU102" s="466"/>
      <c r="BV102" s="465"/>
      <c r="BW102" s="457"/>
      <c r="BX102" s="464"/>
      <c r="BY102" s="466"/>
      <c r="BZ102" s="465"/>
      <c r="CA102" s="457"/>
      <c r="CB102" s="464"/>
      <c r="CC102" s="466"/>
      <c r="CD102" s="465"/>
      <c r="CE102" s="457"/>
      <c r="CF102" s="464"/>
      <c r="CG102" s="466"/>
      <c r="CH102" s="465"/>
      <c r="CI102" s="457"/>
      <c r="CJ102" s="464"/>
      <c r="CK102" s="466"/>
      <c r="CL102" s="459"/>
      <c r="CM102" s="450"/>
      <c r="CN102" s="468">
        <f t="shared" si="54"/>
        <v>0</v>
      </c>
      <c r="CO102" s="468">
        <f t="shared" si="55"/>
        <v>0</v>
      </c>
      <c r="CP102" s="469">
        <f t="shared" si="56"/>
        <v>0</v>
      </c>
      <c r="CQ102" s="469">
        <f t="shared" si="57"/>
        <v>0</v>
      </c>
      <c r="CR102" s="463"/>
      <c r="CS102" s="457"/>
      <c r="CT102" s="464"/>
      <c r="CU102" s="464"/>
      <c r="CV102" s="465"/>
      <c r="CW102" s="457"/>
      <c r="CX102" s="464"/>
      <c r="CY102" s="466"/>
      <c r="CZ102" s="465"/>
      <c r="DA102" s="457"/>
      <c r="DB102" s="464"/>
      <c r="DC102" s="466"/>
      <c r="DD102" s="465"/>
      <c r="DE102" s="457"/>
      <c r="DF102" s="464"/>
      <c r="DG102" s="466"/>
      <c r="DH102" s="465"/>
      <c r="DI102" s="457"/>
      <c r="DJ102" s="464"/>
      <c r="DK102" s="466"/>
      <c r="DL102" s="465"/>
      <c r="DM102" s="457"/>
      <c r="DN102" s="464"/>
      <c r="DO102" s="466"/>
      <c r="DP102" s="465"/>
      <c r="DQ102" s="457"/>
      <c r="DR102" s="464"/>
      <c r="DS102" s="466"/>
      <c r="DT102" s="465"/>
      <c r="DU102" s="457"/>
      <c r="DV102" s="464"/>
      <c r="DW102" s="466"/>
      <c r="DX102" s="465"/>
      <c r="DY102" s="457"/>
      <c r="DZ102" s="464"/>
      <c r="EA102" s="466"/>
      <c r="EB102" s="465"/>
      <c r="EC102" s="457"/>
      <c r="ED102" s="464"/>
      <c r="EE102" s="466"/>
      <c r="EF102" s="459"/>
      <c r="EG102" s="450"/>
      <c r="EH102" s="460">
        <f t="shared" si="58"/>
        <v>0</v>
      </c>
      <c r="EI102" s="460">
        <f t="shared" si="59"/>
        <v>0</v>
      </c>
      <c r="EJ102" s="458">
        <f t="shared" si="60"/>
        <v>0</v>
      </c>
      <c r="EK102" s="470">
        <f t="shared" si="61"/>
        <v>0</v>
      </c>
      <c r="EL102" s="470">
        <f t="shared" si="62"/>
        <v>0</v>
      </c>
      <c r="EM102" s="449">
        <f t="shared" si="63"/>
        <v>0</v>
      </c>
      <c r="EN102" s="460">
        <f t="shared" si="64"/>
        <v>0</v>
      </c>
      <c r="EO102" s="469">
        <f t="shared" si="65"/>
        <v>0</v>
      </c>
      <c r="EP102" s="471"/>
      <c r="EQ102" s="450"/>
      <c r="ER102" s="471"/>
      <c r="ES102" s="450"/>
      <c r="ET102" s="471"/>
      <c r="EU102" s="450"/>
      <c r="EV102" s="471"/>
      <c r="EW102" s="450"/>
      <c r="EX102" s="471"/>
      <c r="EY102" s="450"/>
      <c r="EZ102" s="471"/>
      <c r="FA102" s="450"/>
      <c r="FB102" s="471"/>
      <c r="FC102" s="450"/>
      <c r="FD102" s="471"/>
      <c r="FE102" s="450"/>
      <c r="FF102" s="471"/>
      <c r="FG102" s="450"/>
      <c r="FH102" s="472"/>
      <c r="FI102" s="450"/>
      <c r="FJ102" s="468">
        <f t="shared" si="66"/>
        <v>0</v>
      </c>
      <c r="FK102" s="469">
        <f t="shared" si="67"/>
        <v>0</v>
      </c>
      <c r="FL102" s="472"/>
      <c r="FM102" s="450"/>
      <c r="FN102" s="460">
        <f t="shared" si="68"/>
        <v>7799</v>
      </c>
      <c r="FO102" s="469">
        <f t="shared" si="69"/>
        <v>8501</v>
      </c>
    </row>
    <row r="103" spans="1:171" ht="15.75" x14ac:dyDescent="0.25">
      <c r="A103" s="828" t="s">
        <v>1074</v>
      </c>
      <c r="B103" s="835" t="s">
        <v>1249</v>
      </c>
      <c r="C103" s="838"/>
      <c r="D103" s="718">
        <v>134608</v>
      </c>
      <c r="E103" s="848">
        <v>7</v>
      </c>
      <c r="F103" s="532">
        <v>1251</v>
      </c>
      <c r="G103" s="831">
        <v>1210</v>
      </c>
      <c r="H103" s="457">
        <v>5</v>
      </c>
      <c r="I103" s="831">
        <v>6</v>
      </c>
      <c r="J103" s="457">
        <v>2132</v>
      </c>
      <c r="K103" s="831">
        <v>2691</v>
      </c>
      <c r="L103" s="458">
        <f t="shared" si="48"/>
        <v>8.8099173553719012</v>
      </c>
      <c r="M103" s="449">
        <f t="shared" si="49"/>
        <v>8.7941176470588243</v>
      </c>
      <c r="N103" s="459">
        <v>242</v>
      </c>
      <c r="O103" s="459"/>
      <c r="P103" s="459"/>
      <c r="Q103" s="459"/>
      <c r="R103" s="460">
        <f t="shared" si="46"/>
        <v>0</v>
      </c>
      <c r="S103" s="831">
        <v>306</v>
      </c>
      <c r="T103" s="461"/>
      <c r="U103" s="461"/>
      <c r="V103" s="461"/>
      <c r="W103" s="462">
        <f t="shared" si="47"/>
        <v>0</v>
      </c>
      <c r="X103" s="463" t="s">
        <v>1242</v>
      </c>
      <c r="Y103" s="457">
        <v>168</v>
      </c>
      <c r="Z103" s="832" t="s">
        <v>1242</v>
      </c>
      <c r="AA103" s="831">
        <v>204</v>
      </c>
      <c r="AB103" s="465" t="s">
        <v>873</v>
      </c>
      <c r="AC103" s="457">
        <v>42</v>
      </c>
      <c r="AD103" s="832" t="s">
        <v>873</v>
      </c>
      <c r="AE103" s="831">
        <v>46</v>
      </c>
      <c r="AF103" s="465" t="s">
        <v>1241</v>
      </c>
      <c r="AG103" s="457">
        <v>32</v>
      </c>
      <c r="AH103" s="832" t="s">
        <v>1241</v>
      </c>
      <c r="AI103" s="831">
        <v>41</v>
      </c>
      <c r="AJ103" s="465"/>
      <c r="AK103" s="457"/>
      <c r="AL103" s="832" t="s">
        <v>1250</v>
      </c>
      <c r="AM103" s="833">
        <v>13</v>
      </c>
      <c r="AN103" s="465"/>
      <c r="AO103" s="457"/>
      <c r="AP103" s="832" t="s">
        <v>1251</v>
      </c>
      <c r="AQ103" s="831">
        <v>2</v>
      </c>
      <c r="AR103" s="460">
        <f t="shared" si="50"/>
        <v>3</v>
      </c>
      <c r="AS103" s="467">
        <f t="shared" si="51"/>
        <v>6.6666666666666666E-2</v>
      </c>
      <c r="AT103" s="447">
        <f t="shared" si="52"/>
        <v>5</v>
      </c>
      <c r="AU103" s="448">
        <f t="shared" si="53"/>
        <v>7.2632328507002131E-2</v>
      </c>
      <c r="AV103" s="457"/>
      <c r="AW103" s="450"/>
      <c r="AX103" s="463"/>
      <c r="AY103" s="457"/>
      <c r="AZ103" s="464"/>
      <c r="BA103" s="464"/>
      <c r="BB103" s="465"/>
      <c r="BC103" s="457"/>
      <c r="BD103" s="464"/>
      <c r="BE103" s="466"/>
      <c r="BF103" s="465"/>
      <c r="BG103" s="457"/>
      <c r="BH103" s="464"/>
      <c r="BI103" s="466"/>
      <c r="BJ103" s="465"/>
      <c r="BK103" s="457"/>
      <c r="BL103" s="464"/>
      <c r="BM103" s="466"/>
      <c r="BN103" s="465"/>
      <c r="BO103" s="457"/>
      <c r="BP103" s="464"/>
      <c r="BQ103" s="466"/>
      <c r="BR103" s="465"/>
      <c r="BS103" s="457"/>
      <c r="BT103" s="464"/>
      <c r="BU103" s="466"/>
      <c r="BV103" s="465"/>
      <c r="BW103" s="457"/>
      <c r="BX103" s="464"/>
      <c r="BY103" s="466"/>
      <c r="BZ103" s="465"/>
      <c r="CA103" s="457"/>
      <c r="CB103" s="464"/>
      <c r="CC103" s="466"/>
      <c r="CD103" s="465"/>
      <c r="CE103" s="457"/>
      <c r="CF103" s="464"/>
      <c r="CG103" s="466"/>
      <c r="CH103" s="465"/>
      <c r="CI103" s="457"/>
      <c r="CJ103" s="464"/>
      <c r="CK103" s="466"/>
      <c r="CL103" s="459"/>
      <c r="CM103" s="450"/>
      <c r="CN103" s="468">
        <f t="shared" si="54"/>
        <v>0</v>
      </c>
      <c r="CO103" s="468">
        <f t="shared" si="55"/>
        <v>0</v>
      </c>
      <c r="CP103" s="469">
        <f t="shared" si="56"/>
        <v>0</v>
      </c>
      <c r="CQ103" s="469">
        <f t="shared" si="57"/>
        <v>0</v>
      </c>
      <c r="CR103" s="463"/>
      <c r="CS103" s="457"/>
      <c r="CT103" s="464"/>
      <c r="CU103" s="464"/>
      <c r="CV103" s="465"/>
      <c r="CW103" s="457"/>
      <c r="CX103" s="464"/>
      <c r="CY103" s="466"/>
      <c r="CZ103" s="465"/>
      <c r="DA103" s="457"/>
      <c r="DB103" s="464"/>
      <c r="DC103" s="466"/>
      <c r="DD103" s="465"/>
      <c r="DE103" s="457"/>
      <c r="DF103" s="464"/>
      <c r="DG103" s="466"/>
      <c r="DH103" s="465"/>
      <c r="DI103" s="457"/>
      <c r="DJ103" s="464"/>
      <c r="DK103" s="466"/>
      <c r="DL103" s="465"/>
      <c r="DM103" s="457"/>
      <c r="DN103" s="464"/>
      <c r="DO103" s="466"/>
      <c r="DP103" s="465"/>
      <c r="DQ103" s="457"/>
      <c r="DR103" s="464"/>
      <c r="DS103" s="466"/>
      <c r="DT103" s="465"/>
      <c r="DU103" s="457"/>
      <c r="DV103" s="464"/>
      <c r="DW103" s="466"/>
      <c r="DX103" s="465"/>
      <c r="DY103" s="457"/>
      <c r="DZ103" s="464"/>
      <c r="EA103" s="466"/>
      <c r="EB103" s="465"/>
      <c r="EC103" s="457"/>
      <c r="ED103" s="464"/>
      <c r="EE103" s="466"/>
      <c r="EF103" s="459"/>
      <c r="EG103" s="450"/>
      <c r="EH103" s="460">
        <f t="shared" si="58"/>
        <v>0</v>
      </c>
      <c r="EI103" s="460">
        <f t="shared" si="59"/>
        <v>0</v>
      </c>
      <c r="EJ103" s="458">
        <f t="shared" si="60"/>
        <v>0</v>
      </c>
      <c r="EK103" s="470">
        <f t="shared" si="61"/>
        <v>0</v>
      </c>
      <c r="EL103" s="470">
        <f t="shared" si="62"/>
        <v>0</v>
      </c>
      <c r="EM103" s="449">
        <f t="shared" si="63"/>
        <v>0</v>
      </c>
      <c r="EN103" s="460">
        <f t="shared" si="64"/>
        <v>0</v>
      </c>
      <c r="EO103" s="469">
        <f t="shared" si="65"/>
        <v>0</v>
      </c>
      <c r="EP103" s="471"/>
      <c r="EQ103" s="450"/>
      <c r="ER103" s="471"/>
      <c r="ES103" s="450"/>
      <c r="ET103" s="471"/>
      <c r="EU103" s="450"/>
      <c r="EV103" s="471"/>
      <c r="EW103" s="450"/>
      <c r="EX103" s="471"/>
      <c r="EY103" s="450"/>
      <c r="EZ103" s="471"/>
      <c r="FA103" s="450"/>
      <c r="FB103" s="471"/>
      <c r="FC103" s="450"/>
      <c r="FD103" s="471"/>
      <c r="FE103" s="450"/>
      <c r="FF103" s="471"/>
      <c r="FG103" s="450"/>
      <c r="FH103" s="472"/>
      <c r="FI103" s="450"/>
      <c r="FJ103" s="468">
        <f t="shared" si="66"/>
        <v>0</v>
      </c>
      <c r="FK103" s="469">
        <f t="shared" si="67"/>
        <v>0</v>
      </c>
      <c r="FL103" s="472"/>
      <c r="FM103" s="450"/>
      <c r="FN103" s="460">
        <f t="shared" si="68"/>
        <v>3630</v>
      </c>
      <c r="FO103" s="469">
        <f t="shared" si="69"/>
        <v>4213</v>
      </c>
    </row>
    <row r="104" spans="1:171" ht="15.75" x14ac:dyDescent="0.25">
      <c r="A104" s="828" t="s">
        <v>1074</v>
      </c>
      <c r="B104" s="829" t="s">
        <v>1252</v>
      </c>
      <c r="C104" s="830"/>
      <c r="D104" s="718">
        <v>135717</v>
      </c>
      <c r="E104" s="821">
        <v>7</v>
      </c>
      <c r="F104" s="532">
        <v>1840</v>
      </c>
      <c r="G104" s="831">
        <v>1472</v>
      </c>
      <c r="H104" s="457">
        <v>17</v>
      </c>
      <c r="I104" s="831">
        <v>25</v>
      </c>
      <c r="J104" s="457">
        <v>9445</v>
      </c>
      <c r="K104" s="831">
        <v>11959</v>
      </c>
      <c r="L104" s="458">
        <f t="shared" si="48"/>
        <v>22.223529411764705</v>
      </c>
      <c r="M104" s="449">
        <f t="shared" si="49"/>
        <v>17.92953523238381</v>
      </c>
      <c r="N104" s="459">
        <v>425</v>
      </c>
      <c r="O104" s="459"/>
      <c r="P104" s="459"/>
      <c r="Q104" s="459"/>
      <c r="R104" s="460">
        <f t="shared" si="46"/>
        <v>0</v>
      </c>
      <c r="S104" s="831">
        <v>667</v>
      </c>
      <c r="T104" s="461"/>
      <c r="U104" s="461"/>
      <c r="V104" s="461"/>
      <c r="W104" s="462">
        <f t="shared" si="47"/>
        <v>0</v>
      </c>
      <c r="X104" s="463" t="s">
        <v>873</v>
      </c>
      <c r="Y104" s="457">
        <v>194</v>
      </c>
      <c r="Z104" s="832" t="s">
        <v>1242</v>
      </c>
      <c r="AA104" s="831">
        <v>191</v>
      </c>
      <c r="AB104" s="465" t="s">
        <v>1246</v>
      </c>
      <c r="AC104" s="457">
        <v>153</v>
      </c>
      <c r="AD104" s="832" t="s">
        <v>1246</v>
      </c>
      <c r="AE104" s="831">
        <v>168</v>
      </c>
      <c r="AF104" s="465" t="s">
        <v>1241</v>
      </c>
      <c r="AG104" s="457">
        <v>78</v>
      </c>
      <c r="AH104" s="832" t="s">
        <v>873</v>
      </c>
      <c r="AI104" s="831">
        <v>150</v>
      </c>
      <c r="AJ104" s="465"/>
      <c r="AK104" s="457"/>
      <c r="AL104" s="832" t="s">
        <v>1241</v>
      </c>
      <c r="AM104" s="831">
        <v>145</v>
      </c>
      <c r="AN104" s="465"/>
      <c r="AO104" s="457"/>
      <c r="AP104" s="832" t="s">
        <v>1253</v>
      </c>
      <c r="AQ104" s="831">
        <v>13</v>
      </c>
      <c r="AR104" s="460">
        <f t="shared" si="50"/>
        <v>3</v>
      </c>
      <c r="AS104" s="467">
        <f t="shared" si="51"/>
        <v>3.6241152895028564E-2</v>
      </c>
      <c r="AT104" s="447">
        <f t="shared" si="52"/>
        <v>5</v>
      </c>
      <c r="AU104" s="448">
        <f t="shared" si="53"/>
        <v>4.7227926078028747E-2</v>
      </c>
      <c r="AV104" s="457"/>
      <c r="AW104" s="450"/>
      <c r="AX104" s="463"/>
      <c r="AY104" s="457"/>
      <c r="AZ104" s="464"/>
      <c r="BA104" s="464"/>
      <c r="BB104" s="465"/>
      <c r="BC104" s="457"/>
      <c r="BD104" s="464"/>
      <c r="BE104" s="466"/>
      <c r="BF104" s="465"/>
      <c r="BG104" s="457"/>
      <c r="BH104" s="464"/>
      <c r="BI104" s="466"/>
      <c r="BJ104" s="465"/>
      <c r="BK104" s="457"/>
      <c r="BL104" s="464"/>
      <c r="BM104" s="466"/>
      <c r="BN104" s="465"/>
      <c r="BO104" s="457"/>
      <c r="BP104" s="464"/>
      <c r="BQ104" s="466"/>
      <c r="BR104" s="465"/>
      <c r="BS104" s="457"/>
      <c r="BT104" s="464"/>
      <c r="BU104" s="466"/>
      <c r="BV104" s="465"/>
      <c r="BW104" s="457"/>
      <c r="BX104" s="464"/>
      <c r="BY104" s="466"/>
      <c r="BZ104" s="465"/>
      <c r="CA104" s="457"/>
      <c r="CB104" s="464"/>
      <c r="CC104" s="466"/>
      <c r="CD104" s="465"/>
      <c r="CE104" s="457"/>
      <c r="CF104" s="464"/>
      <c r="CG104" s="466"/>
      <c r="CH104" s="465"/>
      <c r="CI104" s="457"/>
      <c r="CJ104" s="464"/>
      <c r="CK104" s="466"/>
      <c r="CL104" s="459"/>
      <c r="CM104" s="450"/>
      <c r="CN104" s="468">
        <f t="shared" si="54"/>
        <v>0</v>
      </c>
      <c r="CO104" s="468">
        <f t="shared" si="55"/>
        <v>0</v>
      </c>
      <c r="CP104" s="469">
        <f t="shared" si="56"/>
        <v>0</v>
      </c>
      <c r="CQ104" s="469">
        <f t="shared" si="57"/>
        <v>0</v>
      </c>
      <c r="CR104" s="463"/>
      <c r="CS104" s="457"/>
      <c r="CT104" s="464"/>
      <c r="CU104" s="464"/>
      <c r="CV104" s="465"/>
      <c r="CW104" s="457"/>
      <c r="CX104" s="464"/>
      <c r="CY104" s="466"/>
      <c r="CZ104" s="465"/>
      <c r="DA104" s="457"/>
      <c r="DB104" s="464"/>
      <c r="DC104" s="466"/>
      <c r="DD104" s="465"/>
      <c r="DE104" s="457"/>
      <c r="DF104" s="464"/>
      <c r="DG104" s="466"/>
      <c r="DH104" s="465"/>
      <c r="DI104" s="457"/>
      <c r="DJ104" s="464"/>
      <c r="DK104" s="466"/>
      <c r="DL104" s="465"/>
      <c r="DM104" s="457"/>
      <c r="DN104" s="464"/>
      <c r="DO104" s="466"/>
      <c r="DP104" s="465"/>
      <c r="DQ104" s="457"/>
      <c r="DR104" s="464"/>
      <c r="DS104" s="466"/>
      <c r="DT104" s="465"/>
      <c r="DU104" s="457"/>
      <c r="DV104" s="464"/>
      <c r="DW104" s="466"/>
      <c r="DX104" s="465"/>
      <c r="DY104" s="457"/>
      <c r="DZ104" s="464"/>
      <c r="EA104" s="466"/>
      <c r="EB104" s="465"/>
      <c r="EC104" s="457"/>
      <c r="ED104" s="464"/>
      <c r="EE104" s="466"/>
      <c r="EF104" s="459"/>
      <c r="EG104" s="450"/>
      <c r="EH104" s="460">
        <f t="shared" si="58"/>
        <v>0</v>
      </c>
      <c r="EI104" s="460">
        <f t="shared" si="59"/>
        <v>0</v>
      </c>
      <c r="EJ104" s="458">
        <f t="shared" si="60"/>
        <v>0</v>
      </c>
      <c r="EK104" s="470">
        <f t="shared" si="61"/>
        <v>0</v>
      </c>
      <c r="EL104" s="470">
        <f t="shared" si="62"/>
        <v>0</v>
      </c>
      <c r="EM104" s="449">
        <f t="shared" si="63"/>
        <v>0</v>
      </c>
      <c r="EN104" s="460">
        <f t="shared" si="64"/>
        <v>0</v>
      </c>
      <c r="EO104" s="469">
        <f t="shared" si="65"/>
        <v>0</v>
      </c>
      <c r="EP104" s="471"/>
      <c r="EQ104" s="450"/>
      <c r="ER104" s="471"/>
      <c r="ES104" s="450"/>
      <c r="ET104" s="471"/>
      <c r="EU104" s="450"/>
      <c r="EV104" s="471"/>
      <c r="EW104" s="450"/>
      <c r="EX104" s="471"/>
      <c r="EY104" s="450"/>
      <c r="EZ104" s="471"/>
      <c r="FA104" s="450"/>
      <c r="FB104" s="471"/>
      <c r="FC104" s="450"/>
      <c r="FD104" s="471"/>
      <c r="FE104" s="450"/>
      <c r="FF104" s="471"/>
      <c r="FG104" s="450"/>
      <c r="FH104" s="472"/>
      <c r="FI104" s="450"/>
      <c r="FJ104" s="468">
        <f t="shared" si="66"/>
        <v>0</v>
      </c>
      <c r="FK104" s="469">
        <f t="shared" si="67"/>
        <v>0</v>
      </c>
      <c r="FL104" s="472"/>
      <c r="FM104" s="450"/>
      <c r="FN104" s="460">
        <f t="shared" si="68"/>
        <v>11727</v>
      </c>
      <c r="FO104" s="469">
        <f t="shared" si="69"/>
        <v>14123</v>
      </c>
    </row>
    <row r="105" spans="1:171" ht="15.75" x14ac:dyDescent="0.25">
      <c r="A105" s="735" t="s">
        <v>1074</v>
      </c>
      <c r="B105" s="829" t="s">
        <v>1254</v>
      </c>
      <c r="C105" s="830"/>
      <c r="D105" s="714">
        <v>136233</v>
      </c>
      <c r="E105" s="821">
        <v>7</v>
      </c>
      <c r="F105" s="532">
        <v>322</v>
      </c>
      <c r="G105" s="831">
        <v>325</v>
      </c>
      <c r="H105" s="457">
        <v>0</v>
      </c>
      <c r="I105" s="831">
        <v>0</v>
      </c>
      <c r="J105" s="457">
        <v>1328</v>
      </c>
      <c r="K105" s="831">
        <v>1321</v>
      </c>
      <c r="L105" s="458">
        <f t="shared" si="48"/>
        <v>10.456692913385826</v>
      </c>
      <c r="M105" s="449">
        <f t="shared" si="49"/>
        <v>7.6358381502890174</v>
      </c>
      <c r="N105" s="459">
        <v>127</v>
      </c>
      <c r="O105" s="459"/>
      <c r="P105" s="459"/>
      <c r="Q105" s="459"/>
      <c r="R105" s="460">
        <f t="shared" si="46"/>
        <v>0</v>
      </c>
      <c r="S105" s="831">
        <v>173</v>
      </c>
      <c r="T105" s="461"/>
      <c r="U105" s="461"/>
      <c r="V105" s="461"/>
      <c r="W105" s="462">
        <f t="shared" si="47"/>
        <v>0</v>
      </c>
      <c r="X105" s="463" t="s">
        <v>1242</v>
      </c>
      <c r="Y105" s="457">
        <v>72</v>
      </c>
      <c r="Z105" s="832" t="s">
        <v>1242</v>
      </c>
      <c r="AA105" s="831">
        <v>109</v>
      </c>
      <c r="AB105" s="465" t="s">
        <v>873</v>
      </c>
      <c r="AC105" s="457">
        <v>29</v>
      </c>
      <c r="AD105" s="832" t="s">
        <v>873</v>
      </c>
      <c r="AE105" s="831">
        <v>38</v>
      </c>
      <c r="AF105" s="465" t="s">
        <v>1241</v>
      </c>
      <c r="AG105" s="457">
        <v>26</v>
      </c>
      <c r="AH105" s="832" t="s">
        <v>1241</v>
      </c>
      <c r="AI105" s="831">
        <v>26</v>
      </c>
      <c r="AJ105" s="465"/>
      <c r="AK105" s="457"/>
      <c r="AL105" s="466"/>
      <c r="AM105" s="392"/>
      <c r="AN105" s="465"/>
      <c r="AO105" s="457"/>
      <c r="AP105" s="466"/>
      <c r="AQ105" s="392"/>
      <c r="AR105" s="460">
        <f t="shared" si="50"/>
        <v>3</v>
      </c>
      <c r="AS105" s="467">
        <f t="shared" si="51"/>
        <v>7.1468767585818799E-2</v>
      </c>
      <c r="AT105" s="447">
        <f t="shared" si="52"/>
        <v>3</v>
      </c>
      <c r="AU105" s="448">
        <f t="shared" si="53"/>
        <v>9.5107201759208351E-2</v>
      </c>
      <c r="AV105" s="457"/>
      <c r="AW105" s="450"/>
      <c r="AX105" s="463"/>
      <c r="AY105" s="457"/>
      <c r="AZ105" s="464"/>
      <c r="BA105" s="464"/>
      <c r="BB105" s="465"/>
      <c r="BC105" s="457"/>
      <c r="BD105" s="464"/>
      <c r="BE105" s="466"/>
      <c r="BF105" s="465"/>
      <c r="BG105" s="457"/>
      <c r="BH105" s="464"/>
      <c r="BI105" s="466"/>
      <c r="BJ105" s="465"/>
      <c r="BK105" s="457"/>
      <c r="BL105" s="464"/>
      <c r="BM105" s="466"/>
      <c r="BN105" s="465"/>
      <c r="BO105" s="457"/>
      <c r="BP105" s="464"/>
      <c r="BQ105" s="466"/>
      <c r="BR105" s="465"/>
      <c r="BS105" s="457"/>
      <c r="BT105" s="464"/>
      <c r="BU105" s="466"/>
      <c r="BV105" s="465"/>
      <c r="BW105" s="457"/>
      <c r="BX105" s="464"/>
      <c r="BY105" s="466"/>
      <c r="BZ105" s="465"/>
      <c r="CA105" s="457"/>
      <c r="CB105" s="464"/>
      <c r="CC105" s="466"/>
      <c r="CD105" s="465"/>
      <c r="CE105" s="457"/>
      <c r="CF105" s="464"/>
      <c r="CG105" s="466"/>
      <c r="CH105" s="465"/>
      <c r="CI105" s="457"/>
      <c r="CJ105" s="464"/>
      <c r="CK105" s="466"/>
      <c r="CL105" s="459"/>
      <c r="CM105" s="450"/>
      <c r="CN105" s="468">
        <f t="shared" si="54"/>
        <v>0</v>
      </c>
      <c r="CO105" s="468">
        <f t="shared" si="55"/>
        <v>0</v>
      </c>
      <c r="CP105" s="469">
        <f t="shared" si="56"/>
        <v>0</v>
      </c>
      <c r="CQ105" s="469">
        <f t="shared" si="57"/>
        <v>0</v>
      </c>
      <c r="CR105" s="463"/>
      <c r="CS105" s="457"/>
      <c r="CT105" s="464"/>
      <c r="CU105" s="464"/>
      <c r="CV105" s="465"/>
      <c r="CW105" s="457"/>
      <c r="CX105" s="464"/>
      <c r="CY105" s="466"/>
      <c r="CZ105" s="465"/>
      <c r="DA105" s="457"/>
      <c r="DB105" s="464"/>
      <c r="DC105" s="466"/>
      <c r="DD105" s="465"/>
      <c r="DE105" s="457"/>
      <c r="DF105" s="464"/>
      <c r="DG105" s="466"/>
      <c r="DH105" s="465"/>
      <c r="DI105" s="457"/>
      <c r="DJ105" s="464"/>
      <c r="DK105" s="466"/>
      <c r="DL105" s="465"/>
      <c r="DM105" s="457"/>
      <c r="DN105" s="464"/>
      <c r="DO105" s="466"/>
      <c r="DP105" s="465"/>
      <c r="DQ105" s="457"/>
      <c r="DR105" s="464"/>
      <c r="DS105" s="466"/>
      <c r="DT105" s="465"/>
      <c r="DU105" s="457"/>
      <c r="DV105" s="464"/>
      <c r="DW105" s="466"/>
      <c r="DX105" s="465"/>
      <c r="DY105" s="457"/>
      <c r="DZ105" s="464"/>
      <c r="EA105" s="466"/>
      <c r="EB105" s="465"/>
      <c r="EC105" s="457"/>
      <c r="ED105" s="464"/>
      <c r="EE105" s="466"/>
      <c r="EF105" s="459"/>
      <c r="EG105" s="450"/>
      <c r="EH105" s="460">
        <f t="shared" si="58"/>
        <v>0</v>
      </c>
      <c r="EI105" s="460">
        <f t="shared" si="59"/>
        <v>0</v>
      </c>
      <c r="EJ105" s="458">
        <f t="shared" si="60"/>
        <v>0</v>
      </c>
      <c r="EK105" s="470">
        <f t="shared" si="61"/>
        <v>0</v>
      </c>
      <c r="EL105" s="470">
        <f t="shared" si="62"/>
        <v>0</v>
      </c>
      <c r="EM105" s="449">
        <f t="shared" si="63"/>
        <v>0</v>
      </c>
      <c r="EN105" s="460">
        <f t="shared" si="64"/>
        <v>0</v>
      </c>
      <c r="EO105" s="469">
        <f t="shared" si="65"/>
        <v>0</v>
      </c>
      <c r="EP105" s="471"/>
      <c r="EQ105" s="450"/>
      <c r="ER105" s="471"/>
      <c r="ES105" s="450"/>
      <c r="ET105" s="471"/>
      <c r="EU105" s="450"/>
      <c r="EV105" s="471"/>
      <c r="EW105" s="450"/>
      <c r="EX105" s="471"/>
      <c r="EY105" s="450"/>
      <c r="EZ105" s="471"/>
      <c r="FA105" s="450"/>
      <c r="FB105" s="471"/>
      <c r="FC105" s="450"/>
      <c r="FD105" s="471"/>
      <c r="FE105" s="450"/>
      <c r="FF105" s="471"/>
      <c r="FG105" s="450"/>
      <c r="FH105" s="472"/>
      <c r="FI105" s="450"/>
      <c r="FJ105" s="468">
        <f t="shared" si="66"/>
        <v>0</v>
      </c>
      <c r="FK105" s="469">
        <f t="shared" si="67"/>
        <v>0</v>
      </c>
      <c r="FL105" s="472"/>
      <c r="FM105" s="450"/>
      <c r="FN105" s="460">
        <f t="shared" si="68"/>
        <v>1777</v>
      </c>
      <c r="FO105" s="469">
        <f t="shared" si="69"/>
        <v>1819</v>
      </c>
    </row>
    <row r="106" spans="1:171" ht="15.75" x14ac:dyDescent="0.25">
      <c r="A106" s="828" t="s">
        <v>1074</v>
      </c>
      <c r="B106" s="829" t="s">
        <v>1255</v>
      </c>
      <c r="C106" s="830"/>
      <c r="D106" s="718">
        <v>137078</v>
      </c>
      <c r="E106" s="821">
        <v>7</v>
      </c>
      <c r="F106" s="532">
        <v>611</v>
      </c>
      <c r="G106" s="831">
        <v>584</v>
      </c>
      <c r="H106" s="457">
        <v>34</v>
      </c>
      <c r="I106" s="831">
        <v>0</v>
      </c>
      <c r="J106" s="457">
        <v>2569</v>
      </c>
      <c r="K106" s="831">
        <v>4019</v>
      </c>
      <c r="L106" s="458">
        <f t="shared" si="48"/>
        <v>142.72222222222223</v>
      </c>
      <c r="M106" s="449">
        <f t="shared" si="49"/>
        <v>3.8496168582375478</v>
      </c>
      <c r="N106" s="459">
        <v>18</v>
      </c>
      <c r="O106" s="459"/>
      <c r="P106" s="459"/>
      <c r="Q106" s="459"/>
      <c r="R106" s="460">
        <f t="shared" si="46"/>
        <v>0</v>
      </c>
      <c r="S106" s="831">
        <v>1044</v>
      </c>
      <c r="T106" s="461"/>
      <c r="U106" s="461"/>
      <c r="V106" s="461"/>
      <c r="W106" s="462">
        <f t="shared" si="47"/>
        <v>0</v>
      </c>
      <c r="X106" s="463" t="s">
        <v>1241</v>
      </c>
      <c r="Y106" s="457">
        <v>381</v>
      </c>
      <c r="Z106" s="832" t="s">
        <v>1241</v>
      </c>
      <c r="AA106" s="831">
        <v>437</v>
      </c>
      <c r="AB106" s="465" t="s">
        <v>1242</v>
      </c>
      <c r="AC106" s="457">
        <v>208</v>
      </c>
      <c r="AD106" s="832" t="s">
        <v>873</v>
      </c>
      <c r="AE106" s="833">
        <v>189</v>
      </c>
      <c r="AF106" s="465" t="s">
        <v>873</v>
      </c>
      <c r="AG106" s="457">
        <v>190</v>
      </c>
      <c r="AH106" s="832" t="s">
        <v>1242</v>
      </c>
      <c r="AI106" s="833">
        <v>187</v>
      </c>
      <c r="AJ106" s="465" t="s">
        <v>1248</v>
      </c>
      <c r="AK106" s="457">
        <v>71</v>
      </c>
      <c r="AL106" s="832" t="s">
        <v>1246</v>
      </c>
      <c r="AM106" s="833">
        <v>88</v>
      </c>
      <c r="AN106" s="465" t="s">
        <v>1246</v>
      </c>
      <c r="AO106" s="457">
        <v>61</v>
      </c>
      <c r="AP106" s="832" t="s">
        <v>1248</v>
      </c>
      <c r="AQ106" s="831">
        <v>81</v>
      </c>
      <c r="AR106" s="460">
        <f t="shared" si="50"/>
        <v>5</v>
      </c>
      <c r="AS106" s="467">
        <f t="shared" si="51"/>
        <v>5.569306930693069E-3</v>
      </c>
      <c r="AT106" s="447">
        <f t="shared" si="52"/>
        <v>5</v>
      </c>
      <c r="AU106" s="448">
        <f t="shared" si="53"/>
        <v>0.18487692580131043</v>
      </c>
      <c r="AV106" s="457"/>
      <c r="AW106" s="450"/>
      <c r="AX106" s="463"/>
      <c r="AY106" s="457"/>
      <c r="AZ106" s="464"/>
      <c r="BA106" s="464"/>
      <c r="BB106" s="465"/>
      <c r="BC106" s="457"/>
      <c r="BD106" s="464"/>
      <c r="BE106" s="466"/>
      <c r="BF106" s="465"/>
      <c r="BG106" s="457"/>
      <c r="BH106" s="464"/>
      <c r="BI106" s="466"/>
      <c r="BJ106" s="465"/>
      <c r="BK106" s="457"/>
      <c r="BL106" s="464"/>
      <c r="BM106" s="466"/>
      <c r="BN106" s="465"/>
      <c r="BO106" s="457"/>
      <c r="BP106" s="464"/>
      <c r="BQ106" s="466"/>
      <c r="BR106" s="465"/>
      <c r="BS106" s="457"/>
      <c r="BT106" s="464"/>
      <c r="BU106" s="466"/>
      <c r="BV106" s="465"/>
      <c r="BW106" s="457"/>
      <c r="BX106" s="464"/>
      <c r="BY106" s="466"/>
      <c r="BZ106" s="465"/>
      <c r="CA106" s="457"/>
      <c r="CB106" s="464"/>
      <c r="CC106" s="466"/>
      <c r="CD106" s="465"/>
      <c r="CE106" s="457"/>
      <c r="CF106" s="464"/>
      <c r="CG106" s="466"/>
      <c r="CH106" s="465"/>
      <c r="CI106" s="457"/>
      <c r="CJ106" s="464"/>
      <c r="CK106" s="466"/>
      <c r="CL106" s="459"/>
      <c r="CM106" s="450"/>
      <c r="CN106" s="468">
        <f t="shared" si="54"/>
        <v>0</v>
      </c>
      <c r="CO106" s="468">
        <f t="shared" si="55"/>
        <v>0</v>
      </c>
      <c r="CP106" s="469">
        <f t="shared" si="56"/>
        <v>0</v>
      </c>
      <c r="CQ106" s="469">
        <f t="shared" si="57"/>
        <v>0</v>
      </c>
      <c r="CR106" s="463"/>
      <c r="CS106" s="457"/>
      <c r="CT106" s="464"/>
      <c r="CU106" s="464"/>
      <c r="CV106" s="465"/>
      <c r="CW106" s="457"/>
      <c r="CX106" s="464"/>
      <c r="CY106" s="466"/>
      <c r="CZ106" s="465"/>
      <c r="DA106" s="457"/>
      <c r="DB106" s="464"/>
      <c r="DC106" s="466"/>
      <c r="DD106" s="465"/>
      <c r="DE106" s="457"/>
      <c r="DF106" s="464"/>
      <c r="DG106" s="466"/>
      <c r="DH106" s="465"/>
      <c r="DI106" s="457"/>
      <c r="DJ106" s="464"/>
      <c r="DK106" s="466"/>
      <c r="DL106" s="465"/>
      <c r="DM106" s="457"/>
      <c r="DN106" s="464"/>
      <c r="DO106" s="466"/>
      <c r="DP106" s="465"/>
      <c r="DQ106" s="457"/>
      <c r="DR106" s="464"/>
      <c r="DS106" s="466"/>
      <c r="DT106" s="465"/>
      <c r="DU106" s="457"/>
      <c r="DV106" s="464"/>
      <c r="DW106" s="466"/>
      <c r="DX106" s="465"/>
      <c r="DY106" s="457"/>
      <c r="DZ106" s="464"/>
      <c r="EA106" s="466"/>
      <c r="EB106" s="465"/>
      <c r="EC106" s="457"/>
      <c r="ED106" s="464"/>
      <c r="EE106" s="466"/>
      <c r="EF106" s="459"/>
      <c r="EG106" s="450"/>
      <c r="EH106" s="460">
        <f t="shared" si="58"/>
        <v>0</v>
      </c>
      <c r="EI106" s="460">
        <f t="shared" si="59"/>
        <v>0</v>
      </c>
      <c r="EJ106" s="458">
        <f t="shared" si="60"/>
        <v>0</v>
      </c>
      <c r="EK106" s="470">
        <f t="shared" si="61"/>
        <v>0</v>
      </c>
      <c r="EL106" s="470">
        <f t="shared" si="62"/>
        <v>0</v>
      </c>
      <c r="EM106" s="449">
        <f t="shared" si="63"/>
        <v>0</v>
      </c>
      <c r="EN106" s="460">
        <f t="shared" si="64"/>
        <v>0</v>
      </c>
      <c r="EO106" s="469">
        <f t="shared" si="65"/>
        <v>0</v>
      </c>
      <c r="EP106" s="471"/>
      <c r="EQ106" s="450"/>
      <c r="ER106" s="471"/>
      <c r="ES106" s="450"/>
      <c r="ET106" s="471"/>
      <c r="EU106" s="450"/>
      <c r="EV106" s="471"/>
      <c r="EW106" s="450"/>
      <c r="EX106" s="471"/>
      <c r="EY106" s="450"/>
      <c r="EZ106" s="471"/>
      <c r="FA106" s="450"/>
      <c r="FB106" s="471"/>
      <c r="FC106" s="450"/>
      <c r="FD106" s="471"/>
      <c r="FE106" s="450"/>
      <c r="FF106" s="471"/>
      <c r="FG106" s="450"/>
      <c r="FH106" s="472"/>
      <c r="FI106" s="450"/>
      <c r="FJ106" s="468">
        <f t="shared" si="66"/>
        <v>0</v>
      </c>
      <c r="FK106" s="469">
        <f t="shared" si="67"/>
        <v>0</v>
      </c>
      <c r="FL106" s="472"/>
      <c r="FM106" s="450"/>
      <c r="FN106" s="460">
        <f t="shared" si="68"/>
        <v>3232</v>
      </c>
      <c r="FO106" s="469">
        <f t="shared" si="69"/>
        <v>5647</v>
      </c>
    </row>
    <row r="107" spans="1:171" ht="15.75" x14ac:dyDescent="0.25">
      <c r="A107" s="828" t="s">
        <v>1074</v>
      </c>
      <c r="B107" s="829" t="s">
        <v>1256</v>
      </c>
      <c r="C107" s="830"/>
      <c r="D107" s="718">
        <v>132693</v>
      </c>
      <c r="E107" s="821">
        <v>8</v>
      </c>
      <c r="F107" s="532">
        <v>1048</v>
      </c>
      <c r="G107" s="831">
        <v>1099</v>
      </c>
      <c r="H107" s="457">
        <v>37</v>
      </c>
      <c r="I107" s="831">
        <v>35</v>
      </c>
      <c r="J107" s="457">
        <v>2961</v>
      </c>
      <c r="K107" s="831">
        <v>3112</v>
      </c>
      <c r="L107" s="458">
        <f t="shared" si="48"/>
        <v>0</v>
      </c>
      <c r="M107" s="449">
        <f t="shared" si="49"/>
        <v>0</v>
      </c>
      <c r="N107" s="459">
        <v>0</v>
      </c>
      <c r="O107" s="459"/>
      <c r="P107" s="459"/>
      <c r="Q107" s="459"/>
      <c r="R107" s="460">
        <f t="shared" si="46"/>
        <v>0</v>
      </c>
      <c r="S107" s="831">
        <v>0</v>
      </c>
      <c r="T107" s="461"/>
      <c r="U107" s="461"/>
      <c r="V107" s="461"/>
      <c r="W107" s="462">
        <f t="shared" si="47"/>
        <v>0</v>
      </c>
      <c r="X107" s="463"/>
      <c r="Y107" s="457"/>
      <c r="Z107" s="466"/>
      <c r="AA107" s="392"/>
      <c r="AB107" s="465"/>
      <c r="AC107" s="457"/>
      <c r="AD107" s="466"/>
      <c r="AE107" s="834"/>
      <c r="AF107" s="465"/>
      <c r="AG107" s="457"/>
      <c r="AH107" s="466"/>
      <c r="AI107" s="834"/>
      <c r="AJ107" s="465"/>
      <c r="AK107" s="457"/>
      <c r="AL107" s="466"/>
      <c r="AM107" s="834"/>
      <c r="AN107" s="465"/>
      <c r="AO107" s="457"/>
      <c r="AP107" s="466"/>
      <c r="AQ107" s="392"/>
      <c r="AR107" s="460">
        <f t="shared" si="50"/>
        <v>0</v>
      </c>
      <c r="AS107" s="467">
        <f t="shared" si="51"/>
        <v>0</v>
      </c>
      <c r="AT107" s="447">
        <f t="shared" si="52"/>
        <v>0</v>
      </c>
      <c r="AU107" s="448">
        <f t="shared" si="53"/>
        <v>0</v>
      </c>
      <c r="AV107" s="457"/>
      <c r="AW107" s="450"/>
      <c r="AX107" s="463"/>
      <c r="AY107" s="457"/>
      <c r="AZ107" s="464"/>
      <c r="BA107" s="464"/>
      <c r="BB107" s="465"/>
      <c r="BC107" s="457"/>
      <c r="BD107" s="464"/>
      <c r="BE107" s="466"/>
      <c r="BF107" s="465"/>
      <c r="BG107" s="457"/>
      <c r="BH107" s="464"/>
      <c r="BI107" s="466"/>
      <c r="BJ107" s="465"/>
      <c r="BK107" s="457"/>
      <c r="BL107" s="464"/>
      <c r="BM107" s="466"/>
      <c r="BN107" s="465"/>
      <c r="BO107" s="457"/>
      <c r="BP107" s="464"/>
      <c r="BQ107" s="466"/>
      <c r="BR107" s="465"/>
      <c r="BS107" s="457"/>
      <c r="BT107" s="464"/>
      <c r="BU107" s="466"/>
      <c r="BV107" s="465"/>
      <c r="BW107" s="457"/>
      <c r="BX107" s="464"/>
      <c r="BY107" s="466"/>
      <c r="BZ107" s="465"/>
      <c r="CA107" s="457"/>
      <c r="CB107" s="464"/>
      <c r="CC107" s="466"/>
      <c r="CD107" s="465"/>
      <c r="CE107" s="457"/>
      <c r="CF107" s="464"/>
      <c r="CG107" s="466"/>
      <c r="CH107" s="465"/>
      <c r="CI107" s="457"/>
      <c r="CJ107" s="464"/>
      <c r="CK107" s="466"/>
      <c r="CL107" s="459"/>
      <c r="CM107" s="450"/>
      <c r="CN107" s="468">
        <f t="shared" si="54"/>
        <v>0</v>
      </c>
      <c r="CO107" s="468">
        <f t="shared" si="55"/>
        <v>0</v>
      </c>
      <c r="CP107" s="469">
        <f t="shared" si="56"/>
        <v>0</v>
      </c>
      <c r="CQ107" s="469">
        <f t="shared" si="57"/>
        <v>0</v>
      </c>
      <c r="CR107" s="463"/>
      <c r="CS107" s="457"/>
      <c r="CT107" s="464"/>
      <c r="CU107" s="464"/>
      <c r="CV107" s="465"/>
      <c r="CW107" s="457"/>
      <c r="CX107" s="464"/>
      <c r="CY107" s="466"/>
      <c r="CZ107" s="465"/>
      <c r="DA107" s="457"/>
      <c r="DB107" s="464"/>
      <c r="DC107" s="466"/>
      <c r="DD107" s="465"/>
      <c r="DE107" s="457"/>
      <c r="DF107" s="464"/>
      <c r="DG107" s="466"/>
      <c r="DH107" s="465"/>
      <c r="DI107" s="457"/>
      <c r="DJ107" s="464"/>
      <c r="DK107" s="466"/>
      <c r="DL107" s="465"/>
      <c r="DM107" s="457"/>
      <c r="DN107" s="464"/>
      <c r="DO107" s="466"/>
      <c r="DP107" s="465"/>
      <c r="DQ107" s="457"/>
      <c r="DR107" s="464"/>
      <c r="DS107" s="466"/>
      <c r="DT107" s="465"/>
      <c r="DU107" s="457"/>
      <c r="DV107" s="464"/>
      <c r="DW107" s="466"/>
      <c r="DX107" s="465"/>
      <c r="DY107" s="457"/>
      <c r="DZ107" s="464"/>
      <c r="EA107" s="466"/>
      <c r="EB107" s="465"/>
      <c r="EC107" s="457"/>
      <c r="ED107" s="464"/>
      <c r="EE107" s="466"/>
      <c r="EF107" s="459"/>
      <c r="EG107" s="450"/>
      <c r="EH107" s="460">
        <f t="shared" si="58"/>
        <v>0</v>
      </c>
      <c r="EI107" s="460">
        <f t="shared" si="59"/>
        <v>0</v>
      </c>
      <c r="EJ107" s="458">
        <f t="shared" si="60"/>
        <v>0</v>
      </c>
      <c r="EK107" s="470">
        <f t="shared" si="61"/>
        <v>0</v>
      </c>
      <c r="EL107" s="470">
        <f t="shared" si="62"/>
        <v>0</v>
      </c>
      <c r="EM107" s="449">
        <f t="shared" si="63"/>
        <v>0</v>
      </c>
      <c r="EN107" s="460">
        <f t="shared" si="64"/>
        <v>0</v>
      </c>
      <c r="EO107" s="469">
        <f t="shared" si="65"/>
        <v>0</v>
      </c>
      <c r="EP107" s="471"/>
      <c r="EQ107" s="450"/>
      <c r="ER107" s="471"/>
      <c r="ES107" s="450"/>
      <c r="ET107" s="471"/>
      <c r="EU107" s="450"/>
      <c r="EV107" s="471"/>
      <c r="EW107" s="450"/>
      <c r="EX107" s="471"/>
      <c r="EY107" s="450"/>
      <c r="EZ107" s="471"/>
      <c r="FA107" s="450"/>
      <c r="FB107" s="471"/>
      <c r="FC107" s="450"/>
      <c r="FD107" s="471"/>
      <c r="FE107" s="450"/>
      <c r="FF107" s="471"/>
      <c r="FG107" s="450"/>
      <c r="FH107" s="472"/>
      <c r="FI107" s="450"/>
      <c r="FJ107" s="468">
        <f t="shared" si="66"/>
        <v>0</v>
      </c>
      <c r="FK107" s="469">
        <f t="shared" si="67"/>
        <v>0</v>
      </c>
      <c r="FL107" s="472"/>
      <c r="FM107" s="450"/>
      <c r="FN107" s="460">
        <f t="shared" si="68"/>
        <v>4046</v>
      </c>
      <c r="FO107" s="469">
        <f t="shared" si="69"/>
        <v>4246</v>
      </c>
    </row>
    <row r="108" spans="1:171" ht="15.75" x14ac:dyDescent="0.25">
      <c r="A108" s="828" t="s">
        <v>1074</v>
      </c>
      <c r="B108" s="835" t="s">
        <v>1257</v>
      </c>
      <c r="C108" s="839" t="s">
        <v>1277</v>
      </c>
      <c r="D108" s="718">
        <v>132709</v>
      </c>
      <c r="E108" s="821">
        <v>8</v>
      </c>
      <c r="F108" s="532">
        <v>786</v>
      </c>
      <c r="G108" s="831">
        <v>940</v>
      </c>
      <c r="H108" s="457">
        <v>1</v>
      </c>
      <c r="I108" s="831">
        <v>3</v>
      </c>
      <c r="J108" s="457">
        <v>4881</v>
      </c>
      <c r="K108" s="831">
        <v>6218</v>
      </c>
      <c r="L108" s="458">
        <f t="shared" si="48"/>
        <v>221.86363636363637</v>
      </c>
      <c r="M108" s="449">
        <f t="shared" si="49"/>
        <v>22.128113879003557</v>
      </c>
      <c r="N108" s="459">
        <v>22</v>
      </c>
      <c r="O108" s="459"/>
      <c r="P108" s="459"/>
      <c r="Q108" s="459"/>
      <c r="R108" s="460">
        <f t="shared" si="46"/>
        <v>0</v>
      </c>
      <c r="S108" s="831">
        <v>281</v>
      </c>
      <c r="T108" s="461"/>
      <c r="U108" s="461"/>
      <c r="V108" s="461"/>
      <c r="W108" s="462">
        <f t="shared" si="47"/>
        <v>0</v>
      </c>
      <c r="X108" s="463" t="s">
        <v>873</v>
      </c>
      <c r="Y108" s="457">
        <v>22</v>
      </c>
      <c r="Z108" s="832" t="s">
        <v>1242</v>
      </c>
      <c r="AA108" s="831">
        <v>173</v>
      </c>
      <c r="AB108" s="465"/>
      <c r="AC108" s="457"/>
      <c r="AD108" s="832" t="s">
        <v>873</v>
      </c>
      <c r="AE108" s="833">
        <v>57</v>
      </c>
      <c r="AF108" s="465"/>
      <c r="AG108" s="457"/>
      <c r="AH108" s="832" t="s">
        <v>1241</v>
      </c>
      <c r="AI108" s="833">
        <v>27</v>
      </c>
      <c r="AJ108" s="465"/>
      <c r="AK108" s="457"/>
      <c r="AL108" s="832" t="s">
        <v>1248</v>
      </c>
      <c r="AM108" s="833">
        <v>24</v>
      </c>
      <c r="AN108" s="465"/>
      <c r="AO108" s="457"/>
      <c r="AP108" s="466"/>
      <c r="AQ108" s="392"/>
      <c r="AR108" s="460">
        <f t="shared" si="50"/>
        <v>1</v>
      </c>
      <c r="AS108" s="467">
        <f t="shared" si="51"/>
        <v>3.8664323374340949E-3</v>
      </c>
      <c r="AT108" s="447">
        <f t="shared" si="52"/>
        <v>4</v>
      </c>
      <c r="AU108" s="448">
        <f t="shared" si="53"/>
        <v>3.7758667024993281E-2</v>
      </c>
      <c r="AV108" s="457"/>
      <c r="AW108" s="450"/>
      <c r="AX108" s="463"/>
      <c r="AY108" s="457"/>
      <c r="AZ108" s="464"/>
      <c r="BA108" s="464"/>
      <c r="BB108" s="465"/>
      <c r="BC108" s="457"/>
      <c r="BD108" s="464"/>
      <c r="BE108" s="466"/>
      <c r="BF108" s="465"/>
      <c r="BG108" s="457"/>
      <c r="BH108" s="464"/>
      <c r="BI108" s="466"/>
      <c r="BJ108" s="465"/>
      <c r="BK108" s="457"/>
      <c r="BL108" s="464"/>
      <c r="BM108" s="466"/>
      <c r="BN108" s="465"/>
      <c r="BO108" s="457"/>
      <c r="BP108" s="464"/>
      <c r="BQ108" s="466"/>
      <c r="BR108" s="465"/>
      <c r="BS108" s="457"/>
      <c r="BT108" s="464"/>
      <c r="BU108" s="466"/>
      <c r="BV108" s="465"/>
      <c r="BW108" s="457"/>
      <c r="BX108" s="464"/>
      <c r="BY108" s="466"/>
      <c r="BZ108" s="465"/>
      <c r="CA108" s="457"/>
      <c r="CB108" s="464"/>
      <c r="CC108" s="466"/>
      <c r="CD108" s="465"/>
      <c r="CE108" s="457"/>
      <c r="CF108" s="464"/>
      <c r="CG108" s="466"/>
      <c r="CH108" s="465"/>
      <c r="CI108" s="457"/>
      <c r="CJ108" s="464"/>
      <c r="CK108" s="466"/>
      <c r="CL108" s="459"/>
      <c r="CM108" s="450"/>
      <c r="CN108" s="468">
        <f t="shared" si="54"/>
        <v>0</v>
      </c>
      <c r="CO108" s="468">
        <f t="shared" si="55"/>
        <v>0</v>
      </c>
      <c r="CP108" s="469">
        <f t="shared" si="56"/>
        <v>0</v>
      </c>
      <c r="CQ108" s="469">
        <f t="shared" si="57"/>
        <v>0</v>
      </c>
      <c r="CR108" s="463"/>
      <c r="CS108" s="457"/>
      <c r="CT108" s="464"/>
      <c r="CU108" s="464"/>
      <c r="CV108" s="465"/>
      <c r="CW108" s="457"/>
      <c r="CX108" s="464"/>
      <c r="CY108" s="466"/>
      <c r="CZ108" s="465"/>
      <c r="DA108" s="457"/>
      <c r="DB108" s="464"/>
      <c r="DC108" s="466"/>
      <c r="DD108" s="465"/>
      <c r="DE108" s="457"/>
      <c r="DF108" s="464"/>
      <c r="DG108" s="466"/>
      <c r="DH108" s="465"/>
      <c r="DI108" s="457"/>
      <c r="DJ108" s="464"/>
      <c r="DK108" s="466"/>
      <c r="DL108" s="465"/>
      <c r="DM108" s="457"/>
      <c r="DN108" s="464"/>
      <c r="DO108" s="466"/>
      <c r="DP108" s="465"/>
      <c r="DQ108" s="457"/>
      <c r="DR108" s="464"/>
      <c r="DS108" s="466"/>
      <c r="DT108" s="465"/>
      <c r="DU108" s="457"/>
      <c r="DV108" s="464"/>
      <c r="DW108" s="466"/>
      <c r="DX108" s="465"/>
      <c r="DY108" s="457"/>
      <c r="DZ108" s="464"/>
      <c r="EA108" s="466"/>
      <c r="EB108" s="465"/>
      <c r="EC108" s="457"/>
      <c r="ED108" s="464"/>
      <c r="EE108" s="466"/>
      <c r="EF108" s="459"/>
      <c r="EG108" s="450"/>
      <c r="EH108" s="460">
        <f t="shared" si="58"/>
        <v>0</v>
      </c>
      <c r="EI108" s="460">
        <f t="shared" si="59"/>
        <v>0</v>
      </c>
      <c r="EJ108" s="458">
        <f t="shared" si="60"/>
        <v>0</v>
      </c>
      <c r="EK108" s="470">
        <f t="shared" si="61"/>
        <v>0</v>
      </c>
      <c r="EL108" s="470">
        <f t="shared" si="62"/>
        <v>0</v>
      </c>
      <c r="EM108" s="449">
        <f t="shared" si="63"/>
        <v>0</v>
      </c>
      <c r="EN108" s="460">
        <f t="shared" si="64"/>
        <v>0</v>
      </c>
      <c r="EO108" s="469">
        <f t="shared" si="65"/>
        <v>0</v>
      </c>
      <c r="EP108" s="471"/>
      <c r="EQ108" s="450"/>
      <c r="ER108" s="471"/>
      <c r="ES108" s="450"/>
      <c r="ET108" s="471"/>
      <c r="EU108" s="450"/>
      <c r="EV108" s="471"/>
      <c r="EW108" s="450"/>
      <c r="EX108" s="471"/>
      <c r="EY108" s="450"/>
      <c r="EZ108" s="471"/>
      <c r="FA108" s="450"/>
      <c r="FB108" s="471"/>
      <c r="FC108" s="450"/>
      <c r="FD108" s="471"/>
      <c r="FE108" s="450"/>
      <c r="FF108" s="471"/>
      <c r="FG108" s="450"/>
      <c r="FH108" s="472"/>
      <c r="FI108" s="450"/>
      <c r="FJ108" s="468">
        <f t="shared" si="66"/>
        <v>0</v>
      </c>
      <c r="FK108" s="469">
        <f t="shared" si="67"/>
        <v>0</v>
      </c>
      <c r="FL108" s="472"/>
      <c r="FM108" s="450"/>
      <c r="FN108" s="460">
        <f t="shared" si="68"/>
        <v>5690</v>
      </c>
      <c r="FO108" s="469">
        <f t="shared" si="69"/>
        <v>7442</v>
      </c>
    </row>
    <row r="109" spans="1:171" ht="15.75" x14ac:dyDescent="0.25">
      <c r="A109" s="828" t="s">
        <v>1074</v>
      </c>
      <c r="B109" s="835" t="s">
        <v>1258</v>
      </c>
      <c r="C109" s="836"/>
      <c r="D109" s="837">
        <v>132851</v>
      </c>
      <c r="E109" s="837">
        <v>8</v>
      </c>
      <c r="F109" s="532">
        <v>515</v>
      </c>
      <c r="G109" s="831">
        <v>478</v>
      </c>
      <c r="H109" s="457">
        <v>4</v>
      </c>
      <c r="I109" s="831">
        <v>6</v>
      </c>
      <c r="J109" s="457">
        <v>1083</v>
      </c>
      <c r="K109" s="831">
        <v>1185</v>
      </c>
      <c r="L109" s="458">
        <f t="shared" si="48"/>
        <v>0</v>
      </c>
      <c r="M109" s="449">
        <f t="shared" si="49"/>
        <v>0</v>
      </c>
      <c r="N109" s="459">
        <v>0</v>
      </c>
      <c r="O109" s="459"/>
      <c r="P109" s="459"/>
      <c r="Q109" s="459"/>
      <c r="R109" s="460">
        <f t="shared" si="46"/>
        <v>0</v>
      </c>
      <c r="S109" s="831">
        <v>0</v>
      </c>
      <c r="T109" s="461"/>
      <c r="U109" s="461"/>
      <c r="V109" s="461"/>
      <c r="W109" s="462">
        <f t="shared" si="47"/>
        <v>0</v>
      </c>
      <c r="X109" s="463"/>
      <c r="Y109" s="457"/>
      <c r="Z109" s="466"/>
      <c r="AA109" s="392"/>
      <c r="AB109" s="465"/>
      <c r="AC109" s="457"/>
      <c r="AD109" s="466"/>
      <c r="AE109" s="392"/>
      <c r="AF109" s="465"/>
      <c r="AG109" s="457"/>
      <c r="AH109" s="466"/>
      <c r="AI109" s="392"/>
      <c r="AJ109" s="465"/>
      <c r="AK109" s="457"/>
      <c r="AL109" s="466"/>
      <c r="AM109" s="392"/>
      <c r="AN109" s="465"/>
      <c r="AO109" s="457"/>
      <c r="AP109" s="466"/>
      <c r="AQ109" s="392"/>
      <c r="AR109" s="460">
        <f t="shared" si="50"/>
        <v>0</v>
      </c>
      <c r="AS109" s="467">
        <f t="shared" si="51"/>
        <v>0</v>
      </c>
      <c r="AT109" s="447">
        <f t="shared" si="52"/>
        <v>0</v>
      </c>
      <c r="AU109" s="448">
        <f t="shared" si="53"/>
        <v>0</v>
      </c>
      <c r="AV109" s="457"/>
      <c r="AW109" s="450"/>
      <c r="AX109" s="463"/>
      <c r="AY109" s="457"/>
      <c r="AZ109" s="464"/>
      <c r="BA109" s="464"/>
      <c r="BB109" s="465"/>
      <c r="BC109" s="457"/>
      <c r="BD109" s="464"/>
      <c r="BE109" s="466"/>
      <c r="BF109" s="465"/>
      <c r="BG109" s="457"/>
      <c r="BH109" s="464"/>
      <c r="BI109" s="466"/>
      <c r="BJ109" s="465"/>
      <c r="BK109" s="457"/>
      <c r="BL109" s="464"/>
      <c r="BM109" s="466"/>
      <c r="BN109" s="465"/>
      <c r="BO109" s="457"/>
      <c r="BP109" s="464"/>
      <c r="BQ109" s="466"/>
      <c r="BR109" s="465"/>
      <c r="BS109" s="457"/>
      <c r="BT109" s="464"/>
      <c r="BU109" s="466"/>
      <c r="BV109" s="465"/>
      <c r="BW109" s="457"/>
      <c r="BX109" s="464"/>
      <c r="BY109" s="466"/>
      <c r="BZ109" s="465"/>
      <c r="CA109" s="457"/>
      <c r="CB109" s="464"/>
      <c r="CC109" s="466"/>
      <c r="CD109" s="465"/>
      <c r="CE109" s="457"/>
      <c r="CF109" s="464"/>
      <c r="CG109" s="466"/>
      <c r="CH109" s="465"/>
      <c r="CI109" s="457"/>
      <c r="CJ109" s="464"/>
      <c r="CK109" s="466"/>
      <c r="CL109" s="459"/>
      <c r="CM109" s="450"/>
      <c r="CN109" s="468">
        <f t="shared" si="54"/>
        <v>0</v>
      </c>
      <c r="CO109" s="468">
        <f t="shared" si="55"/>
        <v>0</v>
      </c>
      <c r="CP109" s="469">
        <f t="shared" si="56"/>
        <v>0</v>
      </c>
      <c r="CQ109" s="469">
        <f t="shared" si="57"/>
        <v>0</v>
      </c>
      <c r="CR109" s="463"/>
      <c r="CS109" s="457"/>
      <c r="CT109" s="464"/>
      <c r="CU109" s="464"/>
      <c r="CV109" s="465"/>
      <c r="CW109" s="457"/>
      <c r="CX109" s="464"/>
      <c r="CY109" s="466"/>
      <c r="CZ109" s="465"/>
      <c r="DA109" s="457"/>
      <c r="DB109" s="464"/>
      <c r="DC109" s="466"/>
      <c r="DD109" s="465"/>
      <c r="DE109" s="457"/>
      <c r="DF109" s="464"/>
      <c r="DG109" s="466"/>
      <c r="DH109" s="465"/>
      <c r="DI109" s="457"/>
      <c r="DJ109" s="464"/>
      <c r="DK109" s="466"/>
      <c r="DL109" s="465"/>
      <c r="DM109" s="457"/>
      <c r="DN109" s="464"/>
      <c r="DO109" s="466"/>
      <c r="DP109" s="465"/>
      <c r="DQ109" s="457"/>
      <c r="DR109" s="464"/>
      <c r="DS109" s="466"/>
      <c r="DT109" s="465"/>
      <c r="DU109" s="457"/>
      <c r="DV109" s="464"/>
      <c r="DW109" s="466"/>
      <c r="DX109" s="465"/>
      <c r="DY109" s="457"/>
      <c r="DZ109" s="464"/>
      <c r="EA109" s="466"/>
      <c r="EB109" s="465"/>
      <c r="EC109" s="457"/>
      <c r="ED109" s="464"/>
      <c r="EE109" s="466"/>
      <c r="EF109" s="459"/>
      <c r="EG109" s="450"/>
      <c r="EH109" s="460">
        <f t="shared" si="58"/>
        <v>0</v>
      </c>
      <c r="EI109" s="460">
        <f t="shared" si="59"/>
        <v>0</v>
      </c>
      <c r="EJ109" s="458">
        <f t="shared" si="60"/>
        <v>0</v>
      </c>
      <c r="EK109" s="470">
        <f t="shared" si="61"/>
        <v>0</v>
      </c>
      <c r="EL109" s="470">
        <f t="shared" si="62"/>
        <v>0</v>
      </c>
      <c r="EM109" s="449">
        <f t="shared" si="63"/>
        <v>0</v>
      </c>
      <c r="EN109" s="460">
        <f t="shared" si="64"/>
        <v>0</v>
      </c>
      <c r="EO109" s="469">
        <f t="shared" si="65"/>
        <v>0</v>
      </c>
      <c r="EP109" s="471"/>
      <c r="EQ109" s="450"/>
      <c r="ER109" s="471"/>
      <c r="ES109" s="450"/>
      <c r="ET109" s="471"/>
      <c r="EU109" s="450"/>
      <c r="EV109" s="471"/>
      <c r="EW109" s="450"/>
      <c r="EX109" s="471"/>
      <c r="EY109" s="450"/>
      <c r="EZ109" s="471"/>
      <c r="FA109" s="450"/>
      <c r="FB109" s="471"/>
      <c r="FC109" s="450"/>
      <c r="FD109" s="471"/>
      <c r="FE109" s="450"/>
      <c r="FF109" s="471"/>
      <c r="FG109" s="450"/>
      <c r="FH109" s="472"/>
      <c r="FI109" s="450"/>
      <c r="FJ109" s="468">
        <f t="shared" si="66"/>
        <v>0</v>
      </c>
      <c r="FK109" s="469">
        <f t="shared" si="67"/>
        <v>0</v>
      </c>
      <c r="FL109" s="472"/>
      <c r="FM109" s="450"/>
      <c r="FN109" s="460">
        <f t="shared" si="68"/>
        <v>1602</v>
      </c>
      <c r="FO109" s="469">
        <f t="shared" si="69"/>
        <v>1669</v>
      </c>
    </row>
    <row r="110" spans="1:171" ht="15.75" x14ac:dyDescent="0.25">
      <c r="A110" s="828" t="s">
        <v>1074</v>
      </c>
      <c r="B110" s="835" t="s">
        <v>1259</v>
      </c>
      <c r="C110" s="836"/>
      <c r="D110" s="718">
        <v>134495</v>
      </c>
      <c r="E110" s="821">
        <v>8</v>
      </c>
      <c r="F110" s="532">
        <v>1317</v>
      </c>
      <c r="G110" s="831">
        <v>1432</v>
      </c>
      <c r="H110" s="457">
        <v>103</v>
      </c>
      <c r="I110" s="831">
        <v>115</v>
      </c>
      <c r="J110" s="457">
        <v>2951</v>
      </c>
      <c r="K110" s="831">
        <v>3843</v>
      </c>
      <c r="L110" s="458">
        <f t="shared" si="48"/>
        <v>0</v>
      </c>
      <c r="M110" s="449">
        <f t="shared" si="49"/>
        <v>0</v>
      </c>
      <c r="N110" s="459">
        <v>0</v>
      </c>
      <c r="O110" s="459"/>
      <c r="P110" s="459"/>
      <c r="Q110" s="459"/>
      <c r="R110" s="460">
        <f t="shared" si="46"/>
        <v>0</v>
      </c>
      <c r="S110" s="831">
        <v>0</v>
      </c>
      <c r="T110" s="461"/>
      <c r="U110" s="461"/>
      <c r="V110" s="461"/>
      <c r="W110" s="462">
        <f t="shared" si="47"/>
        <v>0</v>
      </c>
      <c r="X110" s="463"/>
      <c r="Y110" s="457"/>
      <c r="Z110" s="466"/>
      <c r="AA110" s="392"/>
      <c r="AB110" s="465"/>
      <c r="AC110" s="457"/>
      <c r="AD110" s="466"/>
      <c r="AE110" s="834"/>
      <c r="AF110" s="465"/>
      <c r="AG110" s="457"/>
      <c r="AH110" s="466"/>
      <c r="AI110" s="834"/>
      <c r="AJ110" s="465"/>
      <c r="AK110" s="457"/>
      <c r="AL110" s="466"/>
      <c r="AM110" s="834"/>
      <c r="AN110" s="465"/>
      <c r="AO110" s="457"/>
      <c r="AP110" s="466"/>
      <c r="AQ110" s="392"/>
      <c r="AR110" s="460">
        <f t="shared" si="50"/>
        <v>0</v>
      </c>
      <c r="AS110" s="467">
        <f t="shared" si="51"/>
        <v>0</v>
      </c>
      <c r="AT110" s="447">
        <f t="shared" si="52"/>
        <v>0</v>
      </c>
      <c r="AU110" s="448">
        <f t="shared" si="53"/>
        <v>0</v>
      </c>
      <c r="AV110" s="457"/>
      <c r="AW110" s="450"/>
      <c r="AX110" s="463"/>
      <c r="AY110" s="457"/>
      <c r="AZ110" s="464"/>
      <c r="BA110" s="464"/>
      <c r="BB110" s="465"/>
      <c r="BC110" s="457"/>
      <c r="BD110" s="464"/>
      <c r="BE110" s="466"/>
      <c r="BF110" s="465"/>
      <c r="BG110" s="457"/>
      <c r="BH110" s="464"/>
      <c r="BI110" s="466"/>
      <c r="BJ110" s="465"/>
      <c r="BK110" s="457"/>
      <c r="BL110" s="464"/>
      <c r="BM110" s="466"/>
      <c r="BN110" s="465"/>
      <c r="BO110" s="457"/>
      <c r="BP110" s="464"/>
      <c r="BQ110" s="466"/>
      <c r="BR110" s="465"/>
      <c r="BS110" s="457"/>
      <c r="BT110" s="464"/>
      <c r="BU110" s="466"/>
      <c r="BV110" s="465"/>
      <c r="BW110" s="457"/>
      <c r="BX110" s="464"/>
      <c r="BY110" s="466"/>
      <c r="BZ110" s="465"/>
      <c r="CA110" s="457"/>
      <c r="CB110" s="464"/>
      <c r="CC110" s="466"/>
      <c r="CD110" s="465"/>
      <c r="CE110" s="457"/>
      <c r="CF110" s="464"/>
      <c r="CG110" s="466"/>
      <c r="CH110" s="465"/>
      <c r="CI110" s="457"/>
      <c r="CJ110" s="464"/>
      <c r="CK110" s="466"/>
      <c r="CL110" s="459"/>
      <c r="CM110" s="450"/>
      <c r="CN110" s="468">
        <f t="shared" si="54"/>
        <v>0</v>
      </c>
      <c r="CO110" s="468">
        <f t="shared" si="55"/>
        <v>0</v>
      </c>
      <c r="CP110" s="469">
        <f t="shared" si="56"/>
        <v>0</v>
      </c>
      <c r="CQ110" s="469">
        <f t="shared" si="57"/>
        <v>0</v>
      </c>
      <c r="CR110" s="463"/>
      <c r="CS110" s="457"/>
      <c r="CT110" s="464"/>
      <c r="CU110" s="464"/>
      <c r="CV110" s="465"/>
      <c r="CW110" s="457"/>
      <c r="CX110" s="464"/>
      <c r="CY110" s="466"/>
      <c r="CZ110" s="465"/>
      <c r="DA110" s="457"/>
      <c r="DB110" s="464"/>
      <c r="DC110" s="466"/>
      <c r="DD110" s="465"/>
      <c r="DE110" s="457"/>
      <c r="DF110" s="464"/>
      <c r="DG110" s="466"/>
      <c r="DH110" s="465"/>
      <c r="DI110" s="457"/>
      <c r="DJ110" s="464"/>
      <c r="DK110" s="466"/>
      <c r="DL110" s="465"/>
      <c r="DM110" s="457"/>
      <c r="DN110" s="464"/>
      <c r="DO110" s="466"/>
      <c r="DP110" s="465"/>
      <c r="DQ110" s="457"/>
      <c r="DR110" s="464"/>
      <c r="DS110" s="466"/>
      <c r="DT110" s="465"/>
      <c r="DU110" s="457"/>
      <c r="DV110" s="464"/>
      <c r="DW110" s="466"/>
      <c r="DX110" s="465"/>
      <c r="DY110" s="457"/>
      <c r="DZ110" s="464"/>
      <c r="EA110" s="466"/>
      <c r="EB110" s="465"/>
      <c r="EC110" s="457"/>
      <c r="ED110" s="464"/>
      <c r="EE110" s="466"/>
      <c r="EF110" s="459"/>
      <c r="EG110" s="450"/>
      <c r="EH110" s="460">
        <f t="shared" si="58"/>
        <v>0</v>
      </c>
      <c r="EI110" s="460">
        <f t="shared" si="59"/>
        <v>0</v>
      </c>
      <c r="EJ110" s="458">
        <f t="shared" si="60"/>
        <v>0</v>
      </c>
      <c r="EK110" s="470">
        <f t="shared" si="61"/>
        <v>0</v>
      </c>
      <c r="EL110" s="470">
        <f t="shared" si="62"/>
        <v>0</v>
      </c>
      <c r="EM110" s="449">
        <f t="shared" si="63"/>
        <v>0</v>
      </c>
      <c r="EN110" s="460">
        <f t="shared" si="64"/>
        <v>0</v>
      </c>
      <c r="EO110" s="469">
        <f t="shared" si="65"/>
        <v>0</v>
      </c>
      <c r="EP110" s="471"/>
      <c r="EQ110" s="450"/>
      <c r="ER110" s="471"/>
      <c r="ES110" s="450"/>
      <c r="ET110" s="471"/>
      <c r="EU110" s="450"/>
      <c r="EV110" s="471"/>
      <c r="EW110" s="450"/>
      <c r="EX110" s="471"/>
      <c r="EY110" s="450"/>
      <c r="EZ110" s="471"/>
      <c r="FA110" s="450"/>
      <c r="FB110" s="471"/>
      <c r="FC110" s="450"/>
      <c r="FD110" s="471"/>
      <c r="FE110" s="450"/>
      <c r="FF110" s="471"/>
      <c r="FG110" s="450"/>
      <c r="FH110" s="472"/>
      <c r="FI110" s="450"/>
      <c r="FJ110" s="468">
        <f t="shared" si="66"/>
        <v>0</v>
      </c>
      <c r="FK110" s="469">
        <f t="shared" si="67"/>
        <v>0</v>
      </c>
      <c r="FL110" s="472"/>
      <c r="FM110" s="450"/>
      <c r="FN110" s="460">
        <f t="shared" si="68"/>
        <v>4371</v>
      </c>
      <c r="FO110" s="469">
        <f t="shared" si="69"/>
        <v>5390</v>
      </c>
    </row>
    <row r="111" spans="1:171" ht="15.75" x14ac:dyDescent="0.25">
      <c r="A111" s="828" t="s">
        <v>1074</v>
      </c>
      <c r="B111" s="835" t="s">
        <v>1260</v>
      </c>
      <c r="C111" s="839" t="s">
        <v>1277</v>
      </c>
      <c r="D111" s="718">
        <v>136358</v>
      </c>
      <c r="E111" s="821">
        <v>8</v>
      </c>
      <c r="F111" s="532">
        <v>1850</v>
      </c>
      <c r="G111" s="831">
        <v>1697</v>
      </c>
      <c r="H111" s="457">
        <v>113</v>
      </c>
      <c r="I111" s="831">
        <v>46</v>
      </c>
      <c r="J111" s="457">
        <v>3664</v>
      </c>
      <c r="K111" s="831">
        <v>4021</v>
      </c>
      <c r="L111" s="458">
        <f t="shared" si="48"/>
        <v>42.114942528735632</v>
      </c>
      <c r="M111" s="449">
        <f t="shared" si="49"/>
        <v>25.611464968152866</v>
      </c>
      <c r="N111" s="459">
        <v>87</v>
      </c>
      <c r="O111" s="459"/>
      <c r="P111" s="459"/>
      <c r="Q111" s="459"/>
      <c r="R111" s="460">
        <f t="shared" si="46"/>
        <v>0</v>
      </c>
      <c r="S111" s="831">
        <v>157</v>
      </c>
      <c r="T111" s="461"/>
      <c r="U111" s="461"/>
      <c r="V111" s="461"/>
      <c r="W111" s="462">
        <f t="shared" si="47"/>
        <v>0</v>
      </c>
      <c r="X111" s="463" t="s">
        <v>1242</v>
      </c>
      <c r="Y111" s="457">
        <v>87</v>
      </c>
      <c r="Z111" s="832" t="s">
        <v>1242</v>
      </c>
      <c r="AA111" s="831">
        <v>157</v>
      </c>
      <c r="AB111" s="465"/>
      <c r="AC111" s="457"/>
      <c r="AD111" s="466"/>
      <c r="AE111" s="834"/>
      <c r="AF111" s="465"/>
      <c r="AG111" s="457"/>
      <c r="AH111" s="466"/>
      <c r="AI111" s="834"/>
      <c r="AJ111" s="465"/>
      <c r="AK111" s="457"/>
      <c r="AL111" s="466"/>
      <c r="AM111" s="834"/>
      <c r="AN111" s="465"/>
      <c r="AO111" s="457"/>
      <c r="AP111" s="466"/>
      <c r="AQ111" s="392"/>
      <c r="AR111" s="460">
        <f t="shared" si="50"/>
        <v>1</v>
      </c>
      <c r="AS111" s="467">
        <f t="shared" si="51"/>
        <v>1.5225761288064403E-2</v>
      </c>
      <c r="AT111" s="447">
        <f t="shared" si="52"/>
        <v>1</v>
      </c>
      <c r="AU111" s="448">
        <f t="shared" si="53"/>
        <v>2.651579125147779E-2</v>
      </c>
      <c r="AV111" s="457"/>
      <c r="AW111" s="450"/>
      <c r="AX111" s="463"/>
      <c r="AY111" s="457"/>
      <c r="AZ111" s="464"/>
      <c r="BA111" s="464"/>
      <c r="BB111" s="465"/>
      <c r="BC111" s="457"/>
      <c r="BD111" s="464"/>
      <c r="BE111" s="466"/>
      <c r="BF111" s="465"/>
      <c r="BG111" s="457"/>
      <c r="BH111" s="464"/>
      <c r="BI111" s="466"/>
      <c r="BJ111" s="465"/>
      <c r="BK111" s="457"/>
      <c r="BL111" s="464"/>
      <c r="BM111" s="466"/>
      <c r="BN111" s="465"/>
      <c r="BO111" s="457"/>
      <c r="BP111" s="464"/>
      <c r="BQ111" s="466"/>
      <c r="BR111" s="465"/>
      <c r="BS111" s="457"/>
      <c r="BT111" s="464"/>
      <c r="BU111" s="466"/>
      <c r="BV111" s="465"/>
      <c r="BW111" s="457"/>
      <c r="BX111" s="464"/>
      <c r="BY111" s="466"/>
      <c r="BZ111" s="465"/>
      <c r="CA111" s="457"/>
      <c r="CB111" s="464"/>
      <c r="CC111" s="466"/>
      <c r="CD111" s="465"/>
      <c r="CE111" s="457"/>
      <c r="CF111" s="464"/>
      <c r="CG111" s="466"/>
      <c r="CH111" s="465"/>
      <c r="CI111" s="457"/>
      <c r="CJ111" s="464"/>
      <c r="CK111" s="466"/>
      <c r="CL111" s="459"/>
      <c r="CM111" s="450"/>
      <c r="CN111" s="468">
        <f t="shared" si="54"/>
        <v>0</v>
      </c>
      <c r="CO111" s="468">
        <f t="shared" si="55"/>
        <v>0</v>
      </c>
      <c r="CP111" s="469">
        <f t="shared" si="56"/>
        <v>0</v>
      </c>
      <c r="CQ111" s="469">
        <f t="shared" si="57"/>
        <v>0</v>
      </c>
      <c r="CR111" s="463"/>
      <c r="CS111" s="457"/>
      <c r="CT111" s="464"/>
      <c r="CU111" s="464"/>
      <c r="CV111" s="465"/>
      <c r="CW111" s="457"/>
      <c r="CX111" s="464"/>
      <c r="CY111" s="466"/>
      <c r="CZ111" s="465"/>
      <c r="DA111" s="457"/>
      <c r="DB111" s="464"/>
      <c r="DC111" s="466"/>
      <c r="DD111" s="465"/>
      <c r="DE111" s="457"/>
      <c r="DF111" s="464"/>
      <c r="DG111" s="466"/>
      <c r="DH111" s="465"/>
      <c r="DI111" s="457"/>
      <c r="DJ111" s="464"/>
      <c r="DK111" s="466"/>
      <c r="DL111" s="465"/>
      <c r="DM111" s="457"/>
      <c r="DN111" s="464"/>
      <c r="DO111" s="466"/>
      <c r="DP111" s="465"/>
      <c r="DQ111" s="457"/>
      <c r="DR111" s="464"/>
      <c r="DS111" s="466"/>
      <c r="DT111" s="465"/>
      <c r="DU111" s="457"/>
      <c r="DV111" s="464"/>
      <c r="DW111" s="466"/>
      <c r="DX111" s="465"/>
      <c r="DY111" s="457"/>
      <c r="DZ111" s="464"/>
      <c r="EA111" s="466"/>
      <c r="EB111" s="465"/>
      <c r="EC111" s="457"/>
      <c r="ED111" s="464"/>
      <c r="EE111" s="466"/>
      <c r="EF111" s="459"/>
      <c r="EG111" s="450"/>
      <c r="EH111" s="460">
        <f t="shared" si="58"/>
        <v>0</v>
      </c>
      <c r="EI111" s="460">
        <f t="shared" si="59"/>
        <v>0</v>
      </c>
      <c r="EJ111" s="458">
        <f t="shared" si="60"/>
        <v>0</v>
      </c>
      <c r="EK111" s="470">
        <f t="shared" si="61"/>
        <v>0</v>
      </c>
      <c r="EL111" s="470">
        <f t="shared" si="62"/>
        <v>0</v>
      </c>
      <c r="EM111" s="449">
        <f t="shared" si="63"/>
        <v>0</v>
      </c>
      <c r="EN111" s="460">
        <f t="shared" si="64"/>
        <v>0</v>
      </c>
      <c r="EO111" s="469">
        <f t="shared" si="65"/>
        <v>0</v>
      </c>
      <c r="EP111" s="471"/>
      <c r="EQ111" s="450"/>
      <c r="ER111" s="471"/>
      <c r="ES111" s="450"/>
      <c r="ET111" s="471"/>
      <c r="EU111" s="450"/>
      <c r="EV111" s="471"/>
      <c r="EW111" s="450"/>
      <c r="EX111" s="471"/>
      <c r="EY111" s="450"/>
      <c r="EZ111" s="471"/>
      <c r="FA111" s="450"/>
      <c r="FB111" s="471"/>
      <c r="FC111" s="450"/>
      <c r="FD111" s="471"/>
      <c r="FE111" s="450"/>
      <c r="FF111" s="471"/>
      <c r="FG111" s="450"/>
      <c r="FH111" s="472"/>
      <c r="FI111" s="450"/>
      <c r="FJ111" s="468">
        <f t="shared" si="66"/>
        <v>0</v>
      </c>
      <c r="FK111" s="469">
        <f t="shared" si="67"/>
        <v>0</v>
      </c>
      <c r="FL111" s="472"/>
      <c r="FM111" s="450"/>
      <c r="FN111" s="460">
        <f t="shared" si="68"/>
        <v>5714</v>
      </c>
      <c r="FO111" s="469">
        <f t="shared" si="69"/>
        <v>5921</v>
      </c>
    </row>
    <row r="112" spans="1:171" ht="15.75" x14ac:dyDescent="0.25">
      <c r="A112" s="735" t="s">
        <v>1074</v>
      </c>
      <c r="B112" s="835" t="s">
        <v>1261</v>
      </c>
      <c r="C112" s="836"/>
      <c r="D112" s="718">
        <v>136400</v>
      </c>
      <c r="E112" s="821">
        <v>8</v>
      </c>
      <c r="F112" s="532">
        <v>812</v>
      </c>
      <c r="G112" s="831">
        <v>642</v>
      </c>
      <c r="H112" s="457">
        <v>0</v>
      </c>
      <c r="I112" s="831">
        <v>0</v>
      </c>
      <c r="J112" s="457">
        <v>1396</v>
      </c>
      <c r="K112" s="831">
        <v>1732</v>
      </c>
      <c r="L112" s="458">
        <f t="shared" si="48"/>
        <v>0</v>
      </c>
      <c r="M112" s="449">
        <f t="shared" si="49"/>
        <v>0</v>
      </c>
      <c r="N112" s="459">
        <v>0</v>
      </c>
      <c r="O112" s="459"/>
      <c r="P112" s="459"/>
      <c r="Q112" s="459"/>
      <c r="R112" s="460">
        <f t="shared" si="46"/>
        <v>0</v>
      </c>
      <c r="S112" s="831">
        <v>0</v>
      </c>
      <c r="T112" s="461"/>
      <c r="U112" s="461"/>
      <c r="V112" s="461"/>
      <c r="W112" s="462">
        <f t="shared" si="47"/>
        <v>0</v>
      </c>
      <c r="X112" s="463"/>
      <c r="Y112" s="457"/>
      <c r="Z112" s="466"/>
      <c r="AA112" s="392"/>
      <c r="AB112" s="465"/>
      <c r="AC112" s="457"/>
      <c r="AD112" s="466"/>
      <c r="AE112" s="834"/>
      <c r="AF112" s="465"/>
      <c r="AG112" s="457"/>
      <c r="AH112" s="466"/>
      <c r="AI112" s="834"/>
      <c r="AJ112" s="465"/>
      <c r="AK112" s="457"/>
      <c r="AL112" s="466"/>
      <c r="AM112" s="834"/>
      <c r="AN112" s="465"/>
      <c r="AO112" s="457"/>
      <c r="AP112" s="466"/>
      <c r="AQ112" s="392"/>
      <c r="AR112" s="460">
        <f t="shared" si="50"/>
        <v>0</v>
      </c>
      <c r="AS112" s="467">
        <f t="shared" si="51"/>
        <v>0</v>
      </c>
      <c r="AT112" s="447">
        <f t="shared" si="52"/>
        <v>0</v>
      </c>
      <c r="AU112" s="448">
        <f t="shared" si="53"/>
        <v>0</v>
      </c>
      <c r="AV112" s="457"/>
      <c r="AW112" s="450"/>
      <c r="AX112" s="463"/>
      <c r="AY112" s="457"/>
      <c r="AZ112" s="464"/>
      <c r="BA112" s="464"/>
      <c r="BB112" s="465"/>
      <c r="BC112" s="457"/>
      <c r="BD112" s="464"/>
      <c r="BE112" s="466"/>
      <c r="BF112" s="465"/>
      <c r="BG112" s="457"/>
      <c r="BH112" s="464"/>
      <c r="BI112" s="466"/>
      <c r="BJ112" s="465"/>
      <c r="BK112" s="457"/>
      <c r="BL112" s="464"/>
      <c r="BM112" s="466"/>
      <c r="BN112" s="465"/>
      <c r="BO112" s="457"/>
      <c r="BP112" s="464"/>
      <c r="BQ112" s="466"/>
      <c r="BR112" s="465"/>
      <c r="BS112" s="457"/>
      <c r="BT112" s="464"/>
      <c r="BU112" s="466"/>
      <c r="BV112" s="465"/>
      <c r="BW112" s="457"/>
      <c r="BX112" s="464"/>
      <c r="BY112" s="466"/>
      <c r="BZ112" s="465"/>
      <c r="CA112" s="457"/>
      <c r="CB112" s="464"/>
      <c r="CC112" s="466"/>
      <c r="CD112" s="465"/>
      <c r="CE112" s="457"/>
      <c r="CF112" s="464"/>
      <c r="CG112" s="466"/>
      <c r="CH112" s="465"/>
      <c r="CI112" s="457"/>
      <c r="CJ112" s="464"/>
      <c r="CK112" s="466"/>
      <c r="CL112" s="459"/>
      <c r="CM112" s="450"/>
      <c r="CN112" s="468">
        <f t="shared" si="54"/>
        <v>0</v>
      </c>
      <c r="CO112" s="468">
        <f t="shared" si="55"/>
        <v>0</v>
      </c>
      <c r="CP112" s="469">
        <f t="shared" si="56"/>
        <v>0</v>
      </c>
      <c r="CQ112" s="469">
        <f t="shared" si="57"/>
        <v>0</v>
      </c>
      <c r="CR112" s="463"/>
      <c r="CS112" s="457"/>
      <c r="CT112" s="464"/>
      <c r="CU112" s="464"/>
      <c r="CV112" s="465"/>
      <c r="CW112" s="457"/>
      <c r="CX112" s="464"/>
      <c r="CY112" s="466"/>
      <c r="CZ112" s="465"/>
      <c r="DA112" s="457"/>
      <c r="DB112" s="464"/>
      <c r="DC112" s="466"/>
      <c r="DD112" s="465"/>
      <c r="DE112" s="457"/>
      <c r="DF112" s="464"/>
      <c r="DG112" s="466"/>
      <c r="DH112" s="465"/>
      <c r="DI112" s="457"/>
      <c r="DJ112" s="464"/>
      <c r="DK112" s="466"/>
      <c r="DL112" s="465"/>
      <c r="DM112" s="457"/>
      <c r="DN112" s="464"/>
      <c r="DO112" s="466"/>
      <c r="DP112" s="465"/>
      <c r="DQ112" s="457"/>
      <c r="DR112" s="464"/>
      <c r="DS112" s="466"/>
      <c r="DT112" s="465"/>
      <c r="DU112" s="457"/>
      <c r="DV112" s="464"/>
      <c r="DW112" s="466"/>
      <c r="DX112" s="465"/>
      <c r="DY112" s="457"/>
      <c r="DZ112" s="464"/>
      <c r="EA112" s="466"/>
      <c r="EB112" s="465"/>
      <c r="EC112" s="457"/>
      <c r="ED112" s="464"/>
      <c r="EE112" s="466"/>
      <c r="EF112" s="459"/>
      <c r="EG112" s="450"/>
      <c r="EH112" s="460">
        <f t="shared" si="58"/>
        <v>0</v>
      </c>
      <c r="EI112" s="460">
        <f t="shared" si="59"/>
        <v>0</v>
      </c>
      <c r="EJ112" s="458">
        <f t="shared" si="60"/>
        <v>0</v>
      </c>
      <c r="EK112" s="470">
        <f t="shared" si="61"/>
        <v>0</v>
      </c>
      <c r="EL112" s="470">
        <f t="shared" si="62"/>
        <v>0</v>
      </c>
      <c r="EM112" s="449">
        <f t="shared" si="63"/>
        <v>0</v>
      </c>
      <c r="EN112" s="460">
        <f t="shared" si="64"/>
        <v>0</v>
      </c>
      <c r="EO112" s="469">
        <f t="shared" si="65"/>
        <v>0</v>
      </c>
      <c r="EP112" s="471"/>
      <c r="EQ112" s="450"/>
      <c r="ER112" s="471"/>
      <c r="ES112" s="450"/>
      <c r="ET112" s="471"/>
      <c r="EU112" s="450"/>
      <c r="EV112" s="471"/>
      <c r="EW112" s="450"/>
      <c r="EX112" s="471"/>
      <c r="EY112" s="450"/>
      <c r="EZ112" s="471"/>
      <c r="FA112" s="450"/>
      <c r="FB112" s="471"/>
      <c r="FC112" s="450"/>
      <c r="FD112" s="471"/>
      <c r="FE112" s="450"/>
      <c r="FF112" s="471"/>
      <c r="FG112" s="450"/>
      <c r="FH112" s="472"/>
      <c r="FI112" s="450"/>
      <c r="FJ112" s="468">
        <f t="shared" si="66"/>
        <v>0</v>
      </c>
      <c r="FK112" s="469">
        <f t="shared" si="67"/>
        <v>0</v>
      </c>
      <c r="FL112" s="472"/>
      <c r="FM112" s="450"/>
      <c r="FN112" s="460">
        <f t="shared" si="68"/>
        <v>2208</v>
      </c>
      <c r="FO112" s="469">
        <f t="shared" si="69"/>
        <v>2374</v>
      </c>
    </row>
    <row r="113" spans="1:171" ht="15.75" x14ac:dyDescent="0.25">
      <c r="A113" s="828" t="s">
        <v>1074</v>
      </c>
      <c r="B113" s="835" t="s">
        <v>1262</v>
      </c>
      <c r="C113" s="839" t="s">
        <v>1278</v>
      </c>
      <c r="D113" s="718">
        <v>136473</v>
      </c>
      <c r="E113" s="821">
        <v>8</v>
      </c>
      <c r="F113" s="532">
        <v>612</v>
      </c>
      <c r="G113" s="831">
        <v>608</v>
      </c>
      <c r="H113" s="457">
        <v>0</v>
      </c>
      <c r="I113" s="831">
        <v>0</v>
      </c>
      <c r="J113" s="457">
        <v>1749</v>
      </c>
      <c r="K113" s="831">
        <v>1766</v>
      </c>
      <c r="L113" s="458">
        <f t="shared" si="48"/>
        <v>0</v>
      </c>
      <c r="M113" s="449">
        <f t="shared" si="49"/>
        <v>103.88235294117646</v>
      </c>
      <c r="N113" s="459">
        <v>0</v>
      </c>
      <c r="O113" s="459"/>
      <c r="P113" s="459"/>
      <c r="Q113" s="459"/>
      <c r="R113" s="460">
        <f t="shared" si="46"/>
        <v>0</v>
      </c>
      <c r="S113" s="831">
        <v>17</v>
      </c>
      <c r="T113" s="461"/>
      <c r="U113" s="461"/>
      <c r="V113" s="461"/>
      <c r="W113" s="462">
        <f t="shared" si="47"/>
        <v>0</v>
      </c>
      <c r="X113" s="463"/>
      <c r="Y113" s="457"/>
      <c r="Z113" s="832" t="s">
        <v>1242</v>
      </c>
      <c r="AA113" s="831">
        <v>15</v>
      </c>
      <c r="AB113" s="465"/>
      <c r="AC113" s="457"/>
      <c r="AD113" s="832" t="s">
        <v>1241</v>
      </c>
      <c r="AE113" s="831">
        <v>2</v>
      </c>
      <c r="AF113" s="465"/>
      <c r="AG113" s="457"/>
      <c r="AH113" s="466"/>
      <c r="AI113" s="392"/>
      <c r="AJ113" s="465"/>
      <c r="AK113" s="457"/>
      <c r="AL113" s="466"/>
      <c r="AM113" s="392"/>
      <c r="AN113" s="465"/>
      <c r="AO113" s="457"/>
      <c r="AP113" s="466"/>
      <c r="AQ113" s="392"/>
      <c r="AR113" s="460">
        <f t="shared" si="50"/>
        <v>0</v>
      </c>
      <c r="AS113" s="467">
        <f t="shared" si="51"/>
        <v>0</v>
      </c>
      <c r="AT113" s="447">
        <f t="shared" si="52"/>
        <v>2</v>
      </c>
      <c r="AU113" s="448">
        <f t="shared" si="53"/>
        <v>7.1099958176495193E-3</v>
      </c>
      <c r="AV113" s="457"/>
      <c r="AW113" s="450"/>
      <c r="AX113" s="463"/>
      <c r="AY113" s="457"/>
      <c r="AZ113" s="464"/>
      <c r="BA113" s="464"/>
      <c r="BB113" s="465"/>
      <c r="BC113" s="457"/>
      <c r="BD113" s="464"/>
      <c r="BE113" s="466"/>
      <c r="BF113" s="465"/>
      <c r="BG113" s="457"/>
      <c r="BH113" s="464"/>
      <c r="BI113" s="466"/>
      <c r="BJ113" s="465"/>
      <c r="BK113" s="457"/>
      <c r="BL113" s="464"/>
      <c r="BM113" s="466"/>
      <c r="BN113" s="465"/>
      <c r="BO113" s="457"/>
      <c r="BP113" s="464"/>
      <c r="BQ113" s="466"/>
      <c r="BR113" s="465"/>
      <c r="BS113" s="457"/>
      <c r="BT113" s="464"/>
      <c r="BU113" s="466"/>
      <c r="BV113" s="465"/>
      <c r="BW113" s="457"/>
      <c r="BX113" s="464"/>
      <c r="BY113" s="466"/>
      <c r="BZ113" s="465"/>
      <c r="CA113" s="457"/>
      <c r="CB113" s="464"/>
      <c r="CC113" s="466"/>
      <c r="CD113" s="465"/>
      <c r="CE113" s="457"/>
      <c r="CF113" s="464"/>
      <c r="CG113" s="466"/>
      <c r="CH113" s="465"/>
      <c r="CI113" s="457"/>
      <c r="CJ113" s="464"/>
      <c r="CK113" s="466"/>
      <c r="CL113" s="459"/>
      <c r="CM113" s="450"/>
      <c r="CN113" s="468">
        <f t="shared" si="54"/>
        <v>0</v>
      </c>
      <c r="CO113" s="468">
        <f t="shared" si="55"/>
        <v>0</v>
      </c>
      <c r="CP113" s="469">
        <f t="shared" si="56"/>
        <v>0</v>
      </c>
      <c r="CQ113" s="469">
        <f t="shared" si="57"/>
        <v>0</v>
      </c>
      <c r="CR113" s="463"/>
      <c r="CS113" s="457"/>
      <c r="CT113" s="464"/>
      <c r="CU113" s="464"/>
      <c r="CV113" s="465"/>
      <c r="CW113" s="457"/>
      <c r="CX113" s="464"/>
      <c r="CY113" s="466"/>
      <c r="CZ113" s="465"/>
      <c r="DA113" s="457"/>
      <c r="DB113" s="464"/>
      <c r="DC113" s="466"/>
      <c r="DD113" s="465"/>
      <c r="DE113" s="457"/>
      <c r="DF113" s="464"/>
      <c r="DG113" s="466"/>
      <c r="DH113" s="465"/>
      <c r="DI113" s="457"/>
      <c r="DJ113" s="464"/>
      <c r="DK113" s="466"/>
      <c r="DL113" s="465"/>
      <c r="DM113" s="457"/>
      <c r="DN113" s="464"/>
      <c r="DO113" s="466"/>
      <c r="DP113" s="465"/>
      <c r="DQ113" s="457"/>
      <c r="DR113" s="464"/>
      <c r="DS113" s="466"/>
      <c r="DT113" s="465"/>
      <c r="DU113" s="457"/>
      <c r="DV113" s="464"/>
      <c r="DW113" s="466"/>
      <c r="DX113" s="465"/>
      <c r="DY113" s="457"/>
      <c r="DZ113" s="464"/>
      <c r="EA113" s="466"/>
      <c r="EB113" s="465"/>
      <c r="EC113" s="457"/>
      <c r="ED113" s="464"/>
      <c r="EE113" s="466"/>
      <c r="EF113" s="459"/>
      <c r="EG113" s="450"/>
      <c r="EH113" s="460">
        <f t="shared" si="58"/>
        <v>0</v>
      </c>
      <c r="EI113" s="460">
        <f t="shared" si="59"/>
        <v>0</v>
      </c>
      <c r="EJ113" s="458">
        <f t="shared" si="60"/>
        <v>0</v>
      </c>
      <c r="EK113" s="470">
        <f t="shared" si="61"/>
        <v>0</v>
      </c>
      <c r="EL113" s="470">
        <f t="shared" si="62"/>
        <v>0</v>
      </c>
      <c r="EM113" s="449">
        <f t="shared" si="63"/>
        <v>0</v>
      </c>
      <c r="EN113" s="460">
        <f t="shared" si="64"/>
        <v>0</v>
      </c>
      <c r="EO113" s="469">
        <f t="shared" si="65"/>
        <v>0</v>
      </c>
      <c r="EP113" s="471"/>
      <c r="EQ113" s="450"/>
      <c r="ER113" s="471"/>
      <c r="ES113" s="450"/>
      <c r="ET113" s="471"/>
      <c r="EU113" s="450"/>
      <c r="EV113" s="471"/>
      <c r="EW113" s="450"/>
      <c r="EX113" s="471"/>
      <c r="EY113" s="450"/>
      <c r="EZ113" s="471"/>
      <c r="FA113" s="450"/>
      <c r="FB113" s="471"/>
      <c r="FC113" s="450"/>
      <c r="FD113" s="471"/>
      <c r="FE113" s="450"/>
      <c r="FF113" s="471"/>
      <c r="FG113" s="450"/>
      <c r="FH113" s="472"/>
      <c r="FI113" s="450"/>
      <c r="FJ113" s="468">
        <f t="shared" si="66"/>
        <v>0</v>
      </c>
      <c r="FK113" s="469">
        <f t="shared" si="67"/>
        <v>0</v>
      </c>
      <c r="FL113" s="472"/>
      <c r="FM113" s="450"/>
      <c r="FN113" s="460">
        <f t="shared" si="68"/>
        <v>2361</v>
      </c>
      <c r="FO113" s="469">
        <f t="shared" si="69"/>
        <v>2391</v>
      </c>
    </row>
    <row r="114" spans="1:171" ht="15.75" x14ac:dyDescent="0.25">
      <c r="A114" s="828" t="s">
        <v>1074</v>
      </c>
      <c r="B114" s="835" t="s">
        <v>1263</v>
      </c>
      <c r="C114" s="839" t="s">
        <v>1277</v>
      </c>
      <c r="D114" s="718">
        <v>136516</v>
      </c>
      <c r="E114" s="821">
        <v>8</v>
      </c>
      <c r="F114" s="532">
        <v>536</v>
      </c>
      <c r="G114" s="831">
        <v>506</v>
      </c>
      <c r="H114" s="457">
        <v>0</v>
      </c>
      <c r="I114" s="831">
        <v>0</v>
      </c>
      <c r="J114" s="457">
        <v>1287</v>
      </c>
      <c r="K114" s="831">
        <v>1569</v>
      </c>
      <c r="L114" s="458">
        <f t="shared" si="48"/>
        <v>58.5</v>
      </c>
      <c r="M114" s="449">
        <f t="shared" si="49"/>
        <v>28.017857142857142</v>
      </c>
      <c r="N114" s="459">
        <v>22</v>
      </c>
      <c r="O114" s="459"/>
      <c r="P114" s="459"/>
      <c r="Q114" s="459"/>
      <c r="R114" s="460">
        <f t="shared" si="46"/>
        <v>0</v>
      </c>
      <c r="S114" s="831">
        <v>56</v>
      </c>
      <c r="T114" s="461"/>
      <c r="U114" s="461"/>
      <c r="V114" s="461"/>
      <c r="W114" s="462">
        <f t="shared" si="47"/>
        <v>0</v>
      </c>
      <c r="X114" s="463" t="s">
        <v>1242</v>
      </c>
      <c r="Y114" s="457">
        <v>22</v>
      </c>
      <c r="Z114" s="832" t="s">
        <v>1242</v>
      </c>
      <c r="AA114" s="831">
        <v>56</v>
      </c>
      <c r="AB114" s="465"/>
      <c r="AC114" s="457"/>
      <c r="AD114" s="466"/>
      <c r="AE114" s="834"/>
      <c r="AF114" s="465"/>
      <c r="AG114" s="457"/>
      <c r="AH114" s="466"/>
      <c r="AI114" s="834"/>
      <c r="AJ114" s="465"/>
      <c r="AK114" s="457"/>
      <c r="AL114" s="466"/>
      <c r="AM114" s="834"/>
      <c r="AN114" s="465"/>
      <c r="AO114" s="457"/>
      <c r="AP114" s="466"/>
      <c r="AQ114" s="392"/>
      <c r="AR114" s="460">
        <f t="shared" si="50"/>
        <v>1</v>
      </c>
      <c r="AS114" s="467">
        <f t="shared" si="51"/>
        <v>1.1924119241192412E-2</v>
      </c>
      <c r="AT114" s="447">
        <f t="shared" si="52"/>
        <v>1</v>
      </c>
      <c r="AU114" s="448">
        <f t="shared" si="53"/>
        <v>2.6278742374472079E-2</v>
      </c>
      <c r="AV114" s="457"/>
      <c r="AW114" s="450"/>
      <c r="AX114" s="463"/>
      <c r="AY114" s="457"/>
      <c r="AZ114" s="464"/>
      <c r="BA114" s="464"/>
      <c r="BB114" s="465"/>
      <c r="BC114" s="457"/>
      <c r="BD114" s="464"/>
      <c r="BE114" s="466"/>
      <c r="BF114" s="465"/>
      <c r="BG114" s="457"/>
      <c r="BH114" s="464"/>
      <c r="BI114" s="466"/>
      <c r="BJ114" s="465"/>
      <c r="BK114" s="457"/>
      <c r="BL114" s="464"/>
      <c r="BM114" s="466"/>
      <c r="BN114" s="465"/>
      <c r="BO114" s="457"/>
      <c r="BP114" s="464"/>
      <c r="BQ114" s="466"/>
      <c r="BR114" s="465"/>
      <c r="BS114" s="457"/>
      <c r="BT114" s="464"/>
      <c r="BU114" s="466"/>
      <c r="BV114" s="465"/>
      <c r="BW114" s="457"/>
      <c r="BX114" s="464"/>
      <c r="BY114" s="466"/>
      <c r="BZ114" s="465"/>
      <c r="CA114" s="457"/>
      <c r="CB114" s="464"/>
      <c r="CC114" s="466"/>
      <c r="CD114" s="465"/>
      <c r="CE114" s="457"/>
      <c r="CF114" s="464"/>
      <c r="CG114" s="466"/>
      <c r="CH114" s="465"/>
      <c r="CI114" s="457"/>
      <c r="CJ114" s="464"/>
      <c r="CK114" s="466"/>
      <c r="CL114" s="459"/>
      <c r="CM114" s="450"/>
      <c r="CN114" s="468">
        <f t="shared" si="54"/>
        <v>0</v>
      </c>
      <c r="CO114" s="468">
        <f t="shared" si="55"/>
        <v>0</v>
      </c>
      <c r="CP114" s="469">
        <f t="shared" si="56"/>
        <v>0</v>
      </c>
      <c r="CQ114" s="469">
        <f t="shared" si="57"/>
        <v>0</v>
      </c>
      <c r="CR114" s="463"/>
      <c r="CS114" s="457"/>
      <c r="CT114" s="464"/>
      <c r="CU114" s="464"/>
      <c r="CV114" s="465"/>
      <c r="CW114" s="457"/>
      <c r="CX114" s="464"/>
      <c r="CY114" s="466"/>
      <c r="CZ114" s="465"/>
      <c r="DA114" s="457"/>
      <c r="DB114" s="464"/>
      <c r="DC114" s="466"/>
      <c r="DD114" s="465"/>
      <c r="DE114" s="457"/>
      <c r="DF114" s="464"/>
      <c r="DG114" s="466"/>
      <c r="DH114" s="465"/>
      <c r="DI114" s="457"/>
      <c r="DJ114" s="464"/>
      <c r="DK114" s="466"/>
      <c r="DL114" s="465"/>
      <c r="DM114" s="457"/>
      <c r="DN114" s="464"/>
      <c r="DO114" s="466"/>
      <c r="DP114" s="465"/>
      <c r="DQ114" s="457"/>
      <c r="DR114" s="464"/>
      <c r="DS114" s="466"/>
      <c r="DT114" s="465"/>
      <c r="DU114" s="457"/>
      <c r="DV114" s="464"/>
      <c r="DW114" s="466"/>
      <c r="DX114" s="465"/>
      <c r="DY114" s="457"/>
      <c r="DZ114" s="464"/>
      <c r="EA114" s="466"/>
      <c r="EB114" s="465"/>
      <c r="EC114" s="457"/>
      <c r="ED114" s="464"/>
      <c r="EE114" s="466"/>
      <c r="EF114" s="459"/>
      <c r="EG114" s="450"/>
      <c r="EH114" s="460">
        <f t="shared" si="58"/>
        <v>0</v>
      </c>
      <c r="EI114" s="460">
        <f t="shared" si="59"/>
        <v>0</v>
      </c>
      <c r="EJ114" s="458">
        <f t="shared" si="60"/>
        <v>0</v>
      </c>
      <c r="EK114" s="470">
        <f t="shared" si="61"/>
        <v>0</v>
      </c>
      <c r="EL114" s="470">
        <f t="shared" si="62"/>
        <v>0</v>
      </c>
      <c r="EM114" s="449">
        <f t="shared" si="63"/>
        <v>0</v>
      </c>
      <c r="EN114" s="460">
        <f t="shared" si="64"/>
        <v>0</v>
      </c>
      <c r="EO114" s="469">
        <f t="shared" si="65"/>
        <v>0</v>
      </c>
      <c r="EP114" s="471"/>
      <c r="EQ114" s="450"/>
      <c r="ER114" s="471"/>
      <c r="ES114" s="450"/>
      <c r="ET114" s="471"/>
      <c r="EU114" s="450"/>
      <c r="EV114" s="471"/>
      <c r="EW114" s="450"/>
      <c r="EX114" s="471"/>
      <c r="EY114" s="450"/>
      <c r="EZ114" s="471"/>
      <c r="FA114" s="450"/>
      <c r="FB114" s="471"/>
      <c r="FC114" s="450"/>
      <c r="FD114" s="471"/>
      <c r="FE114" s="450"/>
      <c r="FF114" s="471"/>
      <c r="FG114" s="450"/>
      <c r="FH114" s="472"/>
      <c r="FI114" s="450"/>
      <c r="FJ114" s="468">
        <f t="shared" si="66"/>
        <v>0</v>
      </c>
      <c r="FK114" s="469">
        <f t="shared" si="67"/>
        <v>0</v>
      </c>
      <c r="FL114" s="472"/>
      <c r="FM114" s="450"/>
      <c r="FN114" s="460">
        <f t="shared" si="68"/>
        <v>1845</v>
      </c>
      <c r="FO114" s="469">
        <f t="shared" si="69"/>
        <v>2131</v>
      </c>
    </row>
    <row r="115" spans="1:171" ht="15.75" x14ac:dyDescent="0.25">
      <c r="A115" s="828" t="s">
        <v>1074</v>
      </c>
      <c r="B115" s="835" t="s">
        <v>1264</v>
      </c>
      <c r="C115" s="839" t="s">
        <v>1278</v>
      </c>
      <c r="D115" s="718">
        <v>137096</v>
      </c>
      <c r="E115" s="821">
        <v>8</v>
      </c>
      <c r="F115" s="532">
        <v>1388</v>
      </c>
      <c r="G115" s="831">
        <v>524</v>
      </c>
      <c r="H115" s="457">
        <v>42</v>
      </c>
      <c r="I115" s="831">
        <v>32</v>
      </c>
      <c r="J115" s="457">
        <v>2126</v>
      </c>
      <c r="K115" s="831">
        <v>2912</v>
      </c>
      <c r="L115" s="458">
        <f t="shared" si="48"/>
        <v>0</v>
      </c>
      <c r="M115" s="449">
        <f t="shared" si="49"/>
        <v>44.121212121212125</v>
      </c>
      <c r="N115" s="459">
        <v>0</v>
      </c>
      <c r="O115" s="459"/>
      <c r="P115" s="459"/>
      <c r="Q115" s="459"/>
      <c r="R115" s="460">
        <f t="shared" si="46"/>
        <v>0</v>
      </c>
      <c r="S115" s="831">
        <v>66</v>
      </c>
      <c r="T115" s="461"/>
      <c r="U115" s="461"/>
      <c r="V115" s="461"/>
      <c r="W115" s="462">
        <f t="shared" si="47"/>
        <v>0</v>
      </c>
      <c r="X115" s="463" t="s">
        <v>1241</v>
      </c>
      <c r="Y115" s="457">
        <v>18</v>
      </c>
      <c r="Z115" s="832" t="s">
        <v>1241</v>
      </c>
      <c r="AA115" s="831">
        <v>66</v>
      </c>
      <c r="AB115" s="465"/>
      <c r="AC115" s="457"/>
      <c r="AD115" s="466"/>
      <c r="AE115" s="392"/>
      <c r="AF115" s="465"/>
      <c r="AG115" s="457"/>
      <c r="AH115" s="466"/>
      <c r="AI115" s="392"/>
      <c r="AJ115" s="465"/>
      <c r="AK115" s="457"/>
      <c r="AL115" s="466"/>
      <c r="AM115" s="834"/>
      <c r="AN115" s="465"/>
      <c r="AO115" s="457"/>
      <c r="AP115" s="466"/>
      <c r="AQ115" s="392"/>
      <c r="AR115" s="460">
        <f t="shared" si="50"/>
        <v>1</v>
      </c>
      <c r="AS115" s="467">
        <f t="shared" si="51"/>
        <v>0</v>
      </c>
      <c r="AT115" s="447">
        <f t="shared" si="52"/>
        <v>1</v>
      </c>
      <c r="AU115" s="448">
        <f t="shared" si="53"/>
        <v>1.8675721561969439E-2</v>
      </c>
      <c r="AV115" s="457"/>
      <c r="AW115" s="450"/>
      <c r="AX115" s="463"/>
      <c r="AY115" s="457"/>
      <c r="AZ115" s="464"/>
      <c r="BA115" s="464"/>
      <c r="BB115" s="465"/>
      <c r="BC115" s="457"/>
      <c r="BD115" s="464"/>
      <c r="BE115" s="466"/>
      <c r="BF115" s="465"/>
      <c r="BG115" s="457"/>
      <c r="BH115" s="464"/>
      <c r="BI115" s="466"/>
      <c r="BJ115" s="465"/>
      <c r="BK115" s="457"/>
      <c r="BL115" s="464"/>
      <c r="BM115" s="466"/>
      <c r="BN115" s="465"/>
      <c r="BO115" s="457"/>
      <c r="BP115" s="464"/>
      <c r="BQ115" s="466"/>
      <c r="BR115" s="465"/>
      <c r="BS115" s="457"/>
      <c r="BT115" s="464"/>
      <c r="BU115" s="466"/>
      <c r="BV115" s="465"/>
      <c r="BW115" s="457"/>
      <c r="BX115" s="464"/>
      <c r="BY115" s="466"/>
      <c r="BZ115" s="465"/>
      <c r="CA115" s="457"/>
      <c r="CB115" s="464"/>
      <c r="CC115" s="466"/>
      <c r="CD115" s="465"/>
      <c r="CE115" s="457"/>
      <c r="CF115" s="464"/>
      <c r="CG115" s="466"/>
      <c r="CH115" s="465"/>
      <c r="CI115" s="457"/>
      <c r="CJ115" s="464"/>
      <c r="CK115" s="466"/>
      <c r="CL115" s="459"/>
      <c r="CM115" s="450"/>
      <c r="CN115" s="468">
        <f t="shared" si="54"/>
        <v>0</v>
      </c>
      <c r="CO115" s="468">
        <f t="shared" si="55"/>
        <v>0</v>
      </c>
      <c r="CP115" s="469">
        <f t="shared" si="56"/>
        <v>0</v>
      </c>
      <c r="CQ115" s="469">
        <f t="shared" si="57"/>
        <v>0</v>
      </c>
      <c r="CR115" s="463"/>
      <c r="CS115" s="457"/>
      <c r="CT115" s="464"/>
      <c r="CU115" s="464"/>
      <c r="CV115" s="465"/>
      <c r="CW115" s="457"/>
      <c r="CX115" s="464"/>
      <c r="CY115" s="466"/>
      <c r="CZ115" s="465"/>
      <c r="DA115" s="457"/>
      <c r="DB115" s="464"/>
      <c r="DC115" s="466"/>
      <c r="DD115" s="465"/>
      <c r="DE115" s="457"/>
      <c r="DF115" s="464"/>
      <c r="DG115" s="466"/>
      <c r="DH115" s="465"/>
      <c r="DI115" s="457"/>
      <c r="DJ115" s="464"/>
      <c r="DK115" s="466"/>
      <c r="DL115" s="465"/>
      <c r="DM115" s="457"/>
      <c r="DN115" s="464"/>
      <c r="DO115" s="466"/>
      <c r="DP115" s="465"/>
      <c r="DQ115" s="457"/>
      <c r="DR115" s="464"/>
      <c r="DS115" s="466"/>
      <c r="DT115" s="465"/>
      <c r="DU115" s="457"/>
      <c r="DV115" s="464"/>
      <c r="DW115" s="466"/>
      <c r="DX115" s="465"/>
      <c r="DY115" s="457"/>
      <c r="DZ115" s="464"/>
      <c r="EA115" s="466"/>
      <c r="EB115" s="465"/>
      <c r="EC115" s="457"/>
      <c r="ED115" s="464"/>
      <c r="EE115" s="466"/>
      <c r="EF115" s="459"/>
      <c r="EG115" s="450"/>
      <c r="EH115" s="460">
        <f t="shared" si="58"/>
        <v>0</v>
      </c>
      <c r="EI115" s="460">
        <f t="shared" si="59"/>
        <v>0</v>
      </c>
      <c r="EJ115" s="458">
        <f t="shared" si="60"/>
        <v>0</v>
      </c>
      <c r="EK115" s="470">
        <f t="shared" si="61"/>
        <v>0</v>
      </c>
      <c r="EL115" s="470">
        <f t="shared" si="62"/>
        <v>0</v>
      </c>
      <c r="EM115" s="449">
        <f t="shared" si="63"/>
        <v>0</v>
      </c>
      <c r="EN115" s="460">
        <f t="shared" si="64"/>
        <v>0</v>
      </c>
      <c r="EO115" s="469">
        <f t="shared" si="65"/>
        <v>0</v>
      </c>
      <c r="EP115" s="471"/>
      <c r="EQ115" s="450"/>
      <c r="ER115" s="471"/>
      <c r="ES115" s="450"/>
      <c r="ET115" s="471"/>
      <c r="EU115" s="450"/>
      <c r="EV115" s="471"/>
      <c r="EW115" s="450"/>
      <c r="EX115" s="471"/>
      <c r="EY115" s="450"/>
      <c r="EZ115" s="471"/>
      <c r="FA115" s="450"/>
      <c r="FB115" s="471"/>
      <c r="FC115" s="450"/>
      <c r="FD115" s="471"/>
      <c r="FE115" s="450"/>
      <c r="FF115" s="471"/>
      <c r="FG115" s="450"/>
      <c r="FH115" s="472"/>
      <c r="FI115" s="450"/>
      <c r="FJ115" s="468">
        <f t="shared" si="66"/>
        <v>0</v>
      </c>
      <c r="FK115" s="469">
        <f t="shared" si="67"/>
        <v>0</v>
      </c>
      <c r="FL115" s="472"/>
      <c r="FM115" s="450"/>
      <c r="FN115" s="460">
        <f t="shared" si="68"/>
        <v>3556</v>
      </c>
      <c r="FO115" s="469">
        <f t="shared" si="69"/>
        <v>3534</v>
      </c>
    </row>
    <row r="116" spans="1:171" ht="15.75" x14ac:dyDescent="0.25">
      <c r="A116" s="828" t="s">
        <v>1074</v>
      </c>
      <c r="B116" s="835" t="s">
        <v>1265</v>
      </c>
      <c r="C116" s="839" t="s">
        <v>1278</v>
      </c>
      <c r="D116" s="718">
        <v>137209</v>
      </c>
      <c r="E116" s="821">
        <v>8</v>
      </c>
      <c r="F116" s="532">
        <v>221</v>
      </c>
      <c r="G116" s="831">
        <v>1683</v>
      </c>
      <c r="H116" s="457">
        <v>22</v>
      </c>
      <c r="I116" s="831">
        <v>37</v>
      </c>
      <c r="J116" s="457">
        <v>730</v>
      </c>
      <c r="K116" s="831">
        <v>2811</v>
      </c>
      <c r="L116" s="458">
        <f t="shared" si="48"/>
        <v>0</v>
      </c>
      <c r="M116" s="449">
        <f t="shared" si="49"/>
        <v>165.35294117647058</v>
      </c>
      <c r="N116" s="459">
        <v>0</v>
      </c>
      <c r="O116" s="459"/>
      <c r="P116" s="459"/>
      <c r="Q116" s="459"/>
      <c r="R116" s="460">
        <f t="shared" si="46"/>
        <v>0</v>
      </c>
      <c r="S116" s="831">
        <v>17</v>
      </c>
      <c r="T116" s="461"/>
      <c r="U116" s="461"/>
      <c r="V116" s="461"/>
      <c r="W116" s="462">
        <f t="shared" si="47"/>
        <v>0</v>
      </c>
      <c r="X116" s="463"/>
      <c r="Y116" s="457"/>
      <c r="Z116" s="832" t="s">
        <v>1253</v>
      </c>
      <c r="AA116" s="831">
        <v>17</v>
      </c>
      <c r="AB116" s="465"/>
      <c r="AC116" s="457"/>
      <c r="AD116" s="466"/>
      <c r="AE116" s="834"/>
      <c r="AF116" s="465"/>
      <c r="AG116" s="457"/>
      <c r="AH116" s="466"/>
      <c r="AI116" s="834"/>
      <c r="AJ116" s="465"/>
      <c r="AK116" s="457"/>
      <c r="AL116" s="466"/>
      <c r="AM116" s="834"/>
      <c r="AN116" s="465"/>
      <c r="AO116" s="457"/>
      <c r="AP116" s="466"/>
      <c r="AQ116" s="392"/>
      <c r="AR116" s="460">
        <f t="shared" si="50"/>
        <v>0</v>
      </c>
      <c r="AS116" s="467">
        <f t="shared" si="51"/>
        <v>0</v>
      </c>
      <c r="AT116" s="447">
        <f t="shared" si="52"/>
        <v>1</v>
      </c>
      <c r="AU116" s="448">
        <f t="shared" si="53"/>
        <v>3.7379067722075636E-3</v>
      </c>
      <c r="AV116" s="457"/>
      <c r="AW116" s="450"/>
      <c r="AX116" s="463"/>
      <c r="AY116" s="457"/>
      <c r="AZ116" s="464"/>
      <c r="BA116" s="464"/>
      <c r="BB116" s="465"/>
      <c r="BC116" s="457"/>
      <c r="BD116" s="464"/>
      <c r="BE116" s="466"/>
      <c r="BF116" s="465"/>
      <c r="BG116" s="457"/>
      <c r="BH116" s="464"/>
      <c r="BI116" s="466"/>
      <c r="BJ116" s="465"/>
      <c r="BK116" s="457"/>
      <c r="BL116" s="464"/>
      <c r="BM116" s="466"/>
      <c r="BN116" s="465"/>
      <c r="BO116" s="457"/>
      <c r="BP116" s="464"/>
      <c r="BQ116" s="466"/>
      <c r="BR116" s="465"/>
      <c r="BS116" s="457"/>
      <c r="BT116" s="464"/>
      <c r="BU116" s="466"/>
      <c r="BV116" s="465"/>
      <c r="BW116" s="457"/>
      <c r="BX116" s="464"/>
      <c r="BY116" s="466"/>
      <c r="BZ116" s="465"/>
      <c r="CA116" s="457"/>
      <c r="CB116" s="464"/>
      <c r="CC116" s="466"/>
      <c r="CD116" s="465"/>
      <c r="CE116" s="457"/>
      <c r="CF116" s="464"/>
      <c r="CG116" s="466"/>
      <c r="CH116" s="465"/>
      <c r="CI116" s="457"/>
      <c r="CJ116" s="464"/>
      <c r="CK116" s="466"/>
      <c r="CL116" s="459"/>
      <c r="CM116" s="450"/>
      <c r="CN116" s="468">
        <f t="shared" si="54"/>
        <v>0</v>
      </c>
      <c r="CO116" s="468">
        <f t="shared" si="55"/>
        <v>0</v>
      </c>
      <c r="CP116" s="469">
        <f t="shared" si="56"/>
        <v>0</v>
      </c>
      <c r="CQ116" s="469">
        <f t="shared" si="57"/>
        <v>0</v>
      </c>
      <c r="CR116" s="463"/>
      <c r="CS116" s="457"/>
      <c r="CT116" s="464"/>
      <c r="CU116" s="464"/>
      <c r="CV116" s="465"/>
      <c r="CW116" s="457"/>
      <c r="CX116" s="464"/>
      <c r="CY116" s="466"/>
      <c r="CZ116" s="465"/>
      <c r="DA116" s="457"/>
      <c r="DB116" s="464"/>
      <c r="DC116" s="466"/>
      <c r="DD116" s="465"/>
      <c r="DE116" s="457"/>
      <c r="DF116" s="464"/>
      <c r="DG116" s="466"/>
      <c r="DH116" s="465"/>
      <c r="DI116" s="457"/>
      <c r="DJ116" s="464"/>
      <c r="DK116" s="466"/>
      <c r="DL116" s="465"/>
      <c r="DM116" s="457"/>
      <c r="DN116" s="464"/>
      <c r="DO116" s="466"/>
      <c r="DP116" s="465"/>
      <c r="DQ116" s="457"/>
      <c r="DR116" s="464"/>
      <c r="DS116" s="466"/>
      <c r="DT116" s="465"/>
      <c r="DU116" s="457"/>
      <c r="DV116" s="464"/>
      <c r="DW116" s="466"/>
      <c r="DX116" s="465"/>
      <c r="DY116" s="457"/>
      <c r="DZ116" s="464"/>
      <c r="EA116" s="466"/>
      <c r="EB116" s="465"/>
      <c r="EC116" s="457"/>
      <c r="ED116" s="464"/>
      <c r="EE116" s="466"/>
      <c r="EF116" s="459"/>
      <c r="EG116" s="450"/>
      <c r="EH116" s="460">
        <f t="shared" si="58"/>
        <v>0</v>
      </c>
      <c r="EI116" s="460">
        <f t="shared" si="59"/>
        <v>0</v>
      </c>
      <c r="EJ116" s="458">
        <f t="shared" si="60"/>
        <v>0</v>
      </c>
      <c r="EK116" s="470">
        <f t="shared" si="61"/>
        <v>0</v>
      </c>
      <c r="EL116" s="470">
        <f t="shared" si="62"/>
        <v>0</v>
      </c>
      <c r="EM116" s="449">
        <f t="shared" si="63"/>
        <v>0</v>
      </c>
      <c r="EN116" s="460">
        <f t="shared" si="64"/>
        <v>0</v>
      </c>
      <c r="EO116" s="469">
        <f t="shared" si="65"/>
        <v>0</v>
      </c>
      <c r="EP116" s="471"/>
      <c r="EQ116" s="450"/>
      <c r="ER116" s="471"/>
      <c r="ES116" s="450"/>
      <c r="ET116" s="471"/>
      <c r="EU116" s="450"/>
      <c r="EV116" s="471"/>
      <c r="EW116" s="450"/>
      <c r="EX116" s="471"/>
      <c r="EY116" s="450"/>
      <c r="EZ116" s="471"/>
      <c r="FA116" s="450"/>
      <c r="FB116" s="471"/>
      <c r="FC116" s="450"/>
      <c r="FD116" s="471"/>
      <c r="FE116" s="450"/>
      <c r="FF116" s="471"/>
      <c r="FG116" s="450"/>
      <c r="FH116" s="472"/>
      <c r="FI116" s="450"/>
      <c r="FJ116" s="468">
        <f t="shared" si="66"/>
        <v>0</v>
      </c>
      <c r="FK116" s="469">
        <f t="shared" si="67"/>
        <v>0</v>
      </c>
      <c r="FL116" s="472"/>
      <c r="FM116" s="450"/>
      <c r="FN116" s="460">
        <f t="shared" si="68"/>
        <v>973</v>
      </c>
      <c r="FO116" s="469">
        <f t="shared" si="69"/>
        <v>4548</v>
      </c>
    </row>
    <row r="117" spans="1:171" ht="15.75" x14ac:dyDescent="0.25">
      <c r="A117" s="828" t="s">
        <v>1074</v>
      </c>
      <c r="B117" s="835" t="s">
        <v>1266</v>
      </c>
      <c r="C117" s="839" t="s">
        <v>1277</v>
      </c>
      <c r="D117" s="718">
        <v>135391</v>
      </c>
      <c r="E117" s="821">
        <v>8</v>
      </c>
      <c r="F117" s="532">
        <v>54</v>
      </c>
      <c r="G117" s="831">
        <v>65</v>
      </c>
      <c r="H117" s="457">
        <v>0</v>
      </c>
      <c r="I117" s="831">
        <v>0</v>
      </c>
      <c r="J117" s="457">
        <v>1646</v>
      </c>
      <c r="K117" s="831">
        <v>1714</v>
      </c>
      <c r="L117" s="458">
        <f t="shared" si="48"/>
        <v>49.878787878787875</v>
      </c>
      <c r="M117" s="449">
        <f t="shared" si="49"/>
        <v>38.954545454545453</v>
      </c>
      <c r="N117" s="459">
        <v>33</v>
      </c>
      <c r="O117" s="459"/>
      <c r="P117" s="459"/>
      <c r="Q117" s="459"/>
      <c r="R117" s="460">
        <f t="shared" si="46"/>
        <v>0</v>
      </c>
      <c r="S117" s="831">
        <v>44</v>
      </c>
      <c r="T117" s="461"/>
      <c r="U117" s="461"/>
      <c r="V117" s="461"/>
      <c r="W117" s="462">
        <f t="shared" si="47"/>
        <v>0</v>
      </c>
      <c r="X117" s="463" t="s">
        <v>1241</v>
      </c>
      <c r="Y117" s="457">
        <v>33</v>
      </c>
      <c r="Z117" s="832" t="s">
        <v>1241</v>
      </c>
      <c r="AA117" s="831">
        <v>44</v>
      </c>
      <c r="AB117" s="465"/>
      <c r="AC117" s="457"/>
      <c r="AD117" s="466"/>
      <c r="AE117" s="834"/>
      <c r="AF117" s="465"/>
      <c r="AG117" s="457"/>
      <c r="AH117" s="466"/>
      <c r="AI117" s="834"/>
      <c r="AJ117" s="465"/>
      <c r="AK117" s="457"/>
      <c r="AL117" s="466"/>
      <c r="AM117" s="834"/>
      <c r="AN117" s="465"/>
      <c r="AO117" s="457"/>
      <c r="AP117" s="466"/>
      <c r="AQ117" s="392"/>
      <c r="AR117" s="460">
        <f t="shared" si="50"/>
        <v>1</v>
      </c>
      <c r="AS117" s="467">
        <f t="shared" si="51"/>
        <v>1.9042123485285632E-2</v>
      </c>
      <c r="AT117" s="447">
        <f t="shared" si="52"/>
        <v>1</v>
      </c>
      <c r="AU117" s="448">
        <f t="shared" si="53"/>
        <v>2.4136039495337356E-2</v>
      </c>
      <c r="AV117" s="457"/>
      <c r="AW117" s="450"/>
      <c r="AX117" s="463"/>
      <c r="AY117" s="457"/>
      <c r="AZ117" s="464"/>
      <c r="BA117" s="464"/>
      <c r="BB117" s="465"/>
      <c r="BC117" s="457"/>
      <c r="BD117" s="464"/>
      <c r="BE117" s="466"/>
      <c r="BF117" s="465"/>
      <c r="BG117" s="457"/>
      <c r="BH117" s="464"/>
      <c r="BI117" s="466"/>
      <c r="BJ117" s="465"/>
      <c r="BK117" s="457"/>
      <c r="BL117" s="464"/>
      <c r="BM117" s="466"/>
      <c r="BN117" s="465"/>
      <c r="BO117" s="457"/>
      <c r="BP117" s="464"/>
      <c r="BQ117" s="466"/>
      <c r="BR117" s="465"/>
      <c r="BS117" s="457"/>
      <c r="BT117" s="464"/>
      <c r="BU117" s="466"/>
      <c r="BV117" s="465"/>
      <c r="BW117" s="457"/>
      <c r="BX117" s="464"/>
      <c r="BY117" s="466"/>
      <c r="BZ117" s="465"/>
      <c r="CA117" s="457"/>
      <c r="CB117" s="464"/>
      <c r="CC117" s="466"/>
      <c r="CD117" s="465"/>
      <c r="CE117" s="457"/>
      <c r="CF117" s="464"/>
      <c r="CG117" s="466"/>
      <c r="CH117" s="465"/>
      <c r="CI117" s="457"/>
      <c r="CJ117" s="464"/>
      <c r="CK117" s="466"/>
      <c r="CL117" s="459"/>
      <c r="CM117" s="450"/>
      <c r="CN117" s="468">
        <f t="shared" si="54"/>
        <v>0</v>
      </c>
      <c r="CO117" s="468">
        <f t="shared" si="55"/>
        <v>0</v>
      </c>
      <c r="CP117" s="469">
        <f t="shared" si="56"/>
        <v>0</v>
      </c>
      <c r="CQ117" s="469">
        <f t="shared" si="57"/>
        <v>0</v>
      </c>
      <c r="CR117" s="463"/>
      <c r="CS117" s="457"/>
      <c r="CT117" s="464"/>
      <c r="CU117" s="464"/>
      <c r="CV117" s="465"/>
      <c r="CW117" s="457"/>
      <c r="CX117" s="464"/>
      <c r="CY117" s="466"/>
      <c r="CZ117" s="465"/>
      <c r="DA117" s="457"/>
      <c r="DB117" s="464"/>
      <c r="DC117" s="466"/>
      <c r="DD117" s="465"/>
      <c r="DE117" s="457"/>
      <c r="DF117" s="464"/>
      <c r="DG117" s="466"/>
      <c r="DH117" s="465"/>
      <c r="DI117" s="457"/>
      <c r="DJ117" s="464"/>
      <c r="DK117" s="466"/>
      <c r="DL117" s="465"/>
      <c r="DM117" s="457"/>
      <c r="DN117" s="464"/>
      <c r="DO117" s="466"/>
      <c r="DP117" s="465"/>
      <c r="DQ117" s="457"/>
      <c r="DR117" s="464"/>
      <c r="DS117" s="466"/>
      <c r="DT117" s="465"/>
      <c r="DU117" s="457"/>
      <c r="DV117" s="464"/>
      <c r="DW117" s="466"/>
      <c r="DX117" s="465"/>
      <c r="DY117" s="457"/>
      <c r="DZ117" s="464"/>
      <c r="EA117" s="466"/>
      <c r="EB117" s="465"/>
      <c r="EC117" s="457"/>
      <c r="ED117" s="464"/>
      <c r="EE117" s="466"/>
      <c r="EF117" s="459"/>
      <c r="EG117" s="450"/>
      <c r="EH117" s="460">
        <f t="shared" si="58"/>
        <v>0</v>
      </c>
      <c r="EI117" s="460">
        <f t="shared" si="59"/>
        <v>0</v>
      </c>
      <c r="EJ117" s="458">
        <f t="shared" si="60"/>
        <v>0</v>
      </c>
      <c r="EK117" s="470">
        <f t="shared" si="61"/>
        <v>0</v>
      </c>
      <c r="EL117" s="470">
        <f t="shared" si="62"/>
        <v>0</v>
      </c>
      <c r="EM117" s="449">
        <f t="shared" si="63"/>
        <v>0</v>
      </c>
      <c r="EN117" s="460">
        <f t="shared" si="64"/>
        <v>0</v>
      </c>
      <c r="EO117" s="469">
        <f t="shared" si="65"/>
        <v>0</v>
      </c>
      <c r="EP117" s="471"/>
      <c r="EQ117" s="450"/>
      <c r="ER117" s="471"/>
      <c r="ES117" s="450"/>
      <c r="ET117" s="471"/>
      <c r="EU117" s="450"/>
      <c r="EV117" s="471"/>
      <c r="EW117" s="450"/>
      <c r="EX117" s="471"/>
      <c r="EY117" s="450"/>
      <c r="EZ117" s="471"/>
      <c r="FA117" s="450"/>
      <c r="FB117" s="471"/>
      <c r="FC117" s="450"/>
      <c r="FD117" s="471"/>
      <c r="FE117" s="450"/>
      <c r="FF117" s="471"/>
      <c r="FG117" s="450"/>
      <c r="FH117" s="472"/>
      <c r="FI117" s="450"/>
      <c r="FJ117" s="468">
        <f t="shared" si="66"/>
        <v>0</v>
      </c>
      <c r="FK117" s="469">
        <f t="shared" si="67"/>
        <v>0</v>
      </c>
      <c r="FL117" s="472"/>
      <c r="FM117" s="450"/>
      <c r="FN117" s="460">
        <f t="shared" si="68"/>
        <v>1733</v>
      </c>
      <c r="FO117" s="469">
        <f t="shared" si="69"/>
        <v>1823</v>
      </c>
    </row>
    <row r="118" spans="1:171" ht="15.75" x14ac:dyDescent="0.25">
      <c r="A118" s="828" t="s">
        <v>1074</v>
      </c>
      <c r="B118" s="835" t="s">
        <v>1267</v>
      </c>
      <c r="C118" s="836"/>
      <c r="D118" s="718">
        <v>137759</v>
      </c>
      <c r="E118" s="821">
        <v>8</v>
      </c>
      <c r="F118" s="532">
        <v>412</v>
      </c>
      <c r="G118" s="831">
        <v>478</v>
      </c>
      <c r="H118" s="457">
        <v>10</v>
      </c>
      <c r="I118" s="831">
        <v>5</v>
      </c>
      <c r="J118" s="457">
        <v>2657</v>
      </c>
      <c r="K118" s="831">
        <v>3278</v>
      </c>
      <c r="L118" s="458">
        <f t="shared" si="48"/>
        <v>0</v>
      </c>
      <c r="M118" s="449">
        <f t="shared" si="49"/>
        <v>0</v>
      </c>
      <c r="N118" s="459">
        <v>0</v>
      </c>
      <c r="O118" s="459"/>
      <c r="P118" s="459"/>
      <c r="Q118" s="459"/>
      <c r="R118" s="460">
        <f t="shared" si="46"/>
        <v>0</v>
      </c>
      <c r="S118" s="831">
        <v>0</v>
      </c>
      <c r="T118" s="461"/>
      <c r="U118" s="461"/>
      <c r="V118" s="461"/>
      <c r="W118" s="462">
        <f t="shared" si="47"/>
        <v>0</v>
      </c>
      <c r="X118" s="463"/>
      <c r="Y118" s="457"/>
      <c r="Z118" s="466"/>
      <c r="AA118" s="392"/>
      <c r="AB118" s="465"/>
      <c r="AC118" s="457"/>
      <c r="AD118" s="466"/>
      <c r="AE118" s="392"/>
      <c r="AF118" s="465"/>
      <c r="AG118" s="457"/>
      <c r="AH118" s="466"/>
      <c r="AI118" s="834"/>
      <c r="AJ118" s="465"/>
      <c r="AK118" s="457"/>
      <c r="AL118" s="466"/>
      <c r="AM118" s="834"/>
      <c r="AN118" s="465"/>
      <c r="AO118" s="457"/>
      <c r="AP118" s="466"/>
      <c r="AQ118" s="392"/>
      <c r="AR118" s="460">
        <f t="shared" si="50"/>
        <v>0</v>
      </c>
      <c r="AS118" s="467">
        <f t="shared" si="51"/>
        <v>0</v>
      </c>
      <c r="AT118" s="447">
        <f t="shared" si="52"/>
        <v>0</v>
      </c>
      <c r="AU118" s="448">
        <f t="shared" si="53"/>
        <v>0</v>
      </c>
      <c r="AV118" s="457"/>
      <c r="AW118" s="450"/>
      <c r="AX118" s="463"/>
      <c r="AY118" s="457"/>
      <c r="AZ118" s="464"/>
      <c r="BA118" s="464"/>
      <c r="BB118" s="465"/>
      <c r="BC118" s="457"/>
      <c r="BD118" s="464"/>
      <c r="BE118" s="466"/>
      <c r="BF118" s="465"/>
      <c r="BG118" s="457"/>
      <c r="BH118" s="464"/>
      <c r="BI118" s="466"/>
      <c r="BJ118" s="465"/>
      <c r="BK118" s="457"/>
      <c r="BL118" s="464"/>
      <c r="BM118" s="466"/>
      <c r="BN118" s="465"/>
      <c r="BO118" s="457"/>
      <c r="BP118" s="464"/>
      <c r="BQ118" s="466"/>
      <c r="BR118" s="465"/>
      <c r="BS118" s="457"/>
      <c r="BT118" s="464"/>
      <c r="BU118" s="466"/>
      <c r="BV118" s="465"/>
      <c r="BW118" s="457"/>
      <c r="BX118" s="464"/>
      <c r="BY118" s="466"/>
      <c r="BZ118" s="465"/>
      <c r="CA118" s="457"/>
      <c r="CB118" s="464"/>
      <c r="CC118" s="466"/>
      <c r="CD118" s="465"/>
      <c r="CE118" s="457"/>
      <c r="CF118" s="464"/>
      <c r="CG118" s="466"/>
      <c r="CH118" s="465"/>
      <c r="CI118" s="457"/>
      <c r="CJ118" s="464"/>
      <c r="CK118" s="466"/>
      <c r="CL118" s="459"/>
      <c r="CM118" s="450"/>
      <c r="CN118" s="468">
        <f t="shared" si="54"/>
        <v>0</v>
      </c>
      <c r="CO118" s="468">
        <f t="shared" si="55"/>
        <v>0</v>
      </c>
      <c r="CP118" s="469">
        <f t="shared" si="56"/>
        <v>0</v>
      </c>
      <c r="CQ118" s="469">
        <f t="shared" si="57"/>
        <v>0</v>
      </c>
      <c r="CR118" s="463"/>
      <c r="CS118" s="457"/>
      <c r="CT118" s="464"/>
      <c r="CU118" s="464"/>
      <c r="CV118" s="465"/>
      <c r="CW118" s="457"/>
      <c r="CX118" s="464"/>
      <c r="CY118" s="466"/>
      <c r="CZ118" s="465"/>
      <c r="DA118" s="457"/>
      <c r="DB118" s="464"/>
      <c r="DC118" s="466"/>
      <c r="DD118" s="465"/>
      <c r="DE118" s="457"/>
      <c r="DF118" s="464"/>
      <c r="DG118" s="466"/>
      <c r="DH118" s="465"/>
      <c r="DI118" s="457"/>
      <c r="DJ118" s="464"/>
      <c r="DK118" s="466"/>
      <c r="DL118" s="465"/>
      <c r="DM118" s="457"/>
      <c r="DN118" s="464"/>
      <c r="DO118" s="466"/>
      <c r="DP118" s="465"/>
      <c r="DQ118" s="457"/>
      <c r="DR118" s="464"/>
      <c r="DS118" s="466"/>
      <c r="DT118" s="465"/>
      <c r="DU118" s="457"/>
      <c r="DV118" s="464"/>
      <c r="DW118" s="466"/>
      <c r="DX118" s="465"/>
      <c r="DY118" s="457"/>
      <c r="DZ118" s="464"/>
      <c r="EA118" s="466"/>
      <c r="EB118" s="465"/>
      <c r="EC118" s="457"/>
      <c r="ED118" s="464"/>
      <c r="EE118" s="466"/>
      <c r="EF118" s="459"/>
      <c r="EG118" s="450"/>
      <c r="EH118" s="460">
        <f t="shared" si="58"/>
        <v>0</v>
      </c>
      <c r="EI118" s="460">
        <f t="shared" si="59"/>
        <v>0</v>
      </c>
      <c r="EJ118" s="458">
        <f t="shared" si="60"/>
        <v>0</v>
      </c>
      <c r="EK118" s="470">
        <f t="shared" si="61"/>
        <v>0</v>
      </c>
      <c r="EL118" s="470">
        <f t="shared" si="62"/>
        <v>0</v>
      </c>
      <c r="EM118" s="449">
        <f t="shared" si="63"/>
        <v>0</v>
      </c>
      <c r="EN118" s="460">
        <f t="shared" si="64"/>
        <v>0</v>
      </c>
      <c r="EO118" s="469">
        <f t="shared" si="65"/>
        <v>0</v>
      </c>
      <c r="EP118" s="471"/>
      <c r="EQ118" s="450"/>
      <c r="ER118" s="471"/>
      <c r="ES118" s="450"/>
      <c r="ET118" s="471"/>
      <c r="EU118" s="450"/>
      <c r="EV118" s="471"/>
      <c r="EW118" s="450"/>
      <c r="EX118" s="471"/>
      <c r="EY118" s="450"/>
      <c r="EZ118" s="471"/>
      <c r="FA118" s="450"/>
      <c r="FB118" s="471"/>
      <c r="FC118" s="450"/>
      <c r="FD118" s="471"/>
      <c r="FE118" s="450"/>
      <c r="FF118" s="471"/>
      <c r="FG118" s="450"/>
      <c r="FH118" s="472"/>
      <c r="FI118" s="450"/>
      <c r="FJ118" s="468">
        <f t="shared" si="66"/>
        <v>0</v>
      </c>
      <c r="FK118" s="469">
        <f t="shared" si="67"/>
        <v>0</v>
      </c>
      <c r="FL118" s="472"/>
      <c r="FM118" s="450"/>
      <c r="FN118" s="460">
        <f t="shared" si="68"/>
        <v>3079</v>
      </c>
      <c r="FO118" s="469">
        <f t="shared" si="69"/>
        <v>3761</v>
      </c>
    </row>
    <row r="119" spans="1:171" ht="15.75" x14ac:dyDescent="0.25">
      <c r="A119" s="828" t="s">
        <v>1074</v>
      </c>
      <c r="B119" s="835" t="s">
        <v>1268</v>
      </c>
      <c r="C119" s="836"/>
      <c r="D119" s="718">
        <v>138187</v>
      </c>
      <c r="E119" s="821">
        <v>8</v>
      </c>
      <c r="F119" s="532">
        <v>3780</v>
      </c>
      <c r="G119" s="831">
        <v>4055</v>
      </c>
      <c r="H119" s="457">
        <v>0</v>
      </c>
      <c r="I119" s="831">
        <v>0</v>
      </c>
      <c r="J119" s="457">
        <v>6627</v>
      </c>
      <c r="K119" s="831">
        <v>7974</v>
      </c>
      <c r="L119" s="458">
        <f t="shared" si="48"/>
        <v>0</v>
      </c>
      <c r="M119" s="449">
        <f t="shared" si="49"/>
        <v>0</v>
      </c>
      <c r="N119" s="459">
        <v>0</v>
      </c>
      <c r="O119" s="459"/>
      <c r="P119" s="459"/>
      <c r="Q119" s="459"/>
      <c r="R119" s="460">
        <f t="shared" si="46"/>
        <v>0</v>
      </c>
      <c r="S119" s="831">
        <v>0</v>
      </c>
      <c r="T119" s="461"/>
      <c r="U119" s="461"/>
      <c r="V119" s="461"/>
      <c r="W119" s="462">
        <f t="shared" si="47"/>
        <v>0</v>
      </c>
      <c r="X119" s="463"/>
      <c r="Y119" s="457"/>
      <c r="Z119" s="466"/>
      <c r="AA119" s="392"/>
      <c r="AB119" s="465"/>
      <c r="AC119" s="457"/>
      <c r="AD119" s="466"/>
      <c r="AE119" s="834"/>
      <c r="AF119" s="465"/>
      <c r="AG119" s="457"/>
      <c r="AH119" s="466"/>
      <c r="AI119" s="834"/>
      <c r="AJ119" s="465"/>
      <c r="AK119" s="457"/>
      <c r="AL119" s="466"/>
      <c r="AM119" s="834"/>
      <c r="AN119" s="465"/>
      <c r="AO119" s="457"/>
      <c r="AP119" s="466"/>
      <c r="AQ119" s="392"/>
      <c r="AR119" s="460">
        <f t="shared" si="50"/>
        <v>0</v>
      </c>
      <c r="AS119" s="467">
        <f t="shared" si="51"/>
        <v>0</v>
      </c>
      <c r="AT119" s="447">
        <f t="shared" si="52"/>
        <v>0</v>
      </c>
      <c r="AU119" s="448">
        <f t="shared" si="53"/>
        <v>0</v>
      </c>
      <c r="AV119" s="457"/>
      <c r="AW119" s="450"/>
      <c r="AX119" s="463"/>
      <c r="AY119" s="457"/>
      <c r="AZ119" s="464"/>
      <c r="BA119" s="464"/>
      <c r="BB119" s="465"/>
      <c r="BC119" s="457"/>
      <c r="BD119" s="464"/>
      <c r="BE119" s="466"/>
      <c r="BF119" s="465"/>
      <c r="BG119" s="457"/>
      <c r="BH119" s="464"/>
      <c r="BI119" s="466"/>
      <c r="BJ119" s="465"/>
      <c r="BK119" s="457"/>
      <c r="BL119" s="464"/>
      <c r="BM119" s="466"/>
      <c r="BN119" s="465"/>
      <c r="BO119" s="457"/>
      <c r="BP119" s="464"/>
      <c r="BQ119" s="466"/>
      <c r="BR119" s="465"/>
      <c r="BS119" s="457"/>
      <c r="BT119" s="464"/>
      <c r="BU119" s="466"/>
      <c r="BV119" s="465"/>
      <c r="BW119" s="457"/>
      <c r="BX119" s="464"/>
      <c r="BY119" s="466"/>
      <c r="BZ119" s="465"/>
      <c r="CA119" s="457"/>
      <c r="CB119" s="464"/>
      <c r="CC119" s="466"/>
      <c r="CD119" s="465"/>
      <c r="CE119" s="457"/>
      <c r="CF119" s="464"/>
      <c r="CG119" s="466"/>
      <c r="CH119" s="465"/>
      <c r="CI119" s="457"/>
      <c r="CJ119" s="464"/>
      <c r="CK119" s="466"/>
      <c r="CL119" s="459"/>
      <c r="CM119" s="450"/>
      <c r="CN119" s="468">
        <f t="shared" si="54"/>
        <v>0</v>
      </c>
      <c r="CO119" s="468">
        <f t="shared" si="55"/>
        <v>0</v>
      </c>
      <c r="CP119" s="469">
        <f t="shared" si="56"/>
        <v>0</v>
      </c>
      <c r="CQ119" s="469">
        <f t="shared" si="57"/>
        <v>0</v>
      </c>
      <c r="CR119" s="463"/>
      <c r="CS119" s="457"/>
      <c r="CT119" s="464"/>
      <c r="CU119" s="464"/>
      <c r="CV119" s="465"/>
      <c r="CW119" s="457"/>
      <c r="CX119" s="464"/>
      <c r="CY119" s="466"/>
      <c r="CZ119" s="465"/>
      <c r="DA119" s="457"/>
      <c r="DB119" s="464"/>
      <c r="DC119" s="466"/>
      <c r="DD119" s="465"/>
      <c r="DE119" s="457"/>
      <c r="DF119" s="464"/>
      <c r="DG119" s="466"/>
      <c r="DH119" s="465"/>
      <c r="DI119" s="457"/>
      <c r="DJ119" s="464"/>
      <c r="DK119" s="466"/>
      <c r="DL119" s="465"/>
      <c r="DM119" s="457"/>
      <c r="DN119" s="464"/>
      <c r="DO119" s="466"/>
      <c r="DP119" s="465"/>
      <c r="DQ119" s="457"/>
      <c r="DR119" s="464"/>
      <c r="DS119" s="466"/>
      <c r="DT119" s="465"/>
      <c r="DU119" s="457"/>
      <c r="DV119" s="464"/>
      <c r="DW119" s="466"/>
      <c r="DX119" s="465"/>
      <c r="DY119" s="457"/>
      <c r="DZ119" s="464"/>
      <c r="EA119" s="466"/>
      <c r="EB119" s="465"/>
      <c r="EC119" s="457"/>
      <c r="ED119" s="464"/>
      <c r="EE119" s="466"/>
      <c r="EF119" s="459"/>
      <c r="EG119" s="450"/>
      <c r="EH119" s="460">
        <f t="shared" si="58"/>
        <v>0</v>
      </c>
      <c r="EI119" s="460">
        <f t="shared" si="59"/>
        <v>0</v>
      </c>
      <c r="EJ119" s="458">
        <f t="shared" si="60"/>
        <v>0</v>
      </c>
      <c r="EK119" s="470">
        <f t="shared" si="61"/>
        <v>0</v>
      </c>
      <c r="EL119" s="470">
        <f t="shared" si="62"/>
        <v>0</v>
      </c>
      <c r="EM119" s="449">
        <f t="shared" si="63"/>
        <v>0</v>
      </c>
      <c r="EN119" s="460">
        <f t="shared" si="64"/>
        <v>0</v>
      </c>
      <c r="EO119" s="469">
        <f t="shared" si="65"/>
        <v>0</v>
      </c>
      <c r="EP119" s="471"/>
      <c r="EQ119" s="450"/>
      <c r="ER119" s="471"/>
      <c r="ES119" s="450"/>
      <c r="ET119" s="471"/>
      <c r="EU119" s="450"/>
      <c r="EV119" s="471"/>
      <c r="EW119" s="450"/>
      <c r="EX119" s="471"/>
      <c r="EY119" s="450"/>
      <c r="EZ119" s="471"/>
      <c r="FA119" s="450"/>
      <c r="FB119" s="471"/>
      <c r="FC119" s="450"/>
      <c r="FD119" s="471"/>
      <c r="FE119" s="450"/>
      <c r="FF119" s="471"/>
      <c r="FG119" s="450"/>
      <c r="FH119" s="472"/>
      <c r="FI119" s="450"/>
      <c r="FJ119" s="468">
        <f t="shared" si="66"/>
        <v>0</v>
      </c>
      <c r="FK119" s="469">
        <f t="shared" si="67"/>
        <v>0</v>
      </c>
      <c r="FL119" s="472"/>
      <c r="FM119" s="450"/>
      <c r="FN119" s="460">
        <f t="shared" si="68"/>
        <v>10407</v>
      </c>
      <c r="FO119" s="469">
        <f t="shared" si="69"/>
        <v>12029</v>
      </c>
    </row>
    <row r="120" spans="1:171" ht="15.75" x14ac:dyDescent="0.25">
      <c r="A120" s="828" t="s">
        <v>1074</v>
      </c>
      <c r="B120" s="840" t="s">
        <v>1269</v>
      </c>
      <c r="C120" s="830"/>
      <c r="D120" s="718">
        <v>135160</v>
      </c>
      <c r="E120" s="821">
        <v>9</v>
      </c>
      <c r="F120" s="532">
        <v>287</v>
      </c>
      <c r="G120" s="831">
        <v>340</v>
      </c>
      <c r="H120" s="457">
        <v>0</v>
      </c>
      <c r="I120" s="831">
        <v>0</v>
      </c>
      <c r="J120" s="457">
        <v>378</v>
      </c>
      <c r="K120" s="831">
        <v>436</v>
      </c>
      <c r="L120" s="458">
        <f t="shared" si="48"/>
        <v>0</v>
      </c>
      <c r="M120" s="449">
        <f t="shared" si="49"/>
        <v>0</v>
      </c>
      <c r="N120" s="459">
        <v>0</v>
      </c>
      <c r="O120" s="459"/>
      <c r="P120" s="459"/>
      <c r="Q120" s="459"/>
      <c r="R120" s="460">
        <f t="shared" si="46"/>
        <v>0</v>
      </c>
      <c r="S120" s="831">
        <v>0</v>
      </c>
      <c r="T120" s="461"/>
      <c r="U120" s="461"/>
      <c r="V120" s="461"/>
      <c r="W120" s="462">
        <f t="shared" si="47"/>
        <v>0</v>
      </c>
      <c r="X120" s="463"/>
      <c r="Y120" s="457"/>
      <c r="Z120" s="466"/>
      <c r="AA120" s="392"/>
      <c r="AB120" s="465"/>
      <c r="AC120" s="457"/>
      <c r="AD120" s="466"/>
      <c r="AE120" s="834"/>
      <c r="AF120" s="465"/>
      <c r="AG120" s="457"/>
      <c r="AH120" s="466"/>
      <c r="AI120" s="834"/>
      <c r="AJ120" s="465"/>
      <c r="AK120" s="457"/>
      <c r="AL120" s="466"/>
      <c r="AM120" s="834"/>
      <c r="AN120" s="465"/>
      <c r="AO120" s="457"/>
      <c r="AP120" s="466"/>
      <c r="AQ120" s="392"/>
      <c r="AR120" s="460">
        <f t="shared" si="50"/>
        <v>0</v>
      </c>
      <c r="AS120" s="467">
        <f t="shared" si="51"/>
        <v>0</v>
      </c>
      <c r="AT120" s="447">
        <f t="shared" si="52"/>
        <v>0</v>
      </c>
      <c r="AU120" s="448">
        <f t="shared" si="53"/>
        <v>0</v>
      </c>
      <c r="AV120" s="457"/>
      <c r="AW120" s="450"/>
      <c r="AX120" s="463"/>
      <c r="AY120" s="457"/>
      <c r="AZ120" s="464"/>
      <c r="BA120" s="464"/>
      <c r="BB120" s="465"/>
      <c r="BC120" s="457"/>
      <c r="BD120" s="464"/>
      <c r="BE120" s="466"/>
      <c r="BF120" s="465"/>
      <c r="BG120" s="457"/>
      <c r="BH120" s="464"/>
      <c r="BI120" s="466"/>
      <c r="BJ120" s="465"/>
      <c r="BK120" s="457"/>
      <c r="BL120" s="464"/>
      <c r="BM120" s="466"/>
      <c r="BN120" s="465"/>
      <c r="BO120" s="457"/>
      <c r="BP120" s="464"/>
      <c r="BQ120" s="466"/>
      <c r="BR120" s="465"/>
      <c r="BS120" s="457"/>
      <c r="BT120" s="464"/>
      <c r="BU120" s="466"/>
      <c r="BV120" s="465"/>
      <c r="BW120" s="457"/>
      <c r="BX120" s="464"/>
      <c r="BY120" s="466"/>
      <c r="BZ120" s="465"/>
      <c r="CA120" s="457"/>
      <c r="CB120" s="464"/>
      <c r="CC120" s="466"/>
      <c r="CD120" s="465"/>
      <c r="CE120" s="457"/>
      <c r="CF120" s="464"/>
      <c r="CG120" s="466"/>
      <c r="CH120" s="465"/>
      <c r="CI120" s="457"/>
      <c r="CJ120" s="464"/>
      <c r="CK120" s="466"/>
      <c r="CL120" s="459"/>
      <c r="CM120" s="450"/>
      <c r="CN120" s="468">
        <f t="shared" si="54"/>
        <v>0</v>
      </c>
      <c r="CO120" s="468">
        <f t="shared" si="55"/>
        <v>0</v>
      </c>
      <c r="CP120" s="469">
        <f t="shared" si="56"/>
        <v>0</v>
      </c>
      <c r="CQ120" s="469">
        <f t="shared" si="57"/>
        <v>0</v>
      </c>
      <c r="CR120" s="463"/>
      <c r="CS120" s="457"/>
      <c r="CT120" s="464"/>
      <c r="CU120" s="464"/>
      <c r="CV120" s="465"/>
      <c r="CW120" s="457"/>
      <c r="CX120" s="464"/>
      <c r="CY120" s="466"/>
      <c r="CZ120" s="465"/>
      <c r="DA120" s="457"/>
      <c r="DB120" s="464"/>
      <c r="DC120" s="466"/>
      <c r="DD120" s="465"/>
      <c r="DE120" s="457"/>
      <c r="DF120" s="464"/>
      <c r="DG120" s="466"/>
      <c r="DH120" s="465"/>
      <c r="DI120" s="457"/>
      <c r="DJ120" s="464"/>
      <c r="DK120" s="466"/>
      <c r="DL120" s="465"/>
      <c r="DM120" s="457"/>
      <c r="DN120" s="464"/>
      <c r="DO120" s="466"/>
      <c r="DP120" s="465"/>
      <c r="DQ120" s="457"/>
      <c r="DR120" s="464"/>
      <c r="DS120" s="466"/>
      <c r="DT120" s="465"/>
      <c r="DU120" s="457"/>
      <c r="DV120" s="464"/>
      <c r="DW120" s="466"/>
      <c r="DX120" s="465"/>
      <c r="DY120" s="457"/>
      <c r="DZ120" s="464"/>
      <c r="EA120" s="466"/>
      <c r="EB120" s="465"/>
      <c r="EC120" s="457"/>
      <c r="ED120" s="464"/>
      <c r="EE120" s="466"/>
      <c r="EF120" s="459"/>
      <c r="EG120" s="450"/>
      <c r="EH120" s="460">
        <f t="shared" si="58"/>
        <v>0</v>
      </c>
      <c r="EI120" s="460">
        <f t="shared" si="59"/>
        <v>0</v>
      </c>
      <c r="EJ120" s="458">
        <f t="shared" si="60"/>
        <v>0</v>
      </c>
      <c r="EK120" s="470">
        <f t="shared" si="61"/>
        <v>0</v>
      </c>
      <c r="EL120" s="470">
        <f t="shared" si="62"/>
        <v>0</v>
      </c>
      <c r="EM120" s="449">
        <f t="shared" si="63"/>
        <v>0</v>
      </c>
      <c r="EN120" s="460">
        <f t="shared" si="64"/>
        <v>0</v>
      </c>
      <c r="EO120" s="469">
        <f t="shared" si="65"/>
        <v>0</v>
      </c>
      <c r="EP120" s="471"/>
      <c r="EQ120" s="450"/>
      <c r="ER120" s="471"/>
      <c r="ES120" s="450"/>
      <c r="ET120" s="471"/>
      <c r="EU120" s="450"/>
      <c r="EV120" s="471"/>
      <c r="EW120" s="450"/>
      <c r="EX120" s="471"/>
      <c r="EY120" s="450"/>
      <c r="EZ120" s="471"/>
      <c r="FA120" s="450"/>
      <c r="FB120" s="471"/>
      <c r="FC120" s="450"/>
      <c r="FD120" s="471"/>
      <c r="FE120" s="450"/>
      <c r="FF120" s="471"/>
      <c r="FG120" s="450"/>
      <c r="FH120" s="472"/>
      <c r="FI120" s="450"/>
      <c r="FJ120" s="468">
        <f t="shared" si="66"/>
        <v>0</v>
      </c>
      <c r="FK120" s="469">
        <f t="shared" si="67"/>
        <v>0</v>
      </c>
      <c r="FL120" s="472"/>
      <c r="FM120" s="450"/>
      <c r="FN120" s="460">
        <f t="shared" si="68"/>
        <v>665</v>
      </c>
      <c r="FO120" s="469">
        <f t="shared" si="69"/>
        <v>776</v>
      </c>
    </row>
    <row r="121" spans="1:171" ht="15.75" x14ac:dyDescent="0.25">
      <c r="A121" s="828" t="s">
        <v>1074</v>
      </c>
      <c r="B121" s="841" t="s">
        <v>1270</v>
      </c>
      <c r="C121" s="839" t="s">
        <v>1278</v>
      </c>
      <c r="D121" s="718">
        <v>134343</v>
      </c>
      <c r="E121" s="821">
        <v>9</v>
      </c>
      <c r="F121" s="532">
        <v>368</v>
      </c>
      <c r="G121" s="831">
        <v>339</v>
      </c>
      <c r="H121" s="457">
        <v>0</v>
      </c>
      <c r="I121" s="831">
        <v>0</v>
      </c>
      <c r="J121" s="457">
        <v>812</v>
      </c>
      <c r="K121" s="831">
        <v>1021</v>
      </c>
      <c r="L121" s="458">
        <f t="shared" si="48"/>
        <v>0</v>
      </c>
      <c r="M121" s="449">
        <f t="shared" si="49"/>
        <v>255.25</v>
      </c>
      <c r="N121" s="459">
        <v>0</v>
      </c>
      <c r="O121" s="459"/>
      <c r="P121" s="459"/>
      <c r="Q121" s="459"/>
      <c r="R121" s="460">
        <f t="shared" si="46"/>
        <v>0</v>
      </c>
      <c r="S121" s="831">
        <v>4</v>
      </c>
      <c r="T121" s="461"/>
      <c r="U121" s="461"/>
      <c r="V121" s="461"/>
      <c r="W121" s="462">
        <f t="shared" si="47"/>
        <v>0</v>
      </c>
      <c r="X121" s="463"/>
      <c r="Y121" s="457"/>
      <c r="Z121" s="832" t="s">
        <v>1248</v>
      </c>
      <c r="AA121" s="831">
        <v>4</v>
      </c>
      <c r="AB121" s="465"/>
      <c r="AC121" s="457"/>
      <c r="AD121" s="466"/>
      <c r="AE121" s="392"/>
      <c r="AF121" s="465"/>
      <c r="AG121" s="457"/>
      <c r="AH121" s="466"/>
      <c r="AI121" s="392"/>
      <c r="AJ121" s="465"/>
      <c r="AK121" s="457"/>
      <c r="AL121" s="466"/>
      <c r="AM121" s="392"/>
      <c r="AN121" s="465"/>
      <c r="AO121" s="457"/>
      <c r="AP121" s="466"/>
      <c r="AQ121" s="392"/>
      <c r="AR121" s="460">
        <f t="shared" si="50"/>
        <v>0</v>
      </c>
      <c r="AS121" s="467">
        <f t="shared" si="51"/>
        <v>0</v>
      </c>
      <c r="AT121" s="447">
        <f t="shared" si="52"/>
        <v>1</v>
      </c>
      <c r="AU121" s="448">
        <f t="shared" si="53"/>
        <v>2.9325513196480938E-3</v>
      </c>
      <c r="AV121" s="457"/>
      <c r="AW121" s="450"/>
      <c r="AX121" s="463"/>
      <c r="AY121" s="457"/>
      <c r="AZ121" s="464"/>
      <c r="BA121" s="464"/>
      <c r="BB121" s="465"/>
      <c r="BC121" s="457"/>
      <c r="BD121" s="464"/>
      <c r="BE121" s="466"/>
      <c r="BF121" s="465"/>
      <c r="BG121" s="457"/>
      <c r="BH121" s="464"/>
      <c r="BI121" s="466"/>
      <c r="BJ121" s="465"/>
      <c r="BK121" s="457"/>
      <c r="BL121" s="464"/>
      <c r="BM121" s="466"/>
      <c r="BN121" s="465"/>
      <c r="BO121" s="457"/>
      <c r="BP121" s="464"/>
      <c r="BQ121" s="466"/>
      <c r="BR121" s="465"/>
      <c r="BS121" s="457"/>
      <c r="BT121" s="464"/>
      <c r="BU121" s="466"/>
      <c r="BV121" s="465"/>
      <c r="BW121" s="457"/>
      <c r="BX121" s="464"/>
      <c r="BY121" s="466"/>
      <c r="BZ121" s="465"/>
      <c r="CA121" s="457"/>
      <c r="CB121" s="464"/>
      <c r="CC121" s="466"/>
      <c r="CD121" s="465"/>
      <c r="CE121" s="457"/>
      <c r="CF121" s="464"/>
      <c r="CG121" s="466"/>
      <c r="CH121" s="465"/>
      <c r="CI121" s="457"/>
      <c r="CJ121" s="464"/>
      <c r="CK121" s="466"/>
      <c r="CL121" s="459"/>
      <c r="CM121" s="450"/>
      <c r="CN121" s="468">
        <f t="shared" si="54"/>
        <v>0</v>
      </c>
      <c r="CO121" s="468">
        <f t="shared" si="55"/>
        <v>0</v>
      </c>
      <c r="CP121" s="469">
        <f t="shared" si="56"/>
        <v>0</v>
      </c>
      <c r="CQ121" s="469">
        <f t="shared" si="57"/>
        <v>0</v>
      </c>
      <c r="CR121" s="463"/>
      <c r="CS121" s="457"/>
      <c r="CT121" s="464"/>
      <c r="CU121" s="464"/>
      <c r="CV121" s="465"/>
      <c r="CW121" s="457"/>
      <c r="CX121" s="464"/>
      <c r="CY121" s="466"/>
      <c r="CZ121" s="465"/>
      <c r="DA121" s="457"/>
      <c r="DB121" s="464"/>
      <c r="DC121" s="466"/>
      <c r="DD121" s="465"/>
      <c r="DE121" s="457"/>
      <c r="DF121" s="464"/>
      <c r="DG121" s="466"/>
      <c r="DH121" s="465"/>
      <c r="DI121" s="457"/>
      <c r="DJ121" s="464"/>
      <c r="DK121" s="466"/>
      <c r="DL121" s="465"/>
      <c r="DM121" s="457"/>
      <c r="DN121" s="464"/>
      <c r="DO121" s="466"/>
      <c r="DP121" s="465"/>
      <c r="DQ121" s="457"/>
      <c r="DR121" s="464"/>
      <c r="DS121" s="466"/>
      <c r="DT121" s="465"/>
      <c r="DU121" s="457"/>
      <c r="DV121" s="464"/>
      <c r="DW121" s="466"/>
      <c r="DX121" s="465"/>
      <c r="DY121" s="457"/>
      <c r="DZ121" s="464"/>
      <c r="EA121" s="466"/>
      <c r="EB121" s="465"/>
      <c r="EC121" s="457"/>
      <c r="ED121" s="464"/>
      <c r="EE121" s="466"/>
      <c r="EF121" s="459"/>
      <c r="EG121" s="450"/>
      <c r="EH121" s="460">
        <f t="shared" si="58"/>
        <v>0</v>
      </c>
      <c r="EI121" s="460">
        <f t="shared" si="59"/>
        <v>0</v>
      </c>
      <c r="EJ121" s="458">
        <f t="shared" si="60"/>
        <v>0</v>
      </c>
      <c r="EK121" s="470">
        <f t="shared" si="61"/>
        <v>0</v>
      </c>
      <c r="EL121" s="470">
        <f t="shared" si="62"/>
        <v>0</v>
      </c>
      <c r="EM121" s="449">
        <f t="shared" si="63"/>
        <v>0</v>
      </c>
      <c r="EN121" s="460">
        <f t="shared" si="64"/>
        <v>0</v>
      </c>
      <c r="EO121" s="469">
        <f t="shared" si="65"/>
        <v>0</v>
      </c>
      <c r="EP121" s="471"/>
      <c r="EQ121" s="450"/>
      <c r="ER121" s="471"/>
      <c r="ES121" s="450"/>
      <c r="ET121" s="471"/>
      <c r="EU121" s="450"/>
      <c r="EV121" s="471"/>
      <c r="EW121" s="450"/>
      <c r="EX121" s="471"/>
      <c r="EY121" s="450"/>
      <c r="EZ121" s="471"/>
      <c r="FA121" s="450"/>
      <c r="FB121" s="471"/>
      <c r="FC121" s="450"/>
      <c r="FD121" s="471"/>
      <c r="FE121" s="450"/>
      <c r="FF121" s="471"/>
      <c r="FG121" s="450"/>
      <c r="FH121" s="472"/>
      <c r="FI121" s="450"/>
      <c r="FJ121" s="468">
        <f t="shared" si="66"/>
        <v>0</v>
      </c>
      <c r="FK121" s="469">
        <f t="shared" si="67"/>
        <v>0</v>
      </c>
      <c r="FL121" s="472"/>
      <c r="FM121" s="450"/>
      <c r="FN121" s="460">
        <f t="shared" si="68"/>
        <v>1180</v>
      </c>
      <c r="FO121" s="469">
        <f t="shared" si="69"/>
        <v>1364</v>
      </c>
    </row>
    <row r="122" spans="1:171" ht="15.75" x14ac:dyDescent="0.25">
      <c r="A122" s="828" t="s">
        <v>1074</v>
      </c>
      <c r="B122" s="829" t="s">
        <v>1271</v>
      </c>
      <c r="C122" s="830"/>
      <c r="D122" s="718">
        <v>135188</v>
      </c>
      <c r="E122" s="821">
        <v>9</v>
      </c>
      <c r="F122" s="532">
        <v>60</v>
      </c>
      <c r="G122" s="831">
        <v>47</v>
      </c>
      <c r="H122" s="457">
        <v>0</v>
      </c>
      <c r="I122" s="831">
        <v>0</v>
      </c>
      <c r="J122" s="457">
        <v>590</v>
      </c>
      <c r="K122" s="831">
        <v>732</v>
      </c>
      <c r="L122" s="458">
        <f t="shared" si="48"/>
        <v>0</v>
      </c>
      <c r="M122" s="449">
        <f t="shared" si="49"/>
        <v>0</v>
      </c>
      <c r="N122" s="459">
        <v>0</v>
      </c>
      <c r="O122" s="459"/>
      <c r="P122" s="459"/>
      <c r="Q122" s="459"/>
      <c r="R122" s="460">
        <f t="shared" si="46"/>
        <v>0</v>
      </c>
      <c r="S122" s="831">
        <v>0</v>
      </c>
      <c r="T122" s="461"/>
      <c r="U122" s="461"/>
      <c r="V122" s="461"/>
      <c r="W122" s="462">
        <f t="shared" si="47"/>
        <v>0</v>
      </c>
      <c r="X122" s="463"/>
      <c r="Y122" s="457"/>
      <c r="Z122" s="466"/>
      <c r="AA122" s="392"/>
      <c r="AB122" s="465"/>
      <c r="AC122" s="457"/>
      <c r="AD122" s="466"/>
      <c r="AE122" s="834"/>
      <c r="AF122" s="465"/>
      <c r="AG122" s="457"/>
      <c r="AH122" s="466"/>
      <c r="AI122" s="834"/>
      <c r="AJ122" s="465"/>
      <c r="AK122" s="457"/>
      <c r="AL122" s="466"/>
      <c r="AM122" s="834"/>
      <c r="AN122" s="465"/>
      <c r="AO122" s="457"/>
      <c r="AP122" s="466"/>
      <c r="AQ122" s="392"/>
      <c r="AR122" s="460">
        <f t="shared" si="50"/>
        <v>0</v>
      </c>
      <c r="AS122" s="467">
        <f t="shared" si="51"/>
        <v>0</v>
      </c>
      <c r="AT122" s="447">
        <f t="shared" si="52"/>
        <v>0</v>
      </c>
      <c r="AU122" s="448">
        <f t="shared" si="53"/>
        <v>0</v>
      </c>
      <c r="AV122" s="457"/>
      <c r="AW122" s="450"/>
      <c r="AX122" s="463"/>
      <c r="AY122" s="457"/>
      <c r="AZ122" s="464"/>
      <c r="BA122" s="464"/>
      <c r="BB122" s="465"/>
      <c r="BC122" s="457"/>
      <c r="BD122" s="464"/>
      <c r="BE122" s="466"/>
      <c r="BF122" s="465"/>
      <c r="BG122" s="457"/>
      <c r="BH122" s="464"/>
      <c r="BI122" s="466"/>
      <c r="BJ122" s="465"/>
      <c r="BK122" s="457"/>
      <c r="BL122" s="464"/>
      <c r="BM122" s="466"/>
      <c r="BN122" s="465"/>
      <c r="BO122" s="457"/>
      <c r="BP122" s="464"/>
      <c r="BQ122" s="466"/>
      <c r="BR122" s="465"/>
      <c r="BS122" s="457"/>
      <c r="BT122" s="464"/>
      <c r="BU122" s="466"/>
      <c r="BV122" s="465"/>
      <c r="BW122" s="457"/>
      <c r="BX122" s="464"/>
      <c r="BY122" s="466"/>
      <c r="BZ122" s="465"/>
      <c r="CA122" s="457"/>
      <c r="CB122" s="464"/>
      <c r="CC122" s="466"/>
      <c r="CD122" s="465"/>
      <c r="CE122" s="457"/>
      <c r="CF122" s="464"/>
      <c r="CG122" s="466"/>
      <c r="CH122" s="465"/>
      <c r="CI122" s="457"/>
      <c r="CJ122" s="464"/>
      <c r="CK122" s="466"/>
      <c r="CL122" s="459"/>
      <c r="CM122" s="450"/>
      <c r="CN122" s="468">
        <f t="shared" si="54"/>
        <v>0</v>
      </c>
      <c r="CO122" s="468">
        <f t="shared" si="55"/>
        <v>0</v>
      </c>
      <c r="CP122" s="469">
        <f t="shared" si="56"/>
        <v>0</v>
      </c>
      <c r="CQ122" s="469">
        <f t="shared" si="57"/>
        <v>0</v>
      </c>
      <c r="CR122" s="463"/>
      <c r="CS122" s="457"/>
      <c r="CT122" s="464"/>
      <c r="CU122" s="464"/>
      <c r="CV122" s="465"/>
      <c r="CW122" s="457"/>
      <c r="CX122" s="464"/>
      <c r="CY122" s="466"/>
      <c r="CZ122" s="465"/>
      <c r="DA122" s="457"/>
      <c r="DB122" s="464"/>
      <c r="DC122" s="466"/>
      <c r="DD122" s="465"/>
      <c r="DE122" s="457"/>
      <c r="DF122" s="464"/>
      <c r="DG122" s="466"/>
      <c r="DH122" s="465"/>
      <c r="DI122" s="457"/>
      <c r="DJ122" s="464"/>
      <c r="DK122" s="466"/>
      <c r="DL122" s="465"/>
      <c r="DM122" s="457"/>
      <c r="DN122" s="464"/>
      <c r="DO122" s="466"/>
      <c r="DP122" s="465"/>
      <c r="DQ122" s="457"/>
      <c r="DR122" s="464"/>
      <c r="DS122" s="466"/>
      <c r="DT122" s="465"/>
      <c r="DU122" s="457"/>
      <c r="DV122" s="464"/>
      <c r="DW122" s="466"/>
      <c r="DX122" s="465"/>
      <c r="DY122" s="457"/>
      <c r="DZ122" s="464"/>
      <c r="EA122" s="466"/>
      <c r="EB122" s="465"/>
      <c r="EC122" s="457"/>
      <c r="ED122" s="464"/>
      <c r="EE122" s="466"/>
      <c r="EF122" s="459"/>
      <c r="EG122" s="450"/>
      <c r="EH122" s="460">
        <f t="shared" si="58"/>
        <v>0</v>
      </c>
      <c r="EI122" s="460">
        <f t="shared" si="59"/>
        <v>0</v>
      </c>
      <c r="EJ122" s="458">
        <f t="shared" si="60"/>
        <v>0</v>
      </c>
      <c r="EK122" s="470">
        <f t="shared" si="61"/>
        <v>0</v>
      </c>
      <c r="EL122" s="470">
        <f t="shared" si="62"/>
        <v>0</v>
      </c>
      <c r="EM122" s="449">
        <f t="shared" si="63"/>
        <v>0</v>
      </c>
      <c r="EN122" s="460">
        <f t="shared" si="64"/>
        <v>0</v>
      </c>
      <c r="EO122" s="469">
        <f t="shared" si="65"/>
        <v>0</v>
      </c>
      <c r="EP122" s="471"/>
      <c r="EQ122" s="450"/>
      <c r="ER122" s="471"/>
      <c r="ES122" s="450"/>
      <c r="ET122" s="471"/>
      <c r="EU122" s="450"/>
      <c r="EV122" s="471"/>
      <c r="EW122" s="450"/>
      <c r="EX122" s="471"/>
      <c r="EY122" s="450"/>
      <c r="EZ122" s="471"/>
      <c r="FA122" s="450"/>
      <c r="FB122" s="471"/>
      <c r="FC122" s="450"/>
      <c r="FD122" s="471"/>
      <c r="FE122" s="450"/>
      <c r="FF122" s="471"/>
      <c r="FG122" s="450"/>
      <c r="FH122" s="472"/>
      <c r="FI122" s="450"/>
      <c r="FJ122" s="468">
        <f t="shared" si="66"/>
        <v>0</v>
      </c>
      <c r="FK122" s="469">
        <f t="shared" si="67"/>
        <v>0</v>
      </c>
      <c r="FL122" s="472"/>
      <c r="FM122" s="450"/>
      <c r="FN122" s="460">
        <f t="shared" si="68"/>
        <v>650</v>
      </c>
      <c r="FO122" s="469">
        <f t="shared" si="69"/>
        <v>779</v>
      </c>
    </row>
    <row r="123" spans="1:171" ht="15.75" x14ac:dyDescent="0.25">
      <c r="A123" s="828" t="s">
        <v>1074</v>
      </c>
      <c r="B123" s="829" t="s">
        <v>1272</v>
      </c>
      <c r="C123" s="830"/>
      <c r="D123" s="718">
        <v>137315</v>
      </c>
      <c r="E123" s="821">
        <v>9</v>
      </c>
      <c r="F123" s="532">
        <v>409</v>
      </c>
      <c r="G123" s="831">
        <v>295</v>
      </c>
      <c r="H123" s="457">
        <v>25</v>
      </c>
      <c r="I123" s="831">
        <v>16</v>
      </c>
      <c r="J123" s="457">
        <v>435</v>
      </c>
      <c r="K123" s="831">
        <v>360</v>
      </c>
      <c r="L123" s="458">
        <f t="shared" si="48"/>
        <v>0</v>
      </c>
      <c r="M123" s="449">
        <f t="shared" si="49"/>
        <v>0</v>
      </c>
      <c r="N123" s="459">
        <v>0</v>
      </c>
      <c r="O123" s="459"/>
      <c r="P123" s="459"/>
      <c r="Q123" s="459"/>
      <c r="R123" s="460">
        <f t="shared" si="46"/>
        <v>0</v>
      </c>
      <c r="S123" s="831">
        <v>0</v>
      </c>
      <c r="T123" s="461"/>
      <c r="U123" s="461"/>
      <c r="V123" s="461"/>
      <c r="W123" s="462">
        <f t="shared" si="47"/>
        <v>0</v>
      </c>
      <c r="X123" s="463"/>
      <c r="Y123" s="457"/>
      <c r="Z123" s="466"/>
      <c r="AA123" s="392"/>
      <c r="AB123" s="465"/>
      <c r="AC123" s="457"/>
      <c r="AD123" s="466"/>
      <c r="AE123" s="834"/>
      <c r="AF123" s="465"/>
      <c r="AG123" s="457"/>
      <c r="AH123" s="466"/>
      <c r="AI123" s="834"/>
      <c r="AJ123" s="465"/>
      <c r="AK123" s="457"/>
      <c r="AL123" s="466"/>
      <c r="AM123" s="834"/>
      <c r="AN123" s="465"/>
      <c r="AO123" s="457"/>
      <c r="AP123" s="466"/>
      <c r="AQ123" s="392"/>
      <c r="AR123" s="460">
        <f t="shared" si="50"/>
        <v>0</v>
      </c>
      <c r="AS123" s="467">
        <f t="shared" si="51"/>
        <v>0</v>
      </c>
      <c r="AT123" s="447">
        <f t="shared" si="52"/>
        <v>0</v>
      </c>
      <c r="AU123" s="448">
        <f t="shared" si="53"/>
        <v>0</v>
      </c>
      <c r="AV123" s="457"/>
      <c r="AW123" s="450"/>
      <c r="AX123" s="463"/>
      <c r="AY123" s="457"/>
      <c r="AZ123" s="464"/>
      <c r="BA123" s="464"/>
      <c r="BB123" s="465"/>
      <c r="BC123" s="457"/>
      <c r="BD123" s="464"/>
      <c r="BE123" s="466"/>
      <c r="BF123" s="465"/>
      <c r="BG123" s="457"/>
      <c r="BH123" s="464"/>
      <c r="BI123" s="466"/>
      <c r="BJ123" s="465"/>
      <c r="BK123" s="457"/>
      <c r="BL123" s="464"/>
      <c r="BM123" s="466"/>
      <c r="BN123" s="465"/>
      <c r="BO123" s="457"/>
      <c r="BP123" s="464"/>
      <c r="BQ123" s="466"/>
      <c r="BR123" s="465"/>
      <c r="BS123" s="457"/>
      <c r="BT123" s="464"/>
      <c r="BU123" s="466"/>
      <c r="BV123" s="465"/>
      <c r="BW123" s="457"/>
      <c r="BX123" s="464"/>
      <c r="BY123" s="466"/>
      <c r="BZ123" s="465"/>
      <c r="CA123" s="457"/>
      <c r="CB123" s="464"/>
      <c r="CC123" s="466"/>
      <c r="CD123" s="465"/>
      <c r="CE123" s="457"/>
      <c r="CF123" s="464"/>
      <c r="CG123" s="466"/>
      <c r="CH123" s="465"/>
      <c r="CI123" s="457"/>
      <c r="CJ123" s="464"/>
      <c r="CK123" s="466"/>
      <c r="CL123" s="459"/>
      <c r="CM123" s="450"/>
      <c r="CN123" s="468">
        <f t="shared" si="54"/>
        <v>0</v>
      </c>
      <c r="CO123" s="468">
        <f t="shared" si="55"/>
        <v>0</v>
      </c>
      <c r="CP123" s="469">
        <f t="shared" si="56"/>
        <v>0</v>
      </c>
      <c r="CQ123" s="469">
        <f t="shared" si="57"/>
        <v>0</v>
      </c>
      <c r="CR123" s="463"/>
      <c r="CS123" s="457"/>
      <c r="CT123" s="464"/>
      <c r="CU123" s="464"/>
      <c r="CV123" s="465"/>
      <c r="CW123" s="457"/>
      <c r="CX123" s="464"/>
      <c r="CY123" s="466"/>
      <c r="CZ123" s="465"/>
      <c r="DA123" s="457"/>
      <c r="DB123" s="464"/>
      <c r="DC123" s="466"/>
      <c r="DD123" s="465"/>
      <c r="DE123" s="457"/>
      <c r="DF123" s="464"/>
      <c r="DG123" s="466"/>
      <c r="DH123" s="465"/>
      <c r="DI123" s="457"/>
      <c r="DJ123" s="464"/>
      <c r="DK123" s="466"/>
      <c r="DL123" s="465"/>
      <c r="DM123" s="457"/>
      <c r="DN123" s="464"/>
      <c r="DO123" s="466"/>
      <c r="DP123" s="465"/>
      <c r="DQ123" s="457"/>
      <c r="DR123" s="464"/>
      <c r="DS123" s="466"/>
      <c r="DT123" s="465"/>
      <c r="DU123" s="457"/>
      <c r="DV123" s="464"/>
      <c r="DW123" s="466"/>
      <c r="DX123" s="465"/>
      <c r="DY123" s="457"/>
      <c r="DZ123" s="464"/>
      <c r="EA123" s="466"/>
      <c r="EB123" s="465"/>
      <c r="EC123" s="457"/>
      <c r="ED123" s="464"/>
      <c r="EE123" s="466"/>
      <c r="EF123" s="459"/>
      <c r="EG123" s="450"/>
      <c r="EH123" s="460">
        <f t="shared" si="58"/>
        <v>0</v>
      </c>
      <c r="EI123" s="460">
        <f t="shared" si="59"/>
        <v>0</v>
      </c>
      <c r="EJ123" s="458">
        <f t="shared" si="60"/>
        <v>0</v>
      </c>
      <c r="EK123" s="470">
        <f t="shared" si="61"/>
        <v>0</v>
      </c>
      <c r="EL123" s="470">
        <f t="shared" si="62"/>
        <v>0</v>
      </c>
      <c r="EM123" s="449">
        <f t="shared" si="63"/>
        <v>0</v>
      </c>
      <c r="EN123" s="460">
        <f t="shared" si="64"/>
        <v>0</v>
      </c>
      <c r="EO123" s="469">
        <f t="shared" si="65"/>
        <v>0</v>
      </c>
      <c r="EP123" s="471"/>
      <c r="EQ123" s="450"/>
      <c r="ER123" s="471"/>
      <c r="ES123" s="450"/>
      <c r="ET123" s="471"/>
      <c r="EU123" s="450"/>
      <c r="EV123" s="471"/>
      <c r="EW123" s="450"/>
      <c r="EX123" s="471"/>
      <c r="EY123" s="450"/>
      <c r="EZ123" s="471"/>
      <c r="FA123" s="450"/>
      <c r="FB123" s="471"/>
      <c r="FC123" s="450"/>
      <c r="FD123" s="471"/>
      <c r="FE123" s="450"/>
      <c r="FF123" s="471"/>
      <c r="FG123" s="450"/>
      <c r="FH123" s="472"/>
      <c r="FI123" s="450"/>
      <c r="FJ123" s="468">
        <f t="shared" si="66"/>
        <v>0</v>
      </c>
      <c r="FK123" s="469">
        <f t="shared" si="67"/>
        <v>0</v>
      </c>
      <c r="FL123" s="472"/>
      <c r="FM123" s="450"/>
      <c r="FN123" s="460">
        <f t="shared" si="68"/>
        <v>869</v>
      </c>
      <c r="FO123" s="469">
        <f t="shared" si="69"/>
        <v>671</v>
      </c>
    </row>
    <row r="124" spans="1:171" ht="15.75" x14ac:dyDescent="0.25">
      <c r="A124" s="828" t="s">
        <v>1074</v>
      </c>
      <c r="B124" s="835" t="s">
        <v>1273</v>
      </c>
      <c r="C124" s="836" t="s">
        <v>1277</v>
      </c>
      <c r="D124" s="718">
        <v>137281</v>
      </c>
      <c r="E124" s="821">
        <v>9</v>
      </c>
      <c r="F124" s="532">
        <v>639</v>
      </c>
      <c r="G124" s="831">
        <v>368</v>
      </c>
      <c r="H124" s="457">
        <v>0</v>
      </c>
      <c r="I124" s="831">
        <v>18</v>
      </c>
      <c r="J124" s="457">
        <v>3518</v>
      </c>
      <c r="K124" s="831">
        <v>882</v>
      </c>
      <c r="L124" s="458">
        <f t="shared" si="48"/>
        <v>3.6953781512605044</v>
      </c>
      <c r="M124" s="449">
        <f t="shared" si="49"/>
        <v>441</v>
      </c>
      <c r="N124" s="459">
        <v>952</v>
      </c>
      <c r="O124" s="459"/>
      <c r="P124" s="459"/>
      <c r="Q124" s="459"/>
      <c r="R124" s="460">
        <f t="shared" si="46"/>
        <v>0</v>
      </c>
      <c r="S124" s="831">
        <v>2</v>
      </c>
      <c r="T124" s="461"/>
      <c r="U124" s="461"/>
      <c r="V124" s="461"/>
      <c r="W124" s="462">
        <f t="shared" si="47"/>
        <v>0</v>
      </c>
      <c r="X124" s="463"/>
      <c r="Y124" s="457"/>
      <c r="Z124" s="832" t="s">
        <v>1242</v>
      </c>
      <c r="AA124" s="831">
        <v>2</v>
      </c>
      <c r="AB124" s="465"/>
      <c r="AC124" s="457"/>
      <c r="AD124" s="466"/>
      <c r="AE124" s="834"/>
      <c r="AF124" s="465"/>
      <c r="AG124" s="457"/>
      <c r="AH124" s="466"/>
      <c r="AI124" s="834"/>
      <c r="AJ124" s="465"/>
      <c r="AK124" s="457"/>
      <c r="AL124" s="466"/>
      <c r="AM124" s="834"/>
      <c r="AN124" s="465"/>
      <c r="AO124" s="457"/>
      <c r="AP124" s="466"/>
      <c r="AQ124" s="392"/>
      <c r="AR124" s="460">
        <f t="shared" si="50"/>
        <v>0</v>
      </c>
      <c r="AS124" s="467">
        <f t="shared" si="51"/>
        <v>0.18633783519279704</v>
      </c>
      <c r="AT124" s="447">
        <f t="shared" si="52"/>
        <v>1</v>
      </c>
      <c r="AU124" s="448">
        <f t="shared" si="53"/>
        <v>1.5748031496062992E-3</v>
      </c>
      <c r="AV124" s="457"/>
      <c r="AW124" s="450"/>
      <c r="AX124" s="463"/>
      <c r="AY124" s="457"/>
      <c r="AZ124" s="464"/>
      <c r="BA124" s="464"/>
      <c r="BB124" s="465"/>
      <c r="BC124" s="457"/>
      <c r="BD124" s="464"/>
      <c r="BE124" s="466"/>
      <c r="BF124" s="465"/>
      <c r="BG124" s="457"/>
      <c r="BH124" s="464"/>
      <c r="BI124" s="466"/>
      <c r="BJ124" s="465"/>
      <c r="BK124" s="457"/>
      <c r="BL124" s="464"/>
      <c r="BM124" s="466"/>
      <c r="BN124" s="465"/>
      <c r="BO124" s="457"/>
      <c r="BP124" s="464"/>
      <c r="BQ124" s="466"/>
      <c r="BR124" s="465"/>
      <c r="BS124" s="457"/>
      <c r="BT124" s="464"/>
      <c r="BU124" s="466"/>
      <c r="BV124" s="465"/>
      <c r="BW124" s="457"/>
      <c r="BX124" s="464"/>
      <c r="BY124" s="466"/>
      <c r="BZ124" s="465"/>
      <c r="CA124" s="457"/>
      <c r="CB124" s="464"/>
      <c r="CC124" s="466"/>
      <c r="CD124" s="465"/>
      <c r="CE124" s="457"/>
      <c r="CF124" s="464"/>
      <c r="CG124" s="466"/>
      <c r="CH124" s="465"/>
      <c r="CI124" s="457"/>
      <c r="CJ124" s="464"/>
      <c r="CK124" s="466"/>
      <c r="CL124" s="459"/>
      <c r="CM124" s="450"/>
      <c r="CN124" s="468">
        <f t="shared" si="54"/>
        <v>0</v>
      </c>
      <c r="CO124" s="468">
        <f t="shared" si="55"/>
        <v>0</v>
      </c>
      <c r="CP124" s="469">
        <f t="shared" si="56"/>
        <v>0</v>
      </c>
      <c r="CQ124" s="469">
        <f t="shared" si="57"/>
        <v>0</v>
      </c>
      <c r="CR124" s="463"/>
      <c r="CS124" s="457"/>
      <c r="CT124" s="464"/>
      <c r="CU124" s="464"/>
      <c r="CV124" s="465"/>
      <c r="CW124" s="457"/>
      <c r="CX124" s="464"/>
      <c r="CY124" s="466"/>
      <c r="CZ124" s="465"/>
      <c r="DA124" s="457"/>
      <c r="DB124" s="464"/>
      <c r="DC124" s="466"/>
      <c r="DD124" s="465"/>
      <c r="DE124" s="457"/>
      <c r="DF124" s="464"/>
      <c r="DG124" s="466"/>
      <c r="DH124" s="465"/>
      <c r="DI124" s="457"/>
      <c r="DJ124" s="464"/>
      <c r="DK124" s="466"/>
      <c r="DL124" s="465"/>
      <c r="DM124" s="457"/>
      <c r="DN124" s="464"/>
      <c r="DO124" s="466"/>
      <c r="DP124" s="465"/>
      <c r="DQ124" s="457"/>
      <c r="DR124" s="464"/>
      <c r="DS124" s="466"/>
      <c r="DT124" s="465"/>
      <c r="DU124" s="457"/>
      <c r="DV124" s="464"/>
      <c r="DW124" s="466"/>
      <c r="DX124" s="465"/>
      <c r="DY124" s="457"/>
      <c r="DZ124" s="464"/>
      <c r="EA124" s="466"/>
      <c r="EB124" s="465"/>
      <c r="EC124" s="457"/>
      <c r="ED124" s="464"/>
      <c r="EE124" s="466"/>
      <c r="EF124" s="459"/>
      <c r="EG124" s="450"/>
      <c r="EH124" s="460">
        <f t="shared" si="58"/>
        <v>0</v>
      </c>
      <c r="EI124" s="460">
        <f t="shared" si="59"/>
        <v>0</v>
      </c>
      <c r="EJ124" s="458">
        <f t="shared" si="60"/>
        <v>0</v>
      </c>
      <c r="EK124" s="470">
        <f t="shared" si="61"/>
        <v>0</v>
      </c>
      <c r="EL124" s="470">
        <f t="shared" si="62"/>
        <v>0</v>
      </c>
      <c r="EM124" s="449">
        <f t="shared" si="63"/>
        <v>0</v>
      </c>
      <c r="EN124" s="460">
        <f t="shared" si="64"/>
        <v>0</v>
      </c>
      <c r="EO124" s="469">
        <f t="shared" si="65"/>
        <v>0</v>
      </c>
      <c r="EP124" s="471"/>
      <c r="EQ124" s="450"/>
      <c r="ER124" s="471"/>
      <c r="ES124" s="450"/>
      <c r="ET124" s="471"/>
      <c r="EU124" s="450"/>
      <c r="EV124" s="471"/>
      <c r="EW124" s="450"/>
      <c r="EX124" s="471"/>
      <c r="EY124" s="450"/>
      <c r="EZ124" s="471"/>
      <c r="FA124" s="450"/>
      <c r="FB124" s="471"/>
      <c r="FC124" s="450"/>
      <c r="FD124" s="471"/>
      <c r="FE124" s="450"/>
      <c r="FF124" s="471"/>
      <c r="FG124" s="450"/>
      <c r="FH124" s="472"/>
      <c r="FI124" s="450"/>
      <c r="FJ124" s="468">
        <f t="shared" si="66"/>
        <v>0</v>
      </c>
      <c r="FK124" s="469">
        <f t="shared" si="67"/>
        <v>0</v>
      </c>
      <c r="FL124" s="472"/>
      <c r="FM124" s="450"/>
      <c r="FN124" s="460">
        <f t="shared" si="68"/>
        <v>5109</v>
      </c>
      <c r="FO124" s="469">
        <f t="shared" si="69"/>
        <v>1270</v>
      </c>
    </row>
    <row r="125" spans="1:171" ht="15.75" x14ac:dyDescent="0.25">
      <c r="A125" s="828" t="s">
        <v>1074</v>
      </c>
      <c r="B125" s="829" t="s">
        <v>1274</v>
      </c>
      <c r="C125" s="830"/>
      <c r="D125" s="718">
        <v>133960</v>
      </c>
      <c r="E125" s="821">
        <v>10</v>
      </c>
      <c r="F125" s="532">
        <v>58</v>
      </c>
      <c r="G125" s="831">
        <v>65</v>
      </c>
      <c r="H125" s="457">
        <v>0</v>
      </c>
      <c r="I125" s="831">
        <v>0</v>
      </c>
      <c r="J125" s="457">
        <v>159</v>
      </c>
      <c r="K125" s="831">
        <v>216</v>
      </c>
      <c r="L125" s="458">
        <f t="shared" si="48"/>
        <v>0</v>
      </c>
      <c r="M125" s="449">
        <f t="shared" si="49"/>
        <v>0</v>
      </c>
      <c r="N125" s="459">
        <v>0</v>
      </c>
      <c r="O125" s="459"/>
      <c r="P125" s="459"/>
      <c r="Q125" s="459"/>
      <c r="R125" s="460">
        <f t="shared" si="46"/>
        <v>0</v>
      </c>
      <c r="S125" s="831">
        <v>0</v>
      </c>
      <c r="T125" s="461"/>
      <c r="U125" s="461"/>
      <c r="V125" s="461"/>
      <c r="W125" s="462">
        <f t="shared" si="47"/>
        <v>0</v>
      </c>
      <c r="X125" s="463"/>
      <c r="Y125" s="457"/>
      <c r="Z125" s="466"/>
      <c r="AA125" s="392"/>
      <c r="AB125" s="465"/>
      <c r="AC125" s="457"/>
      <c r="AD125" s="466"/>
      <c r="AE125" s="834"/>
      <c r="AF125" s="465"/>
      <c r="AG125" s="457"/>
      <c r="AH125" s="466"/>
      <c r="AI125" s="834"/>
      <c r="AJ125" s="465"/>
      <c r="AK125" s="457"/>
      <c r="AL125" s="466"/>
      <c r="AM125" s="834"/>
      <c r="AN125" s="465"/>
      <c r="AO125" s="457"/>
      <c r="AP125" s="466"/>
      <c r="AQ125" s="392"/>
      <c r="AR125" s="460">
        <f t="shared" si="50"/>
        <v>0</v>
      </c>
      <c r="AS125" s="467">
        <f t="shared" si="51"/>
        <v>0</v>
      </c>
      <c r="AT125" s="447">
        <f t="shared" si="52"/>
        <v>0</v>
      </c>
      <c r="AU125" s="448">
        <f t="shared" si="53"/>
        <v>0</v>
      </c>
      <c r="AV125" s="457"/>
      <c r="AW125" s="450"/>
      <c r="AX125" s="463"/>
      <c r="AY125" s="457"/>
      <c r="AZ125" s="464"/>
      <c r="BA125" s="464"/>
      <c r="BB125" s="465"/>
      <c r="BC125" s="457"/>
      <c r="BD125" s="464"/>
      <c r="BE125" s="466"/>
      <c r="BF125" s="465"/>
      <c r="BG125" s="457"/>
      <c r="BH125" s="464"/>
      <c r="BI125" s="466"/>
      <c r="BJ125" s="465"/>
      <c r="BK125" s="457"/>
      <c r="BL125" s="464"/>
      <c r="BM125" s="466"/>
      <c r="BN125" s="465"/>
      <c r="BO125" s="457"/>
      <c r="BP125" s="464"/>
      <c r="BQ125" s="466"/>
      <c r="BR125" s="465"/>
      <c r="BS125" s="457"/>
      <c r="BT125" s="464"/>
      <c r="BU125" s="466"/>
      <c r="BV125" s="465"/>
      <c r="BW125" s="457"/>
      <c r="BX125" s="464"/>
      <c r="BY125" s="466"/>
      <c r="BZ125" s="465"/>
      <c r="CA125" s="457"/>
      <c r="CB125" s="464"/>
      <c r="CC125" s="466"/>
      <c r="CD125" s="465"/>
      <c r="CE125" s="457"/>
      <c r="CF125" s="464"/>
      <c r="CG125" s="466"/>
      <c r="CH125" s="465"/>
      <c r="CI125" s="457"/>
      <c r="CJ125" s="464"/>
      <c r="CK125" s="466"/>
      <c r="CL125" s="459"/>
      <c r="CM125" s="450"/>
      <c r="CN125" s="468">
        <f t="shared" si="54"/>
        <v>0</v>
      </c>
      <c r="CO125" s="468">
        <f t="shared" si="55"/>
        <v>0</v>
      </c>
      <c r="CP125" s="469">
        <f t="shared" si="56"/>
        <v>0</v>
      </c>
      <c r="CQ125" s="469">
        <f t="shared" si="57"/>
        <v>0</v>
      </c>
      <c r="CR125" s="463"/>
      <c r="CS125" s="457"/>
      <c r="CT125" s="464"/>
      <c r="CU125" s="464"/>
      <c r="CV125" s="465"/>
      <c r="CW125" s="457"/>
      <c r="CX125" s="464"/>
      <c r="CY125" s="466"/>
      <c r="CZ125" s="465"/>
      <c r="DA125" s="457"/>
      <c r="DB125" s="464"/>
      <c r="DC125" s="466"/>
      <c r="DD125" s="465"/>
      <c r="DE125" s="457"/>
      <c r="DF125" s="464"/>
      <c r="DG125" s="466"/>
      <c r="DH125" s="465"/>
      <c r="DI125" s="457"/>
      <c r="DJ125" s="464"/>
      <c r="DK125" s="466"/>
      <c r="DL125" s="465"/>
      <c r="DM125" s="457"/>
      <c r="DN125" s="464"/>
      <c r="DO125" s="466"/>
      <c r="DP125" s="465"/>
      <c r="DQ125" s="457"/>
      <c r="DR125" s="464"/>
      <c r="DS125" s="466"/>
      <c r="DT125" s="465"/>
      <c r="DU125" s="457"/>
      <c r="DV125" s="464"/>
      <c r="DW125" s="466"/>
      <c r="DX125" s="465"/>
      <c r="DY125" s="457"/>
      <c r="DZ125" s="464"/>
      <c r="EA125" s="466"/>
      <c r="EB125" s="465"/>
      <c r="EC125" s="457"/>
      <c r="ED125" s="464"/>
      <c r="EE125" s="466"/>
      <c r="EF125" s="459"/>
      <c r="EG125" s="450"/>
      <c r="EH125" s="460">
        <f t="shared" si="58"/>
        <v>0</v>
      </c>
      <c r="EI125" s="460">
        <f t="shared" si="59"/>
        <v>0</v>
      </c>
      <c r="EJ125" s="458">
        <f t="shared" si="60"/>
        <v>0</v>
      </c>
      <c r="EK125" s="470">
        <f t="shared" si="61"/>
        <v>0</v>
      </c>
      <c r="EL125" s="470">
        <f t="shared" si="62"/>
        <v>0</v>
      </c>
      <c r="EM125" s="449">
        <f t="shared" si="63"/>
        <v>0</v>
      </c>
      <c r="EN125" s="460">
        <f t="shared" si="64"/>
        <v>0</v>
      </c>
      <c r="EO125" s="469">
        <f t="shared" si="65"/>
        <v>0</v>
      </c>
      <c r="EP125" s="471"/>
      <c r="EQ125" s="450"/>
      <c r="ER125" s="471"/>
      <c r="ES125" s="450"/>
      <c r="ET125" s="471"/>
      <c r="EU125" s="450"/>
      <c r="EV125" s="471"/>
      <c r="EW125" s="450"/>
      <c r="EX125" s="471"/>
      <c r="EY125" s="450"/>
      <c r="EZ125" s="471"/>
      <c r="FA125" s="450"/>
      <c r="FB125" s="471"/>
      <c r="FC125" s="450"/>
      <c r="FD125" s="471"/>
      <c r="FE125" s="450"/>
      <c r="FF125" s="471"/>
      <c r="FG125" s="450"/>
      <c r="FH125" s="472"/>
      <c r="FI125" s="450"/>
      <c r="FJ125" s="468">
        <f t="shared" si="66"/>
        <v>0</v>
      </c>
      <c r="FK125" s="469">
        <f t="shared" si="67"/>
        <v>0</v>
      </c>
      <c r="FL125" s="472"/>
      <c r="FM125" s="450"/>
      <c r="FN125" s="460">
        <f t="shared" si="68"/>
        <v>217</v>
      </c>
      <c r="FO125" s="469">
        <f t="shared" si="69"/>
        <v>281</v>
      </c>
    </row>
    <row r="126" spans="1:171" ht="15.75" x14ac:dyDescent="0.25">
      <c r="A126" s="828" t="s">
        <v>1074</v>
      </c>
      <c r="B126" s="829" t="s">
        <v>1275</v>
      </c>
      <c r="C126" s="830"/>
      <c r="D126" s="718">
        <v>136145</v>
      </c>
      <c r="E126" s="821">
        <v>10</v>
      </c>
      <c r="F126" s="532">
        <v>189</v>
      </c>
      <c r="G126" s="831">
        <v>172</v>
      </c>
      <c r="H126" s="457">
        <v>2</v>
      </c>
      <c r="I126" s="831">
        <v>8</v>
      </c>
      <c r="J126" s="457">
        <v>178</v>
      </c>
      <c r="K126" s="831">
        <v>177</v>
      </c>
      <c r="L126" s="458">
        <f t="shared" si="48"/>
        <v>0</v>
      </c>
      <c r="M126" s="449">
        <f t="shared" si="49"/>
        <v>0</v>
      </c>
      <c r="N126" s="459">
        <v>0</v>
      </c>
      <c r="O126" s="459"/>
      <c r="P126" s="459"/>
      <c r="Q126" s="459"/>
      <c r="R126" s="460">
        <f t="shared" si="46"/>
        <v>0</v>
      </c>
      <c r="S126" s="831">
        <v>0</v>
      </c>
      <c r="T126" s="461"/>
      <c r="U126" s="461"/>
      <c r="V126" s="461"/>
      <c r="W126" s="462">
        <f t="shared" si="47"/>
        <v>0</v>
      </c>
      <c r="X126" s="463"/>
      <c r="Y126" s="457"/>
      <c r="Z126" s="466"/>
      <c r="AA126" s="392"/>
      <c r="AB126" s="465"/>
      <c r="AC126" s="457"/>
      <c r="AD126" s="466"/>
      <c r="AE126" s="834"/>
      <c r="AF126" s="465"/>
      <c r="AG126" s="457"/>
      <c r="AH126" s="466"/>
      <c r="AI126" s="834"/>
      <c r="AJ126" s="465"/>
      <c r="AK126" s="457"/>
      <c r="AL126" s="466"/>
      <c r="AM126" s="834"/>
      <c r="AN126" s="465"/>
      <c r="AO126" s="457"/>
      <c r="AP126" s="466"/>
      <c r="AQ126" s="392"/>
      <c r="AR126" s="460">
        <f t="shared" si="50"/>
        <v>0</v>
      </c>
      <c r="AS126" s="467">
        <f t="shared" si="51"/>
        <v>0</v>
      </c>
      <c r="AT126" s="447">
        <f t="shared" si="52"/>
        <v>0</v>
      </c>
      <c r="AU126" s="448">
        <f t="shared" si="53"/>
        <v>0</v>
      </c>
      <c r="AV126" s="457"/>
      <c r="AW126" s="450"/>
      <c r="AX126" s="463"/>
      <c r="AY126" s="457"/>
      <c r="AZ126" s="464"/>
      <c r="BA126" s="464"/>
      <c r="BB126" s="465"/>
      <c r="BC126" s="457"/>
      <c r="BD126" s="464"/>
      <c r="BE126" s="466"/>
      <c r="BF126" s="465"/>
      <c r="BG126" s="457"/>
      <c r="BH126" s="464"/>
      <c r="BI126" s="466"/>
      <c r="BJ126" s="465"/>
      <c r="BK126" s="457"/>
      <c r="BL126" s="464"/>
      <c r="BM126" s="466"/>
      <c r="BN126" s="465"/>
      <c r="BO126" s="457"/>
      <c r="BP126" s="464"/>
      <c r="BQ126" s="466"/>
      <c r="BR126" s="465"/>
      <c r="BS126" s="457"/>
      <c r="BT126" s="464"/>
      <c r="BU126" s="466"/>
      <c r="BV126" s="465"/>
      <c r="BW126" s="457"/>
      <c r="BX126" s="464"/>
      <c r="BY126" s="466"/>
      <c r="BZ126" s="465"/>
      <c r="CA126" s="457"/>
      <c r="CB126" s="464"/>
      <c r="CC126" s="466"/>
      <c r="CD126" s="465"/>
      <c r="CE126" s="457"/>
      <c r="CF126" s="464"/>
      <c r="CG126" s="466"/>
      <c r="CH126" s="465"/>
      <c r="CI126" s="457"/>
      <c r="CJ126" s="464"/>
      <c r="CK126" s="466"/>
      <c r="CL126" s="459"/>
      <c r="CM126" s="450"/>
      <c r="CN126" s="468">
        <f t="shared" si="54"/>
        <v>0</v>
      </c>
      <c r="CO126" s="468">
        <f t="shared" si="55"/>
        <v>0</v>
      </c>
      <c r="CP126" s="469">
        <f t="shared" si="56"/>
        <v>0</v>
      </c>
      <c r="CQ126" s="469">
        <f t="shared" si="57"/>
        <v>0</v>
      </c>
      <c r="CR126" s="463"/>
      <c r="CS126" s="457"/>
      <c r="CT126" s="464"/>
      <c r="CU126" s="464"/>
      <c r="CV126" s="465"/>
      <c r="CW126" s="457"/>
      <c r="CX126" s="464"/>
      <c r="CY126" s="466"/>
      <c r="CZ126" s="465"/>
      <c r="DA126" s="457"/>
      <c r="DB126" s="464"/>
      <c r="DC126" s="466"/>
      <c r="DD126" s="465"/>
      <c r="DE126" s="457"/>
      <c r="DF126" s="464"/>
      <c r="DG126" s="466"/>
      <c r="DH126" s="465"/>
      <c r="DI126" s="457"/>
      <c r="DJ126" s="464"/>
      <c r="DK126" s="466"/>
      <c r="DL126" s="465"/>
      <c r="DM126" s="457"/>
      <c r="DN126" s="464"/>
      <c r="DO126" s="466"/>
      <c r="DP126" s="465"/>
      <c r="DQ126" s="457"/>
      <c r="DR126" s="464"/>
      <c r="DS126" s="466"/>
      <c r="DT126" s="465"/>
      <c r="DU126" s="457"/>
      <c r="DV126" s="464"/>
      <c r="DW126" s="466"/>
      <c r="DX126" s="465"/>
      <c r="DY126" s="457"/>
      <c r="DZ126" s="464"/>
      <c r="EA126" s="466"/>
      <c r="EB126" s="465"/>
      <c r="EC126" s="457"/>
      <c r="ED126" s="464"/>
      <c r="EE126" s="466"/>
      <c r="EF126" s="459"/>
      <c r="EG126" s="450"/>
      <c r="EH126" s="460">
        <f t="shared" si="58"/>
        <v>0</v>
      </c>
      <c r="EI126" s="460">
        <f t="shared" si="59"/>
        <v>0</v>
      </c>
      <c r="EJ126" s="458">
        <f t="shared" si="60"/>
        <v>0</v>
      </c>
      <c r="EK126" s="470">
        <f t="shared" si="61"/>
        <v>0</v>
      </c>
      <c r="EL126" s="470">
        <f t="shared" si="62"/>
        <v>0</v>
      </c>
      <c r="EM126" s="449">
        <f t="shared" si="63"/>
        <v>0</v>
      </c>
      <c r="EN126" s="460">
        <f t="shared" si="64"/>
        <v>0</v>
      </c>
      <c r="EO126" s="469">
        <f t="shared" si="65"/>
        <v>0</v>
      </c>
      <c r="EP126" s="471"/>
      <c r="EQ126" s="450"/>
      <c r="ER126" s="471"/>
      <c r="ES126" s="450"/>
      <c r="ET126" s="471"/>
      <c r="EU126" s="450"/>
      <c r="EV126" s="471"/>
      <c r="EW126" s="450"/>
      <c r="EX126" s="471"/>
      <c r="EY126" s="450"/>
      <c r="EZ126" s="471"/>
      <c r="FA126" s="450"/>
      <c r="FB126" s="471"/>
      <c r="FC126" s="450"/>
      <c r="FD126" s="471"/>
      <c r="FE126" s="450"/>
      <c r="FF126" s="471"/>
      <c r="FG126" s="450"/>
      <c r="FH126" s="472"/>
      <c r="FI126" s="450"/>
      <c r="FJ126" s="468">
        <f t="shared" si="66"/>
        <v>0</v>
      </c>
      <c r="FK126" s="469">
        <f t="shared" si="67"/>
        <v>0</v>
      </c>
      <c r="FL126" s="472"/>
      <c r="FM126" s="450"/>
      <c r="FN126" s="460">
        <f t="shared" si="68"/>
        <v>369</v>
      </c>
      <c r="FO126" s="469">
        <f t="shared" si="69"/>
        <v>357</v>
      </c>
    </row>
    <row r="127" spans="1:171" x14ac:dyDescent="0.2">
      <c r="A127" s="730" t="s">
        <v>548</v>
      </c>
      <c r="B127" s="548" t="s">
        <v>703</v>
      </c>
      <c r="C127" s="568"/>
      <c r="D127" s="559">
        <v>139940</v>
      </c>
      <c r="E127" s="561">
        <v>1</v>
      </c>
      <c r="F127" s="457"/>
      <c r="G127" s="450"/>
      <c r="H127" s="457"/>
      <c r="I127" s="450"/>
      <c r="J127" s="457"/>
      <c r="K127" s="450"/>
      <c r="L127" s="458">
        <f t="shared" si="48"/>
        <v>0</v>
      </c>
      <c r="M127" s="449">
        <f t="shared" si="49"/>
        <v>0</v>
      </c>
      <c r="N127" s="459">
        <v>4117</v>
      </c>
      <c r="O127" s="459">
        <v>298</v>
      </c>
      <c r="P127" s="459"/>
      <c r="Q127" s="459"/>
      <c r="R127" s="460">
        <f t="shared" si="46"/>
        <v>298</v>
      </c>
      <c r="S127" s="461">
        <v>4380</v>
      </c>
      <c r="T127" s="461">
        <v>331</v>
      </c>
      <c r="U127" s="461"/>
      <c r="V127" s="461"/>
      <c r="W127" s="462">
        <f t="shared" si="47"/>
        <v>331</v>
      </c>
      <c r="X127" s="463"/>
      <c r="Y127" s="457"/>
      <c r="Z127" s="464"/>
      <c r="AA127" s="464"/>
      <c r="AB127" s="465"/>
      <c r="AC127" s="457"/>
      <c r="AD127" s="464"/>
      <c r="AE127" s="466"/>
      <c r="AF127" s="465"/>
      <c r="AG127" s="457"/>
      <c r="AH127" s="464"/>
      <c r="AI127" s="466"/>
      <c r="AJ127" s="465"/>
      <c r="AK127" s="457"/>
      <c r="AL127" s="464"/>
      <c r="AM127" s="466"/>
      <c r="AN127" s="465"/>
      <c r="AO127" s="457"/>
      <c r="AP127" s="464"/>
      <c r="AQ127" s="464"/>
      <c r="AR127" s="460">
        <f t="shared" si="50"/>
        <v>0</v>
      </c>
      <c r="AS127" s="467">
        <f t="shared" si="51"/>
        <v>0.61438591255036556</v>
      </c>
      <c r="AT127" s="447">
        <f t="shared" si="52"/>
        <v>0</v>
      </c>
      <c r="AU127" s="448">
        <f t="shared" si="53"/>
        <v>0.6075738660008323</v>
      </c>
      <c r="AV127" s="457">
        <v>46</v>
      </c>
      <c r="AW127" s="450">
        <v>31</v>
      </c>
      <c r="AX127" s="463">
        <v>52</v>
      </c>
      <c r="AY127" s="457">
        <v>688</v>
      </c>
      <c r="AZ127" s="464">
        <v>52</v>
      </c>
      <c r="BA127" s="464">
        <v>803</v>
      </c>
      <c r="BB127" s="465">
        <v>13</v>
      </c>
      <c r="BC127" s="457">
        <v>617</v>
      </c>
      <c r="BD127" s="464">
        <v>13</v>
      </c>
      <c r="BE127" s="466">
        <v>591</v>
      </c>
      <c r="BF127" s="465">
        <v>51</v>
      </c>
      <c r="BG127" s="457">
        <v>179</v>
      </c>
      <c r="BH127" s="464">
        <v>51</v>
      </c>
      <c r="BI127" s="466">
        <v>237</v>
      </c>
      <c r="BJ127" s="465">
        <v>44</v>
      </c>
      <c r="BK127" s="457">
        <v>93</v>
      </c>
      <c r="BL127" s="464">
        <v>44</v>
      </c>
      <c r="BM127" s="466">
        <v>105</v>
      </c>
      <c r="BN127" s="465">
        <v>45</v>
      </c>
      <c r="BO127" s="457">
        <v>79</v>
      </c>
      <c r="BP127" s="464">
        <v>26</v>
      </c>
      <c r="BQ127" s="466">
        <v>85</v>
      </c>
      <c r="BR127" s="465">
        <v>26</v>
      </c>
      <c r="BS127" s="457">
        <v>78</v>
      </c>
      <c r="BT127" s="392">
        <v>45</v>
      </c>
      <c r="BU127" s="392">
        <v>77</v>
      </c>
      <c r="BV127" s="465">
        <v>31</v>
      </c>
      <c r="BW127" s="457">
        <v>60</v>
      </c>
      <c r="BX127" s="464">
        <v>11</v>
      </c>
      <c r="BY127" s="466">
        <v>70</v>
      </c>
      <c r="BZ127" s="465">
        <v>11</v>
      </c>
      <c r="CA127" s="457">
        <v>49</v>
      </c>
      <c r="CB127" s="464">
        <v>31</v>
      </c>
      <c r="CC127" s="466">
        <v>69</v>
      </c>
      <c r="CD127" s="465">
        <v>42</v>
      </c>
      <c r="CE127" s="457">
        <v>45</v>
      </c>
      <c r="CF127" s="464">
        <v>50</v>
      </c>
      <c r="CG127" s="466">
        <v>45</v>
      </c>
      <c r="CH127" s="465">
        <v>50</v>
      </c>
      <c r="CI127" s="457">
        <v>43</v>
      </c>
      <c r="CJ127" s="464">
        <v>40</v>
      </c>
      <c r="CK127" s="466">
        <v>47</v>
      </c>
      <c r="CL127" s="459">
        <v>191</v>
      </c>
      <c r="CM127" s="450">
        <v>230</v>
      </c>
      <c r="CN127" s="468">
        <f t="shared" si="54"/>
        <v>2122</v>
      </c>
      <c r="CO127" s="468">
        <f t="shared" si="55"/>
        <v>10</v>
      </c>
      <c r="CP127" s="469">
        <f t="shared" si="56"/>
        <v>2359</v>
      </c>
      <c r="CQ127" s="469">
        <f t="shared" si="57"/>
        <v>10</v>
      </c>
      <c r="CR127" s="463">
        <v>13</v>
      </c>
      <c r="CS127" s="457">
        <v>50</v>
      </c>
      <c r="CT127" s="464">
        <v>13</v>
      </c>
      <c r="CU127" s="464">
        <v>59</v>
      </c>
      <c r="CV127" s="465">
        <v>51</v>
      </c>
      <c r="CW127" s="457">
        <v>46</v>
      </c>
      <c r="CX127" s="464">
        <v>51</v>
      </c>
      <c r="CY127" s="466">
        <v>39</v>
      </c>
      <c r="CZ127" s="465">
        <v>42</v>
      </c>
      <c r="DA127" s="457">
        <v>26</v>
      </c>
      <c r="DB127" s="464">
        <v>45</v>
      </c>
      <c r="DC127" s="466">
        <v>25</v>
      </c>
      <c r="DD127" s="465">
        <v>45</v>
      </c>
      <c r="DE127" s="457">
        <v>17</v>
      </c>
      <c r="DF127" s="464">
        <v>23</v>
      </c>
      <c r="DG127" s="466">
        <v>19</v>
      </c>
      <c r="DH127" s="465">
        <v>52</v>
      </c>
      <c r="DI127" s="457">
        <v>15</v>
      </c>
      <c r="DJ127" s="464">
        <v>26</v>
      </c>
      <c r="DK127" s="466">
        <v>19</v>
      </c>
      <c r="DL127" s="465">
        <v>11</v>
      </c>
      <c r="DM127" s="457">
        <v>14</v>
      </c>
      <c r="DN127" s="464">
        <v>42</v>
      </c>
      <c r="DO127" s="466">
        <v>18</v>
      </c>
      <c r="DP127" s="465">
        <v>40</v>
      </c>
      <c r="DQ127" s="457">
        <v>13</v>
      </c>
      <c r="DR127" s="464">
        <v>52</v>
      </c>
      <c r="DS127" s="466">
        <v>18</v>
      </c>
      <c r="DT127" s="465">
        <v>26</v>
      </c>
      <c r="DU127" s="457">
        <v>10</v>
      </c>
      <c r="DV127" s="464">
        <v>40</v>
      </c>
      <c r="DW127" s="466">
        <v>17</v>
      </c>
      <c r="DX127" s="465">
        <v>9</v>
      </c>
      <c r="DY127" s="457">
        <v>8</v>
      </c>
      <c r="DZ127" s="464">
        <v>11</v>
      </c>
      <c r="EA127" s="466">
        <v>10</v>
      </c>
      <c r="EB127" s="465">
        <v>54</v>
      </c>
      <c r="EC127" s="457">
        <v>4</v>
      </c>
      <c r="ED127" s="464">
        <v>44</v>
      </c>
      <c r="EE127" s="466">
        <v>7</v>
      </c>
      <c r="EF127" s="459">
        <v>25</v>
      </c>
      <c r="EG127" s="450">
        <v>16</v>
      </c>
      <c r="EH127" s="460">
        <f t="shared" si="58"/>
        <v>228</v>
      </c>
      <c r="EI127" s="460">
        <f t="shared" si="59"/>
        <v>10</v>
      </c>
      <c r="EJ127" s="458">
        <f t="shared" si="60"/>
        <v>0.21929824561403508</v>
      </c>
      <c r="EK127" s="470">
        <f t="shared" si="61"/>
        <v>247</v>
      </c>
      <c r="EL127" s="470">
        <f t="shared" si="62"/>
        <v>10</v>
      </c>
      <c r="EM127" s="449">
        <f t="shared" si="63"/>
        <v>0.23886639676113361</v>
      </c>
      <c r="EN127" s="460">
        <f t="shared" si="64"/>
        <v>2350</v>
      </c>
      <c r="EO127" s="469">
        <f t="shared" si="65"/>
        <v>2606</v>
      </c>
      <c r="EP127" s="471">
        <v>188</v>
      </c>
      <c r="EQ127" s="450">
        <v>192</v>
      </c>
      <c r="ER127" s="471"/>
      <c r="ES127" s="450"/>
      <c r="ET127" s="471"/>
      <c r="EU127" s="450"/>
      <c r="EV127" s="471"/>
      <c r="EW127" s="450"/>
      <c r="EX127" s="471"/>
      <c r="EY127" s="450"/>
      <c r="EZ127" s="471"/>
      <c r="FA127" s="450"/>
      <c r="FB127" s="471"/>
      <c r="FC127" s="450"/>
      <c r="FD127" s="471"/>
      <c r="FE127" s="450"/>
      <c r="FF127" s="471"/>
      <c r="FG127" s="450"/>
      <c r="FH127" s="472"/>
      <c r="FI127" s="450"/>
      <c r="FJ127" s="468">
        <f t="shared" si="66"/>
        <v>188</v>
      </c>
      <c r="FK127" s="469">
        <f t="shared" si="67"/>
        <v>192</v>
      </c>
      <c r="FL127" s="472"/>
      <c r="FM127" s="450"/>
      <c r="FN127" s="460">
        <f t="shared" si="68"/>
        <v>6701</v>
      </c>
      <c r="FO127" s="469">
        <f t="shared" si="69"/>
        <v>7209</v>
      </c>
    </row>
    <row r="128" spans="1:171" x14ac:dyDescent="0.2">
      <c r="A128" s="730" t="s">
        <v>548</v>
      </c>
      <c r="B128" s="548" t="s">
        <v>704</v>
      </c>
      <c r="C128" s="568"/>
      <c r="D128" s="559">
        <v>139959</v>
      </c>
      <c r="E128" s="561">
        <v>1</v>
      </c>
      <c r="F128" s="457"/>
      <c r="G128" s="450"/>
      <c r="H128" s="457"/>
      <c r="I128" s="450"/>
      <c r="J128" s="457"/>
      <c r="K128" s="450"/>
      <c r="L128" s="458">
        <f t="shared" si="48"/>
        <v>0</v>
      </c>
      <c r="M128" s="449">
        <f t="shared" si="49"/>
        <v>0</v>
      </c>
      <c r="N128" s="549">
        <v>6830</v>
      </c>
      <c r="O128" s="459">
        <v>446</v>
      </c>
      <c r="P128" s="459"/>
      <c r="Q128" s="459"/>
      <c r="R128" s="460">
        <f t="shared" si="46"/>
        <v>446</v>
      </c>
      <c r="S128" s="461">
        <v>6834</v>
      </c>
      <c r="T128" s="461">
        <v>400</v>
      </c>
      <c r="U128" s="461"/>
      <c r="V128" s="461"/>
      <c r="W128" s="462">
        <f t="shared" si="47"/>
        <v>400</v>
      </c>
      <c r="X128" s="463"/>
      <c r="Y128" s="457"/>
      <c r="Z128" s="464"/>
      <c r="AA128" s="464"/>
      <c r="AB128" s="465"/>
      <c r="AC128" s="457"/>
      <c r="AD128" s="464"/>
      <c r="AE128" s="466"/>
      <c r="AF128" s="465"/>
      <c r="AG128" s="457"/>
      <c r="AH128" s="464"/>
      <c r="AI128" s="466"/>
      <c r="AJ128" s="465"/>
      <c r="AK128" s="457"/>
      <c r="AL128" s="464"/>
      <c r="AM128" s="466"/>
      <c r="AN128" s="465"/>
      <c r="AO128" s="457"/>
      <c r="AP128" s="464"/>
      <c r="AQ128" s="464"/>
      <c r="AR128" s="460">
        <f t="shared" si="50"/>
        <v>0</v>
      </c>
      <c r="AS128" s="467">
        <f t="shared" si="51"/>
        <v>0.71458464113831344</v>
      </c>
      <c r="AT128" s="447">
        <f t="shared" si="52"/>
        <v>0</v>
      </c>
      <c r="AU128" s="448">
        <f t="shared" si="53"/>
        <v>0.7182343667892801</v>
      </c>
      <c r="AV128" s="457"/>
      <c r="AW128" s="450"/>
      <c r="AX128" s="463">
        <v>13</v>
      </c>
      <c r="AY128" s="457">
        <v>591</v>
      </c>
      <c r="AZ128" s="464">
        <v>13</v>
      </c>
      <c r="BA128" s="464">
        <v>436</v>
      </c>
      <c r="BB128" s="465">
        <v>52</v>
      </c>
      <c r="BC128" s="457">
        <v>401</v>
      </c>
      <c r="BD128" s="464">
        <v>52</v>
      </c>
      <c r="BE128" s="466">
        <v>382</v>
      </c>
      <c r="BF128" s="465">
        <v>44</v>
      </c>
      <c r="BG128" s="457">
        <v>193</v>
      </c>
      <c r="BH128" s="464">
        <v>44</v>
      </c>
      <c r="BI128" s="466">
        <v>204</v>
      </c>
      <c r="BJ128" s="465">
        <v>51</v>
      </c>
      <c r="BK128" s="457">
        <v>110</v>
      </c>
      <c r="BL128" s="464">
        <v>41</v>
      </c>
      <c r="BM128" s="466">
        <v>130</v>
      </c>
      <c r="BN128" s="465">
        <v>1</v>
      </c>
      <c r="BO128" s="457">
        <v>80</v>
      </c>
      <c r="BP128" s="464">
        <v>1</v>
      </c>
      <c r="BQ128" s="466">
        <v>76</v>
      </c>
      <c r="BR128" s="465">
        <v>50</v>
      </c>
      <c r="BS128" s="457">
        <v>64</v>
      </c>
      <c r="BT128" s="392">
        <v>50</v>
      </c>
      <c r="BU128" s="392">
        <v>64</v>
      </c>
      <c r="BV128" s="465">
        <v>42</v>
      </c>
      <c r="BW128" s="457">
        <v>59</v>
      </c>
      <c r="BX128" s="464">
        <v>31</v>
      </c>
      <c r="BY128" s="466">
        <v>56</v>
      </c>
      <c r="BZ128" s="465">
        <v>11</v>
      </c>
      <c r="CA128" s="457">
        <v>54</v>
      </c>
      <c r="CB128" s="464">
        <v>3</v>
      </c>
      <c r="CC128" s="466">
        <v>45</v>
      </c>
      <c r="CD128" s="465">
        <v>3</v>
      </c>
      <c r="CE128" s="457">
        <v>52</v>
      </c>
      <c r="CF128" s="464">
        <v>9</v>
      </c>
      <c r="CG128" s="466">
        <v>41</v>
      </c>
      <c r="CH128" s="465">
        <v>9</v>
      </c>
      <c r="CI128" s="457">
        <v>45</v>
      </c>
      <c r="CJ128" s="464">
        <v>45</v>
      </c>
      <c r="CK128" s="466">
        <v>39</v>
      </c>
      <c r="CL128" s="459">
        <v>195</v>
      </c>
      <c r="CM128" s="450">
        <v>305</v>
      </c>
      <c r="CN128" s="468">
        <f t="shared" si="54"/>
        <v>1844</v>
      </c>
      <c r="CO128" s="468">
        <f t="shared" si="55"/>
        <v>10</v>
      </c>
      <c r="CP128" s="469">
        <f t="shared" si="56"/>
        <v>1778</v>
      </c>
      <c r="CQ128" s="469">
        <f t="shared" si="57"/>
        <v>10</v>
      </c>
      <c r="CR128" s="463">
        <v>13</v>
      </c>
      <c r="CS128" s="457">
        <v>145</v>
      </c>
      <c r="CT128" s="464">
        <v>13</v>
      </c>
      <c r="CU128" s="464">
        <v>130</v>
      </c>
      <c r="CV128" s="465">
        <v>26</v>
      </c>
      <c r="CW128" s="457">
        <v>48</v>
      </c>
      <c r="CX128" s="464">
        <v>26</v>
      </c>
      <c r="CY128" s="466">
        <v>65</v>
      </c>
      <c r="CZ128" s="465">
        <v>40</v>
      </c>
      <c r="DA128" s="457">
        <v>38</v>
      </c>
      <c r="DB128" s="464">
        <v>51</v>
      </c>
      <c r="DC128" s="466">
        <v>32</v>
      </c>
      <c r="DD128" s="465">
        <v>42</v>
      </c>
      <c r="DE128" s="457">
        <v>31</v>
      </c>
      <c r="DF128" s="464">
        <v>40</v>
      </c>
      <c r="DG128" s="466">
        <v>23</v>
      </c>
      <c r="DH128" s="465">
        <v>45</v>
      </c>
      <c r="DI128" s="457">
        <v>28</v>
      </c>
      <c r="DJ128" s="464">
        <v>45</v>
      </c>
      <c r="DK128" s="466">
        <v>21</v>
      </c>
      <c r="DL128" s="465">
        <v>1</v>
      </c>
      <c r="DM128" s="457">
        <v>25</v>
      </c>
      <c r="DN128" s="464">
        <v>42</v>
      </c>
      <c r="DO128" s="466">
        <v>20</v>
      </c>
      <c r="DP128" s="465">
        <v>50</v>
      </c>
      <c r="DQ128" s="457">
        <v>21</v>
      </c>
      <c r="DR128" s="464">
        <v>50</v>
      </c>
      <c r="DS128" s="466">
        <v>19</v>
      </c>
      <c r="DT128" s="465">
        <v>52</v>
      </c>
      <c r="DU128" s="457">
        <v>14</v>
      </c>
      <c r="DV128" s="464">
        <v>19</v>
      </c>
      <c r="DW128" s="466">
        <v>18</v>
      </c>
      <c r="DX128" s="465">
        <v>23</v>
      </c>
      <c r="DY128" s="457">
        <v>14</v>
      </c>
      <c r="DZ128" s="464">
        <v>52</v>
      </c>
      <c r="EA128" s="466">
        <v>18</v>
      </c>
      <c r="EB128" s="465">
        <v>3</v>
      </c>
      <c r="EC128" s="457">
        <v>12</v>
      </c>
      <c r="ED128" s="464">
        <v>1</v>
      </c>
      <c r="EE128" s="466">
        <v>17</v>
      </c>
      <c r="EF128" s="459">
        <v>62</v>
      </c>
      <c r="EG128" s="450">
        <v>90</v>
      </c>
      <c r="EH128" s="460">
        <f t="shared" si="58"/>
        <v>438</v>
      </c>
      <c r="EI128" s="460">
        <f t="shared" si="59"/>
        <v>10</v>
      </c>
      <c r="EJ128" s="458">
        <f t="shared" si="60"/>
        <v>0.33105022831050229</v>
      </c>
      <c r="EK128" s="470">
        <f t="shared" si="61"/>
        <v>453</v>
      </c>
      <c r="EL128" s="470">
        <f t="shared" si="62"/>
        <v>10</v>
      </c>
      <c r="EM128" s="449">
        <f t="shared" si="63"/>
        <v>0.28697571743929362</v>
      </c>
      <c r="EN128" s="460">
        <f t="shared" si="64"/>
        <v>2282</v>
      </c>
      <c r="EO128" s="469">
        <f t="shared" si="65"/>
        <v>2231</v>
      </c>
      <c r="EP128" s="471">
        <v>227</v>
      </c>
      <c r="EQ128" s="450">
        <v>229</v>
      </c>
      <c r="ER128" s="471"/>
      <c r="ES128" s="450"/>
      <c r="ET128" s="471"/>
      <c r="EU128" s="450"/>
      <c r="EV128" s="471">
        <v>122</v>
      </c>
      <c r="EW128" s="450">
        <v>122</v>
      </c>
      <c r="EX128" s="471"/>
      <c r="EY128" s="450"/>
      <c r="EZ128" s="471"/>
      <c r="FA128" s="450"/>
      <c r="FB128" s="471"/>
      <c r="FC128" s="450"/>
      <c r="FD128" s="471">
        <v>97</v>
      </c>
      <c r="FE128" s="450">
        <v>99</v>
      </c>
      <c r="FF128" s="471"/>
      <c r="FG128" s="450"/>
      <c r="FH128" s="472"/>
      <c r="FI128" s="450"/>
      <c r="FJ128" s="468">
        <f t="shared" si="66"/>
        <v>446</v>
      </c>
      <c r="FK128" s="469">
        <f t="shared" si="67"/>
        <v>450</v>
      </c>
      <c r="FL128" s="472"/>
      <c r="FM128" s="450"/>
      <c r="FN128" s="460">
        <f t="shared" si="68"/>
        <v>9558</v>
      </c>
      <c r="FO128" s="469">
        <f t="shared" si="69"/>
        <v>9515</v>
      </c>
    </row>
    <row r="129" spans="1:171" x14ac:dyDescent="0.2">
      <c r="A129" s="730" t="s">
        <v>548</v>
      </c>
      <c r="B129" s="548" t="s">
        <v>705</v>
      </c>
      <c r="C129" s="568"/>
      <c r="D129" s="559">
        <v>139755</v>
      </c>
      <c r="E129" s="561">
        <v>2</v>
      </c>
      <c r="F129" s="457"/>
      <c r="G129" s="450"/>
      <c r="H129" s="457"/>
      <c r="I129" s="450"/>
      <c r="J129" s="457"/>
      <c r="K129" s="450"/>
      <c r="L129" s="458">
        <f t="shared" si="48"/>
        <v>0</v>
      </c>
      <c r="M129" s="449">
        <f t="shared" si="49"/>
        <v>0</v>
      </c>
      <c r="N129" s="459">
        <v>3024</v>
      </c>
      <c r="O129" s="459">
        <v>0</v>
      </c>
      <c r="P129" s="459"/>
      <c r="Q129" s="459"/>
      <c r="R129" s="460">
        <f t="shared" si="46"/>
        <v>0</v>
      </c>
      <c r="S129" s="461">
        <v>2866</v>
      </c>
      <c r="T129" s="461"/>
      <c r="U129" s="461"/>
      <c r="V129" s="461"/>
      <c r="W129" s="462">
        <f t="shared" si="47"/>
        <v>0</v>
      </c>
      <c r="X129" s="463"/>
      <c r="Y129" s="457"/>
      <c r="Z129" s="464"/>
      <c r="AA129" s="464"/>
      <c r="AB129" s="465"/>
      <c r="AC129" s="457"/>
      <c r="AD129" s="464"/>
      <c r="AE129" s="466"/>
      <c r="AF129" s="465"/>
      <c r="AG129" s="457"/>
      <c r="AH129" s="464"/>
      <c r="AI129" s="466"/>
      <c r="AJ129" s="465"/>
      <c r="AK129" s="457"/>
      <c r="AL129" s="464"/>
      <c r="AM129" s="466"/>
      <c r="AN129" s="465"/>
      <c r="AO129" s="457"/>
      <c r="AP129" s="464"/>
      <c r="AQ129" s="464"/>
      <c r="AR129" s="460">
        <f t="shared" si="50"/>
        <v>0</v>
      </c>
      <c r="AS129" s="467">
        <f t="shared" si="51"/>
        <v>0.56533931575995511</v>
      </c>
      <c r="AT129" s="447">
        <f t="shared" si="52"/>
        <v>0</v>
      </c>
      <c r="AU129" s="448">
        <f t="shared" si="53"/>
        <v>0.54311161644873984</v>
      </c>
      <c r="AV129" s="457"/>
      <c r="AW129" s="450"/>
      <c r="AX129" s="463">
        <v>14</v>
      </c>
      <c r="AY129" s="457">
        <v>928</v>
      </c>
      <c r="AZ129" s="464">
        <v>14</v>
      </c>
      <c r="BA129" s="464">
        <v>973</v>
      </c>
      <c r="BB129" s="465">
        <v>52</v>
      </c>
      <c r="BC129" s="457">
        <v>293</v>
      </c>
      <c r="BD129" s="464">
        <v>52</v>
      </c>
      <c r="BE129" s="466">
        <v>333</v>
      </c>
      <c r="BF129" s="465">
        <v>11</v>
      </c>
      <c r="BG129" s="457">
        <v>281</v>
      </c>
      <c r="BH129" s="464">
        <v>11</v>
      </c>
      <c r="BI129" s="466">
        <v>187</v>
      </c>
      <c r="BJ129" s="465">
        <v>4</v>
      </c>
      <c r="BK129" s="457">
        <v>167</v>
      </c>
      <c r="BL129" s="464">
        <v>4</v>
      </c>
      <c r="BM129" s="466">
        <v>164</v>
      </c>
      <c r="BN129" s="465">
        <v>40</v>
      </c>
      <c r="BO129" s="457">
        <v>38</v>
      </c>
      <c r="BP129" s="464">
        <v>27</v>
      </c>
      <c r="BQ129" s="466">
        <v>90</v>
      </c>
      <c r="BR129" s="465">
        <v>27</v>
      </c>
      <c r="BS129" s="457">
        <v>35</v>
      </c>
      <c r="BT129" s="392">
        <v>40</v>
      </c>
      <c r="BU129" s="392">
        <v>39</v>
      </c>
      <c r="BV129" s="465">
        <v>51</v>
      </c>
      <c r="BW129" s="457">
        <v>35</v>
      </c>
      <c r="BX129" s="464">
        <v>50</v>
      </c>
      <c r="BY129" s="466">
        <v>27</v>
      </c>
      <c r="BZ129" s="465">
        <v>45</v>
      </c>
      <c r="CA129" s="457">
        <v>24</v>
      </c>
      <c r="CB129" s="464">
        <v>45</v>
      </c>
      <c r="CC129" s="466">
        <v>25</v>
      </c>
      <c r="CD129" s="465">
        <v>26</v>
      </c>
      <c r="CE129" s="457">
        <v>19</v>
      </c>
      <c r="CF129" s="464">
        <v>51</v>
      </c>
      <c r="CG129" s="466">
        <v>23</v>
      </c>
      <c r="CH129" s="465">
        <v>50</v>
      </c>
      <c r="CI129" s="457">
        <v>16</v>
      </c>
      <c r="CJ129" s="464">
        <v>26</v>
      </c>
      <c r="CK129" s="466">
        <v>21</v>
      </c>
      <c r="CL129" s="459">
        <v>42</v>
      </c>
      <c r="CM129" s="450">
        <v>48</v>
      </c>
      <c r="CN129" s="468">
        <f t="shared" si="54"/>
        <v>1878</v>
      </c>
      <c r="CO129" s="468">
        <f t="shared" si="55"/>
        <v>10</v>
      </c>
      <c r="CP129" s="469">
        <f t="shared" si="56"/>
        <v>1930</v>
      </c>
      <c r="CQ129" s="469">
        <f t="shared" si="57"/>
        <v>10</v>
      </c>
      <c r="CR129" s="463">
        <v>14</v>
      </c>
      <c r="CS129" s="457">
        <v>291</v>
      </c>
      <c r="CT129" s="464">
        <v>14</v>
      </c>
      <c r="CU129" s="464">
        <v>307</v>
      </c>
      <c r="CV129" s="465">
        <v>40</v>
      </c>
      <c r="CW129" s="457">
        <v>62</v>
      </c>
      <c r="CX129" s="464">
        <v>40</v>
      </c>
      <c r="CY129" s="466">
        <v>51</v>
      </c>
      <c r="CZ129" s="465">
        <v>11</v>
      </c>
      <c r="DA129" s="457">
        <v>31</v>
      </c>
      <c r="DB129" s="464">
        <v>11</v>
      </c>
      <c r="DC129" s="466">
        <v>44</v>
      </c>
      <c r="DD129" s="465">
        <v>4</v>
      </c>
      <c r="DE129" s="457">
        <v>14</v>
      </c>
      <c r="DF129" s="464">
        <v>26</v>
      </c>
      <c r="DG129" s="466">
        <v>18</v>
      </c>
      <c r="DH129" s="465">
        <v>27</v>
      </c>
      <c r="DI129" s="457">
        <v>13</v>
      </c>
      <c r="DJ129" s="464">
        <v>42</v>
      </c>
      <c r="DK129" s="466">
        <v>15</v>
      </c>
      <c r="DL129" s="465">
        <v>26</v>
      </c>
      <c r="DM129" s="457">
        <v>11</v>
      </c>
      <c r="DN129" s="464">
        <v>4</v>
      </c>
      <c r="DO129" s="466">
        <v>14</v>
      </c>
      <c r="DP129" s="465">
        <v>44</v>
      </c>
      <c r="DQ129" s="457">
        <v>8</v>
      </c>
      <c r="DR129" s="464">
        <v>27</v>
      </c>
      <c r="DS129" s="466">
        <v>13</v>
      </c>
      <c r="DT129" s="465">
        <v>52</v>
      </c>
      <c r="DU129" s="457">
        <v>8</v>
      </c>
      <c r="DV129" s="464">
        <v>44</v>
      </c>
      <c r="DW129" s="466">
        <v>12</v>
      </c>
      <c r="DX129" s="465">
        <v>9</v>
      </c>
      <c r="DY129" s="457">
        <v>4</v>
      </c>
      <c r="DZ129" s="464">
        <v>52</v>
      </c>
      <c r="EA129" s="466">
        <v>4</v>
      </c>
      <c r="EB129" s="465">
        <v>54</v>
      </c>
      <c r="EC129" s="457">
        <v>1</v>
      </c>
      <c r="ED129" s="464">
        <v>54</v>
      </c>
      <c r="EE129" s="466">
        <v>3</v>
      </c>
      <c r="EF129" s="459">
        <v>4</v>
      </c>
      <c r="EG129" s="450">
        <v>0</v>
      </c>
      <c r="EH129" s="460">
        <f t="shared" si="58"/>
        <v>447</v>
      </c>
      <c r="EI129" s="460">
        <f t="shared" si="59"/>
        <v>10</v>
      </c>
      <c r="EJ129" s="458">
        <f t="shared" si="60"/>
        <v>0.65100671140939592</v>
      </c>
      <c r="EK129" s="470">
        <f t="shared" si="61"/>
        <v>481</v>
      </c>
      <c r="EL129" s="470">
        <f t="shared" si="62"/>
        <v>10</v>
      </c>
      <c r="EM129" s="449">
        <f t="shared" si="63"/>
        <v>0.63825363825363823</v>
      </c>
      <c r="EN129" s="460">
        <f t="shared" si="64"/>
        <v>2325</v>
      </c>
      <c r="EO129" s="469">
        <f t="shared" si="65"/>
        <v>2411</v>
      </c>
      <c r="EP129" s="471"/>
      <c r="EQ129" s="450"/>
      <c r="ER129" s="471"/>
      <c r="ES129" s="450"/>
      <c r="ET129" s="471"/>
      <c r="EU129" s="450"/>
      <c r="EV129" s="471"/>
      <c r="EW129" s="450"/>
      <c r="EX129" s="471"/>
      <c r="EY129" s="450"/>
      <c r="EZ129" s="471"/>
      <c r="FA129" s="450"/>
      <c r="FB129" s="471"/>
      <c r="FC129" s="450"/>
      <c r="FD129" s="471"/>
      <c r="FE129" s="450"/>
      <c r="FF129" s="471"/>
      <c r="FG129" s="450"/>
      <c r="FH129" s="472"/>
      <c r="FI129" s="450"/>
      <c r="FJ129" s="468">
        <f t="shared" si="66"/>
        <v>0</v>
      </c>
      <c r="FK129" s="469">
        <f t="shared" si="67"/>
        <v>0</v>
      </c>
      <c r="FL129" s="472"/>
      <c r="FM129" s="450"/>
      <c r="FN129" s="460">
        <f t="shared" si="68"/>
        <v>5349</v>
      </c>
      <c r="FO129" s="469">
        <f t="shared" si="69"/>
        <v>5277</v>
      </c>
    </row>
    <row r="130" spans="1:171" x14ac:dyDescent="0.2">
      <c r="A130" s="730" t="s">
        <v>548</v>
      </c>
      <c r="B130" s="548" t="s">
        <v>706</v>
      </c>
      <c r="C130" s="568"/>
      <c r="D130" s="559">
        <v>139931</v>
      </c>
      <c r="E130" s="561">
        <v>3</v>
      </c>
      <c r="F130" s="457"/>
      <c r="G130" s="450"/>
      <c r="H130" s="457"/>
      <c r="I130" s="450"/>
      <c r="J130" s="457"/>
      <c r="K130" s="450"/>
      <c r="L130" s="458">
        <f t="shared" si="48"/>
        <v>0</v>
      </c>
      <c r="M130" s="449">
        <f t="shared" si="49"/>
        <v>0</v>
      </c>
      <c r="N130" s="549">
        <v>2671</v>
      </c>
      <c r="O130" s="549">
        <v>272</v>
      </c>
      <c r="P130" s="459"/>
      <c r="Q130" s="459"/>
      <c r="R130" s="460">
        <f t="shared" si="46"/>
        <v>272</v>
      </c>
      <c r="S130" s="461">
        <v>2786</v>
      </c>
      <c r="T130" s="461">
        <v>249</v>
      </c>
      <c r="U130" s="461"/>
      <c r="V130" s="461"/>
      <c r="W130" s="462">
        <f t="shared" si="47"/>
        <v>249</v>
      </c>
      <c r="X130" s="463"/>
      <c r="Y130" s="457"/>
      <c r="Z130" s="464"/>
      <c r="AA130" s="464"/>
      <c r="AB130" s="465"/>
      <c r="AC130" s="457"/>
      <c r="AD130" s="464"/>
      <c r="AE130" s="466"/>
      <c r="AF130" s="465"/>
      <c r="AG130" s="457"/>
      <c r="AH130" s="464"/>
      <c r="AI130" s="466"/>
      <c r="AJ130" s="465"/>
      <c r="AK130" s="457"/>
      <c r="AL130" s="464"/>
      <c r="AM130" s="466"/>
      <c r="AN130" s="465"/>
      <c r="AO130" s="457"/>
      <c r="AP130" s="464"/>
      <c r="AQ130" s="464"/>
      <c r="AR130" s="460">
        <f t="shared" si="50"/>
        <v>0</v>
      </c>
      <c r="AS130" s="467">
        <f t="shared" si="51"/>
        <v>0.75923820352472993</v>
      </c>
      <c r="AT130" s="447">
        <f t="shared" si="52"/>
        <v>0</v>
      </c>
      <c r="AU130" s="448">
        <f t="shared" si="53"/>
        <v>0.75830157866086012</v>
      </c>
      <c r="AV130" s="457"/>
      <c r="AW130" s="450"/>
      <c r="AX130" s="463">
        <v>13</v>
      </c>
      <c r="AY130" s="457">
        <v>365</v>
      </c>
      <c r="AZ130" s="464">
        <v>13</v>
      </c>
      <c r="BA130" s="464">
        <v>309</v>
      </c>
      <c r="BB130" s="465">
        <v>52</v>
      </c>
      <c r="BC130" s="457">
        <v>164</v>
      </c>
      <c r="BD130" s="464">
        <v>52</v>
      </c>
      <c r="BE130" s="466">
        <v>197</v>
      </c>
      <c r="BF130" s="465">
        <v>31</v>
      </c>
      <c r="BG130" s="457">
        <v>78</v>
      </c>
      <c r="BH130" s="464">
        <v>31</v>
      </c>
      <c r="BI130" s="466">
        <v>74</v>
      </c>
      <c r="BJ130" s="465">
        <v>51</v>
      </c>
      <c r="BK130" s="457">
        <v>50</v>
      </c>
      <c r="BL130" s="464">
        <v>51</v>
      </c>
      <c r="BM130" s="466">
        <v>61</v>
      </c>
      <c r="BN130" s="465">
        <v>45</v>
      </c>
      <c r="BO130" s="457">
        <v>20</v>
      </c>
      <c r="BP130" s="464">
        <v>45</v>
      </c>
      <c r="BQ130" s="466">
        <v>24</v>
      </c>
      <c r="BR130" s="465">
        <v>44</v>
      </c>
      <c r="BS130" s="457">
        <v>19</v>
      </c>
      <c r="BT130" s="392">
        <v>26</v>
      </c>
      <c r="BU130" s="392">
        <v>22</v>
      </c>
      <c r="BV130" s="465">
        <v>50</v>
      </c>
      <c r="BW130" s="457">
        <v>19</v>
      </c>
      <c r="BX130" s="464">
        <v>44</v>
      </c>
      <c r="BY130" s="466">
        <v>22</v>
      </c>
      <c r="BZ130" s="465">
        <v>42</v>
      </c>
      <c r="CA130" s="457">
        <v>11</v>
      </c>
      <c r="CB130" s="464">
        <v>42</v>
      </c>
      <c r="CC130" s="466">
        <v>21</v>
      </c>
      <c r="CD130" s="465">
        <v>23</v>
      </c>
      <c r="CE130" s="457">
        <v>8</v>
      </c>
      <c r="CF130" s="464">
        <v>27</v>
      </c>
      <c r="CG130" s="466">
        <v>14</v>
      </c>
      <c r="CH130" s="465">
        <v>26</v>
      </c>
      <c r="CI130" s="457">
        <v>8</v>
      </c>
      <c r="CJ130" s="464">
        <v>50</v>
      </c>
      <c r="CK130" s="466">
        <v>14</v>
      </c>
      <c r="CL130" s="459">
        <v>33</v>
      </c>
      <c r="CM130" s="450">
        <v>52</v>
      </c>
      <c r="CN130" s="468">
        <f t="shared" si="54"/>
        <v>775</v>
      </c>
      <c r="CO130" s="468">
        <f t="shared" si="55"/>
        <v>10</v>
      </c>
      <c r="CP130" s="469">
        <f t="shared" si="56"/>
        <v>810</v>
      </c>
      <c r="CQ130" s="469">
        <f t="shared" si="57"/>
        <v>10</v>
      </c>
      <c r="CR130" s="463">
        <v>13</v>
      </c>
      <c r="CS130" s="457">
        <v>57</v>
      </c>
      <c r="CT130" s="464">
        <v>13</v>
      </c>
      <c r="CU130" s="464">
        <v>66</v>
      </c>
      <c r="CV130" s="465">
        <v>51</v>
      </c>
      <c r="CW130" s="457">
        <v>15</v>
      </c>
      <c r="CX130" s="464">
        <v>51</v>
      </c>
      <c r="CY130" s="466">
        <v>12</v>
      </c>
      <c r="CZ130" s="465"/>
      <c r="DA130" s="457"/>
      <c r="DB130" s="464"/>
      <c r="DC130" s="466"/>
      <c r="DD130" s="465"/>
      <c r="DE130" s="457"/>
      <c r="DF130" s="464"/>
      <c r="DG130" s="466"/>
      <c r="DH130" s="465"/>
      <c r="DI130" s="457"/>
      <c r="DJ130" s="464"/>
      <c r="DK130" s="466"/>
      <c r="DL130" s="465"/>
      <c r="DM130" s="457"/>
      <c r="DN130" s="464"/>
      <c r="DO130" s="466"/>
      <c r="DP130" s="465"/>
      <c r="DQ130" s="457"/>
      <c r="DR130" s="464"/>
      <c r="DS130" s="466"/>
      <c r="DT130" s="465"/>
      <c r="DU130" s="457"/>
      <c r="DV130" s="464"/>
      <c r="DW130" s="466"/>
      <c r="DX130" s="465"/>
      <c r="DY130" s="457"/>
      <c r="DZ130" s="464"/>
      <c r="EA130" s="466"/>
      <c r="EB130" s="465"/>
      <c r="EC130" s="457"/>
      <c r="ED130" s="464"/>
      <c r="EE130" s="466"/>
      <c r="EF130" s="459"/>
      <c r="EG130" s="450"/>
      <c r="EH130" s="460">
        <f t="shared" si="58"/>
        <v>72</v>
      </c>
      <c r="EI130" s="460">
        <f t="shared" si="59"/>
        <v>2</v>
      </c>
      <c r="EJ130" s="458">
        <f t="shared" si="60"/>
        <v>0.79166666666666663</v>
      </c>
      <c r="EK130" s="470">
        <f t="shared" si="61"/>
        <v>78</v>
      </c>
      <c r="EL130" s="470">
        <f t="shared" si="62"/>
        <v>2</v>
      </c>
      <c r="EM130" s="449">
        <f t="shared" si="63"/>
        <v>0.84615384615384615</v>
      </c>
      <c r="EN130" s="460">
        <f t="shared" si="64"/>
        <v>847</v>
      </c>
      <c r="EO130" s="469">
        <f t="shared" si="65"/>
        <v>888</v>
      </c>
      <c r="EP130" s="471"/>
      <c r="EQ130" s="450"/>
      <c r="ER130" s="471"/>
      <c r="ES130" s="450"/>
      <c r="ET130" s="471"/>
      <c r="EU130" s="450"/>
      <c r="EV130" s="471"/>
      <c r="EW130" s="450"/>
      <c r="EX130" s="471"/>
      <c r="EY130" s="450"/>
      <c r="EZ130" s="471"/>
      <c r="FA130" s="450"/>
      <c r="FB130" s="471"/>
      <c r="FC130" s="450"/>
      <c r="FD130" s="471"/>
      <c r="FE130" s="450"/>
      <c r="FF130" s="471"/>
      <c r="FG130" s="450"/>
      <c r="FH130" s="472"/>
      <c r="FI130" s="450"/>
      <c r="FJ130" s="468">
        <f t="shared" si="66"/>
        <v>0</v>
      </c>
      <c r="FK130" s="469">
        <f t="shared" si="67"/>
        <v>0</v>
      </c>
      <c r="FL130" s="472"/>
      <c r="FM130" s="450"/>
      <c r="FN130" s="460">
        <f t="shared" si="68"/>
        <v>3518</v>
      </c>
      <c r="FO130" s="469">
        <f t="shared" si="69"/>
        <v>3674</v>
      </c>
    </row>
    <row r="131" spans="1:171" x14ac:dyDescent="0.2">
      <c r="A131" s="730" t="s">
        <v>548</v>
      </c>
      <c r="B131" s="548" t="s">
        <v>707</v>
      </c>
      <c r="C131" s="568"/>
      <c r="D131" s="559">
        <v>141334</v>
      </c>
      <c r="E131" s="561">
        <v>3</v>
      </c>
      <c r="F131" s="457"/>
      <c r="G131" s="450"/>
      <c r="H131" s="457"/>
      <c r="I131" s="450"/>
      <c r="J131" s="457"/>
      <c r="K131" s="450"/>
      <c r="L131" s="458">
        <f t="shared" si="48"/>
        <v>0</v>
      </c>
      <c r="M131" s="449">
        <f t="shared" si="49"/>
        <v>0</v>
      </c>
      <c r="N131" s="459">
        <v>1470</v>
      </c>
      <c r="O131" s="459">
        <v>280</v>
      </c>
      <c r="P131" s="459"/>
      <c r="Q131" s="459"/>
      <c r="R131" s="460">
        <f t="shared" si="46"/>
        <v>280</v>
      </c>
      <c r="S131" s="461">
        <v>1577</v>
      </c>
      <c r="T131" s="461">
        <v>269</v>
      </c>
      <c r="U131" s="461"/>
      <c r="V131" s="461"/>
      <c r="W131" s="462">
        <f t="shared" si="47"/>
        <v>269</v>
      </c>
      <c r="X131" s="463"/>
      <c r="Y131" s="457"/>
      <c r="Z131" s="464"/>
      <c r="AA131" s="464"/>
      <c r="AB131" s="465"/>
      <c r="AC131" s="457"/>
      <c r="AD131" s="464"/>
      <c r="AE131" s="466"/>
      <c r="AF131" s="465"/>
      <c r="AG131" s="457"/>
      <c r="AH131" s="464"/>
      <c r="AI131" s="466"/>
      <c r="AJ131" s="465"/>
      <c r="AK131" s="457"/>
      <c r="AL131" s="464"/>
      <c r="AM131" s="466"/>
      <c r="AN131" s="465"/>
      <c r="AO131" s="457"/>
      <c r="AP131" s="464"/>
      <c r="AQ131" s="464"/>
      <c r="AR131" s="460">
        <f t="shared" si="50"/>
        <v>0</v>
      </c>
      <c r="AS131" s="467">
        <f t="shared" si="51"/>
        <v>0.70033349213911389</v>
      </c>
      <c r="AT131" s="447">
        <f t="shared" si="52"/>
        <v>0</v>
      </c>
      <c r="AU131" s="448">
        <f t="shared" si="53"/>
        <v>0.73829588014981273</v>
      </c>
      <c r="AV131" s="457">
        <v>10</v>
      </c>
      <c r="AW131" s="450">
        <v>1</v>
      </c>
      <c r="AX131" s="463">
        <v>13</v>
      </c>
      <c r="AY131" s="457">
        <v>411</v>
      </c>
      <c r="AZ131" s="464">
        <v>13</v>
      </c>
      <c r="BA131" s="464">
        <v>367</v>
      </c>
      <c r="BB131" s="465">
        <v>52</v>
      </c>
      <c r="BC131" s="457">
        <v>106</v>
      </c>
      <c r="BD131" s="464">
        <v>42</v>
      </c>
      <c r="BE131" s="466">
        <v>76</v>
      </c>
      <c r="BF131" s="465">
        <v>51</v>
      </c>
      <c r="BG131" s="457">
        <v>19</v>
      </c>
      <c r="BH131" s="464">
        <v>42</v>
      </c>
      <c r="BI131" s="466">
        <v>19</v>
      </c>
      <c r="BJ131" s="465">
        <v>42</v>
      </c>
      <c r="BK131" s="457">
        <v>17</v>
      </c>
      <c r="BL131" s="464">
        <v>51</v>
      </c>
      <c r="BM131" s="466">
        <v>16</v>
      </c>
      <c r="BN131" s="465">
        <v>44</v>
      </c>
      <c r="BO131" s="457">
        <v>14</v>
      </c>
      <c r="BP131" s="464">
        <v>26</v>
      </c>
      <c r="BQ131" s="466">
        <v>11</v>
      </c>
      <c r="BR131" s="465">
        <v>11</v>
      </c>
      <c r="BS131" s="457">
        <v>10</v>
      </c>
      <c r="BT131" s="392">
        <v>45</v>
      </c>
      <c r="BU131" s="392">
        <v>11</v>
      </c>
      <c r="BV131" s="465">
        <v>54</v>
      </c>
      <c r="BW131" s="457">
        <v>10</v>
      </c>
      <c r="BX131" s="464">
        <v>23</v>
      </c>
      <c r="BY131" s="466">
        <v>9</v>
      </c>
      <c r="BZ131" s="465">
        <v>23</v>
      </c>
      <c r="CA131" s="457">
        <v>7</v>
      </c>
      <c r="CB131" s="464">
        <v>44</v>
      </c>
      <c r="CC131" s="466">
        <v>8</v>
      </c>
      <c r="CD131" s="465">
        <v>26</v>
      </c>
      <c r="CE131" s="457">
        <v>4</v>
      </c>
      <c r="CF131" s="464">
        <v>27</v>
      </c>
      <c r="CG131" s="466">
        <v>6</v>
      </c>
      <c r="CH131" s="465">
        <v>45</v>
      </c>
      <c r="CI131" s="457">
        <v>4</v>
      </c>
      <c r="CJ131" s="464">
        <v>54</v>
      </c>
      <c r="CK131" s="466">
        <v>6</v>
      </c>
      <c r="CL131" s="459">
        <v>4</v>
      </c>
      <c r="CM131" s="450">
        <v>6</v>
      </c>
      <c r="CN131" s="468">
        <f t="shared" si="54"/>
        <v>606</v>
      </c>
      <c r="CO131" s="468">
        <f t="shared" si="55"/>
        <v>10</v>
      </c>
      <c r="CP131" s="469">
        <f t="shared" si="56"/>
        <v>535</v>
      </c>
      <c r="CQ131" s="469">
        <f t="shared" si="57"/>
        <v>10</v>
      </c>
      <c r="CR131" s="463">
        <v>13</v>
      </c>
      <c r="CS131" s="457">
        <v>13</v>
      </c>
      <c r="CT131" s="464">
        <v>13</v>
      </c>
      <c r="CU131" s="464">
        <v>23</v>
      </c>
      <c r="CV131" s="465"/>
      <c r="CW131" s="457"/>
      <c r="CX131" s="464"/>
      <c r="CY131" s="466"/>
      <c r="CZ131" s="465"/>
      <c r="DA131" s="457"/>
      <c r="DB131" s="464"/>
      <c r="DC131" s="466"/>
      <c r="DD131" s="465"/>
      <c r="DE131" s="457"/>
      <c r="DF131" s="464"/>
      <c r="DG131" s="466"/>
      <c r="DH131" s="465"/>
      <c r="DI131" s="457"/>
      <c r="DJ131" s="464"/>
      <c r="DK131" s="466"/>
      <c r="DL131" s="465"/>
      <c r="DM131" s="457"/>
      <c r="DN131" s="464"/>
      <c r="DO131" s="466"/>
      <c r="DP131" s="465"/>
      <c r="DQ131" s="457"/>
      <c r="DR131" s="464"/>
      <c r="DS131" s="466"/>
      <c r="DT131" s="465"/>
      <c r="DU131" s="457"/>
      <c r="DV131" s="464"/>
      <c r="DW131" s="466"/>
      <c r="DX131" s="465"/>
      <c r="DY131" s="457"/>
      <c r="DZ131" s="464"/>
      <c r="EA131" s="466"/>
      <c r="EB131" s="465"/>
      <c r="EC131" s="457"/>
      <c r="ED131" s="464"/>
      <c r="EE131" s="466"/>
      <c r="EF131" s="459"/>
      <c r="EG131" s="450"/>
      <c r="EH131" s="460">
        <f t="shared" si="58"/>
        <v>13</v>
      </c>
      <c r="EI131" s="460">
        <f t="shared" si="59"/>
        <v>1</v>
      </c>
      <c r="EJ131" s="458">
        <f t="shared" si="60"/>
        <v>1</v>
      </c>
      <c r="EK131" s="470">
        <f t="shared" si="61"/>
        <v>23</v>
      </c>
      <c r="EL131" s="470">
        <f t="shared" si="62"/>
        <v>1</v>
      </c>
      <c r="EM131" s="449">
        <f t="shared" si="63"/>
        <v>1</v>
      </c>
      <c r="EN131" s="460">
        <f t="shared" si="64"/>
        <v>619</v>
      </c>
      <c r="EO131" s="469">
        <f t="shared" si="65"/>
        <v>558</v>
      </c>
      <c r="EP131" s="471"/>
      <c r="EQ131" s="450"/>
      <c r="ER131" s="471"/>
      <c r="ES131" s="450"/>
      <c r="ET131" s="471"/>
      <c r="EU131" s="450"/>
      <c r="EV131" s="471"/>
      <c r="EW131" s="450"/>
      <c r="EX131" s="471"/>
      <c r="EY131" s="450"/>
      <c r="EZ131" s="471"/>
      <c r="FA131" s="450"/>
      <c r="FB131" s="471"/>
      <c r="FC131" s="450"/>
      <c r="FD131" s="471"/>
      <c r="FE131" s="450"/>
      <c r="FF131" s="471"/>
      <c r="FG131" s="450"/>
      <c r="FH131" s="472"/>
      <c r="FI131" s="450"/>
      <c r="FJ131" s="468">
        <f t="shared" si="66"/>
        <v>0</v>
      </c>
      <c r="FK131" s="469">
        <f t="shared" si="67"/>
        <v>0</v>
      </c>
      <c r="FL131" s="472"/>
      <c r="FM131" s="450"/>
      <c r="FN131" s="460">
        <f t="shared" si="68"/>
        <v>2099</v>
      </c>
      <c r="FO131" s="469">
        <f t="shared" si="69"/>
        <v>2136</v>
      </c>
    </row>
    <row r="132" spans="1:171" x14ac:dyDescent="0.2">
      <c r="A132" s="730" t="s">
        <v>548</v>
      </c>
      <c r="B132" s="548" t="s">
        <v>708</v>
      </c>
      <c r="C132" s="568"/>
      <c r="D132" s="559">
        <v>141264</v>
      </c>
      <c r="E132" s="561">
        <v>3</v>
      </c>
      <c r="F132" s="457"/>
      <c r="G132" s="450"/>
      <c r="H132" s="457"/>
      <c r="I132" s="450"/>
      <c r="J132" s="457">
        <v>43</v>
      </c>
      <c r="K132" s="450">
        <v>46</v>
      </c>
      <c r="L132" s="458">
        <f t="shared" si="48"/>
        <v>2.5903614457831327E-2</v>
      </c>
      <c r="M132" s="449">
        <f t="shared" si="49"/>
        <v>2.6620370370370371E-2</v>
      </c>
      <c r="N132" s="549">
        <v>1660</v>
      </c>
      <c r="O132" s="459">
        <v>284</v>
      </c>
      <c r="P132" s="459"/>
      <c r="Q132" s="459"/>
      <c r="R132" s="460">
        <f t="shared" si="46"/>
        <v>284</v>
      </c>
      <c r="S132" s="461">
        <v>1728</v>
      </c>
      <c r="T132" s="461">
        <v>263</v>
      </c>
      <c r="U132" s="461"/>
      <c r="V132" s="461"/>
      <c r="W132" s="462">
        <f t="shared" si="47"/>
        <v>263</v>
      </c>
      <c r="X132" s="463"/>
      <c r="Y132" s="457"/>
      <c r="Z132" s="464"/>
      <c r="AA132" s="464"/>
      <c r="AB132" s="465"/>
      <c r="AC132" s="457"/>
      <c r="AD132" s="464"/>
      <c r="AE132" s="466"/>
      <c r="AF132" s="465"/>
      <c r="AG132" s="457"/>
      <c r="AH132" s="464"/>
      <c r="AI132" s="466"/>
      <c r="AJ132" s="465"/>
      <c r="AK132" s="457"/>
      <c r="AL132" s="464"/>
      <c r="AM132" s="466"/>
      <c r="AN132" s="465"/>
      <c r="AO132" s="457"/>
      <c r="AP132" s="464"/>
      <c r="AQ132" s="464"/>
      <c r="AR132" s="460">
        <f t="shared" si="50"/>
        <v>0</v>
      </c>
      <c r="AS132" s="467">
        <f t="shared" si="51"/>
        <v>0.68965517241379315</v>
      </c>
      <c r="AT132" s="447">
        <f t="shared" si="52"/>
        <v>0</v>
      </c>
      <c r="AU132" s="448">
        <f t="shared" si="53"/>
        <v>0.65678449258836946</v>
      </c>
      <c r="AV132" s="457"/>
      <c r="AW132" s="450"/>
      <c r="AX132" s="463">
        <v>13</v>
      </c>
      <c r="AY132" s="457">
        <v>383</v>
      </c>
      <c r="AZ132" s="464">
        <v>13</v>
      </c>
      <c r="BA132" s="464">
        <v>405</v>
      </c>
      <c r="BB132" s="465">
        <v>44</v>
      </c>
      <c r="BC132" s="457">
        <v>92</v>
      </c>
      <c r="BD132" s="464">
        <v>44</v>
      </c>
      <c r="BE132" s="466">
        <v>112</v>
      </c>
      <c r="BF132" s="465">
        <v>51</v>
      </c>
      <c r="BG132" s="457">
        <v>92</v>
      </c>
      <c r="BH132" s="464">
        <v>51</v>
      </c>
      <c r="BI132" s="466">
        <v>111</v>
      </c>
      <c r="BJ132" s="465">
        <v>25</v>
      </c>
      <c r="BK132" s="457">
        <v>48</v>
      </c>
      <c r="BL132" s="464">
        <v>25</v>
      </c>
      <c r="BM132" s="466">
        <v>75</v>
      </c>
      <c r="BN132" s="465">
        <v>52</v>
      </c>
      <c r="BO132" s="457">
        <v>32</v>
      </c>
      <c r="BP132" s="464">
        <v>52</v>
      </c>
      <c r="BQ132" s="466">
        <v>58</v>
      </c>
      <c r="BR132" s="465">
        <v>42</v>
      </c>
      <c r="BS132" s="457">
        <v>23</v>
      </c>
      <c r="BT132" s="392">
        <v>42</v>
      </c>
      <c r="BU132" s="392">
        <v>21</v>
      </c>
      <c r="BV132" s="465">
        <v>43</v>
      </c>
      <c r="BW132" s="457">
        <v>6</v>
      </c>
      <c r="BX132" s="464">
        <v>23</v>
      </c>
      <c r="BY132" s="466">
        <v>11</v>
      </c>
      <c r="BZ132" s="465">
        <v>50</v>
      </c>
      <c r="CA132" s="457">
        <v>5</v>
      </c>
      <c r="CB132" s="464">
        <v>43</v>
      </c>
      <c r="CC132" s="466">
        <v>10</v>
      </c>
      <c r="CD132" s="465">
        <v>45</v>
      </c>
      <c r="CE132" s="457">
        <v>3</v>
      </c>
      <c r="CF132" s="464">
        <v>50</v>
      </c>
      <c r="CG132" s="466">
        <v>7</v>
      </c>
      <c r="CH132" s="465">
        <v>54</v>
      </c>
      <c r="CI132" s="457">
        <v>3</v>
      </c>
      <c r="CJ132" s="464">
        <v>45</v>
      </c>
      <c r="CK132" s="466">
        <v>6</v>
      </c>
      <c r="CL132" s="459">
        <v>0</v>
      </c>
      <c r="CM132" s="450">
        <v>20</v>
      </c>
      <c r="CN132" s="468">
        <f t="shared" si="54"/>
        <v>687</v>
      </c>
      <c r="CO132" s="468">
        <f t="shared" si="55"/>
        <v>10</v>
      </c>
      <c r="CP132" s="469">
        <f t="shared" si="56"/>
        <v>836</v>
      </c>
      <c r="CQ132" s="469">
        <f t="shared" si="57"/>
        <v>10</v>
      </c>
      <c r="CR132" s="463">
        <v>13</v>
      </c>
      <c r="CS132" s="457">
        <v>8</v>
      </c>
      <c r="CT132" s="464">
        <v>13</v>
      </c>
      <c r="CU132" s="464">
        <v>14</v>
      </c>
      <c r="CV132" s="465">
        <v>44</v>
      </c>
      <c r="CW132" s="457">
        <v>9</v>
      </c>
      <c r="CX132" s="464">
        <v>44</v>
      </c>
      <c r="CY132" s="466">
        <v>7</v>
      </c>
      <c r="CZ132" s="465"/>
      <c r="DA132" s="457"/>
      <c r="DB132" s="464"/>
      <c r="DC132" s="466"/>
      <c r="DD132" s="465"/>
      <c r="DE132" s="457"/>
      <c r="DF132" s="464"/>
      <c r="DG132" s="466"/>
      <c r="DH132" s="465"/>
      <c r="DI132" s="457"/>
      <c r="DJ132" s="464"/>
      <c r="DK132" s="466"/>
      <c r="DL132" s="465"/>
      <c r="DM132" s="457"/>
      <c r="DN132" s="464"/>
      <c r="DO132" s="466"/>
      <c r="DP132" s="465"/>
      <c r="DQ132" s="457"/>
      <c r="DR132" s="464"/>
      <c r="DS132" s="466"/>
      <c r="DT132" s="465"/>
      <c r="DU132" s="457"/>
      <c r="DV132" s="464"/>
      <c r="DW132" s="466"/>
      <c r="DX132" s="465"/>
      <c r="DY132" s="457"/>
      <c r="DZ132" s="464"/>
      <c r="EA132" s="466"/>
      <c r="EB132" s="465"/>
      <c r="EC132" s="457"/>
      <c r="ED132" s="464"/>
      <c r="EE132" s="466"/>
      <c r="EF132" s="459"/>
      <c r="EG132" s="450"/>
      <c r="EH132" s="460">
        <f t="shared" si="58"/>
        <v>17</v>
      </c>
      <c r="EI132" s="460">
        <f t="shared" si="59"/>
        <v>2</v>
      </c>
      <c r="EJ132" s="458">
        <f t="shared" si="60"/>
        <v>0.47058823529411764</v>
      </c>
      <c r="EK132" s="470">
        <f t="shared" si="61"/>
        <v>21</v>
      </c>
      <c r="EL132" s="470">
        <f t="shared" si="62"/>
        <v>2</v>
      </c>
      <c r="EM132" s="449">
        <f t="shared" si="63"/>
        <v>0.66666666666666663</v>
      </c>
      <c r="EN132" s="460">
        <f t="shared" si="64"/>
        <v>704</v>
      </c>
      <c r="EO132" s="469">
        <f t="shared" si="65"/>
        <v>857</v>
      </c>
      <c r="EP132" s="471"/>
      <c r="EQ132" s="450"/>
      <c r="ER132" s="471"/>
      <c r="ES132" s="450"/>
      <c r="ET132" s="471"/>
      <c r="EU132" s="450"/>
      <c r="EV132" s="471"/>
      <c r="EW132" s="450"/>
      <c r="EX132" s="471"/>
      <c r="EY132" s="450"/>
      <c r="EZ132" s="471"/>
      <c r="FA132" s="450"/>
      <c r="FB132" s="471"/>
      <c r="FC132" s="450"/>
      <c r="FD132" s="471"/>
      <c r="FE132" s="450"/>
      <c r="FF132" s="471"/>
      <c r="FG132" s="450"/>
      <c r="FH132" s="472"/>
      <c r="FI132" s="450"/>
      <c r="FJ132" s="468">
        <f t="shared" si="66"/>
        <v>0</v>
      </c>
      <c r="FK132" s="469">
        <f t="shared" si="67"/>
        <v>0</v>
      </c>
      <c r="FL132" s="472"/>
      <c r="FM132" s="450"/>
      <c r="FN132" s="460">
        <f t="shared" si="68"/>
        <v>2407</v>
      </c>
      <c r="FO132" s="469">
        <f t="shared" si="69"/>
        <v>2631</v>
      </c>
    </row>
    <row r="133" spans="1:171" x14ac:dyDescent="0.2">
      <c r="A133" s="730" t="s">
        <v>548</v>
      </c>
      <c r="B133" s="548" t="s">
        <v>709</v>
      </c>
      <c r="C133" s="568"/>
      <c r="D133" s="559">
        <v>138716</v>
      </c>
      <c r="E133" s="561">
        <v>4</v>
      </c>
      <c r="F133" s="457"/>
      <c r="G133" s="450"/>
      <c r="H133" s="457"/>
      <c r="I133" s="450"/>
      <c r="J133" s="457"/>
      <c r="K133" s="450"/>
      <c r="L133" s="458">
        <f t="shared" si="48"/>
        <v>0</v>
      </c>
      <c r="M133" s="449">
        <f t="shared" si="49"/>
        <v>0</v>
      </c>
      <c r="N133" s="459">
        <v>563</v>
      </c>
      <c r="O133" s="549">
        <v>117</v>
      </c>
      <c r="P133" s="459"/>
      <c r="Q133" s="459"/>
      <c r="R133" s="460">
        <f t="shared" si="46"/>
        <v>117</v>
      </c>
      <c r="S133" s="461">
        <v>626</v>
      </c>
      <c r="T133" s="461">
        <v>100</v>
      </c>
      <c r="U133" s="461"/>
      <c r="V133" s="461"/>
      <c r="W133" s="462">
        <f t="shared" si="47"/>
        <v>100</v>
      </c>
      <c r="X133" s="463"/>
      <c r="Y133" s="457"/>
      <c r="Z133" s="464"/>
      <c r="AA133" s="464"/>
      <c r="AB133" s="465"/>
      <c r="AC133" s="457"/>
      <c r="AD133" s="464"/>
      <c r="AE133" s="466"/>
      <c r="AF133" s="465"/>
      <c r="AG133" s="457"/>
      <c r="AH133" s="464"/>
      <c r="AI133" s="466"/>
      <c r="AJ133" s="465"/>
      <c r="AK133" s="457"/>
      <c r="AL133" s="464"/>
      <c r="AM133" s="466"/>
      <c r="AN133" s="465"/>
      <c r="AO133" s="457"/>
      <c r="AP133" s="464"/>
      <c r="AQ133" s="464"/>
      <c r="AR133" s="460">
        <f t="shared" si="50"/>
        <v>0</v>
      </c>
      <c r="AS133" s="467">
        <f t="shared" si="51"/>
        <v>0.79295774647887329</v>
      </c>
      <c r="AT133" s="447">
        <f t="shared" si="52"/>
        <v>0</v>
      </c>
      <c r="AU133" s="448">
        <f t="shared" si="53"/>
        <v>0.77093596059113301</v>
      </c>
      <c r="AV133" s="457"/>
      <c r="AW133" s="450"/>
      <c r="AX133" s="463">
        <v>13</v>
      </c>
      <c r="AY133" s="457">
        <v>97</v>
      </c>
      <c r="AZ133" s="464">
        <v>13</v>
      </c>
      <c r="BA133" s="464">
        <v>91</v>
      </c>
      <c r="BB133" s="465">
        <v>44</v>
      </c>
      <c r="BC133" s="457">
        <v>26</v>
      </c>
      <c r="BD133" s="464">
        <v>44</v>
      </c>
      <c r="BE133" s="466">
        <v>35</v>
      </c>
      <c r="BF133" s="465">
        <v>51</v>
      </c>
      <c r="BG133" s="457">
        <v>12</v>
      </c>
      <c r="BH133" s="464">
        <v>51</v>
      </c>
      <c r="BI133" s="466">
        <v>27</v>
      </c>
      <c r="BJ133" s="465">
        <v>43</v>
      </c>
      <c r="BK133" s="457">
        <v>6</v>
      </c>
      <c r="BL133" s="464">
        <v>43</v>
      </c>
      <c r="BM133" s="466">
        <v>19</v>
      </c>
      <c r="BN133" s="465">
        <v>52</v>
      </c>
      <c r="BO133" s="457">
        <v>6</v>
      </c>
      <c r="BP133" s="464">
        <v>52</v>
      </c>
      <c r="BQ133" s="466">
        <v>14</v>
      </c>
      <c r="BR133" s="465"/>
      <c r="BS133" s="457"/>
      <c r="BT133" s="392"/>
      <c r="BU133" s="392"/>
      <c r="BV133" s="465"/>
      <c r="BW133" s="457"/>
      <c r="BX133" s="464"/>
      <c r="BY133" s="466"/>
      <c r="BZ133" s="465"/>
      <c r="CA133" s="457"/>
      <c r="CB133" s="464"/>
      <c r="CC133" s="466"/>
      <c r="CD133" s="465"/>
      <c r="CE133" s="457"/>
      <c r="CF133" s="464"/>
      <c r="CG133" s="466"/>
      <c r="CH133" s="465"/>
      <c r="CI133" s="457"/>
      <c r="CJ133" s="464"/>
      <c r="CK133" s="466"/>
      <c r="CL133" s="459"/>
      <c r="CM133" s="450"/>
      <c r="CN133" s="468">
        <f t="shared" si="54"/>
        <v>147</v>
      </c>
      <c r="CO133" s="468">
        <f t="shared" si="55"/>
        <v>5</v>
      </c>
      <c r="CP133" s="469">
        <f t="shared" si="56"/>
        <v>186</v>
      </c>
      <c r="CQ133" s="469">
        <f t="shared" si="57"/>
        <v>5</v>
      </c>
      <c r="CR133" s="463"/>
      <c r="CS133" s="457"/>
      <c r="CT133" s="464"/>
      <c r="CU133" s="464"/>
      <c r="CV133" s="465"/>
      <c r="CW133" s="457"/>
      <c r="CX133" s="464"/>
      <c r="CY133" s="466"/>
      <c r="CZ133" s="465"/>
      <c r="DA133" s="457"/>
      <c r="DB133" s="464"/>
      <c r="DC133" s="466"/>
      <c r="DD133" s="465"/>
      <c r="DE133" s="457"/>
      <c r="DF133" s="464"/>
      <c r="DG133" s="466"/>
      <c r="DH133" s="465"/>
      <c r="DI133" s="457"/>
      <c r="DJ133" s="464"/>
      <c r="DK133" s="466"/>
      <c r="DL133" s="465"/>
      <c r="DM133" s="457"/>
      <c r="DN133" s="464"/>
      <c r="DO133" s="466"/>
      <c r="DP133" s="465"/>
      <c r="DQ133" s="457"/>
      <c r="DR133" s="464"/>
      <c r="DS133" s="466"/>
      <c r="DT133" s="465"/>
      <c r="DU133" s="457"/>
      <c r="DV133" s="464"/>
      <c r="DW133" s="466"/>
      <c r="DX133" s="465"/>
      <c r="DY133" s="457"/>
      <c r="DZ133" s="464"/>
      <c r="EA133" s="466"/>
      <c r="EB133" s="465"/>
      <c r="EC133" s="457"/>
      <c r="ED133" s="464"/>
      <c r="EE133" s="466"/>
      <c r="EF133" s="459"/>
      <c r="EG133" s="450"/>
      <c r="EH133" s="460">
        <f t="shared" si="58"/>
        <v>0</v>
      </c>
      <c r="EI133" s="460">
        <f t="shared" si="59"/>
        <v>0</v>
      </c>
      <c r="EJ133" s="458">
        <f t="shared" si="60"/>
        <v>0</v>
      </c>
      <c r="EK133" s="470">
        <f t="shared" si="61"/>
        <v>0</v>
      </c>
      <c r="EL133" s="470">
        <f t="shared" si="62"/>
        <v>0</v>
      </c>
      <c r="EM133" s="449">
        <f t="shared" si="63"/>
        <v>0</v>
      </c>
      <c r="EN133" s="460">
        <f t="shared" si="64"/>
        <v>147</v>
      </c>
      <c r="EO133" s="469">
        <f t="shared" si="65"/>
        <v>186</v>
      </c>
      <c r="EP133" s="471"/>
      <c r="EQ133" s="450"/>
      <c r="ER133" s="471"/>
      <c r="ES133" s="450"/>
      <c r="ET133" s="471"/>
      <c r="EU133" s="450"/>
      <c r="EV133" s="471"/>
      <c r="EW133" s="450"/>
      <c r="EX133" s="471"/>
      <c r="EY133" s="450"/>
      <c r="EZ133" s="471"/>
      <c r="FA133" s="450"/>
      <c r="FB133" s="471"/>
      <c r="FC133" s="450"/>
      <c r="FD133" s="471"/>
      <c r="FE133" s="450"/>
      <c r="FF133" s="471"/>
      <c r="FG133" s="450"/>
      <c r="FH133" s="472"/>
      <c r="FI133" s="450"/>
      <c r="FJ133" s="468">
        <f t="shared" si="66"/>
        <v>0</v>
      </c>
      <c r="FK133" s="469">
        <f t="shared" si="67"/>
        <v>0</v>
      </c>
      <c r="FL133" s="472"/>
      <c r="FM133" s="450"/>
      <c r="FN133" s="460">
        <f t="shared" si="68"/>
        <v>710</v>
      </c>
      <c r="FO133" s="469">
        <f t="shared" si="69"/>
        <v>812</v>
      </c>
    </row>
    <row r="134" spans="1:171" x14ac:dyDescent="0.2">
      <c r="A134" s="730" t="s">
        <v>548</v>
      </c>
      <c r="B134" s="548" t="s">
        <v>710</v>
      </c>
      <c r="C134" s="568"/>
      <c r="D134" s="559">
        <v>138789</v>
      </c>
      <c r="E134" s="561">
        <v>4</v>
      </c>
      <c r="F134" s="457">
        <v>138</v>
      </c>
      <c r="G134" s="450">
        <v>54</v>
      </c>
      <c r="H134" s="457"/>
      <c r="I134" s="450"/>
      <c r="J134" s="457">
        <v>63</v>
      </c>
      <c r="K134" s="450">
        <v>55</v>
      </c>
      <c r="L134" s="458">
        <f t="shared" si="48"/>
        <v>6.9383259911894271E-2</v>
      </c>
      <c r="M134" s="449">
        <f t="shared" si="49"/>
        <v>6.2429057888762768E-2</v>
      </c>
      <c r="N134" s="459">
        <v>908</v>
      </c>
      <c r="O134" s="459">
        <v>155</v>
      </c>
      <c r="P134" s="459"/>
      <c r="Q134" s="459"/>
      <c r="R134" s="460">
        <f t="shared" si="46"/>
        <v>155</v>
      </c>
      <c r="S134" s="461">
        <v>881</v>
      </c>
      <c r="T134" s="461">
        <v>117</v>
      </c>
      <c r="U134" s="461"/>
      <c r="V134" s="461"/>
      <c r="W134" s="462">
        <f t="shared" si="47"/>
        <v>117</v>
      </c>
      <c r="X134" s="463"/>
      <c r="Y134" s="457"/>
      <c r="Z134" s="464"/>
      <c r="AA134" s="464"/>
      <c r="AB134" s="465"/>
      <c r="AC134" s="457"/>
      <c r="AD134" s="464"/>
      <c r="AE134" s="466"/>
      <c r="AF134" s="465"/>
      <c r="AG134" s="457"/>
      <c r="AH134" s="464"/>
      <c r="AI134" s="466"/>
      <c r="AJ134" s="465"/>
      <c r="AK134" s="457"/>
      <c r="AL134" s="464"/>
      <c r="AM134" s="466"/>
      <c r="AN134" s="465"/>
      <c r="AO134" s="457"/>
      <c r="AP134" s="464"/>
      <c r="AQ134" s="464"/>
      <c r="AR134" s="460">
        <f t="shared" si="50"/>
        <v>0</v>
      </c>
      <c r="AS134" s="467">
        <f t="shared" si="51"/>
        <v>0.59191655801825294</v>
      </c>
      <c r="AT134" s="447">
        <f t="shared" si="52"/>
        <v>0</v>
      </c>
      <c r="AU134" s="448">
        <f t="shared" si="53"/>
        <v>0.66041979010494756</v>
      </c>
      <c r="AV134" s="457">
        <v>108</v>
      </c>
      <c r="AW134" s="450">
        <v>99</v>
      </c>
      <c r="AX134" s="463">
        <v>13</v>
      </c>
      <c r="AY134" s="457">
        <v>227</v>
      </c>
      <c r="AZ134" s="464">
        <v>13</v>
      </c>
      <c r="BA134" s="464">
        <v>159</v>
      </c>
      <c r="BB134" s="465">
        <v>51</v>
      </c>
      <c r="BC134" s="457">
        <v>50</v>
      </c>
      <c r="BD134" s="464">
        <v>51</v>
      </c>
      <c r="BE134" s="466">
        <v>51</v>
      </c>
      <c r="BF134" s="465">
        <v>43</v>
      </c>
      <c r="BG134" s="457">
        <v>7</v>
      </c>
      <c r="BH134" s="464">
        <v>54</v>
      </c>
      <c r="BI134" s="466">
        <v>8</v>
      </c>
      <c r="BJ134" s="465">
        <v>54</v>
      </c>
      <c r="BK134" s="457">
        <v>5</v>
      </c>
      <c r="BL134" s="464">
        <v>11</v>
      </c>
      <c r="BM134" s="466">
        <v>4</v>
      </c>
      <c r="BN134" s="465">
        <v>9</v>
      </c>
      <c r="BO134" s="457">
        <v>4</v>
      </c>
      <c r="BP134" s="464">
        <v>43</v>
      </c>
      <c r="BQ134" s="466">
        <v>4</v>
      </c>
      <c r="BR134" s="465">
        <v>11</v>
      </c>
      <c r="BS134" s="457">
        <v>4</v>
      </c>
      <c r="BT134" s="473">
        <v>9</v>
      </c>
      <c r="BU134" s="392">
        <v>1</v>
      </c>
      <c r="BV134" s="465"/>
      <c r="BW134" s="457"/>
      <c r="BX134" s="723"/>
      <c r="BY134" s="466"/>
      <c r="BZ134" s="465"/>
      <c r="CA134" s="457"/>
      <c r="CB134" s="723"/>
      <c r="CC134" s="466"/>
      <c r="CD134" s="465"/>
      <c r="CE134" s="457"/>
      <c r="CF134" s="464"/>
      <c r="CG134" s="466"/>
      <c r="CH134" s="465"/>
      <c r="CI134" s="457"/>
      <c r="CJ134" s="464"/>
      <c r="CK134" s="466"/>
      <c r="CL134" s="459"/>
      <c r="CM134" s="450"/>
      <c r="CN134" s="468">
        <f t="shared" si="54"/>
        <v>297</v>
      </c>
      <c r="CO134" s="468">
        <f t="shared" si="55"/>
        <v>6</v>
      </c>
      <c r="CP134" s="469">
        <f t="shared" si="56"/>
        <v>227</v>
      </c>
      <c r="CQ134" s="469">
        <f t="shared" si="57"/>
        <v>6</v>
      </c>
      <c r="CR134" s="463">
        <v>51</v>
      </c>
      <c r="CS134" s="457">
        <v>20</v>
      </c>
      <c r="CT134" s="464">
        <v>51</v>
      </c>
      <c r="CU134" s="464">
        <v>18</v>
      </c>
      <c r="CV134" s="465"/>
      <c r="CW134" s="457"/>
      <c r="CX134" s="464"/>
      <c r="CY134" s="466"/>
      <c r="CZ134" s="465"/>
      <c r="DA134" s="457"/>
      <c r="DB134" s="464"/>
      <c r="DC134" s="466"/>
      <c r="DD134" s="465"/>
      <c r="DE134" s="457"/>
      <c r="DF134" s="464"/>
      <c r="DG134" s="466"/>
      <c r="DH134" s="465"/>
      <c r="DI134" s="457"/>
      <c r="DJ134" s="464"/>
      <c r="DK134" s="466"/>
      <c r="DL134" s="465"/>
      <c r="DM134" s="457"/>
      <c r="DN134" s="464"/>
      <c r="DO134" s="466"/>
      <c r="DP134" s="465"/>
      <c r="DQ134" s="457"/>
      <c r="DR134" s="464"/>
      <c r="DS134" s="466"/>
      <c r="DT134" s="465"/>
      <c r="DU134" s="457"/>
      <c r="DV134" s="464"/>
      <c r="DW134" s="466"/>
      <c r="DX134" s="465"/>
      <c r="DY134" s="457"/>
      <c r="DZ134" s="464"/>
      <c r="EA134" s="466"/>
      <c r="EB134" s="465"/>
      <c r="EC134" s="457"/>
      <c r="ED134" s="464"/>
      <c r="EE134" s="466"/>
      <c r="EF134" s="459"/>
      <c r="EG134" s="450"/>
      <c r="EH134" s="460">
        <f t="shared" si="58"/>
        <v>20</v>
      </c>
      <c r="EI134" s="460">
        <f t="shared" si="59"/>
        <v>1</v>
      </c>
      <c r="EJ134" s="458">
        <f t="shared" si="60"/>
        <v>1</v>
      </c>
      <c r="EK134" s="470">
        <f t="shared" si="61"/>
        <v>18</v>
      </c>
      <c r="EL134" s="470">
        <f t="shared" si="62"/>
        <v>1</v>
      </c>
      <c r="EM134" s="449">
        <f t="shared" si="63"/>
        <v>1</v>
      </c>
      <c r="EN134" s="460">
        <f t="shared" si="64"/>
        <v>317</v>
      </c>
      <c r="EO134" s="469">
        <f t="shared" si="65"/>
        <v>245</v>
      </c>
      <c r="EP134" s="471"/>
      <c r="EQ134" s="450"/>
      <c r="ER134" s="471"/>
      <c r="ES134" s="450"/>
      <c r="ET134" s="471"/>
      <c r="EU134" s="450"/>
      <c r="EV134" s="471"/>
      <c r="EW134" s="450"/>
      <c r="EX134" s="471"/>
      <c r="EY134" s="450"/>
      <c r="EZ134" s="471"/>
      <c r="FA134" s="450"/>
      <c r="FB134" s="471"/>
      <c r="FC134" s="450"/>
      <c r="FD134" s="471"/>
      <c r="FE134" s="450"/>
      <c r="FF134" s="471"/>
      <c r="FG134" s="450"/>
      <c r="FH134" s="472"/>
      <c r="FI134" s="450"/>
      <c r="FJ134" s="468">
        <f t="shared" si="66"/>
        <v>0</v>
      </c>
      <c r="FK134" s="469">
        <f t="shared" si="67"/>
        <v>0</v>
      </c>
      <c r="FL134" s="472"/>
      <c r="FM134" s="450"/>
      <c r="FN134" s="460">
        <f t="shared" si="68"/>
        <v>1534</v>
      </c>
      <c r="FO134" s="469">
        <f t="shared" si="69"/>
        <v>1334</v>
      </c>
    </row>
    <row r="135" spans="1:171" x14ac:dyDescent="0.2">
      <c r="A135" s="730" t="s">
        <v>548</v>
      </c>
      <c r="B135" s="548" t="s">
        <v>714</v>
      </c>
      <c r="C135" s="560" t="s">
        <v>739</v>
      </c>
      <c r="D135" s="559">
        <v>138983</v>
      </c>
      <c r="E135" s="562">
        <v>4</v>
      </c>
      <c r="F135" s="457"/>
      <c r="G135" s="450"/>
      <c r="H135" s="457"/>
      <c r="I135" s="450"/>
      <c r="J135" s="457">
        <v>14</v>
      </c>
      <c r="K135" s="450">
        <v>10</v>
      </c>
      <c r="L135" s="458">
        <f t="shared" si="48"/>
        <v>2.1308980213089801E-2</v>
      </c>
      <c r="M135" s="449">
        <f t="shared" si="49"/>
        <v>1.4771048744460856E-2</v>
      </c>
      <c r="N135" s="459">
        <v>657</v>
      </c>
      <c r="O135" s="549">
        <v>115</v>
      </c>
      <c r="P135" s="459"/>
      <c r="Q135" s="459"/>
      <c r="R135" s="460">
        <f t="shared" si="46"/>
        <v>115</v>
      </c>
      <c r="S135" s="461">
        <v>677</v>
      </c>
      <c r="T135" s="461">
        <v>106</v>
      </c>
      <c r="U135" s="461"/>
      <c r="V135" s="461"/>
      <c r="W135" s="462">
        <f t="shared" si="47"/>
        <v>106</v>
      </c>
      <c r="X135" s="463"/>
      <c r="Y135" s="457"/>
      <c r="Z135" s="464"/>
      <c r="AA135" s="464"/>
      <c r="AB135" s="465"/>
      <c r="AC135" s="457"/>
      <c r="AD135" s="464"/>
      <c r="AE135" s="466"/>
      <c r="AF135" s="465"/>
      <c r="AG135" s="457"/>
      <c r="AH135" s="464"/>
      <c r="AI135" s="466"/>
      <c r="AJ135" s="465"/>
      <c r="AK135" s="457"/>
      <c r="AL135" s="464"/>
      <c r="AM135" s="466"/>
      <c r="AN135" s="465"/>
      <c r="AO135" s="457"/>
      <c r="AP135" s="464"/>
      <c r="AQ135" s="464"/>
      <c r="AR135" s="460">
        <f t="shared" si="50"/>
        <v>0</v>
      </c>
      <c r="AS135" s="467">
        <f t="shared" si="51"/>
        <v>0.59890610756608931</v>
      </c>
      <c r="AT135" s="447">
        <f t="shared" si="52"/>
        <v>0</v>
      </c>
      <c r="AU135" s="448">
        <f t="shared" si="53"/>
        <v>0.65158806544754577</v>
      </c>
      <c r="AV135" s="457"/>
      <c r="AW135" s="450"/>
      <c r="AX135" s="463">
        <v>13</v>
      </c>
      <c r="AY135" s="457">
        <v>345</v>
      </c>
      <c r="AZ135" s="464">
        <v>13</v>
      </c>
      <c r="BA135" s="464">
        <v>264</v>
      </c>
      <c r="BB135" s="465">
        <v>52</v>
      </c>
      <c r="BC135" s="457">
        <v>46</v>
      </c>
      <c r="BD135" s="464">
        <v>52</v>
      </c>
      <c r="BE135" s="466">
        <v>46</v>
      </c>
      <c r="BF135" s="465">
        <v>44</v>
      </c>
      <c r="BG135" s="457">
        <v>15</v>
      </c>
      <c r="BH135" s="464">
        <v>42</v>
      </c>
      <c r="BI135" s="466">
        <v>21</v>
      </c>
      <c r="BJ135" s="465">
        <v>42</v>
      </c>
      <c r="BK135" s="457">
        <v>12</v>
      </c>
      <c r="BL135" s="464">
        <v>44</v>
      </c>
      <c r="BM135" s="466">
        <v>13</v>
      </c>
      <c r="BN135" s="465">
        <v>31</v>
      </c>
      <c r="BO135" s="457">
        <v>8</v>
      </c>
      <c r="BP135" s="464">
        <v>31</v>
      </c>
      <c r="BQ135" s="466">
        <v>8</v>
      </c>
      <c r="BR135" s="465"/>
      <c r="BS135" s="457"/>
      <c r="BT135" s="392"/>
      <c r="BU135" s="392"/>
      <c r="BV135" s="465"/>
      <c r="BW135" s="457"/>
      <c r="BX135" s="464"/>
      <c r="BY135" s="466"/>
      <c r="BZ135" s="465"/>
      <c r="CA135" s="457"/>
      <c r="CB135" s="464"/>
      <c r="CC135" s="466"/>
      <c r="CD135" s="465"/>
      <c r="CE135" s="457"/>
      <c r="CF135" s="464"/>
      <c r="CG135" s="466"/>
      <c r="CH135" s="465"/>
      <c r="CI135" s="457"/>
      <c r="CJ135" s="464"/>
      <c r="CK135" s="466"/>
      <c r="CL135" s="459"/>
      <c r="CM135" s="450"/>
      <c r="CN135" s="468">
        <f t="shared" si="54"/>
        <v>426</v>
      </c>
      <c r="CO135" s="468">
        <f t="shared" si="55"/>
        <v>5</v>
      </c>
      <c r="CP135" s="469">
        <f t="shared" si="56"/>
        <v>352</v>
      </c>
      <c r="CQ135" s="469">
        <f t="shared" si="57"/>
        <v>5</v>
      </c>
      <c r="CR135" s="463"/>
      <c r="CS135" s="457"/>
      <c r="CT135" s="464"/>
      <c r="CU135" s="464"/>
      <c r="CV135" s="465"/>
      <c r="CW135" s="457"/>
      <c r="CX135" s="464"/>
      <c r="CY135" s="466"/>
      <c r="CZ135" s="465"/>
      <c r="DA135" s="457"/>
      <c r="DB135" s="464"/>
      <c r="DC135" s="466"/>
      <c r="DD135" s="465"/>
      <c r="DE135" s="457"/>
      <c r="DF135" s="464"/>
      <c r="DG135" s="466"/>
      <c r="DH135" s="465"/>
      <c r="DI135" s="457"/>
      <c r="DJ135" s="464"/>
      <c r="DK135" s="466"/>
      <c r="DL135" s="465"/>
      <c r="DM135" s="457"/>
      <c r="DN135" s="464"/>
      <c r="DO135" s="466"/>
      <c r="DP135" s="465"/>
      <c r="DQ135" s="457"/>
      <c r="DR135" s="464"/>
      <c r="DS135" s="466"/>
      <c r="DT135" s="465"/>
      <c r="DU135" s="457"/>
      <c r="DV135" s="464"/>
      <c r="DW135" s="466"/>
      <c r="DX135" s="465"/>
      <c r="DY135" s="457"/>
      <c r="DZ135" s="464"/>
      <c r="EA135" s="466"/>
      <c r="EB135" s="465"/>
      <c r="EC135" s="457"/>
      <c r="ED135" s="464"/>
      <c r="EE135" s="466"/>
      <c r="EF135" s="459"/>
      <c r="EG135" s="450"/>
      <c r="EH135" s="460">
        <f t="shared" si="58"/>
        <v>0</v>
      </c>
      <c r="EI135" s="460">
        <f t="shared" si="59"/>
        <v>0</v>
      </c>
      <c r="EJ135" s="458">
        <f t="shared" si="60"/>
        <v>0</v>
      </c>
      <c r="EK135" s="470">
        <f t="shared" si="61"/>
        <v>0</v>
      </c>
      <c r="EL135" s="470">
        <f t="shared" si="62"/>
        <v>0</v>
      </c>
      <c r="EM135" s="449">
        <f t="shared" si="63"/>
        <v>0</v>
      </c>
      <c r="EN135" s="460">
        <f t="shared" si="64"/>
        <v>426</v>
      </c>
      <c r="EO135" s="469">
        <f t="shared" si="65"/>
        <v>352</v>
      </c>
      <c r="EP135" s="471"/>
      <c r="EQ135" s="450"/>
      <c r="ER135" s="471"/>
      <c r="ES135" s="450"/>
      <c r="ET135" s="471"/>
      <c r="EU135" s="450"/>
      <c r="EV135" s="471"/>
      <c r="EW135" s="450"/>
      <c r="EX135" s="471"/>
      <c r="EY135" s="450"/>
      <c r="EZ135" s="471"/>
      <c r="FA135" s="450"/>
      <c r="FB135" s="471"/>
      <c r="FC135" s="450"/>
      <c r="FD135" s="471"/>
      <c r="FE135" s="450"/>
      <c r="FF135" s="471"/>
      <c r="FG135" s="450"/>
      <c r="FH135" s="472"/>
      <c r="FI135" s="450"/>
      <c r="FJ135" s="468">
        <f t="shared" si="66"/>
        <v>0</v>
      </c>
      <c r="FK135" s="469">
        <f t="shared" si="67"/>
        <v>0</v>
      </c>
      <c r="FL135" s="472"/>
      <c r="FM135" s="450"/>
      <c r="FN135" s="460">
        <f t="shared" si="68"/>
        <v>1097</v>
      </c>
      <c r="FO135" s="469">
        <f t="shared" si="69"/>
        <v>1039</v>
      </c>
    </row>
    <row r="136" spans="1:171" x14ac:dyDescent="0.2">
      <c r="A136" s="730" t="s">
        <v>548</v>
      </c>
      <c r="B136" s="548" t="s">
        <v>711</v>
      </c>
      <c r="C136" s="568"/>
      <c r="D136" s="559">
        <v>139366</v>
      </c>
      <c r="E136" s="561">
        <v>4</v>
      </c>
      <c r="F136" s="457">
        <v>160</v>
      </c>
      <c r="G136" s="450">
        <v>82</v>
      </c>
      <c r="H136" s="457"/>
      <c r="I136" s="450"/>
      <c r="J136" s="457">
        <v>32</v>
      </c>
      <c r="K136" s="450">
        <v>34</v>
      </c>
      <c r="L136" s="458">
        <f t="shared" si="48"/>
        <v>3.5281146637265712E-2</v>
      </c>
      <c r="M136" s="449">
        <f t="shared" si="49"/>
        <v>3.9306358381502891E-2</v>
      </c>
      <c r="N136" s="459">
        <v>907</v>
      </c>
      <c r="O136" s="459">
        <v>154</v>
      </c>
      <c r="P136" s="459"/>
      <c r="Q136" s="459"/>
      <c r="R136" s="460">
        <f t="shared" si="46"/>
        <v>154</v>
      </c>
      <c r="S136" s="461">
        <v>865</v>
      </c>
      <c r="T136" s="461">
        <v>142</v>
      </c>
      <c r="U136" s="461"/>
      <c r="V136" s="461"/>
      <c r="W136" s="462">
        <f t="shared" si="47"/>
        <v>142</v>
      </c>
      <c r="X136" s="463"/>
      <c r="Y136" s="457"/>
      <c r="Z136" s="464"/>
      <c r="AA136" s="464"/>
      <c r="AB136" s="465"/>
      <c r="AC136" s="457"/>
      <c r="AD136" s="464"/>
      <c r="AE136" s="466"/>
      <c r="AF136" s="465"/>
      <c r="AG136" s="457"/>
      <c r="AH136" s="464"/>
      <c r="AI136" s="466"/>
      <c r="AJ136" s="465"/>
      <c r="AK136" s="457"/>
      <c r="AL136" s="464"/>
      <c r="AM136" s="466"/>
      <c r="AN136" s="465"/>
      <c r="AO136" s="457"/>
      <c r="AP136" s="464"/>
      <c r="AQ136" s="464"/>
      <c r="AR136" s="460">
        <f t="shared" si="50"/>
        <v>0</v>
      </c>
      <c r="AS136" s="467">
        <f t="shared" si="51"/>
        <v>0.59986772486772488</v>
      </c>
      <c r="AT136" s="447">
        <f t="shared" si="52"/>
        <v>0</v>
      </c>
      <c r="AU136" s="448">
        <f t="shared" si="53"/>
        <v>0.59327846364883396</v>
      </c>
      <c r="AV136" s="457">
        <v>1</v>
      </c>
      <c r="AW136" s="450">
        <v>8</v>
      </c>
      <c r="AX136" s="463">
        <v>13</v>
      </c>
      <c r="AY136" s="457">
        <v>230</v>
      </c>
      <c r="AZ136" s="754">
        <v>13</v>
      </c>
      <c r="BA136" s="754">
        <v>252</v>
      </c>
      <c r="BB136" s="465">
        <v>45</v>
      </c>
      <c r="BC136" s="457">
        <v>120</v>
      </c>
      <c r="BD136" s="464">
        <v>45</v>
      </c>
      <c r="BE136" s="466">
        <v>124</v>
      </c>
      <c r="BF136" s="465">
        <v>11</v>
      </c>
      <c r="BG136" s="457">
        <v>30</v>
      </c>
      <c r="BH136" s="464">
        <v>52</v>
      </c>
      <c r="BI136" s="466">
        <v>60</v>
      </c>
      <c r="BJ136" s="465">
        <v>52</v>
      </c>
      <c r="BK136" s="457">
        <v>27</v>
      </c>
      <c r="BL136" s="464">
        <v>11</v>
      </c>
      <c r="BM136" s="466">
        <v>21</v>
      </c>
      <c r="BN136" s="465">
        <v>3</v>
      </c>
      <c r="BO136" s="457">
        <v>5</v>
      </c>
      <c r="BP136" s="464">
        <v>3</v>
      </c>
      <c r="BQ136" s="466">
        <v>6</v>
      </c>
      <c r="BR136" s="465"/>
      <c r="BS136" s="457"/>
      <c r="BT136" s="392">
        <v>50</v>
      </c>
      <c r="BU136" s="392">
        <v>5</v>
      </c>
      <c r="BV136" s="465"/>
      <c r="BW136" s="457"/>
      <c r="BX136" s="464"/>
      <c r="BY136" s="466"/>
      <c r="BZ136" s="465"/>
      <c r="CA136" s="457"/>
      <c r="CB136" s="464"/>
      <c r="CC136" s="466"/>
      <c r="CD136" s="465"/>
      <c r="CE136" s="457"/>
      <c r="CF136" s="464"/>
      <c r="CG136" s="466"/>
      <c r="CH136" s="465"/>
      <c r="CI136" s="457"/>
      <c r="CJ136" s="464"/>
      <c r="CK136" s="466"/>
      <c r="CL136" s="459"/>
      <c r="CM136" s="450"/>
      <c r="CN136" s="468">
        <f t="shared" si="54"/>
        <v>412</v>
      </c>
      <c r="CO136" s="468">
        <f t="shared" si="55"/>
        <v>5</v>
      </c>
      <c r="CP136" s="469">
        <f t="shared" si="56"/>
        <v>468</v>
      </c>
      <c r="CQ136" s="469">
        <f t="shared" si="57"/>
        <v>6</v>
      </c>
      <c r="CR136" s="463"/>
      <c r="CS136" s="457"/>
      <c r="CT136" s="464">
        <v>13</v>
      </c>
      <c r="CU136" s="464">
        <v>1</v>
      </c>
      <c r="CV136" s="465"/>
      <c r="CW136" s="457"/>
      <c r="CX136" s="464"/>
      <c r="CY136" s="466"/>
      <c r="CZ136" s="465"/>
      <c r="DA136" s="457"/>
      <c r="DB136" s="464"/>
      <c r="DC136" s="466"/>
      <c r="DD136" s="465"/>
      <c r="DE136" s="457"/>
      <c r="DF136" s="464"/>
      <c r="DG136" s="466"/>
      <c r="DH136" s="465"/>
      <c r="DI136" s="457"/>
      <c r="DJ136" s="464"/>
      <c r="DK136" s="466"/>
      <c r="DL136" s="465"/>
      <c r="DM136" s="457"/>
      <c r="DN136" s="464"/>
      <c r="DO136" s="466"/>
      <c r="DP136" s="465"/>
      <c r="DQ136" s="457"/>
      <c r="DR136" s="464"/>
      <c r="DS136" s="466"/>
      <c r="DT136" s="465"/>
      <c r="DU136" s="457"/>
      <c r="DV136" s="464"/>
      <c r="DW136" s="466"/>
      <c r="DX136" s="465"/>
      <c r="DY136" s="457"/>
      <c r="DZ136" s="464"/>
      <c r="EA136" s="466"/>
      <c r="EB136" s="465"/>
      <c r="EC136" s="457"/>
      <c r="ED136" s="464"/>
      <c r="EE136" s="466"/>
      <c r="EF136" s="459"/>
      <c r="EG136" s="450"/>
      <c r="EH136" s="460">
        <f t="shared" si="58"/>
        <v>0</v>
      </c>
      <c r="EI136" s="460">
        <f t="shared" si="59"/>
        <v>0</v>
      </c>
      <c r="EJ136" s="458">
        <f t="shared" si="60"/>
        <v>0</v>
      </c>
      <c r="EK136" s="470">
        <f t="shared" si="61"/>
        <v>1</v>
      </c>
      <c r="EL136" s="470">
        <f t="shared" si="62"/>
        <v>1</v>
      </c>
      <c r="EM136" s="449">
        <f t="shared" si="63"/>
        <v>1</v>
      </c>
      <c r="EN136" s="460">
        <f t="shared" si="64"/>
        <v>412</v>
      </c>
      <c r="EO136" s="469">
        <f t="shared" si="65"/>
        <v>469</v>
      </c>
      <c r="EP136" s="471"/>
      <c r="EQ136" s="450"/>
      <c r="ER136" s="471"/>
      <c r="ES136" s="450"/>
      <c r="ET136" s="471"/>
      <c r="EU136" s="450"/>
      <c r="EV136" s="471"/>
      <c r="EW136" s="450"/>
      <c r="EX136" s="471"/>
      <c r="EY136" s="450"/>
      <c r="EZ136" s="471"/>
      <c r="FA136" s="450"/>
      <c r="FB136" s="471"/>
      <c r="FC136" s="450"/>
      <c r="FD136" s="471"/>
      <c r="FE136" s="450"/>
      <c r="FF136" s="471"/>
      <c r="FG136" s="450"/>
      <c r="FH136" s="472"/>
      <c r="FI136" s="450"/>
      <c r="FJ136" s="468">
        <f t="shared" si="66"/>
        <v>0</v>
      </c>
      <c r="FK136" s="469">
        <f t="shared" si="67"/>
        <v>0</v>
      </c>
      <c r="FL136" s="472"/>
      <c r="FM136" s="450"/>
      <c r="FN136" s="460">
        <f t="shared" si="68"/>
        <v>1512</v>
      </c>
      <c r="FO136" s="469">
        <f t="shared" si="69"/>
        <v>1458</v>
      </c>
    </row>
    <row r="137" spans="1:171" x14ac:dyDescent="0.2">
      <c r="A137" s="730" t="s">
        <v>548</v>
      </c>
      <c r="B137" s="548" t="s">
        <v>712</v>
      </c>
      <c r="C137" s="568"/>
      <c r="D137" s="559">
        <v>139861</v>
      </c>
      <c r="E137" s="561">
        <v>4</v>
      </c>
      <c r="F137" s="457"/>
      <c r="G137" s="450"/>
      <c r="H137" s="457"/>
      <c r="I137" s="450"/>
      <c r="J137" s="457"/>
      <c r="K137" s="450"/>
      <c r="L137" s="458">
        <f t="shared" si="48"/>
        <v>0</v>
      </c>
      <c r="M137" s="449">
        <f t="shared" si="49"/>
        <v>0</v>
      </c>
      <c r="N137" s="459">
        <v>1105</v>
      </c>
      <c r="O137" s="549">
        <v>77</v>
      </c>
      <c r="P137" s="459"/>
      <c r="Q137" s="459"/>
      <c r="R137" s="460">
        <f t="shared" si="46"/>
        <v>77</v>
      </c>
      <c r="S137" s="461">
        <v>1215</v>
      </c>
      <c r="T137" s="461">
        <v>101</v>
      </c>
      <c r="U137" s="461"/>
      <c r="V137" s="461"/>
      <c r="W137" s="462">
        <f t="shared" si="47"/>
        <v>101</v>
      </c>
      <c r="X137" s="463"/>
      <c r="Y137" s="457"/>
      <c r="Z137" s="464"/>
      <c r="AA137" s="464"/>
      <c r="AB137" s="465"/>
      <c r="AC137" s="457"/>
      <c r="AD137" s="464"/>
      <c r="AE137" s="466"/>
      <c r="AF137" s="465"/>
      <c r="AG137" s="457"/>
      <c r="AH137" s="464"/>
      <c r="AI137" s="466"/>
      <c r="AJ137" s="465"/>
      <c r="AK137" s="457"/>
      <c r="AL137" s="464"/>
      <c r="AM137" s="466"/>
      <c r="AN137" s="465"/>
      <c r="AO137" s="457"/>
      <c r="AP137" s="464"/>
      <c r="AQ137" s="464"/>
      <c r="AR137" s="460">
        <f t="shared" si="50"/>
        <v>0</v>
      </c>
      <c r="AS137" s="467">
        <f t="shared" si="51"/>
        <v>0.70203303684879292</v>
      </c>
      <c r="AT137" s="447">
        <f t="shared" si="52"/>
        <v>0</v>
      </c>
      <c r="AU137" s="448">
        <f t="shared" si="53"/>
        <v>0.69547796222095015</v>
      </c>
      <c r="AV137" s="457"/>
      <c r="AW137" s="450"/>
      <c r="AX137" s="463">
        <v>13</v>
      </c>
      <c r="AY137" s="457">
        <v>244</v>
      </c>
      <c r="AZ137" s="464">
        <v>13</v>
      </c>
      <c r="BA137" s="464">
        <v>277</v>
      </c>
      <c r="BB137" s="465">
        <v>52</v>
      </c>
      <c r="BC137" s="457">
        <v>128</v>
      </c>
      <c r="BD137" s="464">
        <v>52</v>
      </c>
      <c r="BE137" s="466">
        <v>151</v>
      </c>
      <c r="BF137" s="465">
        <v>43</v>
      </c>
      <c r="BG137" s="457">
        <v>35</v>
      </c>
      <c r="BH137" s="464">
        <v>44</v>
      </c>
      <c r="BI137" s="466">
        <v>37</v>
      </c>
      <c r="BJ137" s="465">
        <v>51</v>
      </c>
      <c r="BK137" s="457">
        <v>24</v>
      </c>
      <c r="BL137" s="464">
        <v>26</v>
      </c>
      <c r="BM137" s="466">
        <v>21</v>
      </c>
      <c r="BN137" s="465">
        <v>26</v>
      </c>
      <c r="BO137" s="457">
        <v>16</v>
      </c>
      <c r="BP137" s="464">
        <v>51</v>
      </c>
      <c r="BQ137" s="466">
        <v>19</v>
      </c>
      <c r="BR137" s="465">
        <v>23</v>
      </c>
      <c r="BS137" s="457">
        <v>14</v>
      </c>
      <c r="BT137" s="392">
        <v>23</v>
      </c>
      <c r="BU137" s="392">
        <v>14</v>
      </c>
      <c r="BV137" s="465">
        <v>43</v>
      </c>
      <c r="BW137" s="457">
        <v>5</v>
      </c>
      <c r="BX137" s="464">
        <v>43</v>
      </c>
      <c r="BY137" s="466">
        <v>9</v>
      </c>
      <c r="BZ137" s="465">
        <v>54</v>
      </c>
      <c r="CA137" s="457">
        <v>3</v>
      </c>
      <c r="CB137" s="464">
        <v>54</v>
      </c>
      <c r="CC137" s="466">
        <v>4</v>
      </c>
      <c r="CD137" s="465"/>
      <c r="CE137" s="457"/>
      <c r="CF137" s="464"/>
      <c r="CG137" s="466"/>
      <c r="CH137" s="465"/>
      <c r="CI137" s="457"/>
      <c r="CJ137" s="464"/>
      <c r="CK137" s="466"/>
      <c r="CL137" s="459"/>
      <c r="CM137" s="450"/>
      <c r="CN137" s="468">
        <f t="shared" si="54"/>
        <v>469</v>
      </c>
      <c r="CO137" s="468">
        <f t="shared" si="55"/>
        <v>8</v>
      </c>
      <c r="CP137" s="469">
        <f t="shared" si="56"/>
        <v>532</v>
      </c>
      <c r="CQ137" s="469">
        <f t="shared" si="57"/>
        <v>8</v>
      </c>
      <c r="CR137" s="463"/>
      <c r="CS137" s="457"/>
      <c r="CT137" s="464"/>
      <c r="CU137" s="464"/>
      <c r="CV137" s="465"/>
      <c r="CW137" s="457"/>
      <c r="CX137" s="464"/>
      <c r="CY137" s="466"/>
      <c r="CZ137" s="465"/>
      <c r="DA137" s="457"/>
      <c r="DB137" s="464"/>
      <c r="DC137" s="466"/>
      <c r="DD137" s="465"/>
      <c r="DE137" s="457"/>
      <c r="DF137" s="464"/>
      <c r="DG137" s="466"/>
      <c r="DH137" s="465"/>
      <c r="DI137" s="457"/>
      <c r="DJ137" s="464"/>
      <c r="DK137" s="466"/>
      <c r="DL137" s="465"/>
      <c r="DM137" s="457"/>
      <c r="DN137" s="464"/>
      <c r="DO137" s="466"/>
      <c r="DP137" s="465"/>
      <c r="DQ137" s="457"/>
      <c r="DR137" s="464"/>
      <c r="DS137" s="466"/>
      <c r="DT137" s="465"/>
      <c r="DU137" s="457"/>
      <c r="DV137" s="464"/>
      <c r="DW137" s="466"/>
      <c r="DX137" s="465"/>
      <c r="DY137" s="457"/>
      <c r="DZ137" s="464"/>
      <c r="EA137" s="466"/>
      <c r="EB137" s="465"/>
      <c r="EC137" s="457"/>
      <c r="ED137" s="464"/>
      <c r="EE137" s="466"/>
      <c r="EF137" s="459"/>
      <c r="EG137" s="450"/>
      <c r="EH137" s="460">
        <f t="shared" si="58"/>
        <v>0</v>
      </c>
      <c r="EI137" s="460">
        <f t="shared" si="59"/>
        <v>0</v>
      </c>
      <c r="EJ137" s="458">
        <f t="shared" si="60"/>
        <v>0</v>
      </c>
      <c r="EK137" s="470">
        <f t="shared" si="61"/>
        <v>0</v>
      </c>
      <c r="EL137" s="470">
        <f t="shared" si="62"/>
        <v>0</v>
      </c>
      <c r="EM137" s="449">
        <f t="shared" si="63"/>
        <v>0</v>
      </c>
      <c r="EN137" s="460">
        <f t="shared" si="64"/>
        <v>469</v>
      </c>
      <c r="EO137" s="469">
        <f t="shared" si="65"/>
        <v>532</v>
      </c>
      <c r="EP137" s="471"/>
      <c r="EQ137" s="450"/>
      <c r="ER137" s="471"/>
      <c r="ES137" s="450"/>
      <c r="ET137" s="471"/>
      <c r="EU137" s="450"/>
      <c r="EV137" s="471"/>
      <c r="EW137" s="450"/>
      <c r="EX137" s="471"/>
      <c r="EY137" s="450"/>
      <c r="EZ137" s="471"/>
      <c r="FA137" s="450"/>
      <c r="FB137" s="471"/>
      <c r="FC137" s="450"/>
      <c r="FD137" s="471"/>
      <c r="FE137" s="450"/>
      <c r="FF137" s="471"/>
      <c r="FG137" s="450"/>
      <c r="FH137" s="472"/>
      <c r="FI137" s="450"/>
      <c r="FJ137" s="468">
        <f t="shared" si="66"/>
        <v>0</v>
      </c>
      <c r="FK137" s="469">
        <f t="shared" si="67"/>
        <v>0</v>
      </c>
      <c r="FL137" s="472"/>
      <c r="FM137" s="450"/>
      <c r="FN137" s="460">
        <f t="shared" si="68"/>
        <v>1574</v>
      </c>
      <c r="FO137" s="469">
        <f t="shared" si="69"/>
        <v>1747</v>
      </c>
    </row>
    <row r="138" spans="1:171" x14ac:dyDescent="0.2">
      <c r="A138" s="730" t="s">
        <v>548</v>
      </c>
      <c r="B138" s="548" t="s">
        <v>713</v>
      </c>
      <c r="C138" s="568" t="s">
        <v>738</v>
      </c>
      <c r="D138" s="559">
        <v>140164</v>
      </c>
      <c r="E138" s="561">
        <v>4</v>
      </c>
      <c r="F138" s="457"/>
      <c r="G138" s="450"/>
      <c r="H138" s="457"/>
      <c r="I138" s="450"/>
      <c r="J138" s="457"/>
      <c r="K138" s="450"/>
      <c r="L138" s="458">
        <f t="shared" si="48"/>
        <v>0</v>
      </c>
      <c r="M138" s="449">
        <f t="shared" si="49"/>
        <v>0</v>
      </c>
      <c r="N138" s="459">
        <v>3319</v>
      </c>
      <c r="O138" s="459">
        <v>580</v>
      </c>
      <c r="P138" s="459"/>
      <c r="Q138" s="459"/>
      <c r="R138" s="460">
        <f t="shared" ref="R138:R201" si="70">SUM(O138:Q138)</f>
        <v>580</v>
      </c>
      <c r="S138" s="461">
        <v>3532</v>
      </c>
      <c r="T138" s="461">
        <v>602</v>
      </c>
      <c r="U138" s="461"/>
      <c r="V138" s="461"/>
      <c r="W138" s="462">
        <f t="shared" ref="W138:W201" si="71">SUM(T138:V138)</f>
        <v>602</v>
      </c>
      <c r="X138" s="463"/>
      <c r="Y138" s="457"/>
      <c r="Z138" s="464"/>
      <c r="AA138" s="464"/>
      <c r="AB138" s="465"/>
      <c r="AC138" s="457"/>
      <c r="AD138" s="464"/>
      <c r="AE138" s="466"/>
      <c r="AF138" s="465"/>
      <c r="AG138" s="457"/>
      <c r="AH138" s="464"/>
      <c r="AI138" s="466"/>
      <c r="AJ138" s="465"/>
      <c r="AK138" s="457"/>
      <c r="AL138" s="464"/>
      <c r="AM138" s="466"/>
      <c r="AN138" s="465"/>
      <c r="AO138" s="457"/>
      <c r="AP138" s="464"/>
      <c r="AQ138" s="464"/>
      <c r="AR138" s="460">
        <f t="shared" si="50"/>
        <v>0</v>
      </c>
      <c r="AS138" s="467">
        <f t="shared" si="51"/>
        <v>0.79023809523809518</v>
      </c>
      <c r="AT138" s="447">
        <f t="shared" si="52"/>
        <v>0</v>
      </c>
      <c r="AU138" s="448">
        <f t="shared" si="53"/>
        <v>0.81645862228386501</v>
      </c>
      <c r="AV138" s="457">
        <v>4</v>
      </c>
      <c r="AW138" s="450">
        <v>8</v>
      </c>
      <c r="AX138" s="463">
        <v>52</v>
      </c>
      <c r="AY138" s="457">
        <v>363</v>
      </c>
      <c r="AZ138" s="464">
        <v>52</v>
      </c>
      <c r="BA138" s="464">
        <v>296</v>
      </c>
      <c r="BB138" s="465">
        <v>13</v>
      </c>
      <c r="BC138" s="457">
        <v>225</v>
      </c>
      <c r="BD138" s="464">
        <v>13</v>
      </c>
      <c r="BE138" s="466">
        <v>201</v>
      </c>
      <c r="BF138" s="465">
        <v>44</v>
      </c>
      <c r="BG138" s="457">
        <v>68</v>
      </c>
      <c r="BH138" s="464">
        <v>44</v>
      </c>
      <c r="BI138" s="466">
        <v>65</v>
      </c>
      <c r="BJ138" s="465">
        <v>51</v>
      </c>
      <c r="BK138" s="457">
        <v>56</v>
      </c>
      <c r="BL138" s="464">
        <v>11</v>
      </c>
      <c r="BM138" s="466">
        <v>49</v>
      </c>
      <c r="BN138" s="465">
        <v>30</v>
      </c>
      <c r="BO138" s="457">
        <v>45</v>
      </c>
      <c r="BP138" s="464">
        <v>51</v>
      </c>
      <c r="BQ138" s="466">
        <v>42</v>
      </c>
      <c r="BR138" s="465">
        <v>11</v>
      </c>
      <c r="BS138" s="457">
        <v>41</v>
      </c>
      <c r="BT138" s="392">
        <v>23</v>
      </c>
      <c r="BU138" s="392">
        <v>24</v>
      </c>
      <c r="BV138" s="465">
        <v>27</v>
      </c>
      <c r="BW138" s="457">
        <v>38</v>
      </c>
      <c r="BX138" s="464">
        <v>27</v>
      </c>
      <c r="BY138" s="466">
        <v>23</v>
      </c>
      <c r="BZ138" s="465">
        <v>23</v>
      </c>
      <c r="CA138" s="457">
        <v>25</v>
      </c>
      <c r="CB138" s="464">
        <v>30</v>
      </c>
      <c r="CC138" s="466">
        <v>19</v>
      </c>
      <c r="CD138" s="465">
        <v>31</v>
      </c>
      <c r="CE138" s="457">
        <v>6</v>
      </c>
      <c r="CF138" s="464">
        <v>31</v>
      </c>
      <c r="CG138" s="466">
        <v>18</v>
      </c>
      <c r="CH138" s="465">
        <v>5</v>
      </c>
      <c r="CI138" s="457">
        <v>2</v>
      </c>
      <c r="CJ138" s="464">
        <v>45</v>
      </c>
      <c r="CK138" s="466">
        <v>18</v>
      </c>
      <c r="CL138" s="459"/>
      <c r="CM138" s="450">
        <v>9</v>
      </c>
      <c r="CN138" s="468">
        <f t="shared" si="54"/>
        <v>869</v>
      </c>
      <c r="CO138" s="468">
        <f t="shared" si="55"/>
        <v>10</v>
      </c>
      <c r="CP138" s="469">
        <f t="shared" si="56"/>
        <v>764</v>
      </c>
      <c r="CQ138" s="469">
        <f t="shared" si="57"/>
        <v>10</v>
      </c>
      <c r="CR138" s="463">
        <v>13</v>
      </c>
      <c r="CS138" s="457">
        <v>8</v>
      </c>
      <c r="CT138" s="464">
        <v>13</v>
      </c>
      <c r="CU138" s="464">
        <v>13</v>
      </c>
      <c r="CV138" s="465"/>
      <c r="CW138" s="457"/>
      <c r="CX138" s="464">
        <v>52</v>
      </c>
      <c r="CY138" s="466">
        <v>8</v>
      </c>
      <c r="CZ138" s="465"/>
      <c r="DA138" s="457"/>
      <c r="DB138" s="464">
        <v>51</v>
      </c>
      <c r="DC138" s="466">
        <v>1</v>
      </c>
      <c r="DD138" s="465"/>
      <c r="DE138" s="457"/>
      <c r="DF138" s="464"/>
      <c r="DG138" s="466"/>
      <c r="DH138" s="465"/>
      <c r="DI138" s="457"/>
      <c r="DJ138" s="464"/>
      <c r="DK138" s="466"/>
      <c r="DL138" s="465"/>
      <c r="DM138" s="457"/>
      <c r="DN138" s="464"/>
      <c r="DO138" s="466"/>
      <c r="DP138" s="465"/>
      <c r="DQ138" s="457"/>
      <c r="DR138" s="464"/>
      <c r="DS138" s="466"/>
      <c r="DT138" s="465"/>
      <c r="DU138" s="457"/>
      <c r="DV138" s="464"/>
      <c r="DW138" s="466"/>
      <c r="DX138" s="465"/>
      <c r="DY138" s="457"/>
      <c r="DZ138" s="464"/>
      <c r="EA138" s="466"/>
      <c r="EB138" s="465"/>
      <c r="EC138" s="457"/>
      <c r="ED138" s="464"/>
      <c r="EE138" s="466"/>
      <c r="EF138" s="459"/>
      <c r="EG138" s="450"/>
      <c r="EH138" s="460">
        <f t="shared" si="58"/>
        <v>8</v>
      </c>
      <c r="EI138" s="460">
        <f t="shared" si="59"/>
        <v>1</v>
      </c>
      <c r="EJ138" s="458">
        <f t="shared" si="60"/>
        <v>1</v>
      </c>
      <c r="EK138" s="470">
        <f t="shared" si="61"/>
        <v>22</v>
      </c>
      <c r="EL138" s="470">
        <f t="shared" si="62"/>
        <v>3</v>
      </c>
      <c r="EM138" s="449">
        <f t="shared" si="63"/>
        <v>0.59090909090909094</v>
      </c>
      <c r="EN138" s="460">
        <f t="shared" si="64"/>
        <v>877</v>
      </c>
      <c r="EO138" s="469">
        <f t="shared" si="65"/>
        <v>786</v>
      </c>
      <c r="EP138" s="471"/>
      <c r="EQ138" s="450"/>
      <c r="ER138" s="471"/>
      <c r="ES138" s="450"/>
      <c r="ET138" s="471"/>
      <c r="EU138" s="450"/>
      <c r="EV138" s="471"/>
      <c r="EW138" s="450"/>
      <c r="EX138" s="471"/>
      <c r="EY138" s="450"/>
      <c r="EZ138" s="471"/>
      <c r="FA138" s="450"/>
      <c r="FB138" s="471"/>
      <c r="FC138" s="450"/>
      <c r="FD138" s="471"/>
      <c r="FE138" s="450"/>
      <c r="FF138" s="471"/>
      <c r="FG138" s="450"/>
      <c r="FH138" s="472"/>
      <c r="FI138" s="450"/>
      <c r="FJ138" s="468">
        <f t="shared" si="66"/>
        <v>0</v>
      </c>
      <c r="FK138" s="469">
        <f t="shared" si="67"/>
        <v>0</v>
      </c>
      <c r="FL138" s="472"/>
      <c r="FM138" s="450"/>
      <c r="FN138" s="460">
        <f t="shared" si="68"/>
        <v>4200</v>
      </c>
      <c r="FO138" s="469">
        <f t="shared" si="69"/>
        <v>4326</v>
      </c>
    </row>
    <row r="139" spans="1:171" x14ac:dyDescent="0.2">
      <c r="A139" s="730" t="s">
        <v>548</v>
      </c>
      <c r="B139" s="548" t="s">
        <v>718</v>
      </c>
      <c r="C139" s="560" t="s">
        <v>739</v>
      </c>
      <c r="D139" s="559">
        <v>140669</v>
      </c>
      <c r="E139" s="562">
        <v>4</v>
      </c>
      <c r="F139" s="457"/>
      <c r="G139" s="450"/>
      <c r="H139" s="457"/>
      <c r="I139" s="450"/>
      <c r="J139" s="457">
        <v>150</v>
      </c>
      <c r="K139" s="450">
        <v>160</v>
      </c>
      <c r="L139" s="458">
        <f t="shared" ref="L139:L202" si="72">IF(N139&gt;0,J139/N139, )</f>
        <v>0.1762632197414806</v>
      </c>
      <c r="M139" s="449">
        <f t="shared" ref="M139:M202" si="73">IF(S139&gt;0,K139/S139, )</f>
        <v>0.17094017094017094</v>
      </c>
      <c r="N139" s="459">
        <v>851</v>
      </c>
      <c r="O139" s="459">
        <v>187</v>
      </c>
      <c r="P139" s="459"/>
      <c r="Q139" s="459"/>
      <c r="R139" s="460">
        <f t="shared" si="70"/>
        <v>187</v>
      </c>
      <c r="S139" s="461">
        <v>936</v>
      </c>
      <c r="T139" s="461">
        <v>209</v>
      </c>
      <c r="U139" s="461"/>
      <c r="V139" s="461"/>
      <c r="W139" s="462">
        <f t="shared" si="71"/>
        <v>209</v>
      </c>
      <c r="X139" s="463"/>
      <c r="Y139" s="457"/>
      <c r="Z139" s="464"/>
      <c r="AA139" s="464"/>
      <c r="AB139" s="465"/>
      <c r="AC139" s="457"/>
      <c r="AD139" s="464"/>
      <c r="AE139" s="466"/>
      <c r="AF139" s="465"/>
      <c r="AG139" s="457"/>
      <c r="AH139" s="464"/>
      <c r="AI139" s="466"/>
      <c r="AJ139" s="465"/>
      <c r="AK139" s="457"/>
      <c r="AL139" s="464"/>
      <c r="AM139" s="466"/>
      <c r="AN139" s="465"/>
      <c r="AO139" s="457"/>
      <c r="AP139" s="464"/>
      <c r="AQ139" s="464"/>
      <c r="AR139" s="460">
        <f t="shared" ref="AR139:AR202" si="74">COUNTA(X139,AB139,AF139,AJ139,AN139)</f>
        <v>0</v>
      </c>
      <c r="AS139" s="467">
        <f t="shared" ref="AS139:AS202" si="75">IF(FN139&gt;0,N139/FN139,)</f>
        <v>0.70739817123857029</v>
      </c>
      <c r="AT139" s="447">
        <f t="shared" ref="AT139:AT202" si="76">COUNTA(Z139,AD139,AH139,AL139,AP139)</f>
        <v>0</v>
      </c>
      <c r="AU139" s="448">
        <f t="shared" ref="AU139:AU202" si="77">IF(FO139&gt;0,S139/FO139,)</f>
        <v>0.71614384085692429</v>
      </c>
      <c r="AV139" s="457"/>
      <c r="AW139" s="450"/>
      <c r="AX139" s="463">
        <v>13</v>
      </c>
      <c r="AY139" s="457">
        <v>108</v>
      </c>
      <c r="AZ139" s="464">
        <v>13</v>
      </c>
      <c r="BA139" s="464">
        <v>93</v>
      </c>
      <c r="BB139" s="465">
        <v>42</v>
      </c>
      <c r="BC139" s="457">
        <v>21</v>
      </c>
      <c r="BD139" s="464">
        <v>51</v>
      </c>
      <c r="BE139" s="466">
        <v>29</v>
      </c>
      <c r="BF139" s="465">
        <v>51</v>
      </c>
      <c r="BG139" s="457">
        <v>20</v>
      </c>
      <c r="BH139" s="464">
        <v>52</v>
      </c>
      <c r="BI139" s="466">
        <v>22</v>
      </c>
      <c r="BJ139" s="465">
        <v>52</v>
      </c>
      <c r="BK139" s="457">
        <v>19</v>
      </c>
      <c r="BL139" s="464">
        <v>42</v>
      </c>
      <c r="BM139" s="466">
        <v>15</v>
      </c>
      <c r="BN139" s="465">
        <v>44</v>
      </c>
      <c r="BO139" s="457">
        <v>10</v>
      </c>
      <c r="BP139" s="464">
        <v>54</v>
      </c>
      <c r="BQ139" s="466">
        <v>11</v>
      </c>
      <c r="BR139" s="465">
        <v>54</v>
      </c>
      <c r="BS139" s="457">
        <v>1</v>
      </c>
      <c r="BT139" s="392">
        <v>45</v>
      </c>
      <c r="BU139" s="392">
        <v>9</v>
      </c>
      <c r="BV139" s="465"/>
      <c r="BW139" s="457"/>
      <c r="BX139" s="464">
        <v>44</v>
      </c>
      <c r="BY139" s="466">
        <v>6</v>
      </c>
      <c r="BZ139" s="465"/>
      <c r="CA139" s="457"/>
      <c r="CB139" s="464"/>
      <c r="CC139" s="466"/>
      <c r="CD139" s="465"/>
      <c r="CE139" s="457"/>
      <c r="CF139" s="464"/>
      <c r="CG139" s="466"/>
      <c r="CH139" s="465"/>
      <c r="CI139" s="457"/>
      <c r="CJ139" s="464"/>
      <c r="CK139" s="466"/>
      <c r="CL139" s="459"/>
      <c r="CM139" s="450"/>
      <c r="CN139" s="468">
        <f t="shared" ref="CN139:CN202" si="78">AY139+BC139+BG139+BK139+BO139+BS139+BW139+CA139+CE139+CI139+CL139</f>
        <v>179</v>
      </c>
      <c r="CO139" s="468">
        <f t="shared" ref="CO139:CO202" si="79">COUNTA(AX139,BB139,BF139,BJ139,BN139,BR139,BV139,BZ139,CD139,CH139)</f>
        <v>6</v>
      </c>
      <c r="CP139" s="469">
        <f t="shared" ref="CP139:CP202" si="80">BA139+BE139+BI139+BM139+BQ139+BU139+BY139+CC139+CG139+CK139+CM139</f>
        <v>185</v>
      </c>
      <c r="CQ139" s="469">
        <f t="shared" ref="CQ139:CQ202" si="81">COUNTA(AZ139,BD139,BH139,BL139,BP139,BT139,BX139,CB139,CF139,CJ139)</f>
        <v>7</v>
      </c>
      <c r="CR139" s="463">
        <v>51</v>
      </c>
      <c r="CS139" s="457">
        <v>23</v>
      </c>
      <c r="CT139" s="464">
        <v>51</v>
      </c>
      <c r="CU139" s="464">
        <v>26</v>
      </c>
      <c r="CV139" s="465"/>
      <c r="CW139" s="457"/>
      <c r="CX139" s="464"/>
      <c r="CY139" s="466"/>
      <c r="CZ139" s="465"/>
      <c r="DA139" s="457"/>
      <c r="DB139" s="464"/>
      <c r="DC139" s="466"/>
      <c r="DD139" s="465"/>
      <c r="DE139" s="457"/>
      <c r="DF139" s="464"/>
      <c r="DG139" s="466"/>
      <c r="DH139" s="465"/>
      <c r="DI139" s="457"/>
      <c r="DJ139" s="464"/>
      <c r="DK139" s="466"/>
      <c r="DL139" s="465"/>
      <c r="DM139" s="457"/>
      <c r="DN139" s="464"/>
      <c r="DO139" s="466"/>
      <c r="DP139" s="465"/>
      <c r="DQ139" s="457"/>
      <c r="DR139" s="464"/>
      <c r="DS139" s="466"/>
      <c r="DT139" s="465"/>
      <c r="DU139" s="457"/>
      <c r="DV139" s="464"/>
      <c r="DW139" s="466"/>
      <c r="DX139" s="465"/>
      <c r="DY139" s="457"/>
      <c r="DZ139" s="464"/>
      <c r="EA139" s="466"/>
      <c r="EB139" s="465"/>
      <c r="EC139" s="457"/>
      <c r="ED139" s="464"/>
      <c r="EE139" s="466"/>
      <c r="EF139" s="459"/>
      <c r="EG139" s="450"/>
      <c r="EH139" s="460">
        <f t="shared" ref="EH139:EH202" si="82">CS139+CW139+DA139+DE139+DI139+DM139+DQ139+DU139+DY139+EC139+EF139</f>
        <v>23</v>
      </c>
      <c r="EI139" s="460">
        <f t="shared" ref="EI139:EI202" si="83">COUNTA(CR139,CV139,CZ139,DD139,DH139,DL139,DP139,DT139,DX139,EB139)</f>
        <v>1</v>
      </c>
      <c r="EJ139" s="458">
        <f t="shared" ref="EJ139:EJ202" si="84">IF(EH139&gt;0,CS139/EH139,)</f>
        <v>1</v>
      </c>
      <c r="EK139" s="470">
        <f t="shared" ref="EK139:EK202" si="85">CU139+CY139+DC139+DG139+DK139+DO139+DS139+DW139+EA139+EE139+EG139</f>
        <v>26</v>
      </c>
      <c r="EL139" s="470">
        <f t="shared" ref="EL139:EL202" si="86">COUNTA(CT139,CX139,DB139,DF139,DJ139,DN139,DR139,DV139,DZ139,ED139)</f>
        <v>1</v>
      </c>
      <c r="EM139" s="449">
        <f t="shared" ref="EM139:EM202" si="87">IF(EK139&gt;0,CU139/EK139,)</f>
        <v>1</v>
      </c>
      <c r="EN139" s="460">
        <f t="shared" ref="EN139:EN202" si="88">CN139+EH139</f>
        <v>202</v>
      </c>
      <c r="EO139" s="469">
        <f t="shared" ref="EO139:EO202" si="89">CP139+EK139</f>
        <v>211</v>
      </c>
      <c r="EP139" s="471"/>
      <c r="EQ139" s="450"/>
      <c r="ER139" s="471"/>
      <c r="ES139" s="450"/>
      <c r="ET139" s="471"/>
      <c r="EU139" s="450"/>
      <c r="EV139" s="471"/>
      <c r="EW139" s="450"/>
      <c r="EX139" s="471"/>
      <c r="EY139" s="450"/>
      <c r="EZ139" s="471"/>
      <c r="FA139" s="450"/>
      <c r="FB139" s="471"/>
      <c r="FC139" s="450"/>
      <c r="FD139" s="471"/>
      <c r="FE139" s="450"/>
      <c r="FF139" s="471"/>
      <c r="FG139" s="450"/>
      <c r="FH139" s="472"/>
      <c r="FI139" s="450"/>
      <c r="FJ139" s="468">
        <f t="shared" ref="FJ139:FJ202" si="90">EP139+ER139+ET139+EV139+EX139+EZ139+FB139+FD139+FF139+FH139</f>
        <v>0</v>
      </c>
      <c r="FK139" s="469">
        <f t="shared" ref="FK139:FK202" si="91">EQ139+ES139+EU139+EW139+EY139+FA139+FC139+FE139+FG139+FI139</f>
        <v>0</v>
      </c>
      <c r="FL139" s="472"/>
      <c r="FM139" s="450"/>
      <c r="FN139" s="460">
        <f t="shared" ref="FN139:FN202" si="92">F139+H139+J139+N139+AV139+EN139+FJ139+FL139</f>
        <v>1203</v>
      </c>
      <c r="FO139" s="469">
        <f t="shared" ref="FO139:FO202" si="93">G139+I139+K139+S139+AW139+EO139+FK139+FM139</f>
        <v>1307</v>
      </c>
    </row>
    <row r="140" spans="1:171" x14ac:dyDescent="0.2">
      <c r="A140" s="730" t="s">
        <v>548</v>
      </c>
      <c r="B140" s="548" t="s">
        <v>715</v>
      </c>
      <c r="C140" s="568" t="s">
        <v>740</v>
      </c>
      <c r="D140" s="559">
        <v>139311</v>
      </c>
      <c r="E140" s="563">
        <v>5</v>
      </c>
      <c r="F140" s="457">
        <v>53</v>
      </c>
      <c r="G140" s="450">
        <v>82</v>
      </c>
      <c r="H140" s="457"/>
      <c r="I140" s="450"/>
      <c r="J140" s="457">
        <v>84</v>
      </c>
      <c r="K140" s="450">
        <v>60</v>
      </c>
      <c r="L140" s="458">
        <f t="shared" si="72"/>
        <v>8.3665338645418322E-2</v>
      </c>
      <c r="M140" s="449">
        <f t="shared" si="73"/>
        <v>5.7581573896353169E-2</v>
      </c>
      <c r="N140" s="459">
        <v>1004</v>
      </c>
      <c r="O140" s="549">
        <v>48</v>
      </c>
      <c r="P140" s="459"/>
      <c r="Q140" s="459"/>
      <c r="R140" s="460">
        <f t="shared" si="70"/>
        <v>48</v>
      </c>
      <c r="S140" s="461">
        <v>1042</v>
      </c>
      <c r="T140" s="461">
        <v>43</v>
      </c>
      <c r="U140" s="461"/>
      <c r="V140" s="461"/>
      <c r="W140" s="462">
        <f t="shared" si="71"/>
        <v>43</v>
      </c>
      <c r="X140" s="463"/>
      <c r="Y140" s="457"/>
      <c r="Z140" s="464"/>
      <c r="AA140" s="464"/>
      <c r="AB140" s="465"/>
      <c r="AC140" s="457"/>
      <c r="AD140" s="464"/>
      <c r="AE140" s="466"/>
      <c r="AF140" s="465"/>
      <c r="AG140" s="457"/>
      <c r="AH140" s="464"/>
      <c r="AI140" s="466"/>
      <c r="AJ140" s="465"/>
      <c r="AK140" s="457"/>
      <c r="AL140" s="464"/>
      <c r="AM140" s="466"/>
      <c r="AN140" s="465"/>
      <c r="AO140" s="457"/>
      <c r="AP140" s="464"/>
      <c r="AQ140" s="464"/>
      <c r="AR140" s="460">
        <f t="shared" si="74"/>
        <v>0</v>
      </c>
      <c r="AS140" s="467">
        <f t="shared" si="75"/>
        <v>0.8345802161263508</v>
      </c>
      <c r="AT140" s="447">
        <f t="shared" si="76"/>
        <v>0</v>
      </c>
      <c r="AU140" s="448">
        <f t="shared" si="77"/>
        <v>0.81342701014832164</v>
      </c>
      <c r="AV140" s="457"/>
      <c r="AW140" s="450"/>
      <c r="AX140" s="463">
        <v>52</v>
      </c>
      <c r="AY140" s="457">
        <v>38</v>
      </c>
      <c r="AZ140" s="464">
        <v>52</v>
      </c>
      <c r="BA140" s="464">
        <v>58</v>
      </c>
      <c r="BB140" s="465">
        <v>13</v>
      </c>
      <c r="BC140" s="457">
        <v>9</v>
      </c>
      <c r="BD140" s="464">
        <v>51</v>
      </c>
      <c r="BE140" s="466">
        <v>26</v>
      </c>
      <c r="BF140" s="465">
        <v>24</v>
      </c>
      <c r="BG140" s="457">
        <v>8</v>
      </c>
      <c r="BH140" s="464">
        <v>13</v>
      </c>
      <c r="BI140" s="466">
        <v>9</v>
      </c>
      <c r="BJ140" s="465">
        <v>51</v>
      </c>
      <c r="BK140" s="457">
        <v>7</v>
      </c>
      <c r="BL140" s="464">
        <v>24</v>
      </c>
      <c r="BM140" s="466">
        <v>3</v>
      </c>
      <c r="BN140" s="465"/>
      <c r="BO140" s="457"/>
      <c r="BP140" s="464">
        <v>30</v>
      </c>
      <c r="BQ140" s="466">
        <v>1</v>
      </c>
      <c r="BR140" s="465"/>
      <c r="BS140" s="457"/>
      <c r="BT140" s="392"/>
      <c r="BU140" s="392"/>
      <c r="BV140" s="465"/>
      <c r="BW140" s="457"/>
      <c r="BX140" s="464"/>
      <c r="BY140" s="466"/>
      <c r="BZ140" s="465"/>
      <c r="CA140" s="457"/>
      <c r="CB140" s="464"/>
      <c r="CC140" s="466"/>
      <c r="CD140" s="465"/>
      <c r="CE140" s="457"/>
      <c r="CF140" s="464"/>
      <c r="CG140" s="466"/>
      <c r="CH140" s="465"/>
      <c r="CI140" s="457"/>
      <c r="CJ140" s="464"/>
      <c r="CK140" s="466"/>
      <c r="CL140" s="459"/>
      <c r="CM140" s="450"/>
      <c r="CN140" s="468">
        <f t="shared" si="78"/>
        <v>62</v>
      </c>
      <c r="CO140" s="468">
        <f t="shared" si="79"/>
        <v>4</v>
      </c>
      <c r="CP140" s="469">
        <f t="shared" si="80"/>
        <v>97</v>
      </c>
      <c r="CQ140" s="469">
        <f t="shared" si="81"/>
        <v>5</v>
      </c>
      <c r="CR140" s="463"/>
      <c r="CS140" s="457"/>
      <c r="CT140" s="464"/>
      <c r="CU140" s="464"/>
      <c r="CV140" s="465"/>
      <c r="CW140" s="457"/>
      <c r="CX140" s="464"/>
      <c r="CY140" s="466"/>
      <c r="CZ140" s="465"/>
      <c r="DA140" s="457"/>
      <c r="DB140" s="464"/>
      <c r="DC140" s="466"/>
      <c r="DD140" s="465"/>
      <c r="DE140" s="457"/>
      <c r="DF140" s="464"/>
      <c r="DG140" s="466"/>
      <c r="DH140" s="465"/>
      <c r="DI140" s="457"/>
      <c r="DJ140" s="464"/>
      <c r="DK140" s="466"/>
      <c r="DL140" s="465"/>
      <c r="DM140" s="457"/>
      <c r="DN140" s="464"/>
      <c r="DO140" s="466"/>
      <c r="DP140" s="465"/>
      <c r="DQ140" s="457"/>
      <c r="DR140" s="464"/>
      <c r="DS140" s="466"/>
      <c r="DT140" s="465"/>
      <c r="DU140" s="457"/>
      <c r="DV140" s="464"/>
      <c r="DW140" s="466"/>
      <c r="DX140" s="465"/>
      <c r="DY140" s="457"/>
      <c r="DZ140" s="464"/>
      <c r="EA140" s="466"/>
      <c r="EB140" s="465"/>
      <c r="EC140" s="457"/>
      <c r="ED140" s="464"/>
      <c r="EE140" s="466"/>
      <c r="EF140" s="459"/>
      <c r="EG140" s="450"/>
      <c r="EH140" s="460">
        <f t="shared" si="82"/>
        <v>0</v>
      </c>
      <c r="EI140" s="460">
        <f t="shared" si="83"/>
        <v>0</v>
      </c>
      <c r="EJ140" s="458">
        <f t="shared" si="84"/>
        <v>0</v>
      </c>
      <c r="EK140" s="470">
        <f t="shared" si="85"/>
        <v>0</v>
      </c>
      <c r="EL140" s="470">
        <f t="shared" si="86"/>
        <v>0</v>
      </c>
      <c r="EM140" s="449">
        <f t="shared" si="87"/>
        <v>0</v>
      </c>
      <c r="EN140" s="460">
        <f t="shared" si="88"/>
        <v>62</v>
      </c>
      <c r="EO140" s="469">
        <f t="shared" si="89"/>
        <v>97</v>
      </c>
      <c r="EP140" s="471"/>
      <c r="EQ140" s="450"/>
      <c r="ER140" s="471"/>
      <c r="ES140" s="450"/>
      <c r="ET140" s="471"/>
      <c r="EU140" s="450"/>
      <c r="EV140" s="471"/>
      <c r="EW140" s="450"/>
      <c r="EX140" s="471"/>
      <c r="EY140" s="450"/>
      <c r="EZ140" s="471"/>
      <c r="FA140" s="450"/>
      <c r="FB140" s="471"/>
      <c r="FC140" s="450"/>
      <c r="FD140" s="471"/>
      <c r="FE140" s="450"/>
      <c r="FF140" s="471"/>
      <c r="FG140" s="450"/>
      <c r="FH140" s="472"/>
      <c r="FI140" s="450"/>
      <c r="FJ140" s="468">
        <f t="shared" si="90"/>
        <v>0</v>
      </c>
      <c r="FK140" s="469">
        <f t="shared" si="91"/>
        <v>0</v>
      </c>
      <c r="FL140" s="472"/>
      <c r="FM140" s="450"/>
      <c r="FN140" s="460">
        <f t="shared" si="92"/>
        <v>1203</v>
      </c>
      <c r="FO140" s="469">
        <f t="shared" si="93"/>
        <v>1281</v>
      </c>
    </row>
    <row r="141" spans="1:171" x14ac:dyDescent="0.2">
      <c r="A141" s="730" t="s">
        <v>548</v>
      </c>
      <c r="B141" s="548" t="s">
        <v>716</v>
      </c>
      <c r="C141" s="568"/>
      <c r="D141" s="559">
        <v>139719</v>
      </c>
      <c r="E141" s="561">
        <v>5</v>
      </c>
      <c r="F141" s="457"/>
      <c r="G141" s="450"/>
      <c r="H141" s="457"/>
      <c r="I141" s="450"/>
      <c r="J141" s="457"/>
      <c r="K141" s="450"/>
      <c r="L141" s="458">
        <f t="shared" si="72"/>
        <v>0</v>
      </c>
      <c r="M141" s="449">
        <f t="shared" si="73"/>
        <v>0</v>
      </c>
      <c r="N141" s="459">
        <v>251</v>
      </c>
      <c r="O141" s="459">
        <v>18</v>
      </c>
      <c r="P141" s="459"/>
      <c r="Q141" s="459"/>
      <c r="R141" s="460">
        <f t="shared" si="70"/>
        <v>18</v>
      </c>
      <c r="S141" s="461">
        <v>375</v>
      </c>
      <c r="T141" s="461">
        <v>33</v>
      </c>
      <c r="U141" s="461"/>
      <c r="V141" s="461"/>
      <c r="W141" s="462">
        <f t="shared" si="71"/>
        <v>33</v>
      </c>
      <c r="X141" s="463"/>
      <c r="Y141" s="457"/>
      <c r="Z141" s="464"/>
      <c r="AA141" s="464"/>
      <c r="AB141" s="465"/>
      <c r="AC141" s="457"/>
      <c r="AD141" s="464"/>
      <c r="AE141" s="466"/>
      <c r="AF141" s="465"/>
      <c r="AG141" s="457"/>
      <c r="AH141" s="464"/>
      <c r="AI141" s="466"/>
      <c r="AJ141" s="465"/>
      <c r="AK141" s="457"/>
      <c r="AL141" s="464"/>
      <c r="AM141" s="466"/>
      <c r="AN141" s="465"/>
      <c r="AO141" s="457"/>
      <c r="AP141" s="464"/>
      <c r="AQ141" s="464"/>
      <c r="AR141" s="460">
        <f t="shared" si="74"/>
        <v>0</v>
      </c>
      <c r="AS141" s="467">
        <f t="shared" si="75"/>
        <v>0.85665529010238906</v>
      </c>
      <c r="AT141" s="447">
        <f t="shared" si="76"/>
        <v>0</v>
      </c>
      <c r="AU141" s="448">
        <f t="shared" si="77"/>
        <v>0.88235294117647056</v>
      </c>
      <c r="AV141" s="457"/>
      <c r="AW141" s="450"/>
      <c r="AX141" s="463">
        <v>51</v>
      </c>
      <c r="AY141" s="457">
        <v>28</v>
      </c>
      <c r="AZ141" s="464">
        <v>51</v>
      </c>
      <c r="BA141" s="464">
        <v>38</v>
      </c>
      <c r="BB141" s="465">
        <v>13</v>
      </c>
      <c r="BC141" s="457">
        <v>11</v>
      </c>
      <c r="BD141" s="464">
        <v>13</v>
      </c>
      <c r="BE141" s="466">
        <v>7</v>
      </c>
      <c r="BF141" s="465">
        <v>1</v>
      </c>
      <c r="BG141" s="457">
        <v>2</v>
      </c>
      <c r="BH141" s="464">
        <v>1</v>
      </c>
      <c r="BI141" s="466">
        <v>3</v>
      </c>
      <c r="BJ141" s="465">
        <v>26</v>
      </c>
      <c r="BK141" s="457">
        <v>1</v>
      </c>
      <c r="BL141" s="464">
        <v>26</v>
      </c>
      <c r="BM141" s="466">
        <v>2</v>
      </c>
      <c r="BN141" s="465"/>
      <c r="BO141" s="457"/>
      <c r="BP141" s="464"/>
      <c r="BQ141" s="466"/>
      <c r="BR141" s="465"/>
      <c r="BS141" s="457"/>
      <c r="BT141" s="392"/>
      <c r="BU141" s="392"/>
      <c r="BV141" s="465"/>
      <c r="BW141" s="457"/>
      <c r="BX141" s="464"/>
      <c r="BY141" s="466"/>
      <c r="BZ141" s="465"/>
      <c r="CA141" s="457"/>
      <c r="CB141" s="464"/>
      <c r="CC141" s="466"/>
      <c r="CD141" s="465"/>
      <c r="CE141" s="457"/>
      <c r="CF141" s="464"/>
      <c r="CG141" s="466"/>
      <c r="CH141" s="465"/>
      <c r="CI141" s="457"/>
      <c r="CJ141" s="464"/>
      <c r="CK141" s="466"/>
      <c r="CL141" s="459"/>
      <c r="CM141" s="450"/>
      <c r="CN141" s="468">
        <f t="shared" si="78"/>
        <v>42</v>
      </c>
      <c r="CO141" s="468">
        <f t="shared" si="79"/>
        <v>4</v>
      </c>
      <c r="CP141" s="469">
        <f t="shared" si="80"/>
        <v>50</v>
      </c>
      <c r="CQ141" s="469">
        <f t="shared" si="81"/>
        <v>4</v>
      </c>
      <c r="CR141" s="463"/>
      <c r="CS141" s="457"/>
      <c r="CT141" s="464"/>
      <c r="CU141" s="464"/>
      <c r="CV141" s="465"/>
      <c r="CW141" s="457"/>
      <c r="CX141" s="464"/>
      <c r="CY141" s="466"/>
      <c r="CZ141" s="465"/>
      <c r="DA141" s="457"/>
      <c r="DB141" s="464"/>
      <c r="DC141" s="466"/>
      <c r="DD141" s="465"/>
      <c r="DE141" s="457"/>
      <c r="DF141" s="464"/>
      <c r="DG141" s="466"/>
      <c r="DH141" s="465"/>
      <c r="DI141" s="457"/>
      <c r="DJ141" s="464"/>
      <c r="DK141" s="466"/>
      <c r="DL141" s="465"/>
      <c r="DM141" s="457"/>
      <c r="DN141" s="464"/>
      <c r="DO141" s="466"/>
      <c r="DP141" s="465"/>
      <c r="DQ141" s="457"/>
      <c r="DR141" s="464"/>
      <c r="DS141" s="466"/>
      <c r="DT141" s="465"/>
      <c r="DU141" s="457"/>
      <c r="DV141" s="464"/>
      <c r="DW141" s="466"/>
      <c r="DX141" s="465"/>
      <c r="DY141" s="457"/>
      <c r="DZ141" s="464"/>
      <c r="EA141" s="466"/>
      <c r="EB141" s="465"/>
      <c r="EC141" s="457"/>
      <c r="ED141" s="464"/>
      <c r="EE141" s="466"/>
      <c r="EF141" s="459"/>
      <c r="EG141" s="450"/>
      <c r="EH141" s="460">
        <f t="shared" si="82"/>
        <v>0</v>
      </c>
      <c r="EI141" s="460">
        <f t="shared" si="83"/>
        <v>0</v>
      </c>
      <c r="EJ141" s="458">
        <f t="shared" si="84"/>
        <v>0</v>
      </c>
      <c r="EK141" s="470">
        <f t="shared" si="85"/>
        <v>0</v>
      </c>
      <c r="EL141" s="470">
        <f t="shared" si="86"/>
        <v>0</v>
      </c>
      <c r="EM141" s="449">
        <f t="shared" si="87"/>
        <v>0</v>
      </c>
      <c r="EN141" s="460">
        <f t="shared" si="88"/>
        <v>42</v>
      </c>
      <c r="EO141" s="469">
        <f t="shared" si="89"/>
        <v>50</v>
      </c>
      <c r="EP141" s="471"/>
      <c r="EQ141" s="450"/>
      <c r="ER141" s="471"/>
      <c r="ES141" s="450"/>
      <c r="ET141" s="471"/>
      <c r="EU141" s="450"/>
      <c r="EV141" s="471"/>
      <c r="EW141" s="450"/>
      <c r="EX141" s="471"/>
      <c r="EY141" s="450"/>
      <c r="EZ141" s="471"/>
      <c r="FA141" s="450"/>
      <c r="FB141" s="471"/>
      <c r="FC141" s="450"/>
      <c r="FD141" s="471"/>
      <c r="FE141" s="450"/>
      <c r="FF141" s="471"/>
      <c r="FG141" s="450"/>
      <c r="FH141" s="472"/>
      <c r="FI141" s="450"/>
      <c r="FJ141" s="468">
        <f t="shared" si="90"/>
        <v>0</v>
      </c>
      <c r="FK141" s="469">
        <f t="shared" si="91"/>
        <v>0</v>
      </c>
      <c r="FL141" s="472"/>
      <c r="FM141" s="450"/>
      <c r="FN141" s="460">
        <f t="shared" si="92"/>
        <v>293</v>
      </c>
      <c r="FO141" s="469">
        <f t="shared" si="93"/>
        <v>425</v>
      </c>
    </row>
    <row r="142" spans="1:171" x14ac:dyDescent="0.2">
      <c r="A142" s="730" t="s">
        <v>548</v>
      </c>
      <c r="B142" s="548" t="s">
        <v>717</v>
      </c>
      <c r="C142" s="568"/>
      <c r="D142" s="559">
        <v>139764</v>
      </c>
      <c r="E142" s="561">
        <v>5</v>
      </c>
      <c r="F142" s="457">
        <v>4</v>
      </c>
      <c r="G142" s="450">
        <v>6</v>
      </c>
      <c r="H142" s="457"/>
      <c r="I142" s="450"/>
      <c r="J142" s="457"/>
      <c r="K142" s="450"/>
      <c r="L142" s="458">
        <f t="shared" si="72"/>
        <v>0</v>
      </c>
      <c r="M142" s="449">
        <f t="shared" si="73"/>
        <v>0</v>
      </c>
      <c r="N142" s="459">
        <v>523</v>
      </c>
      <c r="O142" s="459">
        <v>131</v>
      </c>
      <c r="P142" s="459"/>
      <c r="Q142" s="459"/>
      <c r="R142" s="460">
        <f t="shared" si="70"/>
        <v>131</v>
      </c>
      <c r="S142" s="461">
        <v>526</v>
      </c>
      <c r="T142" s="461">
        <v>122</v>
      </c>
      <c r="U142" s="461"/>
      <c r="V142" s="461"/>
      <c r="W142" s="462">
        <f t="shared" si="71"/>
        <v>122</v>
      </c>
      <c r="X142" s="463"/>
      <c r="Y142" s="457"/>
      <c r="Z142" s="464"/>
      <c r="AA142" s="464"/>
      <c r="AB142" s="465"/>
      <c r="AC142" s="457"/>
      <c r="AD142" s="464"/>
      <c r="AE142" s="466"/>
      <c r="AF142" s="465"/>
      <c r="AG142" s="457"/>
      <c r="AH142" s="464"/>
      <c r="AI142" s="466"/>
      <c r="AJ142" s="465"/>
      <c r="AK142" s="457"/>
      <c r="AL142" s="464"/>
      <c r="AM142" s="466"/>
      <c r="AN142" s="465"/>
      <c r="AO142" s="457"/>
      <c r="AP142" s="464"/>
      <c r="AQ142" s="464"/>
      <c r="AR142" s="460">
        <f t="shared" si="74"/>
        <v>0</v>
      </c>
      <c r="AS142" s="467">
        <f t="shared" si="75"/>
        <v>0.70771312584573753</v>
      </c>
      <c r="AT142" s="447">
        <f t="shared" si="76"/>
        <v>0</v>
      </c>
      <c r="AU142" s="448">
        <f t="shared" si="77"/>
        <v>0.77352941176470591</v>
      </c>
      <c r="AV142" s="457"/>
      <c r="AW142" s="450"/>
      <c r="AX142" s="463">
        <v>13</v>
      </c>
      <c r="AY142" s="457">
        <v>169</v>
      </c>
      <c r="AZ142" s="464">
        <v>13</v>
      </c>
      <c r="BA142" s="464">
        <v>114</v>
      </c>
      <c r="BB142" s="465">
        <v>52</v>
      </c>
      <c r="BC142" s="457">
        <v>34</v>
      </c>
      <c r="BD142" s="464">
        <v>52</v>
      </c>
      <c r="BE142" s="466">
        <v>29</v>
      </c>
      <c r="BF142" s="465">
        <v>11</v>
      </c>
      <c r="BG142" s="457">
        <v>9</v>
      </c>
      <c r="BH142" s="464">
        <v>11</v>
      </c>
      <c r="BI142" s="466">
        <v>5</v>
      </c>
      <c r="BJ142" s="465"/>
      <c r="BK142" s="457"/>
      <c r="BL142" s="464"/>
      <c r="BM142" s="466"/>
      <c r="BN142" s="465"/>
      <c r="BO142" s="457"/>
      <c r="BP142" s="464"/>
      <c r="BQ142" s="466"/>
      <c r="BR142" s="465"/>
      <c r="BS142" s="457"/>
      <c r="BT142" s="392"/>
      <c r="BU142" s="392"/>
      <c r="BV142" s="465"/>
      <c r="BW142" s="457"/>
      <c r="BX142" s="464"/>
      <c r="BY142" s="466"/>
      <c r="BZ142" s="465"/>
      <c r="CA142" s="457"/>
      <c r="CB142" s="464"/>
      <c r="CC142" s="466"/>
      <c r="CD142" s="465"/>
      <c r="CE142" s="457"/>
      <c r="CF142" s="464"/>
      <c r="CG142" s="466"/>
      <c r="CH142" s="465"/>
      <c r="CI142" s="457"/>
      <c r="CJ142" s="464"/>
      <c r="CK142" s="466"/>
      <c r="CL142" s="459"/>
      <c r="CM142" s="450"/>
      <c r="CN142" s="468">
        <f t="shared" si="78"/>
        <v>212</v>
      </c>
      <c r="CO142" s="468">
        <f t="shared" si="79"/>
        <v>3</v>
      </c>
      <c r="CP142" s="469">
        <f t="shared" si="80"/>
        <v>148</v>
      </c>
      <c r="CQ142" s="469">
        <f t="shared" si="81"/>
        <v>3</v>
      </c>
      <c r="CR142" s="463"/>
      <c r="CS142" s="457"/>
      <c r="CT142" s="464"/>
      <c r="CU142" s="464"/>
      <c r="CV142" s="465"/>
      <c r="CW142" s="457"/>
      <c r="CX142" s="464"/>
      <c r="CY142" s="466"/>
      <c r="CZ142" s="465"/>
      <c r="DA142" s="457"/>
      <c r="DB142" s="464"/>
      <c r="DC142" s="466"/>
      <c r="DD142" s="465"/>
      <c r="DE142" s="457"/>
      <c r="DF142" s="464"/>
      <c r="DG142" s="466"/>
      <c r="DH142" s="465"/>
      <c r="DI142" s="457"/>
      <c r="DJ142" s="464"/>
      <c r="DK142" s="466"/>
      <c r="DL142" s="465"/>
      <c r="DM142" s="457"/>
      <c r="DN142" s="464"/>
      <c r="DO142" s="466"/>
      <c r="DP142" s="465"/>
      <c r="DQ142" s="457"/>
      <c r="DR142" s="464"/>
      <c r="DS142" s="466"/>
      <c r="DT142" s="465"/>
      <c r="DU142" s="457"/>
      <c r="DV142" s="464"/>
      <c r="DW142" s="466"/>
      <c r="DX142" s="465"/>
      <c r="DY142" s="457"/>
      <c r="DZ142" s="464"/>
      <c r="EA142" s="466"/>
      <c r="EB142" s="465"/>
      <c r="EC142" s="457"/>
      <c r="ED142" s="464"/>
      <c r="EE142" s="466"/>
      <c r="EF142" s="459"/>
      <c r="EG142" s="450"/>
      <c r="EH142" s="460">
        <f t="shared" si="82"/>
        <v>0</v>
      </c>
      <c r="EI142" s="460">
        <f t="shared" si="83"/>
        <v>0</v>
      </c>
      <c r="EJ142" s="458">
        <f t="shared" si="84"/>
        <v>0</v>
      </c>
      <c r="EK142" s="470">
        <f t="shared" si="85"/>
        <v>0</v>
      </c>
      <c r="EL142" s="470">
        <f t="shared" si="86"/>
        <v>0</v>
      </c>
      <c r="EM142" s="449">
        <f t="shared" si="87"/>
        <v>0</v>
      </c>
      <c r="EN142" s="460">
        <f t="shared" si="88"/>
        <v>212</v>
      </c>
      <c r="EO142" s="469">
        <f t="shared" si="89"/>
        <v>148</v>
      </c>
      <c r="EP142" s="471"/>
      <c r="EQ142" s="450"/>
      <c r="ER142" s="471"/>
      <c r="ES142" s="450"/>
      <c r="ET142" s="471"/>
      <c r="EU142" s="450"/>
      <c r="EV142" s="471"/>
      <c r="EW142" s="450"/>
      <c r="EX142" s="471"/>
      <c r="EY142" s="450"/>
      <c r="EZ142" s="471"/>
      <c r="FA142" s="450"/>
      <c r="FB142" s="471"/>
      <c r="FC142" s="450"/>
      <c r="FD142" s="471"/>
      <c r="FE142" s="450"/>
      <c r="FF142" s="471"/>
      <c r="FG142" s="450"/>
      <c r="FH142" s="472"/>
      <c r="FI142" s="450"/>
      <c r="FJ142" s="468">
        <f t="shared" si="90"/>
        <v>0</v>
      </c>
      <c r="FK142" s="469">
        <f t="shared" si="91"/>
        <v>0</v>
      </c>
      <c r="FL142" s="472"/>
      <c r="FM142" s="450"/>
      <c r="FN142" s="460">
        <f t="shared" si="92"/>
        <v>739</v>
      </c>
      <c r="FO142" s="469">
        <f t="shared" si="93"/>
        <v>680</v>
      </c>
    </row>
    <row r="143" spans="1:171" x14ac:dyDescent="0.2">
      <c r="A143" s="730" t="s">
        <v>548</v>
      </c>
      <c r="B143" s="548" t="s">
        <v>719</v>
      </c>
      <c r="C143" s="568"/>
      <c r="D143" s="559">
        <v>140960</v>
      </c>
      <c r="E143" s="561">
        <v>5</v>
      </c>
      <c r="F143" s="457"/>
      <c r="G143" s="450"/>
      <c r="H143" s="457"/>
      <c r="I143" s="450"/>
      <c r="J143" s="457"/>
      <c r="K143" s="450"/>
      <c r="L143" s="458">
        <f t="shared" si="72"/>
        <v>0</v>
      </c>
      <c r="M143" s="449">
        <f t="shared" si="73"/>
        <v>0</v>
      </c>
      <c r="N143" s="459">
        <v>370</v>
      </c>
      <c r="O143" s="459">
        <v>0</v>
      </c>
      <c r="P143" s="459"/>
      <c r="Q143" s="459"/>
      <c r="R143" s="460">
        <f t="shared" si="70"/>
        <v>0</v>
      </c>
      <c r="S143" s="461">
        <v>395</v>
      </c>
      <c r="T143" s="461"/>
      <c r="U143" s="461"/>
      <c r="V143" s="461"/>
      <c r="W143" s="462">
        <f t="shared" si="71"/>
        <v>0</v>
      </c>
      <c r="X143" s="463"/>
      <c r="Y143" s="457"/>
      <c r="Z143" s="464"/>
      <c r="AA143" s="464"/>
      <c r="AB143" s="465"/>
      <c r="AC143" s="457"/>
      <c r="AD143" s="464"/>
      <c r="AE143" s="466"/>
      <c r="AF143" s="465"/>
      <c r="AG143" s="457"/>
      <c r="AH143" s="464"/>
      <c r="AI143" s="466"/>
      <c r="AJ143" s="465"/>
      <c r="AK143" s="457"/>
      <c r="AL143" s="464"/>
      <c r="AM143" s="466"/>
      <c r="AN143" s="465"/>
      <c r="AO143" s="457"/>
      <c r="AP143" s="464"/>
      <c r="AQ143" s="464"/>
      <c r="AR143" s="460">
        <f t="shared" si="74"/>
        <v>0</v>
      </c>
      <c r="AS143" s="467">
        <f t="shared" si="75"/>
        <v>0.89805825242718451</v>
      </c>
      <c r="AT143" s="447">
        <f t="shared" si="76"/>
        <v>0</v>
      </c>
      <c r="AU143" s="448">
        <f t="shared" si="77"/>
        <v>0.87004405286343611</v>
      </c>
      <c r="AV143" s="457"/>
      <c r="AW143" s="450"/>
      <c r="AX143" s="463">
        <v>44</v>
      </c>
      <c r="AY143" s="457">
        <v>34</v>
      </c>
      <c r="AZ143" s="464">
        <v>44</v>
      </c>
      <c r="BA143" s="464">
        <v>39</v>
      </c>
      <c r="BB143" s="465">
        <v>26</v>
      </c>
      <c r="BC143" s="457">
        <v>5</v>
      </c>
      <c r="BD143" s="464">
        <v>52</v>
      </c>
      <c r="BE143" s="466">
        <v>10</v>
      </c>
      <c r="BF143" s="465">
        <v>52</v>
      </c>
      <c r="BG143" s="457">
        <v>3</v>
      </c>
      <c r="BH143" s="464">
        <v>26</v>
      </c>
      <c r="BI143" s="466">
        <v>7</v>
      </c>
      <c r="BJ143" s="465"/>
      <c r="BK143" s="457"/>
      <c r="BL143" s="464">
        <v>45</v>
      </c>
      <c r="BM143" s="466">
        <v>3</v>
      </c>
      <c r="BN143" s="465"/>
      <c r="BO143" s="457"/>
      <c r="BP143" s="464"/>
      <c r="BQ143" s="466"/>
      <c r="BR143" s="465"/>
      <c r="BS143" s="457"/>
      <c r="BT143" s="193"/>
      <c r="BU143" s="193"/>
      <c r="BV143" s="465"/>
      <c r="BW143" s="457"/>
      <c r="BX143" s="464"/>
      <c r="BY143" s="466"/>
      <c r="BZ143" s="465"/>
      <c r="CA143" s="457"/>
      <c r="CB143" s="464"/>
      <c r="CC143" s="466"/>
      <c r="CD143" s="465"/>
      <c r="CE143" s="457"/>
      <c r="CF143" s="464"/>
      <c r="CG143" s="466"/>
      <c r="CH143" s="465"/>
      <c r="CI143" s="457"/>
      <c r="CJ143" s="464"/>
      <c r="CK143" s="466"/>
      <c r="CL143" s="459"/>
      <c r="CM143" s="450"/>
      <c r="CN143" s="468">
        <f t="shared" si="78"/>
        <v>42</v>
      </c>
      <c r="CO143" s="468">
        <f t="shared" si="79"/>
        <v>3</v>
      </c>
      <c r="CP143" s="469">
        <f t="shared" si="80"/>
        <v>59</v>
      </c>
      <c r="CQ143" s="469">
        <f t="shared" si="81"/>
        <v>4</v>
      </c>
      <c r="CR143" s="463"/>
      <c r="CS143" s="457"/>
      <c r="CT143" s="464"/>
      <c r="CU143" s="464"/>
      <c r="CV143" s="465"/>
      <c r="CW143" s="457"/>
      <c r="CX143" s="464"/>
      <c r="CY143" s="466"/>
      <c r="CZ143" s="465"/>
      <c r="DA143" s="457"/>
      <c r="DB143" s="464"/>
      <c r="DC143" s="466"/>
      <c r="DD143" s="465"/>
      <c r="DE143" s="457"/>
      <c r="DF143" s="464"/>
      <c r="DG143" s="466"/>
      <c r="DH143" s="465"/>
      <c r="DI143" s="457"/>
      <c r="DJ143" s="464"/>
      <c r="DK143" s="466"/>
      <c r="DL143" s="465"/>
      <c r="DM143" s="457"/>
      <c r="DN143" s="464"/>
      <c r="DO143" s="466"/>
      <c r="DP143" s="465"/>
      <c r="DQ143" s="457"/>
      <c r="DR143" s="464"/>
      <c r="DS143" s="466"/>
      <c r="DT143" s="465"/>
      <c r="DU143" s="457"/>
      <c r="DV143" s="464"/>
      <c r="DW143" s="466"/>
      <c r="DX143" s="465"/>
      <c r="DY143" s="457"/>
      <c r="DZ143" s="464"/>
      <c r="EA143" s="466"/>
      <c r="EB143" s="465"/>
      <c r="EC143" s="457"/>
      <c r="ED143" s="464"/>
      <c r="EE143" s="466"/>
      <c r="EF143" s="459"/>
      <c r="EG143" s="450"/>
      <c r="EH143" s="460">
        <f t="shared" si="82"/>
        <v>0</v>
      </c>
      <c r="EI143" s="460">
        <f t="shared" si="83"/>
        <v>0</v>
      </c>
      <c r="EJ143" s="458">
        <f t="shared" si="84"/>
        <v>0</v>
      </c>
      <c r="EK143" s="470">
        <f t="shared" si="85"/>
        <v>0</v>
      </c>
      <c r="EL143" s="470">
        <f t="shared" si="86"/>
        <v>0</v>
      </c>
      <c r="EM143" s="449">
        <f t="shared" si="87"/>
        <v>0</v>
      </c>
      <c r="EN143" s="460">
        <f t="shared" si="88"/>
        <v>42</v>
      </c>
      <c r="EO143" s="469">
        <f t="shared" si="89"/>
        <v>59</v>
      </c>
      <c r="EP143" s="471"/>
      <c r="EQ143" s="450"/>
      <c r="ER143" s="471"/>
      <c r="ES143" s="450"/>
      <c r="ET143" s="471"/>
      <c r="EU143" s="450"/>
      <c r="EV143" s="471"/>
      <c r="EW143" s="450"/>
      <c r="EX143" s="471"/>
      <c r="EY143" s="450"/>
      <c r="EZ143" s="471"/>
      <c r="FA143" s="450"/>
      <c r="FB143" s="471"/>
      <c r="FC143" s="450"/>
      <c r="FD143" s="471"/>
      <c r="FE143" s="450"/>
      <c r="FF143" s="471"/>
      <c r="FG143" s="450"/>
      <c r="FH143" s="472"/>
      <c r="FI143" s="450"/>
      <c r="FJ143" s="468">
        <f t="shared" si="90"/>
        <v>0</v>
      </c>
      <c r="FK143" s="469">
        <f t="shared" si="91"/>
        <v>0</v>
      </c>
      <c r="FL143" s="472"/>
      <c r="FM143" s="450"/>
      <c r="FN143" s="460">
        <f t="shared" si="92"/>
        <v>412</v>
      </c>
      <c r="FO143" s="469">
        <f t="shared" si="93"/>
        <v>454</v>
      </c>
    </row>
    <row r="144" spans="1:171" x14ac:dyDescent="0.2">
      <c r="A144" s="558" t="s">
        <v>548</v>
      </c>
      <c r="B144" s="548" t="s">
        <v>720</v>
      </c>
      <c r="C144" s="560"/>
      <c r="D144" s="559">
        <v>447689</v>
      </c>
      <c r="E144" s="563">
        <v>6</v>
      </c>
      <c r="F144" s="457"/>
      <c r="G144" s="450"/>
      <c r="H144" s="457"/>
      <c r="I144" s="450"/>
      <c r="J144" s="457"/>
      <c r="K144" s="450"/>
      <c r="L144" s="458">
        <f t="shared" si="72"/>
        <v>0</v>
      </c>
      <c r="M144" s="449">
        <f t="shared" si="73"/>
        <v>0</v>
      </c>
      <c r="N144" s="459">
        <v>185</v>
      </c>
      <c r="O144" s="459">
        <v>0</v>
      </c>
      <c r="P144" s="459"/>
      <c r="Q144" s="459"/>
      <c r="R144" s="460">
        <f t="shared" si="70"/>
        <v>0</v>
      </c>
      <c r="S144" s="461">
        <v>340</v>
      </c>
      <c r="T144" s="461">
        <v>38</v>
      </c>
      <c r="U144" s="461"/>
      <c r="V144" s="461"/>
      <c r="W144" s="462">
        <f t="shared" si="71"/>
        <v>38</v>
      </c>
      <c r="X144" s="463">
        <v>52</v>
      </c>
      <c r="Y144" s="457">
        <v>100</v>
      </c>
      <c r="Z144" s="464"/>
      <c r="AA144" s="464"/>
      <c r="AB144" s="465">
        <v>42</v>
      </c>
      <c r="AC144" s="457">
        <v>34</v>
      </c>
      <c r="AD144" s="464"/>
      <c r="AE144" s="466"/>
      <c r="AF144" s="465">
        <v>26</v>
      </c>
      <c r="AG144" s="457">
        <v>30</v>
      </c>
      <c r="AH144" s="464"/>
      <c r="AI144" s="466"/>
      <c r="AJ144" s="465">
        <v>11</v>
      </c>
      <c r="AK144" s="457">
        <v>21</v>
      </c>
      <c r="AL144" s="464"/>
      <c r="AM144" s="466"/>
      <c r="AN144" s="465"/>
      <c r="AO144" s="457"/>
      <c r="AP144" s="464"/>
      <c r="AQ144" s="464"/>
      <c r="AR144" s="460">
        <f t="shared" si="74"/>
        <v>4</v>
      </c>
      <c r="AS144" s="467">
        <f t="shared" si="75"/>
        <v>1</v>
      </c>
      <c r="AT144" s="447">
        <f t="shared" si="76"/>
        <v>0</v>
      </c>
      <c r="AU144" s="448">
        <f t="shared" si="77"/>
        <v>1</v>
      </c>
      <c r="AV144" s="457"/>
      <c r="AW144" s="450"/>
      <c r="AX144" s="463"/>
      <c r="AY144" s="457"/>
      <c r="AZ144" s="464"/>
      <c r="BA144" s="464"/>
      <c r="BB144" s="465"/>
      <c r="BC144" s="457"/>
      <c r="BD144" s="464"/>
      <c r="BE144" s="466"/>
      <c r="BF144" s="465"/>
      <c r="BG144" s="457"/>
      <c r="BH144" s="464"/>
      <c r="BI144" s="466"/>
      <c r="BJ144" s="465"/>
      <c r="BK144" s="457"/>
      <c r="BL144" s="464"/>
      <c r="BM144" s="466"/>
      <c r="BN144" s="465"/>
      <c r="BO144" s="457"/>
      <c r="BP144" s="464"/>
      <c r="BQ144" s="466"/>
      <c r="BR144" s="465"/>
      <c r="BS144" s="457"/>
      <c r="BT144" s="392"/>
      <c r="BU144" s="392"/>
      <c r="BV144" s="465"/>
      <c r="BW144" s="457"/>
      <c r="BX144" s="464"/>
      <c r="BY144" s="466"/>
      <c r="BZ144" s="465"/>
      <c r="CA144" s="457"/>
      <c r="CB144" s="464"/>
      <c r="CC144" s="466"/>
      <c r="CD144" s="465"/>
      <c r="CE144" s="457"/>
      <c r="CF144" s="464"/>
      <c r="CG144" s="466"/>
      <c r="CH144" s="465"/>
      <c r="CI144" s="457"/>
      <c r="CJ144" s="464"/>
      <c r="CK144" s="466"/>
      <c r="CL144" s="459"/>
      <c r="CM144" s="450"/>
      <c r="CN144" s="468">
        <f t="shared" si="78"/>
        <v>0</v>
      </c>
      <c r="CO144" s="468">
        <f t="shared" si="79"/>
        <v>0</v>
      </c>
      <c r="CP144" s="469">
        <f t="shared" si="80"/>
        <v>0</v>
      </c>
      <c r="CQ144" s="469">
        <f t="shared" si="81"/>
        <v>0</v>
      </c>
      <c r="CR144" s="463"/>
      <c r="CS144" s="457"/>
      <c r="CT144" s="464"/>
      <c r="CU144" s="464"/>
      <c r="CV144" s="465"/>
      <c r="CW144" s="457"/>
      <c r="CX144" s="464"/>
      <c r="CY144" s="466"/>
      <c r="CZ144" s="465"/>
      <c r="DA144" s="457"/>
      <c r="DB144" s="464"/>
      <c r="DC144" s="466"/>
      <c r="DD144" s="465"/>
      <c r="DE144" s="457"/>
      <c r="DF144" s="464"/>
      <c r="DG144" s="466"/>
      <c r="DH144" s="465"/>
      <c r="DI144" s="457"/>
      <c r="DJ144" s="464"/>
      <c r="DK144" s="466"/>
      <c r="DL144" s="465"/>
      <c r="DM144" s="457"/>
      <c r="DN144" s="464"/>
      <c r="DO144" s="466"/>
      <c r="DP144" s="465"/>
      <c r="DQ144" s="457"/>
      <c r="DR144" s="464"/>
      <c r="DS144" s="466"/>
      <c r="DT144" s="465"/>
      <c r="DU144" s="457"/>
      <c r="DV144" s="464"/>
      <c r="DW144" s="466"/>
      <c r="DX144" s="465"/>
      <c r="DY144" s="457"/>
      <c r="DZ144" s="464"/>
      <c r="EA144" s="466"/>
      <c r="EB144" s="465"/>
      <c r="EC144" s="457"/>
      <c r="ED144" s="464"/>
      <c r="EE144" s="466"/>
      <c r="EF144" s="459"/>
      <c r="EG144" s="450"/>
      <c r="EH144" s="460">
        <f t="shared" si="82"/>
        <v>0</v>
      </c>
      <c r="EI144" s="460">
        <f t="shared" si="83"/>
        <v>0</v>
      </c>
      <c r="EJ144" s="458">
        <f t="shared" si="84"/>
        <v>0</v>
      </c>
      <c r="EK144" s="470">
        <f t="shared" si="85"/>
        <v>0</v>
      </c>
      <c r="EL144" s="470">
        <f t="shared" si="86"/>
        <v>0</v>
      </c>
      <c r="EM144" s="449">
        <f t="shared" si="87"/>
        <v>0</v>
      </c>
      <c r="EN144" s="460">
        <f t="shared" si="88"/>
        <v>0</v>
      </c>
      <c r="EO144" s="469">
        <f t="shared" si="89"/>
        <v>0</v>
      </c>
      <c r="EP144" s="471"/>
      <c r="EQ144" s="450"/>
      <c r="ER144" s="471"/>
      <c r="ES144" s="450"/>
      <c r="ET144" s="471"/>
      <c r="EU144" s="450"/>
      <c r="EV144" s="471"/>
      <c r="EW144" s="450"/>
      <c r="EX144" s="471"/>
      <c r="EY144" s="450"/>
      <c r="EZ144" s="471"/>
      <c r="FA144" s="450"/>
      <c r="FB144" s="471"/>
      <c r="FC144" s="450"/>
      <c r="FD144" s="471"/>
      <c r="FE144" s="450"/>
      <c r="FF144" s="471"/>
      <c r="FG144" s="450"/>
      <c r="FH144" s="472"/>
      <c r="FI144" s="450"/>
      <c r="FJ144" s="468">
        <f t="shared" si="90"/>
        <v>0</v>
      </c>
      <c r="FK144" s="469">
        <f t="shared" si="91"/>
        <v>0</v>
      </c>
      <c r="FL144" s="472"/>
      <c r="FM144" s="450"/>
      <c r="FN144" s="460">
        <f t="shared" si="92"/>
        <v>185</v>
      </c>
      <c r="FO144" s="469">
        <f t="shared" si="93"/>
        <v>340</v>
      </c>
    </row>
    <row r="145" spans="1:171" x14ac:dyDescent="0.2">
      <c r="A145" s="730" t="s">
        <v>548</v>
      </c>
      <c r="B145" s="548" t="s">
        <v>721</v>
      </c>
      <c r="C145" s="568"/>
      <c r="D145" s="559">
        <v>140322</v>
      </c>
      <c r="E145" s="561">
        <v>6</v>
      </c>
      <c r="F145" s="457">
        <v>13</v>
      </c>
      <c r="G145" s="450">
        <v>4</v>
      </c>
      <c r="H145" s="457"/>
      <c r="I145" s="450"/>
      <c r="J145" s="457">
        <v>316</v>
      </c>
      <c r="K145" s="450">
        <v>310</v>
      </c>
      <c r="L145" s="458">
        <f t="shared" si="72"/>
        <v>0.61121856866537716</v>
      </c>
      <c r="M145" s="449">
        <f t="shared" si="73"/>
        <v>0.5535714285714286</v>
      </c>
      <c r="N145" s="459">
        <v>517</v>
      </c>
      <c r="O145" s="459">
        <v>64</v>
      </c>
      <c r="P145" s="459"/>
      <c r="Q145" s="459"/>
      <c r="R145" s="460">
        <f t="shared" si="70"/>
        <v>64</v>
      </c>
      <c r="S145" s="461">
        <v>560</v>
      </c>
      <c r="T145" s="461">
        <v>88</v>
      </c>
      <c r="U145" s="461"/>
      <c r="V145" s="461"/>
      <c r="W145" s="462">
        <f t="shared" si="71"/>
        <v>88</v>
      </c>
      <c r="X145" s="463">
        <v>52</v>
      </c>
      <c r="Y145" s="457">
        <v>172</v>
      </c>
      <c r="Z145" s="464">
        <v>52</v>
      </c>
      <c r="AA145" s="464">
        <v>150</v>
      </c>
      <c r="AB145" s="465">
        <v>51</v>
      </c>
      <c r="AC145" s="457">
        <v>116</v>
      </c>
      <c r="AD145" s="464">
        <v>51</v>
      </c>
      <c r="AE145" s="466">
        <v>16</v>
      </c>
      <c r="AF145" s="465">
        <v>13</v>
      </c>
      <c r="AG145" s="457">
        <v>64</v>
      </c>
      <c r="AH145" s="464">
        <v>13</v>
      </c>
      <c r="AI145" s="466">
        <v>88</v>
      </c>
      <c r="AJ145" s="465">
        <v>11</v>
      </c>
      <c r="AK145" s="457">
        <v>54</v>
      </c>
      <c r="AL145" s="464">
        <v>11</v>
      </c>
      <c r="AM145" s="466">
        <v>51</v>
      </c>
      <c r="AN145" s="465">
        <v>44</v>
      </c>
      <c r="AO145" s="457">
        <v>37</v>
      </c>
      <c r="AP145" s="464">
        <v>44</v>
      </c>
      <c r="AQ145" s="464">
        <v>38</v>
      </c>
      <c r="AR145" s="460">
        <f t="shared" si="74"/>
        <v>5</v>
      </c>
      <c r="AS145" s="467">
        <f t="shared" si="75"/>
        <v>0.61111111111111116</v>
      </c>
      <c r="AT145" s="447">
        <f t="shared" si="76"/>
        <v>5</v>
      </c>
      <c r="AU145" s="448">
        <f t="shared" si="77"/>
        <v>0.6407322654462243</v>
      </c>
      <c r="AV145" s="457"/>
      <c r="AW145" s="450"/>
      <c r="AX145" s="463"/>
      <c r="AY145" s="457"/>
      <c r="AZ145" s="464"/>
      <c r="BA145" s="464"/>
      <c r="BB145" s="465"/>
      <c r="BC145" s="457"/>
      <c r="BD145" s="464"/>
      <c r="BE145" s="466"/>
      <c r="BF145" s="465"/>
      <c r="BG145" s="457"/>
      <c r="BH145" s="464"/>
      <c r="BI145" s="466"/>
      <c r="BJ145" s="465"/>
      <c r="BK145" s="457"/>
      <c r="BL145" s="464"/>
      <c r="BM145" s="466"/>
      <c r="BN145" s="465"/>
      <c r="BO145" s="457"/>
      <c r="BP145" s="464"/>
      <c r="BQ145" s="466"/>
      <c r="BR145" s="465"/>
      <c r="BS145" s="457"/>
      <c r="BT145" s="392"/>
      <c r="BU145" s="392"/>
      <c r="BV145" s="465"/>
      <c r="BW145" s="457"/>
      <c r="BX145" s="464"/>
      <c r="BY145" s="466"/>
      <c r="BZ145" s="465"/>
      <c r="CA145" s="457"/>
      <c r="CB145" s="464"/>
      <c r="CC145" s="466"/>
      <c r="CD145" s="465"/>
      <c r="CE145" s="457"/>
      <c r="CF145" s="464"/>
      <c r="CG145" s="466"/>
      <c r="CH145" s="465"/>
      <c r="CI145" s="457"/>
      <c r="CJ145" s="464"/>
      <c r="CK145" s="466"/>
      <c r="CL145" s="459"/>
      <c r="CM145" s="450"/>
      <c r="CN145" s="468">
        <f t="shared" si="78"/>
        <v>0</v>
      </c>
      <c r="CO145" s="468">
        <f t="shared" si="79"/>
        <v>0</v>
      </c>
      <c r="CP145" s="469">
        <f t="shared" si="80"/>
        <v>0</v>
      </c>
      <c r="CQ145" s="469">
        <f t="shared" si="81"/>
        <v>0</v>
      </c>
      <c r="CR145" s="463"/>
      <c r="CS145" s="457"/>
      <c r="CT145" s="464"/>
      <c r="CU145" s="464"/>
      <c r="CV145" s="465"/>
      <c r="CW145" s="457"/>
      <c r="CX145" s="464"/>
      <c r="CY145" s="466"/>
      <c r="CZ145" s="465"/>
      <c r="DA145" s="457"/>
      <c r="DB145" s="464"/>
      <c r="DC145" s="466"/>
      <c r="DD145" s="465"/>
      <c r="DE145" s="457"/>
      <c r="DF145" s="464"/>
      <c r="DG145" s="466"/>
      <c r="DH145" s="465"/>
      <c r="DI145" s="457"/>
      <c r="DJ145" s="464"/>
      <c r="DK145" s="466"/>
      <c r="DL145" s="465"/>
      <c r="DM145" s="457"/>
      <c r="DN145" s="464"/>
      <c r="DO145" s="466"/>
      <c r="DP145" s="465"/>
      <c r="DQ145" s="457"/>
      <c r="DR145" s="464"/>
      <c r="DS145" s="466"/>
      <c r="DT145" s="465"/>
      <c r="DU145" s="457"/>
      <c r="DV145" s="464"/>
      <c r="DW145" s="466"/>
      <c r="DX145" s="465"/>
      <c r="DY145" s="457"/>
      <c r="DZ145" s="464"/>
      <c r="EA145" s="466"/>
      <c r="EB145" s="465"/>
      <c r="EC145" s="457"/>
      <c r="ED145" s="464"/>
      <c r="EE145" s="466"/>
      <c r="EF145" s="459"/>
      <c r="EG145" s="450"/>
      <c r="EH145" s="460">
        <f t="shared" si="82"/>
        <v>0</v>
      </c>
      <c r="EI145" s="460">
        <f t="shared" si="83"/>
        <v>0</v>
      </c>
      <c r="EJ145" s="458">
        <f t="shared" si="84"/>
        <v>0</v>
      </c>
      <c r="EK145" s="470">
        <f t="shared" si="85"/>
        <v>0</v>
      </c>
      <c r="EL145" s="470">
        <f t="shared" si="86"/>
        <v>0</v>
      </c>
      <c r="EM145" s="449">
        <f t="shared" si="87"/>
        <v>0</v>
      </c>
      <c r="EN145" s="460">
        <f t="shared" si="88"/>
        <v>0</v>
      </c>
      <c r="EO145" s="469">
        <f t="shared" si="89"/>
        <v>0</v>
      </c>
      <c r="EP145" s="471"/>
      <c r="EQ145" s="450"/>
      <c r="ER145" s="471"/>
      <c r="ES145" s="450"/>
      <c r="ET145" s="471"/>
      <c r="EU145" s="450"/>
      <c r="EV145" s="471"/>
      <c r="EW145" s="450"/>
      <c r="EX145" s="471"/>
      <c r="EY145" s="450"/>
      <c r="EZ145" s="471"/>
      <c r="FA145" s="450"/>
      <c r="FB145" s="471"/>
      <c r="FC145" s="450"/>
      <c r="FD145" s="471"/>
      <c r="FE145" s="450"/>
      <c r="FF145" s="471"/>
      <c r="FG145" s="450"/>
      <c r="FH145" s="472"/>
      <c r="FI145" s="450"/>
      <c r="FJ145" s="468">
        <f t="shared" si="90"/>
        <v>0</v>
      </c>
      <c r="FK145" s="469">
        <f t="shared" si="91"/>
        <v>0</v>
      </c>
      <c r="FL145" s="472"/>
      <c r="FM145" s="450"/>
      <c r="FN145" s="460">
        <f t="shared" si="92"/>
        <v>846</v>
      </c>
      <c r="FO145" s="469">
        <f t="shared" si="93"/>
        <v>874</v>
      </c>
    </row>
    <row r="146" spans="1:171" x14ac:dyDescent="0.2">
      <c r="A146" s="558" t="s">
        <v>548</v>
      </c>
      <c r="B146" s="548" t="s">
        <v>722</v>
      </c>
      <c r="C146" s="568" t="s">
        <v>742</v>
      </c>
      <c r="D146" s="559">
        <v>139463</v>
      </c>
      <c r="E146" s="565">
        <v>7</v>
      </c>
      <c r="F146" s="457">
        <v>117</v>
      </c>
      <c r="G146" s="450">
        <v>114</v>
      </c>
      <c r="H146" s="457"/>
      <c r="I146" s="450"/>
      <c r="J146" s="457">
        <v>310</v>
      </c>
      <c r="K146" s="450">
        <f>168+193</f>
        <v>361</v>
      </c>
      <c r="L146" s="458">
        <f t="shared" si="72"/>
        <v>1.3777777777777778</v>
      </c>
      <c r="M146" s="449">
        <f t="shared" si="73"/>
        <v>1.7190476190476192</v>
      </c>
      <c r="N146" s="459">
        <v>225</v>
      </c>
      <c r="O146" s="459">
        <v>76</v>
      </c>
      <c r="P146" s="459"/>
      <c r="Q146" s="459"/>
      <c r="R146" s="460">
        <f t="shared" si="70"/>
        <v>76</v>
      </c>
      <c r="S146" s="461">
        <v>210</v>
      </c>
      <c r="T146" s="461">
        <v>59</v>
      </c>
      <c r="U146" s="461"/>
      <c r="V146" s="461"/>
      <c r="W146" s="462">
        <f t="shared" si="71"/>
        <v>59</v>
      </c>
      <c r="X146" s="463">
        <v>52</v>
      </c>
      <c r="Y146" s="457">
        <v>96</v>
      </c>
      <c r="Z146" s="464">
        <v>52</v>
      </c>
      <c r="AA146" s="464">
        <v>69</v>
      </c>
      <c r="AB146" s="465">
        <v>13</v>
      </c>
      <c r="AC146" s="457">
        <v>76</v>
      </c>
      <c r="AD146" s="464">
        <v>13</v>
      </c>
      <c r="AE146" s="466">
        <v>59</v>
      </c>
      <c r="AF146" s="465">
        <v>44</v>
      </c>
      <c r="AG146" s="457">
        <v>17</v>
      </c>
      <c r="AH146" s="464">
        <v>26</v>
      </c>
      <c r="AI146" s="466">
        <v>23</v>
      </c>
      <c r="AJ146" s="465">
        <v>26</v>
      </c>
      <c r="AK146" s="457">
        <v>15</v>
      </c>
      <c r="AL146" s="464">
        <v>43</v>
      </c>
      <c r="AM146" s="466">
        <v>19</v>
      </c>
      <c r="AN146" s="465">
        <v>27</v>
      </c>
      <c r="AO146" s="457">
        <v>6</v>
      </c>
      <c r="AP146" s="464">
        <v>54</v>
      </c>
      <c r="AQ146" s="464">
        <v>15</v>
      </c>
      <c r="AR146" s="460">
        <f t="shared" si="74"/>
        <v>5</v>
      </c>
      <c r="AS146" s="467">
        <f t="shared" si="75"/>
        <v>0.34509202453987731</v>
      </c>
      <c r="AT146" s="447">
        <f t="shared" si="76"/>
        <v>5</v>
      </c>
      <c r="AU146" s="448">
        <f t="shared" si="77"/>
        <v>0.30656934306569344</v>
      </c>
      <c r="AV146" s="457"/>
      <c r="AW146" s="450"/>
      <c r="AX146" s="463"/>
      <c r="AY146" s="457"/>
      <c r="AZ146" s="464"/>
      <c r="BA146" s="464"/>
      <c r="BB146" s="465"/>
      <c r="BC146" s="457"/>
      <c r="BD146" s="464"/>
      <c r="BE146" s="466"/>
      <c r="BF146" s="465"/>
      <c r="BG146" s="457"/>
      <c r="BH146" s="464"/>
      <c r="BI146" s="466"/>
      <c r="BJ146" s="465"/>
      <c r="BK146" s="457"/>
      <c r="BL146" s="464"/>
      <c r="BM146" s="466"/>
      <c r="BN146" s="465"/>
      <c r="BO146" s="457"/>
      <c r="BP146" s="464"/>
      <c r="BQ146" s="466"/>
      <c r="BR146" s="465"/>
      <c r="BS146" s="457"/>
      <c r="BT146" s="392"/>
      <c r="BU146" s="392"/>
      <c r="BV146" s="465"/>
      <c r="BW146" s="457"/>
      <c r="BX146" s="464"/>
      <c r="BY146" s="466"/>
      <c r="BZ146" s="465"/>
      <c r="CA146" s="457"/>
      <c r="CB146" s="464"/>
      <c r="CC146" s="466"/>
      <c r="CD146" s="465"/>
      <c r="CE146" s="457"/>
      <c r="CF146" s="464"/>
      <c r="CG146" s="466"/>
      <c r="CH146" s="465"/>
      <c r="CI146" s="457"/>
      <c r="CJ146" s="464"/>
      <c r="CK146" s="466"/>
      <c r="CL146" s="459"/>
      <c r="CM146" s="450"/>
      <c r="CN146" s="468">
        <f t="shared" si="78"/>
        <v>0</v>
      </c>
      <c r="CO146" s="468">
        <f t="shared" si="79"/>
        <v>0</v>
      </c>
      <c r="CP146" s="469">
        <f t="shared" si="80"/>
        <v>0</v>
      </c>
      <c r="CQ146" s="469">
        <f t="shared" si="81"/>
        <v>0</v>
      </c>
      <c r="CR146" s="463"/>
      <c r="CS146" s="457"/>
      <c r="CT146" s="464"/>
      <c r="CU146" s="464"/>
      <c r="CV146" s="465"/>
      <c r="CW146" s="457"/>
      <c r="CX146" s="464"/>
      <c r="CY146" s="466"/>
      <c r="CZ146" s="465"/>
      <c r="DA146" s="457"/>
      <c r="DB146" s="464"/>
      <c r="DC146" s="466"/>
      <c r="DD146" s="465"/>
      <c r="DE146" s="457"/>
      <c r="DF146" s="464"/>
      <c r="DG146" s="466"/>
      <c r="DH146" s="465"/>
      <c r="DI146" s="457"/>
      <c r="DJ146" s="464"/>
      <c r="DK146" s="466"/>
      <c r="DL146" s="465"/>
      <c r="DM146" s="457"/>
      <c r="DN146" s="464"/>
      <c r="DO146" s="466"/>
      <c r="DP146" s="465"/>
      <c r="DQ146" s="457"/>
      <c r="DR146" s="464"/>
      <c r="DS146" s="466"/>
      <c r="DT146" s="465"/>
      <c r="DU146" s="457"/>
      <c r="DV146" s="464"/>
      <c r="DW146" s="466"/>
      <c r="DX146" s="465"/>
      <c r="DY146" s="457"/>
      <c r="DZ146" s="464"/>
      <c r="EA146" s="466"/>
      <c r="EB146" s="465"/>
      <c r="EC146" s="457"/>
      <c r="ED146" s="464"/>
      <c r="EE146" s="466"/>
      <c r="EF146" s="459"/>
      <c r="EG146" s="450"/>
      <c r="EH146" s="460">
        <f t="shared" si="82"/>
        <v>0</v>
      </c>
      <c r="EI146" s="460">
        <f t="shared" si="83"/>
        <v>0</v>
      </c>
      <c r="EJ146" s="458">
        <f t="shared" si="84"/>
        <v>0</v>
      </c>
      <c r="EK146" s="470">
        <f t="shared" si="85"/>
        <v>0</v>
      </c>
      <c r="EL146" s="470">
        <f t="shared" si="86"/>
        <v>0</v>
      </c>
      <c r="EM146" s="449">
        <f t="shared" si="87"/>
        <v>0</v>
      </c>
      <c r="EN146" s="460">
        <f t="shared" si="88"/>
        <v>0</v>
      </c>
      <c r="EO146" s="469">
        <f t="shared" si="89"/>
        <v>0</v>
      </c>
      <c r="EP146" s="471"/>
      <c r="EQ146" s="450"/>
      <c r="ER146" s="471"/>
      <c r="ES146" s="450"/>
      <c r="ET146" s="471"/>
      <c r="EU146" s="450"/>
      <c r="EV146" s="471"/>
      <c r="EW146" s="450"/>
      <c r="EX146" s="471"/>
      <c r="EY146" s="450"/>
      <c r="EZ146" s="471"/>
      <c r="FA146" s="450"/>
      <c r="FB146" s="471"/>
      <c r="FC146" s="450"/>
      <c r="FD146" s="471"/>
      <c r="FE146" s="450"/>
      <c r="FF146" s="471"/>
      <c r="FG146" s="450"/>
      <c r="FH146" s="472"/>
      <c r="FI146" s="450"/>
      <c r="FJ146" s="468">
        <f t="shared" si="90"/>
        <v>0</v>
      </c>
      <c r="FK146" s="469">
        <f t="shared" si="91"/>
        <v>0</v>
      </c>
      <c r="FL146" s="472"/>
      <c r="FM146" s="450"/>
      <c r="FN146" s="460">
        <f t="shared" si="92"/>
        <v>652</v>
      </c>
      <c r="FO146" s="469">
        <f t="shared" si="93"/>
        <v>685</v>
      </c>
    </row>
    <row r="147" spans="1:171" x14ac:dyDescent="0.2">
      <c r="A147" s="675" t="s">
        <v>548</v>
      </c>
      <c r="B147" s="553" t="s">
        <v>723</v>
      </c>
      <c r="C147" s="568"/>
      <c r="D147" s="559">
        <v>139773</v>
      </c>
      <c r="E147" s="564">
        <v>7</v>
      </c>
      <c r="F147" s="457">
        <v>27</v>
      </c>
      <c r="G147" s="450">
        <v>22</v>
      </c>
      <c r="H147" s="457"/>
      <c r="I147" s="450"/>
      <c r="J147" s="457">
        <v>768</v>
      </c>
      <c r="K147" s="450">
        <v>834</v>
      </c>
      <c r="L147" s="458">
        <f t="shared" si="72"/>
        <v>8.8275862068965516</v>
      </c>
      <c r="M147" s="449">
        <f t="shared" si="73"/>
        <v>6.8925619834710741</v>
      </c>
      <c r="N147" s="459">
        <v>87</v>
      </c>
      <c r="O147" s="459">
        <v>60</v>
      </c>
      <c r="P147" s="459"/>
      <c r="Q147" s="459"/>
      <c r="R147" s="460">
        <f t="shared" si="70"/>
        <v>60</v>
      </c>
      <c r="S147" s="461">
        <v>121</v>
      </c>
      <c r="T147" s="461">
        <v>79</v>
      </c>
      <c r="U147" s="461"/>
      <c r="V147" s="461"/>
      <c r="W147" s="462">
        <f t="shared" si="71"/>
        <v>79</v>
      </c>
      <c r="X147" s="463">
        <v>13</v>
      </c>
      <c r="Y147" s="457">
        <v>60</v>
      </c>
      <c r="Z147" s="464">
        <v>13</v>
      </c>
      <c r="AA147" s="464">
        <v>79</v>
      </c>
      <c r="AB147" s="465">
        <v>3</v>
      </c>
      <c r="AC147" s="457">
        <v>13</v>
      </c>
      <c r="AD147" s="464">
        <v>52</v>
      </c>
      <c r="AE147" s="466">
        <v>15</v>
      </c>
      <c r="AF147" s="465">
        <v>52</v>
      </c>
      <c r="AG147" s="457">
        <v>10</v>
      </c>
      <c r="AH147" s="464">
        <v>3</v>
      </c>
      <c r="AI147" s="466">
        <v>13</v>
      </c>
      <c r="AJ147" s="465">
        <v>50</v>
      </c>
      <c r="AK147" s="457">
        <v>4</v>
      </c>
      <c r="AL147" s="464">
        <v>44</v>
      </c>
      <c r="AM147" s="466">
        <v>12</v>
      </c>
      <c r="AN147" s="465"/>
      <c r="AO147" s="457"/>
      <c r="AP147" s="464">
        <v>50</v>
      </c>
      <c r="AQ147" s="464">
        <v>2</v>
      </c>
      <c r="AR147" s="460">
        <f t="shared" si="74"/>
        <v>4</v>
      </c>
      <c r="AS147" s="467">
        <f t="shared" si="75"/>
        <v>9.8639455782312924E-2</v>
      </c>
      <c r="AT147" s="447">
        <f t="shared" si="76"/>
        <v>5</v>
      </c>
      <c r="AU147" s="448">
        <f t="shared" si="77"/>
        <v>0.12384851586489252</v>
      </c>
      <c r="AV147" s="457"/>
      <c r="AW147" s="450"/>
      <c r="AX147" s="463"/>
      <c r="AY147" s="457"/>
      <c r="AZ147" s="464"/>
      <c r="BA147" s="464"/>
      <c r="BB147" s="465"/>
      <c r="BC147" s="457"/>
      <c r="BD147" s="464"/>
      <c r="BE147" s="466"/>
      <c r="BF147" s="465"/>
      <c r="BG147" s="457"/>
      <c r="BH147" s="464"/>
      <c r="BI147" s="466"/>
      <c r="BJ147" s="465"/>
      <c r="BK147" s="457"/>
      <c r="BL147" s="464"/>
      <c r="BM147" s="466"/>
      <c r="BN147" s="465"/>
      <c r="BO147" s="457"/>
      <c r="BP147" s="464"/>
      <c r="BQ147" s="466"/>
      <c r="BR147" s="465"/>
      <c r="BS147" s="457"/>
      <c r="BT147" s="392"/>
      <c r="BU147" s="392"/>
      <c r="BV147" s="465"/>
      <c r="BW147" s="457"/>
      <c r="BX147" s="464"/>
      <c r="BY147" s="466"/>
      <c r="BZ147" s="465"/>
      <c r="CA147" s="457"/>
      <c r="CB147" s="464"/>
      <c r="CC147" s="466"/>
      <c r="CD147" s="465"/>
      <c r="CE147" s="457"/>
      <c r="CF147" s="464"/>
      <c r="CG147" s="466"/>
      <c r="CH147" s="465"/>
      <c r="CI147" s="457"/>
      <c r="CJ147" s="464"/>
      <c r="CK147" s="466"/>
      <c r="CL147" s="459"/>
      <c r="CM147" s="450"/>
      <c r="CN147" s="468">
        <f t="shared" si="78"/>
        <v>0</v>
      </c>
      <c r="CO147" s="468">
        <f t="shared" si="79"/>
        <v>0</v>
      </c>
      <c r="CP147" s="469">
        <f t="shared" si="80"/>
        <v>0</v>
      </c>
      <c r="CQ147" s="469">
        <f t="shared" si="81"/>
        <v>0</v>
      </c>
      <c r="CR147" s="463"/>
      <c r="CS147" s="457"/>
      <c r="CT147" s="464"/>
      <c r="CU147" s="464"/>
      <c r="CV147" s="465"/>
      <c r="CW147" s="457"/>
      <c r="CX147" s="464"/>
      <c r="CY147" s="466"/>
      <c r="CZ147" s="465"/>
      <c r="DA147" s="457"/>
      <c r="DB147" s="464"/>
      <c r="DC147" s="466"/>
      <c r="DD147" s="465"/>
      <c r="DE147" s="457"/>
      <c r="DF147" s="464"/>
      <c r="DG147" s="466"/>
      <c r="DH147" s="465"/>
      <c r="DI147" s="457"/>
      <c r="DJ147" s="464"/>
      <c r="DK147" s="466"/>
      <c r="DL147" s="465"/>
      <c r="DM147" s="457"/>
      <c r="DN147" s="464"/>
      <c r="DO147" s="466"/>
      <c r="DP147" s="465"/>
      <c r="DQ147" s="457"/>
      <c r="DR147" s="464"/>
      <c r="DS147" s="466"/>
      <c r="DT147" s="465"/>
      <c r="DU147" s="457"/>
      <c r="DV147" s="464"/>
      <c r="DW147" s="466"/>
      <c r="DX147" s="465"/>
      <c r="DY147" s="457"/>
      <c r="DZ147" s="464"/>
      <c r="EA147" s="466"/>
      <c r="EB147" s="465"/>
      <c r="EC147" s="457"/>
      <c r="ED147" s="464"/>
      <c r="EE147" s="466"/>
      <c r="EF147" s="459"/>
      <c r="EG147" s="450"/>
      <c r="EH147" s="460">
        <f t="shared" si="82"/>
        <v>0</v>
      </c>
      <c r="EI147" s="460">
        <f t="shared" si="83"/>
        <v>0</v>
      </c>
      <c r="EJ147" s="458">
        <f t="shared" si="84"/>
        <v>0</v>
      </c>
      <c r="EK147" s="470">
        <f t="shared" si="85"/>
        <v>0</v>
      </c>
      <c r="EL147" s="470">
        <f t="shared" si="86"/>
        <v>0</v>
      </c>
      <c r="EM147" s="449">
        <f t="shared" si="87"/>
        <v>0</v>
      </c>
      <c r="EN147" s="460">
        <f t="shared" si="88"/>
        <v>0</v>
      </c>
      <c r="EO147" s="469">
        <f t="shared" si="89"/>
        <v>0</v>
      </c>
      <c r="EP147" s="471"/>
      <c r="EQ147" s="450"/>
      <c r="ER147" s="471"/>
      <c r="ES147" s="450"/>
      <c r="ET147" s="471"/>
      <c r="EU147" s="450"/>
      <c r="EV147" s="471"/>
      <c r="EW147" s="450"/>
      <c r="EX147" s="471"/>
      <c r="EY147" s="450"/>
      <c r="EZ147" s="471"/>
      <c r="FA147" s="450"/>
      <c r="FB147" s="471"/>
      <c r="FC147" s="450"/>
      <c r="FD147" s="471"/>
      <c r="FE147" s="450"/>
      <c r="FF147" s="471"/>
      <c r="FG147" s="450"/>
      <c r="FH147" s="472"/>
      <c r="FI147" s="450"/>
      <c r="FJ147" s="468">
        <f t="shared" si="90"/>
        <v>0</v>
      </c>
      <c r="FK147" s="469">
        <f t="shared" si="91"/>
        <v>0</v>
      </c>
      <c r="FL147" s="472"/>
      <c r="FM147" s="450"/>
      <c r="FN147" s="460">
        <f t="shared" si="92"/>
        <v>882</v>
      </c>
      <c r="FO147" s="469">
        <f t="shared" si="93"/>
        <v>977</v>
      </c>
    </row>
    <row r="148" spans="1:171" x14ac:dyDescent="0.2">
      <c r="A148" s="558" t="s">
        <v>548</v>
      </c>
      <c r="B148" s="548" t="s">
        <v>724</v>
      </c>
      <c r="C148" s="560"/>
      <c r="D148" s="559">
        <v>139968</v>
      </c>
      <c r="E148" s="566">
        <v>7</v>
      </c>
      <c r="F148" s="457"/>
      <c r="G148" s="450"/>
      <c r="H148" s="457"/>
      <c r="I148" s="450"/>
      <c r="J148" s="457">
        <v>452</v>
      </c>
      <c r="K148" s="450">
        <v>483</v>
      </c>
      <c r="L148" s="458">
        <f t="shared" si="72"/>
        <v>6.1917808219178081</v>
      </c>
      <c r="M148" s="449">
        <f t="shared" si="73"/>
        <v>4.83</v>
      </c>
      <c r="N148" s="459">
        <v>73</v>
      </c>
      <c r="O148" s="459">
        <v>51</v>
      </c>
      <c r="P148" s="459"/>
      <c r="Q148" s="459"/>
      <c r="R148" s="460">
        <f t="shared" si="70"/>
        <v>51</v>
      </c>
      <c r="S148" s="461">
        <v>100</v>
      </c>
      <c r="T148" s="461">
        <v>50</v>
      </c>
      <c r="U148" s="461"/>
      <c r="V148" s="461"/>
      <c r="W148" s="462">
        <f t="shared" si="71"/>
        <v>50</v>
      </c>
      <c r="X148" s="463">
        <v>13</v>
      </c>
      <c r="Y148" s="457">
        <v>51</v>
      </c>
      <c r="Z148" s="464">
        <v>13</v>
      </c>
      <c r="AA148" s="464">
        <v>50</v>
      </c>
      <c r="AB148" s="465">
        <v>51</v>
      </c>
      <c r="AC148" s="457">
        <v>22</v>
      </c>
      <c r="AD148" s="464">
        <v>51</v>
      </c>
      <c r="AE148" s="466">
        <v>38</v>
      </c>
      <c r="AF148" s="465"/>
      <c r="AG148" s="457"/>
      <c r="AH148" s="464">
        <v>26</v>
      </c>
      <c r="AI148" s="466">
        <v>12</v>
      </c>
      <c r="AJ148" s="465"/>
      <c r="AK148" s="457"/>
      <c r="AL148" s="464"/>
      <c r="AM148" s="466"/>
      <c r="AN148" s="465"/>
      <c r="AO148" s="457"/>
      <c r="AP148" s="464"/>
      <c r="AQ148" s="464"/>
      <c r="AR148" s="460">
        <f t="shared" si="74"/>
        <v>2</v>
      </c>
      <c r="AS148" s="467">
        <f t="shared" si="75"/>
        <v>0.13904761904761906</v>
      </c>
      <c r="AT148" s="447">
        <f t="shared" si="76"/>
        <v>3</v>
      </c>
      <c r="AU148" s="448">
        <f t="shared" si="77"/>
        <v>0.17152658662092624</v>
      </c>
      <c r="AV148" s="457"/>
      <c r="AW148" s="450"/>
      <c r="AX148" s="463"/>
      <c r="AY148" s="457"/>
      <c r="AZ148" s="464"/>
      <c r="BA148" s="464"/>
      <c r="BB148" s="465"/>
      <c r="BC148" s="457"/>
      <c r="BD148" s="464"/>
      <c r="BE148" s="466"/>
      <c r="BF148" s="465"/>
      <c r="BG148" s="457"/>
      <c r="BH148" s="464"/>
      <c r="BI148" s="466"/>
      <c r="BJ148" s="465"/>
      <c r="BK148" s="457"/>
      <c r="BL148" s="464"/>
      <c r="BM148" s="466"/>
      <c r="BN148" s="465"/>
      <c r="BO148" s="457"/>
      <c r="BP148" s="464"/>
      <c r="BQ148" s="466"/>
      <c r="BR148" s="465"/>
      <c r="BS148" s="457"/>
      <c r="BT148" s="392"/>
      <c r="BU148" s="392"/>
      <c r="BV148" s="465"/>
      <c r="BW148" s="457"/>
      <c r="BX148" s="464"/>
      <c r="BY148" s="466"/>
      <c r="BZ148" s="465"/>
      <c r="CA148" s="457"/>
      <c r="CB148" s="464"/>
      <c r="CC148" s="466"/>
      <c r="CD148" s="465"/>
      <c r="CE148" s="457"/>
      <c r="CF148" s="464"/>
      <c r="CG148" s="466"/>
      <c r="CH148" s="465"/>
      <c r="CI148" s="457"/>
      <c r="CJ148" s="464"/>
      <c r="CK148" s="466"/>
      <c r="CL148" s="459"/>
      <c r="CM148" s="450"/>
      <c r="CN148" s="468">
        <f t="shared" si="78"/>
        <v>0</v>
      </c>
      <c r="CO148" s="468">
        <f t="shared" si="79"/>
        <v>0</v>
      </c>
      <c r="CP148" s="469">
        <f t="shared" si="80"/>
        <v>0</v>
      </c>
      <c r="CQ148" s="469">
        <f t="shared" si="81"/>
        <v>0</v>
      </c>
      <c r="CR148" s="463"/>
      <c r="CS148" s="457"/>
      <c r="CT148" s="464"/>
      <c r="CU148" s="464"/>
      <c r="CV148" s="465"/>
      <c r="CW148" s="457"/>
      <c r="CX148" s="464"/>
      <c r="CY148" s="466"/>
      <c r="CZ148" s="465"/>
      <c r="DA148" s="457"/>
      <c r="DB148" s="464"/>
      <c r="DC148" s="466"/>
      <c r="DD148" s="465"/>
      <c r="DE148" s="457"/>
      <c r="DF148" s="464"/>
      <c r="DG148" s="466"/>
      <c r="DH148" s="465"/>
      <c r="DI148" s="457"/>
      <c r="DJ148" s="464"/>
      <c r="DK148" s="466"/>
      <c r="DL148" s="465"/>
      <c r="DM148" s="457"/>
      <c r="DN148" s="464"/>
      <c r="DO148" s="466"/>
      <c r="DP148" s="465"/>
      <c r="DQ148" s="457"/>
      <c r="DR148" s="464"/>
      <c r="DS148" s="466"/>
      <c r="DT148" s="465"/>
      <c r="DU148" s="457"/>
      <c r="DV148" s="464"/>
      <c r="DW148" s="466"/>
      <c r="DX148" s="465"/>
      <c r="DY148" s="457"/>
      <c r="DZ148" s="464"/>
      <c r="EA148" s="466"/>
      <c r="EB148" s="465"/>
      <c r="EC148" s="457"/>
      <c r="ED148" s="464"/>
      <c r="EE148" s="466"/>
      <c r="EF148" s="459"/>
      <c r="EG148" s="450"/>
      <c r="EH148" s="460">
        <f t="shared" si="82"/>
        <v>0</v>
      </c>
      <c r="EI148" s="460">
        <f t="shared" si="83"/>
        <v>0</v>
      </c>
      <c r="EJ148" s="458">
        <f t="shared" si="84"/>
        <v>0</v>
      </c>
      <c r="EK148" s="470">
        <f t="shared" si="85"/>
        <v>0</v>
      </c>
      <c r="EL148" s="470">
        <f t="shared" si="86"/>
        <v>0</v>
      </c>
      <c r="EM148" s="449">
        <f t="shared" si="87"/>
        <v>0</v>
      </c>
      <c r="EN148" s="460">
        <f t="shared" si="88"/>
        <v>0</v>
      </c>
      <c r="EO148" s="469">
        <f t="shared" si="89"/>
        <v>0</v>
      </c>
      <c r="EP148" s="471"/>
      <c r="EQ148" s="450"/>
      <c r="ER148" s="471"/>
      <c r="ES148" s="450"/>
      <c r="ET148" s="471"/>
      <c r="EU148" s="450"/>
      <c r="EV148" s="471"/>
      <c r="EW148" s="450"/>
      <c r="EX148" s="471"/>
      <c r="EY148" s="450"/>
      <c r="EZ148" s="471"/>
      <c r="FA148" s="450"/>
      <c r="FB148" s="471"/>
      <c r="FC148" s="450"/>
      <c r="FD148" s="471"/>
      <c r="FE148" s="450"/>
      <c r="FF148" s="471"/>
      <c r="FG148" s="450"/>
      <c r="FH148" s="472"/>
      <c r="FI148" s="450"/>
      <c r="FJ148" s="468">
        <f t="shared" si="90"/>
        <v>0</v>
      </c>
      <c r="FK148" s="469">
        <f t="shared" si="91"/>
        <v>0</v>
      </c>
      <c r="FL148" s="472"/>
      <c r="FM148" s="450"/>
      <c r="FN148" s="460">
        <f t="shared" si="92"/>
        <v>525</v>
      </c>
      <c r="FO148" s="469">
        <f t="shared" si="93"/>
        <v>583</v>
      </c>
    </row>
    <row r="149" spans="1:171" x14ac:dyDescent="0.2">
      <c r="A149" s="558" t="s">
        <v>548</v>
      </c>
      <c r="B149" s="548" t="s">
        <v>725</v>
      </c>
      <c r="C149" s="568"/>
      <c r="D149" s="559">
        <v>244437</v>
      </c>
      <c r="E149" s="565">
        <v>8</v>
      </c>
      <c r="F149" s="457">
        <v>18</v>
      </c>
      <c r="G149" s="450">
        <v>14</v>
      </c>
      <c r="H149" s="457"/>
      <c r="I149" s="450"/>
      <c r="J149" s="457">
        <v>1800</v>
      </c>
      <c r="K149" s="450">
        <f>1919+210</f>
        <v>2129</v>
      </c>
      <c r="L149" s="458">
        <f t="shared" si="72"/>
        <v>0</v>
      </c>
      <c r="M149" s="449">
        <f t="shared" si="73"/>
        <v>0</v>
      </c>
      <c r="N149" s="459"/>
      <c r="O149" s="459"/>
      <c r="P149" s="459"/>
      <c r="Q149" s="459"/>
      <c r="R149" s="460">
        <f t="shared" si="70"/>
        <v>0</v>
      </c>
      <c r="S149" s="461"/>
      <c r="T149" s="461"/>
      <c r="U149" s="461"/>
      <c r="V149" s="461"/>
      <c r="W149" s="462">
        <f t="shared" si="71"/>
        <v>0</v>
      </c>
      <c r="X149" s="463"/>
      <c r="Y149" s="457"/>
      <c r="Z149" s="464"/>
      <c r="AA149" s="464"/>
      <c r="AB149" s="465"/>
      <c r="AC149" s="457"/>
      <c r="AD149" s="464"/>
      <c r="AE149" s="466"/>
      <c r="AF149" s="465"/>
      <c r="AG149" s="457"/>
      <c r="AH149" s="464"/>
      <c r="AI149" s="466"/>
      <c r="AJ149" s="465"/>
      <c r="AK149" s="457"/>
      <c r="AL149" s="464"/>
      <c r="AM149" s="466"/>
      <c r="AN149" s="465"/>
      <c r="AO149" s="457"/>
      <c r="AP149" s="464"/>
      <c r="AQ149" s="464"/>
      <c r="AR149" s="460">
        <f t="shared" si="74"/>
        <v>0</v>
      </c>
      <c r="AS149" s="467">
        <f t="shared" si="75"/>
        <v>0</v>
      </c>
      <c r="AT149" s="447">
        <f t="shared" si="76"/>
        <v>0</v>
      </c>
      <c r="AU149" s="448">
        <f t="shared" si="77"/>
        <v>0</v>
      </c>
      <c r="AV149" s="457"/>
      <c r="AW149" s="450"/>
      <c r="AX149" s="463"/>
      <c r="AY149" s="457"/>
      <c r="AZ149" s="464"/>
      <c r="BA149" s="464"/>
      <c r="BB149" s="465"/>
      <c r="BC149" s="457"/>
      <c r="BD149" s="464"/>
      <c r="BE149" s="466"/>
      <c r="BF149" s="465"/>
      <c r="BG149" s="457"/>
      <c r="BH149" s="464"/>
      <c r="BI149" s="466"/>
      <c r="BJ149" s="465"/>
      <c r="BK149" s="457"/>
      <c r="BL149" s="464"/>
      <c r="BM149" s="466"/>
      <c r="BN149" s="465"/>
      <c r="BO149" s="457"/>
      <c r="BP149" s="464"/>
      <c r="BQ149" s="466"/>
      <c r="BR149" s="465"/>
      <c r="BS149" s="457"/>
      <c r="BT149" s="392"/>
      <c r="BU149" s="392"/>
      <c r="BV149" s="465"/>
      <c r="BW149" s="457"/>
      <c r="BX149" s="464"/>
      <c r="BY149" s="466"/>
      <c r="BZ149" s="465"/>
      <c r="CA149" s="457"/>
      <c r="CB149" s="464"/>
      <c r="CC149" s="466"/>
      <c r="CD149" s="465"/>
      <c r="CE149" s="457"/>
      <c r="CF149" s="464"/>
      <c r="CG149" s="466"/>
      <c r="CH149" s="465"/>
      <c r="CI149" s="457"/>
      <c r="CJ149" s="464"/>
      <c r="CK149" s="466"/>
      <c r="CL149" s="459"/>
      <c r="CM149" s="450"/>
      <c r="CN149" s="468">
        <f t="shared" si="78"/>
        <v>0</v>
      </c>
      <c r="CO149" s="468">
        <f t="shared" si="79"/>
        <v>0</v>
      </c>
      <c r="CP149" s="469">
        <f t="shared" si="80"/>
        <v>0</v>
      </c>
      <c r="CQ149" s="469">
        <f t="shared" si="81"/>
        <v>0</v>
      </c>
      <c r="CR149" s="463"/>
      <c r="CS149" s="457"/>
      <c r="CT149" s="464"/>
      <c r="CU149" s="464"/>
      <c r="CV149" s="465"/>
      <c r="CW149" s="457"/>
      <c r="CX149" s="464"/>
      <c r="CY149" s="466"/>
      <c r="CZ149" s="465"/>
      <c r="DA149" s="457"/>
      <c r="DB149" s="464"/>
      <c r="DC149" s="466"/>
      <c r="DD149" s="465"/>
      <c r="DE149" s="457"/>
      <c r="DF149" s="464"/>
      <c r="DG149" s="466"/>
      <c r="DH149" s="465"/>
      <c r="DI149" s="457"/>
      <c r="DJ149" s="464"/>
      <c r="DK149" s="466"/>
      <c r="DL149" s="465"/>
      <c r="DM149" s="457"/>
      <c r="DN149" s="464"/>
      <c r="DO149" s="466"/>
      <c r="DP149" s="465"/>
      <c r="DQ149" s="457"/>
      <c r="DR149" s="464"/>
      <c r="DS149" s="466"/>
      <c r="DT149" s="465"/>
      <c r="DU149" s="457"/>
      <c r="DV149" s="464"/>
      <c r="DW149" s="466"/>
      <c r="DX149" s="465"/>
      <c r="DY149" s="457"/>
      <c r="DZ149" s="464"/>
      <c r="EA149" s="466"/>
      <c r="EB149" s="465"/>
      <c r="EC149" s="457"/>
      <c r="ED149" s="464"/>
      <c r="EE149" s="466"/>
      <c r="EF149" s="459"/>
      <c r="EG149" s="450"/>
      <c r="EH149" s="460">
        <f t="shared" si="82"/>
        <v>0</v>
      </c>
      <c r="EI149" s="460">
        <f t="shared" si="83"/>
        <v>0</v>
      </c>
      <c r="EJ149" s="458">
        <f t="shared" si="84"/>
        <v>0</v>
      </c>
      <c r="EK149" s="470">
        <f t="shared" si="85"/>
        <v>0</v>
      </c>
      <c r="EL149" s="470">
        <f t="shared" si="86"/>
        <v>0</v>
      </c>
      <c r="EM149" s="449">
        <f t="shared" si="87"/>
        <v>0</v>
      </c>
      <c r="EN149" s="460">
        <f t="shared" si="88"/>
        <v>0</v>
      </c>
      <c r="EO149" s="469">
        <f t="shared" si="89"/>
        <v>0</v>
      </c>
      <c r="EP149" s="471"/>
      <c r="EQ149" s="450"/>
      <c r="ER149" s="471"/>
      <c r="ES149" s="450"/>
      <c r="ET149" s="471"/>
      <c r="EU149" s="450"/>
      <c r="EV149" s="471"/>
      <c r="EW149" s="450"/>
      <c r="EX149" s="471"/>
      <c r="EY149" s="450"/>
      <c r="EZ149" s="471"/>
      <c r="FA149" s="450"/>
      <c r="FB149" s="471"/>
      <c r="FC149" s="450"/>
      <c r="FD149" s="471"/>
      <c r="FE149" s="450"/>
      <c r="FF149" s="471"/>
      <c r="FG149" s="450"/>
      <c r="FH149" s="472"/>
      <c r="FI149" s="450"/>
      <c r="FJ149" s="468">
        <f t="shared" si="90"/>
        <v>0</v>
      </c>
      <c r="FK149" s="469">
        <f t="shared" si="91"/>
        <v>0</v>
      </c>
      <c r="FL149" s="472"/>
      <c r="FM149" s="450"/>
      <c r="FN149" s="460">
        <f t="shared" si="92"/>
        <v>1818</v>
      </c>
      <c r="FO149" s="469">
        <f t="shared" si="93"/>
        <v>2143</v>
      </c>
    </row>
    <row r="150" spans="1:171" x14ac:dyDescent="0.2">
      <c r="A150" s="558" t="s">
        <v>548</v>
      </c>
      <c r="B150" s="548" t="s">
        <v>726</v>
      </c>
      <c r="C150" s="568" t="s">
        <v>741</v>
      </c>
      <c r="D150" s="559">
        <v>138558</v>
      </c>
      <c r="E150" s="565">
        <v>9</v>
      </c>
      <c r="F150" s="457">
        <v>1</v>
      </c>
      <c r="G150" s="450">
        <v>2</v>
      </c>
      <c r="H150" s="457"/>
      <c r="I150" s="450"/>
      <c r="J150" s="457">
        <v>507</v>
      </c>
      <c r="K150" s="450">
        <f>267+188</f>
        <v>455</v>
      </c>
      <c r="L150" s="458">
        <f t="shared" si="72"/>
        <v>10.787234042553191</v>
      </c>
      <c r="M150" s="449">
        <f t="shared" si="73"/>
        <v>9.2857142857142865</v>
      </c>
      <c r="N150" s="459">
        <v>47</v>
      </c>
      <c r="O150" s="459"/>
      <c r="P150" s="459"/>
      <c r="Q150" s="459"/>
      <c r="R150" s="460">
        <f t="shared" si="70"/>
        <v>0</v>
      </c>
      <c r="S150" s="461">
        <v>49</v>
      </c>
      <c r="T150" s="461"/>
      <c r="U150" s="461"/>
      <c r="V150" s="461"/>
      <c r="W150" s="462">
        <f t="shared" si="71"/>
        <v>0</v>
      </c>
      <c r="X150" s="463">
        <v>1</v>
      </c>
      <c r="Y150" s="457">
        <v>41</v>
      </c>
      <c r="Z150" s="464">
        <v>1</v>
      </c>
      <c r="AA150" s="464">
        <v>39</v>
      </c>
      <c r="AB150" s="465">
        <v>24</v>
      </c>
      <c r="AC150" s="457">
        <v>6</v>
      </c>
      <c r="AD150" s="464">
        <v>24</v>
      </c>
      <c r="AE150" s="466">
        <v>10</v>
      </c>
      <c r="AF150" s="465"/>
      <c r="AG150" s="457"/>
      <c r="AH150" s="464"/>
      <c r="AI150" s="466"/>
      <c r="AJ150" s="465"/>
      <c r="AK150" s="457"/>
      <c r="AL150" s="464"/>
      <c r="AM150" s="466"/>
      <c r="AN150" s="465"/>
      <c r="AO150" s="457"/>
      <c r="AP150" s="464"/>
      <c r="AQ150" s="464"/>
      <c r="AR150" s="460">
        <f t="shared" si="74"/>
        <v>2</v>
      </c>
      <c r="AS150" s="467">
        <f t="shared" si="75"/>
        <v>8.468468468468468E-2</v>
      </c>
      <c r="AT150" s="447">
        <f t="shared" si="76"/>
        <v>2</v>
      </c>
      <c r="AU150" s="448">
        <f t="shared" si="77"/>
        <v>9.6837944664031617E-2</v>
      </c>
      <c r="AV150" s="457"/>
      <c r="AW150" s="450"/>
      <c r="AX150" s="463"/>
      <c r="AY150" s="457"/>
      <c r="AZ150" s="464"/>
      <c r="BA150" s="464"/>
      <c r="BB150" s="465"/>
      <c r="BC150" s="457"/>
      <c r="BD150" s="464"/>
      <c r="BE150" s="466"/>
      <c r="BF150" s="465"/>
      <c r="BG150" s="457"/>
      <c r="BH150" s="464"/>
      <c r="BI150" s="466"/>
      <c r="BJ150" s="465"/>
      <c r="BK150" s="457"/>
      <c r="BL150" s="464"/>
      <c r="BM150" s="466"/>
      <c r="BN150" s="465"/>
      <c r="BO150" s="457"/>
      <c r="BP150" s="464"/>
      <c r="BQ150" s="466"/>
      <c r="BR150" s="465"/>
      <c r="BS150" s="457"/>
      <c r="BT150" s="392"/>
      <c r="BU150" s="392"/>
      <c r="BV150" s="465"/>
      <c r="BW150" s="457"/>
      <c r="BX150" s="464"/>
      <c r="BY150" s="466"/>
      <c r="BZ150" s="465"/>
      <c r="CA150" s="457"/>
      <c r="CB150" s="464"/>
      <c r="CC150" s="466"/>
      <c r="CD150" s="465"/>
      <c r="CE150" s="457"/>
      <c r="CF150" s="464"/>
      <c r="CG150" s="466"/>
      <c r="CH150" s="465"/>
      <c r="CI150" s="457"/>
      <c r="CJ150" s="464"/>
      <c r="CK150" s="466"/>
      <c r="CL150" s="459"/>
      <c r="CM150" s="450"/>
      <c r="CN150" s="468">
        <f t="shared" si="78"/>
        <v>0</v>
      </c>
      <c r="CO150" s="468">
        <f t="shared" si="79"/>
        <v>0</v>
      </c>
      <c r="CP150" s="469">
        <f t="shared" si="80"/>
        <v>0</v>
      </c>
      <c r="CQ150" s="469">
        <f t="shared" si="81"/>
        <v>0</v>
      </c>
      <c r="CR150" s="463"/>
      <c r="CS150" s="457"/>
      <c r="CT150" s="464"/>
      <c r="CU150" s="464"/>
      <c r="CV150" s="465"/>
      <c r="CW150" s="457"/>
      <c r="CX150" s="464"/>
      <c r="CY150" s="466"/>
      <c r="CZ150" s="465"/>
      <c r="DA150" s="457"/>
      <c r="DB150" s="464"/>
      <c r="DC150" s="466"/>
      <c r="DD150" s="465"/>
      <c r="DE150" s="457"/>
      <c r="DF150" s="464"/>
      <c r="DG150" s="466"/>
      <c r="DH150" s="465"/>
      <c r="DI150" s="457"/>
      <c r="DJ150" s="464"/>
      <c r="DK150" s="466"/>
      <c r="DL150" s="465"/>
      <c r="DM150" s="457"/>
      <c r="DN150" s="464"/>
      <c r="DO150" s="466"/>
      <c r="DP150" s="465"/>
      <c r="DQ150" s="457"/>
      <c r="DR150" s="464"/>
      <c r="DS150" s="466"/>
      <c r="DT150" s="465"/>
      <c r="DU150" s="457"/>
      <c r="DV150" s="464"/>
      <c r="DW150" s="466"/>
      <c r="DX150" s="465"/>
      <c r="DY150" s="457"/>
      <c r="DZ150" s="464"/>
      <c r="EA150" s="466"/>
      <c r="EB150" s="465"/>
      <c r="EC150" s="457"/>
      <c r="ED150" s="464"/>
      <c r="EE150" s="466"/>
      <c r="EF150" s="459"/>
      <c r="EG150" s="450"/>
      <c r="EH150" s="460">
        <f t="shared" si="82"/>
        <v>0</v>
      </c>
      <c r="EI150" s="460">
        <f t="shared" si="83"/>
        <v>0</v>
      </c>
      <c r="EJ150" s="458">
        <f t="shared" si="84"/>
        <v>0</v>
      </c>
      <c r="EK150" s="470">
        <f t="shared" si="85"/>
        <v>0</v>
      </c>
      <c r="EL150" s="470">
        <f t="shared" si="86"/>
        <v>0</v>
      </c>
      <c r="EM150" s="449">
        <f t="shared" si="87"/>
        <v>0</v>
      </c>
      <c r="EN150" s="460">
        <f t="shared" si="88"/>
        <v>0</v>
      </c>
      <c r="EO150" s="469">
        <f t="shared" si="89"/>
        <v>0</v>
      </c>
      <c r="EP150" s="471"/>
      <c r="EQ150" s="450"/>
      <c r="ER150" s="471"/>
      <c r="ES150" s="450"/>
      <c r="ET150" s="471"/>
      <c r="EU150" s="450"/>
      <c r="EV150" s="471"/>
      <c r="EW150" s="450"/>
      <c r="EX150" s="471"/>
      <c r="EY150" s="450"/>
      <c r="EZ150" s="471"/>
      <c r="FA150" s="450"/>
      <c r="FB150" s="471"/>
      <c r="FC150" s="450"/>
      <c r="FD150" s="471"/>
      <c r="FE150" s="450"/>
      <c r="FF150" s="471"/>
      <c r="FG150" s="450"/>
      <c r="FH150" s="472"/>
      <c r="FI150" s="450"/>
      <c r="FJ150" s="468">
        <f t="shared" si="90"/>
        <v>0</v>
      </c>
      <c r="FK150" s="469">
        <f t="shared" si="91"/>
        <v>0</v>
      </c>
      <c r="FL150" s="472"/>
      <c r="FM150" s="450"/>
      <c r="FN150" s="460">
        <f t="shared" si="92"/>
        <v>555</v>
      </c>
      <c r="FO150" s="469">
        <f t="shared" si="93"/>
        <v>506</v>
      </c>
    </row>
    <row r="151" spans="1:171" x14ac:dyDescent="0.2">
      <c r="A151" s="558" t="s">
        <v>548</v>
      </c>
      <c r="B151" s="548" t="s">
        <v>727</v>
      </c>
      <c r="C151" s="560"/>
      <c r="D151" s="559">
        <v>138901</v>
      </c>
      <c r="E151" s="566">
        <v>9</v>
      </c>
      <c r="F151" s="457"/>
      <c r="G151" s="450"/>
      <c r="H151" s="457"/>
      <c r="I151" s="450"/>
      <c r="J151" s="457"/>
      <c r="K151" s="450"/>
      <c r="L151" s="458">
        <f t="shared" si="72"/>
        <v>0</v>
      </c>
      <c r="M151" s="449">
        <f t="shared" si="73"/>
        <v>0</v>
      </c>
      <c r="N151" s="459"/>
      <c r="O151" s="459"/>
      <c r="P151" s="459"/>
      <c r="Q151" s="459"/>
      <c r="R151" s="460">
        <f t="shared" si="70"/>
        <v>0</v>
      </c>
      <c r="S151" s="461"/>
      <c r="T151" s="461"/>
      <c r="U151" s="461"/>
      <c r="V151" s="461"/>
      <c r="W151" s="462">
        <f t="shared" si="71"/>
        <v>0</v>
      </c>
      <c r="X151" s="463"/>
      <c r="Y151" s="457"/>
      <c r="Z151" s="464"/>
      <c r="AA151" s="464"/>
      <c r="AB151" s="465"/>
      <c r="AC151" s="457"/>
      <c r="AD151" s="464"/>
      <c r="AE151" s="466"/>
      <c r="AF151" s="465"/>
      <c r="AG151" s="457"/>
      <c r="AH151" s="464"/>
      <c r="AI151" s="466"/>
      <c r="AJ151" s="465"/>
      <c r="AK151" s="457"/>
      <c r="AL151" s="464"/>
      <c r="AM151" s="466"/>
      <c r="AN151" s="465"/>
      <c r="AO151" s="457"/>
      <c r="AP151" s="464"/>
      <c r="AQ151" s="464"/>
      <c r="AR151" s="460">
        <f t="shared" si="74"/>
        <v>0</v>
      </c>
      <c r="AS151" s="467">
        <f t="shared" si="75"/>
        <v>0</v>
      </c>
      <c r="AT151" s="447">
        <f t="shared" si="76"/>
        <v>0</v>
      </c>
      <c r="AU151" s="448">
        <f t="shared" si="77"/>
        <v>0</v>
      </c>
      <c r="AV151" s="457"/>
      <c r="AW151" s="450"/>
      <c r="AX151" s="463"/>
      <c r="AY151" s="457"/>
      <c r="AZ151" s="464"/>
      <c r="BA151" s="464"/>
      <c r="BB151" s="465"/>
      <c r="BC151" s="457"/>
      <c r="BD151" s="464"/>
      <c r="BE151" s="466"/>
      <c r="BF151" s="465"/>
      <c r="BG151" s="457"/>
      <c r="BH151" s="464"/>
      <c r="BI151" s="466"/>
      <c r="BJ151" s="465"/>
      <c r="BK151" s="457"/>
      <c r="BL151" s="464"/>
      <c r="BM151" s="466"/>
      <c r="BN151" s="465"/>
      <c r="BO151" s="457"/>
      <c r="BP151" s="464"/>
      <c r="BQ151" s="466"/>
      <c r="BR151" s="465"/>
      <c r="BS151" s="457"/>
      <c r="BT151" s="392"/>
      <c r="BU151" s="392"/>
      <c r="BV151" s="465"/>
      <c r="BW151" s="457"/>
      <c r="BX151" s="464"/>
      <c r="BY151" s="466"/>
      <c r="BZ151" s="465"/>
      <c r="CA151" s="457"/>
      <c r="CB151" s="464"/>
      <c r="CC151" s="466"/>
      <c r="CD151" s="465"/>
      <c r="CE151" s="457"/>
      <c r="CF151" s="464"/>
      <c r="CG151" s="466"/>
      <c r="CH151" s="465"/>
      <c r="CI151" s="457"/>
      <c r="CJ151" s="464"/>
      <c r="CK151" s="466"/>
      <c r="CL151" s="459"/>
      <c r="CM151" s="450"/>
      <c r="CN151" s="468">
        <f t="shared" si="78"/>
        <v>0</v>
      </c>
      <c r="CO151" s="468">
        <f t="shared" si="79"/>
        <v>0</v>
      </c>
      <c r="CP151" s="469">
        <f t="shared" si="80"/>
        <v>0</v>
      </c>
      <c r="CQ151" s="469">
        <f t="shared" si="81"/>
        <v>0</v>
      </c>
      <c r="CR151" s="463"/>
      <c r="CS151" s="457"/>
      <c r="CT151" s="464"/>
      <c r="CU151" s="464"/>
      <c r="CV151" s="465"/>
      <c r="CW151" s="457"/>
      <c r="CX151" s="464"/>
      <c r="CY151" s="466"/>
      <c r="CZ151" s="465"/>
      <c r="DA151" s="457"/>
      <c r="DB151" s="464"/>
      <c r="DC151" s="466"/>
      <c r="DD151" s="465"/>
      <c r="DE151" s="457"/>
      <c r="DF151" s="464"/>
      <c r="DG151" s="466"/>
      <c r="DH151" s="465"/>
      <c r="DI151" s="457"/>
      <c r="DJ151" s="464"/>
      <c r="DK151" s="466"/>
      <c r="DL151" s="465"/>
      <c r="DM151" s="457"/>
      <c r="DN151" s="464"/>
      <c r="DO151" s="466"/>
      <c r="DP151" s="465"/>
      <c r="DQ151" s="457"/>
      <c r="DR151" s="464"/>
      <c r="DS151" s="466"/>
      <c r="DT151" s="465"/>
      <c r="DU151" s="457"/>
      <c r="DV151" s="464"/>
      <c r="DW151" s="466"/>
      <c r="DX151" s="465"/>
      <c r="DY151" s="457"/>
      <c r="DZ151" s="464"/>
      <c r="EA151" s="466"/>
      <c r="EB151" s="465"/>
      <c r="EC151" s="457"/>
      <c r="ED151" s="464"/>
      <c r="EE151" s="466"/>
      <c r="EF151" s="459"/>
      <c r="EG151" s="450"/>
      <c r="EH151" s="460">
        <f t="shared" si="82"/>
        <v>0</v>
      </c>
      <c r="EI151" s="460">
        <f t="shared" si="83"/>
        <v>0</v>
      </c>
      <c r="EJ151" s="458">
        <f t="shared" si="84"/>
        <v>0</v>
      </c>
      <c r="EK151" s="470">
        <f t="shared" si="85"/>
        <v>0</v>
      </c>
      <c r="EL151" s="470">
        <f t="shared" si="86"/>
        <v>0</v>
      </c>
      <c r="EM151" s="449">
        <f t="shared" si="87"/>
        <v>0</v>
      </c>
      <c r="EN151" s="460">
        <f t="shared" si="88"/>
        <v>0</v>
      </c>
      <c r="EO151" s="469">
        <f t="shared" si="89"/>
        <v>0</v>
      </c>
      <c r="EP151" s="471"/>
      <c r="EQ151" s="450"/>
      <c r="ER151" s="471"/>
      <c r="ES151" s="450"/>
      <c r="ET151" s="471"/>
      <c r="EU151" s="450"/>
      <c r="EV151" s="471"/>
      <c r="EW151" s="450"/>
      <c r="EX151" s="471"/>
      <c r="EY151" s="450"/>
      <c r="EZ151" s="471"/>
      <c r="FA151" s="450"/>
      <c r="FB151" s="471"/>
      <c r="FC151" s="450"/>
      <c r="FD151" s="471"/>
      <c r="FE151" s="450"/>
      <c r="FF151" s="471"/>
      <c r="FG151" s="450"/>
      <c r="FH151" s="472"/>
      <c r="FI151" s="450"/>
      <c r="FJ151" s="468">
        <f t="shared" si="90"/>
        <v>0</v>
      </c>
      <c r="FK151" s="469">
        <f t="shared" si="91"/>
        <v>0</v>
      </c>
      <c r="FL151" s="472"/>
      <c r="FM151" s="450"/>
      <c r="FN151" s="460">
        <f t="shared" si="92"/>
        <v>0</v>
      </c>
      <c r="FO151" s="469">
        <f t="shared" si="93"/>
        <v>0</v>
      </c>
    </row>
    <row r="152" spans="1:171" x14ac:dyDescent="0.2">
      <c r="A152" s="558" t="s">
        <v>548</v>
      </c>
      <c r="B152" s="554" t="s">
        <v>728</v>
      </c>
      <c r="C152" s="568"/>
      <c r="D152" s="559">
        <v>139010</v>
      </c>
      <c r="E152" s="565">
        <v>9</v>
      </c>
      <c r="F152" s="457">
        <v>313</v>
      </c>
      <c r="G152" s="450">
        <f>74+106</f>
        <v>180</v>
      </c>
      <c r="H152" s="457"/>
      <c r="I152" s="450"/>
      <c r="J152" s="457">
        <v>212</v>
      </c>
      <c r="K152" s="450">
        <f>127+108</f>
        <v>235</v>
      </c>
      <c r="L152" s="458">
        <f t="shared" si="72"/>
        <v>0</v>
      </c>
      <c r="M152" s="449">
        <f t="shared" si="73"/>
        <v>0</v>
      </c>
      <c r="N152" s="459"/>
      <c r="O152" s="459"/>
      <c r="P152" s="459"/>
      <c r="Q152" s="459"/>
      <c r="R152" s="460">
        <f t="shared" si="70"/>
        <v>0</v>
      </c>
      <c r="S152" s="461"/>
      <c r="T152" s="461"/>
      <c r="U152" s="461"/>
      <c r="V152" s="461"/>
      <c r="W152" s="462">
        <f t="shared" si="71"/>
        <v>0</v>
      </c>
      <c r="X152" s="463"/>
      <c r="Y152" s="457"/>
      <c r="Z152" s="464"/>
      <c r="AA152" s="464"/>
      <c r="AB152" s="465"/>
      <c r="AC152" s="457"/>
      <c r="AD152" s="464"/>
      <c r="AE152" s="466"/>
      <c r="AF152" s="465"/>
      <c r="AG152" s="457"/>
      <c r="AH152" s="464"/>
      <c r="AI152" s="466"/>
      <c r="AJ152" s="465"/>
      <c r="AK152" s="457"/>
      <c r="AL152" s="464"/>
      <c r="AM152" s="466"/>
      <c r="AN152" s="465"/>
      <c r="AO152" s="457"/>
      <c r="AP152" s="464"/>
      <c r="AQ152" s="464"/>
      <c r="AR152" s="460">
        <f t="shared" si="74"/>
        <v>0</v>
      </c>
      <c r="AS152" s="467">
        <f t="shared" si="75"/>
        <v>0</v>
      </c>
      <c r="AT152" s="447">
        <f t="shared" si="76"/>
        <v>0</v>
      </c>
      <c r="AU152" s="448">
        <f t="shared" si="77"/>
        <v>0</v>
      </c>
      <c r="AV152" s="457"/>
      <c r="AW152" s="450"/>
      <c r="AX152" s="463"/>
      <c r="AY152" s="457"/>
      <c r="AZ152" s="464"/>
      <c r="BA152" s="464"/>
      <c r="BB152" s="465"/>
      <c r="BC152" s="457"/>
      <c r="BD152" s="464"/>
      <c r="BE152" s="466"/>
      <c r="BF152" s="465"/>
      <c r="BG152" s="457"/>
      <c r="BH152" s="464"/>
      <c r="BI152" s="466"/>
      <c r="BJ152" s="465"/>
      <c r="BK152" s="457"/>
      <c r="BL152" s="464"/>
      <c r="BM152" s="466"/>
      <c r="BN152" s="465"/>
      <c r="BO152" s="457"/>
      <c r="BP152" s="464"/>
      <c r="BQ152" s="466"/>
      <c r="BR152" s="465"/>
      <c r="BS152" s="457"/>
      <c r="BT152" s="392"/>
      <c r="BU152" s="392"/>
      <c r="BV152" s="465"/>
      <c r="BW152" s="457"/>
      <c r="BX152" s="464"/>
      <c r="BY152" s="466"/>
      <c r="BZ152" s="465"/>
      <c r="CA152" s="457"/>
      <c r="CB152" s="464"/>
      <c r="CC152" s="466"/>
      <c r="CD152" s="465"/>
      <c r="CE152" s="457"/>
      <c r="CF152" s="464"/>
      <c r="CG152" s="466"/>
      <c r="CH152" s="465"/>
      <c r="CI152" s="457"/>
      <c r="CJ152" s="464"/>
      <c r="CK152" s="466"/>
      <c r="CL152" s="459"/>
      <c r="CM152" s="450"/>
      <c r="CN152" s="468">
        <f t="shared" si="78"/>
        <v>0</v>
      </c>
      <c r="CO152" s="468">
        <f t="shared" si="79"/>
        <v>0</v>
      </c>
      <c r="CP152" s="469">
        <f t="shared" si="80"/>
        <v>0</v>
      </c>
      <c r="CQ152" s="469">
        <f t="shared" si="81"/>
        <v>0</v>
      </c>
      <c r="CR152" s="463"/>
      <c r="CS152" s="457"/>
      <c r="CT152" s="464"/>
      <c r="CU152" s="464"/>
      <c r="CV152" s="465"/>
      <c r="CW152" s="457"/>
      <c r="CX152" s="464"/>
      <c r="CY152" s="466"/>
      <c r="CZ152" s="465"/>
      <c r="DA152" s="457"/>
      <c r="DB152" s="464"/>
      <c r="DC152" s="466"/>
      <c r="DD152" s="465"/>
      <c r="DE152" s="457"/>
      <c r="DF152" s="464"/>
      <c r="DG152" s="466"/>
      <c r="DH152" s="465"/>
      <c r="DI152" s="457"/>
      <c r="DJ152" s="464"/>
      <c r="DK152" s="466"/>
      <c r="DL152" s="465"/>
      <c r="DM152" s="457"/>
      <c r="DN152" s="464"/>
      <c r="DO152" s="466"/>
      <c r="DP152" s="465"/>
      <c r="DQ152" s="457"/>
      <c r="DR152" s="464"/>
      <c r="DS152" s="466"/>
      <c r="DT152" s="465"/>
      <c r="DU152" s="457"/>
      <c r="DV152" s="464"/>
      <c r="DW152" s="466"/>
      <c r="DX152" s="465"/>
      <c r="DY152" s="457"/>
      <c r="DZ152" s="464"/>
      <c r="EA152" s="466"/>
      <c r="EB152" s="465"/>
      <c r="EC152" s="457"/>
      <c r="ED152" s="464"/>
      <c r="EE152" s="466"/>
      <c r="EF152" s="459"/>
      <c r="EG152" s="450"/>
      <c r="EH152" s="460">
        <f t="shared" si="82"/>
        <v>0</v>
      </c>
      <c r="EI152" s="460">
        <f t="shared" si="83"/>
        <v>0</v>
      </c>
      <c r="EJ152" s="458">
        <f t="shared" si="84"/>
        <v>0</v>
      </c>
      <c r="EK152" s="470">
        <f t="shared" si="85"/>
        <v>0</v>
      </c>
      <c r="EL152" s="470">
        <f t="shared" si="86"/>
        <v>0</v>
      </c>
      <c r="EM152" s="449">
        <f t="shared" si="87"/>
        <v>0</v>
      </c>
      <c r="EN152" s="460">
        <f t="shared" si="88"/>
        <v>0</v>
      </c>
      <c r="EO152" s="469">
        <f t="shared" si="89"/>
        <v>0</v>
      </c>
      <c r="EP152" s="471"/>
      <c r="EQ152" s="450"/>
      <c r="ER152" s="471"/>
      <c r="ES152" s="450"/>
      <c r="ET152" s="471"/>
      <c r="EU152" s="450"/>
      <c r="EV152" s="471"/>
      <c r="EW152" s="450"/>
      <c r="EX152" s="471"/>
      <c r="EY152" s="450"/>
      <c r="EZ152" s="471"/>
      <c r="FA152" s="450"/>
      <c r="FB152" s="471"/>
      <c r="FC152" s="450"/>
      <c r="FD152" s="471"/>
      <c r="FE152" s="450"/>
      <c r="FF152" s="471"/>
      <c r="FG152" s="450"/>
      <c r="FH152" s="472"/>
      <c r="FI152" s="450"/>
      <c r="FJ152" s="468">
        <f t="shared" si="90"/>
        <v>0</v>
      </c>
      <c r="FK152" s="469">
        <f t="shared" si="91"/>
        <v>0</v>
      </c>
      <c r="FL152" s="472"/>
      <c r="FM152" s="450"/>
      <c r="FN152" s="460">
        <f t="shared" si="92"/>
        <v>525</v>
      </c>
      <c r="FO152" s="469">
        <f t="shared" si="93"/>
        <v>415</v>
      </c>
    </row>
    <row r="153" spans="1:171" x14ac:dyDescent="0.2">
      <c r="A153" s="558" t="s">
        <v>548</v>
      </c>
      <c r="B153" s="556" t="s">
        <v>729</v>
      </c>
      <c r="C153" s="568" t="s">
        <v>741</v>
      </c>
      <c r="D153" s="559">
        <v>139250</v>
      </c>
      <c r="E153" s="567">
        <v>9</v>
      </c>
      <c r="F153" s="457">
        <v>4</v>
      </c>
      <c r="G153" s="450">
        <v>0</v>
      </c>
      <c r="H153" s="457"/>
      <c r="I153" s="450"/>
      <c r="J153" s="457">
        <v>291</v>
      </c>
      <c r="K153" s="450">
        <f>192+91</f>
        <v>283</v>
      </c>
      <c r="L153" s="458">
        <f t="shared" si="72"/>
        <v>4.8499999999999996</v>
      </c>
      <c r="M153" s="449">
        <f t="shared" si="73"/>
        <v>2.282258064516129</v>
      </c>
      <c r="N153" s="459">
        <v>60</v>
      </c>
      <c r="O153" s="459">
        <v>39</v>
      </c>
      <c r="P153" s="459"/>
      <c r="Q153" s="459"/>
      <c r="R153" s="460">
        <f t="shared" si="70"/>
        <v>39</v>
      </c>
      <c r="S153" s="461">
        <v>124</v>
      </c>
      <c r="T153" s="461">
        <v>59</v>
      </c>
      <c r="U153" s="461"/>
      <c r="V153" s="461"/>
      <c r="W153" s="462">
        <f t="shared" si="71"/>
        <v>59</v>
      </c>
      <c r="X153" s="463"/>
      <c r="Y153" s="457"/>
      <c r="Z153" s="464">
        <v>13</v>
      </c>
      <c r="AA153" s="464">
        <v>59</v>
      </c>
      <c r="AB153" s="465"/>
      <c r="AC153" s="457"/>
      <c r="AD153" s="464">
        <v>51</v>
      </c>
      <c r="AE153" s="466">
        <v>48</v>
      </c>
      <c r="AF153" s="465"/>
      <c r="AG153" s="457"/>
      <c r="AH153" s="464">
        <v>52</v>
      </c>
      <c r="AI153" s="466">
        <v>14</v>
      </c>
      <c r="AJ153" s="465"/>
      <c r="AK153" s="457"/>
      <c r="AL153" s="464">
        <v>42</v>
      </c>
      <c r="AM153" s="466">
        <v>2</v>
      </c>
      <c r="AN153" s="465"/>
      <c r="AO153" s="457"/>
      <c r="AP153" s="464">
        <v>26</v>
      </c>
      <c r="AQ153" s="464">
        <v>1</v>
      </c>
      <c r="AR153" s="460">
        <f t="shared" si="74"/>
        <v>0</v>
      </c>
      <c r="AS153" s="467">
        <f t="shared" si="75"/>
        <v>0.16901408450704225</v>
      </c>
      <c r="AT153" s="447">
        <f t="shared" si="76"/>
        <v>5</v>
      </c>
      <c r="AU153" s="448">
        <f t="shared" si="77"/>
        <v>0.30466830466830469</v>
      </c>
      <c r="AV153" s="457"/>
      <c r="AW153" s="450"/>
      <c r="AX153" s="463"/>
      <c r="AY153" s="457"/>
      <c r="AZ153" s="464"/>
      <c r="BA153" s="464"/>
      <c r="BB153" s="465"/>
      <c r="BC153" s="457"/>
      <c r="BD153" s="464"/>
      <c r="BE153" s="466"/>
      <c r="BF153" s="465"/>
      <c r="BG153" s="457"/>
      <c r="BH153" s="464"/>
      <c r="BI153" s="466"/>
      <c r="BJ153" s="465"/>
      <c r="BK153" s="457"/>
      <c r="BL153" s="464"/>
      <c r="BM153" s="466"/>
      <c r="BN153" s="465"/>
      <c r="BO153" s="457"/>
      <c r="BP153" s="464"/>
      <c r="BQ153" s="466"/>
      <c r="BR153" s="465"/>
      <c r="BS153" s="457"/>
      <c r="BT153" s="392"/>
      <c r="BU153" s="392"/>
      <c r="BV153" s="465"/>
      <c r="BW153" s="457"/>
      <c r="BX153" s="464"/>
      <c r="BY153" s="466"/>
      <c r="BZ153" s="465"/>
      <c r="CA153" s="457"/>
      <c r="CB153" s="464"/>
      <c r="CC153" s="466"/>
      <c r="CD153" s="465"/>
      <c r="CE153" s="457"/>
      <c r="CF153" s="464"/>
      <c r="CG153" s="466"/>
      <c r="CH153" s="465"/>
      <c r="CI153" s="457"/>
      <c r="CJ153" s="464"/>
      <c r="CK153" s="466"/>
      <c r="CL153" s="459"/>
      <c r="CM153" s="450"/>
      <c r="CN153" s="468">
        <f t="shared" si="78"/>
        <v>0</v>
      </c>
      <c r="CO153" s="468">
        <f t="shared" si="79"/>
        <v>0</v>
      </c>
      <c r="CP153" s="469">
        <f t="shared" si="80"/>
        <v>0</v>
      </c>
      <c r="CQ153" s="469">
        <f t="shared" si="81"/>
        <v>0</v>
      </c>
      <c r="CR153" s="463"/>
      <c r="CS153" s="457"/>
      <c r="CT153" s="464"/>
      <c r="CU153" s="464"/>
      <c r="CV153" s="465"/>
      <c r="CW153" s="457"/>
      <c r="CX153" s="464"/>
      <c r="CY153" s="466"/>
      <c r="CZ153" s="465"/>
      <c r="DA153" s="457"/>
      <c r="DB153" s="464"/>
      <c r="DC153" s="466"/>
      <c r="DD153" s="465"/>
      <c r="DE153" s="457"/>
      <c r="DF153" s="464"/>
      <c r="DG153" s="466"/>
      <c r="DH153" s="465"/>
      <c r="DI153" s="457"/>
      <c r="DJ153" s="464"/>
      <c r="DK153" s="466"/>
      <c r="DL153" s="465"/>
      <c r="DM153" s="457"/>
      <c r="DN153" s="464"/>
      <c r="DO153" s="466"/>
      <c r="DP153" s="465"/>
      <c r="DQ153" s="457"/>
      <c r="DR153" s="464"/>
      <c r="DS153" s="466"/>
      <c r="DT153" s="465"/>
      <c r="DU153" s="457"/>
      <c r="DV153" s="464"/>
      <c r="DW153" s="466"/>
      <c r="DX153" s="465"/>
      <c r="DY153" s="457"/>
      <c r="DZ153" s="464"/>
      <c r="EA153" s="466"/>
      <c r="EB153" s="465"/>
      <c r="EC153" s="457"/>
      <c r="ED153" s="464"/>
      <c r="EE153" s="466"/>
      <c r="EF153" s="459"/>
      <c r="EG153" s="450"/>
      <c r="EH153" s="460">
        <f t="shared" si="82"/>
        <v>0</v>
      </c>
      <c r="EI153" s="460">
        <f t="shared" si="83"/>
        <v>0</v>
      </c>
      <c r="EJ153" s="458">
        <f t="shared" si="84"/>
        <v>0</v>
      </c>
      <c r="EK153" s="470">
        <f t="shared" si="85"/>
        <v>0</v>
      </c>
      <c r="EL153" s="470">
        <f t="shared" si="86"/>
        <v>0</v>
      </c>
      <c r="EM153" s="449">
        <f t="shared" si="87"/>
        <v>0</v>
      </c>
      <c r="EN153" s="460">
        <f t="shared" si="88"/>
        <v>0</v>
      </c>
      <c r="EO153" s="469">
        <f t="shared" si="89"/>
        <v>0</v>
      </c>
      <c r="EP153" s="471"/>
      <c r="EQ153" s="450"/>
      <c r="ER153" s="471"/>
      <c r="ES153" s="450"/>
      <c r="ET153" s="471"/>
      <c r="EU153" s="450"/>
      <c r="EV153" s="471"/>
      <c r="EW153" s="450"/>
      <c r="EX153" s="471"/>
      <c r="EY153" s="450"/>
      <c r="EZ153" s="471"/>
      <c r="FA153" s="450"/>
      <c r="FB153" s="471"/>
      <c r="FC153" s="450"/>
      <c r="FD153" s="471"/>
      <c r="FE153" s="450"/>
      <c r="FF153" s="471"/>
      <c r="FG153" s="450"/>
      <c r="FH153" s="472"/>
      <c r="FI153" s="450"/>
      <c r="FJ153" s="468">
        <f t="shared" si="90"/>
        <v>0</v>
      </c>
      <c r="FK153" s="469">
        <f t="shared" si="91"/>
        <v>0</v>
      </c>
      <c r="FL153" s="472"/>
      <c r="FM153" s="450"/>
      <c r="FN153" s="460">
        <f t="shared" si="92"/>
        <v>355</v>
      </c>
      <c r="FO153" s="469">
        <f t="shared" si="93"/>
        <v>407</v>
      </c>
    </row>
    <row r="154" spans="1:171" x14ac:dyDescent="0.2">
      <c r="A154" s="558" t="s">
        <v>548</v>
      </c>
      <c r="B154" s="556" t="s">
        <v>730</v>
      </c>
      <c r="C154" s="568"/>
      <c r="D154" s="559">
        <v>138691</v>
      </c>
      <c r="E154" s="565">
        <v>9</v>
      </c>
      <c r="F154" s="457">
        <v>120</v>
      </c>
      <c r="G154" s="450">
        <f>59+24</f>
        <v>83</v>
      </c>
      <c r="H154" s="457"/>
      <c r="I154" s="450"/>
      <c r="J154" s="457">
        <v>683</v>
      </c>
      <c r="K154" s="450">
        <f>332+418</f>
        <v>750</v>
      </c>
      <c r="L154" s="458">
        <f t="shared" si="72"/>
        <v>0</v>
      </c>
      <c r="M154" s="449">
        <f t="shared" si="73"/>
        <v>0</v>
      </c>
      <c r="N154" s="459"/>
      <c r="O154" s="459"/>
      <c r="P154" s="459"/>
      <c r="Q154" s="459"/>
      <c r="R154" s="460">
        <f t="shared" si="70"/>
        <v>0</v>
      </c>
      <c r="S154" s="461"/>
      <c r="T154" s="461"/>
      <c r="U154" s="461"/>
      <c r="V154" s="461"/>
      <c r="W154" s="462">
        <f t="shared" si="71"/>
        <v>0</v>
      </c>
      <c r="X154" s="463"/>
      <c r="Y154" s="457"/>
      <c r="Z154" s="464"/>
      <c r="AA154" s="464"/>
      <c r="AB154" s="465"/>
      <c r="AC154" s="457"/>
      <c r="AD154" s="464"/>
      <c r="AE154" s="466"/>
      <c r="AF154" s="465"/>
      <c r="AG154" s="457"/>
      <c r="AH154" s="464"/>
      <c r="AI154" s="466"/>
      <c r="AJ154" s="465"/>
      <c r="AK154" s="457"/>
      <c r="AL154" s="464"/>
      <c r="AM154" s="466"/>
      <c r="AN154" s="465"/>
      <c r="AO154" s="457"/>
      <c r="AP154" s="464"/>
      <c r="AQ154" s="464"/>
      <c r="AR154" s="460">
        <f t="shared" si="74"/>
        <v>0</v>
      </c>
      <c r="AS154" s="467">
        <f t="shared" si="75"/>
        <v>0</v>
      </c>
      <c r="AT154" s="447">
        <f t="shared" si="76"/>
        <v>0</v>
      </c>
      <c r="AU154" s="448">
        <f t="shared" si="77"/>
        <v>0</v>
      </c>
      <c r="AV154" s="457"/>
      <c r="AW154" s="450"/>
      <c r="AX154" s="463"/>
      <c r="AY154" s="457"/>
      <c r="AZ154" s="464"/>
      <c r="BA154" s="464"/>
      <c r="BB154" s="465"/>
      <c r="BC154" s="457"/>
      <c r="BD154" s="464"/>
      <c r="BE154" s="466"/>
      <c r="BF154" s="465"/>
      <c r="BG154" s="457"/>
      <c r="BH154" s="464"/>
      <c r="BI154" s="466"/>
      <c r="BJ154" s="465"/>
      <c r="BK154" s="457"/>
      <c r="BL154" s="464"/>
      <c r="BM154" s="466"/>
      <c r="BN154" s="465"/>
      <c r="BO154" s="457"/>
      <c r="BP154" s="464"/>
      <c r="BQ154" s="466"/>
      <c r="BR154" s="465"/>
      <c r="BS154" s="457"/>
      <c r="BT154" s="392"/>
      <c r="BU154" s="392"/>
      <c r="BV154" s="465"/>
      <c r="BW154" s="457"/>
      <c r="BX154" s="464"/>
      <c r="BY154" s="466"/>
      <c r="BZ154" s="465"/>
      <c r="CA154" s="457"/>
      <c r="CB154" s="464"/>
      <c r="CC154" s="466"/>
      <c r="CD154" s="465"/>
      <c r="CE154" s="457"/>
      <c r="CF154" s="464"/>
      <c r="CG154" s="466"/>
      <c r="CH154" s="465"/>
      <c r="CI154" s="457"/>
      <c r="CJ154" s="464"/>
      <c r="CK154" s="466"/>
      <c r="CL154" s="459"/>
      <c r="CM154" s="450"/>
      <c r="CN154" s="468">
        <f t="shared" si="78"/>
        <v>0</v>
      </c>
      <c r="CO154" s="468">
        <f t="shared" si="79"/>
        <v>0</v>
      </c>
      <c r="CP154" s="469">
        <f t="shared" si="80"/>
        <v>0</v>
      </c>
      <c r="CQ154" s="469">
        <f t="shared" si="81"/>
        <v>0</v>
      </c>
      <c r="CR154" s="463"/>
      <c r="CS154" s="457"/>
      <c r="CT154" s="464"/>
      <c r="CU154" s="464"/>
      <c r="CV154" s="465"/>
      <c r="CW154" s="457"/>
      <c r="CX154" s="464"/>
      <c r="CY154" s="466"/>
      <c r="CZ154" s="465"/>
      <c r="DA154" s="457"/>
      <c r="DB154" s="464"/>
      <c r="DC154" s="466"/>
      <c r="DD154" s="465"/>
      <c r="DE154" s="457"/>
      <c r="DF154" s="464"/>
      <c r="DG154" s="466"/>
      <c r="DH154" s="465"/>
      <c r="DI154" s="457"/>
      <c r="DJ154" s="464"/>
      <c r="DK154" s="466"/>
      <c r="DL154" s="465"/>
      <c r="DM154" s="457"/>
      <c r="DN154" s="464"/>
      <c r="DO154" s="466"/>
      <c r="DP154" s="465"/>
      <c r="DQ154" s="457"/>
      <c r="DR154" s="464"/>
      <c r="DS154" s="466"/>
      <c r="DT154" s="465"/>
      <c r="DU154" s="457"/>
      <c r="DV154" s="464"/>
      <c r="DW154" s="466"/>
      <c r="DX154" s="465"/>
      <c r="DY154" s="457"/>
      <c r="DZ154" s="464"/>
      <c r="EA154" s="466"/>
      <c r="EB154" s="465"/>
      <c r="EC154" s="457"/>
      <c r="ED154" s="464"/>
      <c r="EE154" s="466"/>
      <c r="EF154" s="459"/>
      <c r="EG154" s="450"/>
      <c r="EH154" s="460">
        <f t="shared" si="82"/>
        <v>0</v>
      </c>
      <c r="EI154" s="460">
        <f t="shared" si="83"/>
        <v>0</v>
      </c>
      <c r="EJ154" s="458">
        <f t="shared" si="84"/>
        <v>0</v>
      </c>
      <c r="EK154" s="470">
        <f t="shared" si="85"/>
        <v>0</v>
      </c>
      <c r="EL154" s="470">
        <f t="shared" si="86"/>
        <v>0</v>
      </c>
      <c r="EM154" s="449">
        <f t="shared" si="87"/>
        <v>0</v>
      </c>
      <c r="EN154" s="460">
        <f t="shared" si="88"/>
        <v>0</v>
      </c>
      <c r="EO154" s="469">
        <f t="shared" si="89"/>
        <v>0</v>
      </c>
      <c r="EP154" s="471"/>
      <c r="EQ154" s="450"/>
      <c r="ER154" s="471"/>
      <c r="ES154" s="450"/>
      <c r="ET154" s="471"/>
      <c r="EU154" s="450"/>
      <c r="EV154" s="471"/>
      <c r="EW154" s="450"/>
      <c r="EX154" s="471"/>
      <c r="EY154" s="450"/>
      <c r="EZ154" s="471"/>
      <c r="FA154" s="450"/>
      <c r="FB154" s="471"/>
      <c r="FC154" s="450"/>
      <c r="FD154" s="471"/>
      <c r="FE154" s="450"/>
      <c r="FF154" s="471"/>
      <c r="FG154" s="450"/>
      <c r="FH154" s="472"/>
      <c r="FI154" s="450"/>
      <c r="FJ154" s="468">
        <f t="shared" si="90"/>
        <v>0</v>
      </c>
      <c r="FK154" s="469">
        <f t="shared" si="91"/>
        <v>0</v>
      </c>
      <c r="FL154" s="472"/>
      <c r="FM154" s="450"/>
      <c r="FN154" s="460">
        <f t="shared" si="92"/>
        <v>803</v>
      </c>
      <c r="FO154" s="469">
        <f t="shared" si="93"/>
        <v>833</v>
      </c>
    </row>
    <row r="155" spans="1:171" x14ac:dyDescent="0.2">
      <c r="A155" s="558" t="s">
        <v>548</v>
      </c>
      <c r="B155" s="548" t="s">
        <v>731</v>
      </c>
      <c r="C155" s="560"/>
      <c r="D155" s="559">
        <v>139621</v>
      </c>
      <c r="E155" s="566">
        <v>9</v>
      </c>
      <c r="F155" s="457"/>
      <c r="G155" s="450"/>
      <c r="H155" s="457"/>
      <c r="I155" s="450"/>
      <c r="J155" s="457">
        <v>131</v>
      </c>
      <c r="K155" s="450">
        <v>168</v>
      </c>
      <c r="L155" s="458">
        <f t="shared" si="72"/>
        <v>0</v>
      </c>
      <c r="M155" s="449">
        <f t="shared" si="73"/>
        <v>0</v>
      </c>
      <c r="N155" s="459"/>
      <c r="O155" s="459"/>
      <c r="P155" s="459"/>
      <c r="Q155" s="459"/>
      <c r="R155" s="460">
        <f t="shared" si="70"/>
        <v>0</v>
      </c>
      <c r="S155" s="461"/>
      <c r="T155" s="461"/>
      <c r="U155" s="461"/>
      <c r="V155" s="461"/>
      <c r="W155" s="462">
        <f t="shared" si="71"/>
        <v>0</v>
      </c>
      <c r="X155" s="463"/>
      <c r="Y155" s="457"/>
      <c r="Z155" s="464"/>
      <c r="AA155" s="464"/>
      <c r="AB155" s="465"/>
      <c r="AC155" s="457"/>
      <c r="AD155" s="464"/>
      <c r="AE155" s="466"/>
      <c r="AF155" s="465"/>
      <c r="AG155" s="457"/>
      <c r="AH155" s="464"/>
      <c r="AI155" s="466"/>
      <c r="AJ155" s="465"/>
      <c r="AK155" s="457"/>
      <c r="AL155" s="464"/>
      <c r="AM155" s="466"/>
      <c r="AN155" s="465"/>
      <c r="AO155" s="457"/>
      <c r="AP155" s="464"/>
      <c r="AQ155" s="464"/>
      <c r="AR155" s="460">
        <f t="shared" si="74"/>
        <v>0</v>
      </c>
      <c r="AS155" s="467">
        <f t="shared" si="75"/>
        <v>0</v>
      </c>
      <c r="AT155" s="447">
        <f t="shared" si="76"/>
        <v>0</v>
      </c>
      <c r="AU155" s="448">
        <f t="shared" si="77"/>
        <v>0</v>
      </c>
      <c r="AV155" s="457"/>
      <c r="AW155" s="450"/>
      <c r="AX155" s="463"/>
      <c r="AY155" s="457"/>
      <c r="AZ155" s="464"/>
      <c r="BA155" s="464"/>
      <c r="BB155" s="465"/>
      <c r="BC155" s="457"/>
      <c r="BD155" s="464"/>
      <c r="BE155" s="466"/>
      <c r="BF155" s="465"/>
      <c r="BG155" s="457"/>
      <c r="BH155" s="464"/>
      <c r="BI155" s="466"/>
      <c r="BJ155" s="465"/>
      <c r="BK155" s="457"/>
      <c r="BL155" s="464"/>
      <c r="BM155" s="466"/>
      <c r="BN155" s="465"/>
      <c r="BO155" s="457"/>
      <c r="BP155" s="464"/>
      <c r="BQ155" s="466"/>
      <c r="BR155" s="465"/>
      <c r="BS155" s="457"/>
      <c r="BT155" s="392"/>
      <c r="BU155" s="392"/>
      <c r="BV155" s="465"/>
      <c r="BW155" s="457"/>
      <c r="BX155" s="464"/>
      <c r="BY155" s="466"/>
      <c r="BZ155" s="465"/>
      <c r="CA155" s="457"/>
      <c r="CB155" s="464"/>
      <c r="CC155" s="466"/>
      <c r="CD155" s="465"/>
      <c r="CE155" s="457"/>
      <c r="CF155" s="464"/>
      <c r="CG155" s="466"/>
      <c r="CH155" s="465"/>
      <c r="CI155" s="457"/>
      <c r="CJ155" s="464"/>
      <c r="CK155" s="466"/>
      <c r="CL155" s="459"/>
      <c r="CM155" s="450"/>
      <c r="CN155" s="468">
        <f t="shared" si="78"/>
        <v>0</v>
      </c>
      <c r="CO155" s="468">
        <f t="shared" si="79"/>
        <v>0</v>
      </c>
      <c r="CP155" s="469">
        <f t="shared" si="80"/>
        <v>0</v>
      </c>
      <c r="CQ155" s="469">
        <f t="shared" si="81"/>
        <v>0</v>
      </c>
      <c r="CR155" s="463"/>
      <c r="CS155" s="457"/>
      <c r="CT155" s="464"/>
      <c r="CU155" s="464"/>
      <c r="CV155" s="465"/>
      <c r="CW155" s="457"/>
      <c r="CX155" s="464"/>
      <c r="CY155" s="466"/>
      <c r="CZ155" s="465"/>
      <c r="DA155" s="457"/>
      <c r="DB155" s="464"/>
      <c r="DC155" s="466"/>
      <c r="DD155" s="465"/>
      <c r="DE155" s="457"/>
      <c r="DF155" s="464"/>
      <c r="DG155" s="466"/>
      <c r="DH155" s="465"/>
      <c r="DI155" s="457"/>
      <c r="DJ155" s="464"/>
      <c r="DK155" s="466"/>
      <c r="DL155" s="465"/>
      <c r="DM155" s="457"/>
      <c r="DN155" s="464"/>
      <c r="DO155" s="466"/>
      <c r="DP155" s="465"/>
      <c r="DQ155" s="457"/>
      <c r="DR155" s="464"/>
      <c r="DS155" s="466"/>
      <c r="DT155" s="465"/>
      <c r="DU155" s="457"/>
      <c r="DV155" s="464"/>
      <c r="DW155" s="466"/>
      <c r="DX155" s="465"/>
      <c r="DY155" s="457"/>
      <c r="DZ155" s="464"/>
      <c r="EA155" s="466"/>
      <c r="EB155" s="465"/>
      <c r="EC155" s="457"/>
      <c r="ED155" s="464"/>
      <c r="EE155" s="466"/>
      <c r="EF155" s="459"/>
      <c r="EG155" s="450"/>
      <c r="EH155" s="460">
        <f t="shared" si="82"/>
        <v>0</v>
      </c>
      <c r="EI155" s="460">
        <f t="shared" si="83"/>
        <v>0</v>
      </c>
      <c r="EJ155" s="458">
        <f t="shared" si="84"/>
        <v>0</v>
      </c>
      <c r="EK155" s="470">
        <f t="shared" si="85"/>
        <v>0</v>
      </c>
      <c r="EL155" s="470">
        <f t="shared" si="86"/>
        <v>0</v>
      </c>
      <c r="EM155" s="449">
        <f t="shared" si="87"/>
        <v>0</v>
      </c>
      <c r="EN155" s="460">
        <f t="shared" si="88"/>
        <v>0</v>
      </c>
      <c r="EO155" s="469">
        <f t="shared" si="89"/>
        <v>0</v>
      </c>
      <c r="EP155" s="471"/>
      <c r="EQ155" s="450"/>
      <c r="ER155" s="471"/>
      <c r="ES155" s="450"/>
      <c r="ET155" s="471"/>
      <c r="EU155" s="450"/>
      <c r="EV155" s="471"/>
      <c r="EW155" s="450"/>
      <c r="EX155" s="471"/>
      <c r="EY155" s="450"/>
      <c r="EZ155" s="471"/>
      <c r="FA155" s="450"/>
      <c r="FB155" s="471"/>
      <c r="FC155" s="450"/>
      <c r="FD155" s="471"/>
      <c r="FE155" s="450"/>
      <c r="FF155" s="471"/>
      <c r="FG155" s="450"/>
      <c r="FH155" s="472"/>
      <c r="FI155" s="450"/>
      <c r="FJ155" s="468">
        <f t="shared" si="90"/>
        <v>0</v>
      </c>
      <c r="FK155" s="469">
        <f t="shared" si="91"/>
        <v>0</v>
      </c>
      <c r="FL155" s="472"/>
      <c r="FM155" s="450"/>
      <c r="FN155" s="460">
        <f t="shared" si="92"/>
        <v>131</v>
      </c>
      <c r="FO155" s="469">
        <f t="shared" si="93"/>
        <v>168</v>
      </c>
    </row>
    <row r="156" spans="1:171" x14ac:dyDescent="0.2">
      <c r="A156" s="675" t="s">
        <v>548</v>
      </c>
      <c r="B156" s="557" t="s">
        <v>732</v>
      </c>
      <c r="C156" s="568"/>
      <c r="D156" s="559">
        <v>139700</v>
      </c>
      <c r="E156" s="567">
        <v>9</v>
      </c>
      <c r="F156" s="457"/>
      <c r="G156" s="450"/>
      <c r="H156" s="457"/>
      <c r="I156" s="450"/>
      <c r="J156" s="457">
        <v>499</v>
      </c>
      <c r="K156" s="450">
        <f>384+216</f>
        <v>600</v>
      </c>
      <c r="L156" s="458">
        <f t="shared" si="72"/>
        <v>0</v>
      </c>
      <c r="M156" s="449">
        <f t="shared" si="73"/>
        <v>0</v>
      </c>
      <c r="N156" s="459"/>
      <c r="O156" s="459"/>
      <c r="P156" s="459"/>
      <c r="Q156" s="459"/>
      <c r="R156" s="460">
        <f t="shared" si="70"/>
        <v>0</v>
      </c>
      <c r="S156" s="461"/>
      <c r="T156" s="461"/>
      <c r="U156" s="461"/>
      <c r="V156" s="461"/>
      <c r="W156" s="462">
        <f t="shared" si="71"/>
        <v>0</v>
      </c>
      <c r="X156" s="463"/>
      <c r="Y156" s="457"/>
      <c r="Z156" s="464"/>
      <c r="AA156" s="464"/>
      <c r="AB156" s="465"/>
      <c r="AC156" s="457"/>
      <c r="AD156" s="464"/>
      <c r="AE156" s="466"/>
      <c r="AF156" s="465"/>
      <c r="AG156" s="457"/>
      <c r="AH156" s="464"/>
      <c r="AI156" s="466"/>
      <c r="AJ156" s="465"/>
      <c r="AK156" s="457"/>
      <c r="AL156" s="464"/>
      <c r="AM156" s="466"/>
      <c r="AN156" s="465"/>
      <c r="AO156" s="457"/>
      <c r="AP156" s="464"/>
      <c r="AQ156" s="464"/>
      <c r="AR156" s="460">
        <f t="shared" si="74"/>
        <v>0</v>
      </c>
      <c r="AS156" s="467">
        <f t="shared" si="75"/>
        <v>0</v>
      </c>
      <c r="AT156" s="447">
        <f t="shared" si="76"/>
        <v>0</v>
      </c>
      <c r="AU156" s="448">
        <f t="shared" si="77"/>
        <v>0</v>
      </c>
      <c r="AV156" s="457"/>
      <c r="AW156" s="450"/>
      <c r="AX156" s="463"/>
      <c r="AY156" s="457"/>
      <c r="AZ156" s="464"/>
      <c r="BA156" s="464"/>
      <c r="BB156" s="465"/>
      <c r="BC156" s="457"/>
      <c r="BD156" s="464"/>
      <c r="BE156" s="466"/>
      <c r="BF156" s="465"/>
      <c r="BG156" s="457"/>
      <c r="BH156" s="464"/>
      <c r="BI156" s="466"/>
      <c r="BJ156" s="465"/>
      <c r="BK156" s="457"/>
      <c r="BL156" s="464"/>
      <c r="BM156" s="466"/>
      <c r="BN156" s="465"/>
      <c r="BO156" s="457"/>
      <c r="BP156" s="464"/>
      <c r="BQ156" s="466"/>
      <c r="BR156" s="465"/>
      <c r="BS156" s="457"/>
      <c r="BT156" s="392"/>
      <c r="BU156" s="392"/>
      <c r="BV156" s="465"/>
      <c r="BW156" s="457"/>
      <c r="BX156" s="464"/>
      <c r="BY156" s="466"/>
      <c r="BZ156" s="465"/>
      <c r="CA156" s="457"/>
      <c r="CB156" s="464"/>
      <c r="CC156" s="466"/>
      <c r="CD156" s="465"/>
      <c r="CE156" s="457"/>
      <c r="CF156" s="464"/>
      <c r="CG156" s="466"/>
      <c r="CH156" s="465"/>
      <c r="CI156" s="457"/>
      <c r="CJ156" s="464"/>
      <c r="CK156" s="466"/>
      <c r="CL156" s="459"/>
      <c r="CM156" s="450"/>
      <c r="CN156" s="468">
        <f t="shared" si="78"/>
        <v>0</v>
      </c>
      <c r="CO156" s="468">
        <f t="shared" si="79"/>
        <v>0</v>
      </c>
      <c r="CP156" s="469">
        <f t="shared" si="80"/>
        <v>0</v>
      </c>
      <c r="CQ156" s="469">
        <f t="shared" si="81"/>
        <v>0</v>
      </c>
      <c r="CR156" s="463"/>
      <c r="CS156" s="457"/>
      <c r="CT156" s="464"/>
      <c r="CU156" s="464"/>
      <c r="CV156" s="465"/>
      <c r="CW156" s="457"/>
      <c r="CX156" s="464"/>
      <c r="CY156" s="466"/>
      <c r="CZ156" s="465"/>
      <c r="DA156" s="457"/>
      <c r="DB156" s="464"/>
      <c r="DC156" s="466"/>
      <c r="DD156" s="465"/>
      <c r="DE156" s="457"/>
      <c r="DF156" s="464"/>
      <c r="DG156" s="466"/>
      <c r="DH156" s="465"/>
      <c r="DI156" s="457"/>
      <c r="DJ156" s="464"/>
      <c r="DK156" s="466"/>
      <c r="DL156" s="465"/>
      <c r="DM156" s="457"/>
      <c r="DN156" s="464"/>
      <c r="DO156" s="466"/>
      <c r="DP156" s="465"/>
      <c r="DQ156" s="457"/>
      <c r="DR156" s="464"/>
      <c r="DS156" s="466"/>
      <c r="DT156" s="465"/>
      <c r="DU156" s="457"/>
      <c r="DV156" s="464"/>
      <c r="DW156" s="466"/>
      <c r="DX156" s="465"/>
      <c r="DY156" s="457"/>
      <c r="DZ156" s="464"/>
      <c r="EA156" s="466"/>
      <c r="EB156" s="465"/>
      <c r="EC156" s="457"/>
      <c r="ED156" s="464"/>
      <c r="EE156" s="466"/>
      <c r="EF156" s="459"/>
      <c r="EG156" s="450"/>
      <c r="EH156" s="460">
        <f t="shared" si="82"/>
        <v>0</v>
      </c>
      <c r="EI156" s="460">
        <f t="shared" si="83"/>
        <v>0</v>
      </c>
      <c r="EJ156" s="458">
        <f t="shared" si="84"/>
        <v>0</v>
      </c>
      <c r="EK156" s="470">
        <f t="shared" si="85"/>
        <v>0</v>
      </c>
      <c r="EL156" s="470">
        <f t="shared" si="86"/>
        <v>0</v>
      </c>
      <c r="EM156" s="449">
        <f t="shared" si="87"/>
        <v>0</v>
      </c>
      <c r="EN156" s="460">
        <f t="shared" si="88"/>
        <v>0</v>
      </c>
      <c r="EO156" s="469">
        <f t="shared" si="89"/>
        <v>0</v>
      </c>
      <c r="EP156" s="471"/>
      <c r="EQ156" s="450"/>
      <c r="ER156" s="471"/>
      <c r="ES156" s="450"/>
      <c r="ET156" s="471"/>
      <c r="EU156" s="450"/>
      <c r="EV156" s="471"/>
      <c r="EW156" s="450"/>
      <c r="EX156" s="471"/>
      <c r="EY156" s="450"/>
      <c r="EZ156" s="471"/>
      <c r="FA156" s="450"/>
      <c r="FB156" s="471"/>
      <c r="FC156" s="450"/>
      <c r="FD156" s="471"/>
      <c r="FE156" s="450"/>
      <c r="FF156" s="471"/>
      <c r="FG156" s="450"/>
      <c r="FH156" s="472"/>
      <c r="FI156" s="450"/>
      <c r="FJ156" s="468">
        <f t="shared" si="90"/>
        <v>0</v>
      </c>
      <c r="FK156" s="469">
        <f t="shared" si="91"/>
        <v>0</v>
      </c>
      <c r="FL156" s="472"/>
      <c r="FM156" s="450"/>
      <c r="FN156" s="460">
        <f t="shared" si="92"/>
        <v>499</v>
      </c>
      <c r="FO156" s="469">
        <f t="shared" si="93"/>
        <v>600</v>
      </c>
    </row>
    <row r="157" spans="1:171" x14ac:dyDescent="0.2">
      <c r="A157" s="558" t="s">
        <v>548</v>
      </c>
      <c r="B157" s="557" t="s">
        <v>733</v>
      </c>
      <c r="C157" s="568" t="s">
        <v>741</v>
      </c>
      <c r="D157" s="559">
        <v>140483</v>
      </c>
      <c r="E157" s="565">
        <v>9</v>
      </c>
      <c r="F157" s="457">
        <v>89</v>
      </c>
      <c r="G157" s="450">
        <v>121</v>
      </c>
      <c r="H157" s="457"/>
      <c r="I157" s="450"/>
      <c r="J157" s="457">
        <v>384</v>
      </c>
      <c r="K157" s="450">
        <f>223+140</f>
        <v>363</v>
      </c>
      <c r="L157" s="458">
        <f t="shared" si="72"/>
        <v>13.241379310344827</v>
      </c>
      <c r="M157" s="449">
        <f t="shared" si="73"/>
        <v>7.8913043478260869</v>
      </c>
      <c r="N157" s="459">
        <v>29</v>
      </c>
      <c r="O157" s="459">
        <v>0</v>
      </c>
      <c r="P157" s="459"/>
      <c r="Q157" s="459"/>
      <c r="R157" s="460">
        <f t="shared" si="70"/>
        <v>0</v>
      </c>
      <c r="S157" s="461">
        <v>46</v>
      </c>
      <c r="T157" s="461">
        <v>11</v>
      </c>
      <c r="U157" s="461"/>
      <c r="V157" s="461"/>
      <c r="W157" s="462">
        <f t="shared" si="71"/>
        <v>11</v>
      </c>
      <c r="X157" s="463">
        <v>49</v>
      </c>
      <c r="Y157" s="457">
        <v>29</v>
      </c>
      <c r="Z157" s="464">
        <v>49</v>
      </c>
      <c r="AA157" s="464">
        <v>35</v>
      </c>
      <c r="AB157" s="465"/>
      <c r="AC157" s="457"/>
      <c r="AD157" s="464">
        <v>13</v>
      </c>
      <c r="AE157" s="466">
        <v>11</v>
      </c>
      <c r="AF157" s="465"/>
      <c r="AG157" s="457"/>
      <c r="AH157" s="464"/>
      <c r="AI157" s="466"/>
      <c r="AJ157" s="465"/>
      <c r="AK157" s="457"/>
      <c r="AL157" s="464"/>
      <c r="AM157" s="466"/>
      <c r="AN157" s="465"/>
      <c r="AO157" s="457"/>
      <c r="AP157" s="464"/>
      <c r="AQ157" s="464"/>
      <c r="AR157" s="460">
        <f t="shared" si="74"/>
        <v>1</v>
      </c>
      <c r="AS157" s="467">
        <f t="shared" si="75"/>
        <v>5.7768924302788842E-2</v>
      </c>
      <c r="AT157" s="447">
        <f t="shared" si="76"/>
        <v>2</v>
      </c>
      <c r="AU157" s="448">
        <f t="shared" si="77"/>
        <v>8.6792452830188674E-2</v>
      </c>
      <c r="AV157" s="457"/>
      <c r="AW157" s="450"/>
      <c r="AX157" s="463"/>
      <c r="AY157" s="457"/>
      <c r="AZ157" s="464"/>
      <c r="BA157" s="464"/>
      <c r="BB157" s="465"/>
      <c r="BC157" s="457"/>
      <c r="BD157" s="464"/>
      <c r="BE157" s="466"/>
      <c r="BF157" s="465"/>
      <c r="BG157" s="457"/>
      <c r="BH157" s="464"/>
      <c r="BI157" s="466"/>
      <c r="BJ157" s="465"/>
      <c r="BK157" s="457"/>
      <c r="BL157" s="464"/>
      <c r="BM157" s="466"/>
      <c r="BN157" s="465"/>
      <c r="BO157" s="457"/>
      <c r="BP157" s="464"/>
      <c r="BQ157" s="466"/>
      <c r="BR157" s="465"/>
      <c r="BS157" s="457"/>
      <c r="BT157" s="392"/>
      <c r="BU157" s="392"/>
      <c r="BV157" s="465"/>
      <c r="BW157" s="457"/>
      <c r="BX157" s="464"/>
      <c r="BY157" s="466"/>
      <c r="BZ157" s="465"/>
      <c r="CA157" s="457"/>
      <c r="CB157" s="464"/>
      <c r="CC157" s="466"/>
      <c r="CD157" s="465"/>
      <c r="CE157" s="457"/>
      <c r="CF157" s="464"/>
      <c r="CG157" s="466"/>
      <c r="CH157" s="465"/>
      <c r="CI157" s="457"/>
      <c r="CJ157" s="464"/>
      <c r="CK157" s="466"/>
      <c r="CL157" s="459"/>
      <c r="CM157" s="450"/>
      <c r="CN157" s="468">
        <f t="shared" si="78"/>
        <v>0</v>
      </c>
      <c r="CO157" s="468">
        <f t="shared" si="79"/>
        <v>0</v>
      </c>
      <c r="CP157" s="469">
        <f t="shared" si="80"/>
        <v>0</v>
      </c>
      <c r="CQ157" s="469">
        <f t="shared" si="81"/>
        <v>0</v>
      </c>
      <c r="CR157" s="463"/>
      <c r="CS157" s="457"/>
      <c r="CT157" s="464"/>
      <c r="CU157" s="464"/>
      <c r="CV157" s="465"/>
      <c r="CW157" s="457"/>
      <c r="CX157" s="464"/>
      <c r="CY157" s="466"/>
      <c r="CZ157" s="465"/>
      <c r="DA157" s="457"/>
      <c r="DB157" s="464"/>
      <c r="DC157" s="466"/>
      <c r="DD157" s="465"/>
      <c r="DE157" s="457"/>
      <c r="DF157" s="464"/>
      <c r="DG157" s="466"/>
      <c r="DH157" s="465"/>
      <c r="DI157" s="457"/>
      <c r="DJ157" s="464"/>
      <c r="DK157" s="466"/>
      <c r="DL157" s="465"/>
      <c r="DM157" s="457"/>
      <c r="DN157" s="464"/>
      <c r="DO157" s="466"/>
      <c r="DP157" s="465"/>
      <c r="DQ157" s="457"/>
      <c r="DR157" s="464"/>
      <c r="DS157" s="466"/>
      <c r="DT157" s="465"/>
      <c r="DU157" s="457"/>
      <c r="DV157" s="464"/>
      <c r="DW157" s="466"/>
      <c r="DX157" s="465"/>
      <c r="DY157" s="457"/>
      <c r="DZ157" s="464"/>
      <c r="EA157" s="466"/>
      <c r="EB157" s="465"/>
      <c r="EC157" s="457"/>
      <c r="ED157" s="464"/>
      <c r="EE157" s="466"/>
      <c r="EF157" s="459"/>
      <c r="EG157" s="450"/>
      <c r="EH157" s="460">
        <f t="shared" si="82"/>
        <v>0</v>
      </c>
      <c r="EI157" s="460">
        <f t="shared" si="83"/>
        <v>0</v>
      </c>
      <c r="EJ157" s="458">
        <f t="shared" si="84"/>
        <v>0</v>
      </c>
      <c r="EK157" s="470">
        <f t="shared" si="85"/>
        <v>0</v>
      </c>
      <c r="EL157" s="470">
        <f t="shared" si="86"/>
        <v>0</v>
      </c>
      <c r="EM157" s="449">
        <f t="shared" si="87"/>
        <v>0</v>
      </c>
      <c r="EN157" s="460">
        <f t="shared" si="88"/>
        <v>0</v>
      </c>
      <c r="EO157" s="469">
        <f t="shared" si="89"/>
        <v>0</v>
      </c>
      <c r="EP157" s="471"/>
      <c r="EQ157" s="450"/>
      <c r="ER157" s="471"/>
      <c r="ES157" s="450"/>
      <c r="ET157" s="471"/>
      <c r="EU157" s="450"/>
      <c r="EV157" s="471"/>
      <c r="EW157" s="450"/>
      <c r="EX157" s="471"/>
      <c r="EY157" s="450"/>
      <c r="EZ157" s="471"/>
      <c r="FA157" s="450"/>
      <c r="FB157" s="471"/>
      <c r="FC157" s="450"/>
      <c r="FD157" s="471"/>
      <c r="FE157" s="450"/>
      <c r="FF157" s="471"/>
      <c r="FG157" s="450"/>
      <c r="FH157" s="472"/>
      <c r="FI157" s="450"/>
      <c r="FJ157" s="468">
        <f t="shared" si="90"/>
        <v>0</v>
      </c>
      <c r="FK157" s="469">
        <f t="shared" si="91"/>
        <v>0</v>
      </c>
      <c r="FL157" s="472"/>
      <c r="FM157" s="450"/>
      <c r="FN157" s="460">
        <f t="shared" si="92"/>
        <v>502</v>
      </c>
      <c r="FO157" s="469">
        <f t="shared" si="93"/>
        <v>530</v>
      </c>
    </row>
    <row r="158" spans="1:171" x14ac:dyDescent="0.2">
      <c r="A158" s="558" t="s">
        <v>548</v>
      </c>
      <c r="B158" s="548" t="s">
        <v>734</v>
      </c>
      <c r="C158" s="568"/>
      <c r="D158" s="559">
        <v>140997</v>
      </c>
      <c r="E158" s="565">
        <v>10</v>
      </c>
      <c r="F158" s="457"/>
      <c r="G158" s="450"/>
      <c r="H158" s="457"/>
      <c r="I158" s="450"/>
      <c r="J158" s="457">
        <v>250</v>
      </c>
      <c r="K158" s="450">
        <f>164+74</f>
        <v>238</v>
      </c>
      <c r="L158" s="458">
        <f t="shared" si="72"/>
        <v>0</v>
      </c>
      <c r="M158" s="449">
        <f t="shared" si="73"/>
        <v>0</v>
      </c>
      <c r="N158" s="459"/>
      <c r="O158" s="459"/>
      <c r="P158" s="459"/>
      <c r="Q158" s="459"/>
      <c r="R158" s="460">
        <f t="shared" si="70"/>
        <v>0</v>
      </c>
      <c r="S158" s="461"/>
      <c r="T158" s="461"/>
      <c r="U158" s="461"/>
      <c r="V158" s="461"/>
      <c r="W158" s="462">
        <f t="shared" si="71"/>
        <v>0</v>
      </c>
      <c r="X158" s="463"/>
      <c r="Y158" s="457"/>
      <c r="Z158" s="464"/>
      <c r="AA158" s="464"/>
      <c r="AB158" s="465"/>
      <c r="AC158" s="457"/>
      <c r="AD158" s="464"/>
      <c r="AE158" s="466"/>
      <c r="AF158" s="465"/>
      <c r="AG158" s="457"/>
      <c r="AH158" s="464"/>
      <c r="AI158" s="466"/>
      <c r="AJ158" s="465"/>
      <c r="AK158" s="457"/>
      <c r="AL158" s="464"/>
      <c r="AM158" s="466"/>
      <c r="AN158" s="465"/>
      <c r="AO158" s="457"/>
      <c r="AP158" s="464"/>
      <c r="AQ158" s="464"/>
      <c r="AR158" s="460">
        <f t="shared" si="74"/>
        <v>0</v>
      </c>
      <c r="AS158" s="467">
        <f t="shared" si="75"/>
        <v>0</v>
      </c>
      <c r="AT158" s="447">
        <f t="shared" si="76"/>
        <v>0</v>
      </c>
      <c r="AU158" s="448">
        <f t="shared" si="77"/>
        <v>0</v>
      </c>
      <c r="AV158" s="457"/>
      <c r="AW158" s="450"/>
      <c r="AX158" s="463"/>
      <c r="AY158" s="457"/>
      <c r="AZ158" s="464"/>
      <c r="BA158" s="464"/>
      <c r="BB158" s="465"/>
      <c r="BC158" s="457"/>
      <c r="BD158" s="464"/>
      <c r="BE158" s="466"/>
      <c r="BF158" s="465"/>
      <c r="BG158" s="457"/>
      <c r="BH158" s="464"/>
      <c r="BI158" s="466"/>
      <c r="BJ158" s="465"/>
      <c r="BK158" s="457"/>
      <c r="BL158" s="464"/>
      <c r="BM158" s="466"/>
      <c r="BN158" s="465"/>
      <c r="BO158" s="457"/>
      <c r="BP158" s="464"/>
      <c r="BQ158" s="466"/>
      <c r="BR158" s="465"/>
      <c r="BS158" s="457"/>
      <c r="BT158" s="392"/>
      <c r="BU158" s="392"/>
      <c r="BV158" s="465"/>
      <c r="BW158" s="457"/>
      <c r="BX158" s="464"/>
      <c r="BY158" s="466"/>
      <c r="BZ158" s="465"/>
      <c r="CA158" s="457"/>
      <c r="CB158" s="464"/>
      <c r="CC158" s="466"/>
      <c r="CD158" s="465"/>
      <c r="CE158" s="457"/>
      <c r="CF158" s="464"/>
      <c r="CG158" s="466"/>
      <c r="CH158" s="465"/>
      <c r="CI158" s="457"/>
      <c r="CJ158" s="464"/>
      <c r="CK158" s="466"/>
      <c r="CL158" s="459"/>
      <c r="CM158" s="450"/>
      <c r="CN158" s="468">
        <f t="shared" si="78"/>
        <v>0</v>
      </c>
      <c r="CO158" s="468">
        <f t="shared" si="79"/>
        <v>0</v>
      </c>
      <c r="CP158" s="469">
        <f t="shared" si="80"/>
        <v>0</v>
      </c>
      <c r="CQ158" s="469">
        <f t="shared" si="81"/>
        <v>0</v>
      </c>
      <c r="CR158" s="463"/>
      <c r="CS158" s="457"/>
      <c r="CT158" s="464"/>
      <c r="CU158" s="464"/>
      <c r="CV158" s="465"/>
      <c r="CW158" s="457"/>
      <c r="CX158" s="464"/>
      <c r="CY158" s="466"/>
      <c r="CZ158" s="465"/>
      <c r="DA158" s="457"/>
      <c r="DB158" s="464"/>
      <c r="DC158" s="466"/>
      <c r="DD158" s="465"/>
      <c r="DE158" s="457"/>
      <c r="DF158" s="464"/>
      <c r="DG158" s="466"/>
      <c r="DH158" s="465"/>
      <c r="DI158" s="457"/>
      <c r="DJ158" s="464"/>
      <c r="DK158" s="466"/>
      <c r="DL158" s="465"/>
      <c r="DM158" s="457"/>
      <c r="DN158" s="464"/>
      <c r="DO158" s="466"/>
      <c r="DP158" s="465"/>
      <c r="DQ158" s="457"/>
      <c r="DR158" s="464"/>
      <c r="DS158" s="466"/>
      <c r="DT158" s="465"/>
      <c r="DU158" s="457"/>
      <c r="DV158" s="464"/>
      <c r="DW158" s="466"/>
      <c r="DX158" s="465"/>
      <c r="DY158" s="457"/>
      <c r="DZ158" s="464"/>
      <c r="EA158" s="466"/>
      <c r="EB158" s="465"/>
      <c r="EC158" s="457"/>
      <c r="ED158" s="464"/>
      <c r="EE158" s="466"/>
      <c r="EF158" s="459"/>
      <c r="EG158" s="450"/>
      <c r="EH158" s="460">
        <f t="shared" si="82"/>
        <v>0</v>
      </c>
      <c r="EI158" s="460">
        <f t="shared" si="83"/>
        <v>0</v>
      </c>
      <c r="EJ158" s="458">
        <f t="shared" si="84"/>
        <v>0</v>
      </c>
      <c r="EK158" s="470">
        <f t="shared" si="85"/>
        <v>0</v>
      </c>
      <c r="EL158" s="470">
        <f t="shared" si="86"/>
        <v>0</v>
      </c>
      <c r="EM158" s="449">
        <f t="shared" si="87"/>
        <v>0</v>
      </c>
      <c r="EN158" s="460">
        <f t="shared" si="88"/>
        <v>0</v>
      </c>
      <c r="EO158" s="469">
        <f t="shared" si="89"/>
        <v>0</v>
      </c>
      <c r="EP158" s="471"/>
      <c r="EQ158" s="450"/>
      <c r="ER158" s="471"/>
      <c r="ES158" s="450"/>
      <c r="ET158" s="471"/>
      <c r="EU158" s="450"/>
      <c r="EV158" s="471"/>
      <c r="EW158" s="450"/>
      <c r="EX158" s="471"/>
      <c r="EY158" s="450"/>
      <c r="EZ158" s="471"/>
      <c r="FA158" s="450"/>
      <c r="FB158" s="471"/>
      <c r="FC158" s="450"/>
      <c r="FD158" s="471"/>
      <c r="FE158" s="450"/>
      <c r="FF158" s="471"/>
      <c r="FG158" s="450"/>
      <c r="FH158" s="472"/>
      <c r="FI158" s="450"/>
      <c r="FJ158" s="468">
        <f t="shared" si="90"/>
        <v>0</v>
      </c>
      <c r="FK158" s="469">
        <f t="shared" si="91"/>
        <v>0</v>
      </c>
      <c r="FL158" s="472"/>
      <c r="FM158" s="450"/>
      <c r="FN158" s="460">
        <f t="shared" si="92"/>
        <v>250</v>
      </c>
      <c r="FO158" s="469">
        <f t="shared" si="93"/>
        <v>238</v>
      </c>
    </row>
    <row r="159" spans="1:171" x14ac:dyDescent="0.2">
      <c r="A159" s="558" t="s">
        <v>548</v>
      </c>
      <c r="B159" s="548" t="s">
        <v>735</v>
      </c>
      <c r="C159" s="568"/>
      <c r="D159" s="559">
        <v>141307</v>
      </c>
      <c r="E159" s="565">
        <v>10</v>
      </c>
      <c r="F159" s="457"/>
      <c r="G159" s="450"/>
      <c r="H159" s="457"/>
      <c r="I159" s="450"/>
      <c r="J159" s="457">
        <v>105</v>
      </c>
      <c r="K159" s="450">
        <v>105</v>
      </c>
      <c r="L159" s="458">
        <f t="shared" si="72"/>
        <v>0</v>
      </c>
      <c r="M159" s="449">
        <f t="shared" si="73"/>
        <v>0</v>
      </c>
      <c r="N159" s="459"/>
      <c r="O159" s="459"/>
      <c r="P159" s="459"/>
      <c r="Q159" s="459"/>
      <c r="R159" s="460">
        <f t="shared" si="70"/>
        <v>0</v>
      </c>
      <c r="S159" s="461"/>
      <c r="T159" s="461"/>
      <c r="U159" s="461"/>
      <c r="V159" s="461"/>
      <c r="W159" s="462">
        <f t="shared" si="71"/>
        <v>0</v>
      </c>
      <c r="X159" s="463"/>
      <c r="Y159" s="457"/>
      <c r="Z159" s="464"/>
      <c r="AA159" s="464"/>
      <c r="AB159" s="465"/>
      <c r="AC159" s="457"/>
      <c r="AD159" s="464"/>
      <c r="AE159" s="466"/>
      <c r="AF159" s="465"/>
      <c r="AG159" s="457"/>
      <c r="AH159" s="464"/>
      <c r="AI159" s="466"/>
      <c r="AJ159" s="465"/>
      <c r="AK159" s="457"/>
      <c r="AL159" s="464"/>
      <c r="AM159" s="466"/>
      <c r="AN159" s="465"/>
      <c r="AO159" s="457"/>
      <c r="AP159" s="464"/>
      <c r="AQ159" s="464"/>
      <c r="AR159" s="460">
        <f t="shared" si="74"/>
        <v>0</v>
      </c>
      <c r="AS159" s="467">
        <f t="shared" si="75"/>
        <v>0</v>
      </c>
      <c r="AT159" s="447">
        <f t="shared" si="76"/>
        <v>0</v>
      </c>
      <c r="AU159" s="448">
        <f t="shared" si="77"/>
        <v>0</v>
      </c>
      <c r="AV159" s="457"/>
      <c r="AW159" s="450"/>
      <c r="AX159" s="463"/>
      <c r="AY159" s="457"/>
      <c r="AZ159" s="464"/>
      <c r="BA159" s="464"/>
      <c r="BB159" s="465"/>
      <c r="BC159" s="457"/>
      <c r="BD159" s="464"/>
      <c r="BE159" s="466"/>
      <c r="BF159" s="465"/>
      <c r="BG159" s="457"/>
      <c r="BH159" s="464"/>
      <c r="BI159" s="466"/>
      <c r="BJ159" s="465"/>
      <c r="BK159" s="457"/>
      <c r="BL159" s="464"/>
      <c r="BM159" s="466"/>
      <c r="BN159" s="465"/>
      <c r="BO159" s="457"/>
      <c r="BP159" s="464"/>
      <c r="BQ159" s="466"/>
      <c r="BR159" s="465"/>
      <c r="BS159" s="457"/>
      <c r="BT159" s="392"/>
      <c r="BU159" s="392"/>
      <c r="BV159" s="465"/>
      <c r="BW159" s="457"/>
      <c r="BX159" s="464"/>
      <c r="BY159" s="466"/>
      <c r="BZ159" s="465"/>
      <c r="CA159" s="457"/>
      <c r="CB159" s="464"/>
      <c r="CC159" s="466"/>
      <c r="CD159" s="465"/>
      <c r="CE159" s="457"/>
      <c r="CF159" s="464"/>
      <c r="CG159" s="466"/>
      <c r="CH159" s="465"/>
      <c r="CI159" s="457"/>
      <c r="CJ159" s="464"/>
      <c r="CK159" s="466"/>
      <c r="CL159" s="459"/>
      <c r="CM159" s="450"/>
      <c r="CN159" s="468">
        <f t="shared" si="78"/>
        <v>0</v>
      </c>
      <c r="CO159" s="468">
        <f t="shared" si="79"/>
        <v>0</v>
      </c>
      <c r="CP159" s="469">
        <f t="shared" si="80"/>
        <v>0</v>
      </c>
      <c r="CQ159" s="469">
        <f t="shared" si="81"/>
        <v>0</v>
      </c>
      <c r="CR159" s="463"/>
      <c r="CS159" s="457"/>
      <c r="CT159" s="464"/>
      <c r="CU159" s="464"/>
      <c r="CV159" s="465"/>
      <c r="CW159" s="457"/>
      <c r="CX159" s="464"/>
      <c r="CY159" s="466"/>
      <c r="CZ159" s="465"/>
      <c r="DA159" s="457"/>
      <c r="DB159" s="464"/>
      <c r="DC159" s="466"/>
      <c r="DD159" s="465"/>
      <c r="DE159" s="457"/>
      <c r="DF159" s="464"/>
      <c r="DG159" s="466"/>
      <c r="DH159" s="465"/>
      <c r="DI159" s="457"/>
      <c r="DJ159" s="464"/>
      <c r="DK159" s="466"/>
      <c r="DL159" s="465"/>
      <c r="DM159" s="457"/>
      <c r="DN159" s="464"/>
      <c r="DO159" s="466"/>
      <c r="DP159" s="465"/>
      <c r="DQ159" s="457"/>
      <c r="DR159" s="464"/>
      <c r="DS159" s="466"/>
      <c r="DT159" s="465"/>
      <c r="DU159" s="457"/>
      <c r="DV159" s="464"/>
      <c r="DW159" s="466"/>
      <c r="DX159" s="465"/>
      <c r="DY159" s="457"/>
      <c r="DZ159" s="464"/>
      <c r="EA159" s="466"/>
      <c r="EB159" s="465"/>
      <c r="EC159" s="457"/>
      <c r="ED159" s="464"/>
      <c r="EE159" s="466"/>
      <c r="EF159" s="459"/>
      <c r="EG159" s="450"/>
      <c r="EH159" s="460">
        <f t="shared" si="82"/>
        <v>0</v>
      </c>
      <c r="EI159" s="460">
        <f t="shared" si="83"/>
        <v>0</v>
      </c>
      <c r="EJ159" s="458">
        <f t="shared" si="84"/>
        <v>0</v>
      </c>
      <c r="EK159" s="470">
        <f t="shared" si="85"/>
        <v>0</v>
      </c>
      <c r="EL159" s="470">
        <f t="shared" si="86"/>
        <v>0</v>
      </c>
      <c r="EM159" s="449">
        <f t="shared" si="87"/>
        <v>0</v>
      </c>
      <c r="EN159" s="460">
        <f t="shared" si="88"/>
        <v>0</v>
      </c>
      <c r="EO159" s="469">
        <f t="shared" si="89"/>
        <v>0</v>
      </c>
      <c r="EP159" s="471"/>
      <c r="EQ159" s="450"/>
      <c r="ER159" s="471"/>
      <c r="ES159" s="450"/>
      <c r="ET159" s="471"/>
      <c r="EU159" s="450"/>
      <c r="EV159" s="471"/>
      <c r="EW159" s="450"/>
      <c r="EX159" s="471"/>
      <c r="EY159" s="450"/>
      <c r="EZ159" s="471"/>
      <c r="FA159" s="450"/>
      <c r="FB159" s="471"/>
      <c r="FC159" s="450"/>
      <c r="FD159" s="471"/>
      <c r="FE159" s="450"/>
      <c r="FF159" s="471"/>
      <c r="FG159" s="450"/>
      <c r="FH159" s="472"/>
      <c r="FI159" s="450"/>
      <c r="FJ159" s="468">
        <f t="shared" si="90"/>
        <v>0</v>
      </c>
      <c r="FK159" s="469">
        <f t="shared" si="91"/>
        <v>0</v>
      </c>
      <c r="FL159" s="472"/>
      <c r="FM159" s="450"/>
      <c r="FN159" s="460">
        <f t="shared" si="92"/>
        <v>105</v>
      </c>
      <c r="FO159" s="469">
        <f t="shared" si="93"/>
        <v>105</v>
      </c>
    </row>
    <row r="160" spans="1:171" x14ac:dyDescent="0.2">
      <c r="A160" s="558" t="s">
        <v>548</v>
      </c>
      <c r="B160" s="548" t="s">
        <v>736</v>
      </c>
      <c r="C160" s="560"/>
      <c r="D160" s="552">
        <v>140401</v>
      </c>
      <c r="E160" s="552">
        <v>15</v>
      </c>
      <c r="F160" s="532">
        <v>14</v>
      </c>
      <c r="G160" s="450"/>
      <c r="H160" s="457"/>
      <c r="I160" s="450"/>
      <c r="J160" s="457"/>
      <c r="K160" s="450"/>
      <c r="L160" s="458">
        <f t="shared" si="72"/>
        <v>0</v>
      </c>
      <c r="M160" s="449">
        <f t="shared" si="73"/>
        <v>0</v>
      </c>
      <c r="N160" s="459">
        <v>230</v>
      </c>
      <c r="O160" s="459"/>
      <c r="P160" s="459"/>
      <c r="Q160" s="459"/>
      <c r="R160" s="460">
        <f t="shared" si="70"/>
        <v>0</v>
      </c>
      <c r="S160" s="461">
        <v>197</v>
      </c>
      <c r="T160" s="461"/>
      <c r="U160" s="461"/>
      <c r="V160" s="461"/>
      <c r="W160" s="462">
        <f t="shared" si="71"/>
        <v>0</v>
      </c>
      <c r="X160" s="463"/>
      <c r="Y160" s="457"/>
      <c r="Z160" s="464"/>
      <c r="AA160" s="464"/>
      <c r="AB160" s="465"/>
      <c r="AC160" s="457"/>
      <c r="AD160" s="464"/>
      <c r="AE160" s="466"/>
      <c r="AF160" s="465"/>
      <c r="AG160" s="457"/>
      <c r="AH160" s="464"/>
      <c r="AI160" s="466"/>
      <c r="AJ160" s="465"/>
      <c r="AK160" s="457"/>
      <c r="AL160" s="464"/>
      <c r="AM160" s="466"/>
      <c r="AN160" s="465"/>
      <c r="AO160" s="457"/>
      <c r="AP160" s="464"/>
      <c r="AQ160" s="464"/>
      <c r="AR160" s="460">
        <f t="shared" si="74"/>
        <v>0</v>
      </c>
      <c r="AS160" s="467">
        <f t="shared" si="75"/>
        <v>0.27380952380952384</v>
      </c>
      <c r="AT160" s="447">
        <f t="shared" si="76"/>
        <v>0</v>
      </c>
      <c r="AU160" s="448">
        <f t="shared" si="77"/>
        <v>0.2459425717852684</v>
      </c>
      <c r="AV160" s="457">
        <v>28</v>
      </c>
      <c r="AW160" s="450">
        <v>14</v>
      </c>
      <c r="AX160" s="463">
        <v>51</v>
      </c>
      <c r="AY160" s="457">
        <v>252</v>
      </c>
      <c r="AZ160" s="464">
        <v>51</v>
      </c>
      <c r="BA160" s="464">
        <v>273</v>
      </c>
      <c r="BB160" s="465">
        <v>26</v>
      </c>
      <c r="BC160" s="457">
        <v>3</v>
      </c>
      <c r="BD160" s="464">
        <v>26</v>
      </c>
      <c r="BE160" s="466">
        <v>1</v>
      </c>
      <c r="BF160" s="465"/>
      <c r="BG160" s="457"/>
      <c r="BH160" s="464"/>
      <c r="BI160" s="466"/>
      <c r="BJ160" s="465"/>
      <c r="BK160" s="457"/>
      <c r="BL160" s="464"/>
      <c r="BM160" s="466"/>
      <c r="BN160" s="465"/>
      <c r="BO160" s="457"/>
      <c r="BP160" s="464"/>
      <c r="BQ160" s="466"/>
      <c r="BR160" s="465"/>
      <c r="BS160" s="457"/>
      <c r="BT160" s="464"/>
      <c r="BU160" s="466"/>
      <c r="BV160" s="465"/>
      <c r="BW160" s="457"/>
      <c r="BX160" s="464"/>
      <c r="BY160" s="466"/>
      <c r="BZ160" s="465"/>
      <c r="CA160" s="457"/>
      <c r="CB160" s="464"/>
      <c r="CC160" s="466"/>
      <c r="CD160" s="465"/>
      <c r="CE160" s="457"/>
      <c r="CF160" s="464"/>
      <c r="CG160" s="466"/>
      <c r="CH160" s="465"/>
      <c r="CI160" s="457"/>
      <c r="CJ160" s="464"/>
      <c r="CK160" s="466"/>
      <c r="CL160" s="459">
        <v>0</v>
      </c>
      <c r="CM160" s="450"/>
      <c r="CN160" s="468">
        <f t="shared" si="78"/>
        <v>255</v>
      </c>
      <c r="CO160" s="468">
        <f t="shared" si="79"/>
        <v>2</v>
      </c>
      <c r="CP160" s="469">
        <f t="shared" si="80"/>
        <v>274</v>
      </c>
      <c r="CQ160" s="469">
        <f t="shared" si="81"/>
        <v>2</v>
      </c>
      <c r="CR160" s="463">
        <v>51</v>
      </c>
      <c r="CS160" s="457">
        <v>48</v>
      </c>
      <c r="CT160" s="464">
        <v>51</v>
      </c>
      <c r="CU160" s="464">
        <v>56</v>
      </c>
      <c r="CV160" s="465">
        <v>26</v>
      </c>
      <c r="CW160" s="457">
        <v>26</v>
      </c>
      <c r="CX160" s="464">
        <v>26</v>
      </c>
      <c r="CY160" s="466">
        <v>19</v>
      </c>
      <c r="CZ160" s="465"/>
      <c r="DA160" s="457"/>
      <c r="DB160" s="464"/>
      <c r="DC160" s="466"/>
      <c r="DD160" s="465"/>
      <c r="DE160" s="457"/>
      <c r="DF160" s="464"/>
      <c r="DG160" s="466"/>
      <c r="DH160" s="465"/>
      <c r="DI160" s="457"/>
      <c r="DJ160" s="464"/>
      <c r="DK160" s="466"/>
      <c r="DL160" s="465"/>
      <c r="DM160" s="457"/>
      <c r="DN160" s="464"/>
      <c r="DO160" s="466"/>
      <c r="DP160" s="465"/>
      <c r="DQ160" s="457"/>
      <c r="DR160" s="464"/>
      <c r="DS160" s="466"/>
      <c r="DT160" s="465"/>
      <c r="DU160" s="457"/>
      <c r="DV160" s="464"/>
      <c r="DW160" s="466"/>
      <c r="DX160" s="465"/>
      <c r="DY160" s="457"/>
      <c r="DZ160" s="464"/>
      <c r="EA160" s="466"/>
      <c r="EB160" s="465"/>
      <c r="EC160" s="457"/>
      <c r="ED160" s="464"/>
      <c r="EE160" s="466"/>
      <c r="EF160" s="459"/>
      <c r="EG160" s="450"/>
      <c r="EH160" s="460">
        <f t="shared" si="82"/>
        <v>74</v>
      </c>
      <c r="EI160" s="460">
        <f t="shared" si="83"/>
        <v>2</v>
      </c>
      <c r="EJ160" s="458">
        <f t="shared" si="84"/>
        <v>0.64864864864864868</v>
      </c>
      <c r="EK160" s="470">
        <f t="shared" si="85"/>
        <v>75</v>
      </c>
      <c r="EL160" s="470">
        <f t="shared" si="86"/>
        <v>2</v>
      </c>
      <c r="EM160" s="449">
        <f t="shared" si="87"/>
        <v>0.7466666666666667</v>
      </c>
      <c r="EN160" s="460">
        <f t="shared" si="88"/>
        <v>329</v>
      </c>
      <c r="EO160" s="469">
        <f t="shared" si="89"/>
        <v>349</v>
      </c>
      <c r="EP160" s="471"/>
      <c r="EQ160" s="450"/>
      <c r="ER160" s="471">
        <v>178</v>
      </c>
      <c r="ES160" s="450">
        <v>180</v>
      </c>
      <c r="ET160" s="471">
        <v>61</v>
      </c>
      <c r="EU160" s="450">
        <v>61</v>
      </c>
      <c r="EV160" s="471"/>
      <c r="EW160" s="450"/>
      <c r="EX160" s="471"/>
      <c r="EY160" s="450"/>
      <c r="EZ160" s="471"/>
      <c r="FA160" s="450"/>
      <c r="FB160" s="471"/>
      <c r="FC160" s="450"/>
      <c r="FD160" s="471"/>
      <c r="FE160" s="450"/>
      <c r="FF160" s="471"/>
      <c r="FG160" s="450"/>
      <c r="FH160" s="472"/>
      <c r="FI160" s="450"/>
      <c r="FJ160" s="468">
        <f t="shared" si="90"/>
        <v>239</v>
      </c>
      <c r="FK160" s="469">
        <f t="shared" si="91"/>
        <v>241</v>
      </c>
      <c r="FL160" s="472"/>
      <c r="FM160" s="450"/>
      <c r="FN160" s="460">
        <f t="shared" si="92"/>
        <v>840</v>
      </c>
      <c r="FO160" s="469">
        <f t="shared" si="93"/>
        <v>801</v>
      </c>
    </row>
    <row r="161" spans="1:171" x14ac:dyDescent="0.2">
      <c r="A161" s="558" t="s">
        <v>548</v>
      </c>
      <c r="B161" s="554" t="s">
        <v>737</v>
      </c>
      <c r="C161" s="555"/>
      <c r="D161" s="552">
        <v>141097</v>
      </c>
      <c r="E161" s="552">
        <v>15</v>
      </c>
      <c r="F161" s="532">
        <v>11</v>
      </c>
      <c r="G161" s="450">
        <v>12</v>
      </c>
      <c r="H161" s="457"/>
      <c r="I161" s="450"/>
      <c r="J161" s="457">
        <v>9</v>
      </c>
      <c r="K161" s="450">
        <v>6</v>
      </c>
      <c r="L161" s="458">
        <f t="shared" si="72"/>
        <v>1.2605042016806723E-2</v>
      </c>
      <c r="M161" s="449">
        <f t="shared" si="73"/>
        <v>8.23045267489712E-3</v>
      </c>
      <c r="N161" s="459">
        <v>714</v>
      </c>
      <c r="O161" s="459">
        <v>0</v>
      </c>
      <c r="P161" s="459"/>
      <c r="Q161" s="459"/>
      <c r="R161" s="460">
        <f t="shared" si="70"/>
        <v>0</v>
      </c>
      <c r="S161" s="461">
        <v>729</v>
      </c>
      <c r="T161" s="461"/>
      <c r="U161" s="461"/>
      <c r="V161" s="461"/>
      <c r="W161" s="462">
        <f t="shared" si="71"/>
        <v>0</v>
      </c>
      <c r="X161" s="463"/>
      <c r="Y161" s="457"/>
      <c r="Z161" s="464"/>
      <c r="AA161" s="464"/>
      <c r="AB161" s="465"/>
      <c r="AC161" s="457"/>
      <c r="AD161" s="464"/>
      <c r="AE161" s="466"/>
      <c r="AF161" s="465"/>
      <c r="AG161" s="457"/>
      <c r="AH161" s="464"/>
      <c r="AI161" s="466"/>
      <c r="AJ161" s="465"/>
      <c r="AK161" s="457"/>
      <c r="AL161" s="464"/>
      <c r="AM161" s="466"/>
      <c r="AN161" s="465"/>
      <c r="AO161" s="457"/>
      <c r="AP161" s="464"/>
      <c r="AQ161" s="464"/>
      <c r="AR161" s="460">
        <f t="shared" si="74"/>
        <v>0</v>
      </c>
      <c r="AS161" s="467">
        <f t="shared" si="75"/>
        <v>0.75555555555555554</v>
      </c>
      <c r="AT161" s="447">
        <f t="shared" si="76"/>
        <v>0</v>
      </c>
      <c r="AU161" s="448">
        <f t="shared" si="77"/>
        <v>0.72827172827172826</v>
      </c>
      <c r="AV161" s="457">
        <v>13</v>
      </c>
      <c r="AW161" s="450">
        <v>24</v>
      </c>
      <c r="AX161" s="463">
        <v>52</v>
      </c>
      <c r="AY161" s="457">
        <v>85</v>
      </c>
      <c r="AZ161" s="464">
        <v>52</v>
      </c>
      <c r="BA161" s="464">
        <v>93</v>
      </c>
      <c r="BB161" s="465">
        <v>11</v>
      </c>
      <c r="BC161" s="457">
        <v>53</v>
      </c>
      <c r="BD161" s="464">
        <v>11</v>
      </c>
      <c r="BE161" s="466">
        <v>71</v>
      </c>
      <c r="BF161" s="465">
        <v>15</v>
      </c>
      <c r="BG161" s="457">
        <v>27</v>
      </c>
      <c r="BH161" s="464">
        <v>15</v>
      </c>
      <c r="BI161" s="466">
        <v>32</v>
      </c>
      <c r="BJ161" s="465">
        <v>14</v>
      </c>
      <c r="BK161" s="457">
        <v>22</v>
      </c>
      <c r="BL161" s="464">
        <v>14</v>
      </c>
      <c r="BM161" s="466">
        <v>24</v>
      </c>
      <c r="BN161" s="465">
        <v>9</v>
      </c>
      <c r="BO161" s="457">
        <v>11</v>
      </c>
      <c r="BP161" s="464">
        <v>9</v>
      </c>
      <c r="BQ161" s="466">
        <v>10</v>
      </c>
      <c r="BR161" s="465"/>
      <c r="BS161" s="457"/>
      <c r="BT161" s="464"/>
      <c r="BU161" s="466"/>
      <c r="BV161" s="465"/>
      <c r="BW161" s="457"/>
      <c r="BX161" s="464"/>
      <c r="BY161" s="466"/>
      <c r="BZ161" s="465"/>
      <c r="CA161" s="457"/>
      <c r="CB161" s="464"/>
      <c r="CC161" s="466"/>
      <c r="CD161" s="465"/>
      <c r="CE161" s="457"/>
      <c r="CF161" s="464"/>
      <c r="CG161" s="466"/>
      <c r="CH161" s="465"/>
      <c r="CI161" s="457"/>
      <c r="CJ161" s="464"/>
      <c r="CK161" s="466"/>
      <c r="CL161" s="459"/>
      <c r="CM161" s="450"/>
      <c r="CN161" s="468">
        <f t="shared" si="78"/>
        <v>198</v>
      </c>
      <c r="CO161" s="468">
        <f t="shared" si="79"/>
        <v>5</v>
      </c>
      <c r="CP161" s="469">
        <f t="shared" si="80"/>
        <v>230</v>
      </c>
      <c r="CQ161" s="469">
        <f t="shared" si="81"/>
        <v>5</v>
      </c>
      <c r="CR161" s="463"/>
      <c r="CS161" s="457"/>
      <c r="CT161" s="464"/>
      <c r="CU161" s="464"/>
      <c r="CV161" s="465"/>
      <c r="CW161" s="457"/>
      <c r="CX161" s="464"/>
      <c r="CY161" s="466"/>
      <c r="CZ161" s="465"/>
      <c r="DA161" s="457"/>
      <c r="DB161" s="464"/>
      <c r="DC161" s="466"/>
      <c r="DD161" s="465"/>
      <c r="DE161" s="457"/>
      <c r="DF161" s="464"/>
      <c r="DG161" s="466"/>
      <c r="DH161" s="465"/>
      <c r="DI161" s="457"/>
      <c r="DJ161" s="464"/>
      <c r="DK161" s="466"/>
      <c r="DL161" s="465"/>
      <c r="DM161" s="457"/>
      <c r="DN161" s="464"/>
      <c r="DO161" s="466"/>
      <c r="DP161" s="465"/>
      <c r="DQ161" s="457"/>
      <c r="DR161" s="464"/>
      <c r="DS161" s="466"/>
      <c r="DT161" s="465"/>
      <c r="DU161" s="457"/>
      <c r="DV161" s="464"/>
      <c r="DW161" s="466"/>
      <c r="DX161" s="465"/>
      <c r="DY161" s="457"/>
      <c r="DZ161" s="464"/>
      <c r="EA161" s="466"/>
      <c r="EB161" s="465"/>
      <c r="EC161" s="457"/>
      <c r="ED161" s="464"/>
      <c r="EE161" s="466"/>
      <c r="EF161" s="459"/>
      <c r="EG161" s="450"/>
      <c r="EH161" s="460">
        <f t="shared" si="82"/>
        <v>0</v>
      </c>
      <c r="EI161" s="460">
        <f t="shared" si="83"/>
        <v>0</v>
      </c>
      <c r="EJ161" s="458">
        <f t="shared" si="84"/>
        <v>0</v>
      </c>
      <c r="EK161" s="470">
        <f t="shared" si="85"/>
        <v>0</v>
      </c>
      <c r="EL161" s="470">
        <f t="shared" si="86"/>
        <v>0</v>
      </c>
      <c r="EM161" s="449">
        <f t="shared" si="87"/>
        <v>0</v>
      </c>
      <c r="EN161" s="460">
        <f t="shared" si="88"/>
        <v>198</v>
      </c>
      <c r="EO161" s="469">
        <f t="shared" si="89"/>
        <v>230</v>
      </c>
      <c r="EP161" s="471"/>
      <c r="EQ161" s="450"/>
      <c r="ER161" s="471"/>
      <c r="ES161" s="450"/>
      <c r="ET161" s="471"/>
      <c r="EU161" s="450"/>
      <c r="EV161" s="471"/>
      <c r="EW161" s="450"/>
      <c r="EX161" s="471"/>
      <c r="EY161" s="450"/>
      <c r="EZ161" s="471"/>
      <c r="FA161" s="450"/>
      <c r="FB161" s="471"/>
      <c r="FC161" s="450"/>
      <c r="FD161" s="471"/>
      <c r="FE161" s="450"/>
      <c r="FF161" s="471"/>
      <c r="FG161" s="450"/>
      <c r="FH161" s="472"/>
      <c r="FI161" s="450"/>
      <c r="FJ161" s="468">
        <f t="shared" si="90"/>
        <v>0</v>
      </c>
      <c r="FK161" s="469">
        <f t="shared" si="91"/>
        <v>0</v>
      </c>
      <c r="FL161" s="472"/>
      <c r="FM161" s="450"/>
      <c r="FN161" s="460">
        <f t="shared" si="92"/>
        <v>945</v>
      </c>
      <c r="FO161" s="469">
        <f t="shared" si="93"/>
        <v>1001</v>
      </c>
    </row>
    <row r="162" spans="1:171" x14ac:dyDescent="0.2">
      <c r="A162" s="423" t="s">
        <v>548</v>
      </c>
      <c r="B162" s="424" t="s">
        <v>549</v>
      </c>
      <c r="C162" s="490"/>
      <c r="D162" s="425">
        <v>138682</v>
      </c>
      <c r="E162" s="512">
        <v>12</v>
      </c>
      <c r="F162" s="532">
        <v>3079</v>
      </c>
      <c r="G162" s="450">
        <v>2481</v>
      </c>
      <c r="H162" s="457">
        <v>201</v>
      </c>
      <c r="I162" s="450">
        <v>257</v>
      </c>
      <c r="J162" s="457">
        <v>145</v>
      </c>
      <c r="K162" s="450">
        <v>217</v>
      </c>
      <c r="L162" s="458">
        <f t="shared" si="72"/>
        <v>0</v>
      </c>
      <c r="M162" s="449">
        <f t="shared" si="73"/>
        <v>0</v>
      </c>
      <c r="N162" s="459"/>
      <c r="O162" s="459"/>
      <c r="P162" s="459"/>
      <c r="Q162" s="459"/>
      <c r="R162" s="460">
        <f t="shared" si="70"/>
        <v>0</v>
      </c>
      <c r="S162" s="391"/>
      <c r="T162" s="461"/>
      <c r="U162" s="461"/>
      <c r="V162" s="461"/>
      <c r="W162" s="462">
        <f t="shared" si="71"/>
        <v>0</v>
      </c>
      <c r="X162" s="463"/>
      <c r="Y162" s="457"/>
      <c r="Z162" s="464"/>
      <c r="AA162" s="464"/>
      <c r="AB162" s="465"/>
      <c r="AC162" s="457"/>
      <c r="AD162" s="464"/>
      <c r="AE162" s="466"/>
      <c r="AF162" s="465"/>
      <c r="AG162" s="457"/>
      <c r="AH162" s="464"/>
      <c r="AI162" s="466"/>
      <c r="AJ162" s="465"/>
      <c r="AK162" s="457"/>
      <c r="AL162" s="464"/>
      <c r="AM162" s="466"/>
      <c r="AN162" s="465"/>
      <c r="AO162" s="457"/>
      <c r="AP162" s="464"/>
      <c r="AQ162" s="464"/>
      <c r="AR162" s="460">
        <f t="shared" si="74"/>
        <v>0</v>
      </c>
      <c r="AS162" s="467">
        <f t="shared" si="75"/>
        <v>0</v>
      </c>
      <c r="AT162" s="447">
        <f t="shared" si="76"/>
        <v>0</v>
      </c>
      <c r="AU162" s="448">
        <f t="shared" si="77"/>
        <v>0</v>
      </c>
      <c r="AV162" s="457"/>
      <c r="AW162" s="450"/>
      <c r="AX162" s="463"/>
      <c r="AY162" s="457"/>
      <c r="AZ162" s="464"/>
      <c r="BA162" s="464"/>
      <c r="BB162" s="465"/>
      <c r="BC162" s="457"/>
      <c r="BD162" s="464"/>
      <c r="BE162" s="466"/>
      <c r="BF162" s="465"/>
      <c r="BG162" s="457"/>
      <c r="BH162" s="464"/>
      <c r="BI162" s="466"/>
      <c r="BJ162" s="465"/>
      <c r="BK162" s="457"/>
      <c r="BL162" s="464"/>
      <c r="BM162" s="466"/>
      <c r="BN162" s="465"/>
      <c r="BO162" s="457"/>
      <c r="BP162" s="464"/>
      <c r="BQ162" s="466"/>
      <c r="BR162" s="465"/>
      <c r="BS162" s="457"/>
      <c r="BT162" s="846"/>
      <c r="BU162" s="466"/>
      <c r="BV162" s="465"/>
      <c r="BW162" s="457"/>
      <c r="BX162" s="464"/>
      <c r="BY162" s="466"/>
      <c r="BZ162" s="465"/>
      <c r="CA162" s="457"/>
      <c r="CB162" s="464"/>
      <c r="CC162" s="466"/>
      <c r="CD162" s="465"/>
      <c r="CE162" s="457"/>
      <c r="CF162" s="464"/>
      <c r="CG162" s="466"/>
      <c r="CH162" s="465"/>
      <c r="CI162" s="457"/>
      <c r="CJ162" s="464"/>
      <c r="CK162" s="466"/>
      <c r="CL162" s="459"/>
      <c r="CM162" s="450"/>
      <c r="CN162" s="468">
        <f t="shared" si="78"/>
        <v>0</v>
      </c>
      <c r="CO162" s="468">
        <f t="shared" si="79"/>
        <v>0</v>
      </c>
      <c r="CP162" s="469">
        <f t="shared" si="80"/>
        <v>0</v>
      </c>
      <c r="CQ162" s="469">
        <f t="shared" si="81"/>
        <v>0</v>
      </c>
      <c r="CR162" s="463"/>
      <c r="CS162" s="457"/>
      <c r="CT162" s="464"/>
      <c r="CU162" s="464"/>
      <c r="CV162" s="465"/>
      <c r="CW162" s="457"/>
      <c r="CX162" s="464"/>
      <c r="CY162" s="466"/>
      <c r="CZ162" s="465"/>
      <c r="DA162" s="457"/>
      <c r="DB162" s="464"/>
      <c r="DC162" s="466"/>
      <c r="DD162" s="465"/>
      <c r="DE162" s="457"/>
      <c r="DF162" s="464"/>
      <c r="DG162" s="466"/>
      <c r="DH162" s="465"/>
      <c r="DI162" s="457"/>
      <c r="DJ162" s="464"/>
      <c r="DK162" s="466"/>
      <c r="DL162" s="465"/>
      <c r="DM162" s="457"/>
      <c r="DN162" s="464"/>
      <c r="DO162" s="466"/>
      <c r="DP162" s="465"/>
      <c r="DQ162" s="457"/>
      <c r="DR162" s="464"/>
      <c r="DS162" s="466"/>
      <c r="DT162" s="465"/>
      <c r="DU162" s="457"/>
      <c r="DV162" s="464"/>
      <c r="DW162" s="466"/>
      <c r="DX162" s="465"/>
      <c r="DY162" s="457"/>
      <c r="DZ162" s="464"/>
      <c r="EA162" s="466"/>
      <c r="EB162" s="465"/>
      <c r="EC162" s="457"/>
      <c r="ED162" s="464"/>
      <c r="EE162" s="466"/>
      <c r="EF162" s="459"/>
      <c r="EG162" s="450"/>
      <c r="EH162" s="460">
        <f t="shared" si="82"/>
        <v>0</v>
      </c>
      <c r="EI162" s="460">
        <f t="shared" si="83"/>
        <v>0</v>
      </c>
      <c r="EJ162" s="458">
        <f t="shared" si="84"/>
        <v>0</v>
      </c>
      <c r="EK162" s="470">
        <f t="shared" si="85"/>
        <v>0</v>
      </c>
      <c r="EL162" s="470">
        <f t="shared" si="86"/>
        <v>0</v>
      </c>
      <c r="EM162" s="449">
        <f t="shared" si="87"/>
        <v>0</v>
      </c>
      <c r="EN162" s="460">
        <f t="shared" si="88"/>
        <v>0</v>
      </c>
      <c r="EO162" s="469">
        <f t="shared" si="89"/>
        <v>0</v>
      </c>
      <c r="EP162" s="471"/>
      <c r="EQ162" s="450"/>
      <c r="ER162" s="471"/>
      <c r="ES162" s="450"/>
      <c r="ET162" s="471"/>
      <c r="EU162" s="450"/>
      <c r="EV162" s="471"/>
      <c r="EW162" s="450"/>
      <c r="EX162" s="471"/>
      <c r="EY162" s="450"/>
      <c r="EZ162" s="471"/>
      <c r="FA162" s="450"/>
      <c r="FB162" s="471"/>
      <c r="FC162" s="450"/>
      <c r="FD162" s="471"/>
      <c r="FE162" s="450"/>
      <c r="FF162" s="471"/>
      <c r="FG162" s="450"/>
      <c r="FH162" s="472"/>
      <c r="FI162" s="450"/>
      <c r="FJ162" s="468">
        <f t="shared" si="90"/>
        <v>0</v>
      </c>
      <c r="FK162" s="469">
        <f t="shared" si="91"/>
        <v>0</v>
      </c>
      <c r="FL162" s="472"/>
      <c r="FM162" s="450"/>
      <c r="FN162" s="460">
        <f t="shared" si="92"/>
        <v>3425</v>
      </c>
      <c r="FO162" s="469">
        <f t="shared" si="93"/>
        <v>2955</v>
      </c>
    </row>
    <row r="163" spans="1:171" x14ac:dyDescent="0.2">
      <c r="A163" s="423" t="s">
        <v>548</v>
      </c>
      <c r="B163" s="424" t="s">
        <v>550</v>
      </c>
      <c r="C163" s="490"/>
      <c r="D163" s="425">
        <v>366447</v>
      </c>
      <c r="E163" s="512">
        <v>12</v>
      </c>
      <c r="F163" s="532">
        <v>866</v>
      </c>
      <c r="G163" s="450">
        <v>596</v>
      </c>
      <c r="H163" s="457">
        <v>77</v>
      </c>
      <c r="I163" s="450">
        <v>47</v>
      </c>
      <c r="J163" s="457">
        <v>8</v>
      </c>
      <c r="K163" s="450">
        <v>6</v>
      </c>
      <c r="L163" s="458">
        <f t="shared" si="72"/>
        <v>0</v>
      </c>
      <c r="M163" s="449">
        <f t="shared" si="73"/>
        <v>0</v>
      </c>
      <c r="N163" s="459"/>
      <c r="O163" s="459"/>
      <c r="P163" s="459"/>
      <c r="Q163" s="459"/>
      <c r="R163" s="460">
        <f t="shared" si="70"/>
        <v>0</v>
      </c>
      <c r="S163" s="391"/>
      <c r="T163" s="461"/>
      <c r="U163" s="461"/>
      <c r="V163" s="461"/>
      <c r="W163" s="462">
        <f t="shared" si="71"/>
        <v>0</v>
      </c>
      <c r="X163" s="463"/>
      <c r="Y163" s="457"/>
      <c r="Z163" s="464"/>
      <c r="AA163" s="464"/>
      <c r="AB163" s="465"/>
      <c r="AC163" s="457"/>
      <c r="AD163" s="464"/>
      <c r="AE163" s="466"/>
      <c r="AF163" s="465"/>
      <c r="AG163" s="457"/>
      <c r="AH163" s="464"/>
      <c r="AI163" s="466"/>
      <c r="AJ163" s="465"/>
      <c r="AK163" s="457"/>
      <c r="AL163" s="464"/>
      <c r="AM163" s="466"/>
      <c r="AN163" s="465"/>
      <c r="AO163" s="457"/>
      <c r="AP163" s="464"/>
      <c r="AQ163" s="464"/>
      <c r="AR163" s="460">
        <f t="shared" si="74"/>
        <v>0</v>
      </c>
      <c r="AS163" s="467">
        <f t="shared" si="75"/>
        <v>0</v>
      </c>
      <c r="AT163" s="447">
        <f t="shared" si="76"/>
        <v>0</v>
      </c>
      <c r="AU163" s="448">
        <f t="shared" si="77"/>
        <v>0</v>
      </c>
      <c r="AV163" s="457"/>
      <c r="AW163" s="450"/>
      <c r="AX163" s="463"/>
      <c r="AY163" s="457"/>
      <c r="AZ163" s="464"/>
      <c r="BA163" s="464"/>
      <c r="BB163" s="465"/>
      <c r="BC163" s="457"/>
      <c r="BD163" s="464"/>
      <c r="BE163" s="466"/>
      <c r="BF163" s="465"/>
      <c r="BG163" s="457"/>
      <c r="BH163" s="464"/>
      <c r="BI163" s="466"/>
      <c r="BJ163" s="465"/>
      <c r="BK163" s="457"/>
      <c r="BL163" s="464"/>
      <c r="BM163" s="466"/>
      <c r="BN163" s="465"/>
      <c r="BO163" s="457"/>
      <c r="BP163" s="464"/>
      <c r="BQ163" s="466"/>
      <c r="BR163" s="465"/>
      <c r="BS163" s="457"/>
      <c r="BT163" s="846"/>
      <c r="BU163" s="466"/>
      <c r="BV163" s="465"/>
      <c r="BW163" s="457"/>
      <c r="BX163" s="464"/>
      <c r="BY163" s="466"/>
      <c r="BZ163" s="465"/>
      <c r="CA163" s="457"/>
      <c r="CB163" s="464"/>
      <c r="CC163" s="466"/>
      <c r="CD163" s="465"/>
      <c r="CE163" s="457"/>
      <c r="CF163" s="464"/>
      <c r="CG163" s="466"/>
      <c r="CH163" s="465"/>
      <c r="CI163" s="457"/>
      <c r="CJ163" s="464"/>
      <c r="CK163" s="466"/>
      <c r="CL163" s="459"/>
      <c r="CM163" s="450"/>
      <c r="CN163" s="468">
        <f t="shared" si="78"/>
        <v>0</v>
      </c>
      <c r="CO163" s="468">
        <f t="shared" si="79"/>
        <v>0</v>
      </c>
      <c r="CP163" s="469">
        <f t="shared" si="80"/>
        <v>0</v>
      </c>
      <c r="CQ163" s="469">
        <f t="shared" si="81"/>
        <v>0</v>
      </c>
      <c r="CR163" s="463"/>
      <c r="CS163" s="457"/>
      <c r="CT163" s="464"/>
      <c r="CU163" s="464"/>
      <c r="CV163" s="465"/>
      <c r="CW163" s="457"/>
      <c r="CX163" s="464"/>
      <c r="CY163" s="466"/>
      <c r="CZ163" s="465"/>
      <c r="DA163" s="457"/>
      <c r="DB163" s="464"/>
      <c r="DC163" s="466"/>
      <c r="DD163" s="465"/>
      <c r="DE163" s="457"/>
      <c r="DF163" s="464"/>
      <c r="DG163" s="466"/>
      <c r="DH163" s="465"/>
      <c r="DI163" s="457"/>
      <c r="DJ163" s="464"/>
      <c r="DK163" s="466"/>
      <c r="DL163" s="465"/>
      <c r="DM163" s="457"/>
      <c r="DN163" s="464"/>
      <c r="DO163" s="466"/>
      <c r="DP163" s="465"/>
      <c r="DQ163" s="457"/>
      <c r="DR163" s="464"/>
      <c r="DS163" s="466"/>
      <c r="DT163" s="465"/>
      <c r="DU163" s="457"/>
      <c r="DV163" s="464"/>
      <c r="DW163" s="466"/>
      <c r="DX163" s="465"/>
      <c r="DY163" s="457"/>
      <c r="DZ163" s="464"/>
      <c r="EA163" s="466"/>
      <c r="EB163" s="465"/>
      <c r="EC163" s="457"/>
      <c r="ED163" s="464"/>
      <c r="EE163" s="466"/>
      <c r="EF163" s="459"/>
      <c r="EG163" s="450"/>
      <c r="EH163" s="460">
        <f t="shared" si="82"/>
        <v>0</v>
      </c>
      <c r="EI163" s="460">
        <f t="shared" si="83"/>
        <v>0</v>
      </c>
      <c r="EJ163" s="458">
        <f t="shared" si="84"/>
        <v>0</v>
      </c>
      <c r="EK163" s="470">
        <f t="shared" si="85"/>
        <v>0</v>
      </c>
      <c r="EL163" s="470">
        <f t="shared" si="86"/>
        <v>0</v>
      </c>
      <c r="EM163" s="449">
        <f t="shared" si="87"/>
        <v>0</v>
      </c>
      <c r="EN163" s="460">
        <f t="shared" si="88"/>
        <v>0</v>
      </c>
      <c r="EO163" s="469">
        <f t="shared" si="89"/>
        <v>0</v>
      </c>
      <c r="EP163" s="471"/>
      <c r="EQ163" s="450"/>
      <c r="ER163" s="471"/>
      <c r="ES163" s="450"/>
      <c r="ET163" s="471"/>
      <c r="EU163" s="450"/>
      <c r="EV163" s="471"/>
      <c r="EW163" s="450"/>
      <c r="EX163" s="471"/>
      <c r="EY163" s="450"/>
      <c r="EZ163" s="471"/>
      <c r="FA163" s="450"/>
      <c r="FB163" s="471"/>
      <c r="FC163" s="450"/>
      <c r="FD163" s="471"/>
      <c r="FE163" s="450"/>
      <c r="FF163" s="471"/>
      <c r="FG163" s="450"/>
      <c r="FH163" s="472"/>
      <c r="FI163" s="450"/>
      <c r="FJ163" s="468">
        <f t="shared" si="90"/>
        <v>0</v>
      </c>
      <c r="FK163" s="469">
        <f t="shared" si="91"/>
        <v>0</v>
      </c>
      <c r="FL163" s="472"/>
      <c r="FM163" s="450"/>
      <c r="FN163" s="460">
        <f t="shared" si="92"/>
        <v>951</v>
      </c>
      <c r="FO163" s="469">
        <f t="shared" si="93"/>
        <v>649</v>
      </c>
    </row>
    <row r="164" spans="1:171" x14ac:dyDescent="0.2">
      <c r="A164" s="439" t="s">
        <v>548</v>
      </c>
      <c r="B164" s="436" t="s">
        <v>551</v>
      </c>
      <c r="C164" s="437"/>
      <c r="D164" s="438">
        <v>246813</v>
      </c>
      <c r="E164" s="512">
        <v>12</v>
      </c>
      <c r="F164" s="457">
        <v>1667</v>
      </c>
      <c r="G164" s="450">
        <v>1457</v>
      </c>
      <c r="H164" s="457">
        <v>31</v>
      </c>
      <c r="I164" s="450">
        <v>43</v>
      </c>
      <c r="J164" s="457">
        <v>384</v>
      </c>
      <c r="K164" s="450">
        <v>348</v>
      </c>
      <c r="L164" s="458">
        <f t="shared" si="72"/>
        <v>0</v>
      </c>
      <c r="M164" s="449">
        <f t="shared" si="73"/>
        <v>0</v>
      </c>
      <c r="N164" s="459"/>
      <c r="O164" s="459"/>
      <c r="P164" s="459"/>
      <c r="Q164" s="459"/>
      <c r="R164" s="460">
        <f t="shared" si="70"/>
        <v>0</v>
      </c>
      <c r="S164" s="391"/>
      <c r="T164" s="461"/>
      <c r="U164" s="461"/>
      <c r="V164" s="461"/>
      <c r="W164" s="462">
        <f t="shared" si="71"/>
        <v>0</v>
      </c>
      <c r="X164" s="463"/>
      <c r="Y164" s="457"/>
      <c r="Z164" s="464"/>
      <c r="AA164" s="464"/>
      <c r="AB164" s="465"/>
      <c r="AC164" s="457"/>
      <c r="AD164" s="464"/>
      <c r="AE164" s="466"/>
      <c r="AF164" s="465"/>
      <c r="AG164" s="457"/>
      <c r="AH164" s="464"/>
      <c r="AI164" s="466"/>
      <c r="AJ164" s="465"/>
      <c r="AK164" s="457"/>
      <c r="AL164" s="464"/>
      <c r="AM164" s="466"/>
      <c r="AN164" s="465"/>
      <c r="AO164" s="457"/>
      <c r="AP164" s="464"/>
      <c r="AQ164" s="464"/>
      <c r="AR164" s="460">
        <f t="shared" si="74"/>
        <v>0</v>
      </c>
      <c r="AS164" s="467">
        <f t="shared" si="75"/>
        <v>0</v>
      </c>
      <c r="AT164" s="447">
        <f t="shared" si="76"/>
        <v>0</v>
      </c>
      <c r="AU164" s="448">
        <f t="shared" si="77"/>
        <v>0</v>
      </c>
      <c r="AV164" s="457"/>
      <c r="AW164" s="450"/>
      <c r="AX164" s="463"/>
      <c r="AY164" s="457"/>
      <c r="AZ164" s="464"/>
      <c r="BA164" s="464"/>
      <c r="BB164" s="465"/>
      <c r="BC164" s="457"/>
      <c r="BD164" s="464"/>
      <c r="BE164" s="466"/>
      <c r="BF164" s="465"/>
      <c r="BG164" s="457"/>
      <c r="BH164" s="464"/>
      <c r="BI164" s="466"/>
      <c r="BJ164" s="465"/>
      <c r="BK164" s="457"/>
      <c r="BL164" s="464"/>
      <c r="BM164" s="466"/>
      <c r="BN164" s="465"/>
      <c r="BO164" s="457"/>
      <c r="BP164" s="464"/>
      <c r="BQ164" s="466"/>
      <c r="BR164" s="465"/>
      <c r="BS164" s="457"/>
      <c r="BT164" s="474"/>
      <c r="BU164" s="392"/>
      <c r="BV164" s="465"/>
      <c r="BW164" s="457"/>
      <c r="BX164" s="464"/>
      <c r="BY164" s="466"/>
      <c r="BZ164" s="465"/>
      <c r="CA164" s="457"/>
      <c r="CB164" s="464"/>
      <c r="CC164" s="466"/>
      <c r="CD164" s="465"/>
      <c r="CE164" s="457"/>
      <c r="CF164" s="464"/>
      <c r="CG164" s="466"/>
      <c r="CH164" s="465"/>
      <c r="CI164" s="457"/>
      <c r="CJ164" s="464"/>
      <c r="CK164" s="466"/>
      <c r="CL164" s="459"/>
      <c r="CM164" s="450"/>
      <c r="CN164" s="468">
        <f t="shared" si="78"/>
        <v>0</v>
      </c>
      <c r="CO164" s="468">
        <f t="shared" si="79"/>
        <v>0</v>
      </c>
      <c r="CP164" s="469">
        <f t="shared" si="80"/>
        <v>0</v>
      </c>
      <c r="CQ164" s="469">
        <f t="shared" si="81"/>
        <v>0</v>
      </c>
      <c r="CR164" s="463"/>
      <c r="CS164" s="457"/>
      <c r="CT164" s="464"/>
      <c r="CU164" s="464"/>
      <c r="CV164" s="465"/>
      <c r="CW164" s="457"/>
      <c r="CX164" s="464"/>
      <c r="CY164" s="466"/>
      <c r="CZ164" s="465"/>
      <c r="DA164" s="457"/>
      <c r="DB164" s="464"/>
      <c r="DC164" s="466"/>
      <c r="DD164" s="465"/>
      <c r="DE164" s="457"/>
      <c r="DF164" s="464"/>
      <c r="DG164" s="466"/>
      <c r="DH164" s="465"/>
      <c r="DI164" s="457"/>
      <c r="DJ164" s="464"/>
      <c r="DK164" s="466"/>
      <c r="DL164" s="465"/>
      <c r="DM164" s="457"/>
      <c r="DN164" s="464"/>
      <c r="DO164" s="466"/>
      <c r="DP164" s="465"/>
      <c r="DQ164" s="457"/>
      <c r="DR164" s="464"/>
      <c r="DS164" s="466"/>
      <c r="DT164" s="465"/>
      <c r="DU164" s="457"/>
      <c r="DV164" s="464"/>
      <c r="DW164" s="466"/>
      <c r="DX164" s="465"/>
      <c r="DY164" s="457"/>
      <c r="DZ164" s="464"/>
      <c r="EA164" s="466"/>
      <c r="EB164" s="465"/>
      <c r="EC164" s="457"/>
      <c r="ED164" s="464"/>
      <c r="EE164" s="466"/>
      <c r="EF164" s="459"/>
      <c r="EG164" s="450"/>
      <c r="EH164" s="460">
        <f t="shared" si="82"/>
        <v>0</v>
      </c>
      <c r="EI164" s="460">
        <f t="shared" si="83"/>
        <v>0</v>
      </c>
      <c r="EJ164" s="458">
        <f t="shared" si="84"/>
        <v>0</v>
      </c>
      <c r="EK164" s="470">
        <f t="shared" si="85"/>
        <v>0</v>
      </c>
      <c r="EL164" s="470">
        <f t="shared" si="86"/>
        <v>0</v>
      </c>
      <c r="EM164" s="449">
        <f t="shared" si="87"/>
        <v>0</v>
      </c>
      <c r="EN164" s="460">
        <f t="shared" si="88"/>
        <v>0</v>
      </c>
      <c r="EO164" s="469">
        <f t="shared" si="89"/>
        <v>0</v>
      </c>
      <c r="EP164" s="471"/>
      <c r="EQ164" s="450"/>
      <c r="ER164" s="471"/>
      <c r="ES164" s="450"/>
      <c r="ET164" s="471"/>
      <c r="EU164" s="450"/>
      <c r="EV164" s="471"/>
      <c r="EW164" s="450"/>
      <c r="EX164" s="471"/>
      <c r="EY164" s="450"/>
      <c r="EZ164" s="471"/>
      <c r="FA164" s="450"/>
      <c r="FB164" s="471"/>
      <c r="FC164" s="450"/>
      <c r="FD164" s="471"/>
      <c r="FE164" s="450"/>
      <c r="FF164" s="471"/>
      <c r="FG164" s="450"/>
      <c r="FH164" s="472"/>
      <c r="FI164" s="450"/>
      <c r="FJ164" s="468">
        <f t="shared" si="90"/>
        <v>0</v>
      </c>
      <c r="FK164" s="469">
        <f t="shared" si="91"/>
        <v>0</v>
      </c>
      <c r="FL164" s="472"/>
      <c r="FM164" s="450"/>
      <c r="FN164" s="460">
        <f t="shared" si="92"/>
        <v>2082</v>
      </c>
      <c r="FO164" s="469">
        <f t="shared" si="93"/>
        <v>1848</v>
      </c>
    </row>
    <row r="165" spans="1:171" x14ac:dyDescent="0.2">
      <c r="A165" s="439" t="s">
        <v>548</v>
      </c>
      <c r="B165" s="436" t="s">
        <v>552</v>
      </c>
      <c r="C165" s="437"/>
      <c r="D165" s="438">
        <v>138840</v>
      </c>
      <c r="E165" s="512">
        <v>12</v>
      </c>
      <c r="F165" s="457">
        <v>1857</v>
      </c>
      <c r="G165" s="450">
        <v>1812</v>
      </c>
      <c r="H165" s="457">
        <v>131</v>
      </c>
      <c r="I165" s="450">
        <v>145</v>
      </c>
      <c r="J165" s="457">
        <v>176</v>
      </c>
      <c r="K165" s="450">
        <v>179</v>
      </c>
      <c r="L165" s="458">
        <f t="shared" si="72"/>
        <v>0</v>
      </c>
      <c r="M165" s="449">
        <f t="shared" si="73"/>
        <v>0</v>
      </c>
      <c r="N165" s="459"/>
      <c r="O165" s="459"/>
      <c r="P165" s="459"/>
      <c r="Q165" s="459"/>
      <c r="R165" s="460">
        <f t="shared" si="70"/>
        <v>0</v>
      </c>
      <c r="S165" s="391"/>
      <c r="T165" s="461"/>
      <c r="U165" s="461"/>
      <c r="V165" s="461"/>
      <c r="W165" s="462">
        <f t="shared" si="71"/>
        <v>0</v>
      </c>
      <c r="X165" s="463"/>
      <c r="Y165" s="457"/>
      <c r="Z165" s="464"/>
      <c r="AA165" s="464"/>
      <c r="AB165" s="465"/>
      <c r="AC165" s="457"/>
      <c r="AD165" s="464"/>
      <c r="AE165" s="466"/>
      <c r="AF165" s="465"/>
      <c r="AG165" s="457"/>
      <c r="AH165" s="464"/>
      <c r="AI165" s="466"/>
      <c r="AJ165" s="465"/>
      <c r="AK165" s="457"/>
      <c r="AL165" s="464"/>
      <c r="AM165" s="466"/>
      <c r="AN165" s="465"/>
      <c r="AO165" s="457"/>
      <c r="AP165" s="464"/>
      <c r="AQ165" s="464"/>
      <c r="AR165" s="460">
        <f t="shared" si="74"/>
        <v>0</v>
      </c>
      <c r="AS165" s="467">
        <f t="shared" si="75"/>
        <v>0</v>
      </c>
      <c r="AT165" s="447">
        <f t="shared" si="76"/>
        <v>0</v>
      </c>
      <c r="AU165" s="448">
        <f t="shared" si="77"/>
        <v>0</v>
      </c>
      <c r="AV165" s="457"/>
      <c r="AW165" s="450"/>
      <c r="AX165" s="463"/>
      <c r="AY165" s="457"/>
      <c r="AZ165" s="464"/>
      <c r="BA165" s="464"/>
      <c r="BB165" s="465"/>
      <c r="BC165" s="457"/>
      <c r="BD165" s="464"/>
      <c r="BE165" s="466"/>
      <c r="BF165" s="465"/>
      <c r="BG165" s="457"/>
      <c r="BH165" s="464"/>
      <c r="BI165" s="466"/>
      <c r="BJ165" s="465"/>
      <c r="BK165" s="457"/>
      <c r="BL165" s="464"/>
      <c r="BM165" s="466"/>
      <c r="BN165" s="465"/>
      <c r="BO165" s="457"/>
      <c r="BP165" s="464"/>
      <c r="BQ165" s="466"/>
      <c r="BR165" s="465"/>
      <c r="BS165" s="457"/>
      <c r="BT165" s="474"/>
      <c r="BU165" s="392"/>
      <c r="BV165" s="465"/>
      <c r="BW165" s="457"/>
      <c r="BX165" s="464"/>
      <c r="BY165" s="466"/>
      <c r="BZ165" s="465"/>
      <c r="CA165" s="457"/>
      <c r="CB165" s="464"/>
      <c r="CC165" s="466"/>
      <c r="CD165" s="465"/>
      <c r="CE165" s="457"/>
      <c r="CF165" s="464"/>
      <c r="CG165" s="466"/>
      <c r="CH165" s="465"/>
      <c r="CI165" s="457"/>
      <c r="CJ165" s="464"/>
      <c r="CK165" s="466"/>
      <c r="CL165" s="459"/>
      <c r="CM165" s="450"/>
      <c r="CN165" s="468">
        <f t="shared" si="78"/>
        <v>0</v>
      </c>
      <c r="CO165" s="468">
        <f t="shared" si="79"/>
        <v>0</v>
      </c>
      <c r="CP165" s="469">
        <f t="shared" si="80"/>
        <v>0</v>
      </c>
      <c r="CQ165" s="469">
        <f t="shared" si="81"/>
        <v>0</v>
      </c>
      <c r="CR165" s="463"/>
      <c r="CS165" s="457"/>
      <c r="CT165" s="464"/>
      <c r="CU165" s="464"/>
      <c r="CV165" s="465"/>
      <c r="CW165" s="457"/>
      <c r="CX165" s="464"/>
      <c r="CY165" s="466"/>
      <c r="CZ165" s="465"/>
      <c r="DA165" s="457"/>
      <c r="DB165" s="464"/>
      <c r="DC165" s="466"/>
      <c r="DD165" s="465"/>
      <c r="DE165" s="457"/>
      <c r="DF165" s="464"/>
      <c r="DG165" s="466"/>
      <c r="DH165" s="465"/>
      <c r="DI165" s="457"/>
      <c r="DJ165" s="464"/>
      <c r="DK165" s="466"/>
      <c r="DL165" s="465"/>
      <c r="DM165" s="457"/>
      <c r="DN165" s="464"/>
      <c r="DO165" s="466"/>
      <c r="DP165" s="465"/>
      <c r="DQ165" s="457"/>
      <c r="DR165" s="464"/>
      <c r="DS165" s="466"/>
      <c r="DT165" s="465"/>
      <c r="DU165" s="457"/>
      <c r="DV165" s="464"/>
      <c r="DW165" s="466"/>
      <c r="DX165" s="465"/>
      <c r="DY165" s="457"/>
      <c r="DZ165" s="464"/>
      <c r="EA165" s="466"/>
      <c r="EB165" s="465"/>
      <c r="EC165" s="457"/>
      <c r="ED165" s="464"/>
      <c r="EE165" s="466"/>
      <c r="EF165" s="459"/>
      <c r="EG165" s="450"/>
      <c r="EH165" s="460">
        <f t="shared" si="82"/>
        <v>0</v>
      </c>
      <c r="EI165" s="460">
        <f t="shared" si="83"/>
        <v>0</v>
      </c>
      <c r="EJ165" s="458">
        <f t="shared" si="84"/>
        <v>0</v>
      </c>
      <c r="EK165" s="470">
        <f t="shared" si="85"/>
        <v>0</v>
      </c>
      <c r="EL165" s="470">
        <f t="shared" si="86"/>
        <v>0</v>
      </c>
      <c r="EM165" s="449">
        <f t="shared" si="87"/>
        <v>0</v>
      </c>
      <c r="EN165" s="460">
        <f t="shared" si="88"/>
        <v>0</v>
      </c>
      <c r="EO165" s="469">
        <f t="shared" si="89"/>
        <v>0</v>
      </c>
      <c r="EP165" s="471"/>
      <c r="EQ165" s="450"/>
      <c r="ER165" s="471"/>
      <c r="ES165" s="450"/>
      <c r="ET165" s="471"/>
      <c r="EU165" s="450"/>
      <c r="EV165" s="471"/>
      <c r="EW165" s="450"/>
      <c r="EX165" s="471"/>
      <c r="EY165" s="450"/>
      <c r="EZ165" s="471"/>
      <c r="FA165" s="450"/>
      <c r="FB165" s="471"/>
      <c r="FC165" s="450"/>
      <c r="FD165" s="471"/>
      <c r="FE165" s="450"/>
      <c r="FF165" s="471"/>
      <c r="FG165" s="450"/>
      <c r="FH165" s="472"/>
      <c r="FI165" s="450"/>
      <c r="FJ165" s="468">
        <f t="shared" si="90"/>
        <v>0</v>
      </c>
      <c r="FK165" s="469">
        <f t="shared" si="91"/>
        <v>0</v>
      </c>
      <c r="FL165" s="472"/>
      <c r="FM165" s="450"/>
      <c r="FN165" s="460">
        <f t="shared" si="92"/>
        <v>2164</v>
      </c>
      <c r="FO165" s="469">
        <f t="shared" si="93"/>
        <v>2136</v>
      </c>
    </row>
    <row r="166" spans="1:171" x14ac:dyDescent="0.2">
      <c r="A166" s="439" t="s">
        <v>548</v>
      </c>
      <c r="B166" s="436" t="s">
        <v>553</v>
      </c>
      <c r="C166" s="437"/>
      <c r="D166" s="438">
        <v>138956</v>
      </c>
      <c r="E166" s="512">
        <v>12</v>
      </c>
      <c r="F166" s="457">
        <v>1138</v>
      </c>
      <c r="G166" s="450">
        <v>797</v>
      </c>
      <c r="H166" s="457">
        <v>142</v>
      </c>
      <c r="I166" s="450">
        <v>81</v>
      </c>
      <c r="J166" s="457">
        <v>297</v>
      </c>
      <c r="K166" s="450">
        <v>314</v>
      </c>
      <c r="L166" s="458">
        <f t="shared" si="72"/>
        <v>0</v>
      </c>
      <c r="M166" s="449">
        <f t="shared" si="73"/>
        <v>0</v>
      </c>
      <c r="N166" s="459"/>
      <c r="O166" s="459"/>
      <c r="P166" s="459"/>
      <c r="Q166" s="459"/>
      <c r="R166" s="460">
        <f t="shared" si="70"/>
        <v>0</v>
      </c>
      <c r="S166" s="391"/>
      <c r="T166" s="461"/>
      <c r="U166" s="461"/>
      <c r="V166" s="461"/>
      <c r="W166" s="462">
        <f t="shared" si="71"/>
        <v>0</v>
      </c>
      <c r="X166" s="463"/>
      <c r="Y166" s="457"/>
      <c r="Z166" s="464"/>
      <c r="AA166" s="464"/>
      <c r="AB166" s="465"/>
      <c r="AC166" s="457"/>
      <c r="AD166" s="464"/>
      <c r="AE166" s="466"/>
      <c r="AF166" s="465"/>
      <c r="AG166" s="457"/>
      <c r="AH166" s="464"/>
      <c r="AI166" s="466"/>
      <c r="AJ166" s="465"/>
      <c r="AK166" s="457"/>
      <c r="AL166" s="464"/>
      <c r="AM166" s="466"/>
      <c r="AN166" s="465"/>
      <c r="AO166" s="457"/>
      <c r="AP166" s="464"/>
      <c r="AQ166" s="464"/>
      <c r="AR166" s="460">
        <f t="shared" si="74"/>
        <v>0</v>
      </c>
      <c r="AS166" s="467">
        <f t="shared" si="75"/>
        <v>0</v>
      </c>
      <c r="AT166" s="447">
        <f t="shared" si="76"/>
        <v>0</v>
      </c>
      <c r="AU166" s="448">
        <f t="shared" si="77"/>
        <v>0</v>
      </c>
      <c r="AV166" s="457"/>
      <c r="AW166" s="450"/>
      <c r="AX166" s="463"/>
      <c r="AY166" s="457"/>
      <c r="AZ166" s="464"/>
      <c r="BA166" s="464"/>
      <c r="BB166" s="465"/>
      <c r="BC166" s="457"/>
      <c r="BD166" s="464"/>
      <c r="BE166" s="466"/>
      <c r="BF166" s="465"/>
      <c r="BG166" s="457"/>
      <c r="BH166" s="464"/>
      <c r="BI166" s="466"/>
      <c r="BJ166" s="465"/>
      <c r="BK166" s="457"/>
      <c r="BL166" s="464"/>
      <c r="BM166" s="466"/>
      <c r="BN166" s="465"/>
      <c r="BO166" s="457"/>
      <c r="BP166" s="464"/>
      <c r="BQ166" s="466"/>
      <c r="BR166" s="465"/>
      <c r="BS166" s="457"/>
      <c r="BT166" s="474"/>
      <c r="BU166" s="392"/>
      <c r="BV166" s="465"/>
      <c r="BW166" s="457"/>
      <c r="BX166" s="464"/>
      <c r="BY166" s="466"/>
      <c r="BZ166" s="465"/>
      <c r="CA166" s="457"/>
      <c r="CB166" s="464"/>
      <c r="CC166" s="466"/>
      <c r="CD166" s="465"/>
      <c r="CE166" s="457"/>
      <c r="CF166" s="464"/>
      <c r="CG166" s="466"/>
      <c r="CH166" s="465"/>
      <c r="CI166" s="457"/>
      <c r="CJ166" s="464"/>
      <c r="CK166" s="466"/>
      <c r="CL166" s="459"/>
      <c r="CM166" s="450"/>
      <c r="CN166" s="468">
        <f t="shared" si="78"/>
        <v>0</v>
      </c>
      <c r="CO166" s="468">
        <f t="shared" si="79"/>
        <v>0</v>
      </c>
      <c r="CP166" s="469">
        <f t="shared" si="80"/>
        <v>0</v>
      </c>
      <c r="CQ166" s="469">
        <f t="shared" si="81"/>
        <v>0</v>
      </c>
      <c r="CR166" s="463"/>
      <c r="CS166" s="457"/>
      <c r="CT166" s="464"/>
      <c r="CU166" s="464"/>
      <c r="CV166" s="465"/>
      <c r="CW166" s="457"/>
      <c r="CX166" s="464"/>
      <c r="CY166" s="466"/>
      <c r="CZ166" s="465"/>
      <c r="DA166" s="457"/>
      <c r="DB166" s="464"/>
      <c r="DC166" s="466"/>
      <c r="DD166" s="465"/>
      <c r="DE166" s="457"/>
      <c r="DF166" s="464"/>
      <c r="DG166" s="466"/>
      <c r="DH166" s="465"/>
      <c r="DI166" s="457"/>
      <c r="DJ166" s="464"/>
      <c r="DK166" s="466"/>
      <c r="DL166" s="465"/>
      <c r="DM166" s="457"/>
      <c r="DN166" s="464"/>
      <c r="DO166" s="466"/>
      <c r="DP166" s="465"/>
      <c r="DQ166" s="457"/>
      <c r="DR166" s="464"/>
      <c r="DS166" s="466"/>
      <c r="DT166" s="465"/>
      <c r="DU166" s="457"/>
      <c r="DV166" s="464"/>
      <c r="DW166" s="466"/>
      <c r="DX166" s="465"/>
      <c r="DY166" s="457"/>
      <c r="DZ166" s="464"/>
      <c r="EA166" s="466"/>
      <c r="EB166" s="465"/>
      <c r="EC166" s="457"/>
      <c r="ED166" s="464"/>
      <c r="EE166" s="466"/>
      <c r="EF166" s="459"/>
      <c r="EG166" s="450"/>
      <c r="EH166" s="460">
        <f t="shared" si="82"/>
        <v>0</v>
      </c>
      <c r="EI166" s="460">
        <f t="shared" si="83"/>
        <v>0</v>
      </c>
      <c r="EJ166" s="458">
        <f t="shared" si="84"/>
        <v>0</v>
      </c>
      <c r="EK166" s="470">
        <f t="shared" si="85"/>
        <v>0</v>
      </c>
      <c r="EL166" s="470">
        <f t="shared" si="86"/>
        <v>0</v>
      </c>
      <c r="EM166" s="449">
        <f t="shared" si="87"/>
        <v>0</v>
      </c>
      <c r="EN166" s="460">
        <f t="shared" si="88"/>
        <v>0</v>
      </c>
      <c r="EO166" s="469">
        <f t="shared" si="89"/>
        <v>0</v>
      </c>
      <c r="EP166" s="471"/>
      <c r="EQ166" s="450"/>
      <c r="ER166" s="471"/>
      <c r="ES166" s="450"/>
      <c r="ET166" s="471"/>
      <c r="EU166" s="450"/>
      <c r="EV166" s="471"/>
      <c r="EW166" s="450"/>
      <c r="EX166" s="471"/>
      <c r="EY166" s="450"/>
      <c r="EZ166" s="471"/>
      <c r="FA166" s="450"/>
      <c r="FB166" s="471"/>
      <c r="FC166" s="450"/>
      <c r="FD166" s="471"/>
      <c r="FE166" s="450"/>
      <c r="FF166" s="471"/>
      <c r="FG166" s="450"/>
      <c r="FH166" s="472"/>
      <c r="FI166" s="450"/>
      <c r="FJ166" s="468">
        <f t="shared" si="90"/>
        <v>0</v>
      </c>
      <c r="FK166" s="469">
        <f t="shared" si="91"/>
        <v>0</v>
      </c>
      <c r="FL166" s="472"/>
      <c r="FM166" s="450"/>
      <c r="FN166" s="460">
        <f t="shared" si="92"/>
        <v>1577</v>
      </c>
      <c r="FO166" s="469">
        <f t="shared" si="93"/>
        <v>1192</v>
      </c>
    </row>
    <row r="167" spans="1:171" x14ac:dyDescent="0.2">
      <c r="A167" s="439" t="s">
        <v>548</v>
      </c>
      <c r="B167" s="436" t="s">
        <v>554</v>
      </c>
      <c r="C167" s="437"/>
      <c r="D167" s="438">
        <v>140304</v>
      </c>
      <c r="E167" s="512">
        <v>12</v>
      </c>
      <c r="F167" s="457">
        <v>1828</v>
      </c>
      <c r="G167" s="450">
        <v>1781</v>
      </c>
      <c r="H167" s="457">
        <v>103</v>
      </c>
      <c r="I167" s="450">
        <v>90</v>
      </c>
      <c r="J167" s="457">
        <v>294</v>
      </c>
      <c r="K167" s="450">
        <v>263</v>
      </c>
      <c r="L167" s="458">
        <f t="shared" si="72"/>
        <v>0</v>
      </c>
      <c r="M167" s="449">
        <f t="shared" si="73"/>
        <v>0</v>
      </c>
      <c r="N167" s="459"/>
      <c r="O167" s="459"/>
      <c r="P167" s="459"/>
      <c r="Q167" s="459"/>
      <c r="R167" s="460">
        <f t="shared" si="70"/>
        <v>0</v>
      </c>
      <c r="S167" s="391"/>
      <c r="T167" s="461"/>
      <c r="U167" s="461"/>
      <c r="V167" s="461"/>
      <c r="W167" s="462">
        <f t="shared" si="71"/>
        <v>0</v>
      </c>
      <c r="X167" s="463"/>
      <c r="Y167" s="457"/>
      <c r="Z167" s="464"/>
      <c r="AA167" s="464"/>
      <c r="AB167" s="465"/>
      <c r="AC167" s="457"/>
      <c r="AD167" s="464"/>
      <c r="AE167" s="466"/>
      <c r="AF167" s="465"/>
      <c r="AG167" s="457"/>
      <c r="AH167" s="464"/>
      <c r="AI167" s="466"/>
      <c r="AJ167" s="465"/>
      <c r="AK167" s="457"/>
      <c r="AL167" s="464"/>
      <c r="AM167" s="466"/>
      <c r="AN167" s="465"/>
      <c r="AO167" s="457"/>
      <c r="AP167" s="464"/>
      <c r="AQ167" s="464"/>
      <c r="AR167" s="460">
        <f t="shared" si="74"/>
        <v>0</v>
      </c>
      <c r="AS167" s="467">
        <f t="shared" si="75"/>
        <v>0</v>
      </c>
      <c r="AT167" s="447">
        <f t="shared" si="76"/>
        <v>0</v>
      </c>
      <c r="AU167" s="448">
        <f t="shared" si="77"/>
        <v>0</v>
      </c>
      <c r="AV167" s="457"/>
      <c r="AW167" s="450"/>
      <c r="AX167" s="463"/>
      <c r="AY167" s="457"/>
      <c r="AZ167" s="464"/>
      <c r="BA167" s="464"/>
      <c r="BB167" s="465"/>
      <c r="BC167" s="457"/>
      <c r="BD167" s="464"/>
      <c r="BE167" s="466"/>
      <c r="BF167" s="465"/>
      <c r="BG167" s="457"/>
      <c r="BH167" s="464"/>
      <c r="BI167" s="466"/>
      <c r="BJ167" s="465"/>
      <c r="BK167" s="457"/>
      <c r="BL167" s="464"/>
      <c r="BM167" s="466"/>
      <c r="BN167" s="465"/>
      <c r="BO167" s="457"/>
      <c r="BP167" s="464"/>
      <c r="BQ167" s="466"/>
      <c r="BR167" s="465"/>
      <c r="BS167" s="457"/>
      <c r="BT167" s="474"/>
      <c r="BU167" s="392"/>
      <c r="BV167" s="465"/>
      <c r="BW167" s="457"/>
      <c r="BX167" s="464"/>
      <c r="BY167" s="466"/>
      <c r="BZ167" s="465"/>
      <c r="CA167" s="457"/>
      <c r="CB167" s="464"/>
      <c r="CC167" s="466"/>
      <c r="CD167" s="465"/>
      <c r="CE167" s="457"/>
      <c r="CF167" s="464"/>
      <c r="CG167" s="466"/>
      <c r="CH167" s="465"/>
      <c r="CI167" s="457"/>
      <c r="CJ167" s="464"/>
      <c r="CK167" s="466"/>
      <c r="CL167" s="459"/>
      <c r="CM167" s="450"/>
      <c r="CN167" s="468">
        <f t="shared" si="78"/>
        <v>0</v>
      </c>
      <c r="CO167" s="468">
        <f t="shared" si="79"/>
        <v>0</v>
      </c>
      <c r="CP167" s="469">
        <f t="shared" si="80"/>
        <v>0</v>
      </c>
      <c r="CQ167" s="469">
        <f t="shared" si="81"/>
        <v>0</v>
      </c>
      <c r="CR167" s="463"/>
      <c r="CS167" s="457"/>
      <c r="CT167" s="464"/>
      <c r="CU167" s="464"/>
      <c r="CV167" s="465"/>
      <c r="CW167" s="457"/>
      <c r="CX167" s="464"/>
      <c r="CY167" s="466"/>
      <c r="CZ167" s="465"/>
      <c r="DA167" s="457"/>
      <c r="DB167" s="464"/>
      <c r="DC167" s="466"/>
      <c r="DD167" s="465"/>
      <c r="DE167" s="457"/>
      <c r="DF167" s="464"/>
      <c r="DG167" s="466"/>
      <c r="DH167" s="465"/>
      <c r="DI167" s="457"/>
      <c r="DJ167" s="464"/>
      <c r="DK167" s="466"/>
      <c r="DL167" s="465"/>
      <c r="DM167" s="457"/>
      <c r="DN167" s="464"/>
      <c r="DO167" s="466"/>
      <c r="DP167" s="465"/>
      <c r="DQ167" s="457"/>
      <c r="DR167" s="464"/>
      <c r="DS167" s="466"/>
      <c r="DT167" s="465"/>
      <c r="DU167" s="457"/>
      <c r="DV167" s="464"/>
      <c r="DW167" s="466"/>
      <c r="DX167" s="465"/>
      <c r="DY167" s="457"/>
      <c r="DZ167" s="464"/>
      <c r="EA167" s="466"/>
      <c r="EB167" s="465"/>
      <c r="EC167" s="457"/>
      <c r="ED167" s="464"/>
      <c r="EE167" s="466"/>
      <c r="EF167" s="459"/>
      <c r="EG167" s="450"/>
      <c r="EH167" s="460">
        <f t="shared" si="82"/>
        <v>0</v>
      </c>
      <c r="EI167" s="460">
        <f t="shared" si="83"/>
        <v>0</v>
      </c>
      <c r="EJ167" s="458">
        <f t="shared" si="84"/>
        <v>0</v>
      </c>
      <c r="EK167" s="470">
        <f t="shared" si="85"/>
        <v>0</v>
      </c>
      <c r="EL167" s="470">
        <f t="shared" si="86"/>
        <v>0</v>
      </c>
      <c r="EM167" s="449">
        <f t="shared" si="87"/>
        <v>0</v>
      </c>
      <c r="EN167" s="460">
        <f t="shared" si="88"/>
        <v>0</v>
      </c>
      <c r="EO167" s="469">
        <f t="shared" si="89"/>
        <v>0</v>
      </c>
      <c r="EP167" s="471"/>
      <c r="EQ167" s="450"/>
      <c r="ER167" s="471"/>
      <c r="ES167" s="450"/>
      <c r="ET167" s="471"/>
      <c r="EU167" s="450"/>
      <c r="EV167" s="471"/>
      <c r="EW167" s="450"/>
      <c r="EX167" s="471"/>
      <c r="EY167" s="450"/>
      <c r="EZ167" s="471"/>
      <c r="FA167" s="450"/>
      <c r="FB167" s="471"/>
      <c r="FC167" s="450"/>
      <c r="FD167" s="471"/>
      <c r="FE167" s="450"/>
      <c r="FF167" s="471"/>
      <c r="FG167" s="450"/>
      <c r="FH167" s="472"/>
      <c r="FI167" s="450"/>
      <c r="FJ167" s="468">
        <f t="shared" si="90"/>
        <v>0</v>
      </c>
      <c r="FK167" s="469">
        <f t="shared" si="91"/>
        <v>0</v>
      </c>
      <c r="FL167" s="472"/>
      <c r="FM167" s="450"/>
      <c r="FN167" s="460">
        <f t="shared" si="92"/>
        <v>2225</v>
      </c>
      <c r="FO167" s="469">
        <f t="shared" si="93"/>
        <v>2134</v>
      </c>
    </row>
    <row r="168" spans="1:171" x14ac:dyDescent="0.2">
      <c r="A168" s="439" t="s">
        <v>548</v>
      </c>
      <c r="B168" s="440" t="s">
        <v>555</v>
      </c>
      <c r="C168" s="441"/>
      <c r="D168" s="438">
        <v>140331</v>
      </c>
      <c r="E168" s="512">
        <v>12</v>
      </c>
      <c r="F168" s="457">
        <v>2404</v>
      </c>
      <c r="G168" s="450">
        <v>2042</v>
      </c>
      <c r="H168" s="457">
        <v>145</v>
      </c>
      <c r="I168" s="450">
        <v>155</v>
      </c>
      <c r="J168" s="457">
        <v>526</v>
      </c>
      <c r="K168" s="450">
        <v>456</v>
      </c>
      <c r="L168" s="458">
        <f t="shared" si="72"/>
        <v>0</v>
      </c>
      <c r="M168" s="449">
        <f t="shared" si="73"/>
        <v>0</v>
      </c>
      <c r="N168" s="459"/>
      <c r="O168" s="459"/>
      <c r="P168" s="459"/>
      <c r="Q168" s="459"/>
      <c r="R168" s="460">
        <f t="shared" si="70"/>
        <v>0</v>
      </c>
      <c r="S168" s="391"/>
      <c r="T168" s="461"/>
      <c r="U168" s="461"/>
      <c r="V168" s="461"/>
      <c r="W168" s="462">
        <f t="shared" si="71"/>
        <v>0</v>
      </c>
      <c r="X168" s="463"/>
      <c r="Y168" s="457"/>
      <c r="Z168" s="464"/>
      <c r="AA168" s="464"/>
      <c r="AB168" s="465"/>
      <c r="AC168" s="457"/>
      <c r="AD168" s="464"/>
      <c r="AE168" s="466"/>
      <c r="AF168" s="465"/>
      <c r="AG168" s="457"/>
      <c r="AH168" s="464"/>
      <c r="AI168" s="466"/>
      <c r="AJ168" s="465"/>
      <c r="AK168" s="457"/>
      <c r="AL168" s="464"/>
      <c r="AM168" s="466"/>
      <c r="AN168" s="465"/>
      <c r="AO168" s="457"/>
      <c r="AP168" s="464"/>
      <c r="AQ168" s="464"/>
      <c r="AR168" s="460">
        <f t="shared" si="74"/>
        <v>0</v>
      </c>
      <c r="AS168" s="467">
        <f t="shared" si="75"/>
        <v>0</v>
      </c>
      <c r="AT168" s="447">
        <f t="shared" si="76"/>
        <v>0</v>
      </c>
      <c r="AU168" s="448">
        <f t="shared" si="77"/>
        <v>0</v>
      </c>
      <c r="AV168" s="457"/>
      <c r="AW168" s="450"/>
      <c r="AX168" s="463"/>
      <c r="AY168" s="457"/>
      <c r="AZ168" s="464"/>
      <c r="BA168" s="464"/>
      <c r="BB168" s="465"/>
      <c r="BC168" s="457"/>
      <c r="BD168" s="464"/>
      <c r="BE168" s="466"/>
      <c r="BF168" s="465"/>
      <c r="BG168" s="457"/>
      <c r="BH168" s="464"/>
      <c r="BI168" s="466"/>
      <c r="BJ168" s="465"/>
      <c r="BK168" s="457"/>
      <c r="BL168" s="464"/>
      <c r="BM168" s="466"/>
      <c r="BN168" s="465"/>
      <c r="BO168" s="457"/>
      <c r="BP168" s="464"/>
      <c r="BQ168" s="466"/>
      <c r="BR168" s="465"/>
      <c r="BS168" s="457"/>
      <c r="BT168" s="474"/>
      <c r="BU168" s="392"/>
      <c r="BV168" s="465"/>
      <c r="BW168" s="457"/>
      <c r="BX168" s="464"/>
      <c r="BY168" s="466"/>
      <c r="BZ168" s="465"/>
      <c r="CA168" s="457"/>
      <c r="CB168" s="464"/>
      <c r="CC168" s="466"/>
      <c r="CD168" s="465"/>
      <c r="CE168" s="457"/>
      <c r="CF168" s="464"/>
      <c r="CG168" s="466"/>
      <c r="CH168" s="465"/>
      <c r="CI168" s="457"/>
      <c r="CJ168" s="464"/>
      <c r="CK168" s="466"/>
      <c r="CL168" s="459"/>
      <c r="CM168" s="450"/>
      <c r="CN168" s="468">
        <f t="shared" si="78"/>
        <v>0</v>
      </c>
      <c r="CO168" s="468">
        <f t="shared" si="79"/>
        <v>0</v>
      </c>
      <c r="CP168" s="469">
        <f t="shared" si="80"/>
        <v>0</v>
      </c>
      <c r="CQ168" s="469">
        <f t="shared" si="81"/>
        <v>0</v>
      </c>
      <c r="CR168" s="463"/>
      <c r="CS168" s="457"/>
      <c r="CT168" s="464"/>
      <c r="CU168" s="464"/>
      <c r="CV168" s="465"/>
      <c r="CW168" s="457"/>
      <c r="CX168" s="464"/>
      <c r="CY168" s="466"/>
      <c r="CZ168" s="465"/>
      <c r="DA168" s="457"/>
      <c r="DB168" s="464"/>
      <c r="DC168" s="466"/>
      <c r="DD168" s="465"/>
      <c r="DE168" s="457"/>
      <c r="DF168" s="464"/>
      <c r="DG168" s="466"/>
      <c r="DH168" s="465"/>
      <c r="DI168" s="457"/>
      <c r="DJ168" s="464"/>
      <c r="DK168" s="466"/>
      <c r="DL168" s="465"/>
      <c r="DM168" s="457"/>
      <c r="DN168" s="464"/>
      <c r="DO168" s="466"/>
      <c r="DP168" s="465"/>
      <c r="DQ168" s="457"/>
      <c r="DR168" s="464"/>
      <c r="DS168" s="466"/>
      <c r="DT168" s="465"/>
      <c r="DU168" s="457"/>
      <c r="DV168" s="464"/>
      <c r="DW168" s="466"/>
      <c r="DX168" s="465"/>
      <c r="DY168" s="457"/>
      <c r="DZ168" s="464"/>
      <c r="EA168" s="466"/>
      <c r="EB168" s="465"/>
      <c r="EC168" s="457"/>
      <c r="ED168" s="464"/>
      <c r="EE168" s="466"/>
      <c r="EF168" s="459"/>
      <c r="EG168" s="450"/>
      <c r="EH168" s="460">
        <f t="shared" si="82"/>
        <v>0</v>
      </c>
      <c r="EI168" s="460">
        <f t="shared" si="83"/>
        <v>0</v>
      </c>
      <c r="EJ168" s="458">
        <f t="shared" si="84"/>
        <v>0</v>
      </c>
      <c r="EK168" s="470">
        <f t="shared" si="85"/>
        <v>0</v>
      </c>
      <c r="EL168" s="470">
        <f t="shared" si="86"/>
        <v>0</v>
      </c>
      <c r="EM168" s="449">
        <f t="shared" si="87"/>
        <v>0</v>
      </c>
      <c r="EN168" s="460">
        <f t="shared" si="88"/>
        <v>0</v>
      </c>
      <c r="EO168" s="469">
        <f t="shared" si="89"/>
        <v>0</v>
      </c>
      <c r="EP168" s="471"/>
      <c r="EQ168" s="450"/>
      <c r="ER168" s="471"/>
      <c r="ES168" s="450"/>
      <c r="ET168" s="471"/>
      <c r="EU168" s="450"/>
      <c r="EV168" s="471"/>
      <c r="EW168" s="450"/>
      <c r="EX168" s="471"/>
      <c r="EY168" s="450"/>
      <c r="EZ168" s="471"/>
      <c r="FA168" s="450"/>
      <c r="FB168" s="471"/>
      <c r="FC168" s="450"/>
      <c r="FD168" s="471"/>
      <c r="FE168" s="450"/>
      <c r="FF168" s="471"/>
      <c r="FG168" s="450"/>
      <c r="FH168" s="472"/>
      <c r="FI168" s="450"/>
      <c r="FJ168" s="468">
        <f t="shared" si="90"/>
        <v>0</v>
      </c>
      <c r="FK168" s="469">
        <f t="shared" si="91"/>
        <v>0</v>
      </c>
      <c r="FL168" s="472"/>
      <c r="FM168" s="450"/>
      <c r="FN168" s="460">
        <f t="shared" si="92"/>
        <v>3075</v>
      </c>
      <c r="FO168" s="469">
        <f t="shared" si="93"/>
        <v>2653</v>
      </c>
    </row>
    <row r="169" spans="1:171" x14ac:dyDescent="0.2">
      <c r="A169" s="439" t="s">
        <v>548</v>
      </c>
      <c r="B169" s="442" t="s">
        <v>556</v>
      </c>
      <c r="C169" s="443"/>
      <c r="D169" s="438">
        <v>139357</v>
      </c>
      <c r="E169" s="512">
        <v>12</v>
      </c>
      <c r="F169" s="457">
        <v>914</v>
      </c>
      <c r="G169" s="450">
        <v>813</v>
      </c>
      <c r="H169" s="457">
        <v>98</v>
      </c>
      <c r="I169" s="450">
        <v>80</v>
      </c>
      <c r="J169" s="457">
        <v>335</v>
      </c>
      <c r="K169" s="450">
        <v>225</v>
      </c>
      <c r="L169" s="458">
        <f t="shared" si="72"/>
        <v>0</v>
      </c>
      <c r="M169" s="449">
        <f t="shared" si="73"/>
        <v>0</v>
      </c>
      <c r="N169" s="459"/>
      <c r="O169" s="459"/>
      <c r="P169" s="459"/>
      <c r="Q169" s="459"/>
      <c r="R169" s="460">
        <f t="shared" si="70"/>
        <v>0</v>
      </c>
      <c r="S169" s="391"/>
      <c r="T169" s="461"/>
      <c r="U169" s="461"/>
      <c r="V169" s="461"/>
      <c r="W169" s="462">
        <f t="shared" si="71"/>
        <v>0</v>
      </c>
      <c r="X169" s="463"/>
      <c r="Y169" s="457"/>
      <c r="Z169" s="464"/>
      <c r="AA169" s="464"/>
      <c r="AB169" s="465"/>
      <c r="AC169" s="457"/>
      <c r="AD169" s="464"/>
      <c r="AE169" s="466"/>
      <c r="AF169" s="465"/>
      <c r="AG169" s="457"/>
      <c r="AH169" s="464"/>
      <c r="AI169" s="466"/>
      <c r="AJ169" s="465"/>
      <c r="AK169" s="457"/>
      <c r="AL169" s="464"/>
      <c r="AM169" s="466"/>
      <c r="AN169" s="465"/>
      <c r="AO169" s="457"/>
      <c r="AP169" s="464"/>
      <c r="AQ169" s="464"/>
      <c r="AR169" s="460">
        <f t="shared" si="74"/>
        <v>0</v>
      </c>
      <c r="AS169" s="467">
        <f t="shared" si="75"/>
        <v>0</v>
      </c>
      <c r="AT169" s="447">
        <f t="shared" si="76"/>
        <v>0</v>
      </c>
      <c r="AU169" s="448">
        <f t="shared" si="77"/>
        <v>0</v>
      </c>
      <c r="AV169" s="457"/>
      <c r="AW169" s="450"/>
      <c r="AX169" s="463"/>
      <c r="AY169" s="457"/>
      <c r="AZ169" s="464"/>
      <c r="BA169" s="464"/>
      <c r="BB169" s="465"/>
      <c r="BC169" s="457"/>
      <c r="BD169" s="464"/>
      <c r="BE169" s="466"/>
      <c r="BF169" s="465"/>
      <c r="BG169" s="457"/>
      <c r="BH169" s="464"/>
      <c r="BI169" s="466"/>
      <c r="BJ169" s="465"/>
      <c r="BK169" s="457"/>
      <c r="BL169" s="464"/>
      <c r="BM169" s="466"/>
      <c r="BN169" s="465"/>
      <c r="BO169" s="457"/>
      <c r="BP169" s="464"/>
      <c r="BQ169" s="466"/>
      <c r="BR169" s="465"/>
      <c r="BS169" s="457"/>
      <c r="BT169" s="474"/>
      <c r="BU169" s="392"/>
      <c r="BV169" s="465"/>
      <c r="BW169" s="457"/>
      <c r="BX169" s="464"/>
      <c r="BY169" s="466"/>
      <c r="BZ169" s="465"/>
      <c r="CA169" s="457"/>
      <c r="CB169" s="464"/>
      <c r="CC169" s="466"/>
      <c r="CD169" s="465"/>
      <c r="CE169" s="457"/>
      <c r="CF169" s="464"/>
      <c r="CG169" s="466"/>
      <c r="CH169" s="465"/>
      <c r="CI169" s="457"/>
      <c r="CJ169" s="464"/>
      <c r="CK169" s="466"/>
      <c r="CL169" s="459"/>
      <c r="CM169" s="450"/>
      <c r="CN169" s="468">
        <f t="shared" si="78"/>
        <v>0</v>
      </c>
      <c r="CO169" s="468">
        <f t="shared" si="79"/>
        <v>0</v>
      </c>
      <c r="CP169" s="469">
        <f t="shared" si="80"/>
        <v>0</v>
      </c>
      <c r="CQ169" s="469">
        <f t="shared" si="81"/>
        <v>0</v>
      </c>
      <c r="CR169" s="463"/>
      <c r="CS169" s="457"/>
      <c r="CT169" s="464"/>
      <c r="CU169" s="464"/>
      <c r="CV169" s="465"/>
      <c r="CW169" s="457"/>
      <c r="CX169" s="464"/>
      <c r="CY169" s="466"/>
      <c r="CZ169" s="465"/>
      <c r="DA169" s="457"/>
      <c r="DB169" s="464"/>
      <c r="DC169" s="466"/>
      <c r="DD169" s="465"/>
      <c r="DE169" s="457"/>
      <c r="DF169" s="464"/>
      <c r="DG169" s="466"/>
      <c r="DH169" s="465"/>
      <c r="DI169" s="457"/>
      <c r="DJ169" s="464"/>
      <c r="DK169" s="466"/>
      <c r="DL169" s="465"/>
      <c r="DM169" s="457"/>
      <c r="DN169" s="464"/>
      <c r="DO169" s="466"/>
      <c r="DP169" s="465"/>
      <c r="DQ169" s="457"/>
      <c r="DR169" s="464"/>
      <c r="DS169" s="466"/>
      <c r="DT169" s="465"/>
      <c r="DU169" s="457"/>
      <c r="DV169" s="464"/>
      <c r="DW169" s="466"/>
      <c r="DX169" s="465"/>
      <c r="DY169" s="457"/>
      <c r="DZ169" s="464"/>
      <c r="EA169" s="466"/>
      <c r="EB169" s="465"/>
      <c r="EC169" s="457"/>
      <c r="ED169" s="464"/>
      <c r="EE169" s="466"/>
      <c r="EF169" s="459"/>
      <c r="EG169" s="450"/>
      <c r="EH169" s="460">
        <f t="shared" si="82"/>
        <v>0</v>
      </c>
      <c r="EI169" s="460">
        <f t="shared" si="83"/>
        <v>0</v>
      </c>
      <c r="EJ169" s="458">
        <f t="shared" si="84"/>
        <v>0</v>
      </c>
      <c r="EK169" s="470">
        <f t="shared" si="85"/>
        <v>0</v>
      </c>
      <c r="EL169" s="470">
        <f t="shared" si="86"/>
        <v>0</v>
      </c>
      <c r="EM169" s="449">
        <f t="shared" si="87"/>
        <v>0</v>
      </c>
      <c r="EN169" s="460">
        <f t="shared" si="88"/>
        <v>0</v>
      </c>
      <c r="EO169" s="469">
        <f t="shared" si="89"/>
        <v>0</v>
      </c>
      <c r="EP169" s="471"/>
      <c r="EQ169" s="450"/>
      <c r="ER169" s="471"/>
      <c r="ES169" s="450"/>
      <c r="ET169" s="471"/>
      <c r="EU169" s="450"/>
      <c r="EV169" s="471"/>
      <c r="EW169" s="450"/>
      <c r="EX169" s="471"/>
      <c r="EY169" s="450"/>
      <c r="EZ169" s="471"/>
      <c r="FA169" s="450"/>
      <c r="FB169" s="471"/>
      <c r="FC169" s="450"/>
      <c r="FD169" s="471"/>
      <c r="FE169" s="450"/>
      <c r="FF169" s="471"/>
      <c r="FG169" s="450"/>
      <c r="FH169" s="472"/>
      <c r="FI169" s="450"/>
      <c r="FJ169" s="468">
        <f t="shared" si="90"/>
        <v>0</v>
      </c>
      <c r="FK169" s="469">
        <f t="shared" si="91"/>
        <v>0</v>
      </c>
      <c r="FL169" s="472"/>
      <c r="FM169" s="450"/>
      <c r="FN169" s="460">
        <f t="shared" si="92"/>
        <v>1347</v>
      </c>
      <c r="FO169" s="469">
        <f t="shared" si="93"/>
        <v>1118</v>
      </c>
    </row>
    <row r="170" spans="1:171" x14ac:dyDescent="0.2">
      <c r="A170" s="439" t="s">
        <v>548</v>
      </c>
      <c r="B170" s="440" t="s">
        <v>557</v>
      </c>
      <c r="C170" s="441"/>
      <c r="D170" s="438">
        <v>139384</v>
      </c>
      <c r="E170" s="512">
        <v>12</v>
      </c>
      <c r="F170" s="457">
        <v>1992</v>
      </c>
      <c r="G170" s="450">
        <v>1820</v>
      </c>
      <c r="H170" s="457">
        <v>227</v>
      </c>
      <c r="I170" s="450">
        <v>204</v>
      </c>
      <c r="J170" s="457">
        <v>365</v>
      </c>
      <c r="K170" s="450">
        <v>454</v>
      </c>
      <c r="L170" s="458">
        <f t="shared" si="72"/>
        <v>0</v>
      </c>
      <c r="M170" s="449">
        <f t="shared" si="73"/>
        <v>0</v>
      </c>
      <c r="N170" s="459"/>
      <c r="O170" s="459"/>
      <c r="P170" s="459"/>
      <c r="Q170" s="459"/>
      <c r="R170" s="460">
        <f t="shared" si="70"/>
        <v>0</v>
      </c>
      <c r="S170" s="391"/>
      <c r="T170" s="461"/>
      <c r="U170" s="461"/>
      <c r="V170" s="461"/>
      <c r="W170" s="462">
        <f t="shared" si="71"/>
        <v>0</v>
      </c>
      <c r="X170" s="463"/>
      <c r="Y170" s="457"/>
      <c r="Z170" s="464"/>
      <c r="AA170" s="464"/>
      <c r="AB170" s="465"/>
      <c r="AC170" s="457"/>
      <c r="AD170" s="464"/>
      <c r="AE170" s="466"/>
      <c r="AF170" s="465"/>
      <c r="AG170" s="457"/>
      <c r="AH170" s="464"/>
      <c r="AI170" s="466"/>
      <c r="AJ170" s="465"/>
      <c r="AK170" s="457"/>
      <c r="AL170" s="464"/>
      <c r="AM170" s="466"/>
      <c r="AN170" s="465"/>
      <c r="AO170" s="457"/>
      <c r="AP170" s="464"/>
      <c r="AQ170" s="464"/>
      <c r="AR170" s="460">
        <f t="shared" si="74"/>
        <v>0</v>
      </c>
      <c r="AS170" s="467">
        <f t="shared" si="75"/>
        <v>0</v>
      </c>
      <c r="AT170" s="447">
        <f t="shared" si="76"/>
        <v>0</v>
      </c>
      <c r="AU170" s="448">
        <f t="shared" si="77"/>
        <v>0</v>
      </c>
      <c r="AV170" s="457"/>
      <c r="AW170" s="450"/>
      <c r="AX170" s="463"/>
      <c r="AY170" s="457"/>
      <c r="AZ170" s="464"/>
      <c r="BA170" s="464"/>
      <c r="BB170" s="465"/>
      <c r="BC170" s="457"/>
      <c r="BD170" s="464"/>
      <c r="BE170" s="466"/>
      <c r="BF170" s="465"/>
      <c r="BG170" s="457"/>
      <c r="BH170" s="464"/>
      <c r="BI170" s="466"/>
      <c r="BJ170" s="465"/>
      <c r="BK170" s="457"/>
      <c r="BL170" s="464"/>
      <c r="BM170" s="466"/>
      <c r="BN170" s="465"/>
      <c r="BO170" s="457"/>
      <c r="BP170" s="464"/>
      <c r="BQ170" s="466"/>
      <c r="BR170" s="465"/>
      <c r="BS170" s="457"/>
      <c r="BT170" s="474"/>
      <c r="BU170" s="392"/>
      <c r="BV170" s="465"/>
      <c r="BW170" s="457"/>
      <c r="BX170" s="464"/>
      <c r="BY170" s="466"/>
      <c r="BZ170" s="465"/>
      <c r="CA170" s="457"/>
      <c r="CB170" s="464"/>
      <c r="CC170" s="466"/>
      <c r="CD170" s="465"/>
      <c r="CE170" s="457"/>
      <c r="CF170" s="464"/>
      <c r="CG170" s="466"/>
      <c r="CH170" s="465"/>
      <c r="CI170" s="457"/>
      <c r="CJ170" s="464"/>
      <c r="CK170" s="466"/>
      <c r="CL170" s="459"/>
      <c r="CM170" s="450"/>
      <c r="CN170" s="468">
        <f t="shared" si="78"/>
        <v>0</v>
      </c>
      <c r="CO170" s="468">
        <f t="shared" si="79"/>
        <v>0</v>
      </c>
      <c r="CP170" s="469">
        <f t="shared" si="80"/>
        <v>0</v>
      </c>
      <c r="CQ170" s="469">
        <f t="shared" si="81"/>
        <v>0</v>
      </c>
      <c r="CR170" s="463"/>
      <c r="CS170" s="457"/>
      <c r="CT170" s="464"/>
      <c r="CU170" s="464"/>
      <c r="CV170" s="465"/>
      <c r="CW170" s="457"/>
      <c r="CX170" s="464"/>
      <c r="CY170" s="466"/>
      <c r="CZ170" s="465"/>
      <c r="DA170" s="457"/>
      <c r="DB170" s="464"/>
      <c r="DC170" s="466"/>
      <c r="DD170" s="465"/>
      <c r="DE170" s="457"/>
      <c r="DF170" s="464"/>
      <c r="DG170" s="466"/>
      <c r="DH170" s="465"/>
      <c r="DI170" s="457"/>
      <c r="DJ170" s="464"/>
      <c r="DK170" s="466"/>
      <c r="DL170" s="465"/>
      <c r="DM170" s="457"/>
      <c r="DN170" s="464"/>
      <c r="DO170" s="466"/>
      <c r="DP170" s="465"/>
      <c r="DQ170" s="457"/>
      <c r="DR170" s="464"/>
      <c r="DS170" s="466"/>
      <c r="DT170" s="465"/>
      <c r="DU170" s="457"/>
      <c r="DV170" s="464"/>
      <c r="DW170" s="466"/>
      <c r="DX170" s="465"/>
      <c r="DY170" s="457"/>
      <c r="DZ170" s="464"/>
      <c r="EA170" s="466"/>
      <c r="EB170" s="465"/>
      <c r="EC170" s="457"/>
      <c r="ED170" s="464"/>
      <c r="EE170" s="466"/>
      <c r="EF170" s="459"/>
      <c r="EG170" s="450"/>
      <c r="EH170" s="460">
        <f t="shared" si="82"/>
        <v>0</v>
      </c>
      <c r="EI170" s="460">
        <f t="shared" si="83"/>
        <v>0</v>
      </c>
      <c r="EJ170" s="458">
        <f t="shared" si="84"/>
        <v>0</v>
      </c>
      <c r="EK170" s="470">
        <f t="shared" si="85"/>
        <v>0</v>
      </c>
      <c r="EL170" s="470">
        <f t="shared" si="86"/>
        <v>0</v>
      </c>
      <c r="EM170" s="449">
        <f t="shared" si="87"/>
        <v>0</v>
      </c>
      <c r="EN170" s="460">
        <f t="shared" si="88"/>
        <v>0</v>
      </c>
      <c r="EO170" s="469">
        <f t="shared" si="89"/>
        <v>0</v>
      </c>
      <c r="EP170" s="471"/>
      <c r="EQ170" s="450"/>
      <c r="ER170" s="471"/>
      <c r="ES170" s="450"/>
      <c r="ET170" s="471"/>
      <c r="EU170" s="450"/>
      <c r="EV170" s="471"/>
      <c r="EW170" s="450"/>
      <c r="EX170" s="471"/>
      <c r="EY170" s="450"/>
      <c r="EZ170" s="471"/>
      <c r="FA170" s="450"/>
      <c r="FB170" s="471"/>
      <c r="FC170" s="450"/>
      <c r="FD170" s="471"/>
      <c r="FE170" s="450"/>
      <c r="FF170" s="471"/>
      <c r="FG170" s="450"/>
      <c r="FH170" s="472"/>
      <c r="FI170" s="450"/>
      <c r="FJ170" s="468">
        <f t="shared" si="90"/>
        <v>0</v>
      </c>
      <c r="FK170" s="469">
        <f t="shared" si="91"/>
        <v>0</v>
      </c>
      <c r="FL170" s="472"/>
      <c r="FM170" s="450"/>
      <c r="FN170" s="460">
        <f t="shared" si="92"/>
        <v>2584</v>
      </c>
      <c r="FO170" s="469">
        <f t="shared" si="93"/>
        <v>2478</v>
      </c>
    </row>
    <row r="171" spans="1:171" x14ac:dyDescent="0.2">
      <c r="A171" s="439" t="s">
        <v>548</v>
      </c>
      <c r="B171" s="440" t="s">
        <v>558</v>
      </c>
      <c r="C171" s="444"/>
      <c r="D171" s="438">
        <v>244446</v>
      </c>
      <c r="E171" s="512">
        <v>12</v>
      </c>
      <c r="F171" s="457">
        <v>1483</v>
      </c>
      <c r="G171" s="450">
        <v>760</v>
      </c>
      <c r="H171" s="457">
        <v>51</v>
      </c>
      <c r="I171" s="450">
        <v>56</v>
      </c>
      <c r="J171" s="457">
        <v>263</v>
      </c>
      <c r="K171" s="450">
        <v>289</v>
      </c>
      <c r="L171" s="458">
        <f t="shared" si="72"/>
        <v>0</v>
      </c>
      <c r="M171" s="449">
        <f t="shared" si="73"/>
        <v>0</v>
      </c>
      <c r="N171" s="459"/>
      <c r="O171" s="459"/>
      <c r="P171" s="459"/>
      <c r="Q171" s="459"/>
      <c r="R171" s="460">
        <f t="shared" si="70"/>
        <v>0</v>
      </c>
      <c r="S171" s="391"/>
      <c r="T171" s="461"/>
      <c r="U171" s="461"/>
      <c r="V171" s="461"/>
      <c r="W171" s="462">
        <f t="shared" si="71"/>
        <v>0</v>
      </c>
      <c r="X171" s="463"/>
      <c r="Y171" s="457"/>
      <c r="Z171" s="464"/>
      <c r="AA171" s="464"/>
      <c r="AB171" s="465"/>
      <c r="AC171" s="457"/>
      <c r="AD171" s="464"/>
      <c r="AE171" s="466"/>
      <c r="AF171" s="465"/>
      <c r="AG171" s="457"/>
      <c r="AH171" s="464"/>
      <c r="AI171" s="466"/>
      <c r="AJ171" s="465"/>
      <c r="AK171" s="457"/>
      <c r="AL171" s="464"/>
      <c r="AM171" s="466"/>
      <c r="AN171" s="465"/>
      <c r="AO171" s="457"/>
      <c r="AP171" s="464"/>
      <c r="AQ171" s="464"/>
      <c r="AR171" s="460">
        <f t="shared" si="74"/>
        <v>0</v>
      </c>
      <c r="AS171" s="467">
        <f t="shared" si="75"/>
        <v>0</v>
      </c>
      <c r="AT171" s="447">
        <f t="shared" si="76"/>
        <v>0</v>
      </c>
      <c r="AU171" s="448">
        <f t="shared" si="77"/>
        <v>0</v>
      </c>
      <c r="AV171" s="457"/>
      <c r="AW171" s="450"/>
      <c r="AX171" s="463"/>
      <c r="AY171" s="457"/>
      <c r="AZ171" s="464"/>
      <c r="BA171" s="464"/>
      <c r="BB171" s="465"/>
      <c r="BC171" s="457"/>
      <c r="BD171" s="464"/>
      <c r="BE171" s="466"/>
      <c r="BF171" s="465"/>
      <c r="BG171" s="457"/>
      <c r="BH171" s="464"/>
      <c r="BI171" s="466"/>
      <c r="BJ171" s="465"/>
      <c r="BK171" s="457"/>
      <c r="BL171" s="464"/>
      <c r="BM171" s="466"/>
      <c r="BN171" s="465"/>
      <c r="BO171" s="457"/>
      <c r="BP171" s="464"/>
      <c r="BQ171" s="466"/>
      <c r="BR171" s="465"/>
      <c r="BS171" s="457"/>
      <c r="BT171" s="474"/>
      <c r="BU171" s="392"/>
      <c r="BV171" s="465"/>
      <c r="BW171" s="457"/>
      <c r="BX171" s="464"/>
      <c r="BY171" s="466"/>
      <c r="BZ171" s="465"/>
      <c r="CA171" s="457"/>
      <c r="CB171" s="464"/>
      <c r="CC171" s="466"/>
      <c r="CD171" s="465"/>
      <c r="CE171" s="457"/>
      <c r="CF171" s="464"/>
      <c r="CG171" s="466"/>
      <c r="CH171" s="465"/>
      <c r="CI171" s="457"/>
      <c r="CJ171" s="464"/>
      <c r="CK171" s="466"/>
      <c r="CL171" s="459"/>
      <c r="CM171" s="450"/>
      <c r="CN171" s="468">
        <f t="shared" si="78"/>
        <v>0</v>
      </c>
      <c r="CO171" s="468">
        <f t="shared" si="79"/>
        <v>0</v>
      </c>
      <c r="CP171" s="469">
        <f t="shared" si="80"/>
        <v>0</v>
      </c>
      <c r="CQ171" s="469">
        <f t="shared" si="81"/>
        <v>0</v>
      </c>
      <c r="CR171" s="463"/>
      <c r="CS171" s="457"/>
      <c r="CT171" s="464"/>
      <c r="CU171" s="464"/>
      <c r="CV171" s="465"/>
      <c r="CW171" s="457"/>
      <c r="CX171" s="464"/>
      <c r="CY171" s="466"/>
      <c r="CZ171" s="465"/>
      <c r="DA171" s="457"/>
      <c r="DB171" s="464"/>
      <c r="DC171" s="466"/>
      <c r="DD171" s="465"/>
      <c r="DE171" s="457"/>
      <c r="DF171" s="464"/>
      <c r="DG171" s="466"/>
      <c r="DH171" s="465"/>
      <c r="DI171" s="457"/>
      <c r="DJ171" s="464"/>
      <c r="DK171" s="466"/>
      <c r="DL171" s="465"/>
      <c r="DM171" s="457"/>
      <c r="DN171" s="464"/>
      <c r="DO171" s="466"/>
      <c r="DP171" s="465"/>
      <c r="DQ171" s="457"/>
      <c r="DR171" s="464"/>
      <c r="DS171" s="466"/>
      <c r="DT171" s="465"/>
      <c r="DU171" s="457"/>
      <c r="DV171" s="464"/>
      <c r="DW171" s="466"/>
      <c r="DX171" s="465"/>
      <c r="DY171" s="457"/>
      <c r="DZ171" s="464"/>
      <c r="EA171" s="466"/>
      <c r="EB171" s="465"/>
      <c r="EC171" s="457"/>
      <c r="ED171" s="464"/>
      <c r="EE171" s="466"/>
      <c r="EF171" s="459"/>
      <c r="EG171" s="450"/>
      <c r="EH171" s="460">
        <f t="shared" si="82"/>
        <v>0</v>
      </c>
      <c r="EI171" s="460">
        <f t="shared" si="83"/>
        <v>0</v>
      </c>
      <c r="EJ171" s="458">
        <f t="shared" si="84"/>
        <v>0</v>
      </c>
      <c r="EK171" s="470">
        <f t="shared" si="85"/>
        <v>0</v>
      </c>
      <c r="EL171" s="470">
        <f t="shared" si="86"/>
        <v>0</v>
      </c>
      <c r="EM171" s="449">
        <f t="shared" si="87"/>
        <v>0</v>
      </c>
      <c r="EN171" s="460">
        <f t="shared" si="88"/>
        <v>0</v>
      </c>
      <c r="EO171" s="469">
        <f t="shared" si="89"/>
        <v>0</v>
      </c>
      <c r="EP171" s="471"/>
      <c r="EQ171" s="450"/>
      <c r="ER171" s="471"/>
      <c r="ES171" s="450"/>
      <c r="ET171" s="471"/>
      <c r="EU171" s="450"/>
      <c r="EV171" s="471"/>
      <c r="EW171" s="450"/>
      <c r="EX171" s="471"/>
      <c r="EY171" s="450"/>
      <c r="EZ171" s="471"/>
      <c r="FA171" s="450"/>
      <c r="FB171" s="471"/>
      <c r="FC171" s="450"/>
      <c r="FD171" s="471"/>
      <c r="FE171" s="450"/>
      <c r="FF171" s="471"/>
      <c r="FG171" s="450"/>
      <c r="FH171" s="472"/>
      <c r="FI171" s="450"/>
      <c r="FJ171" s="468">
        <f t="shared" si="90"/>
        <v>0</v>
      </c>
      <c r="FK171" s="469">
        <f t="shared" si="91"/>
        <v>0</v>
      </c>
      <c r="FL171" s="472"/>
      <c r="FM171" s="450"/>
      <c r="FN171" s="460">
        <f t="shared" si="92"/>
        <v>1797</v>
      </c>
      <c r="FO171" s="469">
        <f t="shared" si="93"/>
        <v>1105</v>
      </c>
    </row>
    <row r="172" spans="1:171" x14ac:dyDescent="0.2">
      <c r="A172" s="439" t="s">
        <v>548</v>
      </c>
      <c r="B172" s="436" t="s">
        <v>559</v>
      </c>
      <c r="C172" s="437"/>
      <c r="D172" s="438">
        <v>140012</v>
      </c>
      <c r="E172" s="512">
        <v>12</v>
      </c>
      <c r="F172" s="457">
        <v>2404</v>
      </c>
      <c r="G172" s="450">
        <v>2500</v>
      </c>
      <c r="H172" s="457">
        <v>73</v>
      </c>
      <c r="I172" s="450">
        <v>49</v>
      </c>
      <c r="J172" s="457">
        <v>668</v>
      </c>
      <c r="K172" s="450">
        <v>574</v>
      </c>
      <c r="L172" s="458">
        <f t="shared" si="72"/>
        <v>0</v>
      </c>
      <c r="M172" s="449">
        <f t="shared" si="73"/>
        <v>0</v>
      </c>
      <c r="N172" s="459"/>
      <c r="O172" s="459"/>
      <c r="P172" s="459"/>
      <c r="Q172" s="459"/>
      <c r="R172" s="460">
        <f t="shared" si="70"/>
        <v>0</v>
      </c>
      <c r="S172" s="391"/>
      <c r="T172" s="461"/>
      <c r="U172" s="461"/>
      <c r="V172" s="461"/>
      <c r="W172" s="462">
        <f t="shared" si="71"/>
        <v>0</v>
      </c>
      <c r="X172" s="463"/>
      <c r="Y172" s="457"/>
      <c r="Z172" s="464"/>
      <c r="AA172" s="464"/>
      <c r="AB172" s="465"/>
      <c r="AC172" s="457"/>
      <c r="AD172" s="464"/>
      <c r="AE172" s="466"/>
      <c r="AF172" s="465"/>
      <c r="AG172" s="457"/>
      <c r="AH172" s="464"/>
      <c r="AI172" s="466"/>
      <c r="AJ172" s="465"/>
      <c r="AK172" s="457"/>
      <c r="AL172" s="464"/>
      <c r="AM172" s="466"/>
      <c r="AN172" s="465"/>
      <c r="AO172" s="457"/>
      <c r="AP172" s="464"/>
      <c r="AQ172" s="464"/>
      <c r="AR172" s="460">
        <f t="shared" si="74"/>
        <v>0</v>
      </c>
      <c r="AS172" s="467">
        <f t="shared" si="75"/>
        <v>0</v>
      </c>
      <c r="AT172" s="447">
        <f t="shared" si="76"/>
        <v>0</v>
      </c>
      <c r="AU172" s="448">
        <f t="shared" si="77"/>
        <v>0</v>
      </c>
      <c r="AV172" s="457"/>
      <c r="AW172" s="450"/>
      <c r="AX172" s="463"/>
      <c r="AY172" s="457"/>
      <c r="AZ172" s="464"/>
      <c r="BA172" s="464"/>
      <c r="BB172" s="465"/>
      <c r="BC172" s="457"/>
      <c r="BD172" s="464"/>
      <c r="BE172" s="466"/>
      <c r="BF172" s="465"/>
      <c r="BG172" s="457"/>
      <c r="BH172" s="464"/>
      <c r="BI172" s="466"/>
      <c r="BJ172" s="465"/>
      <c r="BK172" s="457"/>
      <c r="BL172" s="464"/>
      <c r="BM172" s="466"/>
      <c r="BN172" s="465"/>
      <c r="BO172" s="457"/>
      <c r="BP172" s="464"/>
      <c r="BQ172" s="466"/>
      <c r="BR172" s="465"/>
      <c r="BS172" s="457"/>
      <c r="BT172" s="474"/>
      <c r="BU172" s="392"/>
      <c r="BV172" s="465"/>
      <c r="BW172" s="457"/>
      <c r="BX172" s="464"/>
      <c r="BY172" s="466"/>
      <c r="BZ172" s="465"/>
      <c r="CA172" s="457"/>
      <c r="CB172" s="464"/>
      <c r="CC172" s="466"/>
      <c r="CD172" s="465"/>
      <c r="CE172" s="457"/>
      <c r="CF172" s="464"/>
      <c r="CG172" s="466"/>
      <c r="CH172" s="465"/>
      <c r="CI172" s="457"/>
      <c r="CJ172" s="464"/>
      <c r="CK172" s="466"/>
      <c r="CL172" s="459"/>
      <c r="CM172" s="450"/>
      <c r="CN172" s="468">
        <f t="shared" si="78"/>
        <v>0</v>
      </c>
      <c r="CO172" s="468">
        <f t="shared" si="79"/>
        <v>0</v>
      </c>
      <c r="CP172" s="469">
        <f t="shared" si="80"/>
        <v>0</v>
      </c>
      <c r="CQ172" s="469">
        <f t="shared" si="81"/>
        <v>0</v>
      </c>
      <c r="CR172" s="463"/>
      <c r="CS172" s="457"/>
      <c r="CT172" s="464"/>
      <c r="CU172" s="464"/>
      <c r="CV172" s="465"/>
      <c r="CW172" s="457"/>
      <c r="CX172" s="464"/>
      <c r="CY172" s="466"/>
      <c r="CZ172" s="465"/>
      <c r="DA172" s="457"/>
      <c r="DB172" s="464"/>
      <c r="DC172" s="466"/>
      <c r="DD172" s="465"/>
      <c r="DE172" s="457"/>
      <c r="DF172" s="464"/>
      <c r="DG172" s="466"/>
      <c r="DH172" s="465"/>
      <c r="DI172" s="457"/>
      <c r="DJ172" s="464"/>
      <c r="DK172" s="466"/>
      <c r="DL172" s="465"/>
      <c r="DM172" s="457"/>
      <c r="DN172" s="464"/>
      <c r="DO172" s="466"/>
      <c r="DP172" s="465"/>
      <c r="DQ172" s="457"/>
      <c r="DR172" s="464"/>
      <c r="DS172" s="466"/>
      <c r="DT172" s="465"/>
      <c r="DU172" s="457"/>
      <c r="DV172" s="464"/>
      <c r="DW172" s="466"/>
      <c r="DX172" s="465"/>
      <c r="DY172" s="457"/>
      <c r="DZ172" s="464"/>
      <c r="EA172" s="466"/>
      <c r="EB172" s="465"/>
      <c r="EC172" s="457"/>
      <c r="ED172" s="464"/>
      <c r="EE172" s="466"/>
      <c r="EF172" s="459"/>
      <c r="EG172" s="450"/>
      <c r="EH172" s="460">
        <f t="shared" si="82"/>
        <v>0</v>
      </c>
      <c r="EI172" s="460">
        <f t="shared" si="83"/>
        <v>0</v>
      </c>
      <c r="EJ172" s="458">
        <f t="shared" si="84"/>
        <v>0</v>
      </c>
      <c r="EK172" s="470">
        <f t="shared" si="85"/>
        <v>0</v>
      </c>
      <c r="EL172" s="470">
        <f t="shared" si="86"/>
        <v>0</v>
      </c>
      <c r="EM172" s="449">
        <f t="shared" si="87"/>
        <v>0</v>
      </c>
      <c r="EN172" s="460">
        <f t="shared" si="88"/>
        <v>0</v>
      </c>
      <c r="EO172" s="469">
        <f t="shared" si="89"/>
        <v>0</v>
      </c>
      <c r="EP172" s="471"/>
      <c r="EQ172" s="450"/>
      <c r="ER172" s="471"/>
      <c r="ES172" s="450"/>
      <c r="ET172" s="471"/>
      <c r="EU172" s="450"/>
      <c r="EV172" s="471"/>
      <c r="EW172" s="450"/>
      <c r="EX172" s="471"/>
      <c r="EY172" s="450"/>
      <c r="EZ172" s="471"/>
      <c r="FA172" s="450"/>
      <c r="FB172" s="471"/>
      <c r="FC172" s="450"/>
      <c r="FD172" s="471"/>
      <c r="FE172" s="450"/>
      <c r="FF172" s="471"/>
      <c r="FG172" s="450"/>
      <c r="FH172" s="472"/>
      <c r="FI172" s="450"/>
      <c r="FJ172" s="468">
        <f t="shared" si="90"/>
        <v>0</v>
      </c>
      <c r="FK172" s="469">
        <f t="shared" si="91"/>
        <v>0</v>
      </c>
      <c r="FL172" s="472"/>
      <c r="FM172" s="450"/>
      <c r="FN172" s="460">
        <f t="shared" si="92"/>
        <v>3145</v>
      </c>
      <c r="FO172" s="469">
        <f t="shared" si="93"/>
        <v>3123</v>
      </c>
    </row>
    <row r="173" spans="1:171" x14ac:dyDescent="0.2">
      <c r="A173" s="439" t="s">
        <v>548</v>
      </c>
      <c r="B173" s="436" t="s">
        <v>560</v>
      </c>
      <c r="C173" s="437"/>
      <c r="D173" s="438">
        <v>140243</v>
      </c>
      <c r="E173" s="512">
        <v>12</v>
      </c>
      <c r="F173" s="457">
        <v>1676</v>
      </c>
      <c r="G173" s="450">
        <v>1232</v>
      </c>
      <c r="H173" s="457">
        <v>125</v>
      </c>
      <c r="I173" s="450">
        <v>91</v>
      </c>
      <c r="J173" s="457">
        <v>225</v>
      </c>
      <c r="K173" s="450">
        <v>182</v>
      </c>
      <c r="L173" s="458">
        <f t="shared" si="72"/>
        <v>0</v>
      </c>
      <c r="M173" s="449">
        <f t="shared" si="73"/>
        <v>0</v>
      </c>
      <c r="N173" s="459"/>
      <c r="O173" s="459"/>
      <c r="P173" s="459"/>
      <c r="Q173" s="459"/>
      <c r="R173" s="460">
        <f t="shared" si="70"/>
        <v>0</v>
      </c>
      <c r="S173" s="391"/>
      <c r="T173" s="461"/>
      <c r="U173" s="461"/>
      <c r="V173" s="461"/>
      <c r="W173" s="462">
        <f t="shared" si="71"/>
        <v>0</v>
      </c>
      <c r="X173" s="463"/>
      <c r="Y173" s="457"/>
      <c r="Z173" s="464"/>
      <c r="AA173" s="464"/>
      <c r="AB173" s="465"/>
      <c r="AC173" s="457"/>
      <c r="AD173" s="464"/>
      <c r="AE173" s="466"/>
      <c r="AF173" s="465"/>
      <c r="AG173" s="457"/>
      <c r="AH173" s="464"/>
      <c r="AI173" s="466"/>
      <c r="AJ173" s="465"/>
      <c r="AK173" s="457"/>
      <c r="AL173" s="464"/>
      <c r="AM173" s="466"/>
      <c r="AN173" s="465"/>
      <c r="AO173" s="457"/>
      <c r="AP173" s="464"/>
      <c r="AQ173" s="464"/>
      <c r="AR173" s="460">
        <f t="shared" si="74"/>
        <v>0</v>
      </c>
      <c r="AS173" s="467">
        <f t="shared" si="75"/>
        <v>0</v>
      </c>
      <c r="AT173" s="447">
        <f t="shared" si="76"/>
        <v>0</v>
      </c>
      <c r="AU173" s="448">
        <f t="shared" si="77"/>
        <v>0</v>
      </c>
      <c r="AV173" s="457"/>
      <c r="AW173" s="450"/>
      <c r="AX173" s="463"/>
      <c r="AY173" s="457"/>
      <c r="AZ173" s="464"/>
      <c r="BA173" s="464"/>
      <c r="BB173" s="465"/>
      <c r="BC173" s="457"/>
      <c r="BD173" s="464"/>
      <c r="BE173" s="466"/>
      <c r="BF173" s="465"/>
      <c r="BG173" s="457"/>
      <c r="BH173" s="464"/>
      <c r="BI173" s="466"/>
      <c r="BJ173" s="465"/>
      <c r="BK173" s="457"/>
      <c r="BL173" s="464"/>
      <c r="BM173" s="466"/>
      <c r="BN173" s="465"/>
      <c r="BO173" s="457"/>
      <c r="BP173" s="464"/>
      <c r="BQ173" s="466"/>
      <c r="BR173" s="465"/>
      <c r="BS173" s="457"/>
      <c r="BT173" s="474"/>
      <c r="BU173" s="392"/>
      <c r="BV173" s="465"/>
      <c r="BW173" s="457"/>
      <c r="BX173" s="464"/>
      <c r="BY173" s="466"/>
      <c r="BZ173" s="465"/>
      <c r="CA173" s="457"/>
      <c r="CB173" s="464"/>
      <c r="CC173" s="466"/>
      <c r="CD173" s="465"/>
      <c r="CE173" s="457"/>
      <c r="CF173" s="464"/>
      <c r="CG173" s="466"/>
      <c r="CH173" s="465"/>
      <c r="CI173" s="457"/>
      <c r="CJ173" s="464"/>
      <c r="CK173" s="466"/>
      <c r="CL173" s="459"/>
      <c r="CM173" s="450"/>
      <c r="CN173" s="468">
        <f t="shared" si="78"/>
        <v>0</v>
      </c>
      <c r="CO173" s="468">
        <f t="shared" si="79"/>
        <v>0</v>
      </c>
      <c r="CP173" s="469">
        <f t="shared" si="80"/>
        <v>0</v>
      </c>
      <c r="CQ173" s="469">
        <f t="shared" si="81"/>
        <v>0</v>
      </c>
      <c r="CR173" s="463"/>
      <c r="CS173" s="457"/>
      <c r="CT173" s="464"/>
      <c r="CU173" s="464"/>
      <c r="CV173" s="465"/>
      <c r="CW173" s="457"/>
      <c r="CX173" s="464"/>
      <c r="CY173" s="466"/>
      <c r="CZ173" s="465"/>
      <c r="DA173" s="457"/>
      <c r="DB173" s="464"/>
      <c r="DC173" s="466"/>
      <c r="DD173" s="465"/>
      <c r="DE173" s="457"/>
      <c r="DF173" s="464"/>
      <c r="DG173" s="466"/>
      <c r="DH173" s="465"/>
      <c r="DI173" s="457"/>
      <c r="DJ173" s="464"/>
      <c r="DK173" s="466"/>
      <c r="DL173" s="465"/>
      <c r="DM173" s="457"/>
      <c r="DN173" s="464"/>
      <c r="DO173" s="466"/>
      <c r="DP173" s="465"/>
      <c r="DQ173" s="457"/>
      <c r="DR173" s="464"/>
      <c r="DS173" s="466"/>
      <c r="DT173" s="465"/>
      <c r="DU173" s="457"/>
      <c r="DV173" s="464"/>
      <c r="DW173" s="466"/>
      <c r="DX173" s="465"/>
      <c r="DY173" s="457"/>
      <c r="DZ173" s="464"/>
      <c r="EA173" s="466"/>
      <c r="EB173" s="465"/>
      <c r="EC173" s="457"/>
      <c r="ED173" s="464"/>
      <c r="EE173" s="466"/>
      <c r="EF173" s="459"/>
      <c r="EG173" s="450"/>
      <c r="EH173" s="460">
        <f t="shared" si="82"/>
        <v>0</v>
      </c>
      <c r="EI173" s="460">
        <f t="shared" si="83"/>
        <v>0</v>
      </c>
      <c r="EJ173" s="458">
        <f t="shared" si="84"/>
        <v>0</v>
      </c>
      <c r="EK173" s="470">
        <f t="shared" si="85"/>
        <v>0</v>
      </c>
      <c r="EL173" s="470">
        <f t="shared" si="86"/>
        <v>0</v>
      </c>
      <c r="EM173" s="449">
        <f t="shared" si="87"/>
        <v>0</v>
      </c>
      <c r="EN173" s="460">
        <f t="shared" si="88"/>
        <v>0</v>
      </c>
      <c r="EO173" s="469">
        <f t="shared" si="89"/>
        <v>0</v>
      </c>
      <c r="EP173" s="471"/>
      <c r="EQ173" s="450"/>
      <c r="ER173" s="471"/>
      <c r="ES173" s="450"/>
      <c r="ET173" s="471"/>
      <c r="EU173" s="450"/>
      <c r="EV173" s="471"/>
      <c r="EW173" s="450"/>
      <c r="EX173" s="471"/>
      <c r="EY173" s="450"/>
      <c r="EZ173" s="471"/>
      <c r="FA173" s="450"/>
      <c r="FB173" s="471"/>
      <c r="FC173" s="450"/>
      <c r="FD173" s="471"/>
      <c r="FE173" s="450"/>
      <c r="FF173" s="471"/>
      <c r="FG173" s="450"/>
      <c r="FH173" s="472"/>
      <c r="FI173" s="450"/>
      <c r="FJ173" s="468">
        <f t="shared" si="90"/>
        <v>0</v>
      </c>
      <c r="FK173" s="469">
        <f t="shared" si="91"/>
        <v>0</v>
      </c>
      <c r="FL173" s="472"/>
      <c r="FM173" s="450"/>
      <c r="FN173" s="460">
        <f t="shared" si="92"/>
        <v>2026</v>
      </c>
      <c r="FO173" s="469">
        <f t="shared" si="93"/>
        <v>1505</v>
      </c>
    </row>
    <row r="174" spans="1:171" x14ac:dyDescent="0.2">
      <c r="A174" s="439" t="s">
        <v>548</v>
      </c>
      <c r="B174" s="436" t="s">
        <v>561</v>
      </c>
      <c r="C174" s="437"/>
      <c r="D174" s="438">
        <v>140085</v>
      </c>
      <c r="E174" s="512">
        <v>12</v>
      </c>
      <c r="F174" s="457">
        <v>2475</v>
      </c>
      <c r="G174" s="450">
        <v>1628</v>
      </c>
      <c r="H174" s="457">
        <v>157</v>
      </c>
      <c r="I174" s="450">
        <v>138</v>
      </c>
      <c r="J174" s="457">
        <v>127</v>
      </c>
      <c r="K174" s="450">
        <v>128</v>
      </c>
      <c r="L174" s="458">
        <f t="shared" si="72"/>
        <v>0</v>
      </c>
      <c r="M174" s="449">
        <f t="shared" si="73"/>
        <v>0</v>
      </c>
      <c r="N174" s="459"/>
      <c r="O174" s="459"/>
      <c r="P174" s="459"/>
      <c r="Q174" s="459"/>
      <c r="R174" s="460">
        <f t="shared" si="70"/>
        <v>0</v>
      </c>
      <c r="S174" s="391"/>
      <c r="T174" s="461"/>
      <c r="U174" s="461"/>
      <c r="V174" s="461"/>
      <c r="W174" s="462">
        <f t="shared" si="71"/>
        <v>0</v>
      </c>
      <c r="X174" s="463"/>
      <c r="Y174" s="457"/>
      <c r="Z174" s="464"/>
      <c r="AA174" s="464"/>
      <c r="AB174" s="465"/>
      <c r="AC174" s="457"/>
      <c r="AD174" s="464"/>
      <c r="AE174" s="466"/>
      <c r="AF174" s="465"/>
      <c r="AG174" s="457"/>
      <c r="AH174" s="464"/>
      <c r="AI174" s="466"/>
      <c r="AJ174" s="465"/>
      <c r="AK174" s="457"/>
      <c r="AL174" s="464"/>
      <c r="AM174" s="466"/>
      <c r="AN174" s="465"/>
      <c r="AO174" s="457"/>
      <c r="AP174" s="464"/>
      <c r="AQ174" s="464"/>
      <c r="AR174" s="460">
        <f t="shared" si="74"/>
        <v>0</v>
      </c>
      <c r="AS174" s="467">
        <f t="shared" si="75"/>
        <v>0</v>
      </c>
      <c r="AT174" s="447">
        <f t="shared" si="76"/>
        <v>0</v>
      </c>
      <c r="AU174" s="448">
        <f t="shared" si="77"/>
        <v>0</v>
      </c>
      <c r="AV174" s="457"/>
      <c r="AW174" s="450"/>
      <c r="AX174" s="463"/>
      <c r="AY174" s="457"/>
      <c r="AZ174" s="464"/>
      <c r="BA174" s="464"/>
      <c r="BB174" s="465"/>
      <c r="BC174" s="457"/>
      <c r="BD174" s="464"/>
      <c r="BE174" s="466"/>
      <c r="BF174" s="465"/>
      <c r="BG174" s="457"/>
      <c r="BH174" s="464"/>
      <c r="BI174" s="466"/>
      <c r="BJ174" s="465"/>
      <c r="BK174" s="457"/>
      <c r="BL174" s="464"/>
      <c r="BM174" s="466"/>
      <c r="BN174" s="465"/>
      <c r="BO174" s="457"/>
      <c r="BP174" s="464"/>
      <c r="BQ174" s="466"/>
      <c r="BR174" s="465"/>
      <c r="BS174" s="457"/>
      <c r="BT174" s="474"/>
      <c r="BU174" s="392"/>
      <c r="BV174" s="465"/>
      <c r="BW174" s="457"/>
      <c r="BX174" s="464"/>
      <c r="BY174" s="466"/>
      <c r="BZ174" s="465"/>
      <c r="CA174" s="457"/>
      <c r="CB174" s="464"/>
      <c r="CC174" s="466"/>
      <c r="CD174" s="465"/>
      <c r="CE174" s="457"/>
      <c r="CF174" s="464"/>
      <c r="CG174" s="466"/>
      <c r="CH174" s="465"/>
      <c r="CI174" s="457"/>
      <c r="CJ174" s="464"/>
      <c r="CK174" s="466"/>
      <c r="CL174" s="459"/>
      <c r="CM174" s="450"/>
      <c r="CN174" s="468">
        <f t="shared" si="78"/>
        <v>0</v>
      </c>
      <c r="CO174" s="468">
        <f t="shared" si="79"/>
        <v>0</v>
      </c>
      <c r="CP174" s="469">
        <f t="shared" si="80"/>
        <v>0</v>
      </c>
      <c r="CQ174" s="469">
        <f t="shared" si="81"/>
        <v>0</v>
      </c>
      <c r="CR174" s="463"/>
      <c r="CS174" s="457"/>
      <c r="CT174" s="464"/>
      <c r="CU174" s="464"/>
      <c r="CV174" s="465"/>
      <c r="CW174" s="457"/>
      <c r="CX174" s="464"/>
      <c r="CY174" s="466"/>
      <c r="CZ174" s="465"/>
      <c r="DA174" s="457"/>
      <c r="DB174" s="464"/>
      <c r="DC174" s="466"/>
      <c r="DD174" s="465"/>
      <c r="DE174" s="457"/>
      <c r="DF174" s="464"/>
      <c r="DG174" s="466"/>
      <c r="DH174" s="465"/>
      <c r="DI174" s="457"/>
      <c r="DJ174" s="464"/>
      <c r="DK174" s="466"/>
      <c r="DL174" s="465"/>
      <c r="DM174" s="457"/>
      <c r="DN174" s="464"/>
      <c r="DO174" s="466"/>
      <c r="DP174" s="465"/>
      <c r="DQ174" s="457"/>
      <c r="DR174" s="464"/>
      <c r="DS174" s="466"/>
      <c r="DT174" s="465"/>
      <c r="DU174" s="457"/>
      <c r="DV174" s="464"/>
      <c r="DW174" s="466"/>
      <c r="DX174" s="465"/>
      <c r="DY174" s="457"/>
      <c r="DZ174" s="464"/>
      <c r="EA174" s="466"/>
      <c r="EB174" s="465"/>
      <c r="EC174" s="457"/>
      <c r="ED174" s="464"/>
      <c r="EE174" s="466"/>
      <c r="EF174" s="459"/>
      <c r="EG174" s="450"/>
      <c r="EH174" s="460">
        <f t="shared" si="82"/>
        <v>0</v>
      </c>
      <c r="EI174" s="460">
        <f t="shared" si="83"/>
        <v>0</v>
      </c>
      <c r="EJ174" s="458">
        <f t="shared" si="84"/>
        <v>0</v>
      </c>
      <c r="EK174" s="470">
        <f t="shared" si="85"/>
        <v>0</v>
      </c>
      <c r="EL174" s="470">
        <f t="shared" si="86"/>
        <v>0</v>
      </c>
      <c r="EM174" s="449">
        <f t="shared" si="87"/>
        <v>0</v>
      </c>
      <c r="EN174" s="460">
        <f t="shared" si="88"/>
        <v>0</v>
      </c>
      <c r="EO174" s="469">
        <f t="shared" si="89"/>
        <v>0</v>
      </c>
      <c r="EP174" s="471"/>
      <c r="EQ174" s="450"/>
      <c r="ER174" s="471"/>
      <c r="ES174" s="450"/>
      <c r="ET174" s="471"/>
      <c r="EU174" s="450"/>
      <c r="EV174" s="471"/>
      <c r="EW174" s="450"/>
      <c r="EX174" s="471"/>
      <c r="EY174" s="450"/>
      <c r="EZ174" s="471"/>
      <c r="FA174" s="450"/>
      <c r="FB174" s="471"/>
      <c r="FC174" s="450"/>
      <c r="FD174" s="471"/>
      <c r="FE174" s="450"/>
      <c r="FF174" s="471"/>
      <c r="FG174" s="450"/>
      <c r="FH174" s="472"/>
      <c r="FI174" s="450"/>
      <c r="FJ174" s="468">
        <f t="shared" si="90"/>
        <v>0</v>
      </c>
      <c r="FK174" s="469">
        <f t="shared" si="91"/>
        <v>0</v>
      </c>
      <c r="FL174" s="472"/>
      <c r="FM174" s="450"/>
      <c r="FN174" s="460">
        <f t="shared" si="92"/>
        <v>2759</v>
      </c>
      <c r="FO174" s="469">
        <f t="shared" si="93"/>
        <v>1894</v>
      </c>
    </row>
    <row r="175" spans="1:171" x14ac:dyDescent="0.2">
      <c r="A175" s="439" t="s">
        <v>548</v>
      </c>
      <c r="B175" s="436" t="s">
        <v>562</v>
      </c>
      <c r="C175" s="437"/>
      <c r="D175" s="438">
        <v>140599</v>
      </c>
      <c r="E175" s="512">
        <v>12</v>
      </c>
      <c r="F175" s="457">
        <v>1587</v>
      </c>
      <c r="G175" s="450">
        <v>837</v>
      </c>
      <c r="H175" s="457">
        <v>112</v>
      </c>
      <c r="I175" s="450">
        <v>53</v>
      </c>
      <c r="J175" s="457">
        <v>44</v>
      </c>
      <c r="K175" s="450">
        <v>45</v>
      </c>
      <c r="L175" s="458">
        <f t="shared" si="72"/>
        <v>0</v>
      </c>
      <c r="M175" s="449">
        <f t="shared" si="73"/>
        <v>0</v>
      </c>
      <c r="N175" s="459"/>
      <c r="O175" s="459"/>
      <c r="P175" s="459"/>
      <c r="Q175" s="459"/>
      <c r="R175" s="460">
        <f t="shared" si="70"/>
        <v>0</v>
      </c>
      <c r="S175" s="391"/>
      <c r="T175" s="461"/>
      <c r="U175" s="461"/>
      <c r="V175" s="461"/>
      <c r="W175" s="462">
        <f t="shared" si="71"/>
        <v>0</v>
      </c>
      <c r="X175" s="463"/>
      <c r="Y175" s="457"/>
      <c r="Z175" s="464"/>
      <c r="AA175" s="464"/>
      <c r="AB175" s="465"/>
      <c r="AC175" s="457"/>
      <c r="AD175" s="464"/>
      <c r="AE175" s="466"/>
      <c r="AF175" s="465"/>
      <c r="AG175" s="457"/>
      <c r="AH175" s="464"/>
      <c r="AI175" s="466"/>
      <c r="AJ175" s="465"/>
      <c r="AK175" s="457"/>
      <c r="AL175" s="464"/>
      <c r="AM175" s="466"/>
      <c r="AN175" s="465"/>
      <c r="AO175" s="457"/>
      <c r="AP175" s="464"/>
      <c r="AQ175" s="464"/>
      <c r="AR175" s="460">
        <f t="shared" si="74"/>
        <v>0</v>
      </c>
      <c r="AS175" s="467">
        <f t="shared" si="75"/>
        <v>0</v>
      </c>
      <c r="AT175" s="447">
        <f t="shared" si="76"/>
        <v>0</v>
      </c>
      <c r="AU175" s="448">
        <f t="shared" si="77"/>
        <v>0</v>
      </c>
      <c r="AV175" s="457"/>
      <c r="AW175" s="450"/>
      <c r="AX175" s="463"/>
      <c r="AY175" s="457"/>
      <c r="AZ175" s="464"/>
      <c r="BA175" s="464"/>
      <c r="BB175" s="465"/>
      <c r="BC175" s="457"/>
      <c r="BD175" s="464"/>
      <c r="BE175" s="466"/>
      <c r="BF175" s="465"/>
      <c r="BG175" s="457"/>
      <c r="BH175" s="464"/>
      <c r="BI175" s="466"/>
      <c r="BJ175" s="465"/>
      <c r="BK175" s="457"/>
      <c r="BL175" s="464"/>
      <c r="BM175" s="466"/>
      <c r="BN175" s="465"/>
      <c r="BO175" s="457"/>
      <c r="BP175" s="464"/>
      <c r="BQ175" s="466"/>
      <c r="BR175" s="465"/>
      <c r="BS175" s="457"/>
      <c r="BT175" s="474"/>
      <c r="BU175" s="392"/>
      <c r="BV175" s="465"/>
      <c r="BW175" s="457"/>
      <c r="BX175" s="464"/>
      <c r="BY175" s="466"/>
      <c r="BZ175" s="465"/>
      <c r="CA175" s="457"/>
      <c r="CB175" s="464"/>
      <c r="CC175" s="466"/>
      <c r="CD175" s="465"/>
      <c r="CE175" s="457"/>
      <c r="CF175" s="464"/>
      <c r="CG175" s="466"/>
      <c r="CH175" s="465"/>
      <c r="CI175" s="457"/>
      <c r="CJ175" s="464"/>
      <c r="CK175" s="466"/>
      <c r="CL175" s="459"/>
      <c r="CM175" s="450"/>
      <c r="CN175" s="468">
        <f t="shared" si="78"/>
        <v>0</v>
      </c>
      <c r="CO175" s="468">
        <f t="shared" si="79"/>
        <v>0</v>
      </c>
      <c r="CP175" s="469">
        <f t="shared" si="80"/>
        <v>0</v>
      </c>
      <c r="CQ175" s="469">
        <f t="shared" si="81"/>
        <v>0</v>
      </c>
      <c r="CR175" s="463"/>
      <c r="CS175" s="457"/>
      <c r="CT175" s="464"/>
      <c r="CU175" s="464"/>
      <c r="CV175" s="465"/>
      <c r="CW175" s="457"/>
      <c r="CX175" s="464"/>
      <c r="CY175" s="466"/>
      <c r="CZ175" s="465"/>
      <c r="DA175" s="457"/>
      <c r="DB175" s="464"/>
      <c r="DC175" s="466"/>
      <c r="DD175" s="465"/>
      <c r="DE175" s="457"/>
      <c r="DF175" s="464"/>
      <c r="DG175" s="466"/>
      <c r="DH175" s="465"/>
      <c r="DI175" s="457"/>
      <c r="DJ175" s="464"/>
      <c r="DK175" s="466"/>
      <c r="DL175" s="465"/>
      <c r="DM175" s="457"/>
      <c r="DN175" s="464"/>
      <c r="DO175" s="466"/>
      <c r="DP175" s="465"/>
      <c r="DQ175" s="457"/>
      <c r="DR175" s="464"/>
      <c r="DS175" s="466"/>
      <c r="DT175" s="465"/>
      <c r="DU175" s="457"/>
      <c r="DV175" s="464"/>
      <c r="DW175" s="466"/>
      <c r="DX175" s="465"/>
      <c r="DY175" s="457"/>
      <c r="DZ175" s="464"/>
      <c r="EA175" s="466"/>
      <c r="EB175" s="465"/>
      <c r="EC175" s="457"/>
      <c r="ED175" s="464"/>
      <c r="EE175" s="466"/>
      <c r="EF175" s="459"/>
      <c r="EG175" s="450"/>
      <c r="EH175" s="460">
        <f t="shared" si="82"/>
        <v>0</v>
      </c>
      <c r="EI175" s="460">
        <f t="shared" si="83"/>
        <v>0</v>
      </c>
      <c r="EJ175" s="458">
        <f t="shared" si="84"/>
        <v>0</v>
      </c>
      <c r="EK175" s="470">
        <f t="shared" si="85"/>
        <v>0</v>
      </c>
      <c r="EL175" s="470">
        <f t="shared" si="86"/>
        <v>0</v>
      </c>
      <c r="EM175" s="449">
        <f t="shared" si="87"/>
        <v>0</v>
      </c>
      <c r="EN175" s="460">
        <f t="shared" si="88"/>
        <v>0</v>
      </c>
      <c r="EO175" s="469">
        <f t="shared" si="89"/>
        <v>0</v>
      </c>
      <c r="EP175" s="471"/>
      <c r="EQ175" s="450"/>
      <c r="ER175" s="471"/>
      <c r="ES175" s="450"/>
      <c r="ET175" s="471"/>
      <c r="EU175" s="450"/>
      <c r="EV175" s="471"/>
      <c r="EW175" s="450"/>
      <c r="EX175" s="471"/>
      <c r="EY175" s="450"/>
      <c r="EZ175" s="471"/>
      <c r="FA175" s="450"/>
      <c r="FB175" s="471"/>
      <c r="FC175" s="450"/>
      <c r="FD175" s="471"/>
      <c r="FE175" s="450"/>
      <c r="FF175" s="471"/>
      <c r="FG175" s="450"/>
      <c r="FH175" s="472"/>
      <c r="FI175" s="450"/>
      <c r="FJ175" s="468">
        <f t="shared" si="90"/>
        <v>0</v>
      </c>
      <c r="FK175" s="469">
        <f t="shared" si="91"/>
        <v>0</v>
      </c>
      <c r="FL175" s="472"/>
      <c r="FM175" s="450"/>
      <c r="FN175" s="460">
        <f t="shared" si="92"/>
        <v>1743</v>
      </c>
      <c r="FO175" s="469">
        <f t="shared" si="93"/>
        <v>935</v>
      </c>
    </row>
    <row r="176" spans="1:171" x14ac:dyDescent="0.2">
      <c r="A176" s="439" t="s">
        <v>548</v>
      </c>
      <c r="B176" s="436" t="s">
        <v>563</v>
      </c>
      <c r="C176" s="437"/>
      <c r="D176" s="438">
        <v>140678</v>
      </c>
      <c r="E176" s="512">
        <v>12</v>
      </c>
      <c r="F176" s="457">
        <v>898</v>
      </c>
      <c r="G176" s="450">
        <v>680</v>
      </c>
      <c r="H176" s="457">
        <v>119</v>
      </c>
      <c r="I176" s="450">
        <v>60</v>
      </c>
      <c r="J176" s="457">
        <v>165</v>
      </c>
      <c r="K176" s="450">
        <v>103</v>
      </c>
      <c r="L176" s="458">
        <f t="shared" si="72"/>
        <v>0</v>
      </c>
      <c r="M176" s="449">
        <f t="shared" si="73"/>
        <v>0</v>
      </c>
      <c r="N176" s="459"/>
      <c r="O176" s="459"/>
      <c r="P176" s="459"/>
      <c r="Q176" s="459"/>
      <c r="R176" s="460">
        <f t="shared" si="70"/>
        <v>0</v>
      </c>
      <c r="S176" s="391"/>
      <c r="T176" s="461"/>
      <c r="U176" s="461"/>
      <c r="V176" s="461"/>
      <c r="W176" s="462">
        <f t="shared" si="71"/>
        <v>0</v>
      </c>
      <c r="X176" s="463"/>
      <c r="Y176" s="457"/>
      <c r="Z176" s="464"/>
      <c r="AA176" s="464"/>
      <c r="AB176" s="465"/>
      <c r="AC176" s="457"/>
      <c r="AD176" s="464"/>
      <c r="AE176" s="466"/>
      <c r="AF176" s="465"/>
      <c r="AG176" s="457"/>
      <c r="AH176" s="464"/>
      <c r="AI176" s="466"/>
      <c r="AJ176" s="465"/>
      <c r="AK176" s="457"/>
      <c r="AL176" s="464"/>
      <c r="AM176" s="466"/>
      <c r="AN176" s="465"/>
      <c r="AO176" s="457"/>
      <c r="AP176" s="464"/>
      <c r="AQ176" s="464"/>
      <c r="AR176" s="460">
        <f t="shared" si="74"/>
        <v>0</v>
      </c>
      <c r="AS176" s="467">
        <f t="shared" si="75"/>
        <v>0</v>
      </c>
      <c r="AT176" s="447">
        <f t="shared" si="76"/>
        <v>0</v>
      </c>
      <c r="AU176" s="448">
        <f t="shared" si="77"/>
        <v>0</v>
      </c>
      <c r="AV176" s="457"/>
      <c r="AW176" s="450"/>
      <c r="AX176" s="463"/>
      <c r="AY176" s="457"/>
      <c r="AZ176" s="464"/>
      <c r="BA176" s="464"/>
      <c r="BB176" s="465"/>
      <c r="BC176" s="457"/>
      <c r="BD176" s="464"/>
      <c r="BE176" s="466"/>
      <c r="BF176" s="465"/>
      <c r="BG176" s="457"/>
      <c r="BH176" s="464"/>
      <c r="BI176" s="466"/>
      <c r="BJ176" s="465"/>
      <c r="BK176" s="457"/>
      <c r="BL176" s="464"/>
      <c r="BM176" s="466"/>
      <c r="BN176" s="465"/>
      <c r="BO176" s="457"/>
      <c r="BP176" s="464"/>
      <c r="BQ176" s="466"/>
      <c r="BR176" s="465"/>
      <c r="BS176" s="457"/>
      <c r="BT176" s="474"/>
      <c r="BU176" s="392"/>
      <c r="BV176" s="465"/>
      <c r="BW176" s="457"/>
      <c r="BX176" s="464"/>
      <c r="BY176" s="466"/>
      <c r="BZ176" s="465"/>
      <c r="CA176" s="457"/>
      <c r="CB176" s="464"/>
      <c r="CC176" s="466"/>
      <c r="CD176" s="465"/>
      <c r="CE176" s="457"/>
      <c r="CF176" s="464"/>
      <c r="CG176" s="466"/>
      <c r="CH176" s="465"/>
      <c r="CI176" s="457"/>
      <c r="CJ176" s="464"/>
      <c r="CK176" s="466"/>
      <c r="CL176" s="459"/>
      <c r="CM176" s="450"/>
      <c r="CN176" s="468">
        <f t="shared" si="78"/>
        <v>0</v>
      </c>
      <c r="CO176" s="468">
        <f t="shared" si="79"/>
        <v>0</v>
      </c>
      <c r="CP176" s="469">
        <f t="shared" si="80"/>
        <v>0</v>
      </c>
      <c r="CQ176" s="469">
        <f t="shared" si="81"/>
        <v>0</v>
      </c>
      <c r="CR176" s="463"/>
      <c r="CS176" s="457"/>
      <c r="CT176" s="464"/>
      <c r="CU176" s="464"/>
      <c r="CV176" s="465"/>
      <c r="CW176" s="457"/>
      <c r="CX176" s="464"/>
      <c r="CY176" s="466"/>
      <c r="CZ176" s="465"/>
      <c r="DA176" s="457"/>
      <c r="DB176" s="464"/>
      <c r="DC176" s="466"/>
      <c r="DD176" s="465"/>
      <c r="DE176" s="457"/>
      <c r="DF176" s="464"/>
      <c r="DG176" s="466"/>
      <c r="DH176" s="465"/>
      <c r="DI176" s="457"/>
      <c r="DJ176" s="464"/>
      <c r="DK176" s="466"/>
      <c r="DL176" s="465"/>
      <c r="DM176" s="457"/>
      <c r="DN176" s="464"/>
      <c r="DO176" s="466"/>
      <c r="DP176" s="465"/>
      <c r="DQ176" s="457"/>
      <c r="DR176" s="464"/>
      <c r="DS176" s="466"/>
      <c r="DT176" s="465"/>
      <c r="DU176" s="457"/>
      <c r="DV176" s="464"/>
      <c r="DW176" s="466"/>
      <c r="DX176" s="465"/>
      <c r="DY176" s="457"/>
      <c r="DZ176" s="464"/>
      <c r="EA176" s="466"/>
      <c r="EB176" s="465"/>
      <c r="EC176" s="457"/>
      <c r="ED176" s="464"/>
      <c r="EE176" s="466"/>
      <c r="EF176" s="459"/>
      <c r="EG176" s="450"/>
      <c r="EH176" s="460">
        <f t="shared" si="82"/>
        <v>0</v>
      </c>
      <c r="EI176" s="460">
        <f t="shared" si="83"/>
        <v>0</v>
      </c>
      <c r="EJ176" s="458">
        <f t="shared" si="84"/>
        <v>0</v>
      </c>
      <c r="EK176" s="470">
        <f t="shared" si="85"/>
        <v>0</v>
      </c>
      <c r="EL176" s="470">
        <f t="shared" si="86"/>
        <v>0</v>
      </c>
      <c r="EM176" s="449">
        <f t="shared" si="87"/>
        <v>0</v>
      </c>
      <c r="EN176" s="460">
        <f t="shared" si="88"/>
        <v>0</v>
      </c>
      <c r="EO176" s="469">
        <f t="shared" si="89"/>
        <v>0</v>
      </c>
      <c r="EP176" s="471"/>
      <c r="EQ176" s="450"/>
      <c r="ER176" s="471"/>
      <c r="ES176" s="450"/>
      <c r="ET176" s="471"/>
      <c r="EU176" s="450"/>
      <c r="EV176" s="471"/>
      <c r="EW176" s="450"/>
      <c r="EX176" s="471"/>
      <c r="EY176" s="450"/>
      <c r="EZ176" s="471"/>
      <c r="FA176" s="450"/>
      <c r="FB176" s="471"/>
      <c r="FC176" s="450"/>
      <c r="FD176" s="471"/>
      <c r="FE176" s="450"/>
      <c r="FF176" s="471"/>
      <c r="FG176" s="450"/>
      <c r="FH176" s="472"/>
      <c r="FI176" s="450"/>
      <c r="FJ176" s="468">
        <f t="shared" si="90"/>
        <v>0</v>
      </c>
      <c r="FK176" s="469">
        <f t="shared" si="91"/>
        <v>0</v>
      </c>
      <c r="FL176" s="472"/>
      <c r="FM176" s="450"/>
      <c r="FN176" s="460">
        <f t="shared" si="92"/>
        <v>1182</v>
      </c>
      <c r="FO176" s="469">
        <f t="shared" si="93"/>
        <v>843</v>
      </c>
    </row>
    <row r="177" spans="1:171" x14ac:dyDescent="0.2">
      <c r="A177" s="439" t="s">
        <v>548</v>
      </c>
      <c r="B177" s="440" t="s">
        <v>564</v>
      </c>
      <c r="C177" s="444"/>
      <c r="D177" s="438">
        <v>420431</v>
      </c>
      <c r="E177" s="512">
        <v>12</v>
      </c>
      <c r="F177" s="457">
        <v>1273</v>
      </c>
      <c r="G177" s="450">
        <v>854</v>
      </c>
      <c r="H177" s="457">
        <v>85</v>
      </c>
      <c r="I177" s="450">
        <v>90</v>
      </c>
      <c r="J177" s="457">
        <v>102</v>
      </c>
      <c r="K177" s="450">
        <v>62</v>
      </c>
      <c r="L177" s="458">
        <f t="shared" si="72"/>
        <v>0</v>
      </c>
      <c r="M177" s="449">
        <f t="shared" si="73"/>
        <v>0</v>
      </c>
      <c r="N177" s="459"/>
      <c r="O177" s="459"/>
      <c r="P177" s="459"/>
      <c r="Q177" s="459"/>
      <c r="R177" s="460">
        <f t="shared" si="70"/>
        <v>0</v>
      </c>
      <c r="S177" s="391"/>
      <c r="T177" s="461"/>
      <c r="U177" s="461"/>
      <c r="V177" s="461"/>
      <c r="W177" s="462">
        <f t="shared" si="71"/>
        <v>0</v>
      </c>
      <c r="X177" s="463"/>
      <c r="Y177" s="457"/>
      <c r="Z177" s="464"/>
      <c r="AA177" s="464"/>
      <c r="AB177" s="465"/>
      <c r="AC177" s="457"/>
      <c r="AD177" s="464"/>
      <c r="AE177" s="466"/>
      <c r="AF177" s="465"/>
      <c r="AG177" s="457"/>
      <c r="AH177" s="464"/>
      <c r="AI177" s="466"/>
      <c r="AJ177" s="465"/>
      <c r="AK177" s="457"/>
      <c r="AL177" s="464"/>
      <c r="AM177" s="466"/>
      <c r="AN177" s="465"/>
      <c r="AO177" s="457"/>
      <c r="AP177" s="464"/>
      <c r="AQ177" s="464"/>
      <c r="AR177" s="460">
        <f t="shared" si="74"/>
        <v>0</v>
      </c>
      <c r="AS177" s="467">
        <f t="shared" si="75"/>
        <v>0</v>
      </c>
      <c r="AT177" s="447">
        <f t="shared" si="76"/>
        <v>0</v>
      </c>
      <c r="AU177" s="448">
        <f t="shared" si="77"/>
        <v>0</v>
      </c>
      <c r="AV177" s="457"/>
      <c r="AW177" s="450"/>
      <c r="AX177" s="463"/>
      <c r="AY177" s="457"/>
      <c r="AZ177" s="464"/>
      <c r="BA177" s="464"/>
      <c r="BB177" s="465"/>
      <c r="BC177" s="457"/>
      <c r="BD177" s="464"/>
      <c r="BE177" s="466"/>
      <c r="BF177" s="465"/>
      <c r="BG177" s="457"/>
      <c r="BH177" s="464"/>
      <c r="BI177" s="466"/>
      <c r="BJ177" s="465"/>
      <c r="BK177" s="457"/>
      <c r="BL177" s="464"/>
      <c r="BM177" s="466"/>
      <c r="BN177" s="465"/>
      <c r="BO177" s="457"/>
      <c r="BP177" s="464"/>
      <c r="BQ177" s="466"/>
      <c r="BR177" s="465"/>
      <c r="BS177" s="457"/>
      <c r="BT177" s="474"/>
      <c r="BU177" s="392"/>
      <c r="BV177" s="465"/>
      <c r="BW177" s="457"/>
      <c r="BX177" s="464"/>
      <c r="BY177" s="466"/>
      <c r="BZ177" s="465"/>
      <c r="CA177" s="457"/>
      <c r="CB177" s="464"/>
      <c r="CC177" s="466"/>
      <c r="CD177" s="465"/>
      <c r="CE177" s="457"/>
      <c r="CF177" s="464"/>
      <c r="CG177" s="466"/>
      <c r="CH177" s="465"/>
      <c r="CI177" s="457"/>
      <c r="CJ177" s="464"/>
      <c r="CK177" s="466"/>
      <c r="CL177" s="459"/>
      <c r="CM177" s="450"/>
      <c r="CN177" s="468">
        <f t="shared" si="78"/>
        <v>0</v>
      </c>
      <c r="CO177" s="468">
        <f t="shared" si="79"/>
        <v>0</v>
      </c>
      <c r="CP177" s="469">
        <f t="shared" si="80"/>
        <v>0</v>
      </c>
      <c r="CQ177" s="469">
        <f t="shared" si="81"/>
        <v>0</v>
      </c>
      <c r="CR177" s="463"/>
      <c r="CS177" s="457"/>
      <c r="CT177" s="464"/>
      <c r="CU177" s="464"/>
      <c r="CV177" s="465"/>
      <c r="CW177" s="457"/>
      <c r="CX177" s="464"/>
      <c r="CY177" s="466"/>
      <c r="CZ177" s="465"/>
      <c r="DA177" s="457"/>
      <c r="DB177" s="464"/>
      <c r="DC177" s="466"/>
      <c r="DD177" s="465"/>
      <c r="DE177" s="457"/>
      <c r="DF177" s="464"/>
      <c r="DG177" s="466"/>
      <c r="DH177" s="465"/>
      <c r="DI177" s="457"/>
      <c r="DJ177" s="464"/>
      <c r="DK177" s="466"/>
      <c r="DL177" s="465"/>
      <c r="DM177" s="457"/>
      <c r="DN177" s="464"/>
      <c r="DO177" s="466"/>
      <c r="DP177" s="465"/>
      <c r="DQ177" s="457"/>
      <c r="DR177" s="464"/>
      <c r="DS177" s="466"/>
      <c r="DT177" s="465"/>
      <c r="DU177" s="457"/>
      <c r="DV177" s="464"/>
      <c r="DW177" s="466"/>
      <c r="DX177" s="465"/>
      <c r="DY177" s="457"/>
      <c r="DZ177" s="464"/>
      <c r="EA177" s="466"/>
      <c r="EB177" s="465"/>
      <c r="EC177" s="457"/>
      <c r="ED177" s="464"/>
      <c r="EE177" s="466"/>
      <c r="EF177" s="459"/>
      <c r="EG177" s="450"/>
      <c r="EH177" s="460">
        <f t="shared" si="82"/>
        <v>0</v>
      </c>
      <c r="EI177" s="460">
        <f t="shared" si="83"/>
        <v>0</v>
      </c>
      <c r="EJ177" s="458">
        <f t="shared" si="84"/>
        <v>0</v>
      </c>
      <c r="EK177" s="470">
        <f t="shared" si="85"/>
        <v>0</v>
      </c>
      <c r="EL177" s="470">
        <f t="shared" si="86"/>
        <v>0</v>
      </c>
      <c r="EM177" s="449">
        <f t="shared" si="87"/>
        <v>0</v>
      </c>
      <c r="EN177" s="460">
        <f t="shared" si="88"/>
        <v>0</v>
      </c>
      <c r="EO177" s="469">
        <f t="shared" si="89"/>
        <v>0</v>
      </c>
      <c r="EP177" s="471"/>
      <c r="EQ177" s="450"/>
      <c r="ER177" s="471"/>
      <c r="ES177" s="450"/>
      <c r="ET177" s="471"/>
      <c r="EU177" s="450"/>
      <c r="EV177" s="471"/>
      <c r="EW177" s="450"/>
      <c r="EX177" s="471"/>
      <c r="EY177" s="450"/>
      <c r="EZ177" s="471"/>
      <c r="FA177" s="450"/>
      <c r="FB177" s="471"/>
      <c r="FC177" s="450"/>
      <c r="FD177" s="471"/>
      <c r="FE177" s="450"/>
      <c r="FF177" s="471"/>
      <c r="FG177" s="450"/>
      <c r="FH177" s="472"/>
      <c r="FI177" s="450"/>
      <c r="FJ177" s="468">
        <f t="shared" si="90"/>
        <v>0</v>
      </c>
      <c r="FK177" s="469">
        <f t="shared" si="91"/>
        <v>0</v>
      </c>
      <c r="FL177" s="472"/>
      <c r="FM177" s="450"/>
      <c r="FN177" s="460">
        <f t="shared" si="92"/>
        <v>1460</v>
      </c>
      <c r="FO177" s="469">
        <f t="shared" si="93"/>
        <v>1006</v>
      </c>
    </row>
    <row r="178" spans="1:171" x14ac:dyDescent="0.2">
      <c r="A178" s="439" t="s">
        <v>548</v>
      </c>
      <c r="B178" s="436" t="s">
        <v>565</v>
      </c>
      <c r="C178" s="437"/>
      <c r="D178" s="438">
        <v>366465</v>
      </c>
      <c r="E178" s="512">
        <v>12</v>
      </c>
      <c r="F178" s="457">
        <v>1303</v>
      </c>
      <c r="G178" s="450">
        <v>904</v>
      </c>
      <c r="H178" s="457">
        <v>87</v>
      </c>
      <c r="I178" s="450">
        <v>113</v>
      </c>
      <c r="J178" s="457">
        <v>169</v>
      </c>
      <c r="K178" s="450">
        <v>116</v>
      </c>
      <c r="L178" s="458">
        <f t="shared" si="72"/>
        <v>0</v>
      </c>
      <c r="M178" s="449">
        <f t="shared" si="73"/>
        <v>0</v>
      </c>
      <c r="N178" s="459"/>
      <c r="O178" s="459"/>
      <c r="P178" s="459"/>
      <c r="Q178" s="459"/>
      <c r="R178" s="460">
        <f t="shared" si="70"/>
        <v>0</v>
      </c>
      <c r="S178" s="391"/>
      <c r="T178" s="461"/>
      <c r="U178" s="461"/>
      <c r="V178" s="461"/>
      <c r="W178" s="462">
        <f t="shared" si="71"/>
        <v>0</v>
      </c>
      <c r="X178" s="463"/>
      <c r="Y178" s="457"/>
      <c r="Z178" s="464"/>
      <c r="AA178" s="464"/>
      <c r="AB178" s="465"/>
      <c r="AC178" s="457"/>
      <c r="AD178" s="464"/>
      <c r="AE178" s="466"/>
      <c r="AF178" s="465"/>
      <c r="AG178" s="457"/>
      <c r="AH178" s="464"/>
      <c r="AI178" s="466"/>
      <c r="AJ178" s="465"/>
      <c r="AK178" s="457"/>
      <c r="AL178" s="464"/>
      <c r="AM178" s="466"/>
      <c r="AN178" s="465"/>
      <c r="AO178" s="457"/>
      <c r="AP178" s="464"/>
      <c r="AQ178" s="464"/>
      <c r="AR178" s="460">
        <f t="shared" si="74"/>
        <v>0</v>
      </c>
      <c r="AS178" s="467">
        <f t="shared" si="75"/>
        <v>0</v>
      </c>
      <c r="AT178" s="447">
        <f t="shared" si="76"/>
        <v>0</v>
      </c>
      <c r="AU178" s="448">
        <f t="shared" si="77"/>
        <v>0</v>
      </c>
      <c r="AV178" s="457"/>
      <c r="AW178" s="450"/>
      <c r="AX178" s="463"/>
      <c r="AY178" s="457"/>
      <c r="AZ178" s="464"/>
      <c r="BA178" s="464"/>
      <c r="BB178" s="465"/>
      <c r="BC178" s="457"/>
      <c r="BD178" s="464"/>
      <c r="BE178" s="466"/>
      <c r="BF178" s="465"/>
      <c r="BG178" s="457"/>
      <c r="BH178" s="464"/>
      <c r="BI178" s="466"/>
      <c r="BJ178" s="465"/>
      <c r="BK178" s="457"/>
      <c r="BL178" s="464"/>
      <c r="BM178" s="466"/>
      <c r="BN178" s="465"/>
      <c r="BO178" s="457"/>
      <c r="BP178" s="464"/>
      <c r="BQ178" s="466"/>
      <c r="BR178" s="465"/>
      <c r="BS178" s="457"/>
      <c r="BT178" s="474"/>
      <c r="BU178" s="392"/>
      <c r="BV178" s="465"/>
      <c r="BW178" s="457"/>
      <c r="BX178" s="464"/>
      <c r="BY178" s="466"/>
      <c r="BZ178" s="465"/>
      <c r="CA178" s="457"/>
      <c r="CB178" s="464"/>
      <c r="CC178" s="466"/>
      <c r="CD178" s="465"/>
      <c r="CE178" s="457"/>
      <c r="CF178" s="464"/>
      <c r="CG178" s="466"/>
      <c r="CH178" s="465"/>
      <c r="CI178" s="457"/>
      <c r="CJ178" s="464"/>
      <c r="CK178" s="466"/>
      <c r="CL178" s="459"/>
      <c r="CM178" s="450"/>
      <c r="CN178" s="468">
        <f t="shared" si="78"/>
        <v>0</v>
      </c>
      <c r="CO178" s="468">
        <f t="shared" si="79"/>
        <v>0</v>
      </c>
      <c r="CP178" s="469">
        <f t="shared" si="80"/>
        <v>0</v>
      </c>
      <c r="CQ178" s="469">
        <f t="shared" si="81"/>
        <v>0</v>
      </c>
      <c r="CR178" s="463"/>
      <c r="CS178" s="457"/>
      <c r="CT178" s="464"/>
      <c r="CU178" s="464"/>
      <c r="CV178" s="465"/>
      <c r="CW178" s="457"/>
      <c r="CX178" s="464"/>
      <c r="CY178" s="466"/>
      <c r="CZ178" s="465"/>
      <c r="DA178" s="457"/>
      <c r="DB178" s="464"/>
      <c r="DC178" s="466"/>
      <c r="DD178" s="465"/>
      <c r="DE178" s="457"/>
      <c r="DF178" s="464"/>
      <c r="DG178" s="466"/>
      <c r="DH178" s="465"/>
      <c r="DI178" s="457"/>
      <c r="DJ178" s="464"/>
      <c r="DK178" s="466"/>
      <c r="DL178" s="465"/>
      <c r="DM178" s="457"/>
      <c r="DN178" s="464"/>
      <c r="DO178" s="466"/>
      <c r="DP178" s="465"/>
      <c r="DQ178" s="457"/>
      <c r="DR178" s="464"/>
      <c r="DS178" s="466"/>
      <c r="DT178" s="465"/>
      <c r="DU178" s="457"/>
      <c r="DV178" s="464"/>
      <c r="DW178" s="466"/>
      <c r="DX178" s="465"/>
      <c r="DY178" s="457"/>
      <c r="DZ178" s="464"/>
      <c r="EA178" s="466"/>
      <c r="EB178" s="465"/>
      <c r="EC178" s="457"/>
      <c r="ED178" s="464"/>
      <c r="EE178" s="466"/>
      <c r="EF178" s="459"/>
      <c r="EG178" s="450"/>
      <c r="EH178" s="460">
        <f t="shared" si="82"/>
        <v>0</v>
      </c>
      <c r="EI178" s="460">
        <f t="shared" si="83"/>
        <v>0</v>
      </c>
      <c r="EJ178" s="458">
        <f t="shared" si="84"/>
        <v>0</v>
      </c>
      <c r="EK178" s="470">
        <f t="shared" si="85"/>
        <v>0</v>
      </c>
      <c r="EL178" s="470">
        <f t="shared" si="86"/>
        <v>0</v>
      </c>
      <c r="EM178" s="449">
        <f t="shared" si="87"/>
        <v>0</v>
      </c>
      <c r="EN178" s="460">
        <f t="shared" si="88"/>
        <v>0</v>
      </c>
      <c r="EO178" s="469">
        <f t="shared" si="89"/>
        <v>0</v>
      </c>
      <c r="EP178" s="471"/>
      <c r="EQ178" s="450"/>
      <c r="ER178" s="471"/>
      <c r="ES178" s="450"/>
      <c r="ET178" s="471"/>
      <c r="EU178" s="450"/>
      <c r="EV178" s="471"/>
      <c r="EW178" s="450"/>
      <c r="EX178" s="471"/>
      <c r="EY178" s="450"/>
      <c r="EZ178" s="471"/>
      <c r="FA178" s="450"/>
      <c r="FB178" s="471"/>
      <c r="FC178" s="450"/>
      <c r="FD178" s="471"/>
      <c r="FE178" s="450"/>
      <c r="FF178" s="471"/>
      <c r="FG178" s="450"/>
      <c r="FH178" s="472"/>
      <c r="FI178" s="450"/>
      <c r="FJ178" s="468">
        <f t="shared" si="90"/>
        <v>0</v>
      </c>
      <c r="FK178" s="469">
        <f t="shared" si="91"/>
        <v>0</v>
      </c>
      <c r="FL178" s="472"/>
      <c r="FM178" s="450"/>
      <c r="FN178" s="460">
        <f t="shared" si="92"/>
        <v>1559</v>
      </c>
      <c r="FO178" s="469">
        <f t="shared" si="93"/>
        <v>1133</v>
      </c>
    </row>
    <row r="179" spans="1:171" x14ac:dyDescent="0.2">
      <c r="A179" s="439" t="s">
        <v>548</v>
      </c>
      <c r="B179" s="436" t="s">
        <v>566</v>
      </c>
      <c r="C179" s="437"/>
      <c r="D179" s="438">
        <v>248776</v>
      </c>
      <c r="E179" s="512">
        <v>12</v>
      </c>
      <c r="F179" s="457">
        <v>801</v>
      </c>
      <c r="G179" s="450">
        <v>446</v>
      </c>
      <c r="H179" s="457">
        <v>80</v>
      </c>
      <c r="I179" s="450">
        <v>55</v>
      </c>
      <c r="J179" s="457">
        <v>54</v>
      </c>
      <c r="K179" s="450">
        <v>56</v>
      </c>
      <c r="L179" s="458">
        <f t="shared" si="72"/>
        <v>0</v>
      </c>
      <c r="M179" s="449">
        <f t="shared" si="73"/>
        <v>0</v>
      </c>
      <c r="N179" s="459"/>
      <c r="O179" s="459"/>
      <c r="P179" s="459"/>
      <c r="Q179" s="459"/>
      <c r="R179" s="460">
        <f t="shared" si="70"/>
        <v>0</v>
      </c>
      <c r="S179" s="391"/>
      <c r="T179" s="461"/>
      <c r="U179" s="461"/>
      <c r="V179" s="461"/>
      <c r="W179" s="462">
        <f t="shared" si="71"/>
        <v>0</v>
      </c>
      <c r="X179" s="463"/>
      <c r="Y179" s="457"/>
      <c r="Z179" s="464"/>
      <c r="AA179" s="464"/>
      <c r="AB179" s="465"/>
      <c r="AC179" s="457"/>
      <c r="AD179" s="464"/>
      <c r="AE179" s="466"/>
      <c r="AF179" s="465"/>
      <c r="AG179" s="457"/>
      <c r="AH179" s="464"/>
      <c r="AI179" s="466"/>
      <c r="AJ179" s="465"/>
      <c r="AK179" s="457"/>
      <c r="AL179" s="464"/>
      <c r="AM179" s="466"/>
      <c r="AN179" s="465"/>
      <c r="AO179" s="457"/>
      <c r="AP179" s="464"/>
      <c r="AQ179" s="464"/>
      <c r="AR179" s="460">
        <f t="shared" si="74"/>
        <v>0</v>
      </c>
      <c r="AS179" s="467">
        <f t="shared" si="75"/>
        <v>0</v>
      </c>
      <c r="AT179" s="447">
        <f t="shared" si="76"/>
        <v>0</v>
      </c>
      <c r="AU179" s="448">
        <f t="shared" si="77"/>
        <v>0</v>
      </c>
      <c r="AV179" s="457"/>
      <c r="AW179" s="450"/>
      <c r="AX179" s="463"/>
      <c r="AY179" s="457"/>
      <c r="AZ179" s="464"/>
      <c r="BA179" s="464"/>
      <c r="BB179" s="465"/>
      <c r="BC179" s="457"/>
      <c r="BD179" s="464"/>
      <c r="BE179" s="466"/>
      <c r="BF179" s="465"/>
      <c r="BG179" s="457"/>
      <c r="BH179" s="464"/>
      <c r="BI179" s="466"/>
      <c r="BJ179" s="465"/>
      <c r="BK179" s="457"/>
      <c r="BL179" s="464"/>
      <c r="BM179" s="466"/>
      <c r="BN179" s="465"/>
      <c r="BO179" s="457"/>
      <c r="BP179" s="464"/>
      <c r="BQ179" s="466"/>
      <c r="BR179" s="465"/>
      <c r="BS179" s="457"/>
      <c r="BT179" s="847"/>
      <c r="BU179" s="392"/>
      <c r="BV179" s="465"/>
      <c r="BW179" s="457"/>
      <c r="BX179" s="464"/>
      <c r="BY179" s="466"/>
      <c r="BZ179" s="465"/>
      <c r="CA179" s="457"/>
      <c r="CB179" s="464"/>
      <c r="CC179" s="466"/>
      <c r="CD179" s="465"/>
      <c r="CE179" s="457"/>
      <c r="CF179" s="464"/>
      <c r="CG179" s="466"/>
      <c r="CH179" s="465"/>
      <c r="CI179" s="457"/>
      <c r="CJ179" s="464"/>
      <c r="CK179" s="466"/>
      <c r="CL179" s="459"/>
      <c r="CM179" s="450"/>
      <c r="CN179" s="468">
        <f t="shared" si="78"/>
        <v>0</v>
      </c>
      <c r="CO179" s="468">
        <f t="shared" si="79"/>
        <v>0</v>
      </c>
      <c r="CP179" s="469">
        <f t="shared" si="80"/>
        <v>0</v>
      </c>
      <c r="CQ179" s="469">
        <f t="shared" si="81"/>
        <v>0</v>
      </c>
      <c r="CR179" s="463"/>
      <c r="CS179" s="457"/>
      <c r="CT179" s="464"/>
      <c r="CU179" s="464"/>
      <c r="CV179" s="465"/>
      <c r="CW179" s="457"/>
      <c r="CX179" s="464"/>
      <c r="CY179" s="466"/>
      <c r="CZ179" s="465"/>
      <c r="DA179" s="457"/>
      <c r="DB179" s="464"/>
      <c r="DC179" s="466"/>
      <c r="DD179" s="465"/>
      <c r="DE179" s="457"/>
      <c r="DF179" s="464"/>
      <c r="DG179" s="466"/>
      <c r="DH179" s="465"/>
      <c r="DI179" s="457"/>
      <c r="DJ179" s="464"/>
      <c r="DK179" s="466"/>
      <c r="DL179" s="465"/>
      <c r="DM179" s="457"/>
      <c r="DN179" s="464"/>
      <c r="DO179" s="466"/>
      <c r="DP179" s="465"/>
      <c r="DQ179" s="457"/>
      <c r="DR179" s="464"/>
      <c r="DS179" s="466"/>
      <c r="DT179" s="465"/>
      <c r="DU179" s="457"/>
      <c r="DV179" s="464"/>
      <c r="DW179" s="466"/>
      <c r="DX179" s="465"/>
      <c r="DY179" s="457"/>
      <c r="DZ179" s="464"/>
      <c r="EA179" s="466"/>
      <c r="EB179" s="465"/>
      <c r="EC179" s="457"/>
      <c r="ED179" s="464"/>
      <c r="EE179" s="466"/>
      <c r="EF179" s="459"/>
      <c r="EG179" s="450"/>
      <c r="EH179" s="460">
        <f t="shared" si="82"/>
        <v>0</v>
      </c>
      <c r="EI179" s="460">
        <f t="shared" si="83"/>
        <v>0</v>
      </c>
      <c r="EJ179" s="458">
        <f t="shared" si="84"/>
        <v>0</v>
      </c>
      <c r="EK179" s="470">
        <f t="shared" si="85"/>
        <v>0</v>
      </c>
      <c r="EL179" s="470">
        <f t="shared" si="86"/>
        <v>0</v>
      </c>
      <c r="EM179" s="449">
        <f t="shared" si="87"/>
        <v>0</v>
      </c>
      <c r="EN179" s="460">
        <f t="shared" si="88"/>
        <v>0</v>
      </c>
      <c r="EO179" s="469">
        <f t="shared" si="89"/>
        <v>0</v>
      </c>
      <c r="EP179" s="471"/>
      <c r="EQ179" s="450"/>
      <c r="ER179" s="471"/>
      <c r="ES179" s="450"/>
      <c r="ET179" s="471"/>
      <c r="EU179" s="450"/>
      <c r="EV179" s="471"/>
      <c r="EW179" s="450"/>
      <c r="EX179" s="471"/>
      <c r="EY179" s="450"/>
      <c r="EZ179" s="471"/>
      <c r="FA179" s="450"/>
      <c r="FB179" s="471"/>
      <c r="FC179" s="450"/>
      <c r="FD179" s="471"/>
      <c r="FE179" s="450"/>
      <c r="FF179" s="471"/>
      <c r="FG179" s="450"/>
      <c r="FH179" s="472"/>
      <c r="FI179" s="450"/>
      <c r="FJ179" s="468">
        <f t="shared" si="90"/>
        <v>0</v>
      </c>
      <c r="FK179" s="469">
        <f t="shared" si="91"/>
        <v>0</v>
      </c>
      <c r="FL179" s="472"/>
      <c r="FM179" s="450"/>
      <c r="FN179" s="460">
        <f t="shared" si="92"/>
        <v>935</v>
      </c>
      <c r="FO179" s="469">
        <f t="shared" si="93"/>
        <v>557</v>
      </c>
    </row>
    <row r="180" spans="1:171" x14ac:dyDescent="0.2">
      <c r="A180" s="439" t="s">
        <v>548</v>
      </c>
      <c r="B180" s="436" t="s">
        <v>567</v>
      </c>
      <c r="C180" s="437"/>
      <c r="D180" s="438">
        <v>140942</v>
      </c>
      <c r="E180" s="512">
        <v>12</v>
      </c>
      <c r="F180" s="457">
        <v>1752</v>
      </c>
      <c r="G180" s="450">
        <v>1726</v>
      </c>
      <c r="H180" s="457">
        <v>79</v>
      </c>
      <c r="I180" s="450">
        <v>89</v>
      </c>
      <c r="J180" s="457">
        <v>230</v>
      </c>
      <c r="K180" s="450">
        <v>227</v>
      </c>
      <c r="L180" s="458">
        <f t="shared" si="72"/>
        <v>0</v>
      </c>
      <c r="M180" s="449">
        <f t="shared" si="73"/>
        <v>0</v>
      </c>
      <c r="N180" s="459"/>
      <c r="O180" s="459"/>
      <c r="P180" s="459"/>
      <c r="Q180" s="459"/>
      <c r="R180" s="460">
        <f t="shared" si="70"/>
        <v>0</v>
      </c>
      <c r="S180" s="391"/>
      <c r="T180" s="461"/>
      <c r="U180" s="461"/>
      <c r="V180" s="461"/>
      <c r="W180" s="462">
        <f t="shared" si="71"/>
        <v>0</v>
      </c>
      <c r="X180" s="463"/>
      <c r="Y180" s="457"/>
      <c r="Z180" s="464"/>
      <c r="AA180" s="464"/>
      <c r="AB180" s="465"/>
      <c r="AC180" s="457"/>
      <c r="AD180" s="464"/>
      <c r="AE180" s="466"/>
      <c r="AF180" s="465"/>
      <c r="AG180" s="457"/>
      <c r="AH180" s="464"/>
      <c r="AI180" s="466"/>
      <c r="AJ180" s="465"/>
      <c r="AK180" s="457"/>
      <c r="AL180" s="464"/>
      <c r="AM180" s="466"/>
      <c r="AN180" s="465"/>
      <c r="AO180" s="457"/>
      <c r="AP180" s="464"/>
      <c r="AQ180" s="464"/>
      <c r="AR180" s="460">
        <f t="shared" si="74"/>
        <v>0</v>
      </c>
      <c r="AS180" s="467">
        <f t="shared" si="75"/>
        <v>0</v>
      </c>
      <c r="AT180" s="447">
        <f t="shared" si="76"/>
        <v>0</v>
      </c>
      <c r="AU180" s="448">
        <f t="shared" si="77"/>
        <v>0</v>
      </c>
      <c r="AV180" s="457"/>
      <c r="AW180" s="450"/>
      <c r="AX180" s="463"/>
      <c r="AY180" s="457"/>
      <c r="AZ180" s="464"/>
      <c r="BA180" s="464"/>
      <c r="BB180" s="465"/>
      <c r="BC180" s="457"/>
      <c r="BD180" s="464"/>
      <c r="BE180" s="466"/>
      <c r="BF180" s="465"/>
      <c r="BG180" s="457"/>
      <c r="BH180" s="464"/>
      <c r="BI180" s="466"/>
      <c r="BJ180" s="465"/>
      <c r="BK180" s="457"/>
      <c r="BL180" s="464"/>
      <c r="BM180" s="466"/>
      <c r="BN180" s="465"/>
      <c r="BO180" s="457"/>
      <c r="BP180" s="464"/>
      <c r="BQ180" s="466"/>
      <c r="BR180" s="465"/>
      <c r="BS180" s="457"/>
      <c r="BT180" s="847"/>
      <c r="BU180" s="392"/>
      <c r="BV180" s="465"/>
      <c r="BW180" s="457"/>
      <c r="BX180" s="464"/>
      <c r="BY180" s="466"/>
      <c r="BZ180" s="465"/>
      <c r="CA180" s="457"/>
      <c r="CB180" s="464"/>
      <c r="CC180" s="466"/>
      <c r="CD180" s="465"/>
      <c r="CE180" s="457"/>
      <c r="CF180" s="464"/>
      <c r="CG180" s="466"/>
      <c r="CH180" s="465"/>
      <c r="CI180" s="457"/>
      <c r="CJ180" s="464"/>
      <c r="CK180" s="466"/>
      <c r="CL180" s="459"/>
      <c r="CM180" s="450"/>
      <c r="CN180" s="468">
        <f t="shared" si="78"/>
        <v>0</v>
      </c>
      <c r="CO180" s="468">
        <f t="shared" si="79"/>
        <v>0</v>
      </c>
      <c r="CP180" s="469">
        <f t="shared" si="80"/>
        <v>0</v>
      </c>
      <c r="CQ180" s="469">
        <f t="shared" si="81"/>
        <v>0</v>
      </c>
      <c r="CR180" s="463"/>
      <c r="CS180" s="457"/>
      <c r="CT180" s="464"/>
      <c r="CU180" s="464"/>
      <c r="CV180" s="465"/>
      <c r="CW180" s="457"/>
      <c r="CX180" s="464"/>
      <c r="CY180" s="466"/>
      <c r="CZ180" s="465"/>
      <c r="DA180" s="457"/>
      <c r="DB180" s="464"/>
      <c r="DC180" s="466"/>
      <c r="DD180" s="465"/>
      <c r="DE180" s="457"/>
      <c r="DF180" s="464"/>
      <c r="DG180" s="466"/>
      <c r="DH180" s="465"/>
      <c r="DI180" s="457"/>
      <c r="DJ180" s="464"/>
      <c r="DK180" s="466"/>
      <c r="DL180" s="465"/>
      <c r="DM180" s="457"/>
      <c r="DN180" s="464"/>
      <c r="DO180" s="466"/>
      <c r="DP180" s="465"/>
      <c r="DQ180" s="457"/>
      <c r="DR180" s="464"/>
      <c r="DS180" s="466"/>
      <c r="DT180" s="465"/>
      <c r="DU180" s="457"/>
      <c r="DV180" s="464"/>
      <c r="DW180" s="466"/>
      <c r="DX180" s="465"/>
      <c r="DY180" s="457"/>
      <c r="DZ180" s="464"/>
      <c r="EA180" s="466"/>
      <c r="EB180" s="465"/>
      <c r="EC180" s="457"/>
      <c r="ED180" s="464"/>
      <c r="EE180" s="466"/>
      <c r="EF180" s="459"/>
      <c r="EG180" s="450"/>
      <c r="EH180" s="460">
        <f t="shared" si="82"/>
        <v>0</v>
      </c>
      <c r="EI180" s="460">
        <f t="shared" si="83"/>
        <v>0</v>
      </c>
      <c r="EJ180" s="458">
        <f t="shared" si="84"/>
        <v>0</v>
      </c>
      <c r="EK180" s="470">
        <f t="shared" si="85"/>
        <v>0</v>
      </c>
      <c r="EL180" s="470">
        <f t="shared" si="86"/>
        <v>0</v>
      </c>
      <c r="EM180" s="449">
        <f t="shared" si="87"/>
        <v>0</v>
      </c>
      <c r="EN180" s="460">
        <f t="shared" si="88"/>
        <v>0</v>
      </c>
      <c r="EO180" s="469">
        <f t="shared" si="89"/>
        <v>0</v>
      </c>
      <c r="EP180" s="471"/>
      <c r="EQ180" s="450"/>
      <c r="ER180" s="471"/>
      <c r="ES180" s="450"/>
      <c r="ET180" s="471"/>
      <c r="EU180" s="450"/>
      <c r="EV180" s="471"/>
      <c r="EW180" s="450"/>
      <c r="EX180" s="471"/>
      <c r="EY180" s="450"/>
      <c r="EZ180" s="471"/>
      <c r="FA180" s="450"/>
      <c r="FB180" s="471"/>
      <c r="FC180" s="450"/>
      <c r="FD180" s="471"/>
      <c r="FE180" s="450"/>
      <c r="FF180" s="471"/>
      <c r="FG180" s="450"/>
      <c r="FH180" s="472"/>
      <c r="FI180" s="450"/>
      <c r="FJ180" s="468">
        <f t="shared" si="90"/>
        <v>0</v>
      </c>
      <c r="FK180" s="469">
        <f t="shared" si="91"/>
        <v>0</v>
      </c>
      <c r="FL180" s="472"/>
      <c r="FM180" s="450"/>
      <c r="FN180" s="460">
        <f t="shared" si="92"/>
        <v>2061</v>
      </c>
      <c r="FO180" s="469">
        <f t="shared" si="93"/>
        <v>2042</v>
      </c>
    </row>
    <row r="181" spans="1:171" x14ac:dyDescent="0.2">
      <c r="A181" s="439" t="s">
        <v>548</v>
      </c>
      <c r="B181" s="436" t="s">
        <v>568</v>
      </c>
      <c r="C181" s="437"/>
      <c r="D181" s="438">
        <v>141006</v>
      </c>
      <c r="E181" s="512">
        <v>12</v>
      </c>
      <c r="F181" s="532">
        <v>1417</v>
      </c>
      <c r="G181" s="450">
        <v>1407</v>
      </c>
      <c r="H181" s="457">
        <v>146</v>
      </c>
      <c r="I181" s="450">
        <v>118</v>
      </c>
      <c r="J181" s="457">
        <v>144</v>
      </c>
      <c r="K181" s="450">
        <v>98</v>
      </c>
      <c r="L181" s="458">
        <f t="shared" si="72"/>
        <v>0</v>
      </c>
      <c r="M181" s="449">
        <f t="shared" si="73"/>
        <v>0</v>
      </c>
      <c r="N181" s="459"/>
      <c r="O181" s="459"/>
      <c r="P181" s="459"/>
      <c r="Q181" s="459"/>
      <c r="R181" s="460">
        <f t="shared" si="70"/>
        <v>0</v>
      </c>
      <c r="S181" s="391"/>
      <c r="T181" s="461"/>
      <c r="U181" s="461"/>
      <c r="V181" s="461"/>
      <c r="W181" s="462">
        <f t="shared" si="71"/>
        <v>0</v>
      </c>
      <c r="X181" s="463"/>
      <c r="Y181" s="457"/>
      <c r="Z181" s="464"/>
      <c r="AA181" s="464"/>
      <c r="AB181" s="465"/>
      <c r="AC181" s="457"/>
      <c r="AD181" s="464"/>
      <c r="AE181" s="466"/>
      <c r="AF181" s="465"/>
      <c r="AG181" s="457"/>
      <c r="AH181" s="464"/>
      <c r="AI181" s="466"/>
      <c r="AJ181" s="465"/>
      <c r="AK181" s="457"/>
      <c r="AL181" s="464"/>
      <c r="AM181" s="466"/>
      <c r="AN181" s="465"/>
      <c r="AO181" s="457"/>
      <c r="AP181" s="464"/>
      <c r="AQ181" s="464"/>
      <c r="AR181" s="460">
        <f t="shared" si="74"/>
        <v>0</v>
      </c>
      <c r="AS181" s="467">
        <f t="shared" si="75"/>
        <v>0</v>
      </c>
      <c r="AT181" s="447">
        <f t="shared" si="76"/>
        <v>0</v>
      </c>
      <c r="AU181" s="448">
        <f t="shared" si="77"/>
        <v>0</v>
      </c>
      <c r="AV181" s="457"/>
      <c r="AW181" s="450"/>
      <c r="AX181" s="463"/>
      <c r="AY181" s="457"/>
      <c r="AZ181" s="464"/>
      <c r="BA181" s="464"/>
      <c r="BB181" s="465"/>
      <c r="BC181" s="457"/>
      <c r="BD181" s="464"/>
      <c r="BE181" s="466"/>
      <c r="BF181" s="465"/>
      <c r="BG181" s="457"/>
      <c r="BH181" s="464"/>
      <c r="BI181" s="466"/>
      <c r="BJ181" s="465"/>
      <c r="BK181" s="457"/>
      <c r="BL181" s="464"/>
      <c r="BM181" s="466"/>
      <c r="BN181" s="465"/>
      <c r="BO181" s="457"/>
      <c r="BP181" s="464"/>
      <c r="BQ181" s="466"/>
      <c r="BR181" s="465"/>
      <c r="BS181" s="457"/>
      <c r="BT181" s="723"/>
      <c r="BU181" s="466"/>
      <c r="BV181" s="465"/>
      <c r="BW181" s="457"/>
      <c r="BX181" s="464"/>
      <c r="BY181" s="466"/>
      <c r="BZ181" s="465"/>
      <c r="CA181" s="457"/>
      <c r="CB181" s="464"/>
      <c r="CC181" s="466"/>
      <c r="CD181" s="465"/>
      <c r="CE181" s="457"/>
      <c r="CF181" s="464"/>
      <c r="CG181" s="466"/>
      <c r="CH181" s="465"/>
      <c r="CI181" s="457"/>
      <c r="CJ181" s="464"/>
      <c r="CK181" s="466"/>
      <c r="CL181" s="459"/>
      <c r="CM181" s="450"/>
      <c r="CN181" s="468">
        <f t="shared" si="78"/>
        <v>0</v>
      </c>
      <c r="CO181" s="468">
        <f t="shared" si="79"/>
        <v>0</v>
      </c>
      <c r="CP181" s="469">
        <f t="shared" si="80"/>
        <v>0</v>
      </c>
      <c r="CQ181" s="469">
        <f t="shared" si="81"/>
        <v>0</v>
      </c>
      <c r="CR181" s="463"/>
      <c r="CS181" s="457"/>
      <c r="CT181" s="464"/>
      <c r="CU181" s="464"/>
      <c r="CV181" s="465"/>
      <c r="CW181" s="457"/>
      <c r="CX181" s="464"/>
      <c r="CY181" s="466"/>
      <c r="CZ181" s="465"/>
      <c r="DA181" s="457"/>
      <c r="DB181" s="464"/>
      <c r="DC181" s="466"/>
      <c r="DD181" s="465"/>
      <c r="DE181" s="457"/>
      <c r="DF181" s="464"/>
      <c r="DG181" s="466"/>
      <c r="DH181" s="465"/>
      <c r="DI181" s="457"/>
      <c r="DJ181" s="464"/>
      <c r="DK181" s="466"/>
      <c r="DL181" s="465"/>
      <c r="DM181" s="457"/>
      <c r="DN181" s="464"/>
      <c r="DO181" s="466"/>
      <c r="DP181" s="465"/>
      <c r="DQ181" s="457"/>
      <c r="DR181" s="464"/>
      <c r="DS181" s="466"/>
      <c r="DT181" s="465"/>
      <c r="DU181" s="457"/>
      <c r="DV181" s="464"/>
      <c r="DW181" s="466"/>
      <c r="DX181" s="465"/>
      <c r="DY181" s="457"/>
      <c r="DZ181" s="464"/>
      <c r="EA181" s="466"/>
      <c r="EB181" s="465"/>
      <c r="EC181" s="457"/>
      <c r="ED181" s="464"/>
      <c r="EE181" s="466"/>
      <c r="EF181" s="459"/>
      <c r="EG181" s="450"/>
      <c r="EH181" s="460">
        <f t="shared" si="82"/>
        <v>0</v>
      </c>
      <c r="EI181" s="460">
        <f t="shared" si="83"/>
        <v>0</v>
      </c>
      <c r="EJ181" s="458">
        <f t="shared" si="84"/>
        <v>0</v>
      </c>
      <c r="EK181" s="470">
        <f t="shared" si="85"/>
        <v>0</v>
      </c>
      <c r="EL181" s="470">
        <f t="shared" si="86"/>
        <v>0</v>
      </c>
      <c r="EM181" s="449">
        <f t="shared" si="87"/>
        <v>0</v>
      </c>
      <c r="EN181" s="460">
        <f t="shared" si="88"/>
        <v>0</v>
      </c>
      <c r="EO181" s="469">
        <f t="shared" si="89"/>
        <v>0</v>
      </c>
      <c r="EP181" s="471"/>
      <c r="EQ181" s="450"/>
      <c r="ER181" s="471"/>
      <c r="ES181" s="450"/>
      <c r="ET181" s="471"/>
      <c r="EU181" s="450"/>
      <c r="EV181" s="471"/>
      <c r="EW181" s="450"/>
      <c r="EX181" s="471"/>
      <c r="EY181" s="450"/>
      <c r="EZ181" s="471"/>
      <c r="FA181" s="450"/>
      <c r="FB181" s="471"/>
      <c r="FC181" s="450"/>
      <c r="FD181" s="471"/>
      <c r="FE181" s="450"/>
      <c r="FF181" s="471"/>
      <c r="FG181" s="450"/>
      <c r="FH181" s="472"/>
      <c r="FI181" s="450"/>
      <c r="FJ181" s="468">
        <f t="shared" si="90"/>
        <v>0</v>
      </c>
      <c r="FK181" s="469">
        <f t="shared" si="91"/>
        <v>0</v>
      </c>
      <c r="FL181" s="472"/>
      <c r="FM181" s="450"/>
      <c r="FN181" s="460">
        <f t="shared" si="92"/>
        <v>1707</v>
      </c>
      <c r="FO181" s="469">
        <f t="shared" si="93"/>
        <v>1623</v>
      </c>
    </row>
    <row r="182" spans="1:171" x14ac:dyDescent="0.2">
      <c r="A182" s="439" t="s">
        <v>548</v>
      </c>
      <c r="B182" s="440" t="s">
        <v>569</v>
      </c>
      <c r="C182" s="441"/>
      <c r="D182" s="438">
        <v>368911</v>
      </c>
      <c r="E182" s="512">
        <v>12</v>
      </c>
      <c r="F182" s="532">
        <v>859</v>
      </c>
      <c r="G182" s="450">
        <v>520</v>
      </c>
      <c r="H182" s="457">
        <v>45</v>
      </c>
      <c r="I182" s="450">
        <v>25</v>
      </c>
      <c r="J182" s="457">
        <v>46</v>
      </c>
      <c r="K182" s="450">
        <v>50</v>
      </c>
      <c r="L182" s="458">
        <f t="shared" si="72"/>
        <v>0</v>
      </c>
      <c r="M182" s="449">
        <f t="shared" si="73"/>
        <v>0</v>
      </c>
      <c r="N182" s="459"/>
      <c r="O182" s="459"/>
      <c r="P182" s="459"/>
      <c r="Q182" s="459"/>
      <c r="R182" s="460">
        <f t="shared" si="70"/>
        <v>0</v>
      </c>
      <c r="S182" s="391"/>
      <c r="T182" s="461"/>
      <c r="U182" s="461"/>
      <c r="V182" s="461"/>
      <c r="W182" s="462">
        <f t="shared" si="71"/>
        <v>0</v>
      </c>
      <c r="X182" s="463"/>
      <c r="Y182" s="457"/>
      <c r="Z182" s="464"/>
      <c r="AA182" s="464"/>
      <c r="AB182" s="465"/>
      <c r="AC182" s="457"/>
      <c r="AD182" s="464"/>
      <c r="AE182" s="466"/>
      <c r="AF182" s="465"/>
      <c r="AG182" s="457"/>
      <c r="AH182" s="464"/>
      <c r="AI182" s="466"/>
      <c r="AJ182" s="465"/>
      <c r="AK182" s="457"/>
      <c r="AL182" s="464"/>
      <c r="AM182" s="466"/>
      <c r="AN182" s="465"/>
      <c r="AO182" s="457"/>
      <c r="AP182" s="464"/>
      <c r="AQ182" s="464"/>
      <c r="AR182" s="460">
        <f t="shared" si="74"/>
        <v>0</v>
      </c>
      <c r="AS182" s="467">
        <f t="shared" si="75"/>
        <v>0</v>
      </c>
      <c r="AT182" s="447">
        <f t="shared" si="76"/>
        <v>0</v>
      </c>
      <c r="AU182" s="448">
        <f t="shared" si="77"/>
        <v>0</v>
      </c>
      <c r="AV182" s="457"/>
      <c r="AW182" s="450"/>
      <c r="AX182" s="463"/>
      <c r="AY182" s="457"/>
      <c r="AZ182" s="464"/>
      <c r="BA182" s="464"/>
      <c r="BB182" s="465"/>
      <c r="BC182" s="457"/>
      <c r="BD182" s="464"/>
      <c r="BE182" s="466"/>
      <c r="BF182" s="465"/>
      <c r="BG182" s="457"/>
      <c r="BH182" s="464"/>
      <c r="BI182" s="466"/>
      <c r="BJ182" s="465"/>
      <c r="BK182" s="457"/>
      <c r="BL182" s="464"/>
      <c r="BM182" s="466"/>
      <c r="BN182" s="465"/>
      <c r="BO182" s="457"/>
      <c r="BP182" s="464"/>
      <c r="BQ182" s="466"/>
      <c r="BR182" s="465"/>
      <c r="BS182" s="457"/>
      <c r="BT182" s="723"/>
      <c r="BU182" s="466"/>
      <c r="BV182" s="465"/>
      <c r="BW182" s="457"/>
      <c r="BX182" s="464"/>
      <c r="BY182" s="466"/>
      <c r="BZ182" s="465"/>
      <c r="CA182" s="457"/>
      <c r="CB182" s="464"/>
      <c r="CC182" s="466"/>
      <c r="CD182" s="465"/>
      <c r="CE182" s="457"/>
      <c r="CF182" s="464"/>
      <c r="CG182" s="466"/>
      <c r="CH182" s="465"/>
      <c r="CI182" s="457"/>
      <c r="CJ182" s="464"/>
      <c r="CK182" s="466"/>
      <c r="CL182" s="459"/>
      <c r="CM182" s="450"/>
      <c r="CN182" s="468">
        <f t="shared" si="78"/>
        <v>0</v>
      </c>
      <c r="CO182" s="468">
        <f t="shared" si="79"/>
        <v>0</v>
      </c>
      <c r="CP182" s="469">
        <f t="shared" si="80"/>
        <v>0</v>
      </c>
      <c r="CQ182" s="469">
        <f t="shared" si="81"/>
        <v>0</v>
      </c>
      <c r="CR182" s="463"/>
      <c r="CS182" s="457"/>
      <c r="CT182" s="464"/>
      <c r="CU182" s="464"/>
      <c r="CV182" s="465"/>
      <c r="CW182" s="457"/>
      <c r="CX182" s="464"/>
      <c r="CY182" s="466"/>
      <c r="CZ182" s="465"/>
      <c r="DA182" s="457"/>
      <c r="DB182" s="464"/>
      <c r="DC182" s="466"/>
      <c r="DD182" s="465"/>
      <c r="DE182" s="457"/>
      <c r="DF182" s="464"/>
      <c r="DG182" s="466"/>
      <c r="DH182" s="465"/>
      <c r="DI182" s="457"/>
      <c r="DJ182" s="464"/>
      <c r="DK182" s="466"/>
      <c r="DL182" s="465"/>
      <c r="DM182" s="457"/>
      <c r="DN182" s="464"/>
      <c r="DO182" s="466"/>
      <c r="DP182" s="465"/>
      <c r="DQ182" s="457"/>
      <c r="DR182" s="464"/>
      <c r="DS182" s="466"/>
      <c r="DT182" s="465"/>
      <c r="DU182" s="457"/>
      <c r="DV182" s="464"/>
      <c r="DW182" s="466"/>
      <c r="DX182" s="465"/>
      <c r="DY182" s="457"/>
      <c r="DZ182" s="464"/>
      <c r="EA182" s="466"/>
      <c r="EB182" s="465"/>
      <c r="EC182" s="457"/>
      <c r="ED182" s="464"/>
      <c r="EE182" s="466"/>
      <c r="EF182" s="459"/>
      <c r="EG182" s="450"/>
      <c r="EH182" s="460">
        <f t="shared" si="82"/>
        <v>0</v>
      </c>
      <c r="EI182" s="460">
        <f t="shared" si="83"/>
        <v>0</v>
      </c>
      <c r="EJ182" s="458">
        <f t="shared" si="84"/>
        <v>0</v>
      </c>
      <c r="EK182" s="470">
        <f t="shared" si="85"/>
        <v>0</v>
      </c>
      <c r="EL182" s="470">
        <f t="shared" si="86"/>
        <v>0</v>
      </c>
      <c r="EM182" s="449">
        <f t="shared" si="87"/>
        <v>0</v>
      </c>
      <c r="EN182" s="460">
        <f t="shared" si="88"/>
        <v>0</v>
      </c>
      <c r="EO182" s="469">
        <f t="shared" si="89"/>
        <v>0</v>
      </c>
      <c r="EP182" s="471"/>
      <c r="EQ182" s="450"/>
      <c r="ER182" s="471"/>
      <c r="ES182" s="450"/>
      <c r="ET182" s="471"/>
      <c r="EU182" s="450"/>
      <c r="EV182" s="471"/>
      <c r="EW182" s="450"/>
      <c r="EX182" s="471"/>
      <c r="EY182" s="450"/>
      <c r="EZ182" s="471"/>
      <c r="FA182" s="450"/>
      <c r="FB182" s="471"/>
      <c r="FC182" s="450"/>
      <c r="FD182" s="471"/>
      <c r="FE182" s="450"/>
      <c r="FF182" s="471"/>
      <c r="FG182" s="450"/>
      <c r="FH182" s="472"/>
      <c r="FI182" s="450"/>
      <c r="FJ182" s="468">
        <f t="shared" si="90"/>
        <v>0</v>
      </c>
      <c r="FK182" s="469">
        <f t="shared" si="91"/>
        <v>0</v>
      </c>
      <c r="FL182" s="472"/>
      <c r="FM182" s="450"/>
      <c r="FN182" s="460">
        <f t="shared" si="92"/>
        <v>950</v>
      </c>
      <c r="FO182" s="469">
        <f t="shared" si="93"/>
        <v>595</v>
      </c>
    </row>
    <row r="183" spans="1:171" x14ac:dyDescent="0.2">
      <c r="A183" s="439" t="s">
        <v>548</v>
      </c>
      <c r="B183" s="424" t="s">
        <v>570</v>
      </c>
      <c r="C183" s="490"/>
      <c r="D183" s="445">
        <v>139986</v>
      </c>
      <c r="E183" s="512">
        <v>12</v>
      </c>
      <c r="F183" s="532">
        <v>2016</v>
      </c>
      <c r="G183" s="450">
        <v>1456</v>
      </c>
      <c r="H183" s="457">
        <v>106</v>
      </c>
      <c r="I183" s="450">
        <v>73</v>
      </c>
      <c r="J183" s="457">
        <v>387</v>
      </c>
      <c r="K183" s="450">
        <v>328</v>
      </c>
      <c r="L183" s="458">
        <f t="shared" si="72"/>
        <v>0</v>
      </c>
      <c r="M183" s="449">
        <f t="shared" si="73"/>
        <v>0</v>
      </c>
      <c r="N183" s="459"/>
      <c r="O183" s="459"/>
      <c r="P183" s="459"/>
      <c r="Q183" s="459"/>
      <c r="R183" s="460">
        <f t="shared" si="70"/>
        <v>0</v>
      </c>
      <c r="S183" s="391"/>
      <c r="T183" s="461"/>
      <c r="U183" s="461"/>
      <c r="V183" s="461"/>
      <c r="W183" s="462">
        <f t="shared" si="71"/>
        <v>0</v>
      </c>
      <c r="X183" s="463"/>
      <c r="Y183" s="457"/>
      <c r="Z183" s="464"/>
      <c r="AA183" s="464"/>
      <c r="AB183" s="465"/>
      <c r="AC183" s="457"/>
      <c r="AD183" s="464"/>
      <c r="AE183" s="466"/>
      <c r="AF183" s="465"/>
      <c r="AG183" s="457"/>
      <c r="AH183" s="464"/>
      <c r="AI183" s="466"/>
      <c r="AJ183" s="465"/>
      <c r="AK183" s="457"/>
      <c r="AL183" s="464"/>
      <c r="AM183" s="466"/>
      <c r="AN183" s="465"/>
      <c r="AO183" s="457"/>
      <c r="AP183" s="464"/>
      <c r="AQ183" s="464"/>
      <c r="AR183" s="460">
        <f t="shared" si="74"/>
        <v>0</v>
      </c>
      <c r="AS183" s="467">
        <f t="shared" si="75"/>
        <v>0</v>
      </c>
      <c r="AT183" s="447">
        <f t="shared" si="76"/>
        <v>0</v>
      </c>
      <c r="AU183" s="448">
        <f t="shared" si="77"/>
        <v>0</v>
      </c>
      <c r="AV183" s="457"/>
      <c r="AW183" s="450"/>
      <c r="AX183" s="463"/>
      <c r="AY183" s="457"/>
      <c r="AZ183" s="464"/>
      <c r="BA183" s="464"/>
      <c r="BB183" s="465"/>
      <c r="BC183" s="457"/>
      <c r="BD183" s="464"/>
      <c r="BE183" s="466"/>
      <c r="BF183" s="465"/>
      <c r="BG183" s="457"/>
      <c r="BH183" s="464"/>
      <c r="BI183" s="466"/>
      <c r="BJ183" s="465"/>
      <c r="BK183" s="457"/>
      <c r="BL183" s="464"/>
      <c r="BM183" s="466"/>
      <c r="BN183" s="465"/>
      <c r="BO183" s="457"/>
      <c r="BP183" s="464"/>
      <c r="BQ183" s="466"/>
      <c r="BR183" s="465"/>
      <c r="BS183" s="457"/>
      <c r="BT183" s="723"/>
      <c r="BU183" s="466"/>
      <c r="BV183" s="465"/>
      <c r="BW183" s="457"/>
      <c r="BX183" s="464"/>
      <c r="BY183" s="466"/>
      <c r="BZ183" s="465"/>
      <c r="CA183" s="457"/>
      <c r="CB183" s="464"/>
      <c r="CC183" s="466"/>
      <c r="CD183" s="465"/>
      <c r="CE183" s="457"/>
      <c r="CF183" s="464"/>
      <c r="CG183" s="466"/>
      <c r="CH183" s="465"/>
      <c r="CI183" s="457"/>
      <c r="CJ183" s="464"/>
      <c r="CK183" s="466"/>
      <c r="CL183" s="459"/>
      <c r="CM183" s="450"/>
      <c r="CN183" s="468">
        <f t="shared" si="78"/>
        <v>0</v>
      </c>
      <c r="CO183" s="468">
        <f t="shared" si="79"/>
        <v>0</v>
      </c>
      <c r="CP183" s="469">
        <f t="shared" si="80"/>
        <v>0</v>
      </c>
      <c r="CQ183" s="469">
        <f t="shared" si="81"/>
        <v>0</v>
      </c>
      <c r="CR183" s="463"/>
      <c r="CS183" s="457"/>
      <c r="CT183" s="464"/>
      <c r="CU183" s="464"/>
      <c r="CV183" s="465"/>
      <c r="CW183" s="457"/>
      <c r="CX183" s="464"/>
      <c r="CY183" s="466"/>
      <c r="CZ183" s="465"/>
      <c r="DA183" s="457"/>
      <c r="DB183" s="464"/>
      <c r="DC183" s="466"/>
      <c r="DD183" s="465"/>
      <c r="DE183" s="457"/>
      <c r="DF183" s="464"/>
      <c r="DG183" s="466"/>
      <c r="DH183" s="465"/>
      <c r="DI183" s="457"/>
      <c r="DJ183" s="464"/>
      <c r="DK183" s="466"/>
      <c r="DL183" s="465"/>
      <c r="DM183" s="457"/>
      <c r="DN183" s="464"/>
      <c r="DO183" s="466"/>
      <c r="DP183" s="465"/>
      <c r="DQ183" s="457"/>
      <c r="DR183" s="464"/>
      <c r="DS183" s="466"/>
      <c r="DT183" s="465"/>
      <c r="DU183" s="457"/>
      <c r="DV183" s="464"/>
      <c r="DW183" s="466"/>
      <c r="DX183" s="465"/>
      <c r="DY183" s="457"/>
      <c r="DZ183" s="464"/>
      <c r="EA183" s="466"/>
      <c r="EB183" s="465"/>
      <c r="EC183" s="457"/>
      <c r="ED183" s="464"/>
      <c r="EE183" s="466"/>
      <c r="EF183" s="459"/>
      <c r="EG183" s="450"/>
      <c r="EH183" s="460">
        <f t="shared" si="82"/>
        <v>0</v>
      </c>
      <c r="EI183" s="460">
        <f t="shared" si="83"/>
        <v>0</v>
      </c>
      <c r="EJ183" s="458">
        <f t="shared" si="84"/>
        <v>0</v>
      </c>
      <c r="EK183" s="470">
        <f t="shared" si="85"/>
        <v>0</v>
      </c>
      <c r="EL183" s="470">
        <f t="shared" si="86"/>
        <v>0</v>
      </c>
      <c r="EM183" s="449">
        <f t="shared" si="87"/>
        <v>0</v>
      </c>
      <c r="EN183" s="460">
        <f t="shared" si="88"/>
        <v>0</v>
      </c>
      <c r="EO183" s="469">
        <f t="shared" si="89"/>
        <v>0</v>
      </c>
      <c r="EP183" s="471"/>
      <c r="EQ183" s="450"/>
      <c r="ER183" s="471"/>
      <c r="ES183" s="450"/>
      <c r="ET183" s="471"/>
      <c r="EU183" s="450"/>
      <c r="EV183" s="471"/>
      <c r="EW183" s="450"/>
      <c r="EX183" s="471"/>
      <c r="EY183" s="450"/>
      <c r="EZ183" s="471"/>
      <c r="FA183" s="450"/>
      <c r="FB183" s="471"/>
      <c r="FC183" s="450"/>
      <c r="FD183" s="471"/>
      <c r="FE183" s="450"/>
      <c r="FF183" s="471"/>
      <c r="FG183" s="450"/>
      <c r="FH183" s="472"/>
      <c r="FI183" s="450"/>
      <c r="FJ183" s="468">
        <f t="shared" si="90"/>
        <v>0</v>
      </c>
      <c r="FK183" s="469">
        <f t="shared" si="91"/>
        <v>0</v>
      </c>
      <c r="FL183" s="472"/>
      <c r="FM183" s="450"/>
      <c r="FN183" s="460">
        <f t="shared" si="92"/>
        <v>2509</v>
      </c>
      <c r="FO183" s="469">
        <f t="shared" si="93"/>
        <v>1857</v>
      </c>
    </row>
    <row r="184" spans="1:171" x14ac:dyDescent="0.2">
      <c r="A184" s="439" t="s">
        <v>548</v>
      </c>
      <c r="B184" s="440" t="s">
        <v>571</v>
      </c>
      <c r="C184" s="441"/>
      <c r="D184" s="438">
        <v>141158</v>
      </c>
      <c r="E184" s="512">
        <v>12</v>
      </c>
      <c r="F184" s="532">
        <v>726</v>
      </c>
      <c r="G184" s="450">
        <v>487</v>
      </c>
      <c r="H184" s="457">
        <v>34</v>
      </c>
      <c r="I184" s="450">
        <v>51</v>
      </c>
      <c r="J184" s="457">
        <v>154</v>
      </c>
      <c r="K184" s="450">
        <v>150</v>
      </c>
      <c r="L184" s="458">
        <f t="shared" si="72"/>
        <v>0</v>
      </c>
      <c r="M184" s="449">
        <f t="shared" si="73"/>
        <v>0</v>
      </c>
      <c r="N184" s="459"/>
      <c r="O184" s="459"/>
      <c r="P184" s="459"/>
      <c r="Q184" s="459"/>
      <c r="R184" s="460">
        <f t="shared" si="70"/>
        <v>0</v>
      </c>
      <c r="S184" s="391"/>
      <c r="T184" s="461"/>
      <c r="U184" s="461"/>
      <c r="V184" s="461"/>
      <c r="W184" s="462">
        <f t="shared" si="71"/>
        <v>0</v>
      </c>
      <c r="X184" s="463"/>
      <c r="Y184" s="457"/>
      <c r="Z184" s="464"/>
      <c r="AA184" s="464"/>
      <c r="AB184" s="465"/>
      <c r="AC184" s="457"/>
      <c r="AD184" s="464"/>
      <c r="AE184" s="466"/>
      <c r="AF184" s="465"/>
      <c r="AG184" s="457"/>
      <c r="AH184" s="464"/>
      <c r="AI184" s="466"/>
      <c r="AJ184" s="465"/>
      <c r="AK184" s="457"/>
      <c r="AL184" s="464"/>
      <c r="AM184" s="466"/>
      <c r="AN184" s="465"/>
      <c r="AO184" s="457"/>
      <c r="AP184" s="464"/>
      <c r="AQ184" s="464"/>
      <c r="AR184" s="460">
        <f t="shared" si="74"/>
        <v>0</v>
      </c>
      <c r="AS184" s="467">
        <f t="shared" si="75"/>
        <v>0</v>
      </c>
      <c r="AT184" s="447">
        <f t="shared" si="76"/>
        <v>0</v>
      </c>
      <c r="AU184" s="448">
        <f t="shared" si="77"/>
        <v>0</v>
      </c>
      <c r="AV184" s="457"/>
      <c r="AW184" s="450"/>
      <c r="AX184" s="463"/>
      <c r="AY184" s="457"/>
      <c r="AZ184" s="464"/>
      <c r="BA184" s="464"/>
      <c r="BB184" s="465"/>
      <c r="BC184" s="457"/>
      <c r="BD184" s="464"/>
      <c r="BE184" s="466"/>
      <c r="BF184" s="465"/>
      <c r="BG184" s="457"/>
      <c r="BH184" s="464"/>
      <c r="BI184" s="466"/>
      <c r="BJ184" s="465"/>
      <c r="BK184" s="457"/>
      <c r="BL184" s="464"/>
      <c r="BM184" s="466"/>
      <c r="BN184" s="465"/>
      <c r="BO184" s="457"/>
      <c r="BP184" s="464"/>
      <c r="BQ184" s="466"/>
      <c r="BR184" s="465"/>
      <c r="BS184" s="457"/>
      <c r="BT184" s="723"/>
      <c r="BU184" s="466"/>
      <c r="BV184" s="465"/>
      <c r="BW184" s="457"/>
      <c r="BX184" s="464"/>
      <c r="BY184" s="466"/>
      <c r="BZ184" s="465"/>
      <c r="CA184" s="457"/>
      <c r="CB184" s="464"/>
      <c r="CC184" s="466"/>
      <c r="CD184" s="465"/>
      <c r="CE184" s="457"/>
      <c r="CF184" s="464"/>
      <c r="CG184" s="466"/>
      <c r="CH184" s="465"/>
      <c r="CI184" s="457"/>
      <c r="CJ184" s="464"/>
      <c r="CK184" s="466"/>
      <c r="CL184" s="459"/>
      <c r="CM184" s="450"/>
      <c r="CN184" s="468">
        <f t="shared" si="78"/>
        <v>0</v>
      </c>
      <c r="CO184" s="468">
        <f t="shared" si="79"/>
        <v>0</v>
      </c>
      <c r="CP184" s="469">
        <f t="shared" si="80"/>
        <v>0</v>
      </c>
      <c r="CQ184" s="469">
        <f t="shared" si="81"/>
        <v>0</v>
      </c>
      <c r="CR184" s="463"/>
      <c r="CS184" s="457"/>
      <c r="CT184" s="464"/>
      <c r="CU184" s="464"/>
      <c r="CV184" s="465"/>
      <c r="CW184" s="457"/>
      <c r="CX184" s="464"/>
      <c r="CY184" s="466"/>
      <c r="CZ184" s="465"/>
      <c r="DA184" s="457"/>
      <c r="DB184" s="464"/>
      <c r="DC184" s="466"/>
      <c r="DD184" s="465"/>
      <c r="DE184" s="457"/>
      <c r="DF184" s="464"/>
      <c r="DG184" s="466"/>
      <c r="DH184" s="465"/>
      <c r="DI184" s="457"/>
      <c r="DJ184" s="464"/>
      <c r="DK184" s="466"/>
      <c r="DL184" s="465"/>
      <c r="DM184" s="457"/>
      <c r="DN184" s="464"/>
      <c r="DO184" s="466"/>
      <c r="DP184" s="465"/>
      <c r="DQ184" s="457"/>
      <c r="DR184" s="464"/>
      <c r="DS184" s="466"/>
      <c r="DT184" s="465"/>
      <c r="DU184" s="457"/>
      <c r="DV184" s="464"/>
      <c r="DW184" s="466"/>
      <c r="DX184" s="465"/>
      <c r="DY184" s="457"/>
      <c r="DZ184" s="464"/>
      <c r="EA184" s="466"/>
      <c r="EB184" s="465"/>
      <c r="EC184" s="457"/>
      <c r="ED184" s="464"/>
      <c r="EE184" s="466"/>
      <c r="EF184" s="459"/>
      <c r="EG184" s="450"/>
      <c r="EH184" s="460">
        <f t="shared" si="82"/>
        <v>0</v>
      </c>
      <c r="EI184" s="460">
        <f t="shared" si="83"/>
        <v>0</v>
      </c>
      <c r="EJ184" s="458">
        <f t="shared" si="84"/>
        <v>0</v>
      </c>
      <c r="EK184" s="470">
        <f t="shared" si="85"/>
        <v>0</v>
      </c>
      <c r="EL184" s="470">
        <f t="shared" si="86"/>
        <v>0</v>
      </c>
      <c r="EM184" s="449">
        <f t="shared" si="87"/>
        <v>0</v>
      </c>
      <c r="EN184" s="460">
        <f t="shared" si="88"/>
        <v>0</v>
      </c>
      <c r="EO184" s="469">
        <f t="shared" si="89"/>
        <v>0</v>
      </c>
      <c r="EP184" s="471"/>
      <c r="EQ184" s="450"/>
      <c r="ER184" s="471"/>
      <c r="ES184" s="450"/>
      <c r="ET184" s="471"/>
      <c r="EU184" s="450"/>
      <c r="EV184" s="471"/>
      <c r="EW184" s="450"/>
      <c r="EX184" s="471"/>
      <c r="EY184" s="450"/>
      <c r="EZ184" s="471"/>
      <c r="FA184" s="450"/>
      <c r="FB184" s="471"/>
      <c r="FC184" s="450"/>
      <c r="FD184" s="471"/>
      <c r="FE184" s="450"/>
      <c r="FF184" s="471"/>
      <c r="FG184" s="450"/>
      <c r="FH184" s="472"/>
      <c r="FI184" s="450"/>
      <c r="FJ184" s="468">
        <f t="shared" si="90"/>
        <v>0</v>
      </c>
      <c r="FK184" s="469">
        <f t="shared" si="91"/>
        <v>0</v>
      </c>
      <c r="FL184" s="472"/>
      <c r="FM184" s="450"/>
      <c r="FN184" s="460">
        <f t="shared" si="92"/>
        <v>914</v>
      </c>
      <c r="FO184" s="469">
        <f t="shared" si="93"/>
        <v>688</v>
      </c>
    </row>
    <row r="185" spans="1:171" x14ac:dyDescent="0.2">
      <c r="A185" s="439" t="s">
        <v>548</v>
      </c>
      <c r="B185" s="440" t="s">
        <v>572</v>
      </c>
      <c r="C185" s="441"/>
      <c r="D185" s="438">
        <v>139278</v>
      </c>
      <c r="E185" s="512">
        <v>12</v>
      </c>
      <c r="F185" s="532">
        <v>2153</v>
      </c>
      <c r="G185" s="450">
        <v>1751</v>
      </c>
      <c r="H185" s="457">
        <v>85</v>
      </c>
      <c r="I185" s="450">
        <v>70</v>
      </c>
      <c r="J185" s="457">
        <v>320</v>
      </c>
      <c r="K185" s="450">
        <v>353</v>
      </c>
      <c r="L185" s="458">
        <f t="shared" si="72"/>
        <v>0</v>
      </c>
      <c r="M185" s="449">
        <f t="shared" si="73"/>
        <v>0</v>
      </c>
      <c r="N185" s="459"/>
      <c r="O185" s="459"/>
      <c r="P185" s="459"/>
      <c r="Q185" s="459"/>
      <c r="R185" s="460">
        <f t="shared" si="70"/>
        <v>0</v>
      </c>
      <c r="S185" s="391"/>
      <c r="T185" s="461"/>
      <c r="U185" s="461"/>
      <c r="V185" s="461"/>
      <c r="W185" s="462">
        <f t="shared" si="71"/>
        <v>0</v>
      </c>
      <c r="X185" s="463"/>
      <c r="Y185" s="457"/>
      <c r="Z185" s="464"/>
      <c r="AA185" s="464"/>
      <c r="AB185" s="465"/>
      <c r="AC185" s="457"/>
      <c r="AD185" s="464"/>
      <c r="AE185" s="466"/>
      <c r="AF185" s="465"/>
      <c r="AG185" s="457"/>
      <c r="AH185" s="464"/>
      <c r="AI185" s="466"/>
      <c r="AJ185" s="465"/>
      <c r="AK185" s="457"/>
      <c r="AL185" s="464"/>
      <c r="AM185" s="466"/>
      <c r="AN185" s="465"/>
      <c r="AO185" s="457"/>
      <c r="AP185" s="464"/>
      <c r="AQ185" s="464"/>
      <c r="AR185" s="460">
        <f t="shared" si="74"/>
        <v>0</v>
      </c>
      <c r="AS185" s="467">
        <f t="shared" si="75"/>
        <v>0</v>
      </c>
      <c r="AT185" s="447">
        <f t="shared" si="76"/>
        <v>0</v>
      </c>
      <c r="AU185" s="448">
        <f t="shared" si="77"/>
        <v>0</v>
      </c>
      <c r="AV185" s="457"/>
      <c r="AW185" s="450"/>
      <c r="AX185" s="463"/>
      <c r="AY185" s="457"/>
      <c r="AZ185" s="464"/>
      <c r="BA185" s="464"/>
      <c r="BB185" s="465"/>
      <c r="BC185" s="457"/>
      <c r="BD185" s="464"/>
      <c r="BE185" s="466"/>
      <c r="BF185" s="465"/>
      <c r="BG185" s="457"/>
      <c r="BH185" s="464"/>
      <c r="BI185" s="466"/>
      <c r="BJ185" s="465"/>
      <c r="BK185" s="457"/>
      <c r="BL185" s="464"/>
      <c r="BM185" s="466"/>
      <c r="BN185" s="465"/>
      <c r="BO185" s="457"/>
      <c r="BP185" s="464"/>
      <c r="BQ185" s="466"/>
      <c r="BR185" s="465"/>
      <c r="BS185" s="457"/>
      <c r="BT185" s="723"/>
      <c r="BU185" s="466"/>
      <c r="BV185" s="465"/>
      <c r="BW185" s="457"/>
      <c r="BX185" s="464"/>
      <c r="BY185" s="466"/>
      <c r="BZ185" s="465"/>
      <c r="CA185" s="457"/>
      <c r="CB185" s="464"/>
      <c r="CC185" s="466"/>
      <c r="CD185" s="465"/>
      <c r="CE185" s="457"/>
      <c r="CF185" s="464"/>
      <c r="CG185" s="466"/>
      <c r="CH185" s="465"/>
      <c r="CI185" s="457"/>
      <c r="CJ185" s="464"/>
      <c r="CK185" s="466"/>
      <c r="CL185" s="459"/>
      <c r="CM185" s="450"/>
      <c r="CN185" s="468">
        <f t="shared" si="78"/>
        <v>0</v>
      </c>
      <c r="CO185" s="468">
        <f t="shared" si="79"/>
        <v>0</v>
      </c>
      <c r="CP185" s="469">
        <f t="shared" si="80"/>
        <v>0</v>
      </c>
      <c r="CQ185" s="469">
        <f t="shared" si="81"/>
        <v>0</v>
      </c>
      <c r="CR185" s="463"/>
      <c r="CS185" s="457"/>
      <c r="CT185" s="464"/>
      <c r="CU185" s="464"/>
      <c r="CV185" s="465"/>
      <c r="CW185" s="457"/>
      <c r="CX185" s="464"/>
      <c r="CY185" s="466"/>
      <c r="CZ185" s="465"/>
      <c r="DA185" s="457"/>
      <c r="DB185" s="464"/>
      <c r="DC185" s="466"/>
      <c r="DD185" s="465"/>
      <c r="DE185" s="457"/>
      <c r="DF185" s="464"/>
      <c r="DG185" s="466"/>
      <c r="DH185" s="465"/>
      <c r="DI185" s="457"/>
      <c r="DJ185" s="464"/>
      <c r="DK185" s="466"/>
      <c r="DL185" s="465"/>
      <c r="DM185" s="457"/>
      <c r="DN185" s="464"/>
      <c r="DO185" s="466"/>
      <c r="DP185" s="465"/>
      <c r="DQ185" s="457"/>
      <c r="DR185" s="464"/>
      <c r="DS185" s="466"/>
      <c r="DT185" s="465"/>
      <c r="DU185" s="457"/>
      <c r="DV185" s="464"/>
      <c r="DW185" s="466"/>
      <c r="DX185" s="465"/>
      <c r="DY185" s="457"/>
      <c r="DZ185" s="464"/>
      <c r="EA185" s="466"/>
      <c r="EB185" s="465"/>
      <c r="EC185" s="457"/>
      <c r="ED185" s="464"/>
      <c r="EE185" s="466"/>
      <c r="EF185" s="459"/>
      <c r="EG185" s="450"/>
      <c r="EH185" s="460">
        <f t="shared" si="82"/>
        <v>0</v>
      </c>
      <c r="EI185" s="460">
        <f t="shared" si="83"/>
        <v>0</v>
      </c>
      <c r="EJ185" s="458">
        <f t="shared" si="84"/>
        <v>0</v>
      </c>
      <c r="EK185" s="470">
        <f t="shared" si="85"/>
        <v>0</v>
      </c>
      <c r="EL185" s="470">
        <f t="shared" si="86"/>
        <v>0</v>
      </c>
      <c r="EM185" s="449">
        <f t="shared" si="87"/>
        <v>0</v>
      </c>
      <c r="EN185" s="460">
        <f t="shared" si="88"/>
        <v>0</v>
      </c>
      <c r="EO185" s="469">
        <f t="shared" si="89"/>
        <v>0</v>
      </c>
      <c r="EP185" s="471"/>
      <c r="EQ185" s="450"/>
      <c r="ER185" s="471"/>
      <c r="ES185" s="450"/>
      <c r="ET185" s="471"/>
      <c r="EU185" s="450"/>
      <c r="EV185" s="471"/>
      <c r="EW185" s="450"/>
      <c r="EX185" s="471"/>
      <c r="EY185" s="450"/>
      <c r="EZ185" s="471"/>
      <c r="FA185" s="450"/>
      <c r="FB185" s="471"/>
      <c r="FC185" s="450"/>
      <c r="FD185" s="471"/>
      <c r="FE185" s="450"/>
      <c r="FF185" s="471"/>
      <c r="FG185" s="450"/>
      <c r="FH185" s="472"/>
      <c r="FI185" s="450"/>
      <c r="FJ185" s="468">
        <f t="shared" si="90"/>
        <v>0</v>
      </c>
      <c r="FK185" s="469">
        <f t="shared" si="91"/>
        <v>0</v>
      </c>
      <c r="FL185" s="472"/>
      <c r="FM185" s="450"/>
      <c r="FN185" s="460">
        <f t="shared" si="92"/>
        <v>2558</v>
      </c>
      <c r="FO185" s="469">
        <f t="shared" si="93"/>
        <v>2174</v>
      </c>
    </row>
    <row r="186" spans="1:171" x14ac:dyDescent="0.2">
      <c r="A186" s="439" t="s">
        <v>548</v>
      </c>
      <c r="B186" s="424" t="s">
        <v>573</v>
      </c>
      <c r="C186" s="490"/>
      <c r="D186" s="445">
        <v>141255</v>
      </c>
      <c r="E186" s="512">
        <v>12</v>
      </c>
      <c r="F186" s="532">
        <v>1957</v>
      </c>
      <c r="G186" s="450">
        <v>1271</v>
      </c>
      <c r="H186" s="457">
        <v>166</v>
      </c>
      <c r="I186" s="450">
        <v>170</v>
      </c>
      <c r="J186" s="457">
        <v>120</v>
      </c>
      <c r="K186" s="450">
        <v>140</v>
      </c>
      <c r="L186" s="458">
        <f t="shared" si="72"/>
        <v>0</v>
      </c>
      <c r="M186" s="449">
        <f t="shared" si="73"/>
        <v>0</v>
      </c>
      <c r="N186" s="459"/>
      <c r="O186" s="459"/>
      <c r="P186" s="459"/>
      <c r="Q186" s="459"/>
      <c r="R186" s="460">
        <f t="shared" si="70"/>
        <v>0</v>
      </c>
      <c r="S186" s="391"/>
      <c r="T186" s="461"/>
      <c r="U186" s="461"/>
      <c r="V186" s="461"/>
      <c r="W186" s="462">
        <f t="shared" si="71"/>
        <v>0</v>
      </c>
      <c r="X186" s="463"/>
      <c r="Y186" s="457"/>
      <c r="Z186" s="464"/>
      <c r="AA186" s="464"/>
      <c r="AB186" s="465"/>
      <c r="AC186" s="457"/>
      <c r="AD186" s="464"/>
      <c r="AE186" s="466"/>
      <c r="AF186" s="465"/>
      <c r="AG186" s="457"/>
      <c r="AH186" s="464"/>
      <c r="AI186" s="466"/>
      <c r="AJ186" s="465"/>
      <c r="AK186" s="457"/>
      <c r="AL186" s="464"/>
      <c r="AM186" s="466"/>
      <c r="AN186" s="465"/>
      <c r="AO186" s="457"/>
      <c r="AP186" s="464"/>
      <c r="AQ186" s="464"/>
      <c r="AR186" s="460">
        <f t="shared" si="74"/>
        <v>0</v>
      </c>
      <c r="AS186" s="467">
        <f t="shared" si="75"/>
        <v>0</v>
      </c>
      <c r="AT186" s="447">
        <f t="shared" si="76"/>
        <v>0</v>
      </c>
      <c r="AU186" s="448">
        <f t="shared" si="77"/>
        <v>0</v>
      </c>
      <c r="AV186" s="457"/>
      <c r="AW186" s="450"/>
      <c r="AX186" s="463"/>
      <c r="AY186" s="457"/>
      <c r="AZ186" s="464"/>
      <c r="BA186" s="464"/>
      <c r="BB186" s="465"/>
      <c r="BC186" s="457"/>
      <c r="BD186" s="464"/>
      <c r="BE186" s="466"/>
      <c r="BF186" s="465"/>
      <c r="BG186" s="457"/>
      <c r="BH186" s="464"/>
      <c r="BI186" s="466"/>
      <c r="BJ186" s="465"/>
      <c r="BK186" s="457"/>
      <c r="BL186" s="464"/>
      <c r="BM186" s="466"/>
      <c r="BN186" s="465"/>
      <c r="BO186" s="457"/>
      <c r="BP186" s="464"/>
      <c r="BQ186" s="466"/>
      <c r="BR186" s="465"/>
      <c r="BS186" s="457"/>
      <c r="BT186" s="723"/>
      <c r="BU186" s="466"/>
      <c r="BV186" s="465"/>
      <c r="BW186" s="457"/>
      <c r="BX186" s="464"/>
      <c r="BY186" s="466"/>
      <c r="BZ186" s="465"/>
      <c r="CA186" s="457"/>
      <c r="CB186" s="464"/>
      <c r="CC186" s="466"/>
      <c r="CD186" s="465"/>
      <c r="CE186" s="457"/>
      <c r="CF186" s="464"/>
      <c r="CG186" s="466"/>
      <c r="CH186" s="465"/>
      <c r="CI186" s="457"/>
      <c r="CJ186" s="464"/>
      <c r="CK186" s="466"/>
      <c r="CL186" s="459"/>
      <c r="CM186" s="450"/>
      <c r="CN186" s="468">
        <f t="shared" si="78"/>
        <v>0</v>
      </c>
      <c r="CO186" s="468">
        <f t="shared" si="79"/>
        <v>0</v>
      </c>
      <c r="CP186" s="469">
        <f t="shared" si="80"/>
        <v>0</v>
      </c>
      <c r="CQ186" s="469">
        <f t="shared" si="81"/>
        <v>0</v>
      </c>
      <c r="CR186" s="463"/>
      <c r="CS186" s="457"/>
      <c r="CT186" s="464"/>
      <c r="CU186" s="464"/>
      <c r="CV186" s="465"/>
      <c r="CW186" s="457"/>
      <c r="CX186" s="464"/>
      <c r="CY186" s="466"/>
      <c r="CZ186" s="465"/>
      <c r="DA186" s="457"/>
      <c r="DB186" s="464"/>
      <c r="DC186" s="466"/>
      <c r="DD186" s="465"/>
      <c r="DE186" s="457"/>
      <c r="DF186" s="464"/>
      <c r="DG186" s="466"/>
      <c r="DH186" s="465"/>
      <c r="DI186" s="457"/>
      <c r="DJ186" s="464"/>
      <c r="DK186" s="466"/>
      <c r="DL186" s="465"/>
      <c r="DM186" s="457"/>
      <c r="DN186" s="464"/>
      <c r="DO186" s="466"/>
      <c r="DP186" s="465"/>
      <c r="DQ186" s="457"/>
      <c r="DR186" s="464"/>
      <c r="DS186" s="466"/>
      <c r="DT186" s="465"/>
      <c r="DU186" s="457"/>
      <c r="DV186" s="464"/>
      <c r="DW186" s="466"/>
      <c r="DX186" s="465"/>
      <c r="DY186" s="457"/>
      <c r="DZ186" s="464"/>
      <c r="EA186" s="466"/>
      <c r="EB186" s="465"/>
      <c r="EC186" s="457"/>
      <c r="ED186" s="464"/>
      <c r="EE186" s="466"/>
      <c r="EF186" s="459"/>
      <c r="EG186" s="450"/>
      <c r="EH186" s="460">
        <f t="shared" si="82"/>
        <v>0</v>
      </c>
      <c r="EI186" s="460">
        <f t="shared" si="83"/>
        <v>0</v>
      </c>
      <c r="EJ186" s="458">
        <f t="shared" si="84"/>
        <v>0</v>
      </c>
      <c r="EK186" s="470">
        <f t="shared" si="85"/>
        <v>0</v>
      </c>
      <c r="EL186" s="470">
        <f t="shared" si="86"/>
        <v>0</v>
      </c>
      <c r="EM186" s="449">
        <f t="shared" si="87"/>
        <v>0</v>
      </c>
      <c r="EN186" s="460">
        <f t="shared" si="88"/>
        <v>0</v>
      </c>
      <c r="EO186" s="469">
        <f t="shared" si="89"/>
        <v>0</v>
      </c>
      <c r="EP186" s="471"/>
      <c r="EQ186" s="450"/>
      <c r="ER186" s="471"/>
      <c r="ES186" s="450"/>
      <c r="ET186" s="471"/>
      <c r="EU186" s="450"/>
      <c r="EV186" s="471"/>
      <c r="EW186" s="450"/>
      <c r="EX186" s="471"/>
      <c r="EY186" s="450"/>
      <c r="EZ186" s="471"/>
      <c r="FA186" s="450"/>
      <c r="FB186" s="471"/>
      <c r="FC186" s="450"/>
      <c r="FD186" s="471"/>
      <c r="FE186" s="450"/>
      <c r="FF186" s="471"/>
      <c r="FG186" s="450"/>
      <c r="FH186" s="472"/>
      <c r="FI186" s="450"/>
      <c r="FJ186" s="468">
        <f t="shared" si="90"/>
        <v>0</v>
      </c>
      <c r="FK186" s="469">
        <f t="shared" si="91"/>
        <v>0</v>
      </c>
      <c r="FL186" s="472"/>
      <c r="FM186" s="450"/>
      <c r="FN186" s="460">
        <f t="shared" si="92"/>
        <v>2243</v>
      </c>
      <c r="FO186" s="469">
        <f t="shared" si="93"/>
        <v>1581</v>
      </c>
    </row>
    <row r="187" spans="1:171" x14ac:dyDescent="0.2">
      <c r="A187" s="452" t="s">
        <v>574</v>
      </c>
      <c r="B187" s="453" t="s">
        <v>575</v>
      </c>
      <c r="C187" s="503"/>
      <c r="D187" s="485">
        <v>157085</v>
      </c>
      <c r="E187" s="475">
        <v>1</v>
      </c>
      <c r="F187" s="532">
        <v>33</v>
      </c>
      <c r="G187" s="450">
        <v>20</v>
      </c>
      <c r="H187" s="457"/>
      <c r="I187" s="450"/>
      <c r="J187" s="457"/>
      <c r="K187" s="450"/>
      <c r="L187" s="458">
        <f t="shared" si="72"/>
        <v>0</v>
      </c>
      <c r="M187" s="449">
        <f t="shared" si="73"/>
        <v>0</v>
      </c>
      <c r="N187" s="459">
        <v>3712</v>
      </c>
      <c r="O187" s="459"/>
      <c r="P187" s="459">
        <v>169</v>
      </c>
      <c r="Q187" s="459"/>
      <c r="R187" s="460">
        <f t="shared" si="70"/>
        <v>169</v>
      </c>
      <c r="S187" s="461">
        <v>3735</v>
      </c>
      <c r="T187" s="461"/>
      <c r="U187" s="461">
        <v>169</v>
      </c>
      <c r="V187" s="461"/>
      <c r="W187" s="462">
        <f t="shared" si="71"/>
        <v>169</v>
      </c>
      <c r="X187" s="463"/>
      <c r="Y187" s="457"/>
      <c r="Z187" s="464"/>
      <c r="AA187" s="464"/>
      <c r="AB187" s="465"/>
      <c r="AC187" s="457"/>
      <c r="AD187" s="464"/>
      <c r="AE187" s="466"/>
      <c r="AF187" s="465"/>
      <c r="AG187" s="457"/>
      <c r="AH187" s="464"/>
      <c r="AI187" s="466"/>
      <c r="AJ187" s="465"/>
      <c r="AK187" s="457"/>
      <c r="AL187" s="464"/>
      <c r="AM187" s="466"/>
      <c r="AN187" s="465"/>
      <c r="AO187" s="457"/>
      <c r="AP187" s="464"/>
      <c r="AQ187" s="464"/>
      <c r="AR187" s="460">
        <f t="shared" si="74"/>
        <v>0</v>
      </c>
      <c r="AS187" s="467">
        <f t="shared" si="75"/>
        <v>0.6361610968294773</v>
      </c>
      <c r="AT187" s="447">
        <f t="shared" si="76"/>
        <v>0</v>
      </c>
      <c r="AU187" s="448">
        <f t="shared" si="77"/>
        <v>0.62353923205342232</v>
      </c>
      <c r="AV187" s="457"/>
      <c r="AW187" s="450"/>
      <c r="AX187" s="463">
        <v>51</v>
      </c>
      <c r="AY187" s="457">
        <v>271</v>
      </c>
      <c r="AZ187" s="464">
        <v>51</v>
      </c>
      <c r="BA187" s="464">
        <v>271</v>
      </c>
      <c r="BB187" s="465">
        <v>52</v>
      </c>
      <c r="BC187" s="457">
        <v>193</v>
      </c>
      <c r="BD187" s="464">
        <v>13</v>
      </c>
      <c r="BE187" s="466">
        <v>165</v>
      </c>
      <c r="BF187" s="465">
        <v>44</v>
      </c>
      <c r="BG187" s="457">
        <v>161</v>
      </c>
      <c r="BH187" s="464">
        <v>52</v>
      </c>
      <c r="BI187" s="466">
        <v>163</v>
      </c>
      <c r="BJ187" s="465">
        <v>13</v>
      </c>
      <c r="BK187" s="457">
        <v>124</v>
      </c>
      <c r="BL187" s="464">
        <v>44</v>
      </c>
      <c r="BM187" s="466">
        <v>143</v>
      </c>
      <c r="BN187" s="465">
        <v>14</v>
      </c>
      <c r="BO187" s="457">
        <v>87</v>
      </c>
      <c r="BP187" s="464">
        <v>25</v>
      </c>
      <c r="BQ187" s="466">
        <v>95</v>
      </c>
      <c r="BR187" s="465">
        <v>45</v>
      </c>
      <c r="BS187" s="457">
        <v>71</v>
      </c>
      <c r="BT187" s="464">
        <v>45</v>
      </c>
      <c r="BU187" s="466">
        <v>64</v>
      </c>
      <c r="BV187" s="465">
        <v>25</v>
      </c>
      <c r="BW187" s="457">
        <v>69</v>
      </c>
      <c r="BX187" s="464">
        <v>14</v>
      </c>
      <c r="BY187" s="466">
        <v>53</v>
      </c>
      <c r="BZ187" s="465">
        <v>31</v>
      </c>
      <c r="CA187" s="457">
        <v>47</v>
      </c>
      <c r="CB187" s="464">
        <v>42</v>
      </c>
      <c r="CC187" s="466">
        <v>53</v>
      </c>
      <c r="CD187" s="465">
        <v>42</v>
      </c>
      <c r="CE187" s="457">
        <v>46</v>
      </c>
      <c r="CF187" s="854">
        <v>27</v>
      </c>
      <c r="CG187" s="855">
        <v>51</v>
      </c>
      <c r="CH187" s="465">
        <v>50</v>
      </c>
      <c r="CI187" s="457">
        <v>33</v>
      </c>
      <c r="CJ187" s="854">
        <v>50</v>
      </c>
      <c r="CK187" s="855">
        <v>34</v>
      </c>
      <c r="CL187" s="459">
        <v>205</v>
      </c>
      <c r="CM187" s="853">
        <v>255</v>
      </c>
      <c r="CN187" s="468">
        <f t="shared" si="78"/>
        <v>1307</v>
      </c>
      <c r="CO187" s="468">
        <f t="shared" si="79"/>
        <v>10</v>
      </c>
      <c r="CP187" s="469">
        <f t="shared" si="80"/>
        <v>1347</v>
      </c>
      <c r="CQ187" s="469">
        <f t="shared" si="81"/>
        <v>10</v>
      </c>
      <c r="CR187" s="463">
        <v>26</v>
      </c>
      <c r="CS187" s="457">
        <v>36</v>
      </c>
      <c r="CT187" s="464">
        <v>26</v>
      </c>
      <c r="CU187" s="464">
        <v>60</v>
      </c>
      <c r="CV187" s="465">
        <v>45</v>
      </c>
      <c r="CW187" s="457">
        <v>30</v>
      </c>
      <c r="CX187" s="464">
        <v>14</v>
      </c>
      <c r="CY187" s="466">
        <v>35</v>
      </c>
      <c r="CZ187" s="465">
        <v>40</v>
      </c>
      <c r="DA187" s="457">
        <v>25</v>
      </c>
      <c r="DB187" s="464">
        <v>13</v>
      </c>
      <c r="DC187" s="466">
        <v>33</v>
      </c>
      <c r="DD187" s="465">
        <v>14</v>
      </c>
      <c r="DE187" s="457">
        <v>23</v>
      </c>
      <c r="DF187" s="464">
        <v>51</v>
      </c>
      <c r="DG187" s="466">
        <v>27</v>
      </c>
      <c r="DH187" s="465">
        <v>51</v>
      </c>
      <c r="DI187" s="457">
        <v>22</v>
      </c>
      <c r="DJ187" s="464">
        <v>45</v>
      </c>
      <c r="DK187" s="466">
        <v>25</v>
      </c>
      <c r="DL187" s="465">
        <v>42</v>
      </c>
      <c r="DM187" s="457">
        <v>22</v>
      </c>
      <c r="DN187" s="464">
        <v>40</v>
      </c>
      <c r="DO187" s="466">
        <v>18</v>
      </c>
      <c r="DP187" s="465">
        <v>13</v>
      </c>
      <c r="DQ187" s="457">
        <v>20</v>
      </c>
      <c r="DR187" s="464">
        <v>42</v>
      </c>
      <c r="DS187" s="466">
        <v>17</v>
      </c>
      <c r="DT187" s="465">
        <v>50</v>
      </c>
      <c r="DU187" s="457">
        <v>13</v>
      </c>
      <c r="DV187" s="464">
        <v>50</v>
      </c>
      <c r="DW187" s="466">
        <v>15</v>
      </c>
      <c r="DX187" s="465">
        <v>1</v>
      </c>
      <c r="DY187" s="457">
        <v>10</v>
      </c>
      <c r="DZ187" s="464">
        <v>27</v>
      </c>
      <c r="EA187" s="466">
        <v>12</v>
      </c>
      <c r="EB187" s="465">
        <v>27</v>
      </c>
      <c r="EC187" s="457">
        <v>8</v>
      </c>
      <c r="ED187" s="464">
        <v>1</v>
      </c>
      <c r="EE187" s="466">
        <v>12</v>
      </c>
      <c r="EF187" s="459">
        <v>52</v>
      </c>
      <c r="EG187" s="450">
        <v>68</v>
      </c>
      <c r="EH187" s="460">
        <f t="shared" si="82"/>
        <v>261</v>
      </c>
      <c r="EI187" s="460">
        <f t="shared" si="83"/>
        <v>10</v>
      </c>
      <c r="EJ187" s="458">
        <f t="shared" si="84"/>
        <v>0.13793103448275862</v>
      </c>
      <c r="EK187" s="470">
        <f t="shared" si="85"/>
        <v>322</v>
      </c>
      <c r="EL187" s="470">
        <f t="shared" si="86"/>
        <v>10</v>
      </c>
      <c r="EM187" s="449">
        <f t="shared" si="87"/>
        <v>0.18633540372670807</v>
      </c>
      <c r="EN187" s="460">
        <f t="shared" si="88"/>
        <v>1568</v>
      </c>
      <c r="EO187" s="469">
        <f t="shared" si="89"/>
        <v>1669</v>
      </c>
      <c r="EP187" s="471">
        <v>135</v>
      </c>
      <c r="EQ187" s="450">
        <v>148</v>
      </c>
      <c r="ER187" s="471">
        <v>89</v>
      </c>
      <c r="ES187" s="450">
        <v>104</v>
      </c>
      <c r="ET187" s="471">
        <v>51</v>
      </c>
      <c r="EU187" s="450">
        <v>62</v>
      </c>
      <c r="EV187" s="471">
        <v>124</v>
      </c>
      <c r="EW187" s="450">
        <v>126</v>
      </c>
      <c r="EX187" s="471"/>
      <c r="EY187" s="450"/>
      <c r="EZ187" s="471"/>
      <c r="FA187" s="450"/>
      <c r="FB187" s="471"/>
      <c r="FC187" s="450"/>
      <c r="FD187" s="471"/>
      <c r="FE187" s="450"/>
      <c r="FF187" s="471"/>
      <c r="FG187" s="450"/>
      <c r="FH187" s="472">
        <v>123</v>
      </c>
      <c r="FI187" s="450">
        <v>126</v>
      </c>
      <c r="FJ187" s="468">
        <f t="shared" si="90"/>
        <v>522</v>
      </c>
      <c r="FK187" s="469">
        <f t="shared" si="91"/>
        <v>566</v>
      </c>
      <c r="FL187" s="472"/>
      <c r="FM187" s="450"/>
      <c r="FN187" s="460">
        <f t="shared" si="92"/>
        <v>5835</v>
      </c>
      <c r="FO187" s="469">
        <f t="shared" si="93"/>
        <v>5990</v>
      </c>
    </row>
    <row r="188" spans="1:171" x14ac:dyDescent="0.2">
      <c r="A188" s="452" t="s">
        <v>574</v>
      </c>
      <c r="B188" s="453" t="s">
        <v>576</v>
      </c>
      <c r="C188" s="503"/>
      <c r="D188" s="485">
        <v>157289</v>
      </c>
      <c r="E188" s="475">
        <v>1</v>
      </c>
      <c r="F188" s="532">
        <v>24</v>
      </c>
      <c r="G188" s="450">
        <v>28</v>
      </c>
      <c r="H188" s="457"/>
      <c r="I188" s="450"/>
      <c r="J188" s="457">
        <v>19</v>
      </c>
      <c r="K188" s="450">
        <v>11</v>
      </c>
      <c r="L188" s="458">
        <f t="shared" si="72"/>
        <v>7.2574484339190219E-3</v>
      </c>
      <c r="M188" s="449">
        <f t="shared" si="73"/>
        <v>4.0710584752035525E-3</v>
      </c>
      <c r="N188" s="459">
        <v>2618</v>
      </c>
      <c r="O188" s="459"/>
      <c r="P188" s="459">
        <v>171</v>
      </c>
      <c r="Q188" s="459"/>
      <c r="R188" s="460">
        <f t="shared" si="70"/>
        <v>171</v>
      </c>
      <c r="S188" s="461">
        <v>2702</v>
      </c>
      <c r="T188" s="461"/>
      <c r="U188" s="461">
        <v>189</v>
      </c>
      <c r="V188" s="461"/>
      <c r="W188" s="462">
        <f t="shared" si="71"/>
        <v>189</v>
      </c>
      <c r="X188" s="463"/>
      <c r="Y188" s="457"/>
      <c r="Z188" s="464"/>
      <c r="AA188" s="464"/>
      <c r="AB188" s="465"/>
      <c r="AC188" s="457"/>
      <c r="AD188" s="464"/>
      <c r="AE188" s="466"/>
      <c r="AF188" s="465"/>
      <c r="AG188" s="457"/>
      <c r="AH188" s="464"/>
      <c r="AI188" s="466"/>
      <c r="AJ188" s="465"/>
      <c r="AK188" s="457"/>
      <c r="AL188" s="464"/>
      <c r="AM188" s="466"/>
      <c r="AN188" s="465"/>
      <c r="AO188" s="457"/>
      <c r="AP188" s="464"/>
      <c r="AQ188" s="464"/>
      <c r="AR188" s="460">
        <f t="shared" si="74"/>
        <v>0</v>
      </c>
      <c r="AS188" s="467">
        <f t="shared" si="75"/>
        <v>0.55868544600938963</v>
      </c>
      <c r="AT188" s="447">
        <f t="shared" si="76"/>
        <v>0</v>
      </c>
      <c r="AU188" s="448">
        <f t="shared" si="77"/>
        <v>0.55176638758423524</v>
      </c>
      <c r="AV188" s="457">
        <v>158</v>
      </c>
      <c r="AW188" s="450">
        <v>163</v>
      </c>
      <c r="AX188" s="463">
        <v>13</v>
      </c>
      <c r="AY188" s="457">
        <v>391</v>
      </c>
      <c r="AZ188" s="464">
        <v>13</v>
      </c>
      <c r="BA188" s="464">
        <v>414</v>
      </c>
      <c r="BB188" s="465">
        <v>14</v>
      </c>
      <c r="BC188" s="457">
        <v>238</v>
      </c>
      <c r="BD188" s="464">
        <v>14</v>
      </c>
      <c r="BE188" s="466">
        <v>199</v>
      </c>
      <c r="BF188" s="465">
        <v>44</v>
      </c>
      <c r="BG188" s="457">
        <v>143</v>
      </c>
      <c r="BH188" s="464">
        <v>44</v>
      </c>
      <c r="BI188" s="466">
        <v>157</v>
      </c>
      <c r="BJ188" s="465">
        <v>52</v>
      </c>
      <c r="BK188" s="457">
        <v>132</v>
      </c>
      <c r="BL188" s="464">
        <v>52</v>
      </c>
      <c r="BM188" s="466">
        <v>156</v>
      </c>
      <c r="BN188" s="465">
        <v>51</v>
      </c>
      <c r="BO188" s="457">
        <v>96</v>
      </c>
      <c r="BP188" s="464">
        <v>51</v>
      </c>
      <c r="BQ188" s="466">
        <v>121</v>
      </c>
      <c r="BR188" s="465">
        <v>15</v>
      </c>
      <c r="BS188" s="457">
        <v>50</v>
      </c>
      <c r="BT188" s="464">
        <v>26</v>
      </c>
      <c r="BU188" s="466">
        <v>67</v>
      </c>
      <c r="BV188" s="465">
        <v>26</v>
      </c>
      <c r="BW188" s="457">
        <v>50</v>
      </c>
      <c r="BX188" s="464">
        <v>31</v>
      </c>
      <c r="BY188" s="466">
        <v>48</v>
      </c>
      <c r="BZ188" s="465">
        <v>31</v>
      </c>
      <c r="CA188" s="457">
        <v>48</v>
      </c>
      <c r="CB188" s="464">
        <v>50</v>
      </c>
      <c r="CC188" s="466">
        <v>41</v>
      </c>
      <c r="CD188" s="465">
        <v>50</v>
      </c>
      <c r="CE188" s="457">
        <v>36</v>
      </c>
      <c r="CF188" s="464">
        <v>43</v>
      </c>
      <c r="CG188" s="466">
        <v>35</v>
      </c>
      <c r="CH188" s="465">
        <v>43</v>
      </c>
      <c r="CI188" s="457">
        <v>25</v>
      </c>
      <c r="CJ188" s="464">
        <v>15</v>
      </c>
      <c r="CK188" s="466">
        <v>35</v>
      </c>
      <c r="CL188" s="459">
        <v>124</v>
      </c>
      <c r="CM188" s="450">
        <v>171</v>
      </c>
      <c r="CN188" s="468">
        <f t="shared" si="78"/>
        <v>1333</v>
      </c>
      <c r="CO188" s="468">
        <f t="shared" si="79"/>
        <v>10</v>
      </c>
      <c r="CP188" s="469">
        <f t="shared" si="80"/>
        <v>1444</v>
      </c>
      <c r="CQ188" s="469">
        <f t="shared" si="81"/>
        <v>10</v>
      </c>
      <c r="CR188" s="463">
        <v>13</v>
      </c>
      <c r="CS188" s="457">
        <v>45</v>
      </c>
      <c r="CT188" s="464">
        <v>13</v>
      </c>
      <c r="CU188" s="464">
        <v>52</v>
      </c>
      <c r="CV188" s="465">
        <v>26</v>
      </c>
      <c r="CW188" s="457">
        <v>43</v>
      </c>
      <c r="CX188" s="464">
        <v>26</v>
      </c>
      <c r="CY188" s="466">
        <v>47</v>
      </c>
      <c r="CZ188" s="465">
        <v>14</v>
      </c>
      <c r="DA188" s="457">
        <v>23</v>
      </c>
      <c r="DB188" s="464">
        <v>14</v>
      </c>
      <c r="DC188" s="466">
        <v>26</v>
      </c>
      <c r="DD188" s="465">
        <v>24</v>
      </c>
      <c r="DE188" s="457">
        <v>14</v>
      </c>
      <c r="DF188" s="464">
        <v>40</v>
      </c>
      <c r="DG188" s="466">
        <v>14</v>
      </c>
      <c r="DH188" s="465">
        <v>51</v>
      </c>
      <c r="DI188" s="457">
        <v>8</v>
      </c>
      <c r="DJ188" s="464">
        <v>42</v>
      </c>
      <c r="DK188" s="466">
        <v>11</v>
      </c>
      <c r="DL188" s="465">
        <v>42</v>
      </c>
      <c r="DM188" s="457">
        <v>7</v>
      </c>
      <c r="DN188" s="464">
        <v>51</v>
      </c>
      <c r="DO188" s="466">
        <v>11</v>
      </c>
      <c r="DP188" s="465">
        <v>23</v>
      </c>
      <c r="DQ188" s="457">
        <v>6</v>
      </c>
      <c r="DR188" s="464">
        <v>27</v>
      </c>
      <c r="DS188" s="466">
        <v>7</v>
      </c>
      <c r="DT188" s="465">
        <v>45</v>
      </c>
      <c r="DU188" s="457">
        <v>4</v>
      </c>
      <c r="DV188" s="464">
        <v>24</v>
      </c>
      <c r="DW188" s="466">
        <v>6</v>
      </c>
      <c r="DX188" s="465">
        <v>40</v>
      </c>
      <c r="DY188" s="457">
        <v>4</v>
      </c>
      <c r="DZ188" s="464">
        <v>23</v>
      </c>
      <c r="EA188" s="466">
        <v>5</v>
      </c>
      <c r="EB188" s="465">
        <v>44</v>
      </c>
      <c r="EC188" s="457">
        <v>3</v>
      </c>
      <c r="ED188" s="464">
        <v>44</v>
      </c>
      <c r="EE188" s="466">
        <v>3</v>
      </c>
      <c r="EF188" s="459">
        <v>6</v>
      </c>
      <c r="EG188" s="450">
        <v>6</v>
      </c>
      <c r="EH188" s="460">
        <f t="shared" si="82"/>
        <v>163</v>
      </c>
      <c r="EI188" s="460">
        <f t="shared" si="83"/>
        <v>10</v>
      </c>
      <c r="EJ188" s="458">
        <f t="shared" si="84"/>
        <v>0.27607361963190186</v>
      </c>
      <c r="EK188" s="470">
        <f t="shared" si="85"/>
        <v>188</v>
      </c>
      <c r="EL188" s="470">
        <f t="shared" si="86"/>
        <v>10</v>
      </c>
      <c r="EM188" s="449">
        <f t="shared" si="87"/>
        <v>0.27659574468085107</v>
      </c>
      <c r="EN188" s="460">
        <f t="shared" si="88"/>
        <v>1496</v>
      </c>
      <c r="EO188" s="469">
        <f t="shared" si="89"/>
        <v>1632</v>
      </c>
      <c r="EP188" s="471">
        <v>145</v>
      </c>
      <c r="EQ188" s="450">
        <v>127</v>
      </c>
      <c r="ER188" s="471">
        <v>148</v>
      </c>
      <c r="ES188" s="450">
        <v>148</v>
      </c>
      <c r="ET188" s="471">
        <v>78</v>
      </c>
      <c r="EU188" s="450">
        <v>86</v>
      </c>
      <c r="EV188" s="471"/>
      <c r="EW188" s="450"/>
      <c r="EX188" s="471"/>
      <c r="EY188" s="450"/>
      <c r="EZ188" s="471"/>
      <c r="FA188" s="450"/>
      <c r="FB188" s="471"/>
      <c r="FC188" s="450"/>
      <c r="FD188" s="471"/>
      <c r="FE188" s="450"/>
      <c r="FF188" s="471"/>
      <c r="FG188" s="450"/>
      <c r="FH188" s="472"/>
      <c r="FI188" s="450"/>
      <c r="FJ188" s="468">
        <f t="shared" si="90"/>
        <v>371</v>
      </c>
      <c r="FK188" s="469">
        <f t="shared" si="91"/>
        <v>361</v>
      </c>
      <c r="FL188" s="472"/>
      <c r="FM188" s="450"/>
      <c r="FN188" s="460">
        <f t="shared" si="92"/>
        <v>4686</v>
      </c>
      <c r="FO188" s="469">
        <f t="shared" si="93"/>
        <v>4897</v>
      </c>
    </row>
    <row r="189" spans="1:171" x14ac:dyDescent="0.2">
      <c r="A189" s="452" t="s">
        <v>574</v>
      </c>
      <c r="B189" s="453" t="s">
        <v>577</v>
      </c>
      <c r="C189" s="503"/>
      <c r="D189" s="485">
        <v>156620</v>
      </c>
      <c r="E189" s="475">
        <v>3</v>
      </c>
      <c r="F189" s="532">
        <v>39</v>
      </c>
      <c r="G189" s="450">
        <v>40</v>
      </c>
      <c r="H189" s="457"/>
      <c r="I189" s="450"/>
      <c r="J189" s="457">
        <v>215</v>
      </c>
      <c r="K189" s="450">
        <v>177</v>
      </c>
      <c r="L189" s="458">
        <f t="shared" si="72"/>
        <v>0.10070257611241218</v>
      </c>
      <c r="M189" s="449">
        <f t="shared" si="73"/>
        <v>7.8353253652058433E-2</v>
      </c>
      <c r="N189" s="459">
        <v>2135</v>
      </c>
      <c r="O189" s="459"/>
      <c r="P189" s="459">
        <v>359</v>
      </c>
      <c r="Q189" s="459"/>
      <c r="R189" s="460">
        <f t="shared" si="70"/>
        <v>359</v>
      </c>
      <c r="S189" s="461">
        <v>2259</v>
      </c>
      <c r="T189" s="461"/>
      <c r="U189" s="461">
        <v>315</v>
      </c>
      <c r="V189" s="461"/>
      <c r="W189" s="462">
        <f t="shared" si="71"/>
        <v>315</v>
      </c>
      <c r="X189" s="463"/>
      <c r="Y189" s="457"/>
      <c r="Z189" s="464"/>
      <c r="AA189" s="464"/>
      <c r="AB189" s="465"/>
      <c r="AC189" s="457"/>
      <c r="AD189" s="464"/>
      <c r="AE189" s="466"/>
      <c r="AF189" s="465"/>
      <c r="AG189" s="457"/>
      <c r="AH189" s="464"/>
      <c r="AI189" s="466"/>
      <c r="AJ189" s="465"/>
      <c r="AK189" s="457"/>
      <c r="AL189" s="464"/>
      <c r="AM189" s="466"/>
      <c r="AN189" s="465"/>
      <c r="AO189" s="457"/>
      <c r="AP189" s="464"/>
      <c r="AQ189" s="464"/>
      <c r="AR189" s="460">
        <f t="shared" si="74"/>
        <v>0</v>
      </c>
      <c r="AS189" s="467">
        <f t="shared" si="75"/>
        <v>0.68848758465011284</v>
      </c>
      <c r="AT189" s="447">
        <f t="shared" si="76"/>
        <v>0</v>
      </c>
      <c r="AU189" s="448">
        <f t="shared" si="77"/>
        <v>0.69981412639405205</v>
      </c>
      <c r="AV189" s="457">
        <v>8</v>
      </c>
      <c r="AW189" s="450">
        <v>1</v>
      </c>
      <c r="AX189" s="463">
        <v>13</v>
      </c>
      <c r="AY189" s="457">
        <v>351</v>
      </c>
      <c r="AZ189" s="464">
        <v>13</v>
      </c>
      <c r="BA189" s="464">
        <v>310</v>
      </c>
      <c r="BB189" s="465">
        <v>43</v>
      </c>
      <c r="BC189" s="457">
        <v>116</v>
      </c>
      <c r="BD189" s="464">
        <v>43</v>
      </c>
      <c r="BE189" s="466">
        <v>131</v>
      </c>
      <c r="BF189" s="465">
        <v>51</v>
      </c>
      <c r="BG189" s="457">
        <v>95</v>
      </c>
      <c r="BH189" s="464">
        <v>51</v>
      </c>
      <c r="BI189" s="466">
        <v>110</v>
      </c>
      <c r="BJ189" s="465">
        <v>42</v>
      </c>
      <c r="BK189" s="457">
        <v>38</v>
      </c>
      <c r="BL189" s="464">
        <v>42</v>
      </c>
      <c r="BM189" s="466">
        <v>36</v>
      </c>
      <c r="BN189" s="465">
        <v>52</v>
      </c>
      <c r="BO189" s="457">
        <v>21</v>
      </c>
      <c r="BP189" s="464">
        <v>52</v>
      </c>
      <c r="BQ189" s="466">
        <v>32</v>
      </c>
      <c r="BR189" s="465">
        <v>23</v>
      </c>
      <c r="BS189" s="457">
        <v>19</v>
      </c>
      <c r="BT189" s="464">
        <v>23</v>
      </c>
      <c r="BU189" s="466">
        <v>27</v>
      </c>
      <c r="BV189" s="465">
        <v>26</v>
      </c>
      <c r="BW189" s="457">
        <v>18</v>
      </c>
      <c r="BX189" s="464">
        <v>26</v>
      </c>
      <c r="BY189" s="466">
        <v>18</v>
      </c>
      <c r="BZ189" s="465">
        <v>54</v>
      </c>
      <c r="CA189" s="457">
        <v>10</v>
      </c>
      <c r="CB189" s="464">
        <v>11</v>
      </c>
      <c r="CC189" s="466">
        <v>18</v>
      </c>
      <c r="CD189" s="465">
        <v>31</v>
      </c>
      <c r="CE189" s="457">
        <v>7</v>
      </c>
      <c r="CF189" s="464">
        <v>44</v>
      </c>
      <c r="CG189" s="466">
        <v>17</v>
      </c>
      <c r="CH189" s="465">
        <v>40</v>
      </c>
      <c r="CI189" s="457">
        <v>6</v>
      </c>
      <c r="CJ189" s="464">
        <v>50</v>
      </c>
      <c r="CK189" s="466">
        <v>13</v>
      </c>
      <c r="CL189" s="459">
        <v>19</v>
      </c>
      <c r="CM189" s="450">
        <v>30</v>
      </c>
      <c r="CN189" s="468">
        <f t="shared" si="78"/>
        <v>700</v>
      </c>
      <c r="CO189" s="468">
        <f t="shared" si="79"/>
        <v>10</v>
      </c>
      <c r="CP189" s="469">
        <f t="shared" si="80"/>
        <v>742</v>
      </c>
      <c r="CQ189" s="469">
        <f t="shared" si="81"/>
        <v>10</v>
      </c>
      <c r="CR189" s="463"/>
      <c r="CS189" s="457"/>
      <c r="CT189" s="464"/>
      <c r="CU189" s="464"/>
      <c r="CV189" s="465"/>
      <c r="CW189" s="457"/>
      <c r="CX189" s="464"/>
      <c r="CY189" s="466"/>
      <c r="CZ189" s="465"/>
      <c r="DA189" s="457"/>
      <c r="DB189" s="464"/>
      <c r="DC189" s="466"/>
      <c r="DD189" s="465"/>
      <c r="DE189" s="457"/>
      <c r="DF189" s="464"/>
      <c r="DG189" s="466"/>
      <c r="DH189" s="465"/>
      <c r="DI189" s="457"/>
      <c r="DJ189" s="464"/>
      <c r="DK189" s="466"/>
      <c r="DL189" s="465"/>
      <c r="DM189" s="457"/>
      <c r="DN189" s="464"/>
      <c r="DO189" s="466"/>
      <c r="DP189" s="465"/>
      <c r="DQ189" s="457"/>
      <c r="DR189" s="464"/>
      <c r="DS189" s="466"/>
      <c r="DT189" s="465"/>
      <c r="DU189" s="457"/>
      <c r="DV189" s="464"/>
      <c r="DW189" s="466"/>
      <c r="DX189" s="465"/>
      <c r="DY189" s="457"/>
      <c r="DZ189" s="464"/>
      <c r="EA189" s="466"/>
      <c r="EB189" s="465"/>
      <c r="EC189" s="457"/>
      <c r="ED189" s="464"/>
      <c r="EE189" s="466"/>
      <c r="EF189" s="459"/>
      <c r="EG189" s="450"/>
      <c r="EH189" s="460">
        <f t="shared" si="82"/>
        <v>0</v>
      </c>
      <c r="EI189" s="460">
        <f t="shared" si="83"/>
        <v>0</v>
      </c>
      <c r="EJ189" s="458">
        <f t="shared" si="84"/>
        <v>0</v>
      </c>
      <c r="EK189" s="470">
        <f t="shared" si="85"/>
        <v>0</v>
      </c>
      <c r="EL189" s="470">
        <f t="shared" si="86"/>
        <v>0</v>
      </c>
      <c r="EM189" s="449">
        <f t="shared" si="87"/>
        <v>0</v>
      </c>
      <c r="EN189" s="460">
        <f t="shared" si="88"/>
        <v>700</v>
      </c>
      <c r="EO189" s="469">
        <f t="shared" si="89"/>
        <v>742</v>
      </c>
      <c r="EP189" s="471"/>
      <c r="EQ189" s="450"/>
      <c r="ER189" s="471"/>
      <c r="ES189" s="450"/>
      <c r="ET189" s="471"/>
      <c r="EU189" s="450"/>
      <c r="EV189" s="471"/>
      <c r="EW189" s="450"/>
      <c r="EX189" s="471"/>
      <c r="EY189" s="450"/>
      <c r="EZ189" s="471"/>
      <c r="FA189" s="450"/>
      <c r="FB189" s="471"/>
      <c r="FC189" s="450"/>
      <c r="FD189" s="471"/>
      <c r="FE189" s="450"/>
      <c r="FF189" s="471"/>
      <c r="FG189" s="450"/>
      <c r="FH189" s="472">
        <v>4</v>
      </c>
      <c r="FI189" s="450">
        <v>9</v>
      </c>
      <c r="FJ189" s="468">
        <f t="shared" si="90"/>
        <v>4</v>
      </c>
      <c r="FK189" s="469">
        <f t="shared" si="91"/>
        <v>9</v>
      </c>
      <c r="FL189" s="472"/>
      <c r="FM189" s="450"/>
      <c r="FN189" s="460">
        <f t="shared" si="92"/>
        <v>3101</v>
      </c>
      <c r="FO189" s="469">
        <f t="shared" si="93"/>
        <v>3228</v>
      </c>
    </row>
    <row r="190" spans="1:171" x14ac:dyDescent="0.2">
      <c r="A190" s="452" t="s">
        <v>574</v>
      </c>
      <c r="B190" s="453" t="s">
        <v>578</v>
      </c>
      <c r="C190" s="503"/>
      <c r="D190" s="485">
        <v>157386</v>
      </c>
      <c r="E190" s="475">
        <v>3</v>
      </c>
      <c r="F190" s="532"/>
      <c r="G190" s="450"/>
      <c r="H190" s="457"/>
      <c r="I190" s="450"/>
      <c r="J190" s="457">
        <v>165</v>
      </c>
      <c r="K190" s="450">
        <v>163</v>
      </c>
      <c r="L190" s="458">
        <f t="shared" si="72"/>
        <v>0.15291936978683968</v>
      </c>
      <c r="M190" s="449">
        <f t="shared" si="73"/>
        <v>0.14618834080717488</v>
      </c>
      <c r="N190" s="459">
        <v>1079</v>
      </c>
      <c r="O190" s="459"/>
      <c r="P190" s="459">
        <v>236</v>
      </c>
      <c r="Q190" s="459"/>
      <c r="R190" s="460">
        <f t="shared" si="70"/>
        <v>236</v>
      </c>
      <c r="S190" s="461">
        <v>1115</v>
      </c>
      <c r="T190" s="461"/>
      <c r="U190" s="461">
        <v>209</v>
      </c>
      <c r="V190" s="461"/>
      <c r="W190" s="462">
        <f t="shared" si="71"/>
        <v>209</v>
      </c>
      <c r="X190" s="463"/>
      <c r="Y190" s="457"/>
      <c r="Z190" s="464"/>
      <c r="AA190" s="464"/>
      <c r="AB190" s="465"/>
      <c r="AC190" s="457"/>
      <c r="AD190" s="464"/>
      <c r="AE190" s="466"/>
      <c r="AF190" s="465"/>
      <c r="AG190" s="457"/>
      <c r="AH190" s="464"/>
      <c r="AI190" s="466"/>
      <c r="AJ190" s="465"/>
      <c r="AK190" s="457"/>
      <c r="AL190" s="464"/>
      <c r="AM190" s="466"/>
      <c r="AN190" s="465"/>
      <c r="AO190" s="457"/>
      <c r="AP190" s="464"/>
      <c r="AQ190" s="464"/>
      <c r="AR190" s="460">
        <f t="shared" si="74"/>
        <v>0</v>
      </c>
      <c r="AS190" s="467">
        <f t="shared" si="75"/>
        <v>0.64187983343248067</v>
      </c>
      <c r="AT190" s="447">
        <f t="shared" si="76"/>
        <v>0</v>
      </c>
      <c r="AU190" s="448">
        <f t="shared" si="77"/>
        <v>0.64191134139320671</v>
      </c>
      <c r="AV190" s="457"/>
      <c r="AW190" s="450">
        <v>3</v>
      </c>
      <c r="AX190" s="463">
        <v>13</v>
      </c>
      <c r="AY190" s="457">
        <v>313</v>
      </c>
      <c r="AZ190" s="464">
        <v>13</v>
      </c>
      <c r="BA190" s="464">
        <v>283</v>
      </c>
      <c r="BB190" s="465">
        <v>52</v>
      </c>
      <c r="BC190" s="457">
        <v>58</v>
      </c>
      <c r="BD190" s="464">
        <v>52</v>
      </c>
      <c r="BE190" s="466">
        <v>82</v>
      </c>
      <c r="BF190" s="465">
        <v>50</v>
      </c>
      <c r="BG190" s="457">
        <v>13</v>
      </c>
      <c r="BH190" s="464">
        <v>23</v>
      </c>
      <c r="BI190" s="466">
        <v>19</v>
      </c>
      <c r="BJ190" s="465">
        <v>23</v>
      </c>
      <c r="BK190" s="457">
        <v>13</v>
      </c>
      <c r="BL190" s="464">
        <v>42</v>
      </c>
      <c r="BM190" s="466">
        <v>19</v>
      </c>
      <c r="BN190" s="465">
        <v>42</v>
      </c>
      <c r="BO190" s="457">
        <v>11</v>
      </c>
      <c r="BP190" s="464">
        <v>50</v>
      </c>
      <c r="BQ190" s="466">
        <v>17</v>
      </c>
      <c r="BR190" s="465">
        <v>15</v>
      </c>
      <c r="BS190" s="457">
        <v>9</v>
      </c>
      <c r="BT190" s="464">
        <v>44</v>
      </c>
      <c r="BU190" s="466">
        <v>12</v>
      </c>
      <c r="BV190" s="465">
        <v>44</v>
      </c>
      <c r="BW190" s="457">
        <v>9</v>
      </c>
      <c r="BX190" s="464">
        <v>9</v>
      </c>
      <c r="BY190" s="466">
        <v>9</v>
      </c>
      <c r="BZ190" s="465">
        <v>9</v>
      </c>
      <c r="CA190" s="457">
        <v>6</v>
      </c>
      <c r="CB190" s="464">
        <v>15</v>
      </c>
      <c r="CC190" s="466">
        <v>6</v>
      </c>
      <c r="CD190" s="465">
        <v>45</v>
      </c>
      <c r="CE190" s="457">
        <v>3</v>
      </c>
      <c r="CF190" s="464">
        <v>26</v>
      </c>
      <c r="CG190" s="466">
        <v>5</v>
      </c>
      <c r="CH190" s="465">
        <v>26</v>
      </c>
      <c r="CI190" s="457">
        <v>2</v>
      </c>
      <c r="CJ190" s="464">
        <v>45</v>
      </c>
      <c r="CK190" s="466">
        <v>4</v>
      </c>
      <c r="CL190" s="459"/>
      <c r="CM190" s="450"/>
      <c r="CN190" s="468">
        <f t="shared" si="78"/>
        <v>437</v>
      </c>
      <c r="CO190" s="468">
        <f t="shared" si="79"/>
        <v>10</v>
      </c>
      <c r="CP190" s="469">
        <f t="shared" si="80"/>
        <v>456</v>
      </c>
      <c r="CQ190" s="469">
        <f t="shared" si="81"/>
        <v>10</v>
      </c>
      <c r="CR190" s="463"/>
      <c r="CS190" s="457"/>
      <c r="CT190" s="464"/>
      <c r="CU190" s="464"/>
      <c r="CV190" s="465"/>
      <c r="CW190" s="457"/>
      <c r="CX190" s="464"/>
      <c r="CY190" s="466"/>
      <c r="CZ190" s="465"/>
      <c r="DA190" s="457"/>
      <c r="DB190" s="464"/>
      <c r="DC190" s="466"/>
      <c r="DD190" s="465"/>
      <c r="DE190" s="457"/>
      <c r="DF190" s="464"/>
      <c r="DG190" s="466"/>
      <c r="DH190" s="465"/>
      <c r="DI190" s="457"/>
      <c r="DJ190" s="464"/>
      <c r="DK190" s="466"/>
      <c r="DL190" s="465"/>
      <c r="DM190" s="457"/>
      <c r="DN190" s="464"/>
      <c r="DO190" s="466"/>
      <c r="DP190" s="465"/>
      <c r="DQ190" s="457"/>
      <c r="DR190" s="464"/>
      <c r="DS190" s="466"/>
      <c r="DT190" s="465"/>
      <c r="DU190" s="457"/>
      <c r="DV190" s="464"/>
      <c r="DW190" s="466"/>
      <c r="DX190" s="465"/>
      <c r="DY190" s="457"/>
      <c r="DZ190" s="464"/>
      <c r="EA190" s="466"/>
      <c r="EB190" s="465"/>
      <c r="EC190" s="457"/>
      <c r="ED190" s="464"/>
      <c r="EE190" s="466"/>
      <c r="EF190" s="459"/>
      <c r="EG190" s="450"/>
      <c r="EH190" s="460">
        <f t="shared" si="82"/>
        <v>0</v>
      </c>
      <c r="EI190" s="460">
        <f t="shared" si="83"/>
        <v>0</v>
      </c>
      <c r="EJ190" s="458">
        <f t="shared" si="84"/>
        <v>0</v>
      </c>
      <c r="EK190" s="470">
        <f t="shared" si="85"/>
        <v>0</v>
      </c>
      <c r="EL190" s="470">
        <f t="shared" si="86"/>
        <v>0</v>
      </c>
      <c r="EM190" s="449">
        <f t="shared" si="87"/>
        <v>0</v>
      </c>
      <c r="EN190" s="460">
        <f t="shared" si="88"/>
        <v>437</v>
      </c>
      <c r="EO190" s="469">
        <f t="shared" si="89"/>
        <v>456</v>
      </c>
      <c r="EP190" s="471"/>
      <c r="EQ190" s="450"/>
      <c r="ER190" s="471"/>
      <c r="ES190" s="450"/>
      <c r="ET190" s="471"/>
      <c r="EU190" s="450"/>
      <c r="EV190" s="471"/>
      <c r="EW190" s="450"/>
      <c r="EX190" s="471"/>
      <c r="EY190" s="450"/>
      <c r="EZ190" s="471"/>
      <c r="FA190" s="450"/>
      <c r="FB190" s="471"/>
      <c r="FC190" s="450"/>
      <c r="FD190" s="471"/>
      <c r="FE190" s="450"/>
      <c r="FF190" s="471"/>
      <c r="FG190" s="450"/>
      <c r="FH190" s="472"/>
      <c r="FI190" s="450"/>
      <c r="FJ190" s="468">
        <f t="shared" si="90"/>
        <v>0</v>
      </c>
      <c r="FK190" s="469">
        <f t="shared" si="91"/>
        <v>0</v>
      </c>
      <c r="FL190" s="472"/>
      <c r="FM190" s="450"/>
      <c r="FN190" s="460">
        <f t="shared" si="92"/>
        <v>1681</v>
      </c>
      <c r="FO190" s="469">
        <f t="shared" si="93"/>
        <v>1737</v>
      </c>
    </row>
    <row r="191" spans="1:171" x14ac:dyDescent="0.2">
      <c r="A191" s="452" t="s">
        <v>574</v>
      </c>
      <c r="B191" s="453" t="s">
        <v>579</v>
      </c>
      <c r="C191" s="503"/>
      <c r="D191" s="485">
        <v>157401</v>
      </c>
      <c r="E191" s="475">
        <v>3</v>
      </c>
      <c r="F191" s="532"/>
      <c r="G191" s="450"/>
      <c r="H191" s="457"/>
      <c r="I191" s="450"/>
      <c r="J191" s="457">
        <v>18</v>
      </c>
      <c r="K191" s="450">
        <v>13</v>
      </c>
      <c r="L191" s="458">
        <f t="shared" si="72"/>
        <v>1.1597938144329897E-2</v>
      </c>
      <c r="M191" s="449">
        <f t="shared" si="73"/>
        <v>8.4967320261437902E-3</v>
      </c>
      <c r="N191" s="459">
        <v>1552</v>
      </c>
      <c r="O191" s="459"/>
      <c r="P191" s="459">
        <v>275</v>
      </c>
      <c r="Q191" s="459"/>
      <c r="R191" s="460">
        <f t="shared" si="70"/>
        <v>275</v>
      </c>
      <c r="S191" s="461">
        <v>1530</v>
      </c>
      <c r="T191" s="461"/>
      <c r="U191" s="461">
        <v>256</v>
      </c>
      <c r="V191" s="461"/>
      <c r="W191" s="462">
        <f t="shared" si="71"/>
        <v>256</v>
      </c>
      <c r="X191" s="463"/>
      <c r="Y191" s="457"/>
      <c r="Z191" s="464"/>
      <c r="AA191" s="464"/>
      <c r="AB191" s="465"/>
      <c r="AC191" s="457"/>
      <c r="AD191" s="464"/>
      <c r="AE191" s="466"/>
      <c r="AF191" s="465"/>
      <c r="AG191" s="457"/>
      <c r="AH191" s="464"/>
      <c r="AI191" s="466"/>
      <c r="AJ191" s="465"/>
      <c r="AK191" s="457"/>
      <c r="AL191" s="464"/>
      <c r="AM191" s="466"/>
      <c r="AN191" s="465"/>
      <c r="AO191" s="457"/>
      <c r="AP191" s="464"/>
      <c r="AQ191" s="464"/>
      <c r="AR191" s="460">
        <f t="shared" si="74"/>
        <v>0</v>
      </c>
      <c r="AS191" s="467">
        <f t="shared" si="75"/>
        <v>0.70004510599909786</v>
      </c>
      <c r="AT191" s="447">
        <f t="shared" si="76"/>
        <v>0</v>
      </c>
      <c r="AU191" s="448">
        <f t="shared" si="77"/>
        <v>0.67252747252747258</v>
      </c>
      <c r="AV191" s="457"/>
      <c r="AW191" s="450"/>
      <c r="AX191" s="463">
        <v>13</v>
      </c>
      <c r="AY191" s="457">
        <v>257</v>
      </c>
      <c r="AZ191" s="464">
        <v>13</v>
      </c>
      <c r="BA191" s="464">
        <v>300</v>
      </c>
      <c r="BB191" s="465">
        <v>52</v>
      </c>
      <c r="BC191" s="457">
        <v>129</v>
      </c>
      <c r="BD191" s="464">
        <v>52</v>
      </c>
      <c r="BE191" s="466">
        <v>131</v>
      </c>
      <c r="BF191" s="465">
        <v>15</v>
      </c>
      <c r="BG191" s="457">
        <v>62</v>
      </c>
      <c r="BH191" s="464">
        <v>9</v>
      </c>
      <c r="BI191" s="466">
        <v>54</v>
      </c>
      <c r="BJ191" s="465">
        <v>51</v>
      </c>
      <c r="BK191" s="457">
        <v>55</v>
      </c>
      <c r="BL191" s="464">
        <v>15</v>
      </c>
      <c r="BM191" s="466">
        <v>48</v>
      </c>
      <c r="BN191" s="465">
        <v>44</v>
      </c>
      <c r="BO191" s="457">
        <v>44</v>
      </c>
      <c r="BP191" s="854">
        <v>51</v>
      </c>
      <c r="BQ191" s="855">
        <v>44</v>
      </c>
      <c r="BR191" s="465">
        <v>9</v>
      </c>
      <c r="BS191" s="457">
        <v>36</v>
      </c>
      <c r="BT191" s="854">
        <v>44</v>
      </c>
      <c r="BU191" s="855">
        <v>43</v>
      </c>
      <c r="BV191" s="465">
        <v>1</v>
      </c>
      <c r="BW191" s="457">
        <v>18</v>
      </c>
      <c r="BX191" s="464">
        <v>1</v>
      </c>
      <c r="BY191" s="466">
        <v>20</v>
      </c>
      <c r="BZ191" s="465">
        <v>23</v>
      </c>
      <c r="CA191" s="457">
        <v>12</v>
      </c>
      <c r="CB191" s="464">
        <v>23</v>
      </c>
      <c r="CC191" s="466">
        <v>18</v>
      </c>
      <c r="CD191" s="465">
        <v>42</v>
      </c>
      <c r="CE191" s="457">
        <v>8</v>
      </c>
      <c r="CF191" s="464">
        <v>40</v>
      </c>
      <c r="CG191" s="466">
        <v>15</v>
      </c>
      <c r="CH191" s="465">
        <v>45</v>
      </c>
      <c r="CI191" s="457">
        <v>6</v>
      </c>
      <c r="CJ191" s="464">
        <v>45</v>
      </c>
      <c r="CK191" s="466">
        <v>14</v>
      </c>
      <c r="CL191" s="459">
        <v>20</v>
      </c>
      <c r="CM191" s="450">
        <v>45</v>
      </c>
      <c r="CN191" s="468">
        <f t="shared" si="78"/>
        <v>647</v>
      </c>
      <c r="CO191" s="468">
        <f t="shared" si="79"/>
        <v>10</v>
      </c>
      <c r="CP191" s="469">
        <f t="shared" si="80"/>
        <v>732</v>
      </c>
      <c r="CQ191" s="469">
        <f t="shared" si="81"/>
        <v>10</v>
      </c>
      <c r="CR191" s="463"/>
      <c r="CS191" s="457"/>
      <c r="CT191" s="464"/>
      <c r="CU191" s="464"/>
      <c r="CV191" s="465"/>
      <c r="CW191" s="457"/>
      <c r="CX191" s="464"/>
      <c r="CY191" s="466"/>
      <c r="CZ191" s="465"/>
      <c r="DA191" s="457"/>
      <c r="DB191" s="464"/>
      <c r="DC191" s="466"/>
      <c r="DD191" s="465"/>
      <c r="DE191" s="457"/>
      <c r="DF191" s="464"/>
      <c r="DG191" s="466"/>
      <c r="DH191" s="465"/>
      <c r="DI191" s="457"/>
      <c r="DJ191" s="464"/>
      <c r="DK191" s="466"/>
      <c r="DL191" s="465"/>
      <c r="DM191" s="457"/>
      <c r="DN191" s="464"/>
      <c r="DO191" s="466"/>
      <c r="DP191" s="465"/>
      <c r="DQ191" s="457"/>
      <c r="DR191" s="464"/>
      <c r="DS191" s="466"/>
      <c r="DT191" s="465"/>
      <c r="DU191" s="457"/>
      <c r="DV191" s="464"/>
      <c r="DW191" s="466"/>
      <c r="DX191" s="465"/>
      <c r="DY191" s="457"/>
      <c r="DZ191" s="464"/>
      <c r="EA191" s="466"/>
      <c r="EB191" s="465"/>
      <c r="EC191" s="457"/>
      <c r="ED191" s="464"/>
      <c r="EE191" s="466"/>
      <c r="EF191" s="459"/>
      <c r="EG191" s="450"/>
      <c r="EH191" s="460">
        <f t="shared" si="82"/>
        <v>0</v>
      </c>
      <c r="EI191" s="460">
        <f t="shared" si="83"/>
        <v>0</v>
      </c>
      <c r="EJ191" s="458">
        <f t="shared" si="84"/>
        <v>0</v>
      </c>
      <c r="EK191" s="470">
        <f t="shared" si="85"/>
        <v>0</v>
      </c>
      <c r="EL191" s="470">
        <f t="shared" si="86"/>
        <v>0</v>
      </c>
      <c r="EM191" s="449">
        <f t="shared" si="87"/>
        <v>0</v>
      </c>
      <c r="EN191" s="460">
        <f t="shared" si="88"/>
        <v>647</v>
      </c>
      <c r="EO191" s="469">
        <f t="shared" si="89"/>
        <v>732</v>
      </c>
      <c r="EP191" s="471"/>
      <c r="EQ191" s="450"/>
      <c r="ER191" s="471"/>
      <c r="ES191" s="450"/>
      <c r="ET191" s="471"/>
      <c r="EU191" s="450"/>
      <c r="EV191" s="471"/>
      <c r="EW191" s="450"/>
      <c r="EX191" s="471"/>
      <c r="EY191" s="450"/>
      <c r="EZ191" s="471"/>
      <c r="FA191" s="450"/>
      <c r="FB191" s="471"/>
      <c r="FC191" s="450"/>
      <c r="FD191" s="471"/>
      <c r="FE191" s="450"/>
      <c r="FF191" s="471"/>
      <c r="FG191" s="450"/>
      <c r="FH191" s="472"/>
      <c r="FI191" s="450"/>
      <c r="FJ191" s="468">
        <f t="shared" si="90"/>
        <v>0</v>
      </c>
      <c r="FK191" s="469">
        <f t="shared" si="91"/>
        <v>0</v>
      </c>
      <c r="FL191" s="472"/>
      <c r="FM191" s="450"/>
      <c r="FN191" s="460">
        <f t="shared" si="92"/>
        <v>2217</v>
      </c>
      <c r="FO191" s="469">
        <f t="shared" si="93"/>
        <v>2275</v>
      </c>
    </row>
    <row r="192" spans="1:171" x14ac:dyDescent="0.2">
      <c r="A192" s="452" t="s">
        <v>574</v>
      </c>
      <c r="B192" s="453" t="s">
        <v>580</v>
      </c>
      <c r="C192" s="503"/>
      <c r="D192" s="485">
        <v>157951</v>
      </c>
      <c r="E192" s="475">
        <v>3</v>
      </c>
      <c r="F192" s="532">
        <v>81</v>
      </c>
      <c r="G192" s="450">
        <v>54</v>
      </c>
      <c r="H192" s="457"/>
      <c r="I192" s="450"/>
      <c r="J192" s="457">
        <v>215</v>
      </c>
      <c r="K192" s="450">
        <v>271</v>
      </c>
      <c r="L192" s="458">
        <f t="shared" si="72"/>
        <v>8.2979544577383255E-2</v>
      </c>
      <c r="M192" s="449">
        <f t="shared" si="73"/>
        <v>0.10199473089951072</v>
      </c>
      <c r="N192" s="459">
        <v>2591</v>
      </c>
      <c r="O192" s="459"/>
      <c r="P192" s="459">
        <v>362</v>
      </c>
      <c r="Q192" s="459"/>
      <c r="R192" s="460">
        <f t="shared" si="70"/>
        <v>362</v>
      </c>
      <c r="S192" s="461">
        <v>2657</v>
      </c>
      <c r="T192" s="461"/>
      <c r="U192" s="461">
        <v>344</v>
      </c>
      <c r="V192" s="461"/>
      <c r="W192" s="462">
        <f t="shared" si="71"/>
        <v>344</v>
      </c>
      <c r="X192" s="463"/>
      <c r="Y192" s="457"/>
      <c r="Z192" s="464"/>
      <c r="AA192" s="464"/>
      <c r="AB192" s="465"/>
      <c r="AC192" s="457"/>
      <c r="AD192" s="464"/>
      <c r="AE192" s="466"/>
      <c r="AF192" s="465"/>
      <c r="AG192" s="457"/>
      <c r="AH192" s="464"/>
      <c r="AI192" s="466"/>
      <c r="AJ192" s="465"/>
      <c r="AK192" s="457"/>
      <c r="AL192" s="464"/>
      <c r="AM192" s="466"/>
      <c r="AN192" s="465"/>
      <c r="AO192" s="457"/>
      <c r="AP192" s="464"/>
      <c r="AQ192" s="464"/>
      <c r="AR192" s="460">
        <f t="shared" si="74"/>
        <v>0</v>
      </c>
      <c r="AS192" s="467">
        <f t="shared" si="75"/>
        <v>0.66692406692406692</v>
      </c>
      <c r="AT192" s="447">
        <f t="shared" si="76"/>
        <v>0</v>
      </c>
      <c r="AU192" s="448">
        <f t="shared" si="77"/>
        <v>0.66061660865241179</v>
      </c>
      <c r="AV192" s="457">
        <v>73</v>
      </c>
      <c r="AW192" s="450">
        <v>47</v>
      </c>
      <c r="AX192" s="463">
        <v>13</v>
      </c>
      <c r="AY192" s="457">
        <v>230</v>
      </c>
      <c r="AZ192" s="464">
        <v>13</v>
      </c>
      <c r="BA192" s="464">
        <v>298</v>
      </c>
      <c r="BB192" s="465">
        <v>51</v>
      </c>
      <c r="BC192" s="457">
        <v>171</v>
      </c>
      <c r="BD192" s="464">
        <v>51</v>
      </c>
      <c r="BE192" s="466">
        <v>161</v>
      </c>
      <c r="BF192" s="465">
        <v>42</v>
      </c>
      <c r="BG192" s="457">
        <v>89</v>
      </c>
      <c r="BH192" s="464">
        <v>44</v>
      </c>
      <c r="BI192" s="466">
        <v>90</v>
      </c>
      <c r="BJ192" s="465">
        <v>44</v>
      </c>
      <c r="BK192" s="457">
        <v>88</v>
      </c>
      <c r="BL192" s="464">
        <v>31</v>
      </c>
      <c r="BM192" s="466">
        <v>85</v>
      </c>
      <c r="BN192" s="465">
        <v>52</v>
      </c>
      <c r="BO192" s="457">
        <v>75</v>
      </c>
      <c r="BP192" s="464">
        <v>42</v>
      </c>
      <c r="BQ192" s="466">
        <v>67</v>
      </c>
      <c r="BR192" s="465">
        <v>25</v>
      </c>
      <c r="BS192" s="457">
        <v>66</v>
      </c>
      <c r="BT192" s="464">
        <v>25</v>
      </c>
      <c r="BU192" s="466">
        <v>57</v>
      </c>
      <c r="BV192" s="465">
        <v>31</v>
      </c>
      <c r="BW192" s="457">
        <v>57</v>
      </c>
      <c r="BX192" s="464">
        <v>52</v>
      </c>
      <c r="BY192" s="466">
        <v>51</v>
      </c>
      <c r="BZ192" s="465">
        <v>45</v>
      </c>
      <c r="CA192" s="457">
        <v>33</v>
      </c>
      <c r="CB192" s="464">
        <v>45</v>
      </c>
      <c r="CC192" s="466">
        <v>32</v>
      </c>
      <c r="CD192" s="465">
        <v>11</v>
      </c>
      <c r="CE192" s="457">
        <v>20</v>
      </c>
      <c r="CF192" s="464">
        <v>11</v>
      </c>
      <c r="CG192" s="466">
        <v>31</v>
      </c>
      <c r="CH192" s="465">
        <v>26</v>
      </c>
      <c r="CI192" s="457">
        <v>16</v>
      </c>
      <c r="CJ192" s="464">
        <v>27</v>
      </c>
      <c r="CK192" s="466">
        <v>23</v>
      </c>
      <c r="CL192" s="459">
        <v>75</v>
      </c>
      <c r="CM192" s="450">
        <v>78</v>
      </c>
      <c r="CN192" s="468">
        <f t="shared" si="78"/>
        <v>920</v>
      </c>
      <c r="CO192" s="468">
        <f t="shared" si="79"/>
        <v>10</v>
      </c>
      <c r="CP192" s="469">
        <f t="shared" si="80"/>
        <v>973</v>
      </c>
      <c r="CQ192" s="469">
        <f t="shared" si="81"/>
        <v>10</v>
      </c>
      <c r="CR192" s="463"/>
      <c r="CS192" s="457"/>
      <c r="CT192" s="464"/>
      <c r="CU192" s="464"/>
      <c r="CV192" s="465"/>
      <c r="CW192" s="457"/>
      <c r="CX192" s="464"/>
      <c r="CY192" s="466"/>
      <c r="CZ192" s="465"/>
      <c r="DA192" s="457"/>
      <c r="DB192" s="464"/>
      <c r="DC192" s="466"/>
      <c r="DD192" s="465"/>
      <c r="DE192" s="457"/>
      <c r="DF192" s="464"/>
      <c r="DG192" s="466"/>
      <c r="DH192" s="465"/>
      <c r="DI192" s="457"/>
      <c r="DJ192" s="464"/>
      <c r="DK192" s="466"/>
      <c r="DL192" s="465"/>
      <c r="DM192" s="457"/>
      <c r="DN192" s="464"/>
      <c r="DO192" s="466"/>
      <c r="DP192" s="465"/>
      <c r="DQ192" s="457"/>
      <c r="DR192" s="464"/>
      <c r="DS192" s="466"/>
      <c r="DT192" s="465"/>
      <c r="DU192" s="457"/>
      <c r="DV192" s="464"/>
      <c r="DW192" s="466"/>
      <c r="DX192" s="465"/>
      <c r="DY192" s="457"/>
      <c r="DZ192" s="464"/>
      <c r="EA192" s="466"/>
      <c r="EB192" s="465"/>
      <c r="EC192" s="457"/>
      <c r="ED192" s="464"/>
      <c r="EE192" s="466"/>
      <c r="EF192" s="459"/>
      <c r="EG192" s="450"/>
      <c r="EH192" s="460">
        <f t="shared" si="82"/>
        <v>0</v>
      </c>
      <c r="EI192" s="460">
        <f t="shared" si="83"/>
        <v>0</v>
      </c>
      <c r="EJ192" s="458">
        <f t="shared" si="84"/>
        <v>0</v>
      </c>
      <c r="EK192" s="470">
        <f t="shared" si="85"/>
        <v>0</v>
      </c>
      <c r="EL192" s="470">
        <f t="shared" si="86"/>
        <v>0</v>
      </c>
      <c r="EM192" s="449">
        <f t="shared" si="87"/>
        <v>0</v>
      </c>
      <c r="EN192" s="460">
        <f t="shared" si="88"/>
        <v>920</v>
      </c>
      <c r="EO192" s="469">
        <f t="shared" si="89"/>
        <v>973</v>
      </c>
      <c r="EP192" s="471"/>
      <c r="EQ192" s="450"/>
      <c r="ER192" s="471"/>
      <c r="ES192" s="450"/>
      <c r="ET192" s="471"/>
      <c r="EU192" s="450"/>
      <c r="EV192" s="471"/>
      <c r="EW192" s="450"/>
      <c r="EX192" s="471"/>
      <c r="EY192" s="450"/>
      <c r="EZ192" s="471"/>
      <c r="FA192" s="450"/>
      <c r="FB192" s="471"/>
      <c r="FC192" s="450"/>
      <c r="FD192" s="471"/>
      <c r="FE192" s="450"/>
      <c r="FF192" s="471"/>
      <c r="FG192" s="450"/>
      <c r="FH192" s="472">
        <v>5</v>
      </c>
      <c r="FI192" s="450">
        <v>20</v>
      </c>
      <c r="FJ192" s="468">
        <f t="shared" si="90"/>
        <v>5</v>
      </c>
      <c r="FK192" s="469">
        <f t="shared" si="91"/>
        <v>20</v>
      </c>
      <c r="FL192" s="472"/>
      <c r="FM192" s="450"/>
      <c r="FN192" s="460">
        <f t="shared" si="92"/>
        <v>3885</v>
      </c>
      <c r="FO192" s="469">
        <f t="shared" si="93"/>
        <v>4022</v>
      </c>
    </row>
    <row r="193" spans="1:171" x14ac:dyDescent="0.2">
      <c r="A193" s="452" t="s">
        <v>574</v>
      </c>
      <c r="B193" s="453" t="s">
        <v>581</v>
      </c>
      <c r="C193" s="503"/>
      <c r="D193" s="485">
        <v>157058</v>
      </c>
      <c r="E193" s="475">
        <v>4</v>
      </c>
      <c r="F193" s="532"/>
      <c r="G193" s="450"/>
      <c r="H193" s="457"/>
      <c r="I193" s="450"/>
      <c r="J193" s="457">
        <v>58</v>
      </c>
      <c r="K193" s="450">
        <v>53</v>
      </c>
      <c r="L193" s="458">
        <f t="shared" si="72"/>
        <v>0.25663716814159293</v>
      </c>
      <c r="M193" s="449">
        <f t="shared" si="73"/>
        <v>0.23144104803493451</v>
      </c>
      <c r="N193" s="459">
        <v>226</v>
      </c>
      <c r="O193" s="459"/>
      <c r="P193" s="459">
        <v>16</v>
      </c>
      <c r="Q193" s="459"/>
      <c r="R193" s="460">
        <f t="shared" si="70"/>
        <v>16</v>
      </c>
      <c r="S193" s="461">
        <v>229</v>
      </c>
      <c r="T193" s="461"/>
      <c r="U193" s="461">
        <v>16</v>
      </c>
      <c r="V193" s="461"/>
      <c r="W193" s="462">
        <f t="shared" si="71"/>
        <v>16</v>
      </c>
      <c r="X193" s="463"/>
      <c r="Y193" s="457"/>
      <c r="Z193" s="464"/>
      <c r="AA193" s="464"/>
      <c r="AB193" s="465"/>
      <c r="AC193" s="457"/>
      <c r="AD193" s="464"/>
      <c r="AE193" s="466"/>
      <c r="AF193" s="465"/>
      <c r="AG193" s="457"/>
      <c r="AH193" s="464"/>
      <c r="AI193" s="466"/>
      <c r="AJ193" s="465"/>
      <c r="AK193" s="457"/>
      <c r="AL193" s="464"/>
      <c r="AM193" s="466"/>
      <c r="AN193" s="465"/>
      <c r="AO193" s="457"/>
      <c r="AP193" s="464"/>
      <c r="AQ193" s="464"/>
      <c r="AR193" s="460">
        <f t="shared" si="74"/>
        <v>0</v>
      </c>
      <c r="AS193" s="467">
        <f t="shared" si="75"/>
        <v>0.68902439024390238</v>
      </c>
      <c r="AT193" s="447">
        <f t="shared" si="76"/>
        <v>0</v>
      </c>
      <c r="AU193" s="448">
        <f t="shared" si="77"/>
        <v>0.66184971098265899</v>
      </c>
      <c r="AV193" s="457"/>
      <c r="AW193" s="450"/>
      <c r="AX193" s="463">
        <v>13</v>
      </c>
      <c r="AY193" s="457">
        <v>15</v>
      </c>
      <c r="AZ193" s="464">
        <v>13</v>
      </c>
      <c r="BA193" s="464">
        <v>22</v>
      </c>
      <c r="BB193" s="465">
        <v>44</v>
      </c>
      <c r="BC193" s="457">
        <v>14</v>
      </c>
      <c r="BD193" s="464">
        <v>44</v>
      </c>
      <c r="BE193" s="466">
        <v>15</v>
      </c>
      <c r="BF193" s="465">
        <v>52</v>
      </c>
      <c r="BG193" s="457">
        <v>7</v>
      </c>
      <c r="BH193" s="464">
        <v>3</v>
      </c>
      <c r="BI193" s="466">
        <v>11</v>
      </c>
      <c r="BJ193" s="465">
        <v>11</v>
      </c>
      <c r="BK193" s="457">
        <v>6</v>
      </c>
      <c r="BL193" s="464">
        <v>11</v>
      </c>
      <c r="BM193" s="466">
        <v>11</v>
      </c>
      <c r="BN193" s="465">
        <v>3</v>
      </c>
      <c r="BO193" s="457">
        <v>2</v>
      </c>
      <c r="BP193" s="464">
        <v>52</v>
      </c>
      <c r="BQ193" s="466">
        <v>5</v>
      </c>
      <c r="BR193" s="465"/>
      <c r="BS193" s="457"/>
      <c r="BT193" s="464"/>
      <c r="BU193" s="466"/>
      <c r="BV193" s="465"/>
      <c r="BW193" s="457"/>
      <c r="BX193" s="464"/>
      <c r="BY193" s="466"/>
      <c r="BZ193" s="465"/>
      <c r="CA193" s="457"/>
      <c r="CB193" s="464"/>
      <c r="CC193" s="466"/>
      <c r="CD193" s="465"/>
      <c r="CE193" s="457"/>
      <c r="CF193" s="464"/>
      <c r="CG193" s="466"/>
      <c r="CH193" s="465"/>
      <c r="CI193" s="457"/>
      <c r="CJ193" s="464"/>
      <c r="CK193" s="466"/>
      <c r="CL193" s="459"/>
      <c r="CM193" s="450"/>
      <c r="CN193" s="468">
        <f t="shared" si="78"/>
        <v>44</v>
      </c>
      <c r="CO193" s="468">
        <f t="shared" si="79"/>
        <v>5</v>
      </c>
      <c r="CP193" s="469">
        <f t="shared" si="80"/>
        <v>64</v>
      </c>
      <c r="CQ193" s="469">
        <f t="shared" si="81"/>
        <v>5</v>
      </c>
      <c r="CR193" s="463"/>
      <c r="CS193" s="457"/>
      <c r="CT193" s="464"/>
      <c r="CU193" s="464"/>
      <c r="CV193" s="465"/>
      <c r="CW193" s="457"/>
      <c r="CX193" s="464"/>
      <c r="CY193" s="466"/>
      <c r="CZ193" s="465"/>
      <c r="DA193" s="457"/>
      <c r="DB193" s="464"/>
      <c r="DC193" s="466"/>
      <c r="DD193" s="465"/>
      <c r="DE193" s="457"/>
      <c r="DF193" s="464"/>
      <c r="DG193" s="466"/>
      <c r="DH193" s="465"/>
      <c r="DI193" s="457"/>
      <c r="DJ193" s="464"/>
      <c r="DK193" s="466"/>
      <c r="DL193" s="465"/>
      <c r="DM193" s="457"/>
      <c r="DN193" s="464"/>
      <c r="DO193" s="466"/>
      <c r="DP193" s="465"/>
      <c r="DQ193" s="457"/>
      <c r="DR193" s="464"/>
      <c r="DS193" s="466"/>
      <c r="DT193" s="465"/>
      <c r="DU193" s="457"/>
      <c r="DV193" s="464"/>
      <c r="DW193" s="466"/>
      <c r="DX193" s="465"/>
      <c r="DY193" s="457"/>
      <c r="DZ193" s="464"/>
      <c r="EA193" s="466"/>
      <c r="EB193" s="465"/>
      <c r="EC193" s="457"/>
      <c r="ED193" s="464"/>
      <c r="EE193" s="466"/>
      <c r="EF193" s="459"/>
      <c r="EG193" s="450"/>
      <c r="EH193" s="460">
        <f t="shared" si="82"/>
        <v>0</v>
      </c>
      <c r="EI193" s="460">
        <f t="shared" si="83"/>
        <v>0</v>
      </c>
      <c r="EJ193" s="458">
        <f t="shared" si="84"/>
        <v>0</v>
      </c>
      <c r="EK193" s="470">
        <f t="shared" si="85"/>
        <v>0</v>
      </c>
      <c r="EL193" s="470">
        <f t="shared" si="86"/>
        <v>0</v>
      </c>
      <c r="EM193" s="449">
        <f t="shared" si="87"/>
        <v>0</v>
      </c>
      <c r="EN193" s="460">
        <f t="shared" si="88"/>
        <v>44</v>
      </c>
      <c r="EO193" s="469">
        <f t="shared" si="89"/>
        <v>64</v>
      </c>
      <c r="EP193" s="471"/>
      <c r="EQ193" s="450"/>
      <c r="ER193" s="471"/>
      <c r="ES193" s="450"/>
      <c r="ET193" s="471"/>
      <c r="EU193" s="450"/>
      <c r="EV193" s="471"/>
      <c r="EW193" s="450"/>
      <c r="EX193" s="471"/>
      <c r="EY193" s="450"/>
      <c r="EZ193" s="471"/>
      <c r="FA193" s="450"/>
      <c r="FB193" s="471"/>
      <c r="FC193" s="450"/>
      <c r="FD193" s="471"/>
      <c r="FE193" s="450"/>
      <c r="FF193" s="471"/>
      <c r="FG193" s="450"/>
      <c r="FH193" s="472"/>
      <c r="FI193" s="450"/>
      <c r="FJ193" s="468">
        <f t="shared" si="90"/>
        <v>0</v>
      </c>
      <c r="FK193" s="469">
        <f t="shared" si="91"/>
        <v>0</v>
      </c>
      <c r="FL193" s="472"/>
      <c r="FM193" s="450"/>
      <c r="FN193" s="460">
        <f t="shared" si="92"/>
        <v>328</v>
      </c>
      <c r="FO193" s="469">
        <f t="shared" si="93"/>
        <v>346</v>
      </c>
    </row>
    <row r="194" spans="1:171" x14ac:dyDescent="0.2">
      <c r="A194" s="452" t="s">
        <v>574</v>
      </c>
      <c r="B194" s="453" t="s">
        <v>582</v>
      </c>
      <c r="C194" s="503" t="s">
        <v>603</v>
      </c>
      <c r="D194" s="485">
        <v>157447</v>
      </c>
      <c r="E194" s="475">
        <v>4</v>
      </c>
      <c r="F194" s="532"/>
      <c r="G194" s="450">
        <v>26</v>
      </c>
      <c r="H194" s="457">
        <v>8</v>
      </c>
      <c r="I194" s="450">
        <v>3</v>
      </c>
      <c r="J194" s="457">
        <v>105</v>
      </c>
      <c r="K194" s="450">
        <v>118</v>
      </c>
      <c r="L194" s="458">
        <f t="shared" si="72"/>
        <v>5.3191489361702128E-2</v>
      </c>
      <c r="M194" s="449">
        <f t="shared" si="73"/>
        <v>5.9595959595959598E-2</v>
      </c>
      <c r="N194" s="459">
        <v>1974</v>
      </c>
      <c r="O194" s="459"/>
      <c r="P194" s="459">
        <v>204</v>
      </c>
      <c r="Q194" s="459"/>
      <c r="R194" s="460">
        <f t="shared" si="70"/>
        <v>204</v>
      </c>
      <c r="S194" s="461">
        <v>1980</v>
      </c>
      <c r="T194" s="461"/>
      <c r="U194" s="461">
        <v>206</v>
      </c>
      <c r="V194" s="461"/>
      <c r="W194" s="462">
        <f t="shared" si="71"/>
        <v>206</v>
      </c>
      <c r="X194" s="463"/>
      <c r="Y194" s="457"/>
      <c r="Z194" s="464"/>
      <c r="AA194" s="464"/>
      <c r="AB194" s="465"/>
      <c r="AC194" s="457"/>
      <c r="AD194" s="464"/>
      <c r="AE194" s="466"/>
      <c r="AF194" s="465"/>
      <c r="AG194" s="457"/>
      <c r="AH194" s="464"/>
      <c r="AI194" s="466"/>
      <c r="AJ194" s="465"/>
      <c r="AK194" s="457"/>
      <c r="AL194" s="464"/>
      <c r="AM194" s="466"/>
      <c r="AN194" s="465"/>
      <c r="AO194" s="457"/>
      <c r="AP194" s="464"/>
      <c r="AQ194" s="464"/>
      <c r="AR194" s="460">
        <f t="shared" si="74"/>
        <v>0</v>
      </c>
      <c r="AS194" s="467">
        <f t="shared" si="75"/>
        <v>0.70349251603706342</v>
      </c>
      <c r="AT194" s="447">
        <f t="shared" si="76"/>
        <v>0</v>
      </c>
      <c r="AU194" s="448">
        <f t="shared" si="77"/>
        <v>0.68417415342087073</v>
      </c>
      <c r="AV194" s="457">
        <v>55</v>
      </c>
      <c r="AW194" s="853">
        <v>92</v>
      </c>
      <c r="AX194" s="463">
        <v>13</v>
      </c>
      <c r="AY194" s="457">
        <v>179</v>
      </c>
      <c r="AZ194" s="464">
        <v>13</v>
      </c>
      <c r="BA194" s="854">
        <v>192</v>
      </c>
      <c r="BB194" s="465">
        <v>52</v>
      </c>
      <c r="BC194" s="457">
        <v>125</v>
      </c>
      <c r="BD194" s="464">
        <v>52</v>
      </c>
      <c r="BE194" s="855">
        <v>108</v>
      </c>
      <c r="BF194" s="465">
        <v>51</v>
      </c>
      <c r="BG194" s="457">
        <v>88</v>
      </c>
      <c r="BH194" s="464">
        <v>51</v>
      </c>
      <c r="BI194" s="855">
        <v>72</v>
      </c>
      <c r="BJ194" s="465">
        <v>44</v>
      </c>
      <c r="BK194" s="457">
        <v>23</v>
      </c>
      <c r="BL194" s="854">
        <v>44</v>
      </c>
      <c r="BM194" s="855">
        <v>28</v>
      </c>
      <c r="BN194" s="465">
        <v>23</v>
      </c>
      <c r="BO194" s="457">
        <v>20</v>
      </c>
      <c r="BP194" s="854">
        <v>54</v>
      </c>
      <c r="BQ194" s="855">
        <v>21</v>
      </c>
      <c r="BR194" s="465">
        <v>9</v>
      </c>
      <c r="BS194" s="457">
        <v>17</v>
      </c>
      <c r="BT194" s="854">
        <v>23</v>
      </c>
      <c r="BU194" s="855">
        <v>18</v>
      </c>
      <c r="BV194" s="465">
        <v>42</v>
      </c>
      <c r="BW194" s="457">
        <v>15</v>
      </c>
      <c r="BX194" s="854">
        <v>24</v>
      </c>
      <c r="BY194" s="855">
        <v>16</v>
      </c>
      <c r="BZ194" s="465">
        <v>24</v>
      </c>
      <c r="CA194" s="457">
        <v>15</v>
      </c>
      <c r="CB194" s="854">
        <v>9</v>
      </c>
      <c r="CC194" s="855">
        <v>15</v>
      </c>
      <c r="CD194" s="465">
        <v>11</v>
      </c>
      <c r="CE194" s="457">
        <v>3</v>
      </c>
      <c r="CF194" s="464">
        <v>11</v>
      </c>
      <c r="CG194" s="466">
        <v>13</v>
      </c>
      <c r="CH194" s="465"/>
      <c r="CI194" s="457"/>
      <c r="CJ194" s="464">
        <v>42</v>
      </c>
      <c r="CK194" s="466">
        <v>10</v>
      </c>
      <c r="CL194" s="459"/>
      <c r="CM194" s="853">
        <v>0</v>
      </c>
      <c r="CN194" s="468">
        <f t="shared" si="78"/>
        <v>485</v>
      </c>
      <c r="CO194" s="468">
        <f t="shared" si="79"/>
        <v>9</v>
      </c>
      <c r="CP194" s="469">
        <f t="shared" si="80"/>
        <v>493</v>
      </c>
      <c r="CQ194" s="469">
        <f t="shared" si="81"/>
        <v>10</v>
      </c>
      <c r="CR194" s="463"/>
      <c r="CS194" s="457"/>
      <c r="CT194" s="464">
        <v>13</v>
      </c>
      <c r="CU194" s="464">
        <v>14</v>
      </c>
      <c r="CV194" s="465"/>
      <c r="CW194" s="457"/>
      <c r="CX194" s="464"/>
      <c r="CY194" s="466"/>
      <c r="CZ194" s="465"/>
      <c r="DA194" s="457"/>
      <c r="DB194" s="464"/>
      <c r="DC194" s="466"/>
      <c r="DD194" s="465"/>
      <c r="DE194" s="457"/>
      <c r="DF194" s="464"/>
      <c r="DG194" s="466"/>
      <c r="DH194" s="465"/>
      <c r="DI194" s="457"/>
      <c r="DJ194" s="464"/>
      <c r="DK194" s="466"/>
      <c r="DL194" s="465"/>
      <c r="DM194" s="457"/>
      <c r="DN194" s="464"/>
      <c r="DO194" s="466"/>
      <c r="DP194" s="465"/>
      <c r="DQ194" s="457"/>
      <c r="DR194" s="464"/>
      <c r="DS194" s="466"/>
      <c r="DT194" s="465"/>
      <c r="DU194" s="457"/>
      <c r="DV194" s="464"/>
      <c r="DW194" s="466"/>
      <c r="DX194" s="465"/>
      <c r="DY194" s="457"/>
      <c r="DZ194" s="464"/>
      <c r="EA194" s="466"/>
      <c r="EB194" s="465"/>
      <c r="EC194" s="457"/>
      <c r="ED194" s="464"/>
      <c r="EE194" s="466"/>
      <c r="EF194" s="459"/>
      <c r="EG194" s="450"/>
      <c r="EH194" s="460">
        <f t="shared" si="82"/>
        <v>0</v>
      </c>
      <c r="EI194" s="460">
        <f t="shared" si="83"/>
        <v>0</v>
      </c>
      <c r="EJ194" s="458">
        <f t="shared" si="84"/>
        <v>0</v>
      </c>
      <c r="EK194" s="470">
        <f t="shared" si="85"/>
        <v>14</v>
      </c>
      <c r="EL194" s="470">
        <f t="shared" si="86"/>
        <v>1</v>
      </c>
      <c r="EM194" s="449">
        <f t="shared" si="87"/>
        <v>1</v>
      </c>
      <c r="EN194" s="460">
        <f t="shared" si="88"/>
        <v>485</v>
      </c>
      <c r="EO194" s="469">
        <f t="shared" si="89"/>
        <v>507</v>
      </c>
      <c r="EP194" s="471">
        <v>177</v>
      </c>
      <c r="EQ194" s="450">
        <v>154</v>
      </c>
      <c r="ER194" s="471"/>
      <c r="ES194" s="450"/>
      <c r="ET194" s="471"/>
      <c r="EU194" s="450"/>
      <c r="EV194" s="471"/>
      <c r="EW194" s="450"/>
      <c r="EX194" s="471"/>
      <c r="EY194" s="450"/>
      <c r="EZ194" s="471"/>
      <c r="FA194" s="450"/>
      <c r="FB194" s="471"/>
      <c r="FC194" s="450"/>
      <c r="FD194" s="471"/>
      <c r="FE194" s="450"/>
      <c r="FF194" s="471"/>
      <c r="FG194" s="450"/>
      <c r="FH194" s="472">
        <v>2</v>
      </c>
      <c r="FI194" s="853">
        <v>14</v>
      </c>
      <c r="FJ194" s="468">
        <f t="shared" si="90"/>
        <v>179</v>
      </c>
      <c r="FK194" s="469">
        <f t="shared" si="91"/>
        <v>168</v>
      </c>
      <c r="FL194" s="472"/>
      <c r="FM194" s="450"/>
      <c r="FN194" s="460">
        <f t="shared" si="92"/>
        <v>2806</v>
      </c>
      <c r="FO194" s="469">
        <f t="shared" si="93"/>
        <v>2894</v>
      </c>
    </row>
    <row r="195" spans="1:171" x14ac:dyDescent="0.2">
      <c r="A195" s="454" t="s">
        <v>574</v>
      </c>
      <c r="B195" s="455" t="s">
        <v>583</v>
      </c>
      <c r="C195" s="504"/>
      <c r="D195" s="505">
        <v>157173</v>
      </c>
      <c r="E195" s="509">
        <v>8</v>
      </c>
      <c r="F195" s="532">
        <v>2556</v>
      </c>
      <c r="G195" s="450">
        <v>2283</v>
      </c>
      <c r="H195" s="457"/>
      <c r="I195" s="450"/>
      <c r="J195" s="457">
        <v>1138</v>
      </c>
      <c r="K195" s="450">
        <v>1287</v>
      </c>
      <c r="L195" s="458">
        <f t="shared" si="72"/>
        <v>0</v>
      </c>
      <c r="M195" s="449">
        <f t="shared" si="73"/>
        <v>0</v>
      </c>
      <c r="N195" s="459"/>
      <c r="O195" s="459"/>
      <c r="P195" s="459"/>
      <c r="Q195" s="459"/>
      <c r="R195" s="460">
        <f t="shared" si="70"/>
        <v>0</v>
      </c>
      <c r="S195" s="461"/>
      <c r="T195" s="461"/>
      <c r="U195" s="461"/>
      <c r="V195" s="461"/>
      <c r="W195" s="462">
        <f t="shared" si="71"/>
        <v>0</v>
      </c>
      <c r="X195" s="463"/>
      <c r="Y195" s="457"/>
      <c r="Z195" s="464"/>
      <c r="AA195" s="464"/>
      <c r="AB195" s="465"/>
      <c r="AC195" s="457"/>
      <c r="AD195" s="464"/>
      <c r="AE195" s="466"/>
      <c r="AF195" s="465"/>
      <c r="AG195" s="457"/>
      <c r="AH195" s="464"/>
      <c r="AI195" s="466"/>
      <c r="AJ195" s="465"/>
      <c r="AK195" s="457"/>
      <c r="AL195" s="464"/>
      <c r="AM195" s="466"/>
      <c r="AN195" s="465"/>
      <c r="AO195" s="457"/>
      <c r="AP195" s="464"/>
      <c r="AQ195" s="464"/>
      <c r="AR195" s="460">
        <f t="shared" si="74"/>
        <v>0</v>
      </c>
      <c r="AS195" s="467">
        <f t="shared" si="75"/>
        <v>0</v>
      </c>
      <c r="AT195" s="447">
        <f t="shared" si="76"/>
        <v>0</v>
      </c>
      <c r="AU195" s="448">
        <f t="shared" si="77"/>
        <v>0</v>
      </c>
      <c r="AV195" s="457"/>
      <c r="AW195" s="450"/>
      <c r="AX195" s="463"/>
      <c r="AY195" s="457"/>
      <c r="AZ195" s="464"/>
      <c r="BA195" s="464"/>
      <c r="BB195" s="465"/>
      <c r="BC195" s="457"/>
      <c r="BD195" s="464"/>
      <c r="BE195" s="466"/>
      <c r="BF195" s="465"/>
      <c r="BG195" s="457"/>
      <c r="BH195" s="464"/>
      <c r="BI195" s="466"/>
      <c r="BJ195" s="465"/>
      <c r="BK195" s="457"/>
      <c r="BL195" s="464"/>
      <c r="BM195" s="466"/>
      <c r="BN195" s="465"/>
      <c r="BO195" s="457"/>
      <c r="BP195" s="464"/>
      <c r="BQ195" s="466"/>
      <c r="BR195" s="465"/>
      <c r="BS195" s="457"/>
      <c r="BT195" s="464"/>
      <c r="BU195" s="466"/>
      <c r="BV195" s="465"/>
      <c r="BW195" s="457"/>
      <c r="BX195" s="464"/>
      <c r="BY195" s="466"/>
      <c r="BZ195" s="465"/>
      <c r="CA195" s="457"/>
      <c r="CB195" s="464"/>
      <c r="CC195" s="466"/>
      <c r="CD195" s="465"/>
      <c r="CE195" s="457"/>
      <c r="CF195" s="464"/>
      <c r="CG195" s="466"/>
      <c r="CH195" s="465"/>
      <c r="CI195" s="457"/>
      <c r="CJ195" s="464"/>
      <c r="CK195" s="466"/>
      <c r="CL195" s="459"/>
      <c r="CM195" s="450"/>
      <c r="CN195" s="468">
        <f t="shared" si="78"/>
        <v>0</v>
      </c>
      <c r="CO195" s="468">
        <f t="shared" si="79"/>
        <v>0</v>
      </c>
      <c r="CP195" s="469">
        <f t="shared" si="80"/>
        <v>0</v>
      </c>
      <c r="CQ195" s="469">
        <f t="shared" si="81"/>
        <v>0</v>
      </c>
      <c r="CR195" s="463"/>
      <c r="CS195" s="457"/>
      <c r="CT195" s="464"/>
      <c r="CU195" s="464"/>
      <c r="CV195" s="465"/>
      <c r="CW195" s="457"/>
      <c r="CX195" s="464"/>
      <c r="CY195" s="466"/>
      <c r="CZ195" s="465"/>
      <c r="DA195" s="457"/>
      <c r="DB195" s="464"/>
      <c r="DC195" s="466"/>
      <c r="DD195" s="465"/>
      <c r="DE195" s="457"/>
      <c r="DF195" s="464"/>
      <c r="DG195" s="466"/>
      <c r="DH195" s="465"/>
      <c r="DI195" s="457"/>
      <c r="DJ195" s="464"/>
      <c r="DK195" s="466"/>
      <c r="DL195" s="465"/>
      <c r="DM195" s="457"/>
      <c r="DN195" s="464"/>
      <c r="DO195" s="466"/>
      <c r="DP195" s="465"/>
      <c r="DQ195" s="457"/>
      <c r="DR195" s="464"/>
      <c r="DS195" s="466"/>
      <c r="DT195" s="465"/>
      <c r="DU195" s="457"/>
      <c r="DV195" s="464"/>
      <c r="DW195" s="466"/>
      <c r="DX195" s="465"/>
      <c r="DY195" s="457"/>
      <c r="DZ195" s="464"/>
      <c r="EA195" s="466"/>
      <c r="EB195" s="465"/>
      <c r="EC195" s="457"/>
      <c r="ED195" s="464"/>
      <c r="EE195" s="466"/>
      <c r="EF195" s="459"/>
      <c r="EG195" s="450"/>
      <c r="EH195" s="460">
        <f t="shared" si="82"/>
        <v>0</v>
      </c>
      <c r="EI195" s="460">
        <f t="shared" si="83"/>
        <v>0</v>
      </c>
      <c r="EJ195" s="458">
        <f t="shared" si="84"/>
        <v>0</v>
      </c>
      <c r="EK195" s="470">
        <f t="shared" si="85"/>
        <v>0</v>
      </c>
      <c r="EL195" s="470">
        <f t="shared" si="86"/>
        <v>0</v>
      </c>
      <c r="EM195" s="449">
        <f t="shared" si="87"/>
        <v>0</v>
      </c>
      <c r="EN195" s="460">
        <f t="shared" si="88"/>
        <v>0</v>
      </c>
      <c r="EO195" s="469">
        <f t="shared" si="89"/>
        <v>0</v>
      </c>
      <c r="EP195" s="471"/>
      <c r="EQ195" s="450"/>
      <c r="ER195" s="471"/>
      <c r="ES195" s="450"/>
      <c r="ET195" s="471"/>
      <c r="EU195" s="450"/>
      <c r="EV195" s="471"/>
      <c r="EW195" s="450"/>
      <c r="EX195" s="471"/>
      <c r="EY195" s="450"/>
      <c r="EZ195" s="471"/>
      <c r="FA195" s="450"/>
      <c r="FB195" s="471"/>
      <c r="FC195" s="450"/>
      <c r="FD195" s="471"/>
      <c r="FE195" s="450"/>
      <c r="FF195" s="471"/>
      <c r="FG195" s="450"/>
      <c r="FH195" s="472"/>
      <c r="FI195" s="450"/>
      <c r="FJ195" s="468">
        <f t="shared" si="90"/>
        <v>0</v>
      </c>
      <c r="FK195" s="469">
        <f t="shared" si="91"/>
        <v>0</v>
      </c>
      <c r="FL195" s="472"/>
      <c r="FM195" s="450"/>
      <c r="FN195" s="460">
        <f t="shared" si="92"/>
        <v>3694</v>
      </c>
      <c r="FO195" s="469">
        <f t="shared" si="93"/>
        <v>3570</v>
      </c>
    </row>
    <row r="196" spans="1:171" x14ac:dyDescent="0.2">
      <c r="A196" s="454" t="s">
        <v>574</v>
      </c>
      <c r="B196" s="455" t="s">
        <v>584</v>
      </c>
      <c r="C196" s="504"/>
      <c r="D196" s="505">
        <v>156921</v>
      </c>
      <c r="E196" s="509">
        <v>8</v>
      </c>
      <c r="F196" s="532">
        <v>2518</v>
      </c>
      <c r="G196" s="450">
        <v>2019</v>
      </c>
      <c r="H196" s="457"/>
      <c r="I196" s="450"/>
      <c r="J196" s="457">
        <v>955</v>
      </c>
      <c r="K196" s="450">
        <v>1080</v>
      </c>
      <c r="L196" s="458">
        <f t="shared" si="72"/>
        <v>0</v>
      </c>
      <c r="M196" s="449">
        <f t="shared" si="73"/>
        <v>0</v>
      </c>
      <c r="N196" s="459"/>
      <c r="O196" s="459"/>
      <c r="P196" s="459"/>
      <c r="Q196" s="459"/>
      <c r="R196" s="460">
        <f t="shared" si="70"/>
        <v>0</v>
      </c>
      <c r="S196" s="461"/>
      <c r="T196" s="461"/>
      <c r="U196" s="461"/>
      <c r="V196" s="461"/>
      <c r="W196" s="462">
        <f t="shared" si="71"/>
        <v>0</v>
      </c>
      <c r="X196" s="463"/>
      <c r="Y196" s="457"/>
      <c r="Z196" s="464"/>
      <c r="AA196" s="464"/>
      <c r="AB196" s="465"/>
      <c r="AC196" s="457"/>
      <c r="AD196" s="464"/>
      <c r="AE196" s="466"/>
      <c r="AF196" s="465"/>
      <c r="AG196" s="457"/>
      <c r="AH196" s="464"/>
      <c r="AI196" s="466"/>
      <c r="AJ196" s="465"/>
      <c r="AK196" s="457"/>
      <c r="AL196" s="464"/>
      <c r="AM196" s="466"/>
      <c r="AN196" s="465"/>
      <c r="AO196" s="457"/>
      <c r="AP196" s="464"/>
      <c r="AQ196" s="464"/>
      <c r="AR196" s="460">
        <f t="shared" si="74"/>
        <v>0</v>
      </c>
      <c r="AS196" s="467">
        <f t="shared" si="75"/>
        <v>0</v>
      </c>
      <c r="AT196" s="447">
        <f t="shared" si="76"/>
        <v>0</v>
      </c>
      <c r="AU196" s="448">
        <f t="shared" si="77"/>
        <v>0</v>
      </c>
      <c r="AV196" s="457"/>
      <c r="AW196" s="450"/>
      <c r="AX196" s="463"/>
      <c r="AY196" s="457"/>
      <c r="AZ196" s="464"/>
      <c r="BA196" s="464"/>
      <c r="BB196" s="465"/>
      <c r="BC196" s="457"/>
      <c r="BD196" s="464"/>
      <c r="BE196" s="466"/>
      <c r="BF196" s="465"/>
      <c r="BG196" s="457"/>
      <c r="BH196" s="464"/>
      <c r="BI196" s="466"/>
      <c r="BJ196" s="465"/>
      <c r="BK196" s="457"/>
      <c r="BL196" s="464"/>
      <c r="BM196" s="466"/>
      <c r="BN196" s="465"/>
      <c r="BO196" s="457"/>
      <c r="BP196" s="464"/>
      <c r="BQ196" s="466"/>
      <c r="BR196" s="465"/>
      <c r="BS196" s="457"/>
      <c r="BT196" s="464"/>
      <c r="BU196" s="466"/>
      <c r="BV196" s="465"/>
      <c r="BW196" s="457"/>
      <c r="BX196" s="464"/>
      <c r="BY196" s="466"/>
      <c r="BZ196" s="465"/>
      <c r="CA196" s="457"/>
      <c r="CB196" s="464"/>
      <c r="CC196" s="466"/>
      <c r="CD196" s="465"/>
      <c r="CE196" s="457"/>
      <c r="CF196" s="464"/>
      <c r="CG196" s="466"/>
      <c r="CH196" s="465"/>
      <c r="CI196" s="457"/>
      <c r="CJ196" s="464"/>
      <c r="CK196" s="466"/>
      <c r="CL196" s="459"/>
      <c r="CM196" s="450"/>
      <c r="CN196" s="468">
        <f t="shared" si="78"/>
        <v>0</v>
      </c>
      <c r="CO196" s="468">
        <f t="shared" si="79"/>
        <v>0</v>
      </c>
      <c r="CP196" s="469">
        <f t="shared" si="80"/>
        <v>0</v>
      </c>
      <c r="CQ196" s="469">
        <f t="shared" si="81"/>
        <v>0</v>
      </c>
      <c r="CR196" s="463"/>
      <c r="CS196" s="457"/>
      <c r="CT196" s="464"/>
      <c r="CU196" s="464"/>
      <c r="CV196" s="465"/>
      <c r="CW196" s="457"/>
      <c r="CX196" s="464"/>
      <c r="CY196" s="466"/>
      <c r="CZ196" s="465"/>
      <c r="DA196" s="457"/>
      <c r="DB196" s="464"/>
      <c r="DC196" s="466"/>
      <c r="DD196" s="465"/>
      <c r="DE196" s="457"/>
      <c r="DF196" s="464"/>
      <c r="DG196" s="466"/>
      <c r="DH196" s="465"/>
      <c r="DI196" s="457"/>
      <c r="DJ196" s="464"/>
      <c r="DK196" s="466"/>
      <c r="DL196" s="465"/>
      <c r="DM196" s="457"/>
      <c r="DN196" s="464"/>
      <c r="DO196" s="466"/>
      <c r="DP196" s="465"/>
      <c r="DQ196" s="457"/>
      <c r="DR196" s="464"/>
      <c r="DS196" s="466"/>
      <c r="DT196" s="465"/>
      <c r="DU196" s="457"/>
      <c r="DV196" s="464"/>
      <c r="DW196" s="466"/>
      <c r="DX196" s="465"/>
      <c r="DY196" s="457"/>
      <c r="DZ196" s="464"/>
      <c r="EA196" s="466"/>
      <c r="EB196" s="465"/>
      <c r="EC196" s="457"/>
      <c r="ED196" s="464"/>
      <c r="EE196" s="466"/>
      <c r="EF196" s="459"/>
      <c r="EG196" s="450"/>
      <c r="EH196" s="460">
        <f t="shared" si="82"/>
        <v>0</v>
      </c>
      <c r="EI196" s="460">
        <f t="shared" si="83"/>
        <v>0</v>
      </c>
      <c r="EJ196" s="458">
        <f t="shared" si="84"/>
        <v>0</v>
      </c>
      <c r="EK196" s="470">
        <f t="shared" si="85"/>
        <v>0</v>
      </c>
      <c r="EL196" s="470">
        <f t="shared" si="86"/>
        <v>0</v>
      </c>
      <c r="EM196" s="449">
        <f t="shared" si="87"/>
        <v>0</v>
      </c>
      <c r="EN196" s="460">
        <f t="shared" si="88"/>
        <v>0</v>
      </c>
      <c r="EO196" s="469">
        <f t="shared" si="89"/>
        <v>0</v>
      </c>
      <c r="EP196" s="471"/>
      <c r="EQ196" s="450"/>
      <c r="ER196" s="471"/>
      <c r="ES196" s="450"/>
      <c r="ET196" s="471"/>
      <c r="EU196" s="450"/>
      <c r="EV196" s="471"/>
      <c r="EW196" s="450"/>
      <c r="EX196" s="471"/>
      <c r="EY196" s="450"/>
      <c r="EZ196" s="471"/>
      <c r="FA196" s="450"/>
      <c r="FB196" s="471"/>
      <c r="FC196" s="450"/>
      <c r="FD196" s="471"/>
      <c r="FE196" s="450"/>
      <c r="FF196" s="471"/>
      <c r="FG196" s="450"/>
      <c r="FH196" s="472"/>
      <c r="FI196" s="450"/>
      <c r="FJ196" s="468">
        <f t="shared" si="90"/>
        <v>0</v>
      </c>
      <c r="FK196" s="469">
        <f t="shared" si="91"/>
        <v>0</v>
      </c>
      <c r="FL196" s="472"/>
      <c r="FM196" s="450"/>
      <c r="FN196" s="460">
        <f t="shared" si="92"/>
        <v>3473</v>
      </c>
      <c r="FO196" s="469">
        <f t="shared" si="93"/>
        <v>3099</v>
      </c>
    </row>
    <row r="197" spans="1:171" x14ac:dyDescent="0.2">
      <c r="A197" s="454" t="s">
        <v>574</v>
      </c>
      <c r="B197" s="455" t="s">
        <v>585</v>
      </c>
      <c r="C197" s="504"/>
      <c r="D197" s="505">
        <v>156231</v>
      </c>
      <c r="E197" s="509">
        <v>9</v>
      </c>
      <c r="F197" s="532">
        <v>826</v>
      </c>
      <c r="G197" s="450">
        <v>1069</v>
      </c>
      <c r="H197" s="457"/>
      <c r="I197" s="450"/>
      <c r="J197" s="457">
        <v>410</v>
      </c>
      <c r="K197" s="450">
        <v>463</v>
      </c>
      <c r="L197" s="458">
        <f t="shared" si="72"/>
        <v>0</v>
      </c>
      <c r="M197" s="449">
        <f t="shared" si="73"/>
        <v>0</v>
      </c>
      <c r="N197" s="459"/>
      <c r="O197" s="459"/>
      <c r="P197" s="459"/>
      <c r="Q197" s="459"/>
      <c r="R197" s="460">
        <f t="shared" si="70"/>
        <v>0</v>
      </c>
      <c r="S197" s="461"/>
      <c r="T197" s="461"/>
      <c r="U197" s="461"/>
      <c r="V197" s="461"/>
      <c r="W197" s="462">
        <f t="shared" si="71"/>
        <v>0</v>
      </c>
      <c r="X197" s="463"/>
      <c r="Y197" s="457"/>
      <c r="Z197" s="464"/>
      <c r="AA197" s="464"/>
      <c r="AB197" s="465"/>
      <c r="AC197" s="457"/>
      <c r="AD197" s="464"/>
      <c r="AE197" s="466"/>
      <c r="AF197" s="465"/>
      <c r="AG197" s="457"/>
      <c r="AH197" s="464"/>
      <c r="AI197" s="466"/>
      <c r="AJ197" s="465"/>
      <c r="AK197" s="457"/>
      <c r="AL197" s="464"/>
      <c r="AM197" s="466"/>
      <c r="AN197" s="465"/>
      <c r="AO197" s="457"/>
      <c r="AP197" s="464"/>
      <c r="AQ197" s="464"/>
      <c r="AR197" s="460">
        <f t="shared" si="74"/>
        <v>0</v>
      </c>
      <c r="AS197" s="467">
        <f t="shared" si="75"/>
        <v>0</v>
      </c>
      <c r="AT197" s="447">
        <f t="shared" si="76"/>
        <v>0</v>
      </c>
      <c r="AU197" s="448">
        <f t="shared" si="77"/>
        <v>0</v>
      </c>
      <c r="AV197" s="457"/>
      <c r="AW197" s="450"/>
      <c r="AX197" s="463"/>
      <c r="AY197" s="457"/>
      <c r="AZ197" s="464"/>
      <c r="BA197" s="464"/>
      <c r="BB197" s="465"/>
      <c r="BC197" s="457"/>
      <c r="BD197" s="464"/>
      <c r="BE197" s="466"/>
      <c r="BF197" s="465"/>
      <c r="BG197" s="457"/>
      <c r="BH197" s="464"/>
      <c r="BI197" s="466"/>
      <c r="BJ197" s="465"/>
      <c r="BK197" s="457"/>
      <c r="BL197" s="464"/>
      <c r="BM197" s="466"/>
      <c r="BN197" s="465"/>
      <c r="BO197" s="457"/>
      <c r="BP197" s="464"/>
      <c r="BQ197" s="466"/>
      <c r="BR197" s="465"/>
      <c r="BS197" s="457"/>
      <c r="BT197" s="464"/>
      <c r="BU197" s="466"/>
      <c r="BV197" s="465"/>
      <c r="BW197" s="457"/>
      <c r="BX197" s="464"/>
      <c r="BY197" s="466"/>
      <c r="BZ197" s="465"/>
      <c r="CA197" s="457"/>
      <c r="CB197" s="464"/>
      <c r="CC197" s="466"/>
      <c r="CD197" s="465"/>
      <c r="CE197" s="457"/>
      <c r="CF197" s="464"/>
      <c r="CG197" s="466"/>
      <c r="CH197" s="465"/>
      <c r="CI197" s="457"/>
      <c r="CJ197" s="464"/>
      <c r="CK197" s="466"/>
      <c r="CL197" s="459"/>
      <c r="CM197" s="450"/>
      <c r="CN197" s="468">
        <f t="shared" si="78"/>
        <v>0</v>
      </c>
      <c r="CO197" s="468">
        <f t="shared" si="79"/>
        <v>0</v>
      </c>
      <c r="CP197" s="469">
        <f t="shared" si="80"/>
        <v>0</v>
      </c>
      <c r="CQ197" s="469">
        <f t="shared" si="81"/>
        <v>0</v>
      </c>
      <c r="CR197" s="463"/>
      <c r="CS197" s="457"/>
      <c r="CT197" s="464"/>
      <c r="CU197" s="464"/>
      <c r="CV197" s="465"/>
      <c r="CW197" s="457"/>
      <c r="CX197" s="464"/>
      <c r="CY197" s="466"/>
      <c r="CZ197" s="465"/>
      <c r="DA197" s="457"/>
      <c r="DB197" s="464"/>
      <c r="DC197" s="466"/>
      <c r="DD197" s="465"/>
      <c r="DE197" s="457"/>
      <c r="DF197" s="464"/>
      <c r="DG197" s="466"/>
      <c r="DH197" s="465"/>
      <c r="DI197" s="457"/>
      <c r="DJ197" s="464"/>
      <c r="DK197" s="466"/>
      <c r="DL197" s="465"/>
      <c r="DM197" s="457"/>
      <c r="DN197" s="464"/>
      <c r="DO197" s="466"/>
      <c r="DP197" s="465"/>
      <c r="DQ197" s="457"/>
      <c r="DR197" s="464"/>
      <c r="DS197" s="466"/>
      <c r="DT197" s="465"/>
      <c r="DU197" s="457"/>
      <c r="DV197" s="464"/>
      <c r="DW197" s="466"/>
      <c r="DX197" s="465"/>
      <c r="DY197" s="457"/>
      <c r="DZ197" s="464"/>
      <c r="EA197" s="466"/>
      <c r="EB197" s="465"/>
      <c r="EC197" s="457"/>
      <c r="ED197" s="464"/>
      <c r="EE197" s="466"/>
      <c r="EF197" s="459"/>
      <c r="EG197" s="450"/>
      <c r="EH197" s="460">
        <f t="shared" si="82"/>
        <v>0</v>
      </c>
      <c r="EI197" s="460">
        <f t="shared" si="83"/>
        <v>0</v>
      </c>
      <c r="EJ197" s="458">
        <f t="shared" si="84"/>
        <v>0</v>
      </c>
      <c r="EK197" s="470">
        <f t="shared" si="85"/>
        <v>0</v>
      </c>
      <c r="EL197" s="470">
        <f t="shared" si="86"/>
        <v>0</v>
      </c>
      <c r="EM197" s="449">
        <f t="shared" si="87"/>
        <v>0</v>
      </c>
      <c r="EN197" s="460">
        <f t="shared" si="88"/>
        <v>0</v>
      </c>
      <c r="EO197" s="469">
        <f t="shared" si="89"/>
        <v>0</v>
      </c>
      <c r="EP197" s="471"/>
      <c r="EQ197" s="450"/>
      <c r="ER197" s="471"/>
      <c r="ES197" s="450"/>
      <c r="ET197" s="471"/>
      <c r="EU197" s="450"/>
      <c r="EV197" s="471"/>
      <c r="EW197" s="450"/>
      <c r="EX197" s="471"/>
      <c r="EY197" s="450"/>
      <c r="EZ197" s="471"/>
      <c r="FA197" s="450"/>
      <c r="FB197" s="471"/>
      <c r="FC197" s="450"/>
      <c r="FD197" s="471"/>
      <c r="FE197" s="450"/>
      <c r="FF197" s="471"/>
      <c r="FG197" s="450"/>
      <c r="FH197" s="472"/>
      <c r="FI197" s="450"/>
      <c r="FJ197" s="468">
        <f t="shared" si="90"/>
        <v>0</v>
      </c>
      <c r="FK197" s="469">
        <f t="shared" si="91"/>
        <v>0</v>
      </c>
      <c r="FL197" s="472"/>
      <c r="FM197" s="450"/>
      <c r="FN197" s="460">
        <f t="shared" si="92"/>
        <v>1236</v>
      </c>
      <c r="FO197" s="469">
        <f t="shared" si="93"/>
        <v>1532</v>
      </c>
    </row>
    <row r="198" spans="1:171" x14ac:dyDescent="0.2">
      <c r="A198" s="454" t="s">
        <v>574</v>
      </c>
      <c r="B198" s="455" t="s">
        <v>586</v>
      </c>
      <c r="C198" s="504"/>
      <c r="D198" s="501">
        <v>157553</v>
      </c>
      <c r="E198" s="509">
        <v>9</v>
      </c>
      <c r="F198" s="532">
        <v>736</v>
      </c>
      <c r="G198" s="450">
        <v>808</v>
      </c>
      <c r="H198" s="457"/>
      <c r="I198" s="450"/>
      <c r="J198" s="457">
        <v>324</v>
      </c>
      <c r="K198" s="450">
        <v>326</v>
      </c>
      <c r="L198" s="458">
        <f t="shared" si="72"/>
        <v>0</v>
      </c>
      <c r="M198" s="449">
        <f t="shared" si="73"/>
        <v>0</v>
      </c>
      <c r="N198" s="459"/>
      <c r="O198" s="459"/>
      <c r="P198" s="459"/>
      <c r="Q198" s="459"/>
      <c r="R198" s="460">
        <f t="shared" si="70"/>
        <v>0</v>
      </c>
      <c r="S198" s="461"/>
      <c r="T198" s="461"/>
      <c r="U198" s="461"/>
      <c r="V198" s="461"/>
      <c r="W198" s="462">
        <f t="shared" si="71"/>
        <v>0</v>
      </c>
      <c r="X198" s="463"/>
      <c r="Y198" s="457"/>
      <c r="Z198" s="464"/>
      <c r="AA198" s="464"/>
      <c r="AB198" s="465"/>
      <c r="AC198" s="457"/>
      <c r="AD198" s="464"/>
      <c r="AE198" s="466"/>
      <c r="AF198" s="465"/>
      <c r="AG198" s="457"/>
      <c r="AH198" s="464"/>
      <c r="AI198" s="466"/>
      <c r="AJ198" s="465"/>
      <c r="AK198" s="457"/>
      <c r="AL198" s="464"/>
      <c r="AM198" s="466"/>
      <c r="AN198" s="465"/>
      <c r="AO198" s="457"/>
      <c r="AP198" s="464"/>
      <c r="AQ198" s="464"/>
      <c r="AR198" s="460">
        <f t="shared" si="74"/>
        <v>0</v>
      </c>
      <c r="AS198" s="467">
        <f t="shared" si="75"/>
        <v>0</v>
      </c>
      <c r="AT198" s="447">
        <f t="shared" si="76"/>
        <v>0</v>
      </c>
      <c r="AU198" s="448">
        <f t="shared" si="77"/>
        <v>0</v>
      </c>
      <c r="AV198" s="457"/>
      <c r="AW198" s="450"/>
      <c r="AX198" s="463"/>
      <c r="AY198" s="457"/>
      <c r="AZ198" s="464"/>
      <c r="BA198" s="464"/>
      <c r="BB198" s="465"/>
      <c r="BC198" s="457"/>
      <c r="BD198" s="464"/>
      <c r="BE198" s="466"/>
      <c r="BF198" s="465"/>
      <c r="BG198" s="457"/>
      <c r="BH198" s="464"/>
      <c r="BI198" s="466"/>
      <c r="BJ198" s="465"/>
      <c r="BK198" s="457"/>
      <c r="BL198" s="464"/>
      <c r="BM198" s="466"/>
      <c r="BN198" s="465"/>
      <c r="BO198" s="457"/>
      <c r="BP198" s="464"/>
      <c r="BQ198" s="466"/>
      <c r="BR198" s="465"/>
      <c r="BS198" s="457"/>
      <c r="BT198" s="464"/>
      <c r="BU198" s="466"/>
      <c r="BV198" s="465"/>
      <c r="BW198" s="457"/>
      <c r="BX198" s="464"/>
      <c r="BY198" s="466"/>
      <c r="BZ198" s="465"/>
      <c r="CA198" s="457"/>
      <c r="CB198" s="464"/>
      <c r="CC198" s="466"/>
      <c r="CD198" s="465"/>
      <c r="CE198" s="457"/>
      <c r="CF198" s="464"/>
      <c r="CG198" s="466"/>
      <c r="CH198" s="465"/>
      <c r="CI198" s="457"/>
      <c r="CJ198" s="464"/>
      <c r="CK198" s="466"/>
      <c r="CL198" s="459"/>
      <c r="CM198" s="450"/>
      <c r="CN198" s="468">
        <f t="shared" si="78"/>
        <v>0</v>
      </c>
      <c r="CO198" s="468">
        <f t="shared" si="79"/>
        <v>0</v>
      </c>
      <c r="CP198" s="469">
        <f t="shared" si="80"/>
        <v>0</v>
      </c>
      <c r="CQ198" s="469">
        <f t="shared" si="81"/>
        <v>0</v>
      </c>
      <c r="CR198" s="463"/>
      <c r="CS198" s="457"/>
      <c r="CT198" s="464"/>
      <c r="CU198" s="464"/>
      <c r="CV198" s="465"/>
      <c r="CW198" s="457"/>
      <c r="CX198" s="464"/>
      <c r="CY198" s="466"/>
      <c r="CZ198" s="465"/>
      <c r="DA198" s="457"/>
      <c r="DB198" s="464"/>
      <c r="DC198" s="466"/>
      <c r="DD198" s="465"/>
      <c r="DE198" s="457"/>
      <c r="DF198" s="464"/>
      <c r="DG198" s="466"/>
      <c r="DH198" s="465"/>
      <c r="DI198" s="457"/>
      <c r="DJ198" s="464"/>
      <c r="DK198" s="466"/>
      <c r="DL198" s="465"/>
      <c r="DM198" s="457"/>
      <c r="DN198" s="464"/>
      <c r="DO198" s="466"/>
      <c r="DP198" s="465"/>
      <c r="DQ198" s="457"/>
      <c r="DR198" s="464"/>
      <c r="DS198" s="466"/>
      <c r="DT198" s="465"/>
      <c r="DU198" s="457"/>
      <c r="DV198" s="464"/>
      <c r="DW198" s="466"/>
      <c r="DX198" s="465"/>
      <c r="DY198" s="457"/>
      <c r="DZ198" s="464"/>
      <c r="EA198" s="466"/>
      <c r="EB198" s="465"/>
      <c r="EC198" s="457"/>
      <c r="ED198" s="464"/>
      <c r="EE198" s="466"/>
      <c r="EF198" s="459"/>
      <c r="EG198" s="450"/>
      <c r="EH198" s="460">
        <f t="shared" si="82"/>
        <v>0</v>
      </c>
      <c r="EI198" s="460">
        <f t="shared" si="83"/>
        <v>0</v>
      </c>
      <c r="EJ198" s="458">
        <f t="shared" si="84"/>
        <v>0</v>
      </c>
      <c r="EK198" s="470">
        <f t="shared" si="85"/>
        <v>0</v>
      </c>
      <c r="EL198" s="470">
        <f t="shared" si="86"/>
        <v>0</v>
      </c>
      <c r="EM198" s="449">
        <f t="shared" si="87"/>
        <v>0</v>
      </c>
      <c r="EN198" s="460">
        <f t="shared" si="88"/>
        <v>0</v>
      </c>
      <c r="EO198" s="469">
        <f t="shared" si="89"/>
        <v>0</v>
      </c>
      <c r="EP198" s="471"/>
      <c r="EQ198" s="450"/>
      <c r="ER198" s="471"/>
      <c r="ES198" s="450"/>
      <c r="ET198" s="471"/>
      <c r="EU198" s="450"/>
      <c r="EV198" s="471"/>
      <c r="EW198" s="450"/>
      <c r="EX198" s="471"/>
      <c r="EY198" s="450"/>
      <c r="EZ198" s="471"/>
      <c r="FA198" s="450"/>
      <c r="FB198" s="471"/>
      <c r="FC198" s="450"/>
      <c r="FD198" s="471"/>
      <c r="FE198" s="450"/>
      <c r="FF198" s="471"/>
      <c r="FG198" s="450"/>
      <c r="FH198" s="472"/>
      <c r="FI198" s="450"/>
      <c r="FJ198" s="468">
        <f t="shared" si="90"/>
        <v>0</v>
      </c>
      <c r="FK198" s="469">
        <f t="shared" si="91"/>
        <v>0</v>
      </c>
      <c r="FL198" s="472"/>
      <c r="FM198" s="450"/>
      <c r="FN198" s="460">
        <f t="shared" si="92"/>
        <v>1060</v>
      </c>
      <c r="FO198" s="469">
        <f t="shared" si="93"/>
        <v>1134</v>
      </c>
    </row>
    <row r="199" spans="1:171" x14ac:dyDescent="0.2">
      <c r="A199" s="454" t="s">
        <v>574</v>
      </c>
      <c r="B199" s="455" t="s">
        <v>587</v>
      </c>
      <c r="C199" s="504"/>
      <c r="D199" s="501">
        <v>156648</v>
      </c>
      <c r="E199" s="509">
        <v>9</v>
      </c>
      <c r="F199" s="532">
        <v>1188</v>
      </c>
      <c r="G199" s="450">
        <v>1350</v>
      </c>
      <c r="H199" s="457"/>
      <c r="I199" s="450"/>
      <c r="J199" s="457">
        <v>649</v>
      </c>
      <c r="K199" s="450">
        <v>829</v>
      </c>
      <c r="L199" s="458">
        <f t="shared" si="72"/>
        <v>0</v>
      </c>
      <c r="M199" s="449">
        <f t="shared" si="73"/>
        <v>0</v>
      </c>
      <c r="N199" s="459"/>
      <c r="O199" s="459"/>
      <c r="P199" s="459"/>
      <c r="Q199" s="459"/>
      <c r="R199" s="460">
        <f t="shared" si="70"/>
        <v>0</v>
      </c>
      <c r="S199" s="461"/>
      <c r="T199" s="461"/>
      <c r="U199" s="461"/>
      <c r="V199" s="461"/>
      <c r="W199" s="462">
        <f t="shared" si="71"/>
        <v>0</v>
      </c>
      <c r="X199" s="463"/>
      <c r="Y199" s="457"/>
      <c r="Z199" s="464"/>
      <c r="AA199" s="464"/>
      <c r="AB199" s="465"/>
      <c r="AC199" s="457"/>
      <c r="AD199" s="464"/>
      <c r="AE199" s="466"/>
      <c r="AF199" s="465"/>
      <c r="AG199" s="457"/>
      <c r="AH199" s="464"/>
      <c r="AI199" s="466"/>
      <c r="AJ199" s="465"/>
      <c r="AK199" s="457"/>
      <c r="AL199" s="464"/>
      <c r="AM199" s="466"/>
      <c r="AN199" s="465"/>
      <c r="AO199" s="457"/>
      <c r="AP199" s="464"/>
      <c r="AQ199" s="464"/>
      <c r="AR199" s="460">
        <f t="shared" si="74"/>
        <v>0</v>
      </c>
      <c r="AS199" s="467">
        <f t="shared" si="75"/>
        <v>0</v>
      </c>
      <c r="AT199" s="447">
        <f t="shared" si="76"/>
        <v>0</v>
      </c>
      <c r="AU199" s="448">
        <f t="shared" si="77"/>
        <v>0</v>
      </c>
      <c r="AV199" s="457"/>
      <c r="AW199" s="450"/>
      <c r="AX199" s="463"/>
      <c r="AY199" s="457"/>
      <c r="AZ199" s="464"/>
      <c r="BA199" s="464"/>
      <c r="BB199" s="465"/>
      <c r="BC199" s="457"/>
      <c r="BD199" s="464"/>
      <c r="BE199" s="466"/>
      <c r="BF199" s="465"/>
      <c r="BG199" s="457"/>
      <c r="BH199" s="464"/>
      <c r="BI199" s="466"/>
      <c r="BJ199" s="465"/>
      <c r="BK199" s="457"/>
      <c r="BL199" s="464"/>
      <c r="BM199" s="466"/>
      <c r="BN199" s="465"/>
      <c r="BO199" s="457"/>
      <c r="BP199" s="464"/>
      <c r="BQ199" s="466"/>
      <c r="BR199" s="465"/>
      <c r="BS199" s="457"/>
      <c r="BT199" s="464"/>
      <c r="BU199" s="466"/>
      <c r="BV199" s="465"/>
      <c r="BW199" s="457"/>
      <c r="BX199" s="464"/>
      <c r="BY199" s="466"/>
      <c r="BZ199" s="465"/>
      <c r="CA199" s="457"/>
      <c r="CB199" s="464"/>
      <c r="CC199" s="466"/>
      <c r="CD199" s="465"/>
      <c r="CE199" s="457"/>
      <c r="CF199" s="464"/>
      <c r="CG199" s="466"/>
      <c r="CH199" s="465"/>
      <c r="CI199" s="457"/>
      <c r="CJ199" s="464"/>
      <c r="CK199" s="466"/>
      <c r="CL199" s="459"/>
      <c r="CM199" s="450"/>
      <c r="CN199" s="468">
        <f t="shared" si="78"/>
        <v>0</v>
      </c>
      <c r="CO199" s="468">
        <f t="shared" si="79"/>
        <v>0</v>
      </c>
      <c r="CP199" s="469">
        <f t="shared" si="80"/>
        <v>0</v>
      </c>
      <c r="CQ199" s="469">
        <f t="shared" si="81"/>
        <v>0</v>
      </c>
      <c r="CR199" s="463"/>
      <c r="CS199" s="457"/>
      <c r="CT199" s="464"/>
      <c r="CU199" s="464"/>
      <c r="CV199" s="465"/>
      <c r="CW199" s="457"/>
      <c r="CX199" s="464"/>
      <c r="CY199" s="466"/>
      <c r="CZ199" s="465"/>
      <c r="DA199" s="457"/>
      <c r="DB199" s="464"/>
      <c r="DC199" s="466"/>
      <c r="DD199" s="465"/>
      <c r="DE199" s="457"/>
      <c r="DF199" s="464"/>
      <c r="DG199" s="466"/>
      <c r="DH199" s="465"/>
      <c r="DI199" s="457"/>
      <c r="DJ199" s="464"/>
      <c r="DK199" s="466"/>
      <c r="DL199" s="465"/>
      <c r="DM199" s="457"/>
      <c r="DN199" s="464"/>
      <c r="DO199" s="466"/>
      <c r="DP199" s="465"/>
      <c r="DQ199" s="457"/>
      <c r="DR199" s="464"/>
      <c r="DS199" s="466"/>
      <c r="DT199" s="465"/>
      <c r="DU199" s="457"/>
      <c r="DV199" s="464"/>
      <c r="DW199" s="466"/>
      <c r="DX199" s="465"/>
      <c r="DY199" s="457"/>
      <c r="DZ199" s="464"/>
      <c r="EA199" s="466"/>
      <c r="EB199" s="465"/>
      <c r="EC199" s="457"/>
      <c r="ED199" s="464"/>
      <c r="EE199" s="466"/>
      <c r="EF199" s="459"/>
      <c r="EG199" s="450"/>
      <c r="EH199" s="460">
        <f t="shared" si="82"/>
        <v>0</v>
      </c>
      <c r="EI199" s="460">
        <f t="shared" si="83"/>
        <v>0</v>
      </c>
      <c r="EJ199" s="458">
        <f t="shared" si="84"/>
        <v>0</v>
      </c>
      <c r="EK199" s="470">
        <f t="shared" si="85"/>
        <v>0</v>
      </c>
      <c r="EL199" s="470">
        <f t="shared" si="86"/>
        <v>0</v>
      </c>
      <c r="EM199" s="449">
        <f t="shared" si="87"/>
        <v>0</v>
      </c>
      <c r="EN199" s="460">
        <f t="shared" si="88"/>
        <v>0</v>
      </c>
      <c r="EO199" s="469">
        <f t="shared" si="89"/>
        <v>0</v>
      </c>
      <c r="EP199" s="471"/>
      <c r="EQ199" s="450"/>
      <c r="ER199" s="471"/>
      <c r="ES199" s="450"/>
      <c r="ET199" s="471"/>
      <c r="EU199" s="450"/>
      <c r="EV199" s="471"/>
      <c r="EW199" s="450"/>
      <c r="EX199" s="471"/>
      <c r="EY199" s="450"/>
      <c r="EZ199" s="471"/>
      <c r="FA199" s="450"/>
      <c r="FB199" s="471"/>
      <c r="FC199" s="450"/>
      <c r="FD199" s="471"/>
      <c r="FE199" s="450"/>
      <c r="FF199" s="471"/>
      <c r="FG199" s="450"/>
      <c r="FH199" s="472"/>
      <c r="FI199" s="450"/>
      <c r="FJ199" s="468">
        <f t="shared" si="90"/>
        <v>0</v>
      </c>
      <c r="FK199" s="469">
        <f t="shared" si="91"/>
        <v>0</v>
      </c>
      <c r="FL199" s="472"/>
      <c r="FM199" s="450"/>
      <c r="FN199" s="460">
        <f t="shared" si="92"/>
        <v>1837</v>
      </c>
      <c r="FO199" s="469">
        <f t="shared" si="93"/>
        <v>2179</v>
      </c>
    </row>
    <row r="200" spans="1:171" x14ac:dyDescent="0.2">
      <c r="A200" s="456" t="s">
        <v>574</v>
      </c>
      <c r="B200" s="453" t="s">
        <v>595</v>
      </c>
      <c r="C200" s="506" t="s">
        <v>601</v>
      </c>
      <c r="D200" s="501">
        <v>156790</v>
      </c>
      <c r="E200" s="508">
        <v>9</v>
      </c>
      <c r="F200" s="532">
        <v>1207</v>
      </c>
      <c r="G200" s="450">
        <v>875</v>
      </c>
      <c r="H200" s="457"/>
      <c r="I200" s="450"/>
      <c r="J200" s="457">
        <v>411</v>
      </c>
      <c r="K200" s="450">
        <v>372</v>
      </c>
      <c r="L200" s="458">
        <f t="shared" si="72"/>
        <v>0</v>
      </c>
      <c r="M200" s="449">
        <f t="shared" si="73"/>
        <v>0</v>
      </c>
      <c r="N200" s="459"/>
      <c r="O200" s="459"/>
      <c r="P200" s="459"/>
      <c r="Q200" s="459"/>
      <c r="R200" s="460">
        <f t="shared" si="70"/>
        <v>0</v>
      </c>
      <c r="S200" s="461"/>
      <c r="T200" s="461"/>
      <c r="U200" s="461"/>
      <c r="V200" s="461"/>
      <c r="W200" s="462">
        <f t="shared" si="71"/>
        <v>0</v>
      </c>
      <c r="X200" s="463"/>
      <c r="Y200" s="457"/>
      <c r="Z200" s="464"/>
      <c r="AA200" s="464"/>
      <c r="AB200" s="465"/>
      <c r="AC200" s="457"/>
      <c r="AD200" s="464"/>
      <c r="AE200" s="466"/>
      <c r="AF200" s="465"/>
      <c r="AG200" s="457"/>
      <c r="AH200" s="464"/>
      <c r="AI200" s="466"/>
      <c r="AJ200" s="465"/>
      <c r="AK200" s="457"/>
      <c r="AL200" s="464"/>
      <c r="AM200" s="466"/>
      <c r="AN200" s="465"/>
      <c r="AO200" s="457"/>
      <c r="AP200" s="464"/>
      <c r="AQ200" s="464"/>
      <c r="AR200" s="460">
        <f t="shared" si="74"/>
        <v>0</v>
      </c>
      <c r="AS200" s="467">
        <f t="shared" si="75"/>
        <v>0</v>
      </c>
      <c r="AT200" s="447">
        <f t="shared" si="76"/>
        <v>0</v>
      </c>
      <c r="AU200" s="448">
        <f t="shared" si="77"/>
        <v>0</v>
      </c>
      <c r="AV200" s="457"/>
      <c r="AW200" s="450"/>
      <c r="AX200" s="463"/>
      <c r="AY200" s="457"/>
      <c r="AZ200" s="464"/>
      <c r="BA200" s="464"/>
      <c r="BB200" s="465"/>
      <c r="BC200" s="457"/>
      <c r="BD200" s="464"/>
      <c r="BE200" s="466"/>
      <c r="BF200" s="465"/>
      <c r="BG200" s="457"/>
      <c r="BH200" s="464"/>
      <c r="BI200" s="466"/>
      <c r="BJ200" s="465"/>
      <c r="BK200" s="457"/>
      <c r="BL200" s="464"/>
      <c r="BM200" s="466"/>
      <c r="BN200" s="465"/>
      <c r="BO200" s="457"/>
      <c r="BP200" s="464"/>
      <c r="BQ200" s="466"/>
      <c r="BR200" s="465"/>
      <c r="BS200" s="457"/>
      <c r="BT200" s="464"/>
      <c r="BU200" s="466"/>
      <c r="BV200" s="465"/>
      <c r="BW200" s="457"/>
      <c r="BX200" s="464"/>
      <c r="BY200" s="466"/>
      <c r="BZ200" s="465"/>
      <c r="CA200" s="457"/>
      <c r="CB200" s="464"/>
      <c r="CC200" s="466"/>
      <c r="CD200" s="465"/>
      <c r="CE200" s="457"/>
      <c r="CF200" s="464"/>
      <c r="CG200" s="466"/>
      <c r="CH200" s="465"/>
      <c r="CI200" s="457"/>
      <c r="CJ200" s="464"/>
      <c r="CK200" s="466"/>
      <c r="CL200" s="459"/>
      <c r="CM200" s="450"/>
      <c r="CN200" s="468">
        <f t="shared" si="78"/>
        <v>0</v>
      </c>
      <c r="CO200" s="468">
        <f t="shared" si="79"/>
        <v>0</v>
      </c>
      <c r="CP200" s="469">
        <f t="shared" si="80"/>
        <v>0</v>
      </c>
      <c r="CQ200" s="469">
        <f t="shared" si="81"/>
        <v>0</v>
      </c>
      <c r="CR200" s="463"/>
      <c r="CS200" s="457"/>
      <c r="CT200" s="464"/>
      <c r="CU200" s="464"/>
      <c r="CV200" s="465"/>
      <c r="CW200" s="457"/>
      <c r="CX200" s="464"/>
      <c r="CY200" s="466"/>
      <c r="CZ200" s="465"/>
      <c r="DA200" s="457"/>
      <c r="DB200" s="464"/>
      <c r="DC200" s="466"/>
      <c r="DD200" s="465"/>
      <c r="DE200" s="457"/>
      <c r="DF200" s="464"/>
      <c r="DG200" s="466"/>
      <c r="DH200" s="465"/>
      <c r="DI200" s="457"/>
      <c r="DJ200" s="464"/>
      <c r="DK200" s="466"/>
      <c r="DL200" s="465"/>
      <c r="DM200" s="457"/>
      <c r="DN200" s="464"/>
      <c r="DO200" s="466"/>
      <c r="DP200" s="465"/>
      <c r="DQ200" s="457"/>
      <c r="DR200" s="464"/>
      <c r="DS200" s="466"/>
      <c r="DT200" s="465"/>
      <c r="DU200" s="457"/>
      <c r="DV200" s="464"/>
      <c r="DW200" s="466"/>
      <c r="DX200" s="465"/>
      <c r="DY200" s="457"/>
      <c r="DZ200" s="464"/>
      <c r="EA200" s="466"/>
      <c r="EB200" s="465"/>
      <c r="EC200" s="457"/>
      <c r="ED200" s="464"/>
      <c r="EE200" s="466"/>
      <c r="EF200" s="459"/>
      <c r="EG200" s="450"/>
      <c r="EH200" s="460">
        <f t="shared" si="82"/>
        <v>0</v>
      </c>
      <c r="EI200" s="460">
        <f t="shared" si="83"/>
        <v>0</v>
      </c>
      <c r="EJ200" s="458">
        <f t="shared" si="84"/>
        <v>0</v>
      </c>
      <c r="EK200" s="470">
        <f t="shared" si="85"/>
        <v>0</v>
      </c>
      <c r="EL200" s="470">
        <f t="shared" si="86"/>
        <v>0</v>
      </c>
      <c r="EM200" s="449">
        <f t="shared" si="87"/>
        <v>0</v>
      </c>
      <c r="EN200" s="460">
        <f t="shared" si="88"/>
        <v>0</v>
      </c>
      <c r="EO200" s="469">
        <f t="shared" si="89"/>
        <v>0</v>
      </c>
      <c r="EP200" s="471"/>
      <c r="EQ200" s="450"/>
      <c r="ER200" s="471"/>
      <c r="ES200" s="450"/>
      <c r="ET200" s="471"/>
      <c r="EU200" s="450"/>
      <c r="EV200" s="471"/>
      <c r="EW200" s="450"/>
      <c r="EX200" s="471"/>
      <c r="EY200" s="450"/>
      <c r="EZ200" s="471"/>
      <c r="FA200" s="450"/>
      <c r="FB200" s="471"/>
      <c r="FC200" s="450"/>
      <c r="FD200" s="471"/>
      <c r="FE200" s="450"/>
      <c r="FF200" s="471"/>
      <c r="FG200" s="450"/>
      <c r="FH200" s="472"/>
      <c r="FI200" s="450"/>
      <c r="FJ200" s="468">
        <f t="shared" si="90"/>
        <v>0</v>
      </c>
      <c r="FK200" s="469">
        <f t="shared" si="91"/>
        <v>0</v>
      </c>
      <c r="FL200" s="472"/>
      <c r="FM200" s="450"/>
      <c r="FN200" s="460">
        <f t="shared" si="92"/>
        <v>1618</v>
      </c>
      <c r="FO200" s="469">
        <f t="shared" si="93"/>
        <v>1247</v>
      </c>
    </row>
    <row r="201" spans="1:171" x14ac:dyDescent="0.2">
      <c r="A201" s="454" t="s">
        <v>574</v>
      </c>
      <c r="B201" s="453" t="s">
        <v>588</v>
      </c>
      <c r="C201" s="506"/>
      <c r="D201" s="501">
        <v>156860</v>
      </c>
      <c r="E201" s="507">
        <v>9</v>
      </c>
      <c r="F201" s="532">
        <v>729</v>
      </c>
      <c r="G201" s="450">
        <v>774</v>
      </c>
      <c r="H201" s="457"/>
      <c r="I201" s="450"/>
      <c r="J201" s="457">
        <v>430</v>
      </c>
      <c r="K201" s="450">
        <v>531</v>
      </c>
      <c r="L201" s="458">
        <f t="shared" si="72"/>
        <v>0</v>
      </c>
      <c r="M201" s="449">
        <f t="shared" si="73"/>
        <v>0</v>
      </c>
      <c r="N201" s="459"/>
      <c r="O201" s="459"/>
      <c r="P201" s="459"/>
      <c r="Q201" s="459"/>
      <c r="R201" s="460">
        <f t="shared" si="70"/>
        <v>0</v>
      </c>
      <c r="S201" s="461"/>
      <c r="T201" s="461"/>
      <c r="U201" s="461"/>
      <c r="V201" s="461"/>
      <c r="W201" s="462">
        <f t="shared" si="71"/>
        <v>0</v>
      </c>
      <c r="X201" s="463"/>
      <c r="Y201" s="457"/>
      <c r="Z201" s="464"/>
      <c r="AA201" s="464"/>
      <c r="AB201" s="465"/>
      <c r="AC201" s="457"/>
      <c r="AD201" s="464"/>
      <c r="AE201" s="466"/>
      <c r="AF201" s="465"/>
      <c r="AG201" s="457"/>
      <c r="AH201" s="464"/>
      <c r="AI201" s="466"/>
      <c r="AJ201" s="465"/>
      <c r="AK201" s="457"/>
      <c r="AL201" s="464"/>
      <c r="AM201" s="466"/>
      <c r="AN201" s="465"/>
      <c r="AO201" s="457"/>
      <c r="AP201" s="464"/>
      <c r="AQ201" s="464"/>
      <c r="AR201" s="460">
        <f t="shared" si="74"/>
        <v>0</v>
      </c>
      <c r="AS201" s="467">
        <f t="shared" si="75"/>
        <v>0</v>
      </c>
      <c r="AT201" s="447">
        <f t="shared" si="76"/>
        <v>0</v>
      </c>
      <c r="AU201" s="448">
        <f t="shared" si="77"/>
        <v>0</v>
      </c>
      <c r="AV201" s="457"/>
      <c r="AW201" s="450"/>
      <c r="AX201" s="463"/>
      <c r="AY201" s="457"/>
      <c r="AZ201" s="464"/>
      <c r="BA201" s="464"/>
      <c r="BB201" s="465"/>
      <c r="BC201" s="457"/>
      <c r="BD201" s="464"/>
      <c r="BE201" s="466"/>
      <c r="BF201" s="465"/>
      <c r="BG201" s="457"/>
      <c r="BH201" s="464"/>
      <c r="BI201" s="466"/>
      <c r="BJ201" s="465"/>
      <c r="BK201" s="457"/>
      <c r="BL201" s="464"/>
      <c r="BM201" s="466"/>
      <c r="BN201" s="465"/>
      <c r="BO201" s="457"/>
      <c r="BP201" s="464"/>
      <c r="BQ201" s="466"/>
      <c r="BR201" s="465"/>
      <c r="BS201" s="457"/>
      <c r="BT201" s="464"/>
      <c r="BU201" s="466"/>
      <c r="BV201" s="465"/>
      <c r="BW201" s="457"/>
      <c r="BX201" s="464"/>
      <c r="BY201" s="466"/>
      <c r="BZ201" s="465"/>
      <c r="CA201" s="457"/>
      <c r="CB201" s="464"/>
      <c r="CC201" s="466"/>
      <c r="CD201" s="465"/>
      <c r="CE201" s="457"/>
      <c r="CF201" s="464"/>
      <c r="CG201" s="466"/>
      <c r="CH201" s="465"/>
      <c r="CI201" s="457"/>
      <c r="CJ201" s="464"/>
      <c r="CK201" s="466"/>
      <c r="CL201" s="459"/>
      <c r="CM201" s="450"/>
      <c r="CN201" s="468">
        <f t="shared" si="78"/>
        <v>0</v>
      </c>
      <c r="CO201" s="468">
        <f t="shared" si="79"/>
        <v>0</v>
      </c>
      <c r="CP201" s="469">
        <f t="shared" si="80"/>
        <v>0</v>
      </c>
      <c r="CQ201" s="469">
        <f t="shared" si="81"/>
        <v>0</v>
      </c>
      <c r="CR201" s="463"/>
      <c r="CS201" s="457"/>
      <c r="CT201" s="464"/>
      <c r="CU201" s="464"/>
      <c r="CV201" s="465"/>
      <c r="CW201" s="457"/>
      <c r="CX201" s="464"/>
      <c r="CY201" s="466"/>
      <c r="CZ201" s="465"/>
      <c r="DA201" s="457"/>
      <c r="DB201" s="464"/>
      <c r="DC201" s="466"/>
      <c r="DD201" s="465"/>
      <c r="DE201" s="457"/>
      <c r="DF201" s="464"/>
      <c r="DG201" s="466"/>
      <c r="DH201" s="465"/>
      <c r="DI201" s="457"/>
      <c r="DJ201" s="464"/>
      <c r="DK201" s="466"/>
      <c r="DL201" s="465"/>
      <c r="DM201" s="457"/>
      <c r="DN201" s="464"/>
      <c r="DO201" s="466"/>
      <c r="DP201" s="465"/>
      <c r="DQ201" s="457"/>
      <c r="DR201" s="464"/>
      <c r="DS201" s="466"/>
      <c r="DT201" s="465"/>
      <c r="DU201" s="457"/>
      <c r="DV201" s="464"/>
      <c r="DW201" s="466"/>
      <c r="DX201" s="465"/>
      <c r="DY201" s="457"/>
      <c r="DZ201" s="464"/>
      <c r="EA201" s="466"/>
      <c r="EB201" s="465"/>
      <c r="EC201" s="457"/>
      <c r="ED201" s="464"/>
      <c r="EE201" s="466"/>
      <c r="EF201" s="459"/>
      <c r="EG201" s="450"/>
      <c r="EH201" s="460">
        <f t="shared" si="82"/>
        <v>0</v>
      </c>
      <c r="EI201" s="460">
        <f t="shared" si="83"/>
        <v>0</v>
      </c>
      <c r="EJ201" s="458">
        <f t="shared" si="84"/>
        <v>0</v>
      </c>
      <c r="EK201" s="470">
        <f t="shared" si="85"/>
        <v>0</v>
      </c>
      <c r="EL201" s="470">
        <f t="shared" si="86"/>
        <v>0</v>
      </c>
      <c r="EM201" s="449">
        <f t="shared" si="87"/>
        <v>0</v>
      </c>
      <c r="EN201" s="460">
        <f t="shared" si="88"/>
        <v>0</v>
      </c>
      <c r="EO201" s="469">
        <f t="shared" si="89"/>
        <v>0</v>
      </c>
      <c r="EP201" s="471"/>
      <c r="EQ201" s="450"/>
      <c r="ER201" s="471"/>
      <c r="ES201" s="450"/>
      <c r="ET201" s="471"/>
      <c r="EU201" s="450"/>
      <c r="EV201" s="471"/>
      <c r="EW201" s="450"/>
      <c r="EX201" s="471"/>
      <c r="EY201" s="450"/>
      <c r="EZ201" s="471"/>
      <c r="FA201" s="450"/>
      <c r="FB201" s="471"/>
      <c r="FC201" s="450"/>
      <c r="FD201" s="471"/>
      <c r="FE201" s="450"/>
      <c r="FF201" s="471"/>
      <c r="FG201" s="450"/>
      <c r="FH201" s="472"/>
      <c r="FI201" s="450"/>
      <c r="FJ201" s="468">
        <f t="shared" si="90"/>
        <v>0</v>
      </c>
      <c r="FK201" s="469">
        <f t="shared" si="91"/>
        <v>0</v>
      </c>
      <c r="FL201" s="472"/>
      <c r="FM201" s="450"/>
      <c r="FN201" s="460">
        <f t="shared" si="92"/>
        <v>1159</v>
      </c>
      <c r="FO201" s="469">
        <f t="shared" si="93"/>
        <v>1305</v>
      </c>
    </row>
    <row r="202" spans="1:171" x14ac:dyDescent="0.2">
      <c r="A202" s="456" t="s">
        <v>574</v>
      </c>
      <c r="B202" s="451" t="s">
        <v>589</v>
      </c>
      <c r="C202" s="502"/>
      <c r="D202" s="501">
        <v>157304</v>
      </c>
      <c r="E202" s="510">
        <v>9</v>
      </c>
      <c r="F202" s="532">
        <v>690</v>
      </c>
      <c r="G202" s="450">
        <v>543</v>
      </c>
      <c r="H202" s="457"/>
      <c r="I202" s="450"/>
      <c r="J202" s="457">
        <v>432</v>
      </c>
      <c r="K202" s="450">
        <v>444</v>
      </c>
      <c r="L202" s="458">
        <f t="shared" si="72"/>
        <v>0</v>
      </c>
      <c r="M202" s="449">
        <f t="shared" si="73"/>
        <v>0</v>
      </c>
      <c r="N202" s="459"/>
      <c r="O202" s="459"/>
      <c r="P202" s="459"/>
      <c r="Q202" s="459"/>
      <c r="R202" s="460">
        <f t="shared" ref="R202:R212" si="94">SUM(O202:Q202)</f>
        <v>0</v>
      </c>
      <c r="S202" s="461"/>
      <c r="T202" s="461"/>
      <c r="U202" s="461"/>
      <c r="V202" s="461"/>
      <c r="W202" s="462">
        <f t="shared" ref="W202:W265" si="95">SUM(T202:V202)</f>
        <v>0</v>
      </c>
      <c r="X202" s="463"/>
      <c r="Y202" s="457"/>
      <c r="Z202" s="464"/>
      <c r="AA202" s="464"/>
      <c r="AB202" s="465"/>
      <c r="AC202" s="457"/>
      <c r="AD202" s="464"/>
      <c r="AE202" s="466"/>
      <c r="AF202" s="465"/>
      <c r="AG202" s="457"/>
      <c r="AH202" s="464"/>
      <c r="AI202" s="466"/>
      <c r="AJ202" s="465"/>
      <c r="AK202" s="457"/>
      <c r="AL202" s="464"/>
      <c r="AM202" s="466"/>
      <c r="AN202" s="465"/>
      <c r="AO202" s="457"/>
      <c r="AP202" s="464"/>
      <c r="AQ202" s="464"/>
      <c r="AR202" s="460">
        <f t="shared" si="74"/>
        <v>0</v>
      </c>
      <c r="AS202" s="467">
        <f t="shared" si="75"/>
        <v>0</v>
      </c>
      <c r="AT202" s="447">
        <f t="shared" si="76"/>
        <v>0</v>
      </c>
      <c r="AU202" s="448">
        <f t="shared" si="77"/>
        <v>0</v>
      </c>
      <c r="AV202" s="457"/>
      <c r="AW202" s="450"/>
      <c r="AX202" s="463"/>
      <c r="AY202" s="457"/>
      <c r="AZ202" s="464"/>
      <c r="BA202" s="464"/>
      <c r="BB202" s="465"/>
      <c r="BC202" s="457"/>
      <c r="BD202" s="464"/>
      <c r="BE202" s="466"/>
      <c r="BF202" s="465"/>
      <c r="BG202" s="457"/>
      <c r="BH202" s="464"/>
      <c r="BI202" s="466"/>
      <c r="BJ202" s="465"/>
      <c r="BK202" s="457"/>
      <c r="BL202" s="464"/>
      <c r="BM202" s="466"/>
      <c r="BN202" s="465"/>
      <c r="BO202" s="457"/>
      <c r="BP202" s="464"/>
      <c r="BQ202" s="466"/>
      <c r="BR202" s="465"/>
      <c r="BS202" s="457"/>
      <c r="BT202" s="464"/>
      <c r="BU202" s="466"/>
      <c r="BV202" s="465"/>
      <c r="BW202" s="457"/>
      <c r="BX202" s="464"/>
      <c r="BY202" s="466"/>
      <c r="BZ202" s="465"/>
      <c r="CA202" s="457"/>
      <c r="CB202" s="464"/>
      <c r="CC202" s="466"/>
      <c r="CD202" s="465"/>
      <c r="CE202" s="457"/>
      <c r="CF202" s="464"/>
      <c r="CG202" s="466"/>
      <c r="CH202" s="465"/>
      <c r="CI202" s="457"/>
      <c r="CJ202" s="464"/>
      <c r="CK202" s="466"/>
      <c r="CL202" s="459"/>
      <c r="CM202" s="450"/>
      <c r="CN202" s="468">
        <f t="shared" si="78"/>
        <v>0</v>
      </c>
      <c r="CO202" s="468">
        <f t="shared" si="79"/>
        <v>0</v>
      </c>
      <c r="CP202" s="469">
        <f t="shared" si="80"/>
        <v>0</v>
      </c>
      <c r="CQ202" s="469">
        <f t="shared" si="81"/>
        <v>0</v>
      </c>
      <c r="CR202" s="463"/>
      <c r="CS202" s="457"/>
      <c r="CT202" s="464"/>
      <c r="CU202" s="464"/>
      <c r="CV202" s="465"/>
      <c r="CW202" s="457"/>
      <c r="CX202" s="464"/>
      <c r="CY202" s="466"/>
      <c r="CZ202" s="465"/>
      <c r="DA202" s="457"/>
      <c r="DB202" s="464"/>
      <c r="DC202" s="466"/>
      <c r="DD202" s="465"/>
      <c r="DE202" s="457"/>
      <c r="DF202" s="464"/>
      <c r="DG202" s="466"/>
      <c r="DH202" s="465"/>
      <c r="DI202" s="457"/>
      <c r="DJ202" s="464"/>
      <c r="DK202" s="466"/>
      <c r="DL202" s="465"/>
      <c r="DM202" s="457"/>
      <c r="DN202" s="464"/>
      <c r="DO202" s="466"/>
      <c r="DP202" s="465"/>
      <c r="DQ202" s="457"/>
      <c r="DR202" s="464"/>
      <c r="DS202" s="466"/>
      <c r="DT202" s="465"/>
      <c r="DU202" s="457"/>
      <c r="DV202" s="464"/>
      <c r="DW202" s="466"/>
      <c r="DX202" s="465"/>
      <c r="DY202" s="457"/>
      <c r="DZ202" s="464"/>
      <c r="EA202" s="466"/>
      <c r="EB202" s="465"/>
      <c r="EC202" s="457"/>
      <c r="ED202" s="464"/>
      <c r="EE202" s="466"/>
      <c r="EF202" s="459"/>
      <c r="EG202" s="450"/>
      <c r="EH202" s="460">
        <f t="shared" si="82"/>
        <v>0</v>
      </c>
      <c r="EI202" s="460">
        <f t="shared" si="83"/>
        <v>0</v>
      </c>
      <c r="EJ202" s="458">
        <f t="shared" si="84"/>
        <v>0</v>
      </c>
      <c r="EK202" s="470">
        <f t="shared" si="85"/>
        <v>0</v>
      </c>
      <c r="EL202" s="470">
        <f t="shared" si="86"/>
        <v>0</v>
      </c>
      <c r="EM202" s="449">
        <f t="shared" si="87"/>
        <v>0</v>
      </c>
      <c r="EN202" s="460">
        <f t="shared" si="88"/>
        <v>0</v>
      </c>
      <c r="EO202" s="469">
        <f t="shared" si="89"/>
        <v>0</v>
      </c>
      <c r="EP202" s="471"/>
      <c r="EQ202" s="450"/>
      <c r="ER202" s="471"/>
      <c r="ES202" s="450"/>
      <c r="ET202" s="471"/>
      <c r="EU202" s="450"/>
      <c r="EV202" s="471"/>
      <c r="EW202" s="450"/>
      <c r="EX202" s="471"/>
      <c r="EY202" s="450"/>
      <c r="EZ202" s="471"/>
      <c r="FA202" s="450"/>
      <c r="FB202" s="471"/>
      <c r="FC202" s="450"/>
      <c r="FD202" s="471"/>
      <c r="FE202" s="450"/>
      <c r="FF202" s="471"/>
      <c r="FG202" s="450"/>
      <c r="FH202" s="472"/>
      <c r="FI202" s="450"/>
      <c r="FJ202" s="468">
        <f t="shared" si="90"/>
        <v>0</v>
      </c>
      <c r="FK202" s="469">
        <f t="shared" si="91"/>
        <v>0</v>
      </c>
      <c r="FL202" s="472"/>
      <c r="FM202" s="450"/>
      <c r="FN202" s="460">
        <f t="shared" si="92"/>
        <v>1122</v>
      </c>
      <c r="FO202" s="469">
        <f t="shared" si="93"/>
        <v>987</v>
      </c>
    </row>
    <row r="203" spans="1:171" x14ac:dyDescent="0.2">
      <c r="A203" s="456" t="s">
        <v>574</v>
      </c>
      <c r="B203" s="451" t="s">
        <v>590</v>
      </c>
      <c r="C203" s="502"/>
      <c r="D203" s="501">
        <v>157331</v>
      </c>
      <c r="E203" s="510">
        <v>9</v>
      </c>
      <c r="F203" s="532">
        <v>1394</v>
      </c>
      <c r="G203" s="450">
        <v>1308</v>
      </c>
      <c r="H203" s="457"/>
      <c r="I203" s="450"/>
      <c r="J203" s="457">
        <v>266</v>
      </c>
      <c r="K203" s="450">
        <v>344</v>
      </c>
      <c r="L203" s="458">
        <f t="shared" ref="L203:L212" si="96">IF(N203&gt;0,J203/N203, )</f>
        <v>0</v>
      </c>
      <c r="M203" s="449">
        <f t="shared" ref="M203:M212" si="97">IF(S203&gt;0,K203/S203, )</f>
        <v>0</v>
      </c>
      <c r="N203" s="459"/>
      <c r="O203" s="459"/>
      <c r="P203" s="459"/>
      <c r="Q203" s="459"/>
      <c r="R203" s="460">
        <f t="shared" si="94"/>
        <v>0</v>
      </c>
      <c r="S203" s="461"/>
      <c r="T203" s="461"/>
      <c r="U203" s="461"/>
      <c r="V203" s="461"/>
      <c r="W203" s="462">
        <f t="shared" si="95"/>
        <v>0</v>
      </c>
      <c r="X203" s="463"/>
      <c r="Y203" s="457"/>
      <c r="Z203" s="464"/>
      <c r="AA203" s="464"/>
      <c r="AB203" s="465"/>
      <c r="AC203" s="457"/>
      <c r="AD203" s="464"/>
      <c r="AE203" s="466"/>
      <c r="AF203" s="465"/>
      <c r="AG203" s="457"/>
      <c r="AH203" s="464"/>
      <c r="AI203" s="466"/>
      <c r="AJ203" s="465"/>
      <c r="AK203" s="457"/>
      <c r="AL203" s="464"/>
      <c r="AM203" s="466"/>
      <c r="AN203" s="465"/>
      <c r="AO203" s="457"/>
      <c r="AP203" s="464"/>
      <c r="AQ203" s="464"/>
      <c r="AR203" s="460">
        <f t="shared" ref="AR203:AR211" si="98">COUNTA(X203,AB203,AF203,AJ203,AN203)</f>
        <v>0</v>
      </c>
      <c r="AS203" s="467">
        <f t="shared" ref="AS203:AS211" si="99">IF(FN203&gt;0,N203/FN203,)</f>
        <v>0</v>
      </c>
      <c r="AT203" s="447">
        <f t="shared" ref="AT203:AT211" si="100">COUNTA(Z203,AD203,AH203,AL203,AP203)</f>
        <v>0</v>
      </c>
      <c r="AU203" s="448">
        <f t="shared" ref="AU203:AU211" si="101">IF(FO203&gt;0,S203/FO203,)</f>
        <v>0</v>
      </c>
      <c r="AV203" s="457"/>
      <c r="AW203" s="450"/>
      <c r="AX203" s="463"/>
      <c r="AY203" s="457"/>
      <c r="AZ203" s="464"/>
      <c r="BA203" s="464"/>
      <c r="BB203" s="465"/>
      <c r="BC203" s="457"/>
      <c r="BD203" s="464"/>
      <c r="BE203" s="466"/>
      <c r="BF203" s="465"/>
      <c r="BG203" s="457"/>
      <c r="BH203" s="464"/>
      <c r="BI203" s="466"/>
      <c r="BJ203" s="465"/>
      <c r="BK203" s="457"/>
      <c r="BL203" s="464"/>
      <c r="BM203" s="466"/>
      <c r="BN203" s="465"/>
      <c r="BO203" s="457"/>
      <c r="BP203" s="464"/>
      <c r="BQ203" s="466"/>
      <c r="BR203" s="465"/>
      <c r="BS203" s="457"/>
      <c r="BT203" s="464"/>
      <c r="BU203" s="466"/>
      <c r="BV203" s="465"/>
      <c r="BW203" s="457"/>
      <c r="BX203" s="464"/>
      <c r="BY203" s="466"/>
      <c r="BZ203" s="465"/>
      <c r="CA203" s="457"/>
      <c r="CB203" s="464"/>
      <c r="CC203" s="466"/>
      <c r="CD203" s="465"/>
      <c r="CE203" s="457"/>
      <c r="CF203" s="464"/>
      <c r="CG203" s="466"/>
      <c r="CH203" s="465"/>
      <c r="CI203" s="457"/>
      <c r="CJ203" s="464"/>
      <c r="CK203" s="466"/>
      <c r="CL203" s="459"/>
      <c r="CM203" s="450"/>
      <c r="CN203" s="468">
        <f t="shared" ref="CN203:CN212" si="102">AY203+BC203+BG203+BK203+BO203+BS203+BW203+CA203+CE203+CI203+CL203</f>
        <v>0</v>
      </c>
      <c r="CO203" s="468">
        <f t="shared" ref="CO203:CO212" si="103">COUNTA(AX203,BB203,BF203,BJ203,BN203,BR203,BV203,BZ203,CD203,CH203)</f>
        <v>0</v>
      </c>
      <c r="CP203" s="469">
        <f t="shared" ref="CP203:CP212" si="104">BA203+BE203+BI203+BM203+BQ203+BU203+BY203+CC203+CG203+CK203+CM203</f>
        <v>0</v>
      </c>
      <c r="CQ203" s="469">
        <f t="shared" ref="CQ203:CQ212" si="105">COUNTA(AZ203,BD203,BH203,BL203,BP203,BT203,BX203,CB203,CF203,CJ203)</f>
        <v>0</v>
      </c>
      <c r="CR203" s="463"/>
      <c r="CS203" s="457"/>
      <c r="CT203" s="464"/>
      <c r="CU203" s="464"/>
      <c r="CV203" s="465"/>
      <c r="CW203" s="457"/>
      <c r="CX203" s="464"/>
      <c r="CY203" s="466"/>
      <c r="CZ203" s="465"/>
      <c r="DA203" s="457"/>
      <c r="DB203" s="464"/>
      <c r="DC203" s="466"/>
      <c r="DD203" s="465"/>
      <c r="DE203" s="457"/>
      <c r="DF203" s="464"/>
      <c r="DG203" s="466"/>
      <c r="DH203" s="465"/>
      <c r="DI203" s="457"/>
      <c r="DJ203" s="464"/>
      <c r="DK203" s="466"/>
      <c r="DL203" s="465"/>
      <c r="DM203" s="457"/>
      <c r="DN203" s="464"/>
      <c r="DO203" s="466"/>
      <c r="DP203" s="465"/>
      <c r="DQ203" s="457"/>
      <c r="DR203" s="464"/>
      <c r="DS203" s="466"/>
      <c r="DT203" s="465"/>
      <c r="DU203" s="457"/>
      <c r="DV203" s="464"/>
      <c r="DW203" s="466"/>
      <c r="DX203" s="465"/>
      <c r="DY203" s="457"/>
      <c r="DZ203" s="464"/>
      <c r="EA203" s="466"/>
      <c r="EB203" s="465"/>
      <c r="EC203" s="457"/>
      <c r="ED203" s="464"/>
      <c r="EE203" s="466"/>
      <c r="EF203" s="459"/>
      <c r="EG203" s="450"/>
      <c r="EH203" s="460">
        <f t="shared" ref="EH203:EH230" si="106">CS203+CW203+DA203+DE203+DI203+DM203+DQ203+DU203+DY203+EC203+EF203</f>
        <v>0</v>
      </c>
      <c r="EI203" s="460">
        <f t="shared" ref="EI203:EI230" si="107">COUNTA(CR203,CV203,CZ203,DD203,DH203,DL203,DP203,DT203,DX203,EB203)</f>
        <v>0</v>
      </c>
      <c r="EJ203" s="458">
        <f t="shared" ref="EJ203:EJ230" si="108">IF(EH203&gt;0,CS203/EH203,)</f>
        <v>0</v>
      </c>
      <c r="EK203" s="470">
        <f t="shared" ref="EK203:EK230" si="109">CU203+CY203+DC203+DG203+DK203+DO203+DS203+DW203+EA203+EE203+EG203</f>
        <v>0</v>
      </c>
      <c r="EL203" s="470">
        <f t="shared" ref="EL203:EL230" si="110">COUNTA(CT203,CX203,DB203,DF203,DJ203,DN203,DR203,DV203,DZ203,ED203)</f>
        <v>0</v>
      </c>
      <c r="EM203" s="449">
        <f t="shared" ref="EM203:EM230" si="111">IF(EK203&gt;0,CU203/EK203,)</f>
        <v>0</v>
      </c>
      <c r="EN203" s="460">
        <f t="shared" ref="EN203:EN230" si="112">CN203+EH203</f>
        <v>0</v>
      </c>
      <c r="EO203" s="469">
        <f t="shared" ref="EO203:EO230" si="113">CP203+EK203</f>
        <v>0</v>
      </c>
      <c r="EP203" s="471"/>
      <c r="EQ203" s="450"/>
      <c r="ER203" s="471"/>
      <c r="ES203" s="450"/>
      <c r="ET203" s="471"/>
      <c r="EU203" s="450"/>
      <c r="EV203" s="471"/>
      <c r="EW203" s="450"/>
      <c r="EX203" s="471"/>
      <c r="EY203" s="450"/>
      <c r="EZ203" s="471"/>
      <c r="FA203" s="450"/>
      <c r="FB203" s="471"/>
      <c r="FC203" s="450"/>
      <c r="FD203" s="471"/>
      <c r="FE203" s="450"/>
      <c r="FF203" s="471"/>
      <c r="FG203" s="450"/>
      <c r="FH203" s="472"/>
      <c r="FI203" s="450"/>
      <c r="FJ203" s="468">
        <f t="shared" ref="FJ203:FJ212" si="114">EP203+ER203+ET203+EV203+EX203+EZ203+FB203+FD203+FF203+FH203</f>
        <v>0</v>
      </c>
      <c r="FK203" s="469">
        <f t="shared" ref="FK203:FK212" si="115">EQ203+ES203+EU203+EW203+EY203+FA203+FC203+FE203+FG203+FI203</f>
        <v>0</v>
      </c>
      <c r="FL203" s="472"/>
      <c r="FM203" s="450"/>
      <c r="FN203" s="460">
        <f t="shared" ref="FN203:FN213" si="116">F203+H203+J203+N203+AV203+EN203+FJ203+FL203</f>
        <v>1660</v>
      </c>
      <c r="FO203" s="469">
        <f t="shared" ref="FO203:FO213" si="117">G203+I203+K203+S203+AW203+EO203+FK203+FM203</f>
        <v>1652</v>
      </c>
    </row>
    <row r="204" spans="1:171" x14ac:dyDescent="0.2">
      <c r="A204" s="454" t="s">
        <v>574</v>
      </c>
      <c r="B204" s="455" t="s">
        <v>591</v>
      </c>
      <c r="C204" s="504"/>
      <c r="D204" s="501">
        <v>247940</v>
      </c>
      <c r="E204" s="509">
        <v>9</v>
      </c>
      <c r="F204" s="532">
        <v>1284</v>
      </c>
      <c r="G204" s="450">
        <v>1254</v>
      </c>
      <c r="H204" s="457"/>
      <c r="I204" s="450"/>
      <c r="J204" s="457">
        <v>569</v>
      </c>
      <c r="K204" s="450">
        <v>613</v>
      </c>
      <c r="L204" s="458">
        <f t="shared" si="96"/>
        <v>0</v>
      </c>
      <c r="M204" s="449">
        <f t="shared" si="97"/>
        <v>0</v>
      </c>
      <c r="N204" s="459"/>
      <c r="O204" s="459"/>
      <c r="P204" s="459"/>
      <c r="Q204" s="459"/>
      <c r="R204" s="460">
        <f t="shared" si="94"/>
        <v>0</v>
      </c>
      <c r="S204" s="461"/>
      <c r="T204" s="461"/>
      <c r="U204" s="461"/>
      <c r="V204" s="461"/>
      <c r="W204" s="462">
        <f t="shared" si="95"/>
        <v>0</v>
      </c>
      <c r="X204" s="463"/>
      <c r="Y204" s="457"/>
      <c r="Z204" s="464"/>
      <c r="AA204" s="464"/>
      <c r="AB204" s="465"/>
      <c r="AC204" s="457"/>
      <c r="AD204" s="464"/>
      <c r="AE204" s="466"/>
      <c r="AF204" s="465"/>
      <c r="AG204" s="457"/>
      <c r="AH204" s="464"/>
      <c r="AI204" s="466"/>
      <c r="AJ204" s="465"/>
      <c r="AK204" s="457"/>
      <c r="AL204" s="464"/>
      <c r="AM204" s="466"/>
      <c r="AN204" s="465"/>
      <c r="AO204" s="457"/>
      <c r="AP204" s="464"/>
      <c r="AQ204" s="464"/>
      <c r="AR204" s="460">
        <f t="shared" si="98"/>
        <v>0</v>
      </c>
      <c r="AS204" s="467">
        <f t="shared" si="99"/>
        <v>0</v>
      </c>
      <c r="AT204" s="447">
        <f t="shared" si="100"/>
        <v>0</v>
      </c>
      <c r="AU204" s="448">
        <f t="shared" si="101"/>
        <v>0</v>
      </c>
      <c r="AV204" s="457"/>
      <c r="AW204" s="450"/>
      <c r="AX204" s="463"/>
      <c r="AY204" s="457"/>
      <c r="AZ204" s="464"/>
      <c r="BA204" s="464"/>
      <c r="BB204" s="465"/>
      <c r="BC204" s="457"/>
      <c r="BD204" s="464"/>
      <c r="BE204" s="466"/>
      <c r="BF204" s="465"/>
      <c r="BG204" s="457"/>
      <c r="BH204" s="464"/>
      <c r="BI204" s="466"/>
      <c r="BJ204" s="465"/>
      <c r="BK204" s="457"/>
      <c r="BL204" s="464"/>
      <c r="BM204" s="466"/>
      <c r="BN204" s="465"/>
      <c r="BO204" s="457"/>
      <c r="BP204" s="464"/>
      <c r="BQ204" s="466"/>
      <c r="BR204" s="465"/>
      <c r="BS204" s="457"/>
      <c r="BT204" s="464"/>
      <c r="BU204" s="466"/>
      <c r="BV204" s="465"/>
      <c r="BW204" s="457"/>
      <c r="BX204" s="464"/>
      <c r="BY204" s="466"/>
      <c r="BZ204" s="465"/>
      <c r="CA204" s="457"/>
      <c r="CB204" s="464"/>
      <c r="CC204" s="466"/>
      <c r="CD204" s="465"/>
      <c r="CE204" s="457"/>
      <c r="CF204" s="464"/>
      <c r="CG204" s="466"/>
      <c r="CH204" s="465"/>
      <c r="CI204" s="457"/>
      <c r="CJ204" s="464"/>
      <c r="CK204" s="466"/>
      <c r="CL204" s="459"/>
      <c r="CM204" s="450"/>
      <c r="CN204" s="468">
        <f t="shared" si="102"/>
        <v>0</v>
      </c>
      <c r="CO204" s="468">
        <f t="shared" si="103"/>
        <v>0</v>
      </c>
      <c r="CP204" s="469">
        <f t="shared" si="104"/>
        <v>0</v>
      </c>
      <c r="CQ204" s="469">
        <f t="shared" si="105"/>
        <v>0</v>
      </c>
      <c r="CR204" s="463"/>
      <c r="CS204" s="457"/>
      <c r="CT204" s="464"/>
      <c r="CU204" s="464"/>
      <c r="CV204" s="465"/>
      <c r="CW204" s="457"/>
      <c r="CX204" s="464"/>
      <c r="CY204" s="466"/>
      <c r="CZ204" s="465"/>
      <c r="DA204" s="457"/>
      <c r="DB204" s="464"/>
      <c r="DC204" s="466"/>
      <c r="DD204" s="465"/>
      <c r="DE204" s="457"/>
      <c r="DF204" s="464"/>
      <c r="DG204" s="466"/>
      <c r="DH204" s="465"/>
      <c r="DI204" s="457"/>
      <c r="DJ204" s="464"/>
      <c r="DK204" s="466"/>
      <c r="DL204" s="465"/>
      <c r="DM204" s="457"/>
      <c r="DN204" s="464"/>
      <c r="DO204" s="466"/>
      <c r="DP204" s="465"/>
      <c r="DQ204" s="457"/>
      <c r="DR204" s="464"/>
      <c r="DS204" s="466"/>
      <c r="DT204" s="465"/>
      <c r="DU204" s="457"/>
      <c r="DV204" s="464"/>
      <c r="DW204" s="466"/>
      <c r="DX204" s="465"/>
      <c r="DY204" s="457"/>
      <c r="DZ204" s="464"/>
      <c r="EA204" s="466"/>
      <c r="EB204" s="465"/>
      <c r="EC204" s="457"/>
      <c r="ED204" s="464"/>
      <c r="EE204" s="466"/>
      <c r="EF204" s="459"/>
      <c r="EG204" s="450"/>
      <c r="EH204" s="460">
        <f t="shared" si="106"/>
        <v>0</v>
      </c>
      <c r="EI204" s="460">
        <f t="shared" si="107"/>
        <v>0</v>
      </c>
      <c r="EJ204" s="458">
        <f t="shared" si="108"/>
        <v>0</v>
      </c>
      <c r="EK204" s="470">
        <f t="shared" si="109"/>
        <v>0</v>
      </c>
      <c r="EL204" s="470">
        <f t="shared" si="110"/>
        <v>0</v>
      </c>
      <c r="EM204" s="449">
        <f t="shared" si="111"/>
        <v>0</v>
      </c>
      <c r="EN204" s="460">
        <f t="shared" si="112"/>
        <v>0</v>
      </c>
      <c r="EO204" s="469">
        <f t="shared" si="113"/>
        <v>0</v>
      </c>
      <c r="EP204" s="471"/>
      <c r="EQ204" s="450"/>
      <c r="ER204" s="471"/>
      <c r="ES204" s="450"/>
      <c r="ET204" s="471"/>
      <c r="EU204" s="450"/>
      <c r="EV204" s="471"/>
      <c r="EW204" s="450"/>
      <c r="EX204" s="471"/>
      <c r="EY204" s="450"/>
      <c r="EZ204" s="471"/>
      <c r="FA204" s="450"/>
      <c r="FB204" s="471"/>
      <c r="FC204" s="450"/>
      <c r="FD204" s="471"/>
      <c r="FE204" s="450"/>
      <c r="FF204" s="471"/>
      <c r="FG204" s="450"/>
      <c r="FH204" s="472"/>
      <c r="FI204" s="450"/>
      <c r="FJ204" s="468">
        <f t="shared" si="114"/>
        <v>0</v>
      </c>
      <c r="FK204" s="469">
        <f t="shared" si="115"/>
        <v>0</v>
      </c>
      <c r="FL204" s="472"/>
      <c r="FM204" s="450"/>
      <c r="FN204" s="460">
        <f t="shared" si="116"/>
        <v>1853</v>
      </c>
      <c r="FO204" s="469">
        <f t="shared" si="117"/>
        <v>1867</v>
      </c>
    </row>
    <row r="205" spans="1:171" x14ac:dyDescent="0.2">
      <c r="A205" s="454" t="s">
        <v>574</v>
      </c>
      <c r="B205" s="455" t="s">
        <v>592</v>
      </c>
      <c r="C205" s="503"/>
      <c r="D205" s="501">
        <v>157711</v>
      </c>
      <c r="E205" s="509">
        <v>9</v>
      </c>
      <c r="F205" s="532">
        <v>1542</v>
      </c>
      <c r="G205" s="450">
        <v>1713</v>
      </c>
      <c r="H205" s="457"/>
      <c r="I205" s="450"/>
      <c r="J205" s="457">
        <v>614</v>
      </c>
      <c r="K205" s="450">
        <v>685</v>
      </c>
      <c r="L205" s="458">
        <f t="shared" si="96"/>
        <v>0</v>
      </c>
      <c r="M205" s="449">
        <f t="shared" si="97"/>
        <v>0</v>
      </c>
      <c r="N205" s="459"/>
      <c r="O205" s="459"/>
      <c r="P205" s="459"/>
      <c r="Q205" s="459"/>
      <c r="R205" s="460">
        <f t="shared" si="94"/>
        <v>0</v>
      </c>
      <c r="S205" s="461"/>
      <c r="T205" s="461"/>
      <c r="U205" s="461"/>
      <c r="V205" s="461"/>
      <c r="W205" s="462">
        <f t="shared" si="95"/>
        <v>0</v>
      </c>
      <c r="X205" s="463"/>
      <c r="Y205" s="457"/>
      <c r="Z205" s="464"/>
      <c r="AA205" s="464"/>
      <c r="AB205" s="465"/>
      <c r="AC205" s="457"/>
      <c r="AD205" s="464"/>
      <c r="AE205" s="466"/>
      <c r="AF205" s="465"/>
      <c r="AG205" s="457"/>
      <c r="AH205" s="464"/>
      <c r="AI205" s="466"/>
      <c r="AJ205" s="465"/>
      <c r="AK205" s="457"/>
      <c r="AL205" s="464"/>
      <c r="AM205" s="466"/>
      <c r="AN205" s="465"/>
      <c r="AO205" s="457"/>
      <c r="AP205" s="464"/>
      <c r="AQ205" s="464"/>
      <c r="AR205" s="460">
        <f t="shared" si="98"/>
        <v>0</v>
      </c>
      <c r="AS205" s="467">
        <f t="shared" si="99"/>
        <v>0</v>
      </c>
      <c r="AT205" s="447">
        <f t="shared" si="100"/>
        <v>0</v>
      </c>
      <c r="AU205" s="448">
        <f t="shared" si="101"/>
        <v>0</v>
      </c>
      <c r="AV205" s="457"/>
      <c r="AW205" s="450"/>
      <c r="AX205" s="463"/>
      <c r="AY205" s="457"/>
      <c r="AZ205" s="464"/>
      <c r="BA205" s="464"/>
      <c r="BB205" s="465"/>
      <c r="BC205" s="457"/>
      <c r="BD205" s="464"/>
      <c r="BE205" s="466"/>
      <c r="BF205" s="465"/>
      <c r="BG205" s="457"/>
      <c r="BH205" s="464"/>
      <c r="BI205" s="466"/>
      <c r="BJ205" s="465"/>
      <c r="BK205" s="457"/>
      <c r="BL205" s="464"/>
      <c r="BM205" s="466"/>
      <c r="BN205" s="465"/>
      <c r="BO205" s="457"/>
      <c r="BP205" s="464"/>
      <c r="BQ205" s="466"/>
      <c r="BR205" s="465"/>
      <c r="BS205" s="457"/>
      <c r="BT205" s="464"/>
      <c r="BU205" s="466"/>
      <c r="BV205" s="465"/>
      <c r="BW205" s="457"/>
      <c r="BX205" s="464"/>
      <c r="BY205" s="466"/>
      <c r="BZ205" s="465"/>
      <c r="CA205" s="457"/>
      <c r="CB205" s="464"/>
      <c r="CC205" s="466"/>
      <c r="CD205" s="465"/>
      <c r="CE205" s="457"/>
      <c r="CF205" s="464"/>
      <c r="CG205" s="466"/>
      <c r="CH205" s="465"/>
      <c r="CI205" s="457"/>
      <c r="CJ205" s="464"/>
      <c r="CK205" s="466"/>
      <c r="CL205" s="459"/>
      <c r="CM205" s="450"/>
      <c r="CN205" s="468">
        <f t="shared" si="102"/>
        <v>0</v>
      </c>
      <c r="CO205" s="468">
        <f t="shared" si="103"/>
        <v>0</v>
      </c>
      <c r="CP205" s="469">
        <f t="shared" si="104"/>
        <v>0</v>
      </c>
      <c r="CQ205" s="469">
        <f t="shared" si="105"/>
        <v>0</v>
      </c>
      <c r="CR205" s="463"/>
      <c r="CS205" s="457"/>
      <c r="CT205" s="464"/>
      <c r="CU205" s="464"/>
      <c r="CV205" s="465"/>
      <c r="CW205" s="457"/>
      <c r="CX205" s="464"/>
      <c r="CY205" s="466"/>
      <c r="CZ205" s="465"/>
      <c r="DA205" s="457"/>
      <c r="DB205" s="464"/>
      <c r="DC205" s="466"/>
      <c r="DD205" s="465"/>
      <c r="DE205" s="457"/>
      <c r="DF205" s="464"/>
      <c r="DG205" s="466"/>
      <c r="DH205" s="465"/>
      <c r="DI205" s="457"/>
      <c r="DJ205" s="464"/>
      <c r="DK205" s="466"/>
      <c r="DL205" s="465"/>
      <c r="DM205" s="457"/>
      <c r="DN205" s="464"/>
      <c r="DO205" s="466"/>
      <c r="DP205" s="465"/>
      <c r="DQ205" s="457"/>
      <c r="DR205" s="464"/>
      <c r="DS205" s="466"/>
      <c r="DT205" s="465"/>
      <c r="DU205" s="457"/>
      <c r="DV205" s="464"/>
      <c r="DW205" s="466"/>
      <c r="DX205" s="465"/>
      <c r="DY205" s="457"/>
      <c r="DZ205" s="464"/>
      <c r="EA205" s="466"/>
      <c r="EB205" s="465"/>
      <c r="EC205" s="457"/>
      <c r="ED205" s="464"/>
      <c r="EE205" s="466"/>
      <c r="EF205" s="459"/>
      <c r="EG205" s="450"/>
      <c r="EH205" s="460">
        <f t="shared" si="106"/>
        <v>0</v>
      </c>
      <c r="EI205" s="460">
        <f t="shared" si="107"/>
        <v>0</v>
      </c>
      <c r="EJ205" s="458">
        <f t="shared" si="108"/>
        <v>0</v>
      </c>
      <c r="EK205" s="470">
        <f t="shared" si="109"/>
        <v>0</v>
      </c>
      <c r="EL205" s="470">
        <f t="shared" si="110"/>
        <v>0</v>
      </c>
      <c r="EM205" s="449">
        <f t="shared" si="111"/>
        <v>0</v>
      </c>
      <c r="EN205" s="460">
        <f t="shared" si="112"/>
        <v>0</v>
      </c>
      <c r="EO205" s="469">
        <f t="shared" si="113"/>
        <v>0</v>
      </c>
      <c r="EP205" s="471"/>
      <c r="EQ205" s="450"/>
      <c r="ER205" s="471"/>
      <c r="ES205" s="450"/>
      <c r="ET205" s="471"/>
      <c r="EU205" s="450"/>
      <c r="EV205" s="471"/>
      <c r="EW205" s="450"/>
      <c r="EX205" s="471"/>
      <c r="EY205" s="450"/>
      <c r="EZ205" s="471"/>
      <c r="FA205" s="450"/>
      <c r="FB205" s="471"/>
      <c r="FC205" s="450"/>
      <c r="FD205" s="471"/>
      <c r="FE205" s="450"/>
      <c r="FF205" s="471"/>
      <c r="FG205" s="450"/>
      <c r="FH205" s="472"/>
      <c r="FI205" s="450"/>
      <c r="FJ205" s="468">
        <f t="shared" si="114"/>
        <v>0</v>
      </c>
      <c r="FK205" s="469">
        <f t="shared" si="115"/>
        <v>0</v>
      </c>
      <c r="FL205" s="472"/>
      <c r="FM205" s="450"/>
      <c r="FN205" s="460">
        <f t="shared" si="116"/>
        <v>2156</v>
      </c>
      <c r="FO205" s="469">
        <f t="shared" si="117"/>
        <v>2398</v>
      </c>
    </row>
    <row r="206" spans="1:171" x14ac:dyDescent="0.2">
      <c r="A206" s="454" t="s">
        <v>574</v>
      </c>
      <c r="B206" s="453" t="s">
        <v>593</v>
      </c>
      <c r="C206" s="503"/>
      <c r="D206" s="501">
        <v>157739</v>
      </c>
      <c r="E206" s="509">
        <v>9</v>
      </c>
      <c r="F206" s="532">
        <v>564</v>
      </c>
      <c r="G206" s="450">
        <v>638</v>
      </c>
      <c r="H206" s="457"/>
      <c r="I206" s="450"/>
      <c r="J206" s="457">
        <v>402</v>
      </c>
      <c r="K206" s="450">
        <v>433</v>
      </c>
      <c r="L206" s="458">
        <f t="shared" si="96"/>
        <v>0</v>
      </c>
      <c r="M206" s="449">
        <f t="shared" si="97"/>
        <v>0</v>
      </c>
      <c r="N206" s="459"/>
      <c r="O206" s="459"/>
      <c r="P206" s="459"/>
      <c r="Q206" s="459"/>
      <c r="R206" s="460">
        <f t="shared" si="94"/>
        <v>0</v>
      </c>
      <c r="S206" s="461"/>
      <c r="T206" s="461"/>
      <c r="U206" s="461"/>
      <c r="V206" s="461"/>
      <c r="W206" s="462">
        <f t="shared" si="95"/>
        <v>0</v>
      </c>
      <c r="X206" s="463"/>
      <c r="Y206" s="457"/>
      <c r="Z206" s="464"/>
      <c r="AA206" s="464"/>
      <c r="AB206" s="465"/>
      <c r="AC206" s="457"/>
      <c r="AD206" s="464"/>
      <c r="AE206" s="466"/>
      <c r="AF206" s="465"/>
      <c r="AG206" s="457"/>
      <c r="AH206" s="464"/>
      <c r="AI206" s="466"/>
      <c r="AJ206" s="465"/>
      <c r="AK206" s="457"/>
      <c r="AL206" s="464"/>
      <c r="AM206" s="466"/>
      <c r="AN206" s="465"/>
      <c r="AO206" s="457"/>
      <c r="AP206" s="464"/>
      <c r="AQ206" s="464"/>
      <c r="AR206" s="460">
        <f t="shared" si="98"/>
        <v>0</v>
      </c>
      <c r="AS206" s="467">
        <f t="shared" si="99"/>
        <v>0</v>
      </c>
      <c r="AT206" s="447">
        <f t="shared" si="100"/>
        <v>0</v>
      </c>
      <c r="AU206" s="448">
        <f t="shared" si="101"/>
        <v>0</v>
      </c>
      <c r="AV206" s="457"/>
      <c r="AW206" s="450"/>
      <c r="AX206" s="463"/>
      <c r="AY206" s="457"/>
      <c r="AZ206" s="464"/>
      <c r="BA206" s="464"/>
      <c r="BB206" s="465"/>
      <c r="BC206" s="457"/>
      <c r="BD206" s="464"/>
      <c r="BE206" s="466"/>
      <c r="BF206" s="465"/>
      <c r="BG206" s="457"/>
      <c r="BH206" s="464"/>
      <c r="BI206" s="466"/>
      <c r="BJ206" s="465"/>
      <c r="BK206" s="457"/>
      <c r="BL206" s="464"/>
      <c r="BM206" s="466"/>
      <c r="BN206" s="465"/>
      <c r="BO206" s="457"/>
      <c r="BP206" s="464"/>
      <c r="BQ206" s="466"/>
      <c r="BR206" s="465"/>
      <c r="BS206" s="457"/>
      <c r="BT206" s="464"/>
      <c r="BU206" s="466"/>
      <c r="BV206" s="465"/>
      <c r="BW206" s="457"/>
      <c r="BX206" s="464"/>
      <c r="BY206" s="466"/>
      <c r="BZ206" s="465"/>
      <c r="CA206" s="457"/>
      <c r="CB206" s="464"/>
      <c r="CC206" s="466"/>
      <c r="CD206" s="465"/>
      <c r="CE206" s="457"/>
      <c r="CF206" s="464"/>
      <c r="CG206" s="466"/>
      <c r="CH206" s="465"/>
      <c r="CI206" s="457"/>
      <c r="CJ206" s="464"/>
      <c r="CK206" s="466"/>
      <c r="CL206" s="459"/>
      <c r="CM206" s="450"/>
      <c r="CN206" s="468">
        <f t="shared" si="102"/>
        <v>0</v>
      </c>
      <c r="CO206" s="468">
        <f t="shared" si="103"/>
        <v>0</v>
      </c>
      <c r="CP206" s="469">
        <f t="shared" si="104"/>
        <v>0</v>
      </c>
      <c r="CQ206" s="469">
        <f t="shared" si="105"/>
        <v>0</v>
      </c>
      <c r="CR206" s="463"/>
      <c r="CS206" s="457"/>
      <c r="CT206" s="464"/>
      <c r="CU206" s="464"/>
      <c r="CV206" s="465"/>
      <c r="CW206" s="457"/>
      <c r="CX206" s="464"/>
      <c r="CY206" s="466"/>
      <c r="CZ206" s="465"/>
      <c r="DA206" s="457"/>
      <c r="DB206" s="464"/>
      <c r="DC206" s="466"/>
      <c r="DD206" s="465"/>
      <c r="DE206" s="457"/>
      <c r="DF206" s="464"/>
      <c r="DG206" s="466"/>
      <c r="DH206" s="465"/>
      <c r="DI206" s="457"/>
      <c r="DJ206" s="464"/>
      <c r="DK206" s="466"/>
      <c r="DL206" s="465"/>
      <c r="DM206" s="457"/>
      <c r="DN206" s="464"/>
      <c r="DO206" s="466"/>
      <c r="DP206" s="465"/>
      <c r="DQ206" s="457"/>
      <c r="DR206" s="464"/>
      <c r="DS206" s="466"/>
      <c r="DT206" s="465"/>
      <c r="DU206" s="457"/>
      <c r="DV206" s="464"/>
      <c r="DW206" s="466"/>
      <c r="DX206" s="465"/>
      <c r="DY206" s="457"/>
      <c r="DZ206" s="464"/>
      <c r="EA206" s="466"/>
      <c r="EB206" s="465"/>
      <c r="EC206" s="457"/>
      <c r="ED206" s="464"/>
      <c r="EE206" s="466"/>
      <c r="EF206" s="459"/>
      <c r="EG206" s="450"/>
      <c r="EH206" s="460">
        <f t="shared" si="106"/>
        <v>0</v>
      </c>
      <c r="EI206" s="460">
        <f t="shared" si="107"/>
        <v>0</v>
      </c>
      <c r="EJ206" s="458">
        <f t="shared" si="108"/>
        <v>0</v>
      </c>
      <c r="EK206" s="470">
        <f t="shared" si="109"/>
        <v>0</v>
      </c>
      <c r="EL206" s="470">
        <f t="shared" si="110"/>
        <v>0</v>
      </c>
      <c r="EM206" s="449">
        <f t="shared" si="111"/>
        <v>0</v>
      </c>
      <c r="EN206" s="460">
        <f t="shared" si="112"/>
        <v>0</v>
      </c>
      <c r="EO206" s="469">
        <f t="shared" si="113"/>
        <v>0</v>
      </c>
      <c r="EP206" s="471"/>
      <c r="EQ206" s="450"/>
      <c r="ER206" s="471"/>
      <c r="ES206" s="450"/>
      <c r="ET206" s="471"/>
      <c r="EU206" s="450"/>
      <c r="EV206" s="471"/>
      <c r="EW206" s="450"/>
      <c r="EX206" s="471"/>
      <c r="EY206" s="450"/>
      <c r="EZ206" s="471"/>
      <c r="FA206" s="450"/>
      <c r="FB206" s="471"/>
      <c r="FC206" s="450"/>
      <c r="FD206" s="471"/>
      <c r="FE206" s="450"/>
      <c r="FF206" s="471"/>
      <c r="FG206" s="450"/>
      <c r="FH206" s="472"/>
      <c r="FI206" s="450"/>
      <c r="FJ206" s="468">
        <f t="shared" si="114"/>
        <v>0</v>
      </c>
      <c r="FK206" s="469">
        <f t="shared" si="115"/>
        <v>0</v>
      </c>
      <c r="FL206" s="472"/>
      <c r="FM206" s="450"/>
      <c r="FN206" s="460">
        <f t="shared" si="116"/>
        <v>966</v>
      </c>
      <c r="FO206" s="469">
        <f t="shared" si="117"/>
        <v>1071</v>
      </c>
    </row>
    <row r="207" spans="1:171" x14ac:dyDescent="0.2">
      <c r="A207" s="454" t="s">
        <v>574</v>
      </c>
      <c r="B207" s="455" t="s">
        <v>594</v>
      </c>
      <c r="C207" s="504"/>
      <c r="D207" s="501">
        <v>157483</v>
      </c>
      <c r="E207" s="509">
        <v>9</v>
      </c>
      <c r="F207" s="532">
        <v>1712</v>
      </c>
      <c r="G207" s="450">
        <v>2031</v>
      </c>
      <c r="H207" s="457"/>
      <c r="I207" s="450"/>
      <c r="J207" s="457">
        <v>557</v>
      </c>
      <c r="K207" s="450">
        <v>661</v>
      </c>
      <c r="L207" s="458">
        <f t="shared" si="96"/>
        <v>0</v>
      </c>
      <c r="M207" s="449">
        <f t="shared" si="97"/>
        <v>0</v>
      </c>
      <c r="N207" s="459"/>
      <c r="O207" s="459"/>
      <c r="P207" s="459"/>
      <c r="Q207" s="459"/>
      <c r="R207" s="460">
        <f t="shared" si="94"/>
        <v>0</v>
      </c>
      <c r="S207" s="461"/>
      <c r="T207" s="461"/>
      <c r="U207" s="461"/>
      <c r="V207" s="461"/>
      <c r="W207" s="462">
        <f t="shared" si="95"/>
        <v>0</v>
      </c>
      <c r="X207" s="463"/>
      <c r="Y207" s="457"/>
      <c r="Z207" s="464"/>
      <c r="AA207" s="464"/>
      <c r="AB207" s="465"/>
      <c r="AC207" s="457"/>
      <c r="AD207" s="464"/>
      <c r="AE207" s="466"/>
      <c r="AF207" s="465"/>
      <c r="AG207" s="457"/>
      <c r="AH207" s="464"/>
      <c r="AI207" s="466"/>
      <c r="AJ207" s="465"/>
      <c r="AK207" s="457"/>
      <c r="AL207" s="464"/>
      <c r="AM207" s="466"/>
      <c r="AN207" s="465"/>
      <c r="AO207" s="457"/>
      <c r="AP207" s="464"/>
      <c r="AQ207" s="464"/>
      <c r="AR207" s="460">
        <f t="shared" si="98"/>
        <v>0</v>
      </c>
      <c r="AS207" s="467">
        <f t="shared" si="99"/>
        <v>0</v>
      </c>
      <c r="AT207" s="447">
        <f t="shared" si="100"/>
        <v>0</v>
      </c>
      <c r="AU207" s="448">
        <f t="shared" si="101"/>
        <v>0</v>
      </c>
      <c r="AV207" s="457"/>
      <c r="AW207" s="450"/>
      <c r="AX207" s="463"/>
      <c r="AY207" s="457"/>
      <c r="AZ207" s="464"/>
      <c r="BA207" s="464"/>
      <c r="BB207" s="465"/>
      <c r="BC207" s="457"/>
      <c r="BD207" s="464"/>
      <c r="BE207" s="466"/>
      <c r="BF207" s="465"/>
      <c r="BG207" s="457"/>
      <c r="BH207" s="464"/>
      <c r="BI207" s="466"/>
      <c r="BJ207" s="465"/>
      <c r="BK207" s="457"/>
      <c r="BL207" s="464"/>
      <c r="BM207" s="466"/>
      <c r="BN207" s="465"/>
      <c r="BO207" s="457"/>
      <c r="BP207" s="464"/>
      <c r="BQ207" s="466"/>
      <c r="BR207" s="465"/>
      <c r="BS207" s="457"/>
      <c r="BT207" s="464"/>
      <c r="BU207" s="466"/>
      <c r="BV207" s="465"/>
      <c r="BW207" s="457"/>
      <c r="BX207" s="464"/>
      <c r="BY207" s="466"/>
      <c r="BZ207" s="465"/>
      <c r="CA207" s="457"/>
      <c r="CB207" s="464"/>
      <c r="CC207" s="466"/>
      <c r="CD207" s="465"/>
      <c r="CE207" s="457"/>
      <c r="CF207" s="464"/>
      <c r="CG207" s="466"/>
      <c r="CH207" s="465"/>
      <c r="CI207" s="457"/>
      <c r="CJ207" s="464"/>
      <c r="CK207" s="466"/>
      <c r="CL207" s="459"/>
      <c r="CM207" s="450"/>
      <c r="CN207" s="468">
        <f t="shared" si="102"/>
        <v>0</v>
      </c>
      <c r="CO207" s="468">
        <f t="shared" si="103"/>
        <v>0</v>
      </c>
      <c r="CP207" s="469">
        <f t="shared" si="104"/>
        <v>0</v>
      </c>
      <c r="CQ207" s="469">
        <f t="shared" si="105"/>
        <v>0</v>
      </c>
      <c r="CR207" s="463"/>
      <c r="CS207" s="457"/>
      <c r="CT207" s="464"/>
      <c r="CU207" s="464"/>
      <c r="CV207" s="465"/>
      <c r="CW207" s="457"/>
      <c r="CX207" s="464"/>
      <c r="CY207" s="466"/>
      <c r="CZ207" s="465"/>
      <c r="DA207" s="457"/>
      <c r="DB207" s="464"/>
      <c r="DC207" s="466"/>
      <c r="DD207" s="465"/>
      <c r="DE207" s="457"/>
      <c r="DF207" s="464"/>
      <c r="DG207" s="466"/>
      <c r="DH207" s="465"/>
      <c r="DI207" s="457"/>
      <c r="DJ207" s="464"/>
      <c r="DK207" s="466"/>
      <c r="DL207" s="465"/>
      <c r="DM207" s="457"/>
      <c r="DN207" s="464"/>
      <c r="DO207" s="466"/>
      <c r="DP207" s="465"/>
      <c r="DQ207" s="457"/>
      <c r="DR207" s="464"/>
      <c r="DS207" s="466"/>
      <c r="DT207" s="465"/>
      <c r="DU207" s="457"/>
      <c r="DV207" s="464"/>
      <c r="DW207" s="466"/>
      <c r="DX207" s="465"/>
      <c r="DY207" s="457"/>
      <c r="DZ207" s="464"/>
      <c r="EA207" s="466"/>
      <c r="EB207" s="465"/>
      <c r="EC207" s="457"/>
      <c r="ED207" s="464"/>
      <c r="EE207" s="466"/>
      <c r="EF207" s="459"/>
      <c r="EG207" s="450"/>
      <c r="EH207" s="460">
        <f t="shared" si="106"/>
        <v>0</v>
      </c>
      <c r="EI207" s="460">
        <f t="shared" si="107"/>
        <v>0</v>
      </c>
      <c r="EJ207" s="458">
        <f t="shared" si="108"/>
        <v>0</v>
      </c>
      <c r="EK207" s="470">
        <f t="shared" si="109"/>
        <v>0</v>
      </c>
      <c r="EL207" s="470">
        <f t="shared" si="110"/>
        <v>0</v>
      </c>
      <c r="EM207" s="449">
        <f t="shared" si="111"/>
        <v>0</v>
      </c>
      <c r="EN207" s="460">
        <f t="shared" si="112"/>
        <v>0</v>
      </c>
      <c r="EO207" s="469">
        <f t="shared" si="113"/>
        <v>0</v>
      </c>
      <c r="EP207" s="471"/>
      <c r="EQ207" s="450"/>
      <c r="ER207" s="471"/>
      <c r="ES207" s="450"/>
      <c r="ET207" s="471"/>
      <c r="EU207" s="450"/>
      <c r="EV207" s="471"/>
      <c r="EW207" s="450"/>
      <c r="EX207" s="471"/>
      <c r="EY207" s="450"/>
      <c r="EZ207" s="471"/>
      <c r="FA207" s="450"/>
      <c r="FB207" s="471"/>
      <c r="FC207" s="450"/>
      <c r="FD207" s="471"/>
      <c r="FE207" s="450"/>
      <c r="FF207" s="471"/>
      <c r="FG207" s="450"/>
      <c r="FH207" s="472"/>
      <c r="FI207" s="450"/>
      <c r="FJ207" s="468">
        <f t="shared" si="114"/>
        <v>0</v>
      </c>
      <c r="FK207" s="469">
        <f t="shared" si="115"/>
        <v>0</v>
      </c>
      <c r="FL207" s="472"/>
      <c r="FM207" s="450"/>
      <c r="FN207" s="460">
        <f t="shared" si="116"/>
        <v>2269</v>
      </c>
      <c r="FO207" s="469">
        <f t="shared" si="117"/>
        <v>2692</v>
      </c>
    </row>
    <row r="208" spans="1:171" x14ac:dyDescent="0.2">
      <c r="A208" s="454" t="s">
        <v>574</v>
      </c>
      <c r="B208" s="455" t="s">
        <v>596</v>
      </c>
      <c r="C208" s="504"/>
      <c r="D208" s="501">
        <v>156851</v>
      </c>
      <c r="E208" s="509">
        <v>10</v>
      </c>
      <c r="F208" s="532">
        <v>422</v>
      </c>
      <c r="G208" s="450">
        <v>344</v>
      </c>
      <c r="H208" s="457"/>
      <c r="I208" s="450"/>
      <c r="J208" s="457">
        <v>191</v>
      </c>
      <c r="K208" s="450">
        <v>178</v>
      </c>
      <c r="L208" s="458">
        <f t="shared" si="96"/>
        <v>0</v>
      </c>
      <c r="M208" s="449">
        <f t="shared" si="97"/>
        <v>0</v>
      </c>
      <c r="N208" s="459"/>
      <c r="O208" s="459"/>
      <c r="P208" s="459"/>
      <c r="Q208" s="459"/>
      <c r="R208" s="460">
        <f t="shared" si="94"/>
        <v>0</v>
      </c>
      <c r="S208" s="461"/>
      <c r="T208" s="461"/>
      <c r="U208" s="461"/>
      <c r="V208" s="461"/>
      <c r="W208" s="462">
        <f t="shared" si="95"/>
        <v>0</v>
      </c>
      <c r="X208" s="463"/>
      <c r="Y208" s="457"/>
      <c r="Z208" s="464"/>
      <c r="AA208" s="464"/>
      <c r="AB208" s="465"/>
      <c r="AC208" s="457"/>
      <c r="AD208" s="464"/>
      <c r="AE208" s="466"/>
      <c r="AF208" s="465"/>
      <c r="AG208" s="457"/>
      <c r="AH208" s="464"/>
      <c r="AI208" s="466"/>
      <c r="AJ208" s="465"/>
      <c r="AK208" s="457"/>
      <c r="AL208" s="464"/>
      <c r="AM208" s="466"/>
      <c r="AN208" s="465"/>
      <c r="AO208" s="457"/>
      <c r="AP208" s="464"/>
      <c r="AQ208" s="464"/>
      <c r="AR208" s="460">
        <f t="shared" si="98"/>
        <v>0</v>
      </c>
      <c r="AS208" s="467">
        <f t="shared" si="99"/>
        <v>0</v>
      </c>
      <c r="AT208" s="447">
        <f t="shared" si="100"/>
        <v>0</v>
      </c>
      <c r="AU208" s="448">
        <f t="shared" si="101"/>
        <v>0</v>
      </c>
      <c r="AV208" s="457"/>
      <c r="AW208" s="450"/>
      <c r="AX208" s="463"/>
      <c r="AY208" s="457"/>
      <c r="AZ208" s="464"/>
      <c r="BA208" s="464"/>
      <c r="BB208" s="465"/>
      <c r="BC208" s="457"/>
      <c r="BD208" s="464"/>
      <c r="BE208" s="466"/>
      <c r="BF208" s="465"/>
      <c r="BG208" s="457"/>
      <c r="BH208" s="464"/>
      <c r="BI208" s="466"/>
      <c r="BJ208" s="465"/>
      <c r="BK208" s="457"/>
      <c r="BL208" s="464"/>
      <c r="BM208" s="466"/>
      <c r="BN208" s="465"/>
      <c r="BO208" s="457"/>
      <c r="BP208" s="464"/>
      <c r="BQ208" s="466"/>
      <c r="BR208" s="465"/>
      <c r="BS208" s="457"/>
      <c r="BT208" s="464"/>
      <c r="BU208" s="466"/>
      <c r="BV208" s="465"/>
      <c r="BW208" s="457"/>
      <c r="BX208" s="464"/>
      <c r="BY208" s="466"/>
      <c r="BZ208" s="465"/>
      <c r="CA208" s="457"/>
      <c r="CB208" s="464"/>
      <c r="CC208" s="466"/>
      <c r="CD208" s="465"/>
      <c r="CE208" s="457"/>
      <c r="CF208" s="464"/>
      <c r="CG208" s="466"/>
      <c r="CH208" s="465"/>
      <c r="CI208" s="457"/>
      <c r="CJ208" s="464"/>
      <c r="CK208" s="466"/>
      <c r="CL208" s="459"/>
      <c r="CM208" s="450"/>
      <c r="CN208" s="468">
        <f t="shared" si="102"/>
        <v>0</v>
      </c>
      <c r="CO208" s="468">
        <f t="shared" si="103"/>
        <v>0</v>
      </c>
      <c r="CP208" s="469">
        <f t="shared" si="104"/>
        <v>0</v>
      </c>
      <c r="CQ208" s="469">
        <f t="shared" si="105"/>
        <v>0</v>
      </c>
      <c r="CR208" s="463"/>
      <c r="CS208" s="457"/>
      <c r="CT208" s="464"/>
      <c r="CU208" s="464"/>
      <c r="CV208" s="465"/>
      <c r="CW208" s="457"/>
      <c r="CX208" s="464"/>
      <c r="CY208" s="466"/>
      <c r="CZ208" s="465"/>
      <c r="DA208" s="457"/>
      <c r="DB208" s="464"/>
      <c r="DC208" s="466"/>
      <c r="DD208" s="465"/>
      <c r="DE208" s="457"/>
      <c r="DF208" s="464"/>
      <c r="DG208" s="466"/>
      <c r="DH208" s="465"/>
      <c r="DI208" s="457"/>
      <c r="DJ208" s="464"/>
      <c r="DK208" s="466"/>
      <c r="DL208" s="465"/>
      <c r="DM208" s="457"/>
      <c r="DN208" s="464"/>
      <c r="DO208" s="466"/>
      <c r="DP208" s="465"/>
      <c r="DQ208" s="457"/>
      <c r="DR208" s="464"/>
      <c r="DS208" s="466"/>
      <c r="DT208" s="465"/>
      <c r="DU208" s="457"/>
      <c r="DV208" s="464"/>
      <c r="DW208" s="466"/>
      <c r="DX208" s="465"/>
      <c r="DY208" s="457"/>
      <c r="DZ208" s="464"/>
      <c r="EA208" s="466"/>
      <c r="EB208" s="465"/>
      <c r="EC208" s="457"/>
      <c r="ED208" s="464"/>
      <c r="EE208" s="466"/>
      <c r="EF208" s="459"/>
      <c r="EG208" s="450"/>
      <c r="EH208" s="460">
        <f t="shared" si="106"/>
        <v>0</v>
      </c>
      <c r="EI208" s="460">
        <f t="shared" si="107"/>
        <v>0</v>
      </c>
      <c r="EJ208" s="458">
        <f t="shared" si="108"/>
        <v>0</v>
      </c>
      <c r="EK208" s="470">
        <f t="shared" si="109"/>
        <v>0</v>
      </c>
      <c r="EL208" s="470">
        <f t="shared" si="110"/>
        <v>0</v>
      </c>
      <c r="EM208" s="449">
        <f t="shared" si="111"/>
        <v>0</v>
      </c>
      <c r="EN208" s="460">
        <f t="shared" si="112"/>
        <v>0</v>
      </c>
      <c r="EO208" s="469">
        <f t="shared" si="113"/>
        <v>0</v>
      </c>
      <c r="EP208" s="471"/>
      <c r="EQ208" s="450"/>
      <c r="ER208" s="471"/>
      <c r="ES208" s="450"/>
      <c r="ET208" s="471"/>
      <c r="EU208" s="450"/>
      <c r="EV208" s="471"/>
      <c r="EW208" s="450"/>
      <c r="EX208" s="471"/>
      <c r="EY208" s="450"/>
      <c r="EZ208" s="471"/>
      <c r="FA208" s="450"/>
      <c r="FB208" s="471"/>
      <c r="FC208" s="450"/>
      <c r="FD208" s="471"/>
      <c r="FE208" s="450"/>
      <c r="FF208" s="471"/>
      <c r="FG208" s="450"/>
      <c r="FH208" s="472"/>
      <c r="FI208" s="450"/>
      <c r="FJ208" s="468">
        <f t="shared" si="114"/>
        <v>0</v>
      </c>
      <c r="FK208" s="469">
        <f t="shared" si="115"/>
        <v>0</v>
      </c>
      <c r="FL208" s="472"/>
      <c r="FM208" s="450"/>
      <c r="FN208" s="460">
        <f t="shared" si="116"/>
        <v>613</v>
      </c>
      <c r="FO208" s="469">
        <f t="shared" si="117"/>
        <v>522</v>
      </c>
    </row>
    <row r="209" spans="1:171" x14ac:dyDescent="0.2">
      <c r="A209" s="456" t="s">
        <v>574</v>
      </c>
      <c r="B209" s="451" t="s">
        <v>597</v>
      </c>
      <c r="C209" s="502"/>
      <c r="D209" s="501">
        <v>157438</v>
      </c>
      <c r="E209" s="510">
        <v>12</v>
      </c>
      <c r="F209" s="532">
        <v>954</v>
      </c>
      <c r="G209" s="450">
        <v>942</v>
      </c>
      <c r="H209" s="457"/>
      <c r="I209" s="450"/>
      <c r="J209" s="457">
        <v>290</v>
      </c>
      <c r="K209" s="450">
        <v>365</v>
      </c>
      <c r="L209" s="458">
        <f t="shared" si="96"/>
        <v>0</v>
      </c>
      <c r="M209" s="449">
        <f t="shared" si="97"/>
        <v>0</v>
      </c>
      <c r="N209" s="459"/>
      <c r="O209" s="459"/>
      <c r="P209" s="459"/>
      <c r="Q209" s="459"/>
      <c r="R209" s="460">
        <f t="shared" si="94"/>
        <v>0</v>
      </c>
      <c r="S209" s="461"/>
      <c r="T209" s="461"/>
      <c r="U209" s="461"/>
      <c r="V209" s="461"/>
      <c r="W209" s="462">
        <f t="shared" si="95"/>
        <v>0</v>
      </c>
      <c r="X209" s="463"/>
      <c r="Y209" s="457"/>
      <c r="Z209" s="464"/>
      <c r="AA209" s="464"/>
      <c r="AB209" s="465"/>
      <c r="AC209" s="457"/>
      <c r="AD209" s="464"/>
      <c r="AE209" s="466"/>
      <c r="AF209" s="465"/>
      <c r="AG209" s="457"/>
      <c r="AH209" s="464"/>
      <c r="AI209" s="466"/>
      <c r="AJ209" s="465"/>
      <c r="AK209" s="457"/>
      <c r="AL209" s="464"/>
      <c r="AM209" s="466"/>
      <c r="AN209" s="465"/>
      <c r="AO209" s="457"/>
      <c r="AP209" s="464"/>
      <c r="AQ209" s="464"/>
      <c r="AR209" s="460">
        <f t="shared" si="98"/>
        <v>0</v>
      </c>
      <c r="AS209" s="467">
        <f t="shared" si="99"/>
        <v>0</v>
      </c>
      <c r="AT209" s="447">
        <f t="shared" si="100"/>
        <v>0</v>
      </c>
      <c r="AU209" s="448">
        <f t="shared" si="101"/>
        <v>0</v>
      </c>
      <c r="AV209" s="457"/>
      <c r="AW209" s="450"/>
      <c r="AX209" s="463"/>
      <c r="AY209" s="457"/>
      <c r="AZ209" s="464"/>
      <c r="BA209" s="464"/>
      <c r="BB209" s="465"/>
      <c r="BC209" s="457"/>
      <c r="BD209" s="464"/>
      <c r="BE209" s="466"/>
      <c r="BF209" s="465"/>
      <c r="BG209" s="457"/>
      <c r="BH209" s="464"/>
      <c r="BI209" s="466"/>
      <c r="BJ209" s="465"/>
      <c r="BK209" s="457"/>
      <c r="BL209" s="464"/>
      <c r="BM209" s="466"/>
      <c r="BN209" s="465"/>
      <c r="BO209" s="457"/>
      <c r="BP209" s="464"/>
      <c r="BQ209" s="466"/>
      <c r="BR209" s="465"/>
      <c r="BS209" s="457"/>
      <c r="BT209" s="464"/>
      <c r="BU209" s="466"/>
      <c r="BV209" s="465"/>
      <c r="BW209" s="457"/>
      <c r="BX209" s="464"/>
      <c r="BY209" s="466"/>
      <c r="BZ209" s="465"/>
      <c r="CA209" s="457"/>
      <c r="CB209" s="464"/>
      <c r="CC209" s="466"/>
      <c r="CD209" s="465"/>
      <c r="CE209" s="457"/>
      <c r="CF209" s="464"/>
      <c r="CG209" s="466"/>
      <c r="CH209" s="465"/>
      <c r="CI209" s="457"/>
      <c r="CJ209" s="464"/>
      <c r="CK209" s="466"/>
      <c r="CL209" s="459"/>
      <c r="CM209" s="450"/>
      <c r="CN209" s="468">
        <f t="shared" si="102"/>
        <v>0</v>
      </c>
      <c r="CO209" s="468">
        <f t="shared" si="103"/>
        <v>0</v>
      </c>
      <c r="CP209" s="469">
        <f t="shared" si="104"/>
        <v>0</v>
      </c>
      <c r="CQ209" s="469">
        <f t="shared" si="105"/>
        <v>0</v>
      </c>
      <c r="CR209" s="463"/>
      <c r="CS209" s="457"/>
      <c r="CT209" s="464"/>
      <c r="CU209" s="464"/>
      <c r="CV209" s="465"/>
      <c r="CW209" s="457"/>
      <c r="CX209" s="464"/>
      <c r="CY209" s="466"/>
      <c r="CZ209" s="465"/>
      <c r="DA209" s="457"/>
      <c r="DB209" s="464"/>
      <c r="DC209" s="466"/>
      <c r="DD209" s="465"/>
      <c r="DE209" s="457"/>
      <c r="DF209" s="464"/>
      <c r="DG209" s="466"/>
      <c r="DH209" s="465"/>
      <c r="DI209" s="457"/>
      <c r="DJ209" s="464"/>
      <c r="DK209" s="466"/>
      <c r="DL209" s="465"/>
      <c r="DM209" s="457"/>
      <c r="DN209" s="464"/>
      <c r="DO209" s="466"/>
      <c r="DP209" s="465"/>
      <c r="DQ209" s="457"/>
      <c r="DR209" s="464"/>
      <c r="DS209" s="466"/>
      <c r="DT209" s="465"/>
      <c r="DU209" s="457"/>
      <c r="DV209" s="464"/>
      <c r="DW209" s="466"/>
      <c r="DX209" s="465"/>
      <c r="DY209" s="457"/>
      <c r="DZ209" s="464"/>
      <c r="EA209" s="466"/>
      <c r="EB209" s="465"/>
      <c r="EC209" s="457"/>
      <c r="ED209" s="464"/>
      <c r="EE209" s="466"/>
      <c r="EF209" s="459"/>
      <c r="EG209" s="450"/>
      <c r="EH209" s="460">
        <f t="shared" si="106"/>
        <v>0</v>
      </c>
      <c r="EI209" s="460">
        <f t="shared" si="107"/>
        <v>0</v>
      </c>
      <c r="EJ209" s="458">
        <f t="shared" si="108"/>
        <v>0</v>
      </c>
      <c r="EK209" s="470">
        <f t="shared" si="109"/>
        <v>0</v>
      </c>
      <c r="EL209" s="470">
        <f t="shared" si="110"/>
        <v>0</v>
      </c>
      <c r="EM209" s="449">
        <f t="shared" si="111"/>
        <v>0</v>
      </c>
      <c r="EN209" s="460">
        <f t="shared" si="112"/>
        <v>0</v>
      </c>
      <c r="EO209" s="469">
        <f t="shared" si="113"/>
        <v>0</v>
      </c>
      <c r="EP209" s="471"/>
      <c r="EQ209" s="450"/>
      <c r="ER209" s="471"/>
      <c r="ES209" s="450"/>
      <c r="ET209" s="471"/>
      <c r="EU209" s="450"/>
      <c r="EV209" s="471"/>
      <c r="EW209" s="450"/>
      <c r="EX209" s="471"/>
      <c r="EY209" s="450"/>
      <c r="EZ209" s="471"/>
      <c r="FA209" s="450"/>
      <c r="FB209" s="471"/>
      <c r="FC209" s="450"/>
      <c r="FD209" s="471"/>
      <c r="FE209" s="450"/>
      <c r="FF209" s="471"/>
      <c r="FG209" s="450"/>
      <c r="FH209" s="472"/>
      <c r="FI209" s="450"/>
      <c r="FJ209" s="468">
        <f t="shared" si="114"/>
        <v>0</v>
      </c>
      <c r="FK209" s="469">
        <f t="shared" si="115"/>
        <v>0</v>
      </c>
      <c r="FL209" s="472"/>
      <c r="FM209" s="450"/>
      <c r="FN209" s="460">
        <f t="shared" si="116"/>
        <v>1244</v>
      </c>
      <c r="FO209" s="469">
        <f t="shared" si="117"/>
        <v>1307</v>
      </c>
    </row>
    <row r="210" spans="1:171" x14ac:dyDescent="0.2">
      <c r="A210" s="456" t="s">
        <v>574</v>
      </c>
      <c r="B210" s="692" t="s">
        <v>1093</v>
      </c>
      <c r="C210" s="504"/>
      <c r="D210" s="501">
        <v>156338</v>
      </c>
      <c r="E210" s="509">
        <v>12</v>
      </c>
      <c r="F210" s="532">
        <v>1592</v>
      </c>
      <c r="G210" s="450">
        <v>1640</v>
      </c>
      <c r="H210" s="457"/>
      <c r="I210" s="450"/>
      <c r="J210" s="457">
        <v>261</v>
      </c>
      <c r="K210" s="450">
        <v>342</v>
      </c>
      <c r="L210" s="458">
        <f t="shared" si="96"/>
        <v>0</v>
      </c>
      <c r="M210" s="449">
        <f t="shared" si="97"/>
        <v>0</v>
      </c>
      <c r="N210" s="459"/>
      <c r="O210" s="459"/>
      <c r="P210" s="459"/>
      <c r="Q210" s="459"/>
      <c r="R210" s="460">
        <f t="shared" si="94"/>
        <v>0</v>
      </c>
      <c r="S210" s="461"/>
      <c r="T210" s="461"/>
      <c r="U210" s="461"/>
      <c r="V210" s="461"/>
      <c r="W210" s="462">
        <f t="shared" si="95"/>
        <v>0</v>
      </c>
      <c r="X210" s="463"/>
      <c r="Y210" s="457"/>
      <c r="Z210" s="464"/>
      <c r="AA210" s="464"/>
      <c r="AB210" s="465"/>
      <c r="AC210" s="457"/>
      <c r="AD210" s="464"/>
      <c r="AE210" s="466"/>
      <c r="AF210" s="465"/>
      <c r="AG210" s="457"/>
      <c r="AH210" s="464"/>
      <c r="AI210" s="466"/>
      <c r="AJ210" s="465"/>
      <c r="AK210" s="457"/>
      <c r="AL210" s="464"/>
      <c r="AM210" s="466"/>
      <c r="AN210" s="465"/>
      <c r="AO210" s="457"/>
      <c r="AP210" s="464"/>
      <c r="AQ210" s="464"/>
      <c r="AR210" s="460">
        <f t="shared" si="98"/>
        <v>0</v>
      </c>
      <c r="AS210" s="467">
        <f t="shared" si="99"/>
        <v>0</v>
      </c>
      <c r="AT210" s="447">
        <f t="shared" si="100"/>
        <v>0</v>
      </c>
      <c r="AU210" s="448">
        <f t="shared" si="101"/>
        <v>0</v>
      </c>
      <c r="AV210" s="457"/>
      <c r="AW210" s="450"/>
      <c r="AX210" s="463"/>
      <c r="AY210" s="457"/>
      <c r="AZ210" s="464"/>
      <c r="BA210" s="464"/>
      <c r="BB210" s="465"/>
      <c r="BC210" s="457"/>
      <c r="BD210" s="464"/>
      <c r="BE210" s="466"/>
      <c r="BF210" s="465"/>
      <c r="BG210" s="457"/>
      <c r="BH210" s="464"/>
      <c r="BI210" s="466"/>
      <c r="BJ210" s="465"/>
      <c r="BK210" s="457"/>
      <c r="BL210" s="464"/>
      <c r="BM210" s="466"/>
      <c r="BN210" s="465"/>
      <c r="BO210" s="457"/>
      <c r="BP210" s="464"/>
      <c r="BQ210" s="466"/>
      <c r="BR210" s="465"/>
      <c r="BS210" s="457"/>
      <c r="BT210" s="464"/>
      <c r="BU210" s="466"/>
      <c r="BV210" s="465"/>
      <c r="BW210" s="457"/>
      <c r="BX210" s="464"/>
      <c r="BY210" s="466"/>
      <c r="BZ210" s="465"/>
      <c r="CA210" s="457"/>
      <c r="CB210" s="464"/>
      <c r="CC210" s="466"/>
      <c r="CD210" s="465"/>
      <c r="CE210" s="457"/>
      <c r="CF210" s="464"/>
      <c r="CG210" s="466"/>
      <c r="CH210" s="465"/>
      <c r="CI210" s="457"/>
      <c r="CJ210" s="464"/>
      <c r="CK210" s="466"/>
      <c r="CL210" s="459"/>
      <c r="CM210" s="450"/>
      <c r="CN210" s="468">
        <f t="shared" si="102"/>
        <v>0</v>
      </c>
      <c r="CO210" s="468">
        <f t="shared" si="103"/>
        <v>0</v>
      </c>
      <c r="CP210" s="469">
        <f t="shared" si="104"/>
        <v>0</v>
      </c>
      <c r="CQ210" s="469">
        <f t="shared" si="105"/>
        <v>0</v>
      </c>
      <c r="CR210" s="463"/>
      <c r="CS210" s="457"/>
      <c r="CT210" s="464"/>
      <c r="CU210" s="464"/>
      <c r="CV210" s="465"/>
      <c r="CW210" s="457"/>
      <c r="CX210" s="464"/>
      <c r="CY210" s="466"/>
      <c r="CZ210" s="465"/>
      <c r="DA210" s="457"/>
      <c r="DB210" s="464"/>
      <c r="DC210" s="466"/>
      <c r="DD210" s="465"/>
      <c r="DE210" s="457"/>
      <c r="DF210" s="464"/>
      <c r="DG210" s="466"/>
      <c r="DH210" s="465"/>
      <c r="DI210" s="457"/>
      <c r="DJ210" s="464"/>
      <c r="DK210" s="466"/>
      <c r="DL210" s="465"/>
      <c r="DM210" s="457"/>
      <c r="DN210" s="464"/>
      <c r="DO210" s="466"/>
      <c r="DP210" s="465"/>
      <c r="DQ210" s="457"/>
      <c r="DR210" s="464"/>
      <c r="DS210" s="466"/>
      <c r="DT210" s="465"/>
      <c r="DU210" s="457"/>
      <c r="DV210" s="464"/>
      <c r="DW210" s="466"/>
      <c r="DX210" s="465"/>
      <c r="DY210" s="457"/>
      <c r="DZ210" s="464"/>
      <c r="EA210" s="466"/>
      <c r="EB210" s="465"/>
      <c r="EC210" s="457"/>
      <c r="ED210" s="464"/>
      <c r="EE210" s="466"/>
      <c r="EF210" s="459"/>
      <c r="EG210" s="450"/>
      <c r="EH210" s="460">
        <f t="shared" si="106"/>
        <v>0</v>
      </c>
      <c r="EI210" s="460">
        <f t="shared" si="107"/>
        <v>0</v>
      </c>
      <c r="EJ210" s="458">
        <f t="shared" si="108"/>
        <v>0</v>
      </c>
      <c r="EK210" s="470">
        <f t="shared" si="109"/>
        <v>0</v>
      </c>
      <c r="EL210" s="470">
        <f t="shared" si="110"/>
        <v>0</v>
      </c>
      <c r="EM210" s="449">
        <f t="shared" si="111"/>
        <v>0</v>
      </c>
      <c r="EN210" s="460">
        <f t="shared" si="112"/>
        <v>0</v>
      </c>
      <c r="EO210" s="469">
        <f t="shared" si="113"/>
        <v>0</v>
      </c>
      <c r="EP210" s="471"/>
      <c r="EQ210" s="450"/>
      <c r="ER210" s="471"/>
      <c r="ES210" s="450"/>
      <c r="ET210" s="471"/>
      <c r="EU210" s="450"/>
      <c r="EV210" s="471"/>
      <c r="EW210" s="450"/>
      <c r="EX210" s="471"/>
      <c r="EY210" s="450"/>
      <c r="EZ210" s="471"/>
      <c r="FA210" s="450"/>
      <c r="FB210" s="471"/>
      <c r="FC210" s="450"/>
      <c r="FD210" s="471"/>
      <c r="FE210" s="450"/>
      <c r="FF210" s="471"/>
      <c r="FG210" s="450"/>
      <c r="FH210" s="472"/>
      <c r="FI210" s="450"/>
      <c r="FJ210" s="468">
        <f t="shared" si="114"/>
        <v>0</v>
      </c>
      <c r="FK210" s="469">
        <f t="shared" si="115"/>
        <v>0</v>
      </c>
      <c r="FL210" s="472"/>
      <c r="FM210" s="450"/>
      <c r="FN210" s="460">
        <f t="shared" si="116"/>
        <v>1853</v>
      </c>
      <c r="FO210" s="469">
        <f t="shared" si="117"/>
        <v>1982</v>
      </c>
    </row>
    <row r="211" spans="1:171" x14ac:dyDescent="0.2">
      <c r="A211" s="513" t="s">
        <v>604</v>
      </c>
      <c r="B211" s="514" t="s">
        <v>605</v>
      </c>
      <c r="C211" s="515"/>
      <c r="D211" s="516">
        <v>159391</v>
      </c>
      <c r="E211" s="517">
        <v>1</v>
      </c>
      <c r="F211" s="532"/>
      <c r="G211" s="450"/>
      <c r="H211" s="457"/>
      <c r="I211" s="450"/>
      <c r="J211" s="457"/>
      <c r="K211" s="450"/>
      <c r="L211" s="458">
        <f t="shared" si="96"/>
        <v>0</v>
      </c>
      <c r="M211" s="449">
        <f t="shared" si="97"/>
        <v>0</v>
      </c>
      <c r="N211" s="459">
        <v>4440</v>
      </c>
      <c r="O211" s="459">
        <v>432</v>
      </c>
      <c r="P211" s="459"/>
      <c r="Q211" s="459"/>
      <c r="R211" s="460">
        <f t="shared" si="94"/>
        <v>432</v>
      </c>
      <c r="S211" s="391">
        <v>4600</v>
      </c>
      <c r="T211" s="461">
        <v>458</v>
      </c>
      <c r="U211" s="461"/>
      <c r="V211" s="461"/>
      <c r="W211" s="462">
        <f t="shared" si="95"/>
        <v>458</v>
      </c>
      <c r="X211" s="463"/>
      <c r="Y211" s="457"/>
      <c r="Z211" s="464"/>
      <c r="AA211" s="464"/>
      <c r="AB211" s="465"/>
      <c r="AC211" s="457"/>
      <c r="AD211" s="464"/>
      <c r="AE211" s="466"/>
      <c r="AF211" s="465"/>
      <c r="AG211" s="457"/>
      <c r="AH211" s="464"/>
      <c r="AI211" s="466"/>
      <c r="AJ211" s="465"/>
      <c r="AK211" s="457"/>
      <c r="AL211" s="464"/>
      <c r="AM211" s="466"/>
      <c r="AN211" s="465"/>
      <c r="AO211" s="457"/>
      <c r="AP211" s="464"/>
      <c r="AQ211" s="464"/>
      <c r="AR211" s="460">
        <f t="shared" si="98"/>
        <v>0</v>
      </c>
      <c r="AS211" s="467">
        <f t="shared" si="99"/>
        <v>0.7647261453668619</v>
      </c>
      <c r="AT211" s="447">
        <f t="shared" si="100"/>
        <v>0</v>
      </c>
      <c r="AU211" s="448">
        <f t="shared" si="101"/>
        <v>0.74421614625465138</v>
      </c>
      <c r="AV211" s="457"/>
      <c r="AW211" s="450"/>
      <c r="AX211" s="463">
        <v>52</v>
      </c>
      <c r="AY211" s="457">
        <v>247</v>
      </c>
      <c r="AZ211" s="464">
        <v>52</v>
      </c>
      <c r="BA211" s="464">
        <v>278</v>
      </c>
      <c r="BB211" s="465">
        <v>13</v>
      </c>
      <c r="BC211" s="457">
        <v>196</v>
      </c>
      <c r="BD211" s="464">
        <v>13</v>
      </c>
      <c r="BE211" s="466">
        <v>186</v>
      </c>
      <c r="BF211" s="465">
        <v>44</v>
      </c>
      <c r="BG211" s="457">
        <v>123</v>
      </c>
      <c r="BH211" s="464">
        <v>44</v>
      </c>
      <c r="BI211" s="466">
        <v>177</v>
      </c>
      <c r="BJ211" s="465">
        <v>14</v>
      </c>
      <c r="BK211" s="457">
        <v>99</v>
      </c>
      <c r="BL211" s="464">
        <v>14</v>
      </c>
      <c r="BM211" s="466">
        <v>108</v>
      </c>
      <c r="BN211" s="465">
        <v>25</v>
      </c>
      <c r="BO211" s="457">
        <v>67</v>
      </c>
      <c r="BP211" s="464">
        <v>25</v>
      </c>
      <c r="BQ211" s="466">
        <v>73</v>
      </c>
      <c r="BR211" s="465">
        <v>50</v>
      </c>
      <c r="BS211" s="457">
        <v>57</v>
      </c>
      <c r="BT211" s="723">
        <v>50</v>
      </c>
      <c r="BU211" s="466">
        <v>51</v>
      </c>
      <c r="BV211" s="465">
        <v>1</v>
      </c>
      <c r="BW211" s="457">
        <v>39</v>
      </c>
      <c r="BX211" s="464">
        <v>27</v>
      </c>
      <c r="BY211" s="466">
        <v>37</v>
      </c>
      <c r="BZ211" s="465">
        <v>11</v>
      </c>
      <c r="CA211" s="457">
        <v>34</v>
      </c>
      <c r="CB211" s="464">
        <v>1</v>
      </c>
      <c r="CC211" s="466">
        <v>35</v>
      </c>
      <c r="CD211" s="465">
        <v>45</v>
      </c>
      <c r="CE211" s="457">
        <v>30</v>
      </c>
      <c r="CF211" s="464">
        <v>40</v>
      </c>
      <c r="CG211" s="466">
        <v>34</v>
      </c>
      <c r="CH211" s="465">
        <v>40</v>
      </c>
      <c r="CI211" s="457">
        <v>22</v>
      </c>
      <c r="CJ211" s="464">
        <v>3</v>
      </c>
      <c r="CK211" s="466">
        <v>32</v>
      </c>
      <c r="CL211" s="459"/>
      <c r="CM211" s="450"/>
      <c r="CN211" s="468">
        <f t="shared" si="102"/>
        <v>914</v>
      </c>
      <c r="CO211" s="468">
        <f t="shared" si="103"/>
        <v>10</v>
      </c>
      <c r="CP211" s="469">
        <f t="shared" si="104"/>
        <v>1011</v>
      </c>
      <c r="CQ211" s="469">
        <f t="shared" si="105"/>
        <v>10</v>
      </c>
      <c r="CR211" s="463">
        <v>13</v>
      </c>
      <c r="CS211" s="457">
        <v>36</v>
      </c>
      <c r="CT211" s="464">
        <v>40</v>
      </c>
      <c r="CU211" s="464">
        <v>43</v>
      </c>
      <c r="CV211" s="465">
        <v>40</v>
      </c>
      <c r="CW211" s="457">
        <v>33</v>
      </c>
      <c r="CX211" s="464">
        <v>13</v>
      </c>
      <c r="CY211" s="466">
        <v>43</v>
      </c>
      <c r="CZ211" s="465">
        <v>14</v>
      </c>
      <c r="DA211" s="457">
        <v>28</v>
      </c>
      <c r="DB211" s="464">
        <v>14</v>
      </c>
      <c r="DC211" s="466">
        <v>33</v>
      </c>
      <c r="DD211" s="465">
        <v>50</v>
      </c>
      <c r="DE211" s="457">
        <v>26</v>
      </c>
      <c r="DF211" s="464">
        <v>50</v>
      </c>
      <c r="DG211" s="466">
        <v>31</v>
      </c>
      <c r="DH211" s="465">
        <v>26</v>
      </c>
      <c r="DI211" s="457">
        <v>22</v>
      </c>
      <c r="DJ211" s="464">
        <v>26</v>
      </c>
      <c r="DK211" s="466">
        <v>29</v>
      </c>
      <c r="DL211" s="465">
        <v>45</v>
      </c>
      <c r="DM211" s="457">
        <v>19</v>
      </c>
      <c r="DN211" s="464">
        <v>42</v>
      </c>
      <c r="DO211" s="466">
        <v>24</v>
      </c>
      <c r="DP211" s="465">
        <v>11</v>
      </c>
      <c r="DQ211" s="457">
        <v>10</v>
      </c>
      <c r="DR211" s="464">
        <v>45</v>
      </c>
      <c r="DS211" s="466">
        <v>21</v>
      </c>
      <c r="DT211" s="465">
        <v>42</v>
      </c>
      <c r="DU211" s="457">
        <v>10</v>
      </c>
      <c r="DV211" s="464">
        <v>51</v>
      </c>
      <c r="DW211" s="466">
        <v>17</v>
      </c>
      <c r="DX211" s="465">
        <v>23</v>
      </c>
      <c r="DY211" s="457">
        <v>10</v>
      </c>
      <c r="DZ211" s="464">
        <v>9</v>
      </c>
      <c r="EA211" s="466">
        <v>14</v>
      </c>
      <c r="EB211" s="465">
        <v>51</v>
      </c>
      <c r="EC211" s="457">
        <v>9</v>
      </c>
      <c r="ED211" s="464">
        <v>1</v>
      </c>
      <c r="EE211" s="466">
        <v>13</v>
      </c>
      <c r="EF211" s="459"/>
      <c r="EG211" s="450"/>
      <c r="EH211" s="460">
        <f t="shared" si="106"/>
        <v>203</v>
      </c>
      <c r="EI211" s="460">
        <f t="shared" si="107"/>
        <v>10</v>
      </c>
      <c r="EJ211" s="458">
        <f t="shared" si="108"/>
        <v>0.17733990147783252</v>
      </c>
      <c r="EK211" s="470">
        <f t="shared" si="109"/>
        <v>268</v>
      </c>
      <c r="EL211" s="470">
        <f t="shared" si="110"/>
        <v>10</v>
      </c>
      <c r="EM211" s="449">
        <f t="shared" si="111"/>
        <v>0.16044776119402984</v>
      </c>
      <c r="EN211" s="460">
        <f t="shared" si="112"/>
        <v>1117</v>
      </c>
      <c r="EO211" s="469">
        <f t="shared" si="113"/>
        <v>1279</v>
      </c>
      <c r="EP211" s="471">
        <v>174</v>
      </c>
      <c r="EQ211" s="450">
        <v>220</v>
      </c>
      <c r="ER211" s="471"/>
      <c r="ES211" s="450"/>
      <c r="ET211" s="471"/>
      <c r="EU211" s="450"/>
      <c r="EV211" s="471"/>
      <c r="EW211" s="450"/>
      <c r="EX211" s="471"/>
      <c r="EY211" s="450"/>
      <c r="EZ211" s="471"/>
      <c r="FA211" s="450"/>
      <c r="FB211" s="471"/>
      <c r="FC211" s="450"/>
      <c r="FD211" s="471">
        <v>75</v>
      </c>
      <c r="FE211" s="450">
        <v>82</v>
      </c>
      <c r="FF211" s="471"/>
      <c r="FG211" s="450"/>
      <c r="FH211" s="472"/>
      <c r="FI211" s="450"/>
      <c r="FJ211" s="468">
        <f t="shared" si="114"/>
        <v>249</v>
      </c>
      <c r="FK211" s="469">
        <f t="shared" si="115"/>
        <v>302</v>
      </c>
      <c r="FL211" s="472"/>
      <c r="FM211" s="450"/>
      <c r="FN211" s="460">
        <f t="shared" si="116"/>
        <v>5806</v>
      </c>
      <c r="FO211" s="469">
        <f t="shared" si="117"/>
        <v>6181</v>
      </c>
    </row>
    <row r="212" spans="1:171" x14ac:dyDescent="0.2">
      <c r="A212" s="513" t="s">
        <v>604</v>
      </c>
      <c r="B212" s="514" t="s">
        <v>606</v>
      </c>
      <c r="C212" s="515"/>
      <c r="D212" s="516">
        <v>159647</v>
      </c>
      <c r="E212" s="517">
        <v>2</v>
      </c>
      <c r="F212" s="532"/>
      <c r="G212" s="450"/>
      <c r="H212" s="457"/>
      <c r="I212" s="450"/>
      <c r="J212" s="457">
        <v>91</v>
      </c>
      <c r="K212" s="450">
        <v>70</v>
      </c>
      <c r="L212" s="458">
        <f t="shared" si="96"/>
        <v>7.3743922204213941E-2</v>
      </c>
      <c r="M212" s="449">
        <f t="shared" si="97"/>
        <v>5.686433793663688E-2</v>
      </c>
      <c r="N212" s="459">
        <v>1234</v>
      </c>
      <c r="O212" s="459">
        <v>92</v>
      </c>
      <c r="P212" s="459"/>
      <c r="Q212" s="459"/>
      <c r="R212" s="460">
        <f t="shared" si="94"/>
        <v>92</v>
      </c>
      <c r="S212" s="391">
        <v>1231</v>
      </c>
      <c r="T212" s="461">
        <v>78</v>
      </c>
      <c r="U212" s="461"/>
      <c r="V212" s="461"/>
      <c r="W212" s="462">
        <f t="shared" si="95"/>
        <v>78</v>
      </c>
      <c r="X212" s="463"/>
      <c r="Y212" s="457"/>
      <c r="Z212" s="464"/>
      <c r="AA212" s="464"/>
      <c r="AB212" s="465"/>
      <c r="AC212" s="457"/>
      <c r="AD212" s="464"/>
      <c r="AE212" s="466"/>
      <c r="AF212" s="465"/>
      <c r="AG212" s="457"/>
      <c r="AH212" s="464"/>
      <c r="AI212" s="466"/>
      <c r="AJ212" s="465"/>
      <c r="AK212" s="457"/>
      <c r="AL212" s="464"/>
      <c r="AM212" s="466"/>
      <c r="AN212" s="465"/>
      <c r="AO212" s="457"/>
      <c r="AP212" s="464"/>
      <c r="AQ212" s="464"/>
      <c r="AR212" s="460">
        <f t="shared" ref="AR212:AR266" si="118">COUNTA(X212,AB212,AF212,AJ212,AN212)</f>
        <v>0</v>
      </c>
      <c r="AS212" s="467">
        <f t="shared" ref="AS212:AS266" si="119">IF(FN212&gt;0,N212/FN212,)</f>
        <v>0.68252212389380529</v>
      </c>
      <c r="AT212" s="447">
        <f t="shared" ref="AT212:AT266" si="120">COUNTA(Z212,AD212,AH212,AL212,AP212)</f>
        <v>0</v>
      </c>
      <c r="AU212" s="448">
        <f t="shared" ref="AU212:AU266" si="121">IF(FO212&gt;0,S212/FO212,)</f>
        <v>0.68924972004479279</v>
      </c>
      <c r="AV212" s="457">
        <v>41</v>
      </c>
      <c r="AW212" s="450">
        <v>17</v>
      </c>
      <c r="AX212" s="463">
        <v>13</v>
      </c>
      <c r="AY212" s="457">
        <v>169</v>
      </c>
      <c r="AZ212" s="464">
        <v>13</v>
      </c>
      <c r="BA212" s="464">
        <v>176</v>
      </c>
      <c r="BB212" s="465">
        <v>14</v>
      </c>
      <c r="BC212" s="457">
        <v>82</v>
      </c>
      <c r="BD212" s="464">
        <v>52</v>
      </c>
      <c r="BE212" s="466">
        <v>67</v>
      </c>
      <c r="BF212" s="465">
        <v>52</v>
      </c>
      <c r="BG212" s="457">
        <v>47</v>
      </c>
      <c r="BH212" s="464">
        <v>14</v>
      </c>
      <c r="BI212" s="466">
        <v>65</v>
      </c>
      <c r="BJ212" s="465">
        <v>42</v>
      </c>
      <c r="BK212" s="457">
        <v>27</v>
      </c>
      <c r="BL212" s="464">
        <v>42</v>
      </c>
      <c r="BM212" s="466">
        <v>30</v>
      </c>
      <c r="BN212" s="465">
        <v>51</v>
      </c>
      <c r="BO212" s="457">
        <v>23</v>
      </c>
      <c r="BP212" s="464">
        <v>51</v>
      </c>
      <c r="BQ212" s="466">
        <v>21</v>
      </c>
      <c r="BR212" s="465">
        <v>11</v>
      </c>
      <c r="BS212" s="457">
        <v>17</v>
      </c>
      <c r="BT212" s="723">
        <v>30</v>
      </c>
      <c r="BU212" s="466">
        <v>16</v>
      </c>
      <c r="BV212" s="465">
        <v>27</v>
      </c>
      <c r="BW212" s="457">
        <v>12</v>
      </c>
      <c r="BX212" s="464">
        <v>27</v>
      </c>
      <c r="BY212" s="466">
        <v>15</v>
      </c>
      <c r="BZ212" s="465">
        <v>4</v>
      </c>
      <c r="CA212" s="457">
        <v>12</v>
      </c>
      <c r="CB212" s="464">
        <v>4</v>
      </c>
      <c r="CC212" s="466">
        <v>15</v>
      </c>
      <c r="CD212" s="465">
        <v>30</v>
      </c>
      <c r="CE212" s="457">
        <v>11</v>
      </c>
      <c r="CF212" s="464">
        <v>11</v>
      </c>
      <c r="CG212" s="466">
        <v>12</v>
      </c>
      <c r="CH212" s="465">
        <v>26</v>
      </c>
      <c r="CI212" s="457">
        <v>9</v>
      </c>
      <c r="CJ212" s="464">
        <v>26</v>
      </c>
      <c r="CK212" s="466">
        <v>10</v>
      </c>
      <c r="CL212" s="459"/>
      <c r="CM212" s="450"/>
      <c r="CN212" s="468">
        <f t="shared" si="102"/>
        <v>409</v>
      </c>
      <c r="CO212" s="468">
        <f t="shared" si="103"/>
        <v>10</v>
      </c>
      <c r="CP212" s="469">
        <f t="shared" si="104"/>
        <v>427</v>
      </c>
      <c r="CQ212" s="469">
        <f t="shared" si="105"/>
        <v>10</v>
      </c>
      <c r="CR212" s="463">
        <v>14</v>
      </c>
      <c r="CS212" s="457">
        <v>17</v>
      </c>
      <c r="CT212" s="464">
        <v>14</v>
      </c>
      <c r="CU212" s="464">
        <v>15</v>
      </c>
      <c r="CV212" s="465">
        <v>11</v>
      </c>
      <c r="CW212" s="457">
        <v>6</v>
      </c>
      <c r="CX212" s="464">
        <v>11</v>
      </c>
      <c r="CY212" s="466">
        <v>9</v>
      </c>
      <c r="CZ212" s="465">
        <v>13</v>
      </c>
      <c r="DA212" s="457">
        <v>3</v>
      </c>
      <c r="DB212" s="464">
        <v>42</v>
      </c>
      <c r="DC212" s="466">
        <v>8</v>
      </c>
      <c r="DD212" s="465">
        <v>52</v>
      </c>
      <c r="DE212" s="457">
        <v>3</v>
      </c>
      <c r="DF212" s="464">
        <v>13</v>
      </c>
      <c r="DG212" s="466">
        <v>6</v>
      </c>
      <c r="DH212" s="465">
        <v>51</v>
      </c>
      <c r="DI212" s="457">
        <v>2</v>
      </c>
      <c r="DJ212" s="464">
        <v>52</v>
      </c>
      <c r="DK212" s="466">
        <v>3</v>
      </c>
      <c r="DL212" s="465">
        <v>42</v>
      </c>
      <c r="DM212" s="457">
        <v>2</v>
      </c>
      <c r="DN212" s="464"/>
      <c r="DO212" s="466"/>
      <c r="DP212" s="465"/>
      <c r="DQ212" s="457"/>
      <c r="DR212" s="464"/>
      <c r="DS212" s="466"/>
      <c r="DT212" s="465"/>
      <c r="DU212" s="457"/>
      <c r="DV212" s="464"/>
      <c r="DW212" s="466"/>
      <c r="DX212" s="465"/>
      <c r="DY212" s="457"/>
      <c r="DZ212" s="464"/>
      <c r="EA212" s="466"/>
      <c r="EB212" s="465"/>
      <c r="EC212" s="457"/>
      <c r="ED212" s="464"/>
      <c r="EE212" s="466"/>
      <c r="EF212" s="459"/>
      <c r="EG212" s="450"/>
      <c r="EH212" s="460">
        <f t="shared" si="106"/>
        <v>33</v>
      </c>
      <c r="EI212" s="460">
        <f t="shared" si="107"/>
        <v>6</v>
      </c>
      <c r="EJ212" s="458">
        <f t="shared" si="108"/>
        <v>0.51515151515151514</v>
      </c>
      <c r="EK212" s="470">
        <f t="shared" si="109"/>
        <v>41</v>
      </c>
      <c r="EL212" s="470">
        <f t="shared" si="110"/>
        <v>5</v>
      </c>
      <c r="EM212" s="449">
        <f t="shared" si="111"/>
        <v>0.36585365853658536</v>
      </c>
      <c r="EN212" s="460">
        <f t="shared" si="112"/>
        <v>442</v>
      </c>
      <c r="EO212" s="469">
        <f t="shared" si="113"/>
        <v>468</v>
      </c>
      <c r="EP212" s="471"/>
      <c r="EQ212" s="450"/>
      <c r="ER212" s="471"/>
      <c r="ES212" s="450"/>
      <c r="ET212" s="471"/>
      <c r="EU212" s="450"/>
      <c r="EV212" s="471"/>
      <c r="EW212" s="450"/>
      <c r="EX212" s="471"/>
      <c r="EY212" s="450"/>
      <c r="EZ212" s="471"/>
      <c r="FA212" s="450"/>
      <c r="FB212" s="471"/>
      <c r="FC212" s="450"/>
      <c r="FD212" s="471"/>
      <c r="FE212" s="450"/>
      <c r="FF212" s="471"/>
      <c r="FG212" s="450"/>
      <c r="FH212" s="472"/>
      <c r="FI212" s="450"/>
      <c r="FJ212" s="468">
        <f t="shared" si="114"/>
        <v>0</v>
      </c>
      <c r="FK212" s="469">
        <f t="shared" si="115"/>
        <v>0</v>
      </c>
      <c r="FL212" s="472"/>
      <c r="FM212" s="450"/>
      <c r="FN212" s="460">
        <f t="shared" si="116"/>
        <v>1808</v>
      </c>
      <c r="FO212" s="469">
        <f t="shared" si="117"/>
        <v>1786</v>
      </c>
    </row>
    <row r="213" spans="1:171" x14ac:dyDescent="0.2">
      <c r="A213" s="513" t="s">
        <v>604</v>
      </c>
      <c r="B213" s="514" t="s">
        <v>607</v>
      </c>
      <c r="C213" s="515"/>
      <c r="D213" s="516">
        <v>160658</v>
      </c>
      <c r="E213" s="517">
        <v>2</v>
      </c>
      <c r="F213" s="532"/>
      <c r="G213" s="450"/>
      <c r="H213" s="457"/>
      <c r="I213" s="450"/>
      <c r="J213" s="457"/>
      <c r="K213" s="450"/>
      <c r="L213" s="458">
        <f t="shared" ref="L213:L266" si="122">IF(N213&gt;0,J213/N213, )</f>
        <v>0</v>
      </c>
      <c r="M213" s="449">
        <f t="shared" ref="M213:M266" si="123">IF(S213&gt;0,K213/S213, )</f>
        <v>0</v>
      </c>
      <c r="N213" s="459">
        <v>2279</v>
      </c>
      <c r="O213" s="459">
        <v>253</v>
      </c>
      <c r="P213" s="459"/>
      <c r="Q213" s="459"/>
      <c r="R213" s="460">
        <f t="shared" ref="R213:R265" si="124">SUM(O213:Q213)</f>
        <v>253</v>
      </c>
      <c r="S213" s="391">
        <v>2296</v>
      </c>
      <c r="T213" s="461">
        <v>306</v>
      </c>
      <c r="U213" s="461"/>
      <c r="V213" s="461"/>
      <c r="W213" s="462">
        <f t="shared" si="95"/>
        <v>306</v>
      </c>
      <c r="X213" s="463"/>
      <c r="Y213" s="457"/>
      <c r="Z213" s="464"/>
      <c r="AA213" s="464"/>
      <c r="AB213" s="465"/>
      <c r="AC213" s="457"/>
      <c r="AD213" s="464"/>
      <c r="AE213" s="466"/>
      <c r="AF213" s="465"/>
      <c r="AG213" s="457"/>
      <c r="AH213" s="464"/>
      <c r="AI213" s="466"/>
      <c r="AJ213" s="465"/>
      <c r="AK213" s="457"/>
      <c r="AL213" s="464"/>
      <c r="AM213" s="466"/>
      <c r="AN213" s="465"/>
      <c r="AO213" s="457"/>
      <c r="AP213" s="464"/>
      <c r="AQ213" s="464"/>
      <c r="AR213" s="460">
        <f t="shared" si="118"/>
        <v>0</v>
      </c>
      <c r="AS213" s="467">
        <f t="shared" si="119"/>
        <v>0.85548048048048053</v>
      </c>
      <c r="AT213" s="447">
        <f t="shared" si="120"/>
        <v>0</v>
      </c>
      <c r="AU213" s="448">
        <f t="shared" si="121"/>
        <v>0.84567219152854511</v>
      </c>
      <c r="AV213" s="457"/>
      <c r="AW213" s="450">
        <v>52</v>
      </c>
      <c r="AX213" s="463">
        <v>14</v>
      </c>
      <c r="AY213" s="457">
        <v>77</v>
      </c>
      <c r="AZ213" s="464">
        <v>14</v>
      </c>
      <c r="BA213" s="464">
        <v>65</v>
      </c>
      <c r="BB213" s="465">
        <v>13</v>
      </c>
      <c r="BC213" s="457">
        <v>68</v>
      </c>
      <c r="BD213" s="464">
        <v>52</v>
      </c>
      <c r="BE213" s="466">
        <v>51</v>
      </c>
      <c r="BF213" s="465">
        <v>52</v>
      </c>
      <c r="BG213" s="457">
        <v>57</v>
      </c>
      <c r="BH213" s="464">
        <v>11</v>
      </c>
      <c r="BI213" s="466">
        <v>50</v>
      </c>
      <c r="BJ213" s="465">
        <v>11</v>
      </c>
      <c r="BK213" s="457">
        <v>49</v>
      </c>
      <c r="BL213" s="464">
        <v>13</v>
      </c>
      <c r="BM213" s="466">
        <v>48</v>
      </c>
      <c r="BN213" s="465">
        <v>51</v>
      </c>
      <c r="BO213" s="457">
        <v>43</v>
      </c>
      <c r="BP213" s="464">
        <v>51</v>
      </c>
      <c r="BQ213" s="466">
        <v>40</v>
      </c>
      <c r="BR213" s="465">
        <v>4</v>
      </c>
      <c r="BS213" s="457">
        <v>16</v>
      </c>
      <c r="BT213" s="723">
        <v>4</v>
      </c>
      <c r="BU213" s="466">
        <v>19</v>
      </c>
      <c r="BV213" s="465">
        <v>23</v>
      </c>
      <c r="BW213" s="457">
        <v>13</v>
      </c>
      <c r="BX213" s="464">
        <v>40</v>
      </c>
      <c r="BY213" s="466">
        <v>14</v>
      </c>
      <c r="BZ213" s="465">
        <v>40</v>
      </c>
      <c r="CA213" s="457">
        <v>12</v>
      </c>
      <c r="CB213" s="464">
        <v>54</v>
      </c>
      <c r="CC213" s="466">
        <v>13</v>
      </c>
      <c r="CD213" s="465">
        <v>27</v>
      </c>
      <c r="CE213" s="457">
        <v>10</v>
      </c>
      <c r="CF213" s="464">
        <v>42</v>
      </c>
      <c r="CG213" s="466">
        <v>10</v>
      </c>
      <c r="CH213" s="465">
        <v>26</v>
      </c>
      <c r="CI213" s="457">
        <v>10</v>
      </c>
      <c r="CJ213" s="464">
        <v>50</v>
      </c>
      <c r="CK213" s="466">
        <v>8</v>
      </c>
      <c r="CL213" s="459"/>
      <c r="CM213" s="450"/>
      <c r="CN213" s="468">
        <f t="shared" ref="CN213:CN266" si="125">AY213+BC213+BG213+BK213+BO213+BS213+BW213+CA213+CE213+CI213+CL213</f>
        <v>355</v>
      </c>
      <c r="CO213" s="468">
        <f t="shared" ref="CO213:CO266" si="126">COUNTA(AX213,BB213,BF213,BJ213,BN213,BR213,BV213,BZ213,CD213,CH213)</f>
        <v>10</v>
      </c>
      <c r="CP213" s="469">
        <f t="shared" ref="CP213:CP266" si="127">BA213+BE213+BI213+BM213+BQ213+BU213+BY213+CC213+CG213+CK213+CM213</f>
        <v>318</v>
      </c>
      <c r="CQ213" s="469">
        <f t="shared" ref="CQ213:CQ266" si="128">COUNTA(AZ213,BD213,BH213,BL213,BP213,BT213,BX213,CB213,CF213,CJ213)</f>
        <v>10</v>
      </c>
      <c r="CR213" s="463">
        <v>26</v>
      </c>
      <c r="CS213" s="457">
        <v>5</v>
      </c>
      <c r="CT213" s="464">
        <v>23</v>
      </c>
      <c r="CU213" s="464">
        <v>13</v>
      </c>
      <c r="CV213" s="465">
        <v>23</v>
      </c>
      <c r="CW213" s="457">
        <v>5</v>
      </c>
      <c r="CX213" s="464">
        <v>14</v>
      </c>
      <c r="CY213" s="466">
        <v>8</v>
      </c>
      <c r="CZ213" s="465">
        <v>13</v>
      </c>
      <c r="DA213" s="457">
        <v>4</v>
      </c>
      <c r="DB213" s="464">
        <v>27</v>
      </c>
      <c r="DC213" s="466">
        <v>6</v>
      </c>
      <c r="DD213" s="465">
        <v>11</v>
      </c>
      <c r="DE213" s="457">
        <v>4</v>
      </c>
      <c r="DF213" s="464">
        <v>26</v>
      </c>
      <c r="DG213" s="466">
        <v>6</v>
      </c>
      <c r="DH213" s="465">
        <v>30</v>
      </c>
      <c r="DI213" s="457">
        <v>3</v>
      </c>
      <c r="DJ213" s="464">
        <v>11</v>
      </c>
      <c r="DK213" s="466">
        <v>6</v>
      </c>
      <c r="DL213" s="465">
        <v>27</v>
      </c>
      <c r="DM213" s="457">
        <v>3</v>
      </c>
      <c r="DN213" s="464">
        <v>51</v>
      </c>
      <c r="DO213" s="466">
        <v>5</v>
      </c>
      <c r="DP213" s="465">
        <v>14</v>
      </c>
      <c r="DQ213" s="457">
        <v>3</v>
      </c>
      <c r="DR213" s="464">
        <v>5</v>
      </c>
      <c r="DS213" s="466">
        <v>3</v>
      </c>
      <c r="DT213" s="465">
        <v>51</v>
      </c>
      <c r="DU213" s="457">
        <v>2</v>
      </c>
      <c r="DV213" s="464">
        <v>13</v>
      </c>
      <c r="DW213" s="466">
        <v>2</v>
      </c>
      <c r="DX213" s="465">
        <v>5</v>
      </c>
      <c r="DY213" s="457">
        <v>1</v>
      </c>
      <c r="DZ213" s="464"/>
      <c r="EA213" s="466"/>
      <c r="EB213" s="465"/>
      <c r="EC213" s="457"/>
      <c r="ED213" s="464"/>
      <c r="EE213" s="466"/>
      <c r="EF213" s="459"/>
      <c r="EG213" s="450"/>
      <c r="EH213" s="460">
        <f t="shared" si="106"/>
        <v>30</v>
      </c>
      <c r="EI213" s="460">
        <f t="shared" si="107"/>
        <v>9</v>
      </c>
      <c r="EJ213" s="458">
        <f t="shared" si="108"/>
        <v>0.16666666666666666</v>
      </c>
      <c r="EK213" s="470">
        <f t="shared" si="109"/>
        <v>49</v>
      </c>
      <c r="EL213" s="470">
        <f t="shared" si="110"/>
        <v>8</v>
      </c>
      <c r="EM213" s="449">
        <f t="shared" si="111"/>
        <v>0.26530612244897961</v>
      </c>
      <c r="EN213" s="460">
        <f t="shared" si="112"/>
        <v>385</v>
      </c>
      <c r="EO213" s="469">
        <f t="shared" si="113"/>
        <v>367</v>
      </c>
      <c r="EP213" s="471"/>
      <c r="EQ213" s="450"/>
      <c r="ER213" s="471"/>
      <c r="ES213" s="450"/>
      <c r="ET213" s="471"/>
      <c r="EU213" s="450"/>
      <c r="EV213" s="471"/>
      <c r="EW213" s="450"/>
      <c r="EX213" s="471"/>
      <c r="EY213" s="450"/>
      <c r="EZ213" s="471"/>
      <c r="FA213" s="450"/>
      <c r="FB213" s="471"/>
      <c r="FC213" s="450"/>
      <c r="FD213" s="471"/>
      <c r="FE213" s="450"/>
      <c r="FF213" s="471"/>
      <c r="FG213" s="450"/>
      <c r="FH213" s="472"/>
      <c r="FI213" s="450"/>
      <c r="FJ213" s="468">
        <f t="shared" ref="FJ213:FJ266" si="129">EP213+ER213+ET213+EV213+EX213+EZ213+FB213+FD213+FF213+FH213</f>
        <v>0</v>
      </c>
      <c r="FK213" s="469">
        <f t="shared" ref="FK213:FK266" si="130">EQ213+ES213+EU213+EW213+EY213+FA213+FC213+FE213+FG213+FI213</f>
        <v>0</v>
      </c>
      <c r="FL213" s="472"/>
      <c r="FM213" s="450"/>
      <c r="FN213" s="460">
        <f t="shared" si="116"/>
        <v>2664</v>
      </c>
      <c r="FO213" s="469">
        <f t="shared" si="117"/>
        <v>2715</v>
      </c>
    </row>
    <row r="214" spans="1:171" x14ac:dyDescent="0.2">
      <c r="A214" s="513" t="s">
        <v>604</v>
      </c>
      <c r="B214" s="514" t="s">
        <v>608</v>
      </c>
      <c r="C214" s="515"/>
      <c r="D214" s="516">
        <v>159939</v>
      </c>
      <c r="E214" s="517">
        <v>2</v>
      </c>
      <c r="F214" s="532"/>
      <c r="G214" s="450"/>
      <c r="H214" s="457"/>
      <c r="I214" s="450"/>
      <c r="J214" s="457"/>
      <c r="K214" s="450"/>
      <c r="L214" s="458">
        <f t="shared" si="122"/>
        <v>0</v>
      </c>
      <c r="M214" s="449">
        <f t="shared" si="123"/>
        <v>0</v>
      </c>
      <c r="N214" s="459">
        <v>1435</v>
      </c>
      <c r="O214" s="459">
        <v>54</v>
      </c>
      <c r="P214" s="459"/>
      <c r="Q214" s="459"/>
      <c r="R214" s="460">
        <f t="shared" si="124"/>
        <v>54</v>
      </c>
      <c r="S214" s="391">
        <v>1405</v>
      </c>
      <c r="T214" s="461">
        <v>60</v>
      </c>
      <c r="U214" s="461"/>
      <c r="V214" s="461"/>
      <c r="W214" s="462">
        <f t="shared" si="95"/>
        <v>60</v>
      </c>
      <c r="X214" s="463"/>
      <c r="Y214" s="457"/>
      <c r="Z214" s="464"/>
      <c r="AA214" s="464"/>
      <c r="AB214" s="465"/>
      <c r="AC214" s="457"/>
      <c r="AD214" s="464"/>
      <c r="AE214" s="466"/>
      <c r="AF214" s="465"/>
      <c r="AG214" s="457"/>
      <c r="AH214" s="464"/>
      <c r="AI214" s="466"/>
      <c r="AJ214" s="465"/>
      <c r="AK214" s="457"/>
      <c r="AL214" s="464"/>
      <c r="AM214" s="466"/>
      <c r="AN214" s="465"/>
      <c r="AO214" s="457"/>
      <c r="AP214" s="464"/>
      <c r="AQ214" s="464"/>
      <c r="AR214" s="460">
        <f t="shared" si="118"/>
        <v>0</v>
      </c>
      <c r="AS214" s="467">
        <f t="shared" si="119"/>
        <v>0.68009478672985779</v>
      </c>
      <c r="AT214" s="447">
        <f t="shared" si="120"/>
        <v>0</v>
      </c>
      <c r="AU214" s="448">
        <f t="shared" si="121"/>
        <v>0.66242338519566246</v>
      </c>
      <c r="AV214" s="457"/>
      <c r="AW214" s="450"/>
      <c r="AX214" s="463">
        <v>52</v>
      </c>
      <c r="AY214" s="457">
        <v>270</v>
      </c>
      <c r="AZ214" s="464">
        <v>52</v>
      </c>
      <c r="BA214" s="464">
        <v>286</v>
      </c>
      <c r="BB214" s="465">
        <v>13</v>
      </c>
      <c r="BC214" s="457">
        <v>78</v>
      </c>
      <c r="BD214" s="464">
        <v>13</v>
      </c>
      <c r="BE214" s="466">
        <v>117</v>
      </c>
      <c r="BF214" s="465">
        <v>50</v>
      </c>
      <c r="BG214" s="457">
        <v>62</v>
      </c>
      <c r="BH214" s="464">
        <v>50</v>
      </c>
      <c r="BI214" s="466">
        <v>61</v>
      </c>
      <c r="BJ214" s="465">
        <v>14</v>
      </c>
      <c r="BK214" s="457">
        <v>54</v>
      </c>
      <c r="BL214" s="464">
        <v>51</v>
      </c>
      <c r="BM214" s="466">
        <v>39</v>
      </c>
      <c r="BN214" s="465">
        <v>51</v>
      </c>
      <c r="BO214" s="457">
        <v>53</v>
      </c>
      <c r="BP214" s="464">
        <v>14</v>
      </c>
      <c r="BQ214" s="466">
        <v>33</v>
      </c>
      <c r="BR214" s="465">
        <v>45</v>
      </c>
      <c r="BS214" s="457">
        <v>25</v>
      </c>
      <c r="BT214" s="723">
        <v>4</v>
      </c>
      <c r="BU214" s="466">
        <v>27</v>
      </c>
      <c r="BV214" s="465">
        <v>4</v>
      </c>
      <c r="BW214" s="457">
        <v>24</v>
      </c>
      <c r="BX214" s="464">
        <v>23</v>
      </c>
      <c r="BY214" s="466">
        <v>24</v>
      </c>
      <c r="BZ214" s="465">
        <v>23</v>
      </c>
      <c r="CA214" s="457">
        <v>23</v>
      </c>
      <c r="CB214" s="464">
        <v>44</v>
      </c>
      <c r="CC214" s="466">
        <v>23</v>
      </c>
      <c r="CD214" s="465">
        <v>54</v>
      </c>
      <c r="CE214" s="457">
        <v>21</v>
      </c>
      <c r="CF214" s="464">
        <v>45</v>
      </c>
      <c r="CG214" s="466">
        <v>23</v>
      </c>
      <c r="CH214" s="465">
        <v>11</v>
      </c>
      <c r="CI214" s="457">
        <v>21</v>
      </c>
      <c r="CJ214" s="464">
        <v>40</v>
      </c>
      <c r="CK214" s="466">
        <v>20</v>
      </c>
      <c r="CL214" s="459"/>
      <c r="CM214" s="450"/>
      <c r="CN214" s="468">
        <f t="shared" si="125"/>
        <v>631</v>
      </c>
      <c r="CO214" s="468">
        <f t="shared" si="126"/>
        <v>10</v>
      </c>
      <c r="CP214" s="469">
        <f t="shared" si="127"/>
        <v>653</v>
      </c>
      <c r="CQ214" s="469">
        <f t="shared" si="128"/>
        <v>10</v>
      </c>
      <c r="CR214" s="463">
        <v>13</v>
      </c>
      <c r="CS214" s="457">
        <v>23</v>
      </c>
      <c r="CT214" s="464">
        <v>13</v>
      </c>
      <c r="CU214" s="464">
        <v>19</v>
      </c>
      <c r="CV214" s="465">
        <v>14</v>
      </c>
      <c r="CW214" s="457">
        <v>9</v>
      </c>
      <c r="CX214" s="464">
        <v>40</v>
      </c>
      <c r="CY214" s="466">
        <v>17</v>
      </c>
      <c r="CZ214" s="465">
        <v>45</v>
      </c>
      <c r="DA214" s="457">
        <v>4</v>
      </c>
      <c r="DB214" s="464">
        <v>45</v>
      </c>
      <c r="DC214" s="466">
        <v>9</v>
      </c>
      <c r="DD214" s="465">
        <v>40</v>
      </c>
      <c r="DE214" s="457">
        <v>4</v>
      </c>
      <c r="DF214" s="464">
        <v>52</v>
      </c>
      <c r="DG214" s="466">
        <v>6</v>
      </c>
      <c r="DH214" s="465">
        <v>42</v>
      </c>
      <c r="DI214" s="457">
        <v>2</v>
      </c>
      <c r="DJ214" s="464">
        <v>14</v>
      </c>
      <c r="DK214" s="466">
        <v>6</v>
      </c>
      <c r="DL214" s="465">
        <v>52</v>
      </c>
      <c r="DM214" s="457">
        <v>1</v>
      </c>
      <c r="DN214" s="464">
        <v>42</v>
      </c>
      <c r="DO214" s="466">
        <v>3</v>
      </c>
      <c r="DP214" s="465">
        <v>26</v>
      </c>
      <c r="DQ214" s="457">
        <v>1</v>
      </c>
      <c r="DR214" s="464">
        <v>26</v>
      </c>
      <c r="DS214" s="466">
        <v>3</v>
      </c>
      <c r="DT214" s="465"/>
      <c r="DU214" s="457"/>
      <c r="DV214" s="464"/>
      <c r="DW214" s="466"/>
      <c r="DX214" s="465"/>
      <c r="DY214" s="457"/>
      <c r="DZ214" s="464"/>
      <c r="EA214" s="466"/>
      <c r="EB214" s="465"/>
      <c r="EC214" s="457"/>
      <c r="ED214" s="464"/>
      <c r="EE214" s="466"/>
      <c r="EF214" s="459"/>
      <c r="EG214" s="450"/>
      <c r="EH214" s="460">
        <f t="shared" si="106"/>
        <v>44</v>
      </c>
      <c r="EI214" s="460">
        <f t="shared" si="107"/>
        <v>7</v>
      </c>
      <c r="EJ214" s="458">
        <f t="shared" si="108"/>
        <v>0.52272727272727271</v>
      </c>
      <c r="EK214" s="470">
        <f t="shared" si="109"/>
        <v>63</v>
      </c>
      <c r="EL214" s="470">
        <f t="shared" si="110"/>
        <v>7</v>
      </c>
      <c r="EM214" s="449">
        <f t="shared" si="111"/>
        <v>0.30158730158730157</v>
      </c>
      <c r="EN214" s="460">
        <f t="shared" si="112"/>
        <v>675</v>
      </c>
      <c r="EO214" s="469">
        <f t="shared" si="113"/>
        <v>716</v>
      </c>
      <c r="EP214" s="471"/>
      <c r="EQ214" s="450"/>
      <c r="ER214" s="471"/>
      <c r="ES214" s="450"/>
      <c r="ET214" s="471"/>
      <c r="EU214" s="450"/>
      <c r="EV214" s="471"/>
      <c r="EW214" s="450"/>
      <c r="EX214" s="471"/>
      <c r="EY214" s="450"/>
      <c r="EZ214" s="471"/>
      <c r="FA214" s="450"/>
      <c r="FB214" s="471"/>
      <c r="FC214" s="450"/>
      <c r="FD214" s="471"/>
      <c r="FE214" s="450"/>
      <c r="FF214" s="471"/>
      <c r="FG214" s="450"/>
      <c r="FH214" s="472"/>
      <c r="FI214" s="450"/>
      <c r="FJ214" s="468">
        <f t="shared" si="129"/>
        <v>0</v>
      </c>
      <c r="FK214" s="469">
        <f t="shared" si="130"/>
        <v>0</v>
      </c>
      <c r="FL214" s="472"/>
      <c r="FM214" s="450"/>
      <c r="FN214" s="460">
        <f t="shared" ref="FN214:FN266" si="131">F214+H214+J214+N214+AV214+EN214+FJ214+FL214</f>
        <v>2110</v>
      </c>
      <c r="FO214" s="469">
        <f t="shared" ref="FO214:FO266" si="132">G214+I214+K214+S214+AW214+EO214+FK214+FM214</f>
        <v>2121</v>
      </c>
    </row>
    <row r="215" spans="1:171" x14ac:dyDescent="0.2">
      <c r="A215" s="513" t="s">
        <v>604</v>
      </c>
      <c r="B215" s="514" t="s">
        <v>609</v>
      </c>
      <c r="C215" s="515"/>
      <c r="D215" s="516">
        <v>160612</v>
      </c>
      <c r="E215" s="517">
        <v>3</v>
      </c>
      <c r="F215" s="532"/>
      <c r="G215" s="450"/>
      <c r="H215" s="457"/>
      <c r="I215" s="450"/>
      <c r="J215" s="457">
        <v>173</v>
      </c>
      <c r="K215" s="450">
        <v>62</v>
      </c>
      <c r="L215" s="458">
        <f t="shared" si="122"/>
        <v>8.9544513457556929E-2</v>
      </c>
      <c r="M215" s="449">
        <f t="shared" si="123"/>
        <v>3.1536113936927769E-2</v>
      </c>
      <c r="N215" s="459">
        <v>1932</v>
      </c>
      <c r="O215" s="459">
        <v>216</v>
      </c>
      <c r="P215" s="459"/>
      <c r="Q215" s="459"/>
      <c r="R215" s="460">
        <f t="shared" si="124"/>
        <v>216</v>
      </c>
      <c r="S215" s="391">
        <v>1966</v>
      </c>
      <c r="T215" s="461">
        <v>238</v>
      </c>
      <c r="U215" s="461"/>
      <c r="V215" s="461"/>
      <c r="W215" s="462">
        <f t="shared" si="95"/>
        <v>238</v>
      </c>
      <c r="X215" s="463"/>
      <c r="Y215" s="457"/>
      <c r="Z215" s="464"/>
      <c r="AA215" s="464"/>
      <c r="AB215" s="465"/>
      <c r="AC215" s="457"/>
      <c r="AD215" s="464"/>
      <c r="AE215" s="466"/>
      <c r="AF215" s="465"/>
      <c r="AG215" s="457"/>
      <c r="AH215" s="464"/>
      <c r="AI215" s="466"/>
      <c r="AJ215" s="465"/>
      <c r="AK215" s="457"/>
      <c r="AL215" s="464"/>
      <c r="AM215" s="466"/>
      <c r="AN215" s="465"/>
      <c r="AO215" s="457"/>
      <c r="AP215" s="464"/>
      <c r="AQ215" s="464"/>
      <c r="AR215" s="460">
        <f t="shared" si="118"/>
        <v>0</v>
      </c>
      <c r="AS215" s="467">
        <f t="shared" si="119"/>
        <v>0.76003147128245474</v>
      </c>
      <c r="AT215" s="447">
        <f t="shared" si="120"/>
        <v>0</v>
      </c>
      <c r="AU215" s="448">
        <f t="shared" si="121"/>
        <v>0.81576763485477177</v>
      </c>
      <c r="AV215" s="457"/>
      <c r="AW215" s="450"/>
      <c r="AX215" s="463">
        <v>13</v>
      </c>
      <c r="AY215" s="457">
        <v>214</v>
      </c>
      <c r="AZ215" s="464">
        <v>13</v>
      </c>
      <c r="BA215" s="464">
        <v>182</v>
      </c>
      <c r="BB215" s="465">
        <v>52</v>
      </c>
      <c r="BC215" s="457">
        <v>85</v>
      </c>
      <c r="BD215" s="464">
        <v>52</v>
      </c>
      <c r="BE215" s="466">
        <v>75</v>
      </c>
      <c r="BF215" s="465">
        <v>51</v>
      </c>
      <c r="BG215" s="457">
        <v>47</v>
      </c>
      <c r="BH215" s="464">
        <v>51</v>
      </c>
      <c r="BI215" s="466">
        <v>45</v>
      </c>
      <c r="BJ215" s="465">
        <v>23</v>
      </c>
      <c r="BK215" s="457">
        <v>15</v>
      </c>
      <c r="BL215" s="464">
        <v>23</v>
      </c>
      <c r="BM215" s="466">
        <v>14</v>
      </c>
      <c r="BN215" s="465">
        <v>54</v>
      </c>
      <c r="BO215" s="457">
        <v>13</v>
      </c>
      <c r="BP215" s="464">
        <v>54</v>
      </c>
      <c r="BQ215" s="466">
        <v>12</v>
      </c>
      <c r="BR215" s="465">
        <v>9</v>
      </c>
      <c r="BS215" s="457">
        <v>13</v>
      </c>
      <c r="BT215" s="723">
        <v>9</v>
      </c>
      <c r="BU215" s="466">
        <v>11</v>
      </c>
      <c r="BV215" s="465">
        <v>26</v>
      </c>
      <c r="BW215" s="457">
        <v>12</v>
      </c>
      <c r="BX215" s="464">
        <v>30</v>
      </c>
      <c r="BY215" s="466">
        <v>10</v>
      </c>
      <c r="BZ215" s="465">
        <v>45</v>
      </c>
      <c r="CA215" s="457">
        <v>11</v>
      </c>
      <c r="CB215" s="464">
        <v>45</v>
      </c>
      <c r="CC215" s="466">
        <v>6</v>
      </c>
      <c r="CD215" s="465">
        <v>30</v>
      </c>
      <c r="CE215" s="457">
        <v>9</v>
      </c>
      <c r="CF215" s="464">
        <v>26</v>
      </c>
      <c r="CG215" s="466">
        <v>6</v>
      </c>
      <c r="CH215" s="465">
        <v>50</v>
      </c>
      <c r="CI215" s="457">
        <v>8</v>
      </c>
      <c r="CJ215" s="464">
        <v>50</v>
      </c>
      <c r="CK215" s="466">
        <v>5</v>
      </c>
      <c r="CL215" s="459"/>
      <c r="CM215" s="450"/>
      <c r="CN215" s="468">
        <f t="shared" si="125"/>
        <v>427</v>
      </c>
      <c r="CO215" s="468">
        <f t="shared" si="126"/>
        <v>10</v>
      </c>
      <c r="CP215" s="469">
        <f t="shared" si="127"/>
        <v>366</v>
      </c>
      <c r="CQ215" s="469">
        <f t="shared" si="128"/>
        <v>10</v>
      </c>
      <c r="CR215" s="463">
        <v>13</v>
      </c>
      <c r="CS215" s="457">
        <v>10</v>
      </c>
      <c r="CT215" s="464">
        <v>13</v>
      </c>
      <c r="CU215" s="464">
        <v>16</v>
      </c>
      <c r="CV215" s="465"/>
      <c r="CW215" s="457"/>
      <c r="CX215" s="464"/>
      <c r="CY215" s="466"/>
      <c r="CZ215" s="465"/>
      <c r="DA215" s="457"/>
      <c r="DB215" s="464"/>
      <c r="DC215" s="466"/>
      <c r="DD215" s="465"/>
      <c r="DE215" s="457"/>
      <c r="DF215" s="464"/>
      <c r="DG215" s="466"/>
      <c r="DH215" s="465"/>
      <c r="DI215" s="457"/>
      <c r="DJ215" s="464"/>
      <c r="DK215" s="466"/>
      <c r="DL215" s="465"/>
      <c r="DM215" s="457"/>
      <c r="DN215" s="464"/>
      <c r="DO215" s="466"/>
      <c r="DP215" s="465"/>
      <c r="DQ215" s="457"/>
      <c r="DR215" s="464"/>
      <c r="DS215" s="466"/>
      <c r="DT215" s="465"/>
      <c r="DU215" s="457"/>
      <c r="DV215" s="464"/>
      <c r="DW215" s="466"/>
      <c r="DX215" s="465"/>
      <c r="DY215" s="457"/>
      <c r="DZ215" s="464"/>
      <c r="EA215" s="466"/>
      <c r="EB215" s="465"/>
      <c r="EC215" s="457"/>
      <c r="ED215" s="464"/>
      <c r="EE215" s="466"/>
      <c r="EF215" s="459"/>
      <c r="EG215" s="450"/>
      <c r="EH215" s="460">
        <f t="shared" si="106"/>
        <v>10</v>
      </c>
      <c r="EI215" s="460">
        <f t="shared" si="107"/>
        <v>1</v>
      </c>
      <c r="EJ215" s="458">
        <f t="shared" si="108"/>
        <v>1</v>
      </c>
      <c r="EK215" s="470">
        <f t="shared" si="109"/>
        <v>16</v>
      </c>
      <c r="EL215" s="470">
        <f t="shared" si="110"/>
        <v>1</v>
      </c>
      <c r="EM215" s="449">
        <f t="shared" si="111"/>
        <v>1</v>
      </c>
      <c r="EN215" s="460">
        <f t="shared" si="112"/>
        <v>437</v>
      </c>
      <c r="EO215" s="469">
        <f t="shared" si="113"/>
        <v>382</v>
      </c>
      <c r="EP215" s="471"/>
      <c r="EQ215" s="450"/>
      <c r="ER215" s="471"/>
      <c r="ES215" s="450"/>
      <c r="ET215" s="471"/>
      <c r="EU215" s="450"/>
      <c r="EV215" s="471"/>
      <c r="EW215" s="450"/>
      <c r="EX215" s="471"/>
      <c r="EY215" s="450"/>
      <c r="EZ215" s="471"/>
      <c r="FA215" s="450"/>
      <c r="FB215" s="471"/>
      <c r="FC215" s="450"/>
      <c r="FD215" s="471"/>
      <c r="FE215" s="450"/>
      <c r="FF215" s="471"/>
      <c r="FG215" s="450"/>
      <c r="FH215" s="472"/>
      <c r="FI215" s="450"/>
      <c r="FJ215" s="468">
        <f t="shared" si="129"/>
        <v>0</v>
      </c>
      <c r="FK215" s="469">
        <f t="shared" si="130"/>
        <v>0</v>
      </c>
      <c r="FL215" s="472"/>
      <c r="FM215" s="450"/>
      <c r="FN215" s="460">
        <f t="shared" si="131"/>
        <v>2542</v>
      </c>
      <c r="FO215" s="469">
        <f t="shared" si="132"/>
        <v>2410</v>
      </c>
    </row>
    <row r="216" spans="1:171" x14ac:dyDescent="0.2">
      <c r="A216" s="513" t="s">
        <v>604</v>
      </c>
      <c r="B216" s="514" t="s">
        <v>610</v>
      </c>
      <c r="C216" s="515" t="s">
        <v>639</v>
      </c>
      <c r="D216" s="516">
        <v>160621</v>
      </c>
      <c r="E216" s="517">
        <v>3</v>
      </c>
      <c r="F216" s="532"/>
      <c r="G216" s="450"/>
      <c r="H216" s="457"/>
      <c r="I216" s="450"/>
      <c r="J216" s="457"/>
      <c r="K216" s="450"/>
      <c r="L216" s="458">
        <f t="shared" si="122"/>
        <v>0</v>
      </c>
      <c r="M216" s="449">
        <f t="shared" si="123"/>
        <v>0</v>
      </c>
      <c r="N216" s="459">
        <v>848</v>
      </c>
      <c r="O216" s="459">
        <v>40</v>
      </c>
      <c r="P216" s="459"/>
      <c r="Q216" s="459"/>
      <c r="R216" s="460">
        <f t="shared" si="124"/>
        <v>40</v>
      </c>
      <c r="S216" s="391">
        <v>798</v>
      </c>
      <c r="T216" s="461">
        <v>34</v>
      </c>
      <c r="U216" s="461"/>
      <c r="V216" s="461"/>
      <c r="W216" s="462">
        <f t="shared" si="95"/>
        <v>34</v>
      </c>
      <c r="X216" s="463"/>
      <c r="Y216" s="457"/>
      <c r="Z216" s="464"/>
      <c r="AA216" s="464"/>
      <c r="AB216" s="465"/>
      <c r="AC216" s="457"/>
      <c r="AD216" s="464"/>
      <c r="AE216" s="466"/>
      <c r="AF216" s="465"/>
      <c r="AG216" s="457"/>
      <c r="AH216" s="464"/>
      <c r="AI216" s="466"/>
      <c r="AJ216" s="465"/>
      <c r="AK216" s="457"/>
      <c r="AL216" s="464"/>
      <c r="AM216" s="466"/>
      <c r="AN216" s="465"/>
      <c r="AO216" s="457"/>
      <c r="AP216" s="464"/>
      <c r="AQ216" s="464"/>
      <c r="AR216" s="460">
        <f t="shared" si="118"/>
        <v>0</v>
      </c>
      <c r="AS216" s="467">
        <f t="shared" si="119"/>
        <v>0.64242424242424245</v>
      </c>
      <c r="AT216" s="447">
        <f t="shared" si="120"/>
        <v>0</v>
      </c>
      <c r="AU216" s="448">
        <f t="shared" si="121"/>
        <v>0.61290322580645162</v>
      </c>
      <c r="AV216" s="457"/>
      <c r="AW216" s="450"/>
      <c r="AX216" s="463">
        <v>51</v>
      </c>
      <c r="AY216" s="457">
        <v>84</v>
      </c>
      <c r="AZ216" s="464">
        <v>51</v>
      </c>
      <c r="BA216" s="464">
        <v>108</v>
      </c>
      <c r="BB216" s="465">
        <v>13</v>
      </c>
      <c r="BC216" s="457">
        <v>41</v>
      </c>
      <c r="BD216" s="464">
        <v>13</v>
      </c>
      <c r="BE216" s="466">
        <v>49</v>
      </c>
      <c r="BF216" s="465">
        <v>43</v>
      </c>
      <c r="BG216" s="457">
        <v>40</v>
      </c>
      <c r="BH216" s="464">
        <v>43</v>
      </c>
      <c r="BI216" s="466">
        <v>26</v>
      </c>
      <c r="BJ216" s="465">
        <v>52</v>
      </c>
      <c r="BK216" s="457">
        <v>31</v>
      </c>
      <c r="BL216" s="464">
        <v>52</v>
      </c>
      <c r="BM216" s="466">
        <v>26</v>
      </c>
      <c r="BN216" s="465">
        <v>44</v>
      </c>
      <c r="BO216" s="457">
        <v>30</v>
      </c>
      <c r="BP216" s="464">
        <v>44</v>
      </c>
      <c r="BQ216" s="466">
        <v>26</v>
      </c>
      <c r="BR216" s="465">
        <v>11</v>
      </c>
      <c r="BS216" s="457">
        <v>24</v>
      </c>
      <c r="BT216" s="723">
        <v>11</v>
      </c>
      <c r="BU216" s="466">
        <v>19</v>
      </c>
      <c r="BV216" s="465">
        <v>45</v>
      </c>
      <c r="BW216" s="457">
        <v>17</v>
      </c>
      <c r="BX216" s="464">
        <v>14</v>
      </c>
      <c r="BY216" s="466">
        <v>17</v>
      </c>
      <c r="BZ216" s="465">
        <v>14</v>
      </c>
      <c r="CA216" s="457">
        <v>12</v>
      </c>
      <c r="CB216" s="464">
        <v>9</v>
      </c>
      <c r="CC216" s="466">
        <v>9</v>
      </c>
      <c r="CD216" s="465">
        <v>3</v>
      </c>
      <c r="CE216" s="457">
        <v>12</v>
      </c>
      <c r="CF216" s="464">
        <v>45</v>
      </c>
      <c r="CG216" s="466">
        <v>7</v>
      </c>
      <c r="CH216" s="465">
        <v>9</v>
      </c>
      <c r="CI216" s="457">
        <v>7</v>
      </c>
      <c r="CJ216" s="464">
        <v>26</v>
      </c>
      <c r="CK216" s="466">
        <v>4</v>
      </c>
      <c r="CL216" s="459"/>
      <c r="CM216" s="450"/>
      <c r="CN216" s="468">
        <f t="shared" si="125"/>
        <v>298</v>
      </c>
      <c r="CO216" s="468">
        <f t="shared" si="126"/>
        <v>10</v>
      </c>
      <c r="CP216" s="469">
        <f t="shared" si="127"/>
        <v>291</v>
      </c>
      <c r="CQ216" s="469">
        <f t="shared" si="128"/>
        <v>10</v>
      </c>
      <c r="CR216" s="463">
        <v>13</v>
      </c>
      <c r="CS216" s="457">
        <v>9</v>
      </c>
      <c r="CT216" s="464">
        <v>13</v>
      </c>
      <c r="CU216" s="464">
        <v>15</v>
      </c>
      <c r="CV216" s="465">
        <v>44</v>
      </c>
      <c r="CW216" s="457">
        <v>8</v>
      </c>
      <c r="CX216" s="464">
        <v>44</v>
      </c>
      <c r="CY216" s="466">
        <v>12</v>
      </c>
      <c r="CZ216" s="465">
        <v>51</v>
      </c>
      <c r="DA216" s="457">
        <v>3</v>
      </c>
      <c r="DB216" s="464">
        <v>26</v>
      </c>
      <c r="DC216" s="466">
        <v>6</v>
      </c>
      <c r="DD216" s="465">
        <v>26</v>
      </c>
      <c r="DE216" s="457">
        <v>2</v>
      </c>
      <c r="DF216" s="464">
        <v>51</v>
      </c>
      <c r="DG216" s="466">
        <v>5</v>
      </c>
      <c r="DH216" s="465">
        <v>3</v>
      </c>
      <c r="DI216" s="457">
        <v>1</v>
      </c>
      <c r="DJ216" s="464">
        <v>3</v>
      </c>
      <c r="DK216" s="466">
        <v>5</v>
      </c>
      <c r="DL216" s="465"/>
      <c r="DM216" s="457"/>
      <c r="DN216" s="464"/>
      <c r="DO216" s="466"/>
      <c r="DP216" s="465"/>
      <c r="DQ216" s="457"/>
      <c r="DR216" s="464"/>
      <c r="DS216" s="466"/>
      <c r="DT216" s="465"/>
      <c r="DU216" s="457"/>
      <c r="DV216" s="464"/>
      <c r="DW216" s="466"/>
      <c r="DX216" s="465"/>
      <c r="DY216" s="457"/>
      <c r="DZ216" s="464"/>
      <c r="EA216" s="466"/>
      <c r="EB216" s="465"/>
      <c r="EC216" s="457"/>
      <c r="ED216" s="464"/>
      <c r="EE216" s="466"/>
      <c r="EF216" s="459"/>
      <c r="EG216" s="450"/>
      <c r="EH216" s="460">
        <f t="shared" si="106"/>
        <v>23</v>
      </c>
      <c r="EI216" s="460">
        <f t="shared" si="107"/>
        <v>5</v>
      </c>
      <c r="EJ216" s="458">
        <f t="shared" si="108"/>
        <v>0.39130434782608697</v>
      </c>
      <c r="EK216" s="470">
        <f t="shared" si="109"/>
        <v>43</v>
      </c>
      <c r="EL216" s="470">
        <f t="shared" si="110"/>
        <v>5</v>
      </c>
      <c r="EM216" s="449">
        <f t="shared" si="111"/>
        <v>0.34883720930232559</v>
      </c>
      <c r="EN216" s="460">
        <f t="shared" si="112"/>
        <v>321</v>
      </c>
      <c r="EO216" s="469">
        <f t="shared" si="113"/>
        <v>334</v>
      </c>
      <c r="EP216" s="471">
        <v>151</v>
      </c>
      <c r="EQ216" s="450">
        <v>170</v>
      </c>
      <c r="ER216" s="471"/>
      <c r="ES216" s="450"/>
      <c r="ET216" s="471"/>
      <c r="EU216" s="450"/>
      <c r="EV216" s="471"/>
      <c r="EW216" s="450"/>
      <c r="EX216" s="471"/>
      <c r="EY216" s="450"/>
      <c r="EZ216" s="471"/>
      <c r="FA216" s="450"/>
      <c r="FB216" s="471"/>
      <c r="FC216" s="450"/>
      <c r="FD216" s="471"/>
      <c r="FE216" s="450"/>
      <c r="FF216" s="471"/>
      <c r="FG216" s="450"/>
      <c r="FH216" s="472"/>
      <c r="FI216" s="450"/>
      <c r="FJ216" s="468">
        <f t="shared" si="129"/>
        <v>151</v>
      </c>
      <c r="FK216" s="469">
        <f t="shared" si="130"/>
        <v>170</v>
      </c>
      <c r="FL216" s="472"/>
      <c r="FM216" s="450"/>
      <c r="FN216" s="460">
        <f t="shared" si="131"/>
        <v>1320</v>
      </c>
      <c r="FO216" s="469">
        <f t="shared" si="132"/>
        <v>1302</v>
      </c>
    </row>
    <row r="217" spans="1:171" x14ac:dyDescent="0.2">
      <c r="A217" s="513" t="s">
        <v>604</v>
      </c>
      <c r="B217" s="514" t="s">
        <v>611</v>
      </c>
      <c r="C217" s="515"/>
      <c r="D217" s="516">
        <v>159993</v>
      </c>
      <c r="E217" s="517">
        <v>3</v>
      </c>
      <c r="F217" s="532"/>
      <c r="G217" s="450"/>
      <c r="H217" s="457"/>
      <c r="I217" s="450"/>
      <c r="J217" s="457">
        <v>69</v>
      </c>
      <c r="K217" s="450">
        <v>55</v>
      </c>
      <c r="L217" s="458">
        <f t="shared" si="122"/>
        <v>6.2727272727272729E-2</v>
      </c>
      <c r="M217" s="449">
        <f t="shared" si="123"/>
        <v>4.9283154121863799E-2</v>
      </c>
      <c r="N217" s="459">
        <v>1100</v>
      </c>
      <c r="O217" s="459">
        <v>67</v>
      </c>
      <c r="P217" s="459"/>
      <c r="Q217" s="459"/>
      <c r="R217" s="460">
        <f t="shared" si="124"/>
        <v>67</v>
      </c>
      <c r="S217" s="391">
        <v>1116</v>
      </c>
      <c r="T217" s="461">
        <v>69</v>
      </c>
      <c r="U217" s="461"/>
      <c r="V217" s="461"/>
      <c r="W217" s="462">
        <f t="shared" si="95"/>
        <v>69</v>
      </c>
      <c r="X217" s="463"/>
      <c r="Y217" s="457"/>
      <c r="Z217" s="464"/>
      <c r="AA217" s="464"/>
      <c r="AB217" s="465"/>
      <c r="AC217" s="457"/>
      <c r="AD217" s="464"/>
      <c r="AE217" s="466"/>
      <c r="AF217" s="465"/>
      <c r="AG217" s="457"/>
      <c r="AH217" s="464"/>
      <c r="AI217" s="466"/>
      <c r="AJ217" s="465"/>
      <c r="AK217" s="457"/>
      <c r="AL217" s="464"/>
      <c r="AM217" s="466"/>
      <c r="AN217" s="465"/>
      <c r="AO217" s="457"/>
      <c r="AP217" s="464"/>
      <c r="AQ217" s="464"/>
      <c r="AR217" s="460">
        <f t="shared" si="118"/>
        <v>0</v>
      </c>
      <c r="AS217" s="467">
        <f t="shared" si="119"/>
        <v>0.73235685752330226</v>
      </c>
      <c r="AT217" s="447">
        <f t="shared" si="120"/>
        <v>0</v>
      </c>
      <c r="AU217" s="448">
        <f t="shared" si="121"/>
        <v>0.7103755569700827</v>
      </c>
      <c r="AV217" s="457"/>
      <c r="AW217" s="450"/>
      <c r="AX217" s="463">
        <v>13</v>
      </c>
      <c r="AY217" s="457">
        <v>95</v>
      </c>
      <c r="AZ217" s="464">
        <v>13</v>
      </c>
      <c r="BA217" s="464">
        <v>127</v>
      </c>
      <c r="BB217" s="465">
        <v>51</v>
      </c>
      <c r="BC217" s="457">
        <v>34</v>
      </c>
      <c r="BD217" s="464">
        <v>51</v>
      </c>
      <c r="BE217" s="466">
        <v>44</v>
      </c>
      <c r="BF217" s="465">
        <v>52</v>
      </c>
      <c r="BG217" s="457">
        <v>27</v>
      </c>
      <c r="BH217" s="464">
        <v>52</v>
      </c>
      <c r="BI217" s="466">
        <v>41</v>
      </c>
      <c r="BJ217" s="465">
        <v>42</v>
      </c>
      <c r="BK217" s="457">
        <v>16</v>
      </c>
      <c r="BL217" s="464">
        <v>42</v>
      </c>
      <c r="BM217" s="466">
        <v>15</v>
      </c>
      <c r="BN217" s="465">
        <v>31</v>
      </c>
      <c r="BO217" s="457">
        <v>11</v>
      </c>
      <c r="BP217" s="464">
        <v>26</v>
      </c>
      <c r="BQ217" s="466">
        <v>15</v>
      </c>
      <c r="BR217" s="465">
        <v>43</v>
      </c>
      <c r="BS217" s="457">
        <v>8</v>
      </c>
      <c r="BT217" s="723">
        <v>30</v>
      </c>
      <c r="BU217" s="466">
        <v>14</v>
      </c>
      <c r="BV217" s="465">
        <v>30</v>
      </c>
      <c r="BW217" s="457">
        <v>7</v>
      </c>
      <c r="BX217" s="464">
        <v>9</v>
      </c>
      <c r="BY217" s="466">
        <v>13</v>
      </c>
      <c r="BZ217" s="465">
        <v>26</v>
      </c>
      <c r="CA217" s="457">
        <v>7</v>
      </c>
      <c r="CB217" s="464">
        <v>31</v>
      </c>
      <c r="CC217" s="466">
        <v>11</v>
      </c>
      <c r="CD217" s="465">
        <v>54</v>
      </c>
      <c r="CE217" s="457">
        <v>5</v>
      </c>
      <c r="CF217" s="464">
        <v>54</v>
      </c>
      <c r="CG217" s="466">
        <v>9</v>
      </c>
      <c r="CH217" s="465">
        <v>50</v>
      </c>
      <c r="CI217" s="457">
        <v>4</v>
      </c>
      <c r="CJ217" s="464">
        <v>43</v>
      </c>
      <c r="CK217" s="466">
        <v>5</v>
      </c>
      <c r="CL217" s="459"/>
      <c r="CM217" s="450"/>
      <c r="CN217" s="468">
        <f t="shared" si="125"/>
        <v>214</v>
      </c>
      <c r="CO217" s="468">
        <f t="shared" si="126"/>
        <v>10</v>
      </c>
      <c r="CP217" s="469">
        <f t="shared" si="127"/>
        <v>294</v>
      </c>
      <c r="CQ217" s="469">
        <f t="shared" si="128"/>
        <v>10</v>
      </c>
      <c r="CR217" s="463">
        <v>51</v>
      </c>
      <c r="CS217" s="457">
        <v>13</v>
      </c>
      <c r="CT217" s="464">
        <v>51</v>
      </c>
      <c r="CU217" s="464">
        <v>8</v>
      </c>
      <c r="CV217" s="465">
        <v>13</v>
      </c>
      <c r="CW217" s="457">
        <v>5</v>
      </c>
      <c r="CX217" s="464">
        <v>13</v>
      </c>
      <c r="CY217" s="466">
        <v>2</v>
      </c>
      <c r="CZ217" s="465"/>
      <c r="DA217" s="457"/>
      <c r="DB217" s="464"/>
      <c r="DC217" s="466"/>
      <c r="DD217" s="465"/>
      <c r="DE217" s="457"/>
      <c r="DF217" s="464"/>
      <c r="DG217" s="466"/>
      <c r="DH217" s="465"/>
      <c r="DI217" s="457"/>
      <c r="DJ217" s="464"/>
      <c r="DK217" s="466"/>
      <c r="DL217" s="465"/>
      <c r="DM217" s="457"/>
      <c r="DN217" s="464"/>
      <c r="DO217" s="466"/>
      <c r="DP217" s="465"/>
      <c r="DQ217" s="457"/>
      <c r="DR217" s="464"/>
      <c r="DS217" s="466"/>
      <c r="DT217" s="465"/>
      <c r="DU217" s="457"/>
      <c r="DV217" s="464"/>
      <c r="DW217" s="466"/>
      <c r="DX217" s="465"/>
      <c r="DY217" s="457"/>
      <c r="DZ217" s="464"/>
      <c r="EA217" s="466"/>
      <c r="EB217" s="465"/>
      <c r="EC217" s="457"/>
      <c r="ED217" s="464"/>
      <c r="EE217" s="466"/>
      <c r="EF217" s="459"/>
      <c r="EG217" s="450"/>
      <c r="EH217" s="460">
        <f t="shared" si="106"/>
        <v>18</v>
      </c>
      <c r="EI217" s="460">
        <f t="shared" si="107"/>
        <v>2</v>
      </c>
      <c r="EJ217" s="458">
        <f t="shared" si="108"/>
        <v>0.72222222222222221</v>
      </c>
      <c r="EK217" s="470">
        <f t="shared" si="109"/>
        <v>10</v>
      </c>
      <c r="EL217" s="470">
        <f t="shared" si="110"/>
        <v>2</v>
      </c>
      <c r="EM217" s="449">
        <f t="shared" si="111"/>
        <v>0.8</v>
      </c>
      <c r="EN217" s="460">
        <f t="shared" si="112"/>
        <v>232</v>
      </c>
      <c r="EO217" s="469">
        <f t="shared" si="113"/>
        <v>304</v>
      </c>
      <c r="EP217" s="471"/>
      <c r="EQ217" s="450"/>
      <c r="ER217" s="471"/>
      <c r="ES217" s="450"/>
      <c r="ET217" s="471"/>
      <c r="EU217" s="450"/>
      <c r="EV217" s="471">
        <v>101</v>
      </c>
      <c r="EW217" s="450">
        <v>96</v>
      </c>
      <c r="EX217" s="471"/>
      <c r="EY217" s="450"/>
      <c r="EZ217" s="471"/>
      <c r="FA217" s="450"/>
      <c r="FB217" s="471"/>
      <c r="FC217" s="450"/>
      <c r="FD217" s="471"/>
      <c r="FE217" s="450"/>
      <c r="FF217" s="471"/>
      <c r="FG217" s="450"/>
      <c r="FH217" s="472"/>
      <c r="FI217" s="450"/>
      <c r="FJ217" s="468">
        <f t="shared" si="129"/>
        <v>101</v>
      </c>
      <c r="FK217" s="469">
        <f t="shared" si="130"/>
        <v>96</v>
      </c>
      <c r="FL217" s="472"/>
      <c r="FM217" s="450"/>
      <c r="FN217" s="460">
        <f t="shared" si="131"/>
        <v>1502</v>
      </c>
      <c r="FO217" s="469">
        <f t="shared" si="132"/>
        <v>1571</v>
      </c>
    </row>
    <row r="218" spans="1:171" x14ac:dyDescent="0.2">
      <c r="A218" s="513" t="s">
        <v>604</v>
      </c>
      <c r="B218" s="514" t="s">
        <v>612</v>
      </c>
      <c r="C218" s="515"/>
      <c r="D218" s="516">
        <v>159009</v>
      </c>
      <c r="E218" s="517">
        <v>4</v>
      </c>
      <c r="F218" s="532"/>
      <c r="G218" s="450"/>
      <c r="H218" s="457"/>
      <c r="I218" s="450"/>
      <c r="J218" s="457">
        <v>35</v>
      </c>
      <c r="K218" s="450">
        <v>16</v>
      </c>
      <c r="L218" s="458">
        <f t="shared" si="122"/>
        <v>5.0359712230215826E-2</v>
      </c>
      <c r="M218" s="449">
        <f t="shared" si="123"/>
        <v>2.3323615160349854E-2</v>
      </c>
      <c r="N218" s="459">
        <v>695</v>
      </c>
      <c r="O218" s="459">
        <v>47</v>
      </c>
      <c r="P218" s="459"/>
      <c r="Q218" s="459"/>
      <c r="R218" s="460">
        <f t="shared" si="124"/>
        <v>47</v>
      </c>
      <c r="S218" s="391">
        <v>686</v>
      </c>
      <c r="T218" s="461">
        <v>41</v>
      </c>
      <c r="U218" s="461"/>
      <c r="V218" s="461"/>
      <c r="W218" s="462">
        <f t="shared" si="95"/>
        <v>41</v>
      </c>
      <c r="X218" s="463"/>
      <c r="Y218" s="457"/>
      <c r="Z218" s="464"/>
      <c r="AA218" s="464"/>
      <c r="AB218" s="465"/>
      <c r="AC218" s="457"/>
      <c r="AD218" s="464"/>
      <c r="AE218" s="466"/>
      <c r="AF218" s="465"/>
      <c r="AG218" s="457"/>
      <c r="AH218" s="464"/>
      <c r="AI218" s="466"/>
      <c r="AJ218" s="465"/>
      <c r="AK218" s="457"/>
      <c r="AL218" s="464"/>
      <c r="AM218" s="466"/>
      <c r="AN218" s="465"/>
      <c r="AO218" s="457"/>
      <c r="AP218" s="464"/>
      <c r="AQ218" s="464"/>
      <c r="AR218" s="460">
        <f t="shared" si="118"/>
        <v>0</v>
      </c>
      <c r="AS218" s="467">
        <f t="shared" si="119"/>
        <v>0.76710816777041946</v>
      </c>
      <c r="AT218" s="447">
        <f t="shared" si="120"/>
        <v>0</v>
      </c>
      <c r="AU218" s="448">
        <f t="shared" si="121"/>
        <v>0.75633958103638366</v>
      </c>
      <c r="AV218" s="457"/>
      <c r="AW218" s="450"/>
      <c r="AX218" s="463">
        <v>44</v>
      </c>
      <c r="AY218" s="457">
        <v>40</v>
      </c>
      <c r="AZ218" s="464">
        <v>43</v>
      </c>
      <c r="BA218" s="464">
        <v>56</v>
      </c>
      <c r="BB218" s="465">
        <v>13</v>
      </c>
      <c r="BC218" s="457">
        <v>40</v>
      </c>
      <c r="BD218" s="464">
        <v>44</v>
      </c>
      <c r="BE218" s="466">
        <v>56</v>
      </c>
      <c r="BF218" s="465">
        <v>43</v>
      </c>
      <c r="BG218" s="457">
        <v>37</v>
      </c>
      <c r="BH218" s="464">
        <v>31</v>
      </c>
      <c r="BI218" s="466">
        <v>29</v>
      </c>
      <c r="BJ218" s="465">
        <v>31</v>
      </c>
      <c r="BK218" s="457">
        <v>29</v>
      </c>
      <c r="BL218" s="464">
        <v>13</v>
      </c>
      <c r="BM218" s="466">
        <v>27</v>
      </c>
      <c r="BN218" s="465">
        <v>51</v>
      </c>
      <c r="BO218" s="457">
        <v>26</v>
      </c>
      <c r="BP218" s="464">
        <v>51</v>
      </c>
      <c r="BQ218" s="466">
        <v>21</v>
      </c>
      <c r="BR218" s="465">
        <v>9</v>
      </c>
      <c r="BS218" s="457">
        <v>2</v>
      </c>
      <c r="BT218" s="723">
        <v>9</v>
      </c>
      <c r="BU218" s="466">
        <v>10</v>
      </c>
      <c r="BV218" s="465"/>
      <c r="BW218" s="457"/>
      <c r="BX218" s="464"/>
      <c r="BY218" s="466"/>
      <c r="BZ218" s="465"/>
      <c r="CA218" s="457"/>
      <c r="CB218" s="464"/>
      <c r="CC218" s="466"/>
      <c r="CD218" s="465"/>
      <c r="CE218" s="457"/>
      <c r="CF218" s="464"/>
      <c r="CG218" s="466"/>
      <c r="CH218" s="465"/>
      <c r="CI218" s="457"/>
      <c r="CJ218" s="464"/>
      <c r="CK218" s="466"/>
      <c r="CL218" s="459"/>
      <c r="CM218" s="450"/>
      <c r="CN218" s="468">
        <f t="shared" si="125"/>
        <v>174</v>
      </c>
      <c r="CO218" s="468">
        <f t="shared" si="126"/>
        <v>6</v>
      </c>
      <c r="CP218" s="469">
        <f t="shared" si="127"/>
        <v>199</v>
      </c>
      <c r="CQ218" s="469">
        <f t="shared" si="128"/>
        <v>6</v>
      </c>
      <c r="CR218" s="463">
        <v>13</v>
      </c>
      <c r="CS218" s="457">
        <v>2</v>
      </c>
      <c r="CT218" s="464">
        <v>13</v>
      </c>
      <c r="CU218" s="464">
        <v>6</v>
      </c>
      <c r="CV218" s="465"/>
      <c r="CW218" s="457"/>
      <c r="CX218" s="464"/>
      <c r="CY218" s="466"/>
      <c r="CZ218" s="465"/>
      <c r="DA218" s="457"/>
      <c r="DB218" s="464"/>
      <c r="DC218" s="466"/>
      <c r="DD218" s="465"/>
      <c r="DE218" s="457"/>
      <c r="DF218" s="464"/>
      <c r="DG218" s="466"/>
      <c r="DH218" s="465"/>
      <c r="DI218" s="457"/>
      <c r="DJ218" s="464"/>
      <c r="DK218" s="466"/>
      <c r="DL218" s="465"/>
      <c r="DM218" s="457"/>
      <c r="DN218" s="464"/>
      <c r="DO218" s="466"/>
      <c r="DP218" s="465"/>
      <c r="DQ218" s="457"/>
      <c r="DR218" s="464"/>
      <c r="DS218" s="466"/>
      <c r="DT218" s="465"/>
      <c r="DU218" s="457"/>
      <c r="DV218" s="464"/>
      <c r="DW218" s="466"/>
      <c r="DX218" s="465"/>
      <c r="DY218" s="457"/>
      <c r="DZ218" s="464"/>
      <c r="EA218" s="466"/>
      <c r="EB218" s="465"/>
      <c r="EC218" s="457"/>
      <c r="ED218" s="464"/>
      <c r="EE218" s="466"/>
      <c r="EF218" s="459"/>
      <c r="EG218" s="450"/>
      <c r="EH218" s="460">
        <f t="shared" si="106"/>
        <v>2</v>
      </c>
      <c r="EI218" s="460">
        <f t="shared" si="107"/>
        <v>1</v>
      </c>
      <c r="EJ218" s="458">
        <f t="shared" si="108"/>
        <v>1</v>
      </c>
      <c r="EK218" s="470">
        <f t="shared" si="109"/>
        <v>6</v>
      </c>
      <c r="EL218" s="470">
        <f t="shared" si="110"/>
        <v>1</v>
      </c>
      <c r="EM218" s="449">
        <f t="shared" si="111"/>
        <v>1</v>
      </c>
      <c r="EN218" s="460">
        <f t="shared" si="112"/>
        <v>176</v>
      </c>
      <c r="EO218" s="469">
        <f t="shared" si="113"/>
        <v>205</v>
      </c>
      <c r="EP218" s="471"/>
      <c r="EQ218" s="450"/>
      <c r="ER218" s="471"/>
      <c r="ES218" s="450"/>
      <c r="ET218" s="471"/>
      <c r="EU218" s="450"/>
      <c r="EV218" s="471"/>
      <c r="EW218" s="450"/>
      <c r="EX218" s="471"/>
      <c r="EY218" s="450"/>
      <c r="EZ218" s="471"/>
      <c r="FA218" s="450"/>
      <c r="FB218" s="471"/>
      <c r="FC218" s="450"/>
      <c r="FD218" s="471"/>
      <c r="FE218" s="450"/>
      <c r="FF218" s="471"/>
      <c r="FG218" s="450"/>
      <c r="FH218" s="472"/>
      <c r="FI218" s="450"/>
      <c r="FJ218" s="468">
        <f t="shared" si="129"/>
        <v>0</v>
      </c>
      <c r="FK218" s="469">
        <f t="shared" si="130"/>
        <v>0</v>
      </c>
      <c r="FL218" s="472"/>
      <c r="FM218" s="450"/>
      <c r="FN218" s="460">
        <f t="shared" si="131"/>
        <v>906</v>
      </c>
      <c r="FO218" s="469">
        <f t="shared" si="132"/>
        <v>907</v>
      </c>
    </row>
    <row r="219" spans="1:171" x14ac:dyDescent="0.2">
      <c r="A219" s="513" t="s">
        <v>604</v>
      </c>
      <c r="B219" s="514" t="s">
        <v>613</v>
      </c>
      <c r="C219" s="515"/>
      <c r="D219" s="516">
        <v>159416</v>
      </c>
      <c r="E219" s="517">
        <v>4</v>
      </c>
      <c r="F219" s="532"/>
      <c r="G219" s="450"/>
      <c r="H219" s="457"/>
      <c r="I219" s="450"/>
      <c r="J219" s="457"/>
      <c r="K219" s="450"/>
      <c r="L219" s="458">
        <f t="shared" si="122"/>
        <v>0</v>
      </c>
      <c r="M219" s="449">
        <f t="shared" si="123"/>
        <v>0</v>
      </c>
      <c r="N219" s="459">
        <v>565</v>
      </c>
      <c r="O219" s="459">
        <v>53</v>
      </c>
      <c r="P219" s="459"/>
      <c r="Q219" s="459"/>
      <c r="R219" s="460">
        <f t="shared" si="124"/>
        <v>53</v>
      </c>
      <c r="S219" s="391">
        <v>517</v>
      </c>
      <c r="T219" s="461">
        <v>39</v>
      </c>
      <c r="U219" s="461"/>
      <c r="V219" s="461"/>
      <c r="W219" s="462">
        <f t="shared" si="95"/>
        <v>39</v>
      </c>
      <c r="X219" s="463"/>
      <c r="Y219" s="457"/>
      <c r="Z219" s="464"/>
      <c r="AA219" s="464"/>
      <c r="AB219" s="465"/>
      <c r="AC219" s="457"/>
      <c r="AD219" s="464"/>
      <c r="AE219" s="466"/>
      <c r="AF219" s="465"/>
      <c r="AG219" s="457"/>
      <c r="AH219" s="464"/>
      <c r="AI219" s="466"/>
      <c r="AJ219" s="465"/>
      <c r="AK219" s="457"/>
      <c r="AL219" s="464"/>
      <c r="AM219" s="466"/>
      <c r="AN219" s="465"/>
      <c r="AO219" s="457"/>
      <c r="AP219" s="464"/>
      <c r="AQ219" s="464"/>
      <c r="AR219" s="460">
        <f t="shared" si="118"/>
        <v>0</v>
      </c>
      <c r="AS219" s="467">
        <f t="shared" si="119"/>
        <v>0.83703703703703702</v>
      </c>
      <c r="AT219" s="447">
        <f t="shared" si="120"/>
        <v>0</v>
      </c>
      <c r="AU219" s="448">
        <f t="shared" si="121"/>
        <v>0.82587859424920129</v>
      </c>
      <c r="AV219" s="457"/>
      <c r="AW219" s="450"/>
      <c r="AX219" s="463">
        <v>52</v>
      </c>
      <c r="AY219" s="457">
        <v>34</v>
      </c>
      <c r="AZ219" s="464">
        <v>52</v>
      </c>
      <c r="BA219" s="464">
        <v>37</v>
      </c>
      <c r="BB219" s="465">
        <v>51</v>
      </c>
      <c r="BC219" s="457">
        <v>16</v>
      </c>
      <c r="BD219" s="464">
        <v>42</v>
      </c>
      <c r="BE219" s="466">
        <v>20</v>
      </c>
      <c r="BF219" s="465">
        <v>42</v>
      </c>
      <c r="BG219" s="457">
        <v>14</v>
      </c>
      <c r="BH219" s="464">
        <v>51</v>
      </c>
      <c r="BI219" s="466">
        <v>15</v>
      </c>
      <c r="BJ219" s="465">
        <v>13</v>
      </c>
      <c r="BK219" s="457">
        <v>14</v>
      </c>
      <c r="BL219" s="464">
        <v>13</v>
      </c>
      <c r="BM219" s="466">
        <v>12</v>
      </c>
      <c r="BN219" s="465">
        <v>44</v>
      </c>
      <c r="BO219" s="457">
        <v>10</v>
      </c>
      <c r="BP219" s="464">
        <v>24</v>
      </c>
      <c r="BQ219" s="466">
        <v>8</v>
      </c>
      <c r="BR219" s="465">
        <v>24</v>
      </c>
      <c r="BS219" s="457">
        <v>10</v>
      </c>
      <c r="BT219" s="723">
        <v>44</v>
      </c>
      <c r="BU219" s="466">
        <v>7</v>
      </c>
      <c r="BV219" s="465">
        <v>11</v>
      </c>
      <c r="BW219" s="457">
        <v>8</v>
      </c>
      <c r="BX219" s="464">
        <v>11</v>
      </c>
      <c r="BY219" s="466">
        <v>7</v>
      </c>
      <c r="BZ219" s="465">
        <v>31</v>
      </c>
      <c r="CA219" s="457">
        <v>4</v>
      </c>
      <c r="CB219" s="464">
        <v>31</v>
      </c>
      <c r="CC219" s="466">
        <v>2</v>
      </c>
      <c r="CD219" s="465"/>
      <c r="CE219" s="457"/>
      <c r="CF219" s="464">
        <v>26</v>
      </c>
      <c r="CG219" s="466">
        <v>1</v>
      </c>
      <c r="CH219" s="465"/>
      <c r="CI219" s="457"/>
      <c r="CJ219" s="464"/>
      <c r="CK219" s="466"/>
      <c r="CL219" s="459"/>
      <c r="CM219" s="450"/>
      <c r="CN219" s="468">
        <f t="shared" si="125"/>
        <v>110</v>
      </c>
      <c r="CO219" s="468">
        <f t="shared" si="126"/>
        <v>8</v>
      </c>
      <c r="CP219" s="469">
        <f t="shared" si="127"/>
        <v>109</v>
      </c>
      <c r="CQ219" s="469">
        <f t="shared" si="128"/>
        <v>9</v>
      </c>
      <c r="CR219" s="463"/>
      <c r="CS219" s="457"/>
      <c r="CT219" s="464"/>
      <c r="CU219" s="464"/>
      <c r="CV219" s="465"/>
      <c r="CW219" s="457"/>
      <c r="CX219" s="464"/>
      <c r="CY219" s="466"/>
      <c r="CZ219" s="465"/>
      <c r="DA219" s="457"/>
      <c r="DB219" s="464"/>
      <c r="DC219" s="466"/>
      <c r="DD219" s="465"/>
      <c r="DE219" s="457"/>
      <c r="DF219" s="464"/>
      <c r="DG219" s="466"/>
      <c r="DH219" s="465"/>
      <c r="DI219" s="457"/>
      <c r="DJ219" s="464"/>
      <c r="DK219" s="466"/>
      <c r="DL219" s="465"/>
      <c r="DM219" s="457"/>
      <c r="DN219" s="464"/>
      <c r="DO219" s="466"/>
      <c r="DP219" s="465"/>
      <c r="DQ219" s="457"/>
      <c r="DR219" s="464"/>
      <c r="DS219" s="466"/>
      <c r="DT219" s="465"/>
      <c r="DU219" s="457"/>
      <c r="DV219" s="464"/>
      <c r="DW219" s="466"/>
      <c r="DX219" s="465"/>
      <c r="DY219" s="457"/>
      <c r="DZ219" s="464"/>
      <c r="EA219" s="466"/>
      <c r="EB219" s="465"/>
      <c r="EC219" s="457"/>
      <c r="ED219" s="464"/>
      <c r="EE219" s="466"/>
      <c r="EF219" s="459"/>
      <c r="EG219" s="450"/>
      <c r="EH219" s="460">
        <f t="shared" si="106"/>
        <v>0</v>
      </c>
      <c r="EI219" s="460">
        <f t="shared" si="107"/>
        <v>0</v>
      </c>
      <c r="EJ219" s="458">
        <f t="shared" si="108"/>
        <v>0</v>
      </c>
      <c r="EK219" s="470">
        <f t="shared" si="109"/>
        <v>0</v>
      </c>
      <c r="EL219" s="470">
        <f t="shared" si="110"/>
        <v>0</v>
      </c>
      <c r="EM219" s="449">
        <f t="shared" si="111"/>
        <v>0</v>
      </c>
      <c r="EN219" s="460">
        <f t="shared" si="112"/>
        <v>110</v>
      </c>
      <c r="EO219" s="469">
        <f t="shared" si="113"/>
        <v>109</v>
      </c>
      <c r="EP219" s="471"/>
      <c r="EQ219" s="450"/>
      <c r="ER219" s="471"/>
      <c r="ES219" s="450"/>
      <c r="ET219" s="471"/>
      <c r="EU219" s="450"/>
      <c r="EV219" s="471"/>
      <c r="EW219" s="450"/>
      <c r="EX219" s="471"/>
      <c r="EY219" s="450"/>
      <c r="EZ219" s="471"/>
      <c r="FA219" s="450"/>
      <c r="FB219" s="471"/>
      <c r="FC219" s="450"/>
      <c r="FD219" s="471"/>
      <c r="FE219" s="450"/>
      <c r="FF219" s="471"/>
      <c r="FG219" s="450"/>
      <c r="FH219" s="472"/>
      <c r="FI219" s="450"/>
      <c r="FJ219" s="468">
        <f t="shared" si="129"/>
        <v>0</v>
      </c>
      <c r="FK219" s="469">
        <f t="shared" si="130"/>
        <v>0</v>
      </c>
      <c r="FL219" s="472"/>
      <c r="FM219" s="450"/>
      <c r="FN219" s="460">
        <f t="shared" si="131"/>
        <v>675</v>
      </c>
      <c r="FO219" s="469">
        <f t="shared" si="132"/>
        <v>626</v>
      </c>
    </row>
    <row r="220" spans="1:171" x14ac:dyDescent="0.2">
      <c r="A220" s="513" t="s">
        <v>604</v>
      </c>
      <c r="B220" s="514" t="s">
        <v>614</v>
      </c>
      <c r="C220" s="515"/>
      <c r="D220" s="516">
        <v>159717</v>
      </c>
      <c r="E220" s="517">
        <v>4</v>
      </c>
      <c r="F220" s="532"/>
      <c r="G220" s="450"/>
      <c r="H220" s="457"/>
      <c r="I220" s="450"/>
      <c r="J220" s="457">
        <v>172</v>
      </c>
      <c r="K220" s="450">
        <v>119</v>
      </c>
      <c r="L220" s="458">
        <f t="shared" si="122"/>
        <v>0.17497456765005087</v>
      </c>
      <c r="M220" s="449">
        <f t="shared" si="123"/>
        <v>0.1076923076923077</v>
      </c>
      <c r="N220" s="459">
        <v>983</v>
      </c>
      <c r="O220" s="459">
        <v>105</v>
      </c>
      <c r="P220" s="459"/>
      <c r="Q220" s="459"/>
      <c r="R220" s="460">
        <f t="shared" si="124"/>
        <v>105</v>
      </c>
      <c r="S220" s="391">
        <v>1105</v>
      </c>
      <c r="T220" s="461">
        <v>107</v>
      </c>
      <c r="U220" s="461"/>
      <c r="V220" s="461"/>
      <c r="W220" s="462">
        <f t="shared" si="95"/>
        <v>107</v>
      </c>
      <c r="X220" s="463"/>
      <c r="Y220" s="457"/>
      <c r="Z220" s="464"/>
      <c r="AA220" s="464"/>
      <c r="AB220" s="465"/>
      <c r="AC220" s="457"/>
      <c r="AD220" s="464"/>
      <c r="AE220" s="466"/>
      <c r="AF220" s="465"/>
      <c r="AG220" s="457"/>
      <c r="AH220" s="464"/>
      <c r="AI220" s="466"/>
      <c r="AJ220" s="465"/>
      <c r="AK220" s="457"/>
      <c r="AL220" s="464"/>
      <c r="AM220" s="466"/>
      <c r="AN220" s="465"/>
      <c r="AO220" s="457"/>
      <c r="AP220" s="464"/>
      <c r="AQ220" s="464"/>
      <c r="AR220" s="460">
        <f t="shared" si="118"/>
        <v>0</v>
      </c>
      <c r="AS220" s="467">
        <f t="shared" si="119"/>
        <v>0.64756258234519104</v>
      </c>
      <c r="AT220" s="447">
        <f t="shared" si="120"/>
        <v>0</v>
      </c>
      <c r="AU220" s="448">
        <f t="shared" si="121"/>
        <v>0.71986970684039087</v>
      </c>
      <c r="AV220" s="457">
        <v>27</v>
      </c>
      <c r="AW220" s="450">
        <v>26</v>
      </c>
      <c r="AX220" s="463">
        <v>13</v>
      </c>
      <c r="AY220" s="457">
        <v>150</v>
      </c>
      <c r="AZ220" s="464">
        <v>13</v>
      </c>
      <c r="BA220" s="464">
        <v>125</v>
      </c>
      <c r="BB220" s="465">
        <v>52</v>
      </c>
      <c r="BC220" s="457">
        <v>34</v>
      </c>
      <c r="BD220" s="464">
        <v>52</v>
      </c>
      <c r="BE220" s="466">
        <v>31</v>
      </c>
      <c r="BF220" s="465">
        <v>14</v>
      </c>
      <c r="BG220" s="457">
        <v>29</v>
      </c>
      <c r="BH220" s="464">
        <v>40</v>
      </c>
      <c r="BI220" s="466">
        <v>30</v>
      </c>
      <c r="BJ220" s="465">
        <v>27</v>
      </c>
      <c r="BK220" s="457">
        <v>27</v>
      </c>
      <c r="BL220" s="464">
        <v>31</v>
      </c>
      <c r="BM220" s="466">
        <v>24</v>
      </c>
      <c r="BN220" s="465">
        <v>31</v>
      </c>
      <c r="BO220" s="457">
        <v>26</v>
      </c>
      <c r="BP220" s="464">
        <v>14</v>
      </c>
      <c r="BQ220" s="466">
        <v>21</v>
      </c>
      <c r="BR220" s="465">
        <v>51</v>
      </c>
      <c r="BS220" s="457">
        <v>22</v>
      </c>
      <c r="BT220" s="723">
        <v>51</v>
      </c>
      <c r="BU220" s="466">
        <v>18</v>
      </c>
      <c r="BV220" s="465">
        <v>23</v>
      </c>
      <c r="BW220" s="457">
        <v>19</v>
      </c>
      <c r="BX220" s="464">
        <v>42</v>
      </c>
      <c r="BY220" s="466">
        <v>15</v>
      </c>
      <c r="BZ220" s="465">
        <v>40</v>
      </c>
      <c r="CA220" s="457">
        <v>17</v>
      </c>
      <c r="CB220" s="464">
        <v>23</v>
      </c>
      <c r="CC220" s="466">
        <v>12</v>
      </c>
      <c r="CD220" s="465">
        <v>42</v>
      </c>
      <c r="CE220" s="457">
        <v>12</v>
      </c>
      <c r="CF220" s="464">
        <v>27</v>
      </c>
      <c r="CG220" s="466">
        <v>9</v>
      </c>
      <c r="CH220" s="465"/>
      <c r="CI220" s="457"/>
      <c r="CJ220" s="464"/>
      <c r="CK220" s="466"/>
      <c r="CL220" s="459"/>
      <c r="CM220" s="450"/>
      <c r="CN220" s="468">
        <f t="shared" si="125"/>
        <v>336</v>
      </c>
      <c r="CO220" s="468">
        <f t="shared" si="126"/>
        <v>9</v>
      </c>
      <c r="CP220" s="469">
        <f t="shared" si="127"/>
        <v>285</v>
      </c>
      <c r="CQ220" s="469">
        <f t="shared" si="128"/>
        <v>9</v>
      </c>
      <c r="CR220" s="463"/>
      <c r="CS220" s="457"/>
      <c r="CT220" s="464"/>
      <c r="CU220" s="464"/>
      <c r="CV220" s="465"/>
      <c r="CW220" s="457"/>
      <c r="CX220" s="464"/>
      <c r="CY220" s="466"/>
      <c r="CZ220" s="465"/>
      <c r="DA220" s="457"/>
      <c r="DB220" s="464"/>
      <c r="DC220" s="466"/>
      <c r="DD220" s="465"/>
      <c r="DE220" s="457"/>
      <c r="DF220" s="464"/>
      <c r="DG220" s="466"/>
      <c r="DH220" s="465"/>
      <c r="DI220" s="457"/>
      <c r="DJ220" s="464"/>
      <c r="DK220" s="466"/>
      <c r="DL220" s="465"/>
      <c r="DM220" s="457"/>
      <c r="DN220" s="464"/>
      <c r="DO220" s="466"/>
      <c r="DP220" s="465"/>
      <c r="DQ220" s="457"/>
      <c r="DR220" s="464"/>
      <c r="DS220" s="466"/>
      <c r="DT220" s="465"/>
      <c r="DU220" s="457"/>
      <c r="DV220" s="464"/>
      <c r="DW220" s="466"/>
      <c r="DX220" s="465"/>
      <c r="DY220" s="457"/>
      <c r="DZ220" s="464"/>
      <c r="EA220" s="466"/>
      <c r="EB220" s="465"/>
      <c r="EC220" s="457"/>
      <c r="ED220" s="464"/>
      <c r="EE220" s="466"/>
      <c r="EF220" s="459"/>
      <c r="EG220" s="450"/>
      <c r="EH220" s="460">
        <f t="shared" si="106"/>
        <v>0</v>
      </c>
      <c r="EI220" s="460">
        <f t="shared" si="107"/>
        <v>0</v>
      </c>
      <c r="EJ220" s="458">
        <f t="shared" si="108"/>
        <v>0</v>
      </c>
      <c r="EK220" s="470">
        <f t="shared" si="109"/>
        <v>0</v>
      </c>
      <c r="EL220" s="470">
        <f t="shared" si="110"/>
        <v>0</v>
      </c>
      <c r="EM220" s="449">
        <f t="shared" si="111"/>
        <v>0</v>
      </c>
      <c r="EN220" s="460">
        <f t="shared" si="112"/>
        <v>336</v>
      </c>
      <c r="EO220" s="469">
        <f t="shared" si="113"/>
        <v>285</v>
      </c>
      <c r="EP220" s="471"/>
      <c r="EQ220" s="450"/>
      <c r="ER220" s="471"/>
      <c r="ES220" s="450"/>
      <c r="ET220" s="471"/>
      <c r="EU220" s="450"/>
      <c r="EV220" s="471"/>
      <c r="EW220" s="450"/>
      <c r="EX220" s="471"/>
      <c r="EY220" s="450"/>
      <c r="EZ220" s="471"/>
      <c r="FA220" s="450"/>
      <c r="FB220" s="471"/>
      <c r="FC220" s="450"/>
      <c r="FD220" s="471"/>
      <c r="FE220" s="450"/>
      <c r="FF220" s="471"/>
      <c r="FG220" s="450"/>
      <c r="FH220" s="472"/>
      <c r="FI220" s="450"/>
      <c r="FJ220" s="468">
        <f t="shared" si="129"/>
        <v>0</v>
      </c>
      <c r="FK220" s="469">
        <f t="shared" si="130"/>
        <v>0</v>
      </c>
      <c r="FL220" s="472"/>
      <c r="FM220" s="450"/>
      <c r="FN220" s="460">
        <f t="shared" si="131"/>
        <v>1518</v>
      </c>
      <c r="FO220" s="469">
        <f t="shared" si="132"/>
        <v>1535</v>
      </c>
    </row>
    <row r="221" spans="1:171" x14ac:dyDescent="0.2">
      <c r="A221" s="513" t="s">
        <v>604</v>
      </c>
      <c r="B221" s="514" t="s">
        <v>615</v>
      </c>
      <c r="C221" s="515"/>
      <c r="D221" s="516">
        <v>159966</v>
      </c>
      <c r="E221" s="517">
        <v>4</v>
      </c>
      <c r="F221" s="532"/>
      <c r="G221" s="450"/>
      <c r="H221" s="457"/>
      <c r="I221" s="450"/>
      <c r="J221" s="457">
        <v>152</v>
      </c>
      <c r="K221" s="450">
        <v>157</v>
      </c>
      <c r="L221" s="458">
        <f t="shared" si="122"/>
        <v>0.15849843587069865</v>
      </c>
      <c r="M221" s="449">
        <f t="shared" si="123"/>
        <v>0.17252747252747253</v>
      </c>
      <c r="N221" s="459">
        <v>959</v>
      </c>
      <c r="O221" s="459">
        <v>84</v>
      </c>
      <c r="P221" s="459"/>
      <c r="Q221" s="459"/>
      <c r="R221" s="460">
        <f t="shared" si="124"/>
        <v>84</v>
      </c>
      <c r="S221" s="391">
        <v>910</v>
      </c>
      <c r="T221" s="461">
        <v>103</v>
      </c>
      <c r="U221" s="461"/>
      <c r="V221" s="461"/>
      <c r="W221" s="462">
        <f t="shared" si="95"/>
        <v>103</v>
      </c>
      <c r="X221" s="463"/>
      <c r="Y221" s="457"/>
      <c r="Z221" s="464"/>
      <c r="AA221" s="464"/>
      <c r="AB221" s="465"/>
      <c r="AC221" s="457"/>
      <c r="AD221" s="464"/>
      <c r="AE221" s="466"/>
      <c r="AF221" s="465"/>
      <c r="AG221" s="457"/>
      <c r="AH221" s="464"/>
      <c r="AI221" s="466"/>
      <c r="AJ221" s="465"/>
      <c r="AK221" s="457"/>
      <c r="AL221" s="464"/>
      <c r="AM221" s="466"/>
      <c r="AN221" s="465"/>
      <c r="AO221" s="457"/>
      <c r="AP221" s="464"/>
      <c r="AQ221" s="464"/>
      <c r="AR221" s="460">
        <f t="shared" si="118"/>
        <v>0</v>
      </c>
      <c r="AS221" s="467">
        <f t="shared" si="119"/>
        <v>0.77588996763754048</v>
      </c>
      <c r="AT221" s="447">
        <f t="shared" si="120"/>
        <v>0</v>
      </c>
      <c r="AU221" s="448">
        <f t="shared" si="121"/>
        <v>0.72050673000791765</v>
      </c>
      <c r="AV221" s="457"/>
      <c r="AW221" s="450"/>
      <c r="AX221" s="463">
        <v>13</v>
      </c>
      <c r="AY221" s="457">
        <v>72</v>
      </c>
      <c r="AZ221" s="464">
        <v>13</v>
      </c>
      <c r="BA221" s="464">
        <v>86</v>
      </c>
      <c r="BB221" s="465">
        <v>52</v>
      </c>
      <c r="BC221" s="457">
        <v>24</v>
      </c>
      <c r="BD221" s="464">
        <v>52</v>
      </c>
      <c r="BE221" s="466">
        <v>71</v>
      </c>
      <c r="BF221" s="465">
        <v>42</v>
      </c>
      <c r="BG221" s="457">
        <v>16</v>
      </c>
      <c r="BH221" s="464">
        <v>42</v>
      </c>
      <c r="BI221" s="466">
        <v>24</v>
      </c>
      <c r="BJ221" s="465">
        <v>26</v>
      </c>
      <c r="BK221" s="457">
        <v>8</v>
      </c>
      <c r="BL221" s="464">
        <v>27</v>
      </c>
      <c r="BM221" s="466">
        <v>9</v>
      </c>
      <c r="BN221" s="465">
        <v>27</v>
      </c>
      <c r="BO221" s="457">
        <v>5</v>
      </c>
      <c r="BP221" s="464">
        <v>26</v>
      </c>
      <c r="BQ221" s="466">
        <v>6</v>
      </c>
      <c r="BR221" s="465"/>
      <c r="BS221" s="457"/>
      <c r="BT221" s="723"/>
      <c r="BU221" s="466"/>
      <c r="BV221" s="465"/>
      <c r="BW221" s="457"/>
      <c r="BX221" s="464"/>
      <c r="BY221" s="466"/>
      <c r="BZ221" s="465"/>
      <c r="CA221" s="457"/>
      <c r="CB221" s="464"/>
      <c r="CC221" s="466"/>
      <c r="CD221" s="465"/>
      <c r="CE221" s="457"/>
      <c r="CF221" s="464"/>
      <c r="CG221" s="466"/>
      <c r="CH221" s="465"/>
      <c r="CI221" s="457"/>
      <c r="CJ221" s="464"/>
      <c r="CK221" s="466"/>
      <c r="CL221" s="459"/>
      <c r="CM221" s="450"/>
      <c r="CN221" s="468">
        <f t="shared" si="125"/>
        <v>125</v>
      </c>
      <c r="CO221" s="468">
        <f t="shared" si="126"/>
        <v>5</v>
      </c>
      <c r="CP221" s="469">
        <f t="shared" si="127"/>
        <v>196</v>
      </c>
      <c r="CQ221" s="469">
        <f t="shared" si="128"/>
        <v>5</v>
      </c>
      <c r="CR221" s="463"/>
      <c r="CS221" s="457"/>
      <c r="CT221" s="464"/>
      <c r="CU221" s="464"/>
      <c r="CV221" s="465"/>
      <c r="CW221" s="457"/>
      <c r="CX221" s="464"/>
      <c r="CY221" s="466"/>
      <c r="CZ221" s="465"/>
      <c r="DA221" s="457"/>
      <c r="DB221" s="464"/>
      <c r="DC221" s="466"/>
      <c r="DD221" s="465"/>
      <c r="DE221" s="457"/>
      <c r="DF221" s="464"/>
      <c r="DG221" s="466"/>
      <c r="DH221" s="465"/>
      <c r="DI221" s="457"/>
      <c r="DJ221" s="464"/>
      <c r="DK221" s="466"/>
      <c r="DL221" s="465"/>
      <c r="DM221" s="457"/>
      <c r="DN221" s="464"/>
      <c r="DO221" s="466"/>
      <c r="DP221" s="465"/>
      <c r="DQ221" s="457"/>
      <c r="DR221" s="464"/>
      <c r="DS221" s="466"/>
      <c r="DT221" s="465"/>
      <c r="DU221" s="457"/>
      <c r="DV221" s="464"/>
      <c r="DW221" s="466"/>
      <c r="DX221" s="465"/>
      <c r="DY221" s="457"/>
      <c r="DZ221" s="464"/>
      <c r="EA221" s="466"/>
      <c r="EB221" s="465"/>
      <c r="EC221" s="457"/>
      <c r="ED221" s="464"/>
      <c r="EE221" s="466"/>
      <c r="EF221" s="459"/>
      <c r="EG221" s="450"/>
      <c r="EH221" s="460">
        <f t="shared" si="106"/>
        <v>0</v>
      </c>
      <c r="EI221" s="460">
        <f t="shared" si="107"/>
        <v>0</v>
      </c>
      <c r="EJ221" s="458">
        <f t="shared" si="108"/>
        <v>0</v>
      </c>
      <c r="EK221" s="470">
        <f t="shared" si="109"/>
        <v>0</v>
      </c>
      <c r="EL221" s="470">
        <f t="shared" si="110"/>
        <v>0</v>
      </c>
      <c r="EM221" s="449">
        <f t="shared" si="111"/>
        <v>0</v>
      </c>
      <c r="EN221" s="460">
        <f t="shared" si="112"/>
        <v>125</v>
      </c>
      <c r="EO221" s="469">
        <f t="shared" si="113"/>
        <v>196</v>
      </c>
      <c r="EP221" s="471"/>
      <c r="EQ221" s="450"/>
      <c r="ER221" s="471"/>
      <c r="ES221" s="450"/>
      <c r="ET221" s="471"/>
      <c r="EU221" s="450"/>
      <c r="EV221" s="471"/>
      <c r="EW221" s="450"/>
      <c r="EX221" s="471"/>
      <c r="EY221" s="450"/>
      <c r="EZ221" s="471"/>
      <c r="FA221" s="450"/>
      <c r="FB221" s="471"/>
      <c r="FC221" s="450"/>
      <c r="FD221" s="471"/>
      <c r="FE221" s="450"/>
      <c r="FF221" s="471"/>
      <c r="FG221" s="450"/>
      <c r="FH221" s="472"/>
      <c r="FI221" s="450"/>
      <c r="FJ221" s="468">
        <f t="shared" si="129"/>
        <v>0</v>
      </c>
      <c r="FK221" s="469">
        <f t="shared" si="130"/>
        <v>0</v>
      </c>
      <c r="FL221" s="472"/>
      <c r="FM221" s="450"/>
      <c r="FN221" s="460">
        <f t="shared" si="131"/>
        <v>1236</v>
      </c>
      <c r="FO221" s="469">
        <f t="shared" si="132"/>
        <v>1263</v>
      </c>
    </row>
    <row r="222" spans="1:171" x14ac:dyDescent="0.2">
      <c r="A222" s="513" t="s">
        <v>604</v>
      </c>
      <c r="B222" s="514" t="s">
        <v>616</v>
      </c>
      <c r="C222" s="515"/>
      <c r="D222" s="516">
        <v>160038</v>
      </c>
      <c r="E222" s="517">
        <v>4</v>
      </c>
      <c r="F222" s="532"/>
      <c r="G222" s="450"/>
      <c r="H222" s="457"/>
      <c r="I222" s="450"/>
      <c r="J222" s="457">
        <v>724</v>
      </c>
      <c r="K222" s="450">
        <v>869</v>
      </c>
      <c r="L222" s="458">
        <f t="shared" si="122"/>
        <v>0.6648301193755739</v>
      </c>
      <c r="M222" s="449">
        <f t="shared" si="123"/>
        <v>0.80166051660516602</v>
      </c>
      <c r="N222" s="459">
        <v>1089</v>
      </c>
      <c r="O222" s="459">
        <v>61</v>
      </c>
      <c r="P222" s="459"/>
      <c r="Q222" s="459"/>
      <c r="R222" s="460">
        <f t="shared" si="124"/>
        <v>61</v>
      </c>
      <c r="S222" s="391">
        <v>1084</v>
      </c>
      <c r="T222" s="461">
        <v>50</v>
      </c>
      <c r="U222" s="461"/>
      <c r="V222" s="461"/>
      <c r="W222" s="462">
        <f t="shared" si="95"/>
        <v>50</v>
      </c>
      <c r="X222" s="463"/>
      <c r="Y222" s="457"/>
      <c r="Z222" s="464"/>
      <c r="AA222" s="464"/>
      <c r="AB222" s="465"/>
      <c r="AC222" s="457"/>
      <c r="AD222" s="464"/>
      <c r="AE222" s="466"/>
      <c r="AF222" s="465"/>
      <c r="AG222" s="457"/>
      <c r="AH222" s="464"/>
      <c r="AI222" s="466"/>
      <c r="AJ222" s="465"/>
      <c r="AK222" s="457"/>
      <c r="AL222" s="464"/>
      <c r="AM222" s="466"/>
      <c r="AN222" s="465"/>
      <c r="AO222" s="457"/>
      <c r="AP222" s="464"/>
      <c r="AQ222" s="464"/>
      <c r="AR222" s="460">
        <f t="shared" si="118"/>
        <v>0</v>
      </c>
      <c r="AS222" s="467">
        <f t="shared" si="119"/>
        <v>0.50959288722508189</v>
      </c>
      <c r="AT222" s="447">
        <f t="shared" si="120"/>
        <v>0</v>
      </c>
      <c r="AU222" s="448">
        <f t="shared" si="121"/>
        <v>0.47523016220955722</v>
      </c>
      <c r="AV222" s="457">
        <v>57</v>
      </c>
      <c r="AW222" s="450">
        <v>56</v>
      </c>
      <c r="AX222" s="463">
        <v>13</v>
      </c>
      <c r="AY222" s="457">
        <v>146</v>
      </c>
      <c r="AZ222" s="464">
        <v>13</v>
      </c>
      <c r="BA222" s="464">
        <v>149</v>
      </c>
      <c r="BB222" s="465">
        <v>51</v>
      </c>
      <c r="BC222" s="457">
        <v>57</v>
      </c>
      <c r="BD222" s="464">
        <v>51</v>
      </c>
      <c r="BE222" s="466">
        <v>65</v>
      </c>
      <c r="BF222" s="465">
        <v>23</v>
      </c>
      <c r="BG222" s="457">
        <v>15</v>
      </c>
      <c r="BH222" s="464">
        <v>42</v>
      </c>
      <c r="BI222" s="466">
        <v>21</v>
      </c>
      <c r="BJ222" s="465">
        <v>31</v>
      </c>
      <c r="BK222" s="457">
        <v>15</v>
      </c>
      <c r="BL222" s="464">
        <v>31</v>
      </c>
      <c r="BM222" s="466">
        <v>21</v>
      </c>
      <c r="BN222" s="465">
        <v>50</v>
      </c>
      <c r="BO222" s="457">
        <v>12</v>
      </c>
      <c r="BP222" s="464">
        <v>50</v>
      </c>
      <c r="BQ222" s="466">
        <v>8</v>
      </c>
      <c r="BR222" s="465">
        <v>42</v>
      </c>
      <c r="BS222" s="457">
        <v>12</v>
      </c>
      <c r="BT222" s="723">
        <v>23</v>
      </c>
      <c r="BU222" s="466">
        <v>5</v>
      </c>
      <c r="BV222" s="465">
        <v>30</v>
      </c>
      <c r="BW222" s="457">
        <v>10</v>
      </c>
      <c r="BX222" s="464">
        <v>30</v>
      </c>
      <c r="BY222" s="466">
        <v>3</v>
      </c>
      <c r="BZ222" s="465"/>
      <c r="CA222" s="457"/>
      <c r="CB222" s="464"/>
      <c r="CC222" s="466"/>
      <c r="CD222" s="465"/>
      <c r="CE222" s="457"/>
      <c r="CF222" s="464"/>
      <c r="CG222" s="466"/>
      <c r="CH222" s="465"/>
      <c r="CI222" s="457"/>
      <c r="CJ222" s="464"/>
      <c r="CK222" s="466"/>
      <c r="CL222" s="459"/>
      <c r="CM222" s="450"/>
      <c r="CN222" s="468">
        <f t="shared" si="125"/>
        <v>267</v>
      </c>
      <c r="CO222" s="468">
        <f t="shared" si="126"/>
        <v>7</v>
      </c>
      <c r="CP222" s="469">
        <f t="shared" si="127"/>
        <v>272</v>
      </c>
      <c r="CQ222" s="469">
        <f t="shared" si="128"/>
        <v>7</v>
      </c>
      <c r="CR222" s="463"/>
      <c r="CS222" s="457"/>
      <c r="CT222" s="464"/>
      <c r="CU222" s="464"/>
      <c r="CV222" s="465"/>
      <c r="CW222" s="457"/>
      <c r="CX222" s="464"/>
      <c r="CY222" s="466"/>
      <c r="CZ222" s="465"/>
      <c r="DA222" s="457"/>
      <c r="DB222" s="464"/>
      <c r="DC222" s="466"/>
      <c r="DD222" s="465"/>
      <c r="DE222" s="457"/>
      <c r="DF222" s="464"/>
      <c r="DG222" s="466"/>
      <c r="DH222" s="465"/>
      <c r="DI222" s="457"/>
      <c r="DJ222" s="464"/>
      <c r="DK222" s="466"/>
      <c r="DL222" s="465"/>
      <c r="DM222" s="457"/>
      <c r="DN222" s="464"/>
      <c r="DO222" s="466"/>
      <c r="DP222" s="465"/>
      <c r="DQ222" s="457"/>
      <c r="DR222" s="464"/>
      <c r="DS222" s="466"/>
      <c r="DT222" s="465"/>
      <c r="DU222" s="457"/>
      <c r="DV222" s="464"/>
      <c r="DW222" s="466"/>
      <c r="DX222" s="465"/>
      <c r="DY222" s="457"/>
      <c r="DZ222" s="464"/>
      <c r="EA222" s="466"/>
      <c r="EB222" s="465"/>
      <c r="EC222" s="457"/>
      <c r="ED222" s="464"/>
      <c r="EE222" s="466"/>
      <c r="EF222" s="459"/>
      <c r="EG222" s="450"/>
      <c r="EH222" s="460">
        <f t="shared" si="106"/>
        <v>0</v>
      </c>
      <c r="EI222" s="460">
        <f t="shared" si="107"/>
        <v>0</v>
      </c>
      <c r="EJ222" s="458">
        <f t="shared" si="108"/>
        <v>0</v>
      </c>
      <c r="EK222" s="470">
        <f t="shared" si="109"/>
        <v>0</v>
      </c>
      <c r="EL222" s="470">
        <f t="shared" si="110"/>
        <v>0</v>
      </c>
      <c r="EM222" s="449">
        <f t="shared" si="111"/>
        <v>0</v>
      </c>
      <c r="EN222" s="460">
        <f t="shared" si="112"/>
        <v>267</v>
      </c>
      <c r="EO222" s="469">
        <f t="shared" si="113"/>
        <v>272</v>
      </c>
      <c r="EP222" s="471"/>
      <c r="EQ222" s="450"/>
      <c r="ER222" s="471"/>
      <c r="ES222" s="450"/>
      <c r="ET222" s="471"/>
      <c r="EU222" s="450"/>
      <c r="EV222" s="471"/>
      <c r="EW222" s="450"/>
      <c r="EX222" s="471"/>
      <c r="EY222" s="450"/>
      <c r="EZ222" s="471"/>
      <c r="FA222" s="450"/>
      <c r="FB222" s="471"/>
      <c r="FC222" s="450"/>
      <c r="FD222" s="471"/>
      <c r="FE222" s="450"/>
      <c r="FF222" s="471"/>
      <c r="FG222" s="450"/>
      <c r="FH222" s="472"/>
      <c r="FI222" s="450"/>
      <c r="FJ222" s="468">
        <f t="shared" si="129"/>
        <v>0</v>
      </c>
      <c r="FK222" s="469">
        <f t="shared" si="130"/>
        <v>0</v>
      </c>
      <c r="FL222" s="472"/>
      <c r="FM222" s="450"/>
      <c r="FN222" s="460">
        <f t="shared" si="131"/>
        <v>2137</v>
      </c>
      <c r="FO222" s="469">
        <f t="shared" si="132"/>
        <v>2281</v>
      </c>
    </row>
    <row r="223" spans="1:171" x14ac:dyDescent="0.2">
      <c r="A223" s="731" t="s">
        <v>604</v>
      </c>
      <c r="B223" s="514" t="s">
        <v>617</v>
      </c>
      <c r="C223" s="515" t="s">
        <v>640</v>
      </c>
      <c r="D223" s="516">
        <v>160630</v>
      </c>
      <c r="E223" s="517">
        <v>4</v>
      </c>
      <c r="F223" s="532"/>
      <c r="G223" s="450"/>
      <c r="H223" s="457"/>
      <c r="I223" s="450"/>
      <c r="J223" s="457">
        <v>24</v>
      </c>
      <c r="K223" s="450">
        <v>27</v>
      </c>
      <c r="L223" s="458">
        <f t="shared" si="122"/>
        <v>8.7591240875912413E-2</v>
      </c>
      <c r="M223" s="449">
        <f t="shared" si="123"/>
        <v>8.8815789473684209E-2</v>
      </c>
      <c r="N223" s="459">
        <v>274</v>
      </c>
      <c r="O223" s="459">
        <v>4</v>
      </c>
      <c r="P223" s="459"/>
      <c r="Q223" s="459"/>
      <c r="R223" s="460">
        <f t="shared" si="124"/>
        <v>4</v>
      </c>
      <c r="S223" s="391">
        <v>304</v>
      </c>
      <c r="T223" s="461">
        <v>7</v>
      </c>
      <c r="U223" s="461"/>
      <c r="V223" s="461"/>
      <c r="W223" s="462">
        <f t="shared" si="95"/>
        <v>7</v>
      </c>
      <c r="X223" s="463"/>
      <c r="Y223" s="457"/>
      <c r="Z223" s="464"/>
      <c r="AA223" s="464"/>
      <c r="AB223" s="465"/>
      <c r="AC223" s="457"/>
      <c r="AD223" s="464"/>
      <c r="AE223" s="466"/>
      <c r="AF223" s="465"/>
      <c r="AG223" s="457"/>
      <c r="AH223" s="464"/>
      <c r="AI223" s="466"/>
      <c r="AJ223" s="465"/>
      <c r="AK223" s="457"/>
      <c r="AL223" s="464"/>
      <c r="AM223" s="466"/>
      <c r="AN223" s="465"/>
      <c r="AO223" s="457"/>
      <c r="AP223" s="464"/>
      <c r="AQ223" s="464"/>
      <c r="AR223" s="460">
        <f t="shared" si="118"/>
        <v>0</v>
      </c>
      <c r="AS223" s="467">
        <f t="shared" si="119"/>
        <v>0.60219780219780217</v>
      </c>
      <c r="AT223" s="447">
        <f t="shared" si="120"/>
        <v>0</v>
      </c>
      <c r="AU223" s="448">
        <f t="shared" si="121"/>
        <v>0.62809917355371903</v>
      </c>
      <c r="AV223" s="457"/>
      <c r="AW223" s="450"/>
      <c r="AX223" s="463">
        <v>44</v>
      </c>
      <c r="AY223" s="457">
        <v>82</v>
      </c>
      <c r="AZ223" s="464">
        <v>44</v>
      </c>
      <c r="BA223" s="464">
        <v>109</v>
      </c>
      <c r="BB223" s="465">
        <v>43</v>
      </c>
      <c r="BC223" s="457">
        <v>42</v>
      </c>
      <c r="BD223" s="464">
        <v>52</v>
      </c>
      <c r="BE223" s="466">
        <v>20</v>
      </c>
      <c r="BF223" s="465">
        <v>52</v>
      </c>
      <c r="BG223" s="457">
        <v>16</v>
      </c>
      <c r="BH223" s="464">
        <v>43</v>
      </c>
      <c r="BI223" s="466">
        <v>13</v>
      </c>
      <c r="BJ223" s="465">
        <v>30</v>
      </c>
      <c r="BK223" s="457">
        <v>15</v>
      </c>
      <c r="BL223" s="464">
        <v>30</v>
      </c>
      <c r="BM223" s="466">
        <v>11</v>
      </c>
      <c r="BN223" s="465">
        <v>11</v>
      </c>
      <c r="BO223" s="457">
        <v>2</v>
      </c>
      <c r="BP223" s="464"/>
      <c r="BQ223" s="466"/>
      <c r="BR223" s="465"/>
      <c r="BS223" s="457"/>
      <c r="BT223" s="723"/>
      <c r="BU223" s="466"/>
      <c r="BV223" s="465"/>
      <c r="BW223" s="457"/>
      <c r="BX223" s="464"/>
      <c r="BY223" s="466"/>
      <c r="BZ223" s="465"/>
      <c r="CA223" s="457"/>
      <c r="CB223" s="464"/>
      <c r="CC223" s="466"/>
      <c r="CD223" s="465"/>
      <c r="CE223" s="457"/>
      <c r="CF223" s="464"/>
      <c r="CG223" s="466"/>
      <c r="CH223" s="465"/>
      <c r="CI223" s="457"/>
      <c r="CJ223" s="464"/>
      <c r="CK223" s="466"/>
      <c r="CL223" s="459"/>
      <c r="CM223" s="450"/>
      <c r="CN223" s="468">
        <f t="shared" si="125"/>
        <v>157</v>
      </c>
      <c r="CO223" s="468">
        <f t="shared" si="126"/>
        <v>5</v>
      </c>
      <c r="CP223" s="469">
        <f t="shared" si="127"/>
        <v>153</v>
      </c>
      <c r="CQ223" s="469">
        <f t="shared" si="128"/>
        <v>4</v>
      </c>
      <c r="CR223" s="463"/>
      <c r="CS223" s="457"/>
      <c r="CT223" s="464"/>
      <c r="CU223" s="464"/>
      <c r="CV223" s="465"/>
      <c r="CW223" s="457"/>
      <c r="CX223" s="464"/>
      <c r="CY223" s="466"/>
      <c r="CZ223" s="465"/>
      <c r="DA223" s="457"/>
      <c r="DB223" s="464"/>
      <c r="DC223" s="466"/>
      <c r="DD223" s="465"/>
      <c r="DE223" s="457"/>
      <c r="DF223" s="464"/>
      <c r="DG223" s="466"/>
      <c r="DH223" s="465"/>
      <c r="DI223" s="457"/>
      <c r="DJ223" s="464"/>
      <c r="DK223" s="466"/>
      <c r="DL223" s="465"/>
      <c r="DM223" s="457"/>
      <c r="DN223" s="464"/>
      <c r="DO223" s="466"/>
      <c r="DP223" s="465"/>
      <c r="DQ223" s="457"/>
      <c r="DR223" s="464"/>
      <c r="DS223" s="466"/>
      <c r="DT223" s="465"/>
      <c r="DU223" s="457"/>
      <c r="DV223" s="464"/>
      <c r="DW223" s="466"/>
      <c r="DX223" s="465"/>
      <c r="DY223" s="457"/>
      <c r="DZ223" s="464"/>
      <c r="EA223" s="466"/>
      <c r="EB223" s="465"/>
      <c r="EC223" s="457"/>
      <c r="ED223" s="464"/>
      <c r="EE223" s="466"/>
      <c r="EF223" s="459"/>
      <c r="EG223" s="450"/>
      <c r="EH223" s="460">
        <f t="shared" si="106"/>
        <v>0</v>
      </c>
      <c r="EI223" s="460">
        <f t="shared" si="107"/>
        <v>0</v>
      </c>
      <c r="EJ223" s="458">
        <f t="shared" si="108"/>
        <v>0</v>
      </c>
      <c r="EK223" s="470">
        <f t="shared" si="109"/>
        <v>0</v>
      </c>
      <c r="EL223" s="470">
        <f t="shared" si="110"/>
        <v>0</v>
      </c>
      <c r="EM223" s="449">
        <f t="shared" si="111"/>
        <v>0</v>
      </c>
      <c r="EN223" s="460">
        <f t="shared" si="112"/>
        <v>157</v>
      </c>
      <c r="EO223" s="469">
        <f t="shared" si="113"/>
        <v>153</v>
      </c>
      <c r="EP223" s="471"/>
      <c r="EQ223" s="450"/>
      <c r="ER223" s="471"/>
      <c r="ES223" s="450"/>
      <c r="ET223" s="471"/>
      <c r="EU223" s="450"/>
      <c r="EV223" s="471"/>
      <c r="EW223" s="450"/>
      <c r="EX223" s="471"/>
      <c r="EY223" s="450"/>
      <c r="EZ223" s="471"/>
      <c r="FA223" s="450"/>
      <c r="FB223" s="471"/>
      <c r="FC223" s="450"/>
      <c r="FD223" s="471"/>
      <c r="FE223" s="450"/>
      <c r="FF223" s="471"/>
      <c r="FG223" s="450"/>
      <c r="FH223" s="472"/>
      <c r="FI223" s="450"/>
      <c r="FJ223" s="468">
        <f t="shared" si="129"/>
        <v>0</v>
      </c>
      <c r="FK223" s="469">
        <f t="shared" si="130"/>
        <v>0</v>
      </c>
      <c r="FL223" s="472"/>
      <c r="FM223" s="450"/>
      <c r="FN223" s="460">
        <f t="shared" si="131"/>
        <v>455</v>
      </c>
      <c r="FO223" s="469">
        <f t="shared" si="132"/>
        <v>484</v>
      </c>
    </row>
    <row r="224" spans="1:171" x14ac:dyDescent="0.2">
      <c r="A224" s="513" t="s">
        <v>604</v>
      </c>
      <c r="B224" s="514" t="s">
        <v>618</v>
      </c>
      <c r="C224" s="518"/>
      <c r="D224" s="516">
        <v>159382</v>
      </c>
      <c r="E224" s="530">
        <v>6</v>
      </c>
      <c r="F224" s="532">
        <v>15</v>
      </c>
      <c r="G224" s="450">
        <v>5</v>
      </c>
      <c r="H224" s="457"/>
      <c r="I224" s="450"/>
      <c r="J224" s="457">
        <v>142</v>
      </c>
      <c r="K224" s="450">
        <v>118</v>
      </c>
      <c r="L224" s="458">
        <f t="shared" si="122"/>
        <v>0.88198757763975155</v>
      </c>
      <c r="M224" s="449">
        <f t="shared" si="123"/>
        <v>0.65555555555555556</v>
      </c>
      <c r="N224" s="459">
        <v>161</v>
      </c>
      <c r="O224" s="459">
        <v>6</v>
      </c>
      <c r="P224" s="459"/>
      <c r="Q224" s="459"/>
      <c r="R224" s="460">
        <f t="shared" si="124"/>
        <v>6</v>
      </c>
      <c r="S224" s="391">
        <v>180</v>
      </c>
      <c r="T224" s="461">
        <v>14</v>
      </c>
      <c r="U224" s="461"/>
      <c r="V224" s="461"/>
      <c r="W224" s="462">
        <f t="shared" si="95"/>
        <v>14</v>
      </c>
      <c r="X224" s="463">
        <v>52</v>
      </c>
      <c r="Y224" s="457">
        <v>43</v>
      </c>
      <c r="Z224" s="464">
        <v>52</v>
      </c>
      <c r="AA224" s="464">
        <v>40</v>
      </c>
      <c r="AB224" s="465">
        <v>24</v>
      </c>
      <c r="AC224" s="457">
        <v>42</v>
      </c>
      <c r="AD224" s="464">
        <v>24</v>
      </c>
      <c r="AE224" s="466">
        <v>36</v>
      </c>
      <c r="AF224" s="465">
        <v>42</v>
      </c>
      <c r="AG224" s="457">
        <v>25</v>
      </c>
      <c r="AH224" s="464">
        <v>42</v>
      </c>
      <c r="AI224" s="466">
        <v>19</v>
      </c>
      <c r="AJ224" s="465">
        <v>43</v>
      </c>
      <c r="AK224" s="457">
        <v>10</v>
      </c>
      <c r="AL224" s="464">
        <v>43</v>
      </c>
      <c r="AM224" s="466">
        <v>16</v>
      </c>
      <c r="AN224" s="465">
        <v>9</v>
      </c>
      <c r="AO224" s="457">
        <v>9</v>
      </c>
      <c r="AP224" s="464">
        <v>54</v>
      </c>
      <c r="AQ224" s="464">
        <v>15</v>
      </c>
      <c r="AR224" s="460">
        <f t="shared" si="118"/>
        <v>5</v>
      </c>
      <c r="AS224" s="467">
        <f t="shared" si="119"/>
        <v>0.50628930817610063</v>
      </c>
      <c r="AT224" s="447">
        <f t="shared" si="120"/>
        <v>5</v>
      </c>
      <c r="AU224" s="448">
        <f t="shared" si="121"/>
        <v>0.59405940594059403</v>
      </c>
      <c r="AV224" s="457"/>
      <c r="AW224" s="450"/>
      <c r="AX224" s="463"/>
      <c r="AY224" s="457"/>
      <c r="AZ224" s="464"/>
      <c r="BA224" s="464"/>
      <c r="BB224" s="465"/>
      <c r="BC224" s="457"/>
      <c r="BD224" s="464"/>
      <c r="BE224" s="466"/>
      <c r="BF224" s="465"/>
      <c r="BG224" s="457"/>
      <c r="BH224" s="464"/>
      <c r="BI224" s="466"/>
      <c r="BJ224" s="465"/>
      <c r="BK224" s="457"/>
      <c r="BL224" s="464"/>
      <c r="BM224" s="466"/>
      <c r="BN224" s="465"/>
      <c r="BO224" s="457"/>
      <c r="BP224" s="464"/>
      <c r="BQ224" s="466"/>
      <c r="BR224" s="465"/>
      <c r="BS224" s="457"/>
      <c r="BT224" s="723"/>
      <c r="BU224" s="466"/>
      <c r="BV224" s="465"/>
      <c r="BW224" s="457"/>
      <c r="BX224" s="464"/>
      <c r="BY224" s="466"/>
      <c r="BZ224" s="465"/>
      <c r="CA224" s="457"/>
      <c r="CB224" s="464"/>
      <c r="CC224" s="466"/>
      <c r="CD224" s="465"/>
      <c r="CE224" s="457"/>
      <c r="CF224" s="464"/>
      <c r="CG224" s="466"/>
      <c r="CH224" s="465"/>
      <c r="CI224" s="457"/>
      <c r="CJ224" s="464"/>
      <c r="CK224" s="466"/>
      <c r="CL224" s="459"/>
      <c r="CM224" s="450"/>
      <c r="CN224" s="468">
        <f t="shared" si="125"/>
        <v>0</v>
      </c>
      <c r="CO224" s="468">
        <f t="shared" si="126"/>
        <v>0</v>
      </c>
      <c r="CP224" s="469">
        <f t="shared" si="127"/>
        <v>0</v>
      </c>
      <c r="CQ224" s="469">
        <f t="shared" si="128"/>
        <v>0</v>
      </c>
      <c r="CR224" s="463"/>
      <c r="CS224" s="457"/>
      <c r="CT224" s="464"/>
      <c r="CU224" s="464"/>
      <c r="CV224" s="465"/>
      <c r="CW224" s="457"/>
      <c r="CX224" s="464"/>
      <c r="CY224" s="466"/>
      <c r="CZ224" s="465"/>
      <c r="DA224" s="457"/>
      <c r="DB224" s="464"/>
      <c r="DC224" s="466"/>
      <c r="DD224" s="465"/>
      <c r="DE224" s="457"/>
      <c r="DF224" s="464"/>
      <c r="DG224" s="466"/>
      <c r="DH224" s="465"/>
      <c r="DI224" s="457"/>
      <c r="DJ224" s="464"/>
      <c r="DK224" s="466"/>
      <c r="DL224" s="465"/>
      <c r="DM224" s="457"/>
      <c r="DN224" s="464"/>
      <c r="DO224" s="466"/>
      <c r="DP224" s="465"/>
      <c r="DQ224" s="457"/>
      <c r="DR224" s="464"/>
      <c r="DS224" s="466"/>
      <c r="DT224" s="465"/>
      <c r="DU224" s="457"/>
      <c r="DV224" s="464"/>
      <c r="DW224" s="466"/>
      <c r="DX224" s="465"/>
      <c r="DY224" s="457"/>
      <c r="DZ224" s="464"/>
      <c r="EA224" s="466"/>
      <c r="EB224" s="465"/>
      <c r="EC224" s="457"/>
      <c r="ED224" s="464"/>
      <c r="EE224" s="466"/>
      <c r="EF224" s="459"/>
      <c r="EG224" s="450"/>
      <c r="EH224" s="460">
        <f t="shared" si="106"/>
        <v>0</v>
      </c>
      <c r="EI224" s="460">
        <f t="shared" si="107"/>
        <v>0</v>
      </c>
      <c r="EJ224" s="458">
        <f t="shared" si="108"/>
        <v>0</v>
      </c>
      <c r="EK224" s="470">
        <f t="shared" si="109"/>
        <v>0</v>
      </c>
      <c r="EL224" s="470">
        <f t="shared" si="110"/>
        <v>0</v>
      </c>
      <c r="EM224" s="449">
        <f t="shared" si="111"/>
        <v>0</v>
      </c>
      <c r="EN224" s="460">
        <f t="shared" si="112"/>
        <v>0</v>
      </c>
      <c r="EO224" s="469">
        <f t="shared" si="113"/>
        <v>0</v>
      </c>
      <c r="EP224" s="471"/>
      <c r="EQ224" s="450"/>
      <c r="ER224" s="471"/>
      <c r="ES224" s="450"/>
      <c r="ET224" s="471"/>
      <c r="EU224" s="450"/>
      <c r="EV224" s="471"/>
      <c r="EW224" s="450"/>
      <c r="EX224" s="471"/>
      <c r="EY224" s="450"/>
      <c r="EZ224" s="471"/>
      <c r="FA224" s="450"/>
      <c r="FB224" s="471"/>
      <c r="FC224" s="450"/>
      <c r="FD224" s="471"/>
      <c r="FE224" s="450"/>
      <c r="FF224" s="471"/>
      <c r="FG224" s="450"/>
      <c r="FH224" s="472"/>
      <c r="FI224" s="450"/>
      <c r="FJ224" s="468">
        <f t="shared" si="129"/>
        <v>0</v>
      </c>
      <c r="FK224" s="469">
        <f t="shared" si="130"/>
        <v>0</v>
      </c>
      <c r="FL224" s="472"/>
      <c r="FM224" s="450"/>
      <c r="FN224" s="460">
        <f t="shared" si="131"/>
        <v>318</v>
      </c>
      <c r="FO224" s="469">
        <f t="shared" si="132"/>
        <v>303</v>
      </c>
    </row>
    <row r="225" spans="1:171" x14ac:dyDescent="0.2">
      <c r="A225" s="513" t="s">
        <v>604</v>
      </c>
      <c r="B225" s="520" t="s">
        <v>619</v>
      </c>
      <c r="C225" s="521"/>
      <c r="D225" s="516">
        <v>437103</v>
      </c>
      <c r="E225" s="522">
        <v>8</v>
      </c>
      <c r="F225" s="532">
        <v>192</v>
      </c>
      <c r="G225" s="450">
        <v>199</v>
      </c>
      <c r="H225" s="457"/>
      <c r="I225" s="450"/>
      <c r="J225" s="457">
        <v>385</v>
      </c>
      <c r="K225" s="450">
        <v>397</v>
      </c>
      <c r="L225" s="458">
        <f t="shared" si="122"/>
        <v>0</v>
      </c>
      <c r="M225" s="449">
        <f t="shared" si="123"/>
        <v>0</v>
      </c>
      <c r="N225" s="459"/>
      <c r="O225" s="459"/>
      <c r="P225" s="459"/>
      <c r="Q225" s="459"/>
      <c r="R225" s="460">
        <f t="shared" si="124"/>
        <v>0</v>
      </c>
      <c r="S225" s="391"/>
      <c r="T225" s="461"/>
      <c r="U225" s="461"/>
      <c r="V225" s="461"/>
      <c r="W225" s="462">
        <f t="shared" si="95"/>
        <v>0</v>
      </c>
      <c r="X225" s="463"/>
      <c r="Y225" s="457"/>
      <c r="Z225" s="464"/>
      <c r="AA225" s="464"/>
      <c r="AB225" s="465"/>
      <c r="AC225" s="457"/>
      <c r="AD225" s="464"/>
      <c r="AE225" s="466"/>
      <c r="AF225" s="465"/>
      <c r="AG225" s="457"/>
      <c r="AH225" s="464"/>
      <c r="AI225" s="466"/>
      <c r="AJ225" s="465"/>
      <c r="AK225" s="457"/>
      <c r="AL225" s="464"/>
      <c r="AM225" s="466"/>
      <c r="AN225" s="465"/>
      <c r="AO225" s="457"/>
      <c r="AP225" s="464"/>
      <c r="AQ225" s="464"/>
      <c r="AR225" s="460">
        <f t="shared" si="118"/>
        <v>0</v>
      </c>
      <c r="AS225" s="467">
        <f t="shared" si="119"/>
        <v>0</v>
      </c>
      <c r="AT225" s="447">
        <f t="shared" si="120"/>
        <v>0</v>
      </c>
      <c r="AU225" s="448">
        <f t="shared" si="121"/>
        <v>0</v>
      </c>
      <c r="AV225" s="457"/>
      <c r="AW225" s="450"/>
      <c r="AX225" s="463"/>
      <c r="AY225" s="457"/>
      <c r="AZ225" s="464"/>
      <c r="BA225" s="464"/>
      <c r="BB225" s="465"/>
      <c r="BC225" s="457"/>
      <c r="BD225" s="464"/>
      <c r="BE225" s="466"/>
      <c r="BF225" s="465"/>
      <c r="BG225" s="457"/>
      <c r="BH225" s="464"/>
      <c r="BI225" s="466"/>
      <c r="BJ225" s="465"/>
      <c r="BK225" s="457"/>
      <c r="BL225" s="464"/>
      <c r="BM225" s="466"/>
      <c r="BN225" s="465"/>
      <c r="BO225" s="457"/>
      <c r="BP225" s="464"/>
      <c r="BQ225" s="466"/>
      <c r="BR225" s="465"/>
      <c r="BS225" s="457"/>
      <c r="BT225" s="723"/>
      <c r="BU225" s="466"/>
      <c r="BV225" s="465"/>
      <c r="BW225" s="457"/>
      <c r="BX225" s="464"/>
      <c r="BY225" s="466"/>
      <c r="BZ225" s="465"/>
      <c r="CA225" s="457"/>
      <c r="CB225" s="464"/>
      <c r="CC225" s="466"/>
      <c r="CD225" s="465"/>
      <c r="CE225" s="457"/>
      <c r="CF225" s="464"/>
      <c r="CG225" s="466"/>
      <c r="CH225" s="465"/>
      <c r="CI225" s="457"/>
      <c r="CJ225" s="464"/>
      <c r="CK225" s="466"/>
      <c r="CL225" s="459"/>
      <c r="CM225" s="450"/>
      <c r="CN225" s="468">
        <f t="shared" si="125"/>
        <v>0</v>
      </c>
      <c r="CO225" s="468">
        <f t="shared" si="126"/>
        <v>0</v>
      </c>
      <c r="CP225" s="469">
        <f t="shared" si="127"/>
        <v>0</v>
      </c>
      <c r="CQ225" s="469">
        <f t="shared" si="128"/>
        <v>0</v>
      </c>
      <c r="CR225" s="463"/>
      <c r="CS225" s="457"/>
      <c r="CT225" s="464"/>
      <c r="CU225" s="464"/>
      <c r="CV225" s="465"/>
      <c r="CW225" s="457"/>
      <c r="CX225" s="464"/>
      <c r="CY225" s="466"/>
      <c r="CZ225" s="465"/>
      <c r="DA225" s="457"/>
      <c r="DB225" s="464"/>
      <c r="DC225" s="466"/>
      <c r="DD225" s="465"/>
      <c r="DE225" s="457"/>
      <c r="DF225" s="464"/>
      <c r="DG225" s="466"/>
      <c r="DH225" s="465"/>
      <c r="DI225" s="457"/>
      <c r="DJ225" s="464"/>
      <c r="DK225" s="466"/>
      <c r="DL225" s="465"/>
      <c r="DM225" s="457"/>
      <c r="DN225" s="464"/>
      <c r="DO225" s="466"/>
      <c r="DP225" s="465"/>
      <c r="DQ225" s="457"/>
      <c r="DR225" s="464"/>
      <c r="DS225" s="466"/>
      <c r="DT225" s="465"/>
      <c r="DU225" s="457"/>
      <c r="DV225" s="464"/>
      <c r="DW225" s="466"/>
      <c r="DX225" s="465"/>
      <c r="DY225" s="457"/>
      <c r="DZ225" s="464"/>
      <c r="EA225" s="466"/>
      <c r="EB225" s="465"/>
      <c r="EC225" s="457"/>
      <c r="ED225" s="464"/>
      <c r="EE225" s="466"/>
      <c r="EF225" s="459"/>
      <c r="EG225" s="450"/>
      <c r="EH225" s="460">
        <f t="shared" si="106"/>
        <v>0</v>
      </c>
      <c r="EI225" s="460">
        <f t="shared" si="107"/>
        <v>0</v>
      </c>
      <c r="EJ225" s="458">
        <f t="shared" si="108"/>
        <v>0</v>
      </c>
      <c r="EK225" s="470">
        <f t="shared" si="109"/>
        <v>0</v>
      </c>
      <c r="EL225" s="470">
        <f t="shared" si="110"/>
        <v>0</v>
      </c>
      <c r="EM225" s="449">
        <f t="shared" si="111"/>
        <v>0</v>
      </c>
      <c r="EN225" s="460">
        <f t="shared" si="112"/>
        <v>0</v>
      </c>
      <c r="EO225" s="469">
        <f t="shared" si="113"/>
        <v>0</v>
      </c>
      <c r="EP225" s="471"/>
      <c r="EQ225" s="450"/>
      <c r="ER225" s="471"/>
      <c r="ES225" s="450"/>
      <c r="ET225" s="471"/>
      <c r="EU225" s="450"/>
      <c r="EV225" s="471"/>
      <c r="EW225" s="450"/>
      <c r="EX225" s="471"/>
      <c r="EY225" s="450"/>
      <c r="EZ225" s="471"/>
      <c r="FA225" s="450"/>
      <c r="FB225" s="471"/>
      <c r="FC225" s="450"/>
      <c r="FD225" s="471"/>
      <c r="FE225" s="450"/>
      <c r="FF225" s="471"/>
      <c r="FG225" s="450"/>
      <c r="FH225" s="472"/>
      <c r="FI225" s="450"/>
      <c r="FJ225" s="468">
        <f t="shared" si="129"/>
        <v>0</v>
      </c>
      <c r="FK225" s="469">
        <f t="shared" si="130"/>
        <v>0</v>
      </c>
      <c r="FL225" s="472"/>
      <c r="FM225" s="450"/>
      <c r="FN225" s="460">
        <f t="shared" si="131"/>
        <v>577</v>
      </c>
      <c r="FO225" s="469">
        <f t="shared" si="132"/>
        <v>596</v>
      </c>
    </row>
    <row r="226" spans="1:171" x14ac:dyDescent="0.2">
      <c r="A226" s="513" t="s">
        <v>604</v>
      </c>
      <c r="B226" s="514" t="s">
        <v>621</v>
      </c>
      <c r="C226" s="518" t="s">
        <v>641</v>
      </c>
      <c r="D226" s="516">
        <v>158431</v>
      </c>
      <c r="E226" s="519">
        <v>8</v>
      </c>
      <c r="F226" s="532">
        <v>336</v>
      </c>
      <c r="G226" s="450">
        <v>342</v>
      </c>
      <c r="H226" s="457"/>
      <c r="I226" s="450"/>
      <c r="J226" s="457">
        <v>554</v>
      </c>
      <c r="K226" s="450">
        <v>630</v>
      </c>
      <c r="L226" s="458">
        <f t="shared" si="122"/>
        <v>0</v>
      </c>
      <c r="M226" s="449">
        <f t="shared" si="123"/>
        <v>0</v>
      </c>
      <c r="N226" s="459"/>
      <c r="O226" s="459"/>
      <c r="P226" s="459"/>
      <c r="Q226" s="459"/>
      <c r="R226" s="460">
        <f t="shared" si="124"/>
        <v>0</v>
      </c>
      <c r="S226" s="391"/>
      <c r="T226" s="461"/>
      <c r="U226" s="461"/>
      <c r="V226" s="461"/>
      <c r="W226" s="462">
        <f t="shared" si="95"/>
        <v>0</v>
      </c>
      <c r="X226" s="463"/>
      <c r="Y226" s="457"/>
      <c r="Z226" s="464"/>
      <c r="AA226" s="464"/>
      <c r="AB226" s="465"/>
      <c r="AC226" s="457"/>
      <c r="AD226" s="464"/>
      <c r="AE226" s="466"/>
      <c r="AF226" s="465"/>
      <c r="AG226" s="457"/>
      <c r="AH226" s="464"/>
      <c r="AI226" s="466"/>
      <c r="AJ226" s="465"/>
      <c r="AK226" s="457"/>
      <c r="AL226" s="464"/>
      <c r="AM226" s="466"/>
      <c r="AN226" s="465"/>
      <c r="AO226" s="457"/>
      <c r="AP226" s="464"/>
      <c r="AQ226" s="464"/>
      <c r="AR226" s="460">
        <f t="shared" si="118"/>
        <v>0</v>
      </c>
      <c r="AS226" s="467">
        <f t="shared" si="119"/>
        <v>0</v>
      </c>
      <c r="AT226" s="447">
        <f t="shared" si="120"/>
        <v>0</v>
      </c>
      <c r="AU226" s="448">
        <f t="shared" si="121"/>
        <v>0</v>
      </c>
      <c r="AV226" s="457"/>
      <c r="AW226" s="450"/>
      <c r="AX226" s="463"/>
      <c r="AY226" s="457"/>
      <c r="AZ226" s="464"/>
      <c r="BA226" s="464"/>
      <c r="BB226" s="465"/>
      <c r="BC226" s="457"/>
      <c r="BD226" s="464"/>
      <c r="BE226" s="466"/>
      <c r="BF226" s="465"/>
      <c r="BG226" s="457"/>
      <c r="BH226" s="464"/>
      <c r="BI226" s="466"/>
      <c r="BJ226" s="465"/>
      <c r="BK226" s="457"/>
      <c r="BL226" s="464"/>
      <c r="BM226" s="466"/>
      <c r="BN226" s="465"/>
      <c r="BO226" s="457"/>
      <c r="BP226" s="464"/>
      <c r="BQ226" s="466"/>
      <c r="BR226" s="465"/>
      <c r="BS226" s="457"/>
      <c r="BT226" s="723"/>
      <c r="BU226" s="466"/>
      <c r="BV226" s="465"/>
      <c r="BW226" s="457"/>
      <c r="BX226" s="464"/>
      <c r="BY226" s="466"/>
      <c r="BZ226" s="465"/>
      <c r="CA226" s="457"/>
      <c r="CB226" s="464"/>
      <c r="CC226" s="466"/>
      <c r="CD226" s="465"/>
      <c r="CE226" s="457"/>
      <c r="CF226" s="464"/>
      <c r="CG226" s="466"/>
      <c r="CH226" s="465"/>
      <c r="CI226" s="457"/>
      <c r="CJ226" s="464"/>
      <c r="CK226" s="466"/>
      <c r="CL226" s="459"/>
      <c r="CM226" s="450"/>
      <c r="CN226" s="468">
        <f t="shared" si="125"/>
        <v>0</v>
      </c>
      <c r="CO226" s="468">
        <f t="shared" si="126"/>
        <v>0</v>
      </c>
      <c r="CP226" s="469">
        <f t="shared" si="127"/>
        <v>0</v>
      </c>
      <c r="CQ226" s="469">
        <f t="shared" si="128"/>
        <v>0</v>
      </c>
      <c r="CR226" s="463"/>
      <c r="CS226" s="457"/>
      <c r="CT226" s="464"/>
      <c r="CU226" s="464"/>
      <c r="CV226" s="465"/>
      <c r="CW226" s="457"/>
      <c r="CX226" s="464"/>
      <c r="CY226" s="466"/>
      <c r="CZ226" s="465"/>
      <c r="DA226" s="457"/>
      <c r="DB226" s="464"/>
      <c r="DC226" s="466"/>
      <c r="DD226" s="465"/>
      <c r="DE226" s="457"/>
      <c r="DF226" s="464"/>
      <c r="DG226" s="466"/>
      <c r="DH226" s="465"/>
      <c r="DI226" s="457"/>
      <c r="DJ226" s="464"/>
      <c r="DK226" s="466"/>
      <c r="DL226" s="465"/>
      <c r="DM226" s="457"/>
      <c r="DN226" s="464"/>
      <c r="DO226" s="466"/>
      <c r="DP226" s="465"/>
      <c r="DQ226" s="457"/>
      <c r="DR226" s="464"/>
      <c r="DS226" s="466"/>
      <c r="DT226" s="465"/>
      <c r="DU226" s="457"/>
      <c r="DV226" s="464"/>
      <c r="DW226" s="466"/>
      <c r="DX226" s="465"/>
      <c r="DY226" s="457"/>
      <c r="DZ226" s="464"/>
      <c r="EA226" s="466"/>
      <c r="EB226" s="465"/>
      <c r="EC226" s="457"/>
      <c r="ED226" s="464"/>
      <c r="EE226" s="466"/>
      <c r="EF226" s="459"/>
      <c r="EG226" s="450"/>
      <c r="EH226" s="460">
        <f t="shared" si="106"/>
        <v>0</v>
      </c>
      <c r="EI226" s="460">
        <f t="shared" si="107"/>
        <v>0</v>
      </c>
      <c r="EJ226" s="458">
        <f t="shared" si="108"/>
        <v>0</v>
      </c>
      <c r="EK226" s="470">
        <f t="shared" si="109"/>
        <v>0</v>
      </c>
      <c r="EL226" s="470">
        <f t="shared" si="110"/>
        <v>0</v>
      </c>
      <c r="EM226" s="449">
        <f t="shared" si="111"/>
        <v>0</v>
      </c>
      <c r="EN226" s="460">
        <f t="shared" si="112"/>
        <v>0</v>
      </c>
      <c r="EO226" s="469">
        <f t="shared" si="113"/>
        <v>0</v>
      </c>
      <c r="EP226" s="471"/>
      <c r="EQ226" s="450"/>
      <c r="ER226" s="471"/>
      <c r="ES226" s="450"/>
      <c r="ET226" s="471"/>
      <c r="EU226" s="450"/>
      <c r="EV226" s="471"/>
      <c r="EW226" s="450"/>
      <c r="EX226" s="471"/>
      <c r="EY226" s="450"/>
      <c r="EZ226" s="471"/>
      <c r="FA226" s="450"/>
      <c r="FB226" s="471"/>
      <c r="FC226" s="450"/>
      <c r="FD226" s="471"/>
      <c r="FE226" s="450"/>
      <c r="FF226" s="471"/>
      <c r="FG226" s="450"/>
      <c r="FH226" s="472"/>
      <c r="FI226" s="450"/>
      <c r="FJ226" s="468">
        <f t="shared" si="129"/>
        <v>0</v>
      </c>
      <c r="FK226" s="469">
        <f t="shared" si="130"/>
        <v>0</v>
      </c>
      <c r="FL226" s="472"/>
      <c r="FM226" s="450"/>
      <c r="FN226" s="460">
        <f t="shared" si="131"/>
        <v>890</v>
      </c>
      <c r="FO226" s="469">
        <f t="shared" si="132"/>
        <v>972</v>
      </c>
    </row>
    <row r="227" spans="1:171" x14ac:dyDescent="0.2">
      <c r="A227" s="513" t="s">
        <v>604</v>
      </c>
      <c r="B227" s="520" t="s">
        <v>620</v>
      </c>
      <c r="C227" s="521"/>
      <c r="D227" s="516">
        <v>158662</v>
      </c>
      <c r="E227" s="523">
        <v>8</v>
      </c>
      <c r="F227" s="532">
        <v>311</v>
      </c>
      <c r="G227" s="450">
        <v>856</v>
      </c>
      <c r="H227" s="457">
        <v>25</v>
      </c>
      <c r="I227" s="450">
        <v>18</v>
      </c>
      <c r="J227" s="457">
        <v>1116</v>
      </c>
      <c r="K227" s="450">
        <v>1253</v>
      </c>
      <c r="L227" s="458">
        <f t="shared" si="122"/>
        <v>0</v>
      </c>
      <c r="M227" s="449">
        <f t="shared" si="123"/>
        <v>0</v>
      </c>
      <c r="N227" s="459"/>
      <c r="O227" s="459"/>
      <c r="P227" s="459"/>
      <c r="Q227" s="459"/>
      <c r="R227" s="460">
        <f t="shared" si="124"/>
        <v>0</v>
      </c>
      <c r="S227" s="391"/>
      <c r="T227" s="461"/>
      <c r="U227" s="461"/>
      <c r="V227" s="461"/>
      <c r="W227" s="462">
        <f t="shared" si="95"/>
        <v>0</v>
      </c>
      <c r="X227" s="463"/>
      <c r="Y227" s="457"/>
      <c r="Z227" s="464"/>
      <c r="AA227" s="464"/>
      <c r="AB227" s="465"/>
      <c r="AC227" s="457"/>
      <c r="AD227" s="464"/>
      <c r="AE227" s="466"/>
      <c r="AF227" s="465"/>
      <c r="AG227" s="457"/>
      <c r="AH227" s="464"/>
      <c r="AI227" s="466"/>
      <c r="AJ227" s="465"/>
      <c r="AK227" s="457"/>
      <c r="AL227" s="464"/>
      <c r="AM227" s="466"/>
      <c r="AN227" s="465"/>
      <c r="AO227" s="457"/>
      <c r="AP227" s="464"/>
      <c r="AQ227" s="464"/>
      <c r="AR227" s="460">
        <f t="shared" si="118"/>
        <v>0</v>
      </c>
      <c r="AS227" s="467">
        <f t="shared" si="119"/>
        <v>0</v>
      </c>
      <c r="AT227" s="447">
        <f t="shared" si="120"/>
        <v>0</v>
      </c>
      <c r="AU227" s="448">
        <f t="shared" si="121"/>
        <v>0</v>
      </c>
      <c r="AV227" s="457"/>
      <c r="AW227" s="450"/>
      <c r="AX227" s="463"/>
      <c r="AY227" s="457"/>
      <c r="AZ227" s="464"/>
      <c r="BA227" s="464"/>
      <c r="BB227" s="465"/>
      <c r="BC227" s="457"/>
      <c r="BD227" s="464"/>
      <c r="BE227" s="466"/>
      <c r="BF227" s="465"/>
      <c r="BG227" s="457"/>
      <c r="BH227" s="464"/>
      <c r="BI227" s="466"/>
      <c r="BJ227" s="465"/>
      <c r="BK227" s="457"/>
      <c r="BL227" s="464"/>
      <c r="BM227" s="466"/>
      <c r="BN227" s="465"/>
      <c r="BO227" s="457"/>
      <c r="BP227" s="464"/>
      <c r="BQ227" s="466"/>
      <c r="BR227" s="465"/>
      <c r="BS227" s="457"/>
      <c r="BT227" s="723"/>
      <c r="BU227" s="466"/>
      <c r="BV227" s="465"/>
      <c r="BW227" s="457"/>
      <c r="BX227" s="464"/>
      <c r="BY227" s="466"/>
      <c r="BZ227" s="465"/>
      <c r="CA227" s="457"/>
      <c r="CB227" s="464"/>
      <c r="CC227" s="466"/>
      <c r="CD227" s="465"/>
      <c r="CE227" s="457"/>
      <c r="CF227" s="464"/>
      <c r="CG227" s="466"/>
      <c r="CH227" s="465"/>
      <c r="CI227" s="457"/>
      <c r="CJ227" s="464"/>
      <c r="CK227" s="466"/>
      <c r="CL227" s="459"/>
      <c r="CM227" s="450"/>
      <c r="CN227" s="468">
        <f t="shared" si="125"/>
        <v>0</v>
      </c>
      <c r="CO227" s="468">
        <f t="shared" si="126"/>
        <v>0</v>
      </c>
      <c r="CP227" s="469">
        <f t="shared" si="127"/>
        <v>0</v>
      </c>
      <c r="CQ227" s="469">
        <f t="shared" si="128"/>
        <v>0</v>
      </c>
      <c r="CR227" s="463"/>
      <c r="CS227" s="457"/>
      <c r="CT227" s="464"/>
      <c r="CU227" s="464"/>
      <c r="CV227" s="465"/>
      <c r="CW227" s="457"/>
      <c r="CX227" s="464"/>
      <c r="CY227" s="466"/>
      <c r="CZ227" s="465"/>
      <c r="DA227" s="457"/>
      <c r="DB227" s="464"/>
      <c r="DC227" s="466"/>
      <c r="DD227" s="465"/>
      <c r="DE227" s="457"/>
      <c r="DF227" s="464"/>
      <c r="DG227" s="466"/>
      <c r="DH227" s="465"/>
      <c r="DI227" s="457"/>
      <c r="DJ227" s="464"/>
      <c r="DK227" s="466"/>
      <c r="DL227" s="465"/>
      <c r="DM227" s="457"/>
      <c r="DN227" s="464"/>
      <c r="DO227" s="466"/>
      <c r="DP227" s="465"/>
      <c r="DQ227" s="457"/>
      <c r="DR227" s="464"/>
      <c r="DS227" s="466"/>
      <c r="DT227" s="465"/>
      <c r="DU227" s="457"/>
      <c r="DV227" s="464"/>
      <c r="DW227" s="466"/>
      <c r="DX227" s="465"/>
      <c r="DY227" s="457"/>
      <c r="DZ227" s="464"/>
      <c r="EA227" s="466"/>
      <c r="EB227" s="465"/>
      <c r="EC227" s="457"/>
      <c r="ED227" s="464"/>
      <c r="EE227" s="466"/>
      <c r="EF227" s="459"/>
      <c r="EG227" s="450"/>
      <c r="EH227" s="460">
        <f t="shared" si="106"/>
        <v>0</v>
      </c>
      <c r="EI227" s="460">
        <f t="shared" si="107"/>
        <v>0</v>
      </c>
      <c r="EJ227" s="458">
        <f t="shared" si="108"/>
        <v>0</v>
      </c>
      <c r="EK227" s="470">
        <f t="shared" si="109"/>
        <v>0</v>
      </c>
      <c r="EL227" s="470">
        <f t="shared" si="110"/>
        <v>0</v>
      </c>
      <c r="EM227" s="449">
        <f t="shared" si="111"/>
        <v>0</v>
      </c>
      <c r="EN227" s="460">
        <f t="shared" si="112"/>
        <v>0</v>
      </c>
      <c r="EO227" s="469">
        <f t="shared" si="113"/>
        <v>0</v>
      </c>
      <c r="EP227" s="471"/>
      <c r="EQ227" s="450"/>
      <c r="ER227" s="471"/>
      <c r="ES227" s="450"/>
      <c r="ET227" s="471"/>
      <c r="EU227" s="450"/>
      <c r="EV227" s="471"/>
      <c r="EW227" s="450"/>
      <c r="EX227" s="471"/>
      <c r="EY227" s="450"/>
      <c r="EZ227" s="471"/>
      <c r="FA227" s="450"/>
      <c r="FB227" s="471"/>
      <c r="FC227" s="450"/>
      <c r="FD227" s="471"/>
      <c r="FE227" s="450"/>
      <c r="FF227" s="471"/>
      <c r="FG227" s="450"/>
      <c r="FH227" s="472"/>
      <c r="FI227" s="450"/>
      <c r="FJ227" s="468">
        <f t="shared" si="129"/>
        <v>0</v>
      </c>
      <c r="FK227" s="469">
        <f t="shared" si="130"/>
        <v>0</v>
      </c>
      <c r="FL227" s="472"/>
      <c r="FM227" s="450"/>
      <c r="FN227" s="460">
        <f t="shared" si="131"/>
        <v>1452</v>
      </c>
      <c r="FO227" s="469">
        <f t="shared" si="132"/>
        <v>2127</v>
      </c>
    </row>
    <row r="228" spans="1:171" x14ac:dyDescent="0.2">
      <c r="A228" s="513" t="s">
        <v>604</v>
      </c>
      <c r="B228" s="524" t="s">
        <v>622</v>
      </c>
      <c r="C228" s="525"/>
      <c r="D228" s="516">
        <v>159407</v>
      </c>
      <c r="E228" s="517">
        <v>9</v>
      </c>
      <c r="F228" s="532">
        <v>19</v>
      </c>
      <c r="G228" s="450">
        <v>14</v>
      </c>
      <c r="H228" s="457"/>
      <c r="I228" s="450"/>
      <c r="J228" s="457">
        <v>270</v>
      </c>
      <c r="K228" s="450">
        <v>275</v>
      </c>
      <c r="L228" s="458">
        <f t="shared" si="122"/>
        <v>0</v>
      </c>
      <c r="M228" s="449">
        <f t="shared" si="123"/>
        <v>0</v>
      </c>
      <c r="N228" s="459"/>
      <c r="O228" s="459"/>
      <c r="P228" s="459"/>
      <c r="Q228" s="459"/>
      <c r="R228" s="460">
        <f t="shared" si="124"/>
        <v>0</v>
      </c>
      <c r="S228" s="391"/>
      <c r="T228" s="461"/>
      <c r="U228" s="461"/>
      <c r="V228" s="461"/>
      <c r="W228" s="462">
        <f t="shared" si="95"/>
        <v>0</v>
      </c>
      <c r="X228" s="463"/>
      <c r="Y228" s="457"/>
      <c r="Z228" s="464"/>
      <c r="AA228" s="464"/>
      <c r="AB228" s="465"/>
      <c r="AC228" s="457"/>
      <c r="AD228" s="464"/>
      <c r="AE228" s="466"/>
      <c r="AF228" s="465"/>
      <c r="AG228" s="457"/>
      <c r="AH228" s="464"/>
      <c r="AI228" s="466"/>
      <c r="AJ228" s="465"/>
      <c r="AK228" s="457"/>
      <c r="AL228" s="464"/>
      <c r="AM228" s="466"/>
      <c r="AN228" s="465"/>
      <c r="AO228" s="457"/>
      <c r="AP228" s="464"/>
      <c r="AQ228" s="464"/>
      <c r="AR228" s="460">
        <f t="shared" si="118"/>
        <v>0</v>
      </c>
      <c r="AS228" s="467">
        <f t="shared" si="119"/>
        <v>0</v>
      </c>
      <c r="AT228" s="447">
        <f t="shared" si="120"/>
        <v>0</v>
      </c>
      <c r="AU228" s="448">
        <f t="shared" si="121"/>
        <v>0</v>
      </c>
      <c r="AV228" s="457"/>
      <c r="AW228" s="450"/>
      <c r="AX228" s="463"/>
      <c r="AY228" s="457"/>
      <c r="AZ228" s="464"/>
      <c r="BA228" s="464"/>
      <c r="BB228" s="465"/>
      <c r="BC228" s="457"/>
      <c r="BD228" s="464"/>
      <c r="BE228" s="466"/>
      <c r="BF228" s="465"/>
      <c r="BG228" s="457"/>
      <c r="BH228" s="464"/>
      <c r="BI228" s="466"/>
      <c r="BJ228" s="465"/>
      <c r="BK228" s="457"/>
      <c r="BL228" s="464"/>
      <c r="BM228" s="466"/>
      <c r="BN228" s="465"/>
      <c r="BO228" s="457"/>
      <c r="BP228" s="464"/>
      <c r="BQ228" s="466"/>
      <c r="BR228" s="465"/>
      <c r="BS228" s="457"/>
      <c r="BT228" s="723"/>
      <c r="BU228" s="466"/>
      <c r="BV228" s="465"/>
      <c r="BW228" s="457"/>
      <c r="BX228" s="464"/>
      <c r="BY228" s="466"/>
      <c r="BZ228" s="465"/>
      <c r="CA228" s="457"/>
      <c r="CB228" s="464"/>
      <c r="CC228" s="466"/>
      <c r="CD228" s="465"/>
      <c r="CE228" s="457"/>
      <c r="CF228" s="464"/>
      <c r="CG228" s="466"/>
      <c r="CH228" s="465"/>
      <c r="CI228" s="457"/>
      <c r="CJ228" s="464"/>
      <c r="CK228" s="466"/>
      <c r="CL228" s="459"/>
      <c r="CM228" s="450"/>
      <c r="CN228" s="468">
        <f t="shared" si="125"/>
        <v>0</v>
      </c>
      <c r="CO228" s="468">
        <f t="shared" si="126"/>
        <v>0</v>
      </c>
      <c r="CP228" s="469">
        <f t="shared" si="127"/>
        <v>0</v>
      </c>
      <c r="CQ228" s="469">
        <f t="shared" si="128"/>
        <v>0</v>
      </c>
      <c r="CR228" s="463"/>
      <c r="CS228" s="457"/>
      <c r="CT228" s="464"/>
      <c r="CU228" s="464"/>
      <c r="CV228" s="465"/>
      <c r="CW228" s="457"/>
      <c r="CX228" s="464"/>
      <c r="CY228" s="466"/>
      <c r="CZ228" s="465"/>
      <c r="DA228" s="457"/>
      <c r="DB228" s="464"/>
      <c r="DC228" s="466"/>
      <c r="DD228" s="465"/>
      <c r="DE228" s="457"/>
      <c r="DF228" s="464"/>
      <c r="DG228" s="466"/>
      <c r="DH228" s="465"/>
      <c r="DI228" s="457"/>
      <c r="DJ228" s="464"/>
      <c r="DK228" s="466"/>
      <c r="DL228" s="465"/>
      <c r="DM228" s="457"/>
      <c r="DN228" s="464"/>
      <c r="DO228" s="466"/>
      <c r="DP228" s="465"/>
      <c r="DQ228" s="457"/>
      <c r="DR228" s="464"/>
      <c r="DS228" s="466"/>
      <c r="DT228" s="465"/>
      <c r="DU228" s="457"/>
      <c r="DV228" s="464"/>
      <c r="DW228" s="466"/>
      <c r="DX228" s="465"/>
      <c r="DY228" s="457"/>
      <c r="DZ228" s="464"/>
      <c r="EA228" s="466"/>
      <c r="EB228" s="465"/>
      <c r="EC228" s="457"/>
      <c r="ED228" s="464"/>
      <c r="EE228" s="466"/>
      <c r="EF228" s="459"/>
      <c r="EG228" s="450"/>
      <c r="EH228" s="460">
        <f t="shared" si="106"/>
        <v>0</v>
      </c>
      <c r="EI228" s="460">
        <f t="shared" si="107"/>
        <v>0</v>
      </c>
      <c r="EJ228" s="458">
        <f t="shared" si="108"/>
        <v>0</v>
      </c>
      <c r="EK228" s="470">
        <f t="shared" si="109"/>
        <v>0</v>
      </c>
      <c r="EL228" s="470">
        <f t="shared" si="110"/>
        <v>0</v>
      </c>
      <c r="EM228" s="449">
        <f t="shared" si="111"/>
        <v>0</v>
      </c>
      <c r="EN228" s="460">
        <f t="shared" si="112"/>
        <v>0</v>
      </c>
      <c r="EO228" s="469">
        <f t="shared" si="113"/>
        <v>0</v>
      </c>
      <c r="EP228" s="471"/>
      <c r="EQ228" s="450"/>
      <c r="ER228" s="471"/>
      <c r="ES228" s="450"/>
      <c r="ET228" s="471"/>
      <c r="EU228" s="450"/>
      <c r="EV228" s="471"/>
      <c r="EW228" s="450"/>
      <c r="EX228" s="471"/>
      <c r="EY228" s="450"/>
      <c r="EZ228" s="471"/>
      <c r="FA228" s="450"/>
      <c r="FB228" s="471"/>
      <c r="FC228" s="450"/>
      <c r="FD228" s="471"/>
      <c r="FE228" s="450"/>
      <c r="FF228" s="471"/>
      <c r="FG228" s="450"/>
      <c r="FH228" s="472"/>
      <c r="FI228" s="450"/>
      <c r="FJ228" s="468">
        <f t="shared" si="129"/>
        <v>0</v>
      </c>
      <c r="FK228" s="469">
        <f t="shared" si="130"/>
        <v>0</v>
      </c>
      <c r="FL228" s="472"/>
      <c r="FM228" s="450"/>
      <c r="FN228" s="460">
        <f t="shared" si="131"/>
        <v>289</v>
      </c>
      <c r="FO228" s="469">
        <f t="shared" si="132"/>
        <v>289</v>
      </c>
    </row>
    <row r="229" spans="1:171" x14ac:dyDescent="0.2">
      <c r="A229" s="513" t="s">
        <v>604</v>
      </c>
      <c r="B229" s="520" t="s">
        <v>623</v>
      </c>
      <c r="C229" s="521" t="s">
        <v>642</v>
      </c>
      <c r="D229" s="516">
        <v>434061</v>
      </c>
      <c r="E229" s="522">
        <v>9</v>
      </c>
      <c r="F229" s="532">
        <v>279</v>
      </c>
      <c r="G229" s="450">
        <v>295</v>
      </c>
      <c r="H229" s="457"/>
      <c r="I229" s="450"/>
      <c r="J229" s="457">
        <v>211</v>
      </c>
      <c r="K229" s="450">
        <v>284</v>
      </c>
      <c r="L229" s="458">
        <f t="shared" si="122"/>
        <v>0</v>
      </c>
      <c r="M229" s="449">
        <f t="shared" si="123"/>
        <v>0</v>
      </c>
      <c r="N229" s="459"/>
      <c r="O229" s="459"/>
      <c r="P229" s="459"/>
      <c r="Q229" s="459"/>
      <c r="R229" s="460">
        <f t="shared" si="124"/>
        <v>0</v>
      </c>
      <c r="S229" s="391"/>
      <c r="T229" s="461"/>
      <c r="U229" s="461"/>
      <c r="V229" s="461"/>
      <c r="W229" s="462">
        <f t="shared" si="95"/>
        <v>0</v>
      </c>
      <c r="X229" s="463"/>
      <c r="Y229" s="457"/>
      <c r="Z229" s="464"/>
      <c r="AA229" s="464"/>
      <c r="AB229" s="465"/>
      <c r="AC229" s="457"/>
      <c r="AD229" s="464"/>
      <c r="AE229" s="466"/>
      <c r="AF229" s="465"/>
      <c r="AG229" s="457"/>
      <c r="AH229" s="464"/>
      <c r="AI229" s="466"/>
      <c r="AJ229" s="465"/>
      <c r="AK229" s="457"/>
      <c r="AL229" s="464"/>
      <c r="AM229" s="466"/>
      <c r="AN229" s="465"/>
      <c r="AO229" s="457"/>
      <c r="AP229" s="464"/>
      <c r="AQ229" s="464"/>
      <c r="AR229" s="460">
        <f t="shared" si="118"/>
        <v>0</v>
      </c>
      <c r="AS229" s="467">
        <f t="shared" si="119"/>
        <v>0</v>
      </c>
      <c r="AT229" s="447">
        <f t="shared" si="120"/>
        <v>0</v>
      </c>
      <c r="AU229" s="448">
        <f t="shared" si="121"/>
        <v>0</v>
      </c>
      <c r="AV229" s="457"/>
      <c r="AW229" s="450"/>
      <c r="AX229" s="463"/>
      <c r="AY229" s="457"/>
      <c r="AZ229" s="464"/>
      <c r="BA229" s="464"/>
      <c r="BB229" s="465"/>
      <c r="BC229" s="457"/>
      <c r="BD229" s="464"/>
      <c r="BE229" s="466"/>
      <c r="BF229" s="465"/>
      <c r="BG229" s="457"/>
      <c r="BH229" s="464"/>
      <c r="BI229" s="466"/>
      <c r="BJ229" s="465"/>
      <c r="BK229" s="457"/>
      <c r="BL229" s="464"/>
      <c r="BM229" s="466"/>
      <c r="BN229" s="465"/>
      <c r="BO229" s="457"/>
      <c r="BP229" s="464"/>
      <c r="BQ229" s="466"/>
      <c r="BR229" s="465"/>
      <c r="BS229" s="457"/>
      <c r="BT229" s="723"/>
      <c r="BU229" s="466"/>
      <c r="BV229" s="465"/>
      <c r="BW229" s="457"/>
      <c r="BX229" s="464"/>
      <c r="BY229" s="466"/>
      <c r="BZ229" s="465"/>
      <c r="CA229" s="457"/>
      <c r="CB229" s="464"/>
      <c r="CC229" s="466"/>
      <c r="CD229" s="465"/>
      <c r="CE229" s="457"/>
      <c r="CF229" s="464"/>
      <c r="CG229" s="466"/>
      <c r="CH229" s="465"/>
      <c r="CI229" s="457"/>
      <c r="CJ229" s="464"/>
      <c r="CK229" s="466"/>
      <c r="CL229" s="459"/>
      <c r="CM229" s="450"/>
      <c r="CN229" s="468">
        <f t="shared" si="125"/>
        <v>0</v>
      </c>
      <c r="CO229" s="468">
        <f t="shared" si="126"/>
        <v>0</v>
      </c>
      <c r="CP229" s="469">
        <f t="shared" si="127"/>
        <v>0</v>
      </c>
      <c r="CQ229" s="469">
        <f t="shared" si="128"/>
        <v>0</v>
      </c>
      <c r="CR229" s="463"/>
      <c r="CS229" s="457"/>
      <c r="CT229" s="464"/>
      <c r="CU229" s="464"/>
      <c r="CV229" s="465"/>
      <c r="CW229" s="457"/>
      <c r="CX229" s="464"/>
      <c r="CY229" s="466"/>
      <c r="CZ229" s="465"/>
      <c r="DA229" s="457"/>
      <c r="DB229" s="464"/>
      <c r="DC229" s="466"/>
      <c r="DD229" s="465"/>
      <c r="DE229" s="457"/>
      <c r="DF229" s="464"/>
      <c r="DG229" s="466"/>
      <c r="DH229" s="465"/>
      <c r="DI229" s="457"/>
      <c r="DJ229" s="464"/>
      <c r="DK229" s="466"/>
      <c r="DL229" s="465"/>
      <c r="DM229" s="457"/>
      <c r="DN229" s="464"/>
      <c r="DO229" s="466"/>
      <c r="DP229" s="465"/>
      <c r="DQ229" s="457"/>
      <c r="DR229" s="464"/>
      <c r="DS229" s="466"/>
      <c r="DT229" s="465"/>
      <c r="DU229" s="457"/>
      <c r="DV229" s="464"/>
      <c r="DW229" s="466"/>
      <c r="DX229" s="465"/>
      <c r="DY229" s="457"/>
      <c r="DZ229" s="464"/>
      <c r="EA229" s="466"/>
      <c r="EB229" s="465"/>
      <c r="EC229" s="457"/>
      <c r="ED229" s="464"/>
      <c r="EE229" s="466"/>
      <c r="EF229" s="459"/>
      <c r="EG229" s="450"/>
      <c r="EH229" s="460">
        <f t="shared" si="106"/>
        <v>0</v>
      </c>
      <c r="EI229" s="460">
        <f t="shared" si="107"/>
        <v>0</v>
      </c>
      <c r="EJ229" s="458">
        <f t="shared" si="108"/>
        <v>0</v>
      </c>
      <c r="EK229" s="470">
        <f t="shared" si="109"/>
        <v>0</v>
      </c>
      <c r="EL229" s="470">
        <f t="shared" si="110"/>
        <v>0</v>
      </c>
      <c r="EM229" s="449">
        <f t="shared" si="111"/>
        <v>0</v>
      </c>
      <c r="EN229" s="460">
        <f t="shared" si="112"/>
        <v>0</v>
      </c>
      <c r="EO229" s="469">
        <f t="shared" si="113"/>
        <v>0</v>
      </c>
      <c r="EP229" s="471"/>
      <c r="EQ229" s="450"/>
      <c r="ER229" s="471"/>
      <c r="ES229" s="450"/>
      <c r="ET229" s="471"/>
      <c r="EU229" s="450"/>
      <c r="EV229" s="471"/>
      <c r="EW229" s="450"/>
      <c r="EX229" s="471"/>
      <c r="EY229" s="450"/>
      <c r="EZ229" s="471"/>
      <c r="FA229" s="450"/>
      <c r="FB229" s="471"/>
      <c r="FC229" s="450"/>
      <c r="FD229" s="471"/>
      <c r="FE229" s="450"/>
      <c r="FF229" s="471"/>
      <c r="FG229" s="450"/>
      <c r="FH229" s="472"/>
      <c r="FI229" s="450"/>
      <c r="FJ229" s="468">
        <f t="shared" si="129"/>
        <v>0</v>
      </c>
      <c r="FK229" s="469">
        <f t="shared" si="130"/>
        <v>0</v>
      </c>
      <c r="FL229" s="472"/>
      <c r="FM229" s="450"/>
      <c r="FN229" s="460">
        <f t="shared" si="131"/>
        <v>490</v>
      </c>
      <c r="FO229" s="469">
        <f t="shared" si="132"/>
        <v>579</v>
      </c>
    </row>
    <row r="230" spans="1:171" x14ac:dyDescent="0.2">
      <c r="A230" s="513" t="s">
        <v>604</v>
      </c>
      <c r="B230" s="520" t="s">
        <v>624</v>
      </c>
      <c r="C230" s="515" t="s">
        <v>643</v>
      </c>
      <c r="D230" s="516">
        <v>440624</v>
      </c>
      <c r="E230" s="517">
        <v>10</v>
      </c>
      <c r="F230" s="532">
        <v>61</v>
      </c>
      <c r="G230" s="450">
        <v>153</v>
      </c>
      <c r="H230" s="457"/>
      <c r="I230" s="450"/>
      <c r="J230" s="457">
        <v>125</v>
      </c>
      <c r="K230" s="450">
        <v>117</v>
      </c>
      <c r="L230" s="458">
        <f t="shared" si="122"/>
        <v>0</v>
      </c>
      <c r="M230" s="449">
        <f t="shared" si="123"/>
        <v>0</v>
      </c>
      <c r="N230" s="459"/>
      <c r="O230" s="459"/>
      <c r="P230" s="459"/>
      <c r="Q230" s="459"/>
      <c r="R230" s="460">
        <f t="shared" si="124"/>
        <v>0</v>
      </c>
      <c r="S230" s="391"/>
      <c r="T230" s="461"/>
      <c r="U230" s="461"/>
      <c r="V230" s="461"/>
      <c r="W230" s="462">
        <f t="shared" si="95"/>
        <v>0</v>
      </c>
      <c r="X230" s="463"/>
      <c r="Y230" s="457"/>
      <c r="Z230" s="464"/>
      <c r="AA230" s="464"/>
      <c r="AB230" s="465"/>
      <c r="AC230" s="457"/>
      <c r="AD230" s="464"/>
      <c r="AE230" s="466"/>
      <c r="AF230" s="465"/>
      <c r="AG230" s="457"/>
      <c r="AH230" s="464"/>
      <c r="AI230" s="466"/>
      <c r="AJ230" s="465"/>
      <c r="AK230" s="457"/>
      <c r="AL230" s="464"/>
      <c r="AM230" s="466"/>
      <c r="AN230" s="465"/>
      <c r="AO230" s="457"/>
      <c r="AP230" s="464"/>
      <c r="AQ230" s="464"/>
      <c r="AR230" s="460">
        <f t="shared" si="118"/>
        <v>0</v>
      </c>
      <c r="AS230" s="467">
        <f t="shared" si="119"/>
        <v>0</v>
      </c>
      <c r="AT230" s="447">
        <f t="shared" si="120"/>
        <v>0</v>
      </c>
      <c r="AU230" s="448">
        <f t="shared" si="121"/>
        <v>0</v>
      </c>
      <c r="AV230" s="457"/>
      <c r="AW230" s="450"/>
      <c r="AX230" s="463"/>
      <c r="AY230" s="457"/>
      <c r="AZ230" s="464"/>
      <c r="BA230" s="464"/>
      <c r="BB230" s="465"/>
      <c r="BC230" s="457"/>
      <c r="BD230" s="464"/>
      <c r="BE230" s="466"/>
      <c r="BF230" s="465"/>
      <c r="BG230" s="457"/>
      <c r="BH230" s="464"/>
      <c r="BI230" s="466"/>
      <c r="BJ230" s="465"/>
      <c r="BK230" s="457"/>
      <c r="BL230" s="464"/>
      <c r="BM230" s="466"/>
      <c r="BN230" s="465"/>
      <c r="BO230" s="457"/>
      <c r="BP230" s="464"/>
      <c r="BQ230" s="466"/>
      <c r="BR230" s="465"/>
      <c r="BS230" s="457"/>
      <c r="BT230" s="723"/>
      <c r="BU230" s="466"/>
      <c r="BV230" s="465"/>
      <c r="BW230" s="457"/>
      <c r="BX230" s="464"/>
      <c r="BY230" s="466"/>
      <c r="BZ230" s="465"/>
      <c r="CA230" s="457"/>
      <c r="CB230" s="464"/>
      <c r="CC230" s="466"/>
      <c r="CD230" s="465"/>
      <c r="CE230" s="457"/>
      <c r="CF230" s="464"/>
      <c r="CG230" s="466"/>
      <c r="CH230" s="465"/>
      <c r="CI230" s="457"/>
      <c r="CJ230" s="464"/>
      <c r="CK230" s="466"/>
      <c r="CL230" s="459"/>
      <c r="CM230" s="450"/>
      <c r="CN230" s="468">
        <f t="shared" si="125"/>
        <v>0</v>
      </c>
      <c r="CO230" s="468">
        <f t="shared" si="126"/>
        <v>0</v>
      </c>
      <c r="CP230" s="469">
        <f t="shared" si="127"/>
        <v>0</v>
      </c>
      <c r="CQ230" s="469">
        <f t="shared" si="128"/>
        <v>0</v>
      </c>
      <c r="CR230" s="463"/>
      <c r="CS230" s="457"/>
      <c r="CT230" s="464"/>
      <c r="CU230" s="464"/>
      <c r="CV230" s="465"/>
      <c r="CW230" s="457"/>
      <c r="CX230" s="464"/>
      <c r="CY230" s="466"/>
      <c r="CZ230" s="465"/>
      <c r="DA230" s="457"/>
      <c r="DB230" s="464"/>
      <c r="DC230" s="466"/>
      <c r="DD230" s="465"/>
      <c r="DE230" s="457"/>
      <c r="DF230" s="464"/>
      <c r="DG230" s="466"/>
      <c r="DH230" s="465"/>
      <c r="DI230" s="457"/>
      <c r="DJ230" s="464"/>
      <c r="DK230" s="466"/>
      <c r="DL230" s="465"/>
      <c r="DM230" s="457"/>
      <c r="DN230" s="464"/>
      <c r="DO230" s="466"/>
      <c r="DP230" s="465"/>
      <c r="DQ230" s="457"/>
      <c r="DR230" s="464"/>
      <c r="DS230" s="466"/>
      <c r="DT230" s="465"/>
      <c r="DU230" s="457"/>
      <c r="DV230" s="464"/>
      <c r="DW230" s="466"/>
      <c r="DX230" s="465"/>
      <c r="DY230" s="457"/>
      <c r="DZ230" s="464"/>
      <c r="EA230" s="466"/>
      <c r="EB230" s="465"/>
      <c r="EC230" s="457"/>
      <c r="ED230" s="464"/>
      <c r="EE230" s="466"/>
      <c r="EF230" s="459"/>
      <c r="EG230" s="450"/>
      <c r="EH230" s="460">
        <f t="shared" si="106"/>
        <v>0</v>
      </c>
      <c r="EI230" s="460">
        <f t="shared" si="107"/>
        <v>0</v>
      </c>
      <c r="EJ230" s="458">
        <f t="shared" si="108"/>
        <v>0</v>
      </c>
      <c r="EK230" s="470">
        <f t="shared" si="109"/>
        <v>0</v>
      </c>
      <c r="EL230" s="470">
        <f t="shared" si="110"/>
        <v>0</v>
      </c>
      <c r="EM230" s="449">
        <f t="shared" si="111"/>
        <v>0</v>
      </c>
      <c r="EN230" s="460">
        <f t="shared" si="112"/>
        <v>0</v>
      </c>
      <c r="EO230" s="469">
        <f t="shared" si="113"/>
        <v>0</v>
      </c>
      <c r="EP230" s="471"/>
      <c r="EQ230" s="450"/>
      <c r="ER230" s="471"/>
      <c r="ES230" s="450"/>
      <c r="ET230" s="471"/>
      <c r="EU230" s="450"/>
      <c r="EV230" s="471"/>
      <c r="EW230" s="450"/>
      <c r="EX230" s="471"/>
      <c r="EY230" s="450"/>
      <c r="EZ230" s="471"/>
      <c r="FA230" s="450"/>
      <c r="FB230" s="471"/>
      <c r="FC230" s="450"/>
      <c r="FD230" s="471"/>
      <c r="FE230" s="450"/>
      <c r="FF230" s="471"/>
      <c r="FG230" s="450"/>
      <c r="FH230" s="472"/>
      <c r="FI230" s="450"/>
      <c r="FJ230" s="468">
        <f t="shared" si="129"/>
        <v>0</v>
      </c>
      <c r="FK230" s="469">
        <f t="shared" si="130"/>
        <v>0</v>
      </c>
      <c r="FL230" s="472"/>
      <c r="FM230" s="450"/>
      <c r="FN230" s="460">
        <f t="shared" si="131"/>
        <v>186</v>
      </c>
      <c r="FO230" s="469">
        <f t="shared" si="132"/>
        <v>270</v>
      </c>
    </row>
    <row r="231" spans="1:171" x14ac:dyDescent="0.2">
      <c r="A231" s="513" t="s">
        <v>604</v>
      </c>
      <c r="B231" s="514" t="s">
        <v>625</v>
      </c>
      <c r="C231" s="515"/>
      <c r="D231" s="526">
        <v>158884</v>
      </c>
      <c r="E231" s="517">
        <v>10</v>
      </c>
      <c r="F231" s="532">
        <v>140</v>
      </c>
      <c r="G231" s="450">
        <v>160</v>
      </c>
      <c r="H231" s="457"/>
      <c r="I231" s="450"/>
      <c r="J231" s="457">
        <v>120</v>
      </c>
      <c r="K231" s="450">
        <v>160</v>
      </c>
      <c r="L231" s="458">
        <f t="shared" si="122"/>
        <v>0</v>
      </c>
      <c r="M231" s="449">
        <f t="shared" si="123"/>
        <v>0</v>
      </c>
      <c r="N231" s="459"/>
      <c r="O231" s="459"/>
      <c r="P231" s="459"/>
      <c r="Q231" s="459"/>
      <c r="R231" s="460">
        <f t="shared" si="124"/>
        <v>0</v>
      </c>
      <c r="S231" s="391"/>
      <c r="T231" s="461"/>
      <c r="U231" s="461"/>
      <c r="V231" s="461"/>
      <c r="W231" s="462">
        <f t="shared" si="95"/>
        <v>0</v>
      </c>
      <c r="X231" s="463"/>
      <c r="Y231" s="457"/>
      <c r="Z231" s="464"/>
      <c r="AA231" s="464"/>
      <c r="AB231" s="465"/>
      <c r="AC231" s="457"/>
      <c r="AD231" s="464"/>
      <c r="AE231" s="466"/>
      <c r="AF231" s="465"/>
      <c r="AG231" s="457"/>
      <c r="AH231" s="464"/>
      <c r="AI231" s="466"/>
      <c r="AJ231" s="465"/>
      <c r="AK231" s="457"/>
      <c r="AL231" s="464"/>
      <c r="AM231" s="466"/>
      <c r="AN231" s="465"/>
      <c r="AO231" s="457"/>
      <c r="AP231" s="464"/>
      <c r="AQ231" s="464"/>
      <c r="AR231" s="460">
        <f t="shared" si="118"/>
        <v>0</v>
      </c>
      <c r="AS231" s="467">
        <f t="shared" si="119"/>
        <v>0</v>
      </c>
      <c r="AT231" s="447">
        <f t="shared" si="120"/>
        <v>0</v>
      </c>
      <c r="AU231" s="448">
        <f t="shared" si="121"/>
        <v>0</v>
      </c>
      <c r="AV231" s="457"/>
      <c r="AW231" s="450"/>
      <c r="AX231" s="463"/>
      <c r="AY231" s="457"/>
      <c r="AZ231" s="464"/>
      <c r="BA231" s="464"/>
      <c r="BB231" s="465"/>
      <c r="BC231" s="457"/>
      <c r="BD231" s="464"/>
      <c r="BE231" s="466"/>
      <c r="BF231" s="465"/>
      <c r="BG231" s="457"/>
      <c r="BH231" s="464"/>
      <c r="BI231" s="466"/>
      <c r="BJ231" s="465"/>
      <c r="BK231" s="457"/>
      <c r="BL231" s="464"/>
      <c r="BM231" s="466"/>
      <c r="BN231" s="465"/>
      <c r="BO231" s="457"/>
      <c r="BP231" s="464"/>
      <c r="BQ231" s="466"/>
      <c r="BR231" s="465"/>
      <c r="BS231" s="457"/>
      <c r="BT231" s="723"/>
      <c r="BU231" s="466"/>
      <c r="BV231" s="465"/>
      <c r="BW231" s="457"/>
      <c r="BX231" s="464"/>
      <c r="BY231" s="466"/>
      <c r="BZ231" s="465"/>
      <c r="CA231" s="457"/>
      <c r="CB231" s="464"/>
      <c r="CC231" s="466"/>
      <c r="CD231" s="465"/>
      <c r="CE231" s="457"/>
      <c r="CF231" s="464"/>
      <c r="CG231" s="466"/>
      <c r="CH231" s="465"/>
      <c r="CI231" s="457"/>
      <c r="CJ231" s="464"/>
      <c r="CK231" s="466"/>
      <c r="CL231" s="459"/>
      <c r="CM231" s="450"/>
      <c r="CN231" s="468">
        <f t="shared" si="125"/>
        <v>0</v>
      </c>
      <c r="CO231" s="468">
        <f t="shared" si="126"/>
        <v>0</v>
      </c>
      <c r="CP231" s="469">
        <f t="shared" si="127"/>
        <v>0</v>
      </c>
      <c r="CQ231" s="469">
        <f t="shared" si="128"/>
        <v>0</v>
      </c>
      <c r="CR231" s="463"/>
      <c r="CS231" s="457"/>
      <c r="CT231" s="464"/>
      <c r="CU231" s="464"/>
      <c r="CV231" s="465"/>
      <c r="CW231" s="457"/>
      <c r="CX231" s="464"/>
      <c r="CY231" s="466"/>
      <c r="CZ231" s="465"/>
      <c r="DA231" s="457"/>
      <c r="DB231" s="464"/>
      <c r="DC231" s="466"/>
      <c r="DD231" s="465"/>
      <c r="DE231" s="457"/>
      <c r="DF231" s="464"/>
      <c r="DG231" s="466"/>
      <c r="DH231" s="465"/>
      <c r="DI231" s="457"/>
      <c r="DJ231" s="464"/>
      <c r="DK231" s="466"/>
      <c r="DL231" s="465"/>
      <c r="DM231" s="457"/>
      <c r="DN231" s="464"/>
      <c r="DO231" s="466"/>
      <c r="DP231" s="465"/>
      <c r="DQ231" s="457"/>
      <c r="DR231" s="464"/>
      <c r="DS231" s="466"/>
      <c r="DT231" s="465"/>
      <c r="DU231" s="457"/>
      <c r="DV231" s="464"/>
      <c r="DW231" s="466"/>
      <c r="DX231" s="465"/>
      <c r="DY231" s="457"/>
      <c r="DZ231" s="464"/>
      <c r="EA231" s="466"/>
      <c r="EB231" s="465"/>
      <c r="EC231" s="457"/>
      <c r="ED231" s="464"/>
      <c r="EE231" s="466"/>
      <c r="EF231" s="459"/>
      <c r="EG231" s="450"/>
      <c r="EH231" s="460">
        <f t="shared" ref="EH231:EH266" si="133">CS231+CW231+DA231+DE231+DI231+DM231+DQ231+DU231+DY231+EC231+EF231</f>
        <v>0</v>
      </c>
      <c r="EI231" s="460">
        <f t="shared" ref="EI231:EI266" si="134">COUNTA(CR231,CV231,CZ231,DD231,DH231,DL231,DP231,DT231,DX231,EB231)</f>
        <v>0</v>
      </c>
      <c r="EJ231" s="458">
        <f t="shared" ref="EJ231:EJ266" si="135">IF(EH231&gt;0,CS231/EH231,)</f>
        <v>0</v>
      </c>
      <c r="EK231" s="470">
        <f t="shared" ref="EK231:EK266" si="136">CU231+CY231+DC231+DG231+DK231+DO231+DS231+DW231+EA231+EE231+EG231</f>
        <v>0</v>
      </c>
      <c r="EL231" s="470">
        <f t="shared" ref="EL231:EL266" si="137">COUNTA(CT231,CX231,DB231,DF231,DJ231,DN231,DR231,DV231,DZ231,ED231)</f>
        <v>0</v>
      </c>
      <c r="EM231" s="449">
        <f t="shared" ref="EM231:EM266" si="138">IF(EK231&gt;0,CU231/EK231,)</f>
        <v>0</v>
      </c>
      <c r="EN231" s="460">
        <f t="shared" ref="EN231:EN266" si="139">CN231+EH231</f>
        <v>0</v>
      </c>
      <c r="EO231" s="469">
        <f t="shared" ref="EO231:EO266" si="140">CP231+EK231</f>
        <v>0</v>
      </c>
      <c r="EP231" s="471"/>
      <c r="EQ231" s="450"/>
      <c r="ER231" s="471"/>
      <c r="ES231" s="450"/>
      <c r="ET231" s="471"/>
      <c r="EU231" s="450"/>
      <c r="EV231" s="471"/>
      <c r="EW231" s="450"/>
      <c r="EX231" s="471"/>
      <c r="EY231" s="450"/>
      <c r="EZ231" s="471"/>
      <c r="FA231" s="450"/>
      <c r="FB231" s="471"/>
      <c r="FC231" s="450"/>
      <c r="FD231" s="471"/>
      <c r="FE231" s="450"/>
      <c r="FF231" s="471"/>
      <c r="FG231" s="450"/>
      <c r="FH231" s="472"/>
      <c r="FI231" s="450"/>
      <c r="FJ231" s="468">
        <f t="shared" si="129"/>
        <v>0</v>
      </c>
      <c r="FK231" s="469">
        <f t="shared" si="130"/>
        <v>0</v>
      </c>
      <c r="FL231" s="472"/>
      <c r="FM231" s="450"/>
      <c r="FN231" s="460">
        <f t="shared" si="131"/>
        <v>260</v>
      </c>
      <c r="FO231" s="469">
        <f t="shared" si="132"/>
        <v>320</v>
      </c>
    </row>
    <row r="232" spans="1:171" x14ac:dyDescent="0.2">
      <c r="A232" s="513" t="s">
        <v>604</v>
      </c>
      <c r="B232" s="520" t="s">
        <v>626</v>
      </c>
      <c r="C232" s="521"/>
      <c r="D232" s="526">
        <v>436304</v>
      </c>
      <c r="E232" s="517">
        <v>10</v>
      </c>
      <c r="F232" s="532">
        <v>220</v>
      </c>
      <c r="G232" s="450">
        <v>289</v>
      </c>
      <c r="H232" s="457"/>
      <c r="I232" s="450"/>
      <c r="J232" s="457">
        <v>108</v>
      </c>
      <c r="K232" s="450">
        <v>133</v>
      </c>
      <c r="L232" s="458">
        <f t="shared" si="122"/>
        <v>0</v>
      </c>
      <c r="M232" s="449">
        <f t="shared" si="123"/>
        <v>0</v>
      </c>
      <c r="N232" s="459"/>
      <c r="O232" s="459"/>
      <c r="P232" s="459"/>
      <c r="Q232" s="459"/>
      <c r="R232" s="460">
        <f t="shared" si="124"/>
        <v>0</v>
      </c>
      <c r="S232" s="391"/>
      <c r="T232" s="461"/>
      <c r="U232" s="461"/>
      <c r="V232" s="461"/>
      <c r="W232" s="462">
        <f t="shared" si="95"/>
        <v>0</v>
      </c>
      <c r="X232" s="463"/>
      <c r="Y232" s="457"/>
      <c r="Z232" s="464"/>
      <c r="AA232" s="464"/>
      <c r="AB232" s="465"/>
      <c r="AC232" s="457"/>
      <c r="AD232" s="464"/>
      <c r="AE232" s="466"/>
      <c r="AF232" s="465"/>
      <c r="AG232" s="457"/>
      <c r="AH232" s="464"/>
      <c r="AI232" s="466"/>
      <c r="AJ232" s="465"/>
      <c r="AK232" s="457"/>
      <c r="AL232" s="464"/>
      <c r="AM232" s="466"/>
      <c r="AN232" s="465"/>
      <c r="AO232" s="457"/>
      <c r="AP232" s="464"/>
      <c r="AQ232" s="464"/>
      <c r="AR232" s="460">
        <f t="shared" si="118"/>
        <v>0</v>
      </c>
      <c r="AS232" s="467">
        <f t="shared" si="119"/>
        <v>0</v>
      </c>
      <c r="AT232" s="447">
        <f t="shared" si="120"/>
        <v>0</v>
      </c>
      <c r="AU232" s="448">
        <f t="shared" si="121"/>
        <v>0</v>
      </c>
      <c r="AV232" s="457"/>
      <c r="AW232" s="450"/>
      <c r="AX232" s="463"/>
      <c r="AY232" s="457"/>
      <c r="AZ232" s="464"/>
      <c r="BA232" s="464"/>
      <c r="BB232" s="465"/>
      <c r="BC232" s="457"/>
      <c r="BD232" s="464"/>
      <c r="BE232" s="466"/>
      <c r="BF232" s="465"/>
      <c r="BG232" s="457"/>
      <c r="BH232" s="464"/>
      <c r="BI232" s="466"/>
      <c r="BJ232" s="465"/>
      <c r="BK232" s="457"/>
      <c r="BL232" s="464"/>
      <c r="BM232" s="466"/>
      <c r="BN232" s="465"/>
      <c r="BO232" s="457"/>
      <c r="BP232" s="464"/>
      <c r="BQ232" s="466"/>
      <c r="BR232" s="465"/>
      <c r="BS232" s="457"/>
      <c r="BT232" s="723"/>
      <c r="BU232" s="466"/>
      <c r="BV232" s="465"/>
      <c r="BW232" s="457"/>
      <c r="BX232" s="464"/>
      <c r="BY232" s="466"/>
      <c r="BZ232" s="465"/>
      <c r="CA232" s="457"/>
      <c r="CB232" s="464"/>
      <c r="CC232" s="466"/>
      <c r="CD232" s="465"/>
      <c r="CE232" s="457"/>
      <c r="CF232" s="464"/>
      <c r="CG232" s="466"/>
      <c r="CH232" s="465"/>
      <c r="CI232" s="457"/>
      <c r="CJ232" s="464"/>
      <c r="CK232" s="466"/>
      <c r="CL232" s="459"/>
      <c r="CM232" s="450"/>
      <c r="CN232" s="468">
        <f t="shared" si="125"/>
        <v>0</v>
      </c>
      <c r="CO232" s="468">
        <f t="shared" si="126"/>
        <v>0</v>
      </c>
      <c r="CP232" s="469">
        <f t="shared" si="127"/>
        <v>0</v>
      </c>
      <c r="CQ232" s="469">
        <f t="shared" si="128"/>
        <v>0</v>
      </c>
      <c r="CR232" s="463"/>
      <c r="CS232" s="457"/>
      <c r="CT232" s="464"/>
      <c r="CU232" s="464"/>
      <c r="CV232" s="465"/>
      <c r="CW232" s="457"/>
      <c r="CX232" s="464"/>
      <c r="CY232" s="466"/>
      <c r="CZ232" s="465"/>
      <c r="DA232" s="457"/>
      <c r="DB232" s="464"/>
      <c r="DC232" s="466"/>
      <c r="DD232" s="465"/>
      <c r="DE232" s="457"/>
      <c r="DF232" s="464"/>
      <c r="DG232" s="466"/>
      <c r="DH232" s="465"/>
      <c r="DI232" s="457"/>
      <c r="DJ232" s="464"/>
      <c r="DK232" s="466"/>
      <c r="DL232" s="465"/>
      <c r="DM232" s="457"/>
      <c r="DN232" s="464"/>
      <c r="DO232" s="466"/>
      <c r="DP232" s="465"/>
      <c r="DQ232" s="457"/>
      <c r="DR232" s="464"/>
      <c r="DS232" s="466"/>
      <c r="DT232" s="465"/>
      <c r="DU232" s="457"/>
      <c r="DV232" s="464"/>
      <c r="DW232" s="466"/>
      <c r="DX232" s="465"/>
      <c r="DY232" s="457"/>
      <c r="DZ232" s="464"/>
      <c r="EA232" s="466"/>
      <c r="EB232" s="465"/>
      <c r="EC232" s="457"/>
      <c r="ED232" s="464"/>
      <c r="EE232" s="466"/>
      <c r="EF232" s="459"/>
      <c r="EG232" s="450"/>
      <c r="EH232" s="460">
        <f t="shared" si="133"/>
        <v>0</v>
      </c>
      <c r="EI232" s="460">
        <f t="shared" si="134"/>
        <v>0</v>
      </c>
      <c r="EJ232" s="458">
        <f t="shared" si="135"/>
        <v>0</v>
      </c>
      <c r="EK232" s="470">
        <f t="shared" si="136"/>
        <v>0</v>
      </c>
      <c r="EL232" s="470">
        <f t="shared" si="137"/>
        <v>0</v>
      </c>
      <c r="EM232" s="449">
        <f t="shared" si="138"/>
        <v>0</v>
      </c>
      <c r="EN232" s="460">
        <f t="shared" si="139"/>
        <v>0</v>
      </c>
      <c r="EO232" s="469">
        <f t="shared" si="140"/>
        <v>0</v>
      </c>
      <c r="EP232" s="471"/>
      <c r="EQ232" s="450"/>
      <c r="ER232" s="471"/>
      <c r="ES232" s="450"/>
      <c r="ET232" s="471"/>
      <c r="EU232" s="450"/>
      <c r="EV232" s="471"/>
      <c r="EW232" s="450"/>
      <c r="EX232" s="471"/>
      <c r="EY232" s="450"/>
      <c r="EZ232" s="471"/>
      <c r="FA232" s="450"/>
      <c r="FB232" s="471"/>
      <c r="FC232" s="450"/>
      <c r="FD232" s="471"/>
      <c r="FE232" s="450"/>
      <c r="FF232" s="471"/>
      <c r="FG232" s="450"/>
      <c r="FH232" s="472"/>
      <c r="FI232" s="450"/>
      <c r="FJ232" s="468">
        <f t="shared" si="129"/>
        <v>0</v>
      </c>
      <c r="FK232" s="469">
        <f t="shared" si="130"/>
        <v>0</v>
      </c>
      <c r="FL232" s="472"/>
      <c r="FM232" s="450"/>
      <c r="FN232" s="460">
        <f t="shared" si="131"/>
        <v>328</v>
      </c>
      <c r="FO232" s="469">
        <f t="shared" si="132"/>
        <v>422</v>
      </c>
    </row>
    <row r="233" spans="1:171" x14ac:dyDescent="0.2">
      <c r="A233" s="740" t="s">
        <v>604</v>
      </c>
      <c r="B233" s="524" t="s">
        <v>627</v>
      </c>
      <c r="C233" s="515" t="s">
        <v>643</v>
      </c>
      <c r="D233" s="526">
        <v>160649</v>
      </c>
      <c r="E233" s="527">
        <v>10</v>
      </c>
      <c r="F233" s="532">
        <v>70</v>
      </c>
      <c r="G233" s="450">
        <v>78</v>
      </c>
      <c r="H233" s="457"/>
      <c r="I233" s="450"/>
      <c r="J233" s="457">
        <v>271</v>
      </c>
      <c r="K233" s="450">
        <v>325</v>
      </c>
      <c r="L233" s="458">
        <f t="shared" si="122"/>
        <v>0</v>
      </c>
      <c r="M233" s="449">
        <f t="shared" si="123"/>
        <v>0</v>
      </c>
      <c r="N233" s="459"/>
      <c r="O233" s="459"/>
      <c r="P233" s="459"/>
      <c r="Q233" s="459"/>
      <c r="R233" s="460">
        <f t="shared" si="124"/>
        <v>0</v>
      </c>
      <c r="S233" s="391"/>
      <c r="T233" s="461"/>
      <c r="U233" s="461"/>
      <c r="V233" s="461"/>
      <c r="W233" s="462">
        <f t="shared" si="95"/>
        <v>0</v>
      </c>
      <c r="X233" s="463"/>
      <c r="Y233" s="457"/>
      <c r="Z233" s="464"/>
      <c r="AA233" s="464"/>
      <c r="AB233" s="465"/>
      <c r="AC233" s="457"/>
      <c r="AD233" s="464"/>
      <c r="AE233" s="466"/>
      <c r="AF233" s="465"/>
      <c r="AG233" s="457"/>
      <c r="AH233" s="464"/>
      <c r="AI233" s="466"/>
      <c r="AJ233" s="465"/>
      <c r="AK233" s="457"/>
      <c r="AL233" s="464"/>
      <c r="AM233" s="466"/>
      <c r="AN233" s="465"/>
      <c r="AO233" s="457"/>
      <c r="AP233" s="464"/>
      <c r="AQ233" s="464"/>
      <c r="AR233" s="460">
        <f t="shared" si="118"/>
        <v>0</v>
      </c>
      <c r="AS233" s="467">
        <f t="shared" si="119"/>
        <v>0</v>
      </c>
      <c r="AT233" s="447">
        <f t="shared" si="120"/>
        <v>0</v>
      </c>
      <c r="AU233" s="448">
        <f t="shared" si="121"/>
        <v>0</v>
      </c>
      <c r="AV233" s="457"/>
      <c r="AW233" s="450"/>
      <c r="AX233" s="463"/>
      <c r="AY233" s="457"/>
      <c r="AZ233" s="464"/>
      <c r="BA233" s="464"/>
      <c r="BB233" s="465"/>
      <c r="BC233" s="457"/>
      <c r="BD233" s="464"/>
      <c r="BE233" s="466"/>
      <c r="BF233" s="465"/>
      <c r="BG233" s="457"/>
      <c r="BH233" s="464"/>
      <c r="BI233" s="466"/>
      <c r="BJ233" s="465"/>
      <c r="BK233" s="457"/>
      <c r="BL233" s="464"/>
      <c r="BM233" s="466"/>
      <c r="BN233" s="465"/>
      <c r="BO233" s="457"/>
      <c r="BP233" s="464"/>
      <c r="BQ233" s="466"/>
      <c r="BR233" s="465"/>
      <c r="BS233" s="457"/>
      <c r="BT233" s="723"/>
      <c r="BU233" s="466"/>
      <c r="BV233" s="465"/>
      <c r="BW233" s="457"/>
      <c r="BX233" s="464"/>
      <c r="BY233" s="466"/>
      <c r="BZ233" s="465"/>
      <c r="CA233" s="457"/>
      <c r="CB233" s="464"/>
      <c r="CC233" s="466"/>
      <c r="CD233" s="465"/>
      <c r="CE233" s="457"/>
      <c r="CF233" s="464"/>
      <c r="CG233" s="466"/>
      <c r="CH233" s="465"/>
      <c r="CI233" s="457"/>
      <c r="CJ233" s="464"/>
      <c r="CK233" s="466"/>
      <c r="CL233" s="459"/>
      <c r="CM233" s="450"/>
      <c r="CN233" s="468">
        <f t="shared" si="125"/>
        <v>0</v>
      </c>
      <c r="CO233" s="468">
        <f t="shared" si="126"/>
        <v>0</v>
      </c>
      <c r="CP233" s="469">
        <f t="shared" si="127"/>
        <v>0</v>
      </c>
      <c r="CQ233" s="469">
        <f t="shared" si="128"/>
        <v>0</v>
      </c>
      <c r="CR233" s="463"/>
      <c r="CS233" s="457"/>
      <c r="CT233" s="464"/>
      <c r="CU233" s="464"/>
      <c r="CV233" s="465"/>
      <c r="CW233" s="457"/>
      <c r="CX233" s="464"/>
      <c r="CY233" s="466"/>
      <c r="CZ233" s="465"/>
      <c r="DA233" s="457"/>
      <c r="DB233" s="464"/>
      <c r="DC233" s="466"/>
      <c r="DD233" s="465"/>
      <c r="DE233" s="457"/>
      <c r="DF233" s="464"/>
      <c r="DG233" s="466"/>
      <c r="DH233" s="465"/>
      <c r="DI233" s="457"/>
      <c r="DJ233" s="464"/>
      <c r="DK233" s="466"/>
      <c r="DL233" s="465"/>
      <c r="DM233" s="457"/>
      <c r="DN233" s="464"/>
      <c r="DO233" s="466"/>
      <c r="DP233" s="465"/>
      <c r="DQ233" s="457"/>
      <c r="DR233" s="464"/>
      <c r="DS233" s="466"/>
      <c r="DT233" s="465"/>
      <c r="DU233" s="457"/>
      <c r="DV233" s="464"/>
      <c r="DW233" s="466"/>
      <c r="DX233" s="465"/>
      <c r="DY233" s="457"/>
      <c r="DZ233" s="464"/>
      <c r="EA233" s="466"/>
      <c r="EB233" s="465"/>
      <c r="EC233" s="457"/>
      <c r="ED233" s="464"/>
      <c r="EE233" s="466"/>
      <c r="EF233" s="459"/>
      <c r="EG233" s="450"/>
      <c r="EH233" s="460">
        <f t="shared" si="133"/>
        <v>0</v>
      </c>
      <c r="EI233" s="460">
        <f t="shared" si="134"/>
        <v>0</v>
      </c>
      <c r="EJ233" s="458">
        <f t="shared" si="135"/>
        <v>0</v>
      </c>
      <c r="EK233" s="470">
        <f t="shared" si="136"/>
        <v>0</v>
      </c>
      <c r="EL233" s="470">
        <f t="shared" si="137"/>
        <v>0</v>
      </c>
      <c r="EM233" s="449">
        <f t="shared" si="138"/>
        <v>0</v>
      </c>
      <c r="EN233" s="460">
        <f t="shared" si="139"/>
        <v>0</v>
      </c>
      <c r="EO233" s="469">
        <f t="shared" si="140"/>
        <v>0</v>
      </c>
      <c r="EP233" s="471"/>
      <c r="EQ233" s="450"/>
      <c r="ER233" s="471"/>
      <c r="ES233" s="450"/>
      <c r="ET233" s="471"/>
      <c r="EU233" s="450"/>
      <c r="EV233" s="471"/>
      <c r="EW233" s="450"/>
      <c r="EX233" s="471"/>
      <c r="EY233" s="450"/>
      <c r="EZ233" s="471"/>
      <c r="FA233" s="450"/>
      <c r="FB233" s="471"/>
      <c r="FC233" s="450"/>
      <c r="FD233" s="471"/>
      <c r="FE233" s="450"/>
      <c r="FF233" s="471"/>
      <c r="FG233" s="450"/>
      <c r="FH233" s="472"/>
      <c r="FI233" s="450"/>
      <c r="FJ233" s="468">
        <f t="shared" si="129"/>
        <v>0</v>
      </c>
      <c r="FK233" s="469">
        <f t="shared" si="130"/>
        <v>0</v>
      </c>
      <c r="FL233" s="472"/>
      <c r="FM233" s="450"/>
      <c r="FN233" s="460">
        <f t="shared" si="131"/>
        <v>341</v>
      </c>
      <c r="FO233" s="469">
        <f t="shared" si="132"/>
        <v>403</v>
      </c>
    </row>
    <row r="234" spans="1:171" x14ac:dyDescent="0.2">
      <c r="A234" s="731" t="s">
        <v>604</v>
      </c>
      <c r="B234" s="528" t="s">
        <v>628</v>
      </c>
      <c r="C234" s="529"/>
      <c r="D234" s="526">
        <v>159443</v>
      </c>
      <c r="E234" s="517">
        <v>12</v>
      </c>
      <c r="F234" s="532">
        <v>1326</v>
      </c>
      <c r="G234" s="450">
        <v>1412</v>
      </c>
      <c r="H234" s="457"/>
      <c r="I234" s="450"/>
      <c r="J234" s="457">
        <v>77</v>
      </c>
      <c r="K234" s="450">
        <v>89</v>
      </c>
      <c r="L234" s="458">
        <f t="shared" si="122"/>
        <v>0</v>
      </c>
      <c r="M234" s="449">
        <f t="shared" si="123"/>
        <v>0</v>
      </c>
      <c r="N234" s="459"/>
      <c r="O234" s="459"/>
      <c r="P234" s="459"/>
      <c r="Q234" s="459"/>
      <c r="R234" s="460">
        <f t="shared" si="124"/>
        <v>0</v>
      </c>
      <c r="S234" s="391"/>
      <c r="T234" s="461"/>
      <c r="U234" s="461"/>
      <c r="V234" s="461"/>
      <c r="W234" s="462">
        <f t="shared" si="95"/>
        <v>0</v>
      </c>
      <c r="X234" s="463"/>
      <c r="Y234" s="457"/>
      <c r="Z234" s="464"/>
      <c r="AA234" s="464"/>
      <c r="AB234" s="465"/>
      <c r="AC234" s="457"/>
      <c r="AD234" s="464"/>
      <c r="AE234" s="466"/>
      <c r="AF234" s="465"/>
      <c r="AG234" s="457"/>
      <c r="AH234" s="464"/>
      <c r="AI234" s="466"/>
      <c r="AJ234" s="465"/>
      <c r="AK234" s="457"/>
      <c r="AL234" s="464"/>
      <c r="AM234" s="466"/>
      <c r="AN234" s="465"/>
      <c r="AO234" s="457"/>
      <c r="AP234" s="464"/>
      <c r="AQ234" s="464"/>
      <c r="AR234" s="460">
        <f t="shared" si="118"/>
        <v>0</v>
      </c>
      <c r="AS234" s="467">
        <f t="shared" si="119"/>
        <v>0</v>
      </c>
      <c r="AT234" s="447">
        <f t="shared" si="120"/>
        <v>0</v>
      </c>
      <c r="AU234" s="448">
        <f t="shared" si="121"/>
        <v>0</v>
      </c>
      <c r="AV234" s="457"/>
      <c r="AW234" s="450"/>
      <c r="AX234" s="463"/>
      <c r="AY234" s="457"/>
      <c r="AZ234" s="464"/>
      <c r="BA234" s="464"/>
      <c r="BB234" s="465"/>
      <c r="BC234" s="457"/>
      <c r="BD234" s="464"/>
      <c r="BE234" s="466"/>
      <c r="BF234" s="465"/>
      <c r="BG234" s="457"/>
      <c r="BH234" s="464"/>
      <c r="BI234" s="466"/>
      <c r="BJ234" s="465"/>
      <c r="BK234" s="457"/>
      <c r="BL234" s="464"/>
      <c r="BM234" s="466"/>
      <c r="BN234" s="465"/>
      <c r="BO234" s="457"/>
      <c r="BP234" s="464"/>
      <c r="BQ234" s="466"/>
      <c r="BR234" s="465"/>
      <c r="BS234" s="457"/>
      <c r="BT234" s="723"/>
      <c r="BU234" s="466"/>
      <c r="BV234" s="465"/>
      <c r="BW234" s="457"/>
      <c r="BX234" s="464"/>
      <c r="BY234" s="466"/>
      <c r="BZ234" s="465"/>
      <c r="CA234" s="457"/>
      <c r="CB234" s="464"/>
      <c r="CC234" s="466"/>
      <c r="CD234" s="465"/>
      <c r="CE234" s="457"/>
      <c r="CF234" s="464"/>
      <c r="CG234" s="464"/>
      <c r="CH234" s="465"/>
      <c r="CI234" s="457"/>
      <c r="CJ234" s="464"/>
      <c r="CK234" s="466"/>
      <c r="CL234" s="459"/>
      <c r="CM234" s="450"/>
      <c r="CN234" s="468">
        <f t="shared" si="125"/>
        <v>0</v>
      </c>
      <c r="CO234" s="468">
        <f t="shared" si="126"/>
        <v>0</v>
      </c>
      <c r="CP234" s="469">
        <f t="shared" si="127"/>
        <v>0</v>
      </c>
      <c r="CQ234" s="469">
        <f t="shared" si="128"/>
        <v>0</v>
      </c>
      <c r="CR234" s="463"/>
      <c r="CS234" s="457"/>
      <c r="CT234" s="464"/>
      <c r="CU234" s="464"/>
      <c r="CV234" s="465"/>
      <c r="CW234" s="457"/>
      <c r="CX234" s="464"/>
      <c r="CY234" s="466"/>
      <c r="CZ234" s="465"/>
      <c r="DA234" s="457"/>
      <c r="DB234" s="464"/>
      <c r="DC234" s="466"/>
      <c r="DD234" s="465"/>
      <c r="DE234" s="457"/>
      <c r="DF234" s="464"/>
      <c r="DG234" s="466"/>
      <c r="DH234" s="465"/>
      <c r="DI234" s="457"/>
      <c r="DJ234" s="464"/>
      <c r="DK234" s="466"/>
      <c r="DL234" s="465"/>
      <c r="DM234" s="457"/>
      <c r="DN234" s="464"/>
      <c r="DO234" s="466"/>
      <c r="DP234" s="465"/>
      <c r="DQ234" s="457"/>
      <c r="DR234" s="464"/>
      <c r="DS234" s="466"/>
      <c r="DT234" s="465"/>
      <c r="DU234" s="457"/>
      <c r="DV234" s="464"/>
      <c r="DW234" s="466"/>
      <c r="DX234" s="465"/>
      <c r="DY234" s="457"/>
      <c r="DZ234" s="464"/>
      <c r="EA234" s="466"/>
      <c r="EB234" s="465"/>
      <c r="EC234" s="457"/>
      <c r="ED234" s="464"/>
      <c r="EE234" s="466"/>
      <c r="EF234" s="459"/>
      <c r="EG234" s="450"/>
      <c r="EH234" s="460">
        <f t="shared" si="133"/>
        <v>0</v>
      </c>
      <c r="EI234" s="460">
        <f t="shared" si="134"/>
        <v>0</v>
      </c>
      <c r="EJ234" s="458">
        <f t="shared" si="135"/>
        <v>0</v>
      </c>
      <c r="EK234" s="470">
        <f t="shared" si="136"/>
        <v>0</v>
      </c>
      <c r="EL234" s="470">
        <f t="shared" si="137"/>
        <v>0</v>
      </c>
      <c r="EM234" s="449">
        <f t="shared" si="138"/>
        <v>0</v>
      </c>
      <c r="EN234" s="460">
        <f t="shared" si="139"/>
        <v>0</v>
      </c>
      <c r="EO234" s="469">
        <f t="shared" si="140"/>
        <v>0</v>
      </c>
      <c r="EP234" s="471"/>
      <c r="EQ234" s="450"/>
      <c r="ER234" s="471"/>
      <c r="ES234" s="450"/>
      <c r="ET234" s="471"/>
      <c r="EU234" s="450"/>
      <c r="EV234" s="471"/>
      <c r="EW234" s="450"/>
      <c r="EX234" s="471"/>
      <c r="EY234" s="450"/>
      <c r="EZ234" s="471"/>
      <c r="FA234" s="450"/>
      <c r="FB234" s="471"/>
      <c r="FC234" s="450"/>
      <c r="FD234" s="471"/>
      <c r="FE234" s="450"/>
      <c r="FF234" s="471"/>
      <c r="FG234" s="450"/>
      <c r="FH234" s="472"/>
      <c r="FI234" s="450"/>
      <c r="FJ234" s="468">
        <f t="shared" si="129"/>
        <v>0</v>
      </c>
      <c r="FK234" s="469">
        <f t="shared" si="130"/>
        <v>0</v>
      </c>
      <c r="FL234" s="472"/>
      <c r="FM234" s="450"/>
      <c r="FN234" s="460">
        <f t="shared" si="131"/>
        <v>1403</v>
      </c>
      <c r="FO234" s="469">
        <f t="shared" si="132"/>
        <v>1501</v>
      </c>
    </row>
    <row r="235" spans="1:171" x14ac:dyDescent="0.2">
      <c r="A235" s="731" t="s">
        <v>604</v>
      </c>
      <c r="B235" s="528" t="s">
        <v>629</v>
      </c>
      <c r="C235" s="529"/>
      <c r="D235" s="526">
        <v>158352</v>
      </c>
      <c r="E235" s="517">
        <v>12</v>
      </c>
      <c r="F235" s="532">
        <v>991</v>
      </c>
      <c r="G235" s="450">
        <v>836</v>
      </c>
      <c r="H235" s="457"/>
      <c r="I235" s="450"/>
      <c r="J235" s="457">
        <v>17</v>
      </c>
      <c r="K235" s="450">
        <v>24</v>
      </c>
      <c r="L235" s="458">
        <f t="shared" si="122"/>
        <v>0</v>
      </c>
      <c r="M235" s="449">
        <f t="shared" si="123"/>
        <v>0</v>
      </c>
      <c r="N235" s="459"/>
      <c r="O235" s="459"/>
      <c r="P235" s="459"/>
      <c r="Q235" s="459"/>
      <c r="R235" s="460">
        <f t="shared" si="124"/>
        <v>0</v>
      </c>
      <c r="S235" s="391"/>
      <c r="T235" s="461"/>
      <c r="U235" s="461"/>
      <c r="V235" s="461"/>
      <c r="W235" s="462">
        <f t="shared" si="95"/>
        <v>0</v>
      </c>
      <c r="X235" s="463"/>
      <c r="Y235" s="457"/>
      <c r="Z235" s="464"/>
      <c r="AA235" s="464"/>
      <c r="AB235" s="465"/>
      <c r="AC235" s="457"/>
      <c r="AD235" s="464"/>
      <c r="AE235" s="466"/>
      <c r="AF235" s="465"/>
      <c r="AG235" s="457"/>
      <c r="AH235" s="464"/>
      <c r="AI235" s="466"/>
      <c r="AJ235" s="465"/>
      <c r="AK235" s="457"/>
      <c r="AL235" s="464"/>
      <c r="AM235" s="466"/>
      <c r="AN235" s="465"/>
      <c r="AO235" s="457"/>
      <c r="AP235" s="464"/>
      <c r="AQ235" s="464"/>
      <c r="AR235" s="460">
        <f t="shared" si="118"/>
        <v>0</v>
      </c>
      <c r="AS235" s="467">
        <f t="shared" si="119"/>
        <v>0</v>
      </c>
      <c r="AT235" s="447">
        <f t="shared" si="120"/>
        <v>0</v>
      </c>
      <c r="AU235" s="448">
        <f t="shared" si="121"/>
        <v>0</v>
      </c>
      <c r="AV235" s="457"/>
      <c r="AW235" s="450"/>
      <c r="AX235" s="463"/>
      <c r="AY235" s="457"/>
      <c r="AZ235" s="464"/>
      <c r="BA235" s="464"/>
      <c r="BB235" s="465"/>
      <c r="BC235" s="457"/>
      <c r="BD235" s="464"/>
      <c r="BE235" s="466"/>
      <c r="BF235" s="465"/>
      <c r="BG235" s="457"/>
      <c r="BH235" s="464"/>
      <c r="BI235" s="466"/>
      <c r="BJ235" s="465"/>
      <c r="BK235" s="457"/>
      <c r="BL235" s="464"/>
      <c r="BM235" s="466"/>
      <c r="BN235" s="465"/>
      <c r="BO235" s="457"/>
      <c r="BP235" s="464"/>
      <c r="BQ235" s="466"/>
      <c r="BR235" s="465"/>
      <c r="BS235" s="457"/>
      <c r="BT235" s="723"/>
      <c r="BU235" s="466"/>
      <c r="BV235" s="465"/>
      <c r="BW235" s="457"/>
      <c r="BX235" s="464"/>
      <c r="BY235" s="466"/>
      <c r="BZ235" s="465"/>
      <c r="CA235" s="457"/>
      <c r="CB235" s="464"/>
      <c r="CC235" s="466"/>
      <c r="CD235" s="465"/>
      <c r="CE235" s="457"/>
      <c r="CF235" s="464"/>
      <c r="CG235" s="466"/>
      <c r="CH235" s="465"/>
      <c r="CI235" s="457"/>
      <c r="CJ235" s="464"/>
      <c r="CK235" s="466"/>
      <c r="CL235" s="459"/>
      <c r="CM235" s="450"/>
      <c r="CN235" s="468">
        <f t="shared" si="125"/>
        <v>0</v>
      </c>
      <c r="CO235" s="468">
        <f t="shared" si="126"/>
        <v>0</v>
      </c>
      <c r="CP235" s="469">
        <f t="shared" si="127"/>
        <v>0</v>
      </c>
      <c r="CQ235" s="469">
        <f t="shared" si="128"/>
        <v>0</v>
      </c>
      <c r="CR235" s="463"/>
      <c r="CS235" s="457"/>
      <c r="CT235" s="464"/>
      <c r="CU235" s="464"/>
      <c r="CV235" s="465"/>
      <c r="CW235" s="457"/>
      <c r="CX235" s="464"/>
      <c r="CY235" s="466"/>
      <c r="CZ235" s="465"/>
      <c r="DA235" s="457"/>
      <c r="DB235" s="464"/>
      <c r="DC235" s="466"/>
      <c r="DD235" s="465"/>
      <c r="DE235" s="457"/>
      <c r="DF235" s="464"/>
      <c r="DG235" s="466"/>
      <c r="DH235" s="465"/>
      <c r="DI235" s="457"/>
      <c r="DJ235" s="464"/>
      <c r="DK235" s="466"/>
      <c r="DL235" s="465"/>
      <c r="DM235" s="457"/>
      <c r="DN235" s="464"/>
      <c r="DO235" s="466"/>
      <c r="DP235" s="465"/>
      <c r="DQ235" s="457"/>
      <c r="DR235" s="464"/>
      <c r="DS235" s="466"/>
      <c r="DT235" s="465"/>
      <c r="DU235" s="457"/>
      <c r="DV235" s="464"/>
      <c r="DW235" s="466"/>
      <c r="DX235" s="465"/>
      <c r="DY235" s="457"/>
      <c r="DZ235" s="464"/>
      <c r="EA235" s="466"/>
      <c r="EB235" s="465"/>
      <c r="EC235" s="457"/>
      <c r="ED235" s="464"/>
      <c r="EE235" s="466"/>
      <c r="EF235" s="459"/>
      <c r="EG235" s="450"/>
      <c r="EH235" s="460">
        <f t="shared" si="133"/>
        <v>0</v>
      </c>
      <c r="EI235" s="460">
        <f t="shared" si="134"/>
        <v>0</v>
      </c>
      <c r="EJ235" s="458">
        <f t="shared" si="135"/>
        <v>0</v>
      </c>
      <c r="EK235" s="470">
        <f t="shared" si="136"/>
        <v>0</v>
      </c>
      <c r="EL235" s="470">
        <f t="shared" si="137"/>
        <v>0</v>
      </c>
      <c r="EM235" s="449">
        <f t="shared" si="138"/>
        <v>0</v>
      </c>
      <c r="EN235" s="460">
        <f t="shared" si="139"/>
        <v>0</v>
      </c>
      <c r="EO235" s="469">
        <f t="shared" si="140"/>
        <v>0</v>
      </c>
      <c r="EP235" s="471"/>
      <c r="EQ235" s="450"/>
      <c r="ER235" s="471"/>
      <c r="ES235" s="450"/>
      <c r="ET235" s="471"/>
      <c r="EU235" s="450"/>
      <c r="EV235" s="471"/>
      <c r="EW235" s="450"/>
      <c r="EX235" s="471"/>
      <c r="EY235" s="450"/>
      <c r="EZ235" s="471"/>
      <c r="FA235" s="450"/>
      <c r="FB235" s="471"/>
      <c r="FC235" s="450"/>
      <c r="FD235" s="471"/>
      <c r="FE235" s="450"/>
      <c r="FF235" s="471"/>
      <c r="FG235" s="450"/>
      <c r="FH235" s="472"/>
      <c r="FI235" s="450"/>
      <c r="FJ235" s="468">
        <f t="shared" si="129"/>
        <v>0</v>
      </c>
      <c r="FK235" s="469">
        <f t="shared" si="130"/>
        <v>0</v>
      </c>
      <c r="FL235" s="472"/>
      <c r="FM235" s="450"/>
      <c r="FN235" s="460">
        <f t="shared" si="131"/>
        <v>1008</v>
      </c>
      <c r="FO235" s="469">
        <f t="shared" si="132"/>
        <v>860</v>
      </c>
    </row>
    <row r="236" spans="1:171" x14ac:dyDescent="0.2">
      <c r="A236" s="731" t="s">
        <v>604</v>
      </c>
      <c r="B236" s="528" t="s">
        <v>630</v>
      </c>
      <c r="C236" s="529"/>
      <c r="D236" s="526">
        <v>158088</v>
      </c>
      <c r="E236" s="517">
        <v>12</v>
      </c>
      <c r="F236" s="532">
        <v>781</v>
      </c>
      <c r="G236" s="450">
        <v>869</v>
      </c>
      <c r="H236" s="457"/>
      <c r="I236" s="450"/>
      <c r="J236" s="457">
        <v>14</v>
      </c>
      <c r="K236" s="450">
        <v>35</v>
      </c>
      <c r="L236" s="458">
        <f t="shared" si="122"/>
        <v>0</v>
      </c>
      <c r="M236" s="449">
        <f t="shared" si="123"/>
        <v>0</v>
      </c>
      <c r="N236" s="459"/>
      <c r="O236" s="459"/>
      <c r="P236" s="459"/>
      <c r="Q236" s="459"/>
      <c r="R236" s="460">
        <f t="shared" si="124"/>
        <v>0</v>
      </c>
      <c r="S236" s="391"/>
      <c r="T236" s="461"/>
      <c r="U236" s="461"/>
      <c r="V236" s="461"/>
      <c r="W236" s="462">
        <f t="shared" si="95"/>
        <v>0</v>
      </c>
      <c r="X236" s="463"/>
      <c r="Y236" s="457"/>
      <c r="Z236" s="464"/>
      <c r="AA236" s="464"/>
      <c r="AB236" s="465"/>
      <c r="AC236" s="457"/>
      <c r="AD236" s="464"/>
      <c r="AE236" s="466"/>
      <c r="AF236" s="465"/>
      <c r="AG236" s="457"/>
      <c r="AH236" s="464"/>
      <c r="AI236" s="466"/>
      <c r="AJ236" s="465"/>
      <c r="AK236" s="457"/>
      <c r="AL236" s="464"/>
      <c r="AM236" s="466"/>
      <c r="AN236" s="465"/>
      <c r="AO236" s="457"/>
      <c r="AP236" s="464"/>
      <c r="AQ236" s="464"/>
      <c r="AR236" s="460">
        <f t="shared" si="118"/>
        <v>0</v>
      </c>
      <c r="AS236" s="467">
        <f t="shared" si="119"/>
        <v>0</v>
      </c>
      <c r="AT236" s="447">
        <f t="shared" si="120"/>
        <v>0</v>
      </c>
      <c r="AU236" s="448">
        <f t="shared" si="121"/>
        <v>0</v>
      </c>
      <c r="AV236" s="457"/>
      <c r="AW236" s="450"/>
      <c r="AX236" s="463"/>
      <c r="AY236" s="457"/>
      <c r="AZ236" s="464"/>
      <c r="BA236" s="464"/>
      <c r="BB236" s="465"/>
      <c r="BC236" s="457"/>
      <c r="BD236" s="464"/>
      <c r="BE236" s="466"/>
      <c r="BF236" s="465"/>
      <c r="BG236" s="457"/>
      <c r="BH236" s="464"/>
      <c r="BI236" s="466"/>
      <c r="BJ236" s="465"/>
      <c r="BK236" s="457"/>
      <c r="BL236" s="464"/>
      <c r="BM236" s="466"/>
      <c r="BN236" s="465"/>
      <c r="BO236" s="457"/>
      <c r="BP236" s="464"/>
      <c r="BQ236" s="466"/>
      <c r="BR236" s="465"/>
      <c r="BS236" s="457"/>
      <c r="BT236" s="723"/>
      <c r="BU236" s="466"/>
      <c r="BV236" s="465"/>
      <c r="BW236" s="457"/>
      <c r="BX236" s="464"/>
      <c r="BY236" s="466"/>
      <c r="BZ236" s="465"/>
      <c r="CA236" s="457"/>
      <c r="CB236" s="464"/>
      <c r="CC236" s="466"/>
      <c r="CD236" s="465"/>
      <c r="CE236" s="457"/>
      <c r="CF236" s="464"/>
      <c r="CG236" s="466"/>
      <c r="CH236" s="465"/>
      <c r="CI236" s="457"/>
      <c r="CJ236" s="464"/>
      <c r="CK236" s="466"/>
      <c r="CL236" s="459"/>
      <c r="CM236" s="450"/>
      <c r="CN236" s="468">
        <f t="shared" si="125"/>
        <v>0</v>
      </c>
      <c r="CO236" s="468">
        <f t="shared" si="126"/>
        <v>0</v>
      </c>
      <c r="CP236" s="469">
        <f t="shared" si="127"/>
        <v>0</v>
      </c>
      <c r="CQ236" s="469">
        <f t="shared" si="128"/>
        <v>0</v>
      </c>
      <c r="CR236" s="463"/>
      <c r="CS236" s="457"/>
      <c r="CT236" s="464"/>
      <c r="CU236" s="464"/>
      <c r="CV236" s="465"/>
      <c r="CW236" s="457"/>
      <c r="CX236" s="464"/>
      <c r="CY236" s="466"/>
      <c r="CZ236" s="465"/>
      <c r="DA236" s="457"/>
      <c r="DB236" s="464"/>
      <c r="DC236" s="466"/>
      <c r="DD236" s="465"/>
      <c r="DE236" s="457"/>
      <c r="DF236" s="464"/>
      <c r="DG236" s="466"/>
      <c r="DH236" s="465"/>
      <c r="DI236" s="457"/>
      <c r="DJ236" s="464"/>
      <c r="DK236" s="466"/>
      <c r="DL236" s="465"/>
      <c r="DM236" s="457"/>
      <c r="DN236" s="464"/>
      <c r="DO236" s="466"/>
      <c r="DP236" s="465"/>
      <c r="DQ236" s="457"/>
      <c r="DR236" s="464"/>
      <c r="DS236" s="466"/>
      <c r="DT236" s="465"/>
      <c r="DU236" s="457"/>
      <c r="DV236" s="464"/>
      <c r="DW236" s="466"/>
      <c r="DX236" s="465"/>
      <c r="DY236" s="457"/>
      <c r="DZ236" s="464"/>
      <c r="EA236" s="466"/>
      <c r="EB236" s="465"/>
      <c r="EC236" s="457"/>
      <c r="ED236" s="464"/>
      <c r="EE236" s="466"/>
      <c r="EF236" s="459"/>
      <c r="EG236" s="450"/>
      <c r="EH236" s="460">
        <f t="shared" si="133"/>
        <v>0</v>
      </c>
      <c r="EI236" s="460">
        <f t="shared" si="134"/>
        <v>0</v>
      </c>
      <c r="EJ236" s="458">
        <f t="shared" si="135"/>
        <v>0</v>
      </c>
      <c r="EK236" s="470">
        <f t="shared" si="136"/>
        <v>0</v>
      </c>
      <c r="EL236" s="470">
        <f t="shared" si="137"/>
        <v>0</v>
      </c>
      <c r="EM236" s="449">
        <f t="shared" si="138"/>
        <v>0</v>
      </c>
      <c r="EN236" s="460">
        <f t="shared" si="139"/>
        <v>0</v>
      </c>
      <c r="EO236" s="469">
        <f t="shared" si="140"/>
        <v>0</v>
      </c>
      <c r="EP236" s="471"/>
      <c r="EQ236" s="450"/>
      <c r="ER236" s="471"/>
      <c r="ES236" s="450"/>
      <c r="ET236" s="471"/>
      <c r="EU236" s="450"/>
      <c r="EV236" s="471"/>
      <c r="EW236" s="450"/>
      <c r="EX236" s="471"/>
      <c r="EY236" s="450"/>
      <c r="EZ236" s="471"/>
      <c r="FA236" s="450"/>
      <c r="FB236" s="471"/>
      <c r="FC236" s="450"/>
      <c r="FD236" s="471"/>
      <c r="FE236" s="450"/>
      <c r="FF236" s="471"/>
      <c r="FG236" s="450"/>
      <c r="FH236" s="472"/>
      <c r="FI236" s="450"/>
      <c r="FJ236" s="468">
        <f t="shared" si="129"/>
        <v>0</v>
      </c>
      <c r="FK236" s="469">
        <f t="shared" si="130"/>
        <v>0</v>
      </c>
      <c r="FL236" s="472"/>
      <c r="FM236" s="450"/>
      <c r="FN236" s="460">
        <f t="shared" si="131"/>
        <v>795</v>
      </c>
      <c r="FO236" s="469">
        <f t="shared" si="132"/>
        <v>904</v>
      </c>
    </row>
    <row r="237" spans="1:171" x14ac:dyDescent="0.2">
      <c r="A237" s="731" t="s">
        <v>604</v>
      </c>
      <c r="B237" s="514" t="s">
        <v>631</v>
      </c>
      <c r="C237" s="518"/>
      <c r="D237" s="526">
        <v>160481</v>
      </c>
      <c r="E237" s="530">
        <v>12</v>
      </c>
      <c r="F237" s="532">
        <v>270</v>
      </c>
      <c r="G237" s="450">
        <v>188</v>
      </c>
      <c r="H237" s="457"/>
      <c r="I237" s="450"/>
      <c r="J237" s="457">
        <v>96</v>
      </c>
      <c r="K237" s="450">
        <v>136</v>
      </c>
      <c r="L237" s="458">
        <f t="shared" si="122"/>
        <v>0</v>
      </c>
      <c r="M237" s="449">
        <f t="shared" si="123"/>
        <v>0</v>
      </c>
      <c r="N237" s="459"/>
      <c r="O237" s="459"/>
      <c r="P237" s="459"/>
      <c r="Q237" s="459"/>
      <c r="R237" s="460">
        <f t="shared" si="124"/>
        <v>0</v>
      </c>
      <c r="S237" s="391"/>
      <c r="T237" s="461"/>
      <c r="U237" s="461"/>
      <c r="V237" s="461"/>
      <c r="W237" s="462">
        <f t="shared" si="95"/>
        <v>0</v>
      </c>
      <c r="X237" s="463"/>
      <c r="Y237" s="457"/>
      <c r="Z237" s="464"/>
      <c r="AA237" s="464"/>
      <c r="AB237" s="465"/>
      <c r="AC237" s="457"/>
      <c r="AD237" s="464"/>
      <c r="AE237" s="466"/>
      <c r="AF237" s="465"/>
      <c r="AG237" s="457"/>
      <c r="AH237" s="464"/>
      <c r="AI237" s="466"/>
      <c r="AJ237" s="465"/>
      <c r="AK237" s="457"/>
      <c r="AL237" s="464"/>
      <c r="AM237" s="466"/>
      <c r="AN237" s="465"/>
      <c r="AO237" s="457"/>
      <c r="AP237" s="464"/>
      <c r="AQ237" s="464"/>
      <c r="AR237" s="460">
        <f t="shared" si="118"/>
        <v>0</v>
      </c>
      <c r="AS237" s="467">
        <f t="shared" si="119"/>
        <v>0</v>
      </c>
      <c r="AT237" s="447">
        <f t="shared" si="120"/>
        <v>0</v>
      </c>
      <c r="AU237" s="448">
        <f t="shared" si="121"/>
        <v>0</v>
      </c>
      <c r="AV237" s="457"/>
      <c r="AW237" s="450"/>
      <c r="AX237" s="463"/>
      <c r="AY237" s="457"/>
      <c r="AZ237" s="464"/>
      <c r="BA237" s="464"/>
      <c r="BB237" s="465"/>
      <c r="BC237" s="457"/>
      <c r="BD237" s="464"/>
      <c r="BE237" s="466"/>
      <c r="BF237" s="465"/>
      <c r="BG237" s="457"/>
      <c r="BH237" s="464"/>
      <c r="BI237" s="466"/>
      <c r="BJ237" s="465"/>
      <c r="BK237" s="457"/>
      <c r="BL237" s="464"/>
      <c r="BM237" s="466"/>
      <c r="BN237" s="465"/>
      <c r="BO237" s="457"/>
      <c r="BP237" s="464"/>
      <c r="BQ237" s="466"/>
      <c r="BR237" s="465"/>
      <c r="BS237" s="457"/>
      <c r="BT237" s="723"/>
      <c r="BU237" s="466"/>
      <c r="BV237" s="465"/>
      <c r="BW237" s="457"/>
      <c r="BX237" s="464"/>
      <c r="BY237" s="466"/>
      <c r="BZ237" s="465"/>
      <c r="CA237" s="457"/>
      <c r="CB237" s="464"/>
      <c r="CC237" s="466"/>
      <c r="CD237" s="465"/>
      <c r="CE237" s="457"/>
      <c r="CF237" s="464"/>
      <c r="CG237" s="466"/>
      <c r="CH237" s="465"/>
      <c r="CI237" s="457"/>
      <c r="CJ237" s="464"/>
      <c r="CK237" s="466"/>
      <c r="CL237" s="459"/>
      <c r="CM237" s="450"/>
      <c r="CN237" s="468">
        <f t="shared" si="125"/>
        <v>0</v>
      </c>
      <c r="CO237" s="468">
        <f t="shared" si="126"/>
        <v>0</v>
      </c>
      <c r="CP237" s="469">
        <f t="shared" si="127"/>
        <v>0</v>
      </c>
      <c r="CQ237" s="469">
        <f t="shared" si="128"/>
        <v>0</v>
      </c>
      <c r="CR237" s="463"/>
      <c r="CS237" s="457"/>
      <c r="CT237" s="464"/>
      <c r="CU237" s="464"/>
      <c r="CV237" s="465"/>
      <c r="CW237" s="457"/>
      <c r="CX237" s="464"/>
      <c r="CY237" s="466"/>
      <c r="CZ237" s="465"/>
      <c r="DA237" s="457"/>
      <c r="DB237" s="464"/>
      <c r="DC237" s="466"/>
      <c r="DD237" s="465"/>
      <c r="DE237" s="457"/>
      <c r="DF237" s="464"/>
      <c r="DG237" s="466"/>
      <c r="DH237" s="465"/>
      <c r="DI237" s="457"/>
      <c r="DJ237" s="464"/>
      <c r="DK237" s="466"/>
      <c r="DL237" s="465"/>
      <c r="DM237" s="457"/>
      <c r="DN237" s="464"/>
      <c r="DO237" s="466"/>
      <c r="DP237" s="465"/>
      <c r="DQ237" s="457"/>
      <c r="DR237" s="464"/>
      <c r="DS237" s="466"/>
      <c r="DT237" s="465"/>
      <c r="DU237" s="457"/>
      <c r="DV237" s="464"/>
      <c r="DW237" s="466"/>
      <c r="DX237" s="465"/>
      <c r="DY237" s="457"/>
      <c r="DZ237" s="464"/>
      <c r="EA237" s="466"/>
      <c r="EB237" s="465"/>
      <c r="EC237" s="457"/>
      <c r="ED237" s="464"/>
      <c r="EE237" s="466"/>
      <c r="EF237" s="459"/>
      <c r="EG237" s="450"/>
      <c r="EH237" s="460">
        <f t="shared" si="133"/>
        <v>0</v>
      </c>
      <c r="EI237" s="460">
        <f t="shared" si="134"/>
        <v>0</v>
      </c>
      <c r="EJ237" s="458">
        <f t="shared" si="135"/>
        <v>0</v>
      </c>
      <c r="EK237" s="470">
        <f t="shared" si="136"/>
        <v>0</v>
      </c>
      <c r="EL237" s="470">
        <f t="shared" si="137"/>
        <v>0</v>
      </c>
      <c r="EM237" s="449">
        <f t="shared" si="138"/>
        <v>0</v>
      </c>
      <c r="EN237" s="460">
        <f t="shared" si="139"/>
        <v>0</v>
      </c>
      <c r="EO237" s="469">
        <f t="shared" si="140"/>
        <v>0</v>
      </c>
      <c r="EP237" s="471"/>
      <c r="EQ237" s="450"/>
      <c r="ER237" s="471"/>
      <c r="ES237" s="450"/>
      <c r="ET237" s="471"/>
      <c r="EU237" s="450"/>
      <c r="EV237" s="471"/>
      <c r="EW237" s="450"/>
      <c r="EX237" s="471"/>
      <c r="EY237" s="450"/>
      <c r="EZ237" s="471"/>
      <c r="FA237" s="450"/>
      <c r="FB237" s="471"/>
      <c r="FC237" s="450"/>
      <c r="FD237" s="471"/>
      <c r="FE237" s="450"/>
      <c r="FF237" s="471"/>
      <c r="FG237" s="450"/>
      <c r="FH237" s="472"/>
      <c r="FI237" s="450"/>
      <c r="FJ237" s="468">
        <f t="shared" si="129"/>
        <v>0</v>
      </c>
      <c r="FK237" s="469">
        <f t="shared" si="130"/>
        <v>0</v>
      </c>
      <c r="FL237" s="472"/>
      <c r="FM237" s="450"/>
      <c r="FN237" s="460">
        <f t="shared" si="131"/>
        <v>366</v>
      </c>
      <c r="FO237" s="469">
        <f t="shared" si="132"/>
        <v>324</v>
      </c>
    </row>
    <row r="238" spans="1:171" x14ac:dyDescent="0.2">
      <c r="A238" s="731" t="s">
        <v>604</v>
      </c>
      <c r="B238" s="528" t="s">
        <v>632</v>
      </c>
      <c r="C238" s="529"/>
      <c r="D238" s="526">
        <v>158769</v>
      </c>
      <c r="E238" s="517">
        <v>12</v>
      </c>
      <c r="F238" s="532">
        <v>645</v>
      </c>
      <c r="G238" s="450">
        <v>511</v>
      </c>
      <c r="H238" s="457"/>
      <c r="I238" s="450"/>
      <c r="J238" s="457">
        <v>31</v>
      </c>
      <c r="K238" s="450">
        <v>44</v>
      </c>
      <c r="L238" s="458">
        <f t="shared" si="122"/>
        <v>0</v>
      </c>
      <c r="M238" s="449">
        <f t="shared" si="123"/>
        <v>0</v>
      </c>
      <c r="N238" s="459"/>
      <c r="O238" s="459"/>
      <c r="P238" s="459"/>
      <c r="Q238" s="459"/>
      <c r="R238" s="460">
        <f t="shared" si="124"/>
        <v>0</v>
      </c>
      <c r="S238" s="391"/>
      <c r="T238" s="461"/>
      <c r="U238" s="461"/>
      <c r="V238" s="461"/>
      <c r="W238" s="462">
        <f t="shared" si="95"/>
        <v>0</v>
      </c>
      <c r="X238" s="463"/>
      <c r="Y238" s="457"/>
      <c r="Z238" s="464"/>
      <c r="AA238" s="464"/>
      <c r="AB238" s="465"/>
      <c r="AC238" s="457"/>
      <c r="AD238" s="464"/>
      <c r="AE238" s="466"/>
      <c r="AF238" s="465"/>
      <c r="AG238" s="457"/>
      <c r="AH238" s="464"/>
      <c r="AI238" s="466"/>
      <c r="AJ238" s="465"/>
      <c r="AK238" s="457"/>
      <c r="AL238" s="464"/>
      <c r="AM238" s="466"/>
      <c r="AN238" s="465"/>
      <c r="AO238" s="457"/>
      <c r="AP238" s="464"/>
      <c r="AQ238" s="464"/>
      <c r="AR238" s="460">
        <f t="shared" si="118"/>
        <v>0</v>
      </c>
      <c r="AS238" s="467">
        <f t="shared" si="119"/>
        <v>0</v>
      </c>
      <c r="AT238" s="447">
        <f t="shared" si="120"/>
        <v>0</v>
      </c>
      <c r="AU238" s="448">
        <f t="shared" si="121"/>
        <v>0</v>
      </c>
      <c r="AV238" s="457"/>
      <c r="AW238" s="450"/>
      <c r="AX238" s="463"/>
      <c r="AY238" s="457"/>
      <c r="AZ238" s="464"/>
      <c r="BA238" s="464"/>
      <c r="BB238" s="465"/>
      <c r="BC238" s="457"/>
      <c r="BD238" s="464"/>
      <c r="BE238" s="466"/>
      <c r="BF238" s="465"/>
      <c r="BG238" s="457"/>
      <c r="BH238" s="464"/>
      <c r="BI238" s="466"/>
      <c r="BJ238" s="465"/>
      <c r="BK238" s="457"/>
      <c r="BL238" s="464"/>
      <c r="BM238" s="466"/>
      <c r="BN238" s="465"/>
      <c r="BO238" s="457"/>
      <c r="BP238" s="464"/>
      <c r="BQ238" s="466"/>
      <c r="BR238" s="465"/>
      <c r="BS238" s="457"/>
      <c r="BT238" s="723"/>
      <c r="BU238" s="466"/>
      <c r="BV238" s="465"/>
      <c r="BW238" s="457"/>
      <c r="BX238" s="464"/>
      <c r="BY238" s="466"/>
      <c r="BZ238" s="465"/>
      <c r="CA238" s="457"/>
      <c r="CB238" s="464"/>
      <c r="CC238" s="466"/>
      <c r="CD238" s="465"/>
      <c r="CE238" s="457"/>
      <c r="CF238" s="464"/>
      <c r="CG238" s="466"/>
      <c r="CH238" s="465"/>
      <c r="CI238" s="457"/>
      <c r="CJ238" s="464"/>
      <c r="CK238" s="466"/>
      <c r="CL238" s="459"/>
      <c r="CM238" s="450"/>
      <c r="CN238" s="468">
        <f t="shared" si="125"/>
        <v>0</v>
      </c>
      <c r="CO238" s="468">
        <f t="shared" si="126"/>
        <v>0</v>
      </c>
      <c r="CP238" s="469">
        <f t="shared" si="127"/>
        <v>0</v>
      </c>
      <c r="CQ238" s="469">
        <f t="shared" si="128"/>
        <v>0</v>
      </c>
      <c r="CR238" s="463"/>
      <c r="CS238" s="457"/>
      <c r="CT238" s="464"/>
      <c r="CU238" s="464"/>
      <c r="CV238" s="465"/>
      <c r="CW238" s="457"/>
      <c r="CX238" s="464"/>
      <c r="CY238" s="466"/>
      <c r="CZ238" s="465"/>
      <c r="DA238" s="457"/>
      <c r="DB238" s="464"/>
      <c r="DC238" s="466"/>
      <c r="DD238" s="465"/>
      <c r="DE238" s="457"/>
      <c r="DF238" s="464"/>
      <c r="DG238" s="466"/>
      <c r="DH238" s="465"/>
      <c r="DI238" s="457"/>
      <c r="DJ238" s="464"/>
      <c r="DK238" s="466"/>
      <c r="DL238" s="465"/>
      <c r="DM238" s="457"/>
      <c r="DN238" s="464"/>
      <c r="DO238" s="466"/>
      <c r="DP238" s="465"/>
      <c r="DQ238" s="457"/>
      <c r="DR238" s="464"/>
      <c r="DS238" s="466"/>
      <c r="DT238" s="465"/>
      <c r="DU238" s="457"/>
      <c r="DV238" s="464"/>
      <c r="DW238" s="466"/>
      <c r="DX238" s="465"/>
      <c r="DY238" s="457"/>
      <c r="DZ238" s="464"/>
      <c r="EA238" s="466"/>
      <c r="EB238" s="465"/>
      <c r="EC238" s="457"/>
      <c r="ED238" s="464"/>
      <c r="EE238" s="466"/>
      <c r="EF238" s="459"/>
      <c r="EG238" s="450"/>
      <c r="EH238" s="460">
        <f t="shared" si="133"/>
        <v>0</v>
      </c>
      <c r="EI238" s="460">
        <f t="shared" si="134"/>
        <v>0</v>
      </c>
      <c r="EJ238" s="458">
        <f t="shared" si="135"/>
        <v>0</v>
      </c>
      <c r="EK238" s="470">
        <f t="shared" si="136"/>
        <v>0</v>
      </c>
      <c r="EL238" s="470">
        <f t="shared" si="137"/>
        <v>0</v>
      </c>
      <c r="EM238" s="449">
        <f t="shared" si="138"/>
        <v>0</v>
      </c>
      <c r="EN238" s="460">
        <f t="shared" si="139"/>
        <v>0</v>
      </c>
      <c r="EO238" s="469">
        <f t="shared" si="140"/>
        <v>0</v>
      </c>
      <c r="EP238" s="471"/>
      <c r="EQ238" s="450"/>
      <c r="ER238" s="471"/>
      <c r="ES238" s="450"/>
      <c r="ET238" s="471"/>
      <c r="EU238" s="450"/>
      <c r="EV238" s="471"/>
      <c r="EW238" s="450"/>
      <c r="EX238" s="471"/>
      <c r="EY238" s="450"/>
      <c r="EZ238" s="471"/>
      <c r="FA238" s="450"/>
      <c r="FB238" s="471"/>
      <c r="FC238" s="450"/>
      <c r="FD238" s="471"/>
      <c r="FE238" s="450"/>
      <c r="FF238" s="471"/>
      <c r="FG238" s="450"/>
      <c r="FH238" s="472"/>
      <c r="FI238" s="450"/>
      <c r="FJ238" s="468">
        <f t="shared" si="129"/>
        <v>0</v>
      </c>
      <c r="FK238" s="469">
        <f t="shared" si="130"/>
        <v>0</v>
      </c>
      <c r="FL238" s="472"/>
      <c r="FM238" s="450"/>
      <c r="FN238" s="460">
        <f t="shared" si="131"/>
        <v>676</v>
      </c>
      <c r="FO238" s="469">
        <f t="shared" si="132"/>
        <v>555</v>
      </c>
    </row>
    <row r="239" spans="1:171" x14ac:dyDescent="0.2">
      <c r="A239" s="731" t="s">
        <v>604</v>
      </c>
      <c r="B239" s="528" t="s">
        <v>633</v>
      </c>
      <c r="C239" s="529"/>
      <c r="D239" s="526">
        <v>160667</v>
      </c>
      <c r="E239" s="517">
        <v>12</v>
      </c>
      <c r="F239" s="532">
        <v>492</v>
      </c>
      <c r="G239" s="450">
        <v>725</v>
      </c>
      <c r="H239" s="457"/>
      <c r="I239" s="450"/>
      <c r="J239" s="457">
        <v>15</v>
      </c>
      <c r="K239" s="450">
        <v>44</v>
      </c>
      <c r="L239" s="458">
        <f t="shared" si="122"/>
        <v>0</v>
      </c>
      <c r="M239" s="449">
        <f t="shared" si="123"/>
        <v>0</v>
      </c>
      <c r="N239" s="459"/>
      <c r="O239" s="459"/>
      <c r="P239" s="459"/>
      <c r="Q239" s="459"/>
      <c r="R239" s="460">
        <f t="shared" si="124"/>
        <v>0</v>
      </c>
      <c r="S239" s="391"/>
      <c r="T239" s="461"/>
      <c r="U239" s="461"/>
      <c r="V239" s="461"/>
      <c r="W239" s="462">
        <f t="shared" si="95"/>
        <v>0</v>
      </c>
      <c r="X239" s="463"/>
      <c r="Y239" s="457"/>
      <c r="Z239" s="464"/>
      <c r="AA239" s="464"/>
      <c r="AB239" s="465"/>
      <c r="AC239" s="457"/>
      <c r="AD239" s="464"/>
      <c r="AE239" s="466"/>
      <c r="AF239" s="465"/>
      <c r="AG239" s="457"/>
      <c r="AH239" s="464"/>
      <c r="AI239" s="466"/>
      <c r="AJ239" s="465"/>
      <c r="AK239" s="457"/>
      <c r="AL239" s="464"/>
      <c r="AM239" s="466"/>
      <c r="AN239" s="465"/>
      <c r="AO239" s="457"/>
      <c r="AP239" s="464"/>
      <c r="AQ239" s="464"/>
      <c r="AR239" s="460">
        <f t="shared" si="118"/>
        <v>0</v>
      </c>
      <c r="AS239" s="467">
        <f t="shared" si="119"/>
        <v>0</v>
      </c>
      <c r="AT239" s="447">
        <f t="shared" si="120"/>
        <v>0</v>
      </c>
      <c r="AU239" s="448">
        <f t="shared" si="121"/>
        <v>0</v>
      </c>
      <c r="AV239" s="457"/>
      <c r="AW239" s="450"/>
      <c r="AX239" s="463"/>
      <c r="AY239" s="457"/>
      <c r="AZ239" s="464"/>
      <c r="BA239" s="464"/>
      <c r="BB239" s="465"/>
      <c r="BC239" s="457"/>
      <c r="BD239" s="464"/>
      <c r="BE239" s="466"/>
      <c r="BF239" s="465"/>
      <c r="BG239" s="457"/>
      <c r="BH239" s="464"/>
      <c r="BI239" s="466"/>
      <c r="BJ239" s="465"/>
      <c r="BK239" s="457"/>
      <c r="BL239" s="464"/>
      <c r="BM239" s="466"/>
      <c r="BN239" s="465"/>
      <c r="BO239" s="457"/>
      <c r="BP239" s="464"/>
      <c r="BQ239" s="466"/>
      <c r="BR239" s="465"/>
      <c r="BS239" s="457"/>
      <c r="BT239" s="723"/>
      <c r="BU239" s="466"/>
      <c r="BV239" s="465"/>
      <c r="BW239" s="457"/>
      <c r="BX239" s="464"/>
      <c r="BY239" s="466"/>
      <c r="BZ239" s="465"/>
      <c r="CA239" s="457"/>
      <c r="CB239" s="464"/>
      <c r="CC239" s="466"/>
      <c r="CD239" s="465"/>
      <c r="CE239" s="457"/>
      <c r="CF239" s="464"/>
      <c r="CG239" s="466"/>
      <c r="CH239" s="465"/>
      <c r="CI239" s="457"/>
      <c r="CJ239" s="464"/>
      <c r="CK239" s="466"/>
      <c r="CL239" s="459"/>
      <c r="CM239" s="450"/>
      <c r="CN239" s="468">
        <f t="shared" si="125"/>
        <v>0</v>
      </c>
      <c r="CO239" s="468">
        <f t="shared" si="126"/>
        <v>0</v>
      </c>
      <c r="CP239" s="469">
        <f t="shared" si="127"/>
        <v>0</v>
      </c>
      <c r="CQ239" s="469">
        <f t="shared" si="128"/>
        <v>0</v>
      </c>
      <c r="CR239" s="463"/>
      <c r="CS239" s="457"/>
      <c r="CT239" s="464"/>
      <c r="CU239" s="464"/>
      <c r="CV239" s="465"/>
      <c r="CW239" s="457"/>
      <c r="CX239" s="464"/>
      <c r="CY239" s="466"/>
      <c r="CZ239" s="465"/>
      <c r="DA239" s="457"/>
      <c r="DB239" s="464"/>
      <c r="DC239" s="466"/>
      <c r="DD239" s="465"/>
      <c r="DE239" s="457"/>
      <c r="DF239" s="464"/>
      <c r="DG239" s="466"/>
      <c r="DH239" s="465"/>
      <c r="DI239" s="457"/>
      <c r="DJ239" s="464"/>
      <c r="DK239" s="466"/>
      <c r="DL239" s="465"/>
      <c r="DM239" s="457"/>
      <c r="DN239" s="464"/>
      <c r="DO239" s="466"/>
      <c r="DP239" s="465"/>
      <c r="DQ239" s="457"/>
      <c r="DR239" s="464"/>
      <c r="DS239" s="466"/>
      <c r="DT239" s="465"/>
      <c r="DU239" s="457"/>
      <c r="DV239" s="464"/>
      <c r="DW239" s="466"/>
      <c r="DX239" s="465"/>
      <c r="DY239" s="457"/>
      <c r="DZ239" s="464"/>
      <c r="EA239" s="466"/>
      <c r="EB239" s="465"/>
      <c r="EC239" s="457"/>
      <c r="ED239" s="464"/>
      <c r="EE239" s="466"/>
      <c r="EF239" s="459"/>
      <c r="EG239" s="450"/>
      <c r="EH239" s="460">
        <f t="shared" si="133"/>
        <v>0</v>
      </c>
      <c r="EI239" s="460">
        <f t="shared" si="134"/>
        <v>0</v>
      </c>
      <c r="EJ239" s="458">
        <f t="shared" si="135"/>
        <v>0</v>
      </c>
      <c r="EK239" s="470">
        <f t="shared" si="136"/>
        <v>0</v>
      </c>
      <c r="EL239" s="470">
        <f t="shared" si="137"/>
        <v>0</v>
      </c>
      <c r="EM239" s="449">
        <f t="shared" si="138"/>
        <v>0</v>
      </c>
      <c r="EN239" s="460">
        <f t="shared" si="139"/>
        <v>0</v>
      </c>
      <c r="EO239" s="469">
        <f t="shared" si="140"/>
        <v>0</v>
      </c>
      <c r="EP239" s="471"/>
      <c r="EQ239" s="450"/>
      <c r="ER239" s="471"/>
      <c r="ES239" s="450"/>
      <c r="ET239" s="471"/>
      <c r="EU239" s="450"/>
      <c r="EV239" s="471"/>
      <c r="EW239" s="450"/>
      <c r="EX239" s="471"/>
      <c r="EY239" s="450"/>
      <c r="EZ239" s="471"/>
      <c r="FA239" s="450"/>
      <c r="FB239" s="471"/>
      <c r="FC239" s="450"/>
      <c r="FD239" s="471"/>
      <c r="FE239" s="450"/>
      <c r="FF239" s="471"/>
      <c r="FG239" s="450"/>
      <c r="FH239" s="472"/>
      <c r="FI239" s="450"/>
      <c r="FJ239" s="468">
        <f t="shared" si="129"/>
        <v>0</v>
      </c>
      <c r="FK239" s="469">
        <f t="shared" si="130"/>
        <v>0</v>
      </c>
      <c r="FL239" s="472"/>
      <c r="FM239" s="450"/>
      <c r="FN239" s="460">
        <f t="shared" si="131"/>
        <v>507</v>
      </c>
      <c r="FO239" s="469">
        <f t="shared" si="132"/>
        <v>769</v>
      </c>
    </row>
    <row r="240" spans="1:171" x14ac:dyDescent="0.2">
      <c r="A240" s="731" t="s">
        <v>604</v>
      </c>
      <c r="B240" s="528" t="s">
        <v>634</v>
      </c>
      <c r="C240" s="529"/>
      <c r="D240" s="526">
        <v>160010</v>
      </c>
      <c r="E240" s="517">
        <v>12</v>
      </c>
      <c r="F240" s="532">
        <v>807</v>
      </c>
      <c r="G240" s="450">
        <v>767</v>
      </c>
      <c r="H240" s="457"/>
      <c r="I240" s="450"/>
      <c r="J240" s="457">
        <v>46</v>
      </c>
      <c r="K240" s="450">
        <v>36</v>
      </c>
      <c r="L240" s="458">
        <f t="shared" si="122"/>
        <v>0</v>
      </c>
      <c r="M240" s="449">
        <f t="shared" si="123"/>
        <v>0</v>
      </c>
      <c r="N240" s="459"/>
      <c r="O240" s="459"/>
      <c r="P240" s="459"/>
      <c r="Q240" s="459"/>
      <c r="R240" s="460">
        <f t="shared" si="124"/>
        <v>0</v>
      </c>
      <c r="S240" s="391"/>
      <c r="T240" s="461"/>
      <c r="U240" s="461"/>
      <c r="V240" s="461"/>
      <c r="W240" s="462">
        <f t="shared" si="95"/>
        <v>0</v>
      </c>
      <c r="X240" s="463"/>
      <c r="Y240" s="457"/>
      <c r="Z240" s="464"/>
      <c r="AA240" s="464"/>
      <c r="AB240" s="465"/>
      <c r="AC240" s="457"/>
      <c r="AD240" s="464"/>
      <c r="AE240" s="466"/>
      <c r="AF240" s="465"/>
      <c r="AG240" s="457"/>
      <c r="AH240" s="464"/>
      <c r="AI240" s="466"/>
      <c r="AJ240" s="465"/>
      <c r="AK240" s="457"/>
      <c r="AL240" s="464"/>
      <c r="AM240" s="466"/>
      <c r="AN240" s="465"/>
      <c r="AO240" s="457"/>
      <c r="AP240" s="464"/>
      <c r="AQ240" s="464"/>
      <c r="AR240" s="460">
        <f t="shared" si="118"/>
        <v>0</v>
      </c>
      <c r="AS240" s="467">
        <f t="shared" si="119"/>
        <v>0</v>
      </c>
      <c r="AT240" s="447">
        <f t="shared" si="120"/>
        <v>0</v>
      </c>
      <c r="AU240" s="448">
        <f t="shared" si="121"/>
        <v>0</v>
      </c>
      <c r="AV240" s="457"/>
      <c r="AW240" s="450"/>
      <c r="AX240" s="463"/>
      <c r="AY240" s="457"/>
      <c r="AZ240" s="464"/>
      <c r="BA240" s="466"/>
      <c r="BB240" s="465"/>
      <c r="BC240" s="457"/>
      <c r="BD240" s="464"/>
      <c r="BE240" s="466"/>
      <c r="BF240" s="465"/>
      <c r="BG240" s="457"/>
      <c r="BH240" s="464"/>
      <c r="BI240" s="466"/>
      <c r="BJ240" s="465"/>
      <c r="BK240" s="457"/>
      <c r="BL240" s="464"/>
      <c r="BM240" s="466"/>
      <c r="BN240" s="465"/>
      <c r="BO240" s="457"/>
      <c r="BP240" s="464"/>
      <c r="BQ240" s="466"/>
      <c r="BR240" s="465"/>
      <c r="BS240" s="457"/>
      <c r="BT240" s="542"/>
      <c r="BU240" s="392"/>
      <c r="BV240" s="465"/>
      <c r="BW240" s="457"/>
      <c r="BX240" s="392"/>
      <c r="BY240" s="392"/>
      <c r="BZ240" s="465"/>
      <c r="CA240" s="457"/>
      <c r="CB240" s="392"/>
      <c r="CC240" s="392"/>
      <c r="CD240" s="465"/>
      <c r="CE240" s="457"/>
      <c r="CF240" s="464"/>
      <c r="CG240" s="466"/>
      <c r="CH240" s="465"/>
      <c r="CI240" s="457"/>
      <c r="CJ240" s="464"/>
      <c r="CK240" s="466"/>
      <c r="CL240" s="459"/>
      <c r="CM240" s="450"/>
      <c r="CN240" s="468">
        <f t="shared" si="125"/>
        <v>0</v>
      </c>
      <c r="CO240" s="468">
        <f t="shared" si="126"/>
        <v>0</v>
      </c>
      <c r="CP240" s="469">
        <f t="shared" si="127"/>
        <v>0</v>
      </c>
      <c r="CQ240" s="469">
        <f t="shared" si="128"/>
        <v>0</v>
      </c>
      <c r="CR240" s="463"/>
      <c r="CS240" s="457"/>
      <c r="CT240" s="464"/>
      <c r="CU240" s="464"/>
      <c r="CV240" s="465"/>
      <c r="CW240" s="457"/>
      <c r="CX240" s="464"/>
      <c r="CY240" s="466"/>
      <c r="CZ240" s="465"/>
      <c r="DA240" s="457"/>
      <c r="DB240" s="464"/>
      <c r="DC240" s="466"/>
      <c r="DD240" s="465"/>
      <c r="DE240" s="457"/>
      <c r="DF240" s="464"/>
      <c r="DG240" s="466"/>
      <c r="DH240" s="465"/>
      <c r="DI240" s="457"/>
      <c r="DJ240" s="464"/>
      <c r="DK240" s="466"/>
      <c r="DL240" s="465"/>
      <c r="DM240" s="457"/>
      <c r="DN240" s="464"/>
      <c r="DO240" s="466"/>
      <c r="DP240" s="465"/>
      <c r="DQ240" s="457"/>
      <c r="DR240" s="464"/>
      <c r="DS240" s="466"/>
      <c r="DT240" s="465"/>
      <c r="DU240" s="457"/>
      <c r="DV240" s="464"/>
      <c r="DW240" s="466"/>
      <c r="DX240" s="465"/>
      <c r="DY240" s="457"/>
      <c r="DZ240" s="464"/>
      <c r="EA240" s="466"/>
      <c r="EB240" s="465"/>
      <c r="EC240" s="457"/>
      <c r="ED240" s="464"/>
      <c r="EE240" s="466"/>
      <c r="EF240" s="459"/>
      <c r="EG240" s="450"/>
      <c r="EH240" s="460">
        <f t="shared" si="133"/>
        <v>0</v>
      </c>
      <c r="EI240" s="460">
        <f t="shared" si="134"/>
        <v>0</v>
      </c>
      <c r="EJ240" s="458">
        <f t="shared" si="135"/>
        <v>0</v>
      </c>
      <c r="EK240" s="470">
        <f t="shared" si="136"/>
        <v>0</v>
      </c>
      <c r="EL240" s="470">
        <f t="shared" si="137"/>
        <v>0</v>
      </c>
      <c r="EM240" s="449">
        <f t="shared" si="138"/>
        <v>0</v>
      </c>
      <c r="EN240" s="460">
        <f t="shared" si="139"/>
        <v>0</v>
      </c>
      <c r="EO240" s="469">
        <f t="shared" si="140"/>
        <v>0</v>
      </c>
      <c r="EP240" s="471"/>
      <c r="EQ240" s="450"/>
      <c r="ER240" s="471"/>
      <c r="ES240" s="450"/>
      <c r="ET240" s="471"/>
      <c r="EU240" s="450"/>
      <c r="EV240" s="471"/>
      <c r="EW240" s="450"/>
      <c r="EX240" s="471"/>
      <c r="EY240" s="450"/>
      <c r="EZ240" s="471"/>
      <c r="FA240" s="450"/>
      <c r="FB240" s="471"/>
      <c r="FC240" s="450"/>
      <c r="FD240" s="471"/>
      <c r="FE240" s="450"/>
      <c r="FF240" s="471"/>
      <c r="FG240" s="450"/>
      <c r="FH240" s="472"/>
      <c r="FI240" s="450"/>
      <c r="FJ240" s="468">
        <f t="shared" si="129"/>
        <v>0</v>
      </c>
      <c r="FK240" s="469">
        <f t="shared" si="130"/>
        <v>0</v>
      </c>
      <c r="FL240" s="472"/>
      <c r="FM240" s="450"/>
      <c r="FN240" s="460">
        <f t="shared" si="131"/>
        <v>853</v>
      </c>
      <c r="FO240" s="469">
        <f t="shared" si="132"/>
        <v>803</v>
      </c>
    </row>
    <row r="241" spans="1:171" x14ac:dyDescent="0.2">
      <c r="A241" s="731" t="s">
        <v>604</v>
      </c>
      <c r="B241" s="528" t="s">
        <v>635</v>
      </c>
      <c r="C241" s="529"/>
      <c r="D241" s="526">
        <v>160913</v>
      </c>
      <c r="E241" s="517">
        <v>12</v>
      </c>
      <c r="F241" s="532">
        <v>432</v>
      </c>
      <c r="G241" s="450">
        <v>488</v>
      </c>
      <c r="H241" s="457"/>
      <c r="I241" s="450"/>
      <c r="J241" s="457">
        <v>121</v>
      </c>
      <c r="K241" s="450">
        <v>142</v>
      </c>
      <c r="L241" s="458">
        <f t="shared" si="122"/>
        <v>0</v>
      </c>
      <c r="M241" s="449">
        <f t="shared" si="123"/>
        <v>0</v>
      </c>
      <c r="N241" s="459"/>
      <c r="O241" s="459"/>
      <c r="P241" s="459"/>
      <c r="Q241" s="459"/>
      <c r="R241" s="460">
        <f t="shared" si="124"/>
        <v>0</v>
      </c>
      <c r="S241" s="391"/>
      <c r="T241" s="461"/>
      <c r="U241" s="461"/>
      <c r="V241" s="461"/>
      <c r="W241" s="462">
        <f t="shared" si="95"/>
        <v>0</v>
      </c>
      <c r="X241" s="463"/>
      <c r="Y241" s="457"/>
      <c r="Z241" s="464"/>
      <c r="AA241" s="464"/>
      <c r="AB241" s="465"/>
      <c r="AC241" s="457"/>
      <c r="AD241" s="464"/>
      <c r="AE241" s="466"/>
      <c r="AF241" s="465"/>
      <c r="AG241" s="457"/>
      <c r="AH241" s="464"/>
      <c r="AI241" s="466"/>
      <c r="AJ241" s="465"/>
      <c r="AK241" s="457"/>
      <c r="AL241" s="464"/>
      <c r="AM241" s="466"/>
      <c r="AN241" s="465"/>
      <c r="AO241" s="457"/>
      <c r="AP241" s="464"/>
      <c r="AQ241" s="464"/>
      <c r="AR241" s="460">
        <f t="shared" si="118"/>
        <v>0</v>
      </c>
      <c r="AS241" s="467">
        <f t="shared" si="119"/>
        <v>0</v>
      </c>
      <c r="AT241" s="447">
        <f t="shared" si="120"/>
        <v>0</v>
      </c>
      <c r="AU241" s="448">
        <f t="shared" si="121"/>
        <v>0</v>
      </c>
      <c r="AV241" s="457"/>
      <c r="AW241" s="450"/>
      <c r="AX241" s="463"/>
      <c r="AY241" s="457"/>
      <c r="AZ241" s="392"/>
      <c r="BA241" s="392"/>
      <c r="BB241" s="465"/>
      <c r="BC241" s="457"/>
      <c r="BD241" s="464"/>
      <c r="BE241" s="466"/>
      <c r="BF241" s="465"/>
      <c r="BG241" s="457"/>
      <c r="BH241" s="464"/>
      <c r="BI241" s="466"/>
      <c r="BJ241" s="465"/>
      <c r="BK241" s="457"/>
      <c r="BL241" s="464"/>
      <c r="BM241" s="466"/>
      <c r="BN241" s="465"/>
      <c r="BO241" s="457"/>
      <c r="BP241" s="464"/>
      <c r="BQ241" s="466"/>
      <c r="BR241" s="465"/>
      <c r="BS241" s="457"/>
      <c r="BT241" s="723"/>
      <c r="BU241" s="466"/>
      <c r="BV241" s="465"/>
      <c r="BW241" s="457"/>
      <c r="BX241" s="464"/>
      <c r="BY241" s="466"/>
      <c r="BZ241" s="465"/>
      <c r="CA241" s="457"/>
      <c r="CB241" s="464"/>
      <c r="CC241" s="466"/>
      <c r="CD241" s="465"/>
      <c r="CE241" s="457"/>
      <c r="CF241" s="464"/>
      <c r="CG241" s="466"/>
      <c r="CH241" s="465"/>
      <c r="CI241" s="457"/>
      <c r="CJ241" s="464"/>
      <c r="CK241" s="466"/>
      <c r="CL241" s="459"/>
      <c r="CM241" s="450"/>
      <c r="CN241" s="468">
        <f t="shared" si="125"/>
        <v>0</v>
      </c>
      <c r="CO241" s="468">
        <f t="shared" si="126"/>
        <v>0</v>
      </c>
      <c r="CP241" s="469">
        <f t="shared" si="127"/>
        <v>0</v>
      </c>
      <c r="CQ241" s="469">
        <f t="shared" si="128"/>
        <v>0</v>
      </c>
      <c r="CR241" s="463"/>
      <c r="CS241" s="457"/>
      <c r="CT241" s="464"/>
      <c r="CU241" s="464"/>
      <c r="CV241" s="465"/>
      <c r="CW241" s="457"/>
      <c r="CX241" s="464"/>
      <c r="CY241" s="466"/>
      <c r="CZ241" s="465"/>
      <c r="DA241" s="457"/>
      <c r="DB241" s="464"/>
      <c r="DC241" s="466"/>
      <c r="DD241" s="465"/>
      <c r="DE241" s="457"/>
      <c r="DF241" s="464"/>
      <c r="DG241" s="466"/>
      <c r="DH241" s="465"/>
      <c r="DI241" s="457"/>
      <c r="DJ241" s="464"/>
      <c r="DK241" s="466"/>
      <c r="DL241" s="465"/>
      <c r="DM241" s="457"/>
      <c r="DN241" s="464"/>
      <c r="DO241" s="466"/>
      <c r="DP241" s="465"/>
      <c r="DQ241" s="457"/>
      <c r="DR241" s="464"/>
      <c r="DS241" s="466"/>
      <c r="DT241" s="465"/>
      <c r="DU241" s="457"/>
      <c r="DV241" s="464"/>
      <c r="DW241" s="466"/>
      <c r="DX241" s="465"/>
      <c r="DY241" s="457"/>
      <c r="DZ241" s="464"/>
      <c r="EA241" s="466"/>
      <c r="EB241" s="465"/>
      <c r="EC241" s="457"/>
      <c r="ED241" s="464"/>
      <c r="EE241" s="466"/>
      <c r="EF241" s="459"/>
      <c r="EG241" s="450"/>
      <c r="EH241" s="460">
        <f t="shared" si="133"/>
        <v>0</v>
      </c>
      <c r="EI241" s="460">
        <f t="shared" si="134"/>
        <v>0</v>
      </c>
      <c r="EJ241" s="458">
        <f t="shared" si="135"/>
        <v>0</v>
      </c>
      <c r="EK241" s="470">
        <f t="shared" si="136"/>
        <v>0</v>
      </c>
      <c r="EL241" s="470">
        <f t="shared" si="137"/>
        <v>0</v>
      </c>
      <c r="EM241" s="449">
        <f t="shared" si="138"/>
        <v>0</v>
      </c>
      <c r="EN241" s="460">
        <f t="shared" si="139"/>
        <v>0</v>
      </c>
      <c r="EO241" s="469">
        <f t="shared" si="140"/>
        <v>0</v>
      </c>
      <c r="EP241" s="471"/>
      <c r="EQ241" s="450"/>
      <c r="ER241" s="471"/>
      <c r="ES241" s="450"/>
      <c r="ET241" s="471"/>
      <c r="EU241" s="450"/>
      <c r="EV241" s="471"/>
      <c r="EW241" s="450"/>
      <c r="EX241" s="471"/>
      <c r="EY241" s="450"/>
      <c r="EZ241" s="471"/>
      <c r="FA241" s="450"/>
      <c r="FB241" s="471"/>
      <c r="FC241" s="450"/>
      <c r="FD241" s="471"/>
      <c r="FE241" s="450"/>
      <c r="FF241" s="471"/>
      <c r="FG241" s="450"/>
      <c r="FH241" s="472"/>
      <c r="FI241" s="450"/>
      <c r="FJ241" s="468">
        <f t="shared" si="129"/>
        <v>0</v>
      </c>
      <c r="FK241" s="469">
        <f t="shared" si="130"/>
        <v>0</v>
      </c>
      <c r="FL241" s="472"/>
      <c r="FM241" s="450"/>
      <c r="FN241" s="460">
        <f t="shared" si="131"/>
        <v>553</v>
      </c>
      <c r="FO241" s="469">
        <f t="shared" si="132"/>
        <v>630</v>
      </c>
    </row>
    <row r="242" spans="1:171" x14ac:dyDescent="0.2">
      <c r="A242" s="731" t="s">
        <v>604</v>
      </c>
      <c r="B242" s="514" t="s">
        <v>636</v>
      </c>
      <c r="C242" s="515"/>
      <c r="D242" s="526">
        <v>160579</v>
      </c>
      <c r="E242" s="517">
        <v>12</v>
      </c>
      <c r="F242" s="532">
        <v>861</v>
      </c>
      <c r="G242" s="450">
        <v>918</v>
      </c>
      <c r="H242" s="457"/>
      <c r="I242" s="450"/>
      <c r="J242" s="457">
        <v>240</v>
      </c>
      <c r="K242" s="450">
        <v>322</v>
      </c>
      <c r="L242" s="458">
        <f t="shared" si="122"/>
        <v>0</v>
      </c>
      <c r="M242" s="449">
        <f t="shared" si="123"/>
        <v>0</v>
      </c>
      <c r="N242" s="459"/>
      <c r="O242" s="459"/>
      <c r="P242" s="459"/>
      <c r="Q242" s="459"/>
      <c r="R242" s="460">
        <f t="shared" si="124"/>
        <v>0</v>
      </c>
      <c r="S242" s="391"/>
      <c r="T242" s="461"/>
      <c r="U242" s="461"/>
      <c r="V242" s="461"/>
      <c r="W242" s="462">
        <f t="shared" si="95"/>
        <v>0</v>
      </c>
      <c r="X242" s="463"/>
      <c r="Y242" s="457"/>
      <c r="Z242" s="464"/>
      <c r="AA242" s="464"/>
      <c r="AB242" s="465"/>
      <c r="AC242" s="457"/>
      <c r="AD242" s="464"/>
      <c r="AE242" s="466"/>
      <c r="AF242" s="465"/>
      <c r="AG242" s="457"/>
      <c r="AH242" s="464"/>
      <c r="AI242" s="466"/>
      <c r="AJ242" s="465"/>
      <c r="AK242" s="457"/>
      <c r="AL242" s="464"/>
      <c r="AM242" s="466"/>
      <c r="AN242" s="465"/>
      <c r="AO242" s="457"/>
      <c r="AP242" s="464"/>
      <c r="AQ242" s="464"/>
      <c r="AR242" s="460">
        <f t="shared" si="118"/>
        <v>0</v>
      </c>
      <c r="AS242" s="467">
        <f t="shared" si="119"/>
        <v>0</v>
      </c>
      <c r="AT242" s="447">
        <f t="shared" si="120"/>
        <v>0</v>
      </c>
      <c r="AU242" s="448">
        <f t="shared" si="121"/>
        <v>0</v>
      </c>
      <c r="AV242" s="457"/>
      <c r="AW242" s="450"/>
      <c r="AX242" s="463"/>
      <c r="AY242" s="457"/>
      <c r="AZ242" s="464"/>
      <c r="BA242" s="464"/>
      <c r="BB242" s="465"/>
      <c r="BC242" s="457"/>
      <c r="BD242" s="464"/>
      <c r="BE242" s="466"/>
      <c r="BF242" s="465"/>
      <c r="BG242" s="457"/>
      <c r="BH242" s="464"/>
      <c r="BI242" s="466"/>
      <c r="BJ242" s="465"/>
      <c r="BK242" s="457"/>
      <c r="BL242" s="464"/>
      <c r="BM242" s="466"/>
      <c r="BN242" s="465"/>
      <c r="BO242" s="457"/>
      <c r="BP242" s="464"/>
      <c r="BQ242" s="466"/>
      <c r="BR242" s="465"/>
      <c r="BS242" s="457"/>
      <c r="BT242" s="723"/>
      <c r="BU242" s="466"/>
      <c r="BV242" s="465"/>
      <c r="BW242" s="457"/>
      <c r="BX242" s="464"/>
      <c r="BY242" s="466"/>
      <c r="BZ242" s="465"/>
      <c r="CA242" s="457"/>
      <c r="CB242" s="464"/>
      <c r="CC242" s="466"/>
      <c r="CD242" s="465"/>
      <c r="CE242" s="457"/>
      <c r="CF242" s="464"/>
      <c r="CG242" s="466"/>
      <c r="CH242" s="465"/>
      <c r="CI242" s="457"/>
      <c r="CJ242" s="464"/>
      <c r="CK242" s="466"/>
      <c r="CL242" s="459"/>
      <c r="CM242" s="450"/>
      <c r="CN242" s="468">
        <f t="shared" si="125"/>
        <v>0</v>
      </c>
      <c r="CO242" s="468">
        <f t="shared" si="126"/>
        <v>0</v>
      </c>
      <c r="CP242" s="469">
        <f t="shared" si="127"/>
        <v>0</v>
      </c>
      <c r="CQ242" s="469">
        <f t="shared" si="128"/>
        <v>0</v>
      </c>
      <c r="CR242" s="463"/>
      <c r="CS242" s="457"/>
      <c r="CT242" s="464"/>
      <c r="CU242" s="464"/>
      <c r="CV242" s="465"/>
      <c r="CW242" s="457"/>
      <c r="CX242" s="464"/>
      <c r="CY242" s="466"/>
      <c r="CZ242" s="465"/>
      <c r="DA242" s="457"/>
      <c r="DB242" s="464"/>
      <c r="DC242" s="466"/>
      <c r="DD242" s="465"/>
      <c r="DE242" s="457"/>
      <c r="DF242" s="464"/>
      <c r="DG242" s="466"/>
      <c r="DH242" s="465"/>
      <c r="DI242" s="457"/>
      <c r="DJ242" s="464"/>
      <c r="DK242" s="466"/>
      <c r="DL242" s="465"/>
      <c r="DM242" s="457"/>
      <c r="DN242" s="464"/>
      <c r="DO242" s="466"/>
      <c r="DP242" s="465"/>
      <c r="DQ242" s="457"/>
      <c r="DR242" s="464"/>
      <c r="DS242" s="466"/>
      <c r="DT242" s="465"/>
      <c r="DU242" s="457"/>
      <c r="DV242" s="464"/>
      <c r="DW242" s="466"/>
      <c r="DX242" s="465"/>
      <c r="DY242" s="457"/>
      <c r="DZ242" s="464"/>
      <c r="EA242" s="466"/>
      <c r="EB242" s="465"/>
      <c r="EC242" s="457"/>
      <c r="ED242" s="464"/>
      <c r="EE242" s="466"/>
      <c r="EF242" s="459"/>
      <c r="EG242" s="450"/>
      <c r="EH242" s="460">
        <f t="shared" si="133"/>
        <v>0</v>
      </c>
      <c r="EI242" s="460">
        <f t="shared" si="134"/>
        <v>0</v>
      </c>
      <c r="EJ242" s="458">
        <f t="shared" si="135"/>
        <v>0</v>
      </c>
      <c r="EK242" s="470">
        <f t="shared" si="136"/>
        <v>0</v>
      </c>
      <c r="EL242" s="470">
        <f t="shared" si="137"/>
        <v>0</v>
      </c>
      <c r="EM242" s="449">
        <f t="shared" si="138"/>
        <v>0</v>
      </c>
      <c r="EN242" s="460">
        <f t="shared" si="139"/>
        <v>0</v>
      </c>
      <c r="EO242" s="469">
        <f t="shared" si="140"/>
        <v>0</v>
      </c>
      <c r="EP242" s="471"/>
      <c r="EQ242" s="450"/>
      <c r="ER242" s="471"/>
      <c r="ES242" s="450"/>
      <c r="ET242" s="471"/>
      <c r="EU242" s="450"/>
      <c r="EV242" s="471"/>
      <c r="EW242" s="450"/>
      <c r="EX242" s="471"/>
      <c r="EY242" s="450"/>
      <c r="EZ242" s="471"/>
      <c r="FA242" s="450"/>
      <c r="FB242" s="471"/>
      <c r="FC242" s="450"/>
      <c r="FD242" s="471"/>
      <c r="FE242" s="450"/>
      <c r="FF242" s="471"/>
      <c r="FG242" s="450"/>
      <c r="FH242" s="472"/>
      <c r="FI242" s="450"/>
      <c r="FJ242" s="468">
        <f t="shared" si="129"/>
        <v>0</v>
      </c>
      <c r="FK242" s="469">
        <f t="shared" si="130"/>
        <v>0</v>
      </c>
      <c r="FL242" s="472"/>
      <c r="FM242" s="450"/>
      <c r="FN242" s="460">
        <f t="shared" si="131"/>
        <v>1101</v>
      </c>
      <c r="FO242" s="469">
        <f t="shared" si="132"/>
        <v>1240</v>
      </c>
    </row>
    <row r="243" spans="1:171" x14ac:dyDescent="0.2">
      <c r="A243" s="731" t="s">
        <v>604</v>
      </c>
      <c r="B243" s="514" t="s">
        <v>637</v>
      </c>
      <c r="C243" s="515"/>
      <c r="D243" s="516">
        <v>159373</v>
      </c>
      <c r="E243" s="517">
        <v>15</v>
      </c>
      <c r="F243" s="532"/>
      <c r="G243" s="450"/>
      <c r="H243" s="457"/>
      <c r="I243" s="450"/>
      <c r="J243" s="457">
        <v>11</v>
      </c>
      <c r="K243" s="450">
        <v>5</v>
      </c>
      <c r="L243" s="458">
        <f t="shared" si="122"/>
        <v>3.9711191335740074E-2</v>
      </c>
      <c r="M243" s="449">
        <f t="shared" si="123"/>
        <v>1.524390243902439E-2</v>
      </c>
      <c r="N243" s="459">
        <v>277</v>
      </c>
      <c r="O243" s="459"/>
      <c r="P243" s="459"/>
      <c r="Q243" s="459"/>
      <c r="R243" s="460">
        <f t="shared" si="124"/>
        <v>0</v>
      </c>
      <c r="S243" s="391">
        <v>328</v>
      </c>
      <c r="T243" s="461"/>
      <c r="U243" s="461"/>
      <c r="V243" s="461"/>
      <c r="W243" s="462">
        <f t="shared" si="95"/>
        <v>0</v>
      </c>
      <c r="X243" s="463"/>
      <c r="Y243" s="457"/>
      <c r="Z243" s="464"/>
      <c r="AA243" s="464"/>
      <c r="AB243" s="465"/>
      <c r="AC243" s="457"/>
      <c r="AD243" s="464"/>
      <c r="AE243" s="466"/>
      <c r="AF243" s="465"/>
      <c r="AG243" s="457"/>
      <c r="AH243" s="464"/>
      <c r="AI243" s="466"/>
      <c r="AJ243" s="465"/>
      <c r="AK243" s="457"/>
      <c r="AL243" s="464"/>
      <c r="AM243" s="466"/>
      <c r="AN243" s="465"/>
      <c r="AO243" s="457"/>
      <c r="AP243" s="464"/>
      <c r="AQ243" s="464"/>
      <c r="AR243" s="460">
        <f t="shared" si="118"/>
        <v>0</v>
      </c>
      <c r="AS243" s="467">
        <f t="shared" si="119"/>
        <v>0.39069111424541608</v>
      </c>
      <c r="AT243" s="447">
        <f t="shared" si="120"/>
        <v>0</v>
      </c>
      <c r="AU243" s="448">
        <f t="shared" si="121"/>
        <v>0.41414141414141414</v>
      </c>
      <c r="AV243" s="457"/>
      <c r="AW243" s="450"/>
      <c r="AX243" s="463">
        <v>51</v>
      </c>
      <c r="AY243" s="457">
        <v>166</v>
      </c>
      <c r="AZ243" s="464">
        <v>51</v>
      </c>
      <c r="BA243" s="464">
        <v>206</v>
      </c>
      <c r="BB243" s="465"/>
      <c r="BC243" s="457"/>
      <c r="BD243" s="464">
        <v>26</v>
      </c>
      <c r="BE243" s="466">
        <v>4</v>
      </c>
      <c r="BF243" s="465"/>
      <c r="BG243" s="457"/>
      <c r="BH243" s="464"/>
      <c r="BI243" s="466"/>
      <c r="BJ243" s="465"/>
      <c r="BK243" s="457"/>
      <c r="BL243" s="464"/>
      <c r="BM243" s="466"/>
      <c r="BN243" s="465"/>
      <c r="BO243" s="457"/>
      <c r="BP243" s="464"/>
      <c r="BQ243" s="466"/>
      <c r="BR243" s="465"/>
      <c r="BS243" s="457"/>
      <c r="BT243" s="723"/>
      <c r="BU243" s="466"/>
      <c r="BV243" s="465"/>
      <c r="BW243" s="457"/>
      <c r="BX243" s="464"/>
      <c r="BY243" s="466"/>
      <c r="BZ243" s="465"/>
      <c r="CA243" s="457"/>
      <c r="CB243" s="464"/>
      <c r="CC243" s="466"/>
      <c r="CD243" s="465"/>
      <c r="CE243" s="457"/>
      <c r="CF243" s="464"/>
      <c r="CG243" s="466"/>
      <c r="CH243" s="465"/>
      <c r="CI243" s="457"/>
      <c r="CJ243" s="464"/>
      <c r="CK243" s="466"/>
      <c r="CL243" s="459"/>
      <c r="CM243" s="450"/>
      <c r="CN243" s="468">
        <f t="shared" si="125"/>
        <v>166</v>
      </c>
      <c r="CO243" s="468">
        <f t="shared" si="126"/>
        <v>1</v>
      </c>
      <c r="CP243" s="469">
        <f t="shared" si="127"/>
        <v>210</v>
      </c>
      <c r="CQ243" s="469">
        <f t="shared" si="128"/>
        <v>2</v>
      </c>
      <c r="CR243" s="463">
        <v>26</v>
      </c>
      <c r="CS243" s="457">
        <v>20</v>
      </c>
      <c r="CT243" s="464">
        <v>26</v>
      </c>
      <c r="CU243" s="464">
        <v>15</v>
      </c>
      <c r="CV243" s="465">
        <v>51</v>
      </c>
      <c r="CW243" s="457">
        <v>2</v>
      </c>
      <c r="CX243" s="464">
        <v>51</v>
      </c>
      <c r="CY243" s="466">
        <v>2</v>
      </c>
      <c r="CZ243" s="465"/>
      <c r="DA243" s="457"/>
      <c r="DB243" s="464"/>
      <c r="DC243" s="466"/>
      <c r="DD243" s="465"/>
      <c r="DE243" s="457"/>
      <c r="DF243" s="464"/>
      <c r="DG243" s="466"/>
      <c r="DH243" s="465"/>
      <c r="DI243" s="457"/>
      <c r="DJ243" s="464"/>
      <c r="DK243" s="466"/>
      <c r="DL243" s="465"/>
      <c r="DM243" s="457"/>
      <c r="DN243" s="464"/>
      <c r="DO243" s="466"/>
      <c r="DP243" s="465"/>
      <c r="DQ243" s="457"/>
      <c r="DR243" s="464"/>
      <c r="DS243" s="466"/>
      <c r="DT243" s="465"/>
      <c r="DU243" s="457"/>
      <c r="DV243" s="464"/>
      <c r="DW243" s="466"/>
      <c r="DX243" s="465"/>
      <c r="DY243" s="457"/>
      <c r="DZ243" s="464"/>
      <c r="EA243" s="466"/>
      <c r="EB243" s="465"/>
      <c r="EC243" s="457"/>
      <c r="ED243" s="464"/>
      <c r="EE243" s="466"/>
      <c r="EF243" s="459"/>
      <c r="EG243" s="450"/>
      <c r="EH243" s="460">
        <f t="shared" si="133"/>
        <v>22</v>
      </c>
      <c r="EI243" s="460">
        <f t="shared" si="134"/>
        <v>2</v>
      </c>
      <c r="EJ243" s="458">
        <f t="shared" si="135"/>
        <v>0.90909090909090906</v>
      </c>
      <c r="EK243" s="470">
        <f t="shared" si="136"/>
        <v>17</v>
      </c>
      <c r="EL243" s="470">
        <f t="shared" si="137"/>
        <v>2</v>
      </c>
      <c r="EM243" s="449">
        <f t="shared" si="138"/>
        <v>0.88235294117647056</v>
      </c>
      <c r="EN243" s="460">
        <f t="shared" si="139"/>
        <v>188</v>
      </c>
      <c r="EO243" s="469">
        <f t="shared" si="140"/>
        <v>227</v>
      </c>
      <c r="EP243" s="471"/>
      <c r="EQ243" s="450"/>
      <c r="ER243" s="471">
        <v>180</v>
      </c>
      <c r="ES243" s="450">
        <v>174</v>
      </c>
      <c r="ET243" s="471">
        <v>53</v>
      </c>
      <c r="EU243" s="450">
        <v>58</v>
      </c>
      <c r="EV243" s="471"/>
      <c r="EW243" s="450"/>
      <c r="EX243" s="471"/>
      <c r="EY243" s="450"/>
      <c r="EZ243" s="471"/>
      <c r="FA243" s="450"/>
      <c r="FB243" s="471"/>
      <c r="FC243" s="450"/>
      <c r="FD243" s="471"/>
      <c r="FE243" s="450"/>
      <c r="FF243" s="471"/>
      <c r="FG243" s="450"/>
      <c r="FH243" s="472"/>
      <c r="FI243" s="450"/>
      <c r="FJ243" s="468">
        <f t="shared" si="129"/>
        <v>233</v>
      </c>
      <c r="FK243" s="469">
        <f t="shared" si="130"/>
        <v>232</v>
      </c>
      <c r="FL243" s="472"/>
      <c r="FM243" s="450"/>
      <c r="FN243" s="460">
        <f t="shared" si="131"/>
        <v>709</v>
      </c>
      <c r="FO243" s="469">
        <f t="shared" si="132"/>
        <v>792</v>
      </c>
    </row>
    <row r="244" spans="1:171" x14ac:dyDescent="0.2">
      <c r="A244" s="731" t="s">
        <v>604</v>
      </c>
      <c r="B244" s="514" t="s">
        <v>638</v>
      </c>
      <c r="C244" s="515"/>
      <c r="D244" s="516">
        <v>435000</v>
      </c>
      <c r="E244" s="517">
        <v>15</v>
      </c>
      <c r="F244" s="532"/>
      <c r="G244" s="450"/>
      <c r="H244" s="457"/>
      <c r="I244" s="450"/>
      <c r="J244" s="457"/>
      <c r="K244" s="450"/>
      <c r="L244" s="458">
        <f t="shared" si="122"/>
        <v>0</v>
      </c>
      <c r="M244" s="449">
        <f t="shared" si="123"/>
        <v>0</v>
      </c>
      <c r="N244" s="459">
        <v>52</v>
      </c>
      <c r="O244" s="459"/>
      <c r="P244" s="459"/>
      <c r="Q244" s="459"/>
      <c r="R244" s="460">
        <f t="shared" si="124"/>
        <v>0</v>
      </c>
      <c r="S244" s="391">
        <v>56</v>
      </c>
      <c r="T244" s="461"/>
      <c r="U244" s="461"/>
      <c r="V244" s="461"/>
      <c r="W244" s="462">
        <f t="shared" si="95"/>
        <v>0</v>
      </c>
      <c r="X244" s="463"/>
      <c r="Y244" s="457"/>
      <c r="Z244" s="464"/>
      <c r="AA244" s="464"/>
      <c r="AB244" s="465"/>
      <c r="AC244" s="457"/>
      <c r="AD244" s="464"/>
      <c r="AE244" s="466"/>
      <c r="AF244" s="465"/>
      <c r="AG244" s="457"/>
      <c r="AH244" s="464"/>
      <c r="AI244" s="466"/>
      <c r="AJ244" s="465"/>
      <c r="AK244" s="457"/>
      <c r="AL244" s="464"/>
      <c r="AM244" s="466"/>
      <c r="AN244" s="465"/>
      <c r="AO244" s="457"/>
      <c r="AP244" s="464"/>
      <c r="AQ244" s="464"/>
      <c r="AR244" s="460">
        <f t="shared" si="118"/>
        <v>0</v>
      </c>
      <c r="AS244" s="467">
        <f t="shared" si="119"/>
        <v>0.25365853658536586</v>
      </c>
      <c r="AT244" s="447">
        <f t="shared" si="120"/>
        <v>0</v>
      </c>
      <c r="AU244" s="448">
        <f t="shared" si="121"/>
        <v>0.25806451612903225</v>
      </c>
      <c r="AV244" s="457"/>
      <c r="AW244" s="450"/>
      <c r="AX244" s="463">
        <v>51</v>
      </c>
      <c r="AY244" s="457">
        <v>31</v>
      </c>
      <c r="AZ244" s="464">
        <v>51</v>
      </c>
      <c r="BA244" s="464">
        <v>31</v>
      </c>
      <c r="BB244" s="465">
        <v>26</v>
      </c>
      <c r="BC244" s="457">
        <v>1</v>
      </c>
      <c r="BD244" s="464">
        <v>26</v>
      </c>
      <c r="BE244" s="466">
        <v>5</v>
      </c>
      <c r="BF244" s="465"/>
      <c r="BG244" s="457"/>
      <c r="BH244" s="464"/>
      <c r="BI244" s="466"/>
      <c r="BJ244" s="465"/>
      <c r="BK244" s="457"/>
      <c r="BL244" s="464"/>
      <c r="BM244" s="466"/>
      <c r="BN244" s="465"/>
      <c r="BO244" s="457"/>
      <c r="BP244" s="464"/>
      <c r="BQ244" s="466"/>
      <c r="BR244" s="465"/>
      <c r="BS244" s="457"/>
      <c r="BT244" s="723"/>
      <c r="BU244" s="466"/>
      <c r="BV244" s="465"/>
      <c r="BW244" s="457"/>
      <c r="BX244" s="464"/>
      <c r="BY244" s="466"/>
      <c r="BZ244" s="465"/>
      <c r="CA244" s="457"/>
      <c r="CB244" s="464"/>
      <c r="CC244" s="466"/>
      <c r="CD244" s="465"/>
      <c r="CE244" s="457"/>
      <c r="CF244" s="464"/>
      <c r="CG244" s="466"/>
      <c r="CH244" s="465"/>
      <c r="CI244" s="457"/>
      <c r="CJ244" s="464"/>
      <c r="CK244" s="466"/>
      <c r="CL244" s="459"/>
      <c r="CM244" s="450"/>
      <c r="CN244" s="468">
        <f t="shared" si="125"/>
        <v>32</v>
      </c>
      <c r="CO244" s="468">
        <f t="shared" si="126"/>
        <v>2</v>
      </c>
      <c r="CP244" s="469">
        <f t="shared" si="127"/>
        <v>36</v>
      </c>
      <c r="CQ244" s="469">
        <f t="shared" si="128"/>
        <v>2</v>
      </c>
      <c r="CR244" s="463">
        <v>26</v>
      </c>
      <c r="CS244" s="457">
        <v>10</v>
      </c>
      <c r="CT244" s="464">
        <v>26</v>
      </c>
      <c r="CU244" s="464">
        <v>16</v>
      </c>
      <c r="CV244" s="465"/>
      <c r="CW244" s="457"/>
      <c r="CX244" s="464"/>
      <c r="CY244" s="466"/>
      <c r="CZ244" s="465"/>
      <c r="DA244" s="457"/>
      <c r="DB244" s="464"/>
      <c r="DC244" s="466"/>
      <c r="DD244" s="465"/>
      <c r="DE244" s="457"/>
      <c r="DF244" s="464"/>
      <c r="DG244" s="466"/>
      <c r="DH244" s="465"/>
      <c r="DI244" s="457"/>
      <c r="DJ244" s="464"/>
      <c r="DK244" s="466"/>
      <c r="DL244" s="465"/>
      <c r="DM244" s="457"/>
      <c r="DN244" s="464"/>
      <c r="DO244" s="466"/>
      <c r="DP244" s="465"/>
      <c r="DQ244" s="457"/>
      <c r="DR244" s="464"/>
      <c r="DS244" s="466"/>
      <c r="DT244" s="465"/>
      <c r="DU244" s="457"/>
      <c r="DV244" s="464"/>
      <c r="DW244" s="466"/>
      <c r="DX244" s="465"/>
      <c r="DY244" s="457"/>
      <c r="DZ244" s="464"/>
      <c r="EA244" s="466"/>
      <c r="EB244" s="465"/>
      <c r="EC244" s="457"/>
      <c r="ED244" s="464"/>
      <c r="EE244" s="466"/>
      <c r="EF244" s="459"/>
      <c r="EG244" s="450"/>
      <c r="EH244" s="460">
        <f t="shared" si="133"/>
        <v>10</v>
      </c>
      <c r="EI244" s="460">
        <f t="shared" si="134"/>
        <v>1</v>
      </c>
      <c r="EJ244" s="458">
        <f t="shared" si="135"/>
        <v>1</v>
      </c>
      <c r="EK244" s="470">
        <f t="shared" si="136"/>
        <v>16</v>
      </c>
      <c r="EL244" s="470">
        <f t="shared" si="137"/>
        <v>1</v>
      </c>
      <c r="EM244" s="449">
        <f t="shared" si="138"/>
        <v>1</v>
      </c>
      <c r="EN244" s="460">
        <f t="shared" si="139"/>
        <v>42</v>
      </c>
      <c r="EO244" s="469">
        <f t="shared" si="140"/>
        <v>52</v>
      </c>
      <c r="EP244" s="471"/>
      <c r="EQ244" s="450"/>
      <c r="ER244" s="471">
        <v>111</v>
      </c>
      <c r="ES244" s="450">
        <v>109</v>
      </c>
      <c r="ET244" s="471"/>
      <c r="EU244" s="450"/>
      <c r="EV244" s="471"/>
      <c r="EW244" s="450"/>
      <c r="EX244" s="471"/>
      <c r="EY244" s="450"/>
      <c r="EZ244" s="471"/>
      <c r="FA244" s="450"/>
      <c r="FB244" s="471"/>
      <c r="FC244" s="450"/>
      <c r="FD244" s="471"/>
      <c r="FE244" s="450"/>
      <c r="FF244" s="471"/>
      <c r="FG244" s="450"/>
      <c r="FH244" s="472"/>
      <c r="FI244" s="450"/>
      <c r="FJ244" s="468">
        <f t="shared" si="129"/>
        <v>111</v>
      </c>
      <c r="FK244" s="469">
        <f t="shared" si="130"/>
        <v>109</v>
      </c>
      <c r="FL244" s="472"/>
      <c r="FM244" s="450"/>
      <c r="FN244" s="460">
        <f t="shared" si="131"/>
        <v>205</v>
      </c>
      <c r="FO244" s="469">
        <f t="shared" si="132"/>
        <v>217</v>
      </c>
    </row>
    <row r="245" spans="1:171" x14ac:dyDescent="0.2">
      <c r="A245" s="726" t="s">
        <v>1094</v>
      </c>
      <c r="B245" s="604" t="s">
        <v>1095</v>
      </c>
      <c r="C245" s="693"/>
      <c r="D245" s="619">
        <v>163286</v>
      </c>
      <c r="E245" s="620">
        <v>1</v>
      </c>
      <c r="F245" s="532"/>
      <c r="G245" s="450"/>
      <c r="H245" s="457">
        <v>47</v>
      </c>
      <c r="I245" s="450">
        <v>42</v>
      </c>
      <c r="J245" s="457"/>
      <c r="K245" s="450"/>
      <c r="L245" s="458">
        <f t="shared" si="122"/>
        <v>0</v>
      </c>
      <c r="M245" s="449">
        <f t="shared" si="123"/>
        <v>0</v>
      </c>
      <c r="N245" s="459">
        <v>6987</v>
      </c>
      <c r="O245" s="459">
        <v>601</v>
      </c>
      <c r="P245" s="459"/>
      <c r="Q245" s="459"/>
      <c r="R245" s="460">
        <f t="shared" si="124"/>
        <v>601</v>
      </c>
      <c r="S245" s="466">
        <v>7043</v>
      </c>
      <c r="T245" s="466">
        <v>618</v>
      </c>
      <c r="U245" s="461"/>
      <c r="V245" s="461"/>
      <c r="W245" s="462">
        <f t="shared" si="95"/>
        <v>618</v>
      </c>
      <c r="X245" s="463"/>
      <c r="Y245" s="457"/>
      <c r="Z245" s="464"/>
      <c r="AA245" s="464"/>
      <c r="AB245" s="465"/>
      <c r="AC245" s="457"/>
      <c r="AD245" s="464"/>
      <c r="AE245" s="466"/>
      <c r="AF245" s="465"/>
      <c r="AG245" s="457"/>
      <c r="AH245" s="464"/>
      <c r="AI245" s="466"/>
      <c r="AJ245" s="465"/>
      <c r="AK245" s="457"/>
      <c r="AL245" s="464"/>
      <c r="AM245" s="466"/>
      <c r="AN245" s="465"/>
      <c r="AO245" s="457"/>
      <c r="AP245" s="464"/>
      <c r="AQ245" s="464"/>
      <c r="AR245" s="460">
        <f t="shared" si="118"/>
        <v>0</v>
      </c>
      <c r="AS245" s="467">
        <f t="shared" si="119"/>
        <v>0.69239916757506692</v>
      </c>
      <c r="AT245" s="447">
        <f t="shared" si="120"/>
        <v>0</v>
      </c>
      <c r="AU245" s="448">
        <f t="shared" si="121"/>
        <v>0.68471709119191138</v>
      </c>
      <c r="AV245" s="457">
        <v>137</v>
      </c>
      <c r="AW245" s="450">
        <v>104</v>
      </c>
      <c r="AX245" s="463">
        <v>52</v>
      </c>
      <c r="AY245" s="457">
        <v>571</v>
      </c>
      <c r="AZ245" s="464">
        <v>52</v>
      </c>
      <c r="BA245" s="464">
        <v>740</v>
      </c>
      <c r="BB245" s="465">
        <v>14</v>
      </c>
      <c r="BC245" s="457">
        <v>386</v>
      </c>
      <c r="BD245" s="464">
        <v>14</v>
      </c>
      <c r="BE245" s="466">
        <v>423</v>
      </c>
      <c r="BF245" s="465">
        <v>13</v>
      </c>
      <c r="BG245" s="457">
        <v>314</v>
      </c>
      <c r="BH245" s="464">
        <v>13</v>
      </c>
      <c r="BI245" s="466">
        <v>303</v>
      </c>
      <c r="BJ245" s="465">
        <v>44</v>
      </c>
      <c r="BK245" s="457">
        <v>202</v>
      </c>
      <c r="BL245" s="464">
        <v>44</v>
      </c>
      <c r="BM245" s="466">
        <v>194</v>
      </c>
      <c r="BN245" s="465">
        <v>25</v>
      </c>
      <c r="BO245" s="457">
        <v>149</v>
      </c>
      <c r="BP245" s="464">
        <v>25</v>
      </c>
      <c r="BQ245" s="466">
        <v>117</v>
      </c>
      <c r="BR245" s="465">
        <v>45</v>
      </c>
      <c r="BS245" s="457">
        <v>96</v>
      </c>
      <c r="BT245" s="464">
        <v>45</v>
      </c>
      <c r="BU245" s="466">
        <v>95</v>
      </c>
      <c r="BV245" s="465">
        <v>11</v>
      </c>
      <c r="BW245" s="457">
        <v>84</v>
      </c>
      <c r="BX245" s="464">
        <v>30</v>
      </c>
      <c r="BY245" s="466">
        <v>72</v>
      </c>
      <c r="BZ245" s="465">
        <v>30</v>
      </c>
      <c r="CA245" s="457">
        <v>68</v>
      </c>
      <c r="CB245" s="464">
        <v>11</v>
      </c>
      <c r="CC245" s="466">
        <v>65</v>
      </c>
      <c r="CD245" s="465">
        <v>26</v>
      </c>
      <c r="CE245" s="457">
        <v>67</v>
      </c>
      <c r="CF245" s="464">
        <v>51</v>
      </c>
      <c r="CG245" s="466">
        <v>57</v>
      </c>
      <c r="CH245" s="465">
        <v>51</v>
      </c>
      <c r="CI245" s="457">
        <v>50</v>
      </c>
      <c r="CJ245" s="723">
        <v>3</v>
      </c>
      <c r="CK245" s="466">
        <v>53</v>
      </c>
      <c r="CL245" s="459">
        <v>321</v>
      </c>
      <c r="CM245" s="450">
        <v>321</v>
      </c>
      <c r="CN245" s="468">
        <f t="shared" si="125"/>
        <v>2308</v>
      </c>
      <c r="CO245" s="468">
        <f t="shared" si="126"/>
        <v>10</v>
      </c>
      <c r="CP245" s="469">
        <f t="shared" si="127"/>
        <v>2440</v>
      </c>
      <c r="CQ245" s="469">
        <f t="shared" si="128"/>
        <v>10</v>
      </c>
      <c r="CR245" s="463">
        <v>14</v>
      </c>
      <c r="CS245" s="457">
        <v>126</v>
      </c>
      <c r="CT245" s="464">
        <v>14</v>
      </c>
      <c r="CU245" s="464">
        <v>122</v>
      </c>
      <c r="CV245" s="465">
        <v>40</v>
      </c>
      <c r="CW245" s="457">
        <v>71</v>
      </c>
      <c r="CX245" s="464">
        <v>13</v>
      </c>
      <c r="CY245" s="466">
        <v>101</v>
      </c>
      <c r="CZ245" s="465">
        <v>13</v>
      </c>
      <c r="DA245" s="457">
        <v>67</v>
      </c>
      <c r="DB245" s="464">
        <v>40</v>
      </c>
      <c r="DC245" s="466">
        <v>64</v>
      </c>
      <c r="DD245" s="465">
        <v>45</v>
      </c>
      <c r="DE245" s="457">
        <v>56</v>
      </c>
      <c r="DF245" s="464">
        <v>45</v>
      </c>
      <c r="DG245" s="466">
        <v>57</v>
      </c>
      <c r="DH245" s="465">
        <v>26</v>
      </c>
      <c r="DI245" s="457">
        <v>39</v>
      </c>
      <c r="DJ245" s="464">
        <v>26</v>
      </c>
      <c r="DK245" s="466">
        <v>41</v>
      </c>
      <c r="DL245" s="465">
        <v>50</v>
      </c>
      <c r="DM245" s="457">
        <v>34</v>
      </c>
      <c r="DN245" s="464">
        <v>50</v>
      </c>
      <c r="DO245" s="466">
        <v>37</v>
      </c>
      <c r="DP245" s="465">
        <v>27</v>
      </c>
      <c r="DQ245" s="457">
        <v>27</v>
      </c>
      <c r="DR245" s="464">
        <v>27</v>
      </c>
      <c r="DS245" s="466">
        <v>29</v>
      </c>
      <c r="DT245" s="465">
        <v>11</v>
      </c>
      <c r="DU245" s="457">
        <v>27</v>
      </c>
      <c r="DV245" s="464">
        <v>11</v>
      </c>
      <c r="DW245" s="466">
        <v>28</v>
      </c>
      <c r="DX245" s="465">
        <v>42</v>
      </c>
      <c r="DY245" s="457">
        <v>17</v>
      </c>
      <c r="DZ245" s="464">
        <v>16</v>
      </c>
      <c r="EA245" s="466">
        <v>26</v>
      </c>
      <c r="EB245" s="465">
        <v>52</v>
      </c>
      <c r="EC245" s="457">
        <v>17</v>
      </c>
      <c r="ED245" s="464">
        <v>52</v>
      </c>
      <c r="EE245" s="466">
        <v>19</v>
      </c>
      <c r="EF245" s="459">
        <v>99</v>
      </c>
      <c r="EG245" s="450">
        <v>108</v>
      </c>
      <c r="EH245" s="460">
        <f t="shared" si="133"/>
        <v>580</v>
      </c>
      <c r="EI245" s="460">
        <f t="shared" si="134"/>
        <v>10</v>
      </c>
      <c r="EJ245" s="458">
        <f t="shared" si="135"/>
        <v>0.21724137931034482</v>
      </c>
      <c r="EK245" s="470">
        <f t="shared" si="136"/>
        <v>632</v>
      </c>
      <c r="EL245" s="470">
        <f t="shared" si="137"/>
        <v>10</v>
      </c>
      <c r="EM245" s="449">
        <f t="shared" si="138"/>
        <v>0.19303797468354431</v>
      </c>
      <c r="EN245" s="460">
        <f t="shared" si="139"/>
        <v>2888</v>
      </c>
      <c r="EO245" s="469">
        <f t="shared" si="140"/>
        <v>3072</v>
      </c>
      <c r="EP245" s="471"/>
      <c r="EQ245" s="450"/>
      <c r="ER245" s="471"/>
      <c r="ES245" s="450"/>
      <c r="ET245" s="471"/>
      <c r="EU245" s="450"/>
      <c r="EV245" s="471"/>
      <c r="EW245" s="450"/>
      <c r="EX245" s="471"/>
      <c r="EY245" s="450"/>
      <c r="EZ245" s="471"/>
      <c r="FA245" s="450"/>
      <c r="FB245" s="471"/>
      <c r="FC245" s="450"/>
      <c r="FD245" s="471">
        <v>25</v>
      </c>
      <c r="FE245" s="450">
        <v>21</v>
      </c>
      <c r="FF245" s="471"/>
      <c r="FG245" s="450"/>
      <c r="FH245" s="472">
        <v>7</v>
      </c>
      <c r="FI245" s="450">
        <v>4</v>
      </c>
      <c r="FJ245" s="468">
        <f t="shared" si="129"/>
        <v>32</v>
      </c>
      <c r="FK245" s="469">
        <f t="shared" si="130"/>
        <v>25</v>
      </c>
      <c r="FL245" s="472"/>
      <c r="FM245" s="450"/>
      <c r="FN245" s="460">
        <f t="shared" si="131"/>
        <v>10091</v>
      </c>
      <c r="FO245" s="469">
        <f t="shared" si="132"/>
        <v>10286</v>
      </c>
    </row>
    <row r="246" spans="1:171" x14ac:dyDescent="0.2">
      <c r="A246" s="726" t="s">
        <v>1094</v>
      </c>
      <c r="B246" s="604" t="s">
        <v>1096</v>
      </c>
      <c r="C246" s="694"/>
      <c r="D246" s="619">
        <v>163453</v>
      </c>
      <c r="E246" s="614">
        <v>2</v>
      </c>
      <c r="F246" s="532"/>
      <c r="G246" s="450"/>
      <c r="H246" s="457"/>
      <c r="I246" s="450"/>
      <c r="J246" s="457"/>
      <c r="K246" s="450"/>
      <c r="L246" s="458">
        <f t="shared" si="122"/>
        <v>0</v>
      </c>
      <c r="M246" s="449">
        <f t="shared" si="123"/>
        <v>0</v>
      </c>
      <c r="N246" s="459">
        <v>813</v>
      </c>
      <c r="O246" s="459">
        <v>54</v>
      </c>
      <c r="P246" s="459"/>
      <c r="Q246" s="459"/>
      <c r="R246" s="460">
        <f t="shared" si="124"/>
        <v>54</v>
      </c>
      <c r="S246" s="466">
        <v>902</v>
      </c>
      <c r="T246" s="466">
        <v>40</v>
      </c>
      <c r="U246" s="461"/>
      <c r="V246" s="461"/>
      <c r="W246" s="462">
        <f t="shared" si="95"/>
        <v>40</v>
      </c>
      <c r="X246" s="463"/>
      <c r="Y246" s="457"/>
      <c r="Z246" s="464"/>
      <c r="AA246" s="464"/>
      <c r="AB246" s="465"/>
      <c r="AC246" s="457"/>
      <c r="AD246" s="464"/>
      <c r="AE246" s="466"/>
      <c r="AF246" s="465"/>
      <c r="AG246" s="457"/>
      <c r="AH246" s="464"/>
      <c r="AI246" s="466"/>
      <c r="AJ246" s="465"/>
      <c r="AK246" s="457"/>
      <c r="AL246" s="464"/>
      <c r="AM246" s="466"/>
      <c r="AN246" s="465"/>
      <c r="AO246" s="457"/>
      <c r="AP246" s="464"/>
      <c r="AQ246" s="464"/>
      <c r="AR246" s="460">
        <f t="shared" si="118"/>
        <v>0</v>
      </c>
      <c r="AS246" s="467">
        <f t="shared" si="119"/>
        <v>0.77354900095147483</v>
      </c>
      <c r="AT246" s="447">
        <f t="shared" si="120"/>
        <v>0</v>
      </c>
      <c r="AU246" s="448">
        <f t="shared" si="121"/>
        <v>0.75418060200668902</v>
      </c>
      <c r="AV246" s="457"/>
      <c r="AW246" s="450">
        <v>2</v>
      </c>
      <c r="AX246" s="463">
        <v>51</v>
      </c>
      <c r="AY246" s="457">
        <v>46</v>
      </c>
      <c r="AZ246" s="464">
        <v>44</v>
      </c>
      <c r="BA246" s="464">
        <v>64</v>
      </c>
      <c r="BB246" s="465">
        <v>44</v>
      </c>
      <c r="BC246" s="457">
        <v>43</v>
      </c>
      <c r="BD246" s="464">
        <v>52</v>
      </c>
      <c r="BE246" s="466">
        <v>45</v>
      </c>
      <c r="BF246" s="465">
        <v>52</v>
      </c>
      <c r="BG246" s="457">
        <v>33</v>
      </c>
      <c r="BH246" s="464">
        <v>51</v>
      </c>
      <c r="BI246" s="466">
        <v>40</v>
      </c>
      <c r="BJ246" s="465">
        <v>4</v>
      </c>
      <c r="BK246" s="457">
        <v>25</v>
      </c>
      <c r="BL246" s="464">
        <v>4</v>
      </c>
      <c r="BM246" s="466">
        <v>34</v>
      </c>
      <c r="BN246" s="465">
        <v>14</v>
      </c>
      <c r="BO246" s="457">
        <v>16</v>
      </c>
      <c r="BP246" s="464">
        <v>14</v>
      </c>
      <c r="BQ246" s="466">
        <v>27</v>
      </c>
      <c r="BR246" s="465">
        <v>13</v>
      </c>
      <c r="BS246" s="457">
        <v>11</v>
      </c>
      <c r="BT246" s="464">
        <v>13</v>
      </c>
      <c r="BU246" s="466">
        <v>15</v>
      </c>
      <c r="BV246" s="465">
        <v>45</v>
      </c>
      <c r="BW246" s="457">
        <v>7</v>
      </c>
      <c r="BX246" s="464">
        <v>30</v>
      </c>
      <c r="BY246" s="466">
        <v>7</v>
      </c>
      <c r="BZ246" s="465">
        <v>50</v>
      </c>
      <c r="CA246" s="457">
        <v>5</v>
      </c>
      <c r="CB246" s="464">
        <v>45</v>
      </c>
      <c r="CC246" s="466">
        <v>6</v>
      </c>
      <c r="CD246" s="465">
        <v>23</v>
      </c>
      <c r="CE246" s="457">
        <v>4</v>
      </c>
      <c r="CF246" s="464">
        <v>23</v>
      </c>
      <c r="CG246" s="466">
        <v>5</v>
      </c>
      <c r="CH246" s="465">
        <v>5</v>
      </c>
      <c r="CI246" s="457">
        <v>4</v>
      </c>
      <c r="CJ246" s="723">
        <v>50</v>
      </c>
      <c r="CK246" s="466">
        <v>5</v>
      </c>
      <c r="CL246" s="459">
        <v>12</v>
      </c>
      <c r="CM246" s="450">
        <v>7</v>
      </c>
      <c r="CN246" s="468">
        <f t="shared" si="125"/>
        <v>206</v>
      </c>
      <c r="CO246" s="468">
        <f t="shared" si="126"/>
        <v>10</v>
      </c>
      <c r="CP246" s="469">
        <f t="shared" si="127"/>
        <v>255</v>
      </c>
      <c r="CQ246" s="469">
        <f t="shared" si="128"/>
        <v>10</v>
      </c>
      <c r="CR246" s="463">
        <v>13</v>
      </c>
      <c r="CS246" s="457">
        <v>8</v>
      </c>
      <c r="CT246" s="464">
        <v>13</v>
      </c>
      <c r="CU246" s="464">
        <v>14</v>
      </c>
      <c r="CV246" s="465">
        <v>52</v>
      </c>
      <c r="CW246" s="457">
        <v>6</v>
      </c>
      <c r="CX246" s="464">
        <v>14</v>
      </c>
      <c r="CY246" s="466">
        <v>8</v>
      </c>
      <c r="CZ246" s="465">
        <v>14</v>
      </c>
      <c r="DA246" s="457">
        <v>5</v>
      </c>
      <c r="DB246" s="464">
        <v>51</v>
      </c>
      <c r="DC246" s="466">
        <v>8</v>
      </c>
      <c r="DD246" s="465">
        <v>44</v>
      </c>
      <c r="DE246" s="457">
        <v>4</v>
      </c>
      <c r="DF246" s="464">
        <v>23</v>
      </c>
      <c r="DG246" s="466">
        <v>3</v>
      </c>
      <c r="DH246" s="465">
        <v>51</v>
      </c>
      <c r="DI246" s="457">
        <v>4</v>
      </c>
      <c r="DJ246" s="464">
        <v>52</v>
      </c>
      <c r="DK246" s="466">
        <v>2</v>
      </c>
      <c r="DL246" s="465">
        <v>54</v>
      </c>
      <c r="DM246" s="457">
        <v>2</v>
      </c>
      <c r="DN246" s="464">
        <v>44</v>
      </c>
      <c r="DO246" s="466">
        <v>1</v>
      </c>
      <c r="DP246" s="465">
        <v>23</v>
      </c>
      <c r="DQ246" s="457">
        <v>2</v>
      </c>
      <c r="DR246" s="464">
        <v>54</v>
      </c>
      <c r="DS246" s="466">
        <v>1</v>
      </c>
      <c r="DT246" s="465">
        <v>26</v>
      </c>
      <c r="DU246" s="457">
        <v>1</v>
      </c>
      <c r="DV246" s="464"/>
      <c r="DW246" s="466"/>
      <c r="DX246" s="465"/>
      <c r="DY246" s="457"/>
      <c r="DZ246" s="464"/>
      <c r="EA246" s="466"/>
      <c r="EB246" s="465"/>
      <c r="EC246" s="457"/>
      <c r="ED246" s="464"/>
      <c r="EE246" s="466"/>
      <c r="EF246" s="459"/>
      <c r="EG246" s="450"/>
      <c r="EH246" s="460">
        <f t="shared" si="133"/>
        <v>32</v>
      </c>
      <c r="EI246" s="460">
        <f t="shared" si="134"/>
        <v>8</v>
      </c>
      <c r="EJ246" s="458">
        <f t="shared" si="135"/>
        <v>0.25</v>
      </c>
      <c r="EK246" s="470">
        <f t="shared" si="136"/>
        <v>37</v>
      </c>
      <c r="EL246" s="470">
        <f t="shared" si="137"/>
        <v>7</v>
      </c>
      <c r="EM246" s="449">
        <f t="shared" si="138"/>
        <v>0.3783783783783784</v>
      </c>
      <c r="EN246" s="460">
        <f t="shared" si="139"/>
        <v>238</v>
      </c>
      <c r="EO246" s="469">
        <f t="shared" si="140"/>
        <v>292</v>
      </c>
      <c r="EP246" s="471"/>
      <c r="EQ246" s="450"/>
      <c r="ER246" s="471"/>
      <c r="ES246" s="450"/>
      <c r="ET246" s="471"/>
      <c r="EU246" s="450"/>
      <c r="EV246" s="471"/>
      <c r="EW246" s="450"/>
      <c r="EX246" s="471"/>
      <c r="EY246" s="450"/>
      <c r="EZ246" s="471"/>
      <c r="FA246" s="450"/>
      <c r="FB246" s="471"/>
      <c r="FC246" s="450"/>
      <c r="FD246" s="471"/>
      <c r="FE246" s="450"/>
      <c r="FF246" s="471"/>
      <c r="FG246" s="450"/>
      <c r="FH246" s="472"/>
      <c r="FI246" s="450"/>
      <c r="FJ246" s="468">
        <f t="shared" si="129"/>
        <v>0</v>
      </c>
      <c r="FK246" s="469">
        <f t="shared" si="130"/>
        <v>0</v>
      </c>
      <c r="FL246" s="472"/>
      <c r="FM246" s="450"/>
      <c r="FN246" s="460">
        <f t="shared" si="131"/>
        <v>1051</v>
      </c>
      <c r="FO246" s="469">
        <f t="shared" si="132"/>
        <v>1196</v>
      </c>
    </row>
    <row r="247" spans="1:171" x14ac:dyDescent="0.2">
      <c r="A247" s="726" t="s">
        <v>1094</v>
      </c>
      <c r="B247" s="604" t="s">
        <v>1097</v>
      </c>
      <c r="C247" s="693"/>
      <c r="D247" s="619">
        <v>163268</v>
      </c>
      <c r="E247" s="620">
        <v>2</v>
      </c>
      <c r="F247" s="532"/>
      <c r="G247" s="450"/>
      <c r="H247" s="457">
        <v>107</v>
      </c>
      <c r="I247" s="450">
        <v>118</v>
      </c>
      <c r="J247" s="457"/>
      <c r="K247" s="450"/>
      <c r="L247" s="458">
        <f t="shared" si="122"/>
        <v>0</v>
      </c>
      <c r="M247" s="449">
        <f t="shared" si="123"/>
        <v>0</v>
      </c>
      <c r="N247" s="459">
        <v>1905</v>
      </c>
      <c r="O247" s="459">
        <v>1</v>
      </c>
      <c r="P247" s="459"/>
      <c r="Q247" s="459"/>
      <c r="R247" s="460">
        <f t="shared" si="124"/>
        <v>1</v>
      </c>
      <c r="S247" s="466">
        <v>2140</v>
      </c>
      <c r="T247" s="466">
        <v>2</v>
      </c>
      <c r="U247" s="461"/>
      <c r="V247" s="461"/>
      <c r="W247" s="462">
        <f t="shared" si="95"/>
        <v>2</v>
      </c>
      <c r="X247" s="463"/>
      <c r="Y247" s="457"/>
      <c r="Z247" s="464"/>
      <c r="AA247" s="464"/>
      <c r="AB247" s="465"/>
      <c r="AC247" s="457"/>
      <c r="AD247" s="464"/>
      <c r="AE247" s="466"/>
      <c r="AF247" s="465"/>
      <c r="AG247" s="457"/>
      <c r="AH247" s="464"/>
      <c r="AI247" s="466"/>
      <c r="AJ247" s="465"/>
      <c r="AK247" s="457"/>
      <c r="AL247" s="464"/>
      <c r="AM247" s="466"/>
      <c r="AN247" s="465"/>
      <c r="AO247" s="457"/>
      <c r="AP247" s="464"/>
      <c r="AQ247" s="464"/>
      <c r="AR247" s="460">
        <f t="shared" si="118"/>
        <v>0</v>
      </c>
      <c r="AS247" s="467">
        <f t="shared" si="119"/>
        <v>0.6757715501951046</v>
      </c>
      <c r="AT247" s="447">
        <f t="shared" si="120"/>
        <v>0</v>
      </c>
      <c r="AU247" s="448">
        <f t="shared" si="121"/>
        <v>0.6927808352217546</v>
      </c>
      <c r="AV247" s="457">
        <v>128</v>
      </c>
      <c r="AW247" s="450">
        <v>154</v>
      </c>
      <c r="AX247" s="463">
        <v>13</v>
      </c>
      <c r="AY247" s="457">
        <v>172</v>
      </c>
      <c r="AZ247" s="464">
        <v>11</v>
      </c>
      <c r="BA247" s="464">
        <v>163</v>
      </c>
      <c r="BB247" s="465">
        <v>11</v>
      </c>
      <c r="BC247" s="457">
        <v>152</v>
      </c>
      <c r="BD247" s="464">
        <v>13</v>
      </c>
      <c r="BE247" s="466">
        <v>129</v>
      </c>
      <c r="BF247" s="465">
        <v>30</v>
      </c>
      <c r="BG247" s="457">
        <v>60</v>
      </c>
      <c r="BH247" s="464">
        <v>30</v>
      </c>
      <c r="BI247" s="466">
        <v>59</v>
      </c>
      <c r="BJ247" s="465">
        <v>52</v>
      </c>
      <c r="BK247" s="457">
        <v>58</v>
      </c>
      <c r="BL247" s="464">
        <v>52</v>
      </c>
      <c r="BM247" s="466">
        <v>48</v>
      </c>
      <c r="BN247" s="465">
        <v>14</v>
      </c>
      <c r="BO247" s="457">
        <v>30</v>
      </c>
      <c r="BP247" s="464">
        <v>14</v>
      </c>
      <c r="BQ247" s="466">
        <v>45</v>
      </c>
      <c r="BR247" s="465">
        <v>45</v>
      </c>
      <c r="BS247" s="457">
        <v>26</v>
      </c>
      <c r="BT247" s="464">
        <v>45</v>
      </c>
      <c r="BU247" s="466">
        <v>45</v>
      </c>
      <c r="BV247" s="465">
        <v>54</v>
      </c>
      <c r="BW247" s="457">
        <v>15</v>
      </c>
      <c r="BX247" s="464">
        <v>44</v>
      </c>
      <c r="BY247" s="466">
        <v>28</v>
      </c>
      <c r="BZ247" s="465">
        <v>40</v>
      </c>
      <c r="CA247" s="457">
        <v>14</v>
      </c>
      <c r="CB247" s="464">
        <v>27</v>
      </c>
      <c r="CC247" s="466">
        <v>20</v>
      </c>
      <c r="CD247" s="465">
        <v>27</v>
      </c>
      <c r="CE247" s="457">
        <v>12</v>
      </c>
      <c r="CF247" s="464">
        <v>42</v>
      </c>
      <c r="CG247" s="466">
        <v>17</v>
      </c>
      <c r="CH247" s="465">
        <v>42</v>
      </c>
      <c r="CI247" s="457">
        <v>11</v>
      </c>
      <c r="CJ247" s="723">
        <v>26</v>
      </c>
      <c r="CK247" s="466">
        <v>15</v>
      </c>
      <c r="CL247" s="459">
        <v>32</v>
      </c>
      <c r="CM247" s="450">
        <v>36</v>
      </c>
      <c r="CN247" s="468">
        <f t="shared" si="125"/>
        <v>582</v>
      </c>
      <c r="CO247" s="468">
        <f t="shared" si="126"/>
        <v>10</v>
      </c>
      <c r="CP247" s="469">
        <f t="shared" si="127"/>
        <v>605</v>
      </c>
      <c r="CQ247" s="469">
        <f t="shared" si="128"/>
        <v>10</v>
      </c>
      <c r="CR247" s="463">
        <v>11</v>
      </c>
      <c r="CS247" s="457">
        <v>19</v>
      </c>
      <c r="CT247" s="464">
        <v>40</v>
      </c>
      <c r="CU247" s="464">
        <v>14</v>
      </c>
      <c r="CV247" s="465">
        <v>14</v>
      </c>
      <c r="CW247" s="457">
        <v>15</v>
      </c>
      <c r="CX247" s="464">
        <v>11</v>
      </c>
      <c r="CY247" s="466">
        <v>12</v>
      </c>
      <c r="CZ247" s="465">
        <v>42</v>
      </c>
      <c r="DA247" s="457">
        <v>14</v>
      </c>
      <c r="DB247" s="464">
        <v>14</v>
      </c>
      <c r="DC247" s="466">
        <v>11</v>
      </c>
      <c r="DD247" s="465">
        <v>26</v>
      </c>
      <c r="DE247" s="457">
        <v>12</v>
      </c>
      <c r="DF247" s="464">
        <v>42</v>
      </c>
      <c r="DG247" s="466">
        <v>9</v>
      </c>
      <c r="DH247" s="465">
        <v>30</v>
      </c>
      <c r="DI247" s="457">
        <v>11</v>
      </c>
      <c r="DJ247" s="464">
        <v>30</v>
      </c>
      <c r="DK247" s="466">
        <v>9</v>
      </c>
      <c r="DL247" s="465">
        <v>40</v>
      </c>
      <c r="DM247" s="457">
        <v>10</v>
      </c>
      <c r="DN247" s="464">
        <v>26</v>
      </c>
      <c r="DO247" s="466">
        <v>8</v>
      </c>
      <c r="DP247" s="465">
        <v>27</v>
      </c>
      <c r="DQ247" s="457">
        <v>8</v>
      </c>
      <c r="DR247" s="464">
        <v>44</v>
      </c>
      <c r="DS247" s="466">
        <v>7</v>
      </c>
      <c r="DT247" s="465">
        <v>44</v>
      </c>
      <c r="DU247" s="457">
        <v>8</v>
      </c>
      <c r="DV247" s="464">
        <v>27</v>
      </c>
      <c r="DW247" s="466">
        <v>2</v>
      </c>
      <c r="DX247" s="465"/>
      <c r="DY247" s="457"/>
      <c r="DZ247" s="464"/>
      <c r="EA247" s="466"/>
      <c r="EB247" s="465"/>
      <c r="EC247" s="457"/>
      <c r="ED247" s="464"/>
      <c r="EE247" s="466"/>
      <c r="EF247" s="459"/>
      <c r="EG247" s="450"/>
      <c r="EH247" s="460">
        <f t="shared" si="133"/>
        <v>97</v>
      </c>
      <c r="EI247" s="460">
        <f t="shared" si="134"/>
        <v>8</v>
      </c>
      <c r="EJ247" s="458">
        <f t="shared" si="135"/>
        <v>0.19587628865979381</v>
      </c>
      <c r="EK247" s="470">
        <f t="shared" si="136"/>
        <v>72</v>
      </c>
      <c r="EL247" s="470">
        <f t="shared" si="137"/>
        <v>8</v>
      </c>
      <c r="EM247" s="449">
        <f t="shared" si="138"/>
        <v>0.19444444444444445</v>
      </c>
      <c r="EN247" s="460">
        <f t="shared" si="139"/>
        <v>679</v>
      </c>
      <c r="EO247" s="469">
        <f t="shared" si="140"/>
        <v>677</v>
      </c>
      <c r="EP247" s="471"/>
      <c r="EQ247" s="450"/>
      <c r="ER247" s="471"/>
      <c r="ES247" s="450"/>
      <c r="ET247" s="471"/>
      <c r="EU247" s="450"/>
      <c r="EV247" s="471"/>
      <c r="EW247" s="450"/>
      <c r="EX247" s="471"/>
      <c r="EY247" s="450"/>
      <c r="EZ247" s="471"/>
      <c r="FA247" s="450"/>
      <c r="FB247" s="471"/>
      <c r="FC247" s="450"/>
      <c r="FD247" s="471"/>
      <c r="FE247" s="450"/>
      <c r="FF247" s="471"/>
      <c r="FG247" s="450"/>
      <c r="FH247" s="472"/>
      <c r="FI247" s="450"/>
      <c r="FJ247" s="468">
        <f t="shared" si="129"/>
        <v>0</v>
      </c>
      <c r="FK247" s="469">
        <f t="shared" si="130"/>
        <v>0</v>
      </c>
      <c r="FL247" s="472"/>
      <c r="FM247" s="450"/>
      <c r="FN247" s="460">
        <f t="shared" si="131"/>
        <v>2819</v>
      </c>
      <c r="FO247" s="469">
        <f t="shared" si="132"/>
        <v>3089</v>
      </c>
    </row>
    <row r="248" spans="1:171" x14ac:dyDescent="0.2">
      <c r="A248" s="726" t="s">
        <v>1094</v>
      </c>
      <c r="B248" s="604" t="s">
        <v>1098</v>
      </c>
      <c r="C248" s="693"/>
      <c r="D248" s="619">
        <v>164076</v>
      </c>
      <c r="E248" s="620">
        <v>3</v>
      </c>
      <c r="F248" s="532"/>
      <c r="G248" s="450"/>
      <c r="H248" s="457"/>
      <c r="I248" s="450"/>
      <c r="J248" s="457"/>
      <c r="K248" s="450"/>
      <c r="L248" s="458">
        <f t="shared" si="122"/>
        <v>0</v>
      </c>
      <c r="M248" s="449">
        <f t="shared" si="123"/>
        <v>0</v>
      </c>
      <c r="N248" s="459">
        <v>3948</v>
      </c>
      <c r="O248" s="459">
        <v>674</v>
      </c>
      <c r="P248" s="459"/>
      <c r="Q248" s="459"/>
      <c r="R248" s="460">
        <f t="shared" si="124"/>
        <v>674</v>
      </c>
      <c r="S248" s="466">
        <v>4103</v>
      </c>
      <c r="T248" s="466">
        <v>712</v>
      </c>
      <c r="U248" s="461"/>
      <c r="V248" s="461"/>
      <c r="W248" s="462">
        <f t="shared" si="95"/>
        <v>712</v>
      </c>
      <c r="X248" s="463"/>
      <c r="Y248" s="457"/>
      <c r="Z248" s="464"/>
      <c r="AA248" s="464"/>
      <c r="AB248" s="465"/>
      <c r="AC248" s="457"/>
      <c r="AD248" s="464"/>
      <c r="AE248" s="466"/>
      <c r="AF248" s="465"/>
      <c r="AG248" s="457"/>
      <c r="AH248" s="464"/>
      <c r="AI248" s="466"/>
      <c r="AJ248" s="465"/>
      <c r="AK248" s="457"/>
      <c r="AL248" s="464"/>
      <c r="AM248" s="466"/>
      <c r="AN248" s="465"/>
      <c r="AO248" s="457"/>
      <c r="AP248" s="464"/>
      <c r="AQ248" s="464"/>
      <c r="AR248" s="460">
        <f t="shared" si="118"/>
        <v>0</v>
      </c>
      <c r="AS248" s="467">
        <f t="shared" si="119"/>
        <v>0.7640797367911748</v>
      </c>
      <c r="AT248" s="447">
        <f t="shared" si="120"/>
        <v>0</v>
      </c>
      <c r="AU248" s="448">
        <f t="shared" si="121"/>
        <v>0.76349088202456272</v>
      </c>
      <c r="AV248" s="457">
        <v>153</v>
      </c>
      <c r="AW248" s="450">
        <v>156</v>
      </c>
      <c r="AX248" s="463">
        <v>13</v>
      </c>
      <c r="AY248" s="457">
        <v>414</v>
      </c>
      <c r="AZ248" s="464">
        <v>13</v>
      </c>
      <c r="BA248" s="464">
        <v>424</v>
      </c>
      <c r="BB248" s="465">
        <v>51</v>
      </c>
      <c r="BC248" s="457">
        <v>170</v>
      </c>
      <c r="BD248" s="464">
        <v>51</v>
      </c>
      <c r="BE248" s="466">
        <v>172</v>
      </c>
      <c r="BF248" s="465">
        <v>52</v>
      </c>
      <c r="BG248" s="457">
        <v>139</v>
      </c>
      <c r="BH248" s="464">
        <v>52</v>
      </c>
      <c r="BI248" s="466">
        <v>140</v>
      </c>
      <c r="BJ248" s="465">
        <v>11</v>
      </c>
      <c r="BK248" s="457">
        <v>98</v>
      </c>
      <c r="BL248" s="464">
        <v>11</v>
      </c>
      <c r="BM248" s="466">
        <v>129</v>
      </c>
      <c r="BN248" s="465">
        <v>42</v>
      </c>
      <c r="BO248" s="457">
        <v>54</v>
      </c>
      <c r="BP248" s="464">
        <v>42</v>
      </c>
      <c r="BQ248" s="466">
        <v>49</v>
      </c>
      <c r="BR248" s="465">
        <v>26</v>
      </c>
      <c r="BS248" s="457">
        <v>39</v>
      </c>
      <c r="BT248" s="392">
        <v>26</v>
      </c>
      <c r="BU248" s="392">
        <v>33</v>
      </c>
      <c r="BV248" s="465">
        <v>23</v>
      </c>
      <c r="BW248" s="457">
        <v>25</v>
      </c>
      <c r="BX248" s="464">
        <v>23</v>
      </c>
      <c r="BY248" s="466">
        <v>24</v>
      </c>
      <c r="BZ248" s="465">
        <v>43</v>
      </c>
      <c r="CA248" s="457">
        <v>19</v>
      </c>
      <c r="CB248" s="464">
        <v>24</v>
      </c>
      <c r="CC248" s="466">
        <v>24</v>
      </c>
      <c r="CD248" s="465">
        <v>24</v>
      </c>
      <c r="CE248" s="457">
        <v>18</v>
      </c>
      <c r="CF248" s="464">
        <v>50</v>
      </c>
      <c r="CG248" s="466">
        <v>23</v>
      </c>
      <c r="CH248" s="465">
        <v>38</v>
      </c>
      <c r="CI248" s="457">
        <v>15</v>
      </c>
      <c r="CJ248" s="723">
        <v>45</v>
      </c>
      <c r="CK248" s="466">
        <v>17</v>
      </c>
      <c r="CL248" s="459">
        <v>62</v>
      </c>
      <c r="CM248" s="450">
        <v>61</v>
      </c>
      <c r="CN248" s="468">
        <f t="shared" si="125"/>
        <v>1053</v>
      </c>
      <c r="CO248" s="468">
        <f t="shared" si="126"/>
        <v>10</v>
      </c>
      <c r="CP248" s="469">
        <f t="shared" si="127"/>
        <v>1096</v>
      </c>
      <c r="CQ248" s="469">
        <f t="shared" si="128"/>
        <v>10</v>
      </c>
      <c r="CR248" s="463">
        <v>11</v>
      </c>
      <c r="CS248" s="457">
        <v>4</v>
      </c>
      <c r="CT248" s="464">
        <v>11</v>
      </c>
      <c r="CU248" s="464">
        <v>4</v>
      </c>
      <c r="CV248" s="465">
        <v>13</v>
      </c>
      <c r="CW248" s="457">
        <v>1</v>
      </c>
      <c r="CX248" s="464">
        <v>13</v>
      </c>
      <c r="CY248" s="466">
        <v>3</v>
      </c>
      <c r="CZ248" s="465">
        <v>38</v>
      </c>
      <c r="DA248" s="457">
        <v>1</v>
      </c>
      <c r="DB248" s="464">
        <v>51</v>
      </c>
      <c r="DC248" s="466">
        <v>3</v>
      </c>
      <c r="DD248" s="465"/>
      <c r="DE248" s="457"/>
      <c r="DF248" s="464">
        <v>38</v>
      </c>
      <c r="DG248" s="466">
        <v>2</v>
      </c>
      <c r="DH248" s="465"/>
      <c r="DI248" s="457"/>
      <c r="DJ248" s="464"/>
      <c r="DK248" s="466"/>
      <c r="DL248" s="465"/>
      <c r="DM248" s="457"/>
      <c r="DN248" s="464"/>
      <c r="DO248" s="466"/>
      <c r="DP248" s="465"/>
      <c r="DQ248" s="457"/>
      <c r="DR248" s="464"/>
      <c r="DS248" s="466"/>
      <c r="DT248" s="465"/>
      <c r="DU248" s="457"/>
      <c r="DV248" s="464"/>
      <c r="DW248" s="466"/>
      <c r="DX248" s="465"/>
      <c r="DY248" s="457"/>
      <c r="DZ248" s="464"/>
      <c r="EA248" s="466"/>
      <c r="EB248" s="465"/>
      <c r="EC248" s="457"/>
      <c r="ED248" s="464"/>
      <c r="EE248" s="466"/>
      <c r="EF248" s="459"/>
      <c r="EG248" s="450"/>
      <c r="EH248" s="460">
        <f t="shared" si="133"/>
        <v>6</v>
      </c>
      <c r="EI248" s="460">
        <f t="shared" si="134"/>
        <v>3</v>
      </c>
      <c r="EJ248" s="458">
        <f t="shared" si="135"/>
        <v>0.66666666666666663</v>
      </c>
      <c r="EK248" s="470">
        <f t="shared" si="136"/>
        <v>12</v>
      </c>
      <c r="EL248" s="470">
        <f t="shared" si="137"/>
        <v>4</v>
      </c>
      <c r="EM248" s="449">
        <f t="shared" si="138"/>
        <v>0.33333333333333331</v>
      </c>
      <c r="EN248" s="460">
        <f t="shared" si="139"/>
        <v>1059</v>
      </c>
      <c r="EO248" s="469">
        <f t="shared" si="140"/>
        <v>1108</v>
      </c>
      <c r="EP248" s="471"/>
      <c r="EQ248" s="450"/>
      <c r="ER248" s="471"/>
      <c r="ES248" s="450"/>
      <c r="ET248" s="471"/>
      <c r="EU248" s="450"/>
      <c r="EV248" s="471"/>
      <c r="EW248" s="450"/>
      <c r="EX248" s="471"/>
      <c r="EY248" s="450"/>
      <c r="EZ248" s="471"/>
      <c r="FA248" s="450"/>
      <c r="FB248" s="471"/>
      <c r="FC248" s="450"/>
      <c r="FD248" s="471"/>
      <c r="FE248" s="450"/>
      <c r="FF248" s="471"/>
      <c r="FG248" s="450"/>
      <c r="FH248" s="472">
        <v>7</v>
      </c>
      <c r="FI248" s="450">
        <v>7</v>
      </c>
      <c r="FJ248" s="468">
        <f t="shared" si="129"/>
        <v>7</v>
      </c>
      <c r="FK248" s="469">
        <f t="shared" si="130"/>
        <v>7</v>
      </c>
      <c r="FL248" s="472"/>
      <c r="FM248" s="450"/>
      <c r="FN248" s="460">
        <f t="shared" si="131"/>
        <v>5167</v>
      </c>
      <c r="FO248" s="469">
        <f t="shared" si="132"/>
        <v>5374</v>
      </c>
    </row>
    <row r="249" spans="1:171" x14ac:dyDescent="0.2">
      <c r="A249" s="726" t="s">
        <v>1094</v>
      </c>
      <c r="B249" s="604" t="s">
        <v>1099</v>
      </c>
      <c r="C249" s="693"/>
      <c r="D249" s="619">
        <v>162007</v>
      </c>
      <c r="E249" s="620">
        <v>4</v>
      </c>
      <c r="F249" s="532"/>
      <c r="G249" s="450"/>
      <c r="H249" s="457"/>
      <c r="I249" s="450"/>
      <c r="J249" s="457"/>
      <c r="K249" s="450"/>
      <c r="L249" s="458">
        <f t="shared" si="122"/>
        <v>0</v>
      </c>
      <c r="M249" s="449">
        <f t="shared" si="123"/>
        <v>0</v>
      </c>
      <c r="N249" s="459">
        <v>683</v>
      </c>
      <c r="O249" s="459">
        <v>32</v>
      </c>
      <c r="P249" s="459"/>
      <c r="Q249" s="459"/>
      <c r="R249" s="460">
        <f t="shared" si="124"/>
        <v>32</v>
      </c>
      <c r="S249" s="466">
        <v>688</v>
      </c>
      <c r="T249" s="466">
        <v>36</v>
      </c>
      <c r="U249" s="461"/>
      <c r="V249" s="461"/>
      <c r="W249" s="462">
        <f t="shared" si="95"/>
        <v>36</v>
      </c>
      <c r="X249" s="463"/>
      <c r="Y249" s="457"/>
      <c r="Z249" s="464"/>
      <c r="AA249" s="464"/>
      <c r="AB249" s="465"/>
      <c r="AC249" s="457"/>
      <c r="AD249" s="464"/>
      <c r="AE249" s="466"/>
      <c r="AF249" s="465"/>
      <c r="AG249" s="457"/>
      <c r="AH249" s="464"/>
      <c r="AI249" s="466"/>
      <c r="AJ249" s="465"/>
      <c r="AK249" s="457"/>
      <c r="AL249" s="464"/>
      <c r="AM249" s="466"/>
      <c r="AN249" s="465"/>
      <c r="AO249" s="457"/>
      <c r="AP249" s="464"/>
      <c r="AQ249" s="464"/>
      <c r="AR249" s="460">
        <f t="shared" si="118"/>
        <v>0</v>
      </c>
      <c r="AS249" s="467">
        <f t="shared" si="119"/>
        <v>0.73678532901833871</v>
      </c>
      <c r="AT249" s="447">
        <f t="shared" si="120"/>
        <v>0</v>
      </c>
      <c r="AU249" s="448">
        <f t="shared" si="121"/>
        <v>0.70132517838939856</v>
      </c>
      <c r="AV249" s="457">
        <v>1</v>
      </c>
      <c r="AW249" s="450">
        <v>0</v>
      </c>
      <c r="AX249" s="463">
        <v>13</v>
      </c>
      <c r="AY249" s="457">
        <v>79</v>
      </c>
      <c r="AZ249" s="464">
        <v>13</v>
      </c>
      <c r="BA249" s="464">
        <v>73</v>
      </c>
      <c r="BB249" s="465">
        <v>52</v>
      </c>
      <c r="BC249" s="457">
        <v>64</v>
      </c>
      <c r="BD249" s="464">
        <v>52</v>
      </c>
      <c r="BE249" s="466">
        <v>69</v>
      </c>
      <c r="BF249" s="465">
        <v>42</v>
      </c>
      <c r="BG249" s="457">
        <v>33</v>
      </c>
      <c r="BH249" s="464">
        <v>51</v>
      </c>
      <c r="BI249" s="466">
        <v>39</v>
      </c>
      <c r="BJ249" s="465">
        <v>44</v>
      </c>
      <c r="BK249" s="457">
        <v>20</v>
      </c>
      <c r="BL249" s="464">
        <v>42</v>
      </c>
      <c r="BM249" s="466">
        <v>36</v>
      </c>
      <c r="BN249" s="465">
        <v>9</v>
      </c>
      <c r="BO249" s="457">
        <v>20</v>
      </c>
      <c r="BP249" s="464">
        <v>44</v>
      </c>
      <c r="BQ249" s="466">
        <v>30</v>
      </c>
      <c r="BR249" s="465">
        <v>51</v>
      </c>
      <c r="BS249" s="457">
        <v>11</v>
      </c>
      <c r="BT249" s="464">
        <v>9</v>
      </c>
      <c r="BU249" s="466">
        <v>27</v>
      </c>
      <c r="BV249" s="465">
        <v>11</v>
      </c>
      <c r="BW249" s="457">
        <v>7</v>
      </c>
      <c r="BX249" s="464">
        <v>11</v>
      </c>
      <c r="BY249" s="466">
        <v>8</v>
      </c>
      <c r="BZ249" s="465">
        <v>23</v>
      </c>
      <c r="CA249" s="457">
        <v>1</v>
      </c>
      <c r="CB249" s="464">
        <v>23</v>
      </c>
      <c r="CC249" s="466">
        <v>1</v>
      </c>
      <c r="CD249" s="465"/>
      <c r="CE249" s="457"/>
      <c r="CF249" s="464">
        <v>27</v>
      </c>
      <c r="CG249" s="466">
        <v>1</v>
      </c>
      <c r="CH249" s="465"/>
      <c r="CI249" s="457"/>
      <c r="CJ249" s="723"/>
      <c r="CK249" s="466"/>
      <c r="CL249" s="459"/>
      <c r="CM249" s="450"/>
      <c r="CN249" s="468">
        <f t="shared" si="125"/>
        <v>235</v>
      </c>
      <c r="CO249" s="468">
        <f t="shared" si="126"/>
        <v>8</v>
      </c>
      <c r="CP249" s="469">
        <f t="shared" si="127"/>
        <v>284</v>
      </c>
      <c r="CQ249" s="469">
        <f t="shared" si="128"/>
        <v>9</v>
      </c>
      <c r="CR249" s="463">
        <v>13</v>
      </c>
      <c r="CS249" s="457">
        <v>8</v>
      </c>
      <c r="CT249" s="464">
        <v>13</v>
      </c>
      <c r="CU249" s="464">
        <v>8</v>
      </c>
      <c r="CV249" s="465"/>
      <c r="CW249" s="457"/>
      <c r="CX249" s="464">
        <v>11</v>
      </c>
      <c r="CY249" s="466">
        <v>1</v>
      </c>
      <c r="CZ249" s="465"/>
      <c r="DA249" s="457"/>
      <c r="DB249" s="464"/>
      <c r="DC249" s="466"/>
      <c r="DD249" s="465"/>
      <c r="DE249" s="457"/>
      <c r="DF249" s="464"/>
      <c r="DG249" s="466"/>
      <c r="DH249" s="465"/>
      <c r="DI249" s="457"/>
      <c r="DJ249" s="464"/>
      <c r="DK249" s="466"/>
      <c r="DL249" s="465"/>
      <c r="DM249" s="457"/>
      <c r="DN249" s="464"/>
      <c r="DO249" s="466"/>
      <c r="DP249" s="465"/>
      <c r="DQ249" s="457"/>
      <c r="DR249" s="464"/>
      <c r="DS249" s="466"/>
      <c r="DT249" s="465"/>
      <c r="DU249" s="457"/>
      <c r="DV249" s="464"/>
      <c r="DW249" s="466"/>
      <c r="DX249" s="465"/>
      <c r="DY249" s="457"/>
      <c r="DZ249" s="464"/>
      <c r="EA249" s="466"/>
      <c r="EB249" s="465"/>
      <c r="EC249" s="457"/>
      <c r="ED249" s="464"/>
      <c r="EE249" s="466"/>
      <c r="EF249" s="459"/>
      <c r="EG249" s="450"/>
      <c r="EH249" s="460">
        <f t="shared" si="133"/>
        <v>8</v>
      </c>
      <c r="EI249" s="460">
        <f t="shared" si="134"/>
        <v>1</v>
      </c>
      <c r="EJ249" s="458">
        <f t="shared" si="135"/>
        <v>1</v>
      </c>
      <c r="EK249" s="470">
        <f t="shared" si="136"/>
        <v>9</v>
      </c>
      <c r="EL249" s="470">
        <f t="shared" si="137"/>
        <v>2</v>
      </c>
      <c r="EM249" s="449">
        <f t="shared" si="138"/>
        <v>0.88888888888888884</v>
      </c>
      <c r="EN249" s="460">
        <f t="shared" si="139"/>
        <v>243</v>
      </c>
      <c r="EO249" s="469">
        <f t="shared" si="140"/>
        <v>293</v>
      </c>
      <c r="EP249" s="471"/>
      <c r="EQ249" s="450"/>
      <c r="ER249" s="471"/>
      <c r="ES249" s="450"/>
      <c r="ET249" s="471"/>
      <c r="EU249" s="450"/>
      <c r="EV249" s="471"/>
      <c r="EW249" s="450"/>
      <c r="EX249" s="471"/>
      <c r="EY249" s="450"/>
      <c r="EZ249" s="471"/>
      <c r="FA249" s="450"/>
      <c r="FB249" s="471"/>
      <c r="FC249" s="450"/>
      <c r="FD249" s="471"/>
      <c r="FE249" s="450"/>
      <c r="FF249" s="471"/>
      <c r="FG249" s="450"/>
      <c r="FH249" s="472"/>
      <c r="FI249" s="450"/>
      <c r="FJ249" s="468">
        <f t="shared" si="129"/>
        <v>0</v>
      </c>
      <c r="FK249" s="469">
        <f t="shared" si="130"/>
        <v>0</v>
      </c>
      <c r="FL249" s="472"/>
      <c r="FM249" s="450"/>
      <c r="FN249" s="460">
        <f t="shared" si="131"/>
        <v>927</v>
      </c>
      <c r="FO249" s="469">
        <f t="shared" si="132"/>
        <v>981</v>
      </c>
    </row>
    <row r="250" spans="1:171" x14ac:dyDescent="0.2">
      <c r="A250" s="726" t="s">
        <v>1094</v>
      </c>
      <c r="B250" s="604" t="s">
        <v>1101</v>
      </c>
      <c r="C250" s="693"/>
      <c r="D250" s="619">
        <v>162584</v>
      </c>
      <c r="E250" s="620">
        <v>4</v>
      </c>
      <c r="F250" s="532"/>
      <c r="G250" s="450"/>
      <c r="H250" s="457">
        <v>47</v>
      </c>
      <c r="I250" s="450">
        <v>61</v>
      </c>
      <c r="J250" s="457"/>
      <c r="K250" s="450"/>
      <c r="L250" s="458">
        <f t="shared" si="122"/>
        <v>0</v>
      </c>
      <c r="M250" s="449">
        <f t="shared" si="123"/>
        <v>0</v>
      </c>
      <c r="N250" s="459">
        <v>850</v>
      </c>
      <c r="O250" s="459">
        <v>131</v>
      </c>
      <c r="P250" s="459"/>
      <c r="Q250" s="459"/>
      <c r="R250" s="460">
        <f t="shared" si="124"/>
        <v>131</v>
      </c>
      <c r="S250" s="466">
        <v>892</v>
      </c>
      <c r="T250" s="466">
        <v>122</v>
      </c>
      <c r="U250" s="461"/>
      <c r="V250" s="461"/>
      <c r="W250" s="462">
        <f t="shared" si="95"/>
        <v>122</v>
      </c>
      <c r="X250" s="463"/>
      <c r="Y250" s="457"/>
      <c r="Z250" s="464"/>
      <c r="AA250" s="464"/>
      <c r="AB250" s="465"/>
      <c r="AC250" s="457"/>
      <c r="AD250" s="464"/>
      <c r="AE250" s="466"/>
      <c r="AF250" s="465"/>
      <c r="AG250" s="457"/>
      <c r="AH250" s="464"/>
      <c r="AI250" s="466"/>
      <c r="AJ250" s="465"/>
      <c r="AK250" s="457"/>
      <c r="AL250" s="464"/>
      <c r="AM250" s="466"/>
      <c r="AN250" s="465"/>
      <c r="AO250" s="457"/>
      <c r="AP250" s="464"/>
      <c r="AQ250" s="464"/>
      <c r="AR250" s="460">
        <f t="shared" si="118"/>
        <v>0</v>
      </c>
      <c r="AS250" s="467">
        <f t="shared" si="119"/>
        <v>0.75622775800711739</v>
      </c>
      <c r="AT250" s="447">
        <f t="shared" si="120"/>
        <v>0</v>
      </c>
      <c r="AU250" s="448">
        <f t="shared" si="121"/>
        <v>0.78659611992945322</v>
      </c>
      <c r="AV250" s="457">
        <v>11</v>
      </c>
      <c r="AW250" s="450">
        <v>6</v>
      </c>
      <c r="AX250" s="463">
        <v>13</v>
      </c>
      <c r="AY250" s="457">
        <v>145</v>
      </c>
      <c r="AZ250" s="464">
        <v>13</v>
      </c>
      <c r="BA250" s="464">
        <v>111</v>
      </c>
      <c r="BB250" s="465">
        <v>52</v>
      </c>
      <c r="BC250" s="457">
        <v>39</v>
      </c>
      <c r="BD250" s="464">
        <v>52</v>
      </c>
      <c r="BE250" s="466">
        <v>39</v>
      </c>
      <c r="BF250" s="465">
        <v>42</v>
      </c>
      <c r="BG250" s="457">
        <v>13</v>
      </c>
      <c r="BH250" s="464">
        <v>42</v>
      </c>
      <c r="BI250" s="466">
        <v>11</v>
      </c>
      <c r="BJ250" s="465">
        <v>31</v>
      </c>
      <c r="BK250" s="457">
        <v>9</v>
      </c>
      <c r="BL250" s="464">
        <v>26</v>
      </c>
      <c r="BM250" s="466">
        <v>7</v>
      </c>
      <c r="BN250" s="465">
        <v>11</v>
      </c>
      <c r="BO250" s="457">
        <v>6</v>
      </c>
      <c r="BP250" s="464">
        <v>11</v>
      </c>
      <c r="BQ250" s="466">
        <v>6</v>
      </c>
      <c r="BR250" s="465">
        <v>26</v>
      </c>
      <c r="BS250" s="457">
        <v>4</v>
      </c>
      <c r="BT250" s="464">
        <v>31</v>
      </c>
      <c r="BU250" s="466">
        <v>1</v>
      </c>
      <c r="BV250" s="465"/>
      <c r="BW250" s="457"/>
      <c r="BX250" s="464"/>
      <c r="BY250" s="466"/>
      <c r="BZ250" s="465"/>
      <c r="CA250" s="457"/>
      <c r="CB250" s="464"/>
      <c r="CC250" s="466"/>
      <c r="CD250" s="465"/>
      <c r="CE250" s="457"/>
      <c r="CF250" s="464"/>
      <c r="CG250" s="466"/>
      <c r="CH250" s="465"/>
      <c r="CI250" s="457"/>
      <c r="CJ250" s="723"/>
      <c r="CK250" s="466"/>
      <c r="CL250" s="459"/>
      <c r="CM250" s="450"/>
      <c r="CN250" s="468">
        <f t="shared" si="125"/>
        <v>216</v>
      </c>
      <c r="CO250" s="468">
        <f t="shared" si="126"/>
        <v>6</v>
      </c>
      <c r="CP250" s="469">
        <f t="shared" si="127"/>
        <v>175</v>
      </c>
      <c r="CQ250" s="469">
        <f t="shared" si="128"/>
        <v>6</v>
      </c>
      <c r="CR250" s="463"/>
      <c r="CS250" s="457"/>
      <c r="CT250" s="464"/>
      <c r="CU250" s="464"/>
      <c r="CV250" s="465"/>
      <c r="CW250" s="457"/>
      <c r="CX250" s="464"/>
      <c r="CY250" s="466"/>
      <c r="CZ250" s="465"/>
      <c r="DA250" s="457"/>
      <c r="DB250" s="464"/>
      <c r="DC250" s="466"/>
      <c r="DD250" s="465"/>
      <c r="DE250" s="457"/>
      <c r="DF250" s="464"/>
      <c r="DG250" s="466"/>
      <c r="DH250" s="465"/>
      <c r="DI250" s="457"/>
      <c r="DJ250" s="464"/>
      <c r="DK250" s="466"/>
      <c r="DL250" s="465"/>
      <c r="DM250" s="457"/>
      <c r="DN250" s="464"/>
      <c r="DO250" s="466"/>
      <c r="DP250" s="465"/>
      <c r="DQ250" s="457"/>
      <c r="DR250" s="464"/>
      <c r="DS250" s="466"/>
      <c r="DT250" s="465"/>
      <c r="DU250" s="457"/>
      <c r="DV250" s="464"/>
      <c r="DW250" s="466"/>
      <c r="DX250" s="465"/>
      <c r="DY250" s="457"/>
      <c r="DZ250" s="464"/>
      <c r="EA250" s="466"/>
      <c r="EB250" s="465"/>
      <c r="EC250" s="457"/>
      <c r="ED250" s="464"/>
      <c r="EE250" s="466"/>
      <c r="EF250" s="459"/>
      <c r="EG250" s="450"/>
      <c r="EH250" s="460">
        <f t="shared" si="133"/>
        <v>0</v>
      </c>
      <c r="EI250" s="460">
        <f t="shared" si="134"/>
        <v>0</v>
      </c>
      <c r="EJ250" s="458">
        <f t="shared" si="135"/>
        <v>0</v>
      </c>
      <c r="EK250" s="470">
        <f t="shared" si="136"/>
        <v>0</v>
      </c>
      <c r="EL250" s="470">
        <f t="shared" si="137"/>
        <v>0</v>
      </c>
      <c r="EM250" s="449">
        <f t="shared" si="138"/>
        <v>0</v>
      </c>
      <c r="EN250" s="460">
        <f t="shared" si="139"/>
        <v>216</v>
      </c>
      <c r="EO250" s="469">
        <f t="shared" si="140"/>
        <v>175</v>
      </c>
      <c r="EP250" s="471"/>
      <c r="EQ250" s="450"/>
      <c r="ER250" s="471"/>
      <c r="ES250" s="450"/>
      <c r="ET250" s="471"/>
      <c r="EU250" s="450"/>
      <c r="EV250" s="471"/>
      <c r="EW250" s="450"/>
      <c r="EX250" s="471"/>
      <c r="EY250" s="450"/>
      <c r="EZ250" s="471"/>
      <c r="FA250" s="450"/>
      <c r="FB250" s="471"/>
      <c r="FC250" s="450"/>
      <c r="FD250" s="471"/>
      <c r="FE250" s="450"/>
      <c r="FF250" s="471"/>
      <c r="FG250" s="450"/>
      <c r="FH250" s="472"/>
      <c r="FI250" s="450"/>
      <c r="FJ250" s="468">
        <f t="shared" si="129"/>
        <v>0</v>
      </c>
      <c r="FK250" s="469">
        <f t="shared" si="130"/>
        <v>0</v>
      </c>
      <c r="FL250" s="472"/>
      <c r="FM250" s="450"/>
      <c r="FN250" s="460">
        <f t="shared" si="131"/>
        <v>1124</v>
      </c>
      <c r="FO250" s="469">
        <f t="shared" si="132"/>
        <v>1134</v>
      </c>
    </row>
    <row r="251" spans="1:171" x14ac:dyDescent="0.2">
      <c r="A251" s="726" t="s">
        <v>1094</v>
      </c>
      <c r="B251" s="604" t="s">
        <v>1102</v>
      </c>
      <c r="C251" s="693"/>
      <c r="D251" s="619">
        <v>163851</v>
      </c>
      <c r="E251" s="620">
        <v>4</v>
      </c>
      <c r="F251" s="532"/>
      <c r="G251" s="450"/>
      <c r="H251" s="457"/>
      <c r="I251" s="450"/>
      <c r="J251" s="457"/>
      <c r="K251" s="450"/>
      <c r="L251" s="458">
        <f t="shared" si="122"/>
        <v>0</v>
      </c>
      <c r="M251" s="449">
        <f t="shared" si="123"/>
        <v>0</v>
      </c>
      <c r="N251" s="459">
        <v>1709</v>
      </c>
      <c r="O251" s="459">
        <v>290</v>
      </c>
      <c r="P251" s="459"/>
      <c r="Q251" s="459"/>
      <c r="R251" s="460">
        <f t="shared" si="124"/>
        <v>290</v>
      </c>
      <c r="S251" s="466">
        <v>1787</v>
      </c>
      <c r="T251" s="466">
        <v>312</v>
      </c>
      <c r="U251" s="461"/>
      <c r="V251" s="461"/>
      <c r="W251" s="462">
        <f t="shared" si="95"/>
        <v>312</v>
      </c>
      <c r="X251" s="463"/>
      <c r="Y251" s="457"/>
      <c r="Z251" s="464"/>
      <c r="AA251" s="464"/>
      <c r="AB251" s="465"/>
      <c r="AC251" s="457"/>
      <c r="AD251" s="464"/>
      <c r="AE251" s="466"/>
      <c r="AF251" s="465"/>
      <c r="AG251" s="457"/>
      <c r="AH251" s="464"/>
      <c r="AI251" s="466"/>
      <c r="AJ251" s="465"/>
      <c r="AK251" s="457"/>
      <c r="AL251" s="464"/>
      <c r="AM251" s="466"/>
      <c r="AN251" s="465"/>
      <c r="AO251" s="457"/>
      <c r="AP251" s="464"/>
      <c r="AQ251" s="464"/>
      <c r="AR251" s="460">
        <f t="shared" si="118"/>
        <v>0</v>
      </c>
      <c r="AS251" s="467">
        <f t="shared" si="119"/>
        <v>0.88002059732234805</v>
      </c>
      <c r="AT251" s="447">
        <f t="shared" si="120"/>
        <v>0</v>
      </c>
      <c r="AU251" s="448">
        <f t="shared" si="121"/>
        <v>0.87856440511307765</v>
      </c>
      <c r="AV251" s="457">
        <v>8</v>
      </c>
      <c r="AW251" s="450">
        <v>8</v>
      </c>
      <c r="AX251" s="463">
        <v>13</v>
      </c>
      <c r="AY251" s="457">
        <v>59</v>
      </c>
      <c r="AZ251" s="464">
        <v>13</v>
      </c>
      <c r="BA251" s="464">
        <v>77</v>
      </c>
      <c r="BB251" s="465">
        <v>44</v>
      </c>
      <c r="BC251" s="457">
        <v>54</v>
      </c>
      <c r="BD251" s="464">
        <v>44</v>
      </c>
      <c r="BE251" s="466">
        <v>72</v>
      </c>
      <c r="BF251" s="465">
        <v>52</v>
      </c>
      <c r="BG251" s="457">
        <v>37</v>
      </c>
      <c r="BH251" s="464">
        <v>51</v>
      </c>
      <c r="BI251" s="466">
        <v>22</v>
      </c>
      <c r="BJ251" s="465">
        <v>51</v>
      </c>
      <c r="BK251" s="457">
        <v>36</v>
      </c>
      <c r="BL251" s="464">
        <v>52</v>
      </c>
      <c r="BM251" s="466">
        <v>21</v>
      </c>
      <c r="BN251" s="465">
        <v>23</v>
      </c>
      <c r="BO251" s="457">
        <v>18</v>
      </c>
      <c r="BP251" s="464">
        <v>23</v>
      </c>
      <c r="BQ251" s="466">
        <v>21</v>
      </c>
      <c r="BR251" s="465">
        <v>30</v>
      </c>
      <c r="BS251" s="457">
        <v>15</v>
      </c>
      <c r="BT251" s="464">
        <v>30</v>
      </c>
      <c r="BU251" s="466">
        <v>15</v>
      </c>
      <c r="BV251" s="465">
        <v>45</v>
      </c>
      <c r="BW251" s="457">
        <v>6</v>
      </c>
      <c r="BX251" s="464">
        <v>45</v>
      </c>
      <c r="BY251" s="466">
        <v>9</v>
      </c>
      <c r="BZ251" s="465"/>
      <c r="CA251" s="457"/>
      <c r="CB251" s="464">
        <v>26</v>
      </c>
      <c r="CC251" s="466">
        <v>2</v>
      </c>
      <c r="CD251" s="465"/>
      <c r="CE251" s="457"/>
      <c r="CF251" s="464"/>
      <c r="CG251" s="466"/>
      <c r="CH251" s="465"/>
      <c r="CI251" s="457"/>
      <c r="CJ251" s="723"/>
      <c r="CK251" s="466"/>
      <c r="CL251" s="459"/>
      <c r="CM251" s="450"/>
      <c r="CN251" s="468">
        <f t="shared" si="125"/>
        <v>225</v>
      </c>
      <c r="CO251" s="468">
        <f t="shared" si="126"/>
        <v>7</v>
      </c>
      <c r="CP251" s="469">
        <f t="shared" si="127"/>
        <v>239</v>
      </c>
      <c r="CQ251" s="469">
        <f t="shared" si="128"/>
        <v>8</v>
      </c>
      <c r="CR251" s="463"/>
      <c r="CS251" s="457"/>
      <c r="CT251" s="464"/>
      <c r="CU251" s="464"/>
      <c r="CV251" s="465"/>
      <c r="CW251" s="457"/>
      <c r="CX251" s="464"/>
      <c r="CY251" s="466"/>
      <c r="CZ251" s="465"/>
      <c r="DA251" s="457"/>
      <c r="DB251" s="464"/>
      <c r="DC251" s="466"/>
      <c r="DD251" s="465"/>
      <c r="DE251" s="457"/>
      <c r="DF251" s="464"/>
      <c r="DG251" s="466"/>
      <c r="DH251" s="465"/>
      <c r="DI251" s="457"/>
      <c r="DJ251" s="464"/>
      <c r="DK251" s="466"/>
      <c r="DL251" s="465"/>
      <c r="DM251" s="457"/>
      <c r="DN251" s="464"/>
      <c r="DO251" s="466"/>
      <c r="DP251" s="465"/>
      <c r="DQ251" s="457"/>
      <c r="DR251" s="464"/>
      <c r="DS251" s="466"/>
      <c r="DT251" s="465"/>
      <c r="DU251" s="457"/>
      <c r="DV251" s="464"/>
      <c r="DW251" s="466"/>
      <c r="DX251" s="465"/>
      <c r="DY251" s="457"/>
      <c r="DZ251" s="464"/>
      <c r="EA251" s="466"/>
      <c r="EB251" s="465"/>
      <c r="EC251" s="457"/>
      <c r="ED251" s="464"/>
      <c r="EE251" s="466"/>
      <c r="EF251" s="459"/>
      <c r="EG251" s="450"/>
      <c r="EH251" s="460">
        <f t="shared" si="133"/>
        <v>0</v>
      </c>
      <c r="EI251" s="460">
        <f t="shared" si="134"/>
        <v>0</v>
      </c>
      <c r="EJ251" s="458">
        <f t="shared" si="135"/>
        <v>0</v>
      </c>
      <c r="EK251" s="470">
        <f t="shared" si="136"/>
        <v>0</v>
      </c>
      <c r="EL251" s="470">
        <f t="shared" si="137"/>
        <v>0</v>
      </c>
      <c r="EM251" s="449">
        <f t="shared" si="138"/>
        <v>0</v>
      </c>
      <c r="EN251" s="460">
        <f t="shared" si="139"/>
        <v>225</v>
      </c>
      <c r="EO251" s="469">
        <f t="shared" si="140"/>
        <v>239</v>
      </c>
      <c r="EP251" s="471"/>
      <c r="EQ251" s="450"/>
      <c r="ER251" s="471"/>
      <c r="ES251" s="450"/>
      <c r="ET251" s="471"/>
      <c r="EU251" s="450"/>
      <c r="EV251" s="471"/>
      <c r="EW251" s="450"/>
      <c r="EX251" s="471"/>
      <c r="EY251" s="450"/>
      <c r="EZ251" s="471"/>
      <c r="FA251" s="450"/>
      <c r="FB251" s="471"/>
      <c r="FC251" s="450"/>
      <c r="FD251" s="471"/>
      <c r="FE251" s="450"/>
      <c r="FF251" s="471"/>
      <c r="FG251" s="450"/>
      <c r="FH251" s="472"/>
      <c r="FI251" s="450"/>
      <c r="FJ251" s="468">
        <f t="shared" si="129"/>
        <v>0</v>
      </c>
      <c r="FK251" s="469">
        <f t="shared" si="130"/>
        <v>0</v>
      </c>
      <c r="FL251" s="472"/>
      <c r="FM251" s="450"/>
      <c r="FN251" s="460">
        <f t="shared" si="131"/>
        <v>1942</v>
      </c>
      <c r="FO251" s="469">
        <f t="shared" si="132"/>
        <v>2034</v>
      </c>
    </row>
    <row r="252" spans="1:171" x14ac:dyDescent="0.2">
      <c r="A252" s="726" t="s">
        <v>1094</v>
      </c>
      <c r="B252" s="604" t="s">
        <v>1103</v>
      </c>
      <c r="C252" s="693" t="s">
        <v>603</v>
      </c>
      <c r="D252" s="619">
        <v>161873</v>
      </c>
      <c r="E252" s="620">
        <v>4</v>
      </c>
      <c r="F252" s="532"/>
      <c r="G252" s="450"/>
      <c r="H252" s="457"/>
      <c r="I252" s="450"/>
      <c r="J252" s="457"/>
      <c r="K252" s="450"/>
      <c r="L252" s="458">
        <f t="shared" si="122"/>
        <v>0</v>
      </c>
      <c r="M252" s="449">
        <f t="shared" si="123"/>
        <v>0</v>
      </c>
      <c r="N252" s="459">
        <v>631</v>
      </c>
      <c r="O252" s="459"/>
      <c r="P252" s="459"/>
      <c r="Q252" s="459"/>
      <c r="R252" s="460">
        <f t="shared" si="124"/>
        <v>0</v>
      </c>
      <c r="S252" s="466">
        <v>625</v>
      </c>
      <c r="T252" s="466"/>
      <c r="U252" s="461"/>
      <c r="V252" s="461"/>
      <c r="W252" s="462">
        <f t="shared" si="95"/>
        <v>0</v>
      </c>
      <c r="X252" s="463"/>
      <c r="Y252" s="457"/>
      <c r="Z252" s="464"/>
      <c r="AA252" s="464"/>
      <c r="AB252" s="465"/>
      <c r="AC252" s="457"/>
      <c r="AD252" s="464"/>
      <c r="AE252" s="466"/>
      <c r="AF252" s="465"/>
      <c r="AG252" s="457"/>
      <c r="AH252" s="464"/>
      <c r="AI252" s="466"/>
      <c r="AJ252" s="465"/>
      <c r="AK252" s="457"/>
      <c r="AL252" s="464"/>
      <c r="AM252" s="466"/>
      <c r="AN252" s="465"/>
      <c r="AO252" s="457"/>
      <c r="AP252" s="464"/>
      <c r="AQ252" s="464"/>
      <c r="AR252" s="460">
        <f t="shared" si="118"/>
        <v>0</v>
      </c>
      <c r="AS252" s="467">
        <f t="shared" si="119"/>
        <v>0.43487250172294967</v>
      </c>
      <c r="AT252" s="447">
        <f t="shared" si="120"/>
        <v>0</v>
      </c>
      <c r="AU252" s="448">
        <f t="shared" si="121"/>
        <v>0.42229729729729731</v>
      </c>
      <c r="AV252" s="457">
        <v>26</v>
      </c>
      <c r="AW252" s="450">
        <v>29</v>
      </c>
      <c r="AX252" s="463">
        <v>52</v>
      </c>
      <c r="AY252" s="457">
        <v>210</v>
      </c>
      <c r="AZ252" s="464">
        <v>52</v>
      </c>
      <c r="BA252" s="464">
        <v>191</v>
      </c>
      <c r="BB252" s="465">
        <v>44</v>
      </c>
      <c r="BC252" s="457">
        <v>90</v>
      </c>
      <c r="BD252" s="464">
        <v>44</v>
      </c>
      <c r="BE252" s="466">
        <v>85</v>
      </c>
      <c r="BF252" s="465">
        <v>22</v>
      </c>
      <c r="BG252" s="457">
        <v>61</v>
      </c>
      <c r="BH252" s="464">
        <v>22</v>
      </c>
      <c r="BI252" s="466">
        <v>53</v>
      </c>
      <c r="BJ252" s="465">
        <v>50</v>
      </c>
      <c r="BK252" s="457">
        <v>57</v>
      </c>
      <c r="BL252" s="464">
        <v>50</v>
      </c>
      <c r="BM252" s="466">
        <v>31</v>
      </c>
      <c r="BN252" s="465">
        <v>42</v>
      </c>
      <c r="BO252" s="457">
        <v>26</v>
      </c>
      <c r="BP252" s="464">
        <v>42</v>
      </c>
      <c r="BQ252" s="466">
        <v>35</v>
      </c>
      <c r="BR252" s="465">
        <v>51</v>
      </c>
      <c r="BS252" s="457">
        <v>17</v>
      </c>
      <c r="BT252" s="464">
        <v>51</v>
      </c>
      <c r="BU252" s="466">
        <v>27</v>
      </c>
      <c r="BV252" s="465">
        <v>43</v>
      </c>
      <c r="BW252" s="457">
        <v>11</v>
      </c>
      <c r="BX252" s="464">
        <v>30</v>
      </c>
      <c r="BY252" s="466">
        <v>23</v>
      </c>
      <c r="BZ252" s="465">
        <v>11</v>
      </c>
      <c r="CA252" s="457">
        <v>10</v>
      </c>
      <c r="CB252" s="464">
        <v>23</v>
      </c>
      <c r="CC252" s="466">
        <v>18</v>
      </c>
      <c r="CD252" s="465">
        <v>30</v>
      </c>
      <c r="CE252" s="457">
        <v>9</v>
      </c>
      <c r="CF252" s="464">
        <v>43</v>
      </c>
      <c r="CG252" s="466">
        <v>9</v>
      </c>
      <c r="CH252" s="465"/>
      <c r="CI252" s="457"/>
      <c r="CJ252" s="723">
        <v>11</v>
      </c>
      <c r="CK252" s="466">
        <v>6</v>
      </c>
      <c r="CL252" s="459"/>
      <c r="CM252" s="450"/>
      <c r="CN252" s="468">
        <f t="shared" si="125"/>
        <v>491</v>
      </c>
      <c r="CO252" s="468">
        <f t="shared" si="126"/>
        <v>9</v>
      </c>
      <c r="CP252" s="469">
        <f t="shared" si="127"/>
        <v>478</v>
      </c>
      <c r="CQ252" s="469">
        <f t="shared" si="128"/>
        <v>10</v>
      </c>
      <c r="CR252" s="463">
        <v>44</v>
      </c>
      <c r="CS252" s="457">
        <v>7</v>
      </c>
      <c r="CT252" s="464">
        <v>44</v>
      </c>
      <c r="CU252" s="464">
        <v>4</v>
      </c>
      <c r="CV252" s="465">
        <v>50</v>
      </c>
      <c r="CW252" s="457">
        <v>2</v>
      </c>
      <c r="CX252" s="464">
        <v>50</v>
      </c>
      <c r="CY252" s="466">
        <v>1</v>
      </c>
      <c r="CZ252" s="465"/>
      <c r="DA252" s="457"/>
      <c r="DB252" s="464"/>
      <c r="DC252" s="466"/>
      <c r="DD252" s="465"/>
      <c r="DE252" s="457"/>
      <c r="DF252" s="464"/>
      <c r="DG252" s="466"/>
      <c r="DH252" s="465"/>
      <c r="DI252" s="457"/>
      <c r="DJ252" s="464"/>
      <c r="DK252" s="466"/>
      <c r="DL252" s="465"/>
      <c r="DM252" s="457"/>
      <c r="DN252" s="464"/>
      <c r="DO252" s="466"/>
      <c r="DP252" s="465"/>
      <c r="DQ252" s="457"/>
      <c r="DR252" s="464"/>
      <c r="DS252" s="466"/>
      <c r="DT252" s="465"/>
      <c r="DU252" s="457"/>
      <c r="DV252" s="464"/>
      <c r="DW252" s="466"/>
      <c r="DX252" s="465"/>
      <c r="DY252" s="457"/>
      <c r="DZ252" s="464"/>
      <c r="EA252" s="466"/>
      <c r="EB252" s="465"/>
      <c r="EC252" s="457"/>
      <c r="ED252" s="464"/>
      <c r="EE252" s="466"/>
      <c r="EF252" s="459"/>
      <c r="EG252" s="450"/>
      <c r="EH252" s="460">
        <f t="shared" si="133"/>
        <v>9</v>
      </c>
      <c r="EI252" s="460">
        <f t="shared" si="134"/>
        <v>2</v>
      </c>
      <c r="EJ252" s="458">
        <f t="shared" si="135"/>
        <v>0.77777777777777779</v>
      </c>
      <c r="EK252" s="470">
        <f t="shared" si="136"/>
        <v>5</v>
      </c>
      <c r="EL252" s="470">
        <f t="shared" si="137"/>
        <v>2</v>
      </c>
      <c r="EM252" s="449">
        <f t="shared" si="138"/>
        <v>0.8</v>
      </c>
      <c r="EN252" s="460">
        <f t="shared" si="139"/>
        <v>500</v>
      </c>
      <c r="EO252" s="469">
        <f t="shared" si="140"/>
        <v>483</v>
      </c>
      <c r="EP252" s="471">
        <v>294</v>
      </c>
      <c r="EQ252" s="450">
        <v>343</v>
      </c>
      <c r="ER252" s="471"/>
      <c r="ES252" s="450"/>
      <c r="ET252" s="471"/>
      <c r="EU252" s="450"/>
      <c r="EV252" s="471"/>
      <c r="EW252" s="450"/>
      <c r="EX252" s="471"/>
      <c r="EY252" s="450"/>
      <c r="EZ252" s="471"/>
      <c r="FA252" s="450"/>
      <c r="FB252" s="471"/>
      <c r="FC252" s="450"/>
      <c r="FD252" s="471"/>
      <c r="FE252" s="450"/>
      <c r="FF252" s="471"/>
      <c r="FG252" s="450"/>
      <c r="FH252" s="472"/>
      <c r="FI252" s="450"/>
      <c r="FJ252" s="468">
        <f t="shared" si="129"/>
        <v>294</v>
      </c>
      <c r="FK252" s="469">
        <f t="shared" si="130"/>
        <v>343</v>
      </c>
      <c r="FL252" s="472"/>
      <c r="FM252" s="450"/>
      <c r="FN252" s="460">
        <f t="shared" si="131"/>
        <v>1451</v>
      </c>
      <c r="FO252" s="469">
        <f t="shared" si="132"/>
        <v>1480</v>
      </c>
    </row>
    <row r="253" spans="1:171" x14ac:dyDescent="0.2">
      <c r="A253" s="726" t="s">
        <v>1094</v>
      </c>
      <c r="B253" s="604" t="s">
        <v>1104</v>
      </c>
      <c r="C253" s="693"/>
      <c r="D253" s="619">
        <v>163338</v>
      </c>
      <c r="E253" s="620">
        <v>4</v>
      </c>
      <c r="F253" s="532"/>
      <c r="G253" s="450"/>
      <c r="H253" s="457">
        <v>0</v>
      </c>
      <c r="I253" s="450"/>
      <c r="J253" s="457"/>
      <c r="K253" s="450"/>
      <c r="L253" s="458">
        <f t="shared" si="122"/>
        <v>0</v>
      </c>
      <c r="M253" s="449">
        <f t="shared" si="123"/>
        <v>0</v>
      </c>
      <c r="N253" s="459">
        <v>506</v>
      </c>
      <c r="O253" s="459">
        <v>31</v>
      </c>
      <c r="P253" s="459"/>
      <c r="Q253" s="459"/>
      <c r="R253" s="460">
        <f t="shared" si="124"/>
        <v>31</v>
      </c>
      <c r="S253" s="466">
        <v>627</v>
      </c>
      <c r="T253" s="466">
        <v>26</v>
      </c>
      <c r="U253" s="461"/>
      <c r="V253" s="461"/>
      <c r="W253" s="462">
        <f t="shared" si="95"/>
        <v>26</v>
      </c>
      <c r="X253" s="463"/>
      <c r="Y253" s="457"/>
      <c r="Z253" s="464"/>
      <c r="AA253" s="464"/>
      <c r="AB253" s="465"/>
      <c r="AC253" s="457"/>
      <c r="AD253" s="464"/>
      <c r="AE253" s="466"/>
      <c r="AF253" s="465"/>
      <c r="AG253" s="457"/>
      <c r="AH253" s="464"/>
      <c r="AI253" s="466"/>
      <c r="AJ253" s="465"/>
      <c r="AK253" s="457"/>
      <c r="AL253" s="464"/>
      <c r="AM253" s="466"/>
      <c r="AN253" s="465"/>
      <c r="AO253" s="457"/>
      <c r="AP253" s="464"/>
      <c r="AQ253" s="464"/>
      <c r="AR253" s="460">
        <f t="shared" si="118"/>
        <v>0</v>
      </c>
      <c r="AS253" s="467">
        <f t="shared" si="119"/>
        <v>0.80190174326465924</v>
      </c>
      <c r="AT253" s="447">
        <f t="shared" si="120"/>
        <v>0</v>
      </c>
      <c r="AU253" s="448">
        <f t="shared" si="121"/>
        <v>0.82717678100263847</v>
      </c>
      <c r="AV253" s="457"/>
      <c r="AW253" s="450"/>
      <c r="AX253" s="463">
        <v>13</v>
      </c>
      <c r="AY253" s="457">
        <v>32</v>
      </c>
      <c r="AZ253" s="464">
        <v>13</v>
      </c>
      <c r="BA253" s="464">
        <v>33</v>
      </c>
      <c r="BB253" s="465">
        <v>11</v>
      </c>
      <c r="BC253" s="457">
        <v>26</v>
      </c>
      <c r="BD253" s="464">
        <v>11</v>
      </c>
      <c r="BE253" s="466">
        <v>18</v>
      </c>
      <c r="BF253" s="465">
        <v>51</v>
      </c>
      <c r="BG253" s="457">
        <v>9</v>
      </c>
      <c r="BH253" s="464">
        <v>51</v>
      </c>
      <c r="BI253" s="466">
        <v>9</v>
      </c>
      <c r="BJ253" s="465">
        <v>1</v>
      </c>
      <c r="BK253" s="457">
        <v>6</v>
      </c>
      <c r="BL253" s="464">
        <v>1</v>
      </c>
      <c r="BM253" s="466">
        <v>8</v>
      </c>
      <c r="BN253" s="465">
        <v>45</v>
      </c>
      <c r="BO253" s="457">
        <v>4</v>
      </c>
      <c r="BP253" s="464">
        <v>45</v>
      </c>
      <c r="BQ253" s="466">
        <v>6</v>
      </c>
      <c r="BR253" s="465">
        <v>26</v>
      </c>
      <c r="BS253" s="457">
        <v>2</v>
      </c>
      <c r="BT253" s="464">
        <v>26</v>
      </c>
      <c r="BU253" s="466">
        <v>2</v>
      </c>
      <c r="BV253" s="465"/>
      <c r="BW253" s="457"/>
      <c r="BX253" s="464">
        <v>3</v>
      </c>
      <c r="BY253" s="466">
        <v>2</v>
      </c>
      <c r="BZ253" s="465"/>
      <c r="CA253" s="457"/>
      <c r="CB253" s="464"/>
      <c r="CC253" s="466"/>
      <c r="CD253" s="465"/>
      <c r="CE253" s="457"/>
      <c r="CF253" s="464"/>
      <c r="CG253" s="466"/>
      <c r="CH253" s="465"/>
      <c r="CI253" s="457"/>
      <c r="CJ253" s="723"/>
      <c r="CK253" s="466"/>
      <c r="CL253" s="459"/>
      <c r="CM253" s="450"/>
      <c r="CN253" s="468">
        <f t="shared" si="125"/>
        <v>79</v>
      </c>
      <c r="CO253" s="468">
        <f t="shared" si="126"/>
        <v>6</v>
      </c>
      <c r="CP253" s="469">
        <f t="shared" si="127"/>
        <v>78</v>
      </c>
      <c r="CQ253" s="469">
        <f t="shared" si="128"/>
        <v>7</v>
      </c>
      <c r="CR253" s="463">
        <v>30</v>
      </c>
      <c r="CS253" s="457">
        <v>16</v>
      </c>
      <c r="CT253" s="464">
        <v>30</v>
      </c>
      <c r="CU253" s="464">
        <v>24</v>
      </c>
      <c r="CV253" s="465">
        <v>26</v>
      </c>
      <c r="CW253" s="457">
        <v>5</v>
      </c>
      <c r="CX253" s="464">
        <v>26</v>
      </c>
      <c r="CY253" s="466">
        <v>2</v>
      </c>
      <c r="CZ253" s="465">
        <v>13</v>
      </c>
      <c r="DA253" s="457">
        <v>1</v>
      </c>
      <c r="DB253" s="464">
        <v>1</v>
      </c>
      <c r="DC253" s="466">
        <v>1</v>
      </c>
      <c r="DD253" s="465">
        <v>1</v>
      </c>
      <c r="DE253" s="457">
        <v>1</v>
      </c>
      <c r="DF253" s="464"/>
      <c r="DG253" s="466"/>
      <c r="DH253" s="465"/>
      <c r="DI253" s="457"/>
      <c r="DJ253" s="464"/>
      <c r="DK253" s="466"/>
      <c r="DL253" s="465"/>
      <c r="DM253" s="457"/>
      <c r="DN253" s="464"/>
      <c r="DO253" s="466"/>
      <c r="DP253" s="465"/>
      <c r="DQ253" s="457"/>
      <c r="DR253" s="464"/>
      <c r="DS253" s="466"/>
      <c r="DT253" s="465"/>
      <c r="DU253" s="457"/>
      <c r="DV253" s="464"/>
      <c r="DW253" s="466"/>
      <c r="DX253" s="465"/>
      <c r="DY253" s="457"/>
      <c r="DZ253" s="464"/>
      <c r="EA253" s="466"/>
      <c r="EB253" s="465"/>
      <c r="EC253" s="457"/>
      <c r="ED253" s="464"/>
      <c r="EE253" s="466"/>
      <c r="EF253" s="459"/>
      <c r="EG253" s="450"/>
      <c r="EH253" s="460">
        <f t="shared" si="133"/>
        <v>23</v>
      </c>
      <c r="EI253" s="460">
        <f t="shared" si="134"/>
        <v>4</v>
      </c>
      <c r="EJ253" s="458">
        <f t="shared" si="135"/>
        <v>0.69565217391304346</v>
      </c>
      <c r="EK253" s="470">
        <f t="shared" si="136"/>
        <v>27</v>
      </c>
      <c r="EL253" s="470">
        <f t="shared" si="137"/>
        <v>3</v>
      </c>
      <c r="EM253" s="449">
        <f t="shared" si="138"/>
        <v>0.88888888888888884</v>
      </c>
      <c r="EN253" s="460">
        <f t="shared" si="139"/>
        <v>102</v>
      </c>
      <c r="EO253" s="469">
        <f t="shared" si="140"/>
        <v>105</v>
      </c>
      <c r="EP253" s="471"/>
      <c r="EQ253" s="450"/>
      <c r="ER253" s="471"/>
      <c r="ES253" s="450"/>
      <c r="ET253" s="471"/>
      <c r="EU253" s="450"/>
      <c r="EV253" s="471"/>
      <c r="EW253" s="450"/>
      <c r="EX253" s="471"/>
      <c r="EY253" s="450"/>
      <c r="EZ253" s="471"/>
      <c r="FA253" s="450"/>
      <c r="FB253" s="471"/>
      <c r="FC253" s="450"/>
      <c r="FD253" s="471"/>
      <c r="FE253" s="450"/>
      <c r="FF253" s="471"/>
      <c r="FG253" s="450"/>
      <c r="FH253" s="472">
        <v>23</v>
      </c>
      <c r="FI253" s="450">
        <v>26</v>
      </c>
      <c r="FJ253" s="468">
        <f t="shared" si="129"/>
        <v>23</v>
      </c>
      <c r="FK253" s="469">
        <f t="shared" si="130"/>
        <v>26</v>
      </c>
      <c r="FL253" s="472"/>
      <c r="FM253" s="450"/>
      <c r="FN253" s="460">
        <f t="shared" si="131"/>
        <v>631</v>
      </c>
      <c r="FO253" s="469">
        <f t="shared" si="132"/>
        <v>758</v>
      </c>
    </row>
    <row r="254" spans="1:171" x14ac:dyDescent="0.2">
      <c r="A254" s="726" t="s">
        <v>1094</v>
      </c>
      <c r="B254" s="604" t="s">
        <v>1100</v>
      </c>
      <c r="C254" s="700" t="s">
        <v>1124</v>
      </c>
      <c r="D254" s="619">
        <v>162283</v>
      </c>
      <c r="E254" s="701">
        <v>5</v>
      </c>
      <c r="F254" s="532"/>
      <c r="G254" s="450"/>
      <c r="H254" s="457"/>
      <c r="I254" s="450"/>
      <c r="J254" s="457"/>
      <c r="K254" s="450"/>
      <c r="L254" s="458">
        <f t="shared" si="122"/>
        <v>0</v>
      </c>
      <c r="M254" s="449">
        <f t="shared" si="123"/>
        <v>0</v>
      </c>
      <c r="N254" s="459">
        <v>379</v>
      </c>
      <c r="O254" s="459">
        <v>42</v>
      </c>
      <c r="P254" s="459"/>
      <c r="Q254" s="459"/>
      <c r="R254" s="460">
        <f t="shared" si="124"/>
        <v>42</v>
      </c>
      <c r="S254" s="466">
        <v>460</v>
      </c>
      <c r="T254" s="466">
        <v>44</v>
      </c>
      <c r="U254" s="461"/>
      <c r="V254" s="461"/>
      <c r="W254" s="462">
        <f t="shared" si="95"/>
        <v>44</v>
      </c>
      <c r="X254" s="463"/>
      <c r="Y254" s="457"/>
      <c r="Z254" s="464"/>
      <c r="AA254" s="464"/>
      <c r="AB254" s="465"/>
      <c r="AC254" s="457"/>
      <c r="AD254" s="464"/>
      <c r="AE254" s="466"/>
      <c r="AF254" s="465"/>
      <c r="AG254" s="457"/>
      <c r="AH254" s="464"/>
      <c r="AI254" s="466"/>
      <c r="AJ254" s="465"/>
      <c r="AK254" s="457"/>
      <c r="AL254" s="464"/>
      <c r="AM254" s="466"/>
      <c r="AN254" s="465"/>
      <c r="AO254" s="457"/>
      <c r="AP254" s="464"/>
      <c r="AQ254" s="464"/>
      <c r="AR254" s="460">
        <f t="shared" si="118"/>
        <v>0</v>
      </c>
      <c r="AS254" s="467">
        <f t="shared" si="119"/>
        <v>0.82932166301969368</v>
      </c>
      <c r="AT254" s="447">
        <f t="shared" si="120"/>
        <v>0</v>
      </c>
      <c r="AU254" s="448">
        <f t="shared" si="121"/>
        <v>0.88803088803088803</v>
      </c>
      <c r="AV254" s="457">
        <v>1</v>
      </c>
      <c r="AW254" s="450">
        <v>0</v>
      </c>
      <c r="AX254" s="463">
        <v>51</v>
      </c>
      <c r="AY254" s="457">
        <v>31</v>
      </c>
      <c r="AZ254" s="464">
        <v>51</v>
      </c>
      <c r="BA254" s="464">
        <v>28</v>
      </c>
      <c r="BB254" s="465">
        <v>45</v>
      </c>
      <c r="BC254" s="457">
        <v>20</v>
      </c>
      <c r="BD254" s="464">
        <v>45</v>
      </c>
      <c r="BE254" s="466">
        <v>14</v>
      </c>
      <c r="BF254" s="465">
        <v>13</v>
      </c>
      <c r="BG254" s="457">
        <v>18</v>
      </c>
      <c r="BH254" s="464">
        <v>13</v>
      </c>
      <c r="BI254" s="466">
        <v>10</v>
      </c>
      <c r="BJ254" s="465">
        <v>43</v>
      </c>
      <c r="BK254" s="457">
        <v>8</v>
      </c>
      <c r="BL254" s="464">
        <v>43</v>
      </c>
      <c r="BM254" s="466">
        <v>6</v>
      </c>
      <c r="BN254" s="465"/>
      <c r="BO254" s="457"/>
      <c r="BP254" s="464"/>
      <c r="BQ254" s="466"/>
      <c r="BR254" s="465"/>
      <c r="BS254" s="457"/>
      <c r="BT254" s="464"/>
      <c r="BU254" s="466"/>
      <c r="BV254" s="465"/>
      <c r="BW254" s="457"/>
      <c r="BX254" s="464"/>
      <c r="BY254" s="466"/>
      <c r="BZ254" s="465"/>
      <c r="CA254" s="457"/>
      <c r="CB254" s="464"/>
      <c r="CC254" s="466"/>
      <c r="CD254" s="465"/>
      <c r="CE254" s="457"/>
      <c r="CF254" s="464"/>
      <c r="CG254" s="466"/>
      <c r="CH254" s="465"/>
      <c r="CI254" s="457"/>
      <c r="CJ254" s="723"/>
      <c r="CK254" s="466"/>
      <c r="CL254" s="459"/>
      <c r="CM254" s="450"/>
      <c r="CN254" s="468">
        <f t="shared" si="125"/>
        <v>77</v>
      </c>
      <c r="CO254" s="468">
        <f t="shared" si="126"/>
        <v>4</v>
      </c>
      <c r="CP254" s="469">
        <f t="shared" si="127"/>
        <v>58</v>
      </c>
      <c r="CQ254" s="469">
        <f t="shared" si="128"/>
        <v>4</v>
      </c>
      <c r="CR254" s="463"/>
      <c r="CS254" s="457"/>
      <c r="CT254" s="464"/>
      <c r="CU254" s="464"/>
      <c r="CV254" s="465"/>
      <c r="CW254" s="457"/>
      <c r="CX254" s="464"/>
      <c r="CY254" s="466"/>
      <c r="CZ254" s="465"/>
      <c r="DA254" s="457"/>
      <c r="DB254" s="464"/>
      <c r="DC254" s="466"/>
      <c r="DD254" s="465"/>
      <c r="DE254" s="457"/>
      <c r="DF254" s="464"/>
      <c r="DG254" s="466"/>
      <c r="DH254" s="465"/>
      <c r="DI254" s="457"/>
      <c r="DJ254" s="464"/>
      <c r="DK254" s="466"/>
      <c r="DL254" s="465"/>
      <c r="DM254" s="457"/>
      <c r="DN254" s="464"/>
      <c r="DO254" s="466"/>
      <c r="DP254" s="465"/>
      <c r="DQ254" s="457"/>
      <c r="DR254" s="464"/>
      <c r="DS254" s="466"/>
      <c r="DT254" s="465"/>
      <c r="DU254" s="457"/>
      <c r="DV254" s="464"/>
      <c r="DW254" s="466"/>
      <c r="DX254" s="465"/>
      <c r="DY254" s="457"/>
      <c r="DZ254" s="464"/>
      <c r="EA254" s="466"/>
      <c r="EB254" s="465"/>
      <c r="EC254" s="457"/>
      <c r="ED254" s="464"/>
      <c r="EE254" s="466"/>
      <c r="EF254" s="459"/>
      <c r="EG254" s="450"/>
      <c r="EH254" s="460">
        <f t="shared" si="133"/>
        <v>0</v>
      </c>
      <c r="EI254" s="460">
        <f t="shared" si="134"/>
        <v>0</v>
      </c>
      <c r="EJ254" s="458">
        <f t="shared" si="135"/>
        <v>0</v>
      </c>
      <c r="EK254" s="470">
        <f t="shared" si="136"/>
        <v>0</v>
      </c>
      <c r="EL254" s="470">
        <f t="shared" si="137"/>
        <v>0</v>
      </c>
      <c r="EM254" s="449">
        <f t="shared" si="138"/>
        <v>0</v>
      </c>
      <c r="EN254" s="460">
        <f t="shared" si="139"/>
        <v>77</v>
      </c>
      <c r="EO254" s="469">
        <f t="shared" si="140"/>
        <v>58</v>
      </c>
      <c r="EP254" s="471"/>
      <c r="EQ254" s="450"/>
      <c r="ER254" s="471"/>
      <c r="ES254" s="450"/>
      <c r="ET254" s="471"/>
      <c r="EU254" s="450"/>
      <c r="EV254" s="471"/>
      <c r="EW254" s="450"/>
      <c r="EX254" s="471"/>
      <c r="EY254" s="450"/>
      <c r="EZ254" s="471"/>
      <c r="FA254" s="450"/>
      <c r="FB254" s="471"/>
      <c r="FC254" s="450"/>
      <c r="FD254" s="471"/>
      <c r="FE254" s="450"/>
      <c r="FF254" s="471"/>
      <c r="FG254" s="450"/>
      <c r="FH254" s="472"/>
      <c r="FI254" s="450"/>
      <c r="FJ254" s="468">
        <f t="shared" si="129"/>
        <v>0</v>
      </c>
      <c r="FK254" s="469">
        <f t="shared" si="130"/>
        <v>0</v>
      </c>
      <c r="FL254" s="472"/>
      <c r="FM254" s="450"/>
      <c r="FN254" s="460">
        <f t="shared" si="131"/>
        <v>457</v>
      </c>
      <c r="FO254" s="469">
        <f t="shared" si="132"/>
        <v>518</v>
      </c>
    </row>
    <row r="255" spans="1:171" x14ac:dyDescent="0.2">
      <c r="A255" s="726" t="s">
        <v>1094</v>
      </c>
      <c r="B255" s="604" t="s">
        <v>1105</v>
      </c>
      <c r="C255" s="693"/>
      <c r="D255" s="619">
        <v>163912</v>
      </c>
      <c r="E255" s="620">
        <v>6</v>
      </c>
      <c r="F255" s="532"/>
      <c r="G255" s="450"/>
      <c r="H255" s="457"/>
      <c r="I255" s="450"/>
      <c r="J255" s="457"/>
      <c r="K255" s="450"/>
      <c r="L255" s="458">
        <f t="shared" si="122"/>
        <v>0</v>
      </c>
      <c r="M255" s="449">
        <f t="shared" si="123"/>
        <v>0</v>
      </c>
      <c r="N255" s="459">
        <v>410</v>
      </c>
      <c r="O255" s="459"/>
      <c r="P255" s="459"/>
      <c r="Q255" s="459"/>
      <c r="R255" s="460">
        <f t="shared" si="124"/>
        <v>0</v>
      </c>
      <c r="S255" s="466">
        <v>444</v>
      </c>
      <c r="T255" s="466"/>
      <c r="U255" s="461"/>
      <c r="V255" s="461"/>
      <c r="W255" s="462">
        <f t="shared" si="95"/>
        <v>0</v>
      </c>
      <c r="X255" s="463"/>
      <c r="Y255" s="457"/>
      <c r="Z255" s="464"/>
      <c r="AA255" s="464"/>
      <c r="AB255" s="465"/>
      <c r="AC255" s="457"/>
      <c r="AD255" s="464"/>
      <c r="AE255" s="466"/>
      <c r="AF255" s="465"/>
      <c r="AG255" s="457"/>
      <c r="AH255" s="464"/>
      <c r="AI255" s="466"/>
      <c r="AJ255" s="465"/>
      <c r="AK255" s="457"/>
      <c r="AL255" s="464"/>
      <c r="AM255" s="466"/>
      <c r="AN255" s="465"/>
      <c r="AO255" s="457"/>
      <c r="AP255" s="464"/>
      <c r="AQ255" s="464"/>
      <c r="AR255" s="460">
        <f t="shared" si="118"/>
        <v>0</v>
      </c>
      <c r="AS255" s="467">
        <f t="shared" si="119"/>
        <v>0.9255079006772009</v>
      </c>
      <c r="AT255" s="447">
        <f t="shared" si="120"/>
        <v>0</v>
      </c>
      <c r="AU255" s="448">
        <f t="shared" si="121"/>
        <v>0.94468085106382982</v>
      </c>
      <c r="AV255" s="457"/>
      <c r="AW255" s="450"/>
      <c r="AX255" s="463">
        <v>13</v>
      </c>
      <c r="AY255" s="457">
        <v>33</v>
      </c>
      <c r="AZ255" s="464">
        <v>13</v>
      </c>
      <c r="BA255" s="464">
        <v>26</v>
      </c>
      <c r="BB255" s="465"/>
      <c r="BC255" s="457"/>
      <c r="BD255" s="464"/>
      <c r="BE255" s="466"/>
      <c r="BF255" s="465"/>
      <c r="BG255" s="457"/>
      <c r="BH255" s="464"/>
      <c r="BI255" s="466"/>
      <c r="BJ255" s="465"/>
      <c r="BK255" s="457"/>
      <c r="BL255" s="464"/>
      <c r="BM255" s="466"/>
      <c r="BN255" s="465"/>
      <c r="BO255" s="457"/>
      <c r="BP255" s="464"/>
      <c r="BQ255" s="466"/>
      <c r="BR255" s="465"/>
      <c r="BS255" s="457"/>
      <c r="BT255" s="464"/>
      <c r="BU255" s="466"/>
      <c r="BV255" s="465"/>
      <c r="BW255" s="457"/>
      <c r="BX255" s="464"/>
      <c r="BY255" s="466"/>
      <c r="BZ255" s="465"/>
      <c r="CA255" s="457"/>
      <c r="CB255" s="464"/>
      <c r="CC255" s="466"/>
      <c r="CD255" s="465"/>
      <c r="CE255" s="457"/>
      <c r="CF255" s="464"/>
      <c r="CG255" s="466"/>
      <c r="CH255" s="465"/>
      <c r="CI255" s="457"/>
      <c r="CJ255" s="723"/>
      <c r="CK255" s="466"/>
      <c r="CL255" s="459"/>
      <c r="CM255" s="450"/>
      <c r="CN255" s="468">
        <f t="shared" si="125"/>
        <v>33</v>
      </c>
      <c r="CO255" s="468">
        <f t="shared" si="126"/>
        <v>1</v>
      </c>
      <c r="CP255" s="469">
        <f t="shared" si="127"/>
        <v>26</v>
      </c>
      <c r="CQ255" s="469">
        <f t="shared" si="128"/>
        <v>1</v>
      </c>
      <c r="CR255" s="463"/>
      <c r="CS255" s="457"/>
      <c r="CT255" s="464"/>
      <c r="CU255" s="464"/>
      <c r="CV255" s="465"/>
      <c r="CW255" s="457"/>
      <c r="CX255" s="464"/>
      <c r="CY255" s="466"/>
      <c r="CZ255" s="465"/>
      <c r="DA255" s="457"/>
      <c r="DB255" s="464"/>
      <c r="DC255" s="466"/>
      <c r="DD255" s="465"/>
      <c r="DE255" s="457"/>
      <c r="DF255" s="464"/>
      <c r="DG255" s="466"/>
      <c r="DH255" s="465"/>
      <c r="DI255" s="457"/>
      <c r="DJ255" s="464"/>
      <c r="DK255" s="466"/>
      <c r="DL255" s="465"/>
      <c r="DM255" s="457"/>
      <c r="DN255" s="464"/>
      <c r="DO255" s="466"/>
      <c r="DP255" s="465"/>
      <c r="DQ255" s="457"/>
      <c r="DR255" s="464"/>
      <c r="DS255" s="466"/>
      <c r="DT255" s="465"/>
      <c r="DU255" s="457"/>
      <c r="DV255" s="464"/>
      <c r="DW255" s="466"/>
      <c r="DX255" s="465"/>
      <c r="DY255" s="457"/>
      <c r="DZ255" s="464"/>
      <c r="EA255" s="466"/>
      <c r="EB255" s="465"/>
      <c r="EC255" s="457"/>
      <c r="ED255" s="464"/>
      <c r="EE255" s="466"/>
      <c r="EF255" s="459"/>
      <c r="EG255" s="450"/>
      <c r="EH255" s="460">
        <f t="shared" si="133"/>
        <v>0</v>
      </c>
      <c r="EI255" s="460">
        <f t="shared" si="134"/>
        <v>0</v>
      </c>
      <c r="EJ255" s="458">
        <f t="shared" si="135"/>
        <v>0</v>
      </c>
      <c r="EK255" s="470">
        <f t="shared" si="136"/>
        <v>0</v>
      </c>
      <c r="EL255" s="470">
        <f t="shared" si="137"/>
        <v>0</v>
      </c>
      <c r="EM255" s="449">
        <f t="shared" si="138"/>
        <v>0</v>
      </c>
      <c r="EN255" s="460">
        <f t="shared" si="139"/>
        <v>33</v>
      </c>
      <c r="EO255" s="469">
        <f t="shared" si="140"/>
        <v>26</v>
      </c>
      <c r="EP255" s="471"/>
      <c r="EQ255" s="450"/>
      <c r="ER255" s="471"/>
      <c r="ES255" s="450"/>
      <c r="ET255" s="471"/>
      <c r="EU255" s="450"/>
      <c r="EV255" s="471"/>
      <c r="EW255" s="450"/>
      <c r="EX255" s="471"/>
      <c r="EY255" s="450"/>
      <c r="EZ255" s="471"/>
      <c r="FA255" s="450"/>
      <c r="FB255" s="471"/>
      <c r="FC255" s="450"/>
      <c r="FD255" s="471"/>
      <c r="FE255" s="450"/>
      <c r="FF255" s="471"/>
      <c r="FG255" s="450"/>
      <c r="FH255" s="472"/>
      <c r="FI255" s="450"/>
      <c r="FJ255" s="468">
        <f t="shared" si="129"/>
        <v>0</v>
      </c>
      <c r="FK255" s="469">
        <f t="shared" si="130"/>
        <v>0</v>
      </c>
      <c r="FL255" s="472"/>
      <c r="FM255" s="450"/>
      <c r="FN255" s="460">
        <f t="shared" si="131"/>
        <v>443</v>
      </c>
      <c r="FO255" s="469">
        <f t="shared" si="132"/>
        <v>470</v>
      </c>
    </row>
    <row r="256" spans="1:171" x14ac:dyDescent="0.2">
      <c r="A256" s="729" t="s">
        <v>1094</v>
      </c>
      <c r="B256" s="617" t="s">
        <v>1106</v>
      </c>
      <c r="C256" s="693"/>
      <c r="D256" s="619">
        <v>161767</v>
      </c>
      <c r="E256" s="607">
        <v>8</v>
      </c>
      <c r="F256" s="532">
        <v>669</v>
      </c>
      <c r="G256" s="450">
        <v>678</v>
      </c>
      <c r="H256" s="457"/>
      <c r="I256" s="450"/>
      <c r="J256" s="457">
        <v>1505</v>
      </c>
      <c r="K256" s="450">
        <v>1567</v>
      </c>
      <c r="L256" s="458">
        <f t="shared" si="122"/>
        <v>0</v>
      </c>
      <c r="M256" s="449">
        <f t="shared" si="123"/>
        <v>0</v>
      </c>
      <c r="N256" s="459"/>
      <c r="O256" s="459"/>
      <c r="P256" s="459"/>
      <c r="Q256" s="459"/>
      <c r="R256" s="460">
        <f t="shared" si="124"/>
        <v>0</v>
      </c>
      <c r="S256" s="466"/>
      <c r="T256" s="466"/>
      <c r="U256" s="461"/>
      <c r="V256" s="461"/>
      <c r="W256" s="462">
        <f t="shared" si="95"/>
        <v>0</v>
      </c>
      <c r="X256" s="463"/>
      <c r="Y256" s="457"/>
      <c r="Z256" s="464"/>
      <c r="AA256" s="464"/>
      <c r="AB256" s="465"/>
      <c r="AC256" s="457"/>
      <c r="AD256" s="464"/>
      <c r="AE256" s="466"/>
      <c r="AF256" s="465"/>
      <c r="AG256" s="457"/>
      <c r="AH256" s="464"/>
      <c r="AI256" s="466"/>
      <c r="AJ256" s="465"/>
      <c r="AK256" s="457"/>
      <c r="AL256" s="464"/>
      <c r="AM256" s="466"/>
      <c r="AN256" s="465"/>
      <c r="AO256" s="457"/>
      <c r="AP256" s="464"/>
      <c r="AQ256" s="464"/>
      <c r="AR256" s="460">
        <f t="shared" si="118"/>
        <v>0</v>
      </c>
      <c r="AS256" s="467">
        <f t="shared" si="119"/>
        <v>0</v>
      </c>
      <c r="AT256" s="447">
        <f t="shared" si="120"/>
        <v>0</v>
      </c>
      <c r="AU256" s="448">
        <f t="shared" si="121"/>
        <v>0</v>
      </c>
      <c r="AV256" s="457"/>
      <c r="AW256" s="450"/>
      <c r="AX256" s="463"/>
      <c r="AY256" s="457"/>
      <c r="AZ256" s="464"/>
      <c r="BA256" s="464"/>
      <c r="BB256" s="465"/>
      <c r="BC256" s="457"/>
      <c r="BD256" s="464"/>
      <c r="BE256" s="466"/>
      <c r="BF256" s="465"/>
      <c r="BG256" s="457"/>
      <c r="BH256" s="464"/>
      <c r="BI256" s="466"/>
      <c r="BJ256" s="465"/>
      <c r="BK256" s="457"/>
      <c r="BL256" s="464"/>
      <c r="BM256" s="466"/>
      <c r="BN256" s="465"/>
      <c r="BO256" s="457"/>
      <c r="BP256" s="464"/>
      <c r="BQ256" s="466"/>
      <c r="BR256" s="465"/>
      <c r="BS256" s="457"/>
      <c r="BT256" s="464"/>
      <c r="BU256" s="466"/>
      <c r="BV256" s="465"/>
      <c r="BW256" s="457"/>
      <c r="BX256" s="464"/>
      <c r="BY256" s="466"/>
      <c r="BZ256" s="465"/>
      <c r="CA256" s="457"/>
      <c r="CB256" s="464"/>
      <c r="CC256" s="466"/>
      <c r="CD256" s="465"/>
      <c r="CE256" s="457"/>
      <c r="CF256" s="464"/>
      <c r="CG256" s="466"/>
      <c r="CH256" s="465"/>
      <c r="CI256" s="457"/>
      <c r="CJ256" s="723"/>
      <c r="CK256" s="466"/>
      <c r="CL256" s="459"/>
      <c r="CM256" s="450"/>
      <c r="CN256" s="468">
        <f t="shared" si="125"/>
        <v>0</v>
      </c>
      <c r="CO256" s="468">
        <f t="shared" si="126"/>
        <v>0</v>
      </c>
      <c r="CP256" s="469">
        <f t="shared" si="127"/>
        <v>0</v>
      </c>
      <c r="CQ256" s="469">
        <f t="shared" si="128"/>
        <v>0</v>
      </c>
      <c r="CR256" s="463"/>
      <c r="CS256" s="457"/>
      <c r="CT256" s="464"/>
      <c r="CU256" s="464"/>
      <c r="CV256" s="465"/>
      <c r="CW256" s="457"/>
      <c r="CX256" s="464"/>
      <c r="CY256" s="466"/>
      <c r="CZ256" s="465"/>
      <c r="DA256" s="457"/>
      <c r="DB256" s="464"/>
      <c r="DC256" s="466"/>
      <c r="DD256" s="465"/>
      <c r="DE256" s="457"/>
      <c r="DF256" s="464"/>
      <c r="DG256" s="466"/>
      <c r="DH256" s="465"/>
      <c r="DI256" s="457"/>
      <c r="DJ256" s="464"/>
      <c r="DK256" s="466"/>
      <c r="DL256" s="465"/>
      <c r="DM256" s="457"/>
      <c r="DN256" s="464"/>
      <c r="DO256" s="466"/>
      <c r="DP256" s="465"/>
      <c r="DQ256" s="457"/>
      <c r="DR256" s="464"/>
      <c r="DS256" s="466"/>
      <c r="DT256" s="465"/>
      <c r="DU256" s="457"/>
      <c r="DV256" s="464"/>
      <c r="DW256" s="466"/>
      <c r="DX256" s="465"/>
      <c r="DY256" s="457"/>
      <c r="DZ256" s="464"/>
      <c r="EA256" s="466"/>
      <c r="EB256" s="465"/>
      <c r="EC256" s="457"/>
      <c r="ED256" s="464"/>
      <c r="EE256" s="466"/>
      <c r="EF256" s="459"/>
      <c r="EG256" s="450"/>
      <c r="EH256" s="460">
        <f t="shared" si="133"/>
        <v>0</v>
      </c>
      <c r="EI256" s="460">
        <f t="shared" si="134"/>
        <v>0</v>
      </c>
      <c r="EJ256" s="458">
        <f t="shared" si="135"/>
        <v>0</v>
      </c>
      <c r="EK256" s="470">
        <f t="shared" si="136"/>
        <v>0</v>
      </c>
      <c r="EL256" s="470">
        <f t="shared" si="137"/>
        <v>0</v>
      </c>
      <c r="EM256" s="449">
        <f t="shared" si="138"/>
        <v>0</v>
      </c>
      <c r="EN256" s="460">
        <f t="shared" si="139"/>
        <v>0</v>
      </c>
      <c r="EO256" s="469">
        <f t="shared" si="140"/>
        <v>0</v>
      </c>
      <c r="EP256" s="471"/>
      <c r="EQ256" s="450"/>
      <c r="ER256" s="471"/>
      <c r="ES256" s="450"/>
      <c r="ET256" s="471"/>
      <c r="EU256" s="450"/>
      <c r="EV256" s="471"/>
      <c r="EW256" s="450"/>
      <c r="EX256" s="471"/>
      <c r="EY256" s="450"/>
      <c r="EZ256" s="471"/>
      <c r="FA256" s="450"/>
      <c r="FB256" s="471"/>
      <c r="FC256" s="450"/>
      <c r="FD256" s="471"/>
      <c r="FE256" s="450"/>
      <c r="FF256" s="471"/>
      <c r="FG256" s="450"/>
      <c r="FH256" s="472"/>
      <c r="FI256" s="450"/>
      <c r="FJ256" s="468">
        <f t="shared" si="129"/>
        <v>0</v>
      </c>
      <c r="FK256" s="469">
        <f t="shared" si="130"/>
        <v>0</v>
      </c>
      <c r="FL256" s="472"/>
      <c r="FM256" s="450"/>
      <c r="FN256" s="460">
        <f t="shared" si="131"/>
        <v>2174</v>
      </c>
      <c r="FO256" s="469">
        <f t="shared" si="132"/>
        <v>2245</v>
      </c>
    </row>
    <row r="257" spans="1:171" x14ac:dyDescent="0.2">
      <c r="A257" s="729" t="s">
        <v>1094</v>
      </c>
      <c r="B257" s="604" t="s">
        <v>1107</v>
      </c>
      <c r="C257" s="694"/>
      <c r="D257" s="619">
        <v>162122</v>
      </c>
      <c r="E257" s="614">
        <v>8</v>
      </c>
      <c r="F257" s="532">
        <v>377</v>
      </c>
      <c r="G257" s="450">
        <v>482</v>
      </c>
      <c r="H257" s="457"/>
      <c r="I257" s="450"/>
      <c r="J257" s="457">
        <v>821</v>
      </c>
      <c r="K257" s="450">
        <v>990</v>
      </c>
      <c r="L257" s="458">
        <f t="shared" si="122"/>
        <v>0</v>
      </c>
      <c r="M257" s="449">
        <f t="shared" si="123"/>
        <v>0</v>
      </c>
      <c r="N257" s="459"/>
      <c r="O257" s="459"/>
      <c r="P257" s="459"/>
      <c r="Q257" s="459"/>
      <c r="R257" s="460">
        <f t="shared" si="124"/>
        <v>0</v>
      </c>
      <c r="S257" s="466"/>
      <c r="T257" s="466"/>
      <c r="U257" s="461"/>
      <c r="V257" s="461"/>
      <c r="W257" s="462">
        <f t="shared" si="95"/>
        <v>0</v>
      </c>
      <c r="X257" s="463"/>
      <c r="Y257" s="457"/>
      <c r="Z257" s="464"/>
      <c r="AA257" s="464"/>
      <c r="AB257" s="465"/>
      <c r="AC257" s="457"/>
      <c r="AD257" s="464"/>
      <c r="AE257" s="466"/>
      <c r="AF257" s="465"/>
      <c r="AG257" s="457"/>
      <c r="AH257" s="464"/>
      <c r="AI257" s="466"/>
      <c r="AJ257" s="465"/>
      <c r="AK257" s="457"/>
      <c r="AL257" s="464"/>
      <c r="AM257" s="466"/>
      <c r="AN257" s="465"/>
      <c r="AO257" s="457"/>
      <c r="AP257" s="464"/>
      <c r="AQ257" s="464"/>
      <c r="AR257" s="460">
        <f t="shared" si="118"/>
        <v>0</v>
      </c>
      <c r="AS257" s="467">
        <f t="shared" si="119"/>
        <v>0</v>
      </c>
      <c r="AT257" s="447">
        <f t="shared" si="120"/>
        <v>0</v>
      </c>
      <c r="AU257" s="448">
        <f t="shared" si="121"/>
        <v>0</v>
      </c>
      <c r="AV257" s="457"/>
      <c r="AW257" s="450"/>
      <c r="AX257" s="463"/>
      <c r="AY257" s="457"/>
      <c r="AZ257" s="464"/>
      <c r="BA257" s="464"/>
      <c r="BB257" s="465"/>
      <c r="BC257" s="457"/>
      <c r="BD257" s="464"/>
      <c r="BE257" s="466"/>
      <c r="BF257" s="465"/>
      <c r="BG257" s="457"/>
      <c r="BH257" s="464"/>
      <c r="BI257" s="466"/>
      <c r="BJ257" s="465"/>
      <c r="BK257" s="457"/>
      <c r="BL257" s="464"/>
      <c r="BM257" s="466"/>
      <c r="BN257" s="465"/>
      <c r="BO257" s="457"/>
      <c r="BP257" s="464"/>
      <c r="BQ257" s="466"/>
      <c r="BR257" s="465"/>
      <c r="BS257" s="457"/>
      <c r="BT257" s="464"/>
      <c r="BU257" s="466"/>
      <c r="BV257" s="465"/>
      <c r="BW257" s="457"/>
      <c r="BX257" s="464"/>
      <c r="BY257" s="466"/>
      <c r="BZ257" s="465"/>
      <c r="CA257" s="457"/>
      <c r="CB257" s="464"/>
      <c r="CC257" s="466"/>
      <c r="CD257" s="465"/>
      <c r="CE257" s="457"/>
      <c r="CF257" s="464"/>
      <c r="CG257" s="466"/>
      <c r="CH257" s="465"/>
      <c r="CI257" s="457"/>
      <c r="CJ257" s="723"/>
      <c r="CK257" s="466"/>
      <c r="CL257" s="459"/>
      <c r="CM257" s="450"/>
      <c r="CN257" s="468">
        <f t="shared" si="125"/>
        <v>0</v>
      </c>
      <c r="CO257" s="468">
        <f t="shared" si="126"/>
        <v>0</v>
      </c>
      <c r="CP257" s="469">
        <f t="shared" si="127"/>
        <v>0</v>
      </c>
      <c r="CQ257" s="469">
        <f t="shared" si="128"/>
        <v>0</v>
      </c>
      <c r="CR257" s="463"/>
      <c r="CS257" s="457"/>
      <c r="CT257" s="464"/>
      <c r="CU257" s="464"/>
      <c r="CV257" s="465"/>
      <c r="CW257" s="457"/>
      <c r="CX257" s="464"/>
      <c r="CY257" s="466"/>
      <c r="CZ257" s="465"/>
      <c r="DA257" s="457"/>
      <c r="DB257" s="464"/>
      <c r="DC257" s="466"/>
      <c r="DD257" s="465"/>
      <c r="DE257" s="457"/>
      <c r="DF257" s="464"/>
      <c r="DG257" s="466"/>
      <c r="DH257" s="465"/>
      <c r="DI257" s="457"/>
      <c r="DJ257" s="464"/>
      <c r="DK257" s="466"/>
      <c r="DL257" s="465"/>
      <c r="DM257" s="457"/>
      <c r="DN257" s="464"/>
      <c r="DO257" s="466"/>
      <c r="DP257" s="465"/>
      <c r="DQ257" s="457"/>
      <c r="DR257" s="464"/>
      <c r="DS257" s="466"/>
      <c r="DT257" s="465"/>
      <c r="DU257" s="457"/>
      <c r="DV257" s="464"/>
      <c r="DW257" s="466"/>
      <c r="DX257" s="465"/>
      <c r="DY257" s="457"/>
      <c r="DZ257" s="464"/>
      <c r="EA257" s="466"/>
      <c r="EB257" s="465"/>
      <c r="EC257" s="457"/>
      <c r="ED257" s="464"/>
      <c r="EE257" s="466"/>
      <c r="EF257" s="459"/>
      <c r="EG257" s="450"/>
      <c r="EH257" s="460">
        <f t="shared" si="133"/>
        <v>0</v>
      </c>
      <c r="EI257" s="460">
        <f t="shared" si="134"/>
        <v>0</v>
      </c>
      <c r="EJ257" s="458">
        <f t="shared" si="135"/>
        <v>0</v>
      </c>
      <c r="EK257" s="470">
        <f t="shared" si="136"/>
        <v>0</v>
      </c>
      <c r="EL257" s="470">
        <f t="shared" si="137"/>
        <v>0</v>
      </c>
      <c r="EM257" s="449">
        <f t="shared" si="138"/>
        <v>0</v>
      </c>
      <c r="EN257" s="460">
        <f t="shared" si="139"/>
        <v>0</v>
      </c>
      <c r="EO257" s="469">
        <f t="shared" si="140"/>
        <v>0</v>
      </c>
      <c r="EP257" s="471"/>
      <c r="EQ257" s="450"/>
      <c r="ER257" s="471"/>
      <c r="ES257" s="450"/>
      <c r="ET257" s="471"/>
      <c r="EU257" s="450"/>
      <c r="EV257" s="471"/>
      <c r="EW257" s="450"/>
      <c r="EX257" s="471"/>
      <c r="EY257" s="450"/>
      <c r="EZ257" s="471"/>
      <c r="FA257" s="450"/>
      <c r="FB257" s="471"/>
      <c r="FC257" s="450"/>
      <c r="FD257" s="471"/>
      <c r="FE257" s="450"/>
      <c r="FF257" s="471"/>
      <c r="FG257" s="450"/>
      <c r="FH257" s="472"/>
      <c r="FI257" s="450"/>
      <c r="FJ257" s="468">
        <f t="shared" si="129"/>
        <v>0</v>
      </c>
      <c r="FK257" s="469">
        <f t="shared" si="130"/>
        <v>0</v>
      </c>
      <c r="FL257" s="472"/>
      <c r="FM257" s="450"/>
      <c r="FN257" s="460">
        <f t="shared" si="131"/>
        <v>1198</v>
      </c>
      <c r="FO257" s="469">
        <f t="shared" si="132"/>
        <v>1472</v>
      </c>
    </row>
    <row r="258" spans="1:171" x14ac:dyDescent="0.2">
      <c r="A258" s="729" t="s">
        <v>1094</v>
      </c>
      <c r="B258" s="617" t="s">
        <v>1108</v>
      </c>
      <c r="C258" s="693"/>
      <c r="D258" s="619">
        <v>434672</v>
      </c>
      <c r="E258" s="607">
        <v>8</v>
      </c>
      <c r="F258" s="532">
        <v>476</v>
      </c>
      <c r="G258" s="450">
        <v>604</v>
      </c>
      <c r="H258" s="457"/>
      <c r="I258" s="450"/>
      <c r="J258" s="457">
        <v>1854</v>
      </c>
      <c r="K258" s="450">
        <v>2132</v>
      </c>
      <c r="L258" s="458">
        <f t="shared" si="122"/>
        <v>0</v>
      </c>
      <c r="M258" s="449">
        <f t="shared" si="123"/>
        <v>0</v>
      </c>
      <c r="N258" s="459"/>
      <c r="O258" s="459"/>
      <c r="P258" s="459"/>
      <c r="Q258" s="459"/>
      <c r="R258" s="460">
        <f t="shared" si="124"/>
        <v>0</v>
      </c>
      <c r="S258" s="466"/>
      <c r="T258" s="466"/>
      <c r="U258" s="461"/>
      <c r="V258" s="461"/>
      <c r="W258" s="462">
        <f t="shared" si="95"/>
        <v>0</v>
      </c>
      <c r="X258" s="463"/>
      <c r="Y258" s="457"/>
      <c r="Z258" s="464"/>
      <c r="AA258" s="464"/>
      <c r="AB258" s="465"/>
      <c r="AC258" s="457"/>
      <c r="AD258" s="464"/>
      <c r="AE258" s="466"/>
      <c r="AF258" s="465"/>
      <c r="AG258" s="457"/>
      <c r="AH258" s="464"/>
      <c r="AI258" s="466"/>
      <c r="AJ258" s="465"/>
      <c r="AK258" s="457"/>
      <c r="AL258" s="464"/>
      <c r="AM258" s="466"/>
      <c r="AN258" s="465"/>
      <c r="AO258" s="457"/>
      <c r="AP258" s="464"/>
      <c r="AQ258" s="464"/>
      <c r="AR258" s="460">
        <f t="shared" si="118"/>
        <v>0</v>
      </c>
      <c r="AS258" s="467">
        <f t="shared" si="119"/>
        <v>0</v>
      </c>
      <c r="AT258" s="447">
        <f t="shared" si="120"/>
        <v>0</v>
      </c>
      <c r="AU258" s="448">
        <f t="shared" si="121"/>
        <v>0</v>
      </c>
      <c r="AV258" s="457"/>
      <c r="AW258" s="450"/>
      <c r="AX258" s="463"/>
      <c r="AY258" s="457"/>
      <c r="AZ258" s="464"/>
      <c r="BA258" s="464"/>
      <c r="BB258" s="465"/>
      <c r="BC258" s="457"/>
      <c r="BD258" s="464"/>
      <c r="BE258" s="466"/>
      <c r="BF258" s="465"/>
      <c r="BG258" s="457"/>
      <c r="BH258" s="464"/>
      <c r="BI258" s="466"/>
      <c r="BJ258" s="465"/>
      <c r="BK258" s="457"/>
      <c r="BL258" s="464"/>
      <c r="BM258" s="466"/>
      <c r="BN258" s="465"/>
      <c r="BO258" s="457"/>
      <c r="BP258" s="464"/>
      <c r="BQ258" s="466"/>
      <c r="BR258" s="465"/>
      <c r="BS258" s="457"/>
      <c r="BT258" s="464"/>
      <c r="BU258" s="466"/>
      <c r="BV258" s="465"/>
      <c r="BW258" s="457"/>
      <c r="BX258" s="464"/>
      <c r="BY258" s="466"/>
      <c r="BZ258" s="465"/>
      <c r="CA258" s="457"/>
      <c r="CB258" s="464"/>
      <c r="CC258" s="466"/>
      <c r="CD258" s="465"/>
      <c r="CE258" s="457"/>
      <c r="CF258" s="464"/>
      <c r="CG258" s="466"/>
      <c r="CH258" s="465"/>
      <c r="CI258" s="457"/>
      <c r="CJ258" s="723"/>
      <c r="CK258" s="466"/>
      <c r="CL258" s="459"/>
      <c r="CM258" s="450"/>
      <c r="CN258" s="468">
        <f t="shared" si="125"/>
        <v>0</v>
      </c>
      <c r="CO258" s="468">
        <f t="shared" si="126"/>
        <v>0</v>
      </c>
      <c r="CP258" s="469">
        <f t="shared" si="127"/>
        <v>0</v>
      </c>
      <c r="CQ258" s="469">
        <f t="shared" si="128"/>
        <v>0</v>
      </c>
      <c r="CR258" s="463"/>
      <c r="CS258" s="457"/>
      <c r="CT258" s="464"/>
      <c r="CU258" s="464"/>
      <c r="CV258" s="465"/>
      <c r="CW258" s="457"/>
      <c r="CX258" s="464"/>
      <c r="CY258" s="466"/>
      <c r="CZ258" s="465"/>
      <c r="DA258" s="457"/>
      <c r="DB258" s="464"/>
      <c r="DC258" s="466"/>
      <c r="DD258" s="465"/>
      <c r="DE258" s="457"/>
      <c r="DF258" s="464"/>
      <c r="DG258" s="466"/>
      <c r="DH258" s="465"/>
      <c r="DI258" s="457"/>
      <c r="DJ258" s="464"/>
      <c r="DK258" s="466"/>
      <c r="DL258" s="465"/>
      <c r="DM258" s="457"/>
      <c r="DN258" s="464"/>
      <c r="DO258" s="466"/>
      <c r="DP258" s="465"/>
      <c r="DQ258" s="457"/>
      <c r="DR258" s="464"/>
      <c r="DS258" s="466"/>
      <c r="DT258" s="465"/>
      <c r="DU258" s="457"/>
      <c r="DV258" s="464"/>
      <c r="DW258" s="466"/>
      <c r="DX258" s="465"/>
      <c r="DY258" s="457"/>
      <c r="DZ258" s="464"/>
      <c r="EA258" s="466"/>
      <c r="EB258" s="465"/>
      <c r="EC258" s="457"/>
      <c r="ED258" s="464"/>
      <c r="EE258" s="466"/>
      <c r="EF258" s="459"/>
      <c r="EG258" s="450"/>
      <c r="EH258" s="460">
        <f t="shared" si="133"/>
        <v>0</v>
      </c>
      <c r="EI258" s="460">
        <f t="shared" si="134"/>
        <v>0</v>
      </c>
      <c r="EJ258" s="458">
        <f t="shared" si="135"/>
        <v>0</v>
      </c>
      <c r="EK258" s="470">
        <f t="shared" si="136"/>
        <v>0</v>
      </c>
      <c r="EL258" s="470">
        <f t="shared" si="137"/>
        <v>0</v>
      </c>
      <c r="EM258" s="449">
        <f t="shared" si="138"/>
        <v>0</v>
      </c>
      <c r="EN258" s="460">
        <f t="shared" si="139"/>
        <v>0</v>
      </c>
      <c r="EO258" s="469">
        <f t="shared" si="140"/>
        <v>0</v>
      </c>
      <c r="EP258" s="471"/>
      <c r="EQ258" s="450"/>
      <c r="ER258" s="471"/>
      <c r="ES258" s="450"/>
      <c r="ET258" s="471"/>
      <c r="EU258" s="450"/>
      <c r="EV258" s="471"/>
      <c r="EW258" s="450"/>
      <c r="EX258" s="471"/>
      <c r="EY258" s="450"/>
      <c r="EZ258" s="471"/>
      <c r="FA258" s="450"/>
      <c r="FB258" s="471"/>
      <c r="FC258" s="450"/>
      <c r="FD258" s="471"/>
      <c r="FE258" s="450"/>
      <c r="FF258" s="471"/>
      <c r="FG258" s="450"/>
      <c r="FH258" s="472"/>
      <c r="FI258" s="450"/>
      <c r="FJ258" s="468">
        <f t="shared" si="129"/>
        <v>0</v>
      </c>
      <c r="FK258" s="469">
        <f t="shared" si="130"/>
        <v>0</v>
      </c>
      <c r="FL258" s="472"/>
      <c r="FM258" s="450"/>
      <c r="FN258" s="460">
        <f t="shared" si="131"/>
        <v>2330</v>
      </c>
      <c r="FO258" s="469">
        <f t="shared" si="132"/>
        <v>2736</v>
      </c>
    </row>
    <row r="259" spans="1:171" x14ac:dyDescent="0.2">
      <c r="A259" s="729" t="s">
        <v>1094</v>
      </c>
      <c r="B259" s="604" t="s">
        <v>1109</v>
      </c>
      <c r="C259" s="694"/>
      <c r="D259" s="619">
        <v>162779</v>
      </c>
      <c r="E259" s="614">
        <v>8</v>
      </c>
      <c r="F259" s="532">
        <v>70</v>
      </c>
      <c r="G259" s="450">
        <v>102</v>
      </c>
      <c r="H259" s="457"/>
      <c r="I259" s="450"/>
      <c r="J259" s="457">
        <v>872</v>
      </c>
      <c r="K259" s="450">
        <v>955</v>
      </c>
      <c r="L259" s="458">
        <f t="shared" si="122"/>
        <v>0</v>
      </c>
      <c r="M259" s="449">
        <f t="shared" si="123"/>
        <v>0</v>
      </c>
      <c r="N259" s="459"/>
      <c r="O259" s="459"/>
      <c r="P259" s="459"/>
      <c r="Q259" s="459"/>
      <c r="R259" s="460">
        <f t="shared" si="124"/>
        <v>0</v>
      </c>
      <c r="S259" s="466"/>
      <c r="T259" s="466"/>
      <c r="U259" s="461"/>
      <c r="V259" s="461"/>
      <c r="W259" s="462">
        <f t="shared" si="95"/>
        <v>0</v>
      </c>
      <c r="X259" s="463"/>
      <c r="Y259" s="457"/>
      <c r="Z259" s="464"/>
      <c r="AA259" s="464"/>
      <c r="AB259" s="465"/>
      <c r="AC259" s="457"/>
      <c r="AD259" s="464"/>
      <c r="AE259" s="466"/>
      <c r="AF259" s="465"/>
      <c r="AG259" s="457"/>
      <c r="AH259" s="464"/>
      <c r="AI259" s="466"/>
      <c r="AJ259" s="465"/>
      <c r="AK259" s="457"/>
      <c r="AL259" s="464"/>
      <c r="AM259" s="466"/>
      <c r="AN259" s="465"/>
      <c r="AO259" s="457"/>
      <c r="AP259" s="464"/>
      <c r="AQ259" s="464"/>
      <c r="AR259" s="460">
        <f t="shared" si="118"/>
        <v>0</v>
      </c>
      <c r="AS259" s="467">
        <f t="shared" si="119"/>
        <v>0</v>
      </c>
      <c r="AT259" s="447">
        <f t="shared" si="120"/>
        <v>0</v>
      </c>
      <c r="AU259" s="448">
        <f t="shared" si="121"/>
        <v>0</v>
      </c>
      <c r="AV259" s="457"/>
      <c r="AW259" s="450"/>
      <c r="AX259" s="463"/>
      <c r="AY259" s="457"/>
      <c r="AZ259" s="464"/>
      <c r="BA259" s="464"/>
      <c r="BB259" s="465"/>
      <c r="BC259" s="457"/>
      <c r="BD259" s="464"/>
      <c r="BE259" s="466"/>
      <c r="BF259" s="465"/>
      <c r="BG259" s="457"/>
      <c r="BH259" s="464"/>
      <c r="BI259" s="466"/>
      <c r="BJ259" s="465"/>
      <c r="BK259" s="457"/>
      <c r="BL259" s="464"/>
      <c r="BM259" s="466"/>
      <c r="BN259" s="465"/>
      <c r="BO259" s="457"/>
      <c r="BP259" s="464"/>
      <c r="BQ259" s="466"/>
      <c r="BR259" s="465"/>
      <c r="BS259" s="457"/>
      <c r="BT259" s="464"/>
      <c r="BU259" s="466"/>
      <c r="BV259" s="465"/>
      <c r="BW259" s="457"/>
      <c r="BX259" s="464"/>
      <c r="BY259" s="466"/>
      <c r="BZ259" s="465"/>
      <c r="CA259" s="457"/>
      <c r="CB259" s="464"/>
      <c r="CC259" s="466"/>
      <c r="CD259" s="465"/>
      <c r="CE259" s="457"/>
      <c r="CF259" s="464"/>
      <c r="CG259" s="466"/>
      <c r="CH259" s="465"/>
      <c r="CI259" s="457"/>
      <c r="CJ259" s="723"/>
      <c r="CK259" s="466"/>
      <c r="CL259" s="459"/>
      <c r="CM259" s="450"/>
      <c r="CN259" s="468">
        <f t="shared" si="125"/>
        <v>0</v>
      </c>
      <c r="CO259" s="468">
        <f t="shared" si="126"/>
        <v>0</v>
      </c>
      <c r="CP259" s="469">
        <f t="shared" si="127"/>
        <v>0</v>
      </c>
      <c r="CQ259" s="469">
        <f t="shared" si="128"/>
        <v>0</v>
      </c>
      <c r="CR259" s="463"/>
      <c r="CS259" s="457"/>
      <c r="CT259" s="464"/>
      <c r="CU259" s="464"/>
      <c r="CV259" s="465"/>
      <c r="CW259" s="457"/>
      <c r="CX259" s="464"/>
      <c r="CY259" s="466"/>
      <c r="CZ259" s="465"/>
      <c r="DA259" s="457"/>
      <c r="DB259" s="464"/>
      <c r="DC259" s="466"/>
      <c r="DD259" s="465"/>
      <c r="DE259" s="457"/>
      <c r="DF259" s="464"/>
      <c r="DG259" s="466"/>
      <c r="DH259" s="465"/>
      <c r="DI259" s="457"/>
      <c r="DJ259" s="464"/>
      <c r="DK259" s="466"/>
      <c r="DL259" s="465"/>
      <c r="DM259" s="457"/>
      <c r="DN259" s="464"/>
      <c r="DO259" s="466"/>
      <c r="DP259" s="465"/>
      <c r="DQ259" s="457"/>
      <c r="DR259" s="464"/>
      <c r="DS259" s="466"/>
      <c r="DT259" s="465"/>
      <c r="DU259" s="457"/>
      <c r="DV259" s="464"/>
      <c r="DW259" s="466"/>
      <c r="DX259" s="465"/>
      <c r="DY259" s="457"/>
      <c r="DZ259" s="464"/>
      <c r="EA259" s="466"/>
      <c r="EB259" s="465"/>
      <c r="EC259" s="457"/>
      <c r="ED259" s="464"/>
      <c r="EE259" s="466"/>
      <c r="EF259" s="459"/>
      <c r="EG259" s="450"/>
      <c r="EH259" s="460">
        <f t="shared" si="133"/>
        <v>0</v>
      </c>
      <c r="EI259" s="460">
        <f t="shared" si="134"/>
        <v>0</v>
      </c>
      <c r="EJ259" s="458">
        <f t="shared" si="135"/>
        <v>0</v>
      </c>
      <c r="EK259" s="470">
        <f t="shared" si="136"/>
        <v>0</v>
      </c>
      <c r="EL259" s="470">
        <f t="shared" si="137"/>
        <v>0</v>
      </c>
      <c r="EM259" s="449">
        <f t="shared" si="138"/>
        <v>0</v>
      </c>
      <c r="EN259" s="460">
        <f t="shared" si="139"/>
        <v>0</v>
      </c>
      <c r="EO259" s="469">
        <f t="shared" si="140"/>
        <v>0</v>
      </c>
      <c r="EP259" s="471"/>
      <c r="EQ259" s="450"/>
      <c r="ER259" s="471"/>
      <c r="ES259" s="450"/>
      <c r="ET259" s="471"/>
      <c r="EU259" s="450"/>
      <c r="EV259" s="471"/>
      <c r="EW259" s="450"/>
      <c r="EX259" s="471"/>
      <c r="EY259" s="450"/>
      <c r="EZ259" s="471"/>
      <c r="FA259" s="450"/>
      <c r="FB259" s="471"/>
      <c r="FC259" s="450"/>
      <c r="FD259" s="471"/>
      <c r="FE259" s="450"/>
      <c r="FF259" s="471"/>
      <c r="FG259" s="450"/>
      <c r="FH259" s="472"/>
      <c r="FI259" s="450"/>
      <c r="FJ259" s="468">
        <f t="shared" si="129"/>
        <v>0</v>
      </c>
      <c r="FK259" s="469">
        <f t="shared" si="130"/>
        <v>0</v>
      </c>
      <c r="FL259" s="472"/>
      <c r="FM259" s="450"/>
      <c r="FN259" s="460">
        <f t="shared" si="131"/>
        <v>942</v>
      </c>
      <c r="FO259" s="469">
        <f t="shared" si="132"/>
        <v>1057</v>
      </c>
    </row>
    <row r="260" spans="1:171" x14ac:dyDescent="0.2">
      <c r="A260" s="729" t="s">
        <v>1094</v>
      </c>
      <c r="B260" s="617" t="s">
        <v>1110</v>
      </c>
      <c r="C260" s="693"/>
      <c r="D260" s="619">
        <v>163426</v>
      </c>
      <c r="E260" s="607">
        <v>8</v>
      </c>
      <c r="F260" s="532">
        <v>377</v>
      </c>
      <c r="G260" s="450">
        <v>329</v>
      </c>
      <c r="H260" s="457"/>
      <c r="I260" s="450"/>
      <c r="J260" s="457">
        <v>2183</v>
      </c>
      <c r="K260" s="450">
        <v>2383</v>
      </c>
      <c r="L260" s="458">
        <f t="shared" si="122"/>
        <v>0</v>
      </c>
      <c r="M260" s="449">
        <f t="shared" si="123"/>
        <v>0</v>
      </c>
      <c r="N260" s="459"/>
      <c r="O260" s="459"/>
      <c r="P260" s="459"/>
      <c r="Q260" s="459"/>
      <c r="R260" s="460">
        <f t="shared" si="124"/>
        <v>0</v>
      </c>
      <c r="S260" s="466"/>
      <c r="T260" s="466"/>
      <c r="U260" s="461"/>
      <c r="V260" s="461"/>
      <c r="W260" s="462">
        <f t="shared" si="95"/>
        <v>0</v>
      </c>
      <c r="X260" s="463"/>
      <c r="Y260" s="457"/>
      <c r="Z260" s="464"/>
      <c r="AA260" s="464"/>
      <c r="AB260" s="465"/>
      <c r="AC260" s="457"/>
      <c r="AD260" s="464"/>
      <c r="AE260" s="466"/>
      <c r="AF260" s="465"/>
      <c r="AG260" s="457"/>
      <c r="AH260" s="464"/>
      <c r="AI260" s="466"/>
      <c r="AJ260" s="465"/>
      <c r="AK260" s="457"/>
      <c r="AL260" s="464"/>
      <c r="AM260" s="466"/>
      <c r="AN260" s="465"/>
      <c r="AO260" s="457"/>
      <c r="AP260" s="464"/>
      <c r="AQ260" s="464"/>
      <c r="AR260" s="460">
        <f t="shared" si="118"/>
        <v>0</v>
      </c>
      <c r="AS260" s="467">
        <f t="shared" si="119"/>
        <v>0</v>
      </c>
      <c r="AT260" s="447">
        <f t="shared" si="120"/>
        <v>0</v>
      </c>
      <c r="AU260" s="448">
        <f t="shared" si="121"/>
        <v>0</v>
      </c>
      <c r="AV260" s="457"/>
      <c r="AW260" s="450"/>
      <c r="AX260" s="463"/>
      <c r="AY260" s="457"/>
      <c r="AZ260" s="464"/>
      <c r="BA260" s="464"/>
      <c r="BB260" s="465"/>
      <c r="BC260" s="457"/>
      <c r="BD260" s="464"/>
      <c r="BE260" s="466"/>
      <c r="BF260" s="465"/>
      <c r="BG260" s="457"/>
      <c r="BH260" s="464"/>
      <c r="BI260" s="466"/>
      <c r="BJ260" s="465"/>
      <c r="BK260" s="457"/>
      <c r="BL260" s="464"/>
      <c r="BM260" s="466"/>
      <c r="BN260" s="465"/>
      <c r="BO260" s="457"/>
      <c r="BP260" s="464"/>
      <c r="BQ260" s="466"/>
      <c r="BR260" s="465"/>
      <c r="BS260" s="457"/>
      <c r="BT260" s="464"/>
      <c r="BU260" s="466"/>
      <c r="BV260" s="465"/>
      <c r="BW260" s="457"/>
      <c r="BX260" s="464"/>
      <c r="BY260" s="466"/>
      <c r="BZ260" s="465"/>
      <c r="CA260" s="457"/>
      <c r="CB260" s="464"/>
      <c r="CC260" s="466"/>
      <c r="CD260" s="465"/>
      <c r="CE260" s="457"/>
      <c r="CF260" s="464"/>
      <c r="CG260" s="466"/>
      <c r="CH260" s="465"/>
      <c r="CI260" s="457"/>
      <c r="CJ260" s="723"/>
      <c r="CK260" s="466"/>
      <c r="CL260" s="459"/>
      <c r="CM260" s="450"/>
      <c r="CN260" s="468">
        <f t="shared" si="125"/>
        <v>0</v>
      </c>
      <c r="CO260" s="468">
        <f t="shared" si="126"/>
        <v>0</v>
      </c>
      <c r="CP260" s="469">
        <f t="shared" si="127"/>
        <v>0</v>
      </c>
      <c r="CQ260" s="469">
        <f t="shared" si="128"/>
        <v>0</v>
      </c>
      <c r="CR260" s="463"/>
      <c r="CS260" s="457"/>
      <c r="CT260" s="464"/>
      <c r="CU260" s="464"/>
      <c r="CV260" s="465"/>
      <c r="CW260" s="457"/>
      <c r="CX260" s="464"/>
      <c r="CY260" s="466"/>
      <c r="CZ260" s="465"/>
      <c r="DA260" s="457"/>
      <c r="DB260" s="464"/>
      <c r="DC260" s="466"/>
      <c r="DD260" s="465"/>
      <c r="DE260" s="457"/>
      <c r="DF260" s="464"/>
      <c r="DG260" s="466"/>
      <c r="DH260" s="465"/>
      <c r="DI260" s="457"/>
      <c r="DJ260" s="464"/>
      <c r="DK260" s="466"/>
      <c r="DL260" s="465"/>
      <c r="DM260" s="457"/>
      <c r="DN260" s="464"/>
      <c r="DO260" s="466"/>
      <c r="DP260" s="465"/>
      <c r="DQ260" s="457"/>
      <c r="DR260" s="464"/>
      <c r="DS260" s="466"/>
      <c r="DT260" s="465"/>
      <c r="DU260" s="457"/>
      <c r="DV260" s="464"/>
      <c r="DW260" s="466"/>
      <c r="DX260" s="465"/>
      <c r="DY260" s="457"/>
      <c r="DZ260" s="464"/>
      <c r="EA260" s="466"/>
      <c r="EB260" s="465"/>
      <c r="EC260" s="457"/>
      <c r="ED260" s="464"/>
      <c r="EE260" s="466"/>
      <c r="EF260" s="459"/>
      <c r="EG260" s="450"/>
      <c r="EH260" s="460">
        <f t="shared" si="133"/>
        <v>0</v>
      </c>
      <c r="EI260" s="460">
        <f t="shared" si="134"/>
        <v>0</v>
      </c>
      <c r="EJ260" s="458">
        <f t="shared" si="135"/>
        <v>0</v>
      </c>
      <c r="EK260" s="470">
        <f t="shared" si="136"/>
        <v>0</v>
      </c>
      <c r="EL260" s="470">
        <f t="shared" si="137"/>
        <v>0</v>
      </c>
      <c r="EM260" s="449">
        <f t="shared" si="138"/>
        <v>0</v>
      </c>
      <c r="EN260" s="460">
        <f t="shared" si="139"/>
        <v>0</v>
      </c>
      <c r="EO260" s="469">
        <f t="shared" si="140"/>
        <v>0</v>
      </c>
      <c r="EP260" s="471"/>
      <c r="EQ260" s="450"/>
      <c r="ER260" s="471"/>
      <c r="ES260" s="450"/>
      <c r="ET260" s="471"/>
      <c r="EU260" s="450"/>
      <c r="EV260" s="471"/>
      <c r="EW260" s="450"/>
      <c r="EX260" s="471"/>
      <c r="EY260" s="450"/>
      <c r="EZ260" s="471"/>
      <c r="FA260" s="450"/>
      <c r="FB260" s="471"/>
      <c r="FC260" s="450"/>
      <c r="FD260" s="471"/>
      <c r="FE260" s="450"/>
      <c r="FF260" s="471"/>
      <c r="FG260" s="450"/>
      <c r="FH260" s="472"/>
      <c r="FI260" s="450"/>
      <c r="FJ260" s="468">
        <f t="shared" si="129"/>
        <v>0</v>
      </c>
      <c r="FK260" s="469">
        <f t="shared" si="130"/>
        <v>0</v>
      </c>
      <c r="FL260" s="472"/>
      <c r="FM260" s="450"/>
      <c r="FN260" s="460">
        <f t="shared" si="131"/>
        <v>2560</v>
      </c>
      <c r="FO260" s="469">
        <f t="shared" si="132"/>
        <v>2712</v>
      </c>
    </row>
    <row r="261" spans="1:171" x14ac:dyDescent="0.2">
      <c r="A261" s="729" t="s">
        <v>1094</v>
      </c>
      <c r="B261" s="617" t="s">
        <v>1111</v>
      </c>
      <c r="C261" s="693"/>
      <c r="D261" s="619">
        <v>163657</v>
      </c>
      <c r="E261" s="607">
        <v>8</v>
      </c>
      <c r="F261" s="532">
        <v>230</v>
      </c>
      <c r="G261" s="450">
        <v>202</v>
      </c>
      <c r="H261" s="457"/>
      <c r="I261" s="450"/>
      <c r="J261" s="457">
        <v>800</v>
      </c>
      <c r="K261" s="450">
        <v>904</v>
      </c>
      <c r="L261" s="458">
        <f t="shared" si="122"/>
        <v>0</v>
      </c>
      <c r="M261" s="449">
        <f t="shared" si="123"/>
        <v>0</v>
      </c>
      <c r="N261" s="459"/>
      <c r="O261" s="459"/>
      <c r="P261" s="459"/>
      <c r="Q261" s="459"/>
      <c r="R261" s="460">
        <f t="shared" si="124"/>
        <v>0</v>
      </c>
      <c r="S261" s="466"/>
      <c r="T261" s="466"/>
      <c r="U261" s="461"/>
      <c r="V261" s="461"/>
      <c r="W261" s="462">
        <f t="shared" si="95"/>
        <v>0</v>
      </c>
      <c r="X261" s="463"/>
      <c r="Y261" s="457"/>
      <c r="Z261" s="464"/>
      <c r="AA261" s="464"/>
      <c r="AB261" s="465"/>
      <c r="AC261" s="457"/>
      <c r="AD261" s="464"/>
      <c r="AE261" s="466"/>
      <c r="AF261" s="465"/>
      <c r="AG261" s="457"/>
      <c r="AH261" s="464"/>
      <c r="AI261" s="466"/>
      <c r="AJ261" s="465"/>
      <c r="AK261" s="457"/>
      <c r="AL261" s="464"/>
      <c r="AM261" s="466"/>
      <c r="AN261" s="465"/>
      <c r="AO261" s="457"/>
      <c r="AP261" s="464"/>
      <c r="AQ261" s="464"/>
      <c r="AR261" s="460">
        <f t="shared" si="118"/>
        <v>0</v>
      </c>
      <c r="AS261" s="467">
        <f t="shared" si="119"/>
        <v>0</v>
      </c>
      <c r="AT261" s="447">
        <f t="shared" si="120"/>
        <v>0</v>
      </c>
      <c r="AU261" s="448">
        <f t="shared" si="121"/>
        <v>0</v>
      </c>
      <c r="AV261" s="457"/>
      <c r="AW261" s="450"/>
      <c r="AX261" s="463"/>
      <c r="AY261" s="457"/>
      <c r="AZ261" s="464"/>
      <c r="BA261" s="464"/>
      <c r="BB261" s="465"/>
      <c r="BC261" s="457"/>
      <c r="BD261" s="464"/>
      <c r="BE261" s="466"/>
      <c r="BF261" s="465"/>
      <c r="BG261" s="457"/>
      <c r="BH261" s="464"/>
      <c r="BI261" s="466"/>
      <c r="BJ261" s="465"/>
      <c r="BK261" s="457"/>
      <c r="BL261" s="464"/>
      <c r="BM261" s="466"/>
      <c r="BN261" s="465"/>
      <c r="BO261" s="457"/>
      <c r="BP261" s="464"/>
      <c r="BQ261" s="466"/>
      <c r="BR261" s="465"/>
      <c r="BS261" s="457"/>
      <c r="BT261" s="464"/>
      <c r="BU261" s="466"/>
      <c r="BV261" s="465"/>
      <c r="BW261" s="457"/>
      <c r="BX261" s="464"/>
      <c r="BY261" s="466"/>
      <c r="BZ261" s="465"/>
      <c r="CA261" s="457"/>
      <c r="CB261" s="464"/>
      <c r="CC261" s="466"/>
      <c r="CD261" s="465"/>
      <c r="CE261" s="457"/>
      <c r="CF261" s="464"/>
      <c r="CG261" s="466"/>
      <c r="CH261" s="465"/>
      <c r="CI261" s="457"/>
      <c r="CJ261" s="723"/>
      <c r="CK261" s="466"/>
      <c r="CL261" s="459"/>
      <c r="CM261" s="450"/>
      <c r="CN261" s="468">
        <f t="shared" si="125"/>
        <v>0</v>
      </c>
      <c r="CO261" s="468">
        <f t="shared" si="126"/>
        <v>0</v>
      </c>
      <c r="CP261" s="469">
        <f t="shared" si="127"/>
        <v>0</v>
      </c>
      <c r="CQ261" s="469">
        <f t="shared" si="128"/>
        <v>0</v>
      </c>
      <c r="CR261" s="463"/>
      <c r="CS261" s="457"/>
      <c r="CT261" s="464"/>
      <c r="CU261" s="464"/>
      <c r="CV261" s="465"/>
      <c r="CW261" s="457"/>
      <c r="CX261" s="464"/>
      <c r="CY261" s="466"/>
      <c r="CZ261" s="465"/>
      <c r="DA261" s="457"/>
      <c r="DB261" s="464"/>
      <c r="DC261" s="466"/>
      <c r="DD261" s="465"/>
      <c r="DE261" s="457"/>
      <c r="DF261" s="464"/>
      <c r="DG261" s="466"/>
      <c r="DH261" s="465"/>
      <c r="DI261" s="457"/>
      <c r="DJ261" s="464"/>
      <c r="DK261" s="466"/>
      <c r="DL261" s="465"/>
      <c r="DM261" s="457"/>
      <c r="DN261" s="464"/>
      <c r="DO261" s="466"/>
      <c r="DP261" s="465"/>
      <c r="DQ261" s="457"/>
      <c r="DR261" s="464"/>
      <c r="DS261" s="466"/>
      <c r="DT261" s="465"/>
      <c r="DU261" s="457"/>
      <c r="DV261" s="464"/>
      <c r="DW261" s="466"/>
      <c r="DX261" s="465"/>
      <c r="DY261" s="457"/>
      <c r="DZ261" s="464"/>
      <c r="EA261" s="466"/>
      <c r="EB261" s="465"/>
      <c r="EC261" s="457"/>
      <c r="ED261" s="464"/>
      <c r="EE261" s="466"/>
      <c r="EF261" s="459"/>
      <c r="EG261" s="450"/>
      <c r="EH261" s="460">
        <f t="shared" si="133"/>
        <v>0</v>
      </c>
      <c r="EI261" s="460">
        <f t="shared" si="134"/>
        <v>0</v>
      </c>
      <c r="EJ261" s="458">
        <f t="shared" si="135"/>
        <v>0</v>
      </c>
      <c r="EK261" s="470">
        <f t="shared" si="136"/>
        <v>0</v>
      </c>
      <c r="EL261" s="470">
        <f t="shared" si="137"/>
        <v>0</v>
      </c>
      <c r="EM261" s="449">
        <f t="shared" si="138"/>
        <v>0</v>
      </c>
      <c r="EN261" s="460">
        <f t="shared" si="139"/>
        <v>0</v>
      </c>
      <c r="EO261" s="469">
        <f t="shared" si="140"/>
        <v>0</v>
      </c>
      <c r="EP261" s="471"/>
      <c r="EQ261" s="450"/>
      <c r="ER261" s="471"/>
      <c r="ES261" s="450"/>
      <c r="ET261" s="471"/>
      <c r="EU261" s="450"/>
      <c r="EV261" s="471"/>
      <c r="EW261" s="450"/>
      <c r="EX261" s="471"/>
      <c r="EY261" s="450"/>
      <c r="EZ261" s="471"/>
      <c r="FA261" s="450"/>
      <c r="FB261" s="471"/>
      <c r="FC261" s="450"/>
      <c r="FD261" s="471"/>
      <c r="FE261" s="450"/>
      <c r="FF261" s="471"/>
      <c r="FG261" s="450"/>
      <c r="FH261" s="472"/>
      <c r="FI261" s="450"/>
      <c r="FJ261" s="468">
        <f t="shared" si="129"/>
        <v>0</v>
      </c>
      <c r="FK261" s="469">
        <f t="shared" si="130"/>
        <v>0</v>
      </c>
      <c r="FL261" s="472"/>
      <c r="FM261" s="450"/>
      <c r="FN261" s="460">
        <f t="shared" si="131"/>
        <v>1030</v>
      </c>
      <c r="FO261" s="469">
        <f t="shared" si="132"/>
        <v>1106</v>
      </c>
    </row>
    <row r="262" spans="1:171" x14ac:dyDescent="0.2">
      <c r="A262" s="728" t="s">
        <v>1094</v>
      </c>
      <c r="B262" s="617" t="s">
        <v>1112</v>
      </c>
      <c r="C262" s="693"/>
      <c r="D262" s="696">
        <v>161688</v>
      </c>
      <c r="E262" s="697">
        <v>9</v>
      </c>
      <c r="F262" s="532">
        <v>216</v>
      </c>
      <c r="G262" s="450">
        <v>231</v>
      </c>
      <c r="H262" s="457"/>
      <c r="I262" s="450"/>
      <c r="J262" s="457">
        <v>603</v>
      </c>
      <c r="K262" s="450">
        <v>562</v>
      </c>
      <c r="L262" s="458">
        <f t="shared" si="122"/>
        <v>0</v>
      </c>
      <c r="M262" s="449">
        <f t="shared" si="123"/>
        <v>0</v>
      </c>
      <c r="N262" s="459"/>
      <c r="O262" s="459"/>
      <c r="P262" s="459"/>
      <c r="Q262" s="459"/>
      <c r="R262" s="460">
        <f t="shared" si="124"/>
        <v>0</v>
      </c>
      <c r="S262" s="466"/>
      <c r="T262" s="466"/>
      <c r="U262" s="461"/>
      <c r="V262" s="461"/>
      <c r="W262" s="462">
        <f t="shared" si="95"/>
        <v>0</v>
      </c>
      <c r="X262" s="463"/>
      <c r="Y262" s="457"/>
      <c r="Z262" s="464"/>
      <c r="AA262" s="464"/>
      <c r="AB262" s="465"/>
      <c r="AC262" s="457"/>
      <c r="AD262" s="464"/>
      <c r="AE262" s="466"/>
      <c r="AF262" s="465"/>
      <c r="AG262" s="457"/>
      <c r="AH262" s="464"/>
      <c r="AI262" s="466"/>
      <c r="AJ262" s="465"/>
      <c r="AK262" s="457"/>
      <c r="AL262" s="464"/>
      <c r="AM262" s="466"/>
      <c r="AN262" s="465"/>
      <c r="AO262" s="457"/>
      <c r="AP262" s="464"/>
      <c r="AQ262" s="464"/>
      <c r="AR262" s="460">
        <f t="shared" si="118"/>
        <v>0</v>
      </c>
      <c r="AS262" s="467">
        <f t="shared" si="119"/>
        <v>0</v>
      </c>
      <c r="AT262" s="447">
        <f t="shared" si="120"/>
        <v>0</v>
      </c>
      <c r="AU262" s="448">
        <f t="shared" si="121"/>
        <v>0</v>
      </c>
      <c r="AV262" s="457"/>
      <c r="AW262" s="450"/>
      <c r="AX262" s="463"/>
      <c r="AY262" s="457"/>
      <c r="AZ262" s="464"/>
      <c r="BA262" s="464"/>
      <c r="BB262" s="465"/>
      <c r="BC262" s="457"/>
      <c r="BD262" s="464"/>
      <c r="BE262" s="466"/>
      <c r="BF262" s="465"/>
      <c r="BG262" s="457"/>
      <c r="BH262" s="464"/>
      <c r="BI262" s="466"/>
      <c r="BJ262" s="465"/>
      <c r="BK262" s="457"/>
      <c r="BL262" s="464"/>
      <c r="BM262" s="466"/>
      <c r="BN262" s="465"/>
      <c r="BO262" s="457"/>
      <c r="BP262" s="464"/>
      <c r="BQ262" s="466"/>
      <c r="BR262" s="465"/>
      <c r="BS262" s="457"/>
      <c r="BT262" s="464"/>
      <c r="BU262" s="466"/>
      <c r="BV262" s="465"/>
      <c r="BW262" s="457"/>
      <c r="BX262" s="464"/>
      <c r="BY262" s="466"/>
      <c r="BZ262" s="465"/>
      <c r="CA262" s="457"/>
      <c r="CB262" s="464"/>
      <c r="CC262" s="466"/>
      <c r="CD262" s="465"/>
      <c r="CE262" s="457"/>
      <c r="CF262" s="464"/>
      <c r="CG262" s="466"/>
      <c r="CH262" s="465"/>
      <c r="CI262" s="457"/>
      <c r="CJ262" s="723"/>
      <c r="CK262" s="466"/>
      <c r="CL262" s="459"/>
      <c r="CM262" s="450"/>
      <c r="CN262" s="468">
        <f t="shared" si="125"/>
        <v>0</v>
      </c>
      <c r="CO262" s="468">
        <f t="shared" si="126"/>
        <v>0</v>
      </c>
      <c r="CP262" s="469">
        <f t="shared" si="127"/>
        <v>0</v>
      </c>
      <c r="CQ262" s="469">
        <f t="shared" si="128"/>
        <v>0</v>
      </c>
      <c r="CR262" s="463"/>
      <c r="CS262" s="457"/>
      <c r="CT262" s="464"/>
      <c r="CU262" s="464"/>
      <c r="CV262" s="465"/>
      <c r="CW262" s="457"/>
      <c r="CX262" s="464"/>
      <c r="CY262" s="466"/>
      <c r="CZ262" s="465"/>
      <c r="DA262" s="457"/>
      <c r="DB262" s="464"/>
      <c r="DC262" s="466"/>
      <c r="DD262" s="465"/>
      <c r="DE262" s="457"/>
      <c r="DF262" s="464"/>
      <c r="DG262" s="466"/>
      <c r="DH262" s="465"/>
      <c r="DI262" s="457"/>
      <c r="DJ262" s="464"/>
      <c r="DK262" s="466"/>
      <c r="DL262" s="465"/>
      <c r="DM262" s="457"/>
      <c r="DN262" s="464"/>
      <c r="DO262" s="466"/>
      <c r="DP262" s="465"/>
      <c r="DQ262" s="457"/>
      <c r="DR262" s="464"/>
      <c r="DS262" s="466"/>
      <c r="DT262" s="465"/>
      <c r="DU262" s="457"/>
      <c r="DV262" s="464"/>
      <c r="DW262" s="466"/>
      <c r="DX262" s="465"/>
      <c r="DY262" s="457"/>
      <c r="DZ262" s="464"/>
      <c r="EA262" s="466"/>
      <c r="EB262" s="465"/>
      <c r="EC262" s="457"/>
      <c r="ED262" s="464"/>
      <c r="EE262" s="466"/>
      <c r="EF262" s="459"/>
      <c r="EG262" s="450"/>
      <c r="EH262" s="460">
        <f t="shared" si="133"/>
        <v>0</v>
      </c>
      <c r="EI262" s="460">
        <f t="shared" si="134"/>
        <v>0</v>
      </c>
      <c r="EJ262" s="458">
        <f t="shared" si="135"/>
        <v>0</v>
      </c>
      <c r="EK262" s="470">
        <f t="shared" si="136"/>
        <v>0</v>
      </c>
      <c r="EL262" s="470">
        <f t="shared" si="137"/>
        <v>0</v>
      </c>
      <c r="EM262" s="449">
        <f t="shared" si="138"/>
        <v>0</v>
      </c>
      <c r="EN262" s="460">
        <f t="shared" si="139"/>
        <v>0</v>
      </c>
      <c r="EO262" s="469">
        <f t="shared" si="140"/>
        <v>0</v>
      </c>
      <c r="EP262" s="471"/>
      <c r="EQ262" s="450"/>
      <c r="ER262" s="471"/>
      <c r="ES262" s="450"/>
      <c r="ET262" s="471"/>
      <c r="EU262" s="450"/>
      <c r="EV262" s="471"/>
      <c r="EW262" s="450"/>
      <c r="EX262" s="471"/>
      <c r="EY262" s="450"/>
      <c r="EZ262" s="471"/>
      <c r="FA262" s="450"/>
      <c r="FB262" s="471"/>
      <c r="FC262" s="450"/>
      <c r="FD262" s="471"/>
      <c r="FE262" s="450"/>
      <c r="FF262" s="471"/>
      <c r="FG262" s="450"/>
      <c r="FH262" s="472"/>
      <c r="FI262" s="450"/>
      <c r="FJ262" s="468">
        <f t="shared" si="129"/>
        <v>0</v>
      </c>
      <c r="FK262" s="469">
        <f t="shared" si="130"/>
        <v>0</v>
      </c>
      <c r="FL262" s="472"/>
      <c r="FM262" s="450"/>
      <c r="FN262" s="460">
        <f t="shared" si="131"/>
        <v>819</v>
      </c>
      <c r="FO262" s="469">
        <f t="shared" si="132"/>
        <v>793</v>
      </c>
    </row>
    <row r="263" spans="1:171" x14ac:dyDescent="0.2">
      <c r="A263" s="729" t="s">
        <v>1094</v>
      </c>
      <c r="B263" s="617" t="s">
        <v>1113</v>
      </c>
      <c r="C263" s="693"/>
      <c r="D263" s="619">
        <v>161864</v>
      </c>
      <c r="E263" s="607">
        <v>9</v>
      </c>
      <c r="F263" s="532">
        <v>62</v>
      </c>
      <c r="G263" s="450">
        <v>61</v>
      </c>
      <c r="H263" s="457"/>
      <c r="I263" s="450"/>
      <c r="J263" s="457">
        <v>470</v>
      </c>
      <c r="K263" s="450">
        <v>540</v>
      </c>
      <c r="L263" s="458">
        <f t="shared" si="122"/>
        <v>0</v>
      </c>
      <c r="M263" s="449">
        <f t="shared" si="123"/>
        <v>0</v>
      </c>
      <c r="N263" s="459"/>
      <c r="O263" s="459"/>
      <c r="P263" s="459"/>
      <c r="Q263" s="459"/>
      <c r="R263" s="460">
        <f t="shared" si="124"/>
        <v>0</v>
      </c>
      <c r="S263" s="466"/>
      <c r="T263" s="466"/>
      <c r="U263" s="461"/>
      <c r="V263" s="461"/>
      <c r="W263" s="462">
        <f t="shared" si="95"/>
        <v>0</v>
      </c>
      <c r="X263" s="463"/>
      <c r="Y263" s="457"/>
      <c r="Z263" s="464"/>
      <c r="AA263" s="464"/>
      <c r="AB263" s="465"/>
      <c r="AC263" s="457"/>
      <c r="AD263" s="464"/>
      <c r="AE263" s="466"/>
      <c r="AF263" s="465"/>
      <c r="AG263" s="457"/>
      <c r="AH263" s="464"/>
      <c r="AI263" s="466"/>
      <c r="AJ263" s="465"/>
      <c r="AK263" s="457"/>
      <c r="AL263" s="464"/>
      <c r="AM263" s="466"/>
      <c r="AN263" s="465"/>
      <c r="AO263" s="457"/>
      <c r="AP263" s="464"/>
      <c r="AQ263" s="464"/>
      <c r="AR263" s="460">
        <f t="shared" si="118"/>
        <v>0</v>
      </c>
      <c r="AS263" s="467">
        <f t="shared" si="119"/>
        <v>0</v>
      </c>
      <c r="AT263" s="447">
        <f t="shared" si="120"/>
        <v>0</v>
      </c>
      <c r="AU263" s="448">
        <f t="shared" si="121"/>
        <v>0</v>
      </c>
      <c r="AV263" s="457"/>
      <c r="AW263" s="450"/>
      <c r="AX263" s="463"/>
      <c r="AY263" s="457"/>
      <c r="AZ263" s="464"/>
      <c r="BA263" s="464"/>
      <c r="BB263" s="465"/>
      <c r="BC263" s="457"/>
      <c r="BD263" s="464"/>
      <c r="BE263" s="466"/>
      <c r="BF263" s="465"/>
      <c r="BG263" s="457"/>
      <c r="BH263" s="464"/>
      <c r="BI263" s="466"/>
      <c r="BJ263" s="465"/>
      <c r="BK263" s="457"/>
      <c r="BL263" s="464"/>
      <c r="BM263" s="466"/>
      <c r="BN263" s="465"/>
      <c r="BO263" s="457"/>
      <c r="BP263" s="464"/>
      <c r="BQ263" s="466"/>
      <c r="BR263" s="465"/>
      <c r="BS263" s="457"/>
      <c r="BT263" s="464"/>
      <c r="BU263" s="466"/>
      <c r="BV263" s="465"/>
      <c r="BW263" s="457"/>
      <c r="BX263" s="464"/>
      <c r="BY263" s="466"/>
      <c r="BZ263" s="465"/>
      <c r="CA263" s="457"/>
      <c r="CB263" s="464"/>
      <c r="CC263" s="466"/>
      <c r="CD263" s="465"/>
      <c r="CE263" s="457"/>
      <c r="CF263" s="464"/>
      <c r="CG263" s="466"/>
      <c r="CH263" s="465"/>
      <c r="CI263" s="457"/>
      <c r="CJ263" s="723"/>
      <c r="CK263" s="466"/>
      <c r="CL263" s="459"/>
      <c r="CM263" s="450"/>
      <c r="CN263" s="468">
        <f t="shared" si="125"/>
        <v>0</v>
      </c>
      <c r="CO263" s="468">
        <f t="shared" si="126"/>
        <v>0</v>
      </c>
      <c r="CP263" s="469">
        <f t="shared" si="127"/>
        <v>0</v>
      </c>
      <c r="CQ263" s="469">
        <f t="shared" si="128"/>
        <v>0</v>
      </c>
      <c r="CR263" s="463"/>
      <c r="CS263" s="457"/>
      <c r="CT263" s="464"/>
      <c r="CU263" s="464"/>
      <c r="CV263" s="465"/>
      <c r="CW263" s="457"/>
      <c r="CX263" s="464"/>
      <c r="CY263" s="466"/>
      <c r="CZ263" s="465"/>
      <c r="DA263" s="457"/>
      <c r="DB263" s="464"/>
      <c r="DC263" s="466"/>
      <c r="DD263" s="465"/>
      <c r="DE263" s="457"/>
      <c r="DF263" s="464"/>
      <c r="DG263" s="466"/>
      <c r="DH263" s="465"/>
      <c r="DI263" s="457"/>
      <c r="DJ263" s="464"/>
      <c r="DK263" s="466"/>
      <c r="DL263" s="465"/>
      <c r="DM263" s="457"/>
      <c r="DN263" s="464"/>
      <c r="DO263" s="466"/>
      <c r="DP263" s="465"/>
      <c r="DQ263" s="457"/>
      <c r="DR263" s="464"/>
      <c r="DS263" s="466"/>
      <c r="DT263" s="465"/>
      <c r="DU263" s="457"/>
      <c r="DV263" s="464"/>
      <c r="DW263" s="466"/>
      <c r="DX263" s="465"/>
      <c r="DY263" s="457"/>
      <c r="DZ263" s="464"/>
      <c r="EA263" s="466"/>
      <c r="EB263" s="465"/>
      <c r="EC263" s="457"/>
      <c r="ED263" s="464"/>
      <c r="EE263" s="466"/>
      <c r="EF263" s="459"/>
      <c r="EG263" s="450"/>
      <c r="EH263" s="460">
        <f t="shared" si="133"/>
        <v>0</v>
      </c>
      <c r="EI263" s="460">
        <f t="shared" si="134"/>
        <v>0</v>
      </c>
      <c r="EJ263" s="458">
        <f t="shared" si="135"/>
        <v>0</v>
      </c>
      <c r="EK263" s="470">
        <f t="shared" si="136"/>
        <v>0</v>
      </c>
      <c r="EL263" s="470">
        <f t="shared" si="137"/>
        <v>0</v>
      </c>
      <c r="EM263" s="449">
        <f t="shared" si="138"/>
        <v>0</v>
      </c>
      <c r="EN263" s="460">
        <f t="shared" si="139"/>
        <v>0</v>
      </c>
      <c r="EO263" s="469">
        <f t="shared" si="140"/>
        <v>0</v>
      </c>
      <c r="EP263" s="471"/>
      <c r="EQ263" s="450"/>
      <c r="ER263" s="471"/>
      <c r="ES263" s="450"/>
      <c r="ET263" s="471"/>
      <c r="EU263" s="450"/>
      <c r="EV263" s="471"/>
      <c r="EW263" s="450"/>
      <c r="EX263" s="471"/>
      <c r="EY263" s="450"/>
      <c r="EZ263" s="471"/>
      <c r="FA263" s="450"/>
      <c r="FB263" s="471"/>
      <c r="FC263" s="450"/>
      <c r="FD263" s="471"/>
      <c r="FE263" s="450"/>
      <c r="FF263" s="471"/>
      <c r="FG263" s="450"/>
      <c r="FH263" s="472"/>
      <c r="FI263" s="450"/>
      <c r="FJ263" s="468">
        <f t="shared" si="129"/>
        <v>0</v>
      </c>
      <c r="FK263" s="469">
        <f t="shared" si="130"/>
        <v>0</v>
      </c>
      <c r="FL263" s="472"/>
      <c r="FM263" s="450"/>
      <c r="FN263" s="460">
        <f t="shared" si="131"/>
        <v>532</v>
      </c>
      <c r="FO263" s="469">
        <f t="shared" si="132"/>
        <v>601</v>
      </c>
    </row>
    <row r="264" spans="1:171" x14ac:dyDescent="0.2">
      <c r="A264" s="729" t="s">
        <v>1094</v>
      </c>
      <c r="B264" s="698" t="s">
        <v>1114</v>
      </c>
      <c r="C264" s="699"/>
      <c r="D264" s="606">
        <v>405872</v>
      </c>
      <c r="E264" s="607">
        <v>9</v>
      </c>
      <c r="F264" s="532">
        <v>33</v>
      </c>
      <c r="G264" s="450">
        <v>22</v>
      </c>
      <c r="H264" s="457"/>
      <c r="I264" s="450"/>
      <c r="J264" s="457">
        <v>534</v>
      </c>
      <c r="K264" s="450">
        <v>557</v>
      </c>
      <c r="L264" s="458">
        <f t="shared" si="122"/>
        <v>0</v>
      </c>
      <c r="M264" s="449">
        <f t="shared" si="123"/>
        <v>0</v>
      </c>
      <c r="N264" s="459"/>
      <c r="O264" s="459"/>
      <c r="P264" s="459"/>
      <c r="Q264" s="459"/>
      <c r="R264" s="460">
        <f t="shared" si="124"/>
        <v>0</v>
      </c>
      <c r="S264" s="466"/>
      <c r="T264" s="466"/>
      <c r="U264" s="461"/>
      <c r="V264" s="461"/>
      <c r="W264" s="462">
        <f t="shared" si="95"/>
        <v>0</v>
      </c>
      <c r="X264" s="463"/>
      <c r="Y264" s="457"/>
      <c r="Z264" s="464"/>
      <c r="AA264" s="464"/>
      <c r="AB264" s="465"/>
      <c r="AC264" s="457"/>
      <c r="AD264" s="464"/>
      <c r="AE264" s="466"/>
      <c r="AF264" s="465"/>
      <c r="AG264" s="457"/>
      <c r="AH264" s="464"/>
      <c r="AI264" s="466"/>
      <c r="AJ264" s="465"/>
      <c r="AK264" s="457"/>
      <c r="AL264" s="464"/>
      <c r="AM264" s="466"/>
      <c r="AN264" s="465"/>
      <c r="AO264" s="457"/>
      <c r="AP264" s="464"/>
      <c r="AQ264" s="464"/>
      <c r="AR264" s="460">
        <f t="shared" si="118"/>
        <v>0</v>
      </c>
      <c r="AS264" s="467">
        <f t="shared" si="119"/>
        <v>0</v>
      </c>
      <c r="AT264" s="447">
        <f t="shared" si="120"/>
        <v>0</v>
      </c>
      <c r="AU264" s="448">
        <f t="shared" si="121"/>
        <v>0</v>
      </c>
      <c r="AV264" s="457"/>
      <c r="AW264" s="450"/>
      <c r="AX264" s="463"/>
      <c r="AY264" s="457"/>
      <c r="AZ264" s="464"/>
      <c r="BA264" s="464"/>
      <c r="BB264" s="465"/>
      <c r="BC264" s="457"/>
      <c r="BD264" s="464"/>
      <c r="BE264" s="466"/>
      <c r="BF264" s="465"/>
      <c r="BG264" s="457"/>
      <c r="BH264" s="464"/>
      <c r="BI264" s="466"/>
      <c r="BJ264" s="465"/>
      <c r="BK264" s="457"/>
      <c r="BL264" s="464"/>
      <c r="BM264" s="466"/>
      <c r="BN264" s="465"/>
      <c r="BO264" s="457"/>
      <c r="BP264" s="464"/>
      <c r="BQ264" s="466"/>
      <c r="BR264" s="465"/>
      <c r="BS264" s="457"/>
      <c r="BT264" s="464"/>
      <c r="BU264" s="466"/>
      <c r="BV264" s="465"/>
      <c r="BW264" s="457"/>
      <c r="BX264" s="464"/>
      <c r="BY264" s="466"/>
      <c r="BZ264" s="465"/>
      <c r="CA264" s="457"/>
      <c r="CB264" s="464"/>
      <c r="CC264" s="466"/>
      <c r="CD264" s="465"/>
      <c r="CE264" s="457"/>
      <c r="CF264" s="464"/>
      <c r="CG264" s="466"/>
      <c r="CH264" s="465"/>
      <c r="CI264" s="457"/>
      <c r="CJ264" s="723"/>
      <c r="CK264" s="466"/>
      <c r="CL264" s="459"/>
      <c r="CM264" s="450"/>
      <c r="CN264" s="468">
        <f t="shared" si="125"/>
        <v>0</v>
      </c>
      <c r="CO264" s="468">
        <f t="shared" si="126"/>
        <v>0</v>
      </c>
      <c r="CP264" s="469">
        <f t="shared" si="127"/>
        <v>0</v>
      </c>
      <c r="CQ264" s="469">
        <f t="shared" si="128"/>
        <v>0</v>
      </c>
      <c r="CR264" s="463"/>
      <c r="CS264" s="457"/>
      <c r="CT264" s="464"/>
      <c r="CU264" s="464"/>
      <c r="CV264" s="465"/>
      <c r="CW264" s="457"/>
      <c r="CX264" s="464"/>
      <c r="CY264" s="466"/>
      <c r="CZ264" s="465"/>
      <c r="DA264" s="457"/>
      <c r="DB264" s="464"/>
      <c r="DC264" s="466"/>
      <c r="DD264" s="465"/>
      <c r="DE264" s="457"/>
      <c r="DF264" s="464"/>
      <c r="DG264" s="466"/>
      <c r="DH264" s="465"/>
      <c r="DI264" s="457"/>
      <c r="DJ264" s="464"/>
      <c r="DK264" s="466"/>
      <c r="DL264" s="465"/>
      <c r="DM264" s="457"/>
      <c r="DN264" s="464"/>
      <c r="DO264" s="466"/>
      <c r="DP264" s="465"/>
      <c r="DQ264" s="457"/>
      <c r="DR264" s="464"/>
      <c r="DS264" s="466"/>
      <c r="DT264" s="465"/>
      <c r="DU264" s="457"/>
      <c r="DV264" s="464"/>
      <c r="DW264" s="466"/>
      <c r="DX264" s="465"/>
      <c r="DY264" s="457"/>
      <c r="DZ264" s="464"/>
      <c r="EA264" s="466"/>
      <c r="EB264" s="465"/>
      <c r="EC264" s="457"/>
      <c r="ED264" s="464"/>
      <c r="EE264" s="466"/>
      <c r="EF264" s="459"/>
      <c r="EG264" s="450"/>
      <c r="EH264" s="460">
        <f t="shared" si="133"/>
        <v>0</v>
      </c>
      <c r="EI264" s="460">
        <f t="shared" si="134"/>
        <v>0</v>
      </c>
      <c r="EJ264" s="458">
        <f t="shared" si="135"/>
        <v>0</v>
      </c>
      <c r="EK264" s="470">
        <f t="shared" si="136"/>
        <v>0</v>
      </c>
      <c r="EL264" s="470">
        <f t="shared" si="137"/>
        <v>0</v>
      </c>
      <c r="EM264" s="449">
        <f t="shared" si="138"/>
        <v>0</v>
      </c>
      <c r="EN264" s="460">
        <f t="shared" si="139"/>
        <v>0</v>
      </c>
      <c r="EO264" s="469">
        <f t="shared" si="140"/>
        <v>0</v>
      </c>
      <c r="EP264" s="471"/>
      <c r="EQ264" s="450"/>
      <c r="ER264" s="471"/>
      <c r="ES264" s="450"/>
      <c r="ET264" s="471"/>
      <c r="EU264" s="450"/>
      <c r="EV264" s="471"/>
      <c r="EW264" s="450"/>
      <c r="EX264" s="471"/>
      <c r="EY264" s="450"/>
      <c r="EZ264" s="471"/>
      <c r="FA264" s="450"/>
      <c r="FB264" s="471"/>
      <c r="FC264" s="450"/>
      <c r="FD264" s="471"/>
      <c r="FE264" s="450"/>
      <c r="FF264" s="471"/>
      <c r="FG264" s="450"/>
      <c r="FH264" s="472"/>
      <c r="FI264" s="450"/>
      <c r="FJ264" s="468">
        <f t="shared" si="129"/>
        <v>0</v>
      </c>
      <c r="FK264" s="469">
        <f t="shared" si="130"/>
        <v>0</v>
      </c>
      <c r="FL264" s="472"/>
      <c r="FM264" s="450"/>
      <c r="FN264" s="460">
        <f t="shared" si="131"/>
        <v>567</v>
      </c>
      <c r="FO264" s="469">
        <f t="shared" si="132"/>
        <v>579</v>
      </c>
    </row>
    <row r="265" spans="1:171" x14ac:dyDescent="0.2">
      <c r="A265" s="729" t="s">
        <v>1094</v>
      </c>
      <c r="B265" s="617" t="s">
        <v>1115</v>
      </c>
      <c r="C265" s="693"/>
      <c r="D265" s="619">
        <v>162557</v>
      </c>
      <c r="E265" s="607">
        <v>9</v>
      </c>
      <c r="F265" s="532">
        <v>140</v>
      </c>
      <c r="G265" s="450">
        <v>163</v>
      </c>
      <c r="H265" s="457"/>
      <c r="I265" s="450"/>
      <c r="J265" s="457">
        <v>778</v>
      </c>
      <c r="K265" s="450">
        <v>846</v>
      </c>
      <c r="L265" s="458">
        <f t="shared" si="122"/>
        <v>0</v>
      </c>
      <c r="M265" s="449">
        <f t="shared" si="123"/>
        <v>0</v>
      </c>
      <c r="N265" s="459"/>
      <c r="O265" s="459"/>
      <c r="P265" s="459"/>
      <c r="Q265" s="459"/>
      <c r="R265" s="460">
        <f t="shared" si="124"/>
        <v>0</v>
      </c>
      <c r="S265" s="466"/>
      <c r="T265" s="466"/>
      <c r="U265" s="461"/>
      <c r="V265" s="461"/>
      <c r="W265" s="462">
        <f t="shared" si="95"/>
        <v>0</v>
      </c>
      <c r="X265" s="463"/>
      <c r="Y265" s="457"/>
      <c r="Z265" s="464"/>
      <c r="AA265" s="464"/>
      <c r="AB265" s="465"/>
      <c r="AC265" s="457"/>
      <c r="AD265" s="464"/>
      <c r="AE265" s="466"/>
      <c r="AF265" s="465"/>
      <c r="AG265" s="457"/>
      <c r="AH265" s="464"/>
      <c r="AI265" s="466"/>
      <c r="AJ265" s="465"/>
      <c r="AK265" s="457"/>
      <c r="AL265" s="464"/>
      <c r="AM265" s="466"/>
      <c r="AN265" s="465"/>
      <c r="AO265" s="457"/>
      <c r="AP265" s="464"/>
      <c r="AQ265" s="464"/>
      <c r="AR265" s="460">
        <f t="shared" si="118"/>
        <v>0</v>
      </c>
      <c r="AS265" s="467">
        <f t="shared" si="119"/>
        <v>0</v>
      </c>
      <c r="AT265" s="447">
        <f t="shared" si="120"/>
        <v>0</v>
      </c>
      <c r="AU265" s="448">
        <f t="shared" si="121"/>
        <v>0</v>
      </c>
      <c r="AV265" s="457"/>
      <c r="AW265" s="450"/>
      <c r="AX265" s="463"/>
      <c r="AY265" s="457"/>
      <c r="AZ265" s="464"/>
      <c r="BA265" s="464"/>
      <c r="BB265" s="465"/>
      <c r="BC265" s="457"/>
      <c r="BD265" s="464"/>
      <c r="BE265" s="466"/>
      <c r="BF265" s="465"/>
      <c r="BG265" s="457"/>
      <c r="BH265" s="464"/>
      <c r="BI265" s="466"/>
      <c r="BJ265" s="465"/>
      <c r="BK265" s="457"/>
      <c r="BL265" s="464"/>
      <c r="BM265" s="466"/>
      <c r="BN265" s="465"/>
      <c r="BO265" s="457"/>
      <c r="BP265" s="464"/>
      <c r="BQ265" s="466"/>
      <c r="BR265" s="465"/>
      <c r="BS265" s="457"/>
      <c r="BT265" s="464"/>
      <c r="BU265" s="466"/>
      <c r="BV265" s="465"/>
      <c r="BW265" s="457"/>
      <c r="BX265" s="464"/>
      <c r="BY265" s="466"/>
      <c r="BZ265" s="465"/>
      <c r="CA265" s="457"/>
      <c r="CB265" s="464"/>
      <c r="CC265" s="466"/>
      <c r="CD265" s="465"/>
      <c r="CE265" s="457"/>
      <c r="CF265" s="464"/>
      <c r="CG265" s="466"/>
      <c r="CH265" s="465"/>
      <c r="CI265" s="457"/>
      <c r="CJ265" s="723"/>
      <c r="CK265" s="466"/>
      <c r="CL265" s="459"/>
      <c r="CM265" s="450"/>
      <c r="CN265" s="468">
        <f t="shared" si="125"/>
        <v>0</v>
      </c>
      <c r="CO265" s="468">
        <f t="shared" si="126"/>
        <v>0</v>
      </c>
      <c r="CP265" s="469">
        <f t="shared" si="127"/>
        <v>0</v>
      </c>
      <c r="CQ265" s="469">
        <f t="shared" si="128"/>
        <v>0</v>
      </c>
      <c r="CR265" s="463"/>
      <c r="CS265" s="457"/>
      <c r="CT265" s="464"/>
      <c r="CU265" s="464"/>
      <c r="CV265" s="465"/>
      <c r="CW265" s="457"/>
      <c r="CX265" s="464"/>
      <c r="CY265" s="466"/>
      <c r="CZ265" s="465"/>
      <c r="DA265" s="457"/>
      <c r="DB265" s="464"/>
      <c r="DC265" s="466"/>
      <c r="DD265" s="465"/>
      <c r="DE265" s="457"/>
      <c r="DF265" s="464"/>
      <c r="DG265" s="466"/>
      <c r="DH265" s="465"/>
      <c r="DI265" s="457"/>
      <c r="DJ265" s="464"/>
      <c r="DK265" s="466"/>
      <c r="DL265" s="465"/>
      <c r="DM265" s="457"/>
      <c r="DN265" s="464"/>
      <c r="DO265" s="466"/>
      <c r="DP265" s="465"/>
      <c r="DQ265" s="457"/>
      <c r="DR265" s="464"/>
      <c r="DS265" s="466"/>
      <c r="DT265" s="465"/>
      <c r="DU265" s="457"/>
      <c r="DV265" s="464"/>
      <c r="DW265" s="466"/>
      <c r="DX265" s="465"/>
      <c r="DY265" s="457"/>
      <c r="DZ265" s="464"/>
      <c r="EA265" s="466"/>
      <c r="EB265" s="465"/>
      <c r="EC265" s="457"/>
      <c r="ED265" s="464"/>
      <c r="EE265" s="466"/>
      <c r="EF265" s="459"/>
      <c r="EG265" s="450"/>
      <c r="EH265" s="460">
        <f t="shared" si="133"/>
        <v>0</v>
      </c>
      <c r="EI265" s="460">
        <f t="shared" si="134"/>
        <v>0</v>
      </c>
      <c r="EJ265" s="458">
        <f t="shared" si="135"/>
        <v>0</v>
      </c>
      <c r="EK265" s="470">
        <f t="shared" si="136"/>
        <v>0</v>
      </c>
      <c r="EL265" s="470">
        <f t="shared" si="137"/>
        <v>0</v>
      </c>
      <c r="EM265" s="449">
        <f t="shared" si="138"/>
        <v>0</v>
      </c>
      <c r="EN265" s="460">
        <f t="shared" si="139"/>
        <v>0</v>
      </c>
      <c r="EO265" s="469">
        <f t="shared" si="140"/>
        <v>0</v>
      </c>
      <c r="EP265" s="471"/>
      <c r="EQ265" s="450"/>
      <c r="ER265" s="471"/>
      <c r="ES265" s="450"/>
      <c r="ET265" s="471"/>
      <c r="EU265" s="450"/>
      <c r="EV265" s="471"/>
      <c r="EW265" s="450"/>
      <c r="EX265" s="471"/>
      <c r="EY265" s="450"/>
      <c r="EZ265" s="471"/>
      <c r="FA265" s="450"/>
      <c r="FB265" s="471"/>
      <c r="FC265" s="450"/>
      <c r="FD265" s="471"/>
      <c r="FE265" s="450"/>
      <c r="FF265" s="471"/>
      <c r="FG265" s="450"/>
      <c r="FH265" s="472"/>
      <c r="FI265" s="450"/>
      <c r="FJ265" s="468">
        <f t="shared" si="129"/>
        <v>0</v>
      </c>
      <c r="FK265" s="469">
        <f t="shared" si="130"/>
        <v>0</v>
      </c>
      <c r="FL265" s="472"/>
      <c r="FM265" s="450"/>
      <c r="FN265" s="460">
        <f t="shared" si="131"/>
        <v>918</v>
      </c>
      <c r="FO265" s="469">
        <f t="shared" si="132"/>
        <v>1009</v>
      </c>
    </row>
    <row r="266" spans="1:171" x14ac:dyDescent="0.2">
      <c r="A266" s="695" t="s">
        <v>1094</v>
      </c>
      <c r="B266" s="617" t="s">
        <v>1116</v>
      </c>
      <c r="C266" s="693"/>
      <c r="D266" s="696">
        <v>162690</v>
      </c>
      <c r="E266" s="607">
        <v>9</v>
      </c>
      <c r="F266" s="532">
        <v>368</v>
      </c>
      <c r="G266" s="450">
        <v>356</v>
      </c>
      <c r="H266" s="457"/>
      <c r="I266" s="450"/>
      <c r="J266" s="457">
        <v>490</v>
      </c>
      <c r="K266" s="450">
        <v>551</v>
      </c>
      <c r="L266" s="458">
        <f t="shared" si="122"/>
        <v>0</v>
      </c>
      <c r="M266" s="449">
        <f t="shared" si="123"/>
        <v>0</v>
      </c>
      <c r="N266" s="459"/>
      <c r="O266" s="459"/>
      <c r="P266" s="459"/>
      <c r="Q266" s="459"/>
      <c r="R266" s="460">
        <f t="shared" ref="R266:R285" si="141">SUM(O266:Q266)</f>
        <v>0</v>
      </c>
      <c r="S266" s="466"/>
      <c r="T266" s="466"/>
      <c r="U266" s="461"/>
      <c r="V266" s="461"/>
      <c r="W266" s="462">
        <f t="shared" ref="W266:W329" si="142">SUM(T266:V266)</f>
        <v>0</v>
      </c>
      <c r="X266" s="463"/>
      <c r="Y266" s="457"/>
      <c r="Z266" s="464"/>
      <c r="AA266" s="464"/>
      <c r="AB266" s="465"/>
      <c r="AC266" s="457"/>
      <c r="AD266" s="464"/>
      <c r="AE266" s="466"/>
      <c r="AF266" s="465"/>
      <c r="AG266" s="457"/>
      <c r="AH266" s="464"/>
      <c r="AI266" s="466"/>
      <c r="AJ266" s="465"/>
      <c r="AK266" s="457"/>
      <c r="AL266" s="464"/>
      <c r="AM266" s="466"/>
      <c r="AN266" s="465"/>
      <c r="AO266" s="457"/>
      <c r="AP266" s="464"/>
      <c r="AQ266" s="464"/>
      <c r="AR266" s="460">
        <f t="shared" si="118"/>
        <v>0</v>
      </c>
      <c r="AS266" s="467">
        <f t="shared" si="119"/>
        <v>0</v>
      </c>
      <c r="AT266" s="447">
        <f t="shared" si="120"/>
        <v>0</v>
      </c>
      <c r="AU266" s="448">
        <f t="shared" si="121"/>
        <v>0</v>
      </c>
      <c r="AV266" s="457"/>
      <c r="AW266" s="450"/>
      <c r="AX266" s="463"/>
      <c r="AY266" s="457"/>
      <c r="AZ266" s="464"/>
      <c r="BA266" s="464"/>
      <c r="BB266" s="465"/>
      <c r="BC266" s="457"/>
      <c r="BD266" s="464"/>
      <c r="BE266" s="466"/>
      <c r="BF266" s="465"/>
      <c r="BG266" s="457"/>
      <c r="BH266" s="464"/>
      <c r="BI266" s="466"/>
      <c r="BJ266" s="465"/>
      <c r="BK266" s="457"/>
      <c r="BL266" s="464"/>
      <c r="BM266" s="466"/>
      <c r="BN266" s="465"/>
      <c r="BO266" s="457"/>
      <c r="BP266" s="464"/>
      <c r="BQ266" s="466"/>
      <c r="BR266" s="465"/>
      <c r="BS266" s="457"/>
      <c r="BT266" s="464"/>
      <c r="BU266" s="466"/>
      <c r="BV266" s="465"/>
      <c r="BW266" s="457"/>
      <c r="BX266" s="464"/>
      <c r="BY266" s="466"/>
      <c r="BZ266" s="465"/>
      <c r="CA266" s="457"/>
      <c r="CB266" s="464"/>
      <c r="CC266" s="466"/>
      <c r="CD266" s="465"/>
      <c r="CE266" s="457"/>
      <c r="CF266" s="464"/>
      <c r="CG266" s="466"/>
      <c r="CH266" s="465"/>
      <c r="CI266" s="457"/>
      <c r="CJ266" s="723"/>
      <c r="CK266" s="466"/>
      <c r="CL266" s="459"/>
      <c r="CM266" s="450"/>
      <c r="CN266" s="468">
        <f t="shared" si="125"/>
        <v>0</v>
      </c>
      <c r="CO266" s="468">
        <f t="shared" si="126"/>
        <v>0</v>
      </c>
      <c r="CP266" s="469">
        <f t="shared" si="127"/>
        <v>0</v>
      </c>
      <c r="CQ266" s="469">
        <f t="shared" si="128"/>
        <v>0</v>
      </c>
      <c r="CR266" s="463"/>
      <c r="CS266" s="457"/>
      <c r="CT266" s="464"/>
      <c r="CU266" s="464"/>
      <c r="CV266" s="465"/>
      <c r="CW266" s="457"/>
      <c r="CX266" s="464"/>
      <c r="CY266" s="466"/>
      <c r="CZ266" s="465"/>
      <c r="DA266" s="457"/>
      <c r="DB266" s="464"/>
      <c r="DC266" s="466"/>
      <c r="DD266" s="465"/>
      <c r="DE266" s="457"/>
      <c r="DF266" s="464"/>
      <c r="DG266" s="466"/>
      <c r="DH266" s="465"/>
      <c r="DI266" s="457"/>
      <c r="DJ266" s="464"/>
      <c r="DK266" s="466"/>
      <c r="DL266" s="465"/>
      <c r="DM266" s="457"/>
      <c r="DN266" s="464"/>
      <c r="DO266" s="466"/>
      <c r="DP266" s="465"/>
      <c r="DQ266" s="457"/>
      <c r="DR266" s="464"/>
      <c r="DS266" s="466"/>
      <c r="DT266" s="465"/>
      <c r="DU266" s="457"/>
      <c r="DV266" s="464"/>
      <c r="DW266" s="466"/>
      <c r="DX266" s="465"/>
      <c r="DY266" s="457"/>
      <c r="DZ266" s="464"/>
      <c r="EA266" s="466"/>
      <c r="EB266" s="465"/>
      <c r="EC266" s="457"/>
      <c r="ED266" s="464"/>
      <c r="EE266" s="466"/>
      <c r="EF266" s="459"/>
      <c r="EG266" s="450"/>
      <c r="EH266" s="460">
        <f t="shared" si="133"/>
        <v>0</v>
      </c>
      <c r="EI266" s="460">
        <f t="shared" si="134"/>
        <v>0</v>
      </c>
      <c r="EJ266" s="458">
        <f t="shared" si="135"/>
        <v>0</v>
      </c>
      <c r="EK266" s="470">
        <f t="shared" si="136"/>
        <v>0</v>
      </c>
      <c r="EL266" s="470">
        <f t="shared" si="137"/>
        <v>0</v>
      </c>
      <c r="EM266" s="449">
        <f t="shared" si="138"/>
        <v>0</v>
      </c>
      <c r="EN266" s="460">
        <f t="shared" si="139"/>
        <v>0</v>
      </c>
      <c r="EO266" s="469">
        <f t="shared" si="140"/>
        <v>0</v>
      </c>
      <c r="EP266" s="471"/>
      <c r="EQ266" s="450"/>
      <c r="ER266" s="471"/>
      <c r="ES266" s="450"/>
      <c r="ET266" s="471"/>
      <c r="EU266" s="450"/>
      <c r="EV266" s="471"/>
      <c r="EW266" s="450"/>
      <c r="EX266" s="471"/>
      <c r="EY266" s="450"/>
      <c r="EZ266" s="471"/>
      <c r="FA266" s="450"/>
      <c r="FB266" s="471"/>
      <c r="FC266" s="450"/>
      <c r="FD266" s="471"/>
      <c r="FE266" s="450"/>
      <c r="FF266" s="471"/>
      <c r="FG266" s="450"/>
      <c r="FH266" s="472"/>
      <c r="FI266" s="450"/>
      <c r="FJ266" s="468">
        <f t="shared" si="129"/>
        <v>0</v>
      </c>
      <c r="FK266" s="469">
        <f t="shared" si="130"/>
        <v>0</v>
      </c>
      <c r="FL266" s="472"/>
      <c r="FM266" s="450"/>
      <c r="FN266" s="460">
        <f t="shared" si="131"/>
        <v>858</v>
      </c>
      <c r="FO266" s="469">
        <f t="shared" si="132"/>
        <v>907</v>
      </c>
    </row>
    <row r="267" spans="1:171" x14ac:dyDescent="0.2">
      <c r="A267" s="729" t="s">
        <v>1094</v>
      </c>
      <c r="B267" s="617" t="s">
        <v>1117</v>
      </c>
      <c r="C267" s="693"/>
      <c r="D267" s="619">
        <v>162706</v>
      </c>
      <c r="E267" s="607">
        <v>9</v>
      </c>
      <c r="F267" s="532">
        <v>65</v>
      </c>
      <c r="G267" s="450">
        <v>51</v>
      </c>
      <c r="H267" s="457"/>
      <c r="I267" s="450"/>
      <c r="J267" s="457">
        <v>772</v>
      </c>
      <c r="K267" s="450">
        <v>834</v>
      </c>
      <c r="L267" s="458">
        <f t="shared" ref="L267:L286" si="143">IF(N267&gt;0,J267/N267, )</f>
        <v>0</v>
      </c>
      <c r="M267" s="449">
        <f t="shared" ref="M267:M286" si="144">IF(S267&gt;0,K267/S267, )</f>
        <v>0</v>
      </c>
      <c r="N267" s="459"/>
      <c r="O267" s="459"/>
      <c r="P267" s="459"/>
      <c r="Q267" s="459"/>
      <c r="R267" s="460">
        <f t="shared" si="141"/>
        <v>0</v>
      </c>
      <c r="S267" s="466"/>
      <c r="T267" s="466"/>
      <c r="U267" s="461"/>
      <c r="V267" s="461"/>
      <c r="W267" s="462">
        <f t="shared" si="142"/>
        <v>0</v>
      </c>
      <c r="X267" s="463"/>
      <c r="Y267" s="457"/>
      <c r="Z267" s="464"/>
      <c r="AA267" s="464"/>
      <c r="AB267" s="465"/>
      <c r="AC267" s="457"/>
      <c r="AD267" s="464"/>
      <c r="AE267" s="466"/>
      <c r="AF267" s="465"/>
      <c r="AG267" s="457"/>
      <c r="AH267" s="464"/>
      <c r="AI267" s="466"/>
      <c r="AJ267" s="465"/>
      <c r="AK267" s="457"/>
      <c r="AL267" s="464"/>
      <c r="AM267" s="466"/>
      <c r="AN267" s="465"/>
      <c r="AO267" s="457"/>
      <c r="AP267" s="464"/>
      <c r="AQ267" s="464"/>
      <c r="AR267" s="460">
        <f t="shared" ref="AR267:AR287" si="145">COUNTA(X267,AB267,AF267,AJ267,AN267)</f>
        <v>0</v>
      </c>
      <c r="AS267" s="467">
        <f t="shared" ref="AS267:AS287" si="146">IF(FN267&gt;0,N267/FN267,)</f>
        <v>0</v>
      </c>
      <c r="AT267" s="447">
        <f t="shared" ref="AT267:AT287" si="147">COUNTA(Z267,AD267,AH267,AL267,AP267)</f>
        <v>0</v>
      </c>
      <c r="AU267" s="448">
        <f t="shared" ref="AU267:AU287" si="148">IF(FO267&gt;0,S267/FO267,)</f>
        <v>0</v>
      </c>
      <c r="AV267" s="457"/>
      <c r="AW267" s="450"/>
      <c r="AX267" s="463"/>
      <c r="AY267" s="457"/>
      <c r="AZ267" s="464"/>
      <c r="BA267" s="464"/>
      <c r="BB267" s="465"/>
      <c r="BC267" s="457"/>
      <c r="BD267" s="464"/>
      <c r="BE267" s="466"/>
      <c r="BF267" s="465"/>
      <c r="BG267" s="457"/>
      <c r="BH267" s="464"/>
      <c r="BI267" s="466"/>
      <c r="BJ267" s="465"/>
      <c r="BK267" s="457"/>
      <c r="BL267" s="464"/>
      <c r="BM267" s="466"/>
      <c r="BN267" s="465"/>
      <c r="BO267" s="457"/>
      <c r="BP267" s="464"/>
      <c r="BQ267" s="466"/>
      <c r="BR267" s="465"/>
      <c r="BS267" s="457"/>
      <c r="BT267" s="464"/>
      <c r="BU267" s="466"/>
      <c r="BV267" s="465"/>
      <c r="BW267" s="457"/>
      <c r="BX267" s="464"/>
      <c r="BY267" s="466"/>
      <c r="BZ267" s="465"/>
      <c r="CA267" s="457"/>
      <c r="CB267" s="464"/>
      <c r="CC267" s="466"/>
      <c r="CD267" s="465"/>
      <c r="CE267" s="457"/>
      <c r="CF267" s="464"/>
      <c r="CG267" s="466"/>
      <c r="CH267" s="465"/>
      <c r="CI267" s="457"/>
      <c r="CJ267" s="723"/>
      <c r="CK267" s="466"/>
      <c r="CL267" s="459"/>
      <c r="CM267" s="450"/>
      <c r="CN267" s="468">
        <f t="shared" ref="CN267:CN286" si="149">AY267+BC267+BG267+BK267+BO267+BS267+BW267+CA267+CE267+CI267+CL267</f>
        <v>0</v>
      </c>
      <c r="CO267" s="468">
        <f t="shared" ref="CO267:CO286" si="150">COUNTA(AX267,BB267,BF267,BJ267,BN267,BR267,BV267,BZ267,CD267,CH267)</f>
        <v>0</v>
      </c>
      <c r="CP267" s="469">
        <f t="shared" ref="CP267:CP286" si="151">BA267+BE267+BI267+BM267+BQ267+BU267+BY267+CC267+CG267+CK267+CM267</f>
        <v>0</v>
      </c>
      <c r="CQ267" s="469">
        <f t="shared" ref="CQ267:CQ286" si="152">COUNTA(AZ267,BD267,BH267,BL267,BP267,BT267,BX267,CB267,CF267,CJ267)</f>
        <v>0</v>
      </c>
      <c r="CR267" s="463"/>
      <c r="CS267" s="457"/>
      <c r="CT267" s="464"/>
      <c r="CU267" s="464"/>
      <c r="CV267" s="465"/>
      <c r="CW267" s="457"/>
      <c r="CX267" s="464"/>
      <c r="CY267" s="466"/>
      <c r="CZ267" s="465"/>
      <c r="DA267" s="457"/>
      <c r="DB267" s="464"/>
      <c r="DC267" s="466"/>
      <c r="DD267" s="465"/>
      <c r="DE267" s="457"/>
      <c r="DF267" s="464"/>
      <c r="DG267" s="466"/>
      <c r="DH267" s="465"/>
      <c r="DI267" s="457"/>
      <c r="DJ267" s="464"/>
      <c r="DK267" s="466"/>
      <c r="DL267" s="465"/>
      <c r="DM267" s="457"/>
      <c r="DN267" s="464"/>
      <c r="DO267" s="466"/>
      <c r="DP267" s="465"/>
      <c r="DQ267" s="457"/>
      <c r="DR267" s="464"/>
      <c r="DS267" s="466"/>
      <c r="DT267" s="465"/>
      <c r="DU267" s="457"/>
      <c r="DV267" s="464"/>
      <c r="DW267" s="466"/>
      <c r="DX267" s="465"/>
      <c r="DY267" s="457"/>
      <c r="DZ267" s="464"/>
      <c r="EA267" s="466"/>
      <c r="EB267" s="465"/>
      <c r="EC267" s="457"/>
      <c r="ED267" s="464"/>
      <c r="EE267" s="466"/>
      <c r="EF267" s="459"/>
      <c r="EG267" s="450"/>
      <c r="EH267" s="460">
        <f t="shared" ref="EH267:EH289" si="153">CS267+CW267+DA267+DE267+DI267+DM267+DQ267+DU267+DY267+EC267+EF267</f>
        <v>0</v>
      </c>
      <c r="EI267" s="460">
        <f t="shared" ref="EI267:EI289" si="154">COUNTA(CR267,CV267,CZ267,DD267,DH267,DL267,DP267,DT267,DX267,EB267)</f>
        <v>0</v>
      </c>
      <c r="EJ267" s="458">
        <f t="shared" ref="EJ267:EJ289" si="155">IF(EH267&gt;0,CS267/EH267,)</f>
        <v>0</v>
      </c>
      <c r="EK267" s="470">
        <f t="shared" ref="EK267:EK289" si="156">CU267+CY267+DC267+DG267+DK267+DO267+DS267+DW267+EA267+EE267+EG267</f>
        <v>0</v>
      </c>
      <c r="EL267" s="470">
        <f t="shared" ref="EL267:EL289" si="157">COUNTA(CT267,CX267,DB267,DF267,DJ267,DN267,DR267,DV267,DZ267,ED267)</f>
        <v>0</v>
      </c>
      <c r="EM267" s="449">
        <f t="shared" ref="EM267:EM289" si="158">IF(EK267&gt;0,CU267/EK267,)</f>
        <v>0</v>
      </c>
      <c r="EN267" s="460">
        <f t="shared" ref="EN267:EN289" si="159">CN267+EH267</f>
        <v>0</v>
      </c>
      <c r="EO267" s="469">
        <f t="shared" ref="EO267:EO289" si="160">CP267+EK267</f>
        <v>0</v>
      </c>
      <c r="EP267" s="471"/>
      <c r="EQ267" s="450"/>
      <c r="ER267" s="471"/>
      <c r="ES267" s="450"/>
      <c r="ET267" s="471"/>
      <c r="EU267" s="450"/>
      <c r="EV267" s="471"/>
      <c r="EW267" s="450"/>
      <c r="EX267" s="471"/>
      <c r="EY267" s="450"/>
      <c r="EZ267" s="471"/>
      <c r="FA267" s="450"/>
      <c r="FB267" s="471"/>
      <c r="FC267" s="450"/>
      <c r="FD267" s="471"/>
      <c r="FE267" s="450"/>
      <c r="FF267" s="471"/>
      <c r="FG267" s="450"/>
      <c r="FH267" s="472"/>
      <c r="FI267" s="450"/>
      <c r="FJ267" s="468">
        <f t="shared" ref="FJ267:FJ287" si="161">EP267+ER267+ET267+EV267+EX267+EZ267+FB267+FD267+FF267+FH267</f>
        <v>0</v>
      </c>
      <c r="FK267" s="469">
        <f t="shared" ref="FK267:FK287" si="162">EQ267+ES267+EU267+EW267+EY267+FA267+FC267+FE267+FG267+FI267</f>
        <v>0</v>
      </c>
      <c r="FL267" s="472"/>
      <c r="FM267" s="450"/>
      <c r="FN267" s="460">
        <f t="shared" ref="FN267:FN289" si="163">F267+H267+J267+N267+AV267+EN267+FJ267+FL267</f>
        <v>837</v>
      </c>
      <c r="FO267" s="469">
        <f t="shared" ref="FO267:FO289" si="164">G267+I267+K267+S267+AW267+EO267+FK267+FM267</f>
        <v>885</v>
      </c>
    </row>
    <row r="268" spans="1:171" x14ac:dyDescent="0.2">
      <c r="A268" s="729" t="s">
        <v>1094</v>
      </c>
      <c r="B268" s="698" t="s">
        <v>1118</v>
      </c>
      <c r="C268" s="699"/>
      <c r="D268" s="606">
        <v>164313</v>
      </c>
      <c r="E268" s="607">
        <v>9</v>
      </c>
      <c r="F268" s="532">
        <v>130</v>
      </c>
      <c r="G268" s="450">
        <v>149</v>
      </c>
      <c r="H268" s="457"/>
      <c r="I268" s="450"/>
      <c r="J268" s="457">
        <v>371</v>
      </c>
      <c r="K268" s="450">
        <v>382</v>
      </c>
      <c r="L268" s="458">
        <f t="shared" si="143"/>
        <v>0</v>
      </c>
      <c r="M268" s="449">
        <f t="shared" si="144"/>
        <v>0</v>
      </c>
      <c r="N268" s="459"/>
      <c r="O268" s="459"/>
      <c r="P268" s="459"/>
      <c r="Q268" s="459"/>
      <c r="R268" s="460">
        <f t="shared" si="141"/>
        <v>0</v>
      </c>
      <c r="S268" s="466"/>
      <c r="T268" s="466"/>
      <c r="U268" s="461"/>
      <c r="V268" s="461"/>
      <c r="W268" s="462">
        <f t="shared" si="142"/>
        <v>0</v>
      </c>
      <c r="X268" s="463"/>
      <c r="Y268" s="457"/>
      <c r="Z268" s="464"/>
      <c r="AA268" s="464"/>
      <c r="AB268" s="465"/>
      <c r="AC268" s="457"/>
      <c r="AD268" s="464"/>
      <c r="AE268" s="466"/>
      <c r="AF268" s="465"/>
      <c r="AG268" s="457"/>
      <c r="AH268" s="464"/>
      <c r="AI268" s="466"/>
      <c r="AJ268" s="465"/>
      <c r="AK268" s="457"/>
      <c r="AL268" s="464"/>
      <c r="AM268" s="466"/>
      <c r="AN268" s="465"/>
      <c r="AO268" s="457"/>
      <c r="AP268" s="464"/>
      <c r="AQ268" s="464"/>
      <c r="AR268" s="460">
        <f t="shared" si="145"/>
        <v>0</v>
      </c>
      <c r="AS268" s="467">
        <f t="shared" si="146"/>
        <v>0</v>
      </c>
      <c r="AT268" s="447">
        <f t="shared" si="147"/>
        <v>0</v>
      </c>
      <c r="AU268" s="448">
        <f t="shared" si="148"/>
        <v>0</v>
      </c>
      <c r="AV268" s="457"/>
      <c r="AW268" s="450"/>
      <c r="AX268" s="463"/>
      <c r="AY268" s="457"/>
      <c r="AZ268" s="464"/>
      <c r="BA268" s="464"/>
      <c r="BB268" s="465"/>
      <c r="BC268" s="457"/>
      <c r="BD268" s="464"/>
      <c r="BE268" s="466"/>
      <c r="BF268" s="465"/>
      <c r="BG268" s="457"/>
      <c r="BH268" s="464"/>
      <c r="BI268" s="466"/>
      <c r="BJ268" s="465"/>
      <c r="BK268" s="457"/>
      <c r="BL268" s="464"/>
      <c r="BM268" s="466"/>
      <c r="BN268" s="465"/>
      <c r="BO268" s="457"/>
      <c r="BP268" s="464"/>
      <c r="BQ268" s="466"/>
      <c r="BR268" s="465"/>
      <c r="BS268" s="457"/>
      <c r="BT268" s="464"/>
      <c r="BU268" s="466"/>
      <c r="BV268" s="465"/>
      <c r="BW268" s="457"/>
      <c r="BX268" s="464"/>
      <c r="BY268" s="466"/>
      <c r="BZ268" s="465"/>
      <c r="CA268" s="457"/>
      <c r="CB268" s="464"/>
      <c r="CC268" s="466"/>
      <c r="CD268" s="465"/>
      <c r="CE268" s="457"/>
      <c r="CF268" s="464"/>
      <c r="CG268" s="466"/>
      <c r="CH268" s="465"/>
      <c r="CI268" s="457"/>
      <c r="CJ268" s="723"/>
      <c r="CK268" s="466"/>
      <c r="CL268" s="459"/>
      <c r="CM268" s="450"/>
      <c r="CN268" s="468">
        <f t="shared" si="149"/>
        <v>0</v>
      </c>
      <c r="CO268" s="468">
        <f t="shared" si="150"/>
        <v>0</v>
      </c>
      <c r="CP268" s="469">
        <f t="shared" si="151"/>
        <v>0</v>
      </c>
      <c r="CQ268" s="469">
        <f t="shared" si="152"/>
        <v>0</v>
      </c>
      <c r="CR268" s="463"/>
      <c r="CS268" s="457"/>
      <c r="CT268" s="464"/>
      <c r="CU268" s="464"/>
      <c r="CV268" s="465"/>
      <c r="CW268" s="457"/>
      <c r="CX268" s="464"/>
      <c r="CY268" s="466"/>
      <c r="CZ268" s="465"/>
      <c r="DA268" s="457"/>
      <c r="DB268" s="464"/>
      <c r="DC268" s="466"/>
      <c r="DD268" s="465"/>
      <c r="DE268" s="457"/>
      <c r="DF268" s="464"/>
      <c r="DG268" s="466"/>
      <c r="DH268" s="465"/>
      <c r="DI268" s="457"/>
      <c r="DJ268" s="464"/>
      <c r="DK268" s="466"/>
      <c r="DL268" s="465"/>
      <c r="DM268" s="457"/>
      <c r="DN268" s="464"/>
      <c r="DO268" s="466"/>
      <c r="DP268" s="465"/>
      <c r="DQ268" s="457"/>
      <c r="DR268" s="464"/>
      <c r="DS268" s="466"/>
      <c r="DT268" s="465"/>
      <c r="DU268" s="457"/>
      <c r="DV268" s="464"/>
      <c r="DW268" s="466"/>
      <c r="DX268" s="465"/>
      <c r="DY268" s="457"/>
      <c r="DZ268" s="464"/>
      <c r="EA268" s="466"/>
      <c r="EB268" s="465"/>
      <c r="EC268" s="457"/>
      <c r="ED268" s="464"/>
      <c r="EE268" s="466"/>
      <c r="EF268" s="459"/>
      <c r="EG268" s="450"/>
      <c r="EH268" s="460">
        <f t="shared" si="153"/>
        <v>0</v>
      </c>
      <c r="EI268" s="460">
        <f t="shared" si="154"/>
        <v>0</v>
      </c>
      <c r="EJ268" s="458">
        <f t="shared" si="155"/>
        <v>0</v>
      </c>
      <c r="EK268" s="470">
        <f t="shared" si="156"/>
        <v>0</v>
      </c>
      <c r="EL268" s="470">
        <f t="shared" si="157"/>
        <v>0</v>
      </c>
      <c r="EM268" s="449">
        <f t="shared" si="158"/>
        <v>0</v>
      </c>
      <c r="EN268" s="460">
        <f t="shared" si="159"/>
        <v>0</v>
      </c>
      <c r="EO268" s="469">
        <f t="shared" si="160"/>
        <v>0</v>
      </c>
      <c r="EP268" s="471"/>
      <c r="EQ268" s="450"/>
      <c r="ER268" s="471"/>
      <c r="ES268" s="450"/>
      <c r="ET268" s="471"/>
      <c r="EU268" s="450"/>
      <c r="EV268" s="471"/>
      <c r="EW268" s="450"/>
      <c r="EX268" s="471"/>
      <c r="EY268" s="450"/>
      <c r="EZ268" s="471"/>
      <c r="FA268" s="450"/>
      <c r="FB268" s="471"/>
      <c r="FC268" s="450"/>
      <c r="FD268" s="471"/>
      <c r="FE268" s="450"/>
      <c r="FF268" s="471"/>
      <c r="FG268" s="450"/>
      <c r="FH268" s="472"/>
      <c r="FI268" s="450"/>
      <c r="FJ268" s="468">
        <f t="shared" si="161"/>
        <v>0</v>
      </c>
      <c r="FK268" s="469">
        <f t="shared" si="162"/>
        <v>0</v>
      </c>
      <c r="FL268" s="472"/>
      <c r="FM268" s="450"/>
      <c r="FN268" s="460">
        <f t="shared" si="163"/>
        <v>501</v>
      </c>
      <c r="FO268" s="469">
        <f t="shared" si="164"/>
        <v>531</v>
      </c>
    </row>
    <row r="269" spans="1:171" x14ac:dyDescent="0.2">
      <c r="A269" s="729" t="s">
        <v>1094</v>
      </c>
      <c r="B269" s="617" t="s">
        <v>1119</v>
      </c>
      <c r="C269" s="693"/>
      <c r="D269" s="619">
        <v>162104</v>
      </c>
      <c r="E269" s="607">
        <v>10</v>
      </c>
      <c r="F269" s="532">
        <v>75</v>
      </c>
      <c r="G269" s="450">
        <v>63</v>
      </c>
      <c r="H269" s="457"/>
      <c r="I269" s="450"/>
      <c r="J269" s="457">
        <v>235</v>
      </c>
      <c r="K269" s="450">
        <v>244</v>
      </c>
      <c r="L269" s="458">
        <f t="shared" si="143"/>
        <v>0</v>
      </c>
      <c r="M269" s="449">
        <f t="shared" si="144"/>
        <v>0</v>
      </c>
      <c r="N269" s="459"/>
      <c r="O269" s="459"/>
      <c r="P269" s="459"/>
      <c r="Q269" s="459"/>
      <c r="R269" s="460">
        <f t="shared" si="141"/>
        <v>0</v>
      </c>
      <c r="S269" s="466"/>
      <c r="T269" s="466"/>
      <c r="U269" s="461"/>
      <c r="V269" s="461"/>
      <c r="W269" s="462">
        <f t="shared" si="142"/>
        <v>0</v>
      </c>
      <c r="X269" s="463"/>
      <c r="Y269" s="457"/>
      <c r="Z269" s="464"/>
      <c r="AA269" s="464"/>
      <c r="AB269" s="465"/>
      <c r="AC269" s="457"/>
      <c r="AD269" s="464"/>
      <c r="AE269" s="466"/>
      <c r="AF269" s="465"/>
      <c r="AG269" s="457"/>
      <c r="AH269" s="464"/>
      <c r="AI269" s="466"/>
      <c r="AJ269" s="465"/>
      <c r="AK269" s="457"/>
      <c r="AL269" s="464"/>
      <c r="AM269" s="466"/>
      <c r="AN269" s="465"/>
      <c r="AO269" s="457"/>
      <c r="AP269" s="464"/>
      <c r="AQ269" s="464"/>
      <c r="AR269" s="460">
        <f t="shared" si="145"/>
        <v>0</v>
      </c>
      <c r="AS269" s="467">
        <f t="shared" si="146"/>
        <v>0</v>
      </c>
      <c r="AT269" s="447">
        <f t="shared" si="147"/>
        <v>0</v>
      </c>
      <c r="AU269" s="448">
        <f t="shared" si="148"/>
        <v>0</v>
      </c>
      <c r="AV269" s="457"/>
      <c r="AW269" s="450"/>
      <c r="AX269" s="463"/>
      <c r="AY269" s="457"/>
      <c r="AZ269" s="464"/>
      <c r="BA269" s="464"/>
      <c r="BB269" s="465"/>
      <c r="BC269" s="457"/>
      <c r="BD269" s="464"/>
      <c r="BE269" s="466"/>
      <c r="BF269" s="465"/>
      <c r="BG269" s="457"/>
      <c r="BH269" s="464"/>
      <c r="BI269" s="466"/>
      <c r="BJ269" s="465"/>
      <c r="BK269" s="457"/>
      <c r="BL269" s="464"/>
      <c r="BM269" s="466"/>
      <c r="BN269" s="465"/>
      <c r="BO269" s="457"/>
      <c r="BP269" s="464"/>
      <c r="BQ269" s="466"/>
      <c r="BR269" s="465"/>
      <c r="BS269" s="457"/>
      <c r="BT269" s="464"/>
      <c r="BU269" s="466"/>
      <c r="BV269" s="465"/>
      <c r="BW269" s="457"/>
      <c r="BX269" s="464"/>
      <c r="BY269" s="466"/>
      <c r="BZ269" s="465"/>
      <c r="CA269" s="457"/>
      <c r="CB269" s="464"/>
      <c r="CC269" s="466"/>
      <c r="CD269" s="465"/>
      <c r="CE269" s="457"/>
      <c r="CF269" s="464"/>
      <c r="CG269" s="466"/>
      <c r="CH269" s="465"/>
      <c r="CI269" s="457"/>
      <c r="CJ269" s="723"/>
      <c r="CK269" s="466"/>
      <c r="CL269" s="459"/>
      <c r="CM269" s="450"/>
      <c r="CN269" s="468">
        <f t="shared" si="149"/>
        <v>0</v>
      </c>
      <c r="CO269" s="468">
        <f t="shared" si="150"/>
        <v>0</v>
      </c>
      <c r="CP269" s="469">
        <f t="shared" si="151"/>
        <v>0</v>
      </c>
      <c r="CQ269" s="469">
        <f t="shared" si="152"/>
        <v>0</v>
      </c>
      <c r="CR269" s="463"/>
      <c r="CS269" s="457"/>
      <c r="CT269" s="464"/>
      <c r="CU269" s="464"/>
      <c r="CV269" s="465"/>
      <c r="CW269" s="457"/>
      <c r="CX269" s="464"/>
      <c r="CY269" s="466"/>
      <c r="CZ269" s="465"/>
      <c r="DA269" s="457"/>
      <c r="DB269" s="464"/>
      <c r="DC269" s="466"/>
      <c r="DD269" s="465"/>
      <c r="DE269" s="457"/>
      <c r="DF269" s="464"/>
      <c r="DG269" s="466"/>
      <c r="DH269" s="465"/>
      <c r="DI269" s="457"/>
      <c r="DJ269" s="464"/>
      <c r="DK269" s="466"/>
      <c r="DL269" s="465"/>
      <c r="DM269" s="457"/>
      <c r="DN269" s="464"/>
      <c r="DO269" s="466"/>
      <c r="DP269" s="465"/>
      <c r="DQ269" s="457"/>
      <c r="DR269" s="464"/>
      <c r="DS269" s="466"/>
      <c r="DT269" s="465"/>
      <c r="DU269" s="457"/>
      <c r="DV269" s="464"/>
      <c r="DW269" s="466"/>
      <c r="DX269" s="465"/>
      <c r="DY269" s="457"/>
      <c r="DZ269" s="464"/>
      <c r="EA269" s="466"/>
      <c r="EB269" s="465"/>
      <c r="EC269" s="457"/>
      <c r="ED269" s="464"/>
      <c r="EE269" s="466"/>
      <c r="EF269" s="459"/>
      <c r="EG269" s="450"/>
      <c r="EH269" s="460">
        <f t="shared" si="153"/>
        <v>0</v>
      </c>
      <c r="EI269" s="460">
        <f t="shared" si="154"/>
        <v>0</v>
      </c>
      <c r="EJ269" s="458">
        <f t="shared" si="155"/>
        <v>0</v>
      </c>
      <c r="EK269" s="470">
        <f t="shared" si="156"/>
        <v>0</v>
      </c>
      <c r="EL269" s="470">
        <f t="shared" si="157"/>
        <v>0</v>
      </c>
      <c r="EM269" s="449">
        <f t="shared" si="158"/>
        <v>0</v>
      </c>
      <c r="EN269" s="460">
        <f t="shared" si="159"/>
        <v>0</v>
      </c>
      <c r="EO269" s="469">
        <f t="shared" si="160"/>
        <v>0</v>
      </c>
      <c r="EP269" s="471"/>
      <c r="EQ269" s="450"/>
      <c r="ER269" s="471"/>
      <c r="ES269" s="450"/>
      <c r="ET269" s="471"/>
      <c r="EU269" s="450"/>
      <c r="EV269" s="471"/>
      <c r="EW269" s="450"/>
      <c r="EX269" s="471"/>
      <c r="EY269" s="450"/>
      <c r="EZ269" s="471"/>
      <c r="FA269" s="450"/>
      <c r="FB269" s="471"/>
      <c r="FC269" s="450"/>
      <c r="FD269" s="471"/>
      <c r="FE269" s="450"/>
      <c r="FF269" s="471"/>
      <c r="FG269" s="450"/>
      <c r="FH269" s="472"/>
      <c r="FI269" s="450"/>
      <c r="FJ269" s="468">
        <f t="shared" si="161"/>
        <v>0</v>
      </c>
      <c r="FK269" s="469">
        <f t="shared" si="162"/>
        <v>0</v>
      </c>
      <c r="FL269" s="472"/>
      <c r="FM269" s="450"/>
      <c r="FN269" s="460">
        <f t="shared" si="163"/>
        <v>310</v>
      </c>
      <c r="FO269" s="469">
        <f t="shared" si="164"/>
        <v>307</v>
      </c>
    </row>
    <row r="270" spans="1:171" x14ac:dyDescent="0.2">
      <c r="A270" s="729" t="s">
        <v>1094</v>
      </c>
      <c r="B270" s="617" t="s">
        <v>1120</v>
      </c>
      <c r="C270" s="693"/>
      <c r="D270" s="619">
        <v>162168</v>
      </c>
      <c r="E270" s="607">
        <v>10</v>
      </c>
      <c r="F270" s="532">
        <v>42</v>
      </c>
      <c r="G270" s="450">
        <v>41</v>
      </c>
      <c r="H270" s="457"/>
      <c r="I270" s="450"/>
      <c r="J270" s="457">
        <v>251</v>
      </c>
      <c r="K270" s="450">
        <v>272</v>
      </c>
      <c r="L270" s="458">
        <f t="shared" si="143"/>
        <v>0</v>
      </c>
      <c r="M270" s="449">
        <f t="shared" si="144"/>
        <v>0</v>
      </c>
      <c r="N270" s="459"/>
      <c r="O270" s="459"/>
      <c r="P270" s="459"/>
      <c r="Q270" s="459"/>
      <c r="R270" s="460">
        <f t="shared" si="141"/>
        <v>0</v>
      </c>
      <c r="S270" s="466"/>
      <c r="T270" s="466"/>
      <c r="U270" s="461"/>
      <c r="V270" s="461"/>
      <c r="W270" s="462">
        <f t="shared" si="142"/>
        <v>0</v>
      </c>
      <c r="X270" s="463"/>
      <c r="Y270" s="457"/>
      <c r="Z270" s="464"/>
      <c r="AA270" s="464"/>
      <c r="AB270" s="465"/>
      <c r="AC270" s="457"/>
      <c r="AD270" s="464"/>
      <c r="AE270" s="466"/>
      <c r="AF270" s="465"/>
      <c r="AG270" s="457"/>
      <c r="AH270" s="464"/>
      <c r="AI270" s="466"/>
      <c r="AJ270" s="465"/>
      <c r="AK270" s="457"/>
      <c r="AL270" s="464"/>
      <c r="AM270" s="466"/>
      <c r="AN270" s="465"/>
      <c r="AO270" s="457"/>
      <c r="AP270" s="464"/>
      <c r="AQ270" s="464"/>
      <c r="AR270" s="460">
        <f t="shared" si="145"/>
        <v>0</v>
      </c>
      <c r="AS270" s="467">
        <f t="shared" si="146"/>
        <v>0</v>
      </c>
      <c r="AT270" s="447">
        <f t="shared" si="147"/>
        <v>0</v>
      </c>
      <c r="AU270" s="448">
        <f t="shared" si="148"/>
        <v>0</v>
      </c>
      <c r="AV270" s="457"/>
      <c r="AW270" s="450"/>
      <c r="AX270" s="463"/>
      <c r="AY270" s="457"/>
      <c r="AZ270" s="464"/>
      <c r="BA270" s="464"/>
      <c r="BB270" s="465"/>
      <c r="BC270" s="457"/>
      <c r="BD270" s="464"/>
      <c r="BE270" s="466"/>
      <c r="BF270" s="465"/>
      <c r="BG270" s="457"/>
      <c r="BH270" s="464"/>
      <c r="BI270" s="466"/>
      <c r="BJ270" s="465"/>
      <c r="BK270" s="457"/>
      <c r="BL270" s="464"/>
      <c r="BM270" s="466"/>
      <c r="BN270" s="465"/>
      <c r="BO270" s="457"/>
      <c r="BP270" s="464"/>
      <c r="BQ270" s="466"/>
      <c r="BR270" s="465"/>
      <c r="BS270" s="457"/>
      <c r="BT270" s="464"/>
      <c r="BU270" s="466"/>
      <c r="BV270" s="465"/>
      <c r="BW270" s="457"/>
      <c r="BX270" s="464"/>
      <c r="BY270" s="466"/>
      <c r="BZ270" s="465"/>
      <c r="CA270" s="457"/>
      <c r="CB270" s="464"/>
      <c r="CC270" s="466"/>
      <c r="CD270" s="465"/>
      <c r="CE270" s="457"/>
      <c r="CF270" s="464"/>
      <c r="CG270" s="466"/>
      <c r="CH270" s="465"/>
      <c r="CI270" s="457"/>
      <c r="CJ270" s="723"/>
      <c r="CK270" s="466"/>
      <c r="CL270" s="459"/>
      <c r="CM270" s="450"/>
      <c r="CN270" s="468">
        <f t="shared" si="149"/>
        <v>0</v>
      </c>
      <c r="CO270" s="468">
        <f t="shared" si="150"/>
        <v>0</v>
      </c>
      <c r="CP270" s="469">
        <f t="shared" si="151"/>
        <v>0</v>
      </c>
      <c r="CQ270" s="469">
        <f t="shared" si="152"/>
        <v>0</v>
      </c>
      <c r="CR270" s="463"/>
      <c r="CS270" s="457"/>
      <c r="CT270" s="464"/>
      <c r="CU270" s="464"/>
      <c r="CV270" s="465"/>
      <c r="CW270" s="457"/>
      <c r="CX270" s="464"/>
      <c r="CY270" s="466"/>
      <c r="CZ270" s="465"/>
      <c r="DA270" s="457"/>
      <c r="DB270" s="464"/>
      <c r="DC270" s="466"/>
      <c r="DD270" s="465"/>
      <c r="DE270" s="457"/>
      <c r="DF270" s="464"/>
      <c r="DG270" s="466"/>
      <c r="DH270" s="465"/>
      <c r="DI270" s="457"/>
      <c r="DJ270" s="464"/>
      <c r="DK270" s="466"/>
      <c r="DL270" s="465"/>
      <c r="DM270" s="457"/>
      <c r="DN270" s="464"/>
      <c r="DO270" s="466"/>
      <c r="DP270" s="465"/>
      <c r="DQ270" s="457"/>
      <c r="DR270" s="464"/>
      <c r="DS270" s="466"/>
      <c r="DT270" s="465"/>
      <c r="DU270" s="457"/>
      <c r="DV270" s="464"/>
      <c r="DW270" s="466"/>
      <c r="DX270" s="465"/>
      <c r="DY270" s="457"/>
      <c r="DZ270" s="464"/>
      <c r="EA270" s="466"/>
      <c r="EB270" s="465"/>
      <c r="EC270" s="457"/>
      <c r="ED270" s="464"/>
      <c r="EE270" s="466"/>
      <c r="EF270" s="459"/>
      <c r="EG270" s="450"/>
      <c r="EH270" s="460">
        <f t="shared" si="153"/>
        <v>0</v>
      </c>
      <c r="EI270" s="460">
        <f t="shared" si="154"/>
        <v>0</v>
      </c>
      <c r="EJ270" s="458">
        <f t="shared" si="155"/>
        <v>0</v>
      </c>
      <c r="EK270" s="470">
        <f t="shared" si="156"/>
        <v>0</v>
      </c>
      <c r="EL270" s="470">
        <f t="shared" si="157"/>
        <v>0</v>
      </c>
      <c r="EM270" s="449">
        <f t="shared" si="158"/>
        <v>0</v>
      </c>
      <c r="EN270" s="460">
        <f t="shared" si="159"/>
        <v>0</v>
      </c>
      <c r="EO270" s="469">
        <f t="shared" si="160"/>
        <v>0</v>
      </c>
      <c r="EP270" s="471"/>
      <c r="EQ270" s="450"/>
      <c r="ER270" s="471"/>
      <c r="ES270" s="450"/>
      <c r="ET270" s="471"/>
      <c r="EU270" s="450"/>
      <c r="EV270" s="471"/>
      <c r="EW270" s="450"/>
      <c r="EX270" s="471"/>
      <c r="EY270" s="450"/>
      <c r="EZ270" s="471"/>
      <c r="FA270" s="450"/>
      <c r="FB270" s="471"/>
      <c r="FC270" s="450"/>
      <c r="FD270" s="471"/>
      <c r="FE270" s="450"/>
      <c r="FF270" s="471"/>
      <c r="FG270" s="450"/>
      <c r="FH270" s="472"/>
      <c r="FI270" s="450"/>
      <c r="FJ270" s="468">
        <f t="shared" si="161"/>
        <v>0</v>
      </c>
      <c r="FK270" s="469">
        <f t="shared" si="162"/>
        <v>0</v>
      </c>
      <c r="FL270" s="472"/>
      <c r="FM270" s="450"/>
      <c r="FN270" s="460">
        <f t="shared" si="163"/>
        <v>293</v>
      </c>
      <c r="FO270" s="469">
        <f t="shared" si="164"/>
        <v>313</v>
      </c>
    </row>
    <row r="271" spans="1:171" x14ac:dyDescent="0.2">
      <c r="A271" s="729" t="s">
        <v>1094</v>
      </c>
      <c r="B271" s="617" t="s">
        <v>1121</v>
      </c>
      <c r="C271" s="693"/>
      <c r="D271" s="619">
        <v>162609</v>
      </c>
      <c r="E271" s="607">
        <v>10</v>
      </c>
      <c r="F271" s="532">
        <v>7</v>
      </c>
      <c r="G271" s="450">
        <v>2</v>
      </c>
      <c r="H271" s="457"/>
      <c r="I271" s="450"/>
      <c r="J271" s="457">
        <v>98</v>
      </c>
      <c r="K271" s="450">
        <v>133</v>
      </c>
      <c r="L271" s="458">
        <f t="shared" si="143"/>
        <v>0</v>
      </c>
      <c r="M271" s="449">
        <f t="shared" si="144"/>
        <v>0</v>
      </c>
      <c r="N271" s="459"/>
      <c r="O271" s="459"/>
      <c r="P271" s="459"/>
      <c r="Q271" s="459"/>
      <c r="R271" s="460">
        <f t="shared" si="141"/>
        <v>0</v>
      </c>
      <c r="S271" s="466"/>
      <c r="T271" s="466"/>
      <c r="U271" s="461"/>
      <c r="V271" s="461"/>
      <c r="W271" s="462">
        <f t="shared" si="142"/>
        <v>0</v>
      </c>
      <c r="X271" s="463"/>
      <c r="Y271" s="457"/>
      <c r="Z271" s="464"/>
      <c r="AA271" s="464"/>
      <c r="AB271" s="465"/>
      <c r="AC271" s="457"/>
      <c r="AD271" s="464"/>
      <c r="AE271" s="466"/>
      <c r="AF271" s="465"/>
      <c r="AG271" s="457"/>
      <c r="AH271" s="464"/>
      <c r="AI271" s="466"/>
      <c r="AJ271" s="465"/>
      <c r="AK271" s="457"/>
      <c r="AL271" s="464"/>
      <c r="AM271" s="466"/>
      <c r="AN271" s="465"/>
      <c r="AO271" s="457"/>
      <c r="AP271" s="464"/>
      <c r="AQ271" s="464"/>
      <c r="AR271" s="460">
        <f t="shared" si="145"/>
        <v>0</v>
      </c>
      <c r="AS271" s="467">
        <f t="shared" si="146"/>
        <v>0</v>
      </c>
      <c r="AT271" s="447">
        <f t="shared" si="147"/>
        <v>0</v>
      </c>
      <c r="AU271" s="448">
        <f t="shared" si="148"/>
        <v>0</v>
      </c>
      <c r="AV271" s="457"/>
      <c r="AW271" s="450"/>
      <c r="AX271" s="463"/>
      <c r="AY271" s="457"/>
      <c r="AZ271" s="464"/>
      <c r="BA271" s="464"/>
      <c r="BB271" s="465"/>
      <c r="BC271" s="457"/>
      <c r="BD271" s="464"/>
      <c r="BE271" s="466"/>
      <c r="BF271" s="465"/>
      <c r="BG271" s="457"/>
      <c r="BH271" s="464"/>
      <c r="BI271" s="466"/>
      <c r="BJ271" s="465"/>
      <c r="BK271" s="457"/>
      <c r="BL271" s="464"/>
      <c r="BM271" s="466"/>
      <c r="BN271" s="465"/>
      <c r="BO271" s="457"/>
      <c r="BP271" s="464"/>
      <c r="BQ271" s="466"/>
      <c r="BR271" s="465"/>
      <c r="BS271" s="457"/>
      <c r="BT271" s="464"/>
      <c r="BU271" s="466"/>
      <c r="BV271" s="465"/>
      <c r="BW271" s="457"/>
      <c r="BX271" s="464"/>
      <c r="BY271" s="466"/>
      <c r="BZ271" s="465"/>
      <c r="CA271" s="457"/>
      <c r="CB271" s="464"/>
      <c r="CC271" s="466"/>
      <c r="CD271" s="465"/>
      <c r="CE271" s="457"/>
      <c r="CF271" s="464"/>
      <c r="CG271" s="466"/>
      <c r="CH271" s="465"/>
      <c r="CI271" s="457"/>
      <c r="CJ271" s="723"/>
      <c r="CK271" s="466"/>
      <c r="CL271" s="459"/>
      <c r="CM271" s="450"/>
      <c r="CN271" s="468">
        <f t="shared" si="149"/>
        <v>0</v>
      </c>
      <c r="CO271" s="468">
        <f t="shared" si="150"/>
        <v>0</v>
      </c>
      <c r="CP271" s="469">
        <f t="shared" si="151"/>
        <v>0</v>
      </c>
      <c r="CQ271" s="469">
        <f t="shared" si="152"/>
        <v>0</v>
      </c>
      <c r="CR271" s="463"/>
      <c r="CS271" s="457"/>
      <c r="CT271" s="464"/>
      <c r="CU271" s="464"/>
      <c r="CV271" s="465"/>
      <c r="CW271" s="457"/>
      <c r="CX271" s="464"/>
      <c r="CY271" s="466"/>
      <c r="CZ271" s="465"/>
      <c r="DA271" s="457"/>
      <c r="DB271" s="464"/>
      <c r="DC271" s="466"/>
      <c r="DD271" s="465"/>
      <c r="DE271" s="457"/>
      <c r="DF271" s="464"/>
      <c r="DG271" s="466"/>
      <c r="DH271" s="465"/>
      <c r="DI271" s="457"/>
      <c r="DJ271" s="464"/>
      <c r="DK271" s="466"/>
      <c r="DL271" s="465"/>
      <c r="DM271" s="457"/>
      <c r="DN271" s="464"/>
      <c r="DO271" s="466"/>
      <c r="DP271" s="465"/>
      <c r="DQ271" s="457"/>
      <c r="DR271" s="464"/>
      <c r="DS271" s="466"/>
      <c r="DT271" s="465"/>
      <c r="DU271" s="457"/>
      <c r="DV271" s="464"/>
      <c r="DW271" s="466"/>
      <c r="DX271" s="465"/>
      <c r="DY271" s="457"/>
      <c r="DZ271" s="464"/>
      <c r="EA271" s="466"/>
      <c r="EB271" s="465"/>
      <c r="EC271" s="457"/>
      <c r="ED271" s="464"/>
      <c r="EE271" s="466"/>
      <c r="EF271" s="459"/>
      <c r="EG271" s="450"/>
      <c r="EH271" s="460">
        <f t="shared" si="153"/>
        <v>0</v>
      </c>
      <c r="EI271" s="460">
        <f t="shared" si="154"/>
        <v>0</v>
      </c>
      <c r="EJ271" s="458">
        <f t="shared" si="155"/>
        <v>0</v>
      </c>
      <c r="EK271" s="470">
        <f t="shared" si="156"/>
        <v>0</v>
      </c>
      <c r="EL271" s="470">
        <f t="shared" si="157"/>
        <v>0</v>
      </c>
      <c r="EM271" s="449">
        <f t="shared" si="158"/>
        <v>0</v>
      </c>
      <c r="EN271" s="460">
        <f t="shared" si="159"/>
        <v>0</v>
      </c>
      <c r="EO271" s="469">
        <f t="shared" si="160"/>
        <v>0</v>
      </c>
      <c r="EP271" s="471"/>
      <c r="EQ271" s="450"/>
      <c r="ER271" s="471"/>
      <c r="ES271" s="450"/>
      <c r="ET271" s="471"/>
      <c r="EU271" s="450"/>
      <c r="EV271" s="471"/>
      <c r="EW271" s="450"/>
      <c r="EX271" s="471"/>
      <c r="EY271" s="450"/>
      <c r="EZ271" s="471"/>
      <c r="FA271" s="450"/>
      <c r="FB271" s="471"/>
      <c r="FC271" s="450"/>
      <c r="FD271" s="471"/>
      <c r="FE271" s="450"/>
      <c r="FF271" s="471"/>
      <c r="FG271" s="450"/>
      <c r="FH271" s="472"/>
      <c r="FI271" s="450"/>
      <c r="FJ271" s="468">
        <f t="shared" si="161"/>
        <v>0</v>
      </c>
      <c r="FK271" s="469">
        <f t="shared" si="162"/>
        <v>0</v>
      </c>
      <c r="FL271" s="472"/>
      <c r="FM271" s="450"/>
      <c r="FN271" s="460">
        <f t="shared" si="163"/>
        <v>105</v>
      </c>
      <c r="FO271" s="469">
        <f t="shared" si="164"/>
        <v>135</v>
      </c>
    </row>
    <row r="272" spans="1:171" x14ac:dyDescent="0.2">
      <c r="A272" s="726" t="s">
        <v>1094</v>
      </c>
      <c r="B272" s="604" t="s">
        <v>1122</v>
      </c>
      <c r="C272" s="693"/>
      <c r="D272" s="619">
        <v>163204</v>
      </c>
      <c r="E272" s="620">
        <v>15</v>
      </c>
      <c r="F272" s="532"/>
      <c r="G272" s="450"/>
      <c r="H272" s="457">
        <v>584</v>
      </c>
      <c r="I272" s="450">
        <v>659</v>
      </c>
      <c r="J272" s="457">
        <v>285</v>
      </c>
      <c r="K272" s="450">
        <v>398</v>
      </c>
      <c r="L272" s="458">
        <f t="shared" si="143"/>
        <v>8.7155963302752298E-2</v>
      </c>
      <c r="M272" s="449">
        <f t="shared" si="144"/>
        <v>0.10252447192168986</v>
      </c>
      <c r="N272" s="459">
        <v>3270</v>
      </c>
      <c r="O272" s="459"/>
      <c r="P272" s="459"/>
      <c r="Q272" s="459"/>
      <c r="R272" s="460">
        <f t="shared" si="141"/>
        <v>0</v>
      </c>
      <c r="S272" s="466">
        <v>3882</v>
      </c>
      <c r="T272" s="466"/>
      <c r="U272" s="461"/>
      <c r="V272" s="461"/>
      <c r="W272" s="462">
        <f t="shared" si="142"/>
        <v>0</v>
      </c>
      <c r="X272" s="463"/>
      <c r="Y272" s="457"/>
      <c r="Z272" s="464"/>
      <c r="AA272" s="464"/>
      <c r="AB272" s="465"/>
      <c r="AC272" s="457"/>
      <c r="AD272" s="464"/>
      <c r="AE272" s="466"/>
      <c r="AF272" s="465"/>
      <c r="AG272" s="457"/>
      <c r="AH272" s="464"/>
      <c r="AI272" s="466"/>
      <c r="AJ272" s="465"/>
      <c r="AK272" s="457"/>
      <c r="AL272" s="464"/>
      <c r="AM272" s="466"/>
      <c r="AN272" s="465"/>
      <c r="AO272" s="457"/>
      <c r="AP272" s="464"/>
      <c r="AQ272" s="464"/>
      <c r="AR272" s="460">
        <f t="shared" si="145"/>
        <v>0</v>
      </c>
      <c r="AS272" s="467">
        <f t="shared" si="146"/>
        <v>0.41661358134794241</v>
      </c>
      <c r="AT272" s="447">
        <f t="shared" si="147"/>
        <v>0</v>
      </c>
      <c r="AU272" s="448">
        <f t="shared" si="148"/>
        <v>0.43316224057130104</v>
      </c>
      <c r="AV272" s="457">
        <v>565</v>
      </c>
      <c r="AW272" s="450">
        <v>692</v>
      </c>
      <c r="AX272" s="463">
        <v>52</v>
      </c>
      <c r="AY272" s="457">
        <v>2271</v>
      </c>
      <c r="AZ272" s="464">
        <v>52</v>
      </c>
      <c r="BA272" s="464">
        <v>2324</v>
      </c>
      <c r="BB272" s="465">
        <v>11</v>
      </c>
      <c r="BC272" s="457">
        <v>466</v>
      </c>
      <c r="BD272" s="464">
        <v>11</v>
      </c>
      <c r="BE272" s="466">
        <v>493</v>
      </c>
      <c r="BF272" s="465">
        <v>51</v>
      </c>
      <c r="BG272" s="457">
        <v>203</v>
      </c>
      <c r="BH272" s="464">
        <v>51</v>
      </c>
      <c r="BI272" s="466">
        <v>254</v>
      </c>
      <c r="BJ272" s="465">
        <v>13</v>
      </c>
      <c r="BK272" s="457">
        <v>85</v>
      </c>
      <c r="BL272" s="464">
        <v>13</v>
      </c>
      <c r="BM272" s="466">
        <v>127</v>
      </c>
      <c r="BN272" s="465">
        <v>26</v>
      </c>
      <c r="BO272" s="457">
        <v>65</v>
      </c>
      <c r="BP272" s="464">
        <v>26</v>
      </c>
      <c r="BQ272" s="466">
        <v>86</v>
      </c>
      <c r="BR272" s="465"/>
      <c r="BS272" s="457"/>
      <c r="BT272" s="464"/>
      <c r="BU272" s="466"/>
      <c r="BV272" s="465"/>
      <c r="BW272" s="457"/>
      <c r="BX272" s="464"/>
      <c r="BY272" s="466"/>
      <c r="BZ272" s="465"/>
      <c r="CA272" s="457"/>
      <c r="CB272" s="464"/>
      <c r="CC272" s="466"/>
      <c r="CD272" s="465"/>
      <c r="CE272" s="457"/>
      <c r="CF272" s="464"/>
      <c r="CG272" s="466"/>
      <c r="CH272" s="465"/>
      <c r="CI272" s="457"/>
      <c r="CJ272" s="723"/>
      <c r="CK272" s="466"/>
      <c r="CL272" s="459"/>
      <c r="CM272" s="450"/>
      <c r="CN272" s="468">
        <f t="shared" si="149"/>
        <v>3090</v>
      </c>
      <c r="CO272" s="468">
        <f t="shared" si="150"/>
        <v>5</v>
      </c>
      <c r="CP272" s="469">
        <f t="shared" si="151"/>
        <v>3284</v>
      </c>
      <c r="CQ272" s="469">
        <f t="shared" si="152"/>
        <v>5</v>
      </c>
      <c r="CR272" s="463"/>
      <c r="CS272" s="457"/>
      <c r="CT272" s="464"/>
      <c r="CU272" s="464"/>
      <c r="CV272" s="465"/>
      <c r="CW272" s="457"/>
      <c r="CX272" s="464"/>
      <c r="CY272" s="466"/>
      <c r="CZ272" s="465"/>
      <c r="DA272" s="457"/>
      <c r="DB272" s="464"/>
      <c r="DC272" s="466"/>
      <c r="DD272" s="465"/>
      <c r="DE272" s="457"/>
      <c r="DF272" s="464"/>
      <c r="DG272" s="466"/>
      <c r="DH272" s="465"/>
      <c r="DI272" s="457"/>
      <c r="DJ272" s="464"/>
      <c r="DK272" s="466"/>
      <c r="DL272" s="465"/>
      <c r="DM272" s="457"/>
      <c r="DN272" s="464"/>
      <c r="DO272" s="466"/>
      <c r="DP272" s="465"/>
      <c r="DQ272" s="457"/>
      <c r="DR272" s="464"/>
      <c r="DS272" s="466"/>
      <c r="DT272" s="465"/>
      <c r="DU272" s="457"/>
      <c r="DV272" s="464"/>
      <c r="DW272" s="466"/>
      <c r="DX272" s="465"/>
      <c r="DY272" s="457"/>
      <c r="DZ272" s="464"/>
      <c r="EA272" s="466"/>
      <c r="EB272" s="465"/>
      <c r="EC272" s="457"/>
      <c r="ED272" s="464"/>
      <c r="EE272" s="466"/>
      <c r="EF272" s="459"/>
      <c r="EG272" s="450"/>
      <c r="EH272" s="460">
        <f t="shared" si="153"/>
        <v>0</v>
      </c>
      <c r="EI272" s="460">
        <f t="shared" si="154"/>
        <v>0</v>
      </c>
      <c r="EJ272" s="458">
        <f t="shared" si="155"/>
        <v>0</v>
      </c>
      <c r="EK272" s="470">
        <f t="shared" si="156"/>
        <v>0</v>
      </c>
      <c r="EL272" s="470">
        <f t="shared" si="157"/>
        <v>0</v>
      </c>
      <c r="EM272" s="449">
        <f t="shared" si="158"/>
        <v>0</v>
      </c>
      <c r="EN272" s="460">
        <f t="shared" si="159"/>
        <v>3090</v>
      </c>
      <c r="EO272" s="469">
        <f t="shared" si="160"/>
        <v>3284</v>
      </c>
      <c r="EP272" s="471"/>
      <c r="EQ272" s="450"/>
      <c r="ER272" s="471"/>
      <c r="ES272" s="450"/>
      <c r="ET272" s="471"/>
      <c r="EU272" s="450"/>
      <c r="EV272" s="471"/>
      <c r="EW272" s="450"/>
      <c r="EX272" s="471"/>
      <c r="EY272" s="450"/>
      <c r="EZ272" s="471"/>
      <c r="FA272" s="450"/>
      <c r="FB272" s="471"/>
      <c r="FC272" s="450"/>
      <c r="FD272" s="471"/>
      <c r="FE272" s="450"/>
      <c r="FF272" s="471"/>
      <c r="FG272" s="450"/>
      <c r="FH272" s="472">
        <v>55</v>
      </c>
      <c r="FI272" s="450">
        <v>47</v>
      </c>
      <c r="FJ272" s="468">
        <f t="shared" si="161"/>
        <v>55</v>
      </c>
      <c r="FK272" s="469">
        <f t="shared" si="162"/>
        <v>47</v>
      </c>
      <c r="FL272" s="472"/>
      <c r="FM272" s="450"/>
      <c r="FN272" s="460">
        <f t="shared" si="163"/>
        <v>7849</v>
      </c>
      <c r="FO272" s="469">
        <f t="shared" si="164"/>
        <v>8962</v>
      </c>
    </row>
    <row r="273" spans="1:171" x14ac:dyDescent="0.2">
      <c r="A273" s="726" t="s">
        <v>1094</v>
      </c>
      <c r="B273" s="604" t="s">
        <v>1123</v>
      </c>
      <c r="C273" s="693"/>
      <c r="D273" s="619">
        <v>163259</v>
      </c>
      <c r="E273" s="620">
        <v>15</v>
      </c>
      <c r="F273" s="532"/>
      <c r="G273" s="450"/>
      <c r="H273" s="457"/>
      <c r="I273" s="450"/>
      <c r="J273" s="457"/>
      <c r="K273" s="450"/>
      <c r="L273" s="458">
        <f t="shared" si="143"/>
        <v>0</v>
      </c>
      <c r="M273" s="449">
        <f t="shared" si="144"/>
        <v>0</v>
      </c>
      <c r="N273" s="459">
        <v>359</v>
      </c>
      <c r="O273" s="459"/>
      <c r="P273" s="459"/>
      <c r="Q273" s="459"/>
      <c r="R273" s="460">
        <f t="shared" si="141"/>
        <v>0</v>
      </c>
      <c r="S273" s="466">
        <v>340</v>
      </c>
      <c r="T273" s="466"/>
      <c r="U273" s="461"/>
      <c r="V273" s="461"/>
      <c r="W273" s="462">
        <f t="shared" si="142"/>
        <v>0</v>
      </c>
      <c r="X273" s="463"/>
      <c r="Y273" s="457"/>
      <c r="Z273" s="464"/>
      <c r="AA273" s="464"/>
      <c r="AB273" s="465"/>
      <c r="AC273" s="457"/>
      <c r="AD273" s="464"/>
      <c r="AE273" s="466"/>
      <c r="AF273" s="465"/>
      <c r="AG273" s="457"/>
      <c r="AH273" s="464"/>
      <c r="AI273" s="466"/>
      <c r="AJ273" s="465"/>
      <c r="AK273" s="457"/>
      <c r="AL273" s="464"/>
      <c r="AM273" s="466"/>
      <c r="AN273" s="465"/>
      <c r="AO273" s="457"/>
      <c r="AP273" s="464"/>
      <c r="AQ273" s="464"/>
      <c r="AR273" s="460">
        <f t="shared" si="145"/>
        <v>0</v>
      </c>
      <c r="AS273" s="467">
        <f t="shared" si="146"/>
        <v>0.1812216052498738</v>
      </c>
      <c r="AT273" s="447">
        <f t="shared" si="147"/>
        <v>0</v>
      </c>
      <c r="AU273" s="448">
        <f t="shared" si="148"/>
        <v>0.16190476190476191</v>
      </c>
      <c r="AV273" s="457">
        <v>0</v>
      </c>
      <c r="AW273" s="450">
        <v>3</v>
      </c>
      <c r="AX273" s="463">
        <v>44</v>
      </c>
      <c r="AY273" s="457">
        <v>378</v>
      </c>
      <c r="AZ273" s="464">
        <v>44</v>
      </c>
      <c r="BA273" s="464">
        <v>454</v>
      </c>
      <c r="BB273" s="465">
        <v>51</v>
      </c>
      <c r="BC273" s="457">
        <v>352</v>
      </c>
      <c r="BD273" s="464">
        <v>51</v>
      </c>
      <c r="BE273" s="466">
        <v>377</v>
      </c>
      <c r="BF273" s="465">
        <v>26</v>
      </c>
      <c r="BG273" s="457">
        <v>15</v>
      </c>
      <c r="BH273" s="464">
        <v>26</v>
      </c>
      <c r="BI273" s="466">
        <v>23</v>
      </c>
      <c r="BJ273" s="465">
        <v>22</v>
      </c>
      <c r="BK273" s="457">
        <v>6</v>
      </c>
      <c r="BL273" s="464">
        <v>22</v>
      </c>
      <c r="BM273" s="466">
        <v>2</v>
      </c>
      <c r="BN273" s="465"/>
      <c r="BO273" s="457"/>
      <c r="BP273" s="464">
        <v>30</v>
      </c>
      <c r="BQ273" s="466">
        <v>1</v>
      </c>
      <c r="BR273" s="465"/>
      <c r="BS273" s="457"/>
      <c r="BT273" s="464"/>
      <c r="BU273" s="466"/>
      <c r="BV273" s="465"/>
      <c r="BW273" s="457"/>
      <c r="BX273" s="464"/>
      <c r="BY273" s="466"/>
      <c r="BZ273" s="465"/>
      <c r="CA273" s="457"/>
      <c r="CB273" s="464"/>
      <c r="CC273" s="466"/>
      <c r="CD273" s="465"/>
      <c r="CE273" s="457"/>
      <c r="CF273" s="464"/>
      <c r="CG273" s="466"/>
      <c r="CH273" s="465"/>
      <c r="CI273" s="457"/>
      <c r="CJ273" s="723"/>
      <c r="CK273" s="466"/>
      <c r="CL273" s="459"/>
      <c r="CM273" s="450"/>
      <c r="CN273" s="468">
        <f t="shared" si="149"/>
        <v>751</v>
      </c>
      <c r="CO273" s="468">
        <f t="shared" si="150"/>
        <v>4</v>
      </c>
      <c r="CP273" s="469">
        <f t="shared" si="151"/>
        <v>857</v>
      </c>
      <c r="CQ273" s="469">
        <f t="shared" si="152"/>
        <v>5</v>
      </c>
      <c r="CR273" s="463">
        <v>26</v>
      </c>
      <c r="CS273" s="457">
        <v>32</v>
      </c>
      <c r="CT273" s="464">
        <v>26</v>
      </c>
      <c r="CU273" s="464">
        <v>42</v>
      </c>
      <c r="CV273" s="465">
        <v>51</v>
      </c>
      <c r="CW273" s="457">
        <v>27</v>
      </c>
      <c r="CX273" s="464">
        <v>51</v>
      </c>
      <c r="CY273" s="466">
        <v>26</v>
      </c>
      <c r="CZ273" s="465">
        <v>44</v>
      </c>
      <c r="DA273" s="457">
        <v>3</v>
      </c>
      <c r="DB273" s="464">
        <v>44</v>
      </c>
      <c r="DC273" s="466">
        <v>6</v>
      </c>
      <c r="DD273" s="465">
        <v>30</v>
      </c>
      <c r="DE273" s="457">
        <v>1</v>
      </c>
      <c r="DF273" s="464">
        <v>30</v>
      </c>
      <c r="DG273" s="466">
        <v>1</v>
      </c>
      <c r="DH273" s="465"/>
      <c r="DI273" s="457"/>
      <c r="DJ273" s="464"/>
      <c r="DK273" s="466"/>
      <c r="DL273" s="465"/>
      <c r="DM273" s="457"/>
      <c r="DN273" s="464"/>
      <c r="DO273" s="466"/>
      <c r="DP273" s="465"/>
      <c r="DQ273" s="457"/>
      <c r="DR273" s="464"/>
      <c r="DS273" s="466"/>
      <c r="DT273" s="465"/>
      <c r="DU273" s="457"/>
      <c r="DV273" s="464"/>
      <c r="DW273" s="466"/>
      <c r="DX273" s="465"/>
      <c r="DY273" s="457"/>
      <c r="DZ273" s="464"/>
      <c r="EA273" s="466"/>
      <c r="EB273" s="465"/>
      <c r="EC273" s="457"/>
      <c r="ED273" s="464"/>
      <c r="EE273" s="466"/>
      <c r="EF273" s="459"/>
      <c r="EG273" s="450"/>
      <c r="EH273" s="460">
        <f t="shared" si="153"/>
        <v>63</v>
      </c>
      <c r="EI273" s="460">
        <f t="shared" si="154"/>
        <v>4</v>
      </c>
      <c r="EJ273" s="458">
        <f t="shared" si="155"/>
        <v>0.50793650793650791</v>
      </c>
      <c r="EK273" s="470">
        <f t="shared" si="156"/>
        <v>75</v>
      </c>
      <c r="EL273" s="470">
        <f t="shared" si="157"/>
        <v>4</v>
      </c>
      <c r="EM273" s="449">
        <f t="shared" si="158"/>
        <v>0.56000000000000005</v>
      </c>
      <c r="EN273" s="460">
        <f t="shared" si="159"/>
        <v>814</v>
      </c>
      <c r="EO273" s="469">
        <f t="shared" si="160"/>
        <v>932</v>
      </c>
      <c r="EP273" s="471">
        <v>293</v>
      </c>
      <c r="EQ273" s="450">
        <v>321</v>
      </c>
      <c r="ER273" s="471">
        <v>150</v>
      </c>
      <c r="ES273" s="450">
        <v>153</v>
      </c>
      <c r="ET273" s="471">
        <v>128</v>
      </c>
      <c r="EU273" s="450">
        <v>123</v>
      </c>
      <c r="EV273" s="471">
        <v>145</v>
      </c>
      <c r="EW273" s="450">
        <v>156</v>
      </c>
      <c r="EX273" s="471"/>
      <c r="EY273" s="450"/>
      <c r="EZ273" s="471"/>
      <c r="FA273" s="450"/>
      <c r="FB273" s="471"/>
      <c r="FC273" s="450"/>
      <c r="FD273" s="471"/>
      <c r="FE273" s="450"/>
      <c r="FF273" s="471"/>
      <c r="FG273" s="450"/>
      <c r="FH273" s="472">
        <v>92</v>
      </c>
      <c r="FI273" s="450">
        <v>72</v>
      </c>
      <c r="FJ273" s="468">
        <f t="shared" si="161"/>
        <v>808</v>
      </c>
      <c r="FK273" s="469">
        <f t="shared" si="162"/>
        <v>825</v>
      </c>
      <c r="FL273" s="472"/>
      <c r="FM273" s="450"/>
      <c r="FN273" s="460">
        <f t="shared" si="163"/>
        <v>1981</v>
      </c>
      <c r="FO273" s="469">
        <f t="shared" si="164"/>
        <v>2100</v>
      </c>
    </row>
    <row r="274" spans="1:171" x14ac:dyDescent="0.2">
      <c r="A274" s="727" t="s">
        <v>693</v>
      </c>
      <c r="B274" s="544" t="s">
        <v>694</v>
      </c>
      <c r="C274" s="545"/>
      <c r="D274" s="546">
        <v>176080</v>
      </c>
      <c r="E274" s="547">
        <v>1</v>
      </c>
      <c r="F274" s="532"/>
      <c r="G274" s="450"/>
      <c r="H274" s="457"/>
      <c r="I274" s="450"/>
      <c r="J274" s="457"/>
      <c r="K274" s="450"/>
      <c r="L274" s="458">
        <f t="shared" si="143"/>
        <v>0</v>
      </c>
      <c r="M274" s="449">
        <f t="shared" si="144"/>
        <v>0</v>
      </c>
      <c r="N274" s="459">
        <v>2759</v>
      </c>
      <c r="O274" s="459">
        <v>473</v>
      </c>
      <c r="P274" s="459"/>
      <c r="Q274" s="459"/>
      <c r="R274" s="460">
        <f t="shared" si="141"/>
        <v>473</v>
      </c>
      <c r="S274" s="466">
        <v>2922</v>
      </c>
      <c r="T274" s="466">
        <v>528</v>
      </c>
      <c r="U274" s="461"/>
      <c r="V274" s="461"/>
      <c r="W274" s="462">
        <f t="shared" si="142"/>
        <v>528</v>
      </c>
      <c r="X274" s="463"/>
      <c r="Y274" s="457"/>
      <c r="Z274" s="464"/>
      <c r="AA274" s="464"/>
      <c r="AB274" s="465"/>
      <c r="AC274" s="457"/>
      <c r="AD274" s="464"/>
      <c r="AE274" s="466"/>
      <c r="AF274" s="465"/>
      <c r="AG274" s="457"/>
      <c r="AH274" s="464"/>
      <c r="AI274" s="466"/>
      <c r="AJ274" s="465"/>
      <c r="AK274" s="457"/>
      <c r="AL274" s="464"/>
      <c r="AM274" s="466"/>
      <c r="AN274" s="465"/>
      <c r="AO274" s="457"/>
      <c r="AP274" s="464"/>
      <c r="AQ274" s="464"/>
      <c r="AR274" s="460">
        <f t="shared" si="145"/>
        <v>0</v>
      </c>
      <c r="AS274" s="467">
        <f t="shared" si="146"/>
        <v>0.71587960560456665</v>
      </c>
      <c r="AT274" s="447">
        <f t="shared" si="147"/>
        <v>0</v>
      </c>
      <c r="AU274" s="448">
        <f t="shared" si="148"/>
        <v>0.7286783042394015</v>
      </c>
      <c r="AV274" s="457"/>
      <c r="AW274" s="450"/>
      <c r="AX274" s="463">
        <v>13</v>
      </c>
      <c r="AY274" s="457">
        <v>227</v>
      </c>
      <c r="AZ274" s="464">
        <v>13</v>
      </c>
      <c r="BA274" s="464">
        <v>214</v>
      </c>
      <c r="BB274" s="465">
        <v>52</v>
      </c>
      <c r="BC274" s="457">
        <v>219</v>
      </c>
      <c r="BD274" s="464">
        <v>52</v>
      </c>
      <c r="BE274" s="466">
        <v>211</v>
      </c>
      <c r="BF274" s="465">
        <v>40</v>
      </c>
      <c r="BG274" s="457">
        <v>109</v>
      </c>
      <c r="BH274" s="464">
        <v>40</v>
      </c>
      <c r="BI274" s="466">
        <v>115</v>
      </c>
      <c r="BJ274" s="465">
        <v>14</v>
      </c>
      <c r="BK274" s="457">
        <v>75</v>
      </c>
      <c r="BL274" s="464">
        <v>14</v>
      </c>
      <c r="BM274" s="466">
        <v>84</v>
      </c>
      <c r="BN274" s="465">
        <v>44</v>
      </c>
      <c r="BO274" s="457">
        <v>40</v>
      </c>
      <c r="BP274" s="464">
        <v>26</v>
      </c>
      <c r="BQ274" s="466">
        <v>40</v>
      </c>
      <c r="BR274" s="465">
        <v>26</v>
      </c>
      <c r="BS274" s="457">
        <v>33</v>
      </c>
      <c r="BT274" s="464">
        <v>19</v>
      </c>
      <c r="BU274" s="466">
        <v>31</v>
      </c>
      <c r="BV274" s="465">
        <v>3</v>
      </c>
      <c r="BW274" s="457">
        <v>32</v>
      </c>
      <c r="BX274" s="464">
        <v>44</v>
      </c>
      <c r="BY274" s="466">
        <v>29</v>
      </c>
      <c r="BZ274" s="465">
        <v>1</v>
      </c>
      <c r="CA274" s="457">
        <v>27</v>
      </c>
      <c r="CB274" s="464">
        <v>3</v>
      </c>
      <c r="CC274" s="466">
        <v>25</v>
      </c>
      <c r="CD274" s="465">
        <v>19</v>
      </c>
      <c r="CE274" s="457">
        <v>20</v>
      </c>
      <c r="CF274" s="464">
        <v>1</v>
      </c>
      <c r="CG274" s="466">
        <v>20</v>
      </c>
      <c r="CH274" s="465">
        <v>11</v>
      </c>
      <c r="CI274" s="457">
        <v>19</v>
      </c>
      <c r="CJ274" s="464">
        <v>23</v>
      </c>
      <c r="CK274" s="466">
        <v>19</v>
      </c>
      <c r="CL274" s="459">
        <v>82</v>
      </c>
      <c r="CM274" s="450">
        <v>88</v>
      </c>
      <c r="CN274" s="468">
        <f t="shared" si="149"/>
        <v>883</v>
      </c>
      <c r="CO274" s="468">
        <f t="shared" si="150"/>
        <v>10</v>
      </c>
      <c r="CP274" s="469">
        <f t="shared" si="151"/>
        <v>876</v>
      </c>
      <c r="CQ274" s="469">
        <f t="shared" si="152"/>
        <v>10</v>
      </c>
      <c r="CR274" s="463">
        <v>14</v>
      </c>
      <c r="CS274" s="457">
        <v>41</v>
      </c>
      <c r="CT274" s="464">
        <v>14</v>
      </c>
      <c r="CU274" s="464">
        <v>42</v>
      </c>
      <c r="CV274" s="465">
        <v>13</v>
      </c>
      <c r="CW274" s="457">
        <v>36</v>
      </c>
      <c r="CX274" s="464">
        <v>13</v>
      </c>
      <c r="CY274" s="466">
        <v>27</v>
      </c>
      <c r="CZ274" s="465">
        <v>3</v>
      </c>
      <c r="DA274" s="457">
        <v>18</v>
      </c>
      <c r="DB274" s="464">
        <v>26</v>
      </c>
      <c r="DC274" s="466">
        <v>14</v>
      </c>
      <c r="DD274" s="465">
        <v>26</v>
      </c>
      <c r="DE274" s="457">
        <v>12</v>
      </c>
      <c r="DF274" s="464">
        <v>3</v>
      </c>
      <c r="DG274" s="466">
        <v>11</v>
      </c>
      <c r="DH274" s="465">
        <v>1</v>
      </c>
      <c r="DI274" s="457">
        <v>6</v>
      </c>
      <c r="DJ274" s="464">
        <v>52</v>
      </c>
      <c r="DK274" s="466">
        <v>8</v>
      </c>
      <c r="DL274" s="465">
        <v>19</v>
      </c>
      <c r="DM274" s="457">
        <v>5</v>
      </c>
      <c r="DN274" s="464">
        <v>44</v>
      </c>
      <c r="DO274" s="466">
        <v>7</v>
      </c>
      <c r="DP274" s="465">
        <v>40</v>
      </c>
      <c r="DQ274" s="457">
        <v>5</v>
      </c>
      <c r="DR274" s="464">
        <v>40</v>
      </c>
      <c r="DS274" s="466">
        <v>6</v>
      </c>
      <c r="DT274" s="465">
        <v>52</v>
      </c>
      <c r="DU274" s="457">
        <v>4</v>
      </c>
      <c r="DV274" s="464">
        <v>1</v>
      </c>
      <c r="DW274" s="466">
        <v>5</v>
      </c>
      <c r="DX274" s="465">
        <v>11</v>
      </c>
      <c r="DY274" s="457">
        <v>3</v>
      </c>
      <c r="DZ274" s="464">
        <v>51</v>
      </c>
      <c r="EA274" s="466">
        <v>5</v>
      </c>
      <c r="EB274" s="465">
        <v>45</v>
      </c>
      <c r="EC274" s="457">
        <v>2</v>
      </c>
      <c r="ED274" s="464">
        <v>11</v>
      </c>
      <c r="EE274" s="466">
        <v>3</v>
      </c>
      <c r="EF274" s="459">
        <v>7</v>
      </c>
      <c r="EG274" s="450">
        <v>7</v>
      </c>
      <c r="EH274" s="460">
        <f t="shared" si="153"/>
        <v>139</v>
      </c>
      <c r="EI274" s="460">
        <f t="shared" si="154"/>
        <v>10</v>
      </c>
      <c r="EJ274" s="458">
        <f t="shared" si="155"/>
        <v>0.29496402877697842</v>
      </c>
      <c r="EK274" s="470">
        <f t="shared" si="156"/>
        <v>135</v>
      </c>
      <c r="EL274" s="470">
        <f t="shared" si="157"/>
        <v>10</v>
      </c>
      <c r="EM274" s="449">
        <f t="shared" si="158"/>
        <v>0.31111111111111112</v>
      </c>
      <c r="EN274" s="460">
        <f t="shared" si="159"/>
        <v>1022</v>
      </c>
      <c r="EO274" s="469">
        <f t="shared" si="160"/>
        <v>1011</v>
      </c>
      <c r="EP274" s="471"/>
      <c r="EQ274" s="450"/>
      <c r="ER274" s="471"/>
      <c r="ES274" s="450"/>
      <c r="ET274" s="471"/>
      <c r="EU274" s="450"/>
      <c r="EV274" s="471"/>
      <c r="EW274" s="450"/>
      <c r="EX274" s="471"/>
      <c r="EY274" s="450"/>
      <c r="EZ274" s="471"/>
      <c r="FA274" s="450"/>
      <c r="FB274" s="471"/>
      <c r="FC274" s="450"/>
      <c r="FD274" s="471">
        <v>73</v>
      </c>
      <c r="FE274" s="450">
        <v>77</v>
      </c>
      <c r="FF274" s="471"/>
      <c r="FG274" s="450"/>
      <c r="FH274" s="472"/>
      <c r="FI274" s="450"/>
      <c r="FJ274" s="468">
        <f t="shared" si="161"/>
        <v>73</v>
      </c>
      <c r="FK274" s="469">
        <f t="shared" si="162"/>
        <v>77</v>
      </c>
      <c r="FL274" s="472"/>
      <c r="FM274" s="450"/>
      <c r="FN274" s="460">
        <f t="shared" si="163"/>
        <v>3854</v>
      </c>
      <c r="FO274" s="469">
        <f t="shared" si="164"/>
        <v>4010</v>
      </c>
    </row>
    <row r="275" spans="1:171" x14ac:dyDescent="0.2">
      <c r="A275" s="727" t="s">
        <v>693</v>
      </c>
      <c r="B275" s="544" t="s">
        <v>695</v>
      </c>
      <c r="C275" s="545" t="s">
        <v>639</v>
      </c>
      <c r="D275" s="546">
        <v>176372</v>
      </c>
      <c r="E275" s="547">
        <v>1</v>
      </c>
      <c r="F275" s="532"/>
      <c r="G275" s="450"/>
      <c r="H275" s="457"/>
      <c r="I275" s="450"/>
      <c r="J275" s="457"/>
      <c r="K275" s="450"/>
      <c r="L275" s="458">
        <f t="shared" si="143"/>
        <v>0</v>
      </c>
      <c r="M275" s="449">
        <f t="shared" si="144"/>
        <v>0</v>
      </c>
      <c r="N275" s="459">
        <v>2361</v>
      </c>
      <c r="O275" s="459">
        <v>316</v>
      </c>
      <c r="P275" s="459"/>
      <c r="Q275" s="459"/>
      <c r="R275" s="460">
        <f t="shared" si="141"/>
        <v>316</v>
      </c>
      <c r="S275" s="461">
        <v>2520</v>
      </c>
      <c r="T275" s="461">
        <v>314</v>
      </c>
      <c r="U275" s="461"/>
      <c r="V275" s="461"/>
      <c r="W275" s="462">
        <f t="shared" si="142"/>
        <v>314</v>
      </c>
      <c r="X275" s="463"/>
      <c r="Y275" s="457"/>
      <c r="Z275" s="464"/>
      <c r="AA275" s="464"/>
      <c r="AB275" s="465"/>
      <c r="AC275" s="457"/>
      <c r="AD275" s="464"/>
      <c r="AE275" s="466"/>
      <c r="AF275" s="465"/>
      <c r="AG275" s="457"/>
      <c r="AH275" s="464"/>
      <c r="AI275" s="466"/>
      <c r="AJ275" s="465"/>
      <c r="AK275" s="457"/>
      <c r="AL275" s="464"/>
      <c r="AM275" s="466"/>
      <c r="AN275" s="465"/>
      <c r="AO275" s="457"/>
      <c r="AP275" s="464"/>
      <c r="AQ275" s="464"/>
      <c r="AR275" s="460">
        <f t="shared" si="145"/>
        <v>0</v>
      </c>
      <c r="AS275" s="467">
        <f t="shared" si="146"/>
        <v>0.7215770171149144</v>
      </c>
      <c r="AT275" s="447">
        <f t="shared" si="147"/>
        <v>0</v>
      </c>
      <c r="AU275" s="448">
        <f t="shared" si="148"/>
        <v>0.72351421188630494</v>
      </c>
      <c r="AV275" s="457"/>
      <c r="AW275" s="450"/>
      <c r="AX275" s="463">
        <v>13</v>
      </c>
      <c r="AY275" s="457">
        <v>217</v>
      </c>
      <c r="AZ275" s="464">
        <v>13</v>
      </c>
      <c r="BA275" s="464">
        <v>188</v>
      </c>
      <c r="BB275" s="465">
        <v>51</v>
      </c>
      <c r="BC275" s="457">
        <v>116</v>
      </c>
      <c r="BD275" s="464">
        <v>51</v>
      </c>
      <c r="BE275" s="466">
        <v>149</v>
      </c>
      <c r="BF275" s="465">
        <v>52</v>
      </c>
      <c r="BG275" s="457">
        <v>65</v>
      </c>
      <c r="BH275" s="464">
        <v>52</v>
      </c>
      <c r="BI275" s="466">
        <v>70</v>
      </c>
      <c r="BJ275" s="465">
        <v>25</v>
      </c>
      <c r="BK275" s="457">
        <v>59</v>
      </c>
      <c r="BL275" s="464">
        <v>44</v>
      </c>
      <c r="BM275" s="466">
        <v>68</v>
      </c>
      <c r="BN275" s="465">
        <v>44</v>
      </c>
      <c r="BO275" s="457">
        <v>52</v>
      </c>
      <c r="BP275" s="464">
        <v>25</v>
      </c>
      <c r="BQ275" s="466">
        <v>60</v>
      </c>
      <c r="BR275" s="465">
        <v>11</v>
      </c>
      <c r="BS275" s="457">
        <v>31</v>
      </c>
      <c r="BT275" s="464">
        <v>31</v>
      </c>
      <c r="BU275" s="466">
        <v>35</v>
      </c>
      <c r="BV275" s="465">
        <v>31</v>
      </c>
      <c r="BW275" s="457">
        <v>29</v>
      </c>
      <c r="BX275" s="464">
        <v>9</v>
      </c>
      <c r="BY275" s="466">
        <v>24</v>
      </c>
      <c r="BZ275" s="465">
        <v>50</v>
      </c>
      <c r="CA275" s="457">
        <v>28</v>
      </c>
      <c r="CB275" s="464">
        <v>11</v>
      </c>
      <c r="CC275" s="466">
        <v>23</v>
      </c>
      <c r="CD275" s="465">
        <v>9</v>
      </c>
      <c r="CE275" s="457">
        <v>25</v>
      </c>
      <c r="CF275" s="464">
        <v>40</v>
      </c>
      <c r="CG275" s="466">
        <v>22</v>
      </c>
      <c r="CH275" s="465">
        <v>42</v>
      </c>
      <c r="CI275" s="457">
        <v>25</v>
      </c>
      <c r="CJ275" s="464">
        <v>19</v>
      </c>
      <c r="CK275" s="466">
        <v>21</v>
      </c>
      <c r="CL275" s="459">
        <v>124</v>
      </c>
      <c r="CM275" s="450">
        <v>100</v>
      </c>
      <c r="CN275" s="468">
        <f t="shared" si="149"/>
        <v>771</v>
      </c>
      <c r="CO275" s="468">
        <f t="shared" si="150"/>
        <v>10</v>
      </c>
      <c r="CP275" s="469">
        <f t="shared" si="151"/>
        <v>760</v>
      </c>
      <c r="CQ275" s="469">
        <f t="shared" si="152"/>
        <v>10</v>
      </c>
      <c r="CR275" s="463">
        <v>13</v>
      </c>
      <c r="CS275" s="457">
        <v>44</v>
      </c>
      <c r="CT275" s="464">
        <v>13</v>
      </c>
      <c r="CU275" s="464">
        <v>102</v>
      </c>
      <c r="CV275" s="465">
        <v>42</v>
      </c>
      <c r="CW275" s="457">
        <v>19</v>
      </c>
      <c r="CX275" s="464">
        <v>42</v>
      </c>
      <c r="CY275" s="466">
        <v>17</v>
      </c>
      <c r="CZ275" s="465">
        <v>23</v>
      </c>
      <c r="DA275" s="457">
        <v>14</v>
      </c>
      <c r="DB275" s="464">
        <v>51</v>
      </c>
      <c r="DC275" s="466">
        <v>13</v>
      </c>
      <c r="DD275" s="465">
        <v>51</v>
      </c>
      <c r="DE275" s="457">
        <v>11</v>
      </c>
      <c r="DF275" s="464">
        <v>23</v>
      </c>
      <c r="DG275" s="466">
        <v>11</v>
      </c>
      <c r="DH275" s="465">
        <v>11</v>
      </c>
      <c r="DI275" s="457">
        <v>10</v>
      </c>
      <c r="DJ275" s="464">
        <v>50</v>
      </c>
      <c r="DK275" s="466">
        <v>11</v>
      </c>
      <c r="DL275" s="465">
        <v>9</v>
      </c>
      <c r="DM275" s="457">
        <v>9</v>
      </c>
      <c r="DN275" s="464">
        <v>14</v>
      </c>
      <c r="DO275" s="466">
        <v>10</v>
      </c>
      <c r="DP275" s="465">
        <v>14</v>
      </c>
      <c r="DQ275" s="457">
        <v>8</v>
      </c>
      <c r="DR275" s="464">
        <v>45</v>
      </c>
      <c r="DS275" s="466">
        <v>7</v>
      </c>
      <c r="DT275" s="465">
        <v>26</v>
      </c>
      <c r="DU275" s="457">
        <v>7</v>
      </c>
      <c r="DV275" s="464">
        <v>40</v>
      </c>
      <c r="DW275" s="466">
        <v>6</v>
      </c>
      <c r="DX275" s="465">
        <v>45</v>
      </c>
      <c r="DY275" s="457">
        <v>5</v>
      </c>
      <c r="DZ275" s="464">
        <v>52</v>
      </c>
      <c r="EA275" s="466">
        <v>6</v>
      </c>
      <c r="EB275" s="465">
        <v>40</v>
      </c>
      <c r="EC275" s="457">
        <v>4</v>
      </c>
      <c r="ED275" s="464">
        <v>9</v>
      </c>
      <c r="EE275" s="466">
        <v>5</v>
      </c>
      <c r="EF275" s="459">
        <v>9</v>
      </c>
      <c r="EG275" s="450">
        <v>15</v>
      </c>
      <c r="EH275" s="460">
        <f t="shared" si="153"/>
        <v>140</v>
      </c>
      <c r="EI275" s="460">
        <f t="shared" si="154"/>
        <v>10</v>
      </c>
      <c r="EJ275" s="458">
        <f t="shared" si="155"/>
        <v>0.31428571428571428</v>
      </c>
      <c r="EK275" s="470">
        <f t="shared" si="156"/>
        <v>203</v>
      </c>
      <c r="EL275" s="470">
        <f t="shared" si="157"/>
        <v>10</v>
      </c>
      <c r="EM275" s="449">
        <f t="shared" si="158"/>
        <v>0.50246305418719217</v>
      </c>
      <c r="EN275" s="460">
        <f t="shared" si="159"/>
        <v>911</v>
      </c>
      <c r="EO275" s="469">
        <f t="shared" si="160"/>
        <v>963</v>
      </c>
      <c r="EP275" s="471"/>
      <c r="EQ275" s="450"/>
      <c r="ER275" s="471"/>
      <c r="ES275" s="450"/>
      <c r="ET275" s="471"/>
      <c r="EU275" s="450"/>
      <c r="EV275" s="471"/>
      <c r="EW275" s="450"/>
      <c r="EX275" s="471"/>
      <c r="EY275" s="450"/>
      <c r="EZ275" s="471"/>
      <c r="FA275" s="450"/>
      <c r="FB275" s="471"/>
      <c r="FC275" s="450"/>
      <c r="FD275" s="471"/>
      <c r="FE275" s="450"/>
      <c r="FF275" s="471"/>
      <c r="FG275" s="450"/>
      <c r="FH275" s="472"/>
      <c r="FI275" s="450"/>
      <c r="FJ275" s="468">
        <f t="shared" si="161"/>
        <v>0</v>
      </c>
      <c r="FK275" s="469">
        <f t="shared" si="162"/>
        <v>0</v>
      </c>
      <c r="FL275" s="472"/>
      <c r="FM275" s="450"/>
      <c r="FN275" s="460">
        <f t="shared" si="163"/>
        <v>3272</v>
      </c>
      <c r="FO275" s="469">
        <f t="shared" si="164"/>
        <v>3483</v>
      </c>
    </row>
    <row r="276" spans="1:171" x14ac:dyDescent="0.2">
      <c r="A276" s="727" t="s">
        <v>693</v>
      </c>
      <c r="B276" s="544" t="s">
        <v>696</v>
      </c>
      <c r="C276" s="545"/>
      <c r="D276" s="546">
        <v>175856</v>
      </c>
      <c r="E276" s="547">
        <v>2</v>
      </c>
      <c r="F276" s="532"/>
      <c r="G276" s="450"/>
      <c r="H276" s="457"/>
      <c r="I276" s="450"/>
      <c r="J276" s="457"/>
      <c r="K276" s="450"/>
      <c r="L276" s="458">
        <f t="shared" si="143"/>
        <v>0</v>
      </c>
      <c r="M276" s="449">
        <f t="shared" si="144"/>
        <v>0</v>
      </c>
      <c r="N276" s="459">
        <v>1033</v>
      </c>
      <c r="O276" s="459">
        <v>146</v>
      </c>
      <c r="P276" s="459"/>
      <c r="Q276" s="459"/>
      <c r="R276" s="460">
        <f t="shared" si="141"/>
        <v>146</v>
      </c>
      <c r="S276" s="461">
        <v>1064</v>
      </c>
      <c r="T276" s="461">
        <v>150</v>
      </c>
      <c r="U276" s="461"/>
      <c r="V276" s="461"/>
      <c r="W276" s="462">
        <f t="shared" si="142"/>
        <v>150</v>
      </c>
      <c r="X276" s="463"/>
      <c r="Y276" s="457"/>
      <c r="Z276" s="464"/>
      <c r="AA276" s="464"/>
      <c r="AB276" s="465"/>
      <c r="AC276" s="457"/>
      <c r="AD276" s="464"/>
      <c r="AE276" s="466"/>
      <c r="AF276" s="465"/>
      <c r="AG276" s="457"/>
      <c r="AH276" s="464"/>
      <c r="AI276" s="466"/>
      <c r="AJ276" s="465"/>
      <c r="AK276" s="457"/>
      <c r="AL276" s="464"/>
      <c r="AM276" s="466"/>
      <c r="AN276" s="465"/>
      <c r="AO276" s="457"/>
      <c r="AP276" s="464"/>
      <c r="AQ276" s="464"/>
      <c r="AR276" s="460">
        <f t="shared" si="145"/>
        <v>0</v>
      </c>
      <c r="AS276" s="467">
        <f t="shared" si="146"/>
        <v>0.68820786142571622</v>
      </c>
      <c r="AT276" s="447">
        <f t="shared" si="147"/>
        <v>0</v>
      </c>
      <c r="AU276" s="448">
        <f t="shared" si="148"/>
        <v>0.68248877485567672</v>
      </c>
      <c r="AV276" s="457"/>
      <c r="AW276" s="450"/>
      <c r="AX276" s="463">
        <v>13</v>
      </c>
      <c r="AY276" s="457">
        <v>185</v>
      </c>
      <c r="AZ276" s="464">
        <v>13</v>
      </c>
      <c r="BA276" s="464">
        <v>190</v>
      </c>
      <c r="BB276" s="465">
        <v>51</v>
      </c>
      <c r="BC276" s="457">
        <v>67</v>
      </c>
      <c r="BD276" s="464">
        <v>51</v>
      </c>
      <c r="BE276" s="466">
        <v>72</v>
      </c>
      <c r="BF276" s="465">
        <v>44</v>
      </c>
      <c r="BG276" s="457">
        <v>50</v>
      </c>
      <c r="BH276" s="464">
        <v>44</v>
      </c>
      <c r="BI276" s="466">
        <v>62</v>
      </c>
      <c r="BJ276" s="465">
        <v>52</v>
      </c>
      <c r="BK276" s="457">
        <v>27</v>
      </c>
      <c r="BL276" s="464">
        <v>52</v>
      </c>
      <c r="BM276" s="466">
        <v>21</v>
      </c>
      <c r="BN276" s="465">
        <v>14</v>
      </c>
      <c r="BO276" s="457">
        <v>13</v>
      </c>
      <c r="BP276" s="464">
        <v>45</v>
      </c>
      <c r="BQ276" s="466">
        <v>14</v>
      </c>
      <c r="BR276" s="465">
        <v>45</v>
      </c>
      <c r="BS276" s="457">
        <v>13</v>
      </c>
      <c r="BT276" s="464">
        <v>14</v>
      </c>
      <c r="BU276" s="466">
        <v>11</v>
      </c>
      <c r="BV276" s="465">
        <v>23</v>
      </c>
      <c r="BW276" s="457">
        <v>11</v>
      </c>
      <c r="BX276" s="464">
        <v>4</v>
      </c>
      <c r="BY276" s="466">
        <v>10</v>
      </c>
      <c r="BZ276" s="465">
        <v>15</v>
      </c>
      <c r="CA276" s="457">
        <v>8</v>
      </c>
      <c r="CB276" s="464">
        <v>23</v>
      </c>
      <c r="CC276" s="466">
        <v>10</v>
      </c>
      <c r="CD276" s="465">
        <v>26</v>
      </c>
      <c r="CE276" s="457">
        <v>7</v>
      </c>
      <c r="CF276" s="464">
        <v>26</v>
      </c>
      <c r="CG276" s="466">
        <v>9</v>
      </c>
      <c r="CH276" s="465">
        <v>4</v>
      </c>
      <c r="CI276" s="457">
        <v>6</v>
      </c>
      <c r="CJ276" s="464">
        <v>11</v>
      </c>
      <c r="CK276" s="466">
        <v>7</v>
      </c>
      <c r="CL276" s="459">
        <v>29</v>
      </c>
      <c r="CM276" s="450">
        <v>29</v>
      </c>
      <c r="CN276" s="468">
        <f t="shared" si="149"/>
        <v>416</v>
      </c>
      <c r="CO276" s="468">
        <f t="shared" si="150"/>
        <v>10</v>
      </c>
      <c r="CP276" s="469">
        <f t="shared" si="151"/>
        <v>435</v>
      </c>
      <c r="CQ276" s="469">
        <f t="shared" si="152"/>
        <v>10</v>
      </c>
      <c r="CR276" s="463">
        <v>13</v>
      </c>
      <c r="CS276" s="457">
        <v>29</v>
      </c>
      <c r="CT276" s="464">
        <v>13</v>
      </c>
      <c r="CU276" s="464">
        <v>35</v>
      </c>
      <c r="CV276" s="465">
        <v>44</v>
      </c>
      <c r="CW276" s="457">
        <v>8</v>
      </c>
      <c r="CX276" s="464">
        <v>52</v>
      </c>
      <c r="CY276" s="466">
        <v>6</v>
      </c>
      <c r="CZ276" s="465">
        <v>3</v>
      </c>
      <c r="DA276" s="457">
        <v>5</v>
      </c>
      <c r="DB276" s="464">
        <v>40</v>
      </c>
      <c r="DC276" s="466">
        <v>5</v>
      </c>
      <c r="DD276" s="465">
        <v>40</v>
      </c>
      <c r="DE276" s="457">
        <v>4</v>
      </c>
      <c r="DF276" s="464">
        <v>3</v>
      </c>
      <c r="DG276" s="466">
        <v>4</v>
      </c>
      <c r="DH276" s="465">
        <v>52</v>
      </c>
      <c r="DI276" s="457">
        <v>4</v>
      </c>
      <c r="DJ276" s="464">
        <v>42</v>
      </c>
      <c r="DK276" s="466">
        <v>4</v>
      </c>
      <c r="DL276" s="465">
        <v>42</v>
      </c>
      <c r="DM276" s="457">
        <v>1</v>
      </c>
      <c r="DN276" s="464">
        <v>44</v>
      </c>
      <c r="DO276" s="466">
        <v>4</v>
      </c>
      <c r="DP276" s="465">
        <v>51</v>
      </c>
      <c r="DQ276" s="457">
        <v>1</v>
      </c>
      <c r="DR276" s="464">
        <v>4</v>
      </c>
      <c r="DS276" s="466">
        <v>2</v>
      </c>
      <c r="DT276" s="465"/>
      <c r="DU276" s="457"/>
      <c r="DV276" s="464"/>
      <c r="DW276" s="466"/>
      <c r="DX276" s="465"/>
      <c r="DY276" s="457"/>
      <c r="DZ276" s="464"/>
      <c r="EA276" s="466"/>
      <c r="EB276" s="465"/>
      <c r="EC276" s="457"/>
      <c r="ED276" s="464"/>
      <c r="EE276" s="466"/>
      <c r="EF276" s="459"/>
      <c r="EG276" s="450"/>
      <c r="EH276" s="460">
        <f t="shared" si="153"/>
        <v>52</v>
      </c>
      <c r="EI276" s="460">
        <f t="shared" si="154"/>
        <v>7</v>
      </c>
      <c r="EJ276" s="458">
        <f t="shared" si="155"/>
        <v>0.55769230769230771</v>
      </c>
      <c r="EK276" s="470">
        <f t="shared" si="156"/>
        <v>60</v>
      </c>
      <c r="EL276" s="470">
        <f t="shared" si="157"/>
        <v>7</v>
      </c>
      <c r="EM276" s="449">
        <f t="shared" si="158"/>
        <v>0.58333333333333337</v>
      </c>
      <c r="EN276" s="460">
        <f t="shared" si="159"/>
        <v>468</v>
      </c>
      <c r="EO276" s="469">
        <f t="shared" si="160"/>
        <v>495</v>
      </c>
      <c r="EP276" s="471"/>
      <c r="EQ276" s="450"/>
      <c r="ER276" s="471"/>
      <c r="ES276" s="450"/>
      <c r="ET276" s="471"/>
      <c r="EU276" s="450"/>
      <c r="EV276" s="471"/>
      <c r="EW276" s="450"/>
      <c r="EX276" s="471"/>
      <c r="EY276" s="450"/>
      <c r="EZ276" s="471"/>
      <c r="FA276" s="450"/>
      <c r="FB276" s="471"/>
      <c r="FC276" s="450"/>
      <c r="FD276" s="471"/>
      <c r="FE276" s="450"/>
      <c r="FF276" s="471"/>
      <c r="FG276" s="450"/>
      <c r="FH276" s="472"/>
      <c r="FI276" s="450"/>
      <c r="FJ276" s="468">
        <f t="shared" si="161"/>
        <v>0</v>
      </c>
      <c r="FK276" s="469">
        <f t="shared" si="162"/>
        <v>0</v>
      </c>
      <c r="FL276" s="472"/>
      <c r="FM276" s="450"/>
      <c r="FN276" s="460">
        <f t="shared" si="163"/>
        <v>1501</v>
      </c>
      <c r="FO276" s="469">
        <f t="shared" si="164"/>
        <v>1559</v>
      </c>
    </row>
    <row r="277" spans="1:171" x14ac:dyDescent="0.2">
      <c r="A277" s="727" t="s">
        <v>693</v>
      </c>
      <c r="B277" s="544" t="s">
        <v>697</v>
      </c>
      <c r="C277" s="545"/>
      <c r="D277" s="546">
        <v>176017</v>
      </c>
      <c r="E277" s="547">
        <v>2</v>
      </c>
      <c r="F277" s="532"/>
      <c r="G277" s="450"/>
      <c r="H277" s="457"/>
      <c r="I277" s="450"/>
      <c r="J277" s="457"/>
      <c r="K277" s="450"/>
      <c r="L277" s="458">
        <f t="shared" si="143"/>
        <v>0</v>
      </c>
      <c r="M277" s="449">
        <f t="shared" si="144"/>
        <v>0</v>
      </c>
      <c r="N277" s="459">
        <v>2866</v>
      </c>
      <c r="O277" s="459">
        <v>329</v>
      </c>
      <c r="P277" s="459"/>
      <c r="Q277" s="459"/>
      <c r="R277" s="460">
        <f t="shared" si="141"/>
        <v>329</v>
      </c>
      <c r="S277" s="461">
        <v>2661</v>
      </c>
      <c r="T277" s="461">
        <v>332</v>
      </c>
      <c r="U277" s="461"/>
      <c r="V277" s="461"/>
      <c r="W277" s="462">
        <f t="shared" si="142"/>
        <v>332</v>
      </c>
      <c r="X277" s="463"/>
      <c r="Y277" s="457"/>
      <c r="Z277" s="464"/>
      <c r="AA277" s="464"/>
      <c r="AB277" s="465"/>
      <c r="AC277" s="457"/>
      <c r="AD277" s="464"/>
      <c r="AE277" s="466"/>
      <c r="AF277" s="465"/>
      <c r="AG277" s="457"/>
      <c r="AH277" s="464"/>
      <c r="AI277" s="466"/>
      <c r="AJ277" s="465"/>
      <c r="AK277" s="457"/>
      <c r="AL277" s="464"/>
      <c r="AM277" s="466"/>
      <c r="AN277" s="465"/>
      <c r="AO277" s="457"/>
      <c r="AP277" s="464"/>
      <c r="AQ277" s="464"/>
      <c r="AR277" s="460">
        <f t="shared" si="145"/>
        <v>0</v>
      </c>
      <c r="AS277" s="467">
        <f t="shared" si="146"/>
        <v>0.73374295954941116</v>
      </c>
      <c r="AT277" s="447">
        <f t="shared" si="147"/>
        <v>0</v>
      </c>
      <c r="AU277" s="448">
        <f t="shared" si="148"/>
        <v>0.71957815035154138</v>
      </c>
      <c r="AV277" s="457"/>
      <c r="AW277" s="450"/>
      <c r="AX277" s="463">
        <v>13</v>
      </c>
      <c r="AY277" s="457">
        <v>279</v>
      </c>
      <c r="AZ277" s="464">
        <v>13</v>
      </c>
      <c r="BA277" s="464">
        <v>261</v>
      </c>
      <c r="BB277" s="465">
        <v>52</v>
      </c>
      <c r="BC277" s="457">
        <v>149</v>
      </c>
      <c r="BD277" s="464">
        <v>52</v>
      </c>
      <c r="BE277" s="466">
        <v>156</v>
      </c>
      <c r="BF277" s="465">
        <v>51</v>
      </c>
      <c r="BG277" s="457">
        <v>55</v>
      </c>
      <c r="BH277" s="464">
        <v>51</v>
      </c>
      <c r="BI277" s="466">
        <v>49</v>
      </c>
      <c r="BJ277" s="465">
        <v>14</v>
      </c>
      <c r="BK277" s="457">
        <v>39</v>
      </c>
      <c r="BL277" s="464">
        <v>14</v>
      </c>
      <c r="BM277" s="466">
        <v>36</v>
      </c>
      <c r="BN277" s="465">
        <v>16</v>
      </c>
      <c r="BO277" s="457">
        <v>23</v>
      </c>
      <c r="BP277" s="464">
        <v>16</v>
      </c>
      <c r="BQ277" s="466">
        <v>27</v>
      </c>
      <c r="BR277" s="465">
        <v>45</v>
      </c>
      <c r="BS277" s="457">
        <v>23</v>
      </c>
      <c r="BT277" s="464">
        <v>31</v>
      </c>
      <c r="BU277" s="466">
        <v>25</v>
      </c>
      <c r="BV277" s="465">
        <v>31</v>
      </c>
      <c r="BW277" s="457">
        <v>17</v>
      </c>
      <c r="BX277" s="464">
        <v>45</v>
      </c>
      <c r="BY277" s="466">
        <v>19</v>
      </c>
      <c r="BZ277" s="465">
        <v>42</v>
      </c>
      <c r="CA277" s="457">
        <v>14</v>
      </c>
      <c r="CB277" s="464">
        <v>50</v>
      </c>
      <c r="CC277" s="466">
        <v>19</v>
      </c>
      <c r="CD277" s="465">
        <v>5</v>
      </c>
      <c r="CE277" s="457">
        <v>13</v>
      </c>
      <c r="CF277" s="464">
        <v>23</v>
      </c>
      <c r="CG277" s="466">
        <v>17</v>
      </c>
      <c r="CH277" s="465">
        <v>9</v>
      </c>
      <c r="CI277" s="457">
        <v>11</v>
      </c>
      <c r="CJ277" s="464">
        <v>19</v>
      </c>
      <c r="CK277" s="466">
        <v>14</v>
      </c>
      <c r="CL277" s="459">
        <v>68</v>
      </c>
      <c r="CM277" s="450">
        <v>61</v>
      </c>
      <c r="CN277" s="468">
        <f t="shared" si="149"/>
        <v>691</v>
      </c>
      <c r="CO277" s="468">
        <f t="shared" si="150"/>
        <v>10</v>
      </c>
      <c r="CP277" s="469">
        <f t="shared" si="151"/>
        <v>684</v>
      </c>
      <c r="CQ277" s="469">
        <f t="shared" si="152"/>
        <v>10</v>
      </c>
      <c r="CR277" s="463">
        <v>13</v>
      </c>
      <c r="CS277" s="457">
        <v>26</v>
      </c>
      <c r="CT277" s="464">
        <v>13</v>
      </c>
      <c r="CU277" s="464">
        <v>25</v>
      </c>
      <c r="CV277" s="465">
        <v>51</v>
      </c>
      <c r="CW277" s="457">
        <v>17</v>
      </c>
      <c r="CX277" s="464">
        <v>51</v>
      </c>
      <c r="CY277" s="466">
        <v>18</v>
      </c>
      <c r="CZ277" s="465">
        <v>14</v>
      </c>
      <c r="DA277" s="457">
        <v>15</v>
      </c>
      <c r="DB277" s="464">
        <v>52</v>
      </c>
      <c r="DC277" s="466">
        <v>8</v>
      </c>
      <c r="DD277" s="465">
        <v>42</v>
      </c>
      <c r="DE277" s="457">
        <v>8</v>
      </c>
      <c r="DF277" s="464">
        <v>40</v>
      </c>
      <c r="DG277" s="466">
        <v>6</v>
      </c>
      <c r="DH277" s="465">
        <v>52</v>
      </c>
      <c r="DI277" s="457">
        <v>8</v>
      </c>
      <c r="DJ277" s="464">
        <v>54</v>
      </c>
      <c r="DK277" s="466">
        <v>6</v>
      </c>
      <c r="DL277" s="465">
        <v>40</v>
      </c>
      <c r="DM277" s="457">
        <v>7</v>
      </c>
      <c r="DN277" s="464">
        <v>42</v>
      </c>
      <c r="DO277" s="466">
        <v>5</v>
      </c>
      <c r="DP277" s="465">
        <v>23</v>
      </c>
      <c r="DQ277" s="457">
        <v>4</v>
      </c>
      <c r="DR277" s="464">
        <v>23</v>
      </c>
      <c r="DS277" s="466">
        <v>3</v>
      </c>
      <c r="DT277" s="465">
        <v>27</v>
      </c>
      <c r="DU277" s="457">
        <v>4</v>
      </c>
      <c r="DV277" s="464">
        <v>50</v>
      </c>
      <c r="DW277" s="466">
        <v>3</v>
      </c>
      <c r="DX277" s="465">
        <v>26</v>
      </c>
      <c r="DY277" s="457">
        <v>3</v>
      </c>
      <c r="DZ277" s="464">
        <v>26</v>
      </c>
      <c r="EA277" s="466">
        <v>3</v>
      </c>
      <c r="EB277" s="465">
        <v>31</v>
      </c>
      <c r="EC277" s="457">
        <v>3</v>
      </c>
      <c r="ED277" s="464">
        <v>45</v>
      </c>
      <c r="EE277" s="466">
        <v>3</v>
      </c>
      <c r="EF277" s="459">
        <v>6</v>
      </c>
      <c r="EG277" s="450">
        <v>4</v>
      </c>
      <c r="EH277" s="460">
        <f t="shared" si="153"/>
        <v>101</v>
      </c>
      <c r="EI277" s="460">
        <f t="shared" si="154"/>
        <v>10</v>
      </c>
      <c r="EJ277" s="458">
        <f t="shared" si="155"/>
        <v>0.25742574257425743</v>
      </c>
      <c r="EK277" s="470">
        <f t="shared" si="156"/>
        <v>84</v>
      </c>
      <c r="EL277" s="470">
        <f t="shared" si="157"/>
        <v>10</v>
      </c>
      <c r="EM277" s="449">
        <f t="shared" si="158"/>
        <v>0.29761904761904762</v>
      </c>
      <c r="EN277" s="460">
        <f t="shared" si="159"/>
        <v>792</v>
      </c>
      <c r="EO277" s="469">
        <f t="shared" si="160"/>
        <v>768</v>
      </c>
      <c r="EP277" s="471">
        <v>150</v>
      </c>
      <c r="EQ277" s="450">
        <v>164</v>
      </c>
      <c r="ER277" s="471"/>
      <c r="ES277" s="450"/>
      <c r="ET277" s="471"/>
      <c r="EU277" s="450"/>
      <c r="EV277" s="471">
        <v>98</v>
      </c>
      <c r="EW277" s="450">
        <v>105</v>
      </c>
      <c r="EX277" s="471"/>
      <c r="EY277" s="450"/>
      <c r="EZ277" s="471"/>
      <c r="FA277" s="450"/>
      <c r="FB277" s="471"/>
      <c r="FC277" s="450"/>
      <c r="FD277" s="471"/>
      <c r="FE277" s="450"/>
      <c r="FF277" s="471"/>
      <c r="FG277" s="450"/>
      <c r="FH277" s="472"/>
      <c r="FI277" s="450"/>
      <c r="FJ277" s="468">
        <f t="shared" si="161"/>
        <v>248</v>
      </c>
      <c r="FK277" s="469">
        <f t="shared" si="162"/>
        <v>269</v>
      </c>
      <c r="FL277" s="472"/>
      <c r="FM277" s="450"/>
      <c r="FN277" s="460">
        <f t="shared" si="163"/>
        <v>3906</v>
      </c>
      <c r="FO277" s="469">
        <f t="shared" si="164"/>
        <v>3698</v>
      </c>
    </row>
    <row r="278" spans="1:171" x14ac:dyDescent="0.2">
      <c r="A278" s="543" t="s">
        <v>693</v>
      </c>
      <c r="B278" s="544" t="s">
        <v>698</v>
      </c>
      <c r="C278" s="545"/>
      <c r="D278" s="546">
        <v>175342</v>
      </c>
      <c r="E278" s="547">
        <v>4</v>
      </c>
      <c r="F278" s="532"/>
      <c r="G278" s="450"/>
      <c r="H278" s="457"/>
      <c r="I278" s="450"/>
      <c r="J278" s="457">
        <v>31</v>
      </c>
      <c r="K278" s="450">
        <v>22</v>
      </c>
      <c r="L278" s="458">
        <f t="shared" si="143"/>
        <v>8.4010840108401083E-2</v>
      </c>
      <c r="M278" s="449">
        <f t="shared" si="144"/>
        <v>5.7894736842105263E-2</v>
      </c>
      <c r="N278" s="459">
        <v>369</v>
      </c>
      <c r="O278" s="459">
        <v>11</v>
      </c>
      <c r="P278" s="459"/>
      <c r="Q278" s="459"/>
      <c r="R278" s="460">
        <f t="shared" si="141"/>
        <v>11</v>
      </c>
      <c r="S278" s="461">
        <v>380</v>
      </c>
      <c r="T278" s="461">
        <v>17</v>
      </c>
      <c r="U278" s="461"/>
      <c r="V278" s="461"/>
      <c r="W278" s="462">
        <f t="shared" si="142"/>
        <v>17</v>
      </c>
      <c r="X278" s="463"/>
      <c r="Y278" s="457"/>
      <c r="Z278" s="464"/>
      <c r="AA278" s="464"/>
      <c r="AB278" s="465"/>
      <c r="AC278" s="457"/>
      <c r="AD278" s="464"/>
      <c r="AE278" s="466"/>
      <c r="AF278" s="465"/>
      <c r="AG278" s="457"/>
      <c r="AH278" s="464"/>
      <c r="AI278" s="466"/>
      <c r="AJ278" s="465"/>
      <c r="AK278" s="457"/>
      <c r="AL278" s="464"/>
      <c r="AM278" s="466"/>
      <c r="AN278" s="465"/>
      <c r="AO278" s="457"/>
      <c r="AP278" s="464"/>
      <c r="AQ278" s="464"/>
      <c r="AR278" s="460">
        <f t="shared" si="145"/>
        <v>0</v>
      </c>
      <c r="AS278" s="467">
        <f t="shared" si="146"/>
        <v>0.59420289855072461</v>
      </c>
      <c r="AT278" s="447">
        <f t="shared" si="147"/>
        <v>0</v>
      </c>
      <c r="AU278" s="448">
        <f t="shared" si="148"/>
        <v>0.67495559502664293</v>
      </c>
      <c r="AV278" s="457"/>
      <c r="AW278" s="450"/>
      <c r="AX278" s="463">
        <v>13</v>
      </c>
      <c r="AY278" s="457">
        <v>164</v>
      </c>
      <c r="AZ278" s="464">
        <v>13</v>
      </c>
      <c r="BA278" s="464">
        <v>124</v>
      </c>
      <c r="BB278" s="465">
        <v>51</v>
      </c>
      <c r="BC278" s="457">
        <v>18</v>
      </c>
      <c r="BD278" s="464">
        <v>51</v>
      </c>
      <c r="BE278" s="466">
        <v>21</v>
      </c>
      <c r="BF278" s="465">
        <v>1</v>
      </c>
      <c r="BG278" s="457">
        <v>15</v>
      </c>
      <c r="BH278" s="464">
        <v>26</v>
      </c>
      <c r="BI278" s="466">
        <v>7</v>
      </c>
      <c r="BJ278" s="465">
        <v>52</v>
      </c>
      <c r="BK278" s="457">
        <v>15</v>
      </c>
      <c r="BL278" s="464">
        <v>52</v>
      </c>
      <c r="BM278" s="466">
        <v>6</v>
      </c>
      <c r="BN278" s="465">
        <v>26</v>
      </c>
      <c r="BO278" s="457">
        <v>9</v>
      </c>
      <c r="BP278" s="464">
        <v>1</v>
      </c>
      <c r="BQ278" s="466">
        <v>2</v>
      </c>
      <c r="BR278" s="465"/>
      <c r="BS278" s="457"/>
      <c r="BT278" s="464">
        <v>11</v>
      </c>
      <c r="BU278" s="466">
        <v>1</v>
      </c>
      <c r="BV278" s="465"/>
      <c r="BW278" s="457"/>
      <c r="BX278" s="464"/>
      <c r="BY278" s="466"/>
      <c r="BZ278" s="465"/>
      <c r="CA278" s="457"/>
      <c r="CB278" s="464"/>
      <c r="CC278" s="466"/>
      <c r="CD278" s="465"/>
      <c r="CE278" s="457"/>
      <c r="CF278" s="464"/>
      <c r="CG278" s="466"/>
      <c r="CH278" s="465"/>
      <c r="CI278" s="457"/>
      <c r="CJ278" s="464"/>
      <c r="CK278" s="466"/>
      <c r="CL278" s="459"/>
      <c r="CM278" s="450"/>
      <c r="CN278" s="468">
        <f t="shared" si="149"/>
        <v>221</v>
      </c>
      <c r="CO278" s="468">
        <f t="shared" si="150"/>
        <v>5</v>
      </c>
      <c r="CP278" s="469">
        <f t="shared" si="151"/>
        <v>161</v>
      </c>
      <c r="CQ278" s="469">
        <f t="shared" si="152"/>
        <v>6</v>
      </c>
      <c r="CR278" s="463"/>
      <c r="CS278" s="457"/>
      <c r="CT278" s="464"/>
      <c r="CU278" s="464"/>
      <c r="CV278" s="465"/>
      <c r="CW278" s="457"/>
      <c r="CX278" s="464"/>
      <c r="CY278" s="466"/>
      <c r="CZ278" s="465"/>
      <c r="DA278" s="457"/>
      <c r="DB278" s="464"/>
      <c r="DC278" s="466"/>
      <c r="DD278" s="465"/>
      <c r="DE278" s="457"/>
      <c r="DF278" s="464"/>
      <c r="DG278" s="466"/>
      <c r="DH278" s="465"/>
      <c r="DI278" s="457"/>
      <c r="DJ278" s="464"/>
      <c r="DK278" s="466"/>
      <c r="DL278" s="465"/>
      <c r="DM278" s="457"/>
      <c r="DN278" s="464"/>
      <c r="DO278" s="466"/>
      <c r="DP278" s="465"/>
      <c r="DQ278" s="457"/>
      <c r="DR278" s="464"/>
      <c r="DS278" s="466"/>
      <c r="DT278" s="465"/>
      <c r="DU278" s="457"/>
      <c r="DV278" s="464"/>
      <c r="DW278" s="466"/>
      <c r="DX278" s="465"/>
      <c r="DY278" s="457"/>
      <c r="DZ278" s="464"/>
      <c r="EA278" s="466"/>
      <c r="EB278" s="465"/>
      <c r="EC278" s="457"/>
      <c r="ED278" s="464"/>
      <c r="EE278" s="466"/>
      <c r="EF278" s="459"/>
      <c r="EG278" s="450"/>
      <c r="EH278" s="460">
        <f t="shared" si="153"/>
        <v>0</v>
      </c>
      <c r="EI278" s="460">
        <f t="shared" si="154"/>
        <v>0</v>
      </c>
      <c r="EJ278" s="458">
        <f t="shared" si="155"/>
        <v>0</v>
      </c>
      <c r="EK278" s="470">
        <f t="shared" si="156"/>
        <v>0</v>
      </c>
      <c r="EL278" s="470">
        <f t="shared" si="157"/>
        <v>0</v>
      </c>
      <c r="EM278" s="449">
        <f t="shared" si="158"/>
        <v>0</v>
      </c>
      <c r="EN278" s="460">
        <f t="shared" si="159"/>
        <v>221</v>
      </c>
      <c r="EO278" s="469">
        <f t="shared" si="160"/>
        <v>161</v>
      </c>
      <c r="EP278" s="471"/>
      <c r="EQ278" s="450"/>
      <c r="ER278" s="471"/>
      <c r="ES278" s="450"/>
      <c r="ET278" s="471"/>
      <c r="EU278" s="450"/>
      <c r="EV278" s="471"/>
      <c r="EW278" s="450"/>
      <c r="EX278" s="471"/>
      <c r="EY278" s="450"/>
      <c r="EZ278" s="471"/>
      <c r="FA278" s="450"/>
      <c r="FB278" s="471"/>
      <c r="FC278" s="450"/>
      <c r="FD278" s="471"/>
      <c r="FE278" s="450"/>
      <c r="FF278" s="471"/>
      <c r="FG278" s="450"/>
      <c r="FH278" s="472"/>
      <c r="FI278" s="450"/>
      <c r="FJ278" s="468">
        <f t="shared" si="161"/>
        <v>0</v>
      </c>
      <c r="FK278" s="469">
        <f t="shared" si="162"/>
        <v>0</v>
      </c>
      <c r="FL278" s="472"/>
      <c r="FM278" s="450"/>
      <c r="FN278" s="460">
        <f t="shared" si="163"/>
        <v>621</v>
      </c>
      <c r="FO278" s="469">
        <f t="shared" si="164"/>
        <v>563</v>
      </c>
    </row>
    <row r="279" spans="1:171" x14ac:dyDescent="0.2">
      <c r="A279" s="727" t="s">
        <v>693</v>
      </c>
      <c r="B279" s="544" t="s">
        <v>699</v>
      </c>
      <c r="C279" s="545"/>
      <c r="D279" s="546">
        <v>175616</v>
      </c>
      <c r="E279" s="547">
        <v>4</v>
      </c>
      <c r="F279" s="532"/>
      <c r="G279" s="450"/>
      <c r="H279" s="457"/>
      <c r="I279" s="450"/>
      <c r="J279" s="457"/>
      <c r="K279" s="450"/>
      <c r="L279" s="458">
        <f t="shared" si="143"/>
        <v>0</v>
      </c>
      <c r="M279" s="449">
        <f t="shared" si="144"/>
        <v>0</v>
      </c>
      <c r="N279" s="459">
        <v>559</v>
      </c>
      <c r="O279" s="459">
        <v>109</v>
      </c>
      <c r="P279" s="459"/>
      <c r="Q279" s="459"/>
      <c r="R279" s="460">
        <f t="shared" si="141"/>
        <v>109</v>
      </c>
      <c r="S279" s="461">
        <v>503</v>
      </c>
      <c r="T279" s="461">
        <v>113</v>
      </c>
      <c r="U279" s="461"/>
      <c r="V279" s="461"/>
      <c r="W279" s="462">
        <f t="shared" si="142"/>
        <v>113</v>
      </c>
      <c r="X279" s="463"/>
      <c r="Y279" s="457"/>
      <c r="Z279" s="464"/>
      <c r="AA279" s="464"/>
      <c r="AB279" s="465"/>
      <c r="AC279" s="457"/>
      <c r="AD279" s="464"/>
      <c r="AE279" s="466"/>
      <c r="AF279" s="465"/>
      <c r="AG279" s="457"/>
      <c r="AH279" s="464"/>
      <c r="AI279" s="466"/>
      <c r="AJ279" s="465"/>
      <c r="AK279" s="457"/>
      <c r="AL279" s="464"/>
      <c r="AM279" s="466"/>
      <c r="AN279" s="465"/>
      <c r="AO279" s="457"/>
      <c r="AP279" s="464"/>
      <c r="AQ279" s="464"/>
      <c r="AR279" s="460">
        <f t="shared" si="145"/>
        <v>0</v>
      </c>
      <c r="AS279" s="467">
        <f t="shared" si="146"/>
        <v>0.62597984322508393</v>
      </c>
      <c r="AT279" s="447">
        <f t="shared" si="147"/>
        <v>0</v>
      </c>
      <c r="AU279" s="448">
        <f t="shared" si="148"/>
        <v>0.64487179487179491</v>
      </c>
      <c r="AV279" s="457"/>
      <c r="AW279" s="450"/>
      <c r="AX279" s="463">
        <v>13</v>
      </c>
      <c r="AY279" s="457">
        <v>200</v>
      </c>
      <c r="AZ279" s="464">
        <v>13</v>
      </c>
      <c r="BA279" s="464">
        <v>189</v>
      </c>
      <c r="BB279" s="465">
        <v>52</v>
      </c>
      <c r="BC279" s="457">
        <v>71</v>
      </c>
      <c r="BD279" s="464">
        <v>52</v>
      </c>
      <c r="BE279" s="466">
        <v>43</v>
      </c>
      <c r="BF279" s="465">
        <v>51</v>
      </c>
      <c r="BG279" s="457">
        <v>30</v>
      </c>
      <c r="BH279" s="464">
        <v>49</v>
      </c>
      <c r="BI279" s="466">
        <v>20</v>
      </c>
      <c r="BJ279" s="465">
        <v>43</v>
      </c>
      <c r="BK279" s="457">
        <v>23</v>
      </c>
      <c r="BL279" s="464">
        <v>51</v>
      </c>
      <c r="BM279" s="466">
        <v>13</v>
      </c>
      <c r="BN279" s="465">
        <v>44</v>
      </c>
      <c r="BO279" s="457">
        <v>5</v>
      </c>
      <c r="BP279" s="464">
        <v>43</v>
      </c>
      <c r="BQ279" s="466">
        <v>4</v>
      </c>
      <c r="BR279" s="465">
        <v>43</v>
      </c>
      <c r="BS279" s="457">
        <v>4</v>
      </c>
      <c r="BT279" s="464">
        <v>44</v>
      </c>
      <c r="BU279" s="466">
        <v>4</v>
      </c>
      <c r="BV279" s="465"/>
      <c r="BW279" s="457"/>
      <c r="BX279" s="464">
        <v>30</v>
      </c>
      <c r="BY279" s="466">
        <v>2</v>
      </c>
      <c r="BZ279" s="465"/>
      <c r="CA279" s="457"/>
      <c r="CB279" s="464"/>
      <c r="CC279" s="466"/>
      <c r="CD279" s="465"/>
      <c r="CE279" s="457"/>
      <c r="CF279" s="464"/>
      <c r="CG279" s="466"/>
      <c r="CH279" s="465"/>
      <c r="CI279" s="457"/>
      <c r="CJ279" s="464"/>
      <c r="CK279" s="466"/>
      <c r="CL279" s="459"/>
      <c r="CM279" s="450"/>
      <c r="CN279" s="468">
        <f t="shared" si="149"/>
        <v>333</v>
      </c>
      <c r="CO279" s="468">
        <f t="shared" si="150"/>
        <v>6</v>
      </c>
      <c r="CP279" s="469">
        <f t="shared" si="151"/>
        <v>275</v>
      </c>
      <c r="CQ279" s="469">
        <f t="shared" si="152"/>
        <v>7</v>
      </c>
      <c r="CR279" s="463">
        <v>13</v>
      </c>
      <c r="CS279" s="457">
        <v>1</v>
      </c>
      <c r="CT279" s="464">
        <v>13</v>
      </c>
      <c r="CU279" s="464">
        <v>2</v>
      </c>
      <c r="CV279" s="465"/>
      <c r="CW279" s="457"/>
      <c r="CX279" s="464"/>
      <c r="CY279" s="466"/>
      <c r="CZ279" s="465"/>
      <c r="DA279" s="457"/>
      <c r="DB279" s="464"/>
      <c r="DC279" s="466"/>
      <c r="DD279" s="465"/>
      <c r="DE279" s="457"/>
      <c r="DF279" s="464"/>
      <c r="DG279" s="466"/>
      <c r="DH279" s="465"/>
      <c r="DI279" s="457"/>
      <c r="DJ279" s="464"/>
      <c r="DK279" s="466"/>
      <c r="DL279" s="465"/>
      <c r="DM279" s="457"/>
      <c r="DN279" s="464"/>
      <c r="DO279" s="466"/>
      <c r="DP279" s="465"/>
      <c r="DQ279" s="457"/>
      <c r="DR279" s="464"/>
      <c r="DS279" s="466"/>
      <c r="DT279" s="465"/>
      <c r="DU279" s="457"/>
      <c r="DV279" s="464"/>
      <c r="DW279" s="466"/>
      <c r="DX279" s="465"/>
      <c r="DY279" s="457"/>
      <c r="DZ279" s="464"/>
      <c r="EA279" s="466"/>
      <c r="EB279" s="465"/>
      <c r="EC279" s="457"/>
      <c r="ED279" s="464"/>
      <c r="EE279" s="466"/>
      <c r="EF279" s="459"/>
      <c r="EG279" s="450"/>
      <c r="EH279" s="460">
        <f t="shared" si="153"/>
        <v>1</v>
      </c>
      <c r="EI279" s="460">
        <f t="shared" si="154"/>
        <v>1</v>
      </c>
      <c r="EJ279" s="458">
        <f t="shared" si="155"/>
        <v>1</v>
      </c>
      <c r="EK279" s="470">
        <f t="shared" si="156"/>
        <v>2</v>
      </c>
      <c r="EL279" s="470">
        <f t="shared" si="157"/>
        <v>1</v>
      </c>
      <c r="EM279" s="449">
        <f t="shared" si="158"/>
        <v>1</v>
      </c>
      <c r="EN279" s="460">
        <f t="shared" si="159"/>
        <v>334</v>
      </c>
      <c r="EO279" s="469">
        <f t="shared" si="160"/>
        <v>277</v>
      </c>
      <c r="EP279" s="471"/>
      <c r="EQ279" s="450"/>
      <c r="ER279" s="471"/>
      <c r="ES279" s="450"/>
      <c r="ET279" s="471"/>
      <c r="EU279" s="450"/>
      <c r="EV279" s="471"/>
      <c r="EW279" s="450"/>
      <c r="EX279" s="471"/>
      <c r="EY279" s="450"/>
      <c r="EZ279" s="471"/>
      <c r="FA279" s="450"/>
      <c r="FB279" s="471"/>
      <c r="FC279" s="450"/>
      <c r="FD279" s="471"/>
      <c r="FE279" s="450"/>
      <c r="FF279" s="471"/>
      <c r="FG279" s="450"/>
      <c r="FH279" s="472"/>
      <c r="FI279" s="450"/>
      <c r="FJ279" s="468">
        <f t="shared" si="161"/>
        <v>0</v>
      </c>
      <c r="FK279" s="469">
        <f t="shared" si="162"/>
        <v>0</v>
      </c>
      <c r="FL279" s="472"/>
      <c r="FM279" s="450"/>
      <c r="FN279" s="460">
        <f t="shared" si="163"/>
        <v>893</v>
      </c>
      <c r="FO279" s="469">
        <f t="shared" si="164"/>
        <v>780</v>
      </c>
    </row>
    <row r="280" spans="1:171" x14ac:dyDescent="0.2">
      <c r="A280" s="727" t="s">
        <v>693</v>
      </c>
      <c r="B280" s="544" t="s">
        <v>700</v>
      </c>
      <c r="C280" s="545"/>
      <c r="D280" s="546">
        <v>176044</v>
      </c>
      <c r="E280" s="547">
        <v>4</v>
      </c>
      <c r="F280" s="532"/>
      <c r="G280" s="450"/>
      <c r="H280" s="457"/>
      <c r="I280" s="450"/>
      <c r="J280" s="457"/>
      <c r="K280" s="450"/>
      <c r="L280" s="458">
        <f t="shared" si="143"/>
        <v>0</v>
      </c>
      <c r="M280" s="449">
        <f t="shared" si="144"/>
        <v>0</v>
      </c>
      <c r="N280" s="459">
        <v>305</v>
      </c>
      <c r="O280" s="459">
        <v>89</v>
      </c>
      <c r="P280" s="459"/>
      <c r="Q280" s="459"/>
      <c r="R280" s="460">
        <f t="shared" si="141"/>
        <v>89</v>
      </c>
      <c r="S280" s="461">
        <v>345</v>
      </c>
      <c r="T280" s="461">
        <v>79</v>
      </c>
      <c r="U280" s="461"/>
      <c r="V280" s="461"/>
      <c r="W280" s="462">
        <f t="shared" si="142"/>
        <v>79</v>
      </c>
      <c r="X280" s="463"/>
      <c r="Y280" s="457"/>
      <c r="Z280" s="464"/>
      <c r="AA280" s="464"/>
      <c r="AB280" s="465"/>
      <c r="AC280" s="457"/>
      <c r="AD280" s="464"/>
      <c r="AE280" s="466"/>
      <c r="AF280" s="465"/>
      <c r="AG280" s="457"/>
      <c r="AH280" s="464"/>
      <c r="AI280" s="466"/>
      <c r="AJ280" s="465"/>
      <c r="AK280" s="457"/>
      <c r="AL280" s="464"/>
      <c r="AM280" s="466"/>
      <c r="AN280" s="465"/>
      <c r="AO280" s="457"/>
      <c r="AP280" s="464"/>
      <c r="AQ280" s="464"/>
      <c r="AR280" s="460">
        <f t="shared" si="145"/>
        <v>0</v>
      </c>
      <c r="AS280" s="467">
        <f t="shared" si="146"/>
        <v>0.74938574938574942</v>
      </c>
      <c r="AT280" s="447">
        <f t="shared" si="147"/>
        <v>0</v>
      </c>
      <c r="AU280" s="448">
        <f t="shared" si="148"/>
        <v>0.7293868921775899</v>
      </c>
      <c r="AV280" s="457"/>
      <c r="AW280" s="450"/>
      <c r="AX280" s="463">
        <v>43</v>
      </c>
      <c r="AY280" s="457">
        <v>33</v>
      </c>
      <c r="AZ280" s="464">
        <v>44</v>
      </c>
      <c r="BA280" s="464">
        <v>49</v>
      </c>
      <c r="BB280" s="465">
        <v>13</v>
      </c>
      <c r="BC280" s="457">
        <v>29</v>
      </c>
      <c r="BD280" s="464">
        <v>43</v>
      </c>
      <c r="BE280" s="466">
        <v>36</v>
      </c>
      <c r="BF280" s="465">
        <v>44</v>
      </c>
      <c r="BG280" s="457">
        <v>25</v>
      </c>
      <c r="BH280" s="464">
        <v>13</v>
      </c>
      <c r="BI280" s="466">
        <v>19</v>
      </c>
      <c r="BJ280" s="465">
        <v>52</v>
      </c>
      <c r="BK280" s="457">
        <v>6</v>
      </c>
      <c r="BL280" s="464">
        <v>52</v>
      </c>
      <c r="BM280" s="466">
        <v>16</v>
      </c>
      <c r="BN280" s="465">
        <v>26</v>
      </c>
      <c r="BO280" s="457">
        <v>5</v>
      </c>
      <c r="BP280" s="464">
        <v>26</v>
      </c>
      <c r="BQ280" s="466">
        <v>6</v>
      </c>
      <c r="BR280" s="465">
        <v>51</v>
      </c>
      <c r="BS280" s="457">
        <v>4</v>
      </c>
      <c r="BT280" s="464">
        <v>51</v>
      </c>
      <c r="BU280" s="466">
        <v>2</v>
      </c>
      <c r="BV280" s="465"/>
      <c r="BW280" s="457"/>
      <c r="BX280" s="464"/>
      <c r="BY280" s="466"/>
      <c r="BZ280" s="465"/>
      <c r="CA280" s="457"/>
      <c r="CB280" s="464"/>
      <c r="CC280" s="466"/>
      <c r="CD280" s="465"/>
      <c r="CE280" s="457"/>
      <c r="CF280" s="464"/>
      <c r="CG280" s="466"/>
      <c r="CH280" s="465"/>
      <c r="CI280" s="457"/>
      <c r="CJ280" s="464"/>
      <c r="CK280" s="466"/>
      <c r="CL280" s="459"/>
      <c r="CM280" s="450"/>
      <c r="CN280" s="468">
        <f t="shared" si="149"/>
        <v>102</v>
      </c>
      <c r="CO280" s="468">
        <f t="shared" si="150"/>
        <v>6</v>
      </c>
      <c r="CP280" s="469">
        <f t="shared" si="151"/>
        <v>128</v>
      </c>
      <c r="CQ280" s="469">
        <f t="shared" si="152"/>
        <v>6</v>
      </c>
      <c r="CR280" s="463"/>
      <c r="CS280" s="457"/>
      <c r="CT280" s="464"/>
      <c r="CU280" s="464"/>
      <c r="CV280" s="465"/>
      <c r="CW280" s="457"/>
      <c r="CX280" s="464"/>
      <c r="CY280" s="466"/>
      <c r="CZ280" s="465"/>
      <c r="DA280" s="457"/>
      <c r="DB280" s="464"/>
      <c r="DC280" s="466"/>
      <c r="DD280" s="465"/>
      <c r="DE280" s="457"/>
      <c r="DF280" s="464"/>
      <c r="DG280" s="466"/>
      <c r="DH280" s="465"/>
      <c r="DI280" s="457"/>
      <c r="DJ280" s="464"/>
      <c r="DK280" s="466"/>
      <c r="DL280" s="465"/>
      <c r="DM280" s="457"/>
      <c r="DN280" s="464"/>
      <c r="DO280" s="466"/>
      <c r="DP280" s="465"/>
      <c r="DQ280" s="457"/>
      <c r="DR280" s="464"/>
      <c r="DS280" s="466"/>
      <c r="DT280" s="465"/>
      <c r="DU280" s="457"/>
      <c r="DV280" s="464"/>
      <c r="DW280" s="466"/>
      <c r="DX280" s="465"/>
      <c r="DY280" s="457"/>
      <c r="DZ280" s="464"/>
      <c r="EA280" s="466"/>
      <c r="EB280" s="465"/>
      <c r="EC280" s="457"/>
      <c r="ED280" s="464"/>
      <c r="EE280" s="466"/>
      <c r="EF280" s="459"/>
      <c r="EG280" s="450"/>
      <c r="EH280" s="460">
        <f t="shared" si="153"/>
        <v>0</v>
      </c>
      <c r="EI280" s="460">
        <f t="shared" si="154"/>
        <v>0</v>
      </c>
      <c r="EJ280" s="458">
        <f t="shared" si="155"/>
        <v>0</v>
      </c>
      <c r="EK280" s="470">
        <f t="shared" si="156"/>
        <v>0</v>
      </c>
      <c r="EL280" s="470">
        <f t="shared" si="157"/>
        <v>0</v>
      </c>
      <c r="EM280" s="449">
        <f t="shared" si="158"/>
        <v>0</v>
      </c>
      <c r="EN280" s="460">
        <f t="shared" si="159"/>
        <v>102</v>
      </c>
      <c r="EO280" s="469">
        <f t="shared" si="160"/>
        <v>128</v>
      </c>
      <c r="EP280" s="471"/>
      <c r="EQ280" s="450"/>
      <c r="ER280" s="471"/>
      <c r="ES280" s="450"/>
      <c r="ET280" s="471"/>
      <c r="EU280" s="450"/>
      <c r="EV280" s="471"/>
      <c r="EW280" s="450"/>
      <c r="EX280" s="471"/>
      <c r="EY280" s="450"/>
      <c r="EZ280" s="471"/>
      <c r="FA280" s="450"/>
      <c r="FB280" s="471"/>
      <c r="FC280" s="450"/>
      <c r="FD280" s="471"/>
      <c r="FE280" s="450"/>
      <c r="FF280" s="471"/>
      <c r="FG280" s="450"/>
      <c r="FH280" s="472"/>
      <c r="FI280" s="450"/>
      <c r="FJ280" s="468">
        <f t="shared" si="161"/>
        <v>0</v>
      </c>
      <c r="FK280" s="469">
        <f t="shared" si="162"/>
        <v>0</v>
      </c>
      <c r="FL280" s="472"/>
      <c r="FM280" s="450"/>
      <c r="FN280" s="460">
        <f t="shared" si="163"/>
        <v>407</v>
      </c>
      <c r="FO280" s="469">
        <f t="shared" si="164"/>
        <v>473</v>
      </c>
    </row>
    <row r="281" spans="1:171" x14ac:dyDescent="0.2">
      <c r="A281" s="727" t="s">
        <v>693</v>
      </c>
      <c r="B281" s="544" t="s">
        <v>701</v>
      </c>
      <c r="C281" s="545"/>
      <c r="D281" s="546">
        <v>176035</v>
      </c>
      <c r="E281" s="547">
        <v>5</v>
      </c>
      <c r="F281" s="532"/>
      <c r="G281" s="450"/>
      <c r="H281" s="457"/>
      <c r="I281" s="450"/>
      <c r="J281" s="457">
        <v>54</v>
      </c>
      <c r="K281" s="450">
        <v>48</v>
      </c>
      <c r="L281" s="458">
        <f t="shared" si="143"/>
        <v>0.11739130434782609</v>
      </c>
      <c r="M281" s="449">
        <f t="shared" si="144"/>
        <v>8.43585237258348E-2</v>
      </c>
      <c r="N281" s="459">
        <v>460</v>
      </c>
      <c r="O281" s="459">
        <v>51</v>
      </c>
      <c r="P281" s="459"/>
      <c r="Q281" s="459"/>
      <c r="R281" s="460">
        <f t="shared" si="141"/>
        <v>51</v>
      </c>
      <c r="S281" s="461">
        <v>569</v>
      </c>
      <c r="T281" s="461">
        <v>45</v>
      </c>
      <c r="U281" s="461"/>
      <c r="V281" s="461"/>
      <c r="W281" s="462">
        <f t="shared" si="142"/>
        <v>45</v>
      </c>
      <c r="X281" s="463"/>
      <c r="Y281" s="457"/>
      <c r="Z281" s="464"/>
      <c r="AA281" s="464"/>
      <c r="AB281" s="465"/>
      <c r="AC281" s="457"/>
      <c r="AD281" s="464"/>
      <c r="AE281" s="466"/>
      <c r="AF281" s="465"/>
      <c r="AG281" s="457"/>
      <c r="AH281" s="464"/>
      <c r="AI281" s="466"/>
      <c r="AJ281" s="465"/>
      <c r="AK281" s="457"/>
      <c r="AL281" s="464"/>
      <c r="AM281" s="466"/>
      <c r="AN281" s="465"/>
      <c r="AO281" s="457"/>
      <c r="AP281" s="464"/>
      <c r="AQ281" s="464"/>
      <c r="AR281" s="460">
        <f t="shared" si="145"/>
        <v>0</v>
      </c>
      <c r="AS281" s="467">
        <f t="shared" si="146"/>
        <v>0.75782537067545308</v>
      </c>
      <c r="AT281" s="447">
        <f t="shared" si="147"/>
        <v>0</v>
      </c>
      <c r="AU281" s="448">
        <f t="shared" si="148"/>
        <v>0.80140845070422539</v>
      </c>
      <c r="AV281" s="457"/>
      <c r="AW281" s="450"/>
      <c r="AX281" s="463">
        <v>51</v>
      </c>
      <c r="AY281" s="457">
        <v>52</v>
      </c>
      <c r="AZ281" s="464">
        <v>51</v>
      </c>
      <c r="BA281" s="464">
        <v>51</v>
      </c>
      <c r="BB281" s="465">
        <v>13</v>
      </c>
      <c r="BC281" s="457">
        <v>41</v>
      </c>
      <c r="BD281" s="464">
        <v>13</v>
      </c>
      <c r="BE281" s="466">
        <v>37</v>
      </c>
      <c r="BF281" s="465"/>
      <c r="BG281" s="457"/>
      <c r="BH281" s="464">
        <v>50</v>
      </c>
      <c r="BI281" s="466">
        <v>5</v>
      </c>
      <c r="BJ281" s="465"/>
      <c r="BK281" s="457"/>
      <c r="BL281" s="464"/>
      <c r="BM281" s="466"/>
      <c r="BN281" s="465"/>
      <c r="BO281" s="457"/>
      <c r="BP281" s="464"/>
      <c r="BQ281" s="466"/>
      <c r="BR281" s="465"/>
      <c r="BS281" s="457"/>
      <c r="BT281" s="464"/>
      <c r="BU281" s="466"/>
      <c r="BV281" s="465"/>
      <c r="BW281" s="457"/>
      <c r="BX281" s="464"/>
      <c r="BY281" s="466"/>
      <c r="BZ281" s="465"/>
      <c r="CA281" s="457"/>
      <c r="CB281" s="464"/>
      <c r="CC281" s="466"/>
      <c r="CD281" s="465"/>
      <c r="CE281" s="457"/>
      <c r="CF281" s="464"/>
      <c r="CG281" s="466"/>
      <c r="CH281" s="465"/>
      <c r="CI281" s="457"/>
      <c r="CJ281" s="464"/>
      <c r="CK281" s="466"/>
      <c r="CL281" s="459"/>
      <c r="CM281" s="450"/>
      <c r="CN281" s="468">
        <f t="shared" si="149"/>
        <v>93</v>
      </c>
      <c r="CO281" s="468">
        <f t="shared" si="150"/>
        <v>2</v>
      </c>
      <c r="CP281" s="469">
        <f t="shared" si="151"/>
        <v>93</v>
      </c>
      <c r="CQ281" s="469">
        <f t="shared" si="152"/>
        <v>3</v>
      </c>
      <c r="CR281" s="463"/>
      <c r="CS281" s="457"/>
      <c r="CT281" s="464"/>
      <c r="CU281" s="464"/>
      <c r="CV281" s="465"/>
      <c r="CW281" s="457"/>
      <c r="CX281" s="464"/>
      <c r="CY281" s="466"/>
      <c r="CZ281" s="465"/>
      <c r="DA281" s="457"/>
      <c r="DB281" s="464"/>
      <c r="DC281" s="466"/>
      <c r="DD281" s="465"/>
      <c r="DE281" s="457"/>
      <c r="DF281" s="464"/>
      <c r="DG281" s="466"/>
      <c r="DH281" s="465"/>
      <c r="DI281" s="457"/>
      <c r="DJ281" s="464"/>
      <c r="DK281" s="466"/>
      <c r="DL281" s="465"/>
      <c r="DM281" s="457"/>
      <c r="DN281" s="464"/>
      <c r="DO281" s="466"/>
      <c r="DP281" s="465"/>
      <c r="DQ281" s="457"/>
      <c r="DR281" s="464"/>
      <c r="DS281" s="466"/>
      <c r="DT281" s="465"/>
      <c r="DU281" s="457"/>
      <c r="DV281" s="464"/>
      <c r="DW281" s="466"/>
      <c r="DX281" s="465"/>
      <c r="DY281" s="457"/>
      <c r="DZ281" s="464"/>
      <c r="EA281" s="466"/>
      <c r="EB281" s="465"/>
      <c r="EC281" s="457"/>
      <c r="ED281" s="464"/>
      <c r="EE281" s="466"/>
      <c r="EF281" s="459"/>
      <c r="EG281" s="450"/>
      <c r="EH281" s="460">
        <f t="shared" si="153"/>
        <v>0</v>
      </c>
      <c r="EI281" s="460">
        <f t="shared" si="154"/>
        <v>0</v>
      </c>
      <c r="EJ281" s="458">
        <f t="shared" si="155"/>
        <v>0</v>
      </c>
      <c r="EK281" s="470">
        <f t="shared" si="156"/>
        <v>0</v>
      </c>
      <c r="EL281" s="470">
        <f t="shared" si="157"/>
        <v>0</v>
      </c>
      <c r="EM281" s="449">
        <f t="shared" si="158"/>
        <v>0</v>
      </c>
      <c r="EN281" s="460">
        <f t="shared" si="159"/>
        <v>93</v>
      </c>
      <c r="EO281" s="469">
        <f t="shared" si="160"/>
        <v>93</v>
      </c>
      <c r="EP281" s="471"/>
      <c r="EQ281" s="450"/>
      <c r="ER281" s="471"/>
      <c r="ES281" s="450"/>
      <c r="ET281" s="471"/>
      <c r="EU281" s="450"/>
      <c r="EV281" s="471"/>
      <c r="EW281" s="450"/>
      <c r="EX281" s="471"/>
      <c r="EY281" s="450"/>
      <c r="EZ281" s="471"/>
      <c r="FA281" s="450"/>
      <c r="FB281" s="471"/>
      <c r="FC281" s="450"/>
      <c r="FD281" s="471"/>
      <c r="FE281" s="450"/>
      <c r="FF281" s="471"/>
      <c r="FG281" s="450"/>
      <c r="FH281" s="472"/>
      <c r="FI281" s="450"/>
      <c r="FJ281" s="468">
        <f t="shared" si="161"/>
        <v>0</v>
      </c>
      <c r="FK281" s="469">
        <f t="shared" si="162"/>
        <v>0</v>
      </c>
      <c r="FL281" s="472"/>
      <c r="FM281" s="450"/>
      <c r="FN281" s="460">
        <f t="shared" si="163"/>
        <v>607</v>
      </c>
      <c r="FO281" s="469">
        <f t="shared" si="164"/>
        <v>710</v>
      </c>
    </row>
    <row r="282" spans="1:171" x14ac:dyDescent="0.2">
      <c r="A282" s="543" t="s">
        <v>693</v>
      </c>
      <c r="B282" s="544" t="s">
        <v>702</v>
      </c>
      <c r="C282" s="545"/>
      <c r="D282" s="546">
        <v>176026</v>
      </c>
      <c r="E282" s="547">
        <v>15</v>
      </c>
      <c r="F282" s="532"/>
      <c r="G282" s="450"/>
      <c r="H282" s="457"/>
      <c r="I282" s="450"/>
      <c r="J282" s="457"/>
      <c r="K282" s="450"/>
      <c r="L282" s="458">
        <f t="shared" si="143"/>
        <v>0</v>
      </c>
      <c r="M282" s="449">
        <f t="shared" si="144"/>
        <v>0</v>
      </c>
      <c r="N282" s="459">
        <v>263</v>
      </c>
      <c r="O282" s="459"/>
      <c r="P282" s="459"/>
      <c r="Q282" s="459"/>
      <c r="R282" s="460">
        <f t="shared" si="141"/>
        <v>0</v>
      </c>
      <c r="S282" s="461">
        <v>249</v>
      </c>
      <c r="T282" s="461"/>
      <c r="U282" s="461"/>
      <c r="V282" s="461"/>
      <c r="W282" s="462">
        <f t="shared" si="142"/>
        <v>0</v>
      </c>
      <c r="X282" s="463"/>
      <c r="Y282" s="457"/>
      <c r="Z282" s="464"/>
      <c r="AA282" s="464"/>
      <c r="AB282" s="465"/>
      <c r="AC282" s="457"/>
      <c r="AD282" s="464"/>
      <c r="AE282" s="466"/>
      <c r="AF282" s="465"/>
      <c r="AG282" s="457"/>
      <c r="AH282" s="464"/>
      <c r="AI282" s="466"/>
      <c r="AJ282" s="465"/>
      <c r="AK282" s="457"/>
      <c r="AL282" s="464"/>
      <c r="AM282" s="466"/>
      <c r="AN282" s="465"/>
      <c r="AO282" s="457"/>
      <c r="AP282" s="464"/>
      <c r="AQ282" s="464"/>
      <c r="AR282" s="460">
        <f t="shared" si="145"/>
        <v>0</v>
      </c>
      <c r="AS282" s="467">
        <f t="shared" si="146"/>
        <v>0.41222570532915359</v>
      </c>
      <c r="AT282" s="447">
        <f t="shared" si="147"/>
        <v>0</v>
      </c>
      <c r="AU282" s="448">
        <f t="shared" si="148"/>
        <v>0.41293532338308458</v>
      </c>
      <c r="AV282" s="457"/>
      <c r="AW282" s="450"/>
      <c r="AX282" s="463">
        <v>51</v>
      </c>
      <c r="AY282" s="457">
        <v>80</v>
      </c>
      <c r="AZ282" s="464">
        <v>51</v>
      </c>
      <c r="BA282" s="464">
        <v>76</v>
      </c>
      <c r="BB282" s="465">
        <v>26</v>
      </c>
      <c r="BC282" s="457">
        <v>42</v>
      </c>
      <c r="BD282" s="464">
        <v>26</v>
      </c>
      <c r="BE282" s="466">
        <v>56</v>
      </c>
      <c r="BF282" s="465"/>
      <c r="BG282" s="457"/>
      <c r="BH282" s="464"/>
      <c r="BI282" s="466"/>
      <c r="BJ282" s="465"/>
      <c r="BK282" s="457"/>
      <c r="BL282" s="464"/>
      <c r="BM282" s="466"/>
      <c r="BN282" s="465"/>
      <c r="BO282" s="457"/>
      <c r="BP282" s="464"/>
      <c r="BQ282" s="466"/>
      <c r="BR282" s="465"/>
      <c r="BS282" s="457"/>
      <c r="BT282" s="464"/>
      <c r="BU282" s="466"/>
      <c r="BV282" s="465"/>
      <c r="BW282" s="457"/>
      <c r="BX282" s="464"/>
      <c r="BY282" s="466"/>
      <c r="BZ282" s="465"/>
      <c r="CA282" s="457"/>
      <c r="CB282" s="464"/>
      <c r="CC282" s="466"/>
      <c r="CD282" s="465"/>
      <c r="CE282" s="457"/>
      <c r="CF282" s="464"/>
      <c r="CG282" s="466"/>
      <c r="CH282" s="465"/>
      <c r="CI282" s="457"/>
      <c r="CJ282" s="464"/>
      <c r="CK282" s="466"/>
      <c r="CL282" s="459"/>
      <c r="CM282" s="450"/>
      <c r="CN282" s="468">
        <f t="shared" si="149"/>
        <v>122</v>
      </c>
      <c r="CO282" s="468">
        <f t="shared" si="150"/>
        <v>2</v>
      </c>
      <c r="CP282" s="469">
        <f t="shared" si="151"/>
        <v>132</v>
      </c>
      <c r="CQ282" s="469">
        <f t="shared" si="152"/>
        <v>2</v>
      </c>
      <c r="CR282" s="463">
        <v>51</v>
      </c>
      <c r="CS282" s="457">
        <v>66</v>
      </c>
      <c r="CT282" s="854">
        <v>51</v>
      </c>
      <c r="CU282" s="854">
        <v>63</v>
      </c>
      <c r="CV282" s="465">
        <v>26</v>
      </c>
      <c r="CW282" s="457">
        <v>23</v>
      </c>
      <c r="CX282" s="854">
        <v>26</v>
      </c>
      <c r="CY282" s="855">
        <v>15</v>
      </c>
      <c r="CZ282" s="465">
        <v>14</v>
      </c>
      <c r="DA282" s="457">
        <v>3</v>
      </c>
      <c r="DB282" s="854">
        <v>14</v>
      </c>
      <c r="DC282" s="855">
        <v>2</v>
      </c>
      <c r="DD282" s="465"/>
      <c r="DE282" s="457"/>
      <c r="DF282" s="464"/>
      <c r="DG282" s="466"/>
      <c r="DH282" s="465"/>
      <c r="DI282" s="457"/>
      <c r="DJ282" s="464"/>
      <c r="DK282" s="466"/>
      <c r="DL282" s="465"/>
      <c r="DM282" s="457"/>
      <c r="DN282" s="464"/>
      <c r="DO282" s="466"/>
      <c r="DP282" s="465"/>
      <c r="DQ282" s="457"/>
      <c r="DR282" s="464"/>
      <c r="DS282" s="466"/>
      <c r="DT282" s="465"/>
      <c r="DU282" s="457"/>
      <c r="DV282" s="464"/>
      <c r="DW282" s="466"/>
      <c r="DX282" s="465"/>
      <c r="DY282" s="457"/>
      <c r="DZ282" s="464"/>
      <c r="EA282" s="466"/>
      <c r="EB282" s="465"/>
      <c r="EC282" s="457"/>
      <c r="ED282" s="464"/>
      <c r="EE282" s="466"/>
      <c r="EF282" s="459"/>
      <c r="EG282" s="450"/>
      <c r="EH282" s="460">
        <f t="shared" si="153"/>
        <v>92</v>
      </c>
      <c r="EI282" s="460">
        <f t="shared" si="154"/>
        <v>3</v>
      </c>
      <c r="EJ282" s="458">
        <f t="shared" si="155"/>
        <v>0.71739130434782605</v>
      </c>
      <c r="EK282" s="470">
        <f t="shared" si="156"/>
        <v>80</v>
      </c>
      <c r="EL282" s="470">
        <f t="shared" si="157"/>
        <v>3</v>
      </c>
      <c r="EM282" s="449">
        <f t="shared" si="158"/>
        <v>0.78749999999999998</v>
      </c>
      <c r="EN282" s="460">
        <f t="shared" si="159"/>
        <v>214</v>
      </c>
      <c r="EO282" s="469">
        <f t="shared" si="160"/>
        <v>212</v>
      </c>
      <c r="EP282" s="471"/>
      <c r="EQ282" s="450"/>
      <c r="ER282" s="471">
        <v>120</v>
      </c>
      <c r="ES282" s="450">
        <v>106</v>
      </c>
      <c r="ET282" s="471">
        <v>41</v>
      </c>
      <c r="EU282" s="450">
        <v>36</v>
      </c>
      <c r="EV282" s="471"/>
      <c r="EW282" s="450"/>
      <c r="EX282" s="471"/>
      <c r="EY282" s="450"/>
      <c r="EZ282" s="471"/>
      <c r="FA282" s="450"/>
      <c r="FB282" s="471"/>
      <c r="FC282" s="450"/>
      <c r="FD282" s="471"/>
      <c r="FE282" s="450"/>
      <c r="FF282" s="471"/>
      <c r="FG282" s="450"/>
      <c r="FH282" s="472"/>
      <c r="FI282" s="450"/>
      <c r="FJ282" s="468">
        <f t="shared" si="161"/>
        <v>161</v>
      </c>
      <c r="FK282" s="469">
        <f t="shared" si="162"/>
        <v>142</v>
      </c>
      <c r="FL282" s="472"/>
      <c r="FM282" s="450"/>
      <c r="FN282" s="460">
        <f t="shared" si="163"/>
        <v>638</v>
      </c>
      <c r="FO282" s="469">
        <f t="shared" si="164"/>
        <v>603</v>
      </c>
    </row>
    <row r="283" spans="1:171" x14ac:dyDescent="0.2">
      <c r="A283" s="711" t="s">
        <v>693</v>
      </c>
      <c r="B283" s="712" t="s">
        <v>1159</v>
      </c>
      <c r="C283" s="713"/>
      <c r="D283" s="714">
        <v>175786</v>
      </c>
      <c r="E283" s="715">
        <v>8</v>
      </c>
      <c r="F283" s="532">
        <v>775</v>
      </c>
      <c r="G283" s="450">
        <v>638</v>
      </c>
      <c r="H283" s="457"/>
      <c r="I283" s="450"/>
      <c r="J283" s="457">
        <v>1521</v>
      </c>
      <c r="K283" s="450">
        <v>1395</v>
      </c>
      <c r="L283" s="458">
        <f t="shared" si="143"/>
        <v>0</v>
      </c>
      <c r="M283" s="449">
        <f t="shared" si="144"/>
        <v>0</v>
      </c>
      <c r="N283" s="459"/>
      <c r="O283" s="459"/>
      <c r="P283" s="459"/>
      <c r="Q283" s="459"/>
      <c r="R283" s="460">
        <f t="shared" si="141"/>
        <v>0</v>
      </c>
      <c r="S283" s="461"/>
      <c r="T283" s="461"/>
      <c r="U283" s="461"/>
      <c r="V283" s="461"/>
      <c r="W283" s="462">
        <f t="shared" si="142"/>
        <v>0</v>
      </c>
      <c r="X283" s="463"/>
      <c r="Y283" s="457"/>
      <c r="Z283" s="464"/>
      <c r="AA283" s="464"/>
      <c r="AB283" s="465"/>
      <c r="AC283" s="457"/>
      <c r="AD283" s="464"/>
      <c r="AE283" s="466"/>
      <c r="AF283" s="465"/>
      <c r="AG283" s="457"/>
      <c r="AH283" s="464"/>
      <c r="AI283" s="466"/>
      <c r="AJ283" s="465"/>
      <c r="AK283" s="457"/>
      <c r="AL283" s="464"/>
      <c r="AM283" s="466"/>
      <c r="AN283" s="465"/>
      <c r="AO283" s="457"/>
      <c r="AP283" s="464"/>
      <c r="AQ283" s="464"/>
      <c r="AR283" s="460">
        <f t="shared" si="145"/>
        <v>0</v>
      </c>
      <c r="AS283" s="467">
        <f t="shared" si="146"/>
        <v>0</v>
      </c>
      <c r="AT283" s="447">
        <f t="shared" si="147"/>
        <v>0</v>
      </c>
      <c r="AU283" s="448">
        <f t="shared" si="148"/>
        <v>0</v>
      </c>
      <c r="AV283" s="457"/>
      <c r="AW283" s="450"/>
      <c r="AX283" s="463"/>
      <c r="AY283" s="457"/>
      <c r="AZ283" s="464"/>
      <c r="BA283" s="464"/>
      <c r="BB283" s="465"/>
      <c r="BC283" s="457"/>
      <c r="BD283" s="464"/>
      <c r="BE283" s="466"/>
      <c r="BF283" s="465"/>
      <c r="BG283" s="457"/>
      <c r="BH283" s="464"/>
      <c r="BI283" s="466"/>
      <c r="BJ283" s="465"/>
      <c r="BK283" s="457"/>
      <c r="BL283" s="464"/>
      <c r="BM283" s="466"/>
      <c r="BN283" s="465"/>
      <c r="BO283" s="457"/>
      <c r="BP283" s="464"/>
      <c r="BQ283" s="466"/>
      <c r="BR283" s="465"/>
      <c r="BS283" s="457"/>
      <c r="BT283" s="464"/>
      <c r="BU283" s="466"/>
      <c r="BV283" s="465"/>
      <c r="BW283" s="457"/>
      <c r="BX283" s="464"/>
      <c r="BY283" s="466"/>
      <c r="BZ283" s="465"/>
      <c r="CA283" s="457"/>
      <c r="CB283" s="464"/>
      <c r="CC283" s="466"/>
      <c r="CD283" s="465"/>
      <c r="CE283" s="457"/>
      <c r="CF283" s="464"/>
      <c r="CG283" s="466"/>
      <c r="CH283" s="465"/>
      <c r="CI283" s="457"/>
      <c r="CJ283" s="464"/>
      <c r="CK283" s="466"/>
      <c r="CL283" s="459"/>
      <c r="CM283" s="450"/>
      <c r="CN283" s="468">
        <f t="shared" si="149"/>
        <v>0</v>
      </c>
      <c r="CO283" s="468">
        <f t="shared" si="150"/>
        <v>0</v>
      </c>
      <c r="CP283" s="469">
        <f t="shared" si="151"/>
        <v>0</v>
      </c>
      <c r="CQ283" s="469">
        <f t="shared" si="152"/>
        <v>0</v>
      </c>
      <c r="CR283" s="463"/>
      <c r="CS283" s="457"/>
      <c r="CT283" s="464"/>
      <c r="CU283" s="464"/>
      <c r="CV283" s="465"/>
      <c r="CW283" s="457"/>
      <c r="CX283" s="464"/>
      <c r="CY283" s="466"/>
      <c r="CZ283" s="465"/>
      <c r="DA283" s="457"/>
      <c r="DB283" s="464"/>
      <c r="DC283" s="466"/>
      <c r="DD283" s="465"/>
      <c r="DE283" s="457"/>
      <c r="DF283" s="464"/>
      <c r="DG283" s="466"/>
      <c r="DH283" s="465"/>
      <c r="DI283" s="457"/>
      <c r="DJ283" s="464"/>
      <c r="DK283" s="466"/>
      <c r="DL283" s="465"/>
      <c r="DM283" s="457"/>
      <c r="DN283" s="464"/>
      <c r="DO283" s="466"/>
      <c r="DP283" s="465"/>
      <c r="DQ283" s="457"/>
      <c r="DR283" s="464"/>
      <c r="DS283" s="466"/>
      <c r="DT283" s="465"/>
      <c r="DU283" s="457"/>
      <c r="DV283" s="464"/>
      <c r="DW283" s="466"/>
      <c r="DX283" s="465"/>
      <c r="DY283" s="457"/>
      <c r="DZ283" s="464"/>
      <c r="EA283" s="466"/>
      <c r="EB283" s="465"/>
      <c r="EC283" s="457"/>
      <c r="ED283" s="464"/>
      <c r="EE283" s="466"/>
      <c r="EF283" s="459"/>
      <c r="EG283" s="450"/>
      <c r="EH283" s="460">
        <f t="shared" si="153"/>
        <v>0</v>
      </c>
      <c r="EI283" s="460">
        <f t="shared" si="154"/>
        <v>0</v>
      </c>
      <c r="EJ283" s="458">
        <f t="shared" si="155"/>
        <v>0</v>
      </c>
      <c r="EK283" s="470">
        <f t="shared" si="156"/>
        <v>0</v>
      </c>
      <c r="EL283" s="470">
        <f t="shared" si="157"/>
        <v>0</v>
      </c>
      <c r="EM283" s="449">
        <f t="shared" si="158"/>
        <v>0</v>
      </c>
      <c r="EN283" s="460">
        <f t="shared" si="159"/>
        <v>0</v>
      </c>
      <c r="EO283" s="469">
        <f t="shared" si="160"/>
        <v>0</v>
      </c>
      <c r="EP283" s="471"/>
      <c r="EQ283" s="450"/>
      <c r="ER283" s="471"/>
      <c r="ES283" s="450"/>
      <c r="ET283" s="471"/>
      <c r="EU283" s="450"/>
      <c r="EV283" s="471"/>
      <c r="EW283" s="450"/>
      <c r="EX283" s="471"/>
      <c r="EY283" s="450"/>
      <c r="EZ283" s="471"/>
      <c r="FA283" s="450"/>
      <c r="FB283" s="471"/>
      <c r="FC283" s="450"/>
      <c r="FD283" s="471"/>
      <c r="FE283" s="450"/>
      <c r="FF283" s="471"/>
      <c r="FG283" s="450"/>
      <c r="FH283" s="472"/>
      <c r="FI283" s="450"/>
      <c r="FJ283" s="468">
        <f t="shared" si="161"/>
        <v>0</v>
      </c>
      <c r="FK283" s="469">
        <f t="shared" si="162"/>
        <v>0</v>
      </c>
      <c r="FL283" s="472"/>
      <c r="FM283" s="450"/>
      <c r="FN283" s="460">
        <f t="shared" si="163"/>
        <v>2296</v>
      </c>
      <c r="FO283" s="469">
        <f t="shared" si="164"/>
        <v>2033</v>
      </c>
    </row>
    <row r="284" spans="1:171" x14ac:dyDescent="0.2">
      <c r="A284" s="737" t="s">
        <v>693</v>
      </c>
      <c r="B284" s="712" t="s">
        <v>1160</v>
      </c>
      <c r="C284" s="713"/>
      <c r="D284" s="714">
        <v>175829</v>
      </c>
      <c r="E284" s="827">
        <v>8</v>
      </c>
      <c r="F284" s="532">
        <v>122</v>
      </c>
      <c r="G284" s="450">
        <v>94</v>
      </c>
      <c r="H284" s="457"/>
      <c r="I284" s="450"/>
      <c r="J284" s="457">
        <v>1229</v>
      </c>
      <c r="K284" s="450">
        <v>1456</v>
      </c>
      <c r="L284" s="458">
        <f t="shared" si="143"/>
        <v>0</v>
      </c>
      <c r="M284" s="449">
        <f t="shared" si="144"/>
        <v>0</v>
      </c>
      <c r="N284" s="459"/>
      <c r="O284" s="459"/>
      <c r="P284" s="459"/>
      <c r="Q284" s="459"/>
      <c r="R284" s="460">
        <f t="shared" si="141"/>
        <v>0</v>
      </c>
      <c r="S284" s="461"/>
      <c r="T284" s="461"/>
      <c r="U284" s="461"/>
      <c r="V284" s="461"/>
      <c r="W284" s="462">
        <f t="shared" si="142"/>
        <v>0</v>
      </c>
      <c r="X284" s="463"/>
      <c r="Y284" s="457"/>
      <c r="Z284" s="464"/>
      <c r="AA284" s="464"/>
      <c r="AB284" s="465"/>
      <c r="AC284" s="457"/>
      <c r="AD284" s="464"/>
      <c r="AE284" s="466"/>
      <c r="AF284" s="465"/>
      <c r="AG284" s="457"/>
      <c r="AH284" s="464"/>
      <c r="AI284" s="466"/>
      <c r="AJ284" s="465"/>
      <c r="AK284" s="457"/>
      <c r="AL284" s="464"/>
      <c r="AM284" s="466"/>
      <c r="AN284" s="465"/>
      <c r="AO284" s="457"/>
      <c r="AP284" s="464"/>
      <c r="AQ284" s="464"/>
      <c r="AR284" s="460">
        <f t="shared" si="145"/>
        <v>0</v>
      </c>
      <c r="AS284" s="467">
        <f t="shared" si="146"/>
        <v>0</v>
      </c>
      <c r="AT284" s="447">
        <f t="shared" si="147"/>
        <v>0</v>
      </c>
      <c r="AU284" s="448">
        <f t="shared" si="148"/>
        <v>0</v>
      </c>
      <c r="AV284" s="457"/>
      <c r="AW284" s="450"/>
      <c r="AX284" s="463"/>
      <c r="AY284" s="457"/>
      <c r="AZ284" s="464"/>
      <c r="BA284" s="464"/>
      <c r="BB284" s="465"/>
      <c r="BC284" s="457"/>
      <c r="BD284" s="464"/>
      <c r="BE284" s="466"/>
      <c r="BF284" s="465"/>
      <c r="BG284" s="457"/>
      <c r="BH284" s="464"/>
      <c r="BI284" s="466"/>
      <c r="BJ284" s="465"/>
      <c r="BK284" s="457"/>
      <c r="BL284" s="464"/>
      <c r="BM284" s="466"/>
      <c r="BN284" s="465"/>
      <c r="BO284" s="457"/>
      <c r="BP284" s="464"/>
      <c r="BQ284" s="466"/>
      <c r="BR284" s="465"/>
      <c r="BS284" s="457"/>
      <c r="BT284" s="464"/>
      <c r="BU284" s="466"/>
      <c r="BV284" s="465"/>
      <c r="BW284" s="457"/>
      <c r="BX284" s="464"/>
      <c r="BY284" s="466"/>
      <c r="BZ284" s="465"/>
      <c r="CA284" s="457"/>
      <c r="CB284" s="464"/>
      <c r="CC284" s="466"/>
      <c r="CD284" s="465"/>
      <c r="CE284" s="457"/>
      <c r="CF284" s="464"/>
      <c r="CG284" s="466"/>
      <c r="CH284" s="465"/>
      <c r="CI284" s="457"/>
      <c r="CJ284" s="464"/>
      <c r="CK284" s="466"/>
      <c r="CL284" s="459"/>
      <c r="CM284" s="450"/>
      <c r="CN284" s="468">
        <f t="shared" si="149"/>
        <v>0</v>
      </c>
      <c r="CO284" s="468">
        <f t="shared" si="150"/>
        <v>0</v>
      </c>
      <c r="CP284" s="469">
        <f t="shared" si="151"/>
        <v>0</v>
      </c>
      <c r="CQ284" s="469">
        <f t="shared" si="152"/>
        <v>0</v>
      </c>
      <c r="CR284" s="463"/>
      <c r="CS284" s="457"/>
      <c r="CT284" s="464"/>
      <c r="CU284" s="464"/>
      <c r="CV284" s="465"/>
      <c r="CW284" s="457"/>
      <c r="CX284" s="464"/>
      <c r="CY284" s="466"/>
      <c r="CZ284" s="465"/>
      <c r="DA284" s="457"/>
      <c r="DB284" s="464"/>
      <c r="DC284" s="466"/>
      <c r="DD284" s="465"/>
      <c r="DE284" s="457"/>
      <c r="DF284" s="464"/>
      <c r="DG284" s="466"/>
      <c r="DH284" s="465"/>
      <c r="DI284" s="457"/>
      <c r="DJ284" s="464"/>
      <c r="DK284" s="466"/>
      <c r="DL284" s="465"/>
      <c r="DM284" s="457"/>
      <c r="DN284" s="464"/>
      <c r="DO284" s="466"/>
      <c r="DP284" s="465"/>
      <c r="DQ284" s="457"/>
      <c r="DR284" s="464"/>
      <c r="DS284" s="466"/>
      <c r="DT284" s="465"/>
      <c r="DU284" s="457"/>
      <c r="DV284" s="464"/>
      <c r="DW284" s="466"/>
      <c r="DX284" s="465"/>
      <c r="DY284" s="457"/>
      <c r="DZ284" s="464"/>
      <c r="EA284" s="466"/>
      <c r="EB284" s="465"/>
      <c r="EC284" s="457"/>
      <c r="ED284" s="464"/>
      <c r="EE284" s="466"/>
      <c r="EF284" s="459"/>
      <c r="EG284" s="450"/>
      <c r="EH284" s="460">
        <f t="shared" si="153"/>
        <v>0</v>
      </c>
      <c r="EI284" s="460">
        <f t="shared" si="154"/>
        <v>0</v>
      </c>
      <c r="EJ284" s="458">
        <f t="shared" si="155"/>
        <v>0</v>
      </c>
      <c r="EK284" s="470">
        <f t="shared" si="156"/>
        <v>0</v>
      </c>
      <c r="EL284" s="470">
        <f t="shared" si="157"/>
        <v>0</v>
      </c>
      <c r="EM284" s="449">
        <f t="shared" si="158"/>
        <v>0</v>
      </c>
      <c r="EN284" s="460">
        <f t="shared" si="159"/>
        <v>0</v>
      </c>
      <c r="EO284" s="469">
        <f t="shared" si="160"/>
        <v>0</v>
      </c>
      <c r="EP284" s="471"/>
      <c r="EQ284" s="450"/>
      <c r="ER284" s="471"/>
      <c r="ES284" s="450"/>
      <c r="ET284" s="471"/>
      <c r="EU284" s="450"/>
      <c r="EV284" s="471"/>
      <c r="EW284" s="450"/>
      <c r="EX284" s="471"/>
      <c r="EY284" s="450"/>
      <c r="EZ284" s="471"/>
      <c r="FA284" s="450"/>
      <c r="FB284" s="471"/>
      <c r="FC284" s="450"/>
      <c r="FD284" s="471"/>
      <c r="FE284" s="450"/>
      <c r="FF284" s="471"/>
      <c r="FG284" s="450"/>
      <c r="FH284" s="472"/>
      <c r="FI284" s="450"/>
      <c r="FJ284" s="468">
        <f t="shared" si="161"/>
        <v>0</v>
      </c>
      <c r="FK284" s="469">
        <f t="shared" si="162"/>
        <v>0</v>
      </c>
      <c r="FL284" s="472"/>
      <c r="FM284" s="450"/>
      <c r="FN284" s="460">
        <f t="shared" si="163"/>
        <v>1351</v>
      </c>
      <c r="FO284" s="469">
        <f t="shared" si="164"/>
        <v>1550</v>
      </c>
    </row>
    <row r="285" spans="1:171" x14ac:dyDescent="0.2">
      <c r="A285" s="737" t="s">
        <v>693</v>
      </c>
      <c r="B285" s="712" t="s">
        <v>1161</v>
      </c>
      <c r="C285" s="713"/>
      <c r="D285" s="717">
        <v>176071</v>
      </c>
      <c r="E285" s="718">
        <v>8</v>
      </c>
      <c r="F285" s="719">
        <v>125</v>
      </c>
      <c r="G285" s="450">
        <v>77</v>
      </c>
      <c r="H285" s="457"/>
      <c r="I285" s="450"/>
      <c r="J285" s="457">
        <v>2165</v>
      </c>
      <c r="K285" s="450">
        <v>1925</v>
      </c>
      <c r="L285" s="458">
        <f t="shared" si="143"/>
        <v>0</v>
      </c>
      <c r="M285" s="449">
        <f t="shared" si="144"/>
        <v>0</v>
      </c>
      <c r="N285" s="459"/>
      <c r="O285" s="459"/>
      <c r="P285" s="459"/>
      <c r="Q285" s="459"/>
      <c r="R285" s="460">
        <f t="shared" si="141"/>
        <v>0</v>
      </c>
      <c r="S285" s="461"/>
      <c r="T285" s="461"/>
      <c r="U285" s="461"/>
      <c r="V285" s="461"/>
      <c r="W285" s="462">
        <f t="shared" si="142"/>
        <v>0</v>
      </c>
      <c r="X285" s="463"/>
      <c r="Y285" s="457"/>
      <c r="Z285" s="464"/>
      <c r="AA285" s="464"/>
      <c r="AB285" s="465"/>
      <c r="AC285" s="457"/>
      <c r="AD285" s="464"/>
      <c r="AE285" s="466"/>
      <c r="AF285" s="465"/>
      <c r="AG285" s="457"/>
      <c r="AH285" s="464"/>
      <c r="AI285" s="466"/>
      <c r="AJ285" s="465"/>
      <c r="AK285" s="457"/>
      <c r="AL285" s="464"/>
      <c r="AM285" s="466"/>
      <c r="AN285" s="465"/>
      <c r="AO285" s="457"/>
      <c r="AP285" s="464"/>
      <c r="AQ285" s="464"/>
      <c r="AR285" s="460">
        <f t="shared" si="145"/>
        <v>0</v>
      </c>
      <c r="AS285" s="467">
        <f t="shared" si="146"/>
        <v>0</v>
      </c>
      <c r="AT285" s="447">
        <f t="shared" si="147"/>
        <v>0</v>
      </c>
      <c r="AU285" s="448">
        <f t="shared" si="148"/>
        <v>0</v>
      </c>
      <c r="AV285" s="457"/>
      <c r="AW285" s="450"/>
      <c r="AX285" s="463"/>
      <c r="AY285" s="457"/>
      <c r="AZ285" s="464"/>
      <c r="BA285" s="464"/>
      <c r="BB285" s="465"/>
      <c r="BC285" s="457"/>
      <c r="BD285" s="464"/>
      <c r="BE285" s="466"/>
      <c r="BF285" s="465"/>
      <c r="BG285" s="457"/>
      <c r="BH285" s="464"/>
      <c r="BI285" s="466"/>
      <c r="BJ285" s="465"/>
      <c r="BK285" s="457"/>
      <c r="BL285" s="464"/>
      <c r="BM285" s="466"/>
      <c r="BN285" s="465"/>
      <c r="BO285" s="457"/>
      <c r="BP285" s="464"/>
      <c r="BQ285" s="466"/>
      <c r="BR285" s="465"/>
      <c r="BS285" s="457"/>
      <c r="BT285" s="464"/>
      <c r="BU285" s="466"/>
      <c r="BV285" s="465"/>
      <c r="BW285" s="457"/>
      <c r="BX285" s="464"/>
      <c r="BY285" s="466"/>
      <c r="BZ285" s="465"/>
      <c r="CA285" s="457"/>
      <c r="CB285" s="464"/>
      <c r="CC285" s="466"/>
      <c r="CD285" s="465"/>
      <c r="CE285" s="457"/>
      <c r="CF285" s="464"/>
      <c r="CG285" s="466"/>
      <c r="CH285" s="465"/>
      <c r="CI285" s="457"/>
      <c r="CJ285" s="464"/>
      <c r="CK285" s="466"/>
      <c r="CL285" s="459"/>
      <c r="CM285" s="450"/>
      <c r="CN285" s="468">
        <f t="shared" si="149"/>
        <v>0</v>
      </c>
      <c r="CO285" s="468">
        <f t="shared" si="150"/>
        <v>0</v>
      </c>
      <c r="CP285" s="469">
        <f t="shared" si="151"/>
        <v>0</v>
      </c>
      <c r="CQ285" s="469">
        <f t="shared" si="152"/>
        <v>0</v>
      </c>
      <c r="CR285" s="463"/>
      <c r="CS285" s="457"/>
      <c r="CT285" s="464"/>
      <c r="CU285" s="464"/>
      <c r="CV285" s="465"/>
      <c r="CW285" s="457"/>
      <c r="CX285" s="464"/>
      <c r="CY285" s="466"/>
      <c r="CZ285" s="465"/>
      <c r="DA285" s="457"/>
      <c r="DB285" s="464"/>
      <c r="DC285" s="466"/>
      <c r="DD285" s="465"/>
      <c r="DE285" s="457"/>
      <c r="DF285" s="464"/>
      <c r="DG285" s="466"/>
      <c r="DH285" s="465"/>
      <c r="DI285" s="457"/>
      <c r="DJ285" s="464"/>
      <c r="DK285" s="466"/>
      <c r="DL285" s="465"/>
      <c r="DM285" s="457"/>
      <c r="DN285" s="464"/>
      <c r="DO285" s="466"/>
      <c r="DP285" s="465"/>
      <c r="DQ285" s="457"/>
      <c r="DR285" s="464"/>
      <c r="DS285" s="466"/>
      <c r="DT285" s="465"/>
      <c r="DU285" s="457"/>
      <c r="DV285" s="464"/>
      <c r="DW285" s="466"/>
      <c r="DX285" s="465"/>
      <c r="DY285" s="457"/>
      <c r="DZ285" s="464"/>
      <c r="EA285" s="466"/>
      <c r="EB285" s="465"/>
      <c r="EC285" s="457"/>
      <c r="ED285" s="464"/>
      <c r="EE285" s="466"/>
      <c r="EF285" s="459"/>
      <c r="EG285" s="450"/>
      <c r="EH285" s="460">
        <f t="shared" si="153"/>
        <v>0</v>
      </c>
      <c r="EI285" s="460">
        <f t="shared" si="154"/>
        <v>0</v>
      </c>
      <c r="EJ285" s="458">
        <f t="shared" si="155"/>
        <v>0</v>
      </c>
      <c r="EK285" s="470">
        <f t="shared" si="156"/>
        <v>0</v>
      </c>
      <c r="EL285" s="470">
        <f t="shared" si="157"/>
        <v>0</v>
      </c>
      <c r="EM285" s="449">
        <f t="shared" si="158"/>
        <v>0</v>
      </c>
      <c r="EN285" s="460">
        <f t="shared" si="159"/>
        <v>0</v>
      </c>
      <c r="EO285" s="469">
        <f t="shared" si="160"/>
        <v>0</v>
      </c>
      <c r="EP285" s="471"/>
      <c r="EQ285" s="450"/>
      <c r="ER285" s="471"/>
      <c r="ES285" s="450"/>
      <c r="ET285" s="471"/>
      <c r="EU285" s="450"/>
      <c r="EV285" s="471"/>
      <c r="EW285" s="450"/>
      <c r="EX285" s="471"/>
      <c r="EY285" s="450"/>
      <c r="EZ285" s="471"/>
      <c r="FA285" s="450"/>
      <c r="FB285" s="471"/>
      <c r="FC285" s="450"/>
      <c r="FD285" s="471"/>
      <c r="FE285" s="450"/>
      <c r="FF285" s="471"/>
      <c r="FG285" s="450"/>
      <c r="FH285" s="472"/>
      <c r="FI285" s="450"/>
      <c r="FJ285" s="468">
        <f t="shared" si="161"/>
        <v>0</v>
      </c>
      <c r="FK285" s="469">
        <f t="shared" si="162"/>
        <v>0</v>
      </c>
      <c r="FL285" s="472"/>
      <c r="FM285" s="450"/>
      <c r="FN285" s="460">
        <f t="shared" si="163"/>
        <v>2290</v>
      </c>
      <c r="FO285" s="469">
        <f t="shared" si="164"/>
        <v>2002</v>
      </c>
    </row>
    <row r="286" spans="1:171" x14ac:dyDescent="0.2">
      <c r="A286" s="737" t="s">
        <v>693</v>
      </c>
      <c r="B286" s="712" t="s">
        <v>1162</v>
      </c>
      <c r="C286" s="713"/>
      <c r="D286" s="717">
        <v>176178</v>
      </c>
      <c r="E286" s="718">
        <v>8</v>
      </c>
      <c r="F286" s="532">
        <v>230</v>
      </c>
      <c r="G286" s="450">
        <v>59</v>
      </c>
      <c r="H286" s="457"/>
      <c r="I286" s="450"/>
      <c r="J286" s="457">
        <v>918</v>
      </c>
      <c r="K286" s="450">
        <v>606</v>
      </c>
      <c r="L286" s="458">
        <f t="shared" si="143"/>
        <v>0</v>
      </c>
      <c r="M286" s="449">
        <f t="shared" si="144"/>
        <v>0</v>
      </c>
      <c r="N286" s="459"/>
      <c r="O286" s="459"/>
      <c r="P286" s="459"/>
      <c r="Q286" s="459"/>
      <c r="R286" s="460">
        <f t="shared" ref="R286:R329" si="165">SUM(O286:Q286)</f>
        <v>0</v>
      </c>
      <c r="S286" s="461"/>
      <c r="T286" s="461"/>
      <c r="U286" s="461"/>
      <c r="V286" s="461"/>
      <c r="W286" s="462">
        <f t="shared" si="142"/>
        <v>0</v>
      </c>
      <c r="X286" s="463"/>
      <c r="Y286" s="457"/>
      <c r="Z286" s="464"/>
      <c r="AA286" s="464"/>
      <c r="AB286" s="465"/>
      <c r="AC286" s="457"/>
      <c r="AD286" s="464"/>
      <c r="AE286" s="466"/>
      <c r="AF286" s="465"/>
      <c r="AG286" s="457"/>
      <c r="AH286" s="464"/>
      <c r="AI286" s="466"/>
      <c r="AJ286" s="465"/>
      <c r="AK286" s="457"/>
      <c r="AL286" s="464"/>
      <c r="AM286" s="466"/>
      <c r="AN286" s="465"/>
      <c r="AO286" s="457"/>
      <c r="AP286" s="464"/>
      <c r="AQ286" s="464"/>
      <c r="AR286" s="460">
        <f t="shared" si="145"/>
        <v>0</v>
      </c>
      <c r="AS286" s="467">
        <f t="shared" si="146"/>
        <v>0</v>
      </c>
      <c r="AT286" s="447">
        <f t="shared" si="147"/>
        <v>0</v>
      </c>
      <c r="AU286" s="448">
        <f t="shared" si="148"/>
        <v>0</v>
      </c>
      <c r="AV286" s="457"/>
      <c r="AW286" s="450"/>
      <c r="AX286" s="463"/>
      <c r="AY286" s="457"/>
      <c r="AZ286" s="464"/>
      <c r="BA286" s="464"/>
      <c r="BB286" s="465"/>
      <c r="BC286" s="457"/>
      <c r="BD286" s="464"/>
      <c r="BE286" s="466"/>
      <c r="BF286" s="465"/>
      <c r="BG286" s="457"/>
      <c r="BH286" s="464"/>
      <c r="BI286" s="466"/>
      <c r="BJ286" s="465"/>
      <c r="BK286" s="457"/>
      <c r="BL286" s="464"/>
      <c r="BM286" s="466"/>
      <c r="BN286" s="465"/>
      <c r="BO286" s="457"/>
      <c r="BP286" s="464"/>
      <c r="BQ286" s="466"/>
      <c r="BR286" s="465"/>
      <c r="BS286" s="457"/>
      <c r="BT286" s="464"/>
      <c r="BU286" s="466"/>
      <c r="BV286" s="465"/>
      <c r="BW286" s="457"/>
      <c r="BX286" s="464"/>
      <c r="BY286" s="466"/>
      <c r="BZ286" s="465"/>
      <c r="CA286" s="457"/>
      <c r="CB286" s="464"/>
      <c r="CC286" s="466"/>
      <c r="CD286" s="465"/>
      <c r="CE286" s="457"/>
      <c r="CF286" s="464"/>
      <c r="CG286" s="466"/>
      <c r="CH286" s="465"/>
      <c r="CI286" s="457"/>
      <c r="CJ286" s="464"/>
      <c r="CK286" s="466"/>
      <c r="CL286" s="459"/>
      <c r="CM286" s="450"/>
      <c r="CN286" s="468">
        <f t="shared" si="149"/>
        <v>0</v>
      </c>
      <c r="CO286" s="468">
        <f t="shared" si="150"/>
        <v>0</v>
      </c>
      <c r="CP286" s="469">
        <f t="shared" si="151"/>
        <v>0</v>
      </c>
      <c r="CQ286" s="469">
        <f t="shared" si="152"/>
        <v>0</v>
      </c>
      <c r="CR286" s="463"/>
      <c r="CS286" s="457"/>
      <c r="CT286" s="464"/>
      <c r="CU286" s="464"/>
      <c r="CV286" s="465"/>
      <c r="CW286" s="457"/>
      <c r="CX286" s="464"/>
      <c r="CY286" s="466"/>
      <c r="CZ286" s="465"/>
      <c r="DA286" s="457"/>
      <c r="DB286" s="464"/>
      <c r="DC286" s="466"/>
      <c r="DD286" s="465"/>
      <c r="DE286" s="457"/>
      <c r="DF286" s="464"/>
      <c r="DG286" s="466"/>
      <c r="DH286" s="465"/>
      <c r="DI286" s="457"/>
      <c r="DJ286" s="464"/>
      <c r="DK286" s="466"/>
      <c r="DL286" s="465"/>
      <c r="DM286" s="457"/>
      <c r="DN286" s="464"/>
      <c r="DO286" s="466"/>
      <c r="DP286" s="465"/>
      <c r="DQ286" s="457"/>
      <c r="DR286" s="464"/>
      <c r="DS286" s="466"/>
      <c r="DT286" s="465"/>
      <c r="DU286" s="457"/>
      <c r="DV286" s="464"/>
      <c r="DW286" s="466"/>
      <c r="DX286" s="465"/>
      <c r="DY286" s="457"/>
      <c r="DZ286" s="464"/>
      <c r="EA286" s="466"/>
      <c r="EB286" s="465"/>
      <c r="EC286" s="457"/>
      <c r="ED286" s="464"/>
      <c r="EE286" s="466"/>
      <c r="EF286" s="459"/>
      <c r="EG286" s="450"/>
      <c r="EH286" s="460">
        <f t="shared" si="153"/>
        <v>0</v>
      </c>
      <c r="EI286" s="460">
        <f t="shared" si="154"/>
        <v>0</v>
      </c>
      <c r="EJ286" s="458">
        <f t="shared" si="155"/>
        <v>0</v>
      </c>
      <c r="EK286" s="470">
        <f t="shared" si="156"/>
        <v>0</v>
      </c>
      <c r="EL286" s="470">
        <f t="shared" si="157"/>
        <v>0</v>
      </c>
      <c r="EM286" s="449">
        <f t="shared" si="158"/>
        <v>0</v>
      </c>
      <c r="EN286" s="460">
        <f t="shared" si="159"/>
        <v>0</v>
      </c>
      <c r="EO286" s="469">
        <f t="shared" si="160"/>
        <v>0</v>
      </c>
      <c r="EP286" s="471"/>
      <c r="EQ286" s="450"/>
      <c r="ER286" s="471"/>
      <c r="ES286" s="450"/>
      <c r="ET286" s="471"/>
      <c r="EU286" s="450"/>
      <c r="EV286" s="471"/>
      <c r="EW286" s="450"/>
      <c r="EX286" s="471"/>
      <c r="EY286" s="450"/>
      <c r="EZ286" s="471"/>
      <c r="FA286" s="450"/>
      <c r="FB286" s="471"/>
      <c r="FC286" s="450"/>
      <c r="FD286" s="471"/>
      <c r="FE286" s="450"/>
      <c r="FF286" s="471"/>
      <c r="FG286" s="450"/>
      <c r="FH286" s="472"/>
      <c r="FI286" s="450"/>
      <c r="FJ286" s="468">
        <f t="shared" si="161"/>
        <v>0</v>
      </c>
      <c r="FK286" s="469">
        <f t="shared" si="162"/>
        <v>0</v>
      </c>
      <c r="FL286" s="472"/>
      <c r="FM286" s="450"/>
      <c r="FN286" s="460">
        <f t="shared" si="163"/>
        <v>1148</v>
      </c>
      <c r="FO286" s="469">
        <f t="shared" si="164"/>
        <v>665</v>
      </c>
    </row>
    <row r="287" spans="1:171" x14ac:dyDescent="0.2">
      <c r="A287" s="735" t="s">
        <v>693</v>
      </c>
      <c r="B287" s="712" t="s">
        <v>1163</v>
      </c>
      <c r="C287" s="713"/>
      <c r="D287" s="714">
        <v>175573</v>
      </c>
      <c r="E287" s="715">
        <v>9</v>
      </c>
      <c r="F287" s="532">
        <v>142</v>
      </c>
      <c r="G287" s="450">
        <v>147</v>
      </c>
      <c r="H287" s="457"/>
      <c r="I287" s="450"/>
      <c r="J287" s="457">
        <v>569</v>
      </c>
      <c r="K287" s="450">
        <v>616</v>
      </c>
      <c r="L287" s="458">
        <f t="shared" ref="L287:L329" si="166">IF(N287&gt;0,J287/N287, )</f>
        <v>0</v>
      </c>
      <c r="M287" s="449">
        <f t="shared" ref="M287:M329" si="167">IF(S287&gt;0,K287/S287, )</f>
        <v>0</v>
      </c>
      <c r="N287" s="459"/>
      <c r="O287" s="459"/>
      <c r="P287" s="459"/>
      <c r="Q287" s="459"/>
      <c r="R287" s="460">
        <f t="shared" si="165"/>
        <v>0</v>
      </c>
      <c r="S287" s="461"/>
      <c r="T287" s="461"/>
      <c r="U287" s="461"/>
      <c r="V287" s="461"/>
      <c r="W287" s="462">
        <f t="shared" si="142"/>
        <v>0</v>
      </c>
      <c r="X287" s="463"/>
      <c r="Y287" s="457"/>
      <c r="Z287" s="464"/>
      <c r="AA287" s="464"/>
      <c r="AB287" s="465"/>
      <c r="AC287" s="457"/>
      <c r="AD287" s="464"/>
      <c r="AE287" s="466"/>
      <c r="AF287" s="465"/>
      <c r="AG287" s="457"/>
      <c r="AH287" s="464"/>
      <c r="AI287" s="466"/>
      <c r="AJ287" s="465"/>
      <c r="AK287" s="457"/>
      <c r="AL287" s="464"/>
      <c r="AM287" s="466"/>
      <c r="AN287" s="465"/>
      <c r="AO287" s="457"/>
      <c r="AP287" s="464"/>
      <c r="AQ287" s="464"/>
      <c r="AR287" s="460">
        <f t="shared" si="145"/>
        <v>0</v>
      </c>
      <c r="AS287" s="467">
        <f t="shared" si="146"/>
        <v>0</v>
      </c>
      <c r="AT287" s="447">
        <f t="shared" si="147"/>
        <v>0</v>
      </c>
      <c r="AU287" s="448">
        <f t="shared" si="148"/>
        <v>0</v>
      </c>
      <c r="AV287" s="457"/>
      <c r="AW287" s="450"/>
      <c r="AX287" s="463"/>
      <c r="AY287" s="457"/>
      <c r="AZ287" s="464"/>
      <c r="BA287" s="464"/>
      <c r="BB287" s="465"/>
      <c r="BC287" s="457"/>
      <c r="BD287" s="464"/>
      <c r="BE287" s="466"/>
      <c r="BF287" s="465"/>
      <c r="BG287" s="457"/>
      <c r="BH287" s="464"/>
      <c r="BI287" s="466"/>
      <c r="BJ287" s="465"/>
      <c r="BK287" s="457"/>
      <c r="BL287" s="464"/>
      <c r="BM287" s="466"/>
      <c r="BN287" s="465"/>
      <c r="BO287" s="457"/>
      <c r="BP287" s="464"/>
      <c r="BQ287" s="466"/>
      <c r="BR287" s="465"/>
      <c r="BS287" s="457"/>
      <c r="BT287" s="464"/>
      <c r="BU287" s="466"/>
      <c r="BV287" s="465"/>
      <c r="BW287" s="457"/>
      <c r="BX287" s="464"/>
      <c r="BY287" s="466"/>
      <c r="BZ287" s="465"/>
      <c r="CA287" s="457"/>
      <c r="CB287" s="464"/>
      <c r="CC287" s="466"/>
      <c r="CD287" s="465"/>
      <c r="CE287" s="457"/>
      <c r="CF287" s="464"/>
      <c r="CG287" s="466"/>
      <c r="CH287" s="465"/>
      <c r="CI287" s="457"/>
      <c r="CJ287" s="464"/>
      <c r="CK287" s="466"/>
      <c r="CL287" s="459"/>
      <c r="CM287" s="450"/>
      <c r="CN287" s="468">
        <f t="shared" ref="CN287:CN329" si="168">AY287+BC287+BG287+BK287+BO287+BS287+BW287+CA287+CE287+CI287+CL287</f>
        <v>0</v>
      </c>
      <c r="CO287" s="468">
        <f t="shared" ref="CO287:CO329" si="169">COUNTA(AX287,BB287,BF287,BJ287,BN287,BR287,BV287,BZ287,CD287,CH287)</f>
        <v>0</v>
      </c>
      <c r="CP287" s="469">
        <f t="shared" ref="CP287:CP329" si="170">BA287+BE287+BI287+BM287+BQ287+BU287+BY287+CC287+CG287+CK287+CM287</f>
        <v>0</v>
      </c>
      <c r="CQ287" s="469">
        <f t="shared" ref="CQ287:CQ329" si="171">COUNTA(AZ287,BD287,BH287,BL287,BP287,BT287,BX287,CB287,CF287,CJ287)</f>
        <v>0</v>
      </c>
      <c r="CR287" s="463"/>
      <c r="CS287" s="457"/>
      <c r="CT287" s="464"/>
      <c r="CU287" s="464"/>
      <c r="CV287" s="465"/>
      <c r="CW287" s="457"/>
      <c r="CX287" s="464"/>
      <c r="CY287" s="466"/>
      <c r="CZ287" s="465"/>
      <c r="DA287" s="457"/>
      <c r="DB287" s="464"/>
      <c r="DC287" s="466"/>
      <c r="DD287" s="465"/>
      <c r="DE287" s="457"/>
      <c r="DF287" s="464"/>
      <c r="DG287" s="466"/>
      <c r="DH287" s="465"/>
      <c r="DI287" s="457"/>
      <c r="DJ287" s="464"/>
      <c r="DK287" s="466"/>
      <c r="DL287" s="465"/>
      <c r="DM287" s="457"/>
      <c r="DN287" s="464"/>
      <c r="DO287" s="466"/>
      <c r="DP287" s="465"/>
      <c r="DQ287" s="457"/>
      <c r="DR287" s="464"/>
      <c r="DS287" s="466"/>
      <c r="DT287" s="465"/>
      <c r="DU287" s="457"/>
      <c r="DV287" s="464"/>
      <c r="DW287" s="466"/>
      <c r="DX287" s="465"/>
      <c r="DY287" s="457"/>
      <c r="DZ287" s="464"/>
      <c r="EA287" s="466"/>
      <c r="EB287" s="465"/>
      <c r="EC287" s="457"/>
      <c r="ED287" s="464"/>
      <c r="EE287" s="466"/>
      <c r="EF287" s="459"/>
      <c r="EG287" s="450"/>
      <c r="EH287" s="460">
        <f t="shared" si="153"/>
        <v>0</v>
      </c>
      <c r="EI287" s="460">
        <f t="shared" si="154"/>
        <v>0</v>
      </c>
      <c r="EJ287" s="458">
        <f t="shared" si="155"/>
        <v>0</v>
      </c>
      <c r="EK287" s="470">
        <f t="shared" si="156"/>
        <v>0</v>
      </c>
      <c r="EL287" s="470">
        <f t="shared" si="157"/>
        <v>0</v>
      </c>
      <c r="EM287" s="449">
        <f t="shared" si="158"/>
        <v>0</v>
      </c>
      <c r="EN287" s="460">
        <f t="shared" si="159"/>
        <v>0</v>
      </c>
      <c r="EO287" s="469">
        <f t="shared" si="160"/>
        <v>0</v>
      </c>
      <c r="EP287" s="471"/>
      <c r="EQ287" s="450"/>
      <c r="ER287" s="471"/>
      <c r="ES287" s="450"/>
      <c r="ET287" s="471"/>
      <c r="EU287" s="450"/>
      <c r="EV287" s="471"/>
      <c r="EW287" s="450"/>
      <c r="EX287" s="471"/>
      <c r="EY287" s="450"/>
      <c r="EZ287" s="471"/>
      <c r="FA287" s="450"/>
      <c r="FB287" s="471"/>
      <c r="FC287" s="450"/>
      <c r="FD287" s="471"/>
      <c r="FE287" s="450"/>
      <c r="FF287" s="471"/>
      <c r="FG287" s="450"/>
      <c r="FH287" s="472"/>
      <c r="FI287" s="450"/>
      <c r="FJ287" s="468">
        <f t="shared" si="161"/>
        <v>0</v>
      </c>
      <c r="FK287" s="469">
        <f t="shared" si="162"/>
        <v>0</v>
      </c>
      <c r="FL287" s="472"/>
      <c r="FM287" s="450"/>
      <c r="FN287" s="460">
        <f t="shared" si="163"/>
        <v>711</v>
      </c>
      <c r="FO287" s="469">
        <f t="shared" si="164"/>
        <v>763</v>
      </c>
    </row>
    <row r="288" spans="1:171" x14ac:dyDescent="0.2">
      <c r="A288" s="737" t="s">
        <v>693</v>
      </c>
      <c r="B288" s="712" t="s">
        <v>1164</v>
      </c>
      <c r="C288" s="713"/>
      <c r="D288" s="717">
        <v>175643</v>
      </c>
      <c r="E288" s="718">
        <v>9</v>
      </c>
      <c r="F288" s="532">
        <v>79</v>
      </c>
      <c r="G288" s="450">
        <v>85</v>
      </c>
      <c r="H288" s="457"/>
      <c r="I288" s="450"/>
      <c r="J288" s="457">
        <v>370</v>
      </c>
      <c r="K288" s="450">
        <v>343</v>
      </c>
      <c r="L288" s="458">
        <f t="shared" si="166"/>
        <v>0</v>
      </c>
      <c r="M288" s="449">
        <f t="shared" si="167"/>
        <v>0</v>
      </c>
      <c r="N288" s="459"/>
      <c r="O288" s="459"/>
      <c r="P288" s="459"/>
      <c r="Q288" s="459"/>
      <c r="R288" s="460">
        <f t="shared" si="165"/>
        <v>0</v>
      </c>
      <c r="S288" s="461"/>
      <c r="T288" s="461"/>
      <c r="U288" s="461"/>
      <c r="V288" s="461"/>
      <c r="W288" s="462">
        <f t="shared" si="142"/>
        <v>0</v>
      </c>
      <c r="X288" s="463"/>
      <c r="Y288" s="457"/>
      <c r="Z288" s="464"/>
      <c r="AA288" s="464"/>
      <c r="AB288" s="465"/>
      <c r="AC288" s="457"/>
      <c r="AD288" s="464"/>
      <c r="AE288" s="466"/>
      <c r="AF288" s="465"/>
      <c r="AG288" s="457"/>
      <c r="AH288" s="464"/>
      <c r="AI288" s="466"/>
      <c r="AJ288" s="465"/>
      <c r="AK288" s="457"/>
      <c r="AL288" s="464"/>
      <c r="AM288" s="466"/>
      <c r="AN288" s="465"/>
      <c r="AO288" s="457"/>
      <c r="AP288" s="464"/>
      <c r="AQ288" s="464"/>
      <c r="AR288" s="460">
        <f t="shared" ref="AR288:AR329" si="172">COUNTA(X288,AB288,AF288,AJ288,AN288)</f>
        <v>0</v>
      </c>
      <c r="AS288" s="467">
        <f t="shared" ref="AS288:AS329" si="173">IF(FN288&gt;0,N288/FN288,)</f>
        <v>0</v>
      </c>
      <c r="AT288" s="447">
        <f t="shared" ref="AT288:AT329" si="174">COUNTA(Z288,AD288,AH288,AL288,AP288)</f>
        <v>0</v>
      </c>
      <c r="AU288" s="448">
        <f t="shared" ref="AU288:AU329" si="175">IF(FO288&gt;0,S288/FO288,)</f>
        <v>0</v>
      </c>
      <c r="AV288" s="457"/>
      <c r="AW288" s="450"/>
      <c r="AX288" s="463"/>
      <c r="AY288" s="457"/>
      <c r="AZ288" s="464"/>
      <c r="BA288" s="464"/>
      <c r="BB288" s="465"/>
      <c r="BC288" s="457"/>
      <c r="BD288" s="464"/>
      <c r="BE288" s="466"/>
      <c r="BF288" s="465"/>
      <c r="BG288" s="457"/>
      <c r="BH288" s="464"/>
      <c r="BI288" s="466"/>
      <c r="BJ288" s="465"/>
      <c r="BK288" s="457"/>
      <c r="BL288" s="464"/>
      <c r="BM288" s="466"/>
      <c r="BN288" s="465"/>
      <c r="BO288" s="457"/>
      <c r="BP288" s="464"/>
      <c r="BQ288" s="466"/>
      <c r="BR288" s="465"/>
      <c r="BS288" s="457"/>
      <c r="BT288" s="464"/>
      <c r="BU288" s="466"/>
      <c r="BV288" s="465"/>
      <c r="BW288" s="457"/>
      <c r="BX288" s="464"/>
      <c r="BY288" s="466"/>
      <c r="BZ288" s="465"/>
      <c r="CA288" s="457"/>
      <c r="CB288" s="464"/>
      <c r="CC288" s="466"/>
      <c r="CD288" s="465"/>
      <c r="CE288" s="457"/>
      <c r="CF288" s="464"/>
      <c r="CG288" s="466"/>
      <c r="CH288" s="465"/>
      <c r="CI288" s="457"/>
      <c r="CJ288" s="464"/>
      <c r="CK288" s="466"/>
      <c r="CL288" s="459"/>
      <c r="CM288" s="450"/>
      <c r="CN288" s="468">
        <f t="shared" si="168"/>
        <v>0</v>
      </c>
      <c r="CO288" s="468">
        <f t="shared" si="169"/>
        <v>0</v>
      </c>
      <c r="CP288" s="469">
        <f t="shared" si="170"/>
        <v>0</v>
      </c>
      <c r="CQ288" s="469">
        <f t="shared" si="171"/>
        <v>0</v>
      </c>
      <c r="CR288" s="463"/>
      <c r="CS288" s="457"/>
      <c r="CT288" s="464"/>
      <c r="CU288" s="464"/>
      <c r="CV288" s="465"/>
      <c r="CW288" s="457"/>
      <c r="CX288" s="464"/>
      <c r="CY288" s="466"/>
      <c r="CZ288" s="465"/>
      <c r="DA288" s="457"/>
      <c r="DB288" s="464"/>
      <c r="DC288" s="466"/>
      <c r="DD288" s="465"/>
      <c r="DE288" s="457"/>
      <c r="DF288" s="464"/>
      <c r="DG288" s="466"/>
      <c r="DH288" s="465"/>
      <c r="DI288" s="457"/>
      <c r="DJ288" s="464"/>
      <c r="DK288" s="466"/>
      <c r="DL288" s="465"/>
      <c r="DM288" s="457"/>
      <c r="DN288" s="464"/>
      <c r="DO288" s="466"/>
      <c r="DP288" s="465"/>
      <c r="DQ288" s="457"/>
      <c r="DR288" s="464"/>
      <c r="DS288" s="466"/>
      <c r="DT288" s="465"/>
      <c r="DU288" s="457"/>
      <c r="DV288" s="464"/>
      <c r="DW288" s="466"/>
      <c r="DX288" s="465"/>
      <c r="DY288" s="457"/>
      <c r="DZ288" s="464"/>
      <c r="EA288" s="466"/>
      <c r="EB288" s="465"/>
      <c r="EC288" s="457"/>
      <c r="ED288" s="464"/>
      <c r="EE288" s="466"/>
      <c r="EF288" s="459"/>
      <c r="EG288" s="450"/>
      <c r="EH288" s="460">
        <f t="shared" si="153"/>
        <v>0</v>
      </c>
      <c r="EI288" s="460">
        <f t="shared" si="154"/>
        <v>0</v>
      </c>
      <c r="EJ288" s="458">
        <f t="shared" si="155"/>
        <v>0</v>
      </c>
      <c r="EK288" s="470">
        <f t="shared" si="156"/>
        <v>0</v>
      </c>
      <c r="EL288" s="470">
        <f t="shared" si="157"/>
        <v>0</v>
      </c>
      <c r="EM288" s="449">
        <f t="shared" si="158"/>
        <v>0</v>
      </c>
      <c r="EN288" s="460">
        <f t="shared" si="159"/>
        <v>0</v>
      </c>
      <c r="EO288" s="469">
        <f t="shared" si="160"/>
        <v>0</v>
      </c>
      <c r="EP288" s="471"/>
      <c r="EQ288" s="450"/>
      <c r="ER288" s="471"/>
      <c r="ES288" s="450"/>
      <c r="ET288" s="471"/>
      <c r="EU288" s="450"/>
      <c r="EV288" s="471"/>
      <c r="EW288" s="450"/>
      <c r="EX288" s="471"/>
      <c r="EY288" s="450"/>
      <c r="EZ288" s="471"/>
      <c r="FA288" s="450"/>
      <c r="FB288" s="471"/>
      <c r="FC288" s="450"/>
      <c r="FD288" s="471"/>
      <c r="FE288" s="450"/>
      <c r="FF288" s="471"/>
      <c r="FG288" s="450"/>
      <c r="FH288" s="472"/>
      <c r="FI288" s="450"/>
      <c r="FJ288" s="468">
        <f t="shared" ref="FJ288:FJ329" si="176">EP288+ER288+ET288+EV288+EX288+EZ288+FB288+FD288+FF288+FH288</f>
        <v>0</v>
      </c>
      <c r="FK288" s="469">
        <f t="shared" ref="FK288:FK329" si="177">EQ288+ES288+EU288+EW288+EY288+FA288+FC288+FE288+FG288+FI288</f>
        <v>0</v>
      </c>
      <c r="FL288" s="472"/>
      <c r="FM288" s="450"/>
      <c r="FN288" s="460">
        <f t="shared" si="163"/>
        <v>449</v>
      </c>
      <c r="FO288" s="469">
        <f t="shared" si="164"/>
        <v>428</v>
      </c>
    </row>
    <row r="289" spans="1:171" x14ac:dyDescent="0.2">
      <c r="A289" s="737" t="s">
        <v>693</v>
      </c>
      <c r="B289" s="712" t="s">
        <v>1165</v>
      </c>
      <c r="C289" s="713"/>
      <c r="D289" s="717">
        <v>175652</v>
      </c>
      <c r="E289" s="718">
        <v>9</v>
      </c>
      <c r="F289" s="532">
        <v>146</v>
      </c>
      <c r="G289" s="450">
        <v>177</v>
      </c>
      <c r="H289" s="457"/>
      <c r="I289" s="450"/>
      <c r="J289" s="457">
        <v>613</v>
      </c>
      <c r="K289" s="450">
        <v>790</v>
      </c>
      <c r="L289" s="458">
        <f t="shared" si="166"/>
        <v>0</v>
      </c>
      <c r="M289" s="449">
        <f t="shared" si="167"/>
        <v>0</v>
      </c>
      <c r="N289" s="459"/>
      <c r="O289" s="459"/>
      <c r="P289" s="459"/>
      <c r="Q289" s="459"/>
      <c r="R289" s="460">
        <f t="shared" si="165"/>
        <v>0</v>
      </c>
      <c r="S289" s="461"/>
      <c r="T289" s="461"/>
      <c r="U289" s="461"/>
      <c r="V289" s="461"/>
      <c r="W289" s="462">
        <f t="shared" si="142"/>
        <v>0</v>
      </c>
      <c r="X289" s="463"/>
      <c r="Y289" s="457"/>
      <c r="Z289" s="464"/>
      <c r="AA289" s="464"/>
      <c r="AB289" s="465"/>
      <c r="AC289" s="457"/>
      <c r="AD289" s="464"/>
      <c r="AE289" s="466"/>
      <c r="AF289" s="465"/>
      <c r="AG289" s="457"/>
      <c r="AH289" s="464"/>
      <c r="AI289" s="466"/>
      <c r="AJ289" s="465"/>
      <c r="AK289" s="457"/>
      <c r="AL289" s="464"/>
      <c r="AM289" s="466"/>
      <c r="AN289" s="465"/>
      <c r="AO289" s="457"/>
      <c r="AP289" s="464"/>
      <c r="AQ289" s="464"/>
      <c r="AR289" s="460">
        <f t="shared" si="172"/>
        <v>0</v>
      </c>
      <c r="AS289" s="467">
        <f t="shared" si="173"/>
        <v>0</v>
      </c>
      <c r="AT289" s="447">
        <f t="shared" si="174"/>
        <v>0</v>
      </c>
      <c r="AU289" s="448">
        <f t="shared" si="175"/>
        <v>0</v>
      </c>
      <c r="AV289" s="457"/>
      <c r="AW289" s="450"/>
      <c r="AX289" s="463"/>
      <c r="AY289" s="457"/>
      <c r="AZ289" s="464"/>
      <c r="BA289" s="464"/>
      <c r="BB289" s="465"/>
      <c r="BC289" s="457"/>
      <c r="BD289" s="464"/>
      <c r="BE289" s="466"/>
      <c r="BF289" s="465"/>
      <c r="BG289" s="457"/>
      <c r="BH289" s="464"/>
      <c r="BI289" s="466"/>
      <c r="BJ289" s="465"/>
      <c r="BK289" s="457"/>
      <c r="BL289" s="464"/>
      <c r="BM289" s="466"/>
      <c r="BN289" s="465"/>
      <c r="BO289" s="457"/>
      <c r="BP289" s="464"/>
      <c r="BQ289" s="466"/>
      <c r="BR289" s="465"/>
      <c r="BS289" s="457"/>
      <c r="BT289" s="464"/>
      <c r="BU289" s="466"/>
      <c r="BV289" s="465"/>
      <c r="BW289" s="457"/>
      <c r="BX289" s="464"/>
      <c r="BY289" s="466"/>
      <c r="BZ289" s="465"/>
      <c r="CA289" s="457"/>
      <c r="CB289" s="464"/>
      <c r="CC289" s="466"/>
      <c r="CD289" s="465"/>
      <c r="CE289" s="457"/>
      <c r="CF289" s="464"/>
      <c r="CG289" s="466"/>
      <c r="CH289" s="465"/>
      <c r="CI289" s="457"/>
      <c r="CJ289" s="464"/>
      <c r="CK289" s="466"/>
      <c r="CL289" s="459"/>
      <c r="CM289" s="450"/>
      <c r="CN289" s="468">
        <f t="shared" si="168"/>
        <v>0</v>
      </c>
      <c r="CO289" s="468">
        <f t="shared" si="169"/>
        <v>0</v>
      </c>
      <c r="CP289" s="469">
        <f t="shared" si="170"/>
        <v>0</v>
      </c>
      <c r="CQ289" s="469">
        <f t="shared" si="171"/>
        <v>0</v>
      </c>
      <c r="CR289" s="463"/>
      <c r="CS289" s="457"/>
      <c r="CT289" s="464"/>
      <c r="CU289" s="464"/>
      <c r="CV289" s="465"/>
      <c r="CW289" s="457"/>
      <c r="CX289" s="464"/>
      <c r="CY289" s="466"/>
      <c r="CZ289" s="465"/>
      <c r="DA289" s="457"/>
      <c r="DB289" s="464"/>
      <c r="DC289" s="466"/>
      <c r="DD289" s="465"/>
      <c r="DE289" s="457"/>
      <c r="DF289" s="464"/>
      <c r="DG289" s="466"/>
      <c r="DH289" s="465"/>
      <c r="DI289" s="457"/>
      <c r="DJ289" s="464"/>
      <c r="DK289" s="466"/>
      <c r="DL289" s="465"/>
      <c r="DM289" s="457"/>
      <c r="DN289" s="464"/>
      <c r="DO289" s="466"/>
      <c r="DP289" s="465"/>
      <c r="DQ289" s="457"/>
      <c r="DR289" s="464"/>
      <c r="DS289" s="466"/>
      <c r="DT289" s="465"/>
      <c r="DU289" s="457"/>
      <c r="DV289" s="464"/>
      <c r="DW289" s="466"/>
      <c r="DX289" s="465"/>
      <c r="DY289" s="457"/>
      <c r="DZ289" s="464"/>
      <c r="EA289" s="466"/>
      <c r="EB289" s="465"/>
      <c r="EC289" s="457"/>
      <c r="ED289" s="464"/>
      <c r="EE289" s="466"/>
      <c r="EF289" s="459"/>
      <c r="EG289" s="450"/>
      <c r="EH289" s="460">
        <f t="shared" si="153"/>
        <v>0</v>
      </c>
      <c r="EI289" s="460">
        <f t="shared" si="154"/>
        <v>0</v>
      </c>
      <c r="EJ289" s="458">
        <f t="shared" si="155"/>
        <v>0</v>
      </c>
      <c r="EK289" s="470">
        <f t="shared" si="156"/>
        <v>0</v>
      </c>
      <c r="EL289" s="470">
        <f t="shared" si="157"/>
        <v>0</v>
      </c>
      <c r="EM289" s="449">
        <f t="shared" si="158"/>
        <v>0</v>
      </c>
      <c r="EN289" s="460">
        <f t="shared" si="159"/>
        <v>0</v>
      </c>
      <c r="EO289" s="469">
        <f t="shared" si="160"/>
        <v>0</v>
      </c>
      <c r="EP289" s="471"/>
      <c r="EQ289" s="450"/>
      <c r="ER289" s="471"/>
      <c r="ES289" s="450"/>
      <c r="ET289" s="471"/>
      <c r="EU289" s="450"/>
      <c r="EV289" s="471"/>
      <c r="EW289" s="450"/>
      <c r="EX289" s="471"/>
      <c r="EY289" s="450"/>
      <c r="EZ289" s="471"/>
      <c r="FA289" s="450"/>
      <c r="FB289" s="471"/>
      <c r="FC289" s="450"/>
      <c r="FD289" s="471"/>
      <c r="FE289" s="450"/>
      <c r="FF289" s="471"/>
      <c r="FG289" s="450"/>
      <c r="FH289" s="472"/>
      <c r="FI289" s="450"/>
      <c r="FJ289" s="468">
        <f t="shared" si="176"/>
        <v>0</v>
      </c>
      <c r="FK289" s="469">
        <f t="shared" si="177"/>
        <v>0</v>
      </c>
      <c r="FL289" s="472"/>
      <c r="FM289" s="450"/>
      <c r="FN289" s="460">
        <f t="shared" si="163"/>
        <v>759</v>
      </c>
      <c r="FO289" s="469">
        <f t="shared" si="164"/>
        <v>967</v>
      </c>
    </row>
    <row r="290" spans="1:171" x14ac:dyDescent="0.2">
      <c r="A290" s="737" t="s">
        <v>693</v>
      </c>
      <c r="B290" s="712" t="s">
        <v>1166</v>
      </c>
      <c r="C290" s="713" t="s">
        <v>1280</v>
      </c>
      <c r="D290" s="717">
        <v>175810</v>
      </c>
      <c r="E290" s="718">
        <v>9</v>
      </c>
      <c r="F290" s="532">
        <v>137</v>
      </c>
      <c r="G290" s="450">
        <v>45</v>
      </c>
      <c r="H290" s="457"/>
      <c r="I290" s="450"/>
      <c r="J290" s="457">
        <v>983</v>
      </c>
      <c r="K290" s="450">
        <v>991</v>
      </c>
      <c r="L290" s="458">
        <f t="shared" si="166"/>
        <v>0</v>
      </c>
      <c r="M290" s="449">
        <f t="shared" si="167"/>
        <v>0</v>
      </c>
      <c r="N290" s="459"/>
      <c r="O290" s="459"/>
      <c r="P290" s="459"/>
      <c r="Q290" s="459"/>
      <c r="R290" s="460">
        <f t="shared" si="165"/>
        <v>0</v>
      </c>
      <c r="S290" s="461"/>
      <c r="T290" s="461"/>
      <c r="U290" s="461"/>
      <c r="V290" s="461"/>
      <c r="W290" s="462">
        <f t="shared" si="142"/>
        <v>0</v>
      </c>
      <c r="X290" s="463"/>
      <c r="Y290" s="457"/>
      <c r="Z290" s="464"/>
      <c r="AA290" s="464"/>
      <c r="AB290" s="465"/>
      <c r="AC290" s="457"/>
      <c r="AD290" s="464"/>
      <c r="AE290" s="466"/>
      <c r="AF290" s="465"/>
      <c r="AG290" s="457"/>
      <c r="AH290" s="464"/>
      <c r="AI290" s="466"/>
      <c r="AJ290" s="465"/>
      <c r="AK290" s="457"/>
      <c r="AL290" s="464"/>
      <c r="AM290" s="466"/>
      <c r="AN290" s="465"/>
      <c r="AO290" s="457"/>
      <c r="AP290" s="464"/>
      <c r="AQ290" s="464"/>
      <c r="AR290" s="460">
        <f t="shared" si="172"/>
        <v>0</v>
      </c>
      <c r="AS290" s="467">
        <f t="shared" si="173"/>
        <v>0</v>
      </c>
      <c r="AT290" s="447">
        <f t="shared" si="174"/>
        <v>0</v>
      </c>
      <c r="AU290" s="448">
        <f t="shared" si="175"/>
        <v>0</v>
      </c>
      <c r="AV290" s="457"/>
      <c r="AW290" s="450"/>
      <c r="AX290" s="463"/>
      <c r="AY290" s="457"/>
      <c r="AZ290" s="464"/>
      <c r="BA290" s="464"/>
      <c r="BB290" s="465"/>
      <c r="BC290" s="457"/>
      <c r="BD290" s="464"/>
      <c r="BE290" s="466"/>
      <c r="BF290" s="465"/>
      <c r="BG290" s="457"/>
      <c r="BH290" s="464"/>
      <c r="BI290" s="466"/>
      <c r="BJ290" s="465"/>
      <c r="BK290" s="457"/>
      <c r="BL290" s="464"/>
      <c r="BM290" s="466"/>
      <c r="BN290" s="465"/>
      <c r="BO290" s="457"/>
      <c r="BP290" s="464"/>
      <c r="BQ290" s="466"/>
      <c r="BR290" s="465"/>
      <c r="BS290" s="457"/>
      <c r="BT290" s="464"/>
      <c r="BU290" s="466"/>
      <c r="BV290" s="465"/>
      <c r="BW290" s="457"/>
      <c r="BX290" s="464"/>
      <c r="BY290" s="466"/>
      <c r="BZ290" s="465"/>
      <c r="CA290" s="457"/>
      <c r="CB290" s="464"/>
      <c r="CC290" s="466"/>
      <c r="CD290" s="465"/>
      <c r="CE290" s="457"/>
      <c r="CF290" s="464"/>
      <c r="CG290" s="466"/>
      <c r="CH290" s="465"/>
      <c r="CI290" s="457"/>
      <c r="CJ290" s="464"/>
      <c r="CK290" s="466"/>
      <c r="CL290" s="459"/>
      <c r="CM290" s="450"/>
      <c r="CN290" s="468">
        <f t="shared" si="168"/>
        <v>0</v>
      </c>
      <c r="CO290" s="468">
        <f t="shared" si="169"/>
        <v>0</v>
      </c>
      <c r="CP290" s="469">
        <f t="shared" si="170"/>
        <v>0</v>
      </c>
      <c r="CQ290" s="469">
        <f t="shared" si="171"/>
        <v>0</v>
      </c>
      <c r="CR290" s="463"/>
      <c r="CS290" s="457"/>
      <c r="CT290" s="464"/>
      <c r="CU290" s="464"/>
      <c r="CV290" s="465"/>
      <c r="CW290" s="457"/>
      <c r="CX290" s="464"/>
      <c r="CY290" s="466"/>
      <c r="CZ290" s="465"/>
      <c r="DA290" s="457"/>
      <c r="DB290" s="464"/>
      <c r="DC290" s="466"/>
      <c r="DD290" s="465"/>
      <c r="DE290" s="457"/>
      <c r="DF290" s="464"/>
      <c r="DG290" s="466"/>
      <c r="DH290" s="465"/>
      <c r="DI290" s="457"/>
      <c r="DJ290" s="464"/>
      <c r="DK290" s="466"/>
      <c r="DL290" s="465"/>
      <c r="DM290" s="457"/>
      <c r="DN290" s="464"/>
      <c r="DO290" s="466"/>
      <c r="DP290" s="465"/>
      <c r="DQ290" s="457"/>
      <c r="DR290" s="464"/>
      <c r="DS290" s="466"/>
      <c r="DT290" s="465"/>
      <c r="DU290" s="457"/>
      <c r="DV290" s="464"/>
      <c r="DW290" s="466"/>
      <c r="DX290" s="465"/>
      <c r="DY290" s="457"/>
      <c r="DZ290" s="464"/>
      <c r="EA290" s="466"/>
      <c r="EB290" s="465"/>
      <c r="EC290" s="457"/>
      <c r="ED290" s="464"/>
      <c r="EE290" s="466"/>
      <c r="EF290" s="459"/>
      <c r="EG290" s="450"/>
      <c r="EH290" s="460">
        <f t="shared" ref="EH290:EH329" si="178">CS290+CW290+DA290+DE290+DI290+DM290+DQ290+DU290+DY290+EC290+EF290</f>
        <v>0</v>
      </c>
      <c r="EI290" s="460">
        <f t="shared" ref="EI290:EI329" si="179">COUNTA(CR290,CV290,CZ290,DD290,DH290,DL290,DP290,DT290,DX290,EB290)</f>
        <v>0</v>
      </c>
      <c r="EJ290" s="458">
        <f t="shared" ref="EJ290:EJ329" si="180">IF(EH290&gt;0,CS290/EH290,)</f>
        <v>0</v>
      </c>
      <c r="EK290" s="470">
        <f t="shared" ref="EK290:EK329" si="181">CU290+CY290+DC290+DG290+DK290+DO290+DS290+DW290+EA290+EE290+EG290</f>
        <v>0</v>
      </c>
      <c r="EL290" s="470">
        <f t="shared" ref="EL290:EL329" si="182">COUNTA(CT290,CX290,DB290,DF290,DJ290,DN290,DR290,DV290,DZ290,ED290)</f>
        <v>0</v>
      </c>
      <c r="EM290" s="449">
        <f t="shared" ref="EM290:EM329" si="183">IF(EK290&gt;0,CU290/EK290,)</f>
        <v>0</v>
      </c>
      <c r="EN290" s="460">
        <f t="shared" ref="EN290:EN329" si="184">CN290+EH290</f>
        <v>0</v>
      </c>
      <c r="EO290" s="469">
        <f t="shared" ref="EO290:EO329" si="185">CP290+EK290</f>
        <v>0</v>
      </c>
      <c r="EP290" s="471"/>
      <c r="EQ290" s="450"/>
      <c r="ER290" s="471"/>
      <c r="ES290" s="450"/>
      <c r="ET290" s="471"/>
      <c r="EU290" s="450"/>
      <c r="EV290" s="471"/>
      <c r="EW290" s="450"/>
      <c r="EX290" s="471"/>
      <c r="EY290" s="450"/>
      <c r="EZ290" s="471"/>
      <c r="FA290" s="450"/>
      <c r="FB290" s="471"/>
      <c r="FC290" s="450"/>
      <c r="FD290" s="471"/>
      <c r="FE290" s="450"/>
      <c r="FF290" s="471"/>
      <c r="FG290" s="450"/>
      <c r="FH290" s="472"/>
      <c r="FI290" s="450"/>
      <c r="FJ290" s="468">
        <f t="shared" si="176"/>
        <v>0</v>
      </c>
      <c r="FK290" s="469">
        <f t="shared" si="177"/>
        <v>0</v>
      </c>
      <c r="FL290" s="472"/>
      <c r="FM290" s="450"/>
      <c r="FN290" s="460">
        <f t="shared" ref="FN290:FN329" si="186">F290+H290+J290+N290+AV290+EN290+FJ290+FL290</f>
        <v>1120</v>
      </c>
      <c r="FO290" s="469">
        <f t="shared" ref="FO290:FO329" si="187">G290+I290+K290+S290+AW290+EO290+FK290+FM290</f>
        <v>1036</v>
      </c>
    </row>
    <row r="291" spans="1:171" x14ac:dyDescent="0.2">
      <c r="A291" s="716" t="s">
        <v>693</v>
      </c>
      <c r="B291" s="712" t="s">
        <v>1167</v>
      </c>
      <c r="C291" s="713"/>
      <c r="D291" s="717">
        <v>175883</v>
      </c>
      <c r="E291" s="718">
        <v>9</v>
      </c>
      <c r="F291" s="532">
        <v>251</v>
      </c>
      <c r="G291" s="450">
        <v>235</v>
      </c>
      <c r="H291" s="457"/>
      <c r="I291" s="450"/>
      <c r="J291" s="457">
        <v>613</v>
      </c>
      <c r="K291" s="450">
        <v>764</v>
      </c>
      <c r="L291" s="458">
        <f t="shared" si="166"/>
        <v>0</v>
      </c>
      <c r="M291" s="449">
        <f t="shared" si="167"/>
        <v>0</v>
      </c>
      <c r="N291" s="459"/>
      <c r="O291" s="459"/>
      <c r="P291" s="459"/>
      <c r="Q291" s="459"/>
      <c r="R291" s="460">
        <f t="shared" si="165"/>
        <v>0</v>
      </c>
      <c r="S291" s="461"/>
      <c r="T291" s="461"/>
      <c r="U291" s="461"/>
      <c r="V291" s="461"/>
      <c r="W291" s="462">
        <f t="shared" si="142"/>
        <v>0</v>
      </c>
      <c r="X291" s="463"/>
      <c r="Y291" s="457"/>
      <c r="Z291" s="464"/>
      <c r="AA291" s="464"/>
      <c r="AB291" s="465"/>
      <c r="AC291" s="457"/>
      <c r="AD291" s="464"/>
      <c r="AE291" s="466"/>
      <c r="AF291" s="465"/>
      <c r="AG291" s="457"/>
      <c r="AH291" s="464"/>
      <c r="AI291" s="466"/>
      <c r="AJ291" s="465"/>
      <c r="AK291" s="457"/>
      <c r="AL291" s="464"/>
      <c r="AM291" s="466"/>
      <c r="AN291" s="465"/>
      <c r="AO291" s="457"/>
      <c r="AP291" s="464"/>
      <c r="AQ291" s="464"/>
      <c r="AR291" s="460">
        <f t="shared" si="172"/>
        <v>0</v>
      </c>
      <c r="AS291" s="467">
        <f t="shared" si="173"/>
        <v>0</v>
      </c>
      <c r="AT291" s="447">
        <f t="shared" si="174"/>
        <v>0</v>
      </c>
      <c r="AU291" s="448">
        <f t="shared" si="175"/>
        <v>0</v>
      </c>
      <c r="AV291" s="457"/>
      <c r="AW291" s="450"/>
      <c r="AX291" s="463"/>
      <c r="AY291" s="457"/>
      <c r="AZ291" s="464"/>
      <c r="BA291" s="464"/>
      <c r="BB291" s="465"/>
      <c r="BC291" s="457"/>
      <c r="BD291" s="464"/>
      <c r="BE291" s="466"/>
      <c r="BF291" s="465"/>
      <c r="BG291" s="457"/>
      <c r="BH291" s="464"/>
      <c r="BI291" s="466"/>
      <c r="BJ291" s="465"/>
      <c r="BK291" s="457"/>
      <c r="BL291" s="464"/>
      <c r="BM291" s="466"/>
      <c r="BN291" s="465"/>
      <c r="BO291" s="457"/>
      <c r="BP291" s="464"/>
      <c r="BQ291" s="466"/>
      <c r="BR291" s="465"/>
      <c r="BS291" s="457"/>
      <c r="BT291" s="464"/>
      <c r="BU291" s="466"/>
      <c r="BV291" s="465"/>
      <c r="BW291" s="457"/>
      <c r="BX291" s="464"/>
      <c r="BY291" s="466"/>
      <c r="BZ291" s="465"/>
      <c r="CA291" s="457"/>
      <c r="CB291" s="464"/>
      <c r="CC291" s="466"/>
      <c r="CD291" s="465"/>
      <c r="CE291" s="457"/>
      <c r="CF291" s="464"/>
      <c r="CG291" s="466"/>
      <c r="CH291" s="465"/>
      <c r="CI291" s="457"/>
      <c r="CJ291" s="464"/>
      <c r="CK291" s="466"/>
      <c r="CL291" s="459"/>
      <c r="CM291" s="450"/>
      <c r="CN291" s="468">
        <f t="shared" si="168"/>
        <v>0</v>
      </c>
      <c r="CO291" s="468">
        <f t="shared" si="169"/>
        <v>0</v>
      </c>
      <c r="CP291" s="469">
        <f t="shared" si="170"/>
        <v>0</v>
      </c>
      <c r="CQ291" s="469">
        <f t="shared" si="171"/>
        <v>0</v>
      </c>
      <c r="CR291" s="463"/>
      <c r="CS291" s="457"/>
      <c r="CT291" s="464"/>
      <c r="CU291" s="464"/>
      <c r="CV291" s="465"/>
      <c r="CW291" s="457"/>
      <c r="CX291" s="464"/>
      <c r="CY291" s="466"/>
      <c r="CZ291" s="465"/>
      <c r="DA291" s="457"/>
      <c r="DB291" s="464"/>
      <c r="DC291" s="466"/>
      <c r="DD291" s="465"/>
      <c r="DE291" s="457"/>
      <c r="DF291" s="464"/>
      <c r="DG291" s="466"/>
      <c r="DH291" s="465"/>
      <c r="DI291" s="457"/>
      <c r="DJ291" s="464"/>
      <c r="DK291" s="466"/>
      <c r="DL291" s="465"/>
      <c r="DM291" s="457"/>
      <c r="DN291" s="464"/>
      <c r="DO291" s="466"/>
      <c r="DP291" s="465"/>
      <c r="DQ291" s="457"/>
      <c r="DR291" s="464"/>
      <c r="DS291" s="466"/>
      <c r="DT291" s="465"/>
      <c r="DU291" s="457"/>
      <c r="DV291" s="464"/>
      <c r="DW291" s="466"/>
      <c r="DX291" s="465"/>
      <c r="DY291" s="457"/>
      <c r="DZ291" s="464"/>
      <c r="EA291" s="466"/>
      <c r="EB291" s="465"/>
      <c r="EC291" s="457"/>
      <c r="ED291" s="464"/>
      <c r="EE291" s="466"/>
      <c r="EF291" s="459"/>
      <c r="EG291" s="450"/>
      <c r="EH291" s="460">
        <f t="shared" si="178"/>
        <v>0</v>
      </c>
      <c r="EI291" s="460">
        <f t="shared" si="179"/>
        <v>0</v>
      </c>
      <c r="EJ291" s="458">
        <f t="shared" si="180"/>
        <v>0</v>
      </c>
      <c r="EK291" s="470">
        <f t="shared" si="181"/>
        <v>0</v>
      </c>
      <c r="EL291" s="470">
        <f t="shared" si="182"/>
        <v>0</v>
      </c>
      <c r="EM291" s="449">
        <f t="shared" si="183"/>
        <v>0</v>
      </c>
      <c r="EN291" s="460">
        <f t="shared" si="184"/>
        <v>0</v>
      </c>
      <c r="EO291" s="469">
        <f t="shared" si="185"/>
        <v>0</v>
      </c>
      <c r="EP291" s="471"/>
      <c r="EQ291" s="450"/>
      <c r="ER291" s="471"/>
      <c r="ES291" s="450"/>
      <c r="ET291" s="471"/>
      <c r="EU291" s="450"/>
      <c r="EV291" s="471"/>
      <c r="EW291" s="450"/>
      <c r="EX291" s="471"/>
      <c r="EY291" s="450"/>
      <c r="EZ291" s="471"/>
      <c r="FA291" s="450"/>
      <c r="FB291" s="471"/>
      <c r="FC291" s="450"/>
      <c r="FD291" s="471"/>
      <c r="FE291" s="450"/>
      <c r="FF291" s="471"/>
      <c r="FG291" s="450"/>
      <c r="FH291" s="472"/>
      <c r="FI291" s="450"/>
      <c r="FJ291" s="468">
        <f t="shared" si="176"/>
        <v>0</v>
      </c>
      <c r="FK291" s="469">
        <f t="shared" si="177"/>
        <v>0</v>
      </c>
      <c r="FL291" s="472"/>
      <c r="FM291" s="450"/>
      <c r="FN291" s="460">
        <f t="shared" si="186"/>
        <v>864</v>
      </c>
      <c r="FO291" s="469">
        <f t="shared" si="187"/>
        <v>999</v>
      </c>
    </row>
    <row r="292" spans="1:171" x14ac:dyDescent="0.2">
      <c r="A292" s="716" t="s">
        <v>693</v>
      </c>
      <c r="B292" s="712" t="s">
        <v>1168</v>
      </c>
      <c r="C292" s="713"/>
      <c r="D292" s="717">
        <v>175935</v>
      </c>
      <c r="E292" s="718">
        <v>9</v>
      </c>
      <c r="F292" s="532">
        <v>253</v>
      </c>
      <c r="G292" s="450">
        <v>244</v>
      </c>
      <c r="H292" s="457"/>
      <c r="I292" s="450"/>
      <c r="J292" s="457">
        <v>524</v>
      </c>
      <c r="K292" s="450">
        <v>585</v>
      </c>
      <c r="L292" s="458">
        <f t="shared" si="166"/>
        <v>0</v>
      </c>
      <c r="M292" s="449">
        <f t="shared" si="167"/>
        <v>0</v>
      </c>
      <c r="N292" s="459"/>
      <c r="O292" s="459"/>
      <c r="P292" s="459"/>
      <c r="Q292" s="459"/>
      <c r="R292" s="460">
        <f t="shared" si="165"/>
        <v>0</v>
      </c>
      <c r="S292" s="461"/>
      <c r="T292" s="461"/>
      <c r="U292" s="461"/>
      <c r="V292" s="461"/>
      <c r="W292" s="462">
        <f t="shared" si="142"/>
        <v>0</v>
      </c>
      <c r="X292" s="463"/>
      <c r="Y292" s="457"/>
      <c r="Z292" s="464"/>
      <c r="AA292" s="464"/>
      <c r="AB292" s="465"/>
      <c r="AC292" s="457"/>
      <c r="AD292" s="464"/>
      <c r="AE292" s="466"/>
      <c r="AF292" s="465"/>
      <c r="AG292" s="457"/>
      <c r="AH292" s="464"/>
      <c r="AI292" s="466"/>
      <c r="AJ292" s="465"/>
      <c r="AK292" s="457"/>
      <c r="AL292" s="464"/>
      <c r="AM292" s="466"/>
      <c r="AN292" s="465"/>
      <c r="AO292" s="457"/>
      <c r="AP292" s="464"/>
      <c r="AQ292" s="464"/>
      <c r="AR292" s="460">
        <f t="shared" si="172"/>
        <v>0</v>
      </c>
      <c r="AS292" s="467">
        <f t="shared" si="173"/>
        <v>0</v>
      </c>
      <c r="AT292" s="447">
        <f t="shared" si="174"/>
        <v>0</v>
      </c>
      <c r="AU292" s="448">
        <f t="shared" si="175"/>
        <v>0</v>
      </c>
      <c r="AV292" s="457"/>
      <c r="AW292" s="450"/>
      <c r="AX292" s="463"/>
      <c r="AY292" s="457"/>
      <c r="AZ292" s="464"/>
      <c r="BA292" s="464"/>
      <c r="BB292" s="465"/>
      <c r="BC292" s="457"/>
      <c r="BD292" s="464"/>
      <c r="BE292" s="466"/>
      <c r="BF292" s="465"/>
      <c r="BG292" s="457"/>
      <c r="BH292" s="464"/>
      <c r="BI292" s="466"/>
      <c r="BJ292" s="465"/>
      <c r="BK292" s="457"/>
      <c r="BL292" s="464"/>
      <c r="BM292" s="466"/>
      <c r="BN292" s="465"/>
      <c r="BO292" s="457"/>
      <c r="BP292" s="464"/>
      <c r="BQ292" s="466"/>
      <c r="BR292" s="465"/>
      <c r="BS292" s="457"/>
      <c r="BT292" s="464"/>
      <c r="BU292" s="466"/>
      <c r="BV292" s="465"/>
      <c r="BW292" s="457"/>
      <c r="BX292" s="464"/>
      <c r="BY292" s="466"/>
      <c r="BZ292" s="465"/>
      <c r="CA292" s="457"/>
      <c r="CB292" s="464"/>
      <c r="CC292" s="466"/>
      <c r="CD292" s="465"/>
      <c r="CE292" s="457"/>
      <c r="CF292" s="464"/>
      <c r="CG292" s="466"/>
      <c r="CH292" s="465"/>
      <c r="CI292" s="457"/>
      <c r="CJ292" s="464"/>
      <c r="CK292" s="466"/>
      <c r="CL292" s="459"/>
      <c r="CM292" s="450"/>
      <c r="CN292" s="468">
        <f t="shared" si="168"/>
        <v>0</v>
      </c>
      <c r="CO292" s="468">
        <f t="shared" si="169"/>
        <v>0</v>
      </c>
      <c r="CP292" s="469">
        <f t="shared" si="170"/>
        <v>0</v>
      </c>
      <c r="CQ292" s="469">
        <f t="shared" si="171"/>
        <v>0</v>
      </c>
      <c r="CR292" s="463"/>
      <c r="CS292" s="457"/>
      <c r="CT292" s="464"/>
      <c r="CU292" s="464"/>
      <c r="CV292" s="465"/>
      <c r="CW292" s="457"/>
      <c r="CX292" s="464"/>
      <c r="CY292" s="466"/>
      <c r="CZ292" s="465"/>
      <c r="DA292" s="457"/>
      <c r="DB292" s="464"/>
      <c r="DC292" s="466"/>
      <c r="DD292" s="465"/>
      <c r="DE292" s="457"/>
      <c r="DF292" s="464"/>
      <c r="DG292" s="466"/>
      <c r="DH292" s="465"/>
      <c r="DI292" s="457"/>
      <c r="DJ292" s="464"/>
      <c r="DK292" s="466"/>
      <c r="DL292" s="465"/>
      <c r="DM292" s="457"/>
      <c r="DN292" s="464"/>
      <c r="DO292" s="466"/>
      <c r="DP292" s="465"/>
      <c r="DQ292" s="457"/>
      <c r="DR292" s="464"/>
      <c r="DS292" s="466"/>
      <c r="DT292" s="465"/>
      <c r="DU292" s="457"/>
      <c r="DV292" s="464"/>
      <c r="DW292" s="466"/>
      <c r="DX292" s="465"/>
      <c r="DY292" s="457"/>
      <c r="DZ292" s="464"/>
      <c r="EA292" s="466"/>
      <c r="EB292" s="465"/>
      <c r="EC292" s="457"/>
      <c r="ED292" s="464"/>
      <c r="EE292" s="466"/>
      <c r="EF292" s="459"/>
      <c r="EG292" s="450"/>
      <c r="EH292" s="460">
        <f t="shared" si="178"/>
        <v>0</v>
      </c>
      <c r="EI292" s="460">
        <f t="shared" si="179"/>
        <v>0</v>
      </c>
      <c r="EJ292" s="458">
        <f t="shared" si="180"/>
        <v>0</v>
      </c>
      <c r="EK292" s="470">
        <f t="shared" si="181"/>
        <v>0</v>
      </c>
      <c r="EL292" s="470">
        <f t="shared" si="182"/>
        <v>0</v>
      </c>
      <c r="EM292" s="449">
        <f t="shared" si="183"/>
        <v>0</v>
      </c>
      <c r="EN292" s="460">
        <f t="shared" si="184"/>
        <v>0</v>
      </c>
      <c r="EO292" s="469">
        <f t="shared" si="185"/>
        <v>0</v>
      </c>
      <c r="EP292" s="471"/>
      <c r="EQ292" s="450"/>
      <c r="ER292" s="471"/>
      <c r="ES292" s="450"/>
      <c r="ET292" s="471"/>
      <c r="EU292" s="450"/>
      <c r="EV292" s="471"/>
      <c r="EW292" s="450"/>
      <c r="EX292" s="471"/>
      <c r="EY292" s="450"/>
      <c r="EZ292" s="471"/>
      <c r="FA292" s="450"/>
      <c r="FB292" s="471"/>
      <c r="FC292" s="450"/>
      <c r="FD292" s="471"/>
      <c r="FE292" s="450"/>
      <c r="FF292" s="471"/>
      <c r="FG292" s="450"/>
      <c r="FH292" s="472"/>
      <c r="FI292" s="450"/>
      <c r="FJ292" s="468">
        <f t="shared" si="176"/>
        <v>0</v>
      </c>
      <c r="FK292" s="469">
        <f t="shared" si="177"/>
        <v>0</v>
      </c>
      <c r="FL292" s="472"/>
      <c r="FM292" s="450"/>
      <c r="FN292" s="460">
        <f t="shared" si="186"/>
        <v>777</v>
      </c>
      <c r="FO292" s="469">
        <f t="shared" si="187"/>
        <v>829</v>
      </c>
    </row>
    <row r="293" spans="1:171" x14ac:dyDescent="0.2">
      <c r="A293" s="716" t="s">
        <v>693</v>
      </c>
      <c r="B293" s="712" t="s">
        <v>1169</v>
      </c>
      <c r="C293" s="713"/>
      <c r="D293" s="717">
        <v>176008</v>
      </c>
      <c r="E293" s="718">
        <v>9</v>
      </c>
      <c r="F293" s="532">
        <v>100</v>
      </c>
      <c r="G293" s="450">
        <v>119</v>
      </c>
      <c r="H293" s="457"/>
      <c r="I293" s="450"/>
      <c r="J293" s="457">
        <v>368</v>
      </c>
      <c r="K293" s="450">
        <v>423</v>
      </c>
      <c r="L293" s="458">
        <f t="shared" si="166"/>
        <v>0</v>
      </c>
      <c r="M293" s="449">
        <f t="shared" si="167"/>
        <v>0</v>
      </c>
      <c r="N293" s="459"/>
      <c r="O293" s="459"/>
      <c r="P293" s="459"/>
      <c r="Q293" s="459"/>
      <c r="R293" s="460">
        <f t="shared" si="165"/>
        <v>0</v>
      </c>
      <c r="S293" s="461"/>
      <c r="T293" s="461"/>
      <c r="U293" s="461"/>
      <c r="V293" s="461"/>
      <c r="W293" s="462">
        <f t="shared" si="142"/>
        <v>0</v>
      </c>
      <c r="X293" s="463"/>
      <c r="Y293" s="457"/>
      <c r="Z293" s="464"/>
      <c r="AA293" s="464"/>
      <c r="AB293" s="465"/>
      <c r="AC293" s="457"/>
      <c r="AD293" s="464"/>
      <c r="AE293" s="466"/>
      <c r="AF293" s="465"/>
      <c r="AG293" s="457"/>
      <c r="AH293" s="464"/>
      <c r="AI293" s="466"/>
      <c r="AJ293" s="465"/>
      <c r="AK293" s="457"/>
      <c r="AL293" s="464"/>
      <c r="AM293" s="466"/>
      <c r="AN293" s="465"/>
      <c r="AO293" s="457"/>
      <c r="AP293" s="464"/>
      <c r="AQ293" s="464"/>
      <c r="AR293" s="460">
        <f t="shared" si="172"/>
        <v>0</v>
      </c>
      <c r="AS293" s="467">
        <f t="shared" si="173"/>
        <v>0</v>
      </c>
      <c r="AT293" s="447">
        <f t="shared" si="174"/>
        <v>0</v>
      </c>
      <c r="AU293" s="448">
        <f t="shared" si="175"/>
        <v>0</v>
      </c>
      <c r="AV293" s="457"/>
      <c r="AW293" s="450"/>
      <c r="AX293" s="463"/>
      <c r="AY293" s="457"/>
      <c r="AZ293" s="464"/>
      <c r="BA293" s="464"/>
      <c r="BB293" s="465"/>
      <c r="BC293" s="457"/>
      <c r="BD293" s="464"/>
      <c r="BE293" s="466"/>
      <c r="BF293" s="465"/>
      <c r="BG293" s="457"/>
      <c r="BH293" s="464"/>
      <c r="BI293" s="466"/>
      <c r="BJ293" s="465"/>
      <c r="BK293" s="457"/>
      <c r="BL293" s="464"/>
      <c r="BM293" s="466"/>
      <c r="BN293" s="465"/>
      <c r="BO293" s="457"/>
      <c r="BP293" s="464"/>
      <c r="BQ293" s="466"/>
      <c r="BR293" s="465"/>
      <c r="BS293" s="457"/>
      <c r="BT293" s="464"/>
      <c r="BU293" s="466"/>
      <c r="BV293" s="465"/>
      <c r="BW293" s="457"/>
      <c r="BX293" s="464"/>
      <c r="BY293" s="466"/>
      <c r="BZ293" s="465"/>
      <c r="CA293" s="457"/>
      <c r="CB293" s="464"/>
      <c r="CC293" s="466"/>
      <c r="CD293" s="465"/>
      <c r="CE293" s="457"/>
      <c r="CF293" s="464"/>
      <c r="CG293" s="466"/>
      <c r="CH293" s="465"/>
      <c r="CI293" s="457"/>
      <c r="CJ293" s="464"/>
      <c r="CK293" s="466"/>
      <c r="CL293" s="459"/>
      <c r="CM293" s="450"/>
      <c r="CN293" s="468">
        <f t="shared" si="168"/>
        <v>0</v>
      </c>
      <c r="CO293" s="468">
        <f t="shared" si="169"/>
        <v>0</v>
      </c>
      <c r="CP293" s="469">
        <f t="shared" si="170"/>
        <v>0</v>
      </c>
      <c r="CQ293" s="469">
        <f t="shared" si="171"/>
        <v>0</v>
      </c>
      <c r="CR293" s="463"/>
      <c r="CS293" s="457"/>
      <c r="CT293" s="464"/>
      <c r="CU293" s="464"/>
      <c r="CV293" s="465"/>
      <c r="CW293" s="457"/>
      <c r="CX293" s="464"/>
      <c r="CY293" s="466"/>
      <c r="CZ293" s="465"/>
      <c r="DA293" s="457"/>
      <c r="DB293" s="464"/>
      <c r="DC293" s="466"/>
      <c r="DD293" s="465"/>
      <c r="DE293" s="457"/>
      <c r="DF293" s="464"/>
      <c r="DG293" s="466"/>
      <c r="DH293" s="465"/>
      <c r="DI293" s="457"/>
      <c r="DJ293" s="464"/>
      <c r="DK293" s="466"/>
      <c r="DL293" s="465"/>
      <c r="DM293" s="457"/>
      <c r="DN293" s="464"/>
      <c r="DO293" s="466"/>
      <c r="DP293" s="465"/>
      <c r="DQ293" s="457"/>
      <c r="DR293" s="464"/>
      <c r="DS293" s="466"/>
      <c r="DT293" s="465"/>
      <c r="DU293" s="457"/>
      <c r="DV293" s="464"/>
      <c r="DW293" s="466"/>
      <c r="DX293" s="465"/>
      <c r="DY293" s="457"/>
      <c r="DZ293" s="464"/>
      <c r="EA293" s="466"/>
      <c r="EB293" s="465"/>
      <c r="EC293" s="457"/>
      <c r="ED293" s="464"/>
      <c r="EE293" s="466"/>
      <c r="EF293" s="459"/>
      <c r="EG293" s="450"/>
      <c r="EH293" s="460">
        <f t="shared" si="178"/>
        <v>0</v>
      </c>
      <c r="EI293" s="460">
        <f t="shared" si="179"/>
        <v>0</v>
      </c>
      <c r="EJ293" s="458">
        <f t="shared" si="180"/>
        <v>0</v>
      </c>
      <c r="EK293" s="470">
        <f t="shared" si="181"/>
        <v>0</v>
      </c>
      <c r="EL293" s="470">
        <f t="shared" si="182"/>
        <v>0</v>
      </c>
      <c r="EM293" s="449">
        <f t="shared" si="183"/>
        <v>0</v>
      </c>
      <c r="EN293" s="460">
        <f t="shared" si="184"/>
        <v>0</v>
      </c>
      <c r="EO293" s="469">
        <f t="shared" si="185"/>
        <v>0</v>
      </c>
      <c r="EP293" s="471"/>
      <c r="EQ293" s="450"/>
      <c r="ER293" s="471"/>
      <c r="ES293" s="450"/>
      <c r="ET293" s="471"/>
      <c r="EU293" s="450"/>
      <c r="EV293" s="471"/>
      <c r="EW293" s="450"/>
      <c r="EX293" s="471"/>
      <c r="EY293" s="450"/>
      <c r="EZ293" s="471"/>
      <c r="FA293" s="450"/>
      <c r="FB293" s="471"/>
      <c r="FC293" s="450"/>
      <c r="FD293" s="471"/>
      <c r="FE293" s="450"/>
      <c r="FF293" s="471"/>
      <c r="FG293" s="450"/>
      <c r="FH293" s="472"/>
      <c r="FI293" s="450"/>
      <c r="FJ293" s="468">
        <f t="shared" si="176"/>
        <v>0</v>
      </c>
      <c r="FK293" s="469">
        <f t="shared" si="177"/>
        <v>0</v>
      </c>
      <c r="FL293" s="472"/>
      <c r="FM293" s="450"/>
      <c r="FN293" s="460">
        <f t="shared" si="186"/>
        <v>468</v>
      </c>
      <c r="FO293" s="469">
        <f t="shared" si="187"/>
        <v>542</v>
      </c>
    </row>
    <row r="294" spans="1:171" x14ac:dyDescent="0.2">
      <c r="A294" s="716" t="s">
        <v>693</v>
      </c>
      <c r="B294" s="712" t="s">
        <v>1170</v>
      </c>
      <c r="C294" s="713"/>
      <c r="D294" s="717">
        <v>176169</v>
      </c>
      <c r="E294" s="718">
        <v>9</v>
      </c>
      <c r="F294" s="532">
        <v>89</v>
      </c>
      <c r="G294" s="450">
        <v>67</v>
      </c>
      <c r="H294" s="457"/>
      <c r="I294" s="450"/>
      <c r="J294" s="457">
        <v>456</v>
      </c>
      <c r="K294" s="450">
        <v>565</v>
      </c>
      <c r="L294" s="458">
        <f t="shared" si="166"/>
        <v>0</v>
      </c>
      <c r="M294" s="449">
        <f t="shared" si="167"/>
        <v>0</v>
      </c>
      <c r="N294" s="459"/>
      <c r="O294" s="459"/>
      <c r="P294" s="459"/>
      <c r="Q294" s="459"/>
      <c r="R294" s="460">
        <f t="shared" si="165"/>
        <v>0</v>
      </c>
      <c r="S294" s="461"/>
      <c r="T294" s="461"/>
      <c r="U294" s="461"/>
      <c r="V294" s="461"/>
      <c r="W294" s="462">
        <f t="shared" si="142"/>
        <v>0</v>
      </c>
      <c r="X294" s="463"/>
      <c r="Y294" s="457"/>
      <c r="Z294" s="464"/>
      <c r="AA294" s="464"/>
      <c r="AB294" s="465"/>
      <c r="AC294" s="457"/>
      <c r="AD294" s="464"/>
      <c r="AE294" s="466"/>
      <c r="AF294" s="465"/>
      <c r="AG294" s="457"/>
      <c r="AH294" s="464"/>
      <c r="AI294" s="466"/>
      <c r="AJ294" s="465"/>
      <c r="AK294" s="457"/>
      <c r="AL294" s="464"/>
      <c r="AM294" s="466"/>
      <c r="AN294" s="465"/>
      <c r="AO294" s="457"/>
      <c r="AP294" s="464"/>
      <c r="AQ294" s="464"/>
      <c r="AR294" s="460">
        <f t="shared" si="172"/>
        <v>0</v>
      </c>
      <c r="AS294" s="467">
        <f t="shared" si="173"/>
        <v>0</v>
      </c>
      <c r="AT294" s="447">
        <f t="shared" si="174"/>
        <v>0</v>
      </c>
      <c r="AU294" s="448">
        <f t="shared" si="175"/>
        <v>0</v>
      </c>
      <c r="AV294" s="457"/>
      <c r="AW294" s="450"/>
      <c r="AX294" s="463"/>
      <c r="AY294" s="457"/>
      <c r="AZ294" s="464"/>
      <c r="BA294" s="464"/>
      <c r="BB294" s="465"/>
      <c r="BC294" s="457"/>
      <c r="BD294" s="464"/>
      <c r="BE294" s="466"/>
      <c r="BF294" s="465"/>
      <c r="BG294" s="457"/>
      <c r="BH294" s="464"/>
      <c r="BI294" s="466"/>
      <c r="BJ294" s="465"/>
      <c r="BK294" s="457"/>
      <c r="BL294" s="464"/>
      <c r="BM294" s="466"/>
      <c r="BN294" s="465"/>
      <c r="BO294" s="457"/>
      <c r="BP294" s="464"/>
      <c r="BQ294" s="466"/>
      <c r="BR294" s="465"/>
      <c r="BS294" s="457"/>
      <c r="BT294" s="464"/>
      <c r="BU294" s="466"/>
      <c r="BV294" s="465"/>
      <c r="BW294" s="457"/>
      <c r="BX294" s="464"/>
      <c r="BY294" s="466"/>
      <c r="BZ294" s="465"/>
      <c r="CA294" s="457"/>
      <c r="CB294" s="464"/>
      <c r="CC294" s="466"/>
      <c r="CD294" s="465"/>
      <c r="CE294" s="457"/>
      <c r="CF294" s="464"/>
      <c r="CG294" s="466"/>
      <c r="CH294" s="465"/>
      <c r="CI294" s="457"/>
      <c r="CJ294" s="464"/>
      <c r="CK294" s="466"/>
      <c r="CL294" s="459"/>
      <c r="CM294" s="450"/>
      <c r="CN294" s="468">
        <f t="shared" si="168"/>
        <v>0</v>
      </c>
      <c r="CO294" s="468">
        <f t="shared" si="169"/>
        <v>0</v>
      </c>
      <c r="CP294" s="469">
        <f t="shared" si="170"/>
        <v>0</v>
      </c>
      <c r="CQ294" s="469">
        <f t="shared" si="171"/>
        <v>0</v>
      </c>
      <c r="CR294" s="463"/>
      <c r="CS294" s="457"/>
      <c r="CT294" s="464"/>
      <c r="CU294" s="464"/>
      <c r="CV294" s="465"/>
      <c r="CW294" s="457"/>
      <c r="CX294" s="464"/>
      <c r="CY294" s="466"/>
      <c r="CZ294" s="465"/>
      <c r="DA294" s="457"/>
      <c r="DB294" s="464"/>
      <c r="DC294" s="466"/>
      <c r="DD294" s="465"/>
      <c r="DE294" s="457"/>
      <c r="DF294" s="464"/>
      <c r="DG294" s="466"/>
      <c r="DH294" s="465"/>
      <c r="DI294" s="457"/>
      <c r="DJ294" s="464"/>
      <c r="DK294" s="466"/>
      <c r="DL294" s="465"/>
      <c r="DM294" s="457"/>
      <c r="DN294" s="464"/>
      <c r="DO294" s="466"/>
      <c r="DP294" s="465"/>
      <c r="DQ294" s="457"/>
      <c r="DR294" s="464"/>
      <c r="DS294" s="466"/>
      <c r="DT294" s="465"/>
      <c r="DU294" s="457"/>
      <c r="DV294" s="464"/>
      <c r="DW294" s="466"/>
      <c r="DX294" s="465"/>
      <c r="DY294" s="457"/>
      <c r="DZ294" s="464"/>
      <c r="EA294" s="466"/>
      <c r="EB294" s="465"/>
      <c r="EC294" s="457"/>
      <c r="ED294" s="464"/>
      <c r="EE294" s="466"/>
      <c r="EF294" s="459"/>
      <c r="EG294" s="450"/>
      <c r="EH294" s="460">
        <f t="shared" si="178"/>
        <v>0</v>
      </c>
      <c r="EI294" s="460">
        <f t="shared" si="179"/>
        <v>0</v>
      </c>
      <c r="EJ294" s="458">
        <f t="shared" si="180"/>
        <v>0</v>
      </c>
      <c r="EK294" s="470">
        <f t="shared" si="181"/>
        <v>0</v>
      </c>
      <c r="EL294" s="470">
        <f t="shared" si="182"/>
        <v>0</v>
      </c>
      <c r="EM294" s="449">
        <f t="shared" si="183"/>
        <v>0</v>
      </c>
      <c r="EN294" s="460">
        <f t="shared" si="184"/>
        <v>0</v>
      </c>
      <c r="EO294" s="469">
        <f t="shared" si="185"/>
        <v>0</v>
      </c>
      <c r="EP294" s="471"/>
      <c r="EQ294" s="450"/>
      <c r="ER294" s="471"/>
      <c r="ES294" s="450"/>
      <c r="ET294" s="471"/>
      <c r="EU294" s="450"/>
      <c r="EV294" s="471"/>
      <c r="EW294" s="450"/>
      <c r="EX294" s="471"/>
      <c r="EY294" s="450"/>
      <c r="EZ294" s="471"/>
      <c r="FA294" s="450"/>
      <c r="FB294" s="471"/>
      <c r="FC294" s="450"/>
      <c r="FD294" s="471"/>
      <c r="FE294" s="450"/>
      <c r="FF294" s="471"/>
      <c r="FG294" s="450"/>
      <c r="FH294" s="472"/>
      <c r="FI294" s="450"/>
      <c r="FJ294" s="468">
        <f t="shared" si="176"/>
        <v>0</v>
      </c>
      <c r="FK294" s="469">
        <f t="shared" si="177"/>
        <v>0</v>
      </c>
      <c r="FL294" s="472"/>
      <c r="FM294" s="450"/>
      <c r="FN294" s="460">
        <f t="shared" si="186"/>
        <v>545</v>
      </c>
      <c r="FO294" s="469">
        <f t="shared" si="187"/>
        <v>632</v>
      </c>
    </row>
    <row r="295" spans="1:171" x14ac:dyDescent="0.2">
      <c r="A295" s="711" t="s">
        <v>693</v>
      </c>
      <c r="B295" s="712" t="s">
        <v>1171</v>
      </c>
      <c r="C295" s="713"/>
      <c r="D295" s="714">
        <v>176239</v>
      </c>
      <c r="E295" s="715">
        <v>9</v>
      </c>
      <c r="F295" s="532">
        <v>184</v>
      </c>
      <c r="G295" s="450">
        <v>182</v>
      </c>
      <c r="H295" s="457"/>
      <c r="I295" s="450"/>
      <c r="J295" s="457">
        <v>696</v>
      </c>
      <c r="K295" s="450">
        <v>726</v>
      </c>
      <c r="L295" s="458">
        <f t="shared" si="166"/>
        <v>0</v>
      </c>
      <c r="M295" s="449">
        <f t="shared" si="167"/>
        <v>0</v>
      </c>
      <c r="N295" s="459"/>
      <c r="O295" s="459"/>
      <c r="P295" s="459"/>
      <c r="Q295" s="459"/>
      <c r="R295" s="460">
        <f t="shared" si="165"/>
        <v>0</v>
      </c>
      <c r="S295" s="461"/>
      <c r="T295" s="461"/>
      <c r="U295" s="461"/>
      <c r="V295" s="461"/>
      <c r="W295" s="462">
        <f t="shared" si="142"/>
        <v>0</v>
      </c>
      <c r="X295" s="463"/>
      <c r="Y295" s="457"/>
      <c r="Z295" s="464"/>
      <c r="AA295" s="464"/>
      <c r="AB295" s="465"/>
      <c r="AC295" s="457"/>
      <c r="AD295" s="464"/>
      <c r="AE295" s="466"/>
      <c r="AF295" s="465"/>
      <c r="AG295" s="457"/>
      <c r="AH295" s="464"/>
      <c r="AI295" s="466"/>
      <c r="AJ295" s="465"/>
      <c r="AK295" s="457"/>
      <c r="AL295" s="464"/>
      <c r="AM295" s="466"/>
      <c r="AN295" s="465"/>
      <c r="AO295" s="457"/>
      <c r="AP295" s="464"/>
      <c r="AQ295" s="464"/>
      <c r="AR295" s="460">
        <f t="shared" si="172"/>
        <v>0</v>
      </c>
      <c r="AS295" s="467">
        <f t="shared" si="173"/>
        <v>0</v>
      </c>
      <c r="AT295" s="447">
        <f t="shared" si="174"/>
        <v>0</v>
      </c>
      <c r="AU295" s="448">
        <f t="shared" si="175"/>
        <v>0</v>
      </c>
      <c r="AV295" s="457"/>
      <c r="AW295" s="450"/>
      <c r="AX295" s="463"/>
      <c r="AY295" s="457"/>
      <c r="AZ295" s="464"/>
      <c r="BA295" s="464"/>
      <c r="BB295" s="465"/>
      <c r="BC295" s="457"/>
      <c r="BD295" s="464"/>
      <c r="BE295" s="466"/>
      <c r="BF295" s="465"/>
      <c r="BG295" s="457"/>
      <c r="BH295" s="464"/>
      <c r="BI295" s="466"/>
      <c r="BJ295" s="465"/>
      <c r="BK295" s="457"/>
      <c r="BL295" s="464"/>
      <c r="BM295" s="466"/>
      <c r="BN295" s="465"/>
      <c r="BO295" s="457"/>
      <c r="BP295" s="464"/>
      <c r="BQ295" s="466"/>
      <c r="BR295" s="465"/>
      <c r="BS295" s="457"/>
      <c r="BT295" s="464"/>
      <c r="BU295" s="466"/>
      <c r="BV295" s="465"/>
      <c r="BW295" s="457"/>
      <c r="BX295" s="464"/>
      <c r="BY295" s="466"/>
      <c r="BZ295" s="465"/>
      <c r="CA295" s="457"/>
      <c r="CB295" s="464"/>
      <c r="CC295" s="466"/>
      <c r="CD295" s="465"/>
      <c r="CE295" s="457"/>
      <c r="CF295" s="464"/>
      <c r="CG295" s="466"/>
      <c r="CH295" s="465"/>
      <c r="CI295" s="457"/>
      <c r="CJ295" s="464"/>
      <c r="CK295" s="466"/>
      <c r="CL295" s="459"/>
      <c r="CM295" s="450"/>
      <c r="CN295" s="468">
        <f t="shared" si="168"/>
        <v>0</v>
      </c>
      <c r="CO295" s="468">
        <f t="shared" si="169"/>
        <v>0</v>
      </c>
      <c r="CP295" s="469">
        <f t="shared" si="170"/>
        <v>0</v>
      </c>
      <c r="CQ295" s="469">
        <f t="shared" si="171"/>
        <v>0</v>
      </c>
      <c r="CR295" s="463"/>
      <c r="CS295" s="457"/>
      <c r="CT295" s="464"/>
      <c r="CU295" s="464"/>
      <c r="CV295" s="465"/>
      <c r="CW295" s="457"/>
      <c r="CX295" s="464"/>
      <c r="CY295" s="466"/>
      <c r="CZ295" s="465"/>
      <c r="DA295" s="457"/>
      <c r="DB295" s="464"/>
      <c r="DC295" s="466"/>
      <c r="DD295" s="465"/>
      <c r="DE295" s="457"/>
      <c r="DF295" s="464"/>
      <c r="DG295" s="466"/>
      <c r="DH295" s="465"/>
      <c r="DI295" s="457"/>
      <c r="DJ295" s="464"/>
      <c r="DK295" s="466"/>
      <c r="DL295" s="465"/>
      <c r="DM295" s="457"/>
      <c r="DN295" s="464"/>
      <c r="DO295" s="466"/>
      <c r="DP295" s="465"/>
      <c r="DQ295" s="457"/>
      <c r="DR295" s="464"/>
      <c r="DS295" s="466"/>
      <c r="DT295" s="465"/>
      <c r="DU295" s="457"/>
      <c r="DV295" s="464"/>
      <c r="DW295" s="466"/>
      <c r="DX295" s="465"/>
      <c r="DY295" s="457"/>
      <c r="DZ295" s="464"/>
      <c r="EA295" s="466"/>
      <c r="EB295" s="465"/>
      <c r="EC295" s="457"/>
      <c r="ED295" s="464"/>
      <c r="EE295" s="466"/>
      <c r="EF295" s="459"/>
      <c r="EG295" s="450"/>
      <c r="EH295" s="460">
        <f t="shared" si="178"/>
        <v>0</v>
      </c>
      <c r="EI295" s="460">
        <f t="shared" si="179"/>
        <v>0</v>
      </c>
      <c r="EJ295" s="458">
        <f t="shared" si="180"/>
        <v>0</v>
      </c>
      <c r="EK295" s="470">
        <f t="shared" si="181"/>
        <v>0</v>
      </c>
      <c r="EL295" s="470">
        <f t="shared" si="182"/>
        <v>0</v>
      </c>
      <c r="EM295" s="449">
        <f t="shared" si="183"/>
        <v>0</v>
      </c>
      <c r="EN295" s="460">
        <f t="shared" si="184"/>
        <v>0</v>
      </c>
      <c r="EO295" s="469">
        <f t="shared" si="185"/>
        <v>0</v>
      </c>
      <c r="EP295" s="471"/>
      <c r="EQ295" s="450"/>
      <c r="ER295" s="471"/>
      <c r="ES295" s="450"/>
      <c r="ET295" s="471"/>
      <c r="EU295" s="450"/>
      <c r="EV295" s="471"/>
      <c r="EW295" s="450"/>
      <c r="EX295" s="471"/>
      <c r="EY295" s="450"/>
      <c r="EZ295" s="471"/>
      <c r="FA295" s="450"/>
      <c r="FB295" s="471"/>
      <c r="FC295" s="450"/>
      <c r="FD295" s="471"/>
      <c r="FE295" s="450"/>
      <c r="FF295" s="471"/>
      <c r="FG295" s="450"/>
      <c r="FH295" s="472"/>
      <c r="FI295" s="450"/>
      <c r="FJ295" s="468">
        <f t="shared" si="176"/>
        <v>0</v>
      </c>
      <c r="FK295" s="469">
        <f t="shared" si="177"/>
        <v>0</v>
      </c>
      <c r="FL295" s="472"/>
      <c r="FM295" s="450"/>
      <c r="FN295" s="460">
        <f t="shared" si="186"/>
        <v>880</v>
      </c>
      <c r="FO295" s="469">
        <f t="shared" si="187"/>
        <v>908</v>
      </c>
    </row>
    <row r="296" spans="1:171" x14ac:dyDescent="0.2">
      <c r="A296" s="716" t="s">
        <v>693</v>
      </c>
      <c r="B296" s="712" t="s">
        <v>1172</v>
      </c>
      <c r="C296" s="713"/>
      <c r="D296" s="717">
        <v>175519</v>
      </c>
      <c r="E296" s="718">
        <v>10</v>
      </c>
      <c r="F296" s="532">
        <v>92</v>
      </c>
      <c r="G296" s="450">
        <v>144</v>
      </c>
      <c r="H296" s="457"/>
      <c r="I296" s="450"/>
      <c r="J296" s="457">
        <v>180</v>
      </c>
      <c r="K296" s="450">
        <v>303</v>
      </c>
      <c r="L296" s="458">
        <f t="shared" si="166"/>
        <v>0</v>
      </c>
      <c r="M296" s="449">
        <f t="shared" si="167"/>
        <v>0</v>
      </c>
      <c r="N296" s="459"/>
      <c r="O296" s="459"/>
      <c r="P296" s="459"/>
      <c r="Q296" s="459"/>
      <c r="R296" s="460">
        <f t="shared" si="165"/>
        <v>0</v>
      </c>
      <c r="S296" s="461"/>
      <c r="T296" s="461"/>
      <c r="U296" s="461"/>
      <c r="V296" s="461"/>
      <c r="W296" s="462">
        <f t="shared" si="142"/>
        <v>0</v>
      </c>
      <c r="X296" s="463"/>
      <c r="Y296" s="457"/>
      <c r="Z296" s="464"/>
      <c r="AA296" s="464"/>
      <c r="AB296" s="465"/>
      <c r="AC296" s="457"/>
      <c r="AD296" s="464"/>
      <c r="AE296" s="466"/>
      <c r="AF296" s="465"/>
      <c r="AG296" s="457"/>
      <c r="AH296" s="464"/>
      <c r="AI296" s="466"/>
      <c r="AJ296" s="465"/>
      <c r="AK296" s="457"/>
      <c r="AL296" s="464"/>
      <c r="AM296" s="466"/>
      <c r="AN296" s="465"/>
      <c r="AO296" s="457"/>
      <c r="AP296" s="464"/>
      <c r="AQ296" s="464"/>
      <c r="AR296" s="460">
        <f t="shared" si="172"/>
        <v>0</v>
      </c>
      <c r="AS296" s="467">
        <f t="shared" si="173"/>
        <v>0</v>
      </c>
      <c r="AT296" s="447">
        <f t="shared" si="174"/>
        <v>0</v>
      </c>
      <c r="AU296" s="448">
        <f t="shared" si="175"/>
        <v>0</v>
      </c>
      <c r="AV296" s="457"/>
      <c r="AW296" s="450"/>
      <c r="AX296" s="463"/>
      <c r="AY296" s="457"/>
      <c r="AZ296" s="464"/>
      <c r="BA296" s="464"/>
      <c r="BB296" s="465"/>
      <c r="BC296" s="457"/>
      <c r="BD296" s="464"/>
      <c r="BE296" s="466"/>
      <c r="BF296" s="465"/>
      <c r="BG296" s="457"/>
      <c r="BH296" s="464"/>
      <c r="BI296" s="466"/>
      <c r="BJ296" s="465"/>
      <c r="BK296" s="457"/>
      <c r="BL296" s="464"/>
      <c r="BM296" s="466"/>
      <c r="BN296" s="465"/>
      <c r="BO296" s="457"/>
      <c r="BP296" s="464"/>
      <c r="BQ296" s="466"/>
      <c r="BR296" s="465"/>
      <c r="BS296" s="457"/>
      <c r="BT296" s="464"/>
      <c r="BU296" s="466"/>
      <c r="BV296" s="465"/>
      <c r="BW296" s="457"/>
      <c r="BX296" s="464"/>
      <c r="BY296" s="466"/>
      <c r="BZ296" s="465"/>
      <c r="CA296" s="457"/>
      <c r="CB296" s="464"/>
      <c r="CC296" s="466"/>
      <c r="CD296" s="465"/>
      <c r="CE296" s="457"/>
      <c r="CF296" s="464"/>
      <c r="CG296" s="466"/>
      <c r="CH296" s="465"/>
      <c r="CI296" s="457"/>
      <c r="CJ296" s="464"/>
      <c r="CK296" s="466"/>
      <c r="CL296" s="459"/>
      <c r="CM296" s="450"/>
      <c r="CN296" s="468">
        <f t="shared" si="168"/>
        <v>0</v>
      </c>
      <c r="CO296" s="468">
        <f t="shared" si="169"/>
        <v>0</v>
      </c>
      <c r="CP296" s="469">
        <f t="shared" si="170"/>
        <v>0</v>
      </c>
      <c r="CQ296" s="469">
        <f t="shared" si="171"/>
        <v>0</v>
      </c>
      <c r="CR296" s="463"/>
      <c r="CS296" s="457"/>
      <c r="CT296" s="464"/>
      <c r="CU296" s="464"/>
      <c r="CV296" s="465"/>
      <c r="CW296" s="457"/>
      <c r="CX296" s="464"/>
      <c r="CY296" s="466"/>
      <c r="CZ296" s="465"/>
      <c r="DA296" s="457"/>
      <c r="DB296" s="464"/>
      <c r="DC296" s="466"/>
      <c r="DD296" s="465"/>
      <c r="DE296" s="457"/>
      <c r="DF296" s="464"/>
      <c r="DG296" s="466"/>
      <c r="DH296" s="465"/>
      <c r="DI296" s="457"/>
      <c r="DJ296" s="464"/>
      <c r="DK296" s="466"/>
      <c r="DL296" s="465"/>
      <c r="DM296" s="457"/>
      <c r="DN296" s="464"/>
      <c r="DO296" s="466"/>
      <c r="DP296" s="465"/>
      <c r="DQ296" s="457"/>
      <c r="DR296" s="464"/>
      <c r="DS296" s="466"/>
      <c r="DT296" s="465"/>
      <c r="DU296" s="457"/>
      <c r="DV296" s="464"/>
      <c r="DW296" s="466"/>
      <c r="DX296" s="465"/>
      <c r="DY296" s="457"/>
      <c r="DZ296" s="464"/>
      <c r="EA296" s="466"/>
      <c r="EB296" s="465"/>
      <c r="EC296" s="457"/>
      <c r="ED296" s="464"/>
      <c r="EE296" s="466"/>
      <c r="EF296" s="459"/>
      <c r="EG296" s="450"/>
      <c r="EH296" s="460">
        <f t="shared" si="178"/>
        <v>0</v>
      </c>
      <c r="EI296" s="460">
        <f t="shared" si="179"/>
        <v>0</v>
      </c>
      <c r="EJ296" s="458">
        <f t="shared" si="180"/>
        <v>0</v>
      </c>
      <c r="EK296" s="470">
        <f t="shared" si="181"/>
        <v>0</v>
      </c>
      <c r="EL296" s="470">
        <f t="shared" si="182"/>
        <v>0</v>
      </c>
      <c r="EM296" s="449">
        <f t="shared" si="183"/>
        <v>0</v>
      </c>
      <c r="EN296" s="460">
        <f t="shared" si="184"/>
        <v>0</v>
      </c>
      <c r="EO296" s="469">
        <f t="shared" si="185"/>
        <v>0</v>
      </c>
      <c r="EP296" s="471"/>
      <c r="EQ296" s="450"/>
      <c r="ER296" s="471"/>
      <c r="ES296" s="450"/>
      <c r="ET296" s="471"/>
      <c r="EU296" s="450"/>
      <c r="EV296" s="471"/>
      <c r="EW296" s="450"/>
      <c r="EX296" s="471"/>
      <c r="EY296" s="450"/>
      <c r="EZ296" s="471"/>
      <c r="FA296" s="450"/>
      <c r="FB296" s="471"/>
      <c r="FC296" s="450"/>
      <c r="FD296" s="471"/>
      <c r="FE296" s="450"/>
      <c r="FF296" s="471"/>
      <c r="FG296" s="450"/>
      <c r="FH296" s="472"/>
      <c r="FI296" s="450"/>
      <c r="FJ296" s="468">
        <f t="shared" si="176"/>
        <v>0</v>
      </c>
      <c r="FK296" s="469">
        <f t="shared" si="177"/>
        <v>0</v>
      </c>
      <c r="FL296" s="472"/>
      <c r="FM296" s="450"/>
      <c r="FN296" s="460">
        <f t="shared" si="186"/>
        <v>272</v>
      </c>
      <c r="FO296" s="469">
        <f t="shared" si="187"/>
        <v>447</v>
      </c>
    </row>
    <row r="297" spans="1:171" x14ac:dyDescent="0.2">
      <c r="A297" s="716" t="s">
        <v>693</v>
      </c>
      <c r="B297" s="712" t="s">
        <v>1173</v>
      </c>
      <c r="C297" s="713"/>
      <c r="D297" s="717">
        <v>176354</v>
      </c>
      <c r="E297" s="718">
        <v>10</v>
      </c>
      <c r="F297" s="532">
        <v>139</v>
      </c>
      <c r="G297" s="450">
        <v>151</v>
      </c>
      <c r="H297" s="457"/>
      <c r="I297" s="450"/>
      <c r="J297" s="457">
        <v>343</v>
      </c>
      <c r="K297" s="450">
        <v>319</v>
      </c>
      <c r="L297" s="458">
        <f t="shared" si="166"/>
        <v>0</v>
      </c>
      <c r="M297" s="449">
        <f t="shared" si="167"/>
        <v>0</v>
      </c>
      <c r="N297" s="459"/>
      <c r="O297" s="459"/>
      <c r="P297" s="459"/>
      <c r="Q297" s="459"/>
      <c r="R297" s="460">
        <f t="shared" si="165"/>
        <v>0</v>
      </c>
      <c r="S297" s="461"/>
      <c r="T297" s="461"/>
      <c r="U297" s="461"/>
      <c r="V297" s="461"/>
      <c r="W297" s="462">
        <f t="shared" si="142"/>
        <v>0</v>
      </c>
      <c r="X297" s="463"/>
      <c r="Y297" s="457"/>
      <c r="Z297" s="464"/>
      <c r="AA297" s="464"/>
      <c r="AB297" s="465"/>
      <c r="AC297" s="457"/>
      <c r="AD297" s="464"/>
      <c r="AE297" s="466"/>
      <c r="AF297" s="465"/>
      <c r="AG297" s="457"/>
      <c r="AH297" s="464"/>
      <c r="AI297" s="466"/>
      <c r="AJ297" s="465"/>
      <c r="AK297" s="457"/>
      <c r="AL297" s="464"/>
      <c r="AM297" s="466"/>
      <c r="AN297" s="465"/>
      <c r="AO297" s="457"/>
      <c r="AP297" s="464"/>
      <c r="AQ297" s="464"/>
      <c r="AR297" s="460">
        <f t="shared" si="172"/>
        <v>0</v>
      </c>
      <c r="AS297" s="467">
        <f t="shared" si="173"/>
        <v>0</v>
      </c>
      <c r="AT297" s="447">
        <f t="shared" si="174"/>
        <v>0</v>
      </c>
      <c r="AU297" s="448">
        <f t="shared" si="175"/>
        <v>0</v>
      </c>
      <c r="AV297" s="457"/>
      <c r="AW297" s="450"/>
      <c r="AX297" s="463"/>
      <c r="AY297" s="457"/>
      <c r="AZ297" s="464"/>
      <c r="BA297" s="464"/>
      <c r="BB297" s="465"/>
      <c r="BC297" s="457"/>
      <c r="BD297" s="464"/>
      <c r="BE297" s="466"/>
      <c r="BF297" s="465"/>
      <c r="BG297" s="457"/>
      <c r="BH297" s="464"/>
      <c r="BI297" s="466"/>
      <c r="BJ297" s="465"/>
      <c r="BK297" s="457"/>
      <c r="BL297" s="464"/>
      <c r="BM297" s="466"/>
      <c r="BN297" s="465"/>
      <c r="BO297" s="457"/>
      <c r="BP297" s="464"/>
      <c r="BQ297" s="466"/>
      <c r="BR297" s="465"/>
      <c r="BS297" s="457"/>
      <c r="BT297" s="464"/>
      <c r="BU297" s="466"/>
      <c r="BV297" s="465"/>
      <c r="BW297" s="457"/>
      <c r="BX297" s="464"/>
      <c r="BY297" s="466"/>
      <c r="BZ297" s="465"/>
      <c r="CA297" s="457"/>
      <c r="CB297" s="464"/>
      <c r="CC297" s="466"/>
      <c r="CD297" s="465"/>
      <c r="CE297" s="457"/>
      <c r="CF297" s="464"/>
      <c r="CG297" s="466"/>
      <c r="CH297" s="465"/>
      <c r="CI297" s="457"/>
      <c r="CJ297" s="464"/>
      <c r="CK297" s="466"/>
      <c r="CL297" s="459"/>
      <c r="CM297" s="450"/>
      <c r="CN297" s="468">
        <f t="shared" si="168"/>
        <v>0</v>
      </c>
      <c r="CO297" s="468">
        <f t="shared" si="169"/>
        <v>0</v>
      </c>
      <c r="CP297" s="469">
        <f t="shared" si="170"/>
        <v>0</v>
      </c>
      <c r="CQ297" s="469">
        <f t="shared" si="171"/>
        <v>0</v>
      </c>
      <c r="CR297" s="463"/>
      <c r="CS297" s="457"/>
      <c r="CT297" s="464"/>
      <c r="CU297" s="464"/>
      <c r="CV297" s="465"/>
      <c r="CW297" s="457"/>
      <c r="CX297" s="464"/>
      <c r="CY297" s="466"/>
      <c r="CZ297" s="465"/>
      <c r="DA297" s="457"/>
      <c r="DB297" s="464"/>
      <c r="DC297" s="466"/>
      <c r="DD297" s="465"/>
      <c r="DE297" s="457"/>
      <c r="DF297" s="464"/>
      <c r="DG297" s="466"/>
      <c r="DH297" s="465"/>
      <c r="DI297" s="457"/>
      <c r="DJ297" s="464"/>
      <c r="DK297" s="466"/>
      <c r="DL297" s="465"/>
      <c r="DM297" s="457"/>
      <c r="DN297" s="464"/>
      <c r="DO297" s="466"/>
      <c r="DP297" s="465"/>
      <c r="DQ297" s="457"/>
      <c r="DR297" s="464"/>
      <c r="DS297" s="466"/>
      <c r="DT297" s="465"/>
      <c r="DU297" s="457"/>
      <c r="DV297" s="464"/>
      <c r="DW297" s="466"/>
      <c r="DX297" s="465"/>
      <c r="DY297" s="457"/>
      <c r="DZ297" s="464"/>
      <c r="EA297" s="466"/>
      <c r="EB297" s="465"/>
      <c r="EC297" s="457"/>
      <c r="ED297" s="464"/>
      <c r="EE297" s="466"/>
      <c r="EF297" s="459"/>
      <c r="EG297" s="450"/>
      <c r="EH297" s="460">
        <f t="shared" si="178"/>
        <v>0</v>
      </c>
      <c r="EI297" s="460">
        <f t="shared" si="179"/>
        <v>0</v>
      </c>
      <c r="EJ297" s="458">
        <f t="shared" si="180"/>
        <v>0</v>
      </c>
      <c r="EK297" s="470">
        <f t="shared" si="181"/>
        <v>0</v>
      </c>
      <c r="EL297" s="470">
        <f t="shared" si="182"/>
        <v>0</v>
      </c>
      <c r="EM297" s="449">
        <f t="shared" si="183"/>
        <v>0</v>
      </c>
      <c r="EN297" s="460">
        <f t="shared" si="184"/>
        <v>0</v>
      </c>
      <c r="EO297" s="469">
        <f t="shared" si="185"/>
        <v>0</v>
      </c>
      <c r="EP297" s="471"/>
      <c r="EQ297" s="450"/>
      <c r="ER297" s="471"/>
      <c r="ES297" s="450"/>
      <c r="ET297" s="471"/>
      <c r="EU297" s="450"/>
      <c r="EV297" s="471"/>
      <c r="EW297" s="450"/>
      <c r="EX297" s="471"/>
      <c r="EY297" s="450"/>
      <c r="EZ297" s="471"/>
      <c r="FA297" s="450"/>
      <c r="FB297" s="471"/>
      <c r="FC297" s="450"/>
      <c r="FD297" s="471"/>
      <c r="FE297" s="450"/>
      <c r="FF297" s="471"/>
      <c r="FG297" s="450"/>
      <c r="FH297" s="472"/>
      <c r="FI297" s="450"/>
      <c r="FJ297" s="468">
        <f t="shared" si="176"/>
        <v>0</v>
      </c>
      <c r="FK297" s="469">
        <f t="shared" si="177"/>
        <v>0</v>
      </c>
      <c r="FL297" s="472"/>
      <c r="FM297" s="450"/>
      <c r="FN297" s="460">
        <f t="shared" si="186"/>
        <v>482</v>
      </c>
      <c r="FO297" s="469">
        <f t="shared" si="187"/>
        <v>470</v>
      </c>
    </row>
    <row r="298" spans="1:171" x14ac:dyDescent="0.2">
      <c r="A298" s="399" t="s">
        <v>264</v>
      </c>
      <c r="B298" s="400" t="s">
        <v>532</v>
      </c>
      <c r="C298" s="495"/>
      <c r="D298" s="487">
        <v>199193</v>
      </c>
      <c r="E298" s="484">
        <v>1</v>
      </c>
      <c r="F298" s="532"/>
      <c r="G298" s="450"/>
      <c r="H298" s="457"/>
      <c r="I298" s="450"/>
      <c r="J298" s="457">
        <v>127</v>
      </c>
      <c r="K298" s="450">
        <v>154</v>
      </c>
      <c r="L298" s="458">
        <f t="shared" si="166"/>
        <v>2.450791200308761E-2</v>
      </c>
      <c r="M298" s="449">
        <f t="shared" si="167"/>
        <v>2.8184480234260616E-2</v>
      </c>
      <c r="N298" s="459">
        <v>5182</v>
      </c>
      <c r="O298" s="459"/>
      <c r="P298" s="459">
        <v>326</v>
      </c>
      <c r="Q298" s="459"/>
      <c r="R298" s="460">
        <f t="shared" si="165"/>
        <v>326</v>
      </c>
      <c r="S298" s="391">
        <v>5464</v>
      </c>
      <c r="T298" s="461"/>
      <c r="U298" s="461">
        <v>341</v>
      </c>
      <c r="V298" s="461"/>
      <c r="W298" s="462">
        <f t="shared" si="142"/>
        <v>341</v>
      </c>
      <c r="X298" s="463"/>
      <c r="Y298" s="457"/>
      <c r="Z298" s="464"/>
      <c r="AA298" s="464"/>
      <c r="AB298" s="465"/>
      <c r="AC298" s="457"/>
      <c r="AD298" s="464"/>
      <c r="AE298" s="466"/>
      <c r="AF298" s="465"/>
      <c r="AG298" s="457"/>
      <c r="AH298" s="464"/>
      <c r="AI298" s="466"/>
      <c r="AJ298" s="465"/>
      <c r="AK298" s="457"/>
      <c r="AL298" s="464"/>
      <c r="AM298" s="466"/>
      <c r="AN298" s="465"/>
      <c r="AO298" s="457"/>
      <c r="AP298" s="464"/>
      <c r="AQ298" s="464"/>
      <c r="AR298" s="460">
        <f t="shared" si="172"/>
        <v>0</v>
      </c>
      <c r="AS298" s="467">
        <f t="shared" si="173"/>
        <v>0.65937142130041992</v>
      </c>
      <c r="AT298" s="447">
        <f t="shared" si="174"/>
        <v>0</v>
      </c>
      <c r="AU298" s="448">
        <f t="shared" si="175"/>
        <v>0.64274791201035175</v>
      </c>
      <c r="AV298" s="457">
        <v>0</v>
      </c>
      <c r="AW298" s="450"/>
      <c r="AX298" s="463">
        <v>14</v>
      </c>
      <c r="AY298" s="457">
        <v>488</v>
      </c>
      <c r="AZ298" s="464">
        <v>14</v>
      </c>
      <c r="BA298" s="464">
        <v>617</v>
      </c>
      <c r="BB298" s="465">
        <v>13</v>
      </c>
      <c r="BC298" s="457">
        <v>332</v>
      </c>
      <c r="BD298" s="464">
        <v>13</v>
      </c>
      <c r="BE298" s="466">
        <v>407</v>
      </c>
      <c r="BF298" s="465">
        <v>52</v>
      </c>
      <c r="BG298" s="457">
        <v>318</v>
      </c>
      <c r="BH298" s="464">
        <v>52</v>
      </c>
      <c r="BI298" s="466">
        <v>268</v>
      </c>
      <c r="BJ298" s="465">
        <v>11</v>
      </c>
      <c r="BK298" s="457">
        <v>212</v>
      </c>
      <c r="BL298" s="464">
        <v>11</v>
      </c>
      <c r="BM298" s="466">
        <v>253</v>
      </c>
      <c r="BN298" s="465">
        <v>44</v>
      </c>
      <c r="BO298" s="457">
        <v>112</v>
      </c>
      <c r="BP298" s="464">
        <v>44</v>
      </c>
      <c r="BQ298" s="466">
        <v>99</v>
      </c>
      <c r="BR298" s="465">
        <v>45</v>
      </c>
      <c r="BS298" s="457">
        <v>76</v>
      </c>
      <c r="BT298" s="723">
        <v>45</v>
      </c>
      <c r="BU298" s="466">
        <v>80</v>
      </c>
      <c r="BV298" s="465">
        <v>1</v>
      </c>
      <c r="BW298" s="457">
        <v>70</v>
      </c>
      <c r="BX298" s="464">
        <v>23</v>
      </c>
      <c r="BY298" s="466">
        <v>76</v>
      </c>
      <c r="BZ298" s="465">
        <v>26</v>
      </c>
      <c r="CA298" s="457">
        <v>66</v>
      </c>
      <c r="CB298" s="464">
        <v>26</v>
      </c>
      <c r="CC298" s="466">
        <v>73</v>
      </c>
      <c r="CD298" s="465">
        <v>23</v>
      </c>
      <c r="CE298" s="457">
        <v>65</v>
      </c>
      <c r="CF298" s="464">
        <v>4</v>
      </c>
      <c r="CG298" s="466">
        <v>71</v>
      </c>
      <c r="CH298" s="465">
        <v>27</v>
      </c>
      <c r="CI298" s="457">
        <v>59</v>
      </c>
      <c r="CJ298" s="464">
        <v>1</v>
      </c>
      <c r="CK298" s="466">
        <v>69</v>
      </c>
      <c r="CL298" s="459">
        <v>282</v>
      </c>
      <c r="CM298" s="450">
        <v>345</v>
      </c>
      <c r="CN298" s="468">
        <f t="shared" si="168"/>
        <v>2080</v>
      </c>
      <c r="CO298" s="468">
        <f t="shared" si="169"/>
        <v>10</v>
      </c>
      <c r="CP298" s="469">
        <f t="shared" si="170"/>
        <v>2358</v>
      </c>
      <c r="CQ298" s="469">
        <f t="shared" si="171"/>
        <v>10</v>
      </c>
      <c r="CR298" s="463">
        <v>14</v>
      </c>
      <c r="CS298" s="457">
        <v>130</v>
      </c>
      <c r="CT298" s="464">
        <v>14</v>
      </c>
      <c r="CU298" s="464">
        <v>151</v>
      </c>
      <c r="CV298" s="465">
        <v>13</v>
      </c>
      <c r="CW298" s="457">
        <v>55</v>
      </c>
      <c r="CX298" s="464">
        <v>13</v>
      </c>
      <c r="CY298" s="466">
        <v>62</v>
      </c>
      <c r="CZ298" s="465">
        <v>26</v>
      </c>
      <c r="DA298" s="457">
        <v>43</v>
      </c>
      <c r="DB298" s="464">
        <v>26</v>
      </c>
      <c r="DC298" s="466">
        <v>40</v>
      </c>
      <c r="DD298" s="465">
        <v>27</v>
      </c>
      <c r="DE298" s="457">
        <v>34</v>
      </c>
      <c r="DF298" s="464">
        <v>27</v>
      </c>
      <c r="DG298" s="466">
        <v>38</v>
      </c>
      <c r="DH298" s="465">
        <v>40</v>
      </c>
      <c r="DI298" s="457">
        <v>27</v>
      </c>
      <c r="DJ298" s="464">
        <v>40</v>
      </c>
      <c r="DK298" s="466">
        <v>34</v>
      </c>
      <c r="DL298" s="465">
        <v>11</v>
      </c>
      <c r="DM298" s="457">
        <v>25</v>
      </c>
      <c r="DN298" s="464">
        <v>1</v>
      </c>
      <c r="DO298" s="466">
        <v>29</v>
      </c>
      <c r="DP298" s="465">
        <v>1</v>
      </c>
      <c r="DQ298" s="457">
        <v>23</v>
      </c>
      <c r="DR298" s="464">
        <v>42</v>
      </c>
      <c r="DS298" s="466">
        <v>19</v>
      </c>
      <c r="DT298" s="465">
        <v>3</v>
      </c>
      <c r="DU298" s="457">
        <v>17</v>
      </c>
      <c r="DV298" s="464">
        <v>3</v>
      </c>
      <c r="DW298" s="466">
        <v>16</v>
      </c>
      <c r="DX298" s="465">
        <v>42</v>
      </c>
      <c r="DY298" s="457">
        <v>13</v>
      </c>
      <c r="DZ298" s="464">
        <v>11</v>
      </c>
      <c r="EA298" s="466">
        <v>15</v>
      </c>
      <c r="EB298" s="465">
        <v>45</v>
      </c>
      <c r="EC298" s="457">
        <v>12</v>
      </c>
      <c r="ED298" s="464">
        <v>45</v>
      </c>
      <c r="EE298" s="466">
        <v>15</v>
      </c>
      <c r="EF298" s="459">
        <v>16</v>
      </c>
      <c r="EG298" s="450">
        <v>27</v>
      </c>
      <c r="EH298" s="460">
        <f t="shared" si="178"/>
        <v>395</v>
      </c>
      <c r="EI298" s="460">
        <f t="shared" si="179"/>
        <v>10</v>
      </c>
      <c r="EJ298" s="458">
        <f t="shared" si="180"/>
        <v>0.32911392405063289</v>
      </c>
      <c r="EK298" s="470">
        <f t="shared" si="181"/>
        <v>446</v>
      </c>
      <c r="EL298" s="470">
        <f t="shared" si="182"/>
        <v>10</v>
      </c>
      <c r="EM298" s="449">
        <f t="shared" si="183"/>
        <v>0.33856502242152464</v>
      </c>
      <c r="EN298" s="460">
        <f t="shared" si="184"/>
        <v>2475</v>
      </c>
      <c r="EO298" s="469">
        <f t="shared" si="185"/>
        <v>2804</v>
      </c>
      <c r="EP298" s="471"/>
      <c r="EQ298" s="450"/>
      <c r="ER298" s="471"/>
      <c r="ES298" s="450"/>
      <c r="ET298" s="471"/>
      <c r="EU298" s="450"/>
      <c r="EV298" s="471"/>
      <c r="EW298" s="450"/>
      <c r="EX298" s="471"/>
      <c r="EY298" s="450"/>
      <c r="EZ298" s="471"/>
      <c r="FA298" s="450"/>
      <c r="FB298" s="471"/>
      <c r="FC298" s="450"/>
      <c r="FD298" s="471">
        <v>75</v>
      </c>
      <c r="FE298" s="450">
        <v>79</v>
      </c>
      <c r="FF298" s="471"/>
      <c r="FG298" s="450"/>
      <c r="FH298" s="472"/>
      <c r="FI298" s="450"/>
      <c r="FJ298" s="468">
        <f t="shared" si="176"/>
        <v>75</v>
      </c>
      <c r="FK298" s="469">
        <f t="shared" si="177"/>
        <v>79</v>
      </c>
      <c r="FL298" s="472"/>
      <c r="FM298" s="450"/>
      <c r="FN298" s="460">
        <f t="shared" si="186"/>
        <v>7859</v>
      </c>
      <c r="FO298" s="469">
        <f t="shared" si="187"/>
        <v>8501</v>
      </c>
    </row>
    <row r="299" spans="1:171" x14ac:dyDescent="0.2">
      <c r="A299" s="399" t="s">
        <v>264</v>
      </c>
      <c r="B299" s="400" t="s">
        <v>533</v>
      </c>
      <c r="C299" s="495"/>
      <c r="D299" s="487">
        <v>199120</v>
      </c>
      <c r="E299" s="484">
        <v>1</v>
      </c>
      <c r="F299" s="532">
        <v>4</v>
      </c>
      <c r="G299" s="450">
        <v>4</v>
      </c>
      <c r="H299" s="457"/>
      <c r="I299" s="450"/>
      <c r="J299" s="457"/>
      <c r="K299" s="450"/>
      <c r="L299" s="458">
        <f t="shared" si="166"/>
        <v>0</v>
      </c>
      <c r="M299" s="449">
        <f t="shared" si="167"/>
        <v>0</v>
      </c>
      <c r="N299" s="459">
        <v>4654</v>
      </c>
      <c r="O299" s="459"/>
      <c r="P299" s="459">
        <v>108</v>
      </c>
      <c r="Q299" s="459"/>
      <c r="R299" s="460">
        <f t="shared" si="165"/>
        <v>108</v>
      </c>
      <c r="S299" s="391">
        <v>4445</v>
      </c>
      <c r="T299" s="461"/>
      <c r="U299" s="461">
        <v>104</v>
      </c>
      <c r="V299" s="461"/>
      <c r="W299" s="462">
        <f t="shared" si="142"/>
        <v>104</v>
      </c>
      <c r="X299" s="463"/>
      <c r="Y299" s="457"/>
      <c r="Z299" s="464"/>
      <c r="AA299" s="464"/>
      <c r="AB299" s="465"/>
      <c r="AC299" s="457"/>
      <c r="AD299" s="464"/>
      <c r="AE299" s="466"/>
      <c r="AF299" s="465"/>
      <c r="AG299" s="457"/>
      <c r="AH299" s="464"/>
      <c r="AI299" s="466"/>
      <c r="AJ299" s="465"/>
      <c r="AK299" s="457"/>
      <c r="AL299" s="464"/>
      <c r="AM299" s="466"/>
      <c r="AN299" s="465"/>
      <c r="AO299" s="457"/>
      <c r="AP299" s="464"/>
      <c r="AQ299" s="464"/>
      <c r="AR299" s="460">
        <f t="shared" si="172"/>
        <v>0</v>
      </c>
      <c r="AS299" s="467">
        <f t="shared" si="173"/>
        <v>0.60020634511220017</v>
      </c>
      <c r="AT299" s="447">
        <f t="shared" si="174"/>
        <v>0</v>
      </c>
      <c r="AU299" s="448">
        <f t="shared" si="175"/>
        <v>0.58226355776788052</v>
      </c>
      <c r="AV299" s="457">
        <v>0</v>
      </c>
      <c r="AW299" s="450"/>
      <c r="AX299" s="463">
        <v>52</v>
      </c>
      <c r="AY299" s="457">
        <v>572</v>
      </c>
      <c r="AZ299" s="464">
        <v>52</v>
      </c>
      <c r="BA299" s="464">
        <v>555</v>
      </c>
      <c r="BB299" s="465">
        <v>51</v>
      </c>
      <c r="BC299" s="457">
        <v>444</v>
      </c>
      <c r="BD299" s="464">
        <v>51</v>
      </c>
      <c r="BE299" s="466">
        <v>501</v>
      </c>
      <c r="BF299" s="465">
        <v>13</v>
      </c>
      <c r="BG299" s="457">
        <v>182</v>
      </c>
      <c r="BH299" s="464">
        <v>13</v>
      </c>
      <c r="BI299" s="466">
        <v>206</v>
      </c>
      <c r="BJ299" s="465">
        <v>44</v>
      </c>
      <c r="BK299" s="457">
        <v>168</v>
      </c>
      <c r="BL299" s="464">
        <v>44</v>
      </c>
      <c r="BM299" s="466">
        <v>150</v>
      </c>
      <c r="BN299" s="465">
        <v>25</v>
      </c>
      <c r="BO299" s="457">
        <v>109</v>
      </c>
      <c r="BP299" s="464">
        <v>25</v>
      </c>
      <c r="BQ299" s="466">
        <v>103</v>
      </c>
      <c r="BR299" s="465">
        <v>11</v>
      </c>
      <c r="BS299" s="457">
        <v>66</v>
      </c>
      <c r="BT299" s="723">
        <v>11</v>
      </c>
      <c r="BU299" s="466">
        <v>64</v>
      </c>
      <c r="BV299" s="465">
        <v>45</v>
      </c>
      <c r="BW299" s="457">
        <v>51</v>
      </c>
      <c r="BX299" s="464">
        <v>26</v>
      </c>
      <c r="BY299" s="466">
        <v>55</v>
      </c>
      <c r="BZ299" s="465">
        <v>26</v>
      </c>
      <c r="CA299" s="457">
        <v>35</v>
      </c>
      <c r="CB299" s="464">
        <v>45</v>
      </c>
      <c r="CC299" s="466">
        <v>50</v>
      </c>
      <c r="CD299" s="465">
        <v>50</v>
      </c>
      <c r="CE299" s="457">
        <v>33</v>
      </c>
      <c r="CF299" s="464">
        <v>4</v>
      </c>
      <c r="CG299" s="466">
        <v>37</v>
      </c>
      <c r="CH299" s="465">
        <v>4</v>
      </c>
      <c r="CI299" s="457">
        <v>31</v>
      </c>
      <c r="CJ299" s="464">
        <v>9</v>
      </c>
      <c r="CK299" s="466">
        <v>30</v>
      </c>
      <c r="CL299" s="459">
        <v>233</v>
      </c>
      <c r="CM299" s="450">
        <v>255</v>
      </c>
      <c r="CN299" s="468">
        <f t="shared" si="168"/>
        <v>1924</v>
      </c>
      <c r="CO299" s="468">
        <f t="shared" si="169"/>
        <v>10</v>
      </c>
      <c r="CP299" s="469">
        <f t="shared" si="170"/>
        <v>2006</v>
      </c>
      <c r="CQ299" s="469">
        <f t="shared" si="171"/>
        <v>10</v>
      </c>
      <c r="CR299" s="463">
        <v>26</v>
      </c>
      <c r="CS299" s="457">
        <v>124</v>
      </c>
      <c r="CT299" s="464">
        <v>26</v>
      </c>
      <c r="CU299" s="464">
        <v>110</v>
      </c>
      <c r="CV299" s="465">
        <v>51</v>
      </c>
      <c r="CW299" s="457">
        <v>71</v>
      </c>
      <c r="CX299" s="464">
        <v>51</v>
      </c>
      <c r="CY299" s="466">
        <v>67</v>
      </c>
      <c r="CZ299" s="465">
        <v>40</v>
      </c>
      <c r="DA299" s="457">
        <v>53</v>
      </c>
      <c r="DB299" s="464">
        <v>40</v>
      </c>
      <c r="DC299" s="466">
        <v>54</v>
      </c>
      <c r="DD299" s="465">
        <v>45</v>
      </c>
      <c r="DE299" s="457">
        <v>39</v>
      </c>
      <c r="DF299" s="464">
        <v>45</v>
      </c>
      <c r="DG299" s="466">
        <v>52</v>
      </c>
      <c r="DH299" s="465">
        <v>42</v>
      </c>
      <c r="DI299" s="457">
        <v>25</v>
      </c>
      <c r="DJ299" s="464">
        <v>13</v>
      </c>
      <c r="DK299" s="466">
        <v>24</v>
      </c>
      <c r="DL299" s="465">
        <v>13</v>
      </c>
      <c r="DM299" s="457">
        <v>21</v>
      </c>
      <c r="DN299" s="464">
        <v>42</v>
      </c>
      <c r="DO299" s="466">
        <v>22</v>
      </c>
      <c r="DP299" s="465">
        <v>16</v>
      </c>
      <c r="DQ299" s="457">
        <v>18</v>
      </c>
      <c r="DR299" s="464">
        <v>27</v>
      </c>
      <c r="DS299" s="466">
        <v>21</v>
      </c>
      <c r="DT299" s="465">
        <v>27</v>
      </c>
      <c r="DU299" s="457">
        <v>18</v>
      </c>
      <c r="DV299" s="464">
        <v>16</v>
      </c>
      <c r="DW299" s="466">
        <v>20</v>
      </c>
      <c r="DX299" s="465">
        <v>9</v>
      </c>
      <c r="DY299" s="457">
        <v>17</v>
      </c>
      <c r="DZ299" s="464">
        <v>11</v>
      </c>
      <c r="EA299" s="466">
        <v>18</v>
      </c>
      <c r="EB299" s="465">
        <v>54</v>
      </c>
      <c r="EC299" s="457">
        <v>16</v>
      </c>
      <c r="ED299" s="464">
        <v>54</v>
      </c>
      <c r="EE299" s="466">
        <v>18</v>
      </c>
      <c r="EF299" s="459">
        <v>104</v>
      </c>
      <c r="EG299" s="450">
        <v>89</v>
      </c>
      <c r="EH299" s="460">
        <f t="shared" si="178"/>
        <v>506</v>
      </c>
      <c r="EI299" s="460">
        <f t="shared" si="179"/>
        <v>10</v>
      </c>
      <c r="EJ299" s="458">
        <f t="shared" si="180"/>
        <v>0.24505928853754941</v>
      </c>
      <c r="EK299" s="470">
        <f t="shared" si="181"/>
        <v>495</v>
      </c>
      <c r="EL299" s="470">
        <f t="shared" si="182"/>
        <v>10</v>
      </c>
      <c r="EM299" s="449">
        <f t="shared" si="183"/>
        <v>0.22222222222222221</v>
      </c>
      <c r="EN299" s="460">
        <f t="shared" si="184"/>
        <v>2430</v>
      </c>
      <c r="EO299" s="469">
        <f t="shared" si="185"/>
        <v>2501</v>
      </c>
      <c r="EP299" s="471">
        <v>245</v>
      </c>
      <c r="EQ299" s="450">
        <v>259</v>
      </c>
      <c r="ER299" s="471">
        <v>154</v>
      </c>
      <c r="ES299" s="450">
        <v>165</v>
      </c>
      <c r="ET299" s="471">
        <v>81</v>
      </c>
      <c r="EU299" s="450">
        <v>76</v>
      </c>
      <c r="EV299" s="471">
        <v>142</v>
      </c>
      <c r="EW299" s="450">
        <v>146</v>
      </c>
      <c r="EX299" s="471"/>
      <c r="EY299" s="450"/>
      <c r="EZ299" s="471"/>
      <c r="FA299" s="450"/>
      <c r="FB299" s="471"/>
      <c r="FC299" s="450"/>
      <c r="FD299" s="471"/>
      <c r="FE299" s="450"/>
      <c r="FF299" s="471"/>
      <c r="FG299" s="450"/>
      <c r="FH299" s="472">
        <v>44</v>
      </c>
      <c r="FI299" s="450">
        <v>38</v>
      </c>
      <c r="FJ299" s="468">
        <f t="shared" si="176"/>
        <v>666</v>
      </c>
      <c r="FK299" s="469">
        <f t="shared" si="177"/>
        <v>684</v>
      </c>
      <c r="FL299" s="472"/>
      <c r="FM299" s="450"/>
      <c r="FN299" s="460">
        <f t="shared" si="186"/>
        <v>7754</v>
      </c>
      <c r="FO299" s="469">
        <f t="shared" si="187"/>
        <v>7634</v>
      </c>
    </row>
    <row r="300" spans="1:171" x14ac:dyDescent="0.2">
      <c r="A300" s="399" t="s">
        <v>264</v>
      </c>
      <c r="B300" s="400" t="s">
        <v>534</v>
      </c>
      <c r="C300" s="498"/>
      <c r="D300" s="487">
        <v>199148</v>
      </c>
      <c r="E300" s="497">
        <v>1</v>
      </c>
      <c r="F300" s="532"/>
      <c r="G300" s="450"/>
      <c r="H300" s="457"/>
      <c r="I300" s="450"/>
      <c r="J300" s="457"/>
      <c r="K300" s="450"/>
      <c r="L300" s="458">
        <f t="shared" si="166"/>
        <v>0</v>
      </c>
      <c r="M300" s="449">
        <f t="shared" si="167"/>
        <v>0</v>
      </c>
      <c r="N300" s="459">
        <v>2762</v>
      </c>
      <c r="O300" s="459"/>
      <c r="P300" s="459">
        <v>332</v>
      </c>
      <c r="Q300" s="459"/>
      <c r="R300" s="460">
        <f t="shared" si="165"/>
        <v>332</v>
      </c>
      <c r="S300" s="391">
        <v>2958</v>
      </c>
      <c r="T300" s="461"/>
      <c r="U300" s="461">
        <v>378</v>
      </c>
      <c r="V300" s="461"/>
      <c r="W300" s="462">
        <f t="shared" si="142"/>
        <v>378</v>
      </c>
      <c r="X300" s="463"/>
      <c r="Y300" s="457"/>
      <c r="Z300" s="464"/>
      <c r="AA300" s="464"/>
      <c r="AB300" s="465"/>
      <c r="AC300" s="457"/>
      <c r="AD300" s="464"/>
      <c r="AE300" s="466"/>
      <c r="AF300" s="465"/>
      <c r="AG300" s="457"/>
      <c r="AH300" s="464"/>
      <c r="AI300" s="466"/>
      <c r="AJ300" s="465"/>
      <c r="AK300" s="457"/>
      <c r="AL300" s="464"/>
      <c r="AM300" s="466"/>
      <c r="AN300" s="465"/>
      <c r="AO300" s="457"/>
      <c r="AP300" s="464"/>
      <c r="AQ300" s="464"/>
      <c r="AR300" s="460">
        <f t="shared" si="172"/>
        <v>0</v>
      </c>
      <c r="AS300" s="467">
        <f t="shared" si="173"/>
        <v>0.70747950819672134</v>
      </c>
      <c r="AT300" s="447">
        <f t="shared" si="174"/>
        <v>0</v>
      </c>
      <c r="AU300" s="448">
        <f t="shared" si="175"/>
        <v>0.73000987166831199</v>
      </c>
      <c r="AV300" s="457">
        <v>33</v>
      </c>
      <c r="AW300" s="450">
        <v>15</v>
      </c>
      <c r="AX300" s="463">
        <v>13</v>
      </c>
      <c r="AY300" s="457">
        <v>201</v>
      </c>
      <c r="AZ300" s="464">
        <v>13</v>
      </c>
      <c r="BA300" s="464">
        <v>258</v>
      </c>
      <c r="BB300" s="465">
        <v>51</v>
      </c>
      <c r="BC300" s="457">
        <v>157</v>
      </c>
      <c r="BD300" s="464">
        <v>51</v>
      </c>
      <c r="BE300" s="466">
        <v>148</v>
      </c>
      <c r="BF300" s="465">
        <v>52</v>
      </c>
      <c r="BG300" s="457">
        <v>122</v>
      </c>
      <c r="BH300" s="464">
        <v>52</v>
      </c>
      <c r="BI300" s="466">
        <v>88</v>
      </c>
      <c r="BJ300" s="465">
        <v>44</v>
      </c>
      <c r="BK300" s="457">
        <v>96</v>
      </c>
      <c r="BL300" s="464">
        <v>44</v>
      </c>
      <c r="BM300" s="466">
        <v>73</v>
      </c>
      <c r="BN300" s="465">
        <v>25</v>
      </c>
      <c r="BO300" s="457">
        <v>73</v>
      </c>
      <c r="BP300" s="464">
        <v>25</v>
      </c>
      <c r="BQ300" s="466">
        <v>69</v>
      </c>
      <c r="BR300" s="465">
        <v>24</v>
      </c>
      <c r="BS300" s="457">
        <v>63</v>
      </c>
      <c r="BT300" s="723">
        <v>24</v>
      </c>
      <c r="BU300" s="466">
        <v>60</v>
      </c>
      <c r="BV300" s="465">
        <v>50</v>
      </c>
      <c r="BW300" s="457">
        <v>54</v>
      </c>
      <c r="BX300" s="464">
        <v>50</v>
      </c>
      <c r="BY300" s="466">
        <v>57</v>
      </c>
      <c r="BZ300" s="465">
        <v>31</v>
      </c>
      <c r="CA300" s="457">
        <v>38</v>
      </c>
      <c r="CB300" s="464">
        <v>31</v>
      </c>
      <c r="CC300" s="466">
        <v>30</v>
      </c>
      <c r="CD300" s="465">
        <v>11</v>
      </c>
      <c r="CE300" s="457">
        <v>25</v>
      </c>
      <c r="CF300" s="464">
        <v>11</v>
      </c>
      <c r="CG300" s="466">
        <v>29</v>
      </c>
      <c r="CH300" s="465">
        <v>23</v>
      </c>
      <c r="CI300" s="457">
        <v>20</v>
      </c>
      <c r="CJ300" s="464">
        <v>23</v>
      </c>
      <c r="CK300" s="466">
        <v>22</v>
      </c>
      <c r="CL300" s="459">
        <v>130</v>
      </c>
      <c r="CM300" s="450">
        <v>132</v>
      </c>
      <c r="CN300" s="468">
        <f t="shared" si="168"/>
        <v>979</v>
      </c>
      <c r="CO300" s="468">
        <f t="shared" si="169"/>
        <v>10</v>
      </c>
      <c r="CP300" s="469">
        <f t="shared" si="170"/>
        <v>966</v>
      </c>
      <c r="CQ300" s="469">
        <f t="shared" si="171"/>
        <v>10</v>
      </c>
      <c r="CR300" s="463">
        <v>13</v>
      </c>
      <c r="CS300" s="457">
        <v>57</v>
      </c>
      <c r="CT300" s="464">
        <v>13</v>
      </c>
      <c r="CU300" s="464">
        <v>39</v>
      </c>
      <c r="CV300" s="465">
        <v>50</v>
      </c>
      <c r="CW300" s="457">
        <v>18</v>
      </c>
      <c r="CX300" s="464">
        <v>50</v>
      </c>
      <c r="CY300" s="466">
        <v>15</v>
      </c>
      <c r="CZ300" s="465">
        <v>51</v>
      </c>
      <c r="DA300" s="457">
        <v>10</v>
      </c>
      <c r="DB300" s="464">
        <v>51</v>
      </c>
      <c r="DC300" s="466">
        <v>11</v>
      </c>
      <c r="DD300" s="465">
        <v>19</v>
      </c>
      <c r="DE300" s="457">
        <v>8</v>
      </c>
      <c r="DF300" s="464">
        <v>31</v>
      </c>
      <c r="DG300" s="466">
        <v>10</v>
      </c>
      <c r="DH300" s="465">
        <v>23</v>
      </c>
      <c r="DI300" s="457">
        <v>8</v>
      </c>
      <c r="DJ300" s="464">
        <v>23</v>
      </c>
      <c r="DK300" s="466">
        <v>9</v>
      </c>
      <c r="DL300" s="465">
        <v>31</v>
      </c>
      <c r="DM300" s="457">
        <v>7</v>
      </c>
      <c r="DN300" s="464">
        <v>42</v>
      </c>
      <c r="DO300" s="466">
        <v>8</v>
      </c>
      <c r="DP300" s="465">
        <v>42</v>
      </c>
      <c r="DQ300" s="457">
        <v>7</v>
      </c>
      <c r="DR300" s="464">
        <v>19</v>
      </c>
      <c r="DS300" s="466">
        <v>4</v>
      </c>
      <c r="DT300" s="465">
        <v>45</v>
      </c>
      <c r="DU300" s="457">
        <v>7</v>
      </c>
      <c r="DV300" s="464">
        <v>30</v>
      </c>
      <c r="DW300" s="466">
        <v>4</v>
      </c>
      <c r="DX300" s="465">
        <v>54</v>
      </c>
      <c r="DY300" s="457">
        <v>4</v>
      </c>
      <c r="DZ300" s="464">
        <v>52</v>
      </c>
      <c r="EA300" s="466">
        <v>4</v>
      </c>
      <c r="EB300" s="465">
        <v>30</v>
      </c>
      <c r="EC300" s="457">
        <v>2</v>
      </c>
      <c r="ED300" s="464">
        <v>54</v>
      </c>
      <c r="EE300" s="466">
        <v>4</v>
      </c>
      <c r="EF300" s="459">
        <v>2</v>
      </c>
      <c r="EG300" s="450">
        <v>5</v>
      </c>
      <c r="EH300" s="460">
        <f t="shared" si="178"/>
        <v>130</v>
      </c>
      <c r="EI300" s="460">
        <f t="shared" si="179"/>
        <v>10</v>
      </c>
      <c r="EJ300" s="458">
        <f t="shared" si="180"/>
        <v>0.43846153846153846</v>
      </c>
      <c r="EK300" s="470">
        <f t="shared" si="181"/>
        <v>113</v>
      </c>
      <c r="EL300" s="470">
        <f t="shared" si="182"/>
        <v>10</v>
      </c>
      <c r="EM300" s="449">
        <f t="shared" si="183"/>
        <v>0.34513274336283184</v>
      </c>
      <c r="EN300" s="460">
        <f t="shared" si="184"/>
        <v>1109</v>
      </c>
      <c r="EO300" s="469">
        <f t="shared" si="185"/>
        <v>1079</v>
      </c>
      <c r="EP300" s="471"/>
      <c r="EQ300" s="450"/>
      <c r="ER300" s="471"/>
      <c r="ES300" s="450"/>
      <c r="ET300" s="471"/>
      <c r="EU300" s="450"/>
      <c r="EV300" s="471"/>
      <c r="EW300" s="450"/>
      <c r="EX300" s="471"/>
      <c r="EY300" s="450"/>
      <c r="EZ300" s="471"/>
      <c r="FA300" s="450"/>
      <c r="FB300" s="471"/>
      <c r="FC300" s="450"/>
      <c r="FD300" s="471"/>
      <c r="FE300" s="450"/>
      <c r="FF300" s="471"/>
      <c r="FG300" s="450"/>
      <c r="FH300" s="472"/>
      <c r="FI300" s="450"/>
      <c r="FJ300" s="468">
        <f t="shared" si="176"/>
        <v>0</v>
      </c>
      <c r="FK300" s="469">
        <f t="shared" si="177"/>
        <v>0</v>
      </c>
      <c r="FL300" s="472"/>
      <c r="FM300" s="450"/>
      <c r="FN300" s="460">
        <f t="shared" si="186"/>
        <v>3904</v>
      </c>
      <c r="FO300" s="469">
        <f t="shared" si="187"/>
        <v>4052</v>
      </c>
    </row>
    <row r="301" spans="1:171" x14ac:dyDescent="0.2">
      <c r="A301" s="399" t="s">
        <v>264</v>
      </c>
      <c r="B301" s="400" t="s">
        <v>537</v>
      </c>
      <c r="C301" s="498" t="s">
        <v>598</v>
      </c>
      <c r="D301" s="487">
        <v>198464</v>
      </c>
      <c r="E301" s="486">
        <v>2</v>
      </c>
      <c r="F301" s="532"/>
      <c r="G301" s="450"/>
      <c r="H301" s="457"/>
      <c r="I301" s="450"/>
      <c r="J301" s="457"/>
      <c r="K301" s="450"/>
      <c r="L301" s="458">
        <f t="shared" si="166"/>
        <v>0</v>
      </c>
      <c r="M301" s="449">
        <f t="shared" si="167"/>
        <v>0</v>
      </c>
      <c r="N301" s="459">
        <v>3855</v>
      </c>
      <c r="O301" s="459"/>
      <c r="P301" s="459">
        <v>458</v>
      </c>
      <c r="Q301" s="459"/>
      <c r="R301" s="460">
        <f t="shared" si="165"/>
        <v>458</v>
      </c>
      <c r="S301" s="391">
        <v>4174</v>
      </c>
      <c r="T301" s="461"/>
      <c r="U301" s="461">
        <v>487</v>
      </c>
      <c r="V301" s="461"/>
      <c r="W301" s="462">
        <f t="shared" si="142"/>
        <v>487</v>
      </c>
      <c r="X301" s="463"/>
      <c r="Y301" s="457"/>
      <c r="Z301" s="464"/>
      <c r="AA301" s="464"/>
      <c r="AB301" s="465"/>
      <c r="AC301" s="457"/>
      <c r="AD301" s="464"/>
      <c r="AE301" s="466"/>
      <c r="AF301" s="465"/>
      <c r="AG301" s="457"/>
      <c r="AH301" s="464"/>
      <c r="AI301" s="466"/>
      <c r="AJ301" s="465"/>
      <c r="AK301" s="457"/>
      <c r="AL301" s="464"/>
      <c r="AM301" s="466"/>
      <c r="AN301" s="465"/>
      <c r="AO301" s="457"/>
      <c r="AP301" s="464"/>
      <c r="AQ301" s="464"/>
      <c r="AR301" s="460">
        <f t="shared" si="172"/>
        <v>0</v>
      </c>
      <c r="AS301" s="467">
        <f t="shared" si="173"/>
        <v>0.66672431684538225</v>
      </c>
      <c r="AT301" s="447">
        <f t="shared" si="174"/>
        <v>0</v>
      </c>
      <c r="AU301" s="448">
        <f t="shared" si="175"/>
        <v>0.68730446237444431</v>
      </c>
      <c r="AV301" s="457">
        <v>32</v>
      </c>
      <c r="AW301" s="450">
        <v>45</v>
      </c>
      <c r="AX301" s="463">
        <v>13</v>
      </c>
      <c r="AY301" s="457">
        <v>515</v>
      </c>
      <c r="AZ301" s="464">
        <v>13</v>
      </c>
      <c r="BA301" s="464">
        <v>479</v>
      </c>
      <c r="BB301" s="465">
        <v>51</v>
      </c>
      <c r="BC301" s="457">
        <v>373</v>
      </c>
      <c r="BD301" s="464">
        <v>51</v>
      </c>
      <c r="BE301" s="466">
        <v>387</v>
      </c>
      <c r="BF301" s="465">
        <v>52</v>
      </c>
      <c r="BG301" s="457">
        <v>247</v>
      </c>
      <c r="BH301" s="464">
        <v>52</v>
      </c>
      <c r="BI301" s="466">
        <v>283</v>
      </c>
      <c r="BJ301" s="465">
        <v>25</v>
      </c>
      <c r="BK301" s="457">
        <v>115</v>
      </c>
      <c r="BL301" s="464">
        <v>44</v>
      </c>
      <c r="BM301" s="466">
        <v>95</v>
      </c>
      <c r="BN301" s="465">
        <v>44</v>
      </c>
      <c r="BO301" s="457">
        <v>94</v>
      </c>
      <c r="BP301" s="464">
        <v>25</v>
      </c>
      <c r="BQ301" s="466">
        <v>85</v>
      </c>
      <c r="BR301" s="465">
        <v>23</v>
      </c>
      <c r="BS301" s="457">
        <v>57</v>
      </c>
      <c r="BT301" s="723">
        <v>15</v>
      </c>
      <c r="BU301" s="466">
        <v>54</v>
      </c>
      <c r="BV301" s="465">
        <v>15</v>
      </c>
      <c r="BW301" s="457">
        <v>53</v>
      </c>
      <c r="BX301" s="464">
        <v>31</v>
      </c>
      <c r="BY301" s="466">
        <v>46</v>
      </c>
      <c r="BZ301" s="465">
        <v>45</v>
      </c>
      <c r="CA301" s="457">
        <v>43</v>
      </c>
      <c r="CB301" s="464">
        <v>23</v>
      </c>
      <c r="CC301" s="466">
        <v>44</v>
      </c>
      <c r="CD301" s="465">
        <v>31</v>
      </c>
      <c r="CE301" s="457">
        <v>35</v>
      </c>
      <c r="CF301" s="464">
        <v>45</v>
      </c>
      <c r="CG301" s="466">
        <v>40</v>
      </c>
      <c r="CH301" s="465">
        <v>50</v>
      </c>
      <c r="CI301" s="457">
        <v>32</v>
      </c>
      <c r="CJ301" s="464">
        <v>30</v>
      </c>
      <c r="CK301" s="466">
        <v>37</v>
      </c>
      <c r="CL301" s="459">
        <v>183</v>
      </c>
      <c r="CM301" s="450">
        <v>167</v>
      </c>
      <c r="CN301" s="468">
        <f t="shared" si="168"/>
        <v>1747</v>
      </c>
      <c r="CO301" s="468">
        <f t="shared" si="169"/>
        <v>10</v>
      </c>
      <c r="CP301" s="469">
        <f t="shared" si="170"/>
        <v>1717</v>
      </c>
      <c r="CQ301" s="469">
        <f t="shared" si="171"/>
        <v>10</v>
      </c>
      <c r="CR301" s="463">
        <v>26</v>
      </c>
      <c r="CS301" s="457">
        <v>21</v>
      </c>
      <c r="CT301" s="464">
        <v>26</v>
      </c>
      <c r="CU301" s="464">
        <v>18</v>
      </c>
      <c r="CV301" s="465">
        <v>13</v>
      </c>
      <c r="CW301" s="457">
        <v>15</v>
      </c>
      <c r="CX301" s="464">
        <v>51</v>
      </c>
      <c r="CY301" s="466">
        <v>9</v>
      </c>
      <c r="CZ301" s="465">
        <v>51</v>
      </c>
      <c r="DA301" s="457">
        <v>7</v>
      </c>
      <c r="DB301" s="464">
        <v>13</v>
      </c>
      <c r="DC301" s="466">
        <v>5</v>
      </c>
      <c r="DD301" s="465">
        <v>23</v>
      </c>
      <c r="DE301" s="457">
        <v>2</v>
      </c>
      <c r="DF301" s="464">
        <v>30</v>
      </c>
      <c r="DG301" s="466">
        <v>3</v>
      </c>
      <c r="DH301" s="465">
        <v>30</v>
      </c>
      <c r="DI301" s="457">
        <v>2</v>
      </c>
      <c r="DJ301" s="464">
        <v>42</v>
      </c>
      <c r="DK301" s="466">
        <v>3</v>
      </c>
      <c r="DL301" s="465"/>
      <c r="DM301" s="457"/>
      <c r="DN301" s="464">
        <v>23</v>
      </c>
      <c r="DO301" s="466">
        <v>1</v>
      </c>
      <c r="DP301" s="465"/>
      <c r="DQ301" s="457"/>
      <c r="DR301" s="464"/>
      <c r="DS301" s="466"/>
      <c r="DT301" s="465"/>
      <c r="DU301" s="457"/>
      <c r="DV301" s="464"/>
      <c r="DW301" s="466"/>
      <c r="DX301" s="465"/>
      <c r="DY301" s="457"/>
      <c r="DZ301" s="464"/>
      <c r="EA301" s="466"/>
      <c r="EB301" s="465"/>
      <c r="EC301" s="457"/>
      <c r="ED301" s="464"/>
      <c r="EE301" s="466"/>
      <c r="EF301" s="459"/>
      <c r="EG301" s="450"/>
      <c r="EH301" s="460">
        <f t="shared" si="178"/>
        <v>47</v>
      </c>
      <c r="EI301" s="460">
        <f t="shared" si="179"/>
        <v>5</v>
      </c>
      <c r="EJ301" s="458">
        <f t="shared" si="180"/>
        <v>0.44680851063829785</v>
      </c>
      <c r="EK301" s="470">
        <f t="shared" si="181"/>
        <v>39</v>
      </c>
      <c r="EL301" s="470">
        <f t="shared" si="182"/>
        <v>6</v>
      </c>
      <c r="EM301" s="449">
        <f t="shared" si="183"/>
        <v>0.46153846153846156</v>
      </c>
      <c r="EN301" s="460">
        <f t="shared" si="184"/>
        <v>1794</v>
      </c>
      <c r="EO301" s="469">
        <f t="shared" si="185"/>
        <v>1756</v>
      </c>
      <c r="EP301" s="471"/>
      <c r="EQ301" s="450"/>
      <c r="ER301" s="471">
        <v>70</v>
      </c>
      <c r="ES301" s="450">
        <v>71</v>
      </c>
      <c r="ET301" s="471"/>
      <c r="EU301" s="450"/>
      <c r="EV301" s="471"/>
      <c r="EW301" s="450"/>
      <c r="EX301" s="471"/>
      <c r="EY301" s="450"/>
      <c r="EZ301" s="471"/>
      <c r="FA301" s="450"/>
      <c r="FB301" s="471"/>
      <c r="FC301" s="450"/>
      <c r="FD301" s="471"/>
      <c r="FE301" s="450"/>
      <c r="FF301" s="471"/>
      <c r="FG301" s="450"/>
      <c r="FH301" s="472">
        <v>31</v>
      </c>
      <c r="FI301" s="450">
        <v>27</v>
      </c>
      <c r="FJ301" s="468">
        <f t="shared" si="176"/>
        <v>101</v>
      </c>
      <c r="FK301" s="469">
        <f t="shared" si="177"/>
        <v>98</v>
      </c>
      <c r="FL301" s="472"/>
      <c r="FM301" s="450"/>
      <c r="FN301" s="460">
        <f t="shared" si="186"/>
        <v>5782</v>
      </c>
      <c r="FO301" s="469">
        <f t="shared" si="187"/>
        <v>6073</v>
      </c>
    </row>
    <row r="302" spans="1:171" x14ac:dyDescent="0.2">
      <c r="A302" s="399" t="s">
        <v>264</v>
      </c>
      <c r="B302" s="400" t="s">
        <v>535</v>
      </c>
      <c r="C302" s="495" t="s">
        <v>602</v>
      </c>
      <c r="D302" s="487">
        <v>199139</v>
      </c>
      <c r="E302" s="484">
        <v>2</v>
      </c>
      <c r="F302" s="532"/>
      <c r="G302" s="450"/>
      <c r="H302" s="457"/>
      <c r="I302" s="450"/>
      <c r="J302" s="457"/>
      <c r="K302" s="450"/>
      <c r="L302" s="458">
        <f t="shared" si="166"/>
        <v>0</v>
      </c>
      <c r="M302" s="449">
        <f t="shared" si="167"/>
        <v>0</v>
      </c>
      <c r="N302" s="459">
        <v>3795</v>
      </c>
      <c r="O302" s="459"/>
      <c r="P302" s="459">
        <v>319</v>
      </c>
      <c r="Q302" s="459"/>
      <c r="R302" s="460">
        <f t="shared" si="165"/>
        <v>319</v>
      </c>
      <c r="S302" s="391">
        <v>3964</v>
      </c>
      <c r="T302" s="461"/>
      <c r="U302" s="461">
        <v>327</v>
      </c>
      <c r="V302" s="461"/>
      <c r="W302" s="462">
        <f t="shared" si="142"/>
        <v>327</v>
      </c>
      <c r="X302" s="463"/>
      <c r="Y302" s="457"/>
      <c r="Z302" s="464"/>
      <c r="AA302" s="464"/>
      <c r="AB302" s="465"/>
      <c r="AC302" s="457"/>
      <c r="AD302" s="464"/>
      <c r="AE302" s="466"/>
      <c r="AF302" s="465"/>
      <c r="AG302" s="457"/>
      <c r="AH302" s="464"/>
      <c r="AI302" s="466"/>
      <c r="AJ302" s="465"/>
      <c r="AK302" s="457"/>
      <c r="AL302" s="464"/>
      <c r="AM302" s="466"/>
      <c r="AN302" s="465"/>
      <c r="AO302" s="457"/>
      <c r="AP302" s="464"/>
      <c r="AQ302" s="464"/>
      <c r="AR302" s="460">
        <f t="shared" si="172"/>
        <v>0</v>
      </c>
      <c r="AS302" s="467">
        <f t="shared" si="173"/>
        <v>0.7059151785714286</v>
      </c>
      <c r="AT302" s="447">
        <f t="shared" si="174"/>
        <v>0</v>
      </c>
      <c r="AU302" s="448">
        <f t="shared" si="175"/>
        <v>0.71629924105529452</v>
      </c>
      <c r="AV302" s="457">
        <v>309</v>
      </c>
      <c r="AW302" s="450">
        <v>240</v>
      </c>
      <c r="AX302" s="463">
        <v>13</v>
      </c>
      <c r="AY302" s="457">
        <v>302</v>
      </c>
      <c r="AZ302" s="464">
        <v>13</v>
      </c>
      <c r="BA302" s="464">
        <v>291</v>
      </c>
      <c r="BB302" s="465">
        <v>52</v>
      </c>
      <c r="BC302" s="457">
        <v>293</v>
      </c>
      <c r="BD302" s="464">
        <v>52</v>
      </c>
      <c r="BE302" s="466">
        <v>269</v>
      </c>
      <c r="BF302" s="465">
        <v>51</v>
      </c>
      <c r="BG302" s="457">
        <v>129</v>
      </c>
      <c r="BH302" s="464">
        <v>11</v>
      </c>
      <c r="BI302" s="466">
        <v>133</v>
      </c>
      <c r="BJ302" s="465">
        <v>14</v>
      </c>
      <c r="BK302" s="457">
        <v>96</v>
      </c>
      <c r="BL302" s="464">
        <v>51</v>
      </c>
      <c r="BM302" s="466">
        <v>128</v>
      </c>
      <c r="BN302" s="465">
        <v>11</v>
      </c>
      <c r="BO302" s="457">
        <v>89</v>
      </c>
      <c r="BP302" s="464">
        <v>44</v>
      </c>
      <c r="BQ302" s="466">
        <v>76</v>
      </c>
      <c r="BR302" s="465">
        <v>44</v>
      </c>
      <c r="BS302" s="457">
        <v>55</v>
      </c>
      <c r="BT302" s="723">
        <v>14</v>
      </c>
      <c r="BU302" s="466">
        <v>71</v>
      </c>
      <c r="BV302" s="465">
        <v>30</v>
      </c>
      <c r="BW302" s="457">
        <v>35</v>
      </c>
      <c r="BX302" s="464">
        <v>4</v>
      </c>
      <c r="BY302" s="466">
        <v>42</v>
      </c>
      <c r="BZ302" s="465">
        <v>23</v>
      </c>
      <c r="CA302" s="457">
        <v>29</v>
      </c>
      <c r="CB302" s="464">
        <v>23</v>
      </c>
      <c r="CC302" s="466">
        <v>33</v>
      </c>
      <c r="CD302" s="465">
        <v>4</v>
      </c>
      <c r="CE302" s="457">
        <v>26</v>
      </c>
      <c r="CF302" s="464">
        <v>30</v>
      </c>
      <c r="CG302" s="466">
        <v>32</v>
      </c>
      <c r="CH302" s="465">
        <v>40</v>
      </c>
      <c r="CI302" s="457">
        <v>23</v>
      </c>
      <c r="CJ302" s="464">
        <v>40</v>
      </c>
      <c r="CK302" s="466">
        <v>24</v>
      </c>
      <c r="CL302" s="459">
        <v>107</v>
      </c>
      <c r="CM302" s="450">
        <v>113</v>
      </c>
      <c r="CN302" s="468">
        <f t="shared" si="168"/>
        <v>1184</v>
      </c>
      <c r="CO302" s="468">
        <f t="shared" si="169"/>
        <v>10</v>
      </c>
      <c r="CP302" s="469">
        <f t="shared" si="170"/>
        <v>1212</v>
      </c>
      <c r="CQ302" s="469">
        <f t="shared" si="171"/>
        <v>10</v>
      </c>
      <c r="CR302" s="463">
        <v>13</v>
      </c>
      <c r="CS302" s="457">
        <v>37</v>
      </c>
      <c r="CT302" s="464">
        <v>13</v>
      </c>
      <c r="CU302" s="464">
        <v>40</v>
      </c>
      <c r="CV302" s="465">
        <v>11</v>
      </c>
      <c r="CW302" s="457">
        <v>12</v>
      </c>
      <c r="CX302" s="464">
        <v>11</v>
      </c>
      <c r="CY302" s="466">
        <v>16</v>
      </c>
      <c r="CZ302" s="465">
        <v>30</v>
      </c>
      <c r="DA302" s="457">
        <v>8</v>
      </c>
      <c r="DB302" s="464">
        <v>14</v>
      </c>
      <c r="DC302" s="466">
        <v>15</v>
      </c>
      <c r="DD302" s="465">
        <v>27</v>
      </c>
      <c r="DE302" s="457">
        <v>6</v>
      </c>
      <c r="DF302" s="464">
        <v>27</v>
      </c>
      <c r="DG302" s="466">
        <v>10</v>
      </c>
      <c r="DH302" s="465">
        <v>44</v>
      </c>
      <c r="DI302" s="457">
        <v>5</v>
      </c>
      <c r="DJ302" s="464">
        <v>26</v>
      </c>
      <c r="DK302" s="466">
        <v>8</v>
      </c>
      <c r="DL302" s="465">
        <v>14</v>
      </c>
      <c r="DM302" s="457">
        <v>4</v>
      </c>
      <c r="DN302" s="464">
        <v>30</v>
      </c>
      <c r="DO302" s="466">
        <v>7</v>
      </c>
      <c r="DP302" s="465">
        <v>26</v>
      </c>
      <c r="DQ302" s="457">
        <v>4</v>
      </c>
      <c r="DR302" s="464">
        <v>40</v>
      </c>
      <c r="DS302" s="466">
        <v>7</v>
      </c>
      <c r="DT302" s="465">
        <v>40</v>
      </c>
      <c r="DU302" s="457">
        <v>4</v>
      </c>
      <c r="DV302" s="464">
        <v>51</v>
      </c>
      <c r="DW302" s="466">
        <v>7</v>
      </c>
      <c r="DX302" s="465">
        <v>51</v>
      </c>
      <c r="DY302" s="457">
        <v>3</v>
      </c>
      <c r="DZ302" s="464">
        <v>42</v>
      </c>
      <c r="EA302" s="466">
        <v>3</v>
      </c>
      <c r="EB302" s="465">
        <v>42</v>
      </c>
      <c r="EC302" s="457">
        <v>2</v>
      </c>
      <c r="ED302" s="464">
        <v>45</v>
      </c>
      <c r="EE302" s="466">
        <v>3</v>
      </c>
      <c r="EF302" s="459">
        <v>3</v>
      </c>
      <c r="EG302" s="450">
        <v>2</v>
      </c>
      <c r="EH302" s="460">
        <f t="shared" si="178"/>
        <v>88</v>
      </c>
      <c r="EI302" s="460">
        <f t="shared" si="179"/>
        <v>10</v>
      </c>
      <c r="EJ302" s="458">
        <f t="shared" si="180"/>
        <v>0.42045454545454547</v>
      </c>
      <c r="EK302" s="470">
        <f t="shared" si="181"/>
        <v>118</v>
      </c>
      <c r="EL302" s="470">
        <f t="shared" si="182"/>
        <v>10</v>
      </c>
      <c r="EM302" s="449">
        <f t="shared" si="183"/>
        <v>0.33898305084745761</v>
      </c>
      <c r="EN302" s="460">
        <f t="shared" si="184"/>
        <v>1272</v>
      </c>
      <c r="EO302" s="469">
        <f t="shared" si="185"/>
        <v>1330</v>
      </c>
      <c r="EP302" s="471"/>
      <c r="EQ302" s="450"/>
      <c r="ER302" s="471"/>
      <c r="ES302" s="450"/>
      <c r="ET302" s="471"/>
      <c r="EU302" s="450"/>
      <c r="EV302" s="471"/>
      <c r="EW302" s="450"/>
      <c r="EX302" s="471"/>
      <c r="EY302" s="450"/>
      <c r="EZ302" s="471"/>
      <c r="FA302" s="450"/>
      <c r="FB302" s="471"/>
      <c r="FC302" s="450"/>
      <c r="FD302" s="471"/>
      <c r="FE302" s="450"/>
      <c r="FF302" s="471"/>
      <c r="FG302" s="450"/>
      <c r="FH302" s="472"/>
      <c r="FI302" s="450"/>
      <c r="FJ302" s="468">
        <f t="shared" si="176"/>
        <v>0</v>
      </c>
      <c r="FK302" s="469">
        <f t="shared" si="177"/>
        <v>0</v>
      </c>
      <c r="FL302" s="472"/>
      <c r="FM302" s="450"/>
      <c r="FN302" s="460">
        <f t="shared" si="186"/>
        <v>5376</v>
      </c>
      <c r="FO302" s="469">
        <f t="shared" si="187"/>
        <v>5534</v>
      </c>
    </row>
    <row r="303" spans="1:171" x14ac:dyDescent="0.2">
      <c r="A303" s="399" t="s">
        <v>264</v>
      </c>
      <c r="B303" s="400" t="s">
        <v>536</v>
      </c>
      <c r="C303" s="495"/>
      <c r="D303" s="487">
        <v>197869</v>
      </c>
      <c r="E303" s="484">
        <v>3</v>
      </c>
      <c r="F303" s="532"/>
      <c r="G303" s="450"/>
      <c r="H303" s="457"/>
      <c r="I303" s="450"/>
      <c r="J303" s="457"/>
      <c r="K303" s="450"/>
      <c r="L303" s="458">
        <f t="shared" si="166"/>
        <v>0</v>
      </c>
      <c r="M303" s="449">
        <f t="shared" si="167"/>
        <v>0</v>
      </c>
      <c r="N303" s="459">
        <v>3010</v>
      </c>
      <c r="O303" s="459"/>
      <c r="P303" s="459">
        <v>535</v>
      </c>
      <c r="Q303" s="459"/>
      <c r="R303" s="460">
        <f t="shared" si="165"/>
        <v>535</v>
      </c>
      <c r="S303" s="391">
        <v>3435</v>
      </c>
      <c r="T303" s="461"/>
      <c r="U303" s="461">
        <v>583</v>
      </c>
      <c r="V303" s="461"/>
      <c r="W303" s="462">
        <f t="shared" si="142"/>
        <v>583</v>
      </c>
      <c r="X303" s="463"/>
      <c r="Y303" s="457"/>
      <c r="Z303" s="464"/>
      <c r="AA303" s="464"/>
      <c r="AB303" s="465"/>
      <c r="AC303" s="457"/>
      <c r="AD303" s="464"/>
      <c r="AE303" s="466"/>
      <c r="AF303" s="465"/>
      <c r="AG303" s="457"/>
      <c r="AH303" s="464"/>
      <c r="AI303" s="466"/>
      <c r="AJ303" s="465"/>
      <c r="AK303" s="457"/>
      <c r="AL303" s="464"/>
      <c r="AM303" s="466"/>
      <c r="AN303" s="465"/>
      <c r="AO303" s="457"/>
      <c r="AP303" s="464"/>
      <c r="AQ303" s="464"/>
      <c r="AR303" s="460">
        <f t="shared" si="172"/>
        <v>0</v>
      </c>
      <c r="AS303" s="467">
        <f t="shared" si="173"/>
        <v>0.77717531629227987</v>
      </c>
      <c r="AT303" s="447">
        <f t="shared" si="174"/>
        <v>0</v>
      </c>
      <c r="AU303" s="448">
        <f t="shared" si="175"/>
        <v>0.79772410589874598</v>
      </c>
      <c r="AV303" s="457">
        <v>29</v>
      </c>
      <c r="AW303" s="450">
        <v>16</v>
      </c>
      <c r="AX303" s="463">
        <v>13</v>
      </c>
      <c r="AY303" s="457">
        <v>378</v>
      </c>
      <c r="AZ303" s="464">
        <v>13</v>
      </c>
      <c r="BA303" s="464">
        <v>385</v>
      </c>
      <c r="BB303" s="465">
        <v>52</v>
      </c>
      <c r="BC303" s="457">
        <v>87</v>
      </c>
      <c r="BD303" s="464">
        <v>52</v>
      </c>
      <c r="BE303" s="466">
        <v>102</v>
      </c>
      <c r="BF303" s="465">
        <v>51</v>
      </c>
      <c r="BG303" s="457">
        <v>66</v>
      </c>
      <c r="BH303" s="464">
        <v>44</v>
      </c>
      <c r="BI303" s="466">
        <v>63</v>
      </c>
      <c r="BJ303" s="465">
        <v>25</v>
      </c>
      <c r="BK303" s="457">
        <v>43</v>
      </c>
      <c r="BL303" s="464">
        <v>51</v>
      </c>
      <c r="BM303" s="466">
        <v>62</v>
      </c>
      <c r="BN303" s="465">
        <v>44</v>
      </c>
      <c r="BO303" s="457">
        <v>30</v>
      </c>
      <c r="BP303" s="464">
        <v>42</v>
      </c>
      <c r="BQ303" s="466">
        <v>33</v>
      </c>
      <c r="BR303" s="465">
        <v>42</v>
      </c>
      <c r="BS303" s="457">
        <v>29</v>
      </c>
      <c r="BT303" s="723">
        <v>45</v>
      </c>
      <c r="BU303" s="466">
        <v>32</v>
      </c>
      <c r="BV303" s="465">
        <v>45</v>
      </c>
      <c r="BW303" s="457">
        <v>29</v>
      </c>
      <c r="BX303" s="464">
        <v>15</v>
      </c>
      <c r="BY303" s="466">
        <v>28</v>
      </c>
      <c r="BZ303" s="465">
        <v>15</v>
      </c>
      <c r="CA303" s="457">
        <v>18</v>
      </c>
      <c r="CB303" s="464">
        <v>25</v>
      </c>
      <c r="CC303" s="466">
        <v>25</v>
      </c>
      <c r="CD303" s="465">
        <v>54</v>
      </c>
      <c r="CE303" s="457">
        <v>17</v>
      </c>
      <c r="CF303" s="464">
        <v>26</v>
      </c>
      <c r="CG303" s="466">
        <v>16</v>
      </c>
      <c r="CH303" s="465">
        <v>31</v>
      </c>
      <c r="CI303" s="457">
        <v>14</v>
      </c>
      <c r="CJ303" s="464">
        <v>43</v>
      </c>
      <c r="CK303" s="466">
        <v>16</v>
      </c>
      <c r="CL303" s="459">
        <v>107</v>
      </c>
      <c r="CM303" s="450">
        <v>80</v>
      </c>
      <c r="CN303" s="468">
        <f t="shared" si="168"/>
        <v>818</v>
      </c>
      <c r="CO303" s="468">
        <f t="shared" si="169"/>
        <v>10</v>
      </c>
      <c r="CP303" s="469">
        <f t="shared" si="170"/>
        <v>842</v>
      </c>
      <c r="CQ303" s="469">
        <f t="shared" si="171"/>
        <v>10</v>
      </c>
      <c r="CR303" s="463">
        <v>13</v>
      </c>
      <c r="CS303" s="457">
        <v>16</v>
      </c>
      <c r="CT303" s="464">
        <v>13</v>
      </c>
      <c r="CU303" s="464">
        <v>13</v>
      </c>
      <c r="CV303" s="465"/>
      <c r="CW303" s="457"/>
      <c r="CX303" s="464"/>
      <c r="CY303" s="466"/>
      <c r="CZ303" s="465"/>
      <c r="DA303" s="457"/>
      <c r="DB303" s="464"/>
      <c r="DC303" s="466"/>
      <c r="DD303" s="465"/>
      <c r="DE303" s="457"/>
      <c r="DF303" s="464"/>
      <c r="DG303" s="466"/>
      <c r="DH303" s="465"/>
      <c r="DI303" s="457"/>
      <c r="DJ303" s="464"/>
      <c r="DK303" s="466"/>
      <c r="DL303" s="465"/>
      <c r="DM303" s="457"/>
      <c r="DN303" s="464"/>
      <c r="DO303" s="466"/>
      <c r="DP303" s="465"/>
      <c r="DQ303" s="457"/>
      <c r="DR303" s="464"/>
      <c r="DS303" s="466"/>
      <c r="DT303" s="465"/>
      <c r="DU303" s="457"/>
      <c r="DV303" s="464"/>
      <c r="DW303" s="466"/>
      <c r="DX303" s="465"/>
      <c r="DY303" s="457"/>
      <c r="DZ303" s="464"/>
      <c r="EA303" s="466"/>
      <c r="EB303" s="465"/>
      <c r="EC303" s="457"/>
      <c r="ED303" s="464"/>
      <c r="EE303" s="466"/>
      <c r="EF303" s="459"/>
      <c r="EG303" s="450"/>
      <c r="EH303" s="460">
        <f t="shared" si="178"/>
        <v>16</v>
      </c>
      <c r="EI303" s="460">
        <f t="shared" si="179"/>
        <v>1</v>
      </c>
      <c r="EJ303" s="458">
        <f t="shared" si="180"/>
        <v>1</v>
      </c>
      <c r="EK303" s="470">
        <f t="shared" si="181"/>
        <v>13</v>
      </c>
      <c r="EL303" s="470">
        <f t="shared" si="182"/>
        <v>1</v>
      </c>
      <c r="EM303" s="449">
        <f t="shared" si="183"/>
        <v>1</v>
      </c>
      <c r="EN303" s="460">
        <f t="shared" si="184"/>
        <v>834</v>
      </c>
      <c r="EO303" s="469">
        <f t="shared" si="185"/>
        <v>855</v>
      </c>
      <c r="EP303" s="471"/>
      <c r="EQ303" s="450"/>
      <c r="ER303" s="471"/>
      <c r="ES303" s="450"/>
      <c r="ET303" s="471"/>
      <c r="EU303" s="450"/>
      <c r="EV303" s="471"/>
      <c r="EW303" s="450"/>
      <c r="EX303" s="471"/>
      <c r="EY303" s="450"/>
      <c r="EZ303" s="471"/>
      <c r="FA303" s="450"/>
      <c r="FB303" s="471"/>
      <c r="FC303" s="450"/>
      <c r="FD303" s="471"/>
      <c r="FE303" s="450"/>
      <c r="FF303" s="471"/>
      <c r="FG303" s="450"/>
      <c r="FH303" s="472"/>
      <c r="FI303" s="450"/>
      <c r="FJ303" s="468">
        <f t="shared" si="176"/>
        <v>0</v>
      </c>
      <c r="FK303" s="469">
        <f t="shared" si="177"/>
        <v>0</v>
      </c>
      <c r="FL303" s="472"/>
      <c r="FM303" s="450"/>
      <c r="FN303" s="460">
        <f t="shared" si="186"/>
        <v>3873</v>
      </c>
      <c r="FO303" s="469">
        <f t="shared" si="187"/>
        <v>4306</v>
      </c>
    </row>
    <row r="304" spans="1:171" x14ac:dyDescent="0.2">
      <c r="A304" s="399" t="s">
        <v>264</v>
      </c>
      <c r="B304" s="400" t="s">
        <v>538</v>
      </c>
      <c r="C304" s="495"/>
      <c r="D304" s="487">
        <v>199102</v>
      </c>
      <c r="E304" s="484">
        <v>3</v>
      </c>
      <c r="F304" s="532"/>
      <c r="G304" s="450"/>
      <c r="H304" s="457"/>
      <c r="I304" s="450"/>
      <c r="J304" s="457"/>
      <c r="K304" s="450"/>
      <c r="L304" s="458">
        <f t="shared" si="166"/>
        <v>0</v>
      </c>
      <c r="M304" s="449">
        <f t="shared" si="167"/>
        <v>0</v>
      </c>
      <c r="N304" s="459">
        <v>1306</v>
      </c>
      <c r="O304" s="459"/>
      <c r="P304" s="459">
        <v>40</v>
      </c>
      <c r="Q304" s="459"/>
      <c r="R304" s="460">
        <f t="shared" si="165"/>
        <v>40</v>
      </c>
      <c r="S304" s="391">
        <v>1278</v>
      </c>
      <c r="T304" s="461"/>
      <c r="U304" s="461">
        <v>61</v>
      </c>
      <c r="V304" s="461"/>
      <c r="W304" s="462">
        <f t="shared" si="142"/>
        <v>61</v>
      </c>
      <c r="X304" s="463"/>
      <c r="Y304" s="457"/>
      <c r="Z304" s="464"/>
      <c r="AA304" s="464"/>
      <c r="AB304" s="465"/>
      <c r="AC304" s="457"/>
      <c r="AD304" s="464"/>
      <c r="AE304" s="466"/>
      <c r="AF304" s="465"/>
      <c r="AG304" s="457"/>
      <c r="AH304" s="464"/>
      <c r="AI304" s="466"/>
      <c r="AJ304" s="465"/>
      <c r="AK304" s="457"/>
      <c r="AL304" s="464"/>
      <c r="AM304" s="466"/>
      <c r="AN304" s="465"/>
      <c r="AO304" s="457"/>
      <c r="AP304" s="464"/>
      <c r="AQ304" s="464"/>
      <c r="AR304" s="460">
        <f t="shared" si="172"/>
        <v>0</v>
      </c>
      <c r="AS304" s="467">
        <f t="shared" si="173"/>
        <v>0.77877161598091826</v>
      </c>
      <c r="AT304" s="447">
        <f t="shared" si="174"/>
        <v>0</v>
      </c>
      <c r="AU304" s="448">
        <f t="shared" si="175"/>
        <v>0.76756756756756761</v>
      </c>
      <c r="AV304" s="457">
        <v>0</v>
      </c>
      <c r="AW304" s="450"/>
      <c r="AX304" s="463">
        <v>13</v>
      </c>
      <c r="AY304" s="457">
        <v>177</v>
      </c>
      <c r="AZ304" s="464">
        <v>13</v>
      </c>
      <c r="BA304" s="464">
        <v>199</v>
      </c>
      <c r="BB304" s="465">
        <v>14</v>
      </c>
      <c r="BC304" s="457">
        <v>53</v>
      </c>
      <c r="BD304" s="464">
        <v>14</v>
      </c>
      <c r="BE304" s="466">
        <v>40</v>
      </c>
      <c r="BF304" s="465">
        <v>15</v>
      </c>
      <c r="BG304" s="457">
        <v>44</v>
      </c>
      <c r="BH304" s="464">
        <v>1</v>
      </c>
      <c r="BI304" s="466">
        <v>26</v>
      </c>
      <c r="BJ304" s="465">
        <v>11</v>
      </c>
      <c r="BK304" s="457">
        <v>19</v>
      </c>
      <c r="BL304" s="464">
        <v>15</v>
      </c>
      <c r="BM304" s="466">
        <v>24</v>
      </c>
      <c r="BN304" s="465">
        <v>1</v>
      </c>
      <c r="BO304" s="457">
        <v>14</v>
      </c>
      <c r="BP304" s="464">
        <v>11</v>
      </c>
      <c r="BQ304" s="466">
        <v>23</v>
      </c>
      <c r="BR304" s="465">
        <v>19</v>
      </c>
      <c r="BS304" s="457">
        <v>10</v>
      </c>
      <c r="BT304" s="723">
        <v>44</v>
      </c>
      <c r="BU304" s="466">
        <v>20</v>
      </c>
      <c r="BV304" s="465">
        <v>26</v>
      </c>
      <c r="BW304" s="457">
        <v>10</v>
      </c>
      <c r="BX304" s="464">
        <v>26</v>
      </c>
      <c r="BY304" s="466">
        <v>8</v>
      </c>
      <c r="BZ304" s="465">
        <v>23</v>
      </c>
      <c r="CA304" s="457">
        <v>9</v>
      </c>
      <c r="CB304" s="464">
        <v>23</v>
      </c>
      <c r="CC304" s="466">
        <v>7</v>
      </c>
      <c r="CD304" s="465">
        <v>40</v>
      </c>
      <c r="CE304" s="457">
        <v>6</v>
      </c>
      <c r="CF304" s="464">
        <v>40</v>
      </c>
      <c r="CG304" s="466">
        <v>4</v>
      </c>
      <c r="CH304" s="465">
        <v>52</v>
      </c>
      <c r="CI304" s="457">
        <v>6</v>
      </c>
      <c r="CJ304" s="464">
        <v>52</v>
      </c>
      <c r="CK304" s="466">
        <v>4</v>
      </c>
      <c r="CL304" s="459">
        <v>3</v>
      </c>
      <c r="CM304" s="450">
        <v>3</v>
      </c>
      <c r="CN304" s="468">
        <f t="shared" si="168"/>
        <v>351</v>
      </c>
      <c r="CO304" s="468">
        <f t="shared" si="169"/>
        <v>10</v>
      </c>
      <c r="CP304" s="469">
        <f t="shared" si="170"/>
        <v>358</v>
      </c>
      <c r="CQ304" s="469">
        <f t="shared" si="171"/>
        <v>10</v>
      </c>
      <c r="CR304" s="463">
        <v>14</v>
      </c>
      <c r="CS304" s="457">
        <v>12</v>
      </c>
      <c r="CT304" s="464">
        <v>14</v>
      </c>
      <c r="CU304" s="464">
        <v>15</v>
      </c>
      <c r="CV304" s="465">
        <v>30</v>
      </c>
      <c r="CW304" s="457">
        <v>6</v>
      </c>
      <c r="CX304" s="464">
        <v>3</v>
      </c>
      <c r="CY304" s="466">
        <v>8</v>
      </c>
      <c r="CZ304" s="465">
        <v>3</v>
      </c>
      <c r="DA304" s="457">
        <v>2</v>
      </c>
      <c r="DB304" s="464">
        <v>30</v>
      </c>
      <c r="DC304" s="466">
        <v>6</v>
      </c>
      <c r="DD304" s="465"/>
      <c r="DE304" s="457"/>
      <c r="DF304" s="464"/>
      <c r="DG304" s="466"/>
      <c r="DH304" s="465"/>
      <c r="DI304" s="457"/>
      <c r="DJ304" s="464"/>
      <c r="DK304" s="466"/>
      <c r="DL304" s="465"/>
      <c r="DM304" s="457"/>
      <c r="DN304" s="464"/>
      <c r="DO304" s="466"/>
      <c r="DP304" s="465"/>
      <c r="DQ304" s="457"/>
      <c r="DR304" s="464"/>
      <c r="DS304" s="466"/>
      <c r="DT304" s="465"/>
      <c r="DU304" s="457"/>
      <c r="DV304" s="464"/>
      <c r="DW304" s="466"/>
      <c r="DX304" s="465"/>
      <c r="DY304" s="457"/>
      <c r="DZ304" s="464"/>
      <c r="EA304" s="466"/>
      <c r="EB304" s="465"/>
      <c r="EC304" s="457"/>
      <c r="ED304" s="464"/>
      <c r="EE304" s="466"/>
      <c r="EF304" s="459"/>
      <c r="EG304" s="450"/>
      <c r="EH304" s="460">
        <f t="shared" si="178"/>
        <v>20</v>
      </c>
      <c r="EI304" s="460">
        <f t="shared" si="179"/>
        <v>3</v>
      </c>
      <c r="EJ304" s="458">
        <f t="shared" si="180"/>
        <v>0.6</v>
      </c>
      <c r="EK304" s="470">
        <f t="shared" si="181"/>
        <v>29</v>
      </c>
      <c r="EL304" s="470">
        <f t="shared" si="182"/>
        <v>3</v>
      </c>
      <c r="EM304" s="449">
        <f t="shared" si="183"/>
        <v>0.51724137931034486</v>
      </c>
      <c r="EN304" s="460">
        <f t="shared" si="184"/>
        <v>371</v>
      </c>
      <c r="EO304" s="469">
        <f t="shared" si="185"/>
        <v>387</v>
      </c>
      <c r="EP304" s="471"/>
      <c r="EQ304" s="450"/>
      <c r="ER304" s="471"/>
      <c r="ES304" s="450"/>
      <c r="ET304" s="471"/>
      <c r="EU304" s="450"/>
      <c r="EV304" s="471"/>
      <c r="EW304" s="450"/>
      <c r="EX304" s="471"/>
      <c r="EY304" s="450"/>
      <c r="EZ304" s="471"/>
      <c r="FA304" s="450"/>
      <c r="FB304" s="471"/>
      <c r="FC304" s="450"/>
      <c r="FD304" s="471"/>
      <c r="FE304" s="450"/>
      <c r="FF304" s="471"/>
      <c r="FG304" s="450"/>
      <c r="FH304" s="472"/>
      <c r="FI304" s="450"/>
      <c r="FJ304" s="468">
        <f t="shared" si="176"/>
        <v>0</v>
      </c>
      <c r="FK304" s="469">
        <f t="shared" si="177"/>
        <v>0</v>
      </c>
      <c r="FL304" s="472"/>
      <c r="FM304" s="450"/>
      <c r="FN304" s="460">
        <f t="shared" si="186"/>
        <v>1677</v>
      </c>
      <c r="FO304" s="469">
        <f t="shared" si="187"/>
        <v>1665</v>
      </c>
    </row>
    <row r="305" spans="1:171" x14ac:dyDescent="0.2">
      <c r="A305" s="399" t="s">
        <v>264</v>
      </c>
      <c r="B305" s="400" t="s">
        <v>539</v>
      </c>
      <c r="C305" s="495"/>
      <c r="D305" s="487">
        <v>199157</v>
      </c>
      <c r="E305" s="484">
        <v>3</v>
      </c>
      <c r="F305" s="532"/>
      <c r="G305" s="450"/>
      <c r="H305" s="457"/>
      <c r="I305" s="450"/>
      <c r="J305" s="457"/>
      <c r="K305" s="450"/>
      <c r="L305" s="458">
        <f t="shared" si="166"/>
        <v>0</v>
      </c>
      <c r="M305" s="449">
        <f t="shared" si="167"/>
        <v>0</v>
      </c>
      <c r="N305" s="459">
        <v>901</v>
      </c>
      <c r="O305" s="459"/>
      <c r="P305" s="459">
        <v>49</v>
      </c>
      <c r="Q305" s="459"/>
      <c r="R305" s="460">
        <f t="shared" si="165"/>
        <v>49</v>
      </c>
      <c r="S305" s="391">
        <v>918</v>
      </c>
      <c r="T305" s="461"/>
      <c r="U305" s="461">
        <v>64</v>
      </c>
      <c r="V305" s="461"/>
      <c r="W305" s="462">
        <f t="shared" si="142"/>
        <v>64</v>
      </c>
      <c r="X305" s="463"/>
      <c r="Y305" s="457"/>
      <c r="Z305" s="464"/>
      <c r="AA305" s="464"/>
      <c r="AB305" s="465"/>
      <c r="AC305" s="457"/>
      <c r="AD305" s="464"/>
      <c r="AE305" s="466"/>
      <c r="AF305" s="465"/>
      <c r="AG305" s="457"/>
      <c r="AH305" s="464"/>
      <c r="AI305" s="466"/>
      <c r="AJ305" s="465"/>
      <c r="AK305" s="457"/>
      <c r="AL305" s="464"/>
      <c r="AM305" s="466"/>
      <c r="AN305" s="465"/>
      <c r="AO305" s="457"/>
      <c r="AP305" s="464"/>
      <c r="AQ305" s="464"/>
      <c r="AR305" s="460">
        <f t="shared" si="172"/>
        <v>0</v>
      </c>
      <c r="AS305" s="467">
        <f t="shared" si="173"/>
        <v>0.57461734693877553</v>
      </c>
      <c r="AT305" s="447">
        <f t="shared" si="174"/>
        <v>0</v>
      </c>
      <c r="AU305" s="448">
        <f t="shared" si="175"/>
        <v>0.60355029585798814</v>
      </c>
      <c r="AV305" s="457">
        <v>0</v>
      </c>
      <c r="AW305" s="450"/>
      <c r="AX305" s="463">
        <v>25</v>
      </c>
      <c r="AY305" s="457">
        <v>127</v>
      </c>
      <c r="AZ305" s="464">
        <v>25</v>
      </c>
      <c r="BA305" s="464">
        <v>89</v>
      </c>
      <c r="BB305" s="465">
        <v>13</v>
      </c>
      <c r="BC305" s="457">
        <v>89</v>
      </c>
      <c r="BD305" s="464">
        <v>13</v>
      </c>
      <c r="BE305" s="466">
        <v>79</v>
      </c>
      <c r="BF305" s="465">
        <v>44</v>
      </c>
      <c r="BG305" s="457">
        <v>76</v>
      </c>
      <c r="BH305" s="464">
        <v>44</v>
      </c>
      <c r="BI305" s="466">
        <v>79</v>
      </c>
      <c r="BJ305" s="465">
        <v>51</v>
      </c>
      <c r="BK305" s="457">
        <v>50</v>
      </c>
      <c r="BL305" s="464">
        <v>51</v>
      </c>
      <c r="BM305" s="466">
        <v>38</v>
      </c>
      <c r="BN305" s="465">
        <v>52</v>
      </c>
      <c r="BO305" s="457">
        <v>31</v>
      </c>
      <c r="BP305" s="464">
        <v>52</v>
      </c>
      <c r="BQ305" s="466">
        <v>27</v>
      </c>
      <c r="BR305" s="465">
        <v>11</v>
      </c>
      <c r="BS305" s="457">
        <v>28</v>
      </c>
      <c r="BT305" s="723">
        <v>11</v>
      </c>
      <c r="BU305" s="466">
        <v>24</v>
      </c>
      <c r="BV305" s="465">
        <v>26</v>
      </c>
      <c r="BW305" s="457">
        <v>20</v>
      </c>
      <c r="BX305" s="464">
        <v>19</v>
      </c>
      <c r="BY305" s="466">
        <v>16</v>
      </c>
      <c r="BZ305" s="465">
        <v>42</v>
      </c>
      <c r="CA305" s="457">
        <v>15</v>
      </c>
      <c r="CB305" s="464">
        <v>43</v>
      </c>
      <c r="CC305" s="466">
        <v>15</v>
      </c>
      <c r="CD305" s="465">
        <v>43</v>
      </c>
      <c r="CE305" s="457">
        <v>13</v>
      </c>
      <c r="CF305" s="464">
        <v>26</v>
      </c>
      <c r="CG305" s="466">
        <v>14</v>
      </c>
      <c r="CH305" s="465">
        <v>19</v>
      </c>
      <c r="CI305" s="457">
        <v>9</v>
      </c>
      <c r="CJ305" s="464">
        <v>42</v>
      </c>
      <c r="CK305" s="466">
        <v>14</v>
      </c>
      <c r="CL305" s="459">
        <v>31</v>
      </c>
      <c r="CM305" s="450">
        <v>43</v>
      </c>
      <c r="CN305" s="468">
        <f t="shared" si="168"/>
        <v>489</v>
      </c>
      <c r="CO305" s="468">
        <f t="shared" si="169"/>
        <v>10</v>
      </c>
      <c r="CP305" s="469">
        <f t="shared" si="170"/>
        <v>438</v>
      </c>
      <c r="CQ305" s="469">
        <f t="shared" si="171"/>
        <v>10</v>
      </c>
      <c r="CR305" s="463"/>
      <c r="CS305" s="457"/>
      <c r="CT305" s="464"/>
      <c r="CU305" s="464"/>
      <c r="CV305" s="465"/>
      <c r="CW305" s="457"/>
      <c r="CX305" s="464"/>
      <c r="CY305" s="466"/>
      <c r="CZ305" s="465"/>
      <c r="DA305" s="457"/>
      <c r="DB305" s="464"/>
      <c r="DC305" s="466"/>
      <c r="DD305" s="465"/>
      <c r="DE305" s="457"/>
      <c r="DF305" s="464"/>
      <c r="DG305" s="466"/>
      <c r="DH305" s="465"/>
      <c r="DI305" s="457"/>
      <c r="DJ305" s="464"/>
      <c r="DK305" s="466"/>
      <c r="DL305" s="465"/>
      <c r="DM305" s="457"/>
      <c r="DN305" s="464"/>
      <c r="DO305" s="466"/>
      <c r="DP305" s="465"/>
      <c r="DQ305" s="457"/>
      <c r="DR305" s="464"/>
      <c r="DS305" s="466"/>
      <c r="DT305" s="465"/>
      <c r="DU305" s="457"/>
      <c r="DV305" s="464"/>
      <c r="DW305" s="466"/>
      <c r="DX305" s="465"/>
      <c r="DY305" s="457"/>
      <c r="DZ305" s="464"/>
      <c r="EA305" s="466"/>
      <c r="EB305" s="465"/>
      <c r="EC305" s="457"/>
      <c r="ED305" s="464"/>
      <c r="EE305" s="466"/>
      <c r="EF305" s="459"/>
      <c r="EG305" s="450"/>
      <c r="EH305" s="460">
        <f t="shared" si="178"/>
        <v>0</v>
      </c>
      <c r="EI305" s="460">
        <f t="shared" si="179"/>
        <v>0</v>
      </c>
      <c r="EJ305" s="458">
        <f t="shared" si="180"/>
        <v>0</v>
      </c>
      <c r="EK305" s="470">
        <f t="shared" si="181"/>
        <v>0</v>
      </c>
      <c r="EL305" s="470">
        <f t="shared" si="182"/>
        <v>0</v>
      </c>
      <c r="EM305" s="449">
        <f t="shared" si="183"/>
        <v>0</v>
      </c>
      <c r="EN305" s="460">
        <f t="shared" si="184"/>
        <v>489</v>
      </c>
      <c r="EO305" s="469">
        <f t="shared" si="185"/>
        <v>438</v>
      </c>
      <c r="EP305" s="471">
        <v>178</v>
      </c>
      <c r="EQ305" s="450">
        <v>165</v>
      </c>
      <c r="ER305" s="471"/>
      <c r="ES305" s="450"/>
      <c r="ET305" s="471"/>
      <c r="EU305" s="450"/>
      <c r="EV305" s="471"/>
      <c r="EW305" s="450"/>
      <c r="EX305" s="471"/>
      <c r="EY305" s="450"/>
      <c r="EZ305" s="471"/>
      <c r="FA305" s="450"/>
      <c r="FB305" s="471"/>
      <c r="FC305" s="450"/>
      <c r="FD305" s="471"/>
      <c r="FE305" s="450"/>
      <c r="FF305" s="471"/>
      <c r="FG305" s="450"/>
      <c r="FH305" s="472"/>
      <c r="FI305" s="450"/>
      <c r="FJ305" s="468">
        <f t="shared" si="176"/>
        <v>178</v>
      </c>
      <c r="FK305" s="469">
        <f t="shared" si="177"/>
        <v>165</v>
      </c>
      <c r="FL305" s="472"/>
      <c r="FM305" s="450"/>
      <c r="FN305" s="460">
        <f t="shared" si="186"/>
        <v>1568</v>
      </c>
      <c r="FO305" s="469">
        <f t="shared" si="187"/>
        <v>1521</v>
      </c>
    </row>
    <row r="306" spans="1:171" x14ac:dyDescent="0.2">
      <c r="A306" s="399" t="s">
        <v>264</v>
      </c>
      <c r="B306" s="400" t="s">
        <v>540</v>
      </c>
      <c r="C306" s="495"/>
      <c r="D306" s="487">
        <v>199218</v>
      </c>
      <c r="E306" s="484">
        <v>3</v>
      </c>
      <c r="F306" s="532"/>
      <c r="G306" s="450"/>
      <c r="H306" s="457"/>
      <c r="I306" s="450"/>
      <c r="J306" s="457"/>
      <c r="K306" s="450"/>
      <c r="L306" s="458">
        <f t="shared" si="166"/>
        <v>0</v>
      </c>
      <c r="M306" s="449">
        <f t="shared" si="167"/>
        <v>0</v>
      </c>
      <c r="N306" s="459">
        <v>2639</v>
      </c>
      <c r="O306" s="459"/>
      <c r="P306" s="459">
        <v>285</v>
      </c>
      <c r="Q306" s="459"/>
      <c r="R306" s="460">
        <f t="shared" si="165"/>
        <v>285</v>
      </c>
      <c r="S306" s="391">
        <v>2715</v>
      </c>
      <c r="T306" s="461"/>
      <c r="U306" s="461">
        <v>298</v>
      </c>
      <c r="V306" s="461"/>
      <c r="W306" s="462">
        <f t="shared" si="142"/>
        <v>298</v>
      </c>
      <c r="X306" s="463"/>
      <c r="Y306" s="457"/>
      <c r="Z306" s="464"/>
      <c r="AA306" s="464"/>
      <c r="AB306" s="465"/>
      <c r="AC306" s="457"/>
      <c r="AD306" s="464"/>
      <c r="AE306" s="466"/>
      <c r="AF306" s="465"/>
      <c r="AG306" s="457"/>
      <c r="AH306" s="464"/>
      <c r="AI306" s="466"/>
      <c r="AJ306" s="465"/>
      <c r="AK306" s="457"/>
      <c r="AL306" s="464"/>
      <c r="AM306" s="466"/>
      <c r="AN306" s="465"/>
      <c r="AO306" s="457"/>
      <c r="AP306" s="464"/>
      <c r="AQ306" s="464"/>
      <c r="AR306" s="460">
        <f t="shared" si="172"/>
        <v>0</v>
      </c>
      <c r="AS306" s="467">
        <f t="shared" si="173"/>
        <v>0.84098151688973866</v>
      </c>
      <c r="AT306" s="447">
        <f t="shared" si="174"/>
        <v>0</v>
      </c>
      <c r="AU306" s="448">
        <f t="shared" si="175"/>
        <v>0.84843749999999996</v>
      </c>
      <c r="AV306" s="457">
        <v>4</v>
      </c>
      <c r="AW306" s="450">
        <v>10</v>
      </c>
      <c r="AX306" s="463">
        <v>52</v>
      </c>
      <c r="AY306" s="457">
        <v>129</v>
      </c>
      <c r="AZ306" s="464">
        <v>52</v>
      </c>
      <c r="BA306" s="464">
        <v>115</v>
      </c>
      <c r="BB306" s="465">
        <v>13</v>
      </c>
      <c r="BC306" s="457">
        <v>89</v>
      </c>
      <c r="BD306" s="464">
        <v>13</v>
      </c>
      <c r="BE306" s="466">
        <v>80</v>
      </c>
      <c r="BF306" s="465">
        <v>44</v>
      </c>
      <c r="BG306" s="457">
        <v>52</v>
      </c>
      <c r="BH306" s="464">
        <v>44</v>
      </c>
      <c r="BI306" s="466">
        <v>50</v>
      </c>
      <c r="BJ306" s="465">
        <v>23</v>
      </c>
      <c r="BK306" s="457">
        <v>33</v>
      </c>
      <c r="BL306" s="464">
        <v>23</v>
      </c>
      <c r="BM306" s="466">
        <v>38</v>
      </c>
      <c r="BN306" s="465">
        <v>40</v>
      </c>
      <c r="BO306" s="457">
        <v>28</v>
      </c>
      <c r="BP306" s="464">
        <v>40</v>
      </c>
      <c r="BQ306" s="466">
        <v>31</v>
      </c>
      <c r="BR306" s="465">
        <v>42</v>
      </c>
      <c r="BS306" s="457">
        <v>25</v>
      </c>
      <c r="BT306" s="723">
        <v>54</v>
      </c>
      <c r="BU306" s="466">
        <v>21</v>
      </c>
      <c r="BV306" s="465">
        <v>3</v>
      </c>
      <c r="BW306" s="457">
        <v>23</v>
      </c>
      <c r="BX306" s="464">
        <v>11</v>
      </c>
      <c r="BY306" s="466">
        <v>20</v>
      </c>
      <c r="BZ306" s="465">
        <v>51</v>
      </c>
      <c r="CA306" s="457">
        <v>23</v>
      </c>
      <c r="CB306" s="464">
        <v>24</v>
      </c>
      <c r="CC306" s="466">
        <v>19</v>
      </c>
      <c r="CD306" s="465">
        <v>24</v>
      </c>
      <c r="CE306" s="457">
        <v>22</v>
      </c>
      <c r="CF306" s="464">
        <v>42</v>
      </c>
      <c r="CG306" s="466">
        <v>18</v>
      </c>
      <c r="CH306" s="465">
        <v>26</v>
      </c>
      <c r="CI306" s="457">
        <v>17</v>
      </c>
      <c r="CJ306" s="464">
        <v>51</v>
      </c>
      <c r="CK306" s="466">
        <v>18</v>
      </c>
      <c r="CL306" s="459">
        <v>39</v>
      </c>
      <c r="CM306" s="450">
        <v>50</v>
      </c>
      <c r="CN306" s="468">
        <f t="shared" si="168"/>
        <v>480</v>
      </c>
      <c r="CO306" s="468">
        <f t="shared" si="169"/>
        <v>10</v>
      </c>
      <c r="CP306" s="469">
        <f t="shared" si="170"/>
        <v>460</v>
      </c>
      <c r="CQ306" s="469">
        <f t="shared" si="171"/>
        <v>10</v>
      </c>
      <c r="CR306" s="463">
        <v>13</v>
      </c>
      <c r="CS306" s="457">
        <v>13</v>
      </c>
      <c r="CT306" s="464">
        <v>13</v>
      </c>
      <c r="CU306" s="464">
        <v>12</v>
      </c>
      <c r="CV306" s="465">
        <v>26</v>
      </c>
      <c r="CW306" s="457">
        <v>2</v>
      </c>
      <c r="CX306" s="464">
        <v>26</v>
      </c>
      <c r="CY306" s="466">
        <v>3</v>
      </c>
      <c r="CZ306" s="465"/>
      <c r="DA306" s="457"/>
      <c r="DB306" s="464"/>
      <c r="DC306" s="466"/>
      <c r="DD306" s="465"/>
      <c r="DE306" s="457"/>
      <c r="DF306" s="464"/>
      <c r="DG306" s="466"/>
      <c r="DH306" s="465"/>
      <c r="DI306" s="457"/>
      <c r="DJ306" s="464"/>
      <c r="DK306" s="466"/>
      <c r="DL306" s="465"/>
      <c r="DM306" s="457"/>
      <c r="DN306" s="464"/>
      <c r="DO306" s="466"/>
      <c r="DP306" s="465"/>
      <c r="DQ306" s="457"/>
      <c r="DR306" s="464"/>
      <c r="DS306" s="466"/>
      <c r="DT306" s="465"/>
      <c r="DU306" s="457"/>
      <c r="DV306" s="464"/>
      <c r="DW306" s="466"/>
      <c r="DX306" s="465"/>
      <c r="DY306" s="457"/>
      <c r="DZ306" s="464"/>
      <c r="EA306" s="466"/>
      <c r="EB306" s="465"/>
      <c r="EC306" s="457"/>
      <c r="ED306" s="464"/>
      <c r="EE306" s="466"/>
      <c r="EF306" s="459"/>
      <c r="EG306" s="450"/>
      <c r="EH306" s="460">
        <f t="shared" si="178"/>
        <v>15</v>
      </c>
      <c r="EI306" s="460">
        <f t="shared" si="179"/>
        <v>2</v>
      </c>
      <c r="EJ306" s="458">
        <f t="shared" si="180"/>
        <v>0.8666666666666667</v>
      </c>
      <c r="EK306" s="470">
        <f t="shared" si="181"/>
        <v>15</v>
      </c>
      <c r="EL306" s="470">
        <f t="shared" si="182"/>
        <v>2</v>
      </c>
      <c r="EM306" s="449">
        <f t="shared" si="183"/>
        <v>0.8</v>
      </c>
      <c r="EN306" s="460">
        <f t="shared" si="184"/>
        <v>495</v>
      </c>
      <c r="EO306" s="469">
        <f t="shared" si="185"/>
        <v>475</v>
      </c>
      <c r="EP306" s="471"/>
      <c r="EQ306" s="450"/>
      <c r="ER306" s="471"/>
      <c r="ES306" s="450"/>
      <c r="ET306" s="471"/>
      <c r="EU306" s="450"/>
      <c r="EV306" s="471"/>
      <c r="EW306" s="450"/>
      <c r="EX306" s="471"/>
      <c r="EY306" s="450"/>
      <c r="EZ306" s="471"/>
      <c r="FA306" s="450"/>
      <c r="FB306" s="471"/>
      <c r="FC306" s="450"/>
      <c r="FD306" s="471"/>
      <c r="FE306" s="450"/>
      <c r="FF306" s="471"/>
      <c r="FG306" s="450"/>
      <c r="FH306" s="472"/>
      <c r="FI306" s="450"/>
      <c r="FJ306" s="468">
        <f t="shared" si="176"/>
        <v>0</v>
      </c>
      <c r="FK306" s="469">
        <f t="shared" si="177"/>
        <v>0</v>
      </c>
      <c r="FL306" s="472"/>
      <c r="FM306" s="450"/>
      <c r="FN306" s="460">
        <f t="shared" si="186"/>
        <v>3138</v>
      </c>
      <c r="FO306" s="469">
        <f t="shared" si="187"/>
        <v>3200</v>
      </c>
    </row>
    <row r="307" spans="1:171" x14ac:dyDescent="0.2">
      <c r="A307" s="399" t="s">
        <v>264</v>
      </c>
      <c r="B307" s="400" t="s">
        <v>541</v>
      </c>
      <c r="C307" s="495"/>
      <c r="D307" s="487">
        <v>200004</v>
      </c>
      <c r="E307" s="484">
        <v>3</v>
      </c>
      <c r="F307" s="532"/>
      <c r="G307" s="450"/>
      <c r="H307" s="457"/>
      <c r="I307" s="450"/>
      <c r="J307" s="457"/>
      <c r="K307" s="450"/>
      <c r="L307" s="458">
        <f t="shared" si="166"/>
        <v>0</v>
      </c>
      <c r="M307" s="449">
        <f t="shared" si="167"/>
        <v>0</v>
      </c>
      <c r="N307" s="459">
        <v>1654</v>
      </c>
      <c r="O307" s="459"/>
      <c r="P307" s="459">
        <v>188</v>
      </c>
      <c r="Q307" s="459"/>
      <c r="R307" s="460">
        <f t="shared" si="165"/>
        <v>188</v>
      </c>
      <c r="S307" s="391">
        <v>1783</v>
      </c>
      <c r="T307" s="461"/>
      <c r="U307" s="461">
        <v>240</v>
      </c>
      <c r="V307" s="461"/>
      <c r="W307" s="462">
        <f t="shared" si="142"/>
        <v>240</v>
      </c>
      <c r="X307" s="463"/>
      <c r="Y307" s="457"/>
      <c r="Z307" s="464"/>
      <c r="AA307" s="464"/>
      <c r="AB307" s="465"/>
      <c r="AC307" s="457"/>
      <c r="AD307" s="464"/>
      <c r="AE307" s="466"/>
      <c r="AF307" s="465"/>
      <c r="AG307" s="457"/>
      <c r="AH307" s="464"/>
      <c r="AI307" s="466"/>
      <c r="AJ307" s="465"/>
      <c r="AK307" s="457"/>
      <c r="AL307" s="464"/>
      <c r="AM307" s="466"/>
      <c r="AN307" s="465"/>
      <c r="AO307" s="457"/>
      <c r="AP307" s="464"/>
      <c r="AQ307" s="464"/>
      <c r="AR307" s="460">
        <f t="shared" si="172"/>
        <v>0</v>
      </c>
      <c r="AS307" s="467">
        <f t="shared" si="173"/>
        <v>0.70563139931740615</v>
      </c>
      <c r="AT307" s="447">
        <f t="shared" si="174"/>
        <v>0</v>
      </c>
      <c r="AU307" s="448">
        <f t="shared" si="175"/>
        <v>0.74884502309953804</v>
      </c>
      <c r="AV307" s="457">
        <v>0</v>
      </c>
      <c r="AW307" s="450"/>
      <c r="AX307" s="463">
        <v>13</v>
      </c>
      <c r="AY307" s="457">
        <v>263</v>
      </c>
      <c r="AZ307" s="464">
        <v>13</v>
      </c>
      <c r="BA307" s="464">
        <v>201</v>
      </c>
      <c r="BB307" s="465">
        <v>52</v>
      </c>
      <c r="BC307" s="457">
        <v>173</v>
      </c>
      <c r="BD307" s="464">
        <v>52</v>
      </c>
      <c r="BE307" s="466">
        <v>146</v>
      </c>
      <c r="BF307" s="465">
        <v>51</v>
      </c>
      <c r="BG307" s="457">
        <v>117</v>
      </c>
      <c r="BH307" s="464">
        <v>51</v>
      </c>
      <c r="BI307" s="466">
        <v>102</v>
      </c>
      <c r="BJ307" s="465">
        <v>44</v>
      </c>
      <c r="BK307" s="457">
        <v>40</v>
      </c>
      <c r="BL307" s="464">
        <v>44</v>
      </c>
      <c r="BM307" s="466">
        <v>41</v>
      </c>
      <c r="BN307" s="465">
        <v>15</v>
      </c>
      <c r="BO307" s="457">
        <v>22</v>
      </c>
      <c r="BP307" s="464">
        <v>15</v>
      </c>
      <c r="BQ307" s="466">
        <v>32</v>
      </c>
      <c r="BR307" s="465">
        <v>23</v>
      </c>
      <c r="BS307" s="457">
        <v>13</v>
      </c>
      <c r="BT307" s="723">
        <v>23</v>
      </c>
      <c r="BU307" s="466">
        <v>16</v>
      </c>
      <c r="BV307" s="465">
        <v>42</v>
      </c>
      <c r="BW307" s="457">
        <v>9</v>
      </c>
      <c r="BX307" s="464">
        <v>42</v>
      </c>
      <c r="BY307" s="466">
        <v>15</v>
      </c>
      <c r="BZ307" s="465">
        <v>54</v>
      </c>
      <c r="CA307" s="457">
        <v>9</v>
      </c>
      <c r="CB307" s="464">
        <v>26</v>
      </c>
      <c r="CC307" s="466">
        <v>11</v>
      </c>
      <c r="CD307" s="465">
        <v>26</v>
      </c>
      <c r="CE307" s="457">
        <v>8</v>
      </c>
      <c r="CF307" s="464">
        <v>50</v>
      </c>
      <c r="CG307" s="466">
        <v>9</v>
      </c>
      <c r="CH307" s="465">
        <v>50</v>
      </c>
      <c r="CI307" s="457">
        <v>8</v>
      </c>
      <c r="CJ307" s="464">
        <v>54</v>
      </c>
      <c r="CK307" s="466">
        <v>9</v>
      </c>
      <c r="CL307" s="459">
        <v>14</v>
      </c>
      <c r="CM307" s="450">
        <v>11</v>
      </c>
      <c r="CN307" s="468">
        <f t="shared" si="168"/>
        <v>676</v>
      </c>
      <c r="CO307" s="468">
        <f t="shared" si="169"/>
        <v>10</v>
      </c>
      <c r="CP307" s="469">
        <f t="shared" si="170"/>
        <v>593</v>
      </c>
      <c r="CQ307" s="469">
        <f t="shared" si="171"/>
        <v>10</v>
      </c>
      <c r="CR307" s="463">
        <v>13</v>
      </c>
      <c r="CS307" s="457">
        <v>14</v>
      </c>
      <c r="CT307" s="464">
        <v>13</v>
      </c>
      <c r="CU307" s="464">
        <v>5</v>
      </c>
      <c r="CV307" s="465"/>
      <c r="CW307" s="457"/>
      <c r="CX307" s="464"/>
      <c r="CY307" s="466"/>
      <c r="CZ307" s="465"/>
      <c r="DA307" s="457"/>
      <c r="DB307" s="464"/>
      <c r="DC307" s="466"/>
      <c r="DD307" s="465"/>
      <c r="DE307" s="457"/>
      <c r="DF307" s="464"/>
      <c r="DG307" s="466"/>
      <c r="DH307" s="465"/>
      <c r="DI307" s="457"/>
      <c r="DJ307" s="464"/>
      <c r="DK307" s="466"/>
      <c r="DL307" s="465"/>
      <c r="DM307" s="457"/>
      <c r="DN307" s="464"/>
      <c r="DO307" s="466"/>
      <c r="DP307" s="465"/>
      <c r="DQ307" s="457"/>
      <c r="DR307" s="464"/>
      <c r="DS307" s="466"/>
      <c r="DT307" s="465"/>
      <c r="DU307" s="457"/>
      <c r="DV307" s="464"/>
      <c r="DW307" s="466"/>
      <c r="DX307" s="465"/>
      <c r="DY307" s="457"/>
      <c r="DZ307" s="464"/>
      <c r="EA307" s="466"/>
      <c r="EB307" s="465"/>
      <c r="EC307" s="457"/>
      <c r="ED307" s="464"/>
      <c r="EE307" s="466"/>
      <c r="EF307" s="459"/>
      <c r="EG307" s="450"/>
      <c r="EH307" s="460">
        <f t="shared" si="178"/>
        <v>14</v>
      </c>
      <c r="EI307" s="460">
        <f t="shared" si="179"/>
        <v>1</v>
      </c>
      <c r="EJ307" s="458">
        <f t="shared" si="180"/>
        <v>1</v>
      </c>
      <c r="EK307" s="470">
        <f t="shared" si="181"/>
        <v>5</v>
      </c>
      <c r="EL307" s="470">
        <f t="shared" si="182"/>
        <v>1</v>
      </c>
      <c r="EM307" s="449">
        <f t="shared" si="183"/>
        <v>1</v>
      </c>
      <c r="EN307" s="460">
        <f t="shared" si="184"/>
        <v>690</v>
      </c>
      <c r="EO307" s="469">
        <f t="shared" si="185"/>
        <v>598</v>
      </c>
      <c r="EP307" s="471"/>
      <c r="EQ307" s="450"/>
      <c r="ER307" s="471"/>
      <c r="ES307" s="450"/>
      <c r="ET307" s="471"/>
      <c r="EU307" s="450"/>
      <c r="EV307" s="471"/>
      <c r="EW307" s="450"/>
      <c r="EX307" s="471"/>
      <c r="EY307" s="450"/>
      <c r="EZ307" s="471"/>
      <c r="FA307" s="450"/>
      <c r="FB307" s="471"/>
      <c r="FC307" s="450"/>
      <c r="FD307" s="471"/>
      <c r="FE307" s="450"/>
      <c r="FF307" s="471"/>
      <c r="FG307" s="450"/>
      <c r="FH307" s="472"/>
      <c r="FI307" s="450"/>
      <c r="FJ307" s="468">
        <f t="shared" si="176"/>
        <v>0</v>
      </c>
      <c r="FK307" s="469">
        <f t="shared" si="177"/>
        <v>0</v>
      </c>
      <c r="FL307" s="472"/>
      <c r="FM307" s="450"/>
      <c r="FN307" s="460">
        <f t="shared" si="186"/>
        <v>2344</v>
      </c>
      <c r="FO307" s="469">
        <f t="shared" si="187"/>
        <v>2381</v>
      </c>
    </row>
    <row r="308" spans="1:171" x14ac:dyDescent="0.2">
      <c r="A308" s="399" t="s">
        <v>264</v>
      </c>
      <c r="B308" s="400" t="s">
        <v>542</v>
      </c>
      <c r="C308" s="495"/>
      <c r="D308" s="487">
        <v>198543</v>
      </c>
      <c r="E308" s="484">
        <v>4</v>
      </c>
      <c r="F308" s="532"/>
      <c r="G308" s="450"/>
      <c r="H308" s="457"/>
      <c r="I308" s="450"/>
      <c r="J308" s="457"/>
      <c r="K308" s="450"/>
      <c r="L308" s="458">
        <f t="shared" si="166"/>
        <v>0</v>
      </c>
      <c r="M308" s="449">
        <f t="shared" si="167"/>
        <v>0</v>
      </c>
      <c r="N308" s="459">
        <v>902</v>
      </c>
      <c r="O308" s="459"/>
      <c r="P308" s="459">
        <v>99</v>
      </c>
      <c r="Q308" s="459"/>
      <c r="R308" s="460">
        <f t="shared" si="165"/>
        <v>99</v>
      </c>
      <c r="S308" s="391">
        <v>991</v>
      </c>
      <c r="T308" s="461"/>
      <c r="U308" s="461">
        <v>82</v>
      </c>
      <c r="V308" s="461"/>
      <c r="W308" s="462">
        <f t="shared" si="142"/>
        <v>82</v>
      </c>
      <c r="X308" s="463"/>
      <c r="Y308" s="457"/>
      <c r="Z308" s="464"/>
      <c r="AA308" s="464"/>
      <c r="AB308" s="465"/>
      <c r="AC308" s="457"/>
      <c r="AD308" s="464"/>
      <c r="AE308" s="466"/>
      <c r="AF308" s="465"/>
      <c r="AG308" s="457"/>
      <c r="AH308" s="464"/>
      <c r="AI308" s="466"/>
      <c r="AJ308" s="465"/>
      <c r="AK308" s="457"/>
      <c r="AL308" s="464"/>
      <c r="AM308" s="466"/>
      <c r="AN308" s="465"/>
      <c r="AO308" s="457"/>
      <c r="AP308" s="464"/>
      <c r="AQ308" s="464"/>
      <c r="AR308" s="460">
        <f t="shared" si="172"/>
        <v>0</v>
      </c>
      <c r="AS308" s="467">
        <f t="shared" si="173"/>
        <v>0.88</v>
      </c>
      <c r="AT308" s="447">
        <f t="shared" si="174"/>
        <v>0</v>
      </c>
      <c r="AU308" s="448">
        <f t="shared" si="175"/>
        <v>0.86099044309296269</v>
      </c>
      <c r="AV308" s="457">
        <v>0</v>
      </c>
      <c r="AW308" s="450"/>
      <c r="AX308" s="463">
        <v>13</v>
      </c>
      <c r="AY308" s="457">
        <v>53</v>
      </c>
      <c r="AZ308" s="464">
        <v>44</v>
      </c>
      <c r="BA308" s="464">
        <v>60</v>
      </c>
      <c r="BB308" s="465">
        <v>44</v>
      </c>
      <c r="BC308" s="457">
        <v>25</v>
      </c>
      <c r="BD308" s="464">
        <v>13</v>
      </c>
      <c r="BE308" s="466">
        <v>48</v>
      </c>
      <c r="BF308" s="465">
        <v>52</v>
      </c>
      <c r="BG308" s="457">
        <v>15</v>
      </c>
      <c r="BH308" s="464">
        <v>52</v>
      </c>
      <c r="BI308" s="466">
        <v>19</v>
      </c>
      <c r="BJ308" s="465">
        <v>42</v>
      </c>
      <c r="BK308" s="457">
        <v>10</v>
      </c>
      <c r="BL308" s="464">
        <v>42</v>
      </c>
      <c r="BM308" s="466">
        <v>10</v>
      </c>
      <c r="BN308" s="465">
        <v>43</v>
      </c>
      <c r="BO308" s="457">
        <v>6</v>
      </c>
      <c r="BP308" s="464">
        <v>43</v>
      </c>
      <c r="BQ308" s="466">
        <v>10</v>
      </c>
      <c r="BR308" s="465">
        <v>45</v>
      </c>
      <c r="BS308" s="457">
        <v>6</v>
      </c>
      <c r="BT308" s="723">
        <v>45</v>
      </c>
      <c r="BU308" s="466">
        <v>8</v>
      </c>
      <c r="BV308" s="465">
        <v>23</v>
      </c>
      <c r="BW308" s="457">
        <v>1</v>
      </c>
      <c r="BX308" s="464">
        <v>26</v>
      </c>
      <c r="BY308" s="466">
        <v>2</v>
      </c>
      <c r="BZ308" s="465">
        <v>26</v>
      </c>
      <c r="CA308" s="457">
        <v>1</v>
      </c>
      <c r="CB308" s="464">
        <v>27</v>
      </c>
      <c r="CC308" s="466">
        <v>2</v>
      </c>
      <c r="CD308" s="465"/>
      <c r="CE308" s="457"/>
      <c r="CF308" s="464"/>
      <c r="CG308" s="466"/>
      <c r="CH308" s="465"/>
      <c r="CI308" s="457"/>
      <c r="CJ308" s="464"/>
      <c r="CK308" s="466"/>
      <c r="CL308" s="459"/>
      <c r="CM308" s="450"/>
      <c r="CN308" s="468">
        <f t="shared" si="168"/>
        <v>117</v>
      </c>
      <c r="CO308" s="468">
        <f t="shared" si="169"/>
        <v>8</v>
      </c>
      <c r="CP308" s="469">
        <f t="shared" si="170"/>
        <v>159</v>
      </c>
      <c r="CQ308" s="469">
        <f t="shared" si="171"/>
        <v>8</v>
      </c>
      <c r="CR308" s="463">
        <v>13</v>
      </c>
      <c r="CS308" s="457">
        <v>6</v>
      </c>
      <c r="CT308" s="464">
        <v>13</v>
      </c>
      <c r="CU308" s="464">
        <v>1</v>
      </c>
      <c r="CV308" s="465"/>
      <c r="CW308" s="457"/>
      <c r="CX308" s="464"/>
      <c r="CY308" s="466"/>
      <c r="CZ308" s="465"/>
      <c r="DA308" s="457"/>
      <c r="DB308" s="464"/>
      <c r="DC308" s="466"/>
      <c r="DD308" s="465"/>
      <c r="DE308" s="457"/>
      <c r="DF308" s="464"/>
      <c r="DG308" s="466"/>
      <c r="DH308" s="465"/>
      <c r="DI308" s="457"/>
      <c r="DJ308" s="464"/>
      <c r="DK308" s="466"/>
      <c r="DL308" s="465"/>
      <c r="DM308" s="457"/>
      <c r="DN308" s="464"/>
      <c r="DO308" s="466"/>
      <c r="DP308" s="465"/>
      <c r="DQ308" s="457"/>
      <c r="DR308" s="464"/>
      <c r="DS308" s="466"/>
      <c r="DT308" s="465"/>
      <c r="DU308" s="457"/>
      <c r="DV308" s="464"/>
      <c r="DW308" s="466"/>
      <c r="DX308" s="465"/>
      <c r="DY308" s="457"/>
      <c r="DZ308" s="464"/>
      <c r="EA308" s="466"/>
      <c r="EB308" s="465"/>
      <c r="EC308" s="457"/>
      <c r="ED308" s="464"/>
      <c r="EE308" s="466"/>
      <c r="EF308" s="459"/>
      <c r="EG308" s="450"/>
      <c r="EH308" s="460">
        <f t="shared" si="178"/>
        <v>6</v>
      </c>
      <c r="EI308" s="460">
        <f t="shared" si="179"/>
        <v>1</v>
      </c>
      <c r="EJ308" s="458">
        <f t="shared" si="180"/>
        <v>1</v>
      </c>
      <c r="EK308" s="470">
        <f t="shared" si="181"/>
        <v>1</v>
      </c>
      <c r="EL308" s="470">
        <f t="shared" si="182"/>
        <v>1</v>
      </c>
      <c r="EM308" s="449">
        <f t="shared" si="183"/>
        <v>1</v>
      </c>
      <c r="EN308" s="460">
        <f t="shared" si="184"/>
        <v>123</v>
      </c>
      <c r="EO308" s="469">
        <f t="shared" si="185"/>
        <v>160</v>
      </c>
      <c r="EP308" s="471"/>
      <c r="EQ308" s="450"/>
      <c r="ER308" s="471"/>
      <c r="ES308" s="450"/>
      <c r="ET308" s="471"/>
      <c r="EU308" s="450"/>
      <c r="EV308" s="471"/>
      <c r="EW308" s="450"/>
      <c r="EX308" s="471"/>
      <c r="EY308" s="450"/>
      <c r="EZ308" s="471"/>
      <c r="FA308" s="450"/>
      <c r="FB308" s="471"/>
      <c r="FC308" s="450"/>
      <c r="FD308" s="471"/>
      <c r="FE308" s="450"/>
      <c r="FF308" s="471"/>
      <c r="FG308" s="450"/>
      <c r="FH308" s="472"/>
      <c r="FI308" s="450"/>
      <c r="FJ308" s="468">
        <f t="shared" si="176"/>
        <v>0</v>
      </c>
      <c r="FK308" s="469">
        <f t="shared" si="177"/>
        <v>0</v>
      </c>
      <c r="FL308" s="472"/>
      <c r="FM308" s="450"/>
      <c r="FN308" s="460">
        <f t="shared" si="186"/>
        <v>1025</v>
      </c>
      <c r="FO308" s="469">
        <f t="shared" si="187"/>
        <v>1151</v>
      </c>
    </row>
    <row r="309" spans="1:171" x14ac:dyDescent="0.2">
      <c r="A309" s="399" t="s">
        <v>264</v>
      </c>
      <c r="B309" s="400" t="s">
        <v>543</v>
      </c>
      <c r="C309" s="495"/>
      <c r="D309" s="487">
        <v>199281</v>
      </c>
      <c r="E309" s="484">
        <v>5</v>
      </c>
      <c r="F309" s="532"/>
      <c r="G309" s="450"/>
      <c r="H309" s="457"/>
      <c r="I309" s="450"/>
      <c r="J309" s="457"/>
      <c r="K309" s="450"/>
      <c r="L309" s="458">
        <f t="shared" si="166"/>
        <v>0</v>
      </c>
      <c r="M309" s="449">
        <f t="shared" si="167"/>
        <v>0</v>
      </c>
      <c r="N309" s="459">
        <v>824</v>
      </c>
      <c r="O309" s="459"/>
      <c r="P309" s="459">
        <v>100</v>
      </c>
      <c r="Q309" s="459"/>
      <c r="R309" s="460">
        <f t="shared" si="165"/>
        <v>100</v>
      </c>
      <c r="S309" s="391">
        <v>905</v>
      </c>
      <c r="T309" s="461"/>
      <c r="U309" s="461">
        <v>128</v>
      </c>
      <c r="V309" s="461"/>
      <c r="W309" s="462">
        <f t="shared" si="142"/>
        <v>128</v>
      </c>
      <c r="X309" s="463"/>
      <c r="Y309" s="457"/>
      <c r="Z309" s="464"/>
      <c r="AA309" s="464"/>
      <c r="AB309" s="465"/>
      <c r="AC309" s="457"/>
      <c r="AD309" s="464"/>
      <c r="AE309" s="466"/>
      <c r="AF309" s="465"/>
      <c r="AG309" s="457"/>
      <c r="AH309" s="464"/>
      <c r="AI309" s="466"/>
      <c r="AJ309" s="465"/>
      <c r="AK309" s="457"/>
      <c r="AL309" s="464"/>
      <c r="AM309" s="466"/>
      <c r="AN309" s="465"/>
      <c r="AO309" s="457"/>
      <c r="AP309" s="464"/>
      <c r="AQ309" s="464"/>
      <c r="AR309" s="460">
        <f t="shared" si="172"/>
        <v>0</v>
      </c>
      <c r="AS309" s="467">
        <f t="shared" si="173"/>
        <v>0.7636700648748842</v>
      </c>
      <c r="AT309" s="447">
        <f t="shared" si="174"/>
        <v>0</v>
      </c>
      <c r="AU309" s="448">
        <f t="shared" si="175"/>
        <v>0.80875781948168002</v>
      </c>
      <c r="AV309" s="457">
        <v>0</v>
      </c>
      <c r="AW309" s="450"/>
      <c r="AX309" s="463">
        <v>13</v>
      </c>
      <c r="AY309" s="457">
        <v>184</v>
      </c>
      <c r="AZ309" s="464">
        <v>13</v>
      </c>
      <c r="BA309" s="464">
        <v>158</v>
      </c>
      <c r="BB309" s="465">
        <v>44</v>
      </c>
      <c r="BC309" s="457">
        <v>57</v>
      </c>
      <c r="BD309" s="464">
        <v>44</v>
      </c>
      <c r="BE309" s="466">
        <v>42</v>
      </c>
      <c r="BF309" s="465">
        <v>52</v>
      </c>
      <c r="BG309" s="457">
        <v>14</v>
      </c>
      <c r="BH309" s="464">
        <v>52</v>
      </c>
      <c r="BI309" s="466">
        <v>14</v>
      </c>
      <c r="BJ309" s="465"/>
      <c r="BK309" s="457"/>
      <c r="BL309" s="464"/>
      <c r="BM309" s="466"/>
      <c r="BN309" s="465"/>
      <c r="BO309" s="457"/>
      <c r="BP309" s="464"/>
      <c r="BQ309" s="466"/>
      <c r="BR309" s="465"/>
      <c r="BS309" s="457"/>
      <c r="BT309" s="723"/>
      <c r="BU309" s="466"/>
      <c r="BV309" s="465"/>
      <c r="BW309" s="457"/>
      <c r="BX309" s="464"/>
      <c r="BY309" s="466"/>
      <c r="BZ309" s="465"/>
      <c r="CA309" s="457"/>
      <c r="CB309" s="464"/>
      <c r="CC309" s="466"/>
      <c r="CD309" s="465"/>
      <c r="CE309" s="457"/>
      <c r="CF309" s="464"/>
      <c r="CG309" s="466"/>
      <c r="CH309" s="465"/>
      <c r="CI309" s="457"/>
      <c r="CJ309" s="464"/>
      <c r="CK309" s="466"/>
      <c r="CL309" s="459"/>
      <c r="CM309" s="450"/>
      <c r="CN309" s="468">
        <f t="shared" si="168"/>
        <v>255</v>
      </c>
      <c r="CO309" s="468">
        <f t="shared" si="169"/>
        <v>3</v>
      </c>
      <c r="CP309" s="469">
        <f t="shared" si="170"/>
        <v>214</v>
      </c>
      <c r="CQ309" s="469">
        <f t="shared" si="171"/>
        <v>3</v>
      </c>
      <c r="CR309" s="463"/>
      <c r="CS309" s="457"/>
      <c r="CT309" s="464"/>
      <c r="CU309" s="464"/>
      <c r="CV309" s="465"/>
      <c r="CW309" s="457"/>
      <c r="CX309" s="464"/>
      <c r="CY309" s="466"/>
      <c r="CZ309" s="465"/>
      <c r="DA309" s="457"/>
      <c r="DB309" s="464"/>
      <c r="DC309" s="466"/>
      <c r="DD309" s="465"/>
      <c r="DE309" s="457"/>
      <c r="DF309" s="464"/>
      <c r="DG309" s="466"/>
      <c r="DH309" s="465"/>
      <c r="DI309" s="457"/>
      <c r="DJ309" s="464"/>
      <c r="DK309" s="466"/>
      <c r="DL309" s="465"/>
      <c r="DM309" s="457"/>
      <c r="DN309" s="464"/>
      <c r="DO309" s="466"/>
      <c r="DP309" s="465"/>
      <c r="DQ309" s="457"/>
      <c r="DR309" s="464"/>
      <c r="DS309" s="466"/>
      <c r="DT309" s="465"/>
      <c r="DU309" s="457"/>
      <c r="DV309" s="464"/>
      <c r="DW309" s="466"/>
      <c r="DX309" s="465"/>
      <c r="DY309" s="457"/>
      <c r="DZ309" s="464"/>
      <c r="EA309" s="466"/>
      <c r="EB309" s="465"/>
      <c r="EC309" s="457"/>
      <c r="ED309" s="464"/>
      <c r="EE309" s="466"/>
      <c r="EF309" s="459"/>
      <c r="EG309" s="450"/>
      <c r="EH309" s="460">
        <f t="shared" si="178"/>
        <v>0</v>
      </c>
      <c r="EI309" s="460">
        <f t="shared" si="179"/>
        <v>0</v>
      </c>
      <c r="EJ309" s="458">
        <f t="shared" si="180"/>
        <v>0</v>
      </c>
      <c r="EK309" s="470">
        <f t="shared" si="181"/>
        <v>0</v>
      </c>
      <c r="EL309" s="470">
        <f t="shared" si="182"/>
        <v>0</v>
      </c>
      <c r="EM309" s="449">
        <f t="shared" si="183"/>
        <v>0</v>
      </c>
      <c r="EN309" s="460">
        <f t="shared" si="184"/>
        <v>255</v>
      </c>
      <c r="EO309" s="469">
        <f t="shared" si="185"/>
        <v>214</v>
      </c>
      <c r="EP309" s="471"/>
      <c r="EQ309" s="450"/>
      <c r="ER309" s="471"/>
      <c r="ES309" s="450"/>
      <c r="ET309" s="471"/>
      <c r="EU309" s="450"/>
      <c r="EV309" s="471"/>
      <c r="EW309" s="450"/>
      <c r="EX309" s="471"/>
      <c r="EY309" s="450"/>
      <c r="EZ309" s="471"/>
      <c r="FA309" s="450"/>
      <c r="FB309" s="471"/>
      <c r="FC309" s="450"/>
      <c r="FD309" s="471"/>
      <c r="FE309" s="450"/>
      <c r="FF309" s="471"/>
      <c r="FG309" s="450"/>
      <c r="FH309" s="472"/>
      <c r="FI309" s="450"/>
      <c r="FJ309" s="468">
        <f t="shared" si="176"/>
        <v>0</v>
      </c>
      <c r="FK309" s="469">
        <f t="shared" si="177"/>
        <v>0</v>
      </c>
      <c r="FL309" s="472"/>
      <c r="FM309" s="450"/>
      <c r="FN309" s="460">
        <f t="shared" si="186"/>
        <v>1079</v>
      </c>
      <c r="FO309" s="469">
        <f t="shared" si="187"/>
        <v>1119</v>
      </c>
    </row>
    <row r="310" spans="1:171" x14ac:dyDescent="0.2">
      <c r="A310" s="399" t="s">
        <v>264</v>
      </c>
      <c r="B310" s="400" t="s">
        <v>544</v>
      </c>
      <c r="C310" s="495"/>
      <c r="D310" s="487">
        <v>199999</v>
      </c>
      <c r="E310" s="484">
        <v>5</v>
      </c>
      <c r="F310" s="532"/>
      <c r="G310" s="450"/>
      <c r="H310" s="457"/>
      <c r="I310" s="450"/>
      <c r="J310" s="457"/>
      <c r="K310" s="450"/>
      <c r="L310" s="458">
        <f t="shared" si="166"/>
        <v>0</v>
      </c>
      <c r="M310" s="449">
        <f t="shared" si="167"/>
        <v>0</v>
      </c>
      <c r="N310" s="459">
        <v>1246</v>
      </c>
      <c r="O310" s="459"/>
      <c r="P310" s="459">
        <v>56</v>
      </c>
      <c r="Q310" s="459"/>
      <c r="R310" s="460">
        <f t="shared" si="165"/>
        <v>56</v>
      </c>
      <c r="S310" s="391">
        <v>1295</v>
      </c>
      <c r="T310" s="461"/>
      <c r="U310" s="461">
        <v>46</v>
      </c>
      <c r="V310" s="461"/>
      <c r="W310" s="462">
        <f t="shared" si="142"/>
        <v>46</v>
      </c>
      <c r="X310" s="463"/>
      <c r="Y310" s="457"/>
      <c r="Z310" s="464"/>
      <c r="AA310" s="464"/>
      <c r="AB310" s="465"/>
      <c r="AC310" s="457"/>
      <c r="AD310" s="464"/>
      <c r="AE310" s="466"/>
      <c r="AF310" s="465"/>
      <c r="AG310" s="457"/>
      <c r="AH310" s="464"/>
      <c r="AI310" s="466"/>
      <c r="AJ310" s="465"/>
      <c r="AK310" s="457"/>
      <c r="AL310" s="464"/>
      <c r="AM310" s="466"/>
      <c r="AN310" s="465"/>
      <c r="AO310" s="457"/>
      <c r="AP310" s="464"/>
      <c r="AQ310" s="464"/>
      <c r="AR310" s="460">
        <f t="shared" si="172"/>
        <v>0</v>
      </c>
      <c r="AS310" s="467">
        <f t="shared" si="173"/>
        <v>0.89511494252873558</v>
      </c>
      <c r="AT310" s="447">
        <f t="shared" si="174"/>
        <v>0</v>
      </c>
      <c r="AU310" s="448">
        <f t="shared" si="175"/>
        <v>0.87975543478260865</v>
      </c>
      <c r="AV310" s="457">
        <v>0</v>
      </c>
      <c r="AW310" s="450"/>
      <c r="AX310" s="463">
        <v>51</v>
      </c>
      <c r="AY310" s="457">
        <v>85</v>
      </c>
      <c r="AZ310" s="464">
        <v>51</v>
      </c>
      <c r="BA310" s="464">
        <v>130</v>
      </c>
      <c r="BB310" s="465">
        <v>13</v>
      </c>
      <c r="BC310" s="457">
        <v>30</v>
      </c>
      <c r="BD310" s="464">
        <v>13</v>
      </c>
      <c r="BE310" s="466">
        <v>20</v>
      </c>
      <c r="BF310" s="465">
        <v>52</v>
      </c>
      <c r="BG310" s="457">
        <v>24</v>
      </c>
      <c r="BH310" s="464">
        <v>52</v>
      </c>
      <c r="BI310" s="466">
        <v>16</v>
      </c>
      <c r="BJ310" s="465">
        <v>11</v>
      </c>
      <c r="BK310" s="457">
        <v>7</v>
      </c>
      <c r="BL310" s="464">
        <v>11</v>
      </c>
      <c r="BM310" s="466">
        <v>11</v>
      </c>
      <c r="BN310" s="465"/>
      <c r="BO310" s="457"/>
      <c r="BP310" s="464"/>
      <c r="BQ310" s="466"/>
      <c r="BR310" s="465"/>
      <c r="BS310" s="457"/>
      <c r="BT310" s="723"/>
      <c r="BU310" s="466"/>
      <c r="BV310" s="465"/>
      <c r="BW310" s="457"/>
      <c r="BX310" s="464"/>
      <c r="BY310" s="466"/>
      <c r="BZ310" s="465"/>
      <c r="CA310" s="457"/>
      <c r="CB310" s="464"/>
      <c r="CC310" s="466"/>
      <c r="CD310" s="465"/>
      <c r="CE310" s="457"/>
      <c r="CF310" s="464"/>
      <c r="CG310" s="466"/>
      <c r="CH310" s="465"/>
      <c r="CI310" s="457"/>
      <c r="CJ310" s="464"/>
      <c r="CK310" s="466"/>
      <c r="CL310" s="459"/>
      <c r="CM310" s="450"/>
      <c r="CN310" s="468">
        <f t="shared" si="168"/>
        <v>146</v>
      </c>
      <c r="CO310" s="468">
        <f t="shared" si="169"/>
        <v>4</v>
      </c>
      <c r="CP310" s="469">
        <f t="shared" si="170"/>
        <v>177</v>
      </c>
      <c r="CQ310" s="469">
        <f t="shared" si="171"/>
        <v>4</v>
      </c>
      <c r="CR310" s="463"/>
      <c r="CS310" s="457"/>
      <c r="CT310" s="464"/>
      <c r="CU310" s="464"/>
      <c r="CV310" s="465"/>
      <c r="CW310" s="457"/>
      <c r="CX310" s="464"/>
      <c r="CY310" s="466"/>
      <c r="CZ310" s="465"/>
      <c r="DA310" s="457"/>
      <c r="DB310" s="464"/>
      <c r="DC310" s="466"/>
      <c r="DD310" s="465"/>
      <c r="DE310" s="457"/>
      <c r="DF310" s="464"/>
      <c r="DG310" s="466"/>
      <c r="DH310" s="465"/>
      <c r="DI310" s="457"/>
      <c r="DJ310" s="464"/>
      <c r="DK310" s="466"/>
      <c r="DL310" s="465"/>
      <c r="DM310" s="457"/>
      <c r="DN310" s="464"/>
      <c r="DO310" s="466"/>
      <c r="DP310" s="465"/>
      <c r="DQ310" s="457"/>
      <c r="DR310" s="464"/>
      <c r="DS310" s="466"/>
      <c r="DT310" s="465"/>
      <c r="DU310" s="457"/>
      <c r="DV310" s="464"/>
      <c r="DW310" s="466"/>
      <c r="DX310" s="465"/>
      <c r="DY310" s="457"/>
      <c r="DZ310" s="464"/>
      <c r="EA310" s="466"/>
      <c r="EB310" s="465"/>
      <c r="EC310" s="457"/>
      <c r="ED310" s="464"/>
      <c r="EE310" s="466"/>
      <c r="EF310" s="459"/>
      <c r="EG310" s="450"/>
      <c r="EH310" s="460">
        <f t="shared" si="178"/>
        <v>0</v>
      </c>
      <c r="EI310" s="460">
        <f t="shared" si="179"/>
        <v>0</v>
      </c>
      <c r="EJ310" s="458">
        <f t="shared" si="180"/>
        <v>0</v>
      </c>
      <c r="EK310" s="470">
        <f t="shared" si="181"/>
        <v>0</v>
      </c>
      <c r="EL310" s="470">
        <f t="shared" si="182"/>
        <v>0</v>
      </c>
      <c r="EM310" s="449">
        <f t="shared" si="183"/>
        <v>0</v>
      </c>
      <c r="EN310" s="460">
        <f t="shared" si="184"/>
        <v>146</v>
      </c>
      <c r="EO310" s="469">
        <f t="shared" si="185"/>
        <v>177</v>
      </c>
      <c r="EP310" s="471"/>
      <c r="EQ310" s="450"/>
      <c r="ER310" s="471"/>
      <c r="ES310" s="450"/>
      <c r="ET310" s="471"/>
      <c r="EU310" s="450"/>
      <c r="EV310" s="471"/>
      <c r="EW310" s="450"/>
      <c r="EX310" s="471"/>
      <c r="EY310" s="450"/>
      <c r="EZ310" s="471"/>
      <c r="FA310" s="450"/>
      <c r="FB310" s="471"/>
      <c r="FC310" s="450"/>
      <c r="FD310" s="471"/>
      <c r="FE310" s="450"/>
      <c r="FF310" s="471"/>
      <c r="FG310" s="450"/>
      <c r="FH310" s="472"/>
      <c r="FI310" s="450"/>
      <c r="FJ310" s="468">
        <f t="shared" si="176"/>
        <v>0</v>
      </c>
      <c r="FK310" s="469">
        <f t="shared" si="177"/>
        <v>0</v>
      </c>
      <c r="FL310" s="472"/>
      <c r="FM310" s="450"/>
      <c r="FN310" s="460">
        <f t="shared" si="186"/>
        <v>1392</v>
      </c>
      <c r="FO310" s="469">
        <f t="shared" si="187"/>
        <v>1472</v>
      </c>
    </row>
    <row r="311" spans="1:171" x14ac:dyDescent="0.2">
      <c r="A311" s="399" t="s">
        <v>264</v>
      </c>
      <c r="B311" s="400" t="s">
        <v>545</v>
      </c>
      <c r="C311" s="495"/>
      <c r="D311" s="487">
        <v>198507</v>
      </c>
      <c r="E311" s="484">
        <v>6</v>
      </c>
      <c r="F311" s="532"/>
      <c r="G311" s="450"/>
      <c r="H311" s="457"/>
      <c r="I311" s="450"/>
      <c r="J311" s="457"/>
      <c r="K311" s="450"/>
      <c r="L311" s="458">
        <f t="shared" si="166"/>
        <v>0</v>
      </c>
      <c r="M311" s="449">
        <f t="shared" si="167"/>
        <v>0</v>
      </c>
      <c r="N311" s="459">
        <v>486</v>
      </c>
      <c r="O311" s="459"/>
      <c r="P311" s="459">
        <v>58</v>
      </c>
      <c r="Q311" s="459"/>
      <c r="R311" s="460">
        <f t="shared" si="165"/>
        <v>58</v>
      </c>
      <c r="S311" s="391">
        <v>406</v>
      </c>
      <c r="T311" s="461"/>
      <c r="U311" s="461">
        <v>43</v>
      </c>
      <c r="V311" s="461"/>
      <c r="W311" s="462">
        <f t="shared" si="142"/>
        <v>43</v>
      </c>
      <c r="X311" s="463"/>
      <c r="Y311" s="457"/>
      <c r="Z311" s="464"/>
      <c r="AA311" s="464"/>
      <c r="AB311" s="465"/>
      <c r="AC311" s="457"/>
      <c r="AD311" s="464"/>
      <c r="AE311" s="466"/>
      <c r="AF311" s="465"/>
      <c r="AG311" s="457"/>
      <c r="AH311" s="464"/>
      <c r="AI311" s="466"/>
      <c r="AJ311" s="465"/>
      <c r="AK311" s="457"/>
      <c r="AL311" s="464"/>
      <c r="AM311" s="466"/>
      <c r="AN311" s="465"/>
      <c r="AO311" s="457"/>
      <c r="AP311" s="464"/>
      <c r="AQ311" s="464"/>
      <c r="AR311" s="460">
        <f t="shared" si="172"/>
        <v>0</v>
      </c>
      <c r="AS311" s="467">
        <f t="shared" si="173"/>
        <v>0.95294117647058818</v>
      </c>
      <c r="AT311" s="447">
        <f t="shared" si="174"/>
        <v>0</v>
      </c>
      <c r="AU311" s="448">
        <f t="shared" si="175"/>
        <v>0.94638694638694643</v>
      </c>
      <c r="AV311" s="457">
        <v>0</v>
      </c>
      <c r="AW311" s="450"/>
      <c r="AX311" s="463">
        <v>13</v>
      </c>
      <c r="AY311" s="457">
        <v>20</v>
      </c>
      <c r="AZ311" s="464">
        <v>13</v>
      </c>
      <c r="BA311" s="464">
        <v>19</v>
      </c>
      <c r="BB311" s="465">
        <v>27</v>
      </c>
      <c r="BC311" s="457">
        <v>3</v>
      </c>
      <c r="BD311" s="464">
        <v>27</v>
      </c>
      <c r="BE311" s="466">
        <v>3</v>
      </c>
      <c r="BF311" s="465">
        <v>26</v>
      </c>
      <c r="BG311" s="457">
        <v>1</v>
      </c>
      <c r="BH311" s="464">
        <v>26</v>
      </c>
      <c r="BI311" s="466">
        <v>1</v>
      </c>
      <c r="BJ311" s="465"/>
      <c r="BK311" s="457"/>
      <c r="BL311" s="464"/>
      <c r="BM311" s="466"/>
      <c r="BN311" s="465"/>
      <c r="BO311" s="457"/>
      <c r="BP311" s="464"/>
      <c r="BQ311" s="466"/>
      <c r="BR311" s="465"/>
      <c r="BS311" s="457"/>
      <c r="BT311" s="723"/>
      <c r="BU311" s="466"/>
      <c r="BV311" s="465"/>
      <c r="BW311" s="457"/>
      <c r="BX311" s="464"/>
      <c r="BY311" s="466"/>
      <c r="BZ311" s="465"/>
      <c r="CA311" s="457"/>
      <c r="CB311" s="464"/>
      <c r="CC311" s="466"/>
      <c r="CD311" s="465"/>
      <c r="CE311" s="457"/>
      <c r="CF311" s="464"/>
      <c r="CG311" s="466"/>
      <c r="CH311" s="465"/>
      <c r="CI311" s="457"/>
      <c r="CJ311" s="464"/>
      <c r="CK311" s="466"/>
      <c r="CL311" s="459"/>
      <c r="CM311" s="450"/>
      <c r="CN311" s="468">
        <f t="shared" si="168"/>
        <v>24</v>
      </c>
      <c r="CO311" s="468">
        <f t="shared" si="169"/>
        <v>3</v>
      </c>
      <c r="CP311" s="469">
        <f t="shared" si="170"/>
        <v>23</v>
      </c>
      <c r="CQ311" s="469">
        <f t="shared" si="171"/>
        <v>3</v>
      </c>
      <c r="CR311" s="463"/>
      <c r="CS311" s="457"/>
      <c r="CT311" s="464"/>
      <c r="CU311" s="464"/>
      <c r="CV311" s="465"/>
      <c r="CW311" s="457"/>
      <c r="CX311" s="464"/>
      <c r="CY311" s="466"/>
      <c r="CZ311" s="465"/>
      <c r="DA311" s="457"/>
      <c r="DB311" s="464"/>
      <c r="DC311" s="466"/>
      <c r="DD311" s="465"/>
      <c r="DE311" s="457"/>
      <c r="DF311" s="464"/>
      <c r="DG311" s="466"/>
      <c r="DH311" s="465"/>
      <c r="DI311" s="457"/>
      <c r="DJ311" s="464"/>
      <c r="DK311" s="466"/>
      <c r="DL311" s="465"/>
      <c r="DM311" s="457"/>
      <c r="DN311" s="464"/>
      <c r="DO311" s="466"/>
      <c r="DP311" s="465"/>
      <c r="DQ311" s="457"/>
      <c r="DR311" s="464"/>
      <c r="DS311" s="466"/>
      <c r="DT311" s="465"/>
      <c r="DU311" s="457"/>
      <c r="DV311" s="464"/>
      <c r="DW311" s="466"/>
      <c r="DX311" s="465"/>
      <c r="DY311" s="457"/>
      <c r="DZ311" s="464"/>
      <c r="EA311" s="466"/>
      <c r="EB311" s="465"/>
      <c r="EC311" s="457"/>
      <c r="ED311" s="464"/>
      <c r="EE311" s="466"/>
      <c r="EF311" s="459"/>
      <c r="EG311" s="450"/>
      <c r="EH311" s="460">
        <f t="shared" si="178"/>
        <v>0</v>
      </c>
      <c r="EI311" s="460">
        <f t="shared" si="179"/>
        <v>0</v>
      </c>
      <c r="EJ311" s="458">
        <f t="shared" si="180"/>
        <v>0</v>
      </c>
      <c r="EK311" s="470">
        <f t="shared" si="181"/>
        <v>0</v>
      </c>
      <c r="EL311" s="470">
        <f t="shared" si="182"/>
        <v>0</v>
      </c>
      <c r="EM311" s="449">
        <f t="shared" si="183"/>
        <v>0</v>
      </c>
      <c r="EN311" s="460">
        <f t="shared" si="184"/>
        <v>24</v>
      </c>
      <c r="EO311" s="469">
        <f t="shared" si="185"/>
        <v>23</v>
      </c>
      <c r="EP311" s="471"/>
      <c r="EQ311" s="450"/>
      <c r="ER311" s="471"/>
      <c r="ES311" s="450"/>
      <c r="ET311" s="471"/>
      <c r="EU311" s="450"/>
      <c r="EV311" s="471"/>
      <c r="EW311" s="450"/>
      <c r="EX311" s="471"/>
      <c r="EY311" s="450"/>
      <c r="EZ311" s="471"/>
      <c r="FA311" s="450"/>
      <c r="FB311" s="471"/>
      <c r="FC311" s="450"/>
      <c r="FD311" s="471"/>
      <c r="FE311" s="450"/>
      <c r="FF311" s="471"/>
      <c r="FG311" s="450"/>
      <c r="FH311" s="472"/>
      <c r="FI311" s="450"/>
      <c r="FJ311" s="468">
        <f t="shared" si="176"/>
        <v>0</v>
      </c>
      <c r="FK311" s="469">
        <f t="shared" si="177"/>
        <v>0</v>
      </c>
      <c r="FL311" s="472"/>
      <c r="FM311" s="450"/>
      <c r="FN311" s="460">
        <f t="shared" si="186"/>
        <v>510</v>
      </c>
      <c r="FO311" s="469">
        <f t="shared" si="187"/>
        <v>429</v>
      </c>
    </row>
    <row r="312" spans="1:171" x14ac:dyDescent="0.2">
      <c r="A312" s="399" t="s">
        <v>264</v>
      </c>
      <c r="B312" s="400" t="s">
        <v>546</v>
      </c>
      <c r="C312" s="495"/>
      <c r="D312" s="487">
        <v>199111</v>
      </c>
      <c r="E312" s="484">
        <v>6</v>
      </c>
      <c r="F312" s="532"/>
      <c r="G312" s="450"/>
      <c r="H312" s="457"/>
      <c r="I312" s="450"/>
      <c r="J312" s="457"/>
      <c r="K312" s="450"/>
      <c r="L312" s="458">
        <f t="shared" si="166"/>
        <v>0</v>
      </c>
      <c r="M312" s="449">
        <f t="shared" si="167"/>
        <v>0</v>
      </c>
      <c r="N312" s="459">
        <v>685</v>
      </c>
      <c r="O312" s="459"/>
      <c r="P312" s="459">
        <v>47</v>
      </c>
      <c r="Q312" s="459"/>
      <c r="R312" s="460">
        <f t="shared" si="165"/>
        <v>47</v>
      </c>
      <c r="S312" s="391">
        <v>713</v>
      </c>
      <c r="T312" s="461"/>
      <c r="U312" s="461">
        <v>41</v>
      </c>
      <c r="V312" s="461"/>
      <c r="W312" s="462">
        <f t="shared" si="142"/>
        <v>41</v>
      </c>
      <c r="X312" s="463"/>
      <c r="Y312" s="457"/>
      <c r="Z312" s="464"/>
      <c r="AA312" s="464"/>
      <c r="AB312" s="465"/>
      <c r="AC312" s="457"/>
      <c r="AD312" s="464"/>
      <c r="AE312" s="466"/>
      <c r="AF312" s="465"/>
      <c r="AG312" s="457"/>
      <c r="AH312" s="464"/>
      <c r="AI312" s="466"/>
      <c r="AJ312" s="465"/>
      <c r="AK312" s="457"/>
      <c r="AL312" s="464"/>
      <c r="AM312" s="466"/>
      <c r="AN312" s="465"/>
      <c r="AO312" s="457"/>
      <c r="AP312" s="464"/>
      <c r="AQ312" s="464"/>
      <c r="AR312" s="460">
        <f t="shared" si="172"/>
        <v>0</v>
      </c>
      <c r="AS312" s="467">
        <f t="shared" si="173"/>
        <v>0.99131693198263382</v>
      </c>
      <c r="AT312" s="447">
        <f t="shared" si="174"/>
        <v>0</v>
      </c>
      <c r="AU312" s="448">
        <f t="shared" si="175"/>
        <v>0.9861687413554634</v>
      </c>
      <c r="AV312" s="457">
        <v>0</v>
      </c>
      <c r="AW312" s="450"/>
      <c r="AX312" s="463">
        <v>24</v>
      </c>
      <c r="AY312" s="457">
        <v>6</v>
      </c>
      <c r="AZ312" s="464">
        <v>24</v>
      </c>
      <c r="BA312" s="464">
        <v>10</v>
      </c>
      <c r="BB312" s="465"/>
      <c r="BC312" s="457"/>
      <c r="BD312" s="464"/>
      <c r="BE312" s="466"/>
      <c r="BF312" s="465"/>
      <c r="BG312" s="457"/>
      <c r="BH312" s="464"/>
      <c r="BI312" s="466"/>
      <c r="BJ312" s="465"/>
      <c r="BK312" s="457"/>
      <c r="BL312" s="464"/>
      <c r="BM312" s="466"/>
      <c r="BN312" s="465"/>
      <c r="BO312" s="457"/>
      <c r="BP312" s="464"/>
      <c r="BQ312" s="466"/>
      <c r="BR312" s="465"/>
      <c r="BS312" s="457"/>
      <c r="BT312" s="723"/>
      <c r="BU312" s="466"/>
      <c r="BV312" s="465"/>
      <c r="BW312" s="457"/>
      <c r="BX312" s="464"/>
      <c r="BY312" s="466"/>
      <c r="BZ312" s="465"/>
      <c r="CA312" s="457"/>
      <c r="CB312" s="464"/>
      <c r="CC312" s="466"/>
      <c r="CD312" s="465"/>
      <c r="CE312" s="457"/>
      <c r="CF312" s="464"/>
      <c r="CG312" s="466"/>
      <c r="CH312" s="465"/>
      <c r="CI312" s="457"/>
      <c r="CJ312" s="464"/>
      <c r="CK312" s="466"/>
      <c r="CL312" s="459"/>
      <c r="CM312" s="450"/>
      <c r="CN312" s="468">
        <f t="shared" si="168"/>
        <v>6</v>
      </c>
      <c r="CO312" s="468">
        <f t="shared" si="169"/>
        <v>1</v>
      </c>
      <c r="CP312" s="469">
        <f t="shared" si="170"/>
        <v>10</v>
      </c>
      <c r="CQ312" s="469">
        <f t="shared" si="171"/>
        <v>1</v>
      </c>
      <c r="CR312" s="463"/>
      <c r="CS312" s="457"/>
      <c r="CT312" s="464"/>
      <c r="CU312" s="464"/>
      <c r="CV312" s="465"/>
      <c r="CW312" s="457"/>
      <c r="CX312" s="464"/>
      <c r="CY312" s="466"/>
      <c r="CZ312" s="465"/>
      <c r="DA312" s="457"/>
      <c r="DB312" s="464"/>
      <c r="DC312" s="466"/>
      <c r="DD312" s="465"/>
      <c r="DE312" s="457"/>
      <c r="DF312" s="464"/>
      <c r="DG312" s="466"/>
      <c r="DH312" s="465"/>
      <c r="DI312" s="457"/>
      <c r="DJ312" s="464"/>
      <c r="DK312" s="466"/>
      <c r="DL312" s="465"/>
      <c r="DM312" s="457"/>
      <c r="DN312" s="464"/>
      <c r="DO312" s="466"/>
      <c r="DP312" s="465"/>
      <c r="DQ312" s="457"/>
      <c r="DR312" s="464"/>
      <c r="DS312" s="466"/>
      <c r="DT312" s="465"/>
      <c r="DU312" s="457"/>
      <c r="DV312" s="464"/>
      <c r="DW312" s="466"/>
      <c r="DX312" s="465"/>
      <c r="DY312" s="457"/>
      <c r="DZ312" s="464"/>
      <c r="EA312" s="466"/>
      <c r="EB312" s="465"/>
      <c r="EC312" s="457"/>
      <c r="ED312" s="464"/>
      <c r="EE312" s="466"/>
      <c r="EF312" s="459"/>
      <c r="EG312" s="450"/>
      <c r="EH312" s="460">
        <f t="shared" si="178"/>
        <v>0</v>
      </c>
      <c r="EI312" s="460">
        <f t="shared" si="179"/>
        <v>0</v>
      </c>
      <c r="EJ312" s="458">
        <f t="shared" si="180"/>
        <v>0</v>
      </c>
      <c r="EK312" s="470">
        <f t="shared" si="181"/>
        <v>0</v>
      </c>
      <c r="EL312" s="470">
        <f t="shared" si="182"/>
        <v>0</v>
      </c>
      <c r="EM312" s="449">
        <f t="shared" si="183"/>
        <v>0</v>
      </c>
      <c r="EN312" s="460">
        <f t="shared" si="184"/>
        <v>6</v>
      </c>
      <c r="EO312" s="469">
        <f t="shared" si="185"/>
        <v>10</v>
      </c>
      <c r="EP312" s="471"/>
      <c r="EQ312" s="450"/>
      <c r="ER312" s="471"/>
      <c r="ES312" s="450"/>
      <c r="ET312" s="471"/>
      <c r="EU312" s="450"/>
      <c r="EV312" s="471"/>
      <c r="EW312" s="450"/>
      <c r="EX312" s="471"/>
      <c r="EY312" s="450"/>
      <c r="EZ312" s="471"/>
      <c r="FA312" s="450"/>
      <c r="FB312" s="471"/>
      <c r="FC312" s="450"/>
      <c r="FD312" s="471"/>
      <c r="FE312" s="450"/>
      <c r="FF312" s="471"/>
      <c r="FG312" s="450"/>
      <c r="FH312" s="472"/>
      <c r="FI312" s="450"/>
      <c r="FJ312" s="468">
        <f t="shared" si="176"/>
        <v>0</v>
      </c>
      <c r="FK312" s="469">
        <f t="shared" si="177"/>
        <v>0</v>
      </c>
      <c r="FL312" s="472"/>
      <c r="FM312" s="450"/>
      <c r="FN312" s="460">
        <f t="shared" si="186"/>
        <v>691</v>
      </c>
      <c r="FO312" s="469">
        <f t="shared" si="187"/>
        <v>723</v>
      </c>
    </row>
    <row r="313" spans="1:171" x14ac:dyDescent="0.2">
      <c r="A313" s="399" t="s">
        <v>264</v>
      </c>
      <c r="B313" s="400" t="s">
        <v>547</v>
      </c>
      <c r="C313" s="401"/>
      <c r="D313" s="487">
        <v>199184</v>
      </c>
      <c r="E313" s="484">
        <v>15</v>
      </c>
      <c r="F313" s="532"/>
      <c r="G313" s="450"/>
      <c r="H313" s="457">
        <v>8</v>
      </c>
      <c r="I313" s="450">
        <v>7</v>
      </c>
      <c r="J313" s="457"/>
      <c r="K313" s="450"/>
      <c r="L313" s="458">
        <f t="shared" si="166"/>
        <v>0</v>
      </c>
      <c r="M313" s="449">
        <f t="shared" si="167"/>
        <v>0</v>
      </c>
      <c r="N313" s="459">
        <v>154</v>
      </c>
      <c r="O313" s="459"/>
      <c r="P313" s="459">
        <v>0</v>
      </c>
      <c r="Q313" s="459"/>
      <c r="R313" s="460">
        <f t="shared" si="165"/>
        <v>0</v>
      </c>
      <c r="S313" s="748">
        <v>145</v>
      </c>
      <c r="T313" s="461"/>
      <c r="U313" s="461"/>
      <c r="V313" s="461"/>
      <c r="W313" s="462">
        <f t="shared" si="142"/>
        <v>0</v>
      </c>
      <c r="X313" s="463"/>
      <c r="Y313" s="457"/>
      <c r="Z313" s="464"/>
      <c r="AA313" s="464"/>
      <c r="AB313" s="465"/>
      <c r="AC313" s="457"/>
      <c r="AD313" s="464"/>
      <c r="AE313" s="466"/>
      <c r="AF313" s="465"/>
      <c r="AG313" s="457"/>
      <c r="AH313" s="464"/>
      <c r="AI313" s="466"/>
      <c r="AJ313" s="465"/>
      <c r="AK313" s="457"/>
      <c r="AL313" s="464"/>
      <c r="AM313" s="466"/>
      <c r="AN313" s="465"/>
      <c r="AO313" s="457"/>
      <c r="AP313" s="464"/>
      <c r="AQ313" s="464"/>
      <c r="AR313" s="460">
        <f t="shared" si="172"/>
        <v>0</v>
      </c>
      <c r="AS313" s="467">
        <f t="shared" si="173"/>
        <v>0.72641509433962259</v>
      </c>
      <c r="AT313" s="447">
        <f t="shared" si="174"/>
        <v>0</v>
      </c>
      <c r="AU313" s="448">
        <f t="shared" si="175"/>
        <v>0.74358974358974361</v>
      </c>
      <c r="AV313" s="457">
        <v>0</v>
      </c>
      <c r="AW313" s="450"/>
      <c r="AX313" s="463">
        <v>50</v>
      </c>
      <c r="AY313" s="457">
        <v>50</v>
      </c>
      <c r="AZ313" s="464">
        <v>50</v>
      </c>
      <c r="BA313" s="464">
        <v>43</v>
      </c>
      <c r="BB313" s="465"/>
      <c r="BC313" s="457"/>
      <c r="BD313" s="464"/>
      <c r="BE313" s="466"/>
      <c r="BF313" s="465"/>
      <c r="BG313" s="457"/>
      <c r="BH313" s="464"/>
      <c r="BI313" s="466"/>
      <c r="BJ313" s="465"/>
      <c r="BK313" s="457"/>
      <c r="BL313" s="464"/>
      <c r="BM313" s="466"/>
      <c r="BN313" s="465"/>
      <c r="BO313" s="457"/>
      <c r="BP313" s="464"/>
      <c r="BQ313" s="466"/>
      <c r="BR313" s="465"/>
      <c r="BS313" s="457"/>
      <c r="BT313" s="847"/>
      <c r="BU313" s="392"/>
      <c r="BV313" s="465"/>
      <c r="BW313" s="457"/>
      <c r="BX313" s="464"/>
      <c r="BY313" s="466"/>
      <c r="BZ313" s="465"/>
      <c r="CA313" s="457"/>
      <c r="CB313" s="464"/>
      <c r="CC313" s="466"/>
      <c r="CD313" s="465"/>
      <c r="CE313" s="457"/>
      <c r="CF313" s="464"/>
      <c r="CG313" s="466"/>
      <c r="CH313" s="465"/>
      <c r="CI313" s="457"/>
      <c r="CJ313" s="464"/>
      <c r="CK313" s="466"/>
      <c r="CL313" s="459"/>
      <c r="CM313" s="450"/>
      <c r="CN313" s="468">
        <f t="shared" si="168"/>
        <v>50</v>
      </c>
      <c r="CO313" s="468">
        <f t="shared" si="169"/>
        <v>1</v>
      </c>
      <c r="CP313" s="469">
        <f t="shared" si="170"/>
        <v>43</v>
      </c>
      <c r="CQ313" s="469">
        <f t="shared" si="171"/>
        <v>1</v>
      </c>
      <c r="CR313" s="463"/>
      <c r="CS313" s="457"/>
      <c r="CT313" s="464"/>
      <c r="CU313" s="464"/>
      <c r="CV313" s="465"/>
      <c r="CW313" s="457"/>
      <c r="CX313" s="464"/>
      <c r="CY313" s="466"/>
      <c r="CZ313" s="465"/>
      <c r="DA313" s="457"/>
      <c r="DB313" s="464"/>
      <c r="DC313" s="466"/>
      <c r="DD313" s="465"/>
      <c r="DE313" s="457"/>
      <c r="DF313" s="464"/>
      <c r="DG313" s="466"/>
      <c r="DH313" s="465"/>
      <c r="DI313" s="457"/>
      <c r="DJ313" s="464"/>
      <c r="DK313" s="466"/>
      <c r="DL313" s="465"/>
      <c r="DM313" s="457"/>
      <c r="DN313" s="464"/>
      <c r="DO313" s="466"/>
      <c r="DP313" s="465"/>
      <c r="DQ313" s="457"/>
      <c r="DR313" s="464"/>
      <c r="DS313" s="466"/>
      <c r="DT313" s="465"/>
      <c r="DU313" s="457"/>
      <c r="DV313" s="464"/>
      <c r="DW313" s="466"/>
      <c r="DX313" s="465"/>
      <c r="DY313" s="457"/>
      <c r="DZ313" s="464"/>
      <c r="EA313" s="466"/>
      <c r="EB313" s="465"/>
      <c r="EC313" s="457"/>
      <c r="ED313" s="464"/>
      <c r="EE313" s="466"/>
      <c r="EF313" s="459"/>
      <c r="EG313" s="450"/>
      <c r="EH313" s="460">
        <f t="shared" si="178"/>
        <v>0</v>
      </c>
      <c r="EI313" s="460">
        <f t="shared" si="179"/>
        <v>0</v>
      </c>
      <c r="EJ313" s="458">
        <f t="shared" si="180"/>
        <v>0</v>
      </c>
      <c r="EK313" s="470">
        <f t="shared" si="181"/>
        <v>0</v>
      </c>
      <c r="EL313" s="470">
        <f t="shared" si="182"/>
        <v>0</v>
      </c>
      <c r="EM313" s="449">
        <f t="shared" si="183"/>
        <v>0</v>
      </c>
      <c r="EN313" s="460">
        <f t="shared" si="184"/>
        <v>50</v>
      </c>
      <c r="EO313" s="469">
        <f t="shared" si="185"/>
        <v>43</v>
      </c>
      <c r="EP313" s="471"/>
      <c r="EQ313" s="450"/>
      <c r="ER313" s="471"/>
      <c r="ES313" s="450"/>
      <c r="ET313" s="471"/>
      <c r="EU313" s="450"/>
      <c r="EV313" s="471"/>
      <c r="EW313" s="450"/>
      <c r="EX313" s="471"/>
      <c r="EY313" s="450"/>
      <c r="EZ313" s="471"/>
      <c r="FA313" s="450"/>
      <c r="FB313" s="471"/>
      <c r="FC313" s="450"/>
      <c r="FD313" s="471"/>
      <c r="FE313" s="450"/>
      <c r="FF313" s="471"/>
      <c r="FG313" s="450"/>
      <c r="FH313" s="472"/>
      <c r="FI313" s="450"/>
      <c r="FJ313" s="468">
        <f t="shared" si="176"/>
        <v>0</v>
      </c>
      <c r="FK313" s="469">
        <f t="shared" si="177"/>
        <v>0</v>
      </c>
      <c r="FL313" s="472"/>
      <c r="FM313" s="450"/>
      <c r="FN313" s="460">
        <f t="shared" si="186"/>
        <v>212</v>
      </c>
      <c r="FO313" s="469">
        <f t="shared" si="187"/>
        <v>195</v>
      </c>
    </row>
    <row r="314" spans="1:171" x14ac:dyDescent="0.2">
      <c r="A314" s="668" t="s">
        <v>264</v>
      </c>
      <c r="B314" s="669" t="s">
        <v>1015</v>
      </c>
      <c r="C314" s="670"/>
      <c r="D314" s="671">
        <v>197887</v>
      </c>
      <c r="E314" s="565">
        <v>8</v>
      </c>
      <c r="F314" s="532">
        <v>349</v>
      </c>
      <c r="G314" s="450">
        <v>523</v>
      </c>
      <c r="H314" s="457"/>
      <c r="I314" s="450"/>
      <c r="J314" s="457">
        <v>723</v>
      </c>
      <c r="K314" s="627">
        <v>744</v>
      </c>
      <c r="L314" s="458">
        <f t="shared" si="166"/>
        <v>0</v>
      </c>
      <c r="M314" s="449">
        <f t="shared" si="167"/>
        <v>0</v>
      </c>
      <c r="N314" s="459"/>
      <c r="O314" s="459"/>
      <c r="P314" s="459"/>
      <c r="Q314" s="459"/>
      <c r="R314" s="460">
        <f t="shared" si="165"/>
        <v>0</v>
      </c>
      <c r="S314" s="851"/>
      <c r="T314" s="461"/>
      <c r="U314" s="461"/>
      <c r="V314" s="461"/>
      <c r="W314" s="462">
        <f t="shared" si="142"/>
        <v>0</v>
      </c>
      <c r="X314" s="463"/>
      <c r="Y314" s="457"/>
      <c r="Z314" s="464"/>
      <c r="AA314" s="464"/>
      <c r="AB314" s="465"/>
      <c r="AC314" s="457"/>
      <c r="AD314" s="464"/>
      <c r="AE314" s="466"/>
      <c r="AF314" s="465"/>
      <c r="AG314" s="457"/>
      <c r="AH314" s="464"/>
      <c r="AI314" s="466"/>
      <c r="AJ314" s="465"/>
      <c r="AK314" s="457"/>
      <c r="AL314" s="464"/>
      <c r="AM314" s="466"/>
      <c r="AN314" s="465"/>
      <c r="AO314" s="457"/>
      <c r="AP314" s="464"/>
      <c r="AQ314" s="464"/>
      <c r="AR314" s="460">
        <f t="shared" si="172"/>
        <v>0</v>
      </c>
      <c r="AS314" s="467">
        <f t="shared" si="173"/>
        <v>0</v>
      </c>
      <c r="AT314" s="447">
        <f t="shared" si="174"/>
        <v>0</v>
      </c>
      <c r="AU314" s="448">
        <f t="shared" si="175"/>
        <v>0</v>
      </c>
      <c r="AV314" s="457"/>
      <c r="AW314" s="450"/>
      <c r="AX314" s="463"/>
      <c r="AY314" s="457"/>
      <c r="AZ314" s="625"/>
      <c r="BA314" s="625"/>
      <c r="BB314" s="465"/>
      <c r="BC314" s="457"/>
      <c r="BD314" s="625"/>
      <c r="BE314" s="626"/>
      <c r="BF314" s="465"/>
      <c r="BG314" s="457"/>
      <c r="BH314" s="464"/>
      <c r="BI314" s="466"/>
      <c r="BJ314" s="465"/>
      <c r="BK314" s="457"/>
      <c r="BL314" s="464"/>
      <c r="BM314" s="466"/>
      <c r="BN314" s="465"/>
      <c r="BO314" s="457"/>
      <c r="BP314" s="625"/>
      <c r="BQ314" s="626"/>
      <c r="BR314" s="465"/>
      <c r="BS314" s="457"/>
      <c r="BT314" s="392"/>
      <c r="BU314" s="392"/>
      <c r="BV314" s="465"/>
      <c r="BW314" s="457"/>
      <c r="BX314" s="464"/>
      <c r="BY314" s="466"/>
      <c r="BZ314" s="465"/>
      <c r="CA314" s="457"/>
      <c r="CB314" s="464"/>
      <c r="CC314" s="466"/>
      <c r="CD314" s="465"/>
      <c r="CE314" s="457"/>
      <c r="CF314" s="464"/>
      <c r="CG314" s="466"/>
      <c r="CH314" s="465"/>
      <c r="CI314" s="457"/>
      <c r="CJ314" s="464"/>
      <c r="CK314" s="466"/>
      <c r="CL314" s="459"/>
      <c r="CM314" s="627"/>
      <c r="CN314" s="468">
        <f t="shared" si="168"/>
        <v>0</v>
      </c>
      <c r="CO314" s="468">
        <f t="shared" si="169"/>
        <v>0</v>
      </c>
      <c r="CP314" s="469">
        <f t="shared" si="170"/>
        <v>0</v>
      </c>
      <c r="CQ314" s="469">
        <f t="shared" si="171"/>
        <v>0</v>
      </c>
      <c r="CR314" s="463"/>
      <c r="CS314" s="457"/>
      <c r="CT314" s="625"/>
      <c r="CU314" s="625"/>
      <c r="CV314" s="465"/>
      <c r="CW314" s="457"/>
      <c r="CX314" s="464"/>
      <c r="CY314" s="466"/>
      <c r="CZ314" s="465"/>
      <c r="DA314" s="457"/>
      <c r="DB314" s="464"/>
      <c r="DC314" s="466"/>
      <c r="DD314" s="465"/>
      <c r="DE314" s="457"/>
      <c r="DF314" s="625"/>
      <c r="DG314" s="626"/>
      <c r="DH314" s="465"/>
      <c r="DI314" s="457"/>
      <c r="DJ314" s="625"/>
      <c r="DK314" s="626"/>
      <c r="DL314" s="465"/>
      <c r="DM314" s="457"/>
      <c r="DN314" s="625"/>
      <c r="DO314" s="626"/>
      <c r="DP314" s="465"/>
      <c r="DQ314" s="457"/>
      <c r="DR314" s="464"/>
      <c r="DS314" s="466"/>
      <c r="DT314" s="465"/>
      <c r="DU314" s="457"/>
      <c r="DV314" s="464"/>
      <c r="DW314" s="466"/>
      <c r="DX314" s="465"/>
      <c r="DY314" s="457"/>
      <c r="DZ314" s="464"/>
      <c r="EA314" s="466"/>
      <c r="EB314" s="465"/>
      <c r="EC314" s="457"/>
      <c r="ED314" s="464"/>
      <c r="EE314" s="466"/>
      <c r="EF314" s="459"/>
      <c r="EG314" s="450"/>
      <c r="EH314" s="460">
        <f t="shared" si="178"/>
        <v>0</v>
      </c>
      <c r="EI314" s="460">
        <f t="shared" si="179"/>
        <v>0</v>
      </c>
      <c r="EJ314" s="458">
        <f t="shared" si="180"/>
        <v>0</v>
      </c>
      <c r="EK314" s="470">
        <f t="shared" si="181"/>
        <v>0</v>
      </c>
      <c r="EL314" s="470">
        <f t="shared" si="182"/>
        <v>0</v>
      </c>
      <c r="EM314" s="449">
        <f t="shared" si="183"/>
        <v>0</v>
      </c>
      <c r="EN314" s="460">
        <f t="shared" si="184"/>
        <v>0</v>
      </c>
      <c r="EO314" s="469">
        <f t="shared" si="185"/>
        <v>0</v>
      </c>
      <c r="EP314" s="471"/>
      <c r="EQ314" s="450"/>
      <c r="ER314" s="471"/>
      <c r="ES314" s="628"/>
      <c r="ET314" s="471"/>
      <c r="EU314" s="628"/>
      <c r="EV314" s="471"/>
      <c r="EW314" s="450"/>
      <c r="EX314" s="471"/>
      <c r="EY314" s="450"/>
      <c r="EZ314" s="471"/>
      <c r="FA314" s="450"/>
      <c r="FB314" s="471"/>
      <c r="FC314" s="450"/>
      <c r="FD314" s="471"/>
      <c r="FE314" s="450"/>
      <c r="FF314" s="471"/>
      <c r="FG314" s="450"/>
      <c r="FH314" s="472"/>
      <c r="FI314" s="627"/>
      <c r="FJ314" s="468">
        <f t="shared" si="176"/>
        <v>0</v>
      </c>
      <c r="FK314" s="469">
        <f t="shared" si="177"/>
        <v>0</v>
      </c>
      <c r="FL314" s="472"/>
      <c r="FM314" s="450"/>
      <c r="FN314" s="460">
        <f t="shared" si="186"/>
        <v>1072</v>
      </c>
      <c r="FO314" s="469">
        <f t="shared" si="187"/>
        <v>1267</v>
      </c>
    </row>
    <row r="315" spans="1:171" x14ac:dyDescent="0.2">
      <c r="A315" s="668" t="s">
        <v>264</v>
      </c>
      <c r="B315" s="669" t="s">
        <v>1016</v>
      </c>
      <c r="C315" s="670"/>
      <c r="D315" s="671">
        <v>198154</v>
      </c>
      <c r="E315" s="565">
        <v>8</v>
      </c>
      <c r="F315" s="532">
        <v>515</v>
      </c>
      <c r="G315" s="450">
        <v>474</v>
      </c>
      <c r="H315" s="457"/>
      <c r="I315" s="450"/>
      <c r="J315" s="457">
        <v>1056</v>
      </c>
      <c r="K315" s="640">
        <v>1056</v>
      </c>
      <c r="L315" s="458">
        <f t="shared" si="166"/>
        <v>0</v>
      </c>
      <c r="M315" s="449">
        <f t="shared" si="167"/>
        <v>0</v>
      </c>
      <c r="N315" s="459"/>
      <c r="O315" s="459"/>
      <c r="P315" s="459"/>
      <c r="Q315" s="459"/>
      <c r="R315" s="460">
        <f t="shared" si="165"/>
        <v>0</v>
      </c>
      <c r="S315" s="650"/>
      <c r="T315" s="461"/>
      <c r="U315" s="461"/>
      <c r="V315" s="461"/>
      <c r="W315" s="462">
        <f t="shared" si="142"/>
        <v>0</v>
      </c>
      <c r="X315" s="463"/>
      <c r="Y315" s="457"/>
      <c r="Z315" s="464"/>
      <c r="AA315" s="464"/>
      <c r="AB315" s="465"/>
      <c r="AC315" s="457"/>
      <c r="AD315" s="464"/>
      <c r="AE315" s="466"/>
      <c r="AF315" s="465"/>
      <c r="AG315" s="457"/>
      <c r="AH315" s="464"/>
      <c r="AI315" s="466"/>
      <c r="AJ315" s="465"/>
      <c r="AK315" s="457"/>
      <c r="AL315" s="464"/>
      <c r="AM315" s="466"/>
      <c r="AN315" s="465"/>
      <c r="AO315" s="457"/>
      <c r="AP315" s="464"/>
      <c r="AQ315" s="464"/>
      <c r="AR315" s="460">
        <f t="shared" si="172"/>
        <v>0</v>
      </c>
      <c r="AS315" s="467">
        <f t="shared" si="173"/>
        <v>0</v>
      </c>
      <c r="AT315" s="447">
        <f t="shared" si="174"/>
        <v>0</v>
      </c>
      <c r="AU315" s="448">
        <f t="shared" si="175"/>
        <v>0</v>
      </c>
      <c r="AV315" s="457"/>
      <c r="AW315" s="450"/>
      <c r="AX315" s="463"/>
      <c r="AY315" s="457"/>
      <c r="AZ315" s="625"/>
      <c r="BA315" s="625"/>
      <c r="BB315" s="465"/>
      <c r="BC315" s="457"/>
      <c r="BD315" s="625"/>
      <c r="BE315" s="626"/>
      <c r="BF315" s="465"/>
      <c r="BG315" s="457"/>
      <c r="BH315" s="625"/>
      <c r="BI315" s="626"/>
      <c r="BJ315" s="465"/>
      <c r="BK315" s="457"/>
      <c r="BL315" s="625"/>
      <c r="BM315" s="626"/>
      <c r="BN315" s="465"/>
      <c r="BO315" s="457"/>
      <c r="BP315" s="625"/>
      <c r="BQ315" s="626"/>
      <c r="BR315" s="465"/>
      <c r="BS315" s="457"/>
      <c r="BT315" s="464"/>
      <c r="BU315" s="466"/>
      <c r="BV315" s="465"/>
      <c r="BW315" s="457"/>
      <c r="BX315" s="464"/>
      <c r="BY315" s="466"/>
      <c r="BZ315" s="465"/>
      <c r="CA315" s="457"/>
      <c r="CB315" s="464"/>
      <c r="CC315" s="466"/>
      <c r="CD315" s="465"/>
      <c r="CE315" s="457"/>
      <c r="CF315" s="464"/>
      <c r="CG315" s="466"/>
      <c r="CH315" s="465"/>
      <c r="CI315" s="457"/>
      <c r="CJ315" s="464"/>
      <c r="CK315" s="466"/>
      <c r="CL315" s="459"/>
      <c r="CM315" s="627"/>
      <c r="CN315" s="468">
        <f t="shared" si="168"/>
        <v>0</v>
      </c>
      <c r="CO315" s="468">
        <f t="shared" si="169"/>
        <v>0</v>
      </c>
      <c r="CP315" s="469">
        <f t="shared" si="170"/>
        <v>0</v>
      </c>
      <c r="CQ315" s="469">
        <f t="shared" si="171"/>
        <v>0</v>
      </c>
      <c r="CR315" s="463"/>
      <c r="CS315" s="457"/>
      <c r="CT315" s="753"/>
      <c r="CU315" s="753"/>
      <c r="CV315" s="465"/>
      <c r="CW315" s="457"/>
      <c r="CX315" s="625"/>
      <c r="CY315" s="626"/>
      <c r="CZ315" s="465"/>
      <c r="DA315" s="457"/>
      <c r="DB315" s="625"/>
      <c r="DC315" s="626"/>
      <c r="DD315" s="465"/>
      <c r="DE315" s="457"/>
      <c r="DF315" s="625"/>
      <c r="DG315" s="626"/>
      <c r="DH315" s="465"/>
      <c r="DI315" s="457"/>
      <c r="DJ315" s="625"/>
      <c r="DK315" s="626"/>
      <c r="DL315" s="465"/>
      <c r="DM315" s="457"/>
      <c r="DN315" s="625"/>
      <c r="DO315" s="626"/>
      <c r="DP315" s="465"/>
      <c r="DQ315" s="457"/>
      <c r="DR315" s="464"/>
      <c r="DS315" s="466"/>
      <c r="DT315" s="465"/>
      <c r="DU315" s="457"/>
      <c r="DV315" s="464"/>
      <c r="DW315" s="466"/>
      <c r="DX315" s="465"/>
      <c r="DY315" s="457"/>
      <c r="DZ315" s="464"/>
      <c r="EA315" s="466"/>
      <c r="EB315" s="465"/>
      <c r="EC315" s="457"/>
      <c r="ED315" s="464"/>
      <c r="EE315" s="466"/>
      <c r="EF315" s="459"/>
      <c r="EG315" s="450"/>
      <c r="EH315" s="460">
        <f t="shared" si="178"/>
        <v>0</v>
      </c>
      <c r="EI315" s="460">
        <f t="shared" si="179"/>
        <v>0</v>
      </c>
      <c r="EJ315" s="458">
        <f t="shared" si="180"/>
        <v>0</v>
      </c>
      <c r="EK315" s="470">
        <f t="shared" si="181"/>
        <v>0</v>
      </c>
      <c r="EL315" s="470">
        <f t="shared" si="182"/>
        <v>0</v>
      </c>
      <c r="EM315" s="449">
        <f t="shared" si="183"/>
        <v>0</v>
      </c>
      <c r="EN315" s="460">
        <f t="shared" si="184"/>
        <v>0</v>
      </c>
      <c r="EO315" s="469">
        <f t="shared" si="185"/>
        <v>0</v>
      </c>
      <c r="EP315" s="471"/>
      <c r="EQ315" s="450"/>
      <c r="ER315" s="471"/>
      <c r="ES315" s="628"/>
      <c r="ET315" s="471"/>
      <c r="EU315" s="628"/>
      <c r="EV315" s="471"/>
      <c r="EW315" s="450"/>
      <c r="EX315" s="471"/>
      <c r="EY315" s="450"/>
      <c r="EZ315" s="471"/>
      <c r="FA315" s="450"/>
      <c r="FB315" s="471"/>
      <c r="FC315" s="450"/>
      <c r="FD315" s="471"/>
      <c r="FE315" s="450"/>
      <c r="FF315" s="471"/>
      <c r="FG315" s="450"/>
      <c r="FH315" s="472"/>
      <c r="FI315" s="627"/>
      <c r="FJ315" s="468">
        <f t="shared" si="176"/>
        <v>0</v>
      </c>
      <c r="FK315" s="469">
        <f t="shared" si="177"/>
        <v>0</v>
      </c>
      <c r="FL315" s="472"/>
      <c r="FM315" s="450"/>
      <c r="FN315" s="460">
        <f t="shared" si="186"/>
        <v>1571</v>
      </c>
      <c r="FO315" s="469">
        <f t="shared" si="187"/>
        <v>1530</v>
      </c>
    </row>
    <row r="316" spans="1:171" x14ac:dyDescent="0.2">
      <c r="A316" s="668" t="s">
        <v>264</v>
      </c>
      <c r="B316" s="669" t="s">
        <v>1017</v>
      </c>
      <c r="C316" s="670"/>
      <c r="D316" s="671">
        <v>198260</v>
      </c>
      <c r="E316" s="565">
        <v>8</v>
      </c>
      <c r="F316" s="532">
        <v>341</v>
      </c>
      <c r="G316" s="450">
        <v>496</v>
      </c>
      <c r="H316" s="457"/>
      <c r="I316" s="450"/>
      <c r="J316" s="457">
        <v>1144</v>
      </c>
      <c r="K316" s="450">
        <v>1561</v>
      </c>
      <c r="L316" s="458">
        <f t="shared" si="166"/>
        <v>0</v>
      </c>
      <c r="M316" s="449">
        <f t="shared" si="167"/>
        <v>0</v>
      </c>
      <c r="N316" s="459"/>
      <c r="O316" s="459"/>
      <c r="P316" s="459"/>
      <c r="Q316" s="459"/>
      <c r="R316" s="460">
        <f t="shared" si="165"/>
        <v>0</v>
      </c>
      <c r="S316" s="650"/>
      <c r="T316" s="461"/>
      <c r="U316" s="461"/>
      <c r="V316" s="461"/>
      <c r="W316" s="462">
        <f t="shared" si="142"/>
        <v>0</v>
      </c>
      <c r="X316" s="463"/>
      <c r="Y316" s="457"/>
      <c r="Z316" s="464"/>
      <c r="AA316" s="464"/>
      <c r="AB316" s="465"/>
      <c r="AC316" s="457"/>
      <c r="AD316" s="464"/>
      <c r="AE316" s="466"/>
      <c r="AF316" s="465"/>
      <c r="AG316" s="457"/>
      <c r="AH316" s="464"/>
      <c r="AI316" s="466"/>
      <c r="AJ316" s="465"/>
      <c r="AK316" s="457"/>
      <c r="AL316" s="464"/>
      <c r="AM316" s="466"/>
      <c r="AN316" s="465"/>
      <c r="AO316" s="457"/>
      <c r="AP316" s="464"/>
      <c r="AQ316" s="464"/>
      <c r="AR316" s="460">
        <f t="shared" si="172"/>
        <v>0</v>
      </c>
      <c r="AS316" s="467">
        <f t="shared" si="173"/>
        <v>0</v>
      </c>
      <c r="AT316" s="447">
        <f t="shared" si="174"/>
        <v>0</v>
      </c>
      <c r="AU316" s="448">
        <f t="shared" si="175"/>
        <v>0</v>
      </c>
      <c r="AV316" s="457"/>
      <c r="AW316" s="450"/>
      <c r="AX316" s="463"/>
      <c r="AY316" s="457"/>
      <c r="AZ316" s="751"/>
      <c r="BA316" s="757"/>
      <c r="BB316" s="465"/>
      <c r="BC316" s="457"/>
      <c r="BD316" s="753"/>
      <c r="BE316" s="761"/>
      <c r="BF316" s="465"/>
      <c r="BG316" s="457"/>
      <c r="BH316" s="751"/>
      <c r="BI316" s="750"/>
      <c r="BJ316" s="465"/>
      <c r="BK316" s="457"/>
      <c r="BL316" s="753"/>
      <c r="BM316" s="761"/>
      <c r="BN316" s="465"/>
      <c r="BO316" s="457"/>
      <c r="BP316" s="625"/>
      <c r="BQ316" s="626"/>
      <c r="BR316" s="465"/>
      <c r="BS316" s="457"/>
      <c r="BT316" s="550"/>
      <c r="BU316" s="551"/>
      <c r="BV316" s="465"/>
      <c r="BW316" s="457"/>
      <c r="BX316" s="464"/>
      <c r="BY316" s="466"/>
      <c r="BZ316" s="465"/>
      <c r="CA316" s="457"/>
      <c r="CB316" s="464"/>
      <c r="CC316" s="466"/>
      <c r="CD316" s="465"/>
      <c r="CE316" s="457"/>
      <c r="CF316" s="464"/>
      <c r="CG316" s="466"/>
      <c r="CH316" s="465"/>
      <c r="CI316" s="457"/>
      <c r="CJ316" s="464"/>
      <c r="CK316" s="466"/>
      <c r="CL316" s="459"/>
      <c r="CM316" s="627"/>
      <c r="CN316" s="468">
        <f t="shared" si="168"/>
        <v>0</v>
      </c>
      <c r="CO316" s="468">
        <f t="shared" si="169"/>
        <v>0</v>
      </c>
      <c r="CP316" s="469">
        <f t="shared" si="170"/>
        <v>0</v>
      </c>
      <c r="CQ316" s="469">
        <f t="shared" si="171"/>
        <v>0</v>
      </c>
      <c r="CR316" s="463"/>
      <c r="CS316" s="457"/>
      <c r="CT316" s="779"/>
      <c r="CU316" s="781"/>
      <c r="CV316" s="465"/>
      <c r="CW316" s="457"/>
      <c r="CX316" s="625"/>
      <c r="CY316" s="626"/>
      <c r="CZ316" s="465"/>
      <c r="DA316" s="457"/>
      <c r="DB316" s="625"/>
      <c r="DC316" s="626"/>
      <c r="DD316" s="465"/>
      <c r="DE316" s="457"/>
      <c r="DF316" s="625"/>
      <c r="DG316" s="626"/>
      <c r="DH316" s="465"/>
      <c r="DI316" s="457"/>
      <c r="DJ316" s="464"/>
      <c r="DK316" s="466"/>
      <c r="DL316" s="465"/>
      <c r="DM316" s="457"/>
      <c r="DN316" s="625"/>
      <c r="DO316" s="626"/>
      <c r="DP316" s="465"/>
      <c r="DQ316" s="457"/>
      <c r="DR316" s="464"/>
      <c r="DS316" s="466"/>
      <c r="DT316" s="465"/>
      <c r="DU316" s="457"/>
      <c r="DV316" s="464"/>
      <c r="DW316" s="466"/>
      <c r="DX316" s="465"/>
      <c r="DY316" s="457"/>
      <c r="DZ316" s="464"/>
      <c r="EA316" s="466"/>
      <c r="EB316" s="465"/>
      <c r="EC316" s="457"/>
      <c r="ED316" s="464"/>
      <c r="EE316" s="466"/>
      <c r="EF316" s="459"/>
      <c r="EG316" s="450"/>
      <c r="EH316" s="460">
        <f t="shared" si="178"/>
        <v>0</v>
      </c>
      <c r="EI316" s="460">
        <f t="shared" si="179"/>
        <v>0</v>
      </c>
      <c r="EJ316" s="458">
        <f t="shared" si="180"/>
        <v>0</v>
      </c>
      <c r="EK316" s="470">
        <f t="shared" si="181"/>
        <v>0</v>
      </c>
      <c r="EL316" s="470">
        <f t="shared" si="182"/>
        <v>0</v>
      </c>
      <c r="EM316" s="449">
        <f t="shared" si="183"/>
        <v>0</v>
      </c>
      <c r="EN316" s="460">
        <f t="shared" si="184"/>
        <v>0</v>
      </c>
      <c r="EO316" s="469">
        <f t="shared" si="185"/>
        <v>0</v>
      </c>
      <c r="EP316" s="471"/>
      <c r="EQ316" s="450"/>
      <c r="ER316" s="471"/>
      <c r="ES316" s="450"/>
      <c r="ET316" s="471"/>
      <c r="EU316" s="450"/>
      <c r="EV316" s="471"/>
      <c r="EW316" s="450"/>
      <c r="EX316" s="471"/>
      <c r="EY316" s="450"/>
      <c r="EZ316" s="471"/>
      <c r="FA316" s="450"/>
      <c r="FB316" s="471"/>
      <c r="FC316" s="450"/>
      <c r="FD316" s="471"/>
      <c r="FE316" s="450"/>
      <c r="FF316" s="471"/>
      <c r="FG316" s="450"/>
      <c r="FH316" s="472"/>
      <c r="FI316" s="627"/>
      <c r="FJ316" s="468">
        <f t="shared" si="176"/>
        <v>0</v>
      </c>
      <c r="FK316" s="469">
        <f t="shared" si="177"/>
        <v>0</v>
      </c>
      <c r="FL316" s="472"/>
      <c r="FM316" s="450"/>
      <c r="FN316" s="460">
        <f t="shared" si="186"/>
        <v>1485</v>
      </c>
      <c r="FO316" s="469">
        <f t="shared" si="187"/>
        <v>2057</v>
      </c>
    </row>
    <row r="317" spans="1:171" x14ac:dyDescent="0.2">
      <c r="A317" s="668" t="s">
        <v>264</v>
      </c>
      <c r="B317" s="669" t="s">
        <v>1018</v>
      </c>
      <c r="C317" s="670"/>
      <c r="D317" s="671">
        <v>198534</v>
      </c>
      <c r="E317" s="565">
        <v>8</v>
      </c>
      <c r="F317" s="532">
        <v>449</v>
      </c>
      <c r="G317" s="450">
        <v>559</v>
      </c>
      <c r="H317" s="457"/>
      <c r="I317" s="450"/>
      <c r="J317" s="457">
        <v>836</v>
      </c>
      <c r="K317" s="450">
        <v>846</v>
      </c>
      <c r="L317" s="458">
        <f t="shared" si="166"/>
        <v>0</v>
      </c>
      <c r="M317" s="449">
        <f t="shared" si="167"/>
        <v>0</v>
      </c>
      <c r="N317" s="459"/>
      <c r="O317" s="459"/>
      <c r="P317" s="459"/>
      <c r="Q317" s="459"/>
      <c r="R317" s="460">
        <f t="shared" si="165"/>
        <v>0</v>
      </c>
      <c r="S317" s="650"/>
      <c r="T317" s="461"/>
      <c r="U317" s="461"/>
      <c r="V317" s="461"/>
      <c r="W317" s="462">
        <f t="shared" si="142"/>
        <v>0</v>
      </c>
      <c r="X317" s="463"/>
      <c r="Y317" s="457"/>
      <c r="Z317" s="464"/>
      <c r="AA317" s="464"/>
      <c r="AB317" s="465"/>
      <c r="AC317" s="457"/>
      <c r="AD317" s="464"/>
      <c r="AE317" s="466"/>
      <c r="AF317" s="465"/>
      <c r="AG317" s="457"/>
      <c r="AH317" s="464"/>
      <c r="AI317" s="466"/>
      <c r="AJ317" s="465"/>
      <c r="AK317" s="457"/>
      <c r="AL317" s="464"/>
      <c r="AM317" s="466"/>
      <c r="AN317" s="465"/>
      <c r="AO317" s="457"/>
      <c r="AP317" s="464"/>
      <c r="AQ317" s="464"/>
      <c r="AR317" s="460">
        <f t="shared" si="172"/>
        <v>0</v>
      </c>
      <c r="AS317" s="467">
        <f t="shared" si="173"/>
        <v>0</v>
      </c>
      <c r="AT317" s="447">
        <f t="shared" si="174"/>
        <v>0</v>
      </c>
      <c r="AU317" s="448">
        <f t="shared" si="175"/>
        <v>0</v>
      </c>
      <c r="AV317" s="457"/>
      <c r="AW317" s="450"/>
      <c r="AX317" s="463"/>
      <c r="AY317" s="457"/>
      <c r="AZ317" s="753"/>
      <c r="BA317" s="753"/>
      <c r="BB317" s="465"/>
      <c r="BC317" s="457"/>
      <c r="BD317" s="625"/>
      <c r="BE317" s="626"/>
      <c r="BF317" s="465"/>
      <c r="BG317" s="457"/>
      <c r="BH317" s="753"/>
      <c r="BI317" s="761"/>
      <c r="BJ317" s="465"/>
      <c r="BK317" s="457"/>
      <c r="BL317" s="625"/>
      <c r="BM317" s="626"/>
      <c r="BN317" s="465"/>
      <c r="BO317" s="457"/>
      <c r="BP317" s="625"/>
      <c r="BQ317" s="626"/>
      <c r="BR317" s="465"/>
      <c r="BS317" s="457"/>
      <c r="BT317" s="464"/>
      <c r="BU317" s="466"/>
      <c r="BV317" s="465"/>
      <c r="BW317" s="457"/>
      <c r="BX317" s="625"/>
      <c r="BY317" s="626"/>
      <c r="BZ317" s="465"/>
      <c r="CA317" s="457"/>
      <c r="CB317" s="464"/>
      <c r="CC317" s="466"/>
      <c r="CD317" s="465"/>
      <c r="CE317" s="457"/>
      <c r="CF317" s="464"/>
      <c r="CG317" s="466"/>
      <c r="CH317" s="465"/>
      <c r="CI317" s="457"/>
      <c r="CJ317" s="464"/>
      <c r="CK317" s="466"/>
      <c r="CL317" s="459"/>
      <c r="CM317" s="627"/>
      <c r="CN317" s="468">
        <f t="shared" si="168"/>
        <v>0</v>
      </c>
      <c r="CO317" s="468">
        <f t="shared" si="169"/>
        <v>0</v>
      </c>
      <c r="CP317" s="469">
        <f t="shared" si="170"/>
        <v>0</v>
      </c>
      <c r="CQ317" s="469">
        <f t="shared" si="171"/>
        <v>0</v>
      </c>
      <c r="CR317" s="463"/>
      <c r="CS317" s="457"/>
      <c r="CT317" s="779"/>
      <c r="CU317" s="781"/>
      <c r="CV317" s="465"/>
      <c r="CW317" s="457"/>
      <c r="CX317" s="625"/>
      <c r="CY317" s="626"/>
      <c r="CZ317" s="465"/>
      <c r="DA317" s="457"/>
      <c r="DB317" s="625"/>
      <c r="DC317" s="626"/>
      <c r="DD317" s="465"/>
      <c r="DE317" s="457"/>
      <c r="DF317" s="625"/>
      <c r="DG317" s="626"/>
      <c r="DH317" s="465"/>
      <c r="DI317" s="457"/>
      <c r="DJ317" s="464"/>
      <c r="DK317" s="466"/>
      <c r="DL317" s="465"/>
      <c r="DM317" s="457"/>
      <c r="DN317" s="464"/>
      <c r="DO317" s="466"/>
      <c r="DP317" s="465"/>
      <c r="DQ317" s="457"/>
      <c r="DR317" s="464"/>
      <c r="DS317" s="466"/>
      <c r="DT317" s="465"/>
      <c r="DU317" s="457"/>
      <c r="DV317" s="464"/>
      <c r="DW317" s="466"/>
      <c r="DX317" s="465"/>
      <c r="DY317" s="457"/>
      <c r="DZ317" s="464"/>
      <c r="EA317" s="466"/>
      <c r="EB317" s="465"/>
      <c r="EC317" s="457"/>
      <c r="ED317" s="464"/>
      <c r="EE317" s="466"/>
      <c r="EF317" s="459"/>
      <c r="EG317" s="450"/>
      <c r="EH317" s="460">
        <f t="shared" si="178"/>
        <v>0</v>
      </c>
      <c r="EI317" s="460">
        <f t="shared" si="179"/>
        <v>0</v>
      </c>
      <c r="EJ317" s="458">
        <f t="shared" si="180"/>
        <v>0</v>
      </c>
      <c r="EK317" s="470">
        <f t="shared" si="181"/>
        <v>0</v>
      </c>
      <c r="EL317" s="470">
        <f t="shared" si="182"/>
        <v>0</v>
      </c>
      <c r="EM317" s="449">
        <f t="shared" si="183"/>
        <v>0</v>
      </c>
      <c r="EN317" s="460">
        <f t="shared" si="184"/>
        <v>0</v>
      </c>
      <c r="EO317" s="469">
        <f t="shared" si="185"/>
        <v>0</v>
      </c>
      <c r="EP317" s="471"/>
      <c r="EQ317" s="450"/>
      <c r="ER317" s="471"/>
      <c r="ES317" s="450"/>
      <c r="ET317" s="471"/>
      <c r="EU317" s="450"/>
      <c r="EV317" s="471"/>
      <c r="EW317" s="450"/>
      <c r="EX317" s="471"/>
      <c r="EY317" s="450"/>
      <c r="EZ317" s="471"/>
      <c r="FA317" s="450"/>
      <c r="FB317" s="471"/>
      <c r="FC317" s="450"/>
      <c r="FD317" s="471"/>
      <c r="FE317" s="450"/>
      <c r="FF317" s="471"/>
      <c r="FG317" s="450"/>
      <c r="FH317" s="472"/>
      <c r="FI317" s="627"/>
      <c r="FJ317" s="468">
        <f t="shared" si="176"/>
        <v>0</v>
      </c>
      <c r="FK317" s="469">
        <f t="shared" si="177"/>
        <v>0</v>
      </c>
      <c r="FL317" s="472"/>
      <c r="FM317" s="450"/>
      <c r="FN317" s="460">
        <f t="shared" si="186"/>
        <v>1285</v>
      </c>
      <c r="FO317" s="469">
        <f t="shared" si="187"/>
        <v>1405</v>
      </c>
    </row>
    <row r="318" spans="1:171" x14ac:dyDescent="0.2">
      <c r="A318" s="668" t="s">
        <v>264</v>
      </c>
      <c r="B318" s="669" t="s">
        <v>1019</v>
      </c>
      <c r="C318" s="670"/>
      <c r="D318" s="671">
        <v>198552</v>
      </c>
      <c r="E318" s="565">
        <v>8</v>
      </c>
      <c r="F318" s="532">
        <v>506</v>
      </c>
      <c r="G318" s="450">
        <v>447</v>
      </c>
      <c r="H318" s="457"/>
      <c r="I318" s="450"/>
      <c r="J318" s="457">
        <v>843</v>
      </c>
      <c r="K318" s="450">
        <v>831</v>
      </c>
      <c r="L318" s="458">
        <f t="shared" si="166"/>
        <v>0</v>
      </c>
      <c r="M318" s="449">
        <f t="shared" si="167"/>
        <v>0</v>
      </c>
      <c r="N318" s="459"/>
      <c r="O318" s="459"/>
      <c r="P318" s="459"/>
      <c r="Q318" s="459"/>
      <c r="R318" s="460">
        <f t="shared" si="165"/>
        <v>0</v>
      </c>
      <c r="S318" s="747"/>
      <c r="T318" s="461"/>
      <c r="U318" s="461"/>
      <c r="V318" s="461"/>
      <c r="W318" s="462">
        <f t="shared" si="142"/>
        <v>0</v>
      </c>
      <c r="X318" s="463"/>
      <c r="Y318" s="457"/>
      <c r="Z318" s="464"/>
      <c r="AA318" s="464"/>
      <c r="AB318" s="465"/>
      <c r="AC318" s="457"/>
      <c r="AD318" s="464"/>
      <c r="AE318" s="466"/>
      <c r="AF318" s="465"/>
      <c r="AG318" s="457"/>
      <c r="AH318" s="464"/>
      <c r="AI318" s="466"/>
      <c r="AJ318" s="465"/>
      <c r="AK318" s="457"/>
      <c r="AL318" s="464"/>
      <c r="AM318" s="466"/>
      <c r="AN318" s="465"/>
      <c r="AO318" s="457"/>
      <c r="AP318" s="464"/>
      <c r="AQ318" s="464"/>
      <c r="AR318" s="460">
        <f t="shared" si="172"/>
        <v>0</v>
      </c>
      <c r="AS318" s="467">
        <f t="shared" si="173"/>
        <v>0</v>
      </c>
      <c r="AT318" s="447">
        <f t="shared" si="174"/>
        <v>0</v>
      </c>
      <c r="AU318" s="448">
        <f t="shared" si="175"/>
        <v>0</v>
      </c>
      <c r="AV318" s="457"/>
      <c r="AW318" s="450"/>
      <c r="AX318" s="463"/>
      <c r="AY318" s="457"/>
      <c r="AZ318" s="625"/>
      <c r="BA318" s="625"/>
      <c r="BB318" s="465"/>
      <c r="BC318" s="457"/>
      <c r="BD318" s="625"/>
      <c r="BE318" s="626"/>
      <c r="BF318" s="465"/>
      <c r="BG318" s="457"/>
      <c r="BH318" s="751"/>
      <c r="BI318" s="750"/>
      <c r="BJ318" s="465"/>
      <c r="BK318" s="457"/>
      <c r="BL318" s="625"/>
      <c r="BM318" s="626"/>
      <c r="BN318" s="465"/>
      <c r="BO318" s="457"/>
      <c r="BP318" s="625"/>
      <c r="BQ318" s="626"/>
      <c r="BR318" s="465"/>
      <c r="BS318" s="457"/>
      <c r="BT318" s="464"/>
      <c r="BU318" s="466"/>
      <c r="BV318" s="465"/>
      <c r="BW318" s="457"/>
      <c r="BX318" s="625"/>
      <c r="BY318" s="626"/>
      <c r="BZ318" s="465"/>
      <c r="CA318" s="457"/>
      <c r="CB318" s="464"/>
      <c r="CC318" s="466"/>
      <c r="CD318" s="465"/>
      <c r="CE318" s="457"/>
      <c r="CF318" s="464"/>
      <c r="CG318" s="466"/>
      <c r="CH318" s="465"/>
      <c r="CI318" s="457"/>
      <c r="CJ318" s="464"/>
      <c r="CK318" s="466"/>
      <c r="CL318" s="459"/>
      <c r="CM318" s="627"/>
      <c r="CN318" s="468">
        <f t="shared" si="168"/>
        <v>0</v>
      </c>
      <c r="CO318" s="468">
        <f t="shared" si="169"/>
        <v>0</v>
      </c>
      <c r="CP318" s="469">
        <f t="shared" si="170"/>
        <v>0</v>
      </c>
      <c r="CQ318" s="469">
        <f t="shared" si="171"/>
        <v>0</v>
      </c>
      <c r="CR318" s="463"/>
      <c r="CS318" s="457"/>
      <c r="CT318" s="625"/>
      <c r="CU318" s="625"/>
      <c r="CV318" s="465"/>
      <c r="CW318" s="457"/>
      <c r="CX318" s="625"/>
      <c r="CY318" s="626"/>
      <c r="CZ318" s="465"/>
      <c r="DA318" s="457"/>
      <c r="DB318" s="625"/>
      <c r="DC318" s="626"/>
      <c r="DD318" s="465"/>
      <c r="DE318" s="457"/>
      <c r="DF318" s="464"/>
      <c r="DG318" s="466"/>
      <c r="DH318" s="465"/>
      <c r="DI318" s="457"/>
      <c r="DJ318" s="464"/>
      <c r="DK318" s="466"/>
      <c r="DL318" s="465"/>
      <c r="DM318" s="457"/>
      <c r="DN318" s="464"/>
      <c r="DO318" s="466"/>
      <c r="DP318" s="465"/>
      <c r="DQ318" s="457"/>
      <c r="DR318" s="464"/>
      <c r="DS318" s="466"/>
      <c r="DT318" s="465"/>
      <c r="DU318" s="457"/>
      <c r="DV318" s="464"/>
      <c r="DW318" s="466"/>
      <c r="DX318" s="465"/>
      <c r="DY318" s="457"/>
      <c r="DZ318" s="464"/>
      <c r="EA318" s="466"/>
      <c r="EB318" s="465"/>
      <c r="EC318" s="457"/>
      <c r="ED318" s="464"/>
      <c r="EE318" s="466"/>
      <c r="EF318" s="459"/>
      <c r="EG318" s="450"/>
      <c r="EH318" s="460">
        <f t="shared" si="178"/>
        <v>0</v>
      </c>
      <c r="EI318" s="460">
        <f t="shared" si="179"/>
        <v>0</v>
      </c>
      <c r="EJ318" s="458">
        <f t="shared" si="180"/>
        <v>0</v>
      </c>
      <c r="EK318" s="470">
        <f t="shared" si="181"/>
        <v>0</v>
      </c>
      <c r="EL318" s="470">
        <f t="shared" si="182"/>
        <v>0</v>
      </c>
      <c r="EM318" s="449">
        <f t="shared" si="183"/>
        <v>0</v>
      </c>
      <c r="EN318" s="460">
        <f t="shared" si="184"/>
        <v>0</v>
      </c>
      <c r="EO318" s="469">
        <f t="shared" si="185"/>
        <v>0</v>
      </c>
      <c r="EP318" s="471"/>
      <c r="EQ318" s="450"/>
      <c r="ER318" s="471"/>
      <c r="ES318" s="450"/>
      <c r="ET318" s="471"/>
      <c r="EU318" s="450"/>
      <c r="EV318" s="471"/>
      <c r="EW318" s="450"/>
      <c r="EX318" s="471"/>
      <c r="EY318" s="450"/>
      <c r="EZ318" s="471"/>
      <c r="FA318" s="450"/>
      <c r="FB318" s="471"/>
      <c r="FC318" s="450"/>
      <c r="FD318" s="471"/>
      <c r="FE318" s="450"/>
      <c r="FF318" s="471"/>
      <c r="FG318" s="450"/>
      <c r="FH318" s="472"/>
      <c r="FI318" s="627"/>
      <c r="FJ318" s="468">
        <f t="shared" si="176"/>
        <v>0</v>
      </c>
      <c r="FK318" s="469">
        <f t="shared" si="177"/>
        <v>0</v>
      </c>
      <c r="FL318" s="472"/>
      <c r="FM318" s="450"/>
      <c r="FN318" s="460">
        <f t="shared" si="186"/>
        <v>1349</v>
      </c>
      <c r="FO318" s="469">
        <f t="shared" si="187"/>
        <v>1278</v>
      </c>
    </row>
    <row r="319" spans="1:171" x14ac:dyDescent="0.2">
      <c r="A319" s="668" t="s">
        <v>264</v>
      </c>
      <c r="B319" s="672" t="s">
        <v>1020</v>
      </c>
      <c r="C319" s="673" t="s">
        <v>643</v>
      </c>
      <c r="D319" s="674">
        <v>198570</v>
      </c>
      <c r="E319" s="561">
        <v>8</v>
      </c>
      <c r="F319" s="532">
        <v>349</v>
      </c>
      <c r="G319" s="450">
        <v>264</v>
      </c>
      <c r="H319" s="457"/>
      <c r="I319" s="450"/>
      <c r="J319" s="457">
        <v>639</v>
      </c>
      <c r="K319" s="450">
        <v>602</v>
      </c>
      <c r="L319" s="458">
        <f t="shared" si="166"/>
        <v>0</v>
      </c>
      <c r="M319" s="449">
        <f t="shared" si="167"/>
        <v>0</v>
      </c>
      <c r="N319" s="459"/>
      <c r="O319" s="459"/>
      <c r="P319" s="459"/>
      <c r="Q319" s="459"/>
      <c r="R319" s="460">
        <f t="shared" si="165"/>
        <v>0</v>
      </c>
      <c r="S319" s="746"/>
      <c r="T319" s="461"/>
      <c r="U319" s="461"/>
      <c r="V319" s="461"/>
      <c r="W319" s="462">
        <f t="shared" si="142"/>
        <v>0</v>
      </c>
      <c r="X319" s="463"/>
      <c r="Y319" s="457"/>
      <c r="Z319" s="464"/>
      <c r="AA319" s="464"/>
      <c r="AB319" s="465"/>
      <c r="AC319" s="457"/>
      <c r="AD319" s="464"/>
      <c r="AE319" s="466"/>
      <c r="AF319" s="465"/>
      <c r="AG319" s="457"/>
      <c r="AH319" s="464"/>
      <c r="AI319" s="466"/>
      <c r="AJ319" s="465"/>
      <c r="AK319" s="457"/>
      <c r="AL319" s="464"/>
      <c r="AM319" s="466"/>
      <c r="AN319" s="465"/>
      <c r="AO319" s="457"/>
      <c r="AP319" s="464"/>
      <c r="AQ319" s="464"/>
      <c r="AR319" s="460">
        <f t="shared" si="172"/>
        <v>0</v>
      </c>
      <c r="AS319" s="467">
        <f t="shared" si="173"/>
        <v>0</v>
      </c>
      <c r="AT319" s="447">
        <f t="shared" si="174"/>
        <v>0</v>
      </c>
      <c r="AU319" s="448">
        <f t="shared" si="175"/>
        <v>0</v>
      </c>
      <c r="AV319" s="457"/>
      <c r="AW319" s="450"/>
      <c r="AX319" s="463"/>
      <c r="AY319" s="457"/>
      <c r="AZ319" s="625"/>
      <c r="BA319" s="756"/>
      <c r="BB319" s="465"/>
      <c r="BC319" s="457"/>
      <c r="BD319" s="625"/>
      <c r="BE319" s="756"/>
      <c r="BF319" s="465"/>
      <c r="BG319" s="457"/>
      <c r="BH319" s="625"/>
      <c r="BI319" s="756"/>
      <c r="BJ319" s="465"/>
      <c r="BK319" s="457"/>
      <c r="BL319" s="625"/>
      <c r="BM319" s="756"/>
      <c r="BN319" s="465"/>
      <c r="BO319" s="457"/>
      <c r="BP319" s="625"/>
      <c r="BQ319" s="756"/>
      <c r="BR319" s="465"/>
      <c r="BS319" s="457"/>
      <c r="BT319" s="464"/>
      <c r="BU319" s="392"/>
      <c r="BV319" s="465"/>
      <c r="BW319" s="457"/>
      <c r="BX319" s="625"/>
      <c r="BY319" s="756"/>
      <c r="BZ319" s="465"/>
      <c r="CA319" s="457"/>
      <c r="CB319" s="464"/>
      <c r="CC319" s="392"/>
      <c r="CD319" s="465"/>
      <c r="CE319" s="457"/>
      <c r="CF319" s="464"/>
      <c r="CG319" s="392"/>
      <c r="CH319" s="465"/>
      <c r="CI319" s="457"/>
      <c r="CJ319" s="464"/>
      <c r="CK319" s="392"/>
      <c r="CL319" s="459"/>
      <c r="CM319" s="450"/>
      <c r="CN319" s="468">
        <f t="shared" si="168"/>
        <v>0</v>
      </c>
      <c r="CO319" s="468">
        <f t="shared" si="169"/>
        <v>0</v>
      </c>
      <c r="CP319" s="469">
        <f t="shared" si="170"/>
        <v>0</v>
      </c>
      <c r="CQ319" s="469">
        <f t="shared" si="171"/>
        <v>0</v>
      </c>
      <c r="CR319" s="463"/>
      <c r="CS319" s="457"/>
      <c r="CT319" s="392"/>
      <c r="CU319" s="392"/>
      <c r="CV319" s="465"/>
      <c r="CW319" s="457"/>
      <c r="CX319" s="756"/>
      <c r="CY319" s="756"/>
      <c r="CZ319" s="465"/>
      <c r="DA319" s="457"/>
      <c r="DB319" s="756"/>
      <c r="DC319" s="756"/>
      <c r="DD319" s="465"/>
      <c r="DE319" s="457"/>
      <c r="DF319" s="392"/>
      <c r="DG319" s="392"/>
      <c r="DH319" s="465"/>
      <c r="DI319" s="457"/>
      <c r="DJ319" s="392"/>
      <c r="DK319" s="392"/>
      <c r="DL319" s="465"/>
      <c r="DM319" s="457"/>
      <c r="DN319" s="392"/>
      <c r="DO319" s="392"/>
      <c r="DP319" s="465"/>
      <c r="DQ319" s="457"/>
      <c r="DR319" s="392"/>
      <c r="DS319" s="392"/>
      <c r="DT319" s="465"/>
      <c r="DU319" s="457"/>
      <c r="DV319" s="392"/>
      <c r="DW319" s="392"/>
      <c r="DX319" s="465"/>
      <c r="DY319" s="457"/>
      <c r="DZ319" s="392"/>
      <c r="EA319" s="392"/>
      <c r="EB319" s="465"/>
      <c r="EC319" s="457"/>
      <c r="ED319" s="392"/>
      <c r="EE319" s="392"/>
      <c r="EF319" s="459"/>
      <c r="EG319" s="450"/>
      <c r="EH319" s="460">
        <f t="shared" si="178"/>
        <v>0</v>
      </c>
      <c r="EI319" s="460">
        <f t="shared" si="179"/>
        <v>0</v>
      </c>
      <c r="EJ319" s="458">
        <f t="shared" si="180"/>
        <v>0</v>
      </c>
      <c r="EK319" s="470">
        <f t="shared" si="181"/>
        <v>0</v>
      </c>
      <c r="EL319" s="470">
        <f t="shared" si="182"/>
        <v>0</v>
      </c>
      <c r="EM319" s="449">
        <f t="shared" si="183"/>
        <v>0</v>
      </c>
      <c r="EN319" s="460">
        <f t="shared" si="184"/>
        <v>0</v>
      </c>
      <c r="EO319" s="469">
        <f t="shared" si="185"/>
        <v>0</v>
      </c>
      <c r="EP319" s="471"/>
      <c r="EQ319" s="450"/>
      <c r="ER319" s="471"/>
      <c r="ES319" s="450"/>
      <c r="ET319" s="471"/>
      <c r="EU319" s="450"/>
      <c r="EV319" s="471"/>
      <c r="EW319" s="450"/>
      <c r="EX319" s="471"/>
      <c r="EY319" s="450"/>
      <c r="EZ319" s="471"/>
      <c r="FA319" s="450"/>
      <c r="FB319" s="471"/>
      <c r="FC319" s="450"/>
      <c r="FD319" s="471"/>
      <c r="FE319" s="450"/>
      <c r="FF319" s="471"/>
      <c r="FG319" s="450"/>
      <c r="FH319" s="472"/>
      <c r="FI319" s="450"/>
      <c r="FJ319" s="468">
        <f t="shared" si="176"/>
        <v>0</v>
      </c>
      <c r="FK319" s="469">
        <f t="shared" si="177"/>
        <v>0</v>
      </c>
      <c r="FL319" s="472"/>
      <c r="FM319" s="450"/>
      <c r="FN319" s="460">
        <f t="shared" si="186"/>
        <v>988</v>
      </c>
      <c r="FO319" s="469">
        <f t="shared" si="187"/>
        <v>866</v>
      </c>
    </row>
    <row r="320" spans="1:171" x14ac:dyDescent="0.2">
      <c r="A320" s="668" t="s">
        <v>264</v>
      </c>
      <c r="B320" s="669" t="s">
        <v>1021</v>
      </c>
      <c r="C320" s="670"/>
      <c r="D320" s="671">
        <v>198622</v>
      </c>
      <c r="E320" s="565">
        <v>8</v>
      </c>
      <c r="F320" s="532">
        <v>167</v>
      </c>
      <c r="G320" s="450">
        <v>110</v>
      </c>
      <c r="H320" s="457"/>
      <c r="I320" s="450"/>
      <c r="J320" s="457">
        <v>2270</v>
      </c>
      <c r="K320" s="450">
        <v>1497</v>
      </c>
      <c r="L320" s="458">
        <f t="shared" si="166"/>
        <v>0</v>
      </c>
      <c r="M320" s="449">
        <f t="shared" si="167"/>
        <v>0</v>
      </c>
      <c r="N320" s="459"/>
      <c r="O320" s="459"/>
      <c r="P320" s="459"/>
      <c r="Q320" s="459"/>
      <c r="R320" s="460">
        <f t="shared" si="165"/>
        <v>0</v>
      </c>
      <c r="S320" s="623"/>
      <c r="T320" s="461"/>
      <c r="U320" s="461"/>
      <c r="V320" s="461"/>
      <c r="W320" s="462">
        <f t="shared" si="142"/>
        <v>0</v>
      </c>
      <c r="X320" s="463"/>
      <c r="Y320" s="457"/>
      <c r="Z320" s="464"/>
      <c r="AA320" s="464"/>
      <c r="AB320" s="465"/>
      <c r="AC320" s="457"/>
      <c r="AD320" s="464"/>
      <c r="AE320" s="466"/>
      <c r="AF320" s="465"/>
      <c r="AG320" s="457"/>
      <c r="AH320" s="464"/>
      <c r="AI320" s="466"/>
      <c r="AJ320" s="465"/>
      <c r="AK320" s="457"/>
      <c r="AL320" s="464"/>
      <c r="AM320" s="466"/>
      <c r="AN320" s="465"/>
      <c r="AO320" s="457"/>
      <c r="AP320" s="464"/>
      <c r="AQ320" s="464"/>
      <c r="AR320" s="460">
        <f t="shared" si="172"/>
        <v>0</v>
      </c>
      <c r="AS320" s="467">
        <f t="shared" si="173"/>
        <v>0</v>
      </c>
      <c r="AT320" s="447">
        <f t="shared" si="174"/>
        <v>0</v>
      </c>
      <c r="AU320" s="448">
        <f t="shared" si="175"/>
        <v>0</v>
      </c>
      <c r="AV320" s="457"/>
      <c r="AW320" s="450"/>
      <c r="AX320" s="463"/>
      <c r="AY320" s="457"/>
      <c r="AZ320" s="625"/>
      <c r="BA320" s="756"/>
      <c r="BB320" s="465"/>
      <c r="BC320" s="457"/>
      <c r="BD320" s="625"/>
      <c r="BE320" s="756"/>
      <c r="BF320" s="465"/>
      <c r="BG320" s="457"/>
      <c r="BH320" s="625"/>
      <c r="BI320" s="756"/>
      <c r="BJ320" s="465"/>
      <c r="BK320" s="457"/>
      <c r="BL320" s="625"/>
      <c r="BM320" s="756"/>
      <c r="BN320" s="465"/>
      <c r="BO320" s="457"/>
      <c r="BP320" s="625"/>
      <c r="BQ320" s="756"/>
      <c r="BR320" s="465"/>
      <c r="BS320" s="457"/>
      <c r="BT320" s="464"/>
      <c r="BU320" s="392"/>
      <c r="BV320" s="465"/>
      <c r="BW320" s="457"/>
      <c r="BX320" s="625"/>
      <c r="BY320" s="756"/>
      <c r="BZ320" s="465"/>
      <c r="CA320" s="457"/>
      <c r="CB320" s="464"/>
      <c r="CC320" s="392"/>
      <c r="CD320" s="465"/>
      <c r="CE320" s="457"/>
      <c r="CF320" s="464"/>
      <c r="CG320" s="392"/>
      <c r="CH320" s="465"/>
      <c r="CI320" s="457"/>
      <c r="CJ320" s="464"/>
      <c r="CK320" s="392"/>
      <c r="CL320" s="459"/>
      <c r="CM320" s="450"/>
      <c r="CN320" s="468">
        <f t="shared" si="168"/>
        <v>0</v>
      </c>
      <c r="CO320" s="468">
        <f t="shared" si="169"/>
        <v>0</v>
      </c>
      <c r="CP320" s="469">
        <f t="shared" si="170"/>
        <v>0</v>
      </c>
      <c r="CQ320" s="469">
        <f t="shared" si="171"/>
        <v>0</v>
      </c>
      <c r="CR320" s="463"/>
      <c r="CS320" s="457"/>
      <c r="CT320" s="392"/>
      <c r="CU320" s="392"/>
      <c r="CV320" s="465"/>
      <c r="CW320" s="457"/>
      <c r="CX320" s="756"/>
      <c r="CY320" s="756"/>
      <c r="CZ320" s="465"/>
      <c r="DA320" s="457"/>
      <c r="DB320" s="392"/>
      <c r="DC320" s="392"/>
      <c r="DD320" s="465"/>
      <c r="DE320" s="457"/>
      <c r="DF320" s="392"/>
      <c r="DG320" s="392"/>
      <c r="DH320" s="465"/>
      <c r="DI320" s="457"/>
      <c r="DJ320" s="392"/>
      <c r="DK320" s="392"/>
      <c r="DL320" s="465"/>
      <c r="DM320" s="457"/>
      <c r="DN320" s="392"/>
      <c r="DO320" s="392"/>
      <c r="DP320" s="465"/>
      <c r="DQ320" s="457"/>
      <c r="DR320" s="392"/>
      <c r="DS320" s="392"/>
      <c r="DT320" s="465"/>
      <c r="DU320" s="457"/>
      <c r="DV320" s="392"/>
      <c r="DW320" s="392"/>
      <c r="DX320" s="465"/>
      <c r="DY320" s="457"/>
      <c r="DZ320" s="392"/>
      <c r="EA320" s="392"/>
      <c r="EB320" s="465"/>
      <c r="EC320" s="457"/>
      <c r="ED320" s="392"/>
      <c r="EE320" s="392"/>
      <c r="EF320" s="459"/>
      <c r="EG320" s="450"/>
      <c r="EH320" s="460">
        <f t="shared" si="178"/>
        <v>0</v>
      </c>
      <c r="EI320" s="460">
        <f t="shared" si="179"/>
        <v>0</v>
      </c>
      <c r="EJ320" s="458">
        <f t="shared" si="180"/>
        <v>0</v>
      </c>
      <c r="EK320" s="470">
        <f t="shared" si="181"/>
        <v>0</v>
      </c>
      <c r="EL320" s="470">
        <f t="shared" si="182"/>
        <v>0</v>
      </c>
      <c r="EM320" s="449">
        <f t="shared" si="183"/>
        <v>0</v>
      </c>
      <c r="EN320" s="460">
        <f t="shared" si="184"/>
        <v>0</v>
      </c>
      <c r="EO320" s="469">
        <f t="shared" si="185"/>
        <v>0</v>
      </c>
      <c r="EP320" s="471"/>
      <c r="EQ320" s="450"/>
      <c r="ER320" s="471"/>
      <c r="ES320" s="450"/>
      <c r="ET320" s="471"/>
      <c r="EU320" s="450"/>
      <c r="EV320" s="471"/>
      <c r="EW320" s="450"/>
      <c r="EX320" s="471"/>
      <c r="EY320" s="450"/>
      <c r="EZ320" s="471"/>
      <c r="FA320" s="450"/>
      <c r="FB320" s="471"/>
      <c r="FC320" s="450"/>
      <c r="FD320" s="471"/>
      <c r="FE320" s="450"/>
      <c r="FF320" s="471"/>
      <c r="FG320" s="450"/>
      <c r="FH320" s="472"/>
      <c r="FI320" s="450"/>
      <c r="FJ320" s="468">
        <f t="shared" si="176"/>
        <v>0</v>
      </c>
      <c r="FK320" s="469">
        <f t="shared" si="177"/>
        <v>0</v>
      </c>
      <c r="FL320" s="472"/>
      <c r="FM320" s="450"/>
      <c r="FN320" s="460">
        <f t="shared" si="186"/>
        <v>2437</v>
      </c>
      <c r="FO320" s="469">
        <f t="shared" si="187"/>
        <v>1607</v>
      </c>
    </row>
    <row r="321" spans="1:171" x14ac:dyDescent="0.2">
      <c r="A321" s="668" t="s">
        <v>264</v>
      </c>
      <c r="B321" s="669" t="s">
        <v>1022</v>
      </c>
      <c r="C321" s="670"/>
      <c r="D321" s="671">
        <v>199333</v>
      </c>
      <c r="E321" s="565">
        <v>8</v>
      </c>
      <c r="F321" s="532">
        <v>382</v>
      </c>
      <c r="G321" s="450">
        <v>415</v>
      </c>
      <c r="H321" s="457"/>
      <c r="I321" s="450"/>
      <c r="J321" s="457">
        <v>771</v>
      </c>
      <c r="K321" s="741">
        <v>797</v>
      </c>
      <c r="L321" s="458">
        <f t="shared" si="166"/>
        <v>0</v>
      </c>
      <c r="M321" s="449">
        <f t="shared" si="167"/>
        <v>0</v>
      </c>
      <c r="N321" s="459"/>
      <c r="O321" s="459"/>
      <c r="P321" s="459"/>
      <c r="Q321" s="459"/>
      <c r="R321" s="460">
        <f t="shared" si="165"/>
        <v>0</v>
      </c>
      <c r="S321" s="749"/>
      <c r="T321" s="461"/>
      <c r="U321" s="461"/>
      <c r="V321" s="461"/>
      <c r="W321" s="462">
        <f t="shared" si="142"/>
        <v>0</v>
      </c>
      <c r="X321" s="463"/>
      <c r="Y321" s="457"/>
      <c r="Z321" s="464"/>
      <c r="AA321" s="464"/>
      <c r="AB321" s="465"/>
      <c r="AC321" s="457"/>
      <c r="AD321" s="464"/>
      <c r="AE321" s="466"/>
      <c r="AF321" s="465"/>
      <c r="AG321" s="457"/>
      <c r="AH321" s="464"/>
      <c r="AI321" s="466"/>
      <c r="AJ321" s="465"/>
      <c r="AK321" s="457"/>
      <c r="AL321" s="464"/>
      <c r="AM321" s="466"/>
      <c r="AN321" s="465"/>
      <c r="AO321" s="457"/>
      <c r="AP321" s="464"/>
      <c r="AQ321" s="464"/>
      <c r="AR321" s="460">
        <f t="shared" si="172"/>
        <v>0</v>
      </c>
      <c r="AS321" s="467">
        <f t="shared" si="173"/>
        <v>0</v>
      </c>
      <c r="AT321" s="447">
        <f t="shared" si="174"/>
        <v>0</v>
      </c>
      <c r="AU321" s="448">
        <f t="shared" si="175"/>
        <v>0</v>
      </c>
      <c r="AV321" s="457"/>
      <c r="AW321" s="450"/>
      <c r="AX321" s="463"/>
      <c r="AY321" s="457"/>
      <c r="AZ321" s="464"/>
      <c r="BA321" s="392"/>
      <c r="BB321" s="465"/>
      <c r="BC321" s="457"/>
      <c r="BD321" s="464"/>
      <c r="BE321" s="392"/>
      <c r="BF321" s="465"/>
      <c r="BG321" s="457"/>
      <c r="BH321" s="625"/>
      <c r="BI321" s="756"/>
      <c r="BJ321" s="465"/>
      <c r="BK321" s="457"/>
      <c r="BL321" s="625"/>
      <c r="BM321" s="756"/>
      <c r="BN321" s="465"/>
      <c r="BO321" s="457"/>
      <c r="BP321" s="464"/>
      <c r="BQ321" s="392"/>
      <c r="BR321" s="465"/>
      <c r="BS321" s="457"/>
      <c r="BT321" s="464"/>
      <c r="BU321" s="392"/>
      <c r="BV321" s="465"/>
      <c r="BW321" s="457"/>
      <c r="BX321" s="464"/>
      <c r="BY321" s="392"/>
      <c r="BZ321" s="465"/>
      <c r="CA321" s="457"/>
      <c r="CB321" s="464"/>
      <c r="CC321" s="392"/>
      <c r="CD321" s="465"/>
      <c r="CE321" s="457"/>
      <c r="CF321" s="464"/>
      <c r="CG321" s="392"/>
      <c r="CH321" s="465"/>
      <c r="CI321" s="457"/>
      <c r="CJ321" s="464"/>
      <c r="CK321" s="392"/>
      <c r="CL321" s="459"/>
      <c r="CM321" s="450"/>
      <c r="CN321" s="468">
        <f t="shared" si="168"/>
        <v>0</v>
      </c>
      <c r="CO321" s="468">
        <f t="shared" si="169"/>
        <v>0</v>
      </c>
      <c r="CP321" s="469">
        <f t="shared" si="170"/>
        <v>0</v>
      </c>
      <c r="CQ321" s="469">
        <f t="shared" si="171"/>
        <v>0</v>
      </c>
      <c r="CR321" s="463"/>
      <c r="CS321" s="457"/>
      <c r="CT321" s="392"/>
      <c r="CU321" s="392"/>
      <c r="CV321" s="465"/>
      <c r="CW321" s="457"/>
      <c r="CX321" s="392"/>
      <c r="CY321" s="392"/>
      <c r="CZ321" s="465"/>
      <c r="DA321" s="457"/>
      <c r="DB321" s="392"/>
      <c r="DC321" s="392"/>
      <c r="DD321" s="465"/>
      <c r="DE321" s="457"/>
      <c r="DF321" s="392"/>
      <c r="DG321" s="392"/>
      <c r="DH321" s="465"/>
      <c r="DI321" s="457"/>
      <c r="DJ321" s="392"/>
      <c r="DK321" s="392"/>
      <c r="DL321" s="465"/>
      <c r="DM321" s="457"/>
      <c r="DN321" s="392"/>
      <c r="DO321" s="392"/>
      <c r="DP321" s="465"/>
      <c r="DQ321" s="457"/>
      <c r="DR321" s="464"/>
      <c r="DS321" s="466"/>
      <c r="DT321" s="465"/>
      <c r="DU321" s="457"/>
      <c r="DV321" s="464"/>
      <c r="DW321" s="466"/>
      <c r="DX321" s="465"/>
      <c r="DY321" s="457"/>
      <c r="DZ321" s="464"/>
      <c r="EA321" s="466"/>
      <c r="EB321" s="465"/>
      <c r="EC321" s="457"/>
      <c r="ED321" s="464"/>
      <c r="EE321" s="466"/>
      <c r="EF321" s="459"/>
      <c r="EG321" s="450"/>
      <c r="EH321" s="460">
        <f t="shared" si="178"/>
        <v>0</v>
      </c>
      <c r="EI321" s="460">
        <f t="shared" si="179"/>
        <v>0</v>
      </c>
      <c r="EJ321" s="458">
        <f t="shared" si="180"/>
        <v>0</v>
      </c>
      <c r="EK321" s="470">
        <f t="shared" si="181"/>
        <v>0</v>
      </c>
      <c r="EL321" s="470">
        <f t="shared" si="182"/>
        <v>0</v>
      </c>
      <c r="EM321" s="449">
        <f t="shared" si="183"/>
        <v>0</v>
      </c>
      <c r="EN321" s="460">
        <f t="shared" si="184"/>
        <v>0</v>
      </c>
      <c r="EO321" s="469">
        <f t="shared" si="185"/>
        <v>0</v>
      </c>
      <c r="EP321" s="471"/>
      <c r="EQ321" s="450"/>
      <c r="ER321" s="471"/>
      <c r="ES321" s="450"/>
      <c r="ET321" s="471"/>
      <c r="EU321" s="450"/>
      <c r="EV321" s="471"/>
      <c r="EW321" s="450"/>
      <c r="EX321" s="471"/>
      <c r="EY321" s="450"/>
      <c r="EZ321" s="471"/>
      <c r="FA321" s="450"/>
      <c r="FB321" s="471"/>
      <c r="FC321" s="450"/>
      <c r="FD321" s="471"/>
      <c r="FE321" s="450"/>
      <c r="FF321" s="471"/>
      <c r="FG321" s="450"/>
      <c r="FH321" s="472"/>
      <c r="FI321" s="450"/>
      <c r="FJ321" s="468">
        <f t="shared" si="176"/>
        <v>0</v>
      </c>
      <c r="FK321" s="469">
        <f t="shared" si="177"/>
        <v>0</v>
      </c>
      <c r="FL321" s="472"/>
      <c r="FM321" s="450"/>
      <c r="FN321" s="460">
        <f t="shared" si="186"/>
        <v>1153</v>
      </c>
      <c r="FO321" s="469">
        <f t="shared" si="187"/>
        <v>1212</v>
      </c>
    </row>
    <row r="322" spans="1:171" x14ac:dyDescent="0.2">
      <c r="A322" s="675" t="s">
        <v>264</v>
      </c>
      <c r="B322" s="557" t="s">
        <v>1023</v>
      </c>
      <c r="C322" s="676"/>
      <c r="D322" s="677">
        <v>199494</v>
      </c>
      <c r="E322" s="567">
        <v>8</v>
      </c>
      <c r="F322" s="532">
        <v>264</v>
      </c>
      <c r="G322" s="628">
        <v>233</v>
      </c>
      <c r="H322" s="457"/>
      <c r="I322" s="450"/>
      <c r="J322" s="457">
        <v>592</v>
      </c>
      <c r="K322" s="450">
        <v>535</v>
      </c>
      <c r="L322" s="458">
        <f t="shared" si="166"/>
        <v>0</v>
      </c>
      <c r="M322" s="449">
        <f t="shared" si="167"/>
        <v>0</v>
      </c>
      <c r="N322" s="459"/>
      <c r="O322" s="459"/>
      <c r="P322" s="459"/>
      <c r="Q322" s="459"/>
      <c r="R322" s="460">
        <f t="shared" si="165"/>
        <v>0</v>
      </c>
      <c r="S322" s="646"/>
      <c r="T322" s="660"/>
      <c r="U322" s="461"/>
      <c r="V322" s="461"/>
      <c r="W322" s="462">
        <f t="shared" si="142"/>
        <v>0</v>
      </c>
      <c r="X322" s="463"/>
      <c r="Y322" s="457"/>
      <c r="Z322" s="464"/>
      <c r="AA322" s="464"/>
      <c r="AB322" s="465"/>
      <c r="AC322" s="457"/>
      <c r="AD322" s="464"/>
      <c r="AE322" s="466"/>
      <c r="AF322" s="465"/>
      <c r="AG322" s="457"/>
      <c r="AH322" s="464"/>
      <c r="AI322" s="466"/>
      <c r="AJ322" s="465"/>
      <c r="AK322" s="457"/>
      <c r="AL322" s="464"/>
      <c r="AM322" s="466"/>
      <c r="AN322" s="465"/>
      <c r="AO322" s="457"/>
      <c r="AP322" s="464"/>
      <c r="AQ322" s="464"/>
      <c r="AR322" s="460">
        <f t="shared" si="172"/>
        <v>0</v>
      </c>
      <c r="AS322" s="467">
        <f t="shared" si="173"/>
        <v>0</v>
      </c>
      <c r="AT322" s="447">
        <f t="shared" si="174"/>
        <v>0</v>
      </c>
      <c r="AU322" s="448">
        <f t="shared" si="175"/>
        <v>0</v>
      </c>
      <c r="AV322" s="457"/>
      <c r="AW322" s="628"/>
      <c r="AX322" s="463"/>
      <c r="AY322" s="457"/>
      <c r="AZ322" s="464"/>
      <c r="BA322" s="392"/>
      <c r="BB322" s="465"/>
      <c r="BC322" s="457"/>
      <c r="BD322" s="464"/>
      <c r="BE322" s="392"/>
      <c r="BF322" s="465"/>
      <c r="BG322" s="457"/>
      <c r="BH322" s="464"/>
      <c r="BI322" s="392"/>
      <c r="BJ322" s="465"/>
      <c r="BK322" s="457"/>
      <c r="BL322" s="464"/>
      <c r="BM322" s="392"/>
      <c r="BN322" s="465"/>
      <c r="BO322" s="457"/>
      <c r="BP322" s="464"/>
      <c r="BQ322" s="392"/>
      <c r="BR322" s="465"/>
      <c r="BS322" s="457"/>
      <c r="BT322" s="464"/>
      <c r="BU322" s="392"/>
      <c r="BV322" s="465"/>
      <c r="BW322" s="457"/>
      <c r="BX322" s="464"/>
      <c r="BY322" s="392"/>
      <c r="BZ322" s="465"/>
      <c r="CA322" s="457"/>
      <c r="CB322" s="464"/>
      <c r="CC322" s="392"/>
      <c r="CD322" s="465"/>
      <c r="CE322" s="457"/>
      <c r="CF322" s="464"/>
      <c r="CG322" s="392"/>
      <c r="CH322" s="465"/>
      <c r="CI322" s="457"/>
      <c r="CJ322" s="464"/>
      <c r="CK322" s="392"/>
      <c r="CL322" s="459"/>
      <c r="CM322" s="628"/>
      <c r="CN322" s="468">
        <f t="shared" si="168"/>
        <v>0</v>
      </c>
      <c r="CO322" s="468">
        <f t="shared" si="169"/>
        <v>0</v>
      </c>
      <c r="CP322" s="469">
        <f t="shared" si="170"/>
        <v>0</v>
      </c>
      <c r="CQ322" s="469">
        <f t="shared" si="171"/>
        <v>0</v>
      </c>
      <c r="CR322" s="463"/>
      <c r="CS322" s="457"/>
      <c r="CT322" s="392"/>
      <c r="CU322" s="392"/>
      <c r="CV322" s="465"/>
      <c r="CW322" s="457"/>
      <c r="CX322" s="392"/>
      <c r="CY322" s="392"/>
      <c r="CZ322" s="465"/>
      <c r="DA322" s="457"/>
      <c r="DB322" s="392"/>
      <c r="DC322" s="392"/>
      <c r="DD322" s="465"/>
      <c r="DE322" s="457"/>
      <c r="DF322" s="464"/>
      <c r="DG322" s="466"/>
      <c r="DH322" s="465"/>
      <c r="DI322" s="457"/>
      <c r="DJ322" s="464"/>
      <c r="DK322" s="466"/>
      <c r="DL322" s="465"/>
      <c r="DM322" s="457"/>
      <c r="DN322" s="464"/>
      <c r="DO322" s="466"/>
      <c r="DP322" s="465"/>
      <c r="DQ322" s="457"/>
      <c r="DR322" s="464"/>
      <c r="DS322" s="466"/>
      <c r="DT322" s="465"/>
      <c r="DU322" s="457"/>
      <c r="DV322" s="464"/>
      <c r="DW322" s="466"/>
      <c r="DX322" s="465"/>
      <c r="DY322" s="457"/>
      <c r="DZ322" s="464"/>
      <c r="EA322" s="466"/>
      <c r="EB322" s="465"/>
      <c r="EC322" s="457"/>
      <c r="ED322" s="464"/>
      <c r="EE322" s="466"/>
      <c r="EF322" s="459"/>
      <c r="EG322" s="628"/>
      <c r="EH322" s="460">
        <f t="shared" si="178"/>
        <v>0</v>
      </c>
      <c r="EI322" s="460">
        <f t="shared" si="179"/>
        <v>0</v>
      </c>
      <c r="EJ322" s="458">
        <f t="shared" si="180"/>
        <v>0</v>
      </c>
      <c r="EK322" s="470">
        <f t="shared" si="181"/>
        <v>0</v>
      </c>
      <c r="EL322" s="470">
        <f t="shared" si="182"/>
        <v>0</v>
      </c>
      <c r="EM322" s="449">
        <f t="shared" si="183"/>
        <v>0</v>
      </c>
      <c r="EN322" s="460">
        <f t="shared" si="184"/>
        <v>0</v>
      </c>
      <c r="EO322" s="469">
        <f t="shared" si="185"/>
        <v>0</v>
      </c>
      <c r="EP322" s="471"/>
      <c r="EQ322" s="450"/>
      <c r="ER322" s="471"/>
      <c r="ES322" s="450"/>
      <c r="ET322" s="471"/>
      <c r="EU322" s="450"/>
      <c r="EV322" s="471"/>
      <c r="EW322" s="450"/>
      <c r="EX322" s="471"/>
      <c r="EY322" s="450"/>
      <c r="EZ322" s="471"/>
      <c r="FA322" s="450"/>
      <c r="FB322" s="471"/>
      <c r="FC322" s="450"/>
      <c r="FD322" s="471"/>
      <c r="FE322" s="450"/>
      <c r="FF322" s="471"/>
      <c r="FG322" s="450"/>
      <c r="FH322" s="472"/>
      <c r="FI322" s="450"/>
      <c r="FJ322" s="468">
        <f t="shared" si="176"/>
        <v>0</v>
      </c>
      <c r="FK322" s="469">
        <f t="shared" si="177"/>
        <v>0</v>
      </c>
      <c r="FL322" s="472"/>
      <c r="FM322" s="450"/>
      <c r="FN322" s="460">
        <f t="shared" si="186"/>
        <v>856</v>
      </c>
      <c r="FO322" s="469">
        <f t="shared" si="187"/>
        <v>768</v>
      </c>
    </row>
    <row r="323" spans="1:171" x14ac:dyDescent="0.2">
      <c r="A323" s="668" t="s">
        <v>264</v>
      </c>
      <c r="B323" s="669" t="s">
        <v>1024</v>
      </c>
      <c r="C323" s="670"/>
      <c r="D323" s="671">
        <v>199856</v>
      </c>
      <c r="E323" s="565">
        <v>8</v>
      </c>
      <c r="F323" s="532">
        <v>671</v>
      </c>
      <c r="G323" s="628">
        <v>592</v>
      </c>
      <c r="H323" s="457"/>
      <c r="I323" s="450"/>
      <c r="J323" s="457">
        <v>1158</v>
      </c>
      <c r="K323" s="450">
        <v>1349</v>
      </c>
      <c r="L323" s="458">
        <f t="shared" si="166"/>
        <v>0</v>
      </c>
      <c r="M323" s="449">
        <f t="shared" si="167"/>
        <v>0</v>
      </c>
      <c r="N323" s="459"/>
      <c r="O323" s="459"/>
      <c r="P323" s="459"/>
      <c r="Q323" s="459"/>
      <c r="R323" s="460">
        <f t="shared" si="165"/>
        <v>0</v>
      </c>
      <c r="S323" s="749"/>
      <c r="T323" s="660"/>
      <c r="U323" s="461"/>
      <c r="V323" s="461"/>
      <c r="W323" s="462">
        <f t="shared" si="142"/>
        <v>0</v>
      </c>
      <c r="X323" s="463"/>
      <c r="Y323" s="457"/>
      <c r="Z323" s="464"/>
      <c r="AA323" s="464"/>
      <c r="AB323" s="465"/>
      <c r="AC323" s="457"/>
      <c r="AD323" s="464"/>
      <c r="AE323" s="466"/>
      <c r="AF323" s="465"/>
      <c r="AG323" s="457"/>
      <c r="AH323" s="464"/>
      <c r="AI323" s="466"/>
      <c r="AJ323" s="465"/>
      <c r="AK323" s="457"/>
      <c r="AL323" s="464"/>
      <c r="AM323" s="466"/>
      <c r="AN323" s="465"/>
      <c r="AO323" s="457"/>
      <c r="AP323" s="464"/>
      <c r="AQ323" s="464"/>
      <c r="AR323" s="460">
        <f t="shared" si="172"/>
        <v>0</v>
      </c>
      <c r="AS323" s="467">
        <f t="shared" si="173"/>
        <v>0</v>
      </c>
      <c r="AT323" s="447">
        <f t="shared" si="174"/>
        <v>0</v>
      </c>
      <c r="AU323" s="448">
        <f t="shared" si="175"/>
        <v>0</v>
      </c>
      <c r="AV323" s="457"/>
      <c r="AW323" s="628"/>
      <c r="AX323" s="463"/>
      <c r="AY323" s="457"/>
      <c r="AZ323" s="464"/>
      <c r="BA323" s="392"/>
      <c r="BB323" s="465"/>
      <c r="BC323" s="457"/>
      <c r="BD323" s="464"/>
      <c r="BE323" s="392"/>
      <c r="BF323" s="465"/>
      <c r="BG323" s="457"/>
      <c r="BH323" s="464"/>
      <c r="BI323" s="392"/>
      <c r="BJ323" s="465"/>
      <c r="BK323" s="457"/>
      <c r="BL323" s="464"/>
      <c r="BM323" s="392"/>
      <c r="BN323" s="465"/>
      <c r="BO323" s="457"/>
      <c r="BP323" s="464"/>
      <c r="BQ323" s="392"/>
      <c r="BR323" s="465"/>
      <c r="BS323" s="457"/>
      <c r="BT323" s="464"/>
      <c r="BU323" s="392"/>
      <c r="BV323" s="465"/>
      <c r="BW323" s="457"/>
      <c r="BX323" s="464"/>
      <c r="BY323" s="392"/>
      <c r="BZ323" s="465"/>
      <c r="CA323" s="457"/>
      <c r="CB323" s="464"/>
      <c r="CC323" s="392"/>
      <c r="CD323" s="465"/>
      <c r="CE323" s="457"/>
      <c r="CF323" s="464"/>
      <c r="CG323" s="392"/>
      <c r="CH323" s="465"/>
      <c r="CI323" s="457"/>
      <c r="CJ323" s="464"/>
      <c r="CK323" s="392"/>
      <c r="CL323" s="459"/>
      <c r="CM323" s="628"/>
      <c r="CN323" s="468">
        <f t="shared" si="168"/>
        <v>0</v>
      </c>
      <c r="CO323" s="468">
        <f t="shared" si="169"/>
        <v>0</v>
      </c>
      <c r="CP323" s="469">
        <f t="shared" si="170"/>
        <v>0</v>
      </c>
      <c r="CQ323" s="469">
        <f t="shared" si="171"/>
        <v>0</v>
      </c>
      <c r="CR323" s="463"/>
      <c r="CS323" s="457"/>
      <c r="CT323" s="392"/>
      <c r="CU323" s="392"/>
      <c r="CV323" s="465"/>
      <c r="CW323" s="457"/>
      <c r="CX323" s="392"/>
      <c r="CY323" s="392"/>
      <c r="CZ323" s="465"/>
      <c r="DA323" s="457"/>
      <c r="DB323" s="392"/>
      <c r="DC323" s="392"/>
      <c r="DD323" s="465"/>
      <c r="DE323" s="457"/>
      <c r="DF323" s="392"/>
      <c r="DG323" s="392"/>
      <c r="DH323" s="465"/>
      <c r="DI323" s="457"/>
      <c r="DJ323" s="392"/>
      <c r="DK323" s="392"/>
      <c r="DL323" s="465"/>
      <c r="DM323" s="457"/>
      <c r="DN323" s="464"/>
      <c r="DO323" s="466"/>
      <c r="DP323" s="465"/>
      <c r="DQ323" s="457"/>
      <c r="DR323" s="464"/>
      <c r="DS323" s="466"/>
      <c r="DT323" s="465"/>
      <c r="DU323" s="457"/>
      <c r="DV323" s="464"/>
      <c r="DW323" s="466"/>
      <c r="DX323" s="465"/>
      <c r="DY323" s="457"/>
      <c r="DZ323" s="464"/>
      <c r="EA323" s="466"/>
      <c r="EB323" s="465"/>
      <c r="EC323" s="457"/>
      <c r="ED323" s="464"/>
      <c r="EE323" s="466"/>
      <c r="EF323" s="459"/>
      <c r="EG323" s="628"/>
      <c r="EH323" s="460">
        <f t="shared" si="178"/>
        <v>0</v>
      </c>
      <c r="EI323" s="460">
        <f t="shared" si="179"/>
        <v>0</v>
      </c>
      <c r="EJ323" s="458">
        <f t="shared" si="180"/>
        <v>0</v>
      </c>
      <c r="EK323" s="470">
        <f t="shared" si="181"/>
        <v>0</v>
      </c>
      <c r="EL323" s="470">
        <f t="shared" si="182"/>
        <v>0</v>
      </c>
      <c r="EM323" s="449">
        <f t="shared" si="183"/>
        <v>0</v>
      </c>
      <c r="EN323" s="460">
        <f t="shared" si="184"/>
        <v>0</v>
      </c>
      <c r="EO323" s="469">
        <f t="shared" si="185"/>
        <v>0</v>
      </c>
      <c r="EP323" s="471"/>
      <c r="EQ323" s="450"/>
      <c r="ER323" s="471"/>
      <c r="ES323" s="450"/>
      <c r="ET323" s="471"/>
      <c r="EU323" s="450"/>
      <c r="EV323" s="471"/>
      <c r="EW323" s="450"/>
      <c r="EX323" s="471"/>
      <c r="EY323" s="450"/>
      <c r="EZ323" s="471"/>
      <c r="FA323" s="450"/>
      <c r="FB323" s="471"/>
      <c r="FC323" s="450"/>
      <c r="FD323" s="471"/>
      <c r="FE323" s="450"/>
      <c r="FF323" s="471"/>
      <c r="FG323" s="450"/>
      <c r="FH323" s="472"/>
      <c r="FI323" s="450"/>
      <c r="FJ323" s="468">
        <f t="shared" si="176"/>
        <v>0</v>
      </c>
      <c r="FK323" s="469">
        <f t="shared" si="177"/>
        <v>0</v>
      </c>
      <c r="FL323" s="472"/>
      <c r="FM323" s="450"/>
      <c r="FN323" s="460">
        <f t="shared" si="186"/>
        <v>1829</v>
      </c>
      <c r="FO323" s="469">
        <f t="shared" si="187"/>
        <v>1941</v>
      </c>
    </row>
    <row r="324" spans="1:171" x14ac:dyDescent="0.2">
      <c r="A324" s="668" t="s">
        <v>264</v>
      </c>
      <c r="B324" s="672" t="s">
        <v>1025</v>
      </c>
      <c r="C324" s="673"/>
      <c r="D324" s="671">
        <v>199786</v>
      </c>
      <c r="E324" s="565">
        <v>9</v>
      </c>
      <c r="F324" s="532">
        <v>274</v>
      </c>
      <c r="G324" s="628">
        <v>345</v>
      </c>
      <c r="H324" s="457"/>
      <c r="I324" s="450"/>
      <c r="J324" s="457">
        <v>520</v>
      </c>
      <c r="K324" s="450">
        <v>554</v>
      </c>
      <c r="L324" s="458">
        <f t="shared" si="166"/>
        <v>0</v>
      </c>
      <c r="M324" s="449">
        <f t="shared" si="167"/>
        <v>0</v>
      </c>
      <c r="N324" s="459"/>
      <c r="O324" s="459"/>
      <c r="P324" s="459"/>
      <c r="Q324" s="459"/>
      <c r="R324" s="460">
        <f t="shared" si="165"/>
        <v>0</v>
      </c>
      <c r="S324" s="646"/>
      <c r="T324" s="660"/>
      <c r="U324" s="461"/>
      <c r="V324" s="461"/>
      <c r="W324" s="462">
        <f t="shared" si="142"/>
        <v>0</v>
      </c>
      <c r="X324" s="463"/>
      <c r="Y324" s="457"/>
      <c r="Z324" s="464"/>
      <c r="AA324" s="464"/>
      <c r="AB324" s="465"/>
      <c r="AC324" s="457"/>
      <c r="AD324" s="464"/>
      <c r="AE324" s="466"/>
      <c r="AF324" s="465"/>
      <c r="AG324" s="457"/>
      <c r="AH324" s="464"/>
      <c r="AI324" s="466"/>
      <c r="AJ324" s="465"/>
      <c r="AK324" s="457"/>
      <c r="AL324" s="464"/>
      <c r="AM324" s="466"/>
      <c r="AN324" s="465"/>
      <c r="AO324" s="457"/>
      <c r="AP324" s="464"/>
      <c r="AQ324" s="464"/>
      <c r="AR324" s="460">
        <f t="shared" si="172"/>
        <v>0</v>
      </c>
      <c r="AS324" s="467">
        <f t="shared" si="173"/>
        <v>0</v>
      </c>
      <c r="AT324" s="447">
        <f t="shared" si="174"/>
        <v>0</v>
      </c>
      <c r="AU324" s="448">
        <f t="shared" si="175"/>
        <v>0</v>
      </c>
      <c r="AV324" s="457"/>
      <c r="AW324" s="628"/>
      <c r="AX324" s="463"/>
      <c r="AY324" s="457"/>
      <c r="AZ324" s="464"/>
      <c r="BA324" s="392"/>
      <c r="BB324" s="465"/>
      <c r="BC324" s="457"/>
      <c r="BD324" s="464"/>
      <c r="BE324" s="392"/>
      <c r="BF324" s="465"/>
      <c r="BG324" s="457"/>
      <c r="BH324" s="464"/>
      <c r="BI324" s="392"/>
      <c r="BJ324" s="465"/>
      <c r="BK324" s="457"/>
      <c r="BL324" s="464"/>
      <c r="BM324" s="392"/>
      <c r="BN324" s="465"/>
      <c r="BO324" s="457"/>
      <c r="BP324" s="464"/>
      <c r="BQ324" s="392"/>
      <c r="BR324" s="465"/>
      <c r="BS324" s="457"/>
      <c r="BT324" s="464"/>
      <c r="BU324" s="392"/>
      <c r="BV324" s="465"/>
      <c r="BW324" s="457"/>
      <c r="BX324" s="464"/>
      <c r="BY324" s="392"/>
      <c r="BZ324" s="465"/>
      <c r="CA324" s="457"/>
      <c r="CB324" s="464"/>
      <c r="CC324" s="392"/>
      <c r="CD324" s="465"/>
      <c r="CE324" s="457"/>
      <c r="CF324" s="464"/>
      <c r="CG324" s="392"/>
      <c r="CH324" s="465"/>
      <c r="CI324" s="457"/>
      <c r="CJ324" s="464"/>
      <c r="CK324" s="392"/>
      <c r="CL324" s="459"/>
      <c r="CM324" s="628"/>
      <c r="CN324" s="468">
        <f t="shared" si="168"/>
        <v>0</v>
      </c>
      <c r="CO324" s="468">
        <f t="shared" si="169"/>
        <v>0</v>
      </c>
      <c r="CP324" s="469">
        <f t="shared" si="170"/>
        <v>0</v>
      </c>
      <c r="CQ324" s="469">
        <f t="shared" si="171"/>
        <v>0</v>
      </c>
      <c r="CR324" s="463"/>
      <c r="CS324" s="457"/>
      <c r="CT324" s="392"/>
      <c r="CU324" s="392"/>
      <c r="CV324" s="465"/>
      <c r="CW324" s="457"/>
      <c r="CX324" s="392"/>
      <c r="CY324" s="392"/>
      <c r="CZ324" s="465"/>
      <c r="DA324" s="457"/>
      <c r="DB324" s="392"/>
      <c r="DC324" s="392"/>
      <c r="DD324" s="465"/>
      <c r="DE324" s="457"/>
      <c r="DF324" s="392"/>
      <c r="DG324" s="392"/>
      <c r="DH324" s="465"/>
      <c r="DI324" s="457"/>
      <c r="DJ324" s="392"/>
      <c r="DK324" s="392"/>
      <c r="DL324" s="465"/>
      <c r="DM324" s="457"/>
      <c r="DN324" s="392"/>
      <c r="DO324" s="392"/>
      <c r="DP324" s="465"/>
      <c r="DQ324" s="457"/>
      <c r="DR324" s="464"/>
      <c r="DS324" s="466"/>
      <c r="DT324" s="465"/>
      <c r="DU324" s="457"/>
      <c r="DV324" s="464"/>
      <c r="DW324" s="466"/>
      <c r="DX324" s="465"/>
      <c r="DY324" s="457"/>
      <c r="DZ324" s="464"/>
      <c r="EA324" s="466"/>
      <c r="EB324" s="465"/>
      <c r="EC324" s="457"/>
      <c r="ED324" s="464"/>
      <c r="EE324" s="466"/>
      <c r="EF324" s="459"/>
      <c r="EG324" s="628"/>
      <c r="EH324" s="460">
        <f t="shared" si="178"/>
        <v>0</v>
      </c>
      <c r="EI324" s="460">
        <f t="shared" si="179"/>
        <v>0</v>
      </c>
      <c r="EJ324" s="458">
        <f t="shared" si="180"/>
        <v>0</v>
      </c>
      <c r="EK324" s="470">
        <f t="shared" si="181"/>
        <v>0</v>
      </c>
      <c r="EL324" s="470">
        <f t="shared" si="182"/>
        <v>0</v>
      </c>
      <c r="EM324" s="449">
        <f t="shared" si="183"/>
        <v>0</v>
      </c>
      <c r="EN324" s="460">
        <f t="shared" si="184"/>
        <v>0</v>
      </c>
      <c r="EO324" s="469">
        <f t="shared" si="185"/>
        <v>0</v>
      </c>
      <c r="EP324" s="471"/>
      <c r="EQ324" s="450"/>
      <c r="ER324" s="471"/>
      <c r="ES324" s="450"/>
      <c r="ET324" s="471"/>
      <c r="EU324" s="450"/>
      <c r="EV324" s="471"/>
      <c r="EW324" s="450"/>
      <c r="EX324" s="471"/>
      <c r="EY324" s="450"/>
      <c r="EZ324" s="471"/>
      <c r="FA324" s="450"/>
      <c r="FB324" s="471"/>
      <c r="FC324" s="450"/>
      <c r="FD324" s="471"/>
      <c r="FE324" s="450"/>
      <c r="FF324" s="471"/>
      <c r="FG324" s="450"/>
      <c r="FH324" s="472"/>
      <c r="FI324" s="450"/>
      <c r="FJ324" s="468">
        <f t="shared" si="176"/>
        <v>0</v>
      </c>
      <c r="FK324" s="469">
        <f t="shared" si="177"/>
        <v>0</v>
      </c>
      <c r="FL324" s="472"/>
      <c r="FM324" s="450"/>
      <c r="FN324" s="460">
        <f t="shared" si="186"/>
        <v>794</v>
      </c>
      <c r="FO324" s="469">
        <f t="shared" si="187"/>
        <v>899</v>
      </c>
    </row>
    <row r="325" spans="1:171" x14ac:dyDescent="0.2">
      <c r="A325" s="668" t="s">
        <v>264</v>
      </c>
      <c r="B325" s="672" t="s">
        <v>1026</v>
      </c>
      <c r="C325" s="673"/>
      <c r="D325" s="671">
        <v>198118</v>
      </c>
      <c r="E325" s="565">
        <v>9</v>
      </c>
      <c r="F325" s="532">
        <v>252</v>
      </c>
      <c r="G325" s="628">
        <v>272</v>
      </c>
      <c r="H325" s="457"/>
      <c r="I325" s="450"/>
      <c r="J325" s="457">
        <v>548</v>
      </c>
      <c r="K325" s="450">
        <v>665</v>
      </c>
      <c r="L325" s="458">
        <f t="shared" si="166"/>
        <v>0</v>
      </c>
      <c r="M325" s="449">
        <f t="shared" si="167"/>
        <v>0</v>
      </c>
      <c r="N325" s="459"/>
      <c r="O325" s="459"/>
      <c r="P325" s="459"/>
      <c r="Q325" s="459"/>
      <c r="R325" s="460">
        <f t="shared" si="165"/>
        <v>0</v>
      </c>
      <c r="S325" s="749"/>
      <c r="T325" s="660"/>
      <c r="U325" s="461"/>
      <c r="V325" s="461"/>
      <c r="W325" s="462">
        <f t="shared" si="142"/>
        <v>0</v>
      </c>
      <c r="X325" s="463"/>
      <c r="Y325" s="457"/>
      <c r="Z325" s="464"/>
      <c r="AA325" s="464"/>
      <c r="AB325" s="465"/>
      <c r="AC325" s="457"/>
      <c r="AD325" s="464"/>
      <c r="AE325" s="466"/>
      <c r="AF325" s="465"/>
      <c r="AG325" s="457"/>
      <c r="AH325" s="464"/>
      <c r="AI325" s="466"/>
      <c r="AJ325" s="465"/>
      <c r="AK325" s="457"/>
      <c r="AL325" s="464"/>
      <c r="AM325" s="466"/>
      <c r="AN325" s="465"/>
      <c r="AO325" s="457"/>
      <c r="AP325" s="464"/>
      <c r="AQ325" s="464"/>
      <c r="AR325" s="460">
        <f t="shared" si="172"/>
        <v>0</v>
      </c>
      <c r="AS325" s="467">
        <f t="shared" si="173"/>
        <v>0</v>
      </c>
      <c r="AT325" s="447">
        <f t="shared" si="174"/>
        <v>0</v>
      </c>
      <c r="AU325" s="448">
        <f t="shared" si="175"/>
        <v>0</v>
      </c>
      <c r="AV325" s="457"/>
      <c r="AW325" s="628"/>
      <c r="AX325" s="463"/>
      <c r="AY325" s="457"/>
      <c r="AZ325" s="464"/>
      <c r="BA325" s="392"/>
      <c r="BB325" s="465"/>
      <c r="BC325" s="457"/>
      <c r="BD325" s="464"/>
      <c r="BE325" s="392"/>
      <c r="BF325" s="465"/>
      <c r="BG325" s="457"/>
      <c r="BH325" s="464"/>
      <c r="BI325" s="392"/>
      <c r="BJ325" s="465"/>
      <c r="BK325" s="457"/>
      <c r="BL325" s="464"/>
      <c r="BM325" s="392"/>
      <c r="BN325" s="465"/>
      <c r="BO325" s="457"/>
      <c r="BP325" s="464"/>
      <c r="BQ325" s="392"/>
      <c r="BR325" s="465"/>
      <c r="BS325" s="457"/>
      <c r="BT325" s="464"/>
      <c r="BU325" s="392"/>
      <c r="BV325" s="465"/>
      <c r="BW325" s="457"/>
      <c r="BX325" s="464"/>
      <c r="BY325" s="392"/>
      <c r="BZ325" s="465"/>
      <c r="CA325" s="457"/>
      <c r="CB325" s="464"/>
      <c r="CC325" s="392"/>
      <c r="CD325" s="465"/>
      <c r="CE325" s="457"/>
      <c r="CF325" s="464"/>
      <c r="CG325" s="392"/>
      <c r="CH325" s="465"/>
      <c r="CI325" s="457"/>
      <c r="CJ325" s="464"/>
      <c r="CK325" s="392"/>
      <c r="CL325" s="459"/>
      <c r="CM325" s="628"/>
      <c r="CN325" s="468">
        <f t="shared" si="168"/>
        <v>0</v>
      </c>
      <c r="CO325" s="468">
        <f t="shared" si="169"/>
        <v>0</v>
      </c>
      <c r="CP325" s="469">
        <f t="shared" si="170"/>
        <v>0</v>
      </c>
      <c r="CQ325" s="469">
        <f t="shared" si="171"/>
        <v>0</v>
      </c>
      <c r="CR325" s="463"/>
      <c r="CS325" s="457"/>
      <c r="CT325" s="392"/>
      <c r="CU325" s="782"/>
      <c r="CV325" s="465"/>
      <c r="CW325" s="457"/>
      <c r="CX325" s="392"/>
      <c r="CY325" s="392"/>
      <c r="CZ325" s="465"/>
      <c r="DA325" s="457"/>
      <c r="DB325" s="392"/>
      <c r="DC325" s="392"/>
      <c r="DD325" s="465"/>
      <c r="DE325" s="457"/>
      <c r="DF325" s="464"/>
      <c r="DG325" s="466"/>
      <c r="DH325" s="465"/>
      <c r="DI325" s="457"/>
      <c r="DJ325" s="464"/>
      <c r="DK325" s="466"/>
      <c r="DL325" s="465"/>
      <c r="DM325" s="457"/>
      <c r="DN325" s="464"/>
      <c r="DO325" s="466"/>
      <c r="DP325" s="465"/>
      <c r="DQ325" s="457"/>
      <c r="DR325" s="464"/>
      <c r="DS325" s="466"/>
      <c r="DT325" s="465"/>
      <c r="DU325" s="457"/>
      <c r="DV325" s="464"/>
      <c r="DW325" s="466"/>
      <c r="DX325" s="465"/>
      <c r="DY325" s="457"/>
      <c r="DZ325" s="464"/>
      <c r="EA325" s="466"/>
      <c r="EB325" s="465"/>
      <c r="EC325" s="457"/>
      <c r="ED325" s="464"/>
      <c r="EE325" s="466"/>
      <c r="EF325" s="459"/>
      <c r="EG325" s="628"/>
      <c r="EH325" s="460">
        <f t="shared" si="178"/>
        <v>0</v>
      </c>
      <c r="EI325" s="460">
        <f t="shared" si="179"/>
        <v>0</v>
      </c>
      <c r="EJ325" s="458">
        <f t="shared" si="180"/>
        <v>0</v>
      </c>
      <c r="EK325" s="470">
        <f t="shared" si="181"/>
        <v>0</v>
      </c>
      <c r="EL325" s="470">
        <f t="shared" si="182"/>
        <v>0</v>
      </c>
      <c r="EM325" s="449">
        <f t="shared" si="183"/>
        <v>0</v>
      </c>
      <c r="EN325" s="460">
        <f t="shared" si="184"/>
        <v>0</v>
      </c>
      <c r="EO325" s="469">
        <f t="shared" si="185"/>
        <v>0</v>
      </c>
      <c r="EP325" s="471"/>
      <c r="EQ325" s="450"/>
      <c r="ER325" s="471"/>
      <c r="ES325" s="450"/>
      <c r="ET325" s="471"/>
      <c r="EU325" s="450"/>
      <c r="EV325" s="471"/>
      <c r="EW325" s="450"/>
      <c r="EX325" s="471"/>
      <c r="EY325" s="450"/>
      <c r="EZ325" s="471"/>
      <c r="FA325" s="450"/>
      <c r="FB325" s="471"/>
      <c r="FC325" s="450"/>
      <c r="FD325" s="471"/>
      <c r="FE325" s="450"/>
      <c r="FF325" s="471"/>
      <c r="FG325" s="450"/>
      <c r="FH325" s="472"/>
      <c r="FI325" s="450"/>
      <c r="FJ325" s="468">
        <f t="shared" si="176"/>
        <v>0</v>
      </c>
      <c r="FK325" s="469">
        <f t="shared" si="177"/>
        <v>0</v>
      </c>
      <c r="FL325" s="472"/>
      <c r="FM325" s="450"/>
      <c r="FN325" s="460">
        <f t="shared" si="186"/>
        <v>800</v>
      </c>
      <c r="FO325" s="469">
        <f t="shared" si="187"/>
        <v>937</v>
      </c>
    </row>
    <row r="326" spans="1:171" x14ac:dyDescent="0.2">
      <c r="A326" s="668" t="s">
        <v>264</v>
      </c>
      <c r="B326" s="672" t="s">
        <v>1027</v>
      </c>
      <c r="C326" s="673"/>
      <c r="D326" s="674">
        <v>198233</v>
      </c>
      <c r="E326" s="561">
        <v>9</v>
      </c>
      <c r="F326" s="532">
        <v>250</v>
      </c>
      <c r="G326" s="628">
        <v>164</v>
      </c>
      <c r="H326" s="457"/>
      <c r="I326" s="450"/>
      <c r="J326" s="457">
        <v>519</v>
      </c>
      <c r="K326" s="450">
        <v>516</v>
      </c>
      <c r="L326" s="458">
        <f t="shared" si="166"/>
        <v>0</v>
      </c>
      <c r="M326" s="449">
        <f t="shared" si="167"/>
        <v>0</v>
      </c>
      <c r="N326" s="459"/>
      <c r="O326" s="459"/>
      <c r="P326" s="459"/>
      <c r="Q326" s="459"/>
      <c r="R326" s="460">
        <f t="shared" si="165"/>
        <v>0</v>
      </c>
      <c r="S326" s="646"/>
      <c r="T326" s="660"/>
      <c r="U326" s="461"/>
      <c r="V326" s="461"/>
      <c r="W326" s="462">
        <f t="shared" si="142"/>
        <v>0</v>
      </c>
      <c r="X326" s="463"/>
      <c r="Y326" s="457"/>
      <c r="Z326" s="464"/>
      <c r="AA326" s="464"/>
      <c r="AB326" s="465"/>
      <c r="AC326" s="457"/>
      <c r="AD326" s="464"/>
      <c r="AE326" s="466"/>
      <c r="AF326" s="465"/>
      <c r="AG326" s="457"/>
      <c r="AH326" s="464"/>
      <c r="AI326" s="466"/>
      <c r="AJ326" s="465"/>
      <c r="AK326" s="457"/>
      <c r="AL326" s="464"/>
      <c r="AM326" s="466"/>
      <c r="AN326" s="465"/>
      <c r="AO326" s="457"/>
      <c r="AP326" s="464"/>
      <c r="AQ326" s="464"/>
      <c r="AR326" s="460">
        <f t="shared" si="172"/>
        <v>0</v>
      </c>
      <c r="AS326" s="467">
        <f t="shared" si="173"/>
        <v>0</v>
      </c>
      <c r="AT326" s="447">
        <f t="shared" si="174"/>
        <v>0</v>
      </c>
      <c r="AU326" s="448">
        <f t="shared" si="175"/>
        <v>0</v>
      </c>
      <c r="AV326" s="457"/>
      <c r="AW326" s="628"/>
      <c r="AX326" s="463"/>
      <c r="AY326" s="457"/>
      <c r="AZ326" s="464"/>
      <c r="BA326" s="392"/>
      <c r="BB326" s="465"/>
      <c r="BC326" s="457"/>
      <c r="BD326" s="464"/>
      <c r="BE326" s="392"/>
      <c r="BF326" s="465"/>
      <c r="BG326" s="457"/>
      <c r="BH326" s="464"/>
      <c r="BI326" s="392"/>
      <c r="BJ326" s="465"/>
      <c r="BK326" s="457"/>
      <c r="BL326" s="464"/>
      <c r="BM326" s="392"/>
      <c r="BN326" s="465"/>
      <c r="BO326" s="457"/>
      <c r="BP326" s="464"/>
      <c r="BQ326" s="392"/>
      <c r="BR326" s="465"/>
      <c r="BS326" s="457"/>
      <c r="BT326" s="464"/>
      <c r="BU326" s="392"/>
      <c r="BV326" s="465"/>
      <c r="BW326" s="457"/>
      <c r="BX326" s="464"/>
      <c r="BY326" s="392"/>
      <c r="BZ326" s="465"/>
      <c r="CA326" s="457"/>
      <c r="CB326" s="464"/>
      <c r="CC326" s="392"/>
      <c r="CD326" s="465"/>
      <c r="CE326" s="457"/>
      <c r="CF326" s="464"/>
      <c r="CG326" s="392"/>
      <c r="CH326" s="465"/>
      <c r="CI326" s="457"/>
      <c r="CJ326" s="464"/>
      <c r="CK326" s="392"/>
      <c r="CL326" s="459"/>
      <c r="CM326" s="628"/>
      <c r="CN326" s="468">
        <f t="shared" si="168"/>
        <v>0</v>
      </c>
      <c r="CO326" s="468">
        <f t="shared" si="169"/>
        <v>0</v>
      </c>
      <c r="CP326" s="469">
        <f t="shared" si="170"/>
        <v>0</v>
      </c>
      <c r="CQ326" s="469">
        <f t="shared" si="171"/>
        <v>0</v>
      </c>
      <c r="CR326" s="463"/>
      <c r="CS326" s="457"/>
      <c r="CT326" s="392"/>
      <c r="CU326" s="392"/>
      <c r="CV326" s="465"/>
      <c r="CW326" s="457"/>
      <c r="CX326" s="392"/>
      <c r="CY326" s="392"/>
      <c r="CZ326" s="465"/>
      <c r="DA326" s="457"/>
      <c r="DB326" s="392"/>
      <c r="DC326" s="392"/>
      <c r="DD326" s="465"/>
      <c r="DE326" s="457"/>
      <c r="DF326" s="464"/>
      <c r="DG326" s="466"/>
      <c r="DH326" s="465"/>
      <c r="DI326" s="457"/>
      <c r="DJ326" s="464"/>
      <c r="DK326" s="466"/>
      <c r="DL326" s="465"/>
      <c r="DM326" s="457"/>
      <c r="DN326" s="464"/>
      <c r="DO326" s="466"/>
      <c r="DP326" s="465"/>
      <c r="DQ326" s="457"/>
      <c r="DR326" s="464"/>
      <c r="DS326" s="466"/>
      <c r="DT326" s="465"/>
      <c r="DU326" s="457"/>
      <c r="DV326" s="464"/>
      <c r="DW326" s="466"/>
      <c r="DX326" s="465"/>
      <c r="DY326" s="457"/>
      <c r="DZ326" s="464"/>
      <c r="EA326" s="466"/>
      <c r="EB326" s="465"/>
      <c r="EC326" s="457"/>
      <c r="ED326" s="464"/>
      <c r="EE326" s="466"/>
      <c r="EF326" s="459"/>
      <c r="EG326" s="628"/>
      <c r="EH326" s="460">
        <f t="shared" si="178"/>
        <v>0</v>
      </c>
      <c r="EI326" s="460">
        <f t="shared" si="179"/>
        <v>0</v>
      </c>
      <c r="EJ326" s="458">
        <f t="shared" si="180"/>
        <v>0</v>
      </c>
      <c r="EK326" s="470">
        <f t="shared" si="181"/>
        <v>0</v>
      </c>
      <c r="EL326" s="470">
        <f t="shared" si="182"/>
        <v>0</v>
      </c>
      <c r="EM326" s="449">
        <f t="shared" si="183"/>
        <v>0</v>
      </c>
      <c r="EN326" s="460">
        <f t="shared" si="184"/>
        <v>0</v>
      </c>
      <c r="EO326" s="469">
        <f t="shared" si="185"/>
        <v>0</v>
      </c>
      <c r="EP326" s="471"/>
      <c r="EQ326" s="450"/>
      <c r="ER326" s="471"/>
      <c r="ES326" s="450"/>
      <c r="ET326" s="471"/>
      <c r="EU326" s="450"/>
      <c r="EV326" s="471"/>
      <c r="EW326" s="450"/>
      <c r="EX326" s="471"/>
      <c r="EY326" s="450"/>
      <c r="EZ326" s="471"/>
      <c r="FA326" s="450"/>
      <c r="FB326" s="471"/>
      <c r="FC326" s="450"/>
      <c r="FD326" s="471"/>
      <c r="FE326" s="450"/>
      <c r="FF326" s="471"/>
      <c r="FG326" s="450"/>
      <c r="FH326" s="472"/>
      <c r="FI326" s="450"/>
      <c r="FJ326" s="468">
        <f t="shared" si="176"/>
        <v>0</v>
      </c>
      <c r="FK326" s="469">
        <f t="shared" si="177"/>
        <v>0</v>
      </c>
      <c r="FL326" s="472"/>
      <c r="FM326" s="450"/>
      <c r="FN326" s="460">
        <f t="shared" si="186"/>
        <v>769</v>
      </c>
      <c r="FO326" s="469">
        <f t="shared" si="187"/>
        <v>680</v>
      </c>
    </row>
    <row r="327" spans="1:171" x14ac:dyDescent="0.2">
      <c r="A327" s="668" t="s">
        <v>264</v>
      </c>
      <c r="B327" s="672" t="s">
        <v>1028</v>
      </c>
      <c r="C327" s="673"/>
      <c r="D327" s="674">
        <v>198251</v>
      </c>
      <c r="E327" s="561">
        <v>9</v>
      </c>
      <c r="F327" s="532">
        <v>780</v>
      </c>
      <c r="G327" s="628">
        <v>630</v>
      </c>
      <c r="H327" s="457"/>
      <c r="I327" s="450"/>
      <c r="J327" s="457">
        <v>431</v>
      </c>
      <c r="K327" s="450">
        <v>452</v>
      </c>
      <c r="L327" s="458">
        <f t="shared" si="166"/>
        <v>0</v>
      </c>
      <c r="M327" s="449">
        <f t="shared" si="167"/>
        <v>0</v>
      </c>
      <c r="N327" s="459"/>
      <c r="O327" s="459"/>
      <c r="P327" s="459"/>
      <c r="Q327" s="459"/>
      <c r="R327" s="460">
        <f t="shared" si="165"/>
        <v>0</v>
      </c>
      <c r="S327" s="749"/>
      <c r="T327" s="660"/>
      <c r="U327" s="461"/>
      <c r="V327" s="461"/>
      <c r="W327" s="462">
        <f t="shared" si="142"/>
        <v>0</v>
      </c>
      <c r="X327" s="463"/>
      <c r="Y327" s="457"/>
      <c r="Z327" s="464"/>
      <c r="AA327" s="464"/>
      <c r="AB327" s="465"/>
      <c r="AC327" s="457"/>
      <c r="AD327" s="464"/>
      <c r="AE327" s="466"/>
      <c r="AF327" s="465"/>
      <c r="AG327" s="457"/>
      <c r="AH327" s="464"/>
      <c r="AI327" s="466"/>
      <c r="AJ327" s="465"/>
      <c r="AK327" s="457"/>
      <c r="AL327" s="464"/>
      <c r="AM327" s="466"/>
      <c r="AN327" s="465"/>
      <c r="AO327" s="457"/>
      <c r="AP327" s="464"/>
      <c r="AQ327" s="464"/>
      <c r="AR327" s="460">
        <f t="shared" si="172"/>
        <v>0</v>
      </c>
      <c r="AS327" s="467">
        <f t="shared" si="173"/>
        <v>0</v>
      </c>
      <c r="AT327" s="447">
        <f t="shared" si="174"/>
        <v>0</v>
      </c>
      <c r="AU327" s="448">
        <f t="shared" si="175"/>
        <v>0</v>
      </c>
      <c r="AV327" s="457"/>
      <c r="AW327" s="628"/>
      <c r="AX327" s="463"/>
      <c r="AY327" s="457"/>
      <c r="AZ327" s="464"/>
      <c r="BA327" s="392"/>
      <c r="BB327" s="465"/>
      <c r="BC327" s="457"/>
      <c r="BD327" s="464"/>
      <c r="BE327" s="392"/>
      <c r="BF327" s="465"/>
      <c r="BG327" s="457"/>
      <c r="BH327" s="464"/>
      <c r="BI327" s="392"/>
      <c r="BJ327" s="465"/>
      <c r="BK327" s="457"/>
      <c r="BL327" s="464"/>
      <c r="BM327" s="392"/>
      <c r="BN327" s="465"/>
      <c r="BO327" s="457"/>
      <c r="BP327" s="464"/>
      <c r="BQ327" s="392"/>
      <c r="BR327" s="465"/>
      <c r="BS327" s="457"/>
      <c r="BT327" s="464"/>
      <c r="BU327" s="392"/>
      <c r="BV327" s="465"/>
      <c r="BW327" s="457"/>
      <c r="BX327" s="464"/>
      <c r="BY327" s="392"/>
      <c r="BZ327" s="465"/>
      <c r="CA327" s="457"/>
      <c r="CB327" s="464"/>
      <c r="CC327" s="392"/>
      <c r="CD327" s="465"/>
      <c r="CE327" s="457"/>
      <c r="CF327" s="464"/>
      <c r="CG327" s="392"/>
      <c r="CH327" s="465"/>
      <c r="CI327" s="457"/>
      <c r="CJ327" s="464"/>
      <c r="CK327" s="392"/>
      <c r="CL327" s="459"/>
      <c r="CM327" s="628"/>
      <c r="CN327" s="468">
        <f t="shared" si="168"/>
        <v>0</v>
      </c>
      <c r="CO327" s="468">
        <f t="shared" si="169"/>
        <v>0</v>
      </c>
      <c r="CP327" s="469">
        <f t="shared" si="170"/>
        <v>0</v>
      </c>
      <c r="CQ327" s="469">
        <f t="shared" si="171"/>
        <v>0</v>
      </c>
      <c r="CR327" s="463"/>
      <c r="CS327" s="457"/>
      <c r="CT327" s="464"/>
      <c r="CU327" s="464"/>
      <c r="CV327" s="465"/>
      <c r="CW327" s="457"/>
      <c r="CX327" s="464"/>
      <c r="CY327" s="466"/>
      <c r="CZ327" s="465"/>
      <c r="DA327" s="457"/>
      <c r="DB327" s="464"/>
      <c r="DC327" s="466"/>
      <c r="DD327" s="465"/>
      <c r="DE327" s="457"/>
      <c r="DF327" s="464"/>
      <c r="DG327" s="466"/>
      <c r="DH327" s="465"/>
      <c r="DI327" s="457"/>
      <c r="DJ327" s="464"/>
      <c r="DK327" s="466"/>
      <c r="DL327" s="465"/>
      <c r="DM327" s="457"/>
      <c r="DN327" s="464"/>
      <c r="DO327" s="466"/>
      <c r="DP327" s="465"/>
      <c r="DQ327" s="457"/>
      <c r="DR327" s="464"/>
      <c r="DS327" s="466"/>
      <c r="DT327" s="465"/>
      <c r="DU327" s="457"/>
      <c r="DV327" s="464"/>
      <c r="DW327" s="466"/>
      <c r="DX327" s="465"/>
      <c r="DY327" s="457"/>
      <c r="DZ327" s="464"/>
      <c r="EA327" s="466"/>
      <c r="EB327" s="465"/>
      <c r="EC327" s="457"/>
      <c r="ED327" s="464"/>
      <c r="EE327" s="466"/>
      <c r="EF327" s="459"/>
      <c r="EG327" s="628"/>
      <c r="EH327" s="460">
        <f t="shared" si="178"/>
        <v>0</v>
      </c>
      <c r="EI327" s="460">
        <f t="shared" si="179"/>
        <v>0</v>
      </c>
      <c r="EJ327" s="458">
        <f t="shared" si="180"/>
        <v>0</v>
      </c>
      <c r="EK327" s="470">
        <f t="shared" si="181"/>
        <v>0</v>
      </c>
      <c r="EL327" s="470">
        <f t="shared" si="182"/>
        <v>0</v>
      </c>
      <c r="EM327" s="449">
        <f t="shared" si="183"/>
        <v>0</v>
      </c>
      <c r="EN327" s="460">
        <f t="shared" si="184"/>
        <v>0</v>
      </c>
      <c r="EO327" s="469">
        <f t="shared" si="185"/>
        <v>0</v>
      </c>
      <c r="EP327" s="471"/>
      <c r="EQ327" s="450"/>
      <c r="ER327" s="471"/>
      <c r="ES327" s="450"/>
      <c r="ET327" s="471"/>
      <c r="EU327" s="450"/>
      <c r="EV327" s="471"/>
      <c r="EW327" s="450"/>
      <c r="EX327" s="471"/>
      <c r="EY327" s="450"/>
      <c r="EZ327" s="471"/>
      <c r="FA327" s="450"/>
      <c r="FB327" s="471"/>
      <c r="FC327" s="450"/>
      <c r="FD327" s="471"/>
      <c r="FE327" s="450"/>
      <c r="FF327" s="471"/>
      <c r="FG327" s="450"/>
      <c r="FH327" s="472"/>
      <c r="FI327" s="450"/>
      <c r="FJ327" s="468">
        <f t="shared" si="176"/>
        <v>0</v>
      </c>
      <c r="FK327" s="469">
        <f t="shared" si="177"/>
        <v>0</v>
      </c>
      <c r="FL327" s="472"/>
      <c r="FM327" s="450"/>
      <c r="FN327" s="460">
        <f t="shared" si="186"/>
        <v>1211</v>
      </c>
      <c r="FO327" s="469">
        <f t="shared" si="187"/>
        <v>1082</v>
      </c>
    </row>
    <row r="328" spans="1:171" x14ac:dyDescent="0.2">
      <c r="A328" s="668" t="s">
        <v>264</v>
      </c>
      <c r="B328" s="672" t="s">
        <v>1029</v>
      </c>
      <c r="C328" s="673"/>
      <c r="D328" s="671">
        <v>198321</v>
      </c>
      <c r="E328" s="565">
        <v>9</v>
      </c>
      <c r="F328" s="532">
        <v>316</v>
      </c>
      <c r="G328" s="628">
        <v>198</v>
      </c>
      <c r="H328" s="457"/>
      <c r="I328" s="450"/>
      <c r="J328" s="457">
        <v>231</v>
      </c>
      <c r="K328" s="741">
        <v>262</v>
      </c>
      <c r="L328" s="458">
        <f t="shared" si="166"/>
        <v>0</v>
      </c>
      <c r="M328" s="449">
        <f t="shared" si="167"/>
        <v>0</v>
      </c>
      <c r="N328" s="459"/>
      <c r="O328" s="459"/>
      <c r="P328" s="459"/>
      <c r="Q328" s="459"/>
      <c r="R328" s="460">
        <f t="shared" si="165"/>
        <v>0</v>
      </c>
      <c r="S328" s="646"/>
      <c r="T328" s="660"/>
      <c r="U328" s="461"/>
      <c r="V328" s="461"/>
      <c r="W328" s="462">
        <f t="shared" si="142"/>
        <v>0</v>
      </c>
      <c r="X328" s="463"/>
      <c r="Y328" s="457"/>
      <c r="Z328" s="464"/>
      <c r="AA328" s="464"/>
      <c r="AB328" s="465"/>
      <c r="AC328" s="457"/>
      <c r="AD328" s="464"/>
      <c r="AE328" s="466"/>
      <c r="AF328" s="465"/>
      <c r="AG328" s="457"/>
      <c r="AH328" s="464"/>
      <c r="AI328" s="466"/>
      <c r="AJ328" s="465"/>
      <c r="AK328" s="457"/>
      <c r="AL328" s="464"/>
      <c r="AM328" s="466"/>
      <c r="AN328" s="465"/>
      <c r="AO328" s="457"/>
      <c r="AP328" s="464"/>
      <c r="AQ328" s="464"/>
      <c r="AR328" s="460">
        <f t="shared" si="172"/>
        <v>0</v>
      </c>
      <c r="AS328" s="467">
        <f t="shared" si="173"/>
        <v>0</v>
      </c>
      <c r="AT328" s="447">
        <f t="shared" si="174"/>
        <v>0</v>
      </c>
      <c r="AU328" s="448">
        <f t="shared" si="175"/>
        <v>0</v>
      </c>
      <c r="AV328" s="457"/>
      <c r="AW328" s="628"/>
      <c r="AX328" s="463"/>
      <c r="AY328" s="457"/>
      <c r="AZ328" s="464"/>
      <c r="BA328" s="464"/>
      <c r="BB328" s="465"/>
      <c r="BC328" s="457"/>
      <c r="BD328" s="464"/>
      <c r="BE328" s="466"/>
      <c r="BF328" s="465"/>
      <c r="BG328" s="457"/>
      <c r="BH328" s="464"/>
      <c r="BI328" s="466"/>
      <c r="BJ328" s="465"/>
      <c r="BK328" s="457"/>
      <c r="BL328" s="464"/>
      <c r="BM328" s="466"/>
      <c r="BN328" s="465"/>
      <c r="BO328" s="457"/>
      <c r="BP328" s="464"/>
      <c r="BQ328" s="466"/>
      <c r="BR328" s="465"/>
      <c r="BS328" s="457"/>
      <c r="BT328" s="464"/>
      <c r="BU328" s="466"/>
      <c r="BV328" s="465"/>
      <c r="BW328" s="457"/>
      <c r="BX328" s="464"/>
      <c r="BY328" s="466"/>
      <c r="BZ328" s="465"/>
      <c r="CA328" s="457"/>
      <c r="CB328" s="464"/>
      <c r="CC328" s="466"/>
      <c r="CD328" s="465"/>
      <c r="CE328" s="457"/>
      <c r="CF328" s="464"/>
      <c r="CG328" s="466"/>
      <c r="CH328" s="465"/>
      <c r="CI328" s="457"/>
      <c r="CJ328" s="464"/>
      <c r="CK328" s="466"/>
      <c r="CL328" s="459"/>
      <c r="CM328" s="628"/>
      <c r="CN328" s="468">
        <f t="shared" si="168"/>
        <v>0</v>
      </c>
      <c r="CO328" s="468">
        <f t="shared" si="169"/>
        <v>0</v>
      </c>
      <c r="CP328" s="469">
        <f t="shared" si="170"/>
        <v>0</v>
      </c>
      <c r="CQ328" s="469">
        <f t="shared" si="171"/>
        <v>0</v>
      </c>
      <c r="CR328" s="463"/>
      <c r="CS328" s="457"/>
      <c r="CT328" s="464"/>
      <c r="CU328" s="464"/>
      <c r="CV328" s="465"/>
      <c r="CW328" s="457"/>
      <c r="CX328" s="464"/>
      <c r="CY328" s="466"/>
      <c r="CZ328" s="465"/>
      <c r="DA328" s="457"/>
      <c r="DB328" s="464"/>
      <c r="DC328" s="466"/>
      <c r="DD328" s="465"/>
      <c r="DE328" s="457"/>
      <c r="DF328" s="464"/>
      <c r="DG328" s="466"/>
      <c r="DH328" s="465"/>
      <c r="DI328" s="457"/>
      <c r="DJ328" s="464"/>
      <c r="DK328" s="466"/>
      <c r="DL328" s="465"/>
      <c r="DM328" s="457"/>
      <c r="DN328" s="464"/>
      <c r="DO328" s="466"/>
      <c r="DP328" s="465"/>
      <c r="DQ328" s="457"/>
      <c r="DR328" s="464"/>
      <c r="DS328" s="466"/>
      <c r="DT328" s="465"/>
      <c r="DU328" s="457"/>
      <c r="DV328" s="464"/>
      <c r="DW328" s="466"/>
      <c r="DX328" s="465"/>
      <c r="DY328" s="457"/>
      <c r="DZ328" s="464"/>
      <c r="EA328" s="466"/>
      <c r="EB328" s="465"/>
      <c r="EC328" s="457"/>
      <c r="ED328" s="464"/>
      <c r="EE328" s="466"/>
      <c r="EF328" s="459"/>
      <c r="EG328" s="628"/>
      <c r="EH328" s="460">
        <f t="shared" si="178"/>
        <v>0</v>
      </c>
      <c r="EI328" s="460">
        <f t="shared" si="179"/>
        <v>0</v>
      </c>
      <c r="EJ328" s="458">
        <f t="shared" si="180"/>
        <v>0</v>
      </c>
      <c r="EK328" s="470">
        <f t="shared" si="181"/>
        <v>0</v>
      </c>
      <c r="EL328" s="470">
        <f t="shared" si="182"/>
        <v>0</v>
      </c>
      <c r="EM328" s="449">
        <f t="shared" si="183"/>
        <v>0</v>
      </c>
      <c r="EN328" s="460">
        <f t="shared" si="184"/>
        <v>0</v>
      </c>
      <c r="EO328" s="469">
        <f t="shared" si="185"/>
        <v>0</v>
      </c>
      <c r="EP328" s="471"/>
      <c r="EQ328" s="450"/>
      <c r="ER328" s="471"/>
      <c r="ES328" s="450"/>
      <c r="ET328" s="471"/>
      <c r="EU328" s="450"/>
      <c r="EV328" s="471"/>
      <c r="EW328" s="450"/>
      <c r="EX328" s="471"/>
      <c r="EY328" s="450"/>
      <c r="EZ328" s="471"/>
      <c r="FA328" s="450"/>
      <c r="FB328" s="471"/>
      <c r="FC328" s="450"/>
      <c r="FD328" s="471"/>
      <c r="FE328" s="450"/>
      <c r="FF328" s="471"/>
      <c r="FG328" s="450"/>
      <c r="FH328" s="472"/>
      <c r="FI328" s="450"/>
      <c r="FJ328" s="468">
        <f t="shared" si="176"/>
        <v>0</v>
      </c>
      <c r="FK328" s="469">
        <f t="shared" si="177"/>
        <v>0</v>
      </c>
      <c r="FL328" s="472"/>
      <c r="FM328" s="450"/>
      <c r="FN328" s="460">
        <f t="shared" si="186"/>
        <v>547</v>
      </c>
      <c r="FO328" s="469">
        <f t="shared" si="187"/>
        <v>460</v>
      </c>
    </row>
    <row r="329" spans="1:171" x14ac:dyDescent="0.2">
      <c r="A329" s="668" t="s">
        <v>264</v>
      </c>
      <c r="B329" s="556" t="s">
        <v>1030</v>
      </c>
      <c r="C329" s="678"/>
      <c r="D329" s="671">
        <v>198330</v>
      </c>
      <c r="E329" s="565">
        <v>9</v>
      </c>
      <c r="F329" s="532">
        <v>464</v>
      </c>
      <c r="G329" s="628">
        <v>496</v>
      </c>
      <c r="H329" s="457"/>
      <c r="I329" s="450"/>
      <c r="J329" s="457">
        <v>550</v>
      </c>
      <c r="K329" s="450">
        <v>540</v>
      </c>
      <c r="L329" s="458">
        <f t="shared" si="166"/>
        <v>0</v>
      </c>
      <c r="M329" s="449">
        <f t="shared" si="167"/>
        <v>0</v>
      </c>
      <c r="N329" s="459"/>
      <c r="O329" s="459"/>
      <c r="P329" s="459"/>
      <c r="Q329" s="459"/>
      <c r="R329" s="460">
        <f t="shared" si="165"/>
        <v>0</v>
      </c>
      <c r="S329" s="461"/>
      <c r="T329" s="660"/>
      <c r="U329" s="461"/>
      <c r="V329" s="461"/>
      <c r="W329" s="462">
        <f t="shared" si="142"/>
        <v>0</v>
      </c>
      <c r="X329" s="463"/>
      <c r="Y329" s="457"/>
      <c r="Z329" s="464"/>
      <c r="AA329" s="464"/>
      <c r="AB329" s="465"/>
      <c r="AC329" s="457"/>
      <c r="AD329" s="464"/>
      <c r="AE329" s="466"/>
      <c r="AF329" s="465"/>
      <c r="AG329" s="457"/>
      <c r="AH329" s="464"/>
      <c r="AI329" s="466"/>
      <c r="AJ329" s="465"/>
      <c r="AK329" s="457"/>
      <c r="AL329" s="464"/>
      <c r="AM329" s="466"/>
      <c r="AN329" s="465"/>
      <c r="AO329" s="457"/>
      <c r="AP329" s="464"/>
      <c r="AQ329" s="464"/>
      <c r="AR329" s="460">
        <f t="shared" si="172"/>
        <v>0</v>
      </c>
      <c r="AS329" s="467">
        <f t="shared" si="173"/>
        <v>0</v>
      </c>
      <c r="AT329" s="447">
        <f t="shared" si="174"/>
        <v>0</v>
      </c>
      <c r="AU329" s="448">
        <f t="shared" si="175"/>
        <v>0</v>
      </c>
      <c r="AV329" s="457"/>
      <c r="AW329" s="628"/>
      <c r="AX329" s="463"/>
      <c r="AY329" s="457"/>
      <c r="AZ329" s="464"/>
      <c r="BA329" s="464"/>
      <c r="BB329" s="465"/>
      <c r="BC329" s="457"/>
      <c r="BD329" s="464"/>
      <c r="BE329" s="466"/>
      <c r="BF329" s="465"/>
      <c r="BG329" s="457"/>
      <c r="BH329" s="464"/>
      <c r="BI329" s="466"/>
      <c r="BJ329" s="465"/>
      <c r="BK329" s="457"/>
      <c r="BL329" s="464"/>
      <c r="BM329" s="466"/>
      <c r="BN329" s="465"/>
      <c r="BO329" s="457"/>
      <c r="BP329" s="464"/>
      <c r="BQ329" s="466"/>
      <c r="BR329" s="465"/>
      <c r="BS329" s="457"/>
      <c r="BT329" s="464"/>
      <c r="BU329" s="466"/>
      <c r="BV329" s="465"/>
      <c r="BW329" s="457"/>
      <c r="BX329" s="464"/>
      <c r="BY329" s="466"/>
      <c r="BZ329" s="465"/>
      <c r="CA329" s="457"/>
      <c r="CB329" s="464"/>
      <c r="CC329" s="466"/>
      <c r="CD329" s="465"/>
      <c r="CE329" s="457"/>
      <c r="CF329" s="464"/>
      <c r="CG329" s="466"/>
      <c r="CH329" s="465"/>
      <c r="CI329" s="457"/>
      <c r="CJ329" s="464"/>
      <c r="CK329" s="466"/>
      <c r="CL329" s="459"/>
      <c r="CM329" s="628"/>
      <c r="CN329" s="468">
        <f t="shared" si="168"/>
        <v>0</v>
      </c>
      <c r="CO329" s="468">
        <f t="shared" si="169"/>
        <v>0</v>
      </c>
      <c r="CP329" s="469">
        <f t="shared" si="170"/>
        <v>0</v>
      </c>
      <c r="CQ329" s="469">
        <f t="shared" si="171"/>
        <v>0</v>
      </c>
      <c r="CR329" s="463"/>
      <c r="CS329" s="457"/>
      <c r="CT329" s="464"/>
      <c r="CU329" s="464"/>
      <c r="CV329" s="465"/>
      <c r="CW329" s="457"/>
      <c r="CX329" s="464"/>
      <c r="CY329" s="466"/>
      <c r="CZ329" s="465"/>
      <c r="DA329" s="457"/>
      <c r="DB329" s="464"/>
      <c r="DC329" s="466"/>
      <c r="DD329" s="465"/>
      <c r="DE329" s="457"/>
      <c r="DF329" s="464"/>
      <c r="DG329" s="466"/>
      <c r="DH329" s="465"/>
      <c r="DI329" s="457"/>
      <c r="DJ329" s="464"/>
      <c r="DK329" s="466"/>
      <c r="DL329" s="465"/>
      <c r="DM329" s="457"/>
      <c r="DN329" s="464"/>
      <c r="DO329" s="466"/>
      <c r="DP329" s="465"/>
      <c r="DQ329" s="457"/>
      <c r="DR329" s="464"/>
      <c r="DS329" s="466"/>
      <c r="DT329" s="465"/>
      <c r="DU329" s="457"/>
      <c r="DV329" s="464"/>
      <c r="DW329" s="466"/>
      <c r="DX329" s="465"/>
      <c r="DY329" s="457"/>
      <c r="DZ329" s="464"/>
      <c r="EA329" s="466"/>
      <c r="EB329" s="465"/>
      <c r="EC329" s="457"/>
      <c r="ED329" s="464"/>
      <c r="EE329" s="466"/>
      <c r="EF329" s="459"/>
      <c r="EG329" s="628"/>
      <c r="EH329" s="460">
        <f t="shared" si="178"/>
        <v>0</v>
      </c>
      <c r="EI329" s="460">
        <f t="shared" si="179"/>
        <v>0</v>
      </c>
      <c r="EJ329" s="458">
        <f t="shared" si="180"/>
        <v>0</v>
      </c>
      <c r="EK329" s="470">
        <f t="shared" si="181"/>
        <v>0</v>
      </c>
      <c r="EL329" s="470">
        <f t="shared" si="182"/>
        <v>0</v>
      </c>
      <c r="EM329" s="449">
        <f t="shared" si="183"/>
        <v>0</v>
      </c>
      <c r="EN329" s="460">
        <f t="shared" si="184"/>
        <v>0</v>
      </c>
      <c r="EO329" s="469">
        <f t="shared" si="185"/>
        <v>0</v>
      </c>
      <c r="EP329" s="471"/>
      <c r="EQ329" s="450"/>
      <c r="ER329" s="471"/>
      <c r="ES329" s="450"/>
      <c r="ET329" s="471"/>
      <c r="EU329" s="450"/>
      <c r="EV329" s="471"/>
      <c r="EW329" s="450"/>
      <c r="EX329" s="471"/>
      <c r="EY329" s="450"/>
      <c r="EZ329" s="471"/>
      <c r="FA329" s="450"/>
      <c r="FB329" s="471"/>
      <c r="FC329" s="450"/>
      <c r="FD329" s="471"/>
      <c r="FE329" s="450"/>
      <c r="FF329" s="471"/>
      <c r="FG329" s="450"/>
      <c r="FH329" s="472"/>
      <c r="FI329" s="450"/>
      <c r="FJ329" s="468">
        <f t="shared" si="176"/>
        <v>0</v>
      </c>
      <c r="FK329" s="469">
        <f t="shared" si="177"/>
        <v>0</v>
      </c>
      <c r="FL329" s="472"/>
      <c r="FM329" s="450"/>
      <c r="FN329" s="460">
        <f t="shared" si="186"/>
        <v>1014</v>
      </c>
      <c r="FO329" s="469">
        <f t="shared" si="187"/>
        <v>1036</v>
      </c>
    </row>
    <row r="330" spans="1:171" x14ac:dyDescent="0.2">
      <c r="A330" s="668" t="s">
        <v>264</v>
      </c>
      <c r="B330" s="669" t="s">
        <v>1031</v>
      </c>
      <c r="C330" s="670"/>
      <c r="D330" s="671">
        <v>198367</v>
      </c>
      <c r="E330" s="565">
        <v>9</v>
      </c>
      <c r="F330" s="532">
        <v>253</v>
      </c>
      <c r="G330" s="628">
        <v>319</v>
      </c>
      <c r="H330" s="457"/>
      <c r="I330" s="450"/>
      <c r="J330" s="457">
        <v>292</v>
      </c>
      <c r="K330" s="741">
        <v>411</v>
      </c>
      <c r="L330" s="458">
        <f t="shared" ref="L330:L393" si="188">IF(N330&gt;0,J330/N330, )</f>
        <v>0</v>
      </c>
      <c r="M330" s="449">
        <f t="shared" ref="M330:M393" si="189">IF(S330&gt;0,K330/S330, )</f>
        <v>0</v>
      </c>
      <c r="N330" s="459"/>
      <c r="O330" s="459"/>
      <c r="P330" s="459"/>
      <c r="Q330" s="459"/>
      <c r="R330" s="460">
        <f t="shared" ref="R330:R393" si="190">SUM(O330:Q330)</f>
        <v>0</v>
      </c>
      <c r="S330" s="461"/>
      <c r="T330" s="660"/>
      <c r="U330" s="461"/>
      <c r="V330" s="461"/>
      <c r="W330" s="462">
        <f t="shared" ref="W330:W361" si="191">SUM(T330:V330)</f>
        <v>0</v>
      </c>
      <c r="X330" s="463"/>
      <c r="Y330" s="457"/>
      <c r="Z330" s="464"/>
      <c r="AA330" s="464"/>
      <c r="AB330" s="465"/>
      <c r="AC330" s="457"/>
      <c r="AD330" s="464"/>
      <c r="AE330" s="466"/>
      <c r="AF330" s="465"/>
      <c r="AG330" s="457"/>
      <c r="AH330" s="464"/>
      <c r="AI330" s="466"/>
      <c r="AJ330" s="465"/>
      <c r="AK330" s="457"/>
      <c r="AL330" s="464"/>
      <c r="AM330" s="466"/>
      <c r="AN330" s="465"/>
      <c r="AO330" s="457"/>
      <c r="AP330" s="464"/>
      <c r="AQ330" s="464"/>
      <c r="AR330" s="460">
        <f t="shared" ref="AR330:AR393" si="192">COUNTA(X330,AB330,AF330,AJ330,AN330)</f>
        <v>0</v>
      </c>
      <c r="AS330" s="467">
        <f t="shared" ref="AS330:AS393" si="193">IF(FN330&gt;0,N330/FN330,)</f>
        <v>0</v>
      </c>
      <c r="AT330" s="447">
        <f t="shared" ref="AT330:AT393" si="194">COUNTA(Z330,AD330,AH330,AL330,AP330)</f>
        <v>0</v>
      </c>
      <c r="AU330" s="448">
        <f t="shared" ref="AU330:AU393" si="195">IF(FO330&gt;0,S330/FO330,)</f>
        <v>0</v>
      </c>
      <c r="AV330" s="457"/>
      <c r="AW330" s="628"/>
      <c r="AX330" s="463"/>
      <c r="AY330" s="457"/>
      <c r="AZ330" s="464"/>
      <c r="BA330" s="464"/>
      <c r="BB330" s="465"/>
      <c r="BC330" s="457"/>
      <c r="BD330" s="464"/>
      <c r="BE330" s="466"/>
      <c r="BF330" s="465"/>
      <c r="BG330" s="457"/>
      <c r="BH330" s="464"/>
      <c r="BI330" s="466"/>
      <c r="BJ330" s="465"/>
      <c r="BK330" s="457"/>
      <c r="BL330" s="464"/>
      <c r="BM330" s="466"/>
      <c r="BN330" s="465"/>
      <c r="BO330" s="457"/>
      <c r="BP330" s="464"/>
      <c r="BQ330" s="466"/>
      <c r="BR330" s="465"/>
      <c r="BS330" s="457"/>
      <c r="BT330" s="464"/>
      <c r="BU330" s="466"/>
      <c r="BV330" s="465"/>
      <c r="BW330" s="457"/>
      <c r="BX330" s="464"/>
      <c r="BY330" s="466"/>
      <c r="BZ330" s="465"/>
      <c r="CA330" s="457"/>
      <c r="CB330" s="464"/>
      <c r="CC330" s="466"/>
      <c r="CD330" s="465"/>
      <c r="CE330" s="457"/>
      <c r="CF330" s="464"/>
      <c r="CG330" s="466"/>
      <c r="CH330" s="465"/>
      <c r="CI330" s="457"/>
      <c r="CJ330" s="464"/>
      <c r="CK330" s="466"/>
      <c r="CL330" s="459"/>
      <c r="CM330" s="628"/>
      <c r="CN330" s="468">
        <f t="shared" ref="CN330:CN393" si="196">AY330+BC330+BG330+BK330+BO330+BS330+BW330+CA330+CE330+CI330+CL330</f>
        <v>0</v>
      </c>
      <c r="CO330" s="468">
        <f t="shared" ref="CO330:CO393" si="197">COUNTA(AX330,BB330,BF330,BJ330,BN330,BR330,BV330,BZ330,CD330,CH330)</f>
        <v>0</v>
      </c>
      <c r="CP330" s="469">
        <f t="shared" ref="CP330:CP393" si="198">BA330+BE330+BI330+BM330+BQ330+BU330+BY330+CC330+CG330+CK330+CM330</f>
        <v>0</v>
      </c>
      <c r="CQ330" s="469">
        <f t="shared" ref="CQ330:CQ393" si="199">COUNTA(AZ330,BD330,BH330,BL330,BP330,BT330,BX330,CB330,CF330,CJ330)</f>
        <v>0</v>
      </c>
      <c r="CR330" s="463"/>
      <c r="CS330" s="457"/>
      <c r="CT330" s="464"/>
      <c r="CU330" s="464"/>
      <c r="CV330" s="465"/>
      <c r="CW330" s="457"/>
      <c r="CX330" s="464"/>
      <c r="CY330" s="466"/>
      <c r="CZ330" s="465"/>
      <c r="DA330" s="457"/>
      <c r="DB330" s="464"/>
      <c r="DC330" s="466"/>
      <c r="DD330" s="465"/>
      <c r="DE330" s="457"/>
      <c r="DF330" s="464"/>
      <c r="DG330" s="466"/>
      <c r="DH330" s="465"/>
      <c r="DI330" s="457"/>
      <c r="DJ330" s="464"/>
      <c r="DK330" s="466"/>
      <c r="DL330" s="465"/>
      <c r="DM330" s="457"/>
      <c r="DN330" s="464"/>
      <c r="DO330" s="466"/>
      <c r="DP330" s="465"/>
      <c r="DQ330" s="457"/>
      <c r="DR330" s="464"/>
      <c r="DS330" s="466"/>
      <c r="DT330" s="465"/>
      <c r="DU330" s="457"/>
      <c r="DV330" s="464"/>
      <c r="DW330" s="466"/>
      <c r="DX330" s="465"/>
      <c r="DY330" s="457"/>
      <c r="DZ330" s="464"/>
      <c r="EA330" s="466"/>
      <c r="EB330" s="465"/>
      <c r="EC330" s="457"/>
      <c r="ED330" s="464"/>
      <c r="EE330" s="466"/>
      <c r="EF330" s="459"/>
      <c r="EG330" s="628"/>
      <c r="EH330" s="460">
        <f t="shared" ref="EH330:EH393" si="200">CS330+CW330+DA330+DE330+DI330+DM330+DQ330+DU330+DY330+EC330+EF330</f>
        <v>0</v>
      </c>
      <c r="EI330" s="460">
        <f t="shared" ref="EI330:EI393" si="201">COUNTA(CR330,CV330,CZ330,DD330,DH330,DL330,DP330,DT330,DX330,EB330)</f>
        <v>0</v>
      </c>
      <c r="EJ330" s="458">
        <f t="shared" ref="EJ330:EJ393" si="202">IF(EH330&gt;0,CS330/EH330,)</f>
        <v>0</v>
      </c>
      <c r="EK330" s="470">
        <f t="shared" ref="EK330:EK393" si="203">CU330+CY330+DC330+DG330+DK330+DO330+DS330+DW330+EA330+EE330+EG330</f>
        <v>0</v>
      </c>
      <c r="EL330" s="470">
        <f t="shared" ref="EL330:EL393" si="204">COUNTA(CT330,CX330,DB330,DF330,DJ330,DN330,DR330,DV330,DZ330,ED330)</f>
        <v>0</v>
      </c>
      <c r="EM330" s="449">
        <f t="shared" ref="EM330:EM393" si="205">IF(EK330&gt;0,CU330/EK330,)</f>
        <v>0</v>
      </c>
      <c r="EN330" s="460">
        <f t="shared" ref="EN330:EN393" si="206">CN330+EH330</f>
        <v>0</v>
      </c>
      <c r="EO330" s="469">
        <f t="shared" ref="EO330:EO393" si="207">CP330+EK330</f>
        <v>0</v>
      </c>
      <c r="EP330" s="471"/>
      <c r="EQ330" s="450"/>
      <c r="ER330" s="471"/>
      <c r="ES330" s="450"/>
      <c r="ET330" s="471"/>
      <c r="EU330" s="450"/>
      <c r="EV330" s="471"/>
      <c r="EW330" s="450"/>
      <c r="EX330" s="471"/>
      <c r="EY330" s="450"/>
      <c r="EZ330" s="471"/>
      <c r="FA330" s="450"/>
      <c r="FB330" s="471"/>
      <c r="FC330" s="450"/>
      <c r="FD330" s="471"/>
      <c r="FE330" s="450"/>
      <c r="FF330" s="471"/>
      <c r="FG330" s="450"/>
      <c r="FH330" s="472"/>
      <c r="FI330" s="450"/>
      <c r="FJ330" s="468">
        <f t="shared" ref="FJ330:FJ393" si="208">EP330+ER330+ET330+EV330+EX330+EZ330+FB330+FD330+FF330+FH330</f>
        <v>0</v>
      </c>
      <c r="FK330" s="469">
        <f t="shared" ref="FK330:FK393" si="209">EQ330+ES330+EU330+EW330+EY330+FA330+FC330+FE330+FG330+FI330</f>
        <v>0</v>
      </c>
      <c r="FL330" s="472"/>
      <c r="FM330" s="450"/>
      <c r="FN330" s="460">
        <f t="shared" ref="FN330:FN393" si="210">F330+H330+J330+N330+AV330+EN330+FJ330+FL330</f>
        <v>545</v>
      </c>
      <c r="FO330" s="469">
        <f t="shared" ref="FO330:FO393" si="211">G330+I330+K330+S330+AW330+EO330+FK330+FM330</f>
        <v>730</v>
      </c>
    </row>
    <row r="331" spans="1:171" x14ac:dyDescent="0.2">
      <c r="A331" s="668" t="s">
        <v>264</v>
      </c>
      <c r="B331" s="669" t="s">
        <v>1032</v>
      </c>
      <c r="C331" s="670"/>
      <c r="D331" s="671">
        <v>198376</v>
      </c>
      <c r="E331" s="565">
        <v>9</v>
      </c>
      <c r="F331" s="532">
        <v>452</v>
      </c>
      <c r="G331" s="628">
        <v>397</v>
      </c>
      <c r="H331" s="457"/>
      <c r="I331" s="450"/>
      <c r="J331" s="457">
        <v>406</v>
      </c>
      <c r="K331" s="450">
        <v>458</v>
      </c>
      <c r="L331" s="458">
        <f t="shared" si="188"/>
        <v>0</v>
      </c>
      <c r="M331" s="449">
        <f t="shared" si="189"/>
        <v>0</v>
      </c>
      <c r="N331" s="459"/>
      <c r="O331" s="459"/>
      <c r="P331" s="459"/>
      <c r="Q331" s="459"/>
      <c r="R331" s="460">
        <f t="shared" si="190"/>
        <v>0</v>
      </c>
      <c r="S331" s="461"/>
      <c r="T331" s="660"/>
      <c r="U331" s="461"/>
      <c r="V331" s="461"/>
      <c r="W331" s="462">
        <f t="shared" si="191"/>
        <v>0</v>
      </c>
      <c r="X331" s="463"/>
      <c r="Y331" s="457"/>
      <c r="Z331" s="464"/>
      <c r="AA331" s="464"/>
      <c r="AB331" s="465"/>
      <c r="AC331" s="457"/>
      <c r="AD331" s="464"/>
      <c r="AE331" s="466"/>
      <c r="AF331" s="465"/>
      <c r="AG331" s="457"/>
      <c r="AH331" s="464"/>
      <c r="AI331" s="466"/>
      <c r="AJ331" s="465"/>
      <c r="AK331" s="457"/>
      <c r="AL331" s="464"/>
      <c r="AM331" s="466"/>
      <c r="AN331" s="465"/>
      <c r="AO331" s="457"/>
      <c r="AP331" s="464"/>
      <c r="AQ331" s="464"/>
      <c r="AR331" s="460">
        <f t="shared" si="192"/>
        <v>0</v>
      </c>
      <c r="AS331" s="467">
        <f t="shared" si="193"/>
        <v>0</v>
      </c>
      <c r="AT331" s="447">
        <f t="shared" si="194"/>
        <v>0</v>
      </c>
      <c r="AU331" s="448">
        <f t="shared" si="195"/>
        <v>0</v>
      </c>
      <c r="AV331" s="457"/>
      <c r="AW331" s="628"/>
      <c r="AX331" s="463"/>
      <c r="AY331" s="457"/>
      <c r="AZ331" s="464"/>
      <c r="BA331" s="464"/>
      <c r="BB331" s="465"/>
      <c r="BC331" s="457"/>
      <c r="BD331" s="464"/>
      <c r="BE331" s="466"/>
      <c r="BF331" s="465"/>
      <c r="BG331" s="457"/>
      <c r="BH331" s="464"/>
      <c r="BI331" s="466"/>
      <c r="BJ331" s="465"/>
      <c r="BK331" s="457"/>
      <c r="BL331" s="464"/>
      <c r="BM331" s="466"/>
      <c r="BN331" s="465"/>
      <c r="BO331" s="457"/>
      <c r="BP331" s="464"/>
      <c r="BQ331" s="466"/>
      <c r="BR331" s="465"/>
      <c r="BS331" s="457"/>
      <c r="BT331" s="464"/>
      <c r="BU331" s="466"/>
      <c r="BV331" s="465"/>
      <c r="BW331" s="457"/>
      <c r="BX331" s="464"/>
      <c r="BY331" s="466"/>
      <c r="BZ331" s="465"/>
      <c r="CA331" s="457"/>
      <c r="CB331" s="464"/>
      <c r="CC331" s="466"/>
      <c r="CD331" s="465"/>
      <c r="CE331" s="457"/>
      <c r="CF331" s="464"/>
      <c r="CG331" s="466"/>
      <c r="CH331" s="465"/>
      <c r="CI331" s="457"/>
      <c r="CJ331" s="464"/>
      <c r="CK331" s="466"/>
      <c r="CL331" s="459"/>
      <c r="CM331" s="628"/>
      <c r="CN331" s="468">
        <f t="shared" si="196"/>
        <v>0</v>
      </c>
      <c r="CO331" s="468">
        <f t="shared" si="197"/>
        <v>0</v>
      </c>
      <c r="CP331" s="469">
        <f t="shared" si="198"/>
        <v>0</v>
      </c>
      <c r="CQ331" s="469">
        <f t="shared" si="199"/>
        <v>0</v>
      </c>
      <c r="CR331" s="463"/>
      <c r="CS331" s="457"/>
      <c r="CT331" s="464"/>
      <c r="CU331" s="464"/>
      <c r="CV331" s="465"/>
      <c r="CW331" s="457"/>
      <c r="CX331" s="464"/>
      <c r="CY331" s="466"/>
      <c r="CZ331" s="465"/>
      <c r="DA331" s="457"/>
      <c r="DB331" s="464"/>
      <c r="DC331" s="466"/>
      <c r="DD331" s="465"/>
      <c r="DE331" s="457"/>
      <c r="DF331" s="464"/>
      <c r="DG331" s="466"/>
      <c r="DH331" s="465"/>
      <c r="DI331" s="457"/>
      <c r="DJ331" s="464"/>
      <c r="DK331" s="466"/>
      <c r="DL331" s="465"/>
      <c r="DM331" s="457"/>
      <c r="DN331" s="464"/>
      <c r="DO331" s="466"/>
      <c r="DP331" s="465"/>
      <c r="DQ331" s="457"/>
      <c r="DR331" s="464"/>
      <c r="DS331" s="466"/>
      <c r="DT331" s="465"/>
      <c r="DU331" s="457"/>
      <c r="DV331" s="464"/>
      <c r="DW331" s="466"/>
      <c r="DX331" s="465"/>
      <c r="DY331" s="457"/>
      <c r="DZ331" s="464"/>
      <c r="EA331" s="466"/>
      <c r="EB331" s="465"/>
      <c r="EC331" s="457"/>
      <c r="ED331" s="464"/>
      <c r="EE331" s="466"/>
      <c r="EF331" s="459"/>
      <c r="EG331" s="628"/>
      <c r="EH331" s="460">
        <f t="shared" si="200"/>
        <v>0</v>
      </c>
      <c r="EI331" s="460">
        <f t="shared" si="201"/>
        <v>0</v>
      </c>
      <c r="EJ331" s="458">
        <f t="shared" si="202"/>
        <v>0</v>
      </c>
      <c r="EK331" s="470">
        <f t="shared" si="203"/>
        <v>0</v>
      </c>
      <c r="EL331" s="470">
        <f t="shared" si="204"/>
        <v>0</v>
      </c>
      <c r="EM331" s="449">
        <f t="shared" si="205"/>
        <v>0</v>
      </c>
      <c r="EN331" s="460">
        <f t="shared" si="206"/>
        <v>0</v>
      </c>
      <c r="EO331" s="469">
        <f t="shared" si="207"/>
        <v>0</v>
      </c>
      <c r="EP331" s="471"/>
      <c r="EQ331" s="450"/>
      <c r="ER331" s="471"/>
      <c r="ES331" s="450"/>
      <c r="ET331" s="471"/>
      <c r="EU331" s="450"/>
      <c r="EV331" s="471"/>
      <c r="EW331" s="450"/>
      <c r="EX331" s="471"/>
      <c r="EY331" s="450"/>
      <c r="EZ331" s="471"/>
      <c r="FA331" s="450"/>
      <c r="FB331" s="471"/>
      <c r="FC331" s="450"/>
      <c r="FD331" s="471"/>
      <c r="FE331" s="450"/>
      <c r="FF331" s="471"/>
      <c r="FG331" s="450"/>
      <c r="FH331" s="472"/>
      <c r="FI331" s="450"/>
      <c r="FJ331" s="468">
        <f t="shared" si="208"/>
        <v>0</v>
      </c>
      <c r="FK331" s="469">
        <f t="shared" si="209"/>
        <v>0</v>
      </c>
      <c r="FL331" s="472"/>
      <c r="FM331" s="450"/>
      <c r="FN331" s="460">
        <f t="shared" si="210"/>
        <v>858</v>
      </c>
      <c r="FO331" s="469">
        <f t="shared" si="211"/>
        <v>855</v>
      </c>
    </row>
    <row r="332" spans="1:171" x14ac:dyDescent="0.2">
      <c r="A332" s="675" t="s">
        <v>264</v>
      </c>
      <c r="B332" s="672" t="s">
        <v>1033</v>
      </c>
      <c r="C332" s="673"/>
      <c r="D332" s="677">
        <v>198455</v>
      </c>
      <c r="E332" s="561">
        <v>9</v>
      </c>
      <c r="F332" s="532">
        <v>426</v>
      </c>
      <c r="G332" s="628">
        <v>473</v>
      </c>
      <c r="H332" s="457"/>
      <c r="I332" s="450"/>
      <c r="J332" s="457">
        <v>351</v>
      </c>
      <c r="K332" s="741">
        <v>422</v>
      </c>
      <c r="L332" s="458">
        <f t="shared" si="188"/>
        <v>0</v>
      </c>
      <c r="M332" s="449">
        <f t="shared" si="189"/>
        <v>0</v>
      </c>
      <c r="N332" s="459"/>
      <c r="O332" s="459"/>
      <c r="P332" s="459"/>
      <c r="Q332" s="459"/>
      <c r="R332" s="460">
        <f t="shared" si="190"/>
        <v>0</v>
      </c>
      <c r="S332" s="461"/>
      <c r="T332" s="461"/>
      <c r="U332" s="461"/>
      <c r="V332" s="461"/>
      <c r="W332" s="462">
        <f t="shared" si="191"/>
        <v>0</v>
      </c>
      <c r="X332" s="463"/>
      <c r="Y332" s="457"/>
      <c r="Z332" s="464"/>
      <c r="AA332" s="464"/>
      <c r="AB332" s="465"/>
      <c r="AC332" s="457"/>
      <c r="AD332" s="464"/>
      <c r="AE332" s="466"/>
      <c r="AF332" s="465"/>
      <c r="AG332" s="457"/>
      <c r="AH332" s="464"/>
      <c r="AI332" s="466"/>
      <c r="AJ332" s="465"/>
      <c r="AK332" s="457"/>
      <c r="AL332" s="464"/>
      <c r="AM332" s="466"/>
      <c r="AN332" s="465"/>
      <c r="AO332" s="457"/>
      <c r="AP332" s="464"/>
      <c r="AQ332" s="464"/>
      <c r="AR332" s="460">
        <f t="shared" si="192"/>
        <v>0</v>
      </c>
      <c r="AS332" s="467">
        <f t="shared" si="193"/>
        <v>0</v>
      </c>
      <c r="AT332" s="447">
        <f t="shared" si="194"/>
        <v>0</v>
      </c>
      <c r="AU332" s="448">
        <f t="shared" si="195"/>
        <v>0</v>
      </c>
      <c r="AV332" s="457"/>
      <c r="AW332" s="628"/>
      <c r="AX332" s="463"/>
      <c r="AY332" s="457"/>
      <c r="AZ332" s="464"/>
      <c r="BA332" s="464"/>
      <c r="BB332" s="465"/>
      <c r="BC332" s="457"/>
      <c r="BD332" s="464"/>
      <c r="BE332" s="466"/>
      <c r="BF332" s="465"/>
      <c r="BG332" s="457"/>
      <c r="BH332" s="464"/>
      <c r="BI332" s="466"/>
      <c r="BJ332" s="465"/>
      <c r="BK332" s="457"/>
      <c r="BL332" s="464"/>
      <c r="BM332" s="466"/>
      <c r="BN332" s="465"/>
      <c r="BO332" s="457"/>
      <c r="BP332" s="464"/>
      <c r="BQ332" s="466"/>
      <c r="BR332" s="465"/>
      <c r="BS332" s="457"/>
      <c r="BT332" s="464"/>
      <c r="BU332" s="466"/>
      <c r="BV332" s="465"/>
      <c r="BW332" s="457"/>
      <c r="BX332" s="464"/>
      <c r="BY332" s="466"/>
      <c r="BZ332" s="465"/>
      <c r="CA332" s="457"/>
      <c r="CB332" s="464"/>
      <c r="CC332" s="466"/>
      <c r="CD332" s="465"/>
      <c r="CE332" s="457"/>
      <c r="CF332" s="464"/>
      <c r="CG332" s="466"/>
      <c r="CH332" s="465"/>
      <c r="CI332" s="457"/>
      <c r="CJ332" s="464"/>
      <c r="CK332" s="466"/>
      <c r="CL332" s="459"/>
      <c r="CM332" s="628"/>
      <c r="CN332" s="468">
        <f t="shared" si="196"/>
        <v>0</v>
      </c>
      <c r="CO332" s="468">
        <f t="shared" si="197"/>
        <v>0</v>
      </c>
      <c r="CP332" s="469">
        <f t="shared" si="198"/>
        <v>0</v>
      </c>
      <c r="CQ332" s="469">
        <f t="shared" si="199"/>
        <v>0</v>
      </c>
      <c r="CR332" s="463"/>
      <c r="CS332" s="457"/>
      <c r="CT332" s="464"/>
      <c r="CU332" s="464"/>
      <c r="CV332" s="465"/>
      <c r="CW332" s="457"/>
      <c r="CX332" s="464"/>
      <c r="CY332" s="466"/>
      <c r="CZ332" s="465"/>
      <c r="DA332" s="457"/>
      <c r="DB332" s="464"/>
      <c r="DC332" s="466"/>
      <c r="DD332" s="465"/>
      <c r="DE332" s="457"/>
      <c r="DF332" s="464"/>
      <c r="DG332" s="466"/>
      <c r="DH332" s="465"/>
      <c r="DI332" s="457"/>
      <c r="DJ332" s="464"/>
      <c r="DK332" s="466"/>
      <c r="DL332" s="465"/>
      <c r="DM332" s="457"/>
      <c r="DN332" s="464"/>
      <c r="DO332" s="466"/>
      <c r="DP332" s="465"/>
      <c r="DQ332" s="457"/>
      <c r="DR332" s="464"/>
      <c r="DS332" s="466"/>
      <c r="DT332" s="465"/>
      <c r="DU332" s="457"/>
      <c r="DV332" s="464"/>
      <c r="DW332" s="466"/>
      <c r="DX332" s="465"/>
      <c r="DY332" s="457"/>
      <c r="DZ332" s="464"/>
      <c r="EA332" s="466"/>
      <c r="EB332" s="465"/>
      <c r="EC332" s="457"/>
      <c r="ED332" s="464"/>
      <c r="EE332" s="466"/>
      <c r="EF332" s="459"/>
      <c r="EG332" s="628"/>
      <c r="EH332" s="460">
        <f t="shared" si="200"/>
        <v>0</v>
      </c>
      <c r="EI332" s="460">
        <f t="shared" si="201"/>
        <v>0</v>
      </c>
      <c r="EJ332" s="458">
        <f t="shared" si="202"/>
        <v>0</v>
      </c>
      <c r="EK332" s="470">
        <f t="shared" si="203"/>
        <v>0</v>
      </c>
      <c r="EL332" s="470">
        <f t="shared" si="204"/>
        <v>0</v>
      </c>
      <c r="EM332" s="449">
        <f t="shared" si="205"/>
        <v>0</v>
      </c>
      <c r="EN332" s="460">
        <f t="shared" si="206"/>
        <v>0</v>
      </c>
      <c r="EO332" s="469">
        <f t="shared" si="207"/>
        <v>0</v>
      </c>
      <c r="EP332" s="471"/>
      <c r="EQ332" s="450"/>
      <c r="ER332" s="471"/>
      <c r="ES332" s="450"/>
      <c r="ET332" s="471"/>
      <c r="EU332" s="450"/>
      <c r="EV332" s="471"/>
      <c r="EW332" s="450"/>
      <c r="EX332" s="471"/>
      <c r="EY332" s="450"/>
      <c r="EZ332" s="471"/>
      <c r="FA332" s="450"/>
      <c r="FB332" s="471"/>
      <c r="FC332" s="450"/>
      <c r="FD332" s="471"/>
      <c r="FE332" s="450"/>
      <c r="FF332" s="471"/>
      <c r="FG332" s="450"/>
      <c r="FH332" s="472"/>
      <c r="FI332" s="450"/>
      <c r="FJ332" s="468">
        <f t="shared" si="208"/>
        <v>0</v>
      </c>
      <c r="FK332" s="469">
        <f t="shared" si="209"/>
        <v>0</v>
      </c>
      <c r="FL332" s="472"/>
      <c r="FM332" s="450"/>
      <c r="FN332" s="460">
        <f t="shared" si="210"/>
        <v>777</v>
      </c>
      <c r="FO332" s="469">
        <f t="shared" si="211"/>
        <v>895</v>
      </c>
    </row>
    <row r="333" spans="1:171" x14ac:dyDescent="0.2">
      <c r="A333" s="668" t="s">
        <v>264</v>
      </c>
      <c r="B333" s="669" t="s">
        <v>1034</v>
      </c>
      <c r="C333" s="670"/>
      <c r="D333" s="671">
        <v>198491</v>
      </c>
      <c r="E333" s="565">
        <v>9</v>
      </c>
      <c r="F333" s="532">
        <v>107</v>
      </c>
      <c r="G333" s="628">
        <v>137</v>
      </c>
      <c r="H333" s="457"/>
      <c r="I333" s="450"/>
      <c r="J333" s="457">
        <v>257</v>
      </c>
      <c r="K333" s="450">
        <v>284</v>
      </c>
      <c r="L333" s="458">
        <f t="shared" si="188"/>
        <v>0</v>
      </c>
      <c r="M333" s="449">
        <f t="shared" si="189"/>
        <v>0</v>
      </c>
      <c r="N333" s="459"/>
      <c r="O333" s="459"/>
      <c r="P333" s="459"/>
      <c r="Q333" s="459"/>
      <c r="R333" s="460">
        <f t="shared" si="190"/>
        <v>0</v>
      </c>
      <c r="S333" s="461"/>
      <c r="T333" s="461"/>
      <c r="U333" s="461"/>
      <c r="V333" s="461"/>
      <c r="W333" s="462">
        <f t="shared" si="191"/>
        <v>0</v>
      </c>
      <c r="X333" s="463"/>
      <c r="Y333" s="457"/>
      <c r="Z333" s="464"/>
      <c r="AA333" s="464"/>
      <c r="AB333" s="465"/>
      <c r="AC333" s="457"/>
      <c r="AD333" s="464"/>
      <c r="AE333" s="466"/>
      <c r="AF333" s="465"/>
      <c r="AG333" s="457"/>
      <c r="AH333" s="464"/>
      <c r="AI333" s="466"/>
      <c r="AJ333" s="465"/>
      <c r="AK333" s="457"/>
      <c r="AL333" s="464"/>
      <c r="AM333" s="466"/>
      <c r="AN333" s="465"/>
      <c r="AO333" s="457"/>
      <c r="AP333" s="464"/>
      <c r="AQ333" s="464"/>
      <c r="AR333" s="460">
        <f t="shared" si="192"/>
        <v>0</v>
      </c>
      <c r="AS333" s="467">
        <f t="shared" si="193"/>
        <v>0</v>
      </c>
      <c r="AT333" s="447">
        <f t="shared" si="194"/>
        <v>0</v>
      </c>
      <c r="AU333" s="448">
        <f t="shared" si="195"/>
        <v>0</v>
      </c>
      <c r="AV333" s="457"/>
      <c r="AW333" s="628"/>
      <c r="AX333" s="463"/>
      <c r="AY333" s="457"/>
      <c r="AZ333" s="464"/>
      <c r="BA333" s="464"/>
      <c r="BB333" s="465"/>
      <c r="BC333" s="457"/>
      <c r="BD333" s="464"/>
      <c r="BE333" s="466"/>
      <c r="BF333" s="465"/>
      <c r="BG333" s="457"/>
      <c r="BH333" s="464"/>
      <c r="BI333" s="466"/>
      <c r="BJ333" s="465"/>
      <c r="BK333" s="457"/>
      <c r="BL333" s="464"/>
      <c r="BM333" s="466"/>
      <c r="BN333" s="465"/>
      <c r="BO333" s="457"/>
      <c r="BP333" s="464"/>
      <c r="BQ333" s="466"/>
      <c r="BR333" s="465"/>
      <c r="BS333" s="457"/>
      <c r="BT333" s="464"/>
      <c r="BU333" s="466"/>
      <c r="BV333" s="465"/>
      <c r="BW333" s="457"/>
      <c r="BX333" s="464"/>
      <c r="BY333" s="466"/>
      <c r="BZ333" s="465"/>
      <c r="CA333" s="457"/>
      <c r="CB333" s="464"/>
      <c r="CC333" s="466"/>
      <c r="CD333" s="465"/>
      <c r="CE333" s="457"/>
      <c r="CF333" s="464"/>
      <c r="CG333" s="466"/>
      <c r="CH333" s="465"/>
      <c r="CI333" s="457"/>
      <c r="CJ333" s="464"/>
      <c r="CK333" s="466"/>
      <c r="CL333" s="459"/>
      <c r="CM333" s="450"/>
      <c r="CN333" s="468">
        <f t="shared" si="196"/>
        <v>0</v>
      </c>
      <c r="CO333" s="468">
        <f t="shared" si="197"/>
        <v>0</v>
      </c>
      <c r="CP333" s="469">
        <f t="shared" si="198"/>
        <v>0</v>
      </c>
      <c r="CQ333" s="469">
        <f t="shared" si="199"/>
        <v>0</v>
      </c>
      <c r="CR333" s="463"/>
      <c r="CS333" s="457"/>
      <c r="CT333" s="464"/>
      <c r="CU333" s="464"/>
      <c r="CV333" s="465"/>
      <c r="CW333" s="457"/>
      <c r="CX333" s="464"/>
      <c r="CY333" s="466"/>
      <c r="CZ333" s="465"/>
      <c r="DA333" s="457"/>
      <c r="DB333" s="464"/>
      <c r="DC333" s="466"/>
      <c r="DD333" s="465"/>
      <c r="DE333" s="457"/>
      <c r="DF333" s="464"/>
      <c r="DG333" s="466"/>
      <c r="DH333" s="465"/>
      <c r="DI333" s="457"/>
      <c r="DJ333" s="464"/>
      <c r="DK333" s="466"/>
      <c r="DL333" s="465"/>
      <c r="DM333" s="457"/>
      <c r="DN333" s="464"/>
      <c r="DO333" s="466"/>
      <c r="DP333" s="465"/>
      <c r="DQ333" s="457"/>
      <c r="DR333" s="464"/>
      <c r="DS333" s="466"/>
      <c r="DT333" s="465"/>
      <c r="DU333" s="457"/>
      <c r="DV333" s="464"/>
      <c r="DW333" s="466"/>
      <c r="DX333" s="465"/>
      <c r="DY333" s="457"/>
      <c r="DZ333" s="464"/>
      <c r="EA333" s="466"/>
      <c r="EB333" s="465"/>
      <c r="EC333" s="457"/>
      <c r="ED333" s="464"/>
      <c r="EE333" s="466"/>
      <c r="EF333" s="459"/>
      <c r="EG333" s="628"/>
      <c r="EH333" s="460">
        <f t="shared" si="200"/>
        <v>0</v>
      </c>
      <c r="EI333" s="460">
        <f t="shared" si="201"/>
        <v>0</v>
      </c>
      <c r="EJ333" s="458">
        <f t="shared" si="202"/>
        <v>0</v>
      </c>
      <c r="EK333" s="470">
        <f t="shared" si="203"/>
        <v>0</v>
      </c>
      <c r="EL333" s="470">
        <f t="shared" si="204"/>
        <v>0</v>
      </c>
      <c r="EM333" s="449">
        <f t="shared" si="205"/>
        <v>0</v>
      </c>
      <c r="EN333" s="460">
        <f t="shared" si="206"/>
        <v>0</v>
      </c>
      <c r="EO333" s="469">
        <f t="shared" si="207"/>
        <v>0</v>
      </c>
      <c r="EP333" s="471"/>
      <c r="EQ333" s="450"/>
      <c r="ER333" s="471"/>
      <c r="ES333" s="450"/>
      <c r="ET333" s="471"/>
      <c r="EU333" s="450"/>
      <c r="EV333" s="471"/>
      <c r="EW333" s="450"/>
      <c r="EX333" s="471"/>
      <c r="EY333" s="450"/>
      <c r="EZ333" s="471"/>
      <c r="FA333" s="450"/>
      <c r="FB333" s="471"/>
      <c r="FC333" s="450"/>
      <c r="FD333" s="471"/>
      <c r="FE333" s="450"/>
      <c r="FF333" s="471"/>
      <c r="FG333" s="450"/>
      <c r="FH333" s="472"/>
      <c r="FI333" s="450"/>
      <c r="FJ333" s="468">
        <f t="shared" si="208"/>
        <v>0</v>
      </c>
      <c r="FK333" s="469">
        <f t="shared" si="209"/>
        <v>0</v>
      </c>
      <c r="FL333" s="472"/>
      <c r="FM333" s="450"/>
      <c r="FN333" s="460">
        <f t="shared" si="210"/>
        <v>364</v>
      </c>
      <c r="FO333" s="469">
        <f t="shared" si="211"/>
        <v>421</v>
      </c>
    </row>
    <row r="334" spans="1:171" x14ac:dyDescent="0.2">
      <c r="A334" s="668" t="s">
        <v>264</v>
      </c>
      <c r="B334" s="669" t="s">
        <v>1035</v>
      </c>
      <c r="C334" s="673" t="s">
        <v>1073</v>
      </c>
      <c r="D334" s="671">
        <v>198668</v>
      </c>
      <c r="E334" s="565">
        <v>9</v>
      </c>
      <c r="F334" s="532">
        <v>192</v>
      </c>
      <c r="G334" s="628">
        <v>274</v>
      </c>
      <c r="H334" s="457"/>
      <c r="I334" s="450"/>
      <c r="J334" s="457">
        <v>215</v>
      </c>
      <c r="K334" s="741">
        <v>289</v>
      </c>
      <c r="L334" s="458">
        <f t="shared" si="188"/>
        <v>0</v>
      </c>
      <c r="M334" s="449">
        <f t="shared" si="189"/>
        <v>0</v>
      </c>
      <c r="N334" s="459"/>
      <c r="O334" s="459"/>
      <c r="P334" s="459"/>
      <c r="Q334" s="459"/>
      <c r="R334" s="460">
        <f t="shared" si="190"/>
        <v>0</v>
      </c>
      <c r="S334" s="461"/>
      <c r="T334" s="461"/>
      <c r="U334" s="461"/>
      <c r="V334" s="461"/>
      <c r="W334" s="462">
        <f t="shared" si="191"/>
        <v>0</v>
      </c>
      <c r="X334" s="463"/>
      <c r="Y334" s="457"/>
      <c r="Z334" s="464"/>
      <c r="AA334" s="464"/>
      <c r="AB334" s="465"/>
      <c r="AC334" s="457"/>
      <c r="AD334" s="464"/>
      <c r="AE334" s="466"/>
      <c r="AF334" s="465"/>
      <c r="AG334" s="457"/>
      <c r="AH334" s="464"/>
      <c r="AI334" s="466"/>
      <c r="AJ334" s="465"/>
      <c r="AK334" s="457"/>
      <c r="AL334" s="464"/>
      <c r="AM334" s="466"/>
      <c r="AN334" s="465"/>
      <c r="AO334" s="457"/>
      <c r="AP334" s="464"/>
      <c r="AQ334" s="464"/>
      <c r="AR334" s="460">
        <f t="shared" si="192"/>
        <v>0</v>
      </c>
      <c r="AS334" s="467">
        <f t="shared" si="193"/>
        <v>0</v>
      </c>
      <c r="AT334" s="447">
        <f t="shared" si="194"/>
        <v>0</v>
      </c>
      <c r="AU334" s="448">
        <f t="shared" si="195"/>
        <v>0</v>
      </c>
      <c r="AV334" s="457"/>
      <c r="AW334" s="628"/>
      <c r="AX334" s="463"/>
      <c r="AY334" s="457"/>
      <c r="AZ334" s="464"/>
      <c r="BA334" s="464"/>
      <c r="BB334" s="465"/>
      <c r="BC334" s="457"/>
      <c r="BD334" s="464"/>
      <c r="BE334" s="466"/>
      <c r="BF334" s="465"/>
      <c r="BG334" s="457"/>
      <c r="BH334" s="464"/>
      <c r="BI334" s="466"/>
      <c r="BJ334" s="465"/>
      <c r="BK334" s="457"/>
      <c r="BL334" s="464"/>
      <c r="BM334" s="466"/>
      <c r="BN334" s="465"/>
      <c r="BO334" s="457"/>
      <c r="BP334" s="464"/>
      <c r="BQ334" s="466"/>
      <c r="BR334" s="465"/>
      <c r="BS334" s="457"/>
      <c r="BT334" s="464"/>
      <c r="BU334" s="466"/>
      <c r="BV334" s="465"/>
      <c r="BW334" s="457"/>
      <c r="BX334" s="464"/>
      <c r="BY334" s="466"/>
      <c r="BZ334" s="465"/>
      <c r="CA334" s="457"/>
      <c r="CB334" s="464"/>
      <c r="CC334" s="466"/>
      <c r="CD334" s="465"/>
      <c r="CE334" s="457"/>
      <c r="CF334" s="464"/>
      <c r="CG334" s="466"/>
      <c r="CH334" s="465"/>
      <c r="CI334" s="457"/>
      <c r="CJ334" s="464"/>
      <c r="CK334" s="466"/>
      <c r="CL334" s="459"/>
      <c r="CM334" s="450"/>
      <c r="CN334" s="468">
        <f t="shared" si="196"/>
        <v>0</v>
      </c>
      <c r="CO334" s="468">
        <f t="shared" si="197"/>
        <v>0</v>
      </c>
      <c r="CP334" s="469">
        <f t="shared" si="198"/>
        <v>0</v>
      </c>
      <c r="CQ334" s="469">
        <f t="shared" si="199"/>
        <v>0</v>
      </c>
      <c r="CR334" s="463"/>
      <c r="CS334" s="457"/>
      <c r="CT334" s="464"/>
      <c r="CU334" s="464"/>
      <c r="CV334" s="465"/>
      <c r="CW334" s="457"/>
      <c r="CX334" s="464"/>
      <c r="CY334" s="466"/>
      <c r="CZ334" s="465"/>
      <c r="DA334" s="457"/>
      <c r="DB334" s="464"/>
      <c r="DC334" s="466"/>
      <c r="DD334" s="465"/>
      <c r="DE334" s="457"/>
      <c r="DF334" s="464"/>
      <c r="DG334" s="466"/>
      <c r="DH334" s="465"/>
      <c r="DI334" s="457"/>
      <c r="DJ334" s="464"/>
      <c r="DK334" s="466"/>
      <c r="DL334" s="465"/>
      <c r="DM334" s="457"/>
      <c r="DN334" s="464"/>
      <c r="DO334" s="466"/>
      <c r="DP334" s="465"/>
      <c r="DQ334" s="457"/>
      <c r="DR334" s="464"/>
      <c r="DS334" s="466"/>
      <c r="DT334" s="465"/>
      <c r="DU334" s="457"/>
      <c r="DV334" s="464"/>
      <c r="DW334" s="466"/>
      <c r="DX334" s="465"/>
      <c r="DY334" s="457"/>
      <c r="DZ334" s="464"/>
      <c r="EA334" s="466"/>
      <c r="EB334" s="465"/>
      <c r="EC334" s="457"/>
      <c r="ED334" s="464"/>
      <c r="EE334" s="466"/>
      <c r="EF334" s="459"/>
      <c r="EG334" s="628"/>
      <c r="EH334" s="460">
        <f t="shared" si="200"/>
        <v>0</v>
      </c>
      <c r="EI334" s="460">
        <f t="shared" si="201"/>
        <v>0</v>
      </c>
      <c r="EJ334" s="458">
        <f t="shared" si="202"/>
        <v>0</v>
      </c>
      <c r="EK334" s="470">
        <f t="shared" si="203"/>
        <v>0</v>
      </c>
      <c r="EL334" s="470">
        <f t="shared" si="204"/>
        <v>0</v>
      </c>
      <c r="EM334" s="449">
        <f t="shared" si="205"/>
        <v>0</v>
      </c>
      <c r="EN334" s="460">
        <f t="shared" si="206"/>
        <v>0</v>
      </c>
      <c r="EO334" s="469">
        <f t="shared" si="207"/>
        <v>0</v>
      </c>
      <c r="EP334" s="471"/>
      <c r="EQ334" s="450"/>
      <c r="ER334" s="471"/>
      <c r="ES334" s="450"/>
      <c r="ET334" s="471"/>
      <c r="EU334" s="450"/>
      <c r="EV334" s="471"/>
      <c r="EW334" s="450"/>
      <c r="EX334" s="471"/>
      <c r="EY334" s="450"/>
      <c r="EZ334" s="471"/>
      <c r="FA334" s="450"/>
      <c r="FB334" s="471"/>
      <c r="FC334" s="450"/>
      <c r="FD334" s="471"/>
      <c r="FE334" s="450"/>
      <c r="FF334" s="471"/>
      <c r="FG334" s="450"/>
      <c r="FH334" s="472"/>
      <c r="FI334" s="450"/>
      <c r="FJ334" s="468">
        <f t="shared" si="208"/>
        <v>0</v>
      </c>
      <c r="FK334" s="469">
        <f t="shared" si="209"/>
        <v>0</v>
      </c>
      <c r="FL334" s="472"/>
      <c r="FM334" s="450"/>
      <c r="FN334" s="460">
        <f t="shared" si="210"/>
        <v>407</v>
      </c>
      <c r="FO334" s="469">
        <f t="shared" si="211"/>
        <v>563</v>
      </c>
    </row>
    <row r="335" spans="1:171" x14ac:dyDescent="0.2">
      <c r="A335" s="668" t="s">
        <v>264</v>
      </c>
      <c r="B335" s="669" t="s">
        <v>1036</v>
      </c>
      <c r="C335" s="670" t="s">
        <v>600</v>
      </c>
      <c r="D335" s="671">
        <v>198710</v>
      </c>
      <c r="E335" s="565">
        <v>9</v>
      </c>
      <c r="F335" s="532">
        <v>231</v>
      </c>
      <c r="G335" s="628">
        <v>163</v>
      </c>
      <c r="H335" s="457"/>
      <c r="I335" s="450"/>
      <c r="J335" s="457">
        <v>312</v>
      </c>
      <c r="K335" s="450">
        <v>269</v>
      </c>
      <c r="L335" s="458">
        <f t="shared" si="188"/>
        <v>0</v>
      </c>
      <c r="M335" s="449">
        <f t="shared" si="189"/>
        <v>0</v>
      </c>
      <c r="N335" s="459"/>
      <c r="O335" s="459"/>
      <c r="P335" s="459"/>
      <c r="Q335" s="459"/>
      <c r="R335" s="460">
        <f t="shared" si="190"/>
        <v>0</v>
      </c>
      <c r="S335" s="461"/>
      <c r="T335" s="461"/>
      <c r="U335" s="461"/>
      <c r="V335" s="461"/>
      <c r="W335" s="462">
        <f t="shared" si="191"/>
        <v>0</v>
      </c>
      <c r="X335" s="463"/>
      <c r="Y335" s="457"/>
      <c r="Z335" s="464"/>
      <c r="AA335" s="464"/>
      <c r="AB335" s="465"/>
      <c r="AC335" s="457"/>
      <c r="AD335" s="464"/>
      <c r="AE335" s="466"/>
      <c r="AF335" s="465"/>
      <c r="AG335" s="457"/>
      <c r="AH335" s="464"/>
      <c r="AI335" s="466"/>
      <c r="AJ335" s="465"/>
      <c r="AK335" s="457"/>
      <c r="AL335" s="464"/>
      <c r="AM335" s="466"/>
      <c r="AN335" s="465"/>
      <c r="AO335" s="457"/>
      <c r="AP335" s="464"/>
      <c r="AQ335" s="464"/>
      <c r="AR335" s="460">
        <f t="shared" si="192"/>
        <v>0</v>
      </c>
      <c r="AS335" s="467">
        <f t="shared" si="193"/>
        <v>0</v>
      </c>
      <c r="AT335" s="447">
        <f t="shared" si="194"/>
        <v>0</v>
      </c>
      <c r="AU335" s="448">
        <f t="shared" si="195"/>
        <v>0</v>
      </c>
      <c r="AV335" s="457"/>
      <c r="AW335" s="628"/>
      <c r="AX335" s="463"/>
      <c r="AY335" s="457"/>
      <c r="AZ335" s="464"/>
      <c r="BA335" s="464"/>
      <c r="BB335" s="465"/>
      <c r="BC335" s="457"/>
      <c r="BD335" s="464"/>
      <c r="BE335" s="466"/>
      <c r="BF335" s="465"/>
      <c r="BG335" s="457"/>
      <c r="BH335" s="464"/>
      <c r="BI335" s="466"/>
      <c r="BJ335" s="465"/>
      <c r="BK335" s="457"/>
      <c r="BL335" s="464"/>
      <c r="BM335" s="466"/>
      <c r="BN335" s="465"/>
      <c r="BO335" s="457"/>
      <c r="BP335" s="464"/>
      <c r="BQ335" s="466"/>
      <c r="BR335" s="465"/>
      <c r="BS335" s="457"/>
      <c r="BT335" s="464"/>
      <c r="BU335" s="466"/>
      <c r="BV335" s="465"/>
      <c r="BW335" s="457"/>
      <c r="BX335" s="464"/>
      <c r="BY335" s="466"/>
      <c r="BZ335" s="465"/>
      <c r="CA335" s="457"/>
      <c r="CB335" s="464"/>
      <c r="CC335" s="466"/>
      <c r="CD335" s="465"/>
      <c r="CE335" s="457"/>
      <c r="CF335" s="464"/>
      <c r="CG335" s="466"/>
      <c r="CH335" s="465"/>
      <c r="CI335" s="457"/>
      <c r="CJ335" s="464"/>
      <c r="CK335" s="466"/>
      <c r="CL335" s="459"/>
      <c r="CM335" s="450"/>
      <c r="CN335" s="468">
        <f t="shared" si="196"/>
        <v>0</v>
      </c>
      <c r="CO335" s="468">
        <f t="shared" si="197"/>
        <v>0</v>
      </c>
      <c r="CP335" s="469">
        <f t="shared" si="198"/>
        <v>0</v>
      </c>
      <c r="CQ335" s="469">
        <f t="shared" si="199"/>
        <v>0</v>
      </c>
      <c r="CR335" s="463"/>
      <c r="CS335" s="457"/>
      <c r="CT335" s="464"/>
      <c r="CU335" s="464"/>
      <c r="CV335" s="465"/>
      <c r="CW335" s="457"/>
      <c r="CX335" s="464"/>
      <c r="CY335" s="466"/>
      <c r="CZ335" s="465"/>
      <c r="DA335" s="457"/>
      <c r="DB335" s="464"/>
      <c r="DC335" s="466"/>
      <c r="DD335" s="465"/>
      <c r="DE335" s="457"/>
      <c r="DF335" s="464"/>
      <c r="DG335" s="466"/>
      <c r="DH335" s="465"/>
      <c r="DI335" s="457"/>
      <c r="DJ335" s="464"/>
      <c r="DK335" s="466"/>
      <c r="DL335" s="465"/>
      <c r="DM335" s="457"/>
      <c r="DN335" s="464"/>
      <c r="DO335" s="466"/>
      <c r="DP335" s="465"/>
      <c r="DQ335" s="457"/>
      <c r="DR335" s="464"/>
      <c r="DS335" s="466"/>
      <c r="DT335" s="465"/>
      <c r="DU335" s="457"/>
      <c r="DV335" s="464"/>
      <c r="DW335" s="466"/>
      <c r="DX335" s="465"/>
      <c r="DY335" s="457"/>
      <c r="DZ335" s="464"/>
      <c r="EA335" s="466"/>
      <c r="EB335" s="465"/>
      <c r="EC335" s="457"/>
      <c r="ED335" s="464"/>
      <c r="EE335" s="466"/>
      <c r="EF335" s="459"/>
      <c r="EG335" s="628"/>
      <c r="EH335" s="460">
        <f t="shared" si="200"/>
        <v>0</v>
      </c>
      <c r="EI335" s="460">
        <f t="shared" si="201"/>
        <v>0</v>
      </c>
      <c r="EJ335" s="458">
        <f t="shared" si="202"/>
        <v>0</v>
      </c>
      <c r="EK335" s="470">
        <f t="shared" si="203"/>
        <v>0</v>
      </c>
      <c r="EL335" s="470">
        <f t="shared" si="204"/>
        <v>0</v>
      </c>
      <c r="EM335" s="449">
        <f t="shared" si="205"/>
        <v>0</v>
      </c>
      <c r="EN335" s="460">
        <f t="shared" si="206"/>
        <v>0</v>
      </c>
      <c r="EO335" s="469">
        <f t="shared" si="207"/>
        <v>0</v>
      </c>
      <c r="EP335" s="471"/>
      <c r="EQ335" s="450"/>
      <c r="ER335" s="471"/>
      <c r="ES335" s="450"/>
      <c r="ET335" s="471"/>
      <c r="EU335" s="450"/>
      <c r="EV335" s="471"/>
      <c r="EW335" s="450"/>
      <c r="EX335" s="471"/>
      <c r="EY335" s="450"/>
      <c r="EZ335" s="471"/>
      <c r="FA335" s="450"/>
      <c r="FB335" s="471"/>
      <c r="FC335" s="450"/>
      <c r="FD335" s="471"/>
      <c r="FE335" s="450"/>
      <c r="FF335" s="471"/>
      <c r="FG335" s="450"/>
      <c r="FH335" s="472"/>
      <c r="FI335" s="450"/>
      <c r="FJ335" s="468">
        <f t="shared" si="208"/>
        <v>0</v>
      </c>
      <c r="FK335" s="469">
        <f t="shared" si="209"/>
        <v>0</v>
      </c>
      <c r="FL335" s="472"/>
      <c r="FM335" s="450"/>
      <c r="FN335" s="460">
        <f t="shared" si="210"/>
        <v>543</v>
      </c>
      <c r="FO335" s="469">
        <f t="shared" si="211"/>
        <v>432</v>
      </c>
    </row>
    <row r="336" spans="1:171" x14ac:dyDescent="0.2">
      <c r="A336" s="668" t="s">
        <v>264</v>
      </c>
      <c r="B336" s="669" t="s">
        <v>1037</v>
      </c>
      <c r="C336" s="670"/>
      <c r="D336" s="671">
        <v>198774</v>
      </c>
      <c r="E336" s="565">
        <v>9</v>
      </c>
      <c r="F336" s="532">
        <v>261</v>
      </c>
      <c r="G336" s="628">
        <v>226</v>
      </c>
      <c r="H336" s="457"/>
      <c r="I336" s="450"/>
      <c r="J336" s="457">
        <v>393</v>
      </c>
      <c r="K336" s="741">
        <v>486</v>
      </c>
      <c r="L336" s="458">
        <f t="shared" si="188"/>
        <v>0</v>
      </c>
      <c r="M336" s="449">
        <f t="shared" si="189"/>
        <v>0</v>
      </c>
      <c r="N336" s="459"/>
      <c r="O336" s="459"/>
      <c r="P336" s="459"/>
      <c r="Q336" s="459"/>
      <c r="R336" s="460">
        <f t="shared" si="190"/>
        <v>0</v>
      </c>
      <c r="S336" s="461"/>
      <c r="T336" s="461"/>
      <c r="U336" s="461"/>
      <c r="V336" s="461"/>
      <c r="W336" s="462">
        <f t="shared" si="191"/>
        <v>0</v>
      </c>
      <c r="X336" s="463"/>
      <c r="Y336" s="457"/>
      <c r="Z336" s="464"/>
      <c r="AA336" s="464"/>
      <c r="AB336" s="465"/>
      <c r="AC336" s="457"/>
      <c r="AD336" s="464"/>
      <c r="AE336" s="466"/>
      <c r="AF336" s="465"/>
      <c r="AG336" s="457"/>
      <c r="AH336" s="464"/>
      <c r="AI336" s="466"/>
      <c r="AJ336" s="465"/>
      <c r="AK336" s="457"/>
      <c r="AL336" s="464"/>
      <c r="AM336" s="466"/>
      <c r="AN336" s="465"/>
      <c r="AO336" s="457"/>
      <c r="AP336" s="464"/>
      <c r="AQ336" s="464"/>
      <c r="AR336" s="460">
        <f t="shared" si="192"/>
        <v>0</v>
      </c>
      <c r="AS336" s="467">
        <f t="shared" si="193"/>
        <v>0</v>
      </c>
      <c r="AT336" s="447">
        <f t="shared" si="194"/>
        <v>0</v>
      </c>
      <c r="AU336" s="448">
        <f t="shared" si="195"/>
        <v>0</v>
      </c>
      <c r="AV336" s="457"/>
      <c r="AW336" s="628"/>
      <c r="AX336" s="463"/>
      <c r="AY336" s="457"/>
      <c r="AZ336" s="464"/>
      <c r="BA336" s="464"/>
      <c r="BB336" s="465"/>
      <c r="BC336" s="457"/>
      <c r="BD336" s="464"/>
      <c r="BE336" s="466"/>
      <c r="BF336" s="465"/>
      <c r="BG336" s="457"/>
      <c r="BH336" s="464"/>
      <c r="BI336" s="466"/>
      <c r="BJ336" s="465"/>
      <c r="BK336" s="457"/>
      <c r="BL336" s="464"/>
      <c r="BM336" s="466"/>
      <c r="BN336" s="465"/>
      <c r="BO336" s="457"/>
      <c r="BP336" s="464"/>
      <c r="BQ336" s="466"/>
      <c r="BR336" s="465"/>
      <c r="BS336" s="457"/>
      <c r="BT336" s="464"/>
      <c r="BU336" s="466"/>
      <c r="BV336" s="465"/>
      <c r="BW336" s="457"/>
      <c r="BX336" s="464"/>
      <c r="BY336" s="466"/>
      <c r="BZ336" s="465"/>
      <c r="CA336" s="457"/>
      <c r="CB336" s="464"/>
      <c r="CC336" s="466"/>
      <c r="CD336" s="465"/>
      <c r="CE336" s="457"/>
      <c r="CF336" s="464"/>
      <c r="CG336" s="466"/>
      <c r="CH336" s="465"/>
      <c r="CI336" s="457"/>
      <c r="CJ336" s="464"/>
      <c r="CK336" s="466"/>
      <c r="CL336" s="459"/>
      <c r="CM336" s="450"/>
      <c r="CN336" s="468">
        <f t="shared" si="196"/>
        <v>0</v>
      </c>
      <c r="CO336" s="468">
        <f t="shared" si="197"/>
        <v>0</v>
      </c>
      <c r="CP336" s="469">
        <f t="shared" si="198"/>
        <v>0</v>
      </c>
      <c r="CQ336" s="469">
        <f t="shared" si="199"/>
        <v>0</v>
      </c>
      <c r="CR336" s="463"/>
      <c r="CS336" s="457"/>
      <c r="CT336" s="464"/>
      <c r="CU336" s="464"/>
      <c r="CV336" s="465"/>
      <c r="CW336" s="457"/>
      <c r="CX336" s="464"/>
      <c r="CY336" s="466"/>
      <c r="CZ336" s="465"/>
      <c r="DA336" s="457"/>
      <c r="DB336" s="464"/>
      <c r="DC336" s="466"/>
      <c r="DD336" s="465"/>
      <c r="DE336" s="457"/>
      <c r="DF336" s="464"/>
      <c r="DG336" s="466"/>
      <c r="DH336" s="465"/>
      <c r="DI336" s="457"/>
      <c r="DJ336" s="464"/>
      <c r="DK336" s="466"/>
      <c r="DL336" s="465"/>
      <c r="DM336" s="457"/>
      <c r="DN336" s="464"/>
      <c r="DO336" s="466"/>
      <c r="DP336" s="465"/>
      <c r="DQ336" s="457"/>
      <c r="DR336" s="464"/>
      <c r="DS336" s="466"/>
      <c r="DT336" s="465"/>
      <c r="DU336" s="457"/>
      <c r="DV336" s="464"/>
      <c r="DW336" s="466"/>
      <c r="DX336" s="465"/>
      <c r="DY336" s="457"/>
      <c r="DZ336" s="464"/>
      <c r="EA336" s="466"/>
      <c r="EB336" s="465"/>
      <c r="EC336" s="457"/>
      <c r="ED336" s="464"/>
      <c r="EE336" s="466"/>
      <c r="EF336" s="459"/>
      <c r="EG336" s="450"/>
      <c r="EH336" s="460">
        <f t="shared" si="200"/>
        <v>0</v>
      </c>
      <c r="EI336" s="460">
        <f t="shared" si="201"/>
        <v>0</v>
      </c>
      <c r="EJ336" s="458">
        <f t="shared" si="202"/>
        <v>0</v>
      </c>
      <c r="EK336" s="470">
        <f t="shared" si="203"/>
        <v>0</v>
      </c>
      <c r="EL336" s="470">
        <f t="shared" si="204"/>
        <v>0</v>
      </c>
      <c r="EM336" s="449">
        <f t="shared" si="205"/>
        <v>0</v>
      </c>
      <c r="EN336" s="460">
        <f t="shared" si="206"/>
        <v>0</v>
      </c>
      <c r="EO336" s="469">
        <f t="shared" si="207"/>
        <v>0</v>
      </c>
      <c r="EP336" s="471"/>
      <c r="EQ336" s="450"/>
      <c r="ER336" s="471"/>
      <c r="ES336" s="450"/>
      <c r="ET336" s="471"/>
      <c r="EU336" s="450"/>
      <c r="EV336" s="471"/>
      <c r="EW336" s="450"/>
      <c r="EX336" s="471"/>
      <c r="EY336" s="450"/>
      <c r="EZ336" s="471"/>
      <c r="FA336" s="450"/>
      <c r="FB336" s="471"/>
      <c r="FC336" s="450"/>
      <c r="FD336" s="471"/>
      <c r="FE336" s="450"/>
      <c r="FF336" s="471"/>
      <c r="FG336" s="450"/>
      <c r="FH336" s="472"/>
      <c r="FI336" s="450"/>
      <c r="FJ336" s="468">
        <f t="shared" si="208"/>
        <v>0</v>
      </c>
      <c r="FK336" s="469">
        <f t="shared" si="209"/>
        <v>0</v>
      </c>
      <c r="FL336" s="472"/>
      <c r="FM336" s="450"/>
      <c r="FN336" s="460">
        <f t="shared" si="210"/>
        <v>654</v>
      </c>
      <c r="FO336" s="469">
        <f t="shared" si="211"/>
        <v>712</v>
      </c>
    </row>
    <row r="337" spans="1:171" x14ac:dyDescent="0.2">
      <c r="A337" s="668" t="s">
        <v>264</v>
      </c>
      <c r="B337" s="669" t="s">
        <v>1038</v>
      </c>
      <c r="C337" s="670"/>
      <c r="D337" s="671">
        <v>198817</v>
      </c>
      <c r="E337" s="565">
        <v>9</v>
      </c>
      <c r="F337" s="532">
        <v>275</v>
      </c>
      <c r="G337" s="628">
        <v>189</v>
      </c>
      <c r="H337" s="457"/>
      <c r="I337" s="450"/>
      <c r="J337" s="457">
        <v>322</v>
      </c>
      <c r="K337" s="450">
        <v>321</v>
      </c>
      <c r="L337" s="458">
        <f t="shared" si="188"/>
        <v>0</v>
      </c>
      <c r="M337" s="449">
        <f t="shared" si="189"/>
        <v>0</v>
      </c>
      <c r="N337" s="459"/>
      <c r="O337" s="459"/>
      <c r="P337" s="459"/>
      <c r="Q337" s="459"/>
      <c r="R337" s="460">
        <f t="shared" si="190"/>
        <v>0</v>
      </c>
      <c r="S337" s="461"/>
      <c r="T337" s="461"/>
      <c r="U337" s="461"/>
      <c r="V337" s="461"/>
      <c r="W337" s="462">
        <f t="shared" si="191"/>
        <v>0</v>
      </c>
      <c r="X337" s="463"/>
      <c r="Y337" s="457"/>
      <c r="Z337" s="464"/>
      <c r="AA337" s="464"/>
      <c r="AB337" s="465"/>
      <c r="AC337" s="457"/>
      <c r="AD337" s="464"/>
      <c r="AE337" s="466"/>
      <c r="AF337" s="465"/>
      <c r="AG337" s="457"/>
      <c r="AH337" s="464"/>
      <c r="AI337" s="466"/>
      <c r="AJ337" s="465"/>
      <c r="AK337" s="457"/>
      <c r="AL337" s="464"/>
      <c r="AM337" s="466"/>
      <c r="AN337" s="465"/>
      <c r="AO337" s="457"/>
      <c r="AP337" s="464"/>
      <c r="AQ337" s="464"/>
      <c r="AR337" s="460">
        <f t="shared" si="192"/>
        <v>0</v>
      </c>
      <c r="AS337" s="467">
        <f t="shared" si="193"/>
        <v>0</v>
      </c>
      <c r="AT337" s="447">
        <f t="shared" si="194"/>
        <v>0</v>
      </c>
      <c r="AU337" s="448">
        <f t="shared" si="195"/>
        <v>0</v>
      </c>
      <c r="AV337" s="457"/>
      <c r="AW337" s="628"/>
      <c r="AX337" s="463"/>
      <c r="AY337" s="457"/>
      <c r="AZ337" s="464"/>
      <c r="BA337" s="464"/>
      <c r="BB337" s="465"/>
      <c r="BC337" s="457"/>
      <c r="BD337" s="464"/>
      <c r="BE337" s="466"/>
      <c r="BF337" s="465"/>
      <c r="BG337" s="457"/>
      <c r="BH337" s="464"/>
      <c r="BI337" s="466"/>
      <c r="BJ337" s="465"/>
      <c r="BK337" s="457"/>
      <c r="BL337" s="464"/>
      <c r="BM337" s="466"/>
      <c r="BN337" s="465"/>
      <c r="BO337" s="457"/>
      <c r="BP337" s="464"/>
      <c r="BQ337" s="466"/>
      <c r="BR337" s="465"/>
      <c r="BS337" s="457"/>
      <c r="BT337" s="464"/>
      <c r="BU337" s="466"/>
      <c r="BV337" s="465"/>
      <c r="BW337" s="457"/>
      <c r="BX337" s="464"/>
      <c r="BY337" s="466"/>
      <c r="BZ337" s="465"/>
      <c r="CA337" s="457"/>
      <c r="CB337" s="464"/>
      <c r="CC337" s="466"/>
      <c r="CD337" s="465"/>
      <c r="CE337" s="457"/>
      <c r="CF337" s="464"/>
      <c r="CG337" s="466"/>
      <c r="CH337" s="465"/>
      <c r="CI337" s="457"/>
      <c r="CJ337" s="464"/>
      <c r="CK337" s="466"/>
      <c r="CL337" s="459"/>
      <c r="CM337" s="450"/>
      <c r="CN337" s="468">
        <f t="shared" si="196"/>
        <v>0</v>
      </c>
      <c r="CO337" s="468">
        <f t="shared" si="197"/>
        <v>0</v>
      </c>
      <c r="CP337" s="469">
        <f t="shared" si="198"/>
        <v>0</v>
      </c>
      <c r="CQ337" s="469">
        <f t="shared" si="199"/>
        <v>0</v>
      </c>
      <c r="CR337" s="463"/>
      <c r="CS337" s="457"/>
      <c r="CT337" s="464"/>
      <c r="CU337" s="464"/>
      <c r="CV337" s="465"/>
      <c r="CW337" s="457"/>
      <c r="CX337" s="464"/>
      <c r="CY337" s="466"/>
      <c r="CZ337" s="465"/>
      <c r="DA337" s="457"/>
      <c r="DB337" s="464"/>
      <c r="DC337" s="466"/>
      <c r="DD337" s="465"/>
      <c r="DE337" s="457"/>
      <c r="DF337" s="464"/>
      <c r="DG337" s="466"/>
      <c r="DH337" s="465"/>
      <c r="DI337" s="457"/>
      <c r="DJ337" s="464"/>
      <c r="DK337" s="466"/>
      <c r="DL337" s="465"/>
      <c r="DM337" s="457"/>
      <c r="DN337" s="464"/>
      <c r="DO337" s="466"/>
      <c r="DP337" s="465"/>
      <c r="DQ337" s="457"/>
      <c r="DR337" s="464"/>
      <c r="DS337" s="466"/>
      <c r="DT337" s="465"/>
      <c r="DU337" s="457"/>
      <c r="DV337" s="464"/>
      <c r="DW337" s="466"/>
      <c r="DX337" s="465"/>
      <c r="DY337" s="457"/>
      <c r="DZ337" s="464"/>
      <c r="EA337" s="466"/>
      <c r="EB337" s="465"/>
      <c r="EC337" s="457"/>
      <c r="ED337" s="464"/>
      <c r="EE337" s="466"/>
      <c r="EF337" s="459"/>
      <c r="EG337" s="450"/>
      <c r="EH337" s="460">
        <f t="shared" si="200"/>
        <v>0</v>
      </c>
      <c r="EI337" s="460">
        <f t="shared" si="201"/>
        <v>0</v>
      </c>
      <c r="EJ337" s="458">
        <f t="shared" si="202"/>
        <v>0</v>
      </c>
      <c r="EK337" s="470">
        <f t="shared" si="203"/>
        <v>0</v>
      </c>
      <c r="EL337" s="470">
        <f t="shared" si="204"/>
        <v>0</v>
      </c>
      <c r="EM337" s="449">
        <f t="shared" si="205"/>
        <v>0</v>
      </c>
      <c r="EN337" s="460">
        <f t="shared" si="206"/>
        <v>0</v>
      </c>
      <c r="EO337" s="469">
        <f t="shared" si="207"/>
        <v>0</v>
      </c>
      <c r="EP337" s="471"/>
      <c r="EQ337" s="450"/>
      <c r="ER337" s="471"/>
      <c r="ES337" s="450"/>
      <c r="ET337" s="471"/>
      <c r="EU337" s="450"/>
      <c r="EV337" s="471"/>
      <c r="EW337" s="450"/>
      <c r="EX337" s="471"/>
      <c r="EY337" s="450"/>
      <c r="EZ337" s="471"/>
      <c r="FA337" s="450"/>
      <c r="FB337" s="471"/>
      <c r="FC337" s="450"/>
      <c r="FD337" s="471"/>
      <c r="FE337" s="450"/>
      <c r="FF337" s="471"/>
      <c r="FG337" s="450"/>
      <c r="FH337" s="472"/>
      <c r="FI337" s="450"/>
      <c r="FJ337" s="468">
        <f t="shared" si="208"/>
        <v>0</v>
      </c>
      <c r="FK337" s="469">
        <f t="shared" si="209"/>
        <v>0</v>
      </c>
      <c r="FL337" s="472"/>
      <c r="FM337" s="450"/>
      <c r="FN337" s="460">
        <f t="shared" si="210"/>
        <v>597</v>
      </c>
      <c r="FO337" s="469">
        <f t="shared" si="211"/>
        <v>510</v>
      </c>
    </row>
    <row r="338" spans="1:171" x14ac:dyDescent="0.2">
      <c r="A338" s="668" t="s">
        <v>264</v>
      </c>
      <c r="B338" s="669" t="s">
        <v>1039</v>
      </c>
      <c r="C338" s="670"/>
      <c r="D338" s="671">
        <v>198987</v>
      </c>
      <c r="E338" s="565">
        <v>9</v>
      </c>
      <c r="F338" s="532">
        <v>155</v>
      </c>
      <c r="G338" s="628">
        <v>141</v>
      </c>
      <c r="H338" s="457"/>
      <c r="I338" s="450"/>
      <c r="J338" s="457">
        <v>285</v>
      </c>
      <c r="K338" s="741">
        <v>320</v>
      </c>
      <c r="L338" s="458">
        <f t="shared" si="188"/>
        <v>0</v>
      </c>
      <c r="M338" s="449">
        <f t="shared" si="189"/>
        <v>0</v>
      </c>
      <c r="N338" s="459"/>
      <c r="O338" s="459"/>
      <c r="P338" s="459"/>
      <c r="Q338" s="459"/>
      <c r="R338" s="460">
        <f t="shared" si="190"/>
        <v>0</v>
      </c>
      <c r="S338" s="461"/>
      <c r="T338" s="461"/>
      <c r="U338" s="461"/>
      <c r="V338" s="461"/>
      <c r="W338" s="462">
        <f t="shared" si="191"/>
        <v>0</v>
      </c>
      <c r="X338" s="463"/>
      <c r="Y338" s="457"/>
      <c r="Z338" s="464"/>
      <c r="AA338" s="464"/>
      <c r="AB338" s="465"/>
      <c r="AC338" s="457"/>
      <c r="AD338" s="464"/>
      <c r="AE338" s="466"/>
      <c r="AF338" s="465"/>
      <c r="AG338" s="457"/>
      <c r="AH338" s="464"/>
      <c r="AI338" s="466"/>
      <c r="AJ338" s="465"/>
      <c r="AK338" s="457"/>
      <c r="AL338" s="464"/>
      <c r="AM338" s="466"/>
      <c r="AN338" s="465"/>
      <c r="AO338" s="457"/>
      <c r="AP338" s="464"/>
      <c r="AQ338" s="464"/>
      <c r="AR338" s="460">
        <f t="shared" si="192"/>
        <v>0</v>
      </c>
      <c r="AS338" s="467">
        <f t="shared" si="193"/>
        <v>0</v>
      </c>
      <c r="AT338" s="447">
        <f t="shared" si="194"/>
        <v>0</v>
      </c>
      <c r="AU338" s="448">
        <f t="shared" si="195"/>
        <v>0</v>
      </c>
      <c r="AV338" s="457"/>
      <c r="AW338" s="628"/>
      <c r="AX338" s="463"/>
      <c r="AY338" s="457"/>
      <c r="AZ338" s="464"/>
      <c r="BA338" s="464"/>
      <c r="BB338" s="465"/>
      <c r="BC338" s="457"/>
      <c r="BD338" s="464"/>
      <c r="BE338" s="466"/>
      <c r="BF338" s="465"/>
      <c r="BG338" s="457"/>
      <c r="BH338" s="464"/>
      <c r="BI338" s="466"/>
      <c r="BJ338" s="465"/>
      <c r="BK338" s="457"/>
      <c r="BL338" s="464"/>
      <c r="BM338" s="466"/>
      <c r="BN338" s="465"/>
      <c r="BO338" s="457"/>
      <c r="BP338" s="464"/>
      <c r="BQ338" s="466"/>
      <c r="BR338" s="465"/>
      <c r="BS338" s="457"/>
      <c r="BT338" s="464"/>
      <c r="BU338" s="466"/>
      <c r="BV338" s="465"/>
      <c r="BW338" s="457"/>
      <c r="BX338" s="464"/>
      <c r="BY338" s="466"/>
      <c r="BZ338" s="465"/>
      <c r="CA338" s="457"/>
      <c r="CB338" s="464"/>
      <c r="CC338" s="466"/>
      <c r="CD338" s="465"/>
      <c r="CE338" s="457"/>
      <c r="CF338" s="464"/>
      <c r="CG338" s="466"/>
      <c r="CH338" s="465"/>
      <c r="CI338" s="457"/>
      <c r="CJ338" s="464"/>
      <c r="CK338" s="466"/>
      <c r="CL338" s="459"/>
      <c r="CM338" s="450"/>
      <c r="CN338" s="468">
        <f t="shared" si="196"/>
        <v>0</v>
      </c>
      <c r="CO338" s="468">
        <f t="shared" si="197"/>
        <v>0</v>
      </c>
      <c r="CP338" s="469">
        <f t="shared" si="198"/>
        <v>0</v>
      </c>
      <c r="CQ338" s="469">
        <f t="shared" si="199"/>
        <v>0</v>
      </c>
      <c r="CR338" s="463"/>
      <c r="CS338" s="457"/>
      <c r="CT338" s="464"/>
      <c r="CU338" s="464"/>
      <c r="CV338" s="465"/>
      <c r="CW338" s="457"/>
      <c r="CX338" s="464"/>
      <c r="CY338" s="466"/>
      <c r="CZ338" s="465"/>
      <c r="DA338" s="457"/>
      <c r="DB338" s="464"/>
      <c r="DC338" s="466"/>
      <c r="DD338" s="465"/>
      <c r="DE338" s="457"/>
      <c r="DF338" s="464"/>
      <c r="DG338" s="466"/>
      <c r="DH338" s="465"/>
      <c r="DI338" s="457"/>
      <c r="DJ338" s="464"/>
      <c r="DK338" s="466"/>
      <c r="DL338" s="465"/>
      <c r="DM338" s="457"/>
      <c r="DN338" s="464"/>
      <c r="DO338" s="466"/>
      <c r="DP338" s="465"/>
      <c r="DQ338" s="457"/>
      <c r="DR338" s="464"/>
      <c r="DS338" s="466"/>
      <c r="DT338" s="465"/>
      <c r="DU338" s="457"/>
      <c r="DV338" s="464"/>
      <c r="DW338" s="466"/>
      <c r="DX338" s="465"/>
      <c r="DY338" s="457"/>
      <c r="DZ338" s="464"/>
      <c r="EA338" s="466"/>
      <c r="EB338" s="465"/>
      <c r="EC338" s="457"/>
      <c r="ED338" s="464"/>
      <c r="EE338" s="466"/>
      <c r="EF338" s="459"/>
      <c r="EG338" s="450"/>
      <c r="EH338" s="460">
        <f t="shared" si="200"/>
        <v>0</v>
      </c>
      <c r="EI338" s="460">
        <f t="shared" si="201"/>
        <v>0</v>
      </c>
      <c r="EJ338" s="458">
        <f t="shared" si="202"/>
        <v>0</v>
      </c>
      <c r="EK338" s="470">
        <f t="shared" si="203"/>
        <v>0</v>
      </c>
      <c r="EL338" s="470">
        <f t="shared" si="204"/>
        <v>0</v>
      </c>
      <c r="EM338" s="449">
        <f t="shared" si="205"/>
        <v>0</v>
      </c>
      <c r="EN338" s="460">
        <f t="shared" si="206"/>
        <v>0</v>
      </c>
      <c r="EO338" s="469">
        <f t="shared" si="207"/>
        <v>0</v>
      </c>
      <c r="EP338" s="471"/>
      <c r="EQ338" s="450"/>
      <c r="ER338" s="471"/>
      <c r="ES338" s="450"/>
      <c r="ET338" s="471"/>
      <c r="EU338" s="450"/>
      <c r="EV338" s="471"/>
      <c r="EW338" s="450"/>
      <c r="EX338" s="471"/>
      <c r="EY338" s="450"/>
      <c r="EZ338" s="471"/>
      <c r="FA338" s="450"/>
      <c r="FB338" s="471"/>
      <c r="FC338" s="450"/>
      <c r="FD338" s="471"/>
      <c r="FE338" s="450"/>
      <c r="FF338" s="471"/>
      <c r="FG338" s="450"/>
      <c r="FH338" s="472"/>
      <c r="FI338" s="450"/>
      <c r="FJ338" s="468">
        <f t="shared" si="208"/>
        <v>0</v>
      </c>
      <c r="FK338" s="469">
        <f t="shared" si="209"/>
        <v>0</v>
      </c>
      <c r="FL338" s="472"/>
      <c r="FM338" s="450"/>
      <c r="FN338" s="460">
        <f t="shared" si="210"/>
        <v>440</v>
      </c>
      <c r="FO338" s="469">
        <f t="shared" si="211"/>
        <v>461</v>
      </c>
    </row>
    <row r="339" spans="1:171" x14ac:dyDescent="0.2">
      <c r="A339" s="668" t="s">
        <v>264</v>
      </c>
      <c r="B339" s="669" t="s">
        <v>1040</v>
      </c>
      <c r="C339" s="670"/>
      <c r="D339" s="671">
        <v>199087</v>
      </c>
      <c r="E339" s="565">
        <v>9</v>
      </c>
      <c r="F339" s="532">
        <v>163</v>
      </c>
      <c r="G339" s="628">
        <v>221</v>
      </c>
      <c r="H339" s="457"/>
      <c r="I339" s="450"/>
      <c r="J339" s="457">
        <v>255</v>
      </c>
      <c r="K339" s="450">
        <v>271</v>
      </c>
      <c r="L339" s="458">
        <f t="shared" si="188"/>
        <v>0</v>
      </c>
      <c r="M339" s="449">
        <f t="shared" si="189"/>
        <v>0</v>
      </c>
      <c r="N339" s="459"/>
      <c r="O339" s="459"/>
      <c r="P339" s="459"/>
      <c r="Q339" s="459"/>
      <c r="R339" s="460">
        <f t="shared" si="190"/>
        <v>0</v>
      </c>
      <c r="S339" s="461"/>
      <c r="T339" s="461"/>
      <c r="U339" s="461"/>
      <c r="V339" s="461"/>
      <c r="W339" s="462">
        <f t="shared" si="191"/>
        <v>0</v>
      </c>
      <c r="X339" s="463"/>
      <c r="Y339" s="457"/>
      <c r="Z339" s="464"/>
      <c r="AA339" s="464"/>
      <c r="AB339" s="465"/>
      <c r="AC339" s="457"/>
      <c r="AD339" s="464"/>
      <c r="AE339" s="466"/>
      <c r="AF339" s="465"/>
      <c r="AG339" s="457"/>
      <c r="AH339" s="464"/>
      <c r="AI339" s="466"/>
      <c r="AJ339" s="465"/>
      <c r="AK339" s="457"/>
      <c r="AL339" s="464"/>
      <c r="AM339" s="466"/>
      <c r="AN339" s="465"/>
      <c r="AO339" s="457"/>
      <c r="AP339" s="464"/>
      <c r="AQ339" s="464"/>
      <c r="AR339" s="460">
        <f t="shared" si="192"/>
        <v>0</v>
      </c>
      <c r="AS339" s="467">
        <f t="shared" si="193"/>
        <v>0</v>
      </c>
      <c r="AT339" s="447">
        <f t="shared" si="194"/>
        <v>0</v>
      </c>
      <c r="AU339" s="448">
        <f t="shared" si="195"/>
        <v>0</v>
      </c>
      <c r="AV339" s="457"/>
      <c r="AW339" s="628"/>
      <c r="AX339" s="463"/>
      <c r="AY339" s="457"/>
      <c r="AZ339" s="464"/>
      <c r="BA339" s="464"/>
      <c r="BB339" s="465"/>
      <c r="BC339" s="457"/>
      <c r="BD339" s="464"/>
      <c r="BE339" s="466"/>
      <c r="BF339" s="465"/>
      <c r="BG339" s="457"/>
      <c r="BH339" s="464"/>
      <c r="BI339" s="466"/>
      <c r="BJ339" s="465"/>
      <c r="BK339" s="457"/>
      <c r="BL339" s="464"/>
      <c r="BM339" s="466"/>
      <c r="BN339" s="465"/>
      <c r="BO339" s="457"/>
      <c r="BP339" s="464"/>
      <c r="BQ339" s="466"/>
      <c r="BR339" s="465"/>
      <c r="BS339" s="457"/>
      <c r="BT339" s="464"/>
      <c r="BU339" s="466"/>
      <c r="BV339" s="465"/>
      <c r="BW339" s="457"/>
      <c r="BX339" s="464"/>
      <c r="BY339" s="466"/>
      <c r="BZ339" s="465"/>
      <c r="CA339" s="457"/>
      <c r="CB339" s="464"/>
      <c r="CC339" s="466"/>
      <c r="CD339" s="465"/>
      <c r="CE339" s="457"/>
      <c r="CF339" s="464"/>
      <c r="CG339" s="466"/>
      <c r="CH339" s="465"/>
      <c r="CI339" s="457"/>
      <c r="CJ339" s="464"/>
      <c r="CK339" s="466"/>
      <c r="CL339" s="459"/>
      <c r="CM339" s="450"/>
      <c r="CN339" s="468">
        <f t="shared" si="196"/>
        <v>0</v>
      </c>
      <c r="CO339" s="468">
        <f t="shared" si="197"/>
        <v>0</v>
      </c>
      <c r="CP339" s="469">
        <f t="shared" si="198"/>
        <v>0</v>
      </c>
      <c r="CQ339" s="469">
        <f t="shared" si="199"/>
        <v>0</v>
      </c>
      <c r="CR339" s="463"/>
      <c r="CS339" s="457"/>
      <c r="CT339" s="464"/>
      <c r="CU339" s="464"/>
      <c r="CV339" s="465"/>
      <c r="CW339" s="457"/>
      <c r="CX339" s="464"/>
      <c r="CY339" s="466"/>
      <c r="CZ339" s="465"/>
      <c r="DA339" s="457"/>
      <c r="DB339" s="464"/>
      <c r="DC339" s="466"/>
      <c r="DD339" s="465"/>
      <c r="DE339" s="457"/>
      <c r="DF339" s="464"/>
      <c r="DG339" s="466"/>
      <c r="DH339" s="465"/>
      <c r="DI339" s="457"/>
      <c r="DJ339" s="464"/>
      <c r="DK339" s="466"/>
      <c r="DL339" s="465"/>
      <c r="DM339" s="457"/>
      <c r="DN339" s="464"/>
      <c r="DO339" s="466"/>
      <c r="DP339" s="465"/>
      <c r="DQ339" s="457"/>
      <c r="DR339" s="464"/>
      <c r="DS339" s="466"/>
      <c r="DT339" s="465"/>
      <c r="DU339" s="457"/>
      <c r="DV339" s="464"/>
      <c r="DW339" s="466"/>
      <c r="DX339" s="465"/>
      <c r="DY339" s="457"/>
      <c r="DZ339" s="464"/>
      <c r="EA339" s="466"/>
      <c r="EB339" s="465"/>
      <c r="EC339" s="457"/>
      <c r="ED339" s="464"/>
      <c r="EE339" s="466"/>
      <c r="EF339" s="459"/>
      <c r="EG339" s="450"/>
      <c r="EH339" s="460">
        <f t="shared" si="200"/>
        <v>0</v>
      </c>
      <c r="EI339" s="460">
        <f t="shared" si="201"/>
        <v>0</v>
      </c>
      <c r="EJ339" s="458">
        <f t="shared" si="202"/>
        <v>0</v>
      </c>
      <c r="EK339" s="470">
        <f t="shared" si="203"/>
        <v>0</v>
      </c>
      <c r="EL339" s="470">
        <f t="shared" si="204"/>
        <v>0</v>
      </c>
      <c r="EM339" s="449">
        <f t="shared" si="205"/>
        <v>0</v>
      </c>
      <c r="EN339" s="460">
        <f t="shared" si="206"/>
        <v>0</v>
      </c>
      <c r="EO339" s="469">
        <f t="shared" si="207"/>
        <v>0</v>
      </c>
      <c r="EP339" s="471"/>
      <c r="EQ339" s="450"/>
      <c r="ER339" s="471"/>
      <c r="ES339" s="450"/>
      <c r="ET339" s="471"/>
      <c r="EU339" s="450"/>
      <c r="EV339" s="471"/>
      <c r="EW339" s="450"/>
      <c r="EX339" s="471"/>
      <c r="EY339" s="450"/>
      <c r="EZ339" s="471"/>
      <c r="FA339" s="450"/>
      <c r="FB339" s="471"/>
      <c r="FC339" s="450"/>
      <c r="FD339" s="471"/>
      <c r="FE339" s="450"/>
      <c r="FF339" s="471"/>
      <c r="FG339" s="450"/>
      <c r="FH339" s="472"/>
      <c r="FI339" s="450"/>
      <c r="FJ339" s="468">
        <f t="shared" si="208"/>
        <v>0</v>
      </c>
      <c r="FK339" s="469">
        <f t="shared" si="209"/>
        <v>0</v>
      </c>
      <c r="FL339" s="472"/>
      <c r="FM339" s="450"/>
      <c r="FN339" s="460">
        <f t="shared" si="210"/>
        <v>418</v>
      </c>
      <c r="FO339" s="469">
        <f t="shared" si="211"/>
        <v>492</v>
      </c>
    </row>
    <row r="340" spans="1:171" x14ac:dyDescent="0.2">
      <c r="A340" s="668" t="s">
        <v>264</v>
      </c>
      <c r="B340" s="669" t="s">
        <v>1041</v>
      </c>
      <c r="C340" s="670"/>
      <c r="D340" s="671">
        <v>199421</v>
      </c>
      <c r="E340" s="565">
        <v>9</v>
      </c>
      <c r="F340" s="532">
        <v>90</v>
      </c>
      <c r="G340" s="628">
        <v>76</v>
      </c>
      <c r="H340" s="457"/>
      <c r="I340" s="450"/>
      <c r="J340" s="457">
        <v>331</v>
      </c>
      <c r="K340" s="741">
        <v>343</v>
      </c>
      <c r="L340" s="458">
        <f t="shared" si="188"/>
        <v>0</v>
      </c>
      <c r="M340" s="449">
        <f t="shared" si="189"/>
        <v>0</v>
      </c>
      <c r="N340" s="459"/>
      <c r="O340" s="459"/>
      <c r="P340" s="459"/>
      <c r="Q340" s="459"/>
      <c r="R340" s="460">
        <f t="shared" si="190"/>
        <v>0</v>
      </c>
      <c r="S340" s="461"/>
      <c r="T340" s="461"/>
      <c r="U340" s="461"/>
      <c r="V340" s="461"/>
      <c r="W340" s="462">
        <f t="shared" si="191"/>
        <v>0</v>
      </c>
      <c r="X340" s="463"/>
      <c r="Y340" s="457"/>
      <c r="Z340" s="464"/>
      <c r="AA340" s="464"/>
      <c r="AB340" s="465"/>
      <c r="AC340" s="457"/>
      <c r="AD340" s="464"/>
      <c r="AE340" s="466"/>
      <c r="AF340" s="465"/>
      <c r="AG340" s="457"/>
      <c r="AH340" s="464"/>
      <c r="AI340" s="466"/>
      <c r="AJ340" s="465"/>
      <c r="AK340" s="457"/>
      <c r="AL340" s="464"/>
      <c r="AM340" s="466"/>
      <c r="AN340" s="465"/>
      <c r="AO340" s="457"/>
      <c r="AP340" s="464"/>
      <c r="AQ340" s="464"/>
      <c r="AR340" s="460">
        <f t="shared" si="192"/>
        <v>0</v>
      </c>
      <c r="AS340" s="467">
        <f t="shared" si="193"/>
        <v>0</v>
      </c>
      <c r="AT340" s="447">
        <f t="shared" si="194"/>
        <v>0</v>
      </c>
      <c r="AU340" s="448">
        <f t="shared" si="195"/>
        <v>0</v>
      </c>
      <c r="AV340" s="457"/>
      <c r="AW340" s="628"/>
      <c r="AX340" s="463"/>
      <c r="AY340" s="457"/>
      <c r="AZ340" s="464"/>
      <c r="BA340" s="464"/>
      <c r="BB340" s="465"/>
      <c r="BC340" s="457"/>
      <c r="BD340" s="464"/>
      <c r="BE340" s="466"/>
      <c r="BF340" s="465"/>
      <c r="BG340" s="457"/>
      <c r="BH340" s="464"/>
      <c r="BI340" s="466"/>
      <c r="BJ340" s="465"/>
      <c r="BK340" s="457"/>
      <c r="BL340" s="464"/>
      <c r="BM340" s="466"/>
      <c r="BN340" s="465"/>
      <c r="BO340" s="457"/>
      <c r="BP340" s="464"/>
      <c r="BQ340" s="466"/>
      <c r="BR340" s="465"/>
      <c r="BS340" s="457"/>
      <c r="BT340" s="464"/>
      <c r="BU340" s="466"/>
      <c r="BV340" s="465"/>
      <c r="BW340" s="457"/>
      <c r="BX340" s="464"/>
      <c r="BY340" s="466"/>
      <c r="BZ340" s="465"/>
      <c r="CA340" s="457"/>
      <c r="CB340" s="464"/>
      <c r="CC340" s="466"/>
      <c r="CD340" s="465"/>
      <c r="CE340" s="457"/>
      <c r="CF340" s="464"/>
      <c r="CG340" s="466"/>
      <c r="CH340" s="465"/>
      <c r="CI340" s="457"/>
      <c r="CJ340" s="464"/>
      <c r="CK340" s="466"/>
      <c r="CL340" s="459"/>
      <c r="CM340" s="450"/>
      <c r="CN340" s="468">
        <f t="shared" si="196"/>
        <v>0</v>
      </c>
      <c r="CO340" s="468">
        <f t="shared" si="197"/>
        <v>0</v>
      </c>
      <c r="CP340" s="469">
        <f t="shared" si="198"/>
        <v>0</v>
      </c>
      <c r="CQ340" s="469">
        <f t="shared" si="199"/>
        <v>0</v>
      </c>
      <c r="CR340" s="463"/>
      <c r="CS340" s="457"/>
      <c r="CT340" s="464"/>
      <c r="CU340" s="464"/>
      <c r="CV340" s="465"/>
      <c r="CW340" s="457"/>
      <c r="CX340" s="464"/>
      <c r="CY340" s="466"/>
      <c r="CZ340" s="465"/>
      <c r="DA340" s="457"/>
      <c r="DB340" s="464"/>
      <c r="DC340" s="466"/>
      <c r="DD340" s="465"/>
      <c r="DE340" s="457"/>
      <c r="DF340" s="464"/>
      <c r="DG340" s="466"/>
      <c r="DH340" s="465"/>
      <c r="DI340" s="457"/>
      <c r="DJ340" s="464"/>
      <c r="DK340" s="466"/>
      <c r="DL340" s="465"/>
      <c r="DM340" s="457"/>
      <c r="DN340" s="464"/>
      <c r="DO340" s="466"/>
      <c r="DP340" s="465"/>
      <c r="DQ340" s="457"/>
      <c r="DR340" s="464"/>
      <c r="DS340" s="466"/>
      <c r="DT340" s="465"/>
      <c r="DU340" s="457"/>
      <c r="DV340" s="464"/>
      <c r="DW340" s="466"/>
      <c r="DX340" s="465"/>
      <c r="DY340" s="457"/>
      <c r="DZ340" s="464"/>
      <c r="EA340" s="466"/>
      <c r="EB340" s="465"/>
      <c r="EC340" s="457"/>
      <c r="ED340" s="464"/>
      <c r="EE340" s="466"/>
      <c r="EF340" s="459"/>
      <c r="EG340" s="450"/>
      <c r="EH340" s="460">
        <f t="shared" si="200"/>
        <v>0</v>
      </c>
      <c r="EI340" s="460">
        <f t="shared" si="201"/>
        <v>0</v>
      </c>
      <c r="EJ340" s="458">
        <f t="shared" si="202"/>
        <v>0</v>
      </c>
      <c r="EK340" s="470">
        <f t="shared" si="203"/>
        <v>0</v>
      </c>
      <c r="EL340" s="470">
        <f t="shared" si="204"/>
        <v>0</v>
      </c>
      <c r="EM340" s="449">
        <f t="shared" si="205"/>
        <v>0</v>
      </c>
      <c r="EN340" s="460">
        <f t="shared" si="206"/>
        <v>0</v>
      </c>
      <c r="EO340" s="469">
        <f t="shared" si="207"/>
        <v>0</v>
      </c>
      <c r="EP340" s="471"/>
      <c r="EQ340" s="450"/>
      <c r="ER340" s="471"/>
      <c r="ES340" s="450"/>
      <c r="ET340" s="471"/>
      <c r="EU340" s="450"/>
      <c r="EV340" s="471"/>
      <c r="EW340" s="450"/>
      <c r="EX340" s="471"/>
      <c r="EY340" s="450"/>
      <c r="EZ340" s="471"/>
      <c r="FA340" s="450"/>
      <c r="FB340" s="471"/>
      <c r="FC340" s="450"/>
      <c r="FD340" s="471"/>
      <c r="FE340" s="450"/>
      <c r="FF340" s="471"/>
      <c r="FG340" s="450"/>
      <c r="FH340" s="472"/>
      <c r="FI340" s="450"/>
      <c r="FJ340" s="468">
        <f t="shared" si="208"/>
        <v>0</v>
      </c>
      <c r="FK340" s="469">
        <f t="shared" si="209"/>
        <v>0</v>
      </c>
      <c r="FL340" s="472"/>
      <c r="FM340" s="450"/>
      <c r="FN340" s="460">
        <f t="shared" si="210"/>
        <v>421</v>
      </c>
      <c r="FO340" s="469">
        <f t="shared" si="211"/>
        <v>419</v>
      </c>
    </row>
    <row r="341" spans="1:171" x14ac:dyDescent="0.2">
      <c r="A341" s="668" t="s">
        <v>264</v>
      </c>
      <c r="B341" s="669" t="s">
        <v>1042</v>
      </c>
      <c r="C341" s="670"/>
      <c r="D341" s="671">
        <v>199476</v>
      </c>
      <c r="E341" s="565">
        <v>9</v>
      </c>
      <c r="F341" s="532">
        <v>128</v>
      </c>
      <c r="G341" s="628">
        <v>17</v>
      </c>
      <c r="H341" s="457"/>
      <c r="I341" s="450"/>
      <c r="J341" s="457">
        <v>238</v>
      </c>
      <c r="K341" s="450">
        <v>229</v>
      </c>
      <c r="L341" s="458">
        <f t="shared" si="188"/>
        <v>0</v>
      </c>
      <c r="M341" s="449">
        <f t="shared" si="189"/>
        <v>0</v>
      </c>
      <c r="N341" s="459"/>
      <c r="O341" s="459"/>
      <c r="P341" s="459"/>
      <c r="Q341" s="459"/>
      <c r="R341" s="460">
        <f t="shared" si="190"/>
        <v>0</v>
      </c>
      <c r="S341" s="461"/>
      <c r="T341" s="461"/>
      <c r="U341" s="461"/>
      <c r="V341" s="461"/>
      <c r="W341" s="462">
        <f t="shared" si="191"/>
        <v>0</v>
      </c>
      <c r="X341" s="463"/>
      <c r="Y341" s="457"/>
      <c r="Z341" s="464"/>
      <c r="AA341" s="464"/>
      <c r="AB341" s="465"/>
      <c r="AC341" s="457"/>
      <c r="AD341" s="464"/>
      <c r="AE341" s="466"/>
      <c r="AF341" s="465"/>
      <c r="AG341" s="457"/>
      <c r="AH341" s="464"/>
      <c r="AI341" s="466"/>
      <c r="AJ341" s="465"/>
      <c r="AK341" s="457"/>
      <c r="AL341" s="464"/>
      <c r="AM341" s="466"/>
      <c r="AN341" s="465"/>
      <c r="AO341" s="457"/>
      <c r="AP341" s="464"/>
      <c r="AQ341" s="464"/>
      <c r="AR341" s="460">
        <f t="shared" si="192"/>
        <v>0</v>
      </c>
      <c r="AS341" s="467">
        <f t="shared" si="193"/>
        <v>0</v>
      </c>
      <c r="AT341" s="447">
        <f t="shared" si="194"/>
        <v>0</v>
      </c>
      <c r="AU341" s="448">
        <f t="shared" si="195"/>
        <v>0</v>
      </c>
      <c r="AV341" s="457"/>
      <c r="AW341" s="628"/>
      <c r="AX341" s="463"/>
      <c r="AY341" s="457"/>
      <c r="AZ341" s="464"/>
      <c r="BA341" s="464"/>
      <c r="BB341" s="465"/>
      <c r="BC341" s="457"/>
      <c r="BD341" s="464"/>
      <c r="BE341" s="466"/>
      <c r="BF341" s="465"/>
      <c r="BG341" s="457"/>
      <c r="BH341" s="464"/>
      <c r="BI341" s="466"/>
      <c r="BJ341" s="465"/>
      <c r="BK341" s="457"/>
      <c r="BL341" s="464"/>
      <c r="BM341" s="466"/>
      <c r="BN341" s="465"/>
      <c r="BO341" s="457"/>
      <c r="BP341" s="464"/>
      <c r="BQ341" s="466"/>
      <c r="BR341" s="465"/>
      <c r="BS341" s="457"/>
      <c r="BT341" s="464"/>
      <c r="BU341" s="466"/>
      <c r="BV341" s="465"/>
      <c r="BW341" s="457"/>
      <c r="BX341" s="464"/>
      <c r="BY341" s="466"/>
      <c r="BZ341" s="465"/>
      <c r="CA341" s="457"/>
      <c r="CB341" s="464"/>
      <c r="CC341" s="466"/>
      <c r="CD341" s="465"/>
      <c r="CE341" s="457"/>
      <c r="CF341" s="464"/>
      <c r="CG341" s="466"/>
      <c r="CH341" s="465"/>
      <c r="CI341" s="457"/>
      <c r="CJ341" s="464"/>
      <c r="CK341" s="466"/>
      <c r="CL341" s="459"/>
      <c r="CM341" s="450"/>
      <c r="CN341" s="468">
        <f t="shared" si="196"/>
        <v>0</v>
      </c>
      <c r="CO341" s="468">
        <f t="shared" si="197"/>
        <v>0</v>
      </c>
      <c r="CP341" s="469">
        <f t="shared" si="198"/>
        <v>0</v>
      </c>
      <c r="CQ341" s="469">
        <f t="shared" si="199"/>
        <v>0</v>
      </c>
      <c r="CR341" s="463"/>
      <c r="CS341" s="457"/>
      <c r="CT341" s="464"/>
      <c r="CU341" s="464"/>
      <c r="CV341" s="465"/>
      <c r="CW341" s="457"/>
      <c r="CX341" s="464"/>
      <c r="CY341" s="466"/>
      <c r="CZ341" s="465"/>
      <c r="DA341" s="457"/>
      <c r="DB341" s="464"/>
      <c r="DC341" s="466"/>
      <c r="DD341" s="465"/>
      <c r="DE341" s="457"/>
      <c r="DF341" s="464"/>
      <c r="DG341" s="466"/>
      <c r="DH341" s="465"/>
      <c r="DI341" s="457"/>
      <c r="DJ341" s="464"/>
      <c r="DK341" s="466"/>
      <c r="DL341" s="465"/>
      <c r="DM341" s="457"/>
      <c r="DN341" s="464"/>
      <c r="DO341" s="466"/>
      <c r="DP341" s="465"/>
      <c r="DQ341" s="457"/>
      <c r="DR341" s="464"/>
      <c r="DS341" s="466"/>
      <c r="DT341" s="465"/>
      <c r="DU341" s="457"/>
      <c r="DV341" s="464"/>
      <c r="DW341" s="466"/>
      <c r="DX341" s="465"/>
      <c r="DY341" s="457"/>
      <c r="DZ341" s="464"/>
      <c r="EA341" s="466"/>
      <c r="EB341" s="465"/>
      <c r="EC341" s="457"/>
      <c r="ED341" s="464"/>
      <c r="EE341" s="466"/>
      <c r="EF341" s="459"/>
      <c r="EG341" s="450"/>
      <c r="EH341" s="460">
        <f t="shared" si="200"/>
        <v>0</v>
      </c>
      <c r="EI341" s="460">
        <f t="shared" si="201"/>
        <v>0</v>
      </c>
      <c r="EJ341" s="458">
        <f t="shared" si="202"/>
        <v>0</v>
      </c>
      <c r="EK341" s="470">
        <f t="shared" si="203"/>
        <v>0</v>
      </c>
      <c r="EL341" s="470">
        <f t="shared" si="204"/>
        <v>0</v>
      </c>
      <c r="EM341" s="449">
        <f t="shared" si="205"/>
        <v>0</v>
      </c>
      <c r="EN341" s="460">
        <f t="shared" si="206"/>
        <v>0</v>
      </c>
      <c r="EO341" s="469">
        <f t="shared" si="207"/>
        <v>0</v>
      </c>
      <c r="EP341" s="471"/>
      <c r="EQ341" s="450"/>
      <c r="ER341" s="471"/>
      <c r="ES341" s="450"/>
      <c r="ET341" s="471"/>
      <c r="EU341" s="450"/>
      <c r="EV341" s="471"/>
      <c r="EW341" s="450"/>
      <c r="EX341" s="471"/>
      <c r="EY341" s="450"/>
      <c r="EZ341" s="471"/>
      <c r="FA341" s="450"/>
      <c r="FB341" s="471"/>
      <c r="FC341" s="450"/>
      <c r="FD341" s="471"/>
      <c r="FE341" s="450"/>
      <c r="FF341" s="471"/>
      <c r="FG341" s="450"/>
      <c r="FH341" s="472"/>
      <c r="FI341" s="450"/>
      <c r="FJ341" s="468">
        <f t="shared" si="208"/>
        <v>0</v>
      </c>
      <c r="FK341" s="469">
        <f t="shared" si="209"/>
        <v>0</v>
      </c>
      <c r="FL341" s="472"/>
      <c r="FM341" s="450"/>
      <c r="FN341" s="460">
        <f t="shared" si="210"/>
        <v>366</v>
      </c>
      <c r="FO341" s="469">
        <f t="shared" si="211"/>
        <v>246</v>
      </c>
    </row>
    <row r="342" spans="1:171" x14ac:dyDescent="0.2">
      <c r="A342" s="668" t="s">
        <v>264</v>
      </c>
      <c r="B342" s="669" t="s">
        <v>1043</v>
      </c>
      <c r="C342" s="670"/>
      <c r="D342" s="671">
        <v>199634</v>
      </c>
      <c r="E342" s="565">
        <v>9</v>
      </c>
      <c r="F342" s="532">
        <v>142</v>
      </c>
      <c r="G342" s="628">
        <v>129</v>
      </c>
      <c r="H342" s="457"/>
      <c r="I342" s="450"/>
      <c r="J342" s="457">
        <v>460</v>
      </c>
      <c r="K342" s="450">
        <v>443</v>
      </c>
      <c r="L342" s="458">
        <f t="shared" si="188"/>
        <v>0</v>
      </c>
      <c r="M342" s="449">
        <f t="shared" si="189"/>
        <v>0</v>
      </c>
      <c r="N342" s="459"/>
      <c r="O342" s="459"/>
      <c r="P342" s="459"/>
      <c r="Q342" s="459"/>
      <c r="R342" s="460">
        <f t="shared" si="190"/>
        <v>0</v>
      </c>
      <c r="S342" s="461"/>
      <c r="T342" s="461"/>
      <c r="U342" s="461"/>
      <c r="V342" s="461"/>
      <c r="W342" s="462">
        <f t="shared" si="191"/>
        <v>0</v>
      </c>
      <c r="X342" s="463"/>
      <c r="Y342" s="457"/>
      <c r="Z342" s="464"/>
      <c r="AA342" s="464"/>
      <c r="AB342" s="465"/>
      <c r="AC342" s="457"/>
      <c r="AD342" s="464"/>
      <c r="AE342" s="466"/>
      <c r="AF342" s="465"/>
      <c r="AG342" s="457"/>
      <c r="AH342" s="464"/>
      <c r="AI342" s="466"/>
      <c r="AJ342" s="465"/>
      <c r="AK342" s="457"/>
      <c r="AL342" s="464"/>
      <c r="AM342" s="466"/>
      <c r="AN342" s="465"/>
      <c r="AO342" s="457"/>
      <c r="AP342" s="464"/>
      <c r="AQ342" s="464"/>
      <c r="AR342" s="460">
        <f t="shared" si="192"/>
        <v>0</v>
      </c>
      <c r="AS342" s="467">
        <f t="shared" si="193"/>
        <v>0</v>
      </c>
      <c r="AT342" s="447">
        <f t="shared" si="194"/>
        <v>0</v>
      </c>
      <c r="AU342" s="448">
        <f t="shared" si="195"/>
        <v>0</v>
      </c>
      <c r="AV342" s="457"/>
      <c r="AW342" s="628"/>
      <c r="AX342" s="463"/>
      <c r="AY342" s="457"/>
      <c r="AZ342" s="464"/>
      <c r="BA342" s="464"/>
      <c r="BB342" s="465"/>
      <c r="BC342" s="457"/>
      <c r="BD342" s="464"/>
      <c r="BE342" s="466"/>
      <c r="BF342" s="465"/>
      <c r="BG342" s="457"/>
      <c r="BH342" s="464"/>
      <c r="BI342" s="466"/>
      <c r="BJ342" s="465"/>
      <c r="BK342" s="457"/>
      <c r="BL342" s="464"/>
      <c r="BM342" s="466"/>
      <c r="BN342" s="465"/>
      <c r="BO342" s="457"/>
      <c r="BP342" s="464"/>
      <c r="BQ342" s="466"/>
      <c r="BR342" s="465"/>
      <c r="BS342" s="457"/>
      <c r="BT342" s="464"/>
      <c r="BU342" s="466"/>
      <c r="BV342" s="465"/>
      <c r="BW342" s="457"/>
      <c r="BX342" s="464"/>
      <c r="BY342" s="466"/>
      <c r="BZ342" s="465"/>
      <c r="CA342" s="457"/>
      <c r="CB342" s="464"/>
      <c r="CC342" s="466"/>
      <c r="CD342" s="465"/>
      <c r="CE342" s="457"/>
      <c r="CF342" s="464"/>
      <c r="CG342" s="466"/>
      <c r="CH342" s="465"/>
      <c r="CI342" s="457"/>
      <c r="CJ342" s="464"/>
      <c r="CK342" s="466"/>
      <c r="CL342" s="459"/>
      <c r="CM342" s="450"/>
      <c r="CN342" s="468">
        <f t="shared" si="196"/>
        <v>0</v>
      </c>
      <c r="CO342" s="468">
        <f t="shared" si="197"/>
        <v>0</v>
      </c>
      <c r="CP342" s="469">
        <f t="shared" si="198"/>
        <v>0</v>
      </c>
      <c r="CQ342" s="469">
        <f t="shared" si="199"/>
        <v>0</v>
      </c>
      <c r="CR342" s="463"/>
      <c r="CS342" s="457"/>
      <c r="CT342" s="464"/>
      <c r="CU342" s="464"/>
      <c r="CV342" s="465"/>
      <c r="CW342" s="457"/>
      <c r="CX342" s="464"/>
      <c r="CY342" s="466"/>
      <c r="CZ342" s="465"/>
      <c r="DA342" s="457"/>
      <c r="DB342" s="464"/>
      <c r="DC342" s="466"/>
      <c r="DD342" s="465"/>
      <c r="DE342" s="457"/>
      <c r="DF342" s="464"/>
      <c r="DG342" s="466"/>
      <c r="DH342" s="465"/>
      <c r="DI342" s="457"/>
      <c r="DJ342" s="464"/>
      <c r="DK342" s="466"/>
      <c r="DL342" s="465"/>
      <c r="DM342" s="457"/>
      <c r="DN342" s="464"/>
      <c r="DO342" s="466"/>
      <c r="DP342" s="465"/>
      <c r="DQ342" s="457"/>
      <c r="DR342" s="464"/>
      <c r="DS342" s="466"/>
      <c r="DT342" s="465"/>
      <c r="DU342" s="457"/>
      <c r="DV342" s="464"/>
      <c r="DW342" s="466"/>
      <c r="DX342" s="465"/>
      <c r="DY342" s="457"/>
      <c r="DZ342" s="464"/>
      <c r="EA342" s="466"/>
      <c r="EB342" s="465"/>
      <c r="EC342" s="457"/>
      <c r="ED342" s="464"/>
      <c r="EE342" s="466"/>
      <c r="EF342" s="459"/>
      <c r="EG342" s="450"/>
      <c r="EH342" s="460">
        <f t="shared" si="200"/>
        <v>0</v>
      </c>
      <c r="EI342" s="460">
        <f t="shared" si="201"/>
        <v>0</v>
      </c>
      <c r="EJ342" s="458">
        <f t="shared" si="202"/>
        <v>0</v>
      </c>
      <c r="EK342" s="470">
        <f t="shared" si="203"/>
        <v>0</v>
      </c>
      <c r="EL342" s="470">
        <f t="shared" si="204"/>
        <v>0</v>
      </c>
      <c r="EM342" s="449">
        <f t="shared" si="205"/>
        <v>0</v>
      </c>
      <c r="EN342" s="460">
        <f t="shared" si="206"/>
        <v>0</v>
      </c>
      <c r="EO342" s="469">
        <f t="shared" si="207"/>
        <v>0</v>
      </c>
      <c r="EP342" s="471"/>
      <c r="EQ342" s="450"/>
      <c r="ER342" s="471"/>
      <c r="ES342" s="450"/>
      <c r="ET342" s="471"/>
      <c r="EU342" s="450"/>
      <c r="EV342" s="471"/>
      <c r="EW342" s="450"/>
      <c r="EX342" s="471"/>
      <c r="EY342" s="450"/>
      <c r="EZ342" s="471"/>
      <c r="FA342" s="450"/>
      <c r="FB342" s="471"/>
      <c r="FC342" s="450"/>
      <c r="FD342" s="471"/>
      <c r="FE342" s="450"/>
      <c r="FF342" s="471"/>
      <c r="FG342" s="450"/>
      <c r="FH342" s="472"/>
      <c r="FI342" s="450"/>
      <c r="FJ342" s="468">
        <f t="shared" si="208"/>
        <v>0</v>
      </c>
      <c r="FK342" s="469">
        <f t="shared" si="209"/>
        <v>0</v>
      </c>
      <c r="FL342" s="472"/>
      <c r="FM342" s="450"/>
      <c r="FN342" s="460">
        <f t="shared" si="210"/>
        <v>602</v>
      </c>
      <c r="FO342" s="469">
        <f t="shared" si="211"/>
        <v>572</v>
      </c>
    </row>
    <row r="343" spans="1:171" x14ac:dyDescent="0.2">
      <c r="A343" s="668" t="s">
        <v>264</v>
      </c>
      <c r="B343" s="669" t="s">
        <v>1044</v>
      </c>
      <c r="C343" s="670"/>
      <c r="D343" s="671">
        <v>199740</v>
      </c>
      <c r="E343" s="565">
        <v>9</v>
      </c>
      <c r="F343" s="532">
        <v>257</v>
      </c>
      <c r="G343" s="628">
        <v>240</v>
      </c>
      <c r="H343" s="457"/>
      <c r="I343" s="450"/>
      <c r="J343" s="457">
        <v>411</v>
      </c>
      <c r="K343" s="450">
        <v>421</v>
      </c>
      <c r="L343" s="458">
        <f t="shared" si="188"/>
        <v>0</v>
      </c>
      <c r="M343" s="449">
        <f t="shared" si="189"/>
        <v>0</v>
      </c>
      <c r="N343" s="459"/>
      <c r="O343" s="459"/>
      <c r="P343" s="459"/>
      <c r="Q343" s="459"/>
      <c r="R343" s="460">
        <f t="shared" si="190"/>
        <v>0</v>
      </c>
      <c r="S343" s="461"/>
      <c r="T343" s="461"/>
      <c r="U343" s="461"/>
      <c r="V343" s="461"/>
      <c r="W343" s="462">
        <f t="shared" si="191"/>
        <v>0</v>
      </c>
      <c r="X343" s="463"/>
      <c r="Y343" s="457"/>
      <c r="Z343" s="464"/>
      <c r="AA343" s="464"/>
      <c r="AB343" s="465"/>
      <c r="AC343" s="457"/>
      <c r="AD343" s="464"/>
      <c r="AE343" s="466"/>
      <c r="AF343" s="465"/>
      <c r="AG343" s="457"/>
      <c r="AH343" s="464"/>
      <c r="AI343" s="466"/>
      <c r="AJ343" s="465"/>
      <c r="AK343" s="457"/>
      <c r="AL343" s="464"/>
      <c r="AM343" s="466"/>
      <c r="AN343" s="465"/>
      <c r="AO343" s="457"/>
      <c r="AP343" s="464"/>
      <c r="AQ343" s="464"/>
      <c r="AR343" s="460">
        <f t="shared" si="192"/>
        <v>0</v>
      </c>
      <c r="AS343" s="467">
        <f t="shared" si="193"/>
        <v>0</v>
      </c>
      <c r="AT343" s="447">
        <f t="shared" si="194"/>
        <v>0</v>
      </c>
      <c r="AU343" s="448">
        <f t="shared" si="195"/>
        <v>0</v>
      </c>
      <c r="AV343" s="457"/>
      <c r="AW343" s="628"/>
      <c r="AX343" s="463"/>
      <c r="AY343" s="457"/>
      <c r="AZ343" s="464"/>
      <c r="BA343" s="464"/>
      <c r="BB343" s="465"/>
      <c r="BC343" s="457"/>
      <c r="BD343" s="464"/>
      <c r="BE343" s="466"/>
      <c r="BF343" s="465"/>
      <c r="BG343" s="457"/>
      <c r="BH343" s="464"/>
      <c r="BI343" s="466"/>
      <c r="BJ343" s="465"/>
      <c r="BK343" s="457"/>
      <c r="BL343" s="464"/>
      <c r="BM343" s="466"/>
      <c r="BN343" s="465"/>
      <c r="BO343" s="457"/>
      <c r="BP343" s="464"/>
      <c r="BQ343" s="466"/>
      <c r="BR343" s="465"/>
      <c r="BS343" s="457"/>
      <c r="BT343" s="464"/>
      <c r="BU343" s="466"/>
      <c r="BV343" s="465"/>
      <c r="BW343" s="457"/>
      <c r="BX343" s="464"/>
      <c r="BY343" s="466"/>
      <c r="BZ343" s="465"/>
      <c r="CA343" s="457"/>
      <c r="CB343" s="464"/>
      <c r="CC343" s="466"/>
      <c r="CD343" s="465"/>
      <c r="CE343" s="457"/>
      <c r="CF343" s="464"/>
      <c r="CG343" s="466"/>
      <c r="CH343" s="465"/>
      <c r="CI343" s="457"/>
      <c r="CJ343" s="464"/>
      <c r="CK343" s="466"/>
      <c r="CL343" s="459"/>
      <c r="CM343" s="450"/>
      <c r="CN343" s="468">
        <f t="shared" si="196"/>
        <v>0</v>
      </c>
      <c r="CO343" s="468">
        <f t="shared" si="197"/>
        <v>0</v>
      </c>
      <c r="CP343" s="469">
        <f t="shared" si="198"/>
        <v>0</v>
      </c>
      <c r="CQ343" s="469">
        <f t="shared" si="199"/>
        <v>0</v>
      </c>
      <c r="CR343" s="463"/>
      <c r="CS343" s="457"/>
      <c r="CT343" s="464"/>
      <c r="CU343" s="464"/>
      <c r="CV343" s="465"/>
      <c r="CW343" s="457"/>
      <c r="CX343" s="464"/>
      <c r="CY343" s="466"/>
      <c r="CZ343" s="465"/>
      <c r="DA343" s="457"/>
      <c r="DB343" s="464"/>
      <c r="DC343" s="466"/>
      <c r="DD343" s="465"/>
      <c r="DE343" s="457"/>
      <c r="DF343" s="464"/>
      <c r="DG343" s="466"/>
      <c r="DH343" s="465"/>
      <c r="DI343" s="457"/>
      <c r="DJ343" s="464"/>
      <c r="DK343" s="466"/>
      <c r="DL343" s="465"/>
      <c r="DM343" s="457"/>
      <c r="DN343" s="464"/>
      <c r="DO343" s="466"/>
      <c r="DP343" s="465"/>
      <c r="DQ343" s="457"/>
      <c r="DR343" s="464"/>
      <c r="DS343" s="466"/>
      <c r="DT343" s="465"/>
      <c r="DU343" s="457"/>
      <c r="DV343" s="464"/>
      <c r="DW343" s="466"/>
      <c r="DX343" s="465"/>
      <c r="DY343" s="457"/>
      <c r="DZ343" s="464"/>
      <c r="EA343" s="466"/>
      <c r="EB343" s="465"/>
      <c r="EC343" s="457"/>
      <c r="ED343" s="464"/>
      <c r="EE343" s="466"/>
      <c r="EF343" s="459"/>
      <c r="EG343" s="450"/>
      <c r="EH343" s="460">
        <f t="shared" si="200"/>
        <v>0</v>
      </c>
      <c r="EI343" s="460">
        <f t="shared" si="201"/>
        <v>0</v>
      </c>
      <c r="EJ343" s="458">
        <f t="shared" si="202"/>
        <v>0</v>
      </c>
      <c r="EK343" s="470">
        <f t="shared" si="203"/>
        <v>0</v>
      </c>
      <c r="EL343" s="470">
        <f t="shared" si="204"/>
        <v>0</v>
      </c>
      <c r="EM343" s="449">
        <f t="shared" si="205"/>
        <v>0</v>
      </c>
      <c r="EN343" s="460">
        <f t="shared" si="206"/>
        <v>0</v>
      </c>
      <c r="EO343" s="469">
        <f t="shared" si="207"/>
        <v>0</v>
      </c>
      <c r="EP343" s="471"/>
      <c r="EQ343" s="450"/>
      <c r="ER343" s="471"/>
      <c r="ES343" s="450"/>
      <c r="ET343" s="471"/>
      <c r="EU343" s="450"/>
      <c r="EV343" s="471"/>
      <c r="EW343" s="450"/>
      <c r="EX343" s="471"/>
      <c r="EY343" s="450"/>
      <c r="EZ343" s="471"/>
      <c r="FA343" s="450"/>
      <c r="FB343" s="471"/>
      <c r="FC343" s="450"/>
      <c r="FD343" s="471"/>
      <c r="FE343" s="450"/>
      <c r="FF343" s="471"/>
      <c r="FG343" s="450"/>
      <c r="FH343" s="472"/>
      <c r="FI343" s="450"/>
      <c r="FJ343" s="468">
        <f t="shared" si="208"/>
        <v>0</v>
      </c>
      <c r="FK343" s="469">
        <f t="shared" si="209"/>
        <v>0</v>
      </c>
      <c r="FL343" s="472"/>
      <c r="FM343" s="450"/>
      <c r="FN343" s="460">
        <f t="shared" si="210"/>
        <v>668</v>
      </c>
      <c r="FO343" s="469">
        <f t="shared" si="211"/>
        <v>661</v>
      </c>
    </row>
    <row r="344" spans="1:171" x14ac:dyDescent="0.2">
      <c r="A344" s="668" t="s">
        <v>264</v>
      </c>
      <c r="B344" s="669" t="s">
        <v>1045</v>
      </c>
      <c r="C344" s="670"/>
      <c r="D344" s="671">
        <v>199768</v>
      </c>
      <c r="E344" s="565">
        <v>9</v>
      </c>
      <c r="F344" s="532">
        <v>116</v>
      </c>
      <c r="G344" s="628">
        <v>126</v>
      </c>
      <c r="H344" s="457"/>
      <c r="I344" s="450"/>
      <c r="J344" s="457">
        <v>336</v>
      </c>
      <c r="K344" s="450">
        <v>364</v>
      </c>
      <c r="L344" s="458">
        <f t="shared" si="188"/>
        <v>0</v>
      </c>
      <c r="M344" s="449">
        <f t="shared" si="189"/>
        <v>0</v>
      </c>
      <c r="N344" s="459"/>
      <c r="O344" s="459"/>
      <c r="P344" s="459"/>
      <c r="Q344" s="459"/>
      <c r="R344" s="460">
        <f t="shared" si="190"/>
        <v>0</v>
      </c>
      <c r="S344" s="461"/>
      <c r="T344" s="461"/>
      <c r="U344" s="461"/>
      <c r="V344" s="461"/>
      <c r="W344" s="462">
        <f t="shared" si="191"/>
        <v>0</v>
      </c>
      <c r="X344" s="463"/>
      <c r="Y344" s="457"/>
      <c r="Z344" s="464"/>
      <c r="AA344" s="464"/>
      <c r="AB344" s="465"/>
      <c r="AC344" s="457"/>
      <c r="AD344" s="464"/>
      <c r="AE344" s="466"/>
      <c r="AF344" s="465"/>
      <c r="AG344" s="457"/>
      <c r="AH344" s="464"/>
      <c r="AI344" s="466"/>
      <c r="AJ344" s="465"/>
      <c r="AK344" s="457"/>
      <c r="AL344" s="464"/>
      <c r="AM344" s="466"/>
      <c r="AN344" s="465"/>
      <c r="AO344" s="457"/>
      <c r="AP344" s="464"/>
      <c r="AQ344" s="464"/>
      <c r="AR344" s="460">
        <f t="shared" si="192"/>
        <v>0</v>
      </c>
      <c r="AS344" s="467">
        <f t="shared" si="193"/>
        <v>0</v>
      </c>
      <c r="AT344" s="447">
        <f t="shared" si="194"/>
        <v>0</v>
      </c>
      <c r="AU344" s="448">
        <f t="shared" si="195"/>
        <v>0</v>
      </c>
      <c r="AV344" s="457"/>
      <c r="AW344" s="628"/>
      <c r="AX344" s="463"/>
      <c r="AY344" s="457"/>
      <c r="AZ344" s="464"/>
      <c r="BA344" s="464"/>
      <c r="BB344" s="465"/>
      <c r="BC344" s="457"/>
      <c r="BD344" s="464"/>
      <c r="BE344" s="466"/>
      <c r="BF344" s="465"/>
      <c r="BG344" s="457"/>
      <c r="BH344" s="464"/>
      <c r="BI344" s="466"/>
      <c r="BJ344" s="465"/>
      <c r="BK344" s="457"/>
      <c r="BL344" s="464"/>
      <c r="BM344" s="466"/>
      <c r="BN344" s="465"/>
      <c r="BO344" s="457"/>
      <c r="BP344" s="464"/>
      <c r="BQ344" s="466"/>
      <c r="BR344" s="465"/>
      <c r="BS344" s="457"/>
      <c r="BT344" s="464"/>
      <c r="BU344" s="466"/>
      <c r="BV344" s="465"/>
      <c r="BW344" s="457"/>
      <c r="BX344" s="464"/>
      <c r="BY344" s="466"/>
      <c r="BZ344" s="465"/>
      <c r="CA344" s="457"/>
      <c r="CB344" s="464"/>
      <c r="CC344" s="466"/>
      <c r="CD344" s="465"/>
      <c r="CE344" s="457"/>
      <c r="CF344" s="464"/>
      <c r="CG344" s="466"/>
      <c r="CH344" s="465"/>
      <c r="CI344" s="457"/>
      <c r="CJ344" s="464"/>
      <c r="CK344" s="466"/>
      <c r="CL344" s="459"/>
      <c r="CM344" s="450"/>
      <c r="CN344" s="468">
        <f t="shared" si="196"/>
        <v>0</v>
      </c>
      <c r="CO344" s="468">
        <f t="shared" si="197"/>
        <v>0</v>
      </c>
      <c r="CP344" s="469">
        <f t="shared" si="198"/>
        <v>0</v>
      </c>
      <c r="CQ344" s="469">
        <f t="shared" si="199"/>
        <v>0</v>
      </c>
      <c r="CR344" s="463"/>
      <c r="CS344" s="457"/>
      <c r="CT344" s="464"/>
      <c r="CU344" s="464"/>
      <c r="CV344" s="465"/>
      <c r="CW344" s="457"/>
      <c r="CX344" s="464"/>
      <c r="CY344" s="466"/>
      <c r="CZ344" s="465"/>
      <c r="DA344" s="457"/>
      <c r="DB344" s="464"/>
      <c r="DC344" s="466"/>
      <c r="DD344" s="465"/>
      <c r="DE344" s="457"/>
      <c r="DF344" s="464"/>
      <c r="DG344" s="466"/>
      <c r="DH344" s="465"/>
      <c r="DI344" s="457"/>
      <c r="DJ344" s="464"/>
      <c r="DK344" s="466"/>
      <c r="DL344" s="465"/>
      <c r="DM344" s="457"/>
      <c r="DN344" s="464"/>
      <c r="DO344" s="466"/>
      <c r="DP344" s="465"/>
      <c r="DQ344" s="457"/>
      <c r="DR344" s="464"/>
      <c r="DS344" s="466"/>
      <c r="DT344" s="465"/>
      <c r="DU344" s="457"/>
      <c r="DV344" s="464"/>
      <c r="DW344" s="466"/>
      <c r="DX344" s="465"/>
      <c r="DY344" s="457"/>
      <c r="DZ344" s="464"/>
      <c r="EA344" s="466"/>
      <c r="EB344" s="465"/>
      <c r="EC344" s="457"/>
      <c r="ED344" s="464"/>
      <c r="EE344" s="466"/>
      <c r="EF344" s="459"/>
      <c r="EG344" s="450"/>
      <c r="EH344" s="460">
        <f t="shared" si="200"/>
        <v>0</v>
      </c>
      <c r="EI344" s="460">
        <f t="shared" si="201"/>
        <v>0</v>
      </c>
      <c r="EJ344" s="458">
        <f t="shared" si="202"/>
        <v>0</v>
      </c>
      <c r="EK344" s="470">
        <f t="shared" si="203"/>
        <v>0</v>
      </c>
      <c r="EL344" s="470">
        <f t="shared" si="204"/>
        <v>0</v>
      </c>
      <c r="EM344" s="449">
        <f t="shared" si="205"/>
        <v>0</v>
      </c>
      <c r="EN344" s="460">
        <f t="shared" si="206"/>
        <v>0</v>
      </c>
      <c r="EO344" s="469">
        <f t="shared" si="207"/>
        <v>0</v>
      </c>
      <c r="EP344" s="471"/>
      <c r="EQ344" s="450"/>
      <c r="ER344" s="471"/>
      <c r="ES344" s="450"/>
      <c r="ET344" s="471"/>
      <c r="EU344" s="450"/>
      <c r="EV344" s="471"/>
      <c r="EW344" s="450"/>
      <c r="EX344" s="471"/>
      <c r="EY344" s="450"/>
      <c r="EZ344" s="471"/>
      <c r="FA344" s="450"/>
      <c r="FB344" s="471"/>
      <c r="FC344" s="450"/>
      <c r="FD344" s="471"/>
      <c r="FE344" s="450"/>
      <c r="FF344" s="471"/>
      <c r="FG344" s="450"/>
      <c r="FH344" s="472"/>
      <c r="FI344" s="450"/>
      <c r="FJ344" s="468">
        <f t="shared" si="208"/>
        <v>0</v>
      </c>
      <c r="FK344" s="469">
        <f t="shared" si="209"/>
        <v>0</v>
      </c>
      <c r="FL344" s="472"/>
      <c r="FM344" s="450"/>
      <c r="FN344" s="460">
        <f t="shared" si="210"/>
        <v>452</v>
      </c>
      <c r="FO344" s="469">
        <f t="shared" si="211"/>
        <v>490</v>
      </c>
    </row>
    <row r="345" spans="1:171" x14ac:dyDescent="0.2">
      <c r="A345" s="668" t="s">
        <v>264</v>
      </c>
      <c r="B345" s="669" t="s">
        <v>1046</v>
      </c>
      <c r="C345" s="670"/>
      <c r="D345" s="671">
        <v>199838</v>
      </c>
      <c r="E345" s="565">
        <v>9</v>
      </c>
      <c r="F345" s="532">
        <v>259</v>
      </c>
      <c r="G345" s="628">
        <v>201</v>
      </c>
      <c r="H345" s="457"/>
      <c r="I345" s="450"/>
      <c r="J345" s="457">
        <v>326</v>
      </c>
      <c r="K345" s="450">
        <v>326</v>
      </c>
      <c r="L345" s="458">
        <f t="shared" si="188"/>
        <v>0</v>
      </c>
      <c r="M345" s="449">
        <f t="shared" si="189"/>
        <v>0</v>
      </c>
      <c r="N345" s="459"/>
      <c r="O345" s="459"/>
      <c r="P345" s="459"/>
      <c r="Q345" s="459"/>
      <c r="R345" s="460">
        <f t="shared" si="190"/>
        <v>0</v>
      </c>
      <c r="S345" s="461"/>
      <c r="T345" s="461"/>
      <c r="U345" s="461"/>
      <c r="V345" s="461"/>
      <c r="W345" s="462">
        <f t="shared" si="191"/>
        <v>0</v>
      </c>
      <c r="X345" s="463"/>
      <c r="Y345" s="457"/>
      <c r="Z345" s="464"/>
      <c r="AA345" s="464"/>
      <c r="AB345" s="465"/>
      <c r="AC345" s="457"/>
      <c r="AD345" s="464"/>
      <c r="AE345" s="466"/>
      <c r="AF345" s="465"/>
      <c r="AG345" s="457"/>
      <c r="AH345" s="464"/>
      <c r="AI345" s="466"/>
      <c r="AJ345" s="465"/>
      <c r="AK345" s="457"/>
      <c r="AL345" s="464"/>
      <c r="AM345" s="466"/>
      <c r="AN345" s="465"/>
      <c r="AO345" s="457"/>
      <c r="AP345" s="464"/>
      <c r="AQ345" s="464"/>
      <c r="AR345" s="460">
        <f t="shared" si="192"/>
        <v>0</v>
      </c>
      <c r="AS345" s="467">
        <f t="shared" si="193"/>
        <v>0</v>
      </c>
      <c r="AT345" s="447">
        <f t="shared" si="194"/>
        <v>0</v>
      </c>
      <c r="AU345" s="448">
        <f t="shared" si="195"/>
        <v>0</v>
      </c>
      <c r="AV345" s="457"/>
      <c r="AW345" s="628"/>
      <c r="AX345" s="463"/>
      <c r="AY345" s="457"/>
      <c r="AZ345" s="464"/>
      <c r="BA345" s="464"/>
      <c r="BB345" s="465"/>
      <c r="BC345" s="457"/>
      <c r="BD345" s="464"/>
      <c r="BE345" s="466"/>
      <c r="BF345" s="465"/>
      <c r="BG345" s="457"/>
      <c r="BH345" s="464"/>
      <c r="BI345" s="466"/>
      <c r="BJ345" s="465"/>
      <c r="BK345" s="457"/>
      <c r="BL345" s="464"/>
      <c r="BM345" s="466"/>
      <c r="BN345" s="465"/>
      <c r="BO345" s="457"/>
      <c r="BP345" s="464"/>
      <c r="BQ345" s="466"/>
      <c r="BR345" s="465"/>
      <c r="BS345" s="457"/>
      <c r="BT345" s="464"/>
      <c r="BU345" s="466"/>
      <c r="BV345" s="465"/>
      <c r="BW345" s="457"/>
      <c r="BX345" s="464"/>
      <c r="BY345" s="466"/>
      <c r="BZ345" s="465"/>
      <c r="CA345" s="457"/>
      <c r="CB345" s="464"/>
      <c r="CC345" s="466"/>
      <c r="CD345" s="465"/>
      <c r="CE345" s="457"/>
      <c r="CF345" s="464"/>
      <c r="CG345" s="466"/>
      <c r="CH345" s="465"/>
      <c r="CI345" s="457"/>
      <c r="CJ345" s="464"/>
      <c r="CK345" s="466"/>
      <c r="CL345" s="459"/>
      <c r="CM345" s="450"/>
      <c r="CN345" s="468">
        <f t="shared" si="196"/>
        <v>0</v>
      </c>
      <c r="CO345" s="468">
        <f t="shared" si="197"/>
        <v>0</v>
      </c>
      <c r="CP345" s="469">
        <f t="shared" si="198"/>
        <v>0</v>
      </c>
      <c r="CQ345" s="469">
        <f t="shared" si="199"/>
        <v>0</v>
      </c>
      <c r="CR345" s="463"/>
      <c r="CS345" s="457"/>
      <c r="CT345" s="464"/>
      <c r="CU345" s="464"/>
      <c r="CV345" s="465"/>
      <c r="CW345" s="457"/>
      <c r="CX345" s="464"/>
      <c r="CY345" s="466"/>
      <c r="CZ345" s="465"/>
      <c r="DA345" s="457"/>
      <c r="DB345" s="464"/>
      <c r="DC345" s="466"/>
      <c r="DD345" s="465"/>
      <c r="DE345" s="457"/>
      <c r="DF345" s="464"/>
      <c r="DG345" s="466"/>
      <c r="DH345" s="465"/>
      <c r="DI345" s="457"/>
      <c r="DJ345" s="464"/>
      <c r="DK345" s="466"/>
      <c r="DL345" s="465"/>
      <c r="DM345" s="457"/>
      <c r="DN345" s="464"/>
      <c r="DO345" s="466"/>
      <c r="DP345" s="465"/>
      <c r="DQ345" s="457"/>
      <c r="DR345" s="464"/>
      <c r="DS345" s="466"/>
      <c r="DT345" s="465"/>
      <c r="DU345" s="457"/>
      <c r="DV345" s="464"/>
      <c r="DW345" s="466"/>
      <c r="DX345" s="465"/>
      <c r="DY345" s="457"/>
      <c r="DZ345" s="464"/>
      <c r="EA345" s="466"/>
      <c r="EB345" s="465"/>
      <c r="EC345" s="457"/>
      <c r="ED345" s="464"/>
      <c r="EE345" s="466"/>
      <c r="EF345" s="459"/>
      <c r="EG345" s="450"/>
      <c r="EH345" s="460">
        <f t="shared" si="200"/>
        <v>0</v>
      </c>
      <c r="EI345" s="460">
        <f t="shared" si="201"/>
        <v>0</v>
      </c>
      <c r="EJ345" s="458">
        <f t="shared" si="202"/>
        <v>0</v>
      </c>
      <c r="EK345" s="470">
        <f t="shared" si="203"/>
        <v>0</v>
      </c>
      <c r="EL345" s="470">
        <f t="shared" si="204"/>
        <v>0</v>
      </c>
      <c r="EM345" s="449">
        <f t="shared" si="205"/>
        <v>0</v>
      </c>
      <c r="EN345" s="460">
        <f t="shared" si="206"/>
        <v>0</v>
      </c>
      <c r="EO345" s="469">
        <f t="shared" si="207"/>
        <v>0</v>
      </c>
      <c r="EP345" s="471"/>
      <c r="EQ345" s="450"/>
      <c r="ER345" s="471"/>
      <c r="ES345" s="450"/>
      <c r="ET345" s="471"/>
      <c r="EU345" s="450"/>
      <c r="EV345" s="471"/>
      <c r="EW345" s="450"/>
      <c r="EX345" s="471"/>
      <c r="EY345" s="450"/>
      <c r="EZ345" s="471"/>
      <c r="FA345" s="450"/>
      <c r="FB345" s="471"/>
      <c r="FC345" s="450"/>
      <c r="FD345" s="471"/>
      <c r="FE345" s="450"/>
      <c r="FF345" s="471"/>
      <c r="FG345" s="450"/>
      <c r="FH345" s="472"/>
      <c r="FI345" s="450"/>
      <c r="FJ345" s="468">
        <f t="shared" si="208"/>
        <v>0</v>
      </c>
      <c r="FK345" s="469">
        <f t="shared" si="209"/>
        <v>0</v>
      </c>
      <c r="FL345" s="472"/>
      <c r="FM345" s="450"/>
      <c r="FN345" s="460">
        <f t="shared" si="210"/>
        <v>585</v>
      </c>
      <c r="FO345" s="469">
        <f t="shared" si="211"/>
        <v>527</v>
      </c>
    </row>
    <row r="346" spans="1:171" x14ac:dyDescent="0.2">
      <c r="A346" s="668" t="s">
        <v>264</v>
      </c>
      <c r="B346" s="669" t="s">
        <v>1047</v>
      </c>
      <c r="C346" s="670"/>
      <c r="D346" s="671">
        <v>199892</v>
      </c>
      <c r="E346" s="565">
        <v>9</v>
      </c>
      <c r="F346" s="532">
        <v>262</v>
      </c>
      <c r="G346" s="628">
        <v>195</v>
      </c>
      <c r="H346" s="457"/>
      <c r="I346" s="450"/>
      <c r="J346" s="457">
        <v>371</v>
      </c>
      <c r="K346" s="450">
        <v>470</v>
      </c>
      <c r="L346" s="458">
        <f t="shared" si="188"/>
        <v>0</v>
      </c>
      <c r="M346" s="449">
        <f t="shared" si="189"/>
        <v>0</v>
      </c>
      <c r="N346" s="459"/>
      <c r="O346" s="459"/>
      <c r="P346" s="459"/>
      <c r="Q346" s="459"/>
      <c r="R346" s="460">
        <f t="shared" si="190"/>
        <v>0</v>
      </c>
      <c r="S346" s="461"/>
      <c r="T346" s="461"/>
      <c r="U346" s="461"/>
      <c r="V346" s="461"/>
      <c r="W346" s="462">
        <f t="shared" si="191"/>
        <v>0</v>
      </c>
      <c r="X346" s="463"/>
      <c r="Y346" s="457"/>
      <c r="Z346" s="464"/>
      <c r="AA346" s="464"/>
      <c r="AB346" s="465"/>
      <c r="AC346" s="457"/>
      <c r="AD346" s="464"/>
      <c r="AE346" s="466"/>
      <c r="AF346" s="465"/>
      <c r="AG346" s="457"/>
      <c r="AH346" s="464"/>
      <c r="AI346" s="466"/>
      <c r="AJ346" s="465"/>
      <c r="AK346" s="457"/>
      <c r="AL346" s="464"/>
      <c r="AM346" s="466"/>
      <c r="AN346" s="465"/>
      <c r="AO346" s="457"/>
      <c r="AP346" s="464"/>
      <c r="AQ346" s="464"/>
      <c r="AR346" s="460">
        <f t="shared" si="192"/>
        <v>0</v>
      </c>
      <c r="AS346" s="467">
        <f t="shared" si="193"/>
        <v>0</v>
      </c>
      <c r="AT346" s="447">
        <f t="shared" si="194"/>
        <v>0</v>
      </c>
      <c r="AU346" s="448">
        <f t="shared" si="195"/>
        <v>0</v>
      </c>
      <c r="AV346" s="457"/>
      <c r="AW346" s="628"/>
      <c r="AX346" s="463"/>
      <c r="AY346" s="457"/>
      <c r="AZ346" s="464"/>
      <c r="BA346" s="464"/>
      <c r="BB346" s="465"/>
      <c r="BC346" s="457"/>
      <c r="BD346" s="464"/>
      <c r="BE346" s="466"/>
      <c r="BF346" s="465"/>
      <c r="BG346" s="457"/>
      <c r="BH346" s="464"/>
      <c r="BI346" s="466"/>
      <c r="BJ346" s="465"/>
      <c r="BK346" s="457"/>
      <c r="BL346" s="464"/>
      <c r="BM346" s="466"/>
      <c r="BN346" s="465"/>
      <c r="BO346" s="457"/>
      <c r="BP346" s="464"/>
      <c r="BQ346" s="466"/>
      <c r="BR346" s="465"/>
      <c r="BS346" s="457"/>
      <c r="BT346" s="464"/>
      <c r="BU346" s="466"/>
      <c r="BV346" s="465"/>
      <c r="BW346" s="457"/>
      <c r="BX346" s="464"/>
      <c r="BY346" s="466"/>
      <c r="BZ346" s="465"/>
      <c r="CA346" s="457"/>
      <c r="CB346" s="464"/>
      <c r="CC346" s="466"/>
      <c r="CD346" s="465"/>
      <c r="CE346" s="457"/>
      <c r="CF346" s="464"/>
      <c r="CG346" s="466"/>
      <c r="CH346" s="465"/>
      <c r="CI346" s="457"/>
      <c r="CJ346" s="464"/>
      <c r="CK346" s="466"/>
      <c r="CL346" s="459"/>
      <c r="CM346" s="450"/>
      <c r="CN346" s="468">
        <f t="shared" si="196"/>
        <v>0</v>
      </c>
      <c r="CO346" s="468">
        <f t="shared" si="197"/>
        <v>0</v>
      </c>
      <c r="CP346" s="469">
        <f t="shared" si="198"/>
        <v>0</v>
      </c>
      <c r="CQ346" s="469">
        <f t="shared" si="199"/>
        <v>0</v>
      </c>
      <c r="CR346" s="463"/>
      <c r="CS346" s="457"/>
      <c r="CT346" s="464"/>
      <c r="CU346" s="464"/>
      <c r="CV346" s="465"/>
      <c r="CW346" s="457"/>
      <c r="CX346" s="464"/>
      <c r="CY346" s="466"/>
      <c r="CZ346" s="465"/>
      <c r="DA346" s="457"/>
      <c r="DB346" s="464"/>
      <c r="DC346" s="466"/>
      <c r="DD346" s="465"/>
      <c r="DE346" s="457"/>
      <c r="DF346" s="464"/>
      <c r="DG346" s="466"/>
      <c r="DH346" s="465"/>
      <c r="DI346" s="457"/>
      <c r="DJ346" s="464"/>
      <c r="DK346" s="466"/>
      <c r="DL346" s="465"/>
      <c r="DM346" s="457"/>
      <c r="DN346" s="464"/>
      <c r="DO346" s="466"/>
      <c r="DP346" s="465"/>
      <c r="DQ346" s="457"/>
      <c r="DR346" s="464"/>
      <c r="DS346" s="466"/>
      <c r="DT346" s="465"/>
      <c r="DU346" s="457"/>
      <c r="DV346" s="464"/>
      <c r="DW346" s="466"/>
      <c r="DX346" s="465"/>
      <c r="DY346" s="457"/>
      <c r="DZ346" s="464"/>
      <c r="EA346" s="466"/>
      <c r="EB346" s="465"/>
      <c r="EC346" s="457"/>
      <c r="ED346" s="464"/>
      <c r="EE346" s="466"/>
      <c r="EF346" s="459"/>
      <c r="EG346" s="450"/>
      <c r="EH346" s="460">
        <f t="shared" si="200"/>
        <v>0</v>
      </c>
      <c r="EI346" s="460">
        <f t="shared" si="201"/>
        <v>0</v>
      </c>
      <c r="EJ346" s="458">
        <f t="shared" si="202"/>
        <v>0</v>
      </c>
      <c r="EK346" s="470">
        <f t="shared" si="203"/>
        <v>0</v>
      </c>
      <c r="EL346" s="470">
        <f t="shared" si="204"/>
        <v>0</v>
      </c>
      <c r="EM346" s="449">
        <f t="shared" si="205"/>
        <v>0</v>
      </c>
      <c r="EN346" s="460">
        <f t="shared" si="206"/>
        <v>0</v>
      </c>
      <c r="EO346" s="469">
        <f t="shared" si="207"/>
        <v>0</v>
      </c>
      <c r="EP346" s="471"/>
      <c r="EQ346" s="450"/>
      <c r="ER346" s="471"/>
      <c r="ES346" s="450"/>
      <c r="ET346" s="471"/>
      <c r="EU346" s="450"/>
      <c r="EV346" s="471"/>
      <c r="EW346" s="450"/>
      <c r="EX346" s="471"/>
      <c r="EY346" s="450"/>
      <c r="EZ346" s="471"/>
      <c r="FA346" s="450"/>
      <c r="FB346" s="471"/>
      <c r="FC346" s="450"/>
      <c r="FD346" s="471"/>
      <c r="FE346" s="450"/>
      <c r="FF346" s="471"/>
      <c r="FG346" s="450"/>
      <c r="FH346" s="472"/>
      <c r="FI346" s="450"/>
      <c r="FJ346" s="468">
        <f t="shared" si="208"/>
        <v>0</v>
      </c>
      <c r="FK346" s="469">
        <f t="shared" si="209"/>
        <v>0</v>
      </c>
      <c r="FL346" s="472"/>
      <c r="FM346" s="450"/>
      <c r="FN346" s="460">
        <f t="shared" si="210"/>
        <v>633</v>
      </c>
      <c r="FO346" s="469">
        <f t="shared" si="211"/>
        <v>665</v>
      </c>
    </row>
    <row r="347" spans="1:171" x14ac:dyDescent="0.2">
      <c r="A347" s="668" t="s">
        <v>264</v>
      </c>
      <c r="B347" s="669" t="s">
        <v>1048</v>
      </c>
      <c r="C347" s="670"/>
      <c r="D347" s="671">
        <v>199908</v>
      </c>
      <c r="E347" s="565">
        <v>9</v>
      </c>
      <c r="F347" s="532">
        <v>161</v>
      </c>
      <c r="G347" s="628">
        <v>96</v>
      </c>
      <c r="H347" s="457"/>
      <c r="I347" s="450"/>
      <c r="J347" s="457">
        <v>456</v>
      </c>
      <c r="K347" s="450">
        <v>463</v>
      </c>
      <c r="L347" s="458">
        <f t="shared" si="188"/>
        <v>0</v>
      </c>
      <c r="M347" s="449">
        <f t="shared" si="189"/>
        <v>0</v>
      </c>
      <c r="N347" s="459"/>
      <c r="O347" s="459"/>
      <c r="P347" s="459"/>
      <c r="Q347" s="459"/>
      <c r="R347" s="460">
        <f t="shared" si="190"/>
        <v>0</v>
      </c>
      <c r="S347" s="461"/>
      <c r="T347" s="461"/>
      <c r="U347" s="461"/>
      <c r="V347" s="461"/>
      <c r="W347" s="462">
        <f t="shared" si="191"/>
        <v>0</v>
      </c>
      <c r="X347" s="463"/>
      <c r="Y347" s="457"/>
      <c r="Z347" s="464"/>
      <c r="AA347" s="464"/>
      <c r="AB347" s="465"/>
      <c r="AC347" s="457"/>
      <c r="AD347" s="464"/>
      <c r="AE347" s="466"/>
      <c r="AF347" s="465"/>
      <c r="AG347" s="457"/>
      <c r="AH347" s="464"/>
      <c r="AI347" s="466"/>
      <c r="AJ347" s="465"/>
      <c r="AK347" s="457"/>
      <c r="AL347" s="464"/>
      <c r="AM347" s="466"/>
      <c r="AN347" s="465"/>
      <c r="AO347" s="457"/>
      <c r="AP347" s="464"/>
      <c r="AQ347" s="464"/>
      <c r="AR347" s="460">
        <f t="shared" si="192"/>
        <v>0</v>
      </c>
      <c r="AS347" s="467">
        <f t="shared" si="193"/>
        <v>0</v>
      </c>
      <c r="AT347" s="447">
        <f t="shared" si="194"/>
        <v>0</v>
      </c>
      <c r="AU347" s="448">
        <f t="shared" si="195"/>
        <v>0</v>
      </c>
      <c r="AV347" s="457"/>
      <c r="AW347" s="628"/>
      <c r="AX347" s="463"/>
      <c r="AY347" s="457"/>
      <c r="AZ347" s="464"/>
      <c r="BA347" s="464"/>
      <c r="BB347" s="465"/>
      <c r="BC347" s="457"/>
      <c r="BD347" s="464"/>
      <c r="BE347" s="466"/>
      <c r="BF347" s="465"/>
      <c r="BG347" s="457"/>
      <c r="BH347" s="464"/>
      <c r="BI347" s="466"/>
      <c r="BJ347" s="465"/>
      <c r="BK347" s="457"/>
      <c r="BL347" s="464"/>
      <c r="BM347" s="466"/>
      <c r="BN347" s="465"/>
      <c r="BO347" s="457"/>
      <c r="BP347" s="464"/>
      <c r="BQ347" s="466"/>
      <c r="BR347" s="465"/>
      <c r="BS347" s="457"/>
      <c r="BT347" s="464"/>
      <c r="BU347" s="466"/>
      <c r="BV347" s="465"/>
      <c r="BW347" s="457"/>
      <c r="BX347" s="464"/>
      <c r="BY347" s="466"/>
      <c r="BZ347" s="465"/>
      <c r="CA347" s="457"/>
      <c r="CB347" s="464"/>
      <c r="CC347" s="466"/>
      <c r="CD347" s="465"/>
      <c r="CE347" s="457"/>
      <c r="CF347" s="464"/>
      <c r="CG347" s="466"/>
      <c r="CH347" s="465"/>
      <c r="CI347" s="457"/>
      <c r="CJ347" s="464"/>
      <c r="CK347" s="466"/>
      <c r="CL347" s="459"/>
      <c r="CM347" s="450"/>
      <c r="CN347" s="468">
        <f t="shared" si="196"/>
        <v>0</v>
      </c>
      <c r="CO347" s="468">
        <f t="shared" si="197"/>
        <v>0</v>
      </c>
      <c r="CP347" s="469">
        <f t="shared" si="198"/>
        <v>0</v>
      </c>
      <c r="CQ347" s="469">
        <f t="shared" si="199"/>
        <v>0</v>
      </c>
      <c r="CR347" s="463"/>
      <c r="CS347" s="457"/>
      <c r="CT347" s="464"/>
      <c r="CU347" s="464"/>
      <c r="CV347" s="465"/>
      <c r="CW347" s="457"/>
      <c r="CX347" s="464"/>
      <c r="CY347" s="466"/>
      <c r="CZ347" s="465"/>
      <c r="DA347" s="457"/>
      <c r="DB347" s="464"/>
      <c r="DC347" s="466"/>
      <c r="DD347" s="465"/>
      <c r="DE347" s="457"/>
      <c r="DF347" s="464"/>
      <c r="DG347" s="466"/>
      <c r="DH347" s="465"/>
      <c r="DI347" s="457"/>
      <c r="DJ347" s="464"/>
      <c r="DK347" s="466"/>
      <c r="DL347" s="465"/>
      <c r="DM347" s="457"/>
      <c r="DN347" s="464"/>
      <c r="DO347" s="466"/>
      <c r="DP347" s="465"/>
      <c r="DQ347" s="457"/>
      <c r="DR347" s="464"/>
      <c r="DS347" s="466"/>
      <c r="DT347" s="465"/>
      <c r="DU347" s="457"/>
      <c r="DV347" s="464"/>
      <c r="DW347" s="466"/>
      <c r="DX347" s="465"/>
      <c r="DY347" s="457"/>
      <c r="DZ347" s="464"/>
      <c r="EA347" s="466"/>
      <c r="EB347" s="465"/>
      <c r="EC347" s="457"/>
      <c r="ED347" s="464"/>
      <c r="EE347" s="466"/>
      <c r="EF347" s="459"/>
      <c r="EG347" s="450"/>
      <c r="EH347" s="460">
        <f t="shared" si="200"/>
        <v>0</v>
      </c>
      <c r="EI347" s="460">
        <f t="shared" si="201"/>
        <v>0</v>
      </c>
      <c r="EJ347" s="458">
        <f t="shared" si="202"/>
        <v>0</v>
      </c>
      <c r="EK347" s="470">
        <f t="shared" si="203"/>
        <v>0</v>
      </c>
      <c r="EL347" s="470">
        <f t="shared" si="204"/>
        <v>0</v>
      </c>
      <c r="EM347" s="449">
        <f t="shared" si="205"/>
        <v>0</v>
      </c>
      <c r="EN347" s="460">
        <f t="shared" si="206"/>
        <v>0</v>
      </c>
      <c r="EO347" s="469">
        <f t="shared" si="207"/>
        <v>0</v>
      </c>
      <c r="EP347" s="471"/>
      <c r="EQ347" s="450"/>
      <c r="ER347" s="471"/>
      <c r="ES347" s="450"/>
      <c r="ET347" s="471"/>
      <c r="EU347" s="450"/>
      <c r="EV347" s="471"/>
      <c r="EW347" s="450"/>
      <c r="EX347" s="471"/>
      <c r="EY347" s="450"/>
      <c r="EZ347" s="471"/>
      <c r="FA347" s="450"/>
      <c r="FB347" s="471"/>
      <c r="FC347" s="450"/>
      <c r="FD347" s="471"/>
      <c r="FE347" s="450"/>
      <c r="FF347" s="471"/>
      <c r="FG347" s="450"/>
      <c r="FH347" s="472"/>
      <c r="FI347" s="450"/>
      <c r="FJ347" s="468">
        <f t="shared" si="208"/>
        <v>0</v>
      </c>
      <c r="FK347" s="469">
        <f t="shared" si="209"/>
        <v>0</v>
      </c>
      <c r="FL347" s="472"/>
      <c r="FM347" s="450"/>
      <c r="FN347" s="460">
        <f t="shared" si="210"/>
        <v>617</v>
      </c>
      <c r="FO347" s="469">
        <f t="shared" si="211"/>
        <v>559</v>
      </c>
    </row>
    <row r="348" spans="1:171" x14ac:dyDescent="0.2">
      <c r="A348" s="668" t="s">
        <v>264</v>
      </c>
      <c r="B348" s="669" t="s">
        <v>1049</v>
      </c>
      <c r="C348" s="670"/>
      <c r="D348" s="671">
        <v>199926</v>
      </c>
      <c r="E348" s="565">
        <v>9</v>
      </c>
      <c r="F348" s="532">
        <v>154</v>
      </c>
      <c r="G348" s="628">
        <v>190</v>
      </c>
      <c r="H348" s="457"/>
      <c r="I348" s="450"/>
      <c r="J348" s="457">
        <v>338</v>
      </c>
      <c r="K348" s="450">
        <v>340</v>
      </c>
      <c r="L348" s="458">
        <f t="shared" si="188"/>
        <v>0</v>
      </c>
      <c r="M348" s="449">
        <f t="shared" si="189"/>
        <v>0</v>
      </c>
      <c r="N348" s="459"/>
      <c r="O348" s="459"/>
      <c r="P348" s="459"/>
      <c r="Q348" s="459"/>
      <c r="R348" s="460">
        <f t="shared" si="190"/>
        <v>0</v>
      </c>
      <c r="S348" s="461"/>
      <c r="T348" s="461"/>
      <c r="U348" s="461"/>
      <c r="V348" s="461"/>
      <c r="W348" s="462">
        <f t="shared" si="191"/>
        <v>0</v>
      </c>
      <c r="X348" s="463"/>
      <c r="Y348" s="457"/>
      <c r="Z348" s="464"/>
      <c r="AA348" s="464"/>
      <c r="AB348" s="465"/>
      <c r="AC348" s="457"/>
      <c r="AD348" s="464"/>
      <c r="AE348" s="466"/>
      <c r="AF348" s="465"/>
      <c r="AG348" s="457"/>
      <c r="AH348" s="464"/>
      <c r="AI348" s="466"/>
      <c r="AJ348" s="465"/>
      <c r="AK348" s="457"/>
      <c r="AL348" s="464"/>
      <c r="AM348" s="466"/>
      <c r="AN348" s="465"/>
      <c r="AO348" s="457"/>
      <c r="AP348" s="464"/>
      <c r="AQ348" s="464"/>
      <c r="AR348" s="460">
        <f t="shared" si="192"/>
        <v>0</v>
      </c>
      <c r="AS348" s="467">
        <f t="shared" si="193"/>
        <v>0</v>
      </c>
      <c r="AT348" s="447">
        <f t="shared" si="194"/>
        <v>0</v>
      </c>
      <c r="AU348" s="448">
        <f t="shared" si="195"/>
        <v>0</v>
      </c>
      <c r="AV348" s="457"/>
      <c r="AW348" s="628"/>
      <c r="AX348" s="463"/>
      <c r="AY348" s="457"/>
      <c r="AZ348" s="464"/>
      <c r="BA348" s="464"/>
      <c r="BB348" s="465"/>
      <c r="BC348" s="457"/>
      <c r="BD348" s="464"/>
      <c r="BE348" s="466"/>
      <c r="BF348" s="465"/>
      <c r="BG348" s="457"/>
      <c r="BH348" s="464"/>
      <c r="BI348" s="466"/>
      <c r="BJ348" s="465"/>
      <c r="BK348" s="457"/>
      <c r="BL348" s="464"/>
      <c r="BM348" s="466"/>
      <c r="BN348" s="465"/>
      <c r="BO348" s="457"/>
      <c r="BP348" s="464"/>
      <c r="BQ348" s="466"/>
      <c r="BR348" s="465"/>
      <c r="BS348" s="457"/>
      <c r="BT348" s="464"/>
      <c r="BU348" s="466"/>
      <c r="BV348" s="465"/>
      <c r="BW348" s="457"/>
      <c r="BX348" s="464"/>
      <c r="BY348" s="466"/>
      <c r="BZ348" s="465"/>
      <c r="CA348" s="457"/>
      <c r="CB348" s="464"/>
      <c r="CC348" s="466"/>
      <c r="CD348" s="465"/>
      <c r="CE348" s="457"/>
      <c r="CF348" s="464"/>
      <c r="CG348" s="466"/>
      <c r="CH348" s="465"/>
      <c r="CI348" s="457"/>
      <c r="CJ348" s="464"/>
      <c r="CK348" s="466"/>
      <c r="CL348" s="459"/>
      <c r="CM348" s="450"/>
      <c r="CN348" s="468">
        <f t="shared" si="196"/>
        <v>0</v>
      </c>
      <c r="CO348" s="468">
        <f t="shared" si="197"/>
        <v>0</v>
      </c>
      <c r="CP348" s="469">
        <f t="shared" si="198"/>
        <v>0</v>
      </c>
      <c r="CQ348" s="469">
        <f t="shared" si="199"/>
        <v>0</v>
      </c>
      <c r="CR348" s="463"/>
      <c r="CS348" s="457"/>
      <c r="CT348" s="464"/>
      <c r="CU348" s="464"/>
      <c r="CV348" s="465"/>
      <c r="CW348" s="457"/>
      <c r="CX348" s="464"/>
      <c r="CY348" s="466"/>
      <c r="CZ348" s="465"/>
      <c r="DA348" s="457"/>
      <c r="DB348" s="464"/>
      <c r="DC348" s="466"/>
      <c r="DD348" s="465"/>
      <c r="DE348" s="457"/>
      <c r="DF348" s="464"/>
      <c r="DG348" s="466"/>
      <c r="DH348" s="465"/>
      <c r="DI348" s="457"/>
      <c r="DJ348" s="464"/>
      <c r="DK348" s="466"/>
      <c r="DL348" s="465"/>
      <c r="DM348" s="457"/>
      <c r="DN348" s="464"/>
      <c r="DO348" s="466"/>
      <c r="DP348" s="465"/>
      <c r="DQ348" s="457"/>
      <c r="DR348" s="464"/>
      <c r="DS348" s="466"/>
      <c r="DT348" s="465"/>
      <c r="DU348" s="457"/>
      <c r="DV348" s="464"/>
      <c r="DW348" s="466"/>
      <c r="DX348" s="465"/>
      <c r="DY348" s="457"/>
      <c r="DZ348" s="464"/>
      <c r="EA348" s="466"/>
      <c r="EB348" s="465"/>
      <c r="EC348" s="457"/>
      <c r="ED348" s="464"/>
      <c r="EE348" s="466"/>
      <c r="EF348" s="459"/>
      <c r="EG348" s="450"/>
      <c r="EH348" s="460">
        <f t="shared" si="200"/>
        <v>0</v>
      </c>
      <c r="EI348" s="460">
        <f t="shared" si="201"/>
        <v>0</v>
      </c>
      <c r="EJ348" s="458">
        <f t="shared" si="202"/>
        <v>0</v>
      </c>
      <c r="EK348" s="470">
        <f t="shared" si="203"/>
        <v>0</v>
      </c>
      <c r="EL348" s="470">
        <f t="shared" si="204"/>
        <v>0</v>
      </c>
      <c r="EM348" s="449">
        <f t="shared" si="205"/>
        <v>0</v>
      </c>
      <c r="EN348" s="460">
        <f t="shared" si="206"/>
        <v>0</v>
      </c>
      <c r="EO348" s="469">
        <f t="shared" si="207"/>
        <v>0</v>
      </c>
      <c r="EP348" s="471"/>
      <c r="EQ348" s="450"/>
      <c r="ER348" s="471"/>
      <c r="ES348" s="450"/>
      <c r="ET348" s="471"/>
      <c r="EU348" s="450"/>
      <c r="EV348" s="471"/>
      <c r="EW348" s="450"/>
      <c r="EX348" s="471"/>
      <c r="EY348" s="450"/>
      <c r="EZ348" s="471"/>
      <c r="FA348" s="450"/>
      <c r="FB348" s="471"/>
      <c r="FC348" s="450"/>
      <c r="FD348" s="471"/>
      <c r="FE348" s="450"/>
      <c r="FF348" s="471"/>
      <c r="FG348" s="450"/>
      <c r="FH348" s="472"/>
      <c r="FI348" s="450"/>
      <c r="FJ348" s="468">
        <f t="shared" si="208"/>
        <v>0</v>
      </c>
      <c r="FK348" s="469">
        <f t="shared" si="209"/>
        <v>0</v>
      </c>
      <c r="FL348" s="472"/>
      <c r="FM348" s="450"/>
      <c r="FN348" s="460">
        <f t="shared" si="210"/>
        <v>492</v>
      </c>
      <c r="FO348" s="469">
        <f t="shared" si="211"/>
        <v>530</v>
      </c>
    </row>
    <row r="349" spans="1:171" x14ac:dyDescent="0.2">
      <c r="A349" s="675" t="s">
        <v>264</v>
      </c>
      <c r="B349" s="672" t="s">
        <v>1050</v>
      </c>
      <c r="C349" s="673"/>
      <c r="D349" s="671">
        <v>197966</v>
      </c>
      <c r="E349" s="565">
        <v>10</v>
      </c>
      <c r="F349" s="532">
        <v>58</v>
      </c>
      <c r="G349" s="852">
        <v>53</v>
      </c>
      <c r="H349" s="457">
        <f>SUM(F349:F371)</f>
        <v>3420</v>
      </c>
      <c r="I349" s="457">
        <f>SUM(G349:G371)</f>
        <v>2542</v>
      </c>
      <c r="J349" s="457">
        <v>142</v>
      </c>
      <c r="K349" s="450">
        <v>201</v>
      </c>
      <c r="L349" s="458">
        <f t="shared" si="188"/>
        <v>0</v>
      </c>
      <c r="M349" s="449">
        <f t="shared" si="189"/>
        <v>0</v>
      </c>
      <c r="N349" s="459"/>
      <c r="O349" s="459"/>
      <c r="P349" s="459"/>
      <c r="Q349" s="459"/>
      <c r="R349" s="460">
        <f t="shared" si="190"/>
        <v>0</v>
      </c>
      <c r="S349" s="461"/>
      <c r="T349" s="461"/>
      <c r="U349" s="461"/>
      <c r="V349" s="461"/>
      <c r="W349" s="462">
        <f t="shared" si="191"/>
        <v>0</v>
      </c>
      <c r="X349" s="463"/>
      <c r="Y349" s="457"/>
      <c r="Z349" s="464"/>
      <c r="AA349" s="464"/>
      <c r="AB349" s="465"/>
      <c r="AC349" s="457"/>
      <c r="AD349" s="464"/>
      <c r="AE349" s="466"/>
      <c r="AF349" s="465"/>
      <c r="AG349" s="457"/>
      <c r="AH349" s="464"/>
      <c r="AI349" s="466"/>
      <c r="AJ349" s="465"/>
      <c r="AK349" s="457"/>
      <c r="AL349" s="464"/>
      <c r="AM349" s="466"/>
      <c r="AN349" s="465"/>
      <c r="AO349" s="457"/>
      <c r="AP349" s="464"/>
      <c r="AQ349" s="464"/>
      <c r="AR349" s="460">
        <f t="shared" si="192"/>
        <v>0</v>
      </c>
      <c r="AS349" s="467">
        <f t="shared" si="193"/>
        <v>0</v>
      </c>
      <c r="AT349" s="447">
        <f t="shared" si="194"/>
        <v>0</v>
      </c>
      <c r="AU349" s="448">
        <f t="shared" si="195"/>
        <v>0</v>
      </c>
      <c r="AV349" s="457"/>
      <c r="AW349" s="628"/>
      <c r="AX349" s="463"/>
      <c r="AY349" s="457"/>
      <c r="AZ349" s="464"/>
      <c r="BA349" s="464"/>
      <c r="BB349" s="465"/>
      <c r="BC349" s="457"/>
      <c r="BD349" s="464"/>
      <c r="BE349" s="466"/>
      <c r="BF349" s="465"/>
      <c r="BG349" s="457"/>
      <c r="BH349" s="464"/>
      <c r="BI349" s="466"/>
      <c r="BJ349" s="465"/>
      <c r="BK349" s="457"/>
      <c r="BL349" s="464"/>
      <c r="BM349" s="466"/>
      <c r="BN349" s="465"/>
      <c r="BO349" s="457"/>
      <c r="BP349" s="464"/>
      <c r="BQ349" s="466"/>
      <c r="BR349" s="465"/>
      <c r="BS349" s="457"/>
      <c r="BT349" s="464"/>
      <c r="BU349" s="466"/>
      <c r="BV349" s="465"/>
      <c r="BW349" s="457"/>
      <c r="BX349" s="464"/>
      <c r="BY349" s="466"/>
      <c r="BZ349" s="465"/>
      <c r="CA349" s="457"/>
      <c r="CB349" s="464"/>
      <c r="CC349" s="466"/>
      <c r="CD349" s="465"/>
      <c r="CE349" s="457"/>
      <c r="CF349" s="464"/>
      <c r="CG349" s="466"/>
      <c r="CH349" s="465"/>
      <c r="CI349" s="457"/>
      <c r="CJ349" s="464"/>
      <c r="CK349" s="466"/>
      <c r="CL349" s="459"/>
      <c r="CM349" s="450"/>
      <c r="CN349" s="468">
        <f t="shared" si="196"/>
        <v>0</v>
      </c>
      <c r="CO349" s="468">
        <f t="shared" si="197"/>
        <v>0</v>
      </c>
      <c r="CP349" s="469">
        <f t="shared" si="198"/>
        <v>0</v>
      </c>
      <c r="CQ349" s="469">
        <f t="shared" si="199"/>
        <v>0</v>
      </c>
      <c r="CR349" s="463"/>
      <c r="CS349" s="457"/>
      <c r="CT349" s="464"/>
      <c r="CU349" s="464"/>
      <c r="CV349" s="465"/>
      <c r="CW349" s="457"/>
      <c r="CX349" s="464"/>
      <c r="CY349" s="466"/>
      <c r="CZ349" s="465"/>
      <c r="DA349" s="457"/>
      <c r="DB349" s="464"/>
      <c r="DC349" s="466"/>
      <c r="DD349" s="465"/>
      <c r="DE349" s="457"/>
      <c r="DF349" s="464"/>
      <c r="DG349" s="466"/>
      <c r="DH349" s="465"/>
      <c r="DI349" s="457"/>
      <c r="DJ349" s="464"/>
      <c r="DK349" s="466"/>
      <c r="DL349" s="465"/>
      <c r="DM349" s="457"/>
      <c r="DN349" s="464"/>
      <c r="DO349" s="466"/>
      <c r="DP349" s="465"/>
      <c r="DQ349" s="457"/>
      <c r="DR349" s="464"/>
      <c r="DS349" s="466"/>
      <c r="DT349" s="465"/>
      <c r="DU349" s="457"/>
      <c r="DV349" s="464"/>
      <c r="DW349" s="466"/>
      <c r="DX349" s="465"/>
      <c r="DY349" s="457"/>
      <c r="DZ349" s="464"/>
      <c r="EA349" s="466"/>
      <c r="EB349" s="465"/>
      <c r="EC349" s="457"/>
      <c r="ED349" s="464"/>
      <c r="EE349" s="466"/>
      <c r="EF349" s="459"/>
      <c r="EG349" s="450"/>
      <c r="EH349" s="460">
        <f t="shared" si="200"/>
        <v>0</v>
      </c>
      <c r="EI349" s="460">
        <f t="shared" si="201"/>
        <v>0</v>
      </c>
      <c r="EJ349" s="458">
        <f t="shared" si="202"/>
        <v>0</v>
      </c>
      <c r="EK349" s="470">
        <f t="shared" si="203"/>
        <v>0</v>
      </c>
      <c r="EL349" s="470">
        <f t="shared" si="204"/>
        <v>0</v>
      </c>
      <c r="EM349" s="449">
        <f t="shared" si="205"/>
        <v>0</v>
      </c>
      <c r="EN349" s="460">
        <f t="shared" si="206"/>
        <v>0</v>
      </c>
      <c r="EO349" s="469">
        <f t="shared" si="207"/>
        <v>0</v>
      </c>
      <c r="EP349" s="471"/>
      <c r="EQ349" s="450"/>
      <c r="ER349" s="471"/>
      <c r="ES349" s="450"/>
      <c r="ET349" s="471"/>
      <c r="EU349" s="450"/>
      <c r="EV349" s="471"/>
      <c r="EW349" s="450"/>
      <c r="EX349" s="471"/>
      <c r="EY349" s="450"/>
      <c r="EZ349" s="471"/>
      <c r="FA349" s="450"/>
      <c r="FB349" s="471"/>
      <c r="FC349" s="450"/>
      <c r="FD349" s="471"/>
      <c r="FE349" s="450"/>
      <c r="FF349" s="471"/>
      <c r="FG349" s="450"/>
      <c r="FH349" s="472"/>
      <c r="FI349" s="450"/>
      <c r="FJ349" s="468">
        <f t="shared" si="208"/>
        <v>0</v>
      </c>
      <c r="FK349" s="469">
        <f t="shared" si="209"/>
        <v>0</v>
      </c>
      <c r="FL349" s="472"/>
      <c r="FM349" s="450"/>
      <c r="FN349" s="460">
        <f t="shared" si="210"/>
        <v>3620</v>
      </c>
      <c r="FO349" s="469">
        <f t="shared" si="211"/>
        <v>2796</v>
      </c>
    </row>
    <row r="350" spans="1:171" x14ac:dyDescent="0.2">
      <c r="A350" s="668" t="s">
        <v>264</v>
      </c>
      <c r="B350" s="672" t="s">
        <v>1051</v>
      </c>
      <c r="C350" s="673"/>
      <c r="D350" s="671">
        <v>198011</v>
      </c>
      <c r="E350" s="565">
        <v>10</v>
      </c>
      <c r="F350" s="532">
        <v>92</v>
      </c>
      <c r="G350" s="852">
        <v>75</v>
      </c>
      <c r="H350" s="457"/>
      <c r="I350" s="450"/>
      <c r="J350" s="457">
        <v>140</v>
      </c>
      <c r="K350" s="450">
        <v>146</v>
      </c>
      <c r="L350" s="458">
        <f t="shared" si="188"/>
        <v>0</v>
      </c>
      <c r="M350" s="449">
        <f t="shared" si="189"/>
        <v>0</v>
      </c>
      <c r="N350" s="459"/>
      <c r="O350" s="459"/>
      <c r="P350" s="459"/>
      <c r="Q350" s="459"/>
      <c r="R350" s="460">
        <f t="shared" si="190"/>
        <v>0</v>
      </c>
      <c r="S350" s="461"/>
      <c r="T350" s="461"/>
      <c r="U350" s="461"/>
      <c r="V350" s="461"/>
      <c r="W350" s="462">
        <f t="shared" si="191"/>
        <v>0</v>
      </c>
      <c r="X350" s="463"/>
      <c r="Y350" s="457"/>
      <c r="Z350" s="464"/>
      <c r="AA350" s="464"/>
      <c r="AB350" s="465"/>
      <c r="AC350" s="457"/>
      <c r="AD350" s="464"/>
      <c r="AE350" s="466"/>
      <c r="AF350" s="465"/>
      <c r="AG350" s="457"/>
      <c r="AH350" s="464"/>
      <c r="AI350" s="466"/>
      <c r="AJ350" s="465"/>
      <c r="AK350" s="457"/>
      <c r="AL350" s="464"/>
      <c r="AM350" s="466"/>
      <c r="AN350" s="465"/>
      <c r="AO350" s="457"/>
      <c r="AP350" s="464"/>
      <c r="AQ350" s="464"/>
      <c r="AR350" s="460">
        <f t="shared" si="192"/>
        <v>0</v>
      </c>
      <c r="AS350" s="467">
        <f t="shared" si="193"/>
        <v>0</v>
      </c>
      <c r="AT350" s="447">
        <f t="shared" si="194"/>
        <v>0</v>
      </c>
      <c r="AU350" s="448">
        <f t="shared" si="195"/>
        <v>0</v>
      </c>
      <c r="AV350" s="457"/>
      <c r="AW350" s="628"/>
      <c r="AX350" s="463"/>
      <c r="AY350" s="457"/>
      <c r="AZ350" s="464"/>
      <c r="BA350" s="464"/>
      <c r="BB350" s="465"/>
      <c r="BC350" s="457"/>
      <c r="BD350" s="464"/>
      <c r="BE350" s="466"/>
      <c r="BF350" s="465"/>
      <c r="BG350" s="457"/>
      <c r="BH350" s="464"/>
      <c r="BI350" s="466"/>
      <c r="BJ350" s="465"/>
      <c r="BK350" s="457"/>
      <c r="BL350" s="464"/>
      <c r="BM350" s="466"/>
      <c r="BN350" s="465"/>
      <c r="BO350" s="457"/>
      <c r="BP350" s="464"/>
      <c r="BQ350" s="466"/>
      <c r="BR350" s="465"/>
      <c r="BS350" s="457"/>
      <c r="BT350" s="464"/>
      <c r="BU350" s="466"/>
      <c r="BV350" s="465"/>
      <c r="BW350" s="457"/>
      <c r="BX350" s="464"/>
      <c r="BY350" s="466"/>
      <c r="BZ350" s="465"/>
      <c r="CA350" s="457"/>
      <c r="CB350" s="464"/>
      <c r="CC350" s="466"/>
      <c r="CD350" s="465"/>
      <c r="CE350" s="457"/>
      <c r="CF350" s="464"/>
      <c r="CG350" s="466"/>
      <c r="CH350" s="465"/>
      <c r="CI350" s="457"/>
      <c r="CJ350" s="464"/>
      <c r="CK350" s="466"/>
      <c r="CL350" s="459"/>
      <c r="CM350" s="450"/>
      <c r="CN350" s="468">
        <f t="shared" si="196"/>
        <v>0</v>
      </c>
      <c r="CO350" s="468">
        <f t="shared" si="197"/>
        <v>0</v>
      </c>
      <c r="CP350" s="469">
        <f t="shared" si="198"/>
        <v>0</v>
      </c>
      <c r="CQ350" s="469">
        <f t="shared" si="199"/>
        <v>0</v>
      </c>
      <c r="CR350" s="463"/>
      <c r="CS350" s="457"/>
      <c r="CT350" s="464"/>
      <c r="CU350" s="464"/>
      <c r="CV350" s="465"/>
      <c r="CW350" s="457"/>
      <c r="CX350" s="464"/>
      <c r="CY350" s="466"/>
      <c r="CZ350" s="465"/>
      <c r="DA350" s="457"/>
      <c r="DB350" s="464"/>
      <c r="DC350" s="466"/>
      <c r="DD350" s="465"/>
      <c r="DE350" s="457"/>
      <c r="DF350" s="464"/>
      <c r="DG350" s="466"/>
      <c r="DH350" s="465"/>
      <c r="DI350" s="457"/>
      <c r="DJ350" s="464"/>
      <c r="DK350" s="466"/>
      <c r="DL350" s="465"/>
      <c r="DM350" s="457"/>
      <c r="DN350" s="464"/>
      <c r="DO350" s="466"/>
      <c r="DP350" s="465"/>
      <c r="DQ350" s="457"/>
      <c r="DR350" s="464"/>
      <c r="DS350" s="466"/>
      <c r="DT350" s="465"/>
      <c r="DU350" s="457"/>
      <c r="DV350" s="464"/>
      <c r="DW350" s="466"/>
      <c r="DX350" s="465"/>
      <c r="DY350" s="457"/>
      <c r="DZ350" s="464"/>
      <c r="EA350" s="466"/>
      <c r="EB350" s="465"/>
      <c r="EC350" s="457"/>
      <c r="ED350" s="464"/>
      <c r="EE350" s="466"/>
      <c r="EF350" s="459"/>
      <c r="EG350" s="450"/>
      <c r="EH350" s="460">
        <f t="shared" si="200"/>
        <v>0</v>
      </c>
      <c r="EI350" s="460">
        <f t="shared" si="201"/>
        <v>0</v>
      </c>
      <c r="EJ350" s="458">
        <f t="shared" si="202"/>
        <v>0</v>
      </c>
      <c r="EK350" s="470">
        <f t="shared" si="203"/>
        <v>0</v>
      </c>
      <c r="EL350" s="470">
        <f t="shared" si="204"/>
        <v>0</v>
      </c>
      <c r="EM350" s="449">
        <f t="shared" si="205"/>
        <v>0</v>
      </c>
      <c r="EN350" s="460">
        <f t="shared" si="206"/>
        <v>0</v>
      </c>
      <c r="EO350" s="469">
        <f t="shared" si="207"/>
        <v>0</v>
      </c>
      <c r="EP350" s="471"/>
      <c r="EQ350" s="450"/>
      <c r="ER350" s="471"/>
      <c r="ES350" s="450"/>
      <c r="ET350" s="471"/>
      <c r="EU350" s="450"/>
      <c r="EV350" s="471"/>
      <c r="EW350" s="450"/>
      <c r="EX350" s="471"/>
      <c r="EY350" s="450"/>
      <c r="EZ350" s="471"/>
      <c r="FA350" s="450"/>
      <c r="FB350" s="471"/>
      <c r="FC350" s="450"/>
      <c r="FD350" s="471"/>
      <c r="FE350" s="450"/>
      <c r="FF350" s="471"/>
      <c r="FG350" s="450"/>
      <c r="FH350" s="472"/>
      <c r="FI350" s="450"/>
      <c r="FJ350" s="468">
        <f t="shared" si="208"/>
        <v>0</v>
      </c>
      <c r="FK350" s="469">
        <f t="shared" si="209"/>
        <v>0</v>
      </c>
      <c r="FL350" s="472"/>
      <c r="FM350" s="450"/>
      <c r="FN350" s="460">
        <f t="shared" si="210"/>
        <v>232</v>
      </c>
      <c r="FO350" s="469">
        <f t="shared" si="211"/>
        <v>221</v>
      </c>
    </row>
    <row r="351" spans="1:171" x14ac:dyDescent="0.2">
      <c r="A351" s="668" t="s">
        <v>264</v>
      </c>
      <c r="B351" s="672" t="s">
        <v>1052</v>
      </c>
      <c r="C351" s="673"/>
      <c r="D351" s="674">
        <v>198039</v>
      </c>
      <c r="E351" s="561">
        <v>10</v>
      </c>
      <c r="F351" s="532">
        <v>77</v>
      </c>
      <c r="G351" s="852">
        <v>44</v>
      </c>
      <c r="H351" s="457"/>
      <c r="I351" s="450"/>
      <c r="J351" s="457">
        <v>209</v>
      </c>
      <c r="K351" s="450">
        <v>209</v>
      </c>
      <c r="L351" s="458">
        <f t="shared" si="188"/>
        <v>0</v>
      </c>
      <c r="M351" s="449">
        <f t="shared" si="189"/>
        <v>0</v>
      </c>
      <c r="N351" s="459"/>
      <c r="O351" s="459"/>
      <c r="P351" s="459"/>
      <c r="Q351" s="459"/>
      <c r="R351" s="460">
        <f t="shared" si="190"/>
        <v>0</v>
      </c>
      <c r="S351" s="461"/>
      <c r="T351" s="461"/>
      <c r="U351" s="461"/>
      <c r="V351" s="461"/>
      <c r="W351" s="462">
        <f t="shared" si="191"/>
        <v>0</v>
      </c>
      <c r="X351" s="463"/>
      <c r="Y351" s="457"/>
      <c r="Z351" s="464"/>
      <c r="AA351" s="464"/>
      <c r="AB351" s="465"/>
      <c r="AC351" s="457"/>
      <c r="AD351" s="464"/>
      <c r="AE351" s="466"/>
      <c r="AF351" s="465"/>
      <c r="AG351" s="457"/>
      <c r="AH351" s="464"/>
      <c r="AI351" s="466"/>
      <c r="AJ351" s="465"/>
      <c r="AK351" s="457"/>
      <c r="AL351" s="464"/>
      <c r="AM351" s="466"/>
      <c r="AN351" s="465"/>
      <c r="AO351" s="457"/>
      <c r="AP351" s="464"/>
      <c r="AQ351" s="464"/>
      <c r="AR351" s="460">
        <f t="shared" si="192"/>
        <v>0</v>
      </c>
      <c r="AS351" s="467">
        <f t="shared" si="193"/>
        <v>0</v>
      </c>
      <c r="AT351" s="447">
        <f t="shared" si="194"/>
        <v>0</v>
      </c>
      <c r="AU351" s="448">
        <f t="shared" si="195"/>
        <v>0</v>
      </c>
      <c r="AV351" s="457"/>
      <c r="AW351" s="628"/>
      <c r="AX351" s="463"/>
      <c r="AY351" s="457"/>
      <c r="AZ351" s="464"/>
      <c r="BA351" s="464"/>
      <c r="BB351" s="465"/>
      <c r="BC351" s="457"/>
      <c r="BD351" s="464"/>
      <c r="BE351" s="466"/>
      <c r="BF351" s="465"/>
      <c r="BG351" s="457"/>
      <c r="BH351" s="464"/>
      <c r="BI351" s="466"/>
      <c r="BJ351" s="465"/>
      <c r="BK351" s="457"/>
      <c r="BL351" s="464"/>
      <c r="BM351" s="466"/>
      <c r="BN351" s="465"/>
      <c r="BO351" s="457"/>
      <c r="BP351" s="464"/>
      <c r="BQ351" s="466"/>
      <c r="BR351" s="465"/>
      <c r="BS351" s="457"/>
      <c r="BT351" s="464"/>
      <c r="BU351" s="466"/>
      <c r="BV351" s="465"/>
      <c r="BW351" s="457"/>
      <c r="BX351" s="464"/>
      <c r="BY351" s="466"/>
      <c r="BZ351" s="465"/>
      <c r="CA351" s="457"/>
      <c r="CB351" s="464"/>
      <c r="CC351" s="466"/>
      <c r="CD351" s="465"/>
      <c r="CE351" s="457"/>
      <c r="CF351" s="464"/>
      <c r="CG351" s="466"/>
      <c r="CH351" s="465"/>
      <c r="CI351" s="457"/>
      <c r="CJ351" s="464"/>
      <c r="CK351" s="466"/>
      <c r="CL351" s="459"/>
      <c r="CM351" s="450"/>
      <c r="CN351" s="468">
        <f t="shared" si="196"/>
        <v>0</v>
      </c>
      <c r="CO351" s="468">
        <f t="shared" si="197"/>
        <v>0</v>
      </c>
      <c r="CP351" s="469">
        <f t="shared" si="198"/>
        <v>0</v>
      </c>
      <c r="CQ351" s="469">
        <f t="shared" si="199"/>
        <v>0</v>
      </c>
      <c r="CR351" s="463"/>
      <c r="CS351" s="457"/>
      <c r="CT351" s="464"/>
      <c r="CU351" s="464"/>
      <c r="CV351" s="465"/>
      <c r="CW351" s="457"/>
      <c r="CX351" s="464"/>
      <c r="CY351" s="466"/>
      <c r="CZ351" s="465"/>
      <c r="DA351" s="457"/>
      <c r="DB351" s="464"/>
      <c r="DC351" s="466"/>
      <c r="DD351" s="465"/>
      <c r="DE351" s="457"/>
      <c r="DF351" s="464"/>
      <c r="DG351" s="466"/>
      <c r="DH351" s="465"/>
      <c r="DI351" s="457"/>
      <c r="DJ351" s="464"/>
      <c r="DK351" s="466"/>
      <c r="DL351" s="465"/>
      <c r="DM351" s="457"/>
      <c r="DN351" s="464"/>
      <c r="DO351" s="466"/>
      <c r="DP351" s="465"/>
      <c r="DQ351" s="457"/>
      <c r="DR351" s="464"/>
      <c r="DS351" s="466"/>
      <c r="DT351" s="465"/>
      <c r="DU351" s="457"/>
      <c r="DV351" s="464"/>
      <c r="DW351" s="466"/>
      <c r="DX351" s="465"/>
      <c r="DY351" s="457"/>
      <c r="DZ351" s="464"/>
      <c r="EA351" s="466"/>
      <c r="EB351" s="465"/>
      <c r="EC351" s="457"/>
      <c r="ED351" s="464"/>
      <c r="EE351" s="466"/>
      <c r="EF351" s="459"/>
      <c r="EG351" s="450"/>
      <c r="EH351" s="460">
        <f t="shared" si="200"/>
        <v>0</v>
      </c>
      <c r="EI351" s="460">
        <f t="shared" si="201"/>
        <v>0</v>
      </c>
      <c r="EJ351" s="458">
        <f t="shared" si="202"/>
        <v>0</v>
      </c>
      <c r="EK351" s="470">
        <f t="shared" si="203"/>
        <v>0</v>
      </c>
      <c r="EL351" s="470">
        <f t="shared" si="204"/>
        <v>0</v>
      </c>
      <c r="EM351" s="449">
        <f t="shared" si="205"/>
        <v>0</v>
      </c>
      <c r="EN351" s="460">
        <f t="shared" si="206"/>
        <v>0</v>
      </c>
      <c r="EO351" s="469">
        <f t="shared" si="207"/>
        <v>0</v>
      </c>
      <c r="EP351" s="471"/>
      <c r="EQ351" s="450"/>
      <c r="ER351" s="471"/>
      <c r="ES351" s="450"/>
      <c r="ET351" s="471"/>
      <c r="EU351" s="450"/>
      <c r="EV351" s="471"/>
      <c r="EW351" s="450"/>
      <c r="EX351" s="471"/>
      <c r="EY351" s="450"/>
      <c r="EZ351" s="471"/>
      <c r="FA351" s="450"/>
      <c r="FB351" s="471"/>
      <c r="FC351" s="450"/>
      <c r="FD351" s="471"/>
      <c r="FE351" s="450"/>
      <c r="FF351" s="471"/>
      <c r="FG351" s="450"/>
      <c r="FH351" s="472"/>
      <c r="FI351" s="450"/>
      <c r="FJ351" s="468">
        <f t="shared" si="208"/>
        <v>0</v>
      </c>
      <c r="FK351" s="469">
        <f t="shared" si="209"/>
        <v>0</v>
      </c>
      <c r="FL351" s="472"/>
      <c r="FM351" s="450"/>
      <c r="FN351" s="460">
        <f t="shared" si="210"/>
        <v>286</v>
      </c>
      <c r="FO351" s="469">
        <f t="shared" si="211"/>
        <v>253</v>
      </c>
    </row>
    <row r="352" spans="1:171" x14ac:dyDescent="0.2">
      <c r="A352" s="668" t="s">
        <v>264</v>
      </c>
      <c r="B352" s="672" t="s">
        <v>1053</v>
      </c>
      <c r="C352" s="673"/>
      <c r="D352" s="671">
        <v>198084</v>
      </c>
      <c r="E352" s="565">
        <v>10</v>
      </c>
      <c r="F352" s="532">
        <v>120</v>
      </c>
      <c r="G352" s="852">
        <v>161</v>
      </c>
      <c r="H352" s="457"/>
      <c r="I352" s="450"/>
      <c r="J352" s="457">
        <v>152</v>
      </c>
      <c r="K352" s="450">
        <v>206</v>
      </c>
      <c r="L352" s="458">
        <f t="shared" si="188"/>
        <v>0</v>
      </c>
      <c r="M352" s="449">
        <f t="shared" si="189"/>
        <v>0</v>
      </c>
      <c r="N352" s="459"/>
      <c r="O352" s="459"/>
      <c r="P352" s="459"/>
      <c r="Q352" s="459"/>
      <c r="R352" s="460">
        <f t="shared" si="190"/>
        <v>0</v>
      </c>
      <c r="S352" s="461"/>
      <c r="T352" s="461"/>
      <c r="U352" s="461"/>
      <c r="V352" s="461"/>
      <c r="W352" s="462">
        <f t="shared" si="191"/>
        <v>0</v>
      </c>
      <c r="X352" s="463"/>
      <c r="Y352" s="457"/>
      <c r="Z352" s="464"/>
      <c r="AA352" s="464"/>
      <c r="AB352" s="465"/>
      <c r="AC352" s="457"/>
      <c r="AD352" s="464"/>
      <c r="AE352" s="466"/>
      <c r="AF352" s="465"/>
      <c r="AG352" s="457"/>
      <c r="AH352" s="464"/>
      <c r="AI352" s="466"/>
      <c r="AJ352" s="465"/>
      <c r="AK352" s="457"/>
      <c r="AL352" s="464"/>
      <c r="AM352" s="466"/>
      <c r="AN352" s="465"/>
      <c r="AO352" s="457"/>
      <c r="AP352" s="464"/>
      <c r="AQ352" s="464"/>
      <c r="AR352" s="460">
        <f t="shared" si="192"/>
        <v>0</v>
      </c>
      <c r="AS352" s="467">
        <f t="shared" si="193"/>
        <v>0</v>
      </c>
      <c r="AT352" s="447">
        <f t="shared" si="194"/>
        <v>0</v>
      </c>
      <c r="AU352" s="448">
        <f t="shared" si="195"/>
        <v>0</v>
      </c>
      <c r="AV352" s="457"/>
      <c r="AW352" s="628"/>
      <c r="AX352" s="463"/>
      <c r="AY352" s="457"/>
      <c r="AZ352" s="464"/>
      <c r="BA352" s="464"/>
      <c r="BB352" s="465"/>
      <c r="BC352" s="457"/>
      <c r="BD352" s="464"/>
      <c r="BE352" s="466"/>
      <c r="BF352" s="465"/>
      <c r="BG352" s="457"/>
      <c r="BH352" s="464"/>
      <c r="BI352" s="466"/>
      <c r="BJ352" s="465"/>
      <c r="BK352" s="457"/>
      <c r="BL352" s="464"/>
      <c r="BM352" s="466"/>
      <c r="BN352" s="465"/>
      <c r="BO352" s="457"/>
      <c r="BP352" s="464"/>
      <c r="BQ352" s="466"/>
      <c r="BR352" s="465"/>
      <c r="BS352" s="457"/>
      <c r="BT352" s="464"/>
      <c r="BU352" s="466"/>
      <c r="BV352" s="465"/>
      <c r="BW352" s="457"/>
      <c r="BX352" s="464"/>
      <c r="BY352" s="466"/>
      <c r="BZ352" s="465"/>
      <c r="CA352" s="457"/>
      <c r="CB352" s="464"/>
      <c r="CC352" s="466"/>
      <c r="CD352" s="465"/>
      <c r="CE352" s="457"/>
      <c r="CF352" s="464"/>
      <c r="CG352" s="466"/>
      <c r="CH352" s="465"/>
      <c r="CI352" s="457"/>
      <c r="CJ352" s="464"/>
      <c r="CK352" s="466"/>
      <c r="CL352" s="459"/>
      <c r="CM352" s="450"/>
      <c r="CN352" s="468">
        <f t="shared" si="196"/>
        <v>0</v>
      </c>
      <c r="CO352" s="468">
        <f t="shared" si="197"/>
        <v>0</v>
      </c>
      <c r="CP352" s="469">
        <f t="shared" si="198"/>
        <v>0</v>
      </c>
      <c r="CQ352" s="469">
        <f t="shared" si="199"/>
        <v>0</v>
      </c>
      <c r="CR352" s="463"/>
      <c r="CS352" s="457"/>
      <c r="CT352" s="464"/>
      <c r="CU352" s="464"/>
      <c r="CV352" s="465"/>
      <c r="CW352" s="457"/>
      <c r="CX352" s="464"/>
      <c r="CY352" s="466"/>
      <c r="CZ352" s="465"/>
      <c r="DA352" s="457"/>
      <c r="DB352" s="464"/>
      <c r="DC352" s="466"/>
      <c r="DD352" s="465"/>
      <c r="DE352" s="457"/>
      <c r="DF352" s="464"/>
      <c r="DG352" s="466"/>
      <c r="DH352" s="465"/>
      <c r="DI352" s="457"/>
      <c r="DJ352" s="464"/>
      <c r="DK352" s="466"/>
      <c r="DL352" s="465"/>
      <c r="DM352" s="457"/>
      <c r="DN352" s="464"/>
      <c r="DO352" s="466"/>
      <c r="DP352" s="465"/>
      <c r="DQ352" s="457"/>
      <c r="DR352" s="464"/>
      <c r="DS352" s="466"/>
      <c r="DT352" s="465"/>
      <c r="DU352" s="457"/>
      <c r="DV352" s="464"/>
      <c r="DW352" s="466"/>
      <c r="DX352" s="465"/>
      <c r="DY352" s="457"/>
      <c r="DZ352" s="464"/>
      <c r="EA352" s="466"/>
      <c r="EB352" s="465"/>
      <c r="EC352" s="457"/>
      <c r="ED352" s="464"/>
      <c r="EE352" s="466"/>
      <c r="EF352" s="459"/>
      <c r="EG352" s="450"/>
      <c r="EH352" s="460">
        <f t="shared" si="200"/>
        <v>0</v>
      </c>
      <c r="EI352" s="460">
        <f t="shared" si="201"/>
        <v>0</v>
      </c>
      <c r="EJ352" s="458">
        <f t="shared" si="202"/>
        <v>0</v>
      </c>
      <c r="EK352" s="470">
        <f t="shared" si="203"/>
        <v>0</v>
      </c>
      <c r="EL352" s="470">
        <f t="shared" si="204"/>
        <v>0</v>
      </c>
      <c r="EM352" s="449">
        <f t="shared" si="205"/>
        <v>0</v>
      </c>
      <c r="EN352" s="460">
        <f t="shared" si="206"/>
        <v>0</v>
      </c>
      <c r="EO352" s="469">
        <f t="shared" si="207"/>
        <v>0</v>
      </c>
      <c r="EP352" s="471"/>
      <c r="EQ352" s="450"/>
      <c r="ER352" s="471"/>
      <c r="ES352" s="450"/>
      <c r="ET352" s="471"/>
      <c r="EU352" s="450"/>
      <c r="EV352" s="471"/>
      <c r="EW352" s="450"/>
      <c r="EX352" s="471"/>
      <c r="EY352" s="450"/>
      <c r="EZ352" s="471"/>
      <c r="FA352" s="450"/>
      <c r="FB352" s="471"/>
      <c r="FC352" s="450"/>
      <c r="FD352" s="471"/>
      <c r="FE352" s="450"/>
      <c r="FF352" s="471"/>
      <c r="FG352" s="450"/>
      <c r="FH352" s="472"/>
      <c r="FI352" s="450"/>
      <c r="FJ352" s="468">
        <f t="shared" si="208"/>
        <v>0</v>
      </c>
      <c r="FK352" s="469">
        <f t="shared" si="209"/>
        <v>0</v>
      </c>
      <c r="FL352" s="472"/>
      <c r="FM352" s="450"/>
      <c r="FN352" s="460">
        <f t="shared" si="210"/>
        <v>272</v>
      </c>
      <c r="FO352" s="469">
        <f t="shared" si="211"/>
        <v>367</v>
      </c>
    </row>
    <row r="353" spans="1:171" x14ac:dyDescent="0.2">
      <c r="A353" s="668" t="s">
        <v>264</v>
      </c>
      <c r="B353" s="672" t="s">
        <v>1054</v>
      </c>
      <c r="C353" s="673"/>
      <c r="D353" s="671">
        <v>198206</v>
      </c>
      <c r="E353" s="565">
        <v>10</v>
      </c>
      <c r="F353" s="532">
        <v>157</v>
      </c>
      <c r="G353" s="852">
        <v>179</v>
      </c>
      <c r="H353" s="457"/>
      <c r="I353" s="450"/>
      <c r="J353" s="457">
        <v>170</v>
      </c>
      <c r="K353" s="450">
        <v>198</v>
      </c>
      <c r="L353" s="458">
        <f t="shared" si="188"/>
        <v>0</v>
      </c>
      <c r="M353" s="449">
        <f t="shared" si="189"/>
        <v>0</v>
      </c>
      <c r="N353" s="459"/>
      <c r="O353" s="459"/>
      <c r="P353" s="459"/>
      <c r="Q353" s="459"/>
      <c r="R353" s="460">
        <f t="shared" si="190"/>
        <v>0</v>
      </c>
      <c r="S353" s="461"/>
      <c r="T353" s="461"/>
      <c r="U353" s="461"/>
      <c r="V353" s="461"/>
      <c r="W353" s="462">
        <f t="shared" si="191"/>
        <v>0</v>
      </c>
      <c r="X353" s="463"/>
      <c r="Y353" s="457"/>
      <c r="Z353" s="464"/>
      <c r="AA353" s="464"/>
      <c r="AB353" s="465"/>
      <c r="AC353" s="457"/>
      <c r="AD353" s="464"/>
      <c r="AE353" s="466"/>
      <c r="AF353" s="465"/>
      <c r="AG353" s="457"/>
      <c r="AH353" s="464"/>
      <c r="AI353" s="466"/>
      <c r="AJ353" s="465"/>
      <c r="AK353" s="457"/>
      <c r="AL353" s="464"/>
      <c r="AM353" s="466"/>
      <c r="AN353" s="465"/>
      <c r="AO353" s="457"/>
      <c r="AP353" s="464"/>
      <c r="AQ353" s="464"/>
      <c r="AR353" s="460">
        <f t="shared" si="192"/>
        <v>0</v>
      </c>
      <c r="AS353" s="467">
        <f t="shared" si="193"/>
        <v>0</v>
      </c>
      <c r="AT353" s="447">
        <f t="shared" si="194"/>
        <v>0</v>
      </c>
      <c r="AU353" s="448">
        <f t="shared" si="195"/>
        <v>0</v>
      </c>
      <c r="AV353" s="457"/>
      <c r="AW353" s="628"/>
      <c r="AX353" s="463"/>
      <c r="AY353" s="457"/>
      <c r="AZ353" s="464"/>
      <c r="BA353" s="464"/>
      <c r="BB353" s="465"/>
      <c r="BC353" s="457"/>
      <c r="BD353" s="464"/>
      <c r="BE353" s="466"/>
      <c r="BF353" s="465"/>
      <c r="BG353" s="457"/>
      <c r="BH353" s="464"/>
      <c r="BI353" s="466"/>
      <c r="BJ353" s="465"/>
      <c r="BK353" s="457"/>
      <c r="BL353" s="464"/>
      <c r="BM353" s="466"/>
      <c r="BN353" s="465"/>
      <c r="BO353" s="457"/>
      <c r="BP353" s="464"/>
      <c r="BQ353" s="466"/>
      <c r="BR353" s="465"/>
      <c r="BS353" s="457"/>
      <c r="BT353" s="464"/>
      <c r="BU353" s="466"/>
      <c r="BV353" s="465"/>
      <c r="BW353" s="457"/>
      <c r="BX353" s="464"/>
      <c r="BY353" s="466"/>
      <c r="BZ353" s="465"/>
      <c r="CA353" s="457"/>
      <c r="CB353" s="464"/>
      <c r="CC353" s="466"/>
      <c r="CD353" s="465"/>
      <c r="CE353" s="457"/>
      <c r="CF353" s="464"/>
      <c r="CG353" s="466"/>
      <c r="CH353" s="465"/>
      <c r="CI353" s="457"/>
      <c r="CJ353" s="464"/>
      <c r="CK353" s="466"/>
      <c r="CL353" s="459"/>
      <c r="CM353" s="450"/>
      <c r="CN353" s="468">
        <f t="shared" si="196"/>
        <v>0</v>
      </c>
      <c r="CO353" s="468">
        <f t="shared" si="197"/>
        <v>0</v>
      </c>
      <c r="CP353" s="469">
        <f t="shared" si="198"/>
        <v>0</v>
      </c>
      <c r="CQ353" s="469">
        <f t="shared" si="199"/>
        <v>0</v>
      </c>
      <c r="CR353" s="463"/>
      <c r="CS353" s="457"/>
      <c r="CT353" s="464"/>
      <c r="CU353" s="464"/>
      <c r="CV353" s="465"/>
      <c r="CW353" s="457"/>
      <c r="CX353" s="464"/>
      <c r="CY353" s="466"/>
      <c r="CZ353" s="465"/>
      <c r="DA353" s="457"/>
      <c r="DB353" s="464"/>
      <c r="DC353" s="466"/>
      <c r="DD353" s="465"/>
      <c r="DE353" s="457"/>
      <c r="DF353" s="464"/>
      <c r="DG353" s="466"/>
      <c r="DH353" s="465"/>
      <c r="DI353" s="457"/>
      <c r="DJ353" s="464"/>
      <c r="DK353" s="466"/>
      <c r="DL353" s="465"/>
      <c r="DM353" s="457"/>
      <c r="DN353" s="464"/>
      <c r="DO353" s="466"/>
      <c r="DP353" s="465"/>
      <c r="DQ353" s="457"/>
      <c r="DR353" s="464"/>
      <c r="DS353" s="466"/>
      <c r="DT353" s="465"/>
      <c r="DU353" s="457"/>
      <c r="DV353" s="464"/>
      <c r="DW353" s="466"/>
      <c r="DX353" s="465"/>
      <c r="DY353" s="457"/>
      <c r="DZ353" s="464"/>
      <c r="EA353" s="466"/>
      <c r="EB353" s="465"/>
      <c r="EC353" s="457"/>
      <c r="ED353" s="464"/>
      <c r="EE353" s="466"/>
      <c r="EF353" s="459"/>
      <c r="EG353" s="450"/>
      <c r="EH353" s="460">
        <f t="shared" si="200"/>
        <v>0</v>
      </c>
      <c r="EI353" s="460">
        <f t="shared" si="201"/>
        <v>0</v>
      </c>
      <c r="EJ353" s="458">
        <f t="shared" si="202"/>
        <v>0</v>
      </c>
      <c r="EK353" s="470">
        <f t="shared" si="203"/>
        <v>0</v>
      </c>
      <c r="EL353" s="470">
        <f t="shared" si="204"/>
        <v>0</v>
      </c>
      <c r="EM353" s="449">
        <f t="shared" si="205"/>
        <v>0</v>
      </c>
      <c r="EN353" s="460">
        <f t="shared" si="206"/>
        <v>0</v>
      </c>
      <c r="EO353" s="469">
        <f t="shared" si="207"/>
        <v>0</v>
      </c>
      <c r="EP353" s="471"/>
      <c r="EQ353" s="450"/>
      <c r="ER353" s="471"/>
      <c r="ES353" s="450"/>
      <c r="ET353" s="471"/>
      <c r="EU353" s="450"/>
      <c r="EV353" s="471"/>
      <c r="EW353" s="450"/>
      <c r="EX353" s="471"/>
      <c r="EY353" s="450"/>
      <c r="EZ353" s="471"/>
      <c r="FA353" s="450"/>
      <c r="FB353" s="471"/>
      <c r="FC353" s="450"/>
      <c r="FD353" s="471"/>
      <c r="FE353" s="450"/>
      <c r="FF353" s="471"/>
      <c r="FG353" s="450"/>
      <c r="FH353" s="472"/>
      <c r="FI353" s="450"/>
      <c r="FJ353" s="468">
        <f t="shared" si="208"/>
        <v>0</v>
      </c>
      <c r="FK353" s="469">
        <f t="shared" si="209"/>
        <v>0</v>
      </c>
      <c r="FL353" s="472"/>
      <c r="FM353" s="450"/>
      <c r="FN353" s="460">
        <f t="shared" si="210"/>
        <v>327</v>
      </c>
      <c r="FO353" s="469">
        <f t="shared" si="211"/>
        <v>377</v>
      </c>
    </row>
    <row r="354" spans="1:171" x14ac:dyDescent="0.2">
      <c r="A354" s="668" t="s">
        <v>264</v>
      </c>
      <c r="B354" s="672" t="s">
        <v>1055</v>
      </c>
      <c r="C354" s="673" t="s">
        <v>599</v>
      </c>
      <c r="D354" s="674">
        <v>197814</v>
      </c>
      <c r="E354" s="561">
        <v>10</v>
      </c>
      <c r="F354" s="532">
        <v>187</v>
      </c>
      <c r="G354" s="852">
        <v>123</v>
      </c>
      <c r="H354" s="457"/>
      <c r="I354" s="450"/>
      <c r="J354" s="457">
        <v>180</v>
      </c>
      <c r="K354" s="450">
        <v>235</v>
      </c>
      <c r="L354" s="458">
        <f t="shared" si="188"/>
        <v>0</v>
      </c>
      <c r="M354" s="449">
        <f t="shared" si="189"/>
        <v>0</v>
      </c>
      <c r="N354" s="459"/>
      <c r="O354" s="459"/>
      <c r="P354" s="459"/>
      <c r="Q354" s="459"/>
      <c r="R354" s="460">
        <f t="shared" si="190"/>
        <v>0</v>
      </c>
      <c r="S354" s="461"/>
      <c r="T354" s="461"/>
      <c r="U354" s="461"/>
      <c r="V354" s="461"/>
      <c r="W354" s="462">
        <f t="shared" si="191"/>
        <v>0</v>
      </c>
      <c r="X354" s="463"/>
      <c r="Y354" s="457"/>
      <c r="Z354" s="464"/>
      <c r="AA354" s="464"/>
      <c r="AB354" s="465"/>
      <c r="AC354" s="457"/>
      <c r="AD354" s="464"/>
      <c r="AE354" s="466"/>
      <c r="AF354" s="465"/>
      <c r="AG354" s="457"/>
      <c r="AH354" s="464"/>
      <c r="AI354" s="466"/>
      <c r="AJ354" s="465"/>
      <c r="AK354" s="457"/>
      <c r="AL354" s="464"/>
      <c r="AM354" s="466"/>
      <c r="AN354" s="465"/>
      <c r="AO354" s="457"/>
      <c r="AP354" s="464"/>
      <c r="AQ354" s="464"/>
      <c r="AR354" s="460">
        <f t="shared" si="192"/>
        <v>0</v>
      </c>
      <c r="AS354" s="467">
        <f t="shared" si="193"/>
        <v>0</v>
      </c>
      <c r="AT354" s="447">
        <f t="shared" si="194"/>
        <v>0</v>
      </c>
      <c r="AU354" s="448">
        <f t="shared" si="195"/>
        <v>0</v>
      </c>
      <c r="AV354" s="457"/>
      <c r="AW354" s="628"/>
      <c r="AX354" s="463"/>
      <c r="AY354" s="457"/>
      <c r="AZ354" s="464"/>
      <c r="BA354" s="464"/>
      <c r="BB354" s="465"/>
      <c r="BC354" s="457"/>
      <c r="BD354" s="464"/>
      <c r="BE354" s="466"/>
      <c r="BF354" s="465"/>
      <c r="BG354" s="457"/>
      <c r="BH354" s="464"/>
      <c r="BI354" s="466"/>
      <c r="BJ354" s="465"/>
      <c r="BK354" s="457"/>
      <c r="BL354" s="464"/>
      <c r="BM354" s="466"/>
      <c r="BN354" s="465"/>
      <c r="BO354" s="457"/>
      <c r="BP354" s="464"/>
      <c r="BQ354" s="466"/>
      <c r="BR354" s="465"/>
      <c r="BS354" s="457"/>
      <c r="BT354" s="464"/>
      <c r="BU354" s="466"/>
      <c r="BV354" s="465"/>
      <c r="BW354" s="457"/>
      <c r="BX354" s="464"/>
      <c r="BY354" s="466"/>
      <c r="BZ354" s="465"/>
      <c r="CA354" s="457"/>
      <c r="CB354" s="464"/>
      <c r="CC354" s="466"/>
      <c r="CD354" s="465"/>
      <c r="CE354" s="457"/>
      <c r="CF354" s="464"/>
      <c r="CG354" s="466"/>
      <c r="CH354" s="465"/>
      <c r="CI354" s="457"/>
      <c r="CJ354" s="464"/>
      <c r="CK354" s="466"/>
      <c r="CL354" s="459"/>
      <c r="CM354" s="450"/>
      <c r="CN354" s="468">
        <f t="shared" si="196"/>
        <v>0</v>
      </c>
      <c r="CO354" s="468">
        <f t="shared" si="197"/>
        <v>0</v>
      </c>
      <c r="CP354" s="469">
        <f t="shared" si="198"/>
        <v>0</v>
      </c>
      <c r="CQ354" s="469">
        <f t="shared" si="199"/>
        <v>0</v>
      </c>
      <c r="CR354" s="463"/>
      <c r="CS354" s="457"/>
      <c r="CT354" s="464"/>
      <c r="CU354" s="464"/>
      <c r="CV354" s="465"/>
      <c r="CW354" s="457"/>
      <c r="CX354" s="464"/>
      <c r="CY354" s="466"/>
      <c r="CZ354" s="465"/>
      <c r="DA354" s="457"/>
      <c r="DB354" s="464"/>
      <c r="DC354" s="466"/>
      <c r="DD354" s="465"/>
      <c r="DE354" s="457"/>
      <c r="DF354" s="464"/>
      <c r="DG354" s="466"/>
      <c r="DH354" s="465"/>
      <c r="DI354" s="457"/>
      <c r="DJ354" s="464"/>
      <c r="DK354" s="466"/>
      <c r="DL354" s="465"/>
      <c r="DM354" s="457"/>
      <c r="DN354" s="464"/>
      <c r="DO354" s="466"/>
      <c r="DP354" s="465"/>
      <c r="DQ354" s="457"/>
      <c r="DR354" s="464"/>
      <c r="DS354" s="466"/>
      <c r="DT354" s="465"/>
      <c r="DU354" s="457"/>
      <c r="DV354" s="464"/>
      <c r="DW354" s="466"/>
      <c r="DX354" s="465"/>
      <c r="DY354" s="457"/>
      <c r="DZ354" s="464"/>
      <c r="EA354" s="466"/>
      <c r="EB354" s="465"/>
      <c r="EC354" s="457"/>
      <c r="ED354" s="464"/>
      <c r="EE354" s="466"/>
      <c r="EF354" s="459"/>
      <c r="EG354" s="450"/>
      <c r="EH354" s="460">
        <f t="shared" si="200"/>
        <v>0</v>
      </c>
      <c r="EI354" s="460">
        <f t="shared" si="201"/>
        <v>0</v>
      </c>
      <c r="EJ354" s="458">
        <f t="shared" si="202"/>
        <v>0</v>
      </c>
      <c r="EK354" s="470">
        <f t="shared" si="203"/>
        <v>0</v>
      </c>
      <c r="EL354" s="470">
        <f t="shared" si="204"/>
        <v>0</v>
      </c>
      <c r="EM354" s="449">
        <f t="shared" si="205"/>
        <v>0</v>
      </c>
      <c r="EN354" s="460">
        <f t="shared" si="206"/>
        <v>0</v>
      </c>
      <c r="EO354" s="469">
        <f t="shared" si="207"/>
        <v>0</v>
      </c>
      <c r="EP354" s="471"/>
      <c r="EQ354" s="450"/>
      <c r="ER354" s="471"/>
      <c r="ES354" s="450"/>
      <c r="ET354" s="471"/>
      <c r="EU354" s="450"/>
      <c r="EV354" s="471"/>
      <c r="EW354" s="450"/>
      <c r="EX354" s="471"/>
      <c r="EY354" s="450"/>
      <c r="EZ354" s="471"/>
      <c r="FA354" s="450"/>
      <c r="FB354" s="471"/>
      <c r="FC354" s="450"/>
      <c r="FD354" s="471"/>
      <c r="FE354" s="450"/>
      <c r="FF354" s="471"/>
      <c r="FG354" s="450"/>
      <c r="FH354" s="472"/>
      <c r="FI354" s="450"/>
      <c r="FJ354" s="468">
        <f t="shared" si="208"/>
        <v>0</v>
      </c>
      <c r="FK354" s="469">
        <f t="shared" si="209"/>
        <v>0</v>
      </c>
      <c r="FL354" s="472"/>
      <c r="FM354" s="450"/>
      <c r="FN354" s="460">
        <f t="shared" si="210"/>
        <v>367</v>
      </c>
      <c r="FO354" s="469">
        <f t="shared" si="211"/>
        <v>358</v>
      </c>
    </row>
    <row r="355" spans="1:171" x14ac:dyDescent="0.2">
      <c r="A355" s="668" t="s">
        <v>264</v>
      </c>
      <c r="B355" s="669" t="s">
        <v>1056</v>
      </c>
      <c r="C355" s="670"/>
      <c r="D355" s="671">
        <v>198640</v>
      </c>
      <c r="E355" s="565">
        <v>10</v>
      </c>
      <c r="F355" s="532">
        <v>267</v>
      </c>
      <c r="G355" s="853">
        <v>107</v>
      </c>
      <c r="H355" s="457"/>
      <c r="I355" s="450"/>
      <c r="J355" s="457">
        <v>136</v>
      </c>
      <c r="K355" s="627">
        <v>133</v>
      </c>
      <c r="L355" s="458">
        <f t="shared" si="188"/>
        <v>0</v>
      </c>
      <c r="M355" s="449">
        <f t="shared" si="189"/>
        <v>0</v>
      </c>
      <c r="N355" s="459"/>
      <c r="O355" s="459"/>
      <c r="P355" s="459"/>
      <c r="Q355" s="459"/>
      <c r="R355" s="460">
        <f t="shared" si="190"/>
        <v>0</v>
      </c>
      <c r="S355" s="651"/>
      <c r="T355" s="461"/>
      <c r="U355" s="461"/>
      <c r="V355" s="461"/>
      <c r="W355" s="462">
        <f t="shared" si="191"/>
        <v>0</v>
      </c>
      <c r="X355" s="463"/>
      <c r="Y355" s="457"/>
      <c r="Z355" s="464"/>
      <c r="AA355" s="464"/>
      <c r="AB355" s="465"/>
      <c r="AC355" s="457"/>
      <c r="AD355" s="464"/>
      <c r="AE355" s="466"/>
      <c r="AF355" s="465"/>
      <c r="AG355" s="457"/>
      <c r="AH355" s="464"/>
      <c r="AI355" s="466"/>
      <c r="AJ355" s="465"/>
      <c r="AK355" s="457"/>
      <c r="AL355" s="464"/>
      <c r="AM355" s="466"/>
      <c r="AN355" s="465"/>
      <c r="AO355" s="457"/>
      <c r="AP355" s="464"/>
      <c r="AQ355" s="464"/>
      <c r="AR355" s="460">
        <f t="shared" si="192"/>
        <v>0</v>
      </c>
      <c r="AS355" s="467">
        <f t="shared" si="193"/>
        <v>0</v>
      </c>
      <c r="AT355" s="447">
        <f t="shared" si="194"/>
        <v>0</v>
      </c>
      <c r="AU355" s="448">
        <f t="shared" si="195"/>
        <v>0</v>
      </c>
      <c r="AV355" s="457"/>
      <c r="AW355" s="450"/>
      <c r="AX355" s="463"/>
      <c r="AY355" s="457"/>
      <c r="AZ355" s="625"/>
      <c r="BA355" s="625"/>
      <c r="BB355" s="465"/>
      <c r="BC355" s="457"/>
      <c r="BD355" s="625"/>
      <c r="BE355" s="626"/>
      <c r="BF355" s="465"/>
      <c r="BG355" s="457"/>
      <c r="BH355" s="464"/>
      <c r="BI355" s="466"/>
      <c r="BJ355" s="465"/>
      <c r="BK355" s="457"/>
      <c r="BL355" s="464"/>
      <c r="BM355" s="466"/>
      <c r="BN355" s="465"/>
      <c r="BO355" s="457"/>
      <c r="BP355" s="625"/>
      <c r="BQ355" s="626"/>
      <c r="BR355" s="465"/>
      <c r="BS355" s="457"/>
      <c r="BT355" s="464"/>
      <c r="BU355" s="466"/>
      <c r="BV355" s="465"/>
      <c r="BW355" s="457"/>
      <c r="BX355" s="464"/>
      <c r="BY355" s="466"/>
      <c r="BZ355" s="465"/>
      <c r="CA355" s="457"/>
      <c r="CB355" s="464"/>
      <c r="CC355" s="466"/>
      <c r="CD355" s="465"/>
      <c r="CE355" s="457"/>
      <c r="CF355" s="464"/>
      <c r="CG355" s="466"/>
      <c r="CH355" s="465"/>
      <c r="CI355" s="457"/>
      <c r="CJ355" s="464"/>
      <c r="CK355" s="466"/>
      <c r="CL355" s="459"/>
      <c r="CM355" s="627"/>
      <c r="CN355" s="468">
        <f t="shared" si="196"/>
        <v>0</v>
      </c>
      <c r="CO355" s="468">
        <f t="shared" si="197"/>
        <v>0</v>
      </c>
      <c r="CP355" s="469">
        <f t="shared" si="198"/>
        <v>0</v>
      </c>
      <c r="CQ355" s="469">
        <f t="shared" si="199"/>
        <v>0</v>
      </c>
      <c r="CR355" s="463"/>
      <c r="CS355" s="457"/>
      <c r="CT355" s="625"/>
      <c r="CU355" s="625"/>
      <c r="CV355" s="465"/>
      <c r="CW355" s="457"/>
      <c r="CX355" s="464"/>
      <c r="CY355" s="466"/>
      <c r="CZ355" s="465"/>
      <c r="DA355" s="457"/>
      <c r="DB355" s="464"/>
      <c r="DC355" s="466"/>
      <c r="DD355" s="465"/>
      <c r="DE355" s="457"/>
      <c r="DF355" s="625"/>
      <c r="DG355" s="626"/>
      <c r="DH355" s="465"/>
      <c r="DI355" s="457"/>
      <c r="DJ355" s="625"/>
      <c r="DK355" s="626"/>
      <c r="DL355" s="465"/>
      <c r="DM355" s="457"/>
      <c r="DN355" s="625"/>
      <c r="DO355" s="626"/>
      <c r="DP355" s="465"/>
      <c r="DQ355" s="457"/>
      <c r="DR355" s="464"/>
      <c r="DS355" s="466"/>
      <c r="DT355" s="465"/>
      <c r="DU355" s="457"/>
      <c r="DV355" s="464"/>
      <c r="DW355" s="466"/>
      <c r="DX355" s="465"/>
      <c r="DY355" s="457"/>
      <c r="DZ355" s="464"/>
      <c r="EA355" s="466"/>
      <c r="EB355" s="465"/>
      <c r="EC355" s="457"/>
      <c r="ED355" s="464"/>
      <c r="EE355" s="466"/>
      <c r="EF355" s="459"/>
      <c r="EG355" s="450"/>
      <c r="EH355" s="460">
        <f t="shared" si="200"/>
        <v>0</v>
      </c>
      <c r="EI355" s="460">
        <f t="shared" si="201"/>
        <v>0</v>
      </c>
      <c r="EJ355" s="458">
        <f t="shared" si="202"/>
        <v>0</v>
      </c>
      <c r="EK355" s="470">
        <f t="shared" si="203"/>
        <v>0</v>
      </c>
      <c r="EL355" s="470">
        <f t="shared" si="204"/>
        <v>0</v>
      </c>
      <c r="EM355" s="449">
        <f t="shared" si="205"/>
        <v>0</v>
      </c>
      <c r="EN355" s="460">
        <f t="shared" si="206"/>
        <v>0</v>
      </c>
      <c r="EO355" s="469">
        <f t="shared" si="207"/>
        <v>0</v>
      </c>
      <c r="EP355" s="471"/>
      <c r="EQ355" s="450"/>
      <c r="ER355" s="471"/>
      <c r="ES355" s="628"/>
      <c r="ET355" s="471"/>
      <c r="EU355" s="628"/>
      <c r="EV355" s="471"/>
      <c r="EW355" s="450"/>
      <c r="EX355" s="471"/>
      <c r="EY355" s="450"/>
      <c r="EZ355" s="471"/>
      <c r="FA355" s="450"/>
      <c r="FB355" s="471"/>
      <c r="FC355" s="450"/>
      <c r="FD355" s="471"/>
      <c r="FE355" s="450"/>
      <c r="FF355" s="471"/>
      <c r="FG355" s="450"/>
      <c r="FH355" s="472"/>
      <c r="FI355" s="627"/>
      <c r="FJ355" s="468">
        <f t="shared" si="208"/>
        <v>0</v>
      </c>
      <c r="FK355" s="469">
        <f t="shared" si="209"/>
        <v>0</v>
      </c>
      <c r="FL355" s="472"/>
      <c r="FM355" s="450"/>
      <c r="FN355" s="460">
        <f t="shared" si="210"/>
        <v>403</v>
      </c>
      <c r="FO355" s="469">
        <f t="shared" si="211"/>
        <v>240</v>
      </c>
    </row>
    <row r="356" spans="1:171" x14ac:dyDescent="0.2">
      <c r="A356" s="668" t="s">
        <v>264</v>
      </c>
      <c r="B356" s="669" t="s">
        <v>1057</v>
      </c>
      <c r="C356" s="670"/>
      <c r="D356" s="671">
        <v>198729</v>
      </c>
      <c r="E356" s="565">
        <v>10</v>
      </c>
      <c r="F356" s="532">
        <v>210</v>
      </c>
      <c r="G356" s="853">
        <v>167</v>
      </c>
      <c r="H356" s="457"/>
      <c r="I356" s="450"/>
      <c r="J356" s="457">
        <v>152</v>
      </c>
      <c r="K356" s="640">
        <v>141</v>
      </c>
      <c r="L356" s="458">
        <f t="shared" si="188"/>
        <v>0</v>
      </c>
      <c r="M356" s="449">
        <f t="shared" si="189"/>
        <v>0</v>
      </c>
      <c r="N356" s="459"/>
      <c r="O356" s="459"/>
      <c r="P356" s="459"/>
      <c r="Q356" s="459"/>
      <c r="R356" s="460">
        <f t="shared" si="190"/>
        <v>0</v>
      </c>
      <c r="S356" s="650"/>
      <c r="T356" s="461"/>
      <c r="U356" s="461"/>
      <c r="V356" s="461"/>
      <c r="W356" s="462">
        <f t="shared" si="191"/>
        <v>0</v>
      </c>
      <c r="X356" s="463"/>
      <c r="Y356" s="457"/>
      <c r="Z356" s="464"/>
      <c r="AA356" s="464"/>
      <c r="AB356" s="465"/>
      <c r="AC356" s="457"/>
      <c r="AD356" s="464"/>
      <c r="AE356" s="466"/>
      <c r="AF356" s="465"/>
      <c r="AG356" s="457"/>
      <c r="AH356" s="464"/>
      <c r="AI356" s="466"/>
      <c r="AJ356" s="465"/>
      <c r="AK356" s="457"/>
      <c r="AL356" s="464"/>
      <c r="AM356" s="466"/>
      <c r="AN356" s="465"/>
      <c r="AO356" s="457"/>
      <c r="AP356" s="464"/>
      <c r="AQ356" s="464"/>
      <c r="AR356" s="460">
        <f t="shared" si="192"/>
        <v>0</v>
      </c>
      <c r="AS356" s="467">
        <f t="shared" si="193"/>
        <v>0</v>
      </c>
      <c r="AT356" s="447">
        <f t="shared" si="194"/>
        <v>0</v>
      </c>
      <c r="AU356" s="448">
        <f t="shared" si="195"/>
        <v>0</v>
      </c>
      <c r="AV356" s="457"/>
      <c r="AW356" s="450"/>
      <c r="AX356" s="463"/>
      <c r="AY356" s="457"/>
      <c r="AZ356" s="625"/>
      <c r="BA356" s="625"/>
      <c r="BB356" s="465"/>
      <c r="BC356" s="457"/>
      <c r="BD356" s="625"/>
      <c r="BE356" s="626"/>
      <c r="BF356" s="465"/>
      <c r="BG356" s="457"/>
      <c r="BH356" s="625"/>
      <c r="BI356" s="626"/>
      <c r="BJ356" s="465"/>
      <c r="BK356" s="457"/>
      <c r="BL356" s="625"/>
      <c r="BM356" s="626"/>
      <c r="BN356" s="465"/>
      <c r="BO356" s="457"/>
      <c r="BP356" s="625"/>
      <c r="BQ356" s="626"/>
      <c r="BR356" s="465"/>
      <c r="BS356" s="457"/>
      <c r="BT356" s="464"/>
      <c r="BU356" s="466"/>
      <c r="BV356" s="465"/>
      <c r="BW356" s="457"/>
      <c r="BX356" s="464"/>
      <c r="BY356" s="466"/>
      <c r="BZ356" s="465"/>
      <c r="CA356" s="457"/>
      <c r="CB356" s="464"/>
      <c r="CC356" s="466"/>
      <c r="CD356" s="465"/>
      <c r="CE356" s="457"/>
      <c r="CF356" s="464"/>
      <c r="CG356" s="466"/>
      <c r="CH356" s="465"/>
      <c r="CI356" s="457"/>
      <c r="CJ356" s="464"/>
      <c r="CK356" s="466"/>
      <c r="CL356" s="459"/>
      <c r="CM356" s="627"/>
      <c r="CN356" s="468">
        <f t="shared" si="196"/>
        <v>0</v>
      </c>
      <c r="CO356" s="468">
        <f t="shared" si="197"/>
        <v>0</v>
      </c>
      <c r="CP356" s="469">
        <f t="shared" si="198"/>
        <v>0</v>
      </c>
      <c r="CQ356" s="469">
        <f t="shared" si="199"/>
        <v>0</v>
      </c>
      <c r="CR356" s="463"/>
      <c r="CS356" s="457"/>
      <c r="CT356" s="753"/>
      <c r="CU356" s="753"/>
      <c r="CV356" s="465"/>
      <c r="CW356" s="457"/>
      <c r="CX356" s="625"/>
      <c r="CY356" s="626"/>
      <c r="CZ356" s="465"/>
      <c r="DA356" s="457"/>
      <c r="DB356" s="625"/>
      <c r="DC356" s="626"/>
      <c r="DD356" s="465"/>
      <c r="DE356" s="457"/>
      <c r="DF356" s="625"/>
      <c r="DG356" s="626"/>
      <c r="DH356" s="465"/>
      <c r="DI356" s="457"/>
      <c r="DJ356" s="625"/>
      <c r="DK356" s="626"/>
      <c r="DL356" s="465"/>
      <c r="DM356" s="457"/>
      <c r="DN356" s="625"/>
      <c r="DO356" s="626"/>
      <c r="DP356" s="465"/>
      <c r="DQ356" s="457"/>
      <c r="DR356" s="464"/>
      <c r="DS356" s="466"/>
      <c r="DT356" s="465"/>
      <c r="DU356" s="457"/>
      <c r="DV356" s="464"/>
      <c r="DW356" s="466"/>
      <c r="DX356" s="465"/>
      <c r="DY356" s="457"/>
      <c r="DZ356" s="464"/>
      <c r="EA356" s="466"/>
      <c r="EB356" s="465"/>
      <c r="EC356" s="457"/>
      <c r="ED356" s="464"/>
      <c r="EE356" s="466"/>
      <c r="EF356" s="459"/>
      <c r="EG356" s="450"/>
      <c r="EH356" s="460">
        <f t="shared" si="200"/>
        <v>0</v>
      </c>
      <c r="EI356" s="460">
        <f t="shared" si="201"/>
        <v>0</v>
      </c>
      <c r="EJ356" s="458">
        <f t="shared" si="202"/>
        <v>0</v>
      </c>
      <c r="EK356" s="470">
        <f t="shared" si="203"/>
        <v>0</v>
      </c>
      <c r="EL356" s="470">
        <f t="shared" si="204"/>
        <v>0</v>
      </c>
      <c r="EM356" s="449">
        <f t="shared" si="205"/>
        <v>0</v>
      </c>
      <c r="EN356" s="460">
        <f t="shared" si="206"/>
        <v>0</v>
      </c>
      <c r="EO356" s="469">
        <f t="shared" si="207"/>
        <v>0</v>
      </c>
      <c r="EP356" s="471"/>
      <c r="EQ356" s="450"/>
      <c r="ER356" s="471"/>
      <c r="ES356" s="628"/>
      <c r="ET356" s="471"/>
      <c r="EU356" s="628"/>
      <c r="EV356" s="471"/>
      <c r="EW356" s="450"/>
      <c r="EX356" s="471"/>
      <c r="EY356" s="450"/>
      <c r="EZ356" s="471"/>
      <c r="FA356" s="450"/>
      <c r="FB356" s="471"/>
      <c r="FC356" s="450"/>
      <c r="FD356" s="471"/>
      <c r="FE356" s="450"/>
      <c r="FF356" s="471"/>
      <c r="FG356" s="450"/>
      <c r="FH356" s="472"/>
      <c r="FI356" s="627"/>
      <c r="FJ356" s="468">
        <f t="shared" si="208"/>
        <v>0</v>
      </c>
      <c r="FK356" s="469">
        <f t="shared" si="209"/>
        <v>0</v>
      </c>
      <c r="FL356" s="472"/>
      <c r="FM356" s="450"/>
      <c r="FN356" s="460">
        <f t="shared" si="210"/>
        <v>362</v>
      </c>
      <c r="FO356" s="469">
        <f t="shared" si="211"/>
        <v>308</v>
      </c>
    </row>
    <row r="357" spans="1:171" x14ac:dyDescent="0.2">
      <c r="A357" s="668" t="s">
        <v>264</v>
      </c>
      <c r="B357" s="669" t="s">
        <v>1058</v>
      </c>
      <c r="C357" s="670"/>
      <c r="D357" s="671">
        <v>198905</v>
      </c>
      <c r="E357" s="565">
        <v>10</v>
      </c>
      <c r="F357" s="532">
        <v>80</v>
      </c>
      <c r="G357" s="853">
        <v>59</v>
      </c>
      <c r="H357" s="457"/>
      <c r="I357" s="450"/>
      <c r="J357" s="457">
        <v>66</v>
      </c>
      <c r="K357" s="450">
        <v>86</v>
      </c>
      <c r="L357" s="458">
        <f t="shared" si="188"/>
        <v>0</v>
      </c>
      <c r="M357" s="449">
        <f t="shared" si="189"/>
        <v>0</v>
      </c>
      <c r="N357" s="459"/>
      <c r="O357" s="459"/>
      <c r="P357" s="459"/>
      <c r="Q357" s="459"/>
      <c r="R357" s="460">
        <f t="shared" si="190"/>
        <v>0</v>
      </c>
      <c r="S357" s="650"/>
      <c r="T357" s="461"/>
      <c r="U357" s="461"/>
      <c r="V357" s="461"/>
      <c r="W357" s="462">
        <f t="shared" si="191"/>
        <v>0</v>
      </c>
      <c r="X357" s="463"/>
      <c r="Y357" s="457"/>
      <c r="Z357" s="464"/>
      <c r="AA357" s="464"/>
      <c r="AB357" s="465"/>
      <c r="AC357" s="457"/>
      <c r="AD357" s="464"/>
      <c r="AE357" s="466"/>
      <c r="AF357" s="465"/>
      <c r="AG357" s="457"/>
      <c r="AH357" s="464"/>
      <c r="AI357" s="466"/>
      <c r="AJ357" s="465"/>
      <c r="AK357" s="457"/>
      <c r="AL357" s="464"/>
      <c r="AM357" s="466"/>
      <c r="AN357" s="465"/>
      <c r="AO357" s="457"/>
      <c r="AP357" s="464"/>
      <c r="AQ357" s="464"/>
      <c r="AR357" s="460">
        <f t="shared" si="192"/>
        <v>0</v>
      </c>
      <c r="AS357" s="467">
        <f t="shared" si="193"/>
        <v>0</v>
      </c>
      <c r="AT357" s="447">
        <f t="shared" si="194"/>
        <v>0</v>
      </c>
      <c r="AU357" s="448">
        <f t="shared" si="195"/>
        <v>0</v>
      </c>
      <c r="AV357" s="457"/>
      <c r="AW357" s="450"/>
      <c r="AX357" s="463"/>
      <c r="AY357" s="457"/>
      <c r="AZ357" s="751"/>
      <c r="BA357" s="757"/>
      <c r="BB357" s="465"/>
      <c r="BC357" s="457"/>
      <c r="BD357" s="753"/>
      <c r="BE357" s="761"/>
      <c r="BF357" s="465"/>
      <c r="BG357" s="457"/>
      <c r="BH357" s="751"/>
      <c r="BI357" s="750"/>
      <c r="BJ357" s="465"/>
      <c r="BK357" s="457"/>
      <c r="BL357" s="753"/>
      <c r="BM357" s="761"/>
      <c r="BN357" s="465"/>
      <c r="BO357" s="457"/>
      <c r="BP357" s="625"/>
      <c r="BQ357" s="626"/>
      <c r="BR357" s="465"/>
      <c r="BS357" s="457"/>
      <c r="BT357" s="550"/>
      <c r="BU357" s="551"/>
      <c r="BV357" s="465"/>
      <c r="BW357" s="457"/>
      <c r="BX357" s="464"/>
      <c r="BY357" s="466"/>
      <c r="BZ357" s="465"/>
      <c r="CA357" s="457"/>
      <c r="CB357" s="464"/>
      <c r="CC357" s="466"/>
      <c r="CD357" s="465"/>
      <c r="CE357" s="457"/>
      <c r="CF357" s="464"/>
      <c r="CG357" s="466"/>
      <c r="CH357" s="465"/>
      <c r="CI357" s="457"/>
      <c r="CJ357" s="464"/>
      <c r="CK357" s="466"/>
      <c r="CL357" s="459"/>
      <c r="CM357" s="627"/>
      <c r="CN357" s="468">
        <f t="shared" si="196"/>
        <v>0</v>
      </c>
      <c r="CO357" s="468">
        <f t="shared" si="197"/>
        <v>0</v>
      </c>
      <c r="CP357" s="469">
        <f t="shared" si="198"/>
        <v>0</v>
      </c>
      <c r="CQ357" s="469">
        <f t="shared" si="199"/>
        <v>0</v>
      </c>
      <c r="CR357" s="463"/>
      <c r="CS357" s="457"/>
      <c r="CT357" s="779"/>
      <c r="CU357" s="781"/>
      <c r="CV357" s="465"/>
      <c r="CW357" s="457"/>
      <c r="CX357" s="625"/>
      <c r="CY357" s="626"/>
      <c r="CZ357" s="465"/>
      <c r="DA357" s="457"/>
      <c r="DB357" s="625"/>
      <c r="DC357" s="626"/>
      <c r="DD357" s="465"/>
      <c r="DE357" s="457"/>
      <c r="DF357" s="625"/>
      <c r="DG357" s="626"/>
      <c r="DH357" s="465"/>
      <c r="DI357" s="457"/>
      <c r="DJ357" s="464"/>
      <c r="DK357" s="466"/>
      <c r="DL357" s="465"/>
      <c r="DM357" s="457"/>
      <c r="DN357" s="625"/>
      <c r="DO357" s="626"/>
      <c r="DP357" s="465"/>
      <c r="DQ357" s="457"/>
      <c r="DR357" s="464"/>
      <c r="DS357" s="466"/>
      <c r="DT357" s="465"/>
      <c r="DU357" s="457"/>
      <c r="DV357" s="464"/>
      <c r="DW357" s="466"/>
      <c r="DX357" s="465"/>
      <c r="DY357" s="457"/>
      <c r="DZ357" s="464"/>
      <c r="EA357" s="466"/>
      <c r="EB357" s="465"/>
      <c r="EC357" s="457"/>
      <c r="ED357" s="464"/>
      <c r="EE357" s="466"/>
      <c r="EF357" s="459"/>
      <c r="EG357" s="450"/>
      <c r="EH357" s="460">
        <f t="shared" si="200"/>
        <v>0</v>
      </c>
      <c r="EI357" s="460">
        <f t="shared" si="201"/>
        <v>0</v>
      </c>
      <c r="EJ357" s="458">
        <f t="shared" si="202"/>
        <v>0</v>
      </c>
      <c r="EK357" s="470">
        <f t="shared" si="203"/>
        <v>0</v>
      </c>
      <c r="EL357" s="470">
        <f t="shared" si="204"/>
        <v>0</v>
      </c>
      <c r="EM357" s="449">
        <f t="shared" si="205"/>
        <v>0</v>
      </c>
      <c r="EN357" s="460">
        <f t="shared" si="206"/>
        <v>0</v>
      </c>
      <c r="EO357" s="469">
        <f t="shared" si="207"/>
        <v>0</v>
      </c>
      <c r="EP357" s="471"/>
      <c r="EQ357" s="450"/>
      <c r="ER357" s="471"/>
      <c r="ES357" s="450"/>
      <c r="ET357" s="471"/>
      <c r="EU357" s="450"/>
      <c r="EV357" s="471"/>
      <c r="EW357" s="450"/>
      <c r="EX357" s="471"/>
      <c r="EY357" s="450"/>
      <c r="EZ357" s="471"/>
      <c r="FA357" s="450"/>
      <c r="FB357" s="471"/>
      <c r="FC357" s="450"/>
      <c r="FD357" s="471"/>
      <c r="FE357" s="450"/>
      <c r="FF357" s="471"/>
      <c r="FG357" s="450"/>
      <c r="FH357" s="472"/>
      <c r="FI357" s="627"/>
      <c r="FJ357" s="468">
        <f t="shared" si="208"/>
        <v>0</v>
      </c>
      <c r="FK357" s="469">
        <f t="shared" si="209"/>
        <v>0</v>
      </c>
      <c r="FL357" s="472"/>
      <c r="FM357" s="450"/>
      <c r="FN357" s="460">
        <f t="shared" si="210"/>
        <v>146</v>
      </c>
      <c r="FO357" s="469">
        <f t="shared" si="211"/>
        <v>145</v>
      </c>
    </row>
    <row r="358" spans="1:171" x14ac:dyDescent="0.2">
      <c r="A358" s="675" t="s">
        <v>264</v>
      </c>
      <c r="B358" s="672" t="s">
        <v>1059</v>
      </c>
      <c r="C358" s="673"/>
      <c r="D358" s="674">
        <v>198914</v>
      </c>
      <c r="E358" s="561">
        <v>10</v>
      </c>
      <c r="F358" s="532">
        <v>190</v>
      </c>
      <c r="G358" s="853">
        <v>105</v>
      </c>
      <c r="H358" s="457"/>
      <c r="I358" s="450"/>
      <c r="J358" s="457">
        <v>83</v>
      </c>
      <c r="K358" s="450">
        <v>101</v>
      </c>
      <c r="L358" s="458">
        <f t="shared" si="188"/>
        <v>0</v>
      </c>
      <c r="M358" s="449">
        <f t="shared" si="189"/>
        <v>0</v>
      </c>
      <c r="N358" s="459"/>
      <c r="O358" s="459"/>
      <c r="P358" s="459"/>
      <c r="Q358" s="459"/>
      <c r="R358" s="460">
        <f t="shared" si="190"/>
        <v>0</v>
      </c>
      <c r="S358" s="650"/>
      <c r="T358" s="461"/>
      <c r="U358" s="461"/>
      <c r="V358" s="461"/>
      <c r="W358" s="462">
        <f t="shared" si="191"/>
        <v>0</v>
      </c>
      <c r="X358" s="463"/>
      <c r="Y358" s="457"/>
      <c r="Z358" s="464"/>
      <c r="AA358" s="464"/>
      <c r="AB358" s="465"/>
      <c r="AC358" s="457"/>
      <c r="AD358" s="464"/>
      <c r="AE358" s="466"/>
      <c r="AF358" s="465"/>
      <c r="AG358" s="457"/>
      <c r="AH358" s="464"/>
      <c r="AI358" s="466"/>
      <c r="AJ358" s="465"/>
      <c r="AK358" s="457"/>
      <c r="AL358" s="464"/>
      <c r="AM358" s="466"/>
      <c r="AN358" s="465"/>
      <c r="AO358" s="457"/>
      <c r="AP358" s="464"/>
      <c r="AQ358" s="464"/>
      <c r="AR358" s="460">
        <f t="shared" si="192"/>
        <v>0</v>
      </c>
      <c r="AS358" s="467">
        <f t="shared" si="193"/>
        <v>0</v>
      </c>
      <c r="AT358" s="447">
        <f t="shared" si="194"/>
        <v>0</v>
      </c>
      <c r="AU358" s="448">
        <f t="shared" si="195"/>
        <v>0</v>
      </c>
      <c r="AV358" s="457"/>
      <c r="AW358" s="450"/>
      <c r="AX358" s="463"/>
      <c r="AY358" s="457"/>
      <c r="AZ358" s="753"/>
      <c r="BA358" s="753"/>
      <c r="BB358" s="465"/>
      <c r="BC358" s="457"/>
      <c r="BD358" s="625"/>
      <c r="BE358" s="626"/>
      <c r="BF358" s="465"/>
      <c r="BG358" s="457"/>
      <c r="BH358" s="753"/>
      <c r="BI358" s="761"/>
      <c r="BJ358" s="465"/>
      <c r="BK358" s="457"/>
      <c r="BL358" s="625"/>
      <c r="BM358" s="626"/>
      <c r="BN358" s="465"/>
      <c r="BO358" s="457"/>
      <c r="BP358" s="625"/>
      <c r="BQ358" s="626"/>
      <c r="BR358" s="465"/>
      <c r="BS358" s="457"/>
      <c r="BT358" s="464"/>
      <c r="BU358" s="466"/>
      <c r="BV358" s="465"/>
      <c r="BW358" s="457"/>
      <c r="BX358" s="625"/>
      <c r="BY358" s="626"/>
      <c r="BZ358" s="465"/>
      <c r="CA358" s="457"/>
      <c r="CB358" s="464"/>
      <c r="CC358" s="466"/>
      <c r="CD358" s="465"/>
      <c r="CE358" s="457"/>
      <c r="CF358" s="464"/>
      <c r="CG358" s="466"/>
      <c r="CH358" s="465"/>
      <c r="CI358" s="457"/>
      <c r="CJ358" s="464"/>
      <c r="CK358" s="466"/>
      <c r="CL358" s="459"/>
      <c r="CM358" s="627"/>
      <c r="CN358" s="468">
        <f t="shared" si="196"/>
        <v>0</v>
      </c>
      <c r="CO358" s="468">
        <f t="shared" si="197"/>
        <v>0</v>
      </c>
      <c r="CP358" s="469">
        <f t="shared" si="198"/>
        <v>0</v>
      </c>
      <c r="CQ358" s="469">
        <f t="shared" si="199"/>
        <v>0</v>
      </c>
      <c r="CR358" s="463"/>
      <c r="CS358" s="457"/>
      <c r="CT358" s="779"/>
      <c r="CU358" s="781"/>
      <c r="CV358" s="465"/>
      <c r="CW358" s="457"/>
      <c r="CX358" s="625"/>
      <c r="CY358" s="626"/>
      <c r="CZ358" s="465"/>
      <c r="DA358" s="457"/>
      <c r="DB358" s="625"/>
      <c r="DC358" s="626"/>
      <c r="DD358" s="465"/>
      <c r="DE358" s="457"/>
      <c r="DF358" s="625"/>
      <c r="DG358" s="626"/>
      <c r="DH358" s="465"/>
      <c r="DI358" s="457"/>
      <c r="DJ358" s="464"/>
      <c r="DK358" s="466"/>
      <c r="DL358" s="465"/>
      <c r="DM358" s="457"/>
      <c r="DN358" s="464"/>
      <c r="DO358" s="466"/>
      <c r="DP358" s="465"/>
      <c r="DQ358" s="457"/>
      <c r="DR358" s="464"/>
      <c r="DS358" s="466"/>
      <c r="DT358" s="465"/>
      <c r="DU358" s="457"/>
      <c r="DV358" s="464"/>
      <c r="DW358" s="466"/>
      <c r="DX358" s="465"/>
      <c r="DY358" s="457"/>
      <c r="DZ358" s="464"/>
      <c r="EA358" s="466"/>
      <c r="EB358" s="465"/>
      <c r="EC358" s="457"/>
      <c r="ED358" s="464"/>
      <c r="EE358" s="466"/>
      <c r="EF358" s="459"/>
      <c r="EG358" s="450"/>
      <c r="EH358" s="460">
        <f t="shared" si="200"/>
        <v>0</v>
      </c>
      <c r="EI358" s="460">
        <f t="shared" si="201"/>
        <v>0</v>
      </c>
      <c r="EJ358" s="458">
        <f t="shared" si="202"/>
        <v>0</v>
      </c>
      <c r="EK358" s="470">
        <f t="shared" si="203"/>
        <v>0</v>
      </c>
      <c r="EL358" s="470">
        <f t="shared" si="204"/>
        <v>0</v>
      </c>
      <c r="EM358" s="449">
        <f t="shared" si="205"/>
        <v>0</v>
      </c>
      <c r="EN358" s="460">
        <f t="shared" si="206"/>
        <v>0</v>
      </c>
      <c r="EO358" s="469">
        <f t="shared" si="207"/>
        <v>0</v>
      </c>
      <c r="EP358" s="471"/>
      <c r="EQ358" s="450"/>
      <c r="ER358" s="471"/>
      <c r="ES358" s="450"/>
      <c r="ET358" s="471"/>
      <c r="EU358" s="450"/>
      <c r="EV358" s="471"/>
      <c r="EW358" s="450"/>
      <c r="EX358" s="471"/>
      <c r="EY358" s="450"/>
      <c r="EZ358" s="471"/>
      <c r="FA358" s="450"/>
      <c r="FB358" s="471"/>
      <c r="FC358" s="450"/>
      <c r="FD358" s="471"/>
      <c r="FE358" s="450"/>
      <c r="FF358" s="471"/>
      <c r="FG358" s="450"/>
      <c r="FH358" s="472"/>
      <c r="FI358" s="627"/>
      <c r="FJ358" s="468">
        <f t="shared" si="208"/>
        <v>0</v>
      </c>
      <c r="FK358" s="469">
        <f t="shared" si="209"/>
        <v>0</v>
      </c>
      <c r="FL358" s="472"/>
      <c r="FM358" s="450"/>
      <c r="FN358" s="460">
        <f t="shared" si="210"/>
        <v>273</v>
      </c>
      <c r="FO358" s="469">
        <f t="shared" si="211"/>
        <v>206</v>
      </c>
    </row>
    <row r="359" spans="1:171" x14ac:dyDescent="0.2">
      <c r="A359" s="668" t="s">
        <v>264</v>
      </c>
      <c r="B359" s="669" t="s">
        <v>1060</v>
      </c>
      <c r="C359" s="670"/>
      <c r="D359" s="671">
        <v>198923</v>
      </c>
      <c r="E359" s="565">
        <v>10</v>
      </c>
      <c r="F359" s="532">
        <v>172</v>
      </c>
      <c r="G359" s="853">
        <v>91</v>
      </c>
      <c r="H359" s="457"/>
      <c r="I359" s="450"/>
      <c r="J359" s="457">
        <v>155</v>
      </c>
      <c r="K359" s="450">
        <v>129</v>
      </c>
      <c r="L359" s="458">
        <f t="shared" si="188"/>
        <v>0</v>
      </c>
      <c r="M359" s="449">
        <f t="shared" si="189"/>
        <v>0</v>
      </c>
      <c r="N359" s="459"/>
      <c r="O359" s="459"/>
      <c r="P359" s="459"/>
      <c r="Q359" s="459"/>
      <c r="R359" s="460">
        <f t="shared" si="190"/>
        <v>0</v>
      </c>
      <c r="S359" s="747"/>
      <c r="T359" s="461"/>
      <c r="U359" s="461"/>
      <c r="V359" s="461"/>
      <c r="W359" s="462">
        <f t="shared" si="191"/>
        <v>0</v>
      </c>
      <c r="X359" s="463"/>
      <c r="Y359" s="457"/>
      <c r="Z359" s="464"/>
      <c r="AA359" s="464"/>
      <c r="AB359" s="465"/>
      <c r="AC359" s="457"/>
      <c r="AD359" s="464"/>
      <c r="AE359" s="466"/>
      <c r="AF359" s="465"/>
      <c r="AG359" s="457"/>
      <c r="AH359" s="464"/>
      <c r="AI359" s="466"/>
      <c r="AJ359" s="465"/>
      <c r="AK359" s="457"/>
      <c r="AL359" s="464"/>
      <c r="AM359" s="466"/>
      <c r="AN359" s="465"/>
      <c r="AO359" s="457"/>
      <c r="AP359" s="464"/>
      <c r="AQ359" s="464"/>
      <c r="AR359" s="460">
        <f t="shared" si="192"/>
        <v>0</v>
      </c>
      <c r="AS359" s="467">
        <f t="shared" si="193"/>
        <v>0</v>
      </c>
      <c r="AT359" s="447">
        <f t="shared" si="194"/>
        <v>0</v>
      </c>
      <c r="AU359" s="448">
        <f t="shared" si="195"/>
        <v>0</v>
      </c>
      <c r="AV359" s="457"/>
      <c r="AW359" s="450"/>
      <c r="AX359" s="463"/>
      <c r="AY359" s="457"/>
      <c r="AZ359" s="625"/>
      <c r="BA359" s="625"/>
      <c r="BB359" s="465"/>
      <c r="BC359" s="457"/>
      <c r="BD359" s="625"/>
      <c r="BE359" s="626"/>
      <c r="BF359" s="465"/>
      <c r="BG359" s="457"/>
      <c r="BH359" s="751"/>
      <c r="BI359" s="750"/>
      <c r="BJ359" s="465"/>
      <c r="BK359" s="457"/>
      <c r="BL359" s="625"/>
      <c r="BM359" s="626"/>
      <c r="BN359" s="465"/>
      <c r="BO359" s="457"/>
      <c r="BP359" s="625"/>
      <c r="BQ359" s="626"/>
      <c r="BR359" s="465"/>
      <c r="BS359" s="457"/>
      <c r="BT359" s="464"/>
      <c r="BU359" s="466"/>
      <c r="BV359" s="465"/>
      <c r="BW359" s="457"/>
      <c r="BX359" s="625"/>
      <c r="BY359" s="626"/>
      <c r="BZ359" s="465"/>
      <c r="CA359" s="457"/>
      <c r="CB359" s="464"/>
      <c r="CC359" s="466"/>
      <c r="CD359" s="465"/>
      <c r="CE359" s="457"/>
      <c r="CF359" s="464"/>
      <c r="CG359" s="466"/>
      <c r="CH359" s="465"/>
      <c r="CI359" s="457"/>
      <c r="CJ359" s="464"/>
      <c r="CK359" s="466"/>
      <c r="CL359" s="459"/>
      <c r="CM359" s="627"/>
      <c r="CN359" s="468">
        <f t="shared" si="196"/>
        <v>0</v>
      </c>
      <c r="CO359" s="468">
        <f t="shared" si="197"/>
        <v>0</v>
      </c>
      <c r="CP359" s="469">
        <f t="shared" si="198"/>
        <v>0</v>
      </c>
      <c r="CQ359" s="469">
        <f t="shared" si="199"/>
        <v>0</v>
      </c>
      <c r="CR359" s="463"/>
      <c r="CS359" s="457"/>
      <c r="CT359" s="625"/>
      <c r="CU359" s="625"/>
      <c r="CV359" s="465"/>
      <c r="CW359" s="457"/>
      <c r="CX359" s="625"/>
      <c r="CY359" s="626"/>
      <c r="CZ359" s="465"/>
      <c r="DA359" s="457"/>
      <c r="DB359" s="625"/>
      <c r="DC359" s="626"/>
      <c r="DD359" s="465"/>
      <c r="DE359" s="457"/>
      <c r="DF359" s="464"/>
      <c r="DG359" s="466"/>
      <c r="DH359" s="465"/>
      <c r="DI359" s="457"/>
      <c r="DJ359" s="464"/>
      <c r="DK359" s="466"/>
      <c r="DL359" s="465"/>
      <c r="DM359" s="457"/>
      <c r="DN359" s="464"/>
      <c r="DO359" s="466"/>
      <c r="DP359" s="465"/>
      <c r="DQ359" s="457"/>
      <c r="DR359" s="464"/>
      <c r="DS359" s="466"/>
      <c r="DT359" s="465"/>
      <c r="DU359" s="457"/>
      <c r="DV359" s="464"/>
      <c r="DW359" s="466"/>
      <c r="DX359" s="465"/>
      <c r="DY359" s="457"/>
      <c r="DZ359" s="464"/>
      <c r="EA359" s="466"/>
      <c r="EB359" s="465"/>
      <c r="EC359" s="457"/>
      <c r="ED359" s="464"/>
      <c r="EE359" s="466"/>
      <c r="EF359" s="459"/>
      <c r="EG359" s="450"/>
      <c r="EH359" s="460">
        <f t="shared" si="200"/>
        <v>0</v>
      </c>
      <c r="EI359" s="460">
        <f t="shared" si="201"/>
        <v>0</v>
      </c>
      <c r="EJ359" s="458">
        <f t="shared" si="202"/>
        <v>0</v>
      </c>
      <c r="EK359" s="470">
        <f t="shared" si="203"/>
        <v>0</v>
      </c>
      <c r="EL359" s="470">
        <f t="shared" si="204"/>
        <v>0</v>
      </c>
      <c r="EM359" s="449">
        <f t="shared" si="205"/>
        <v>0</v>
      </c>
      <c r="EN359" s="460">
        <f t="shared" si="206"/>
        <v>0</v>
      </c>
      <c r="EO359" s="469">
        <f t="shared" si="207"/>
        <v>0</v>
      </c>
      <c r="EP359" s="471"/>
      <c r="EQ359" s="450"/>
      <c r="ER359" s="471"/>
      <c r="ES359" s="450"/>
      <c r="ET359" s="471"/>
      <c r="EU359" s="450"/>
      <c r="EV359" s="471"/>
      <c r="EW359" s="450"/>
      <c r="EX359" s="471"/>
      <c r="EY359" s="450"/>
      <c r="EZ359" s="471"/>
      <c r="FA359" s="450"/>
      <c r="FB359" s="471"/>
      <c r="FC359" s="450"/>
      <c r="FD359" s="471"/>
      <c r="FE359" s="450"/>
      <c r="FF359" s="471"/>
      <c r="FG359" s="450"/>
      <c r="FH359" s="472"/>
      <c r="FI359" s="627"/>
      <c r="FJ359" s="468">
        <f t="shared" si="208"/>
        <v>0</v>
      </c>
      <c r="FK359" s="469">
        <f t="shared" si="209"/>
        <v>0</v>
      </c>
      <c r="FL359" s="472"/>
      <c r="FM359" s="450"/>
      <c r="FN359" s="460">
        <f t="shared" si="210"/>
        <v>327</v>
      </c>
      <c r="FO359" s="469">
        <f t="shared" si="211"/>
        <v>220</v>
      </c>
    </row>
    <row r="360" spans="1:171" x14ac:dyDescent="0.2">
      <c r="A360" s="668" t="s">
        <v>264</v>
      </c>
      <c r="B360" s="669" t="s">
        <v>1061</v>
      </c>
      <c r="C360" s="670"/>
      <c r="D360" s="671">
        <v>199023</v>
      </c>
      <c r="E360" s="565">
        <v>10</v>
      </c>
      <c r="F360" s="532">
        <v>182</v>
      </c>
      <c r="G360" s="853">
        <v>200</v>
      </c>
      <c r="H360" s="457"/>
      <c r="I360" s="450"/>
      <c r="J360" s="457">
        <v>77</v>
      </c>
      <c r="K360" s="450">
        <v>84</v>
      </c>
      <c r="L360" s="458">
        <f t="shared" si="188"/>
        <v>0</v>
      </c>
      <c r="M360" s="449">
        <f t="shared" si="189"/>
        <v>0</v>
      </c>
      <c r="N360" s="459"/>
      <c r="O360" s="459"/>
      <c r="P360" s="459"/>
      <c r="Q360" s="459"/>
      <c r="R360" s="460">
        <f t="shared" si="190"/>
        <v>0</v>
      </c>
      <c r="S360" s="650"/>
      <c r="T360" s="461"/>
      <c r="U360" s="461"/>
      <c r="V360" s="461"/>
      <c r="W360" s="462">
        <f t="shared" si="191"/>
        <v>0</v>
      </c>
      <c r="X360" s="463"/>
      <c r="Y360" s="457"/>
      <c r="Z360" s="464"/>
      <c r="AA360" s="464"/>
      <c r="AB360" s="465"/>
      <c r="AC360" s="457"/>
      <c r="AD360" s="464"/>
      <c r="AE360" s="466"/>
      <c r="AF360" s="465"/>
      <c r="AG360" s="457"/>
      <c r="AH360" s="464"/>
      <c r="AI360" s="466"/>
      <c r="AJ360" s="465"/>
      <c r="AK360" s="457"/>
      <c r="AL360" s="464"/>
      <c r="AM360" s="466"/>
      <c r="AN360" s="465"/>
      <c r="AO360" s="457"/>
      <c r="AP360" s="464"/>
      <c r="AQ360" s="464"/>
      <c r="AR360" s="460">
        <f t="shared" si="192"/>
        <v>0</v>
      </c>
      <c r="AS360" s="467">
        <f t="shared" si="193"/>
        <v>0</v>
      </c>
      <c r="AT360" s="447">
        <f t="shared" si="194"/>
        <v>0</v>
      </c>
      <c r="AU360" s="448">
        <f t="shared" si="195"/>
        <v>0</v>
      </c>
      <c r="AV360" s="457"/>
      <c r="AW360" s="450"/>
      <c r="AX360" s="463"/>
      <c r="AY360" s="457"/>
      <c r="AZ360" s="625"/>
      <c r="BA360" s="625"/>
      <c r="BB360" s="465"/>
      <c r="BC360" s="457"/>
      <c r="BD360" s="625"/>
      <c r="BE360" s="626"/>
      <c r="BF360" s="465"/>
      <c r="BG360" s="457"/>
      <c r="BH360" s="625"/>
      <c r="BI360" s="626"/>
      <c r="BJ360" s="465"/>
      <c r="BK360" s="457"/>
      <c r="BL360" s="625"/>
      <c r="BM360" s="626"/>
      <c r="BN360" s="465"/>
      <c r="BO360" s="457"/>
      <c r="BP360" s="625"/>
      <c r="BQ360" s="626"/>
      <c r="BR360" s="465"/>
      <c r="BS360" s="457"/>
      <c r="BT360" s="464"/>
      <c r="BU360" s="466"/>
      <c r="BV360" s="465"/>
      <c r="BW360" s="457"/>
      <c r="BX360" s="625"/>
      <c r="BY360" s="626"/>
      <c r="BZ360" s="465"/>
      <c r="CA360" s="457"/>
      <c r="CB360" s="464"/>
      <c r="CC360" s="466"/>
      <c r="CD360" s="465"/>
      <c r="CE360" s="457"/>
      <c r="CF360" s="464"/>
      <c r="CG360" s="466"/>
      <c r="CH360" s="465"/>
      <c r="CI360" s="457"/>
      <c r="CJ360" s="464"/>
      <c r="CK360" s="466"/>
      <c r="CL360" s="459"/>
      <c r="CM360" s="450"/>
      <c r="CN360" s="468">
        <f t="shared" si="196"/>
        <v>0</v>
      </c>
      <c r="CO360" s="468">
        <f t="shared" si="197"/>
        <v>0</v>
      </c>
      <c r="CP360" s="469">
        <f t="shared" si="198"/>
        <v>0</v>
      </c>
      <c r="CQ360" s="469">
        <f t="shared" si="199"/>
        <v>0</v>
      </c>
      <c r="CR360" s="463"/>
      <c r="CS360" s="457"/>
      <c r="CT360" s="464"/>
      <c r="CU360" s="464"/>
      <c r="CV360" s="465"/>
      <c r="CW360" s="457"/>
      <c r="CX360" s="625"/>
      <c r="CY360" s="626"/>
      <c r="CZ360" s="465"/>
      <c r="DA360" s="457"/>
      <c r="DB360" s="625"/>
      <c r="DC360" s="626"/>
      <c r="DD360" s="465"/>
      <c r="DE360" s="457"/>
      <c r="DF360" s="464"/>
      <c r="DG360" s="466"/>
      <c r="DH360" s="465"/>
      <c r="DI360" s="457"/>
      <c r="DJ360" s="464"/>
      <c r="DK360" s="466"/>
      <c r="DL360" s="465"/>
      <c r="DM360" s="457"/>
      <c r="DN360" s="464"/>
      <c r="DO360" s="466"/>
      <c r="DP360" s="465"/>
      <c r="DQ360" s="457"/>
      <c r="DR360" s="464"/>
      <c r="DS360" s="466"/>
      <c r="DT360" s="465"/>
      <c r="DU360" s="457"/>
      <c r="DV360" s="464"/>
      <c r="DW360" s="466"/>
      <c r="DX360" s="465"/>
      <c r="DY360" s="457"/>
      <c r="DZ360" s="464"/>
      <c r="EA360" s="466"/>
      <c r="EB360" s="465"/>
      <c r="EC360" s="457"/>
      <c r="ED360" s="464"/>
      <c r="EE360" s="466"/>
      <c r="EF360" s="459"/>
      <c r="EG360" s="450"/>
      <c r="EH360" s="460">
        <f t="shared" si="200"/>
        <v>0</v>
      </c>
      <c r="EI360" s="460">
        <f t="shared" si="201"/>
        <v>0</v>
      </c>
      <c r="EJ360" s="458">
        <f t="shared" si="202"/>
        <v>0</v>
      </c>
      <c r="EK360" s="470">
        <f t="shared" si="203"/>
        <v>0</v>
      </c>
      <c r="EL360" s="470">
        <f t="shared" si="204"/>
        <v>0</v>
      </c>
      <c r="EM360" s="449">
        <f t="shared" si="205"/>
        <v>0</v>
      </c>
      <c r="EN360" s="460">
        <f t="shared" si="206"/>
        <v>0</v>
      </c>
      <c r="EO360" s="469">
        <f t="shared" si="207"/>
        <v>0</v>
      </c>
      <c r="EP360" s="471"/>
      <c r="EQ360" s="450"/>
      <c r="ER360" s="471"/>
      <c r="ES360" s="450"/>
      <c r="ET360" s="471"/>
      <c r="EU360" s="450"/>
      <c r="EV360" s="471"/>
      <c r="EW360" s="450"/>
      <c r="EX360" s="471"/>
      <c r="EY360" s="450"/>
      <c r="EZ360" s="471"/>
      <c r="FA360" s="450"/>
      <c r="FB360" s="471"/>
      <c r="FC360" s="450"/>
      <c r="FD360" s="471"/>
      <c r="FE360" s="450"/>
      <c r="FF360" s="471"/>
      <c r="FG360" s="450"/>
      <c r="FH360" s="472"/>
      <c r="FI360" s="450"/>
      <c r="FJ360" s="468">
        <f t="shared" si="208"/>
        <v>0</v>
      </c>
      <c r="FK360" s="469">
        <f t="shared" si="209"/>
        <v>0</v>
      </c>
      <c r="FL360" s="472"/>
      <c r="FM360" s="450"/>
      <c r="FN360" s="460">
        <f t="shared" si="210"/>
        <v>259</v>
      </c>
      <c r="FO360" s="469">
        <f t="shared" si="211"/>
        <v>284</v>
      </c>
    </row>
    <row r="361" spans="1:171" x14ac:dyDescent="0.2">
      <c r="A361" s="668" t="s">
        <v>264</v>
      </c>
      <c r="B361" s="669" t="s">
        <v>1062</v>
      </c>
      <c r="C361" s="670"/>
      <c r="D361" s="671">
        <v>199263</v>
      </c>
      <c r="E361" s="565">
        <v>10</v>
      </c>
      <c r="F361" s="532">
        <v>162</v>
      </c>
      <c r="G361" s="853">
        <v>21</v>
      </c>
      <c r="H361" s="457"/>
      <c r="I361" s="450"/>
      <c r="J361" s="457">
        <v>46</v>
      </c>
      <c r="K361" s="450">
        <v>32</v>
      </c>
      <c r="L361" s="458">
        <f t="shared" si="188"/>
        <v>0</v>
      </c>
      <c r="M361" s="449">
        <f t="shared" si="189"/>
        <v>0</v>
      </c>
      <c r="N361" s="459"/>
      <c r="O361" s="459"/>
      <c r="P361" s="459"/>
      <c r="Q361" s="459"/>
      <c r="R361" s="460">
        <f t="shared" si="190"/>
        <v>0</v>
      </c>
      <c r="S361" s="650"/>
      <c r="T361" s="461"/>
      <c r="U361" s="461"/>
      <c r="V361" s="461"/>
      <c r="W361" s="462">
        <f t="shared" si="191"/>
        <v>0</v>
      </c>
      <c r="X361" s="463"/>
      <c r="Y361" s="457"/>
      <c r="Z361" s="464"/>
      <c r="AA361" s="464"/>
      <c r="AB361" s="465"/>
      <c r="AC361" s="457"/>
      <c r="AD361" s="464"/>
      <c r="AE361" s="466"/>
      <c r="AF361" s="465"/>
      <c r="AG361" s="457"/>
      <c r="AH361" s="464"/>
      <c r="AI361" s="466"/>
      <c r="AJ361" s="465"/>
      <c r="AK361" s="457"/>
      <c r="AL361" s="464"/>
      <c r="AM361" s="466"/>
      <c r="AN361" s="465"/>
      <c r="AO361" s="457"/>
      <c r="AP361" s="464"/>
      <c r="AQ361" s="464"/>
      <c r="AR361" s="460">
        <f t="shared" si="192"/>
        <v>0</v>
      </c>
      <c r="AS361" s="467">
        <f t="shared" si="193"/>
        <v>0</v>
      </c>
      <c r="AT361" s="447">
        <f t="shared" si="194"/>
        <v>0</v>
      </c>
      <c r="AU361" s="448">
        <f t="shared" si="195"/>
        <v>0</v>
      </c>
      <c r="AV361" s="457"/>
      <c r="AW361" s="450"/>
      <c r="AX361" s="463"/>
      <c r="AY361" s="457"/>
      <c r="AZ361" s="625"/>
      <c r="BA361" s="625"/>
      <c r="BB361" s="465"/>
      <c r="BC361" s="457"/>
      <c r="BD361" s="625"/>
      <c r="BE361" s="626"/>
      <c r="BF361" s="465"/>
      <c r="BG361" s="457"/>
      <c r="BH361" s="625"/>
      <c r="BI361" s="626"/>
      <c r="BJ361" s="465"/>
      <c r="BK361" s="457"/>
      <c r="BL361" s="625"/>
      <c r="BM361" s="626"/>
      <c r="BN361" s="465"/>
      <c r="BO361" s="457"/>
      <c r="BP361" s="625"/>
      <c r="BQ361" s="626"/>
      <c r="BR361" s="465"/>
      <c r="BS361" s="457"/>
      <c r="BT361" s="464"/>
      <c r="BU361" s="466"/>
      <c r="BV361" s="465"/>
      <c r="BW361" s="457"/>
      <c r="BX361" s="625"/>
      <c r="BY361" s="626"/>
      <c r="BZ361" s="465"/>
      <c r="CA361" s="457"/>
      <c r="CB361" s="464"/>
      <c r="CC361" s="466"/>
      <c r="CD361" s="465"/>
      <c r="CE361" s="457"/>
      <c r="CF361" s="464"/>
      <c r="CG361" s="466"/>
      <c r="CH361" s="465"/>
      <c r="CI361" s="457"/>
      <c r="CJ361" s="464"/>
      <c r="CK361" s="466"/>
      <c r="CL361" s="459"/>
      <c r="CM361" s="450"/>
      <c r="CN361" s="468">
        <f t="shared" si="196"/>
        <v>0</v>
      </c>
      <c r="CO361" s="468">
        <f t="shared" si="197"/>
        <v>0</v>
      </c>
      <c r="CP361" s="469">
        <f t="shared" si="198"/>
        <v>0</v>
      </c>
      <c r="CQ361" s="469">
        <f t="shared" si="199"/>
        <v>0</v>
      </c>
      <c r="CR361" s="463"/>
      <c r="CS361" s="457"/>
      <c r="CT361" s="464"/>
      <c r="CU361" s="464"/>
      <c r="CV361" s="465"/>
      <c r="CW361" s="457"/>
      <c r="CX361" s="625"/>
      <c r="CY361" s="626"/>
      <c r="CZ361" s="465"/>
      <c r="DA361" s="457"/>
      <c r="DB361" s="464"/>
      <c r="DC361" s="466"/>
      <c r="DD361" s="465"/>
      <c r="DE361" s="457"/>
      <c r="DF361" s="464"/>
      <c r="DG361" s="466"/>
      <c r="DH361" s="465"/>
      <c r="DI361" s="457"/>
      <c r="DJ361" s="464"/>
      <c r="DK361" s="466"/>
      <c r="DL361" s="465"/>
      <c r="DM361" s="457"/>
      <c r="DN361" s="464"/>
      <c r="DO361" s="466"/>
      <c r="DP361" s="465"/>
      <c r="DQ361" s="457"/>
      <c r="DR361" s="464"/>
      <c r="DS361" s="466"/>
      <c r="DT361" s="465"/>
      <c r="DU361" s="457"/>
      <c r="DV361" s="464"/>
      <c r="DW361" s="466"/>
      <c r="DX361" s="465"/>
      <c r="DY361" s="457"/>
      <c r="DZ361" s="464"/>
      <c r="EA361" s="466"/>
      <c r="EB361" s="465"/>
      <c r="EC361" s="457"/>
      <c r="ED361" s="464"/>
      <c r="EE361" s="466"/>
      <c r="EF361" s="459"/>
      <c r="EG361" s="450"/>
      <c r="EH361" s="460">
        <f t="shared" si="200"/>
        <v>0</v>
      </c>
      <c r="EI361" s="460">
        <f t="shared" si="201"/>
        <v>0</v>
      </c>
      <c r="EJ361" s="458">
        <f t="shared" si="202"/>
        <v>0</v>
      </c>
      <c r="EK361" s="470">
        <f t="shared" si="203"/>
        <v>0</v>
      </c>
      <c r="EL361" s="470">
        <f t="shared" si="204"/>
        <v>0</v>
      </c>
      <c r="EM361" s="449">
        <f t="shared" si="205"/>
        <v>0</v>
      </c>
      <c r="EN361" s="460">
        <f t="shared" si="206"/>
        <v>0</v>
      </c>
      <c r="EO361" s="469">
        <f t="shared" si="207"/>
        <v>0</v>
      </c>
      <c r="EP361" s="471"/>
      <c r="EQ361" s="450"/>
      <c r="ER361" s="471"/>
      <c r="ES361" s="450"/>
      <c r="ET361" s="471"/>
      <c r="EU361" s="450"/>
      <c r="EV361" s="471"/>
      <c r="EW361" s="450"/>
      <c r="EX361" s="471"/>
      <c r="EY361" s="450"/>
      <c r="EZ361" s="471"/>
      <c r="FA361" s="450"/>
      <c r="FB361" s="471"/>
      <c r="FC361" s="450"/>
      <c r="FD361" s="471"/>
      <c r="FE361" s="450"/>
      <c r="FF361" s="471"/>
      <c r="FG361" s="450"/>
      <c r="FH361" s="472"/>
      <c r="FI361" s="450"/>
      <c r="FJ361" s="468">
        <f t="shared" si="208"/>
        <v>0</v>
      </c>
      <c r="FK361" s="469">
        <f t="shared" si="209"/>
        <v>0</v>
      </c>
      <c r="FL361" s="472"/>
      <c r="FM361" s="450"/>
      <c r="FN361" s="460">
        <f t="shared" si="210"/>
        <v>208</v>
      </c>
      <c r="FO361" s="469">
        <f t="shared" si="211"/>
        <v>53</v>
      </c>
    </row>
    <row r="362" spans="1:171" x14ac:dyDescent="0.2">
      <c r="A362" s="668" t="s">
        <v>264</v>
      </c>
      <c r="B362" s="672" t="s">
        <v>1063</v>
      </c>
      <c r="C362" s="673"/>
      <c r="D362" s="674">
        <v>199324</v>
      </c>
      <c r="E362" s="561">
        <v>10</v>
      </c>
      <c r="F362" s="532">
        <v>344</v>
      </c>
      <c r="G362" s="853">
        <v>199</v>
      </c>
      <c r="H362" s="457"/>
      <c r="I362" s="450"/>
      <c r="J362" s="457">
        <v>195</v>
      </c>
      <c r="K362" s="450">
        <v>176</v>
      </c>
      <c r="L362" s="458">
        <f t="shared" si="188"/>
        <v>0</v>
      </c>
      <c r="M362" s="449">
        <f t="shared" si="189"/>
        <v>0</v>
      </c>
      <c r="N362" s="459"/>
      <c r="O362" s="459"/>
      <c r="P362" s="459"/>
      <c r="Q362" s="459"/>
      <c r="R362" s="460">
        <f t="shared" si="190"/>
        <v>0</v>
      </c>
      <c r="S362" s="461"/>
      <c r="T362" s="461"/>
      <c r="U362" s="461"/>
      <c r="V362" s="461"/>
      <c r="W362" s="462">
        <f t="shared" ref="W362:W393" si="212">SUM(T362:V362)</f>
        <v>0</v>
      </c>
      <c r="X362" s="463"/>
      <c r="Y362" s="457"/>
      <c r="Z362" s="464"/>
      <c r="AA362" s="464"/>
      <c r="AB362" s="465"/>
      <c r="AC362" s="457"/>
      <c r="AD362" s="464"/>
      <c r="AE362" s="466"/>
      <c r="AF362" s="465"/>
      <c r="AG362" s="457"/>
      <c r="AH362" s="464"/>
      <c r="AI362" s="466"/>
      <c r="AJ362" s="465"/>
      <c r="AK362" s="457"/>
      <c r="AL362" s="464"/>
      <c r="AM362" s="466"/>
      <c r="AN362" s="465"/>
      <c r="AO362" s="457"/>
      <c r="AP362" s="464"/>
      <c r="AQ362" s="464"/>
      <c r="AR362" s="460">
        <f t="shared" si="192"/>
        <v>0</v>
      </c>
      <c r="AS362" s="467">
        <f t="shared" si="193"/>
        <v>0</v>
      </c>
      <c r="AT362" s="447">
        <f t="shared" si="194"/>
        <v>0</v>
      </c>
      <c r="AU362" s="448">
        <f t="shared" si="195"/>
        <v>0</v>
      </c>
      <c r="AV362" s="457"/>
      <c r="AW362" s="450"/>
      <c r="AX362" s="463"/>
      <c r="AY362" s="457"/>
      <c r="AZ362" s="464"/>
      <c r="BA362" s="464"/>
      <c r="BB362" s="465"/>
      <c r="BC362" s="457"/>
      <c r="BD362" s="464"/>
      <c r="BE362" s="466"/>
      <c r="BF362" s="465"/>
      <c r="BG362" s="457"/>
      <c r="BH362" s="625"/>
      <c r="BI362" s="626"/>
      <c r="BJ362" s="465"/>
      <c r="BK362" s="457"/>
      <c r="BL362" s="625"/>
      <c r="BM362" s="626"/>
      <c r="BN362" s="465"/>
      <c r="BO362" s="457"/>
      <c r="BP362" s="464"/>
      <c r="BQ362" s="466"/>
      <c r="BR362" s="465"/>
      <c r="BS362" s="457"/>
      <c r="BT362" s="464"/>
      <c r="BU362" s="466"/>
      <c r="BV362" s="465"/>
      <c r="BW362" s="457"/>
      <c r="BX362" s="464"/>
      <c r="BY362" s="466"/>
      <c r="BZ362" s="465"/>
      <c r="CA362" s="457"/>
      <c r="CB362" s="464"/>
      <c r="CC362" s="466"/>
      <c r="CD362" s="465"/>
      <c r="CE362" s="457"/>
      <c r="CF362" s="464"/>
      <c r="CG362" s="466"/>
      <c r="CH362" s="465"/>
      <c r="CI362" s="457"/>
      <c r="CJ362" s="464"/>
      <c r="CK362" s="466"/>
      <c r="CL362" s="459"/>
      <c r="CM362" s="450"/>
      <c r="CN362" s="468">
        <f t="shared" si="196"/>
        <v>0</v>
      </c>
      <c r="CO362" s="468">
        <f t="shared" si="197"/>
        <v>0</v>
      </c>
      <c r="CP362" s="469">
        <f t="shared" si="198"/>
        <v>0</v>
      </c>
      <c r="CQ362" s="469">
        <f t="shared" si="199"/>
        <v>0</v>
      </c>
      <c r="CR362" s="463"/>
      <c r="CS362" s="457"/>
      <c r="CT362" s="464"/>
      <c r="CU362" s="464"/>
      <c r="CV362" s="465"/>
      <c r="CW362" s="457"/>
      <c r="CX362" s="464"/>
      <c r="CY362" s="466"/>
      <c r="CZ362" s="465"/>
      <c r="DA362" s="457"/>
      <c r="DB362" s="464"/>
      <c r="DC362" s="466"/>
      <c r="DD362" s="465"/>
      <c r="DE362" s="457"/>
      <c r="DF362" s="464"/>
      <c r="DG362" s="466"/>
      <c r="DH362" s="465"/>
      <c r="DI362" s="457"/>
      <c r="DJ362" s="464"/>
      <c r="DK362" s="466"/>
      <c r="DL362" s="465"/>
      <c r="DM362" s="457"/>
      <c r="DN362" s="464"/>
      <c r="DO362" s="466"/>
      <c r="DP362" s="465"/>
      <c r="DQ362" s="457"/>
      <c r="DR362" s="464"/>
      <c r="DS362" s="466"/>
      <c r="DT362" s="465"/>
      <c r="DU362" s="457"/>
      <c r="DV362" s="464"/>
      <c r="DW362" s="466"/>
      <c r="DX362" s="465"/>
      <c r="DY362" s="457"/>
      <c r="DZ362" s="464"/>
      <c r="EA362" s="466"/>
      <c r="EB362" s="465"/>
      <c r="EC362" s="457"/>
      <c r="ED362" s="464"/>
      <c r="EE362" s="466"/>
      <c r="EF362" s="459"/>
      <c r="EG362" s="450"/>
      <c r="EH362" s="460">
        <f t="shared" si="200"/>
        <v>0</v>
      </c>
      <c r="EI362" s="460">
        <f t="shared" si="201"/>
        <v>0</v>
      </c>
      <c r="EJ362" s="458">
        <f t="shared" si="202"/>
        <v>0</v>
      </c>
      <c r="EK362" s="470">
        <f t="shared" si="203"/>
        <v>0</v>
      </c>
      <c r="EL362" s="470">
        <f t="shared" si="204"/>
        <v>0</v>
      </c>
      <c r="EM362" s="449">
        <f t="shared" si="205"/>
        <v>0</v>
      </c>
      <c r="EN362" s="460">
        <f t="shared" si="206"/>
        <v>0</v>
      </c>
      <c r="EO362" s="469">
        <f t="shared" si="207"/>
        <v>0</v>
      </c>
      <c r="EP362" s="471"/>
      <c r="EQ362" s="450"/>
      <c r="ER362" s="471"/>
      <c r="ES362" s="450"/>
      <c r="ET362" s="471"/>
      <c r="EU362" s="450"/>
      <c r="EV362" s="471"/>
      <c r="EW362" s="450"/>
      <c r="EX362" s="471"/>
      <c r="EY362" s="450"/>
      <c r="EZ362" s="471"/>
      <c r="FA362" s="450"/>
      <c r="FB362" s="471"/>
      <c r="FC362" s="450"/>
      <c r="FD362" s="471"/>
      <c r="FE362" s="450"/>
      <c r="FF362" s="471"/>
      <c r="FG362" s="450"/>
      <c r="FH362" s="472"/>
      <c r="FI362" s="450"/>
      <c r="FJ362" s="468">
        <f t="shared" si="208"/>
        <v>0</v>
      </c>
      <c r="FK362" s="469">
        <f t="shared" si="209"/>
        <v>0</v>
      </c>
      <c r="FL362" s="472"/>
      <c r="FM362" s="450"/>
      <c r="FN362" s="460">
        <f t="shared" si="210"/>
        <v>539</v>
      </c>
      <c r="FO362" s="469">
        <f t="shared" si="211"/>
        <v>375</v>
      </c>
    </row>
    <row r="363" spans="1:171" x14ac:dyDescent="0.2">
      <c r="A363" s="668" t="s">
        <v>264</v>
      </c>
      <c r="B363" s="672" t="s">
        <v>1064</v>
      </c>
      <c r="C363" s="673" t="s">
        <v>599</v>
      </c>
      <c r="D363" s="674">
        <v>199449</v>
      </c>
      <c r="E363" s="561">
        <v>10</v>
      </c>
      <c r="F363" s="532">
        <v>95</v>
      </c>
      <c r="G363" s="852">
        <v>70</v>
      </c>
      <c r="H363" s="457"/>
      <c r="I363" s="450"/>
      <c r="J363" s="457">
        <v>192</v>
      </c>
      <c r="K363" s="450">
        <v>229</v>
      </c>
      <c r="L363" s="458">
        <f t="shared" si="188"/>
        <v>0</v>
      </c>
      <c r="M363" s="449">
        <f t="shared" si="189"/>
        <v>0</v>
      </c>
      <c r="N363" s="459"/>
      <c r="O363" s="459"/>
      <c r="P363" s="459"/>
      <c r="Q363" s="459"/>
      <c r="R363" s="460">
        <f t="shared" si="190"/>
        <v>0</v>
      </c>
      <c r="S363" s="461"/>
      <c r="T363" s="660"/>
      <c r="U363" s="461"/>
      <c r="V363" s="461"/>
      <c r="W363" s="462">
        <f t="shared" si="212"/>
        <v>0</v>
      </c>
      <c r="X363" s="463"/>
      <c r="Y363" s="457"/>
      <c r="Z363" s="464"/>
      <c r="AA363" s="464"/>
      <c r="AB363" s="465"/>
      <c r="AC363" s="457"/>
      <c r="AD363" s="464"/>
      <c r="AE363" s="466"/>
      <c r="AF363" s="465"/>
      <c r="AG363" s="457"/>
      <c r="AH363" s="464"/>
      <c r="AI363" s="466"/>
      <c r="AJ363" s="465"/>
      <c r="AK363" s="457"/>
      <c r="AL363" s="464"/>
      <c r="AM363" s="466"/>
      <c r="AN363" s="465"/>
      <c r="AO363" s="457"/>
      <c r="AP363" s="464"/>
      <c r="AQ363" s="464"/>
      <c r="AR363" s="460">
        <f t="shared" si="192"/>
        <v>0</v>
      </c>
      <c r="AS363" s="467">
        <f t="shared" si="193"/>
        <v>0</v>
      </c>
      <c r="AT363" s="447">
        <f t="shared" si="194"/>
        <v>0</v>
      </c>
      <c r="AU363" s="448">
        <f t="shared" si="195"/>
        <v>0</v>
      </c>
      <c r="AV363" s="457"/>
      <c r="AW363" s="628"/>
      <c r="AX363" s="463"/>
      <c r="AY363" s="457"/>
      <c r="AZ363" s="464"/>
      <c r="BA363" s="464"/>
      <c r="BB363" s="465"/>
      <c r="BC363" s="457"/>
      <c r="BD363" s="464"/>
      <c r="BE363" s="466"/>
      <c r="BF363" s="465"/>
      <c r="BG363" s="457"/>
      <c r="BH363" s="464"/>
      <c r="BI363" s="466"/>
      <c r="BJ363" s="465"/>
      <c r="BK363" s="457"/>
      <c r="BL363" s="464"/>
      <c r="BM363" s="466"/>
      <c r="BN363" s="465"/>
      <c r="BO363" s="457"/>
      <c r="BP363" s="464"/>
      <c r="BQ363" s="466"/>
      <c r="BR363" s="465"/>
      <c r="BS363" s="457"/>
      <c r="BT363" s="464"/>
      <c r="BU363" s="466"/>
      <c r="BV363" s="465"/>
      <c r="BW363" s="457"/>
      <c r="BX363" s="464"/>
      <c r="BY363" s="466"/>
      <c r="BZ363" s="465"/>
      <c r="CA363" s="457"/>
      <c r="CB363" s="464"/>
      <c r="CC363" s="466"/>
      <c r="CD363" s="465"/>
      <c r="CE363" s="457"/>
      <c r="CF363" s="464"/>
      <c r="CG363" s="466"/>
      <c r="CH363" s="465"/>
      <c r="CI363" s="457"/>
      <c r="CJ363" s="464"/>
      <c r="CK363" s="466"/>
      <c r="CL363" s="459"/>
      <c r="CM363" s="628"/>
      <c r="CN363" s="468">
        <f t="shared" si="196"/>
        <v>0</v>
      </c>
      <c r="CO363" s="468">
        <f t="shared" si="197"/>
        <v>0</v>
      </c>
      <c r="CP363" s="469">
        <f t="shared" si="198"/>
        <v>0</v>
      </c>
      <c r="CQ363" s="469">
        <f t="shared" si="199"/>
        <v>0</v>
      </c>
      <c r="CR363" s="463"/>
      <c r="CS363" s="457"/>
      <c r="CT363" s="464"/>
      <c r="CU363" s="464"/>
      <c r="CV363" s="465"/>
      <c r="CW363" s="457"/>
      <c r="CX363" s="464"/>
      <c r="CY363" s="466"/>
      <c r="CZ363" s="465"/>
      <c r="DA363" s="457"/>
      <c r="DB363" s="464"/>
      <c r="DC363" s="466"/>
      <c r="DD363" s="465"/>
      <c r="DE363" s="457"/>
      <c r="DF363" s="464"/>
      <c r="DG363" s="466"/>
      <c r="DH363" s="465"/>
      <c r="DI363" s="457"/>
      <c r="DJ363" s="464"/>
      <c r="DK363" s="466"/>
      <c r="DL363" s="465"/>
      <c r="DM363" s="457"/>
      <c r="DN363" s="464"/>
      <c r="DO363" s="466"/>
      <c r="DP363" s="465"/>
      <c r="DQ363" s="457"/>
      <c r="DR363" s="464"/>
      <c r="DS363" s="466"/>
      <c r="DT363" s="465"/>
      <c r="DU363" s="457"/>
      <c r="DV363" s="464"/>
      <c r="DW363" s="466"/>
      <c r="DX363" s="465"/>
      <c r="DY363" s="457"/>
      <c r="DZ363" s="464"/>
      <c r="EA363" s="466"/>
      <c r="EB363" s="465"/>
      <c r="EC363" s="457"/>
      <c r="ED363" s="464"/>
      <c r="EE363" s="466"/>
      <c r="EF363" s="459"/>
      <c r="EG363" s="628"/>
      <c r="EH363" s="460">
        <f t="shared" si="200"/>
        <v>0</v>
      </c>
      <c r="EI363" s="460">
        <f t="shared" si="201"/>
        <v>0</v>
      </c>
      <c r="EJ363" s="458">
        <f t="shared" si="202"/>
        <v>0</v>
      </c>
      <c r="EK363" s="470">
        <f t="shared" si="203"/>
        <v>0</v>
      </c>
      <c r="EL363" s="470">
        <f t="shared" si="204"/>
        <v>0</v>
      </c>
      <c r="EM363" s="449">
        <f t="shared" si="205"/>
        <v>0</v>
      </c>
      <c r="EN363" s="460">
        <f t="shared" si="206"/>
        <v>0</v>
      </c>
      <c r="EO363" s="469">
        <f t="shared" si="207"/>
        <v>0</v>
      </c>
      <c r="EP363" s="471"/>
      <c r="EQ363" s="450"/>
      <c r="ER363" s="471"/>
      <c r="ES363" s="450"/>
      <c r="ET363" s="471"/>
      <c r="EU363" s="450"/>
      <c r="EV363" s="471"/>
      <c r="EW363" s="450"/>
      <c r="EX363" s="471"/>
      <c r="EY363" s="450"/>
      <c r="EZ363" s="471"/>
      <c r="FA363" s="450"/>
      <c r="FB363" s="471"/>
      <c r="FC363" s="450"/>
      <c r="FD363" s="471"/>
      <c r="FE363" s="450"/>
      <c r="FF363" s="471"/>
      <c r="FG363" s="450"/>
      <c r="FH363" s="472"/>
      <c r="FI363" s="450"/>
      <c r="FJ363" s="468">
        <f t="shared" si="208"/>
        <v>0</v>
      </c>
      <c r="FK363" s="469">
        <f t="shared" si="209"/>
        <v>0</v>
      </c>
      <c r="FL363" s="472"/>
      <c r="FM363" s="450"/>
      <c r="FN363" s="460">
        <f t="shared" si="210"/>
        <v>287</v>
      </c>
      <c r="FO363" s="469">
        <f t="shared" si="211"/>
        <v>299</v>
      </c>
    </row>
    <row r="364" spans="1:171" x14ac:dyDescent="0.2">
      <c r="A364" s="668" t="s">
        <v>264</v>
      </c>
      <c r="B364" s="669" t="s">
        <v>1065</v>
      </c>
      <c r="C364" s="670"/>
      <c r="D364" s="671">
        <v>199467</v>
      </c>
      <c r="E364" s="565">
        <v>10</v>
      </c>
      <c r="F364" s="532">
        <v>60</v>
      </c>
      <c r="G364" s="852">
        <v>66</v>
      </c>
      <c r="H364" s="457"/>
      <c r="I364" s="450"/>
      <c r="J364" s="457">
        <v>47</v>
      </c>
      <c r="K364" s="450">
        <v>68</v>
      </c>
      <c r="L364" s="458">
        <f t="shared" si="188"/>
        <v>0</v>
      </c>
      <c r="M364" s="449">
        <f t="shared" si="189"/>
        <v>0</v>
      </c>
      <c r="N364" s="459"/>
      <c r="O364" s="459"/>
      <c r="P364" s="459"/>
      <c r="Q364" s="459"/>
      <c r="R364" s="460">
        <f t="shared" si="190"/>
        <v>0</v>
      </c>
      <c r="S364" s="461"/>
      <c r="T364" s="660"/>
      <c r="U364" s="461"/>
      <c r="V364" s="461"/>
      <c r="W364" s="462">
        <f t="shared" si="212"/>
        <v>0</v>
      </c>
      <c r="X364" s="463"/>
      <c r="Y364" s="457"/>
      <c r="Z364" s="464"/>
      <c r="AA364" s="464"/>
      <c r="AB364" s="465"/>
      <c r="AC364" s="457"/>
      <c r="AD364" s="464"/>
      <c r="AE364" s="466"/>
      <c r="AF364" s="465"/>
      <c r="AG364" s="457"/>
      <c r="AH364" s="464"/>
      <c r="AI364" s="466"/>
      <c r="AJ364" s="465"/>
      <c r="AK364" s="457"/>
      <c r="AL364" s="464"/>
      <c r="AM364" s="466"/>
      <c r="AN364" s="465"/>
      <c r="AO364" s="457"/>
      <c r="AP364" s="464"/>
      <c r="AQ364" s="464"/>
      <c r="AR364" s="460">
        <f t="shared" si="192"/>
        <v>0</v>
      </c>
      <c r="AS364" s="467">
        <f t="shared" si="193"/>
        <v>0</v>
      </c>
      <c r="AT364" s="447">
        <f t="shared" si="194"/>
        <v>0</v>
      </c>
      <c r="AU364" s="448">
        <f t="shared" si="195"/>
        <v>0</v>
      </c>
      <c r="AV364" s="457"/>
      <c r="AW364" s="628"/>
      <c r="AX364" s="463"/>
      <c r="AY364" s="457"/>
      <c r="AZ364" s="464"/>
      <c r="BA364" s="464"/>
      <c r="BB364" s="465"/>
      <c r="BC364" s="457"/>
      <c r="BD364" s="464"/>
      <c r="BE364" s="466"/>
      <c r="BF364" s="465"/>
      <c r="BG364" s="457"/>
      <c r="BH364" s="464"/>
      <c r="BI364" s="466"/>
      <c r="BJ364" s="465"/>
      <c r="BK364" s="457"/>
      <c r="BL364" s="464"/>
      <c r="BM364" s="466"/>
      <c r="BN364" s="465"/>
      <c r="BO364" s="457"/>
      <c r="BP364" s="464"/>
      <c r="BQ364" s="466"/>
      <c r="BR364" s="465"/>
      <c r="BS364" s="457"/>
      <c r="BT364" s="464"/>
      <c r="BU364" s="466"/>
      <c r="BV364" s="465"/>
      <c r="BW364" s="457"/>
      <c r="BX364" s="464"/>
      <c r="BY364" s="466"/>
      <c r="BZ364" s="465"/>
      <c r="CA364" s="457"/>
      <c r="CB364" s="464"/>
      <c r="CC364" s="466"/>
      <c r="CD364" s="465"/>
      <c r="CE364" s="457"/>
      <c r="CF364" s="464"/>
      <c r="CG364" s="466"/>
      <c r="CH364" s="465"/>
      <c r="CI364" s="457"/>
      <c r="CJ364" s="464"/>
      <c r="CK364" s="466"/>
      <c r="CL364" s="459"/>
      <c r="CM364" s="628"/>
      <c r="CN364" s="468">
        <f t="shared" si="196"/>
        <v>0</v>
      </c>
      <c r="CO364" s="468">
        <f t="shared" si="197"/>
        <v>0</v>
      </c>
      <c r="CP364" s="469">
        <f t="shared" si="198"/>
        <v>0</v>
      </c>
      <c r="CQ364" s="469">
        <f t="shared" si="199"/>
        <v>0</v>
      </c>
      <c r="CR364" s="463"/>
      <c r="CS364" s="457"/>
      <c r="CT364" s="464"/>
      <c r="CU364" s="464"/>
      <c r="CV364" s="465"/>
      <c r="CW364" s="457"/>
      <c r="CX364" s="464"/>
      <c r="CY364" s="466"/>
      <c r="CZ364" s="465"/>
      <c r="DA364" s="457"/>
      <c r="DB364" s="464"/>
      <c r="DC364" s="466"/>
      <c r="DD364" s="465"/>
      <c r="DE364" s="457"/>
      <c r="DF364" s="464"/>
      <c r="DG364" s="466"/>
      <c r="DH364" s="465"/>
      <c r="DI364" s="457"/>
      <c r="DJ364" s="464"/>
      <c r="DK364" s="466"/>
      <c r="DL364" s="465"/>
      <c r="DM364" s="457"/>
      <c r="DN364" s="464"/>
      <c r="DO364" s="466"/>
      <c r="DP364" s="465"/>
      <c r="DQ364" s="457"/>
      <c r="DR364" s="464"/>
      <c r="DS364" s="466"/>
      <c r="DT364" s="465"/>
      <c r="DU364" s="457"/>
      <c r="DV364" s="464"/>
      <c r="DW364" s="466"/>
      <c r="DX364" s="465"/>
      <c r="DY364" s="457"/>
      <c r="DZ364" s="464"/>
      <c r="EA364" s="466"/>
      <c r="EB364" s="465"/>
      <c r="EC364" s="457"/>
      <c r="ED364" s="464"/>
      <c r="EE364" s="466"/>
      <c r="EF364" s="459"/>
      <c r="EG364" s="628"/>
      <c r="EH364" s="460">
        <f t="shared" si="200"/>
        <v>0</v>
      </c>
      <c r="EI364" s="460">
        <f t="shared" si="201"/>
        <v>0</v>
      </c>
      <c r="EJ364" s="458">
        <f t="shared" si="202"/>
        <v>0</v>
      </c>
      <c r="EK364" s="470">
        <f t="shared" si="203"/>
        <v>0</v>
      </c>
      <c r="EL364" s="470">
        <f t="shared" si="204"/>
        <v>0</v>
      </c>
      <c r="EM364" s="449">
        <f t="shared" si="205"/>
        <v>0</v>
      </c>
      <c r="EN364" s="460">
        <f t="shared" si="206"/>
        <v>0</v>
      </c>
      <c r="EO364" s="469">
        <f t="shared" si="207"/>
        <v>0</v>
      </c>
      <c r="EP364" s="471"/>
      <c r="EQ364" s="450"/>
      <c r="ER364" s="471"/>
      <c r="ES364" s="450"/>
      <c r="ET364" s="471"/>
      <c r="EU364" s="450"/>
      <c r="EV364" s="471"/>
      <c r="EW364" s="450"/>
      <c r="EX364" s="471"/>
      <c r="EY364" s="450"/>
      <c r="EZ364" s="471"/>
      <c r="FA364" s="450"/>
      <c r="FB364" s="471"/>
      <c r="FC364" s="450"/>
      <c r="FD364" s="471"/>
      <c r="FE364" s="450"/>
      <c r="FF364" s="471"/>
      <c r="FG364" s="450"/>
      <c r="FH364" s="472"/>
      <c r="FI364" s="450"/>
      <c r="FJ364" s="468">
        <f t="shared" si="208"/>
        <v>0</v>
      </c>
      <c r="FK364" s="469">
        <f t="shared" si="209"/>
        <v>0</v>
      </c>
      <c r="FL364" s="472"/>
      <c r="FM364" s="450"/>
      <c r="FN364" s="460">
        <f t="shared" si="210"/>
        <v>107</v>
      </c>
      <c r="FO364" s="469">
        <f t="shared" si="211"/>
        <v>134</v>
      </c>
    </row>
    <row r="365" spans="1:171" x14ac:dyDescent="0.2">
      <c r="A365" s="668" t="s">
        <v>264</v>
      </c>
      <c r="B365" s="672" t="s">
        <v>1066</v>
      </c>
      <c r="C365" s="673"/>
      <c r="D365" s="674">
        <v>199485</v>
      </c>
      <c r="E365" s="561">
        <v>10</v>
      </c>
      <c r="F365" s="532">
        <v>177</v>
      </c>
      <c r="G365" s="852">
        <v>143</v>
      </c>
      <c r="H365" s="457"/>
      <c r="I365" s="450"/>
      <c r="J365" s="457">
        <v>199</v>
      </c>
      <c r="K365" s="450">
        <v>217</v>
      </c>
      <c r="L365" s="458">
        <f t="shared" si="188"/>
        <v>0</v>
      </c>
      <c r="M365" s="449">
        <f t="shared" si="189"/>
        <v>0</v>
      </c>
      <c r="N365" s="459"/>
      <c r="O365" s="459"/>
      <c r="P365" s="459"/>
      <c r="Q365" s="459"/>
      <c r="R365" s="460">
        <f t="shared" si="190"/>
        <v>0</v>
      </c>
      <c r="S365" s="461"/>
      <c r="T365" s="660"/>
      <c r="U365" s="461"/>
      <c r="V365" s="461"/>
      <c r="W365" s="462">
        <f t="shared" si="212"/>
        <v>0</v>
      </c>
      <c r="X365" s="463"/>
      <c r="Y365" s="457"/>
      <c r="Z365" s="464"/>
      <c r="AA365" s="464"/>
      <c r="AB365" s="465"/>
      <c r="AC365" s="457"/>
      <c r="AD365" s="464"/>
      <c r="AE365" s="466"/>
      <c r="AF365" s="465"/>
      <c r="AG365" s="457"/>
      <c r="AH365" s="464"/>
      <c r="AI365" s="466"/>
      <c r="AJ365" s="465"/>
      <c r="AK365" s="457"/>
      <c r="AL365" s="464"/>
      <c r="AM365" s="466"/>
      <c r="AN365" s="465"/>
      <c r="AO365" s="457"/>
      <c r="AP365" s="464"/>
      <c r="AQ365" s="464"/>
      <c r="AR365" s="460">
        <f t="shared" si="192"/>
        <v>0</v>
      </c>
      <c r="AS365" s="467">
        <f t="shared" si="193"/>
        <v>0</v>
      </c>
      <c r="AT365" s="447">
        <f t="shared" si="194"/>
        <v>0</v>
      </c>
      <c r="AU365" s="448">
        <f t="shared" si="195"/>
        <v>0</v>
      </c>
      <c r="AV365" s="457"/>
      <c r="AW365" s="628"/>
      <c r="AX365" s="463"/>
      <c r="AY365" s="457"/>
      <c r="AZ365" s="464"/>
      <c r="BA365" s="464"/>
      <c r="BB365" s="465"/>
      <c r="BC365" s="457"/>
      <c r="BD365" s="464"/>
      <c r="BE365" s="466"/>
      <c r="BF365" s="465"/>
      <c r="BG365" s="457"/>
      <c r="BH365" s="464"/>
      <c r="BI365" s="466"/>
      <c r="BJ365" s="465"/>
      <c r="BK365" s="457"/>
      <c r="BL365" s="464"/>
      <c r="BM365" s="466"/>
      <c r="BN365" s="465"/>
      <c r="BO365" s="457"/>
      <c r="BP365" s="464"/>
      <c r="BQ365" s="466"/>
      <c r="BR365" s="465"/>
      <c r="BS365" s="457"/>
      <c r="BT365" s="464"/>
      <c r="BU365" s="466"/>
      <c r="BV365" s="465"/>
      <c r="BW365" s="457"/>
      <c r="BX365" s="464"/>
      <c r="BY365" s="466"/>
      <c r="BZ365" s="465"/>
      <c r="CA365" s="457"/>
      <c r="CB365" s="464"/>
      <c r="CC365" s="466"/>
      <c r="CD365" s="465"/>
      <c r="CE365" s="457"/>
      <c r="CF365" s="464"/>
      <c r="CG365" s="466"/>
      <c r="CH365" s="465"/>
      <c r="CI365" s="457"/>
      <c r="CJ365" s="464"/>
      <c r="CK365" s="466"/>
      <c r="CL365" s="459"/>
      <c r="CM365" s="628"/>
      <c r="CN365" s="468">
        <f t="shared" si="196"/>
        <v>0</v>
      </c>
      <c r="CO365" s="468">
        <f t="shared" si="197"/>
        <v>0</v>
      </c>
      <c r="CP365" s="469">
        <f t="shared" si="198"/>
        <v>0</v>
      </c>
      <c r="CQ365" s="469">
        <f t="shared" si="199"/>
        <v>0</v>
      </c>
      <c r="CR365" s="463"/>
      <c r="CS365" s="457"/>
      <c r="CT365" s="464"/>
      <c r="CU365" s="464"/>
      <c r="CV365" s="465"/>
      <c r="CW365" s="457"/>
      <c r="CX365" s="464"/>
      <c r="CY365" s="466"/>
      <c r="CZ365" s="465"/>
      <c r="DA365" s="457"/>
      <c r="DB365" s="464"/>
      <c r="DC365" s="466"/>
      <c r="DD365" s="465"/>
      <c r="DE365" s="457"/>
      <c r="DF365" s="464"/>
      <c r="DG365" s="466"/>
      <c r="DH365" s="465"/>
      <c r="DI365" s="457"/>
      <c r="DJ365" s="464"/>
      <c r="DK365" s="466"/>
      <c r="DL365" s="465"/>
      <c r="DM365" s="457"/>
      <c r="DN365" s="464"/>
      <c r="DO365" s="466"/>
      <c r="DP365" s="465"/>
      <c r="DQ365" s="457"/>
      <c r="DR365" s="464"/>
      <c r="DS365" s="466"/>
      <c r="DT365" s="465"/>
      <c r="DU365" s="457"/>
      <c r="DV365" s="464"/>
      <c r="DW365" s="466"/>
      <c r="DX365" s="465"/>
      <c r="DY365" s="457"/>
      <c r="DZ365" s="464"/>
      <c r="EA365" s="466"/>
      <c r="EB365" s="465"/>
      <c r="EC365" s="457"/>
      <c r="ED365" s="464"/>
      <c r="EE365" s="466"/>
      <c r="EF365" s="459"/>
      <c r="EG365" s="628"/>
      <c r="EH365" s="460">
        <f t="shared" si="200"/>
        <v>0</v>
      </c>
      <c r="EI365" s="460">
        <f t="shared" si="201"/>
        <v>0</v>
      </c>
      <c r="EJ365" s="458">
        <f t="shared" si="202"/>
        <v>0</v>
      </c>
      <c r="EK365" s="470">
        <f t="shared" si="203"/>
        <v>0</v>
      </c>
      <c r="EL365" s="470">
        <f t="shared" si="204"/>
        <v>0</v>
      </c>
      <c r="EM365" s="449">
        <f t="shared" si="205"/>
        <v>0</v>
      </c>
      <c r="EN365" s="460">
        <f t="shared" si="206"/>
        <v>0</v>
      </c>
      <c r="EO365" s="469">
        <f t="shared" si="207"/>
        <v>0</v>
      </c>
      <c r="EP365" s="471"/>
      <c r="EQ365" s="450"/>
      <c r="ER365" s="471"/>
      <c r="ES365" s="450"/>
      <c r="ET365" s="471"/>
      <c r="EU365" s="450"/>
      <c r="EV365" s="471"/>
      <c r="EW365" s="450"/>
      <c r="EX365" s="471"/>
      <c r="EY365" s="450"/>
      <c r="EZ365" s="471"/>
      <c r="FA365" s="450"/>
      <c r="FB365" s="471"/>
      <c r="FC365" s="450"/>
      <c r="FD365" s="471"/>
      <c r="FE365" s="450"/>
      <c r="FF365" s="471"/>
      <c r="FG365" s="450"/>
      <c r="FH365" s="472"/>
      <c r="FI365" s="450"/>
      <c r="FJ365" s="468">
        <f t="shared" si="208"/>
        <v>0</v>
      </c>
      <c r="FK365" s="469">
        <f t="shared" si="209"/>
        <v>0</v>
      </c>
      <c r="FL365" s="472"/>
      <c r="FM365" s="450"/>
      <c r="FN365" s="460">
        <f t="shared" si="210"/>
        <v>376</v>
      </c>
      <c r="FO365" s="469">
        <f t="shared" si="211"/>
        <v>360</v>
      </c>
    </row>
    <row r="366" spans="1:171" x14ac:dyDescent="0.2">
      <c r="A366" s="668" t="s">
        <v>264</v>
      </c>
      <c r="B366" s="672" t="s">
        <v>1067</v>
      </c>
      <c r="C366" s="673"/>
      <c r="D366" s="671">
        <v>199625</v>
      </c>
      <c r="E366" s="565">
        <v>10</v>
      </c>
      <c r="F366" s="532">
        <v>159</v>
      </c>
      <c r="G366" s="852">
        <v>150</v>
      </c>
      <c r="H366" s="457"/>
      <c r="I366" s="450"/>
      <c r="J366" s="457">
        <v>132</v>
      </c>
      <c r="K366" s="450">
        <v>158</v>
      </c>
      <c r="L366" s="458">
        <f t="shared" si="188"/>
        <v>0</v>
      </c>
      <c r="M366" s="449">
        <f t="shared" si="189"/>
        <v>0</v>
      </c>
      <c r="N366" s="459"/>
      <c r="O366" s="459"/>
      <c r="P366" s="459"/>
      <c r="Q366" s="459"/>
      <c r="R366" s="460">
        <f t="shared" si="190"/>
        <v>0</v>
      </c>
      <c r="S366" s="461"/>
      <c r="T366" s="660"/>
      <c r="U366" s="461"/>
      <c r="V366" s="461"/>
      <c r="W366" s="462">
        <f t="shared" si="212"/>
        <v>0</v>
      </c>
      <c r="X366" s="463"/>
      <c r="Y366" s="457"/>
      <c r="Z366" s="464"/>
      <c r="AA366" s="464"/>
      <c r="AB366" s="465"/>
      <c r="AC366" s="457"/>
      <c r="AD366" s="464"/>
      <c r="AE366" s="466"/>
      <c r="AF366" s="465"/>
      <c r="AG366" s="457"/>
      <c r="AH366" s="464"/>
      <c r="AI366" s="466"/>
      <c r="AJ366" s="465"/>
      <c r="AK366" s="457"/>
      <c r="AL366" s="464"/>
      <c r="AM366" s="466"/>
      <c r="AN366" s="465"/>
      <c r="AO366" s="457"/>
      <c r="AP366" s="464"/>
      <c r="AQ366" s="464"/>
      <c r="AR366" s="460">
        <f t="shared" si="192"/>
        <v>0</v>
      </c>
      <c r="AS366" s="467">
        <f t="shared" si="193"/>
        <v>0</v>
      </c>
      <c r="AT366" s="447">
        <f t="shared" si="194"/>
        <v>0</v>
      </c>
      <c r="AU366" s="448">
        <f t="shared" si="195"/>
        <v>0</v>
      </c>
      <c r="AV366" s="457"/>
      <c r="AW366" s="628"/>
      <c r="AX366" s="463"/>
      <c r="AY366" s="457"/>
      <c r="AZ366" s="464"/>
      <c r="BA366" s="464"/>
      <c r="BB366" s="465"/>
      <c r="BC366" s="457"/>
      <c r="BD366" s="464"/>
      <c r="BE366" s="466"/>
      <c r="BF366" s="465"/>
      <c r="BG366" s="457"/>
      <c r="BH366" s="464"/>
      <c r="BI366" s="466"/>
      <c r="BJ366" s="465"/>
      <c r="BK366" s="457"/>
      <c r="BL366" s="464"/>
      <c r="BM366" s="466"/>
      <c r="BN366" s="465"/>
      <c r="BO366" s="457"/>
      <c r="BP366" s="464"/>
      <c r="BQ366" s="466"/>
      <c r="BR366" s="465"/>
      <c r="BS366" s="457"/>
      <c r="BT366" s="464"/>
      <c r="BU366" s="466"/>
      <c r="BV366" s="465"/>
      <c r="BW366" s="457"/>
      <c r="BX366" s="464"/>
      <c r="BY366" s="466"/>
      <c r="BZ366" s="465"/>
      <c r="CA366" s="457"/>
      <c r="CB366" s="464"/>
      <c r="CC366" s="466"/>
      <c r="CD366" s="465"/>
      <c r="CE366" s="457"/>
      <c r="CF366" s="464"/>
      <c r="CG366" s="466"/>
      <c r="CH366" s="465"/>
      <c r="CI366" s="457"/>
      <c r="CJ366" s="464"/>
      <c r="CK366" s="466"/>
      <c r="CL366" s="459"/>
      <c r="CM366" s="628"/>
      <c r="CN366" s="468">
        <f t="shared" si="196"/>
        <v>0</v>
      </c>
      <c r="CO366" s="468">
        <f t="shared" si="197"/>
        <v>0</v>
      </c>
      <c r="CP366" s="469">
        <f t="shared" si="198"/>
        <v>0</v>
      </c>
      <c r="CQ366" s="469">
        <f t="shared" si="199"/>
        <v>0</v>
      </c>
      <c r="CR366" s="463"/>
      <c r="CS366" s="457"/>
      <c r="CT366" s="464"/>
      <c r="CU366" s="780"/>
      <c r="CV366" s="465"/>
      <c r="CW366" s="457"/>
      <c r="CX366" s="464"/>
      <c r="CY366" s="466"/>
      <c r="CZ366" s="465"/>
      <c r="DA366" s="457"/>
      <c r="DB366" s="464"/>
      <c r="DC366" s="466"/>
      <c r="DD366" s="465"/>
      <c r="DE366" s="457"/>
      <c r="DF366" s="464"/>
      <c r="DG366" s="466"/>
      <c r="DH366" s="465"/>
      <c r="DI366" s="457"/>
      <c r="DJ366" s="464"/>
      <c r="DK366" s="466"/>
      <c r="DL366" s="465"/>
      <c r="DM366" s="457"/>
      <c r="DN366" s="464"/>
      <c r="DO366" s="466"/>
      <c r="DP366" s="465"/>
      <c r="DQ366" s="457"/>
      <c r="DR366" s="464"/>
      <c r="DS366" s="466"/>
      <c r="DT366" s="465"/>
      <c r="DU366" s="457"/>
      <c r="DV366" s="464"/>
      <c r="DW366" s="466"/>
      <c r="DX366" s="465"/>
      <c r="DY366" s="457"/>
      <c r="DZ366" s="464"/>
      <c r="EA366" s="466"/>
      <c r="EB366" s="465"/>
      <c r="EC366" s="457"/>
      <c r="ED366" s="464"/>
      <c r="EE366" s="466"/>
      <c r="EF366" s="459"/>
      <c r="EG366" s="628"/>
      <c r="EH366" s="460">
        <f t="shared" si="200"/>
        <v>0</v>
      </c>
      <c r="EI366" s="460">
        <f t="shared" si="201"/>
        <v>0</v>
      </c>
      <c r="EJ366" s="458">
        <f t="shared" si="202"/>
        <v>0</v>
      </c>
      <c r="EK366" s="470">
        <f t="shared" si="203"/>
        <v>0</v>
      </c>
      <c r="EL366" s="470">
        <f t="shared" si="204"/>
        <v>0</v>
      </c>
      <c r="EM366" s="449">
        <f t="shared" si="205"/>
        <v>0</v>
      </c>
      <c r="EN366" s="460">
        <f t="shared" si="206"/>
        <v>0</v>
      </c>
      <c r="EO366" s="469">
        <f t="shared" si="207"/>
        <v>0</v>
      </c>
      <c r="EP366" s="471"/>
      <c r="EQ366" s="450"/>
      <c r="ER366" s="471"/>
      <c r="ES366" s="450"/>
      <c r="ET366" s="471"/>
      <c r="EU366" s="450"/>
      <c r="EV366" s="471"/>
      <c r="EW366" s="450"/>
      <c r="EX366" s="471"/>
      <c r="EY366" s="450"/>
      <c r="EZ366" s="471"/>
      <c r="FA366" s="450"/>
      <c r="FB366" s="471"/>
      <c r="FC366" s="450"/>
      <c r="FD366" s="471"/>
      <c r="FE366" s="450"/>
      <c r="FF366" s="471"/>
      <c r="FG366" s="450"/>
      <c r="FH366" s="472"/>
      <c r="FI366" s="450"/>
      <c r="FJ366" s="468">
        <f t="shared" si="208"/>
        <v>0</v>
      </c>
      <c r="FK366" s="469">
        <f t="shared" si="209"/>
        <v>0</v>
      </c>
      <c r="FL366" s="472"/>
      <c r="FM366" s="450"/>
      <c r="FN366" s="460">
        <f t="shared" si="210"/>
        <v>291</v>
      </c>
      <c r="FO366" s="469">
        <f t="shared" si="211"/>
        <v>308</v>
      </c>
    </row>
    <row r="367" spans="1:171" x14ac:dyDescent="0.2">
      <c r="A367" s="668" t="s">
        <v>264</v>
      </c>
      <c r="B367" s="672" t="s">
        <v>1068</v>
      </c>
      <c r="C367" s="673" t="s">
        <v>599</v>
      </c>
      <c r="D367" s="674">
        <v>197850</v>
      </c>
      <c r="E367" s="561">
        <v>10</v>
      </c>
      <c r="F367" s="532">
        <v>213</v>
      </c>
      <c r="G367" s="852">
        <v>142</v>
      </c>
      <c r="H367" s="457"/>
      <c r="I367" s="450"/>
      <c r="J367" s="457">
        <v>240</v>
      </c>
      <c r="K367" s="450">
        <v>235</v>
      </c>
      <c r="L367" s="458">
        <f t="shared" si="188"/>
        <v>0</v>
      </c>
      <c r="M367" s="449">
        <f t="shared" si="189"/>
        <v>0</v>
      </c>
      <c r="N367" s="459"/>
      <c r="O367" s="459"/>
      <c r="P367" s="459"/>
      <c r="Q367" s="459"/>
      <c r="R367" s="460">
        <f t="shared" si="190"/>
        <v>0</v>
      </c>
      <c r="S367" s="461"/>
      <c r="T367" s="660"/>
      <c r="U367" s="461"/>
      <c r="V367" s="461"/>
      <c r="W367" s="462">
        <f t="shared" si="212"/>
        <v>0</v>
      </c>
      <c r="X367" s="463"/>
      <c r="Y367" s="457"/>
      <c r="Z367" s="464"/>
      <c r="AA367" s="464"/>
      <c r="AB367" s="465"/>
      <c r="AC367" s="457"/>
      <c r="AD367" s="464"/>
      <c r="AE367" s="466"/>
      <c r="AF367" s="465"/>
      <c r="AG367" s="457"/>
      <c r="AH367" s="464"/>
      <c r="AI367" s="466"/>
      <c r="AJ367" s="465"/>
      <c r="AK367" s="457"/>
      <c r="AL367" s="464"/>
      <c r="AM367" s="466"/>
      <c r="AN367" s="465"/>
      <c r="AO367" s="457"/>
      <c r="AP367" s="464"/>
      <c r="AQ367" s="464"/>
      <c r="AR367" s="460">
        <f t="shared" si="192"/>
        <v>0</v>
      </c>
      <c r="AS367" s="467">
        <f t="shared" si="193"/>
        <v>0</v>
      </c>
      <c r="AT367" s="447">
        <f t="shared" si="194"/>
        <v>0</v>
      </c>
      <c r="AU367" s="448">
        <f t="shared" si="195"/>
        <v>0</v>
      </c>
      <c r="AV367" s="457"/>
      <c r="AW367" s="628"/>
      <c r="AX367" s="463"/>
      <c r="AY367" s="457"/>
      <c r="AZ367" s="464"/>
      <c r="BA367" s="464"/>
      <c r="BB367" s="465"/>
      <c r="BC367" s="457"/>
      <c r="BD367" s="464"/>
      <c r="BE367" s="466"/>
      <c r="BF367" s="465"/>
      <c r="BG367" s="457"/>
      <c r="BH367" s="464"/>
      <c r="BI367" s="466"/>
      <c r="BJ367" s="465"/>
      <c r="BK367" s="457"/>
      <c r="BL367" s="464"/>
      <c r="BM367" s="466"/>
      <c r="BN367" s="465"/>
      <c r="BO367" s="457"/>
      <c r="BP367" s="464"/>
      <c r="BQ367" s="466"/>
      <c r="BR367" s="465"/>
      <c r="BS367" s="457"/>
      <c r="BT367" s="464"/>
      <c r="BU367" s="466"/>
      <c r="BV367" s="465"/>
      <c r="BW367" s="457"/>
      <c r="BX367" s="464"/>
      <c r="BY367" s="466"/>
      <c r="BZ367" s="465"/>
      <c r="CA367" s="457"/>
      <c r="CB367" s="464"/>
      <c r="CC367" s="466"/>
      <c r="CD367" s="465"/>
      <c r="CE367" s="457"/>
      <c r="CF367" s="464"/>
      <c r="CG367" s="466"/>
      <c r="CH367" s="465"/>
      <c r="CI367" s="457"/>
      <c r="CJ367" s="464"/>
      <c r="CK367" s="466"/>
      <c r="CL367" s="459"/>
      <c r="CM367" s="628"/>
      <c r="CN367" s="468">
        <f t="shared" si="196"/>
        <v>0</v>
      </c>
      <c r="CO367" s="468">
        <f t="shared" si="197"/>
        <v>0</v>
      </c>
      <c r="CP367" s="469">
        <f t="shared" si="198"/>
        <v>0</v>
      </c>
      <c r="CQ367" s="469">
        <f t="shared" si="199"/>
        <v>0</v>
      </c>
      <c r="CR367" s="463"/>
      <c r="CS367" s="457"/>
      <c r="CT367" s="464"/>
      <c r="CU367" s="464"/>
      <c r="CV367" s="465"/>
      <c r="CW367" s="457"/>
      <c r="CX367" s="464"/>
      <c r="CY367" s="466"/>
      <c r="CZ367" s="465"/>
      <c r="DA367" s="457"/>
      <c r="DB367" s="464"/>
      <c r="DC367" s="466"/>
      <c r="DD367" s="465"/>
      <c r="DE367" s="457"/>
      <c r="DF367" s="464"/>
      <c r="DG367" s="466"/>
      <c r="DH367" s="465"/>
      <c r="DI367" s="457"/>
      <c r="DJ367" s="464"/>
      <c r="DK367" s="466"/>
      <c r="DL367" s="465"/>
      <c r="DM367" s="457"/>
      <c r="DN367" s="464"/>
      <c r="DO367" s="466"/>
      <c r="DP367" s="465"/>
      <c r="DQ367" s="457"/>
      <c r="DR367" s="464"/>
      <c r="DS367" s="466"/>
      <c r="DT367" s="465"/>
      <c r="DU367" s="457"/>
      <c r="DV367" s="464"/>
      <c r="DW367" s="466"/>
      <c r="DX367" s="465"/>
      <c r="DY367" s="457"/>
      <c r="DZ367" s="464"/>
      <c r="EA367" s="466"/>
      <c r="EB367" s="465"/>
      <c r="EC367" s="457"/>
      <c r="ED367" s="464"/>
      <c r="EE367" s="466"/>
      <c r="EF367" s="459"/>
      <c r="EG367" s="628"/>
      <c r="EH367" s="460">
        <f t="shared" si="200"/>
        <v>0</v>
      </c>
      <c r="EI367" s="460">
        <f t="shared" si="201"/>
        <v>0</v>
      </c>
      <c r="EJ367" s="458">
        <f t="shared" si="202"/>
        <v>0</v>
      </c>
      <c r="EK367" s="470">
        <f t="shared" si="203"/>
        <v>0</v>
      </c>
      <c r="EL367" s="470">
        <f t="shared" si="204"/>
        <v>0</v>
      </c>
      <c r="EM367" s="449">
        <f t="shared" si="205"/>
        <v>0</v>
      </c>
      <c r="EN367" s="460">
        <f t="shared" si="206"/>
        <v>0</v>
      </c>
      <c r="EO367" s="469">
        <f t="shared" si="207"/>
        <v>0</v>
      </c>
      <c r="EP367" s="471"/>
      <c r="EQ367" s="450"/>
      <c r="ER367" s="471"/>
      <c r="ES367" s="450"/>
      <c r="ET367" s="471"/>
      <c r="EU367" s="450"/>
      <c r="EV367" s="471"/>
      <c r="EW367" s="450"/>
      <c r="EX367" s="471"/>
      <c r="EY367" s="450"/>
      <c r="EZ367" s="471"/>
      <c r="FA367" s="450"/>
      <c r="FB367" s="471"/>
      <c r="FC367" s="450"/>
      <c r="FD367" s="471"/>
      <c r="FE367" s="450"/>
      <c r="FF367" s="471"/>
      <c r="FG367" s="450"/>
      <c r="FH367" s="472"/>
      <c r="FI367" s="450"/>
      <c r="FJ367" s="468">
        <f t="shared" si="208"/>
        <v>0</v>
      </c>
      <c r="FK367" s="469">
        <f t="shared" si="209"/>
        <v>0</v>
      </c>
      <c r="FL367" s="472"/>
      <c r="FM367" s="450"/>
      <c r="FN367" s="460">
        <f t="shared" si="210"/>
        <v>453</v>
      </c>
      <c r="FO367" s="469">
        <f t="shared" si="211"/>
        <v>377</v>
      </c>
    </row>
    <row r="368" spans="1:171" x14ac:dyDescent="0.2">
      <c r="A368" s="668" t="s">
        <v>264</v>
      </c>
      <c r="B368" s="672" t="s">
        <v>1069</v>
      </c>
      <c r="C368" s="673" t="s">
        <v>599</v>
      </c>
      <c r="D368" s="674">
        <v>199722</v>
      </c>
      <c r="E368" s="561">
        <v>10</v>
      </c>
      <c r="F368" s="532">
        <v>125</v>
      </c>
      <c r="G368" s="852">
        <v>116</v>
      </c>
      <c r="H368" s="457"/>
      <c r="I368" s="450"/>
      <c r="J368" s="457">
        <v>118</v>
      </c>
      <c r="K368" s="450">
        <v>168</v>
      </c>
      <c r="L368" s="458">
        <f t="shared" si="188"/>
        <v>0</v>
      </c>
      <c r="M368" s="449">
        <f t="shared" si="189"/>
        <v>0</v>
      </c>
      <c r="N368" s="459"/>
      <c r="O368" s="459"/>
      <c r="P368" s="459"/>
      <c r="Q368" s="459"/>
      <c r="R368" s="460">
        <f t="shared" si="190"/>
        <v>0</v>
      </c>
      <c r="S368" s="646"/>
      <c r="T368" s="660"/>
      <c r="U368" s="461"/>
      <c r="V368" s="461"/>
      <c r="W368" s="462">
        <f t="shared" si="212"/>
        <v>0</v>
      </c>
      <c r="X368" s="463"/>
      <c r="Y368" s="457"/>
      <c r="Z368" s="464"/>
      <c r="AA368" s="464"/>
      <c r="AB368" s="465"/>
      <c r="AC368" s="457"/>
      <c r="AD368" s="464"/>
      <c r="AE368" s="466"/>
      <c r="AF368" s="465"/>
      <c r="AG368" s="457"/>
      <c r="AH368" s="464"/>
      <c r="AI368" s="466"/>
      <c r="AJ368" s="465"/>
      <c r="AK368" s="457"/>
      <c r="AL368" s="464"/>
      <c r="AM368" s="466"/>
      <c r="AN368" s="465"/>
      <c r="AO368" s="457"/>
      <c r="AP368" s="464"/>
      <c r="AQ368" s="464"/>
      <c r="AR368" s="460">
        <f t="shared" si="192"/>
        <v>0</v>
      </c>
      <c r="AS368" s="467">
        <f t="shared" si="193"/>
        <v>0</v>
      </c>
      <c r="AT368" s="447">
        <f t="shared" si="194"/>
        <v>0</v>
      </c>
      <c r="AU368" s="448">
        <f t="shared" si="195"/>
        <v>0</v>
      </c>
      <c r="AV368" s="457"/>
      <c r="AW368" s="628"/>
      <c r="AX368" s="463"/>
      <c r="AY368" s="457"/>
      <c r="AZ368" s="392"/>
      <c r="BA368" s="392"/>
      <c r="BB368" s="465"/>
      <c r="BC368" s="457"/>
      <c r="BD368" s="392"/>
      <c r="BE368" s="392"/>
      <c r="BF368" s="465"/>
      <c r="BG368" s="457"/>
      <c r="BH368" s="464"/>
      <c r="BI368" s="466"/>
      <c r="BJ368" s="465"/>
      <c r="BK368" s="457"/>
      <c r="BL368" s="464"/>
      <c r="BM368" s="466"/>
      <c r="BN368" s="465"/>
      <c r="BO368" s="457"/>
      <c r="BP368" s="464"/>
      <c r="BQ368" s="466"/>
      <c r="BR368" s="465"/>
      <c r="BS368" s="457"/>
      <c r="BT368" s="464"/>
      <c r="BU368" s="466"/>
      <c r="BV368" s="465"/>
      <c r="BW368" s="457"/>
      <c r="BX368" s="464"/>
      <c r="BY368" s="466"/>
      <c r="BZ368" s="465"/>
      <c r="CA368" s="457"/>
      <c r="CB368" s="464"/>
      <c r="CC368" s="466"/>
      <c r="CD368" s="465"/>
      <c r="CE368" s="457"/>
      <c r="CF368" s="464"/>
      <c r="CG368" s="466"/>
      <c r="CH368" s="465"/>
      <c r="CI368" s="457"/>
      <c r="CJ368" s="464"/>
      <c r="CK368" s="466"/>
      <c r="CL368" s="459"/>
      <c r="CM368" s="628"/>
      <c r="CN368" s="468">
        <f t="shared" si="196"/>
        <v>0</v>
      </c>
      <c r="CO368" s="468">
        <f t="shared" si="197"/>
        <v>0</v>
      </c>
      <c r="CP368" s="469">
        <f t="shared" si="198"/>
        <v>0</v>
      </c>
      <c r="CQ368" s="469">
        <f t="shared" si="199"/>
        <v>0</v>
      </c>
      <c r="CR368" s="463"/>
      <c r="CS368" s="457"/>
      <c r="CT368" s="392"/>
      <c r="CU368" s="392"/>
      <c r="CV368" s="465"/>
      <c r="CW368" s="457"/>
      <c r="CX368" s="392"/>
      <c r="CY368" s="392"/>
      <c r="CZ368" s="465"/>
      <c r="DA368" s="457"/>
      <c r="DB368" s="392"/>
      <c r="DC368" s="392"/>
      <c r="DD368" s="465"/>
      <c r="DE368" s="457"/>
      <c r="DF368" s="464"/>
      <c r="DG368" s="466"/>
      <c r="DH368" s="465"/>
      <c r="DI368" s="457"/>
      <c r="DJ368" s="464"/>
      <c r="DK368" s="466"/>
      <c r="DL368" s="465"/>
      <c r="DM368" s="457"/>
      <c r="DN368" s="464"/>
      <c r="DO368" s="466"/>
      <c r="DP368" s="465"/>
      <c r="DQ368" s="457"/>
      <c r="DR368" s="464"/>
      <c r="DS368" s="466"/>
      <c r="DT368" s="465"/>
      <c r="DU368" s="457"/>
      <c r="DV368" s="464"/>
      <c r="DW368" s="466"/>
      <c r="DX368" s="465"/>
      <c r="DY368" s="457"/>
      <c r="DZ368" s="464"/>
      <c r="EA368" s="466"/>
      <c r="EB368" s="465"/>
      <c r="EC368" s="457"/>
      <c r="ED368" s="464"/>
      <c r="EE368" s="466"/>
      <c r="EF368" s="459"/>
      <c r="EG368" s="628"/>
      <c r="EH368" s="460">
        <f t="shared" si="200"/>
        <v>0</v>
      </c>
      <c r="EI368" s="460">
        <f t="shared" si="201"/>
        <v>0</v>
      </c>
      <c r="EJ368" s="458">
        <f t="shared" si="202"/>
        <v>0</v>
      </c>
      <c r="EK368" s="470">
        <f t="shared" si="203"/>
        <v>0</v>
      </c>
      <c r="EL368" s="470">
        <f t="shared" si="204"/>
        <v>0</v>
      </c>
      <c r="EM368" s="449">
        <f t="shared" si="205"/>
        <v>0</v>
      </c>
      <c r="EN368" s="460">
        <f t="shared" si="206"/>
        <v>0</v>
      </c>
      <c r="EO368" s="469">
        <f t="shared" si="207"/>
        <v>0</v>
      </c>
      <c r="EP368" s="471"/>
      <c r="EQ368" s="450"/>
      <c r="ER368" s="471"/>
      <c r="ES368" s="450"/>
      <c r="ET368" s="471"/>
      <c r="EU368" s="450"/>
      <c r="EV368" s="471"/>
      <c r="EW368" s="450"/>
      <c r="EX368" s="471"/>
      <c r="EY368" s="450"/>
      <c r="EZ368" s="471"/>
      <c r="FA368" s="450"/>
      <c r="FB368" s="471"/>
      <c r="FC368" s="450"/>
      <c r="FD368" s="471"/>
      <c r="FE368" s="450"/>
      <c r="FF368" s="471"/>
      <c r="FG368" s="450"/>
      <c r="FH368" s="472"/>
      <c r="FI368" s="450"/>
      <c r="FJ368" s="468">
        <f t="shared" si="208"/>
        <v>0</v>
      </c>
      <c r="FK368" s="469">
        <f t="shared" si="209"/>
        <v>0</v>
      </c>
      <c r="FL368" s="472"/>
      <c r="FM368" s="450"/>
      <c r="FN368" s="460">
        <f t="shared" si="210"/>
        <v>243</v>
      </c>
      <c r="FO368" s="469">
        <f t="shared" si="211"/>
        <v>284</v>
      </c>
    </row>
    <row r="369" spans="1:171" x14ac:dyDescent="0.2">
      <c r="A369" s="668" t="s">
        <v>264</v>
      </c>
      <c r="B369" s="672" t="s">
        <v>1070</v>
      </c>
      <c r="C369" s="673" t="s">
        <v>599</v>
      </c>
      <c r="D369" s="674">
        <v>199731</v>
      </c>
      <c r="E369" s="561">
        <v>10</v>
      </c>
      <c r="F369" s="532">
        <v>141</v>
      </c>
      <c r="G369" s="852">
        <v>128</v>
      </c>
      <c r="H369" s="457"/>
      <c r="I369" s="450"/>
      <c r="J369" s="457">
        <v>297</v>
      </c>
      <c r="K369" s="450">
        <v>354</v>
      </c>
      <c r="L369" s="458">
        <f t="shared" si="188"/>
        <v>0</v>
      </c>
      <c r="M369" s="449">
        <f t="shared" si="189"/>
        <v>0</v>
      </c>
      <c r="N369" s="459"/>
      <c r="O369" s="459"/>
      <c r="P369" s="459"/>
      <c r="Q369" s="459"/>
      <c r="R369" s="460">
        <f t="shared" si="190"/>
        <v>0</v>
      </c>
      <c r="S369" s="646"/>
      <c r="T369" s="660"/>
      <c r="U369" s="461"/>
      <c r="V369" s="461"/>
      <c r="W369" s="462">
        <f t="shared" si="212"/>
        <v>0</v>
      </c>
      <c r="X369" s="463"/>
      <c r="Y369" s="457"/>
      <c r="Z369" s="464"/>
      <c r="AA369" s="464"/>
      <c r="AB369" s="465"/>
      <c r="AC369" s="457"/>
      <c r="AD369" s="464"/>
      <c r="AE369" s="466"/>
      <c r="AF369" s="465"/>
      <c r="AG369" s="457"/>
      <c r="AH369" s="464"/>
      <c r="AI369" s="466"/>
      <c r="AJ369" s="465"/>
      <c r="AK369" s="457"/>
      <c r="AL369" s="464"/>
      <c r="AM369" s="466"/>
      <c r="AN369" s="465"/>
      <c r="AO369" s="457"/>
      <c r="AP369" s="464"/>
      <c r="AQ369" s="464"/>
      <c r="AR369" s="460">
        <f t="shared" si="192"/>
        <v>0</v>
      </c>
      <c r="AS369" s="467">
        <f t="shared" si="193"/>
        <v>0</v>
      </c>
      <c r="AT369" s="447">
        <f t="shared" si="194"/>
        <v>0</v>
      </c>
      <c r="AU369" s="448">
        <f t="shared" si="195"/>
        <v>0</v>
      </c>
      <c r="AV369" s="457"/>
      <c r="AW369" s="628"/>
      <c r="AX369" s="463"/>
      <c r="AY369" s="457"/>
      <c r="AZ369" s="464"/>
      <c r="BA369" s="464"/>
      <c r="BB369" s="465"/>
      <c r="BC369" s="457"/>
      <c r="BD369" s="464"/>
      <c r="BE369" s="466"/>
      <c r="BF369" s="465"/>
      <c r="BG369" s="457"/>
      <c r="BH369" s="464"/>
      <c r="BI369" s="466"/>
      <c r="BJ369" s="465"/>
      <c r="BK369" s="457"/>
      <c r="BL369" s="464"/>
      <c r="BM369" s="466"/>
      <c r="BN369" s="465"/>
      <c r="BO369" s="457"/>
      <c r="BP369" s="464"/>
      <c r="BQ369" s="466"/>
      <c r="BR369" s="465"/>
      <c r="BS369" s="457"/>
      <c r="BT369" s="464"/>
      <c r="BU369" s="466"/>
      <c r="BV369" s="465"/>
      <c r="BW369" s="457"/>
      <c r="BX369" s="464"/>
      <c r="BY369" s="466"/>
      <c r="BZ369" s="465"/>
      <c r="CA369" s="457"/>
      <c r="CB369" s="464"/>
      <c r="CC369" s="466"/>
      <c r="CD369" s="465"/>
      <c r="CE369" s="457"/>
      <c r="CF369" s="464"/>
      <c r="CG369" s="466"/>
      <c r="CH369" s="465"/>
      <c r="CI369" s="457"/>
      <c r="CJ369" s="464"/>
      <c r="CK369" s="466"/>
      <c r="CL369" s="459"/>
      <c r="CM369" s="628"/>
      <c r="CN369" s="468">
        <f t="shared" si="196"/>
        <v>0</v>
      </c>
      <c r="CO369" s="468">
        <f t="shared" si="197"/>
        <v>0</v>
      </c>
      <c r="CP369" s="469">
        <f t="shared" si="198"/>
        <v>0</v>
      </c>
      <c r="CQ369" s="469">
        <f t="shared" si="199"/>
        <v>0</v>
      </c>
      <c r="CR369" s="463"/>
      <c r="CS369" s="457"/>
      <c r="CT369" s="464"/>
      <c r="CU369" s="464"/>
      <c r="CV369" s="465"/>
      <c r="CW369" s="457"/>
      <c r="CX369" s="464"/>
      <c r="CY369" s="466"/>
      <c r="CZ369" s="465"/>
      <c r="DA369" s="457"/>
      <c r="DB369" s="464"/>
      <c r="DC369" s="466"/>
      <c r="DD369" s="465"/>
      <c r="DE369" s="457"/>
      <c r="DF369" s="464"/>
      <c r="DG369" s="466"/>
      <c r="DH369" s="465"/>
      <c r="DI369" s="457"/>
      <c r="DJ369" s="464"/>
      <c r="DK369" s="466"/>
      <c r="DL369" s="465"/>
      <c r="DM369" s="457"/>
      <c r="DN369" s="464"/>
      <c r="DO369" s="466"/>
      <c r="DP369" s="465"/>
      <c r="DQ369" s="457"/>
      <c r="DR369" s="464"/>
      <c r="DS369" s="466"/>
      <c r="DT369" s="465"/>
      <c r="DU369" s="457"/>
      <c r="DV369" s="464"/>
      <c r="DW369" s="466"/>
      <c r="DX369" s="465"/>
      <c r="DY369" s="457"/>
      <c r="DZ369" s="464"/>
      <c r="EA369" s="466"/>
      <c r="EB369" s="465"/>
      <c r="EC369" s="457"/>
      <c r="ED369" s="464"/>
      <c r="EE369" s="466"/>
      <c r="EF369" s="459"/>
      <c r="EG369" s="628"/>
      <c r="EH369" s="460">
        <f t="shared" si="200"/>
        <v>0</v>
      </c>
      <c r="EI369" s="460">
        <f t="shared" si="201"/>
        <v>0</v>
      </c>
      <c r="EJ369" s="458">
        <f t="shared" si="202"/>
        <v>0</v>
      </c>
      <c r="EK369" s="470">
        <f t="shared" si="203"/>
        <v>0</v>
      </c>
      <c r="EL369" s="470">
        <f t="shared" si="204"/>
        <v>0</v>
      </c>
      <c r="EM369" s="449">
        <f t="shared" si="205"/>
        <v>0</v>
      </c>
      <c r="EN369" s="460">
        <f t="shared" si="206"/>
        <v>0</v>
      </c>
      <c r="EO369" s="469">
        <f t="shared" si="207"/>
        <v>0</v>
      </c>
      <c r="EP369" s="471"/>
      <c r="EQ369" s="450"/>
      <c r="ER369" s="471"/>
      <c r="ES369" s="450"/>
      <c r="ET369" s="471"/>
      <c r="EU369" s="450"/>
      <c r="EV369" s="471"/>
      <c r="EW369" s="450"/>
      <c r="EX369" s="471"/>
      <c r="EY369" s="450"/>
      <c r="EZ369" s="471"/>
      <c r="FA369" s="450"/>
      <c r="FB369" s="471"/>
      <c r="FC369" s="450"/>
      <c r="FD369" s="471"/>
      <c r="FE369" s="450"/>
      <c r="FF369" s="471"/>
      <c r="FG369" s="450"/>
      <c r="FH369" s="472"/>
      <c r="FI369" s="450"/>
      <c r="FJ369" s="468">
        <f t="shared" si="208"/>
        <v>0</v>
      </c>
      <c r="FK369" s="469">
        <f t="shared" si="209"/>
        <v>0</v>
      </c>
      <c r="FL369" s="472"/>
      <c r="FM369" s="450"/>
      <c r="FN369" s="460">
        <f t="shared" si="210"/>
        <v>438</v>
      </c>
      <c r="FO369" s="469">
        <f t="shared" si="211"/>
        <v>482</v>
      </c>
    </row>
    <row r="370" spans="1:171" x14ac:dyDescent="0.2">
      <c r="A370" s="668" t="s">
        <v>264</v>
      </c>
      <c r="B370" s="669" t="s">
        <v>1071</v>
      </c>
      <c r="C370" s="670"/>
      <c r="D370" s="671">
        <v>199795</v>
      </c>
      <c r="E370" s="565">
        <v>10</v>
      </c>
      <c r="F370" s="532">
        <v>25</v>
      </c>
      <c r="G370" s="852">
        <v>43</v>
      </c>
      <c r="H370" s="457"/>
      <c r="I370" s="450"/>
      <c r="J370" s="457">
        <v>137</v>
      </c>
      <c r="K370" s="450">
        <v>122</v>
      </c>
      <c r="L370" s="458">
        <f t="shared" si="188"/>
        <v>0</v>
      </c>
      <c r="M370" s="449">
        <f t="shared" si="189"/>
        <v>0</v>
      </c>
      <c r="N370" s="459"/>
      <c r="O370" s="459"/>
      <c r="P370" s="459"/>
      <c r="Q370" s="459"/>
      <c r="R370" s="460">
        <f t="shared" si="190"/>
        <v>0</v>
      </c>
      <c r="S370" s="646"/>
      <c r="T370" s="660"/>
      <c r="U370" s="461"/>
      <c r="V370" s="461"/>
      <c r="W370" s="462">
        <f t="shared" si="212"/>
        <v>0</v>
      </c>
      <c r="X370" s="463"/>
      <c r="Y370" s="457"/>
      <c r="Z370" s="464"/>
      <c r="AA370" s="464"/>
      <c r="AB370" s="465"/>
      <c r="AC370" s="457"/>
      <c r="AD370" s="464"/>
      <c r="AE370" s="466"/>
      <c r="AF370" s="465"/>
      <c r="AG370" s="457"/>
      <c r="AH370" s="464"/>
      <c r="AI370" s="466"/>
      <c r="AJ370" s="465"/>
      <c r="AK370" s="457"/>
      <c r="AL370" s="464"/>
      <c r="AM370" s="466"/>
      <c r="AN370" s="465"/>
      <c r="AO370" s="457"/>
      <c r="AP370" s="464"/>
      <c r="AQ370" s="464"/>
      <c r="AR370" s="460">
        <f t="shared" si="192"/>
        <v>0</v>
      </c>
      <c r="AS370" s="467">
        <f t="shared" si="193"/>
        <v>0</v>
      </c>
      <c r="AT370" s="447">
        <f t="shared" si="194"/>
        <v>0</v>
      </c>
      <c r="AU370" s="448">
        <f t="shared" si="195"/>
        <v>0</v>
      </c>
      <c r="AV370" s="457"/>
      <c r="AW370" s="628"/>
      <c r="AX370" s="463"/>
      <c r="AY370" s="457"/>
      <c r="AZ370" s="464"/>
      <c r="BA370" s="464"/>
      <c r="BB370" s="465"/>
      <c r="BC370" s="457"/>
      <c r="BD370" s="464"/>
      <c r="BE370" s="466"/>
      <c r="BF370" s="465"/>
      <c r="BG370" s="457"/>
      <c r="BH370" s="464"/>
      <c r="BI370" s="466"/>
      <c r="BJ370" s="465"/>
      <c r="BK370" s="457"/>
      <c r="BL370" s="464"/>
      <c r="BM370" s="466"/>
      <c r="BN370" s="465"/>
      <c r="BO370" s="457"/>
      <c r="BP370" s="464"/>
      <c r="BQ370" s="466"/>
      <c r="BR370" s="465"/>
      <c r="BS370" s="457"/>
      <c r="BT370" s="392"/>
      <c r="BU370" s="392"/>
      <c r="BV370" s="465"/>
      <c r="BW370" s="457"/>
      <c r="BX370" s="464"/>
      <c r="BY370" s="466"/>
      <c r="BZ370" s="465"/>
      <c r="CA370" s="457"/>
      <c r="CB370" s="464"/>
      <c r="CC370" s="466"/>
      <c r="CD370" s="465"/>
      <c r="CE370" s="457"/>
      <c r="CF370" s="464"/>
      <c r="CG370" s="466"/>
      <c r="CH370" s="465"/>
      <c r="CI370" s="457"/>
      <c r="CJ370" s="464"/>
      <c r="CK370" s="466"/>
      <c r="CL370" s="459"/>
      <c r="CM370" s="628"/>
      <c r="CN370" s="468">
        <f t="shared" si="196"/>
        <v>0</v>
      </c>
      <c r="CO370" s="468">
        <f t="shared" si="197"/>
        <v>0</v>
      </c>
      <c r="CP370" s="469">
        <f t="shared" si="198"/>
        <v>0</v>
      </c>
      <c r="CQ370" s="469">
        <f t="shared" si="199"/>
        <v>0</v>
      </c>
      <c r="CR370" s="463"/>
      <c r="CS370" s="457"/>
      <c r="CT370" s="464"/>
      <c r="CU370" s="464"/>
      <c r="CV370" s="465"/>
      <c r="CW370" s="457"/>
      <c r="CX370" s="464"/>
      <c r="CY370" s="466"/>
      <c r="CZ370" s="465"/>
      <c r="DA370" s="457"/>
      <c r="DB370" s="464"/>
      <c r="DC370" s="466"/>
      <c r="DD370" s="465"/>
      <c r="DE370" s="457"/>
      <c r="DF370" s="464"/>
      <c r="DG370" s="466"/>
      <c r="DH370" s="465"/>
      <c r="DI370" s="457"/>
      <c r="DJ370" s="464"/>
      <c r="DK370" s="466"/>
      <c r="DL370" s="465"/>
      <c r="DM370" s="457"/>
      <c r="DN370" s="464"/>
      <c r="DO370" s="466"/>
      <c r="DP370" s="465"/>
      <c r="DQ370" s="457"/>
      <c r="DR370" s="464"/>
      <c r="DS370" s="466"/>
      <c r="DT370" s="465"/>
      <c r="DU370" s="457"/>
      <c r="DV370" s="464"/>
      <c r="DW370" s="466"/>
      <c r="DX370" s="465"/>
      <c r="DY370" s="457"/>
      <c r="DZ370" s="464"/>
      <c r="EA370" s="466"/>
      <c r="EB370" s="465"/>
      <c r="EC370" s="457"/>
      <c r="ED370" s="464"/>
      <c r="EE370" s="466"/>
      <c r="EF370" s="459"/>
      <c r="EG370" s="628"/>
      <c r="EH370" s="460">
        <f t="shared" si="200"/>
        <v>0</v>
      </c>
      <c r="EI370" s="460">
        <f t="shared" si="201"/>
        <v>0</v>
      </c>
      <c r="EJ370" s="458">
        <f t="shared" si="202"/>
        <v>0</v>
      </c>
      <c r="EK370" s="470">
        <f t="shared" si="203"/>
        <v>0</v>
      </c>
      <c r="EL370" s="470">
        <f t="shared" si="204"/>
        <v>0</v>
      </c>
      <c r="EM370" s="449">
        <f t="shared" si="205"/>
        <v>0</v>
      </c>
      <c r="EN370" s="460">
        <f t="shared" si="206"/>
        <v>0</v>
      </c>
      <c r="EO370" s="469">
        <f t="shared" si="207"/>
        <v>0</v>
      </c>
      <c r="EP370" s="471"/>
      <c r="EQ370" s="450"/>
      <c r="ER370" s="471"/>
      <c r="ES370" s="450"/>
      <c r="ET370" s="471"/>
      <c r="EU370" s="450"/>
      <c r="EV370" s="471"/>
      <c r="EW370" s="450"/>
      <c r="EX370" s="471"/>
      <c r="EY370" s="450"/>
      <c r="EZ370" s="471"/>
      <c r="FA370" s="450"/>
      <c r="FB370" s="471"/>
      <c r="FC370" s="450"/>
      <c r="FD370" s="471"/>
      <c r="FE370" s="450"/>
      <c r="FF370" s="471"/>
      <c r="FG370" s="450"/>
      <c r="FH370" s="472"/>
      <c r="FI370" s="450"/>
      <c r="FJ370" s="468">
        <f t="shared" si="208"/>
        <v>0</v>
      </c>
      <c r="FK370" s="469">
        <f t="shared" si="209"/>
        <v>0</v>
      </c>
      <c r="FL370" s="472"/>
      <c r="FM370" s="450"/>
      <c r="FN370" s="460">
        <f t="shared" si="210"/>
        <v>162</v>
      </c>
      <c r="FO370" s="469">
        <f t="shared" si="211"/>
        <v>165</v>
      </c>
    </row>
    <row r="371" spans="1:171" x14ac:dyDescent="0.2">
      <c r="A371" s="668" t="s">
        <v>264</v>
      </c>
      <c r="B371" s="672" t="s">
        <v>1072</v>
      </c>
      <c r="C371" s="673"/>
      <c r="D371" s="674">
        <v>199953</v>
      </c>
      <c r="E371" s="561">
        <v>10</v>
      </c>
      <c r="F371" s="532">
        <v>127</v>
      </c>
      <c r="G371" s="852">
        <v>100</v>
      </c>
      <c r="H371" s="457"/>
      <c r="I371" s="450"/>
      <c r="J371" s="457">
        <v>202</v>
      </c>
      <c r="K371" s="450">
        <v>218</v>
      </c>
      <c r="L371" s="458">
        <f t="shared" si="188"/>
        <v>0</v>
      </c>
      <c r="M371" s="449">
        <f t="shared" si="189"/>
        <v>0</v>
      </c>
      <c r="N371" s="459"/>
      <c r="O371" s="459"/>
      <c r="P371" s="459"/>
      <c r="Q371" s="459"/>
      <c r="R371" s="460">
        <f t="shared" si="190"/>
        <v>0</v>
      </c>
      <c r="S371" s="646"/>
      <c r="T371" s="660"/>
      <c r="U371" s="461"/>
      <c r="V371" s="461"/>
      <c r="W371" s="462">
        <f t="shared" si="212"/>
        <v>0</v>
      </c>
      <c r="X371" s="463"/>
      <c r="Y371" s="457"/>
      <c r="Z371" s="464"/>
      <c r="AA371" s="464"/>
      <c r="AB371" s="465"/>
      <c r="AC371" s="457"/>
      <c r="AD371" s="464"/>
      <c r="AE371" s="466"/>
      <c r="AF371" s="465"/>
      <c r="AG371" s="457"/>
      <c r="AH371" s="464"/>
      <c r="AI371" s="466"/>
      <c r="AJ371" s="465"/>
      <c r="AK371" s="457"/>
      <c r="AL371" s="464"/>
      <c r="AM371" s="466"/>
      <c r="AN371" s="465"/>
      <c r="AO371" s="457"/>
      <c r="AP371" s="464"/>
      <c r="AQ371" s="464"/>
      <c r="AR371" s="460">
        <f t="shared" si="192"/>
        <v>0</v>
      </c>
      <c r="AS371" s="467">
        <f t="shared" si="193"/>
        <v>0</v>
      </c>
      <c r="AT371" s="447">
        <f t="shared" si="194"/>
        <v>0</v>
      </c>
      <c r="AU371" s="448">
        <f t="shared" si="195"/>
        <v>0</v>
      </c>
      <c r="AV371" s="457"/>
      <c r="AW371" s="628"/>
      <c r="AX371" s="463"/>
      <c r="AY371" s="457"/>
      <c r="AZ371" s="464"/>
      <c r="BA371" s="464"/>
      <c r="BB371" s="465"/>
      <c r="BC371" s="457"/>
      <c r="BD371" s="464"/>
      <c r="BE371" s="466"/>
      <c r="BF371" s="465"/>
      <c r="BG371" s="457"/>
      <c r="BH371" s="464"/>
      <c r="BI371" s="466"/>
      <c r="BJ371" s="465"/>
      <c r="BK371" s="457"/>
      <c r="BL371" s="464"/>
      <c r="BM371" s="466"/>
      <c r="BN371" s="465"/>
      <c r="BO371" s="457"/>
      <c r="BP371" s="464"/>
      <c r="BQ371" s="466"/>
      <c r="BR371" s="465"/>
      <c r="BS371" s="457"/>
      <c r="BT371" s="392"/>
      <c r="BU371" s="392"/>
      <c r="BV371" s="465"/>
      <c r="BW371" s="457"/>
      <c r="BX371" s="464"/>
      <c r="BY371" s="466"/>
      <c r="BZ371" s="465"/>
      <c r="CA371" s="457"/>
      <c r="CB371" s="464"/>
      <c r="CC371" s="466"/>
      <c r="CD371" s="465"/>
      <c r="CE371" s="457"/>
      <c r="CF371" s="464"/>
      <c r="CG371" s="466"/>
      <c r="CH371" s="465"/>
      <c r="CI371" s="457"/>
      <c r="CJ371" s="464"/>
      <c r="CK371" s="466"/>
      <c r="CL371" s="459"/>
      <c r="CM371" s="628"/>
      <c r="CN371" s="468">
        <f t="shared" si="196"/>
        <v>0</v>
      </c>
      <c r="CO371" s="468">
        <f t="shared" si="197"/>
        <v>0</v>
      </c>
      <c r="CP371" s="469">
        <f t="shared" si="198"/>
        <v>0</v>
      </c>
      <c r="CQ371" s="469">
        <f t="shared" si="199"/>
        <v>0</v>
      </c>
      <c r="CR371" s="463"/>
      <c r="CS371" s="457"/>
      <c r="CT371" s="464"/>
      <c r="CU371" s="464"/>
      <c r="CV371" s="465"/>
      <c r="CW371" s="457"/>
      <c r="CX371" s="464"/>
      <c r="CY371" s="466"/>
      <c r="CZ371" s="465"/>
      <c r="DA371" s="457"/>
      <c r="DB371" s="464"/>
      <c r="DC371" s="466"/>
      <c r="DD371" s="465"/>
      <c r="DE371" s="457"/>
      <c r="DF371" s="464"/>
      <c r="DG371" s="466"/>
      <c r="DH371" s="465"/>
      <c r="DI371" s="457"/>
      <c r="DJ371" s="464"/>
      <c r="DK371" s="466"/>
      <c r="DL371" s="465"/>
      <c r="DM371" s="457"/>
      <c r="DN371" s="464"/>
      <c r="DO371" s="466"/>
      <c r="DP371" s="465"/>
      <c r="DQ371" s="457"/>
      <c r="DR371" s="464"/>
      <c r="DS371" s="466"/>
      <c r="DT371" s="465"/>
      <c r="DU371" s="457"/>
      <c r="DV371" s="464"/>
      <c r="DW371" s="466"/>
      <c r="DX371" s="465"/>
      <c r="DY371" s="457"/>
      <c r="DZ371" s="464"/>
      <c r="EA371" s="466"/>
      <c r="EB371" s="465"/>
      <c r="EC371" s="457"/>
      <c r="ED371" s="464"/>
      <c r="EE371" s="466"/>
      <c r="EF371" s="459"/>
      <c r="EG371" s="628"/>
      <c r="EH371" s="460">
        <f t="shared" si="200"/>
        <v>0</v>
      </c>
      <c r="EI371" s="460">
        <f t="shared" si="201"/>
        <v>0</v>
      </c>
      <c r="EJ371" s="458">
        <f t="shared" si="202"/>
        <v>0</v>
      </c>
      <c r="EK371" s="470">
        <f t="shared" si="203"/>
        <v>0</v>
      </c>
      <c r="EL371" s="470">
        <f t="shared" si="204"/>
        <v>0</v>
      </c>
      <c r="EM371" s="449">
        <f t="shared" si="205"/>
        <v>0</v>
      </c>
      <c r="EN371" s="460">
        <f t="shared" si="206"/>
        <v>0</v>
      </c>
      <c r="EO371" s="469">
        <f t="shared" si="207"/>
        <v>0</v>
      </c>
      <c r="EP371" s="471"/>
      <c r="EQ371" s="450"/>
      <c r="ER371" s="471"/>
      <c r="ES371" s="450"/>
      <c r="ET371" s="471"/>
      <c r="EU371" s="450"/>
      <c r="EV371" s="471"/>
      <c r="EW371" s="450"/>
      <c r="EX371" s="471"/>
      <c r="EY371" s="450"/>
      <c r="EZ371" s="471"/>
      <c r="FA371" s="450"/>
      <c r="FB371" s="471"/>
      <c r="FC371" s="450"/>
      <c r="FD371" s="471"/>
      <c r="FE371" s="450"/>
      <c r="FF371" s="471"/>
      <c r="FG371" s="450"/>
      <c r="FH371" s="472"/>
      <c r="FI371" s="450"/>
      <c r="FJ371" s="468">
        <f t="shared" si="208"/>
        <v>0</v>
      </c>
      <c r="FK371" s="469">
        <f t="shared" si="209"/>
        <v>0</v>
      </c>
      <c r="FL371" s="472"/>
      <c r="FM371" s="450"/>
      <c r="FN371" s="460">
        <f t="shared" si="210"/>
        <v>329</v>
      </c>
      <c r="FO371" s="469">
        <f t="shared" si="211"/>
        <v>318</v>
      </c>
    </row>
    <row r="372" spans="1:171" x14ac:dyDescent="0.2">
      <c r="A372" s="593" t="s">
        <v>644</v>
      </c>
      <c r="B372" s="440" t="s">
        <v>770</v>
      </c>
      <c r="C372" s="441"/>
      <c r="D372" s="438">
        <v>207388</v>
      </c>
      <c r="E372" s="594">
        <v>1</v>
      </c>
      <c r="F372" s="532"/>
      <c r="G372" s="450"/>
      <c r="H372" s="457"/>
      <c r="I372" s="450"/>
      <c r="J372" s="457"/>
      <c r="K372" s="450"/>
      <c r="L372" s="458">
        <f t="shared" si="188"/>
        <v>0</v>
      </c>
      <c r="M372" s="449">
        <f t="shared" si="189"/>
        <v>0</v>
      </c>
      <c r="N372" s="459">
        <v>3655</v>
      </c>
      <c r="O372" s="459">
        <v>250</v>
      </c>
      <c r="P372" s="459"/>
      <c r="Q372" s="459"/>
      <c r="R372" s="460">
        <f t="shared" si="190"/>
        <v>250</v>
      </c>
      <c r="S372" s="646">
        <v>3781</v>
      </c>
      <c r="T372" s="461">
        <v>259</v>
      </c>
      <c r="U372" s="461"/>
      <c r="V372" s="461"/>
      <c r="W372" s="462">
        <f t="shared" si="212"/>
        <v>259</v>
      </c>
      <c r="X372" s="463"/>
      <c r="Y372" s="457"/>
      <c r="Z372" s="464"/>
      <c r="AA372" s="464"/>
      <c r="AB372" s="465"/>
      <c r="AC372" s="457"/>
      <c r="AD372" s="464"/>
      <c r="AE372" s="466"/>
      <c r="AF372" s="465"/>
      <c r="AG372" s="457"/>
      <c r="AH372" s="464"/>
      <c r="AI372" s="466"/>
      <c r="AJ372" s="465"/>
      <c r="AK372" s="457"/>
      <c r="AL372" s="464"/>
      <c r="AM372" s="466"/>
      <c r="AN372" s="465"/>
      <c r="AO372" s="457"/>
      <c r="AP372" s="464"/>
      <c r="AQ372" s="464"/>
      <c r="AR372" s="460">
        <f t="shared" si="192"/>
        <v>0</v>
      </c>
      <c r="AS372" s="467">
        <f t="shared" si="193"/>
        <v>0.71012240139887317</v>
      </c>
      <c r="AT372" s="447">
        <f t="shared" si="194"/>
        <v>0</v>
      </c>
      <c r="AU372" s="448">
        <f t="shared" si="195"/>
        <v>0.69173069886571537</v>
      </c>
      <c r="AV372" s="457">
        <v>57</v>
      </c>
      <c r="AW372" s="450">
        <v>72</v>
      </c>
      <c r="AX372" s="463">
        <v>52</v>
      </c>
      <c r="AY372" s="457">
        <v>298</v>
      </c>
      <c r="AZ372" s="464">
        <v>14</v>
      </c>
      <c r="BA372" s="464">
        <v>246</v>
      </c>
      <c r="BB372" s="465">
        <v>14</v>
      </c>
      <c r="BC372" s="457">
        <v>235</v>
      </c>
      <c r="BD372" s="464">
        <v>52</v>
      </c>
      <c r="BE372" s="466">
        <v>245</v>
      </c>
      <c r="BF372" s="465">
        <v>13</v>
      </c>
      <c r="BG372" s="457">
        <v>125</v>
      </c>
      <c r="BH372" s="464">
        <v>13</v>
      </c>
      <c r="BI372" s="466">
        <v>147</v>
      </c>
      <c r="BJ372" s="465">
        <v>30</v>
      </c>
      <c r="BK372" s="457">
        <v>85</v>
      </c>
      <c r="BL372" s="464">
        <v>1</v>
      </c>
      <c r="BM372" s="466">
        <v>110</v>
      </c>
      <c r="BN372" s="465">
        <v>1</v>
      </c>
      <c r="BO372" s="457">
        <v>71</v>
      </c>
      <c r="BP372" s="464">
        <v>30</v>
      </c>
      <c r="BQ372" s="466">
        <v>89</v>
      </c>
      <c r="BR372" s="465">
        <v>26</v>
      </c>
      <c r="BS372" s="457">
        <v>40</v>
      </c>
      <c r="BT372" s="392">
        <v>11</v>
      </c>
      <c r="BU372" s="392">
        <v>81</v>
      </c>
      <c r="BV372" s="465">
        <v>19</v>
      </c>
      <c r="BW372" s="457">
        <v>37</v>
      </c>
      <c r="BX372" s="464">
        <v>19</v>
      </c>
      <c r="BY372" s="466">
        <v>56</v>
      </c>
      <c r="BZ372" s="465">
        <v>42</v>
      </c>
      <c r="CA372" s="457">
        <v>30</v>
      </c>
      <c r="CB372" s="464">
        <v>51</v>
      </c>
      <c r="CC372" s="466">
        <v>31</v>
      </c>
      <c r="CD372" s="465">
        <v>11</v>
      </c>
      <c r="CE372" s="457">
        <v>29</v>
      </c>
      <c r="CF372" s="464">
        <v>26</v>
      </c>
      <c r="CG372" s="466">
        <v>30</v>
      </c>
      <c r="CH372" s="465">
        <v>51</v>
      </c>
      <c r="CI372" s="457">
        <v>19</v>
      </c>
      <c r="CJ372" s="464">
        <v>42</v>
      </c>
      <c r="CK372" s="466">
        <v>29</v>
      </c>
      <c r="CL372" s="459">
        <v>112</v>
      </c>
      <c r="CM372" s="450">
        <v>170</v>
      </c>
      <c r="CN372" s="468">
        <f t="shared" si="196"/>
        <v>1081</v>
      </c>
      <c r="CO372" s="468">
        <f t="shared" si="197"/>
        <v>10</v>
      </c>
      <c r="CP372" s="469">
        <f t="shared" si="198"/>
        <v>1234</v>
      </c>
      <c r="CQ372" s="469">
        <f t="shared" si="199"/>
        <v>10</v>
      </c>
      <c r="CR372" s="463">
        <v>13</v>
      </c>
      <c r="CS372" s="457">
        <v>35</v>
      </c>
      <c r="CT372" s="464">
        <v>13</v>
      </c>
      <c r="CU372" s="464">
        <v>46</v>
      </c>
      <c r="CV372" s="465">
        <v>42</v>
      </c>
      <c r="CW372" s="457">
        <v>30</v>
      </c>
      <c r="CX372" s="464">
        <v>42</v>
      </c>
      <c r="CY372" s="466">
        <v>27</v>
      </c>
      <c r="CZ372" s="465">
        <v>14</v>
      </c>
      <c r="DA372" s="457">
        <v>21</v>
      </c>
      <c r="DB372" s="464">
        <v>14</v>
      </c>
      <c r="DC372" s="466">
        <v>25</v>
      </c>
      <c r="DD372" s="465">
        <v>26</v>
      </c>
      <c r="DE372" s="457">
        <v>19</v>
      </c>
      <c r="DF372" s="464">
        <v>1</v>
      </c>
      <c r="DG372" s="466">
        <v>20</v>
      </c>
      <c r="DH372" s="465">
        <v>19</v>
      </c>
      <c r="DI372" s="457">
        <v>14</v>
      </c>
      <c r="DJ372" s="464">
        <v>19</v>
      </c>
      <c r="DK372" s="466">
        <v>19</v>
      </c>
      <c r="DL372" s="465">
        <v>40</v>
      </c>
      <c r="DM372" s="457">
        <v>13</v>
      </c>
      <c r="DN372" s="464">
        <v>26</v>
      </c>
      <c r="DO372" s="466">
        <v>17</v>
      </c>
      <c r="DP372" s="465">
        <v>1</v>
      </c>
      <c r="DQ372" s="457">
        <v>12</v>
      </c>
      <c r="DR372" s="464">
        <v>40</v>
      </c>
      <c r="DS372" s="466">
        <v>11</v>
      </c>
      <c r="DT372" s="465">
        <v>52</v>
      </c>
      <c r="DU372" s="457">
        <v>12</v>
      </c>
      <c r="DV372" s="464">
        <v>52</v>
      </c>
      <c r="DW372" s="466">
        <v>10</v>
      </c>
      <c r="DX372" s="465">
        <v>31</v>
      </c>
      <c r="DY372" s="457">
        <v>6</v>
      </c>
      <c r="DZ372" s="464">
        <v>51</v>
      </c>
      <c r="EA372" s="466">
        <v>7</v>
      </c>
      <c r="EB372" s="465">
        <v>11</v>
      </c>
      <c r="EC372" s="457">
        <v>5</v>
      </c>
      <c r="ED372" s="464">
        <v>31</v>
      </c>
      <c r="EE372" s="466">
        <v>6</v>
      </c>
      <c r="EF372" s="459">
        <v>22</v>
      </c>
      <c r="EG372" s="450">
        <v>24</v>
      </c>
      <c r="EH372" s="460">
        <f t="shared" si="200"/>
        <v>189</v>
      </c>
      <c r="EI372" s="460">
        <f t="shared" si="201"/>
        <v>10</v>
      </c>
      <c r="EJ372" s="458">
        <f t="shared" si="202"/>
        <v>0.18518518518518517</v>
      </c>
      <c r="EK372" s="470">
        <f t="shared" si="203"/>
        <v>212</v>
      </c>
      <c r="EL372" s="470">
        <f t="shared" si="204"/>
        <v>10</v>
      </c>
      <c r="EM372" s="449">
        <f t="shared" si="205"/>
        <v>0.21698113207547171</v>
      </c>
      <c r="EN372" s="460">
        <f t="shared" si="206"/>
        <v>1270</v>
      </c>
      <c r="EO372" s="469">
        <f t="shared" si="207"/>
        <v>1446</v>
      </c>
      <c r="EP372" s="471"/>
      <c r="EQ372" s="450"/>
      <c r="ER372" s="471"/>
      <c r="ES372" s="450"/>
      <c r="ET372" s="471"/>
      <c r="EU372" s="450"/>
      <c r="EV372" s="471"/>
      <c r="EW372" s="450"/>
      <c r="EX372" s="471"/>
      <c r="EY372" s="450"/>
      <c r="EZ372" s="471"/>
      <c r="FA372" s="450"/>
      <c r="FB372" s="471">
        <v>82</v>
      </c>
      <c r="FC372" s="450">
        <v>83</v>
      </c>
      <c r="FD372" s="471">
        <v>83</v>
      </c>
      <c r="FE372" s="450">
        <v>84</v>
      </c>
      <c r="FF372" s="471"/>
      <c r="FG372" s="450"/>
      <c r="FH372" s="472"/>
      <c r="FI372" s="450"/>
      <c r="FJ372" s="468">
        <f t="shared" si="208"/>
        <v>165</v>
      </c>
      <c r="FK372" s="469">
        <f t="shared" si="209"/>
        <v>167</v>
      </c>
      <c r="FL372" s="472"/>
      <c r="FM372" s="450"/>
      <c r="FN372" s="460">
        <f t="shared" si="210"/>
        <v>5147</v>
      </c>
      <c r="FO372" s="469">
        <f t="shared" si="211"/>
        <v>5466</v>
      </c>
    </row>
    <row r="373" spans="1:171" x14ac:dyDescent="0.2">
      <c r="A373" s="593" t="s">
        <v>644</v>
      </c>
      <c r="B373" s="440" t="s">
        <v>771</v>
      </c>
      <c r="C373" s="441"/>
      <c r="D373" s="438">
        <v>207500</v>
      </c>
      <c r="E373" s="594">
        <v>1</v>
      </c>
      <c r="F373" s="532"/>
      <c r="G373" s="450"/>
      <c r="H373" s="457"/>
      <c r="I373" s="450"/>
      <c r="J373" s="457"/>
      <c r="K373" s="450"/>
      <c r="L373" s="458">
        <f t="shared" si="188"/>
        <v>0</v>
      </c>
      <c r="M373" s="449">
        <f t="shared" si="189"/>
        <v>0</v>
      </c>
      <c r="N373" s="459">
        <v>4442</v>
      </c>
      <c r="O373" s="459">
        <v>167</v>
      </c>
      <c r="P373" s="459"/>
      <c r="Q373" s="459"/>
      <c r="R373" s="460">
        <f t="shared" si="190"/>
        <v>167</v>
      </c>
      <c r="S373" s="646">
        <v>4450</v>
      </c>
      <c r="T373" s="461">
        <v>156</v>
      </c>
      <c r="U373" s="461"/>
      <c r="V373" s="461"/>
      <c r="W373" s="462">
        <f t="shared" si="212"/>
        <v>156</v>
      </c>
      <c r="X373" s="463"/>
      <c r="Y373" s="457"/>
      <c r="Z373" s="464"/>
      <c r="AA373" s="464"/>
      <c r="AB373" s="465"/>
      <c r="AC373" s="457"/>
      <c r="AD373" s="464"/>
      <c r="AE373" s="466"/>
      <c r="AF373" s="465"/>
      <c r="AG373" s="457"/>
      <c r="AH373" s="464"/>
      <c r="AI373" s="466"/>
      <c r="AJ373" s="465"/>
      <c r="AK373" s="457"/>
      <c r="AL373" s="464"/>
      <c r="AM373" s="466"/>
      <c r="AN373" s="465"/>
      <c r="AO373" s="457"/>
      <c r="AP373" s="464"/>
      <c r="AQ373" s="464"/>
      <c r="AR373" s="460">
        <f t="shared" si="192"/>
        <v>0</v>
      </c>
      <c r="AS373" s="467">
        <f t="shared" si="193"/>
        <v>0.60525957214879411</v>
      </c>
      <c r="AT373" s="447">
        <f t="shared" si="194"/>
        <v>0</v>
      </c>
      <c r="AU373" s="448">
        <f t="shared" si="195"/>
        <v>0.61566131710016603</v>
      </c>
      <c r="AV373" s="457">
        <v>53</v>
      </c>
      <c r="AW373" s="450">
        <v>86</v>
      </c>
      <c r="AX373" s="463">
        <v>52</v>
      </c>
      <c r="AY373" s="457">
        <v>455</v>
      </c>
      <c r="AZ373" s="464">
        <v>52</v>
      </c>
      <c r="BA373" s="464">
        <v>488</v>
      </c>
      <c r="BB373" s="465">
        <v>5</v>
      </c>
      <c r="BC373" s="457">
        <v>269</v>
      </c>
      <c r="BD373" s="464">
        <v>44</v>
      </c>
      <c r="BE373" s="466">
        <v>250</v>
      </c>
      <c r="BF373" s="465">
        <v>44</v>
      </c>
      <c r="BG373" s="457">
        <v>263</v>
      </c>
      <c r="BH373" s="464">
        <v>30</v>
      </c>
      <c r="BI373" s="466">
        <v>215</v>
      </c>
      <c r="BJ373" s="465">
        <v>30</v>
      </c>
      <c r="BK373" s="457">
        <v>166</v>
      </c>
      <c r="BL373" s="464">
        <v>14</v>
      </c>
      <c r="BM373" s="466">
        <v>157</v>
      </c>
      <c r="BN373" s="465">
        <v>13</v>
      </c>
      <c r="BO373" s="457">
        <v>163</v>
      </c>
      <c r="BP373" s="464">
        <v>13</v>
      </c>
      <c r="BQ373" s="466">
        <v>145</v>
      </c>
      <c r="BR373" s="465">
        <v>14</v>
      </c>
      <c r="BS373" s="457">
        <v>138</v>
      </c>
      <c r="BT373" s="392">
        <v>24</v>
      </c>
      <c r="BU373" s="392">
        <v>142</v>
      </c>
      <c r="BV373" s="465">
        <v>24</v>
      </c>
      <c r="BW373" s="457">
        <v>102</v>
      </c>
      <c r="BX373" s="464">
        <v>40</v>
      </c>
      <c r="BY373" s="466">
        <v>72</v>
      </c>
      <c r="BZ373" s="465">
        <v>40</v>
      </c>
      <c r="CA373" s="457">
        <v>73</v>
      </c>
      <c r="CB373" s="464">
        <v>25</v>
      </c>
      <c r="CC373" s="466">
        <v>60</v>
      </c>
      <c r="CD373" s="465">
        <v>45</v>
      </c>
      <c r="CE373" s="457">
        <v>61</v>
      </c>
      <c r="CF373" s="464">
        <v>45</v>
      </c>
      <c r="CG373" s="466">
        <v>54</v>
      </c>
      <c r="CH373" s="465">
        <v>25</v>
      </c>
      <c r="CI373" s="457">
        <v>55</v>
      </c>
      <c r="CJ373" s="464">
        <v>50</v>
      </c>
      <c r="CK373" s="466">
        <v>49</v>
      </c>
      <c r="CL373" s="459">
        <v>229</v>
      </c>
      <c r="CM373" s="450">
        <v>195</v>
      </c>
      <c r="CN373" s="468">
        <f t="shared" si="196"/>
        <v>1974</v>
      </c>
      <c r="CO373" s="468">
        <f t="shared" si="197"/>
        <v>10</v>
      </c>
      <c r="CP373" s="469">
        <f t="shared" si="198"/>
        <v>1827</v>
      </c>
      <c r="CQ373" s="469">
        <f t="shared" si="199"/>
        <v>10</v>
      </c>
      <c r="CR373" s="463">
        <v>26</v>
      </c>
      <c r="CS373" s="457">
        <v>32</v>
      </c>
      <c r="CT373" s="464">
        <v>14</v>
      </c>
      <c r="CU373" s="464">
        <v>40</v>
      </c>
      <c r="CV373" s="465">
        <v>40</v>
      </c>
      <c r="CW373" s="457">
        <v>27</v>
      </c>
      <c r="CX373" s="464">
        <v>40</v>
      </c>
      <c r="CY373" s="466">
        <v>32</v>
      </c>
      <c r="CZ373" s="465">
        <v>13</v>
      </c>
      <c r="DA373" s="457">
        <v>24</v>
      </c>
      <c r="DB373" s="464">
        <v>13</v>
      </c>
      <c r="DC373" s="466">
        <v>29</v>
      </c>
      <c r="DD373" s="465">
        <v>42</v>
      </c>
      <c r="DE373" s="457">
        <v>23</v>
      </c>
      <c r="DF373" s="464">
        <v>45</v>
      </c>
      <c r="DG373" s="466">
        <v>22</v>
      </c>
      <c r="DH373" s="465">
        <v>14</v>
      </c>
      <c r="DI373" s="457">
        <v>21</v>
      </c>
      <c r="DJ373" s="464">
        <v>42</v>
      </c>
      <c r="DK373" s="466">
        <v>17</v>
      </c>
      <c r="DL373" s="465">
        <v>45</v>
      </c>
      <c r="DM373" s="457">
        <v>19</v>
      </c>
      <c r="DN373" s="464">
        <v>50</v>
      </c>
      <c r="DO373" s="466">
        <v>12</v>
      </c>
      <c r="DP373" s="465">
        <v>50</v>
      </c>
      <c r="DQ373" s="457">
        <v>13</v>
      </c>
      <c r="DR373" s="464">
        <v>52</v>
      </c>
      <c r="DS373" s="466">
        <v>10</v>
      </c>
      <c r="DT373" s="465">
        <v>9</v>
      </c>
      <c r="DU373" s="457">
        <v>10</v>
      </c>
      <c r="DV373" s="464">
        <v>27</v>
      </c>
      <c r="DW373" s="466">
        <v>8</v>
      </c>
      <c r="DX373" s="465">
        <v>27</v>
      </c>
      <c r="DY373" s="457">
        <v>7</v>
      </c>
      <c r="DZ373" s="464">
        <v>9</v>
      </c>
      <c r="EA373" s="466">
        <v>7</v>
      </c>
      <c r="EB373" s="465">
        <v>51</v>
      </c>
      <c r="EC373" s="457">
        <v>6</v>
      </c>
      <c r="ED373" s="464">
        <v>11</v>
      </c>
      <c r="EE373" s="466">
        <v>6</v>
      </c>
      <c r="EF373" s="459">
        <v>29</v>
      </c>
      <c r="EG373" s="450">
        <v>35</v>
      </c>
      <c r="EH373" s="460">
        <f t="shared" si="200"/>
        <v>211</v>
      </c>
      <c r="EI373" s="460">
        <f t="shared" si="201"/>
        <v>10</v>
      </c>
      <c r="EJ373" s="458">
        <f t="shared" si="202"/>
        <v>0.15165876777251186</v>
      </c>
      <c r="EK373" s="470">
        <f t="shared" si="203"/>
        <v>218</v>
      </c>
      <c r="EL373" s="470">
        <f t="shared" si="204"/>
        <v>10</v>
      </c>
      <c r="EM373" s="449">
        <f t="shared" si="205"/>
        <v>0.1834862385321101</v>
      </c>
      <c r="EN373" s="460">
        <f t="shared" si="206"/>
        <v>2185</v>
      </c>
      <c r="EO373" s="469">
        <f t="shared" si="207"/>
        <v>2045</v>
      </c>
      <c r="EP373" s="471">
        <v>160</v>
      </c>
      <c r="EQ373" s="450">
        <v>186</v>
      </c>
      <c r="ER373" s="471">
        <v>164</v>
      </c>
      <c r="ES373" s="450">
        <v>156</v>
      </c>
      <c r="ET373" s="471">
        <v>62</v>
      </c>
      <c r="EU373" s="450">
        <v>58</v>
      </c>
      <c r="EV373" s="471">
        <v>120</v>
      </c>
      <c r="EW373" s="450">
        <v>116</v>
      </c>
      <c r="EX373" s="471"/>
      <c r="EY373" s="450"/>
      <c r="EZ373" s="471"/>
      <c r="FA373" s="450"/>
      <c r="FB373" s="471"/>
      <c r="FC373" s="450"/>
      <c r="FD373" s="471"/>
      <c r="FE373" s="450"/>
      <c r="FF373" s="471"/>
      <c r="FG373" s="450"/>
      <c r="FH373" s="472">
        <v>153</v>
      </c>
      <c r="FI373" s="450">
        <v>131</v>
      </c>
      <c r="FJ373" s="468">
        <f t="shared" si="208"/>
        <v>659</v>
      </c>
      <c r="FK373" s="469">
        <f t="shared" si="209"/>
        <v>647</v>
      </c>
      <c r="FL373" s="472"/>
      <c r="FM373" s="450"/>
      <c r="FN373" s="460">
        <f t="shared" si="210"/>
        <v>7339</v>
      </c>
      <c r="FO373" s="469">
        <f t="shared" si="211"/>
        <v>7228</v>
      </c>
    </row>
    <row r="374" spans="1:171" x14ac:dyDescent="0.2">
      <c r="A374" s="593" t="s">
        <v>644</v>
      </c>
      <c r="B374" s="440" t="s">
        <v>772</v>
      </c>
      <c r="C374" s="441"/>
      <c r="D374" s="438">
        <v>207263</v>
      </c>
      <c r="E374" s="594">
        <v>3</v>
      </c>
      <c r="F374" s="532"/>
      <c r="G374" s="450"/>
      <c r="H374" s="457"/>
      <c r="I374" s="450"/>
      <c r="J374" s="457"/>
      <c r="K374" s="450"/>
      <c r="L374" s="458">
        <f t="shared" si="188"/>
        <v>0</v>
      </c>
      <c r="M374" s="449">
        <f t="shared" si="189"/>
        <v>0</v>
      </c>
      <c r="N374" s="459">
        <v>1430</v>
      </c>
      <c r="O374" s="459">
        <v>320</v>
      </c>
      <c r="P374" s="459"/>
      <c r="Q374" s="459"/>
      <c r="R374" s="460">
        <f t="shared" si="190"/>
        <v>320</v>
      </c>
      <c r="S374" s="646">
        <v>1513</v>
      </c>
      <c r="T374" s="461">
        <v>312</v>
      </c>
      <c r="U374" s="461"/>
      <c r="V374" s="461"/>
      <c r="W374" s="462">
        <f t="shared" si="212"/>
        <v>312</v>
      </c>
      <c r="X374" s="463"/>
      <c r="Y374" s="457"/>
      <c r="Z374" s="464"/>
      <c r="AA374" s="464"/>
      <c r="AB374" s="465"/>
      <c r="AC374" s="457"/>
      <c r="AD374" s="464"/>
      <c r="AE374" s="466"/>
      <c r="AF374" s="465"/>
      <c r="AG374" s="457"/>
      <c r="AH374" s="464"/>
      <c r="AI374" s="466"/>
      <c r="AJ374" s="465"/>
      <c r="AK374" s="457"/>
      <c r="AL374" s="464"/>
      <c r="AM374" s="466"/>
      <c r="AN374" s="465"/>
      <c r="AO374" s="457"/>
      <c r="AP374" s="464"/>
      <c r="AQ374" s="464"/>
      <c r="AR374" s="460">
        <f t="shared" si="192"/>
        <v>0</v>
      </c>
      <c r="AS374" s="467">
        <f t="shared" si="193"/>
        <v>0.80022383883603809</v>
      </c>
      <c r="AT374" s="447">
        <f t="shared" si="194"/>
        <v>0</v>
      </c>
      <c r="AU374" s="448">
        <f t="shared" si="195"/>
        <v>0.83177570093457942</v>
      </c>
      <c r="AV374" s="457"/>
      <c r="AW374" s="450"/>
      <c r="AX374" s="463">
        <v>13</v>
      </c>
      <c r="AY374" s="457">
        <v>163</v>
      </c>
      <c r="AZ374" s="464">
        <v>13</v>
      </c>
      <c r="BA374" s="464">
        <v>114</v>
      </c>
      <c r="BB374" s="465">
        <v>52</v>
      </c>
      <c r="BC374" s="457">
        <v>55</v>
      </c>
      <c r="BD374" s="464">
        <v>52</v>
      </c>
      <c r="BE374" s="466">
        <v>47</v>
      </c>
      <c r="BF374" s="465">
        <v>42</v>
      </c>
      <c r="BG374" s="457">
        <v>30</v>
      </c>
      <c r="BH374" s="464">
        <v>51</v>
      </c>
      <c r="BI374" s="466">
        <v>34</v>
      </c>
      <c r="BJ374" s="465">
        <v>51</v>
      </c>
      <c r="BK374" s="457">
        <v>21</v>
      </c>
      <c r="BL374" s="464">
        <v>42</v>
      </c>
      <c r="BM374" s="466">
        <v>24</v>
      </c>
      <c r="BN374" s="465">
        <v>25</v>
      </c>
      <c r="BO374" s="457">
        <v>19</v>
      </c>
      <c r="BP374" s="464">
        <v>25</v>
      </c>
      <c r="BQ374" s="466">
        <v>14</v>
      </c>
      <c r="BR374" s="465">
        <v>23</v>
      </c>
      <c r="BS374" s="457">
        <v>14</v>
      </c>
      <c r="BT374" s="392">
        <v>23</v>
      </c>
      <c r="BU374" s="392">
        <v>12</v>
      </c>
      <c r="BV374" s="465">
        <v>43</v>
      </c>
      <c r="BW374" s="457">
        <v>11</v>
      </c>
      <c r="BX374" s="464">
        <v>43</v>
      </c>
      <c r="BY374" s="466">
        <v>11</v>
      </c>
      <c r="BZ374" s="465">
        <v>31</v>
      </c>
      <c r="CA374" s="457">
        <v>9</v>
      </c>
      <c r="CB374" s="464">
        <v>15</v>
      </c>
      <c r="CC374" s="466">
        <v>8</v>
      </c>
      <c r="CD374" s="465">
        <v>15</v>
      </c>
      <c r="CE374" s="457">
        <v>4</v>
      </c>
      <c r="CF374" s="464">
        <v>31</v>
      </c>
      <c r="CG374" s="466">
        <v>8</v>
      </c>
      <c r="CH374" s="465">
        <v>5</v>
      </c>
      <c r="CI374" s="457">
        <v>3</v>
      </c>
      <c r="CJ374" s="464">
        <v>9</v>
      </c>
      <c r="CK374" s="466">
        <v>4</v>
      </c>
      <c r="CL374" s="459">
        <v>2</v>
      </c>
      <c r="CM374" s="450">
        <v>3</v>
      </c>
      <c r="CN374" s="468">
        <f t="shared" si="196"/>
        <v>331</v>
      </c>
      <c r="CO374" s="468">
        <f t="shared" si="197"/>
        <v>10</v>
      </c>
      <c r="CP374" s="469">
        <f t="shared" si="198"/>
        <v>279</v>
      </c>
      <c r="CQ374" s="469">
        <f t="shared" si="199"/>
        <v>10</v>
      </c>
      <c r="CR374" s="463"/>
      <c r="CS374" s="457"/>
      <c r="CT374" s="464"/>
      <c r="CU374" s="464"/>
      <c r="CV374" s="465"/>
      <c r="CW374" s="457"/>
      <c r="CX374" s="464"/>
      <c r="CY374" s="466"/>
      <c r="CZ374" s="465"/>
      <c r="DA374" s="457"/>
      <c r="DB374" s="464"/>
      <c r="DC374" s="466"/>
      <c r="DD374" s="465"/>
      <c r="DE374" s="457"/>
      <c r="DF374" s="464"/>
      <c r="DG374" s="466"/>
      <c r="DH374" s="465"/>
      <c r="DI374" s="457"/>
      <c r="DJ374" s="464"/>
      <c r="DK374" s="466"/>
      <c r="DL374" s="465"/>
      <c r="DM374" s="457"/>
      <c r="DN374" s="464"/>
      <c r="DO374" s="466"/>
      <c r="DP374" s="465"/>
      <c r="DQ374" s="457"/>
      <c r="DR374" s="464"/>
      <c r="DS374" s="466"/>
      <c r="DT374" s="465"/>
      <c r="DU374" s="457"/>
      <c r="DV374" s="464"/>
      <c r="DW374" s="466"/>
      <c r="DX374" s="465"/>
      <c r="DY374" s="457"/>
      <c r="DZ374" s="464"/>
      <c r="EA374" s="466"/>
      <c r="EB374" s="465"/>
      <c r="EC374" s="457"/>
      <c r="ED374" s="464"/>
      <c r="EE374" s="466"/>
      <c r="EF374" s="459"/>
      <c r="EG374" s="450"/>
      <c r="EH374" s="460">
        <f t="shared" si="200"/>
        <v>0</v>
      </c>
      <c r="EI374" s="460">
        <f t="shared" si="201"/>
        <v>0</v>
      </c>
      <c r="EJ374" s="458">
        <f t="shared" si="202"/>
        <v>0</v>
      </c>
      <c r="EK374" s="470">
        <f t="shared" si="203"/>
        <v>0</v>
      </c>
      <c r="EL374" s="470">
        <f t="shared" si="204"/>
        <v>0</v>
      </c>
      <c r="EM374" s="449">
        <f t="shared" si="205"/>
        <v>0</v>
      </c>
      <c r="EN374" s="460">
        <f t="shared" si="206"/>
        <v>331</v>
      </c>
      <c r="EO374" s="469">
        <f t="shared" si="207"/>
        <v>279</v>
      </c>
      <c r="EP374" s="471"/>
      <c r="EQ374" s="450"/>
      <c r="ER374" s="471"/>
      <c r="ES374" s="450"/>
      <c r="ET374" s="471"/>
      <c r="EU374" s="450"/>
      <c r="EV374" s="471"/>
      <c r="EW374" s="450"/>
      <c r="EX374" s="471"/>
      <c r="EY374" s="450"/>
      <c r="EZ374" s="471">
        <v>26</v>
      </c>
      <c r="FA374" s="450">
        <v>27</v>
      </c>
      <c r="FB374" s="471"/>
      <c r="FC374" s="450"/>
      <c r="FD374" s="471"/>
      <c r="FE374" s="450"/>
      <c r="FF374" s="471"/>
      <c r="FG374" s="450"/>
      <c r="FH374" s="472"/>
      <c r="FI374" s="450"/>
      <c r="FJ374" s="468">
        <f t="shared" si="208"/>
        <v>26</v>
      </c>
      <c r="FK374" s="469">
        <f t="shared" si="209"/>
        <v>27</v>
      </c>
      <c r="FL374" s="472"/>
      <c r="FM374" s="450"/>
      <c r="FN374" s="460">
        <f t="shared" si="210"/>
        <v>1787</v>
      </c>
      <c r="FO374" s="469">
        <f t="shared" si="211"/>
        <v>1819</v>
      </c>
    </row>
    <row r="375" spans="1:171" x14ac:dyDescent="0.2">
      <c r="A375" s="593" t="s">
        <v>644</v>
      </c>
      <c r="B375" s="440" t="s">
        <v>773</v>
      </c>
      <c r="C375" s="441"/>
      <c r="D375" s="438">
        <v>206941</v>
      </c>
      <c r="E375" s="594">
        <v>3</v>
      </c>
      <c r="F375" s="532"/>
      <c r="G375" s="450"/>
      <c r="H375" s="457"/>
      <c r="I375" s="450"/>
      <c r="J375" s="457">
        <v>58</v>
      </c>
      <c r="K375" s="450">
        <v>58</v>
      </c>
      <c r="L375" s="458">
        <f t="shared" si="188"/>
        <v>2.5550660792951541E-2</v>
      </c>
      <c r="M375" s="449">
        <f t="shared" si="189"/>
        <v>2.3897816234033788E-2</v>
      </c>
      <c r="N375" s="459">
        <v>2270</v>
      </c>
      <c r="O375" s="459">
        <v>246</v>
      </c>
      <c r="P375" s="459"/>
      <c r="Q375" s="459"/>
      <c r="R375" s="460">
        <f t="shared" si="190"/>
        <v>246</v>
      </c>
      <c r="S375" s="646">
        <v>2427</v>
      </c>
      <c r="T375" s="461">
        <v>254</v>
      </c>
      <c r="U375" s="461"/>
      <c r="V375" s="461"/>
      <c r="W375" s="462">
        <f t="shared" si="212"/>
        <v>254</v>
      </c>
      <c r="X375" s="463"/>
      <c r="Y375" s="457"/>
      <c r="Z375" s="464"/>
      <c r="AA375" s="464"/>
      <c r="AB375" s="465"/>
      <c r="AC375" s="457"/>
      <c r="AD375" s="464"/>
      <c r="AE375" s="466"/>
      <c r="AF375" s="465"/>
      <c r="AG375" s="457"/>
      <c r="AH375" s="464"/>
      <c r="AI375" s="466"/>
      <c r="AJ375" s="465"/>
      <c r="AK375" s="457"/>
      <c r="AL375" s="464"/>
      <c r="AM375" s="466"/>
      <c r="AN375" s="465"/>
      <c r="AO375" s="457"/>
      <c r="AP375" s="464"/>
      <c r="AQ375" s="464"/>
      <c r="AR375" s="460">
        <f t="shared" si="192"/>
        <v>0</v>
      </c>
      <c r="AS375" s="467">
        <f t="shared" si="193"/>
        <v>0.79287460705553614</v>
      </c>
      <c r="AT375" s="447">
        <f t="shared" si="194"/>
        <v>0</v>
      </c>
      <c r="AU375" s="448">
        <f t="shared" si="195"/>
        <v>0.78467507274490789</v>
      </c>
      <c r="AV375" s="457"/>
      <c r="AW375" s="450"/>
      <c r="AX375" s="463">
        <v>13</v>
      </c>
      <c r="AY375" s="457">
        <v>259</v>
      </c>
      <c r="AZ375" s="464">
        <v>13</v>
      </c>
      <c r="BA375" s="464">
        <v>253</v>
      </c>
      <c r="BB375" s="465">
        <v>52</v>
      </c>
      <c r="BC375" s="457">
        <v>82</v>
      </c>
      <c r="BD375" s="464">
        <v>52</v>
      </c>
      <c r="BE375" s="466">
        <v>88</v>
      </c>
      <c r="BF375" s="465">
        <v>19</v>
      </c>
      <c r="BG375" s="457">
        <v>38</v>
      </c>
      <c r="BH375" s="464">
        <v>51</v>
      </c>
      <c r="BI375" s="466">
        <v>52</v>
      </c>
      <c r="BJ375" s="465">
        <v>51</v>
      </c>
      <c r="BK375" s="457">
        <v>37</v>
      </c>
      <c r="BL375" s="464">
        <v>19</v>
      </c>
      <c r="BM375" s="466">
        <v>46</v>
      </c>
      <c r="BN375" s="465">
        <v>42</v>
      </c>
      <c r="BO375" s="457">
        <v>35</v>
      </c>
      <c r="BP375" s="464">
        <v>42</v>
      </c>
      <c r="BQ375" s="466">
        <v>38</v>
      </c>
      <c r="BR375" s="465">
        <v>23</v>
      </c>
      <c r="BS375" s="457">
        <v>14</v>
      </c>
      <c r="BT375" s="392">
        <v>50</v>
      </c>
      <c r="BU375" s="392">
        <v>36</v>
      </c>
      <c r="BV375" s="465">
        <v>43</v>
      </c>
      <c r="BW375" s="457">
        <v>31</v>
      </c>
      <c r="BX375" s="464">
        <v>23</v>
      </c>
      <c r="BY375" s="466">
        <v>34</v>
      </c>
      <c r="BZ375" s="465">
        <v>50</v>
      </c>
      <c r="CA375" s="457">
        <v>13</v>
      </c>
      <c r="CB375" s="464">
        <v>43</v>
      </c>
      <c r="CC375" s="466">
        <v>25</v>
      </c>
      <c r="CD375" s="465">
        <v>54</v>
      </c>
      <c r="CE375" s="457">
        <v>10</v>
      </c>
      <c r="CF375" s="464">
        <v>45</v>
      </c>
      <c r="CG375" s="466">
        <v>19</v>
      </c>
      <c r="CH375" s="465">
        <v>23</v>
      </c>
      <c r="CI375" s="457">
        <v>6</v>
      </c>
      <c r="CJ375" s="464">
        <v>54</v>
      </c>
      <c r="CK375" s="466">
        <v>7</v>
      </c>
      <c r="CL375" s="459">
        <v>10</v>
      </c>
      <c r="CM375" s="450">
        <v>10</v>
      </c>
      <c r="CN375" s="468">
        <f t="shared" si="196"/>
        <v>535</v>
      </c>
      <c r="CO375" s="468">
        <f t="shared" si="197"/>
        <v>10</v>
      </c>
      <c r="CP375" s="469">
        <f t="shared" si="198"/>
        <v>608</v>
      </c>
      <c r="CQ375" s="469">
        <f t="shared" si="199"/>
        <v>10</v>
      </c>
      <c r="CR375" s="463"/>
      <c r="CS375" s="457"/>
      <c r="CT375" s="464"/>
      <c r="CU375" s="464"/>
      <c r="CV375" s="465"/>
      <c r="CW375" s="457"/>
      <c r="CX375" s="464"/>
      <c r="CY375" s="466"/>
      <c r="CZ375" s="465"/>
      <c r="DA375" s="457"/>
      <c r="DB375" s="464"/>
      <c r="DC375" s="466"/>
      <c r="DD375" s="465"/>
      <c r="DE375" s="457"/>
      <c r="DF375" s="464"/>
      <c r="DG375" s="466"/>
      <c r="DH375" s="465"/>
      <c r="DI375" s="457"/>
      <c r="DJ375" s="464"/>
      <c r="DK375" s="466"/>
      <c r="DL375" s="465"/>
      <c r="DM375" s="457"/>
      <c r="DN375" s="464"/>
      <c r="DO375" s="466"/>
      <c r="DP375" s="465"/>
      <c r="DQ375" s="457"/>
      <c r="DR375" s="464"/>
      <c r="DS375" s="466"/>
      <c r="DT375" s="465"/>
      <c r="DU375" s="457"/>
      <c r="DV375" s="464"/>
      <c r="DW375" s="466"/>
      <c r="DX375" s="465"/>
      <c r="DY375" s="457"/>
      <c r="DZ375" s="464"/>
      <c r="EA375" s="466"/>
      <c r="EB375" s="465"/>
      <c r="EC375" s="457"/>
      <c r="ED375" s="464"/>
      <c r="EE375" s="466"/>
      <c r="EF375" s="459"/>
      <c r="EG375" s="450"/>
      <c r="EH375" s="460">
        <f t="shared" si="200"/>
        <v>0</v>
      </c>
      <c r="EI375" s="460">
        <f t="shared" si="201"/>
        <v>0</v>
      </c>
      <c r="EJ375" s="458">
        <f t="shared" si="202"/>
        <v>0</v>
      </c>
      <c r="EK375" s="470">
        <f t="shared" si="203"/>
        <v>0</v>
      </c>
      <c r="EL375" s="470">
        <f t="shared" si="204"/>
        <v>0</v>
      </c>
      <c r="EM375" s="449">
        <f t="shared" si="205"/>
        <v>0</v>
      </c>
      <c r="EN375" s="460">
        <f t="shared" si="206"/>
        <v>535</v>
      </c>
      <c r="EO375" s="469">
        <f t="shared" si="207"/>
        <v>608</v>
      </c>
      <c r="EP375" s="471"/>
      <c r="EQ375" s="450"/>
      <c r="ER375" s="471"/>
      <c r="ES375" s="450"/>
      <c r="ET375" s="471"/>
      <c r="EU375" s="450"/>
      <c r="EV375" s="471"/>
      <c r="EW375" s="450"/>
      <c r="EX375" s="471"/>
      <c r="EY375" s="450"/>
      <c r="EZ375" s="471"/>
      <c r="FA375" s="450"/>
      <c r="FB375" s="471"/>
      <c r="FC375" s="450"/>
      <c r="FD375" s="471"/>
      <c r="FE375" s="450"/>
      <c r="FF375" s="471"/>
      <c r="FG375" s="450"/>
      <c r="FH375" s="472"/>
      <c r="FI375" s="450"/>
      <c r="FJ375" s="468">
        <f t="shared" si="208"/>
        <v>0</v>
      </c>
      <c r="FK375" s="469">
        <f t="shared" si="209"/>
        <v>0</v>
      </c>
      <c r="FL375" s="472"/>
      <c r="FM375" s="450"/>
      <c r="FN375" s="460">
        <f t="shared" si="210"/>
        <v>2863</v>
      </c>
      <c r="FO375" s="469">
        <f t="shared" si="211"/>
        <v>3093</v>
      </c>
    </row>
    <row r="376" spans="1:171" x14ac:dyDescent="0.2">
      <c r="A376" s="593" t="s">
        <v>644</v>
      </c>
      <c r="B376" s="440" t="s">
        <v>778</v>
      </c>
      <c r="C376" s="444" t="s">
        <v>739</v>
      </c>
      <c r="D376" s="438">
        <v>207847</v>
      </c>
      <c r="E376" s="600">
        <v>4</v>
      </c>
      <c r="F376" s="532"/>
      <c r="G376" s="450"/>
      <c r="H376" s="457"/>
      <c r="I376" s="450"/>
      <c r="J376" s="457"/>
      <c r="K376" s="450"/>
      <c r="L376" s="458">
        <f t="shared" si="188"/>
        <v>0</v>
      </c>
      <c r="M376" s="449">
        <f t="shared" si="189"/>
        <v>0</v>
      </c>
      <c r="N376" s="459">
        <v>623</v>
      </c>
      <c r="O376" s="459">
        <v>125</v>
      </c>
      <c r="P376" s="459"/>
      <c r="Q376" s="459"/>
      <c r="R376" s="460">
        <f t="shared" si="190"/>
        <v>125</v>
      </c>
      <c r="S376" s="646">
        <v>610</v>
      </c>
      <c r="T376" s="461">
        <v>110</v>
      </c>
      <c r="U376" s="461"/>
      <c r="V376" s="461"/>
      <c r="W376" s="462">
        <f t="shared" si="212"/>
        <v>110</v>
      </c>
      <c r="X376" s="463"/>
      <c r="Y376" s="457"/>
      <c r="Z376" s="464"/>
      <c r="AA376" s="464"/>
      <c r="AB376" s="465"/>
      <c r="AC376" s="457"/>
      <c r="AD376" s="464"/>
      <c r="AE376" s="466"/>
      <c r="AF376" s="465"/>
      <c r="AG376" s="457"/>
      <c r="AH376" s="464"/>
      <c r="AI376" s="466"/>
      <c r="AJ376" s="465"/>
      <c r="AK376" s="457"/>
      <c r="AL376" s="464"/>
      <c r="AM376" s="466"/>
      <c r="AN376" s="465"/>
      <c r="AO376" s="457"/>
      <c r="AP376" s="464"/>
      <c r="AQ376" s="464"/>
      <c r="AR376" s="460">
        <f t="shared" si="192"/>
        <v>0</v>
      </c>
      <c r="AS376" s="467">
        <f t="shared" si="193"/>
        <v>0.8229854689564069</v>
      </c>
      <c r="AT376" s="447">
        <f t="shared" si="194"/>
        <v>0</v>
      </c>
      <c r="AU376" s="448">
        <f t="shared" si="195"/>
        <v>0.7901554404145078</v>
      </c>
      <c r="AV376" s="457"/>
      <c r="AW376" s="450"/>
      <c r="AX376" s="463">
        <v>14</v>
      </c>
      <c r="AY376" s="457">
        <v>53</v>
      </c>
      <c r="AZ376" s="464">
        <v>14</v>
      </c>
      <c r="BA376" s="464">
        <v>71</v>
      </c>
      <c r="BB376" s="465">
        <v>13</v>
      </c>
      <c r="BC376" s="457">
        <v>42</v>
      </c>
      <c r="BD376" s="464">
        <v>13</v>
      </c>
      <c r="BE376" s="466">
        <v>43</v>
      </c>
      <c r="BF376" s="465">
        <v>15</v>
      </c>
      <c r="BG376" s="457">
        <v>16</v>
      </c>
      <c r="BH376" s="464">
        <v>15</v>
      </c>
      <c r="BI376" s="466">
        <v>20</v>
      </c>
      <c r="BJ376" s="465">
        <v>52</v>
      </c>
      <c r="BK376" s="457">
        <v>13</v>
      </c>
      <c r="BL376" s="464">
        <v>52</v>
      </c>
      <c r="BM376" s="466">
        <v>16</v>
      </c>
      <c r="BN376" s="465">
        <v>42</v>
      </c>
      <c r="BO376" s="457">
        <v>10</v>
      </c>
      <c r="BP376" s="464">
        <v>42</v>
      </c>
      <c r="BQ376" s="466">
        <v>9</v>
      </c>
      <c r="BR376" s="465"/>
      <c r="BS376" s="457"/>
      <c r="BT376" s="392">
        <v>31</v>
      </c>
      <c r="BU376" s="392">
        <v>3</v>
      </c>
      <c r="BV376" s="465"/>
      <c r="BW376" s="457"/>
      <c r="BX376" s="464"/>
      <c r="BY376" s="466"/>
      <c r="BZ376" s="465"/>
      <c r="CA376" s="457"/>
      <c r="CB376" s="464"/>
      <c r="CC376" s="466"/>
      <c r="CD376" s="465"/>
      <c r="CE376" s="457"/>
      <c r="CF376" s="464"/>
      <c r="CG376" s="466"/>
      <c r="CH376" s="465"/>
      <c r="CI376" s="457"/>
      <c r="CJ376" s="464"/>
      <c r="CK376" s="466"/>
      <c r="CL376" s="459"/>
      <c r="CM376" s="450"/>
      <c r="CN376" s="468">
        <f t="shared" si="196"/>
        <v>134</v>
      </c>
      <c r="CO376" s="468">
        <f t="shared" si="197"/>
        <v>5</v>
      </c>
      <c r="CP376" s="469">
        <f t="shared" si="198"/>
        <v>162</v>
      </c>
      <c r="CQ376" s="469">
        <f t="shared" si="199"/>
        <v>6</v>
      </c>
      <c r="CR376" s="463"/>
      <c r="CS376" s="457"/>
      <c r="CT376" s="464"/>
      <c r="CU376" s="464"/>
      <c r="CV376" s="465"/>
      <c r="CW376" s="457"/>
      <c r="CX376" s="464"/>
      <c r="CY376" s="466"/>
      <c r="CZ376" s="465"/>
      <c r="DA376" s="457"/>
      <c r="DB376" s="464"/>
      <c r="DC376" s="466"/>
      <c r="DD376" s="465"/>
      <c r="DE376" s="457"/>
      <c r="DF376" s="464"/>
      <c r="DG376" s="466"/>
      <c r="DH376" s="465"/>
      <c r="DI376" s="457"/>
      <c r="DJ376" s="464"/>
      <c r="DK376" s="466"/>
      <c r="DL376" s="465"/>
      <c r="DM376" s="457"/>
      <c r="DN376" s="464"/>
      <c r="DO376" s="466"/>
      <c r="DP376" s="465"/>
      <c r="DQ376" s="457"/>
      <c r="DR376" s="464"/>
      <c r="DS376" s="466"/>
      <c r="DT376" s="465"/>
      <c r="DU376" s="457"/>
      <c r="DV376" s="464"/>
      <c r="DW376" s="466"/>
      <c r="DX376" s="465"/>
      <c r="DY376" s="457"/>
      <c r="DZ376" s="464"/>
      <c r="EA376" s="466"/>
      <c r="EB376" s="465"/>
      <c r="EC376" s="457"/>
      <c r="ED376" s="464"/>
      <c r="EE376" s="466"/>
      <c r="EF376" s="459"/>
      <c r="EG376" s="450"/>
      <c r="EH376" s="460">
        <f t="shared" si="200"/>
        <v>0</v>
      </c>
      <c r="EI376" s="460">
        <f t="shared" si="201"/>
        <v>0</v>
      </c>
      <c r="EJ376" s="458">
        <f t="shared" si="202"/>
        <v>0</v>
      </c>
      <c r="EK376" s="470">
        <f t="shared" si="203"/>
        <v>0</v>
      </c>
      <c r="EL376" s="470">
        <f t="shared" si="204"/>
        <v>0</v>
      </c>
      <c r="EM376" s="449">
        <f t="shared" si="205"/>
        <v>0</v>
      </c>
      <c r="EN376" s="460">
        <f t="shared" si="206"/>
        <v>134</v>
      </c>
      <c r="EO376" s="469">
        <f t="shared" si="207"/>
        <v>162</v>
      </c>
      <c r="EP376" s="471"/>
      <c r="EQ376" s="450"/>
      <c r="ER376" s="471"/>
      <c r="ES376" s="450"/>
      <c r="ET376" s="471"/>
      <c r="EU376" s="450"/>
      <c r="EV376" s="471"/>
      <c r="EW376" s="450"/>
      <c r="EX376" s="471"/>
      <c r="EY376" s="450"/>
      <c r="EZ376" s="471"/>
      <c r="FA376" s="450"/>
      <c r="FB376" s="471"/>
      <c r="FC376" s="450"/>
      <c r="FD376" s="471"/>
      <c r="FE376" s="450"/>
      <c r="FF376" s="471"/>
      <c r="FG376" s="450"/>
      <c r="FH376" s="472"/>
      <c r="FI376" s="450"/>
      <c r="FJ376" s="468">
        <f t="shared" si="208"/>
        <v>0</v>
      </c>
      <c r="FK376" s="469">
        <f t="shared" si="209"/>
        <v>0</v>
      </c>
      <c r="FL376" s="472"/>
      <c r="FM376" s="450"/>
      <c r="FN376" s="460">
        <f t="shared" si="210"/>
        <v>757</v>
      </c>
      <c r="FO376" s="469">
        <f t="shared" si="211"/>
        <v>772</v>
      </c>
    </row>
    <row r="377" spans="1:171" x14ac:dyDescent="0.2">
      <c r="A377" s="593" t="s">
        <v>644</v>
      </c>
      <c r="B377" s="440" t="s">
        <v>774</v>
      </c>
      <c r="C377" s="441"/>
      <c r="D377" s="438">
        <v>206914</v>
      </c>
      <c r="E377" s="594">
        <v>5</v>
      </c>
      <c r="F377" s="532"/>
      <c r="G377" s="450"/>
      <c r="H377" s="457"/>
      <c r="I377" s="450"/>
      <c r="J377" s="457">
        <v>184</v>
      </c>
      <c r="K377" s="742">
        <v>185</v>
      </c>
      <c r="L377" s="458">
        <f t="shared" si="188"/>
        <v>0.34200743494423791</v>
      </c>
      <c r="M377" s="449">
        <f t="shared" si="189"/>
        <v>0.32743362831858408</v>
      </c>
      <c r="N377" s="459">
        <v>538</v>
      </c>
      <c r="O377" s="459">
        <v>102</v>
      </c>
      <c r="P377" s="459"/>
      <c r="Q377" s="459"/>
      <c r="R377" s="460">
        <f t="shared" si="190"/>
        <v>102</v>
      </c>
      <c r="S377" s="646">
        <v>565</v>
      </c>
      <c r="T377" s="461">
        <v>71</v>
      </c>
      <c r="U377" s="461"/>
      <c r="V377" s="461"/>
      <c r="W377" s="462">
        <f t="shared" si="212"/>
        <v>71</v>
      </c>
      <c r="X377" s="463"/>
      <c r="Y377" s="457"/>
      <c r="Z377" s="464"/>
      <c r="AA377" s="464"/>
      <c r="AB377" s="465"/>
      <c r="AC377" s="457"/>
      <c r="AD377" s="464"/>
      <c r="AE377" s="466"/>
      <c r="AF377" s="465"/>
      <c r="AG377" s="457"/>
      <c r="AH377" s="464"/>
      <c r="AI377" s="466"/>
      <c r="AJ377" s="465"/>
      <c r="AK377" s="457"/>
      <c r="AL377" s="464"/>
      <c r="AM377" s="466"/>
      <c r="AN377" s="465"/>
      <c r="AO377" s="457"/>
      <c r="AP377" s="464"/>
      <c r="AQ377" s="464"/>
      <c r="AR377" s="460">
        <f t="shared" si="192"/>
        <v>0</v>
      </c>
      <c r="AS377" s="467">
        <f t="shared" si="193"/>
        <v>0.65370595382746055</v>
      </c>
      <c r="AT377" s="447">
        <f t="shared" si="194"/>
        <v>0</v>
      </c>
      <c r="AU377" s="448">
        <f t="shared" si="195"/>
        <v>0.66943127962085303</v>
      </c>
      <c r="AV377" s="457"/>
      <c r="AW377" s="450"/>
      <c r="AX377" s="463">
        <v>13</v>
      </c>
      <c r="AY377" s="457">
        <v>45</v>
      </c>
      <c r="AZ377" s="464">
        <v>13</v>
      </c>
      <c r="BA377" s="464">
        <v>39</v>
      </c>
      <c r="BB377" s="465">
        <v>52</v>
      </c>
      <c r="BC377" s="457">
        <v>32</v>
      </c>
      <c r="BD377" s="464">
        <v>42</v>
      </c>
      <c r="BE377" s="466">
        <v>30</v>
      </c>
      <c r="BF377" s="465">
        <v>42</v>
      </c>
      <c r="BG377" s="457">
        <v>24</v>
      </c>
      <c r="BH377" s="464">
        <v>52</v>
      </c>
      <c r="BI377" s="466">
        <v>25</v>
      </c>
      <c r="BJ377" s="465"/>
      <c r="BK377" s="457"/>
      <c r="BL377" s="464"/>
      <c r="BM377" s="466"/>
      <c r="BN377" s="465"/>
      <c r="BO377" s="457"/>
      <c r="BP377" s="464"/>
      <c r="BQ377" s="466"/>
      <c r="BR377" s="465"/>
      <c r="BS377" s="457"/>
      <c r="BT377" s="392"/>
      <c r="BU377" s="392"/>
      <c r="BV377" s="465"/>
      <c r="BW377" s="457"/>
      <c r="BX377" s="464"/>
      <c r="BY377" s="466"/>
      <c r="BZ377" s="465"/>
      <c r="CA377" s="457"/>
      <c r="CB377" s="464"/>
      <c r="CC377" s="466"/>
      <c r="CD377" s="465"/>
      <c r="CE377" s="457"/>
      <c r="CF377" s="464"/>
      <c r="CG377" s="466"/>
      <c r="CH377" s="465"/>
      <c r="CI377" s="457"/>
      <c r="CJ377" s="464"/>
      <c r="CK377" s="466"/>
      <c r="CL377" s="459"/>
      <c r="CM377" s="450"/>
      <c r="CN377" s="468">
        <f t="shared" si="196"/>
        <v>101</v>
      </c>
      <c r="CO377" s="468">
        <f t="shared" si="197"/>
        <v>3</v>
      </c>
      <c r="CP377" s="469">
        <f t="shared" si="198"/>
        <v>94</v>
      </c>
      <c r="CQ377" s="469">
        <f t="shared" si="199"/>
        <v>3</v>
      </c>
      <c r="CR377" s="463"/>
      <c r="CS377" s="457"/>
      <c r="CT377" s="392"/>
      <c r="CU377" s="392"/>
      <c r="CV377" s="465"/>
      <c r="CW377" s="457"/>
      <c r="CX377" s="392"/>
      <c r="CY377" s="392"/>
      <c r="CZ377" s="465"/>
      <c r="DA377" s="457"/>
      <c r="DB377" s="464"/>
      <c r="DC377" s="466"/>
      <c r="DD377" s="465"/>
      <c r="DE377" s="457"/>
      <c r="DF377" s="464"/>
      <c r="DG377" s="466"/>
      <c r="DH377" s="465"/>
      <c r="DI377" s="457"/>
      <c r="DJ377" s="464"/>
      <c r="DK377" s="466"/>
      <c r="DL377" s="465"/>
      <c r="DM377" s="457"/>
      <c r="DN377" s="464"/>
      <c r="DO377" s="466"/>
      <c r="DP377" s="465"/>
      <c r="DQ377" s="457"/>
      <c r="DR377" s="464"/>
      <c r="DS377" s="466"/>
      <c r="DT377" s="465"/>
      <c r="DU377" s="457"/>
      <c r="DV377" s="464"/>
      <c r="DW377" s="466"/>
      <c r="DX377" s="465"/>
      <c r="DY377" s="457"/>
      <c r="DZ377" s="464"/>
      <c r="EA377" s="466"/>
      <c r="EB377" s="465"/>
      <c r="EC377" s="457"/>
      <c r="ED377" s="464"/>
      <c r="EE377" s="466"/>
      <c r="EF377" s="459"/>
      <c r="EG377" s="450"/>
      <c r="EH377" s="460">
        <f t="shared" si="200"/>
        <v>0</v>
      </c>
      <c r="EI377" s="460">
        <f t="shared" si="201"/>
        <v>0</v>
      </c>
      <c r="EJ377" s="458">
        <f t="shared" si="202"/>
        <v>0</v>
      </c>
      <c r="EK377" s="470">
        <f t="shared" si="203"/>
        <v>0</v>
      </c>
      <c r="EL377" s="470">
        <f t="shared" si="204"/>
        <v>0</v>
      </c>
      <c r="EM377" s="449">
        <f t="shared" si="205"/>
        <v>0</v>
      </c>
      <c r="EN377" s="460">
        <f t="shared" si="206"/>
        <v>101</v>
      </c>
      <c r="EO377" s="469">
        <f t="shared" si="207"/>
        <v>94</v>
      </c>
      <c r="EP377" s="471"/>
      <c r="EQ377" s="450"/>
      <c r="ER377" s="471"/>
      <c r="ES377" s="450"/>
      <c r="ET377" s="471"/>
      <c r="EU377" s="450"/>
      <c r="EV377" s="471"/>
      <c r="EW377" s="450"/>
      <c r="EX377" s="471"/>
      <c r="EY377" s="450"/>
      <c r="EZ377" s="471"/>
      <c r="FA377" s="450"/>
      <c r="FB377" s="471"/>
      <c r="FC377" s="450"/>
      <c r="FD377" s="471"/>
      <c r="FE377" s="450"/>
      <c r="FF377" s="471"/>
      <c r="FG377" s="450"/>
      <c r="FH377" s="472"/>
      <c r="FI377" s="450"/>
      <c r="FJ377" s="468">
        <f t="shared" si="208"/>
        <v>0</v>
      </c>
      <c r="FK377" s="469">
        <f t="shared" si="209"/>
        <v>0</v>
      </c>
      <c r="FL377" s="472"/>
      <c r="FM377" s="450"/>
      <c r="FN377" s="460">
        <f t="shared" si="210"/>
        <v>823</v>
      </c>
      <c r="FO377" s="469">
        <f t="shared" si="211"/>
        <v>844</v>
      </c>
    </row>
    <row r="378" spans="1:171" x14ac:dyDescent="0.2">
      <c r="A378" s="593" t="s">
        <v>644</v>
      </c>
      <c r="B378" s="440" t="s">
        <v>775</v>
      </c>
      <c r="C378" s="441"/>
      <c r="D378" s="438">
        <v>207041</v>
      </c>
      <c r="E378" s="594">
        <v>5</v>
      </c>
      <c r="F378" s="532"/>
      <c r="G378" s="450"/>
      <c r="H378" s="457"/>
      <c r="I378" s="450"/>
      <c r="J378" s="457"/>
      <c r="K378" s="742"/>
      <c r="L378" s="458">
        <f t="shared" si="188"/>
        <v>0</v>
      </c>
      <c r="M378" s="449">
        <f t="shared" si="189"/>
        <v>0</v>
      </c>
      <c r="N378" s="459">
        <v>679</v>
      </c>
      <c r="O378" s="459">
        <v>76</v>
      </c>
      <c r="P378" s="459"/>
      <c r="Q378" s="459"/>
      <c r="R378" s="460">
        <f t="shared" si="190"/>
        <v>76</v>
      </c>
      <c r="S378" s="646">
        <v>547</v>
      </c>
      <c r="T378" s="461">
        <v>87</v>
      </c>
      <c r="U378" s="461"/>
      <c r="V378" s="461"/>
      <c r="W378" s="462">
        <f t="shared" si="212"/>
        <v>87</v>
      </c>
      <c r="X378" s="463"/>
      <c r="Y378" s="457"/>
      <c r="Z378" s="464"/>
      <c r="AA378" s="464"/>
      <c r="AB378" s="465"/>
      <c r="AC378" s="457"/>
      <c r="AD378" s="464"/>
      <c r="AE378" s="466"/>
      <c r="AF378" s="465"/>
      <c r="AG378" s="457"/>
      <c r="AH378" s="464"/>
      <c r="AI378" s="466"/>
      <c r="AJ378" s="465"/>
      <c r="AK378" s="457"/>
      <c r="AL378" s="464"/>
      <c r="AM378" s="466"/>
      <c r="AN378" s="465"/>
      <c r="AO378" s="457"/>
      <c r="AP378" s="464"/>
      <c r="AQ378" s="464"/>
      <c r="AR378" s="460">
        <f t="shared" si="192"/>
        <v>0</v>
      </c>
      <c r="AS378" s="467">
        <f t="shared" si="193"/>
        <v>0.67967967967967968</v>
      </c>
      <c r="AT378" s="447">
        <f t="shared" si="194"/>
        <v>0</v>
      </c>
      <c r="AU378" s="448">
        <f t="shared" si="195"/>
        <v>0.66870415647921755</v>
      </c>
      <c r="AV378" s="457"/>
      <c r="AW378" s="450"/>
      <c r="AX378" s="463">
        <v>13</v>
      </c>
      <c r="AY378" s="457">
        <v>254</v>
      </c>
      <c r="AZ378" s="464">
        <v>13</v>
      </c>
      <c r="BA378" s="464">
        <v>194</v>
      </c>
      <c r="BB378" s="465">
        <v>44</v>
      </c>
      <c r="BC378" s="457">
        <v>45</v>
      </c>
      <c r="BD378" s="464">
        <v>44</v>
      </c>
      <c r="BE378" s="466">
        <v>51</v>
      </c>
      <c r="BF378" s="465">
        <v>52</v>
      </c>
      <c r="BG378" s="457">
        <v>11</v>
      </c>
      <c r="BH378" s="464">
        <v>52</v>
      </c>
      <c r="BI378" s="466">
        <v>13</v>
      </c>
      <c r="BJ378" s="465">
        <v>42</v>
      </c>
      <c r="BK378" s="457">
        <v>10</v>
      </c>
      <c r="BL378" s="464">
        <v>42</v>
      </c>
      <c r="BM378" s="466">
        <v>13</v>
      </c>
      <c r="BN378" s="465"/>
      <c r="BO378" s="457"/>
      <c r="BP378" s="464"/>
      <c r="BQ378" s="466"/>
      <c r="BR378" s="465"/>
      <c r="BS378" s="457"/>
      <c r="BT378" s="392"/>
      <c r="BU378" s="392"/>
      <c r="BV378" s="465"/>
      <c r="BW378" s="457"/>
      <c r="BX378" s="464"/>
      <c r="BY378" s="466"/>
      <c r="BZ378" s="465"/>
      <c r="CA378" s="457"/>
      <c r="CB378" s="464"/>
      <c r="CC378" s="466"/>
      <c r="CD378" s="465"/>
      <c r="CE378" s="457"/>
      <c r="CF378" s="464"/>
      <c r="CG378" s="466"/>
      <c r="CH378" s="465"/>
      <c r="CI378" s="457"/>
      <c r="CJ378" s="464"/>
      <c r="CK378" s="466"/>
      <c r="CL378" s="459"/>
      <c r="CM378" s="450"/>
      <c r="CN378" s="468">
        <f t="shared" si="196"/>
        <v>320</v>
      </c>
      <c r="CO378" s="468">
        <f t="shared" si="197"/>
        <v>4</v>
      </c>
      <c r="CP378" s="469">
        <f t="shared" si="198"/>
        <v>271</v>
      </c>
      <c r="CQ378" s="469">
        <f t="shared" si="199"/>
        <v>4</v>
      </c>
      <c r="CR378" s="463"/>
      <c r="CS378" s="457"/>
      <c r="CT378" s="464"/>
      <c r="CU378" s="464"/>
      <c r="CV378" s="465"/>
      <c r="CW378" s="457"/>
      <c r="CX378" s="464"/>
      <c r="CY378" s="466"/>
      <c r="CZ378" s="465"/>
      <c r="DA378" s="457"/>
      <c r="DB378" s="464"/>
      <c r="DC378" s="466"/>
      <c r="DD378" s="465"/>
      <c r="DE378" s="457"/>
      <c r="DF378" s="464"/>
      <c r="DG378" s="466"/>
      <c r="DH378" s="465"/>
      <c r="DI378" s="457"/>
      <c r="DJ378" s="464"/>
      <c r="DK378" s="466"/>
      <c r="DL378" s="465"/>
      <c r="DM378" s="457"/>
      <c r="DN378" s="464"/>
      <c r="DO378" s="466"/>
      <c r="DP378" s="465"/>
      <c r="DQ378" s="457"/>
      <c r="DR378" s="464"/>
      <c r="DS378" s="466"/>
      <c r="DT378" s="465"/>
      <c r="DU378" s="457"/>
      <c r="DV378" s="464"/>
      <c r="DW378" s="466"/>
      <c r="DX378" s="465"/>
      <c r="DY378" s="457"/>
      <c r="DZ378" s="464"/>
      <c r="EA378" s="466"/>
      <c r="EB378" s="465"/>
      <c r="EC378" s="457"/>
      <c r="ED378" s="464"/>
      <c r="EE378" s="466"/>
      <c r="EF378" s="459"/>
      <c r="EG378" s="450"/>
      <c r="EH378" s="460">
        <f t="shared" si="200"/>
        <v>0</v>
      </c>
      <c r="EI378" s="460">
        <f t="shared" si="201"/>
        <v>0</v>
      </c>
      <c r="EJ378" s="458">
        <f t="shared" si="202"/>
        <v>0</v>
      </c>
      <c r="EK378" s="470">
        <f t="shared" si="203"/>
        <v>0</v>
      </c>
      <c r="EL378" s="470">
        <f t="shared" si="204"/>
        <v>0</v>
      </c>
      <c r="EM378" s="449">
        <f t="shared" si="205"/>
        <v>0</v>
      </c>
      <c r="EN378" s="460">
        <f t="shared" si="206"/>
        <v>320</v>
      </c>
      <c r="EO378" s="469">
        <f t="shared" si="207"/>
        <v>271</v>
      </c>
      <c r="EP378" s="471"/>
      <c r="EQ378" s="450"/>
      <c r="ER378" s="471"/>
      <c r="ES378" s="450"/>
      <c r="ET378" s="471"/>
      <c r="EU378" s="450"/>
      <c r="EV378" s="471"/>
      <c r="EW378" s="450"/>
      <c r="EX378" s="471"/>
      <c r="EY378" s="450"/>
      <c r="EZ378" s="471"/>
      <c r="FA378" s="450"/>
      <c r="FB378" s="471"/>
      <c r="FC378" s="450"/>
      <c r="FD378" s="471"/>
      <c r="FE378" s="450"/>
      <c r="FF378" s="471"/>
      <c r="FG378" s="450"/>
      <c r="FH378" s="472"/>
      <c r="FI378" s="450"/>
      <c r="FJ378" s="468">
        <f t="shared" si="208"/>
        <v>0</v>
      </c>
      <c r="FK378" s="469">
        <f t="shared" si="209"/>
        <v>0</v>
      </c>
      <c r="FL378" s="472"/>
      <c r="FM378" s="450"/>
      <c r="FN378" s="460">
        <f t="shared" si="210"/>
        <v>999</v>
      </c>
      <c r="FO378" s="469">
        <f t="shared" si="211"/>
        <v>818</v>
      </c>
    </row>
    <row r="379" spans="1:171" x14ac:dyDescent="0.2">
      <c r="A379" s="593" t="s">
        <v>644</v>
      </c>
      <c r="B379" s="440" t="s">
        <v>776</v>
      </c>
      <c r="C379" s="441"/>
      <c r="D379" s="438">
        <v>207209</v>
      </c>
      <c r="E379" s="594">
        <v>5</v>
      </c>
      <c r="F379" s="532"/>
      <c r="G379" s="450"/>
      <c r="H379" s="457"/>
      <c r="I379" s="450"/>
      <c r="J379" s="457">
        <v>17</v>
      </c>
      <c r="K379" s="742">
        <v>16</v>
      </c>
      <c r="L379" s="458">
        <f t="shared" si="188"/>
        <v>5.8620689655172413E-2</v>
      </c>
      <c r="M379" s="449">
        <f t="shared" si="189"/>
        <v>5.2459016393442623E-2</v>
      </c>
      <c r="N379" s="459">
        <v>290</v>
      </c>
      <c r="O379" s="459">
        <v>21</v>
      </c>
      <c r="P379" s="459"/>
      <c r="Q379" s="459"/>
      <c r="R379" s="460">
        <f t="shared" si="190"/>
        <v>21</v>
      </c>
      <c r="S379" s="646">
        <v>305</v>
      </c>
      <c r="T379" s="461">
        <v>34</v>
      </c>
      <c r="U379" s="461"/>
      <c r="V379" s="461"/>
      <c r="W379" s="462">
        <f t="shared" si="212"/>
        <v>34</v>
      </c>
      <c r="X379" s="463"/>
      <c r="Y379" s="457"/>
      <c r="Z379" s="464"/>
      <c r="AA379" s="464"/>
      <c r="AB379" s="465"/>
      <c r="AC379" s="457"/>
      <c r="AD379" s="464"/>
      <c r="AE379" s="466"/>
      <c r="AF379" s="465"/>
      <c r="AG379" s="457"/>
      <c r="AH379" s="464"/>
      <c r="AI379" s="466"/>
      <c r="AJ379" s="465"/>
      <c r="AK379" s="457"/>
      <c r="AL379" s="464"/>
      <c r="AM379" s="466"/>
      <c r="AN379" s="465"/>
      <c r="AO379" s="457"/>
      <c r="AP379" s="464"/>
      <c r="AQ379" s="464"/>
      <c r="AR379" s="460">
        <f t="shared" si="192"/>
        <v>0</v>
      </c>
      <c r="AS379" s="467">
        <f t="shared" si="193"/>
        <v>0.73604060913705582</v>
      </c>
      <c r="AT379" s="447">
        <f t="shared" si="194"/>
        <v>0</v>
      </c>
      <c r="AU379" s="448">
        <f t="shared" si="195"/>
        <v>0.73849878934624702</v>
      </c>
      <c r="AV379" s="457"/>
      <c r="AW379" s="450"/>
      <c r="AX379" s="463">
        <v>51</v>
      </c>
      <c r="AY379" s="457">
        <v>42</v>
      </c>
      <c r="AZ379" s="464">
        <v>51</v>
      </c>
      <c r="BA379" s="464">
        <v>57</v>
      </c>
      <c r="BB379" s="465">
        <v>13</v>
      </c>
      <c r="BC379" s="457">
        <v>26</v>
      </c>
      <c r="BD379" s="464">
        <v>13</v>
      </c>
      <c r="BE379" s="466">
        <v>24</v>
      </c>
      <c r="BF379" s="465">
        <v>52</v>
      </c>
      <c r="BG379" s="457">
        <v>5</v>
      </c>
      <c r="BH379" s="464">
        <v>52</v>
      </c>
      <c r="BI379" s="466">
        <v>11</v>
      </c>
      <c r="BJ379" s="465"/>
      <c r="BK379" s="457"/>
      <c r="BL379" s="464"/>
      <c r="BM379" s="466"/>
      <c r="BN379" s="465"/>
      <c r="BO379" s="457"/>
      <c r="BP379" s="464"/>
      <c r="BQ379" s="466"/>
      <c r="BR379" s="465"/>
      <c r="BS379" s="457"/>
      <c r="BT379" s="392"/>
      <c r="BU379" s="392"/>
      <c r="BV379" s="465"/>
      <c r="BW379" s="457"/>
      <c r="BX379" s="464"/>
      <c r="BY379" s="466"/>
      <c r="BZ379" s="465"/>
      <c r="CA379" s="457"/>
      <c r="CB379" s="464"/>
      <c r="CC379" s="466"/>
      <c r="CD379" s="465"/>
      <c r="CE379" s="457"/>
      <c r="CF379" s="464"/>
      <c r="CG379" s="466"/>
      <c r="CH379" s="465"/>
      <c r="CI379" s="457"/>
      <c r="CJ379" s="464"/>
      <c r="CK379" s="466"/>
      <c r="CL379" s="459"/>
      <c r="CM379" s="450"/>
      <c r="CN379" s="468">
        <f t="shared" si="196"/>
        <v>73</v>
      </c>
      <c r="CO379" s="468">
        <f t="shared" si="197"/>
        <v>3</v>
      </c>
      <c r="CP379" s="469">
        <f t="shared" si="198"/>
        <v>92</v>
      </c>
      <c r="CQ379" s="469">
        <f t="shared" si="199"/>
        <v>3</v>
      </c>
      <c r="CR379" s="463"/>
      <c r="CS379" s="457"/>
      <c r="CT379" s="392"/>
      <c r="CU379" s="392"/>
      <c r="CV379" s="465"/>
      <c r="CW379" s="457"/>
      <c r="CX379" s="464"/>
      <c r="CY379" s="466"/>
      <c r="CZ379" s="465"/>
      <c r="DA379" s="457"/>
      <c r="DB379" s="464"/>
      <c r="DC379" s="466"/>
      <c r="DD379" s="465"/>
      <c r="DE379" s="457"/>
      <c r="DF379" s="464"/>
      <c r="DG379" s="466"/>
      <c r="DH379" s="465"/>
      <c r="DI379" s="457"/>
      <c r="DJ379" s="464"/>
      <c r="DK379" s="466"/>
      <c r="DL379" s="465"/>
      <c r="DM379" s="457"/>
      <c r="DN379" s="464"/>
      <c r="DO379" s="466"/>
      <c r="DP379" s="465"/>
      <c r="DQ379" s="457"/>
      <c r="DR379" s="464"/>
      <c r="DS379" s="466"/>
      <c r="DT379" s="465"/>
      <c r="DU379" s="457"/>
      <c r="DV379" s="464"/>
      <c r="DW379" s="466"/>
      <c r="DX379" s="465"/>
      <c r="DY379" s="457"/>
      <c r="DZ379" s="464"/>
      <c r="EA379" s="466"/>
      <c r="EB379" s="465"/>
      <c r="EC379" s="457"/>
      <c r="ED379" s="464"/>
      <c r="EE379" s="466"/>
      <c r="EF379" s="459"/>
      <c r="EG379" s="450"/>
      <c r="EH379" s="460">
        <f t="shared" si="200"/>
        <v>0</v>
      </c>
      <c r="EI379" s="460">
        <f t="shared" si="201"/>
        <v>0</v>
      </c>
      <c r="EJ379" s="458">
        <f t="shared" si="202"/>
        <v>0</v>
      </c>
      <c r="EK379" s="470">
        <f t="shared" si="203"/>
        <v>0</v>
      </c>
      <c r="EL379" s="470">
        <f t="shared" si="204"/>
        <v>0</v>
      </c>
      <c r="EM379" s="449">
        <f t="shared" si="205"/>
        <v>0</v>
      </c>
      <c r="EN379" s="460">
        <f t="shared" si="206"/>
        <v>73</v>
      </c>
      <c r="EO379" s="469">
        <f t="shared" si="207"/>
        <v>92</v>
      </c>
      <c r="EP379" s="471"/>
      <c r="EQ379" s="450"/>
      <c r="ER379" s="471"/>
      <c r="ES379" s="450"/>
      <c r="ET379" s="471"/>
      <c r="EU379" s="450"/>
      <c r="EV379" s="471"/>
      <c r="EW379" s="450"/>
      <c r="EX379" s="471"/>
      <c r="EY379" s="450"/>
      <c r="EZ379" s="471"/>
      <c r="FA379" s="450"/>
      <c r="FB379" s="471"/>
      <c r="FC379" s="450"/>
      <c r="FD379" s="471"/>
      <c r="FE379" s="450"/>
      <c r="FF379" s="471"/>
      <c r="FG379" s="450"/>
      <c r="FH379" s="472">
        <v>14</v>
      </c>
      <c r="FI379" s="450">
        <v>0</v>
      </c>
      <c r="FJ379" s="468">
        <f t="shared" si="208"/>
        <v>14</v>
      </c>
      <c r="FK379" s="469">
        <f t="shared" si="209"/>
        <v>0</v>
      </c>
      <c r="FL379" s="472"/>
      <c r="FM379" s="450"/>
      <c r="FN379" s="460">
        <f t="shared" si="210"/>
        <v>394</v>
      </c>
      <c r="FO379" s="469">
        <f t="shared" si="211"/>
        <v>413</v>
      </c>
    </row>
    <row r="380" spans="1:171" x14ac:dyDescent="0.2">
      <c r="A380" s="593" t="s">
        <v>644</v>
      </c>
      <c r="B380" s="440" t="s">
        <v>777</v>
      </c>
      <c r="C380" s="441"/>
      <c r="D380" s="438">
        <v>207306</v>
      </c>
      <c r="E380" s="594">
        <v>5</v>
      </c>
      <c r="F380" s="532"/>
      <c r="G380" s="450"/>
      <c r="H380" s="457"/>
      <c r="I380" s="450"/>
      <c r="J380" s="457"/>
      <c r="K380" s="450"/>
      <c r="L380" s="458">
        <f t="shared" si="188"/>
        <v>0</v>
      </c>
      <c r="M380" s="449">
        <f t="shared" si="189"/>
        <v>0</v>
      </c>
      <c r="N380" s="459">
        <v>317</v>
      </c>
      <c r="O380" s="459">
        <v>64</v>
      </c>
      <c r="P380" s="459"/>
      <c r="Q380" s="459"/>
      <c r="R380" s="460">
        <f t="shared" si="190"/>
        <v>64</v>
      </c>
      <c r="S380" s="646">
        <v>342</v>
      </c>
      <c r="T380" s="461">
        <v>59</v>
      </c>
      <c r="U380" s="461"/>
      <c r="V380" s="461"/>
      <c r="W380" s="462">
        <f t="shared" si="212"/>
        <v>59</v>
      </c>
      <c r="X380" s="463"/>
      <c r="Y380" s="457"/>
      <c r="Z380" s="464"/>
      <c r="AA380" s="464"/>
      <c r="AB380" s="465"/>
      <c r="AC380" s="457"/>
      <c r="AD380" s="464"/>
      <c r="AE380" s="466"/>
      <c r="AF380" s="465"/>
      <c r="AG380" s="457"/>
      <c r="AH380" s="464"/>
      <c r="AI380" s="466"/>
      <c r="AJ380" s="465"/>
      <c r="AK380" s="457"/>
      <c r="AL380" s="464"/>
      <c r="AM380" s="466"/>
      <c r="AN380" s="465"/>
      <c r="AO380" s="457"/>
      <c r="AP380" s="464"/>
      <c r="AQ380" s="464"/>
      <c r="AR380" s="460">
        <f t="shared" si="192"/>
        <v>0</v>
      </c>
      <c r="AS380" s="467">
        <f t="shared" si="193"/>
        <v>0.85675675675675678</v>
      </c>
      <c r="AT380" s="447">
        <f t="shared" si="194"/>
        <v>0</v>
      </c>
      <c r="AU380" s="448">
        <f t="shared" si="195"/>
        <v>0.88601036269430056</v>
      </c>
      <c r="AV380" s="457"/>
      <c r="AW380" s="450"/>
      <c r="AX380" s="463">
        <v>13</v>
      </c>
      <c r="AY380" s="457">
        <v>33</v>
      </c>
      <c r="AZ380" s="464">
        <v>13</v>
      </c>
      <c r="BA380" s="464">
        <v>27</v>
      </c>
      <c r="BB380" s="465">
        <v>42</v>
      </c>
      <c r="BC380" s="457">
        <v>20</v>
      </c>
      <c r="BD380" s="464">
        <v>42</v>
      </c>
      <c r="BE380" s="466">
        <v>17</v>
      </c>
      <c r="BF380" s="465"/>
      <c r="BG380" s="457"/>
      <c r="BH380" s="464"/>
      <c r="BI380" s="466"/>
      <c r="BJ380" s="465"/>
      <c r="BK380" s="457"/>
      <c r="BL380" s="464"/>
      <c r="BM380" s="466"/>
      <c r="BN380" s="465"/>
      <c r="BO380" s="457"/>
      <c r="BP380" s="464"/>
      <c r="BQ380" s="466"/>
      <c r="BR380" s="465"/>
      <c r="BS380" s="457"/>
      <c r="BT380" s="392"/>
      <c r="BU380" s="392"/>
      <c r="BV380" s="465"/>
      <c r="BW380" s="457"/>
      <c r="BX380" s="464"/>
      <c r="BY380" s="466"/>
      <c r="BZ380" s="465"/>
      <c r="CA380" s="457"/>
      <c r="CB380" s="464"/>
      <c r="CC380" s="466"/>
      <c r="CD380" s="465"/>
      <c r="CE380" s="457"/>
      <c r="CF380" s="464"/>
      <c r="CG380" s="466"/>
      <c r="CH380" s="465"/>
      <c r="CI380" s="457"/>
      <c r="CJ380" s="464"/>
      <c r="CK380" s="466"/>
      <c r="CL380" s="459"/>
      <c r="CM380" s="450"/>
      <c r="CN380" s="468">
        <f t="shared" si="196"/>
        <v>53</v>
      </c>
      <c r="CO380" s="468">
        <f t="shared" si="197"/>
        <v>2</v>
      </c>
      <c r="CP380" s="469">
        <f t="shared" si="198"/>
        <v>44</v>
      </c>
      <c r="CQ380" s="469">
        <f t="shared" si="199"/>
        <v>2</v>
      </c>
      <c r="CR380" s="463"/>
      <c r="CS380" s="457"/>
      <c r="CT380" s="464"/>
      <c r="CU380" s="464"/>
      <c r="CV380" s="465"/>
      <c r="CW380" s="457"/>
      <c r="CX380" s="464"/>
      <c r="CY380" s="466"/>
      <c r="CZ380" s="465"/>
      <c r="DA380" s="457"/>
      <c r="DB380" s="464"/>
      <c r="DC380" s="466"/>
      <c r="DD380" s="465"/>
      <c r="DE380" s="457"/>
      <c r="DF380" s="464"/>
      <c r="DG380" s="466"/>
      <c r="DH380" s="465"/>
      <c r="DI380" s="457"/>
      <c r="DJ380" s="464"/>
      <c r="DK380" s="466"/>
      <c r="DL380" s="465"/>
      <c r="DM380" s="457"/>
      <c r="DN380" s="464"/>
      <c r="DO380" s="466"/>
      <c r="DP380" s="465"/>
      <c r="DQ380" s="457"/>
      <c r="DR380" s="464"/>
      <c r="DS380" s="466"/>
      <c r="DT380" s="465"/>
      <c r="DU380" s="457"/>
      <c r="DV380" s="464"/>
      <c r="DW380" s="466"/>
      <c r="DX380" s="465"/>
      <c r="DY380" s="457"/>
      <c r="DZ380" s="464"/>
      <c r="EA380" s="466"/>
      <c r="EB380" s="465"/>
      <c r="EC380" s="457"/>
      <c r="ED380" s="464"/>
      <c r="EE380" s="466"/>
      <c r="EF380" s="459"/>
      <c r="EG380" s="450"/>
      <c r="EH380" s="460">
        <f t="shared" si="200"/>
        <v>0</v>
      </c>
      <c r="EI380" s="460">
        <f t="shared" si="201"/>
        <v>0</v>
      </c>
      <c r="EJ380" s="458">
        <f t="shared" si="202"/>
        <v>0</v>
      </c>
      <c r="EK380" s="470">
        <f t="shared" si="203"/>
        <v>0</v>
      </c>
      <c r="EL380" s="470">
        <f t="shared" si="204"/>
        <v>0</v>
      </c>
      <c r="EM380" s="449">
        <f t="shared" si="205"/>
        <v>0</v>
      </c>
      <c r="EN380" s="460">
        <f t="shared" si="206"/>
        <v>53</v>
      </c>
      <c r="EO380" s="469">
        <f t="shared" si="207"/>
        <v>44</v>
      </c>
      <c r="EP380" s="471"/>
      <c r="EQ380" s="450"/>
      <c r="ER380" s="471"/>
      <c r="ES380" s="450"/>
      <c r="ET380" s="471"/>
      <c r="EU380" s="450"/>
      <c r="EV380" s="471"/>
      <c r="EW380" s="450"/>
      <c r="EX380" s="471"/>
      <c r="EY380" s="450"/>
      <c r="EZ380" s="471"/>
      <c r="FA380" s="450"/>
      <c r="FB380" s="471"/>
      <c r="FC380" s="450"/>
      <c r="FD380" s="471"/>
      <c r="FE380" s="450"/>
      <c r="FF380" s="471"/>
      <c r="FG380" s="450"/>
      <c r="FH380" s="472"/>
      <c r="FI380" s="450"/>
      <c r="FJ380" s="468">
        <f t="shared" si="208"/>
        <v>0</v>
      </c>
      <c r="FK380" s="469">
        <f t="shared" si="209"/>
        <v>0</v>
      </c>
      <c r="FL380" s="472"/>
      <c r="FM380" s="450"/>
      <c r="FN380" s="460">
        <f t="shared" si="210"/>
        <v>370</v>
      </c>
      <c r="FO380" s="469">
        <f t="shared" si="211"/>
        <v>386</v>
      </c>
    </row>
    <row r="381" spans="1:171" x14ac:dyDescent="0.2">
      <c r="A381" s="593" t="s">
        <v>644</v>
      </c>
      <c r="B381" s="440" t="s">
        <v>779</v>
      </c>
      <c r="C381" s="441"/>
      <c r="D381" s="438">
        <v>207865</v>
      </c>
      <c r="E381" s="594">
        <v>5</v>
      </c>
      <c r="F381" s="532"/>
      <c r="G381" s="450"/>
      <c r="H381" s="457"/>
      <c r="I381" s="450"/>
      <c r="J381" s="457">
        <v>98</v>
      </c>
      <c r="K381" s="450">
        <v>67</v>
      </c>
      <c r="L381" s="458">
        <f t="shared" si="188"/>
        <v>0.17594254937163376</v>
      </c>
      <c r="M381" s="449">
        <f t="shared" si="189"/>
        <v>0.13508064516129031</v>
      </c>
      <c r="N381" s="459">
        <v>557</v>
      </c>
      <c r="O381" s="459">
        <v>81</v>
      </c>
      <c r="P381" s="459"/>
      <c r="Q381" s="459"/>
      <c r="R381" s="460">
        <f t="shared" si="190"/>
        <v>81</v>
      </c>
      <c r="S381" s="646">
        <v>496</v>
      </c>
      <c r="T381" s="461">
        <v>91</v>
      </c>
      <c r="U381" s="461"/>
      <c r="V381" s="461"/>
      <c r="W381" s="462">
        <f t="shared" si="212"/>
        <v>91</v>
      </c>
      <c r="X381" s="463"/>
      <c r="Y381" s="457"/>
      <c r="Z381" s="464"/>
      <c r="AA381" s="464"/>
      <c r="AB381" s="465"/>
      <c r="AC381" s="457"/>
      <c r="AD381" s="464"/>
      <c r="AE381" s="466"/>
      <c r="AF381" s="465"/>
      <c r="AG381" s="457"/>
      <c r="AH381" s="464"/>
      <c r="AI381" s="466"/>
      <c r="AJ381" s="465"/>
      <c r="AK381" s="457"/>
      <c r="AL381" s="464"/>
      <c r="AM381" s="466"/>
      <c r="AN381" s="465"/>
      <c r="AO381" s="457"/>
      <c r="AP381" s="464"/>
      <c r="AQ381" s="464"/>
      <c r="AR381" s="460">
        <f t="shared" si="192"/>
        <v>0</v>
      </c>
      <c r="AS381" s="467">
        <f t="shared" si="193"/>
        <v>0.58202716823406475</v>
      </c>
      <c r="AT381" s="447">
        <f t="shared" si="194"/>
        <v>0</v>
      </c>
      <c r="AU381" s="448">
        <f t="shared" si="195"/>
        <v>0.57540603248259858</v>
      </c>
      <c r="AV381" s="457"/>
      <c r="AW381" s="450"/>
      <c r="AX381" s="463">
        <v>13</v>
      </c>
      <c r="AY381" s="457">
        <v>147</v>
      </c>
      <c r="AZ381" s="464">
        <v>13</v>
      </c>
      <c r="BA381" s="464">
        <v>154</v>
      </c>
      <c r="BB381" s="465">
        <v>42</v>
      </c>
      <c r="BC381" s="457">
        <v>40</v>
      </c>
      <c r="BD381" s="464">
        <v>52</v>
      </c>
      <c r="BE381" s="466">
        <v>34</v>
      </c>
      <c r="BF381" s="465">
        <v>52</v>
      </c>
      <c r="BG381" s="457">
        <v>34</v>
      </c>
      <c r="BH381" s="464">
        <v>42</v>
      </c>
      <c r="BI381" s="466">
        <v>29</v>
      </c>
      <c r="BJ381" s="465">
        <v>50</v>
      </c>
      <c r="BK381" s="457">
        <v>1</v>
      </c>
      <c r="BL381" s="464">
        <v>50</v>
      </c>
      <c r="BM381" s="466">
        <v>5</v>
      </c>
      <c r="BN381" s="465"/>
      <c r="BO381" s="457"/>
      <c r="BP381" s="464"/>
      <c r="BQ381" s="466"/>
      <c r="BR381" s="465"/>
      <c r="BS381" s="457"/>
      <c r="BT381" s="392"/>
      <c r="BU381" s="392"/>
      <c r="BV381" s="465"/>
      <c r="BW381" s="457"/>
      <c r="BX381" s="464"/>
      <c r="BY381" s="466"/>
      <c r="BZ381" s="465"/>
      <c r="CA381" s="457"/>
      <c r="CB381" s="464"/>
      <c r="CC381" s="466"/>
      <c r="CD381" s="465"/>
      <c r="CE381" s="457"/>
      <c r="CF381" s="464"/>
      <c r="CG381" s="466"/>
      <c r="CH381" s="465"/>
      <c r="CI381" s="457"/>
      <c r="CJ381" s="464"/>
      <c r="CK381" s="466"/>
      <c r="CL381" s="459"/>
      <c r="CM381" s="450"/>
      <c r="CN381" s="468">
        <f t="shared" si="196"/>
        <v>222</v>
      </c>
      <c r="CO381" s="468">
        <f t="shared" si="197"/>
        <v>4</v>
      </c>
      <c r="CP381" s="469">
        <f t="shared" si="198"/>
        <v>222</v>
      </c>
      <c r="CQ381" s="469">
        <f t="shared" si="199"/>
        <v>4</v>
      </c>
      <c r="CR381" s="463"/>
      <c r="CS381" s="457"/>
      <c r="CT381" s="464"/>
      <c r="CU381" s="464"/>
      <c r="CV381" s="465"/>
      <c r="CW381" s="457"/>
      <c r="CX381" s="464"/>
      <c r="CY381" s="466"/>
      <c r="CZ381" s="465"/>
      <c r="DA381" s="457"/>
      <c r="DB381" s="464"/>
      <c r="DC381" s="466"/>
      <c r="DD381" s="465"/>
      <c r="DE381" s="457"/>
      <c r="DF381" s="464"/>
      <c r="DG381" s="466"/>
      <c r="DH381" s="465"/>
      <c r="DI381" s="457"/>
      <c r="DJ381" s="464"/>
      <c r="DK381" s="466"/>
      <c r="DL381" s="465"/>
      <c r="DM381" s="457"/>
      <c r="DN381" s="464"/>
      <c r="DO381" s="466"/>
      <c r="DP381" s="465"/>
      <c r="DQ381" s="457"/>
      <c r="DR381" s="464"/>
      <c r="DS381" s="466"/>
      <c r="DT381" s="465"/>
      <c r="DU381" s="457"/>
      <c r="DV381" s="464"/>
      <c r="DW381" s="466"/>
      <c r="DX381" s="465"/>
      <c r="DY381" s="457"/>
      <c r="DZ381" s="464"/>
      <c r="EA381" s="466"/>
      <c r="EB381" s="465"/>
      <c r="EC381" s="457"/>
      <c r="ED381" s="464"/>
      <c r="EE381" s="466"/>
      <c r="EF381" s="459"/>
      <c r="EG381" s="450"/>
      <c r="EH381" s="460">
        <f t="shared" si="200"/>
        <v>0</v>
      </c>
      <c r="EI381" s="460">
        <f t="shared" si="201"/>
        <v>0</v>
      </c>
      <c r="EJ381" s="458">
        <f t="shared" si="202"/>
        <v>0</v>
      </c>
      <c r="EK381" s="470">
        <f t="shared" si="203"/>
        <v>0</v>
      </c>
      <c r="EL381" s="470">
        <f t="shared" si="204"/>
        <v>0</v>
      </c>
      <c r="EM381" s="449">
        <f t="shared" si="205"/>
        <v>0</v>
      </c>
      <c r="EN381" s="460">
        <f t="shared" si="206"/>
        <v>222</v>
      </c>
      <c r="EO381" s="469">
        <f t="shared" si="207"/>
        <v>222</v>
      </c>
      <c r="EP381" s="471"/>
      <c r="EQ381" s="450"/>
      <c r="ER381" s="471"/>
      <c r="ES381" s="450"/>
      <c r="ET381" s="471"/>
      <c r="EU381" s="450"/>
      <c r="EV381" s="471">
        <v>80</v>
      </c>
      <c r="EW381" s="450">
        <v>77</v>
      </c>
      <c r="EX381" s="471"/>
      <c r="EY381" s="450"/>
      <c r="EZ381" s="471"/>
      <c r="FA381" s="450"/>
      <c r="FB381" s="471"/>
      <c r="FC381" s="450"/>
      <c r="FD381" s="471"/>
      <c r="FE381" s="450"/>
      <c r="FF381" s="471"/>
      <c r="FG381" s="450"/>
      <c r="FH381" s="472"/>
      <c r="FI381" s="450"/>
      <c r="FJ381" s="468">
        <f t="shared" si="208"/>
        <v>80</v>
      </c>
      <c r="FK381" s="469">
        <f t="shared" si="209"/>
        <v>77</v>
      </c>
      <c r="FL381" s="472"/>
      <c r="FM381" s="450"/>
      <c r="FN381" s="460">
        <f t="shared" si="210"/>
        <v>957</v>
      </c>
      <c r="FO381" s="469">
        <f t="shared" si="211"/>
        <v>862</v>
      </c>
    </row>
    <row r="382" spans="1:171" x14ac:dyDescent="0.2">
      <c r="A382" s="593" t="s">
        <v>644</v>
      </c>
      <c r="B382" s="440" t="s">
        <v>780</v>
      </c>
      <c r="C382" s="441"/>
      <c r="D382" s="438">
        <v>207351</v>
      </c>
      <c r="E382" s="594">
        <v>6</v>
      </c>
      <c r="F382" s="532"/>
      <c r="G382" s="450"/>
      <c r="H382" s="457"/>
      <c r="I382" s="450"/>
      <c r="J382" s="457">
        <v>61</v>
      </c>
      <c r="K382" s="450">
        <v>59</v>
      </c>
      <c r="L382" s="458">
        <f t="shared" si="188"/>
        <v>0.29756097560975608</v>
      </c>
      <c r="M382" s="449">
        <f t="shared" si="189"/>
        <v>0.26457399103139012</v>
      </c>
      <c r="N382" s="459">
        <v>205</v>
      </c>
      <c r="O382" s="459">
        <v>17</v>
      </c>
      <c r="P382" s="459"/>
      <c r="Q382" s="459"/>
      <c r="R382" s="460">
        <f t="shared" si="190"/>
        <v>17</v>
      </c>
      <c r="S382" s="646">
        <v>223</v>
      </c>
      <c r="T382" s="461">
        <v>22</v>
      </c>
      <c r="U382" s="461"/>
      <c r="V382" s="461"/>
      <c r="W382" s="462">
        <f t="shared" si="212"/>
        <v>22</v>
      </c>
      <c r="X382" s="463"/>
      <c r="Y382" s="457"/>
      <c r="Z382" s="464"/>
      <c r="AA382" s="464"/>
      <c r="AB382" s="465"/>
      <c r="AC382" s="457"/>
      <c r="AD382" s="464"/>
      <c r="AE382" s="466"/>
      <c r="AF382" s="465"/>
      <c r="AG382" s="457"/>
      <c r="AH382" s="464"/>
      <c r="AI382" s="466"/>
      <c r="AJ382" s="465"/>
      <c r="AK382" s="457"/>
      <c r="AL382" s="464"/>
      <c r="AM382" s="466"/>
      <c r="AN382" s="465"/>
      <c r="AO382" s="457"/>
      <c r="AP382" s="464"/>
      <c r="AQ382" s="464"/>
      <c r="AR382" s="460">
        <f t="shared" si="192"/>
        <v>0</v>
      </c>
      <c r="AS382" s="467">
        <f t="shared" si="193"/>
        <v>0.77067669172932329</v>
      </c>
      <c r="AT382" s="447">
        <f t="shared" si="194"/>
        <v>0</v>
      </c>
      <c r="AU382" s="448">
        <f t="shared" si="195"/>
        <v>0.79078014184397161</v>
      </c>
      <c r="AV382" s="457"/>
      <c r="AW382" s="450"/>
      <c r="AX382" s="463"/>
      <c r="AY382" s="457"/>
      <c r="AZ382" s="464"/>
      <c r="BA382" s="464"/>
      <c r="BB382" s="465"/>
      <c r="BC382" s="457"/>
      <c r="BD382" s="464"/>
      <c r="BE382" s="466"/>
      <c r="BF382" s="465"/>
      <c r="BG382" s="457"/>
      <c r="BH382" s="464"/>
      <c r="BI382" s="466"/>
      <c r="BJ382" s="465"/>
      <c r="BK382" s="457"/>
      <c r="BL382" s="464"/>
      <c r="BM382" s="466"/>
      <c r="BN382" s="465"/>
      <c r="BO382" s="457"/>
      <c r="BP382" s="464"/>
      <c r="BQ382" s="466"/>
      <c r="BR382" s="465"/>
      <c r="BS382" s="457"/>
      <c r="BT382" s="392"/>
      <c r="BU382" s="392"/>
      <c r="BV382" s="465"/>
      <c r="BW382" s="457"/>
      <c r="BX382" s="464"/>
      <c r="BY382" s="466"/>
      <c r="BZ382" s="465"/>
      <c r="CA382" s="457"/>
      <c r="CB382" s="464"/>
      <c r="CC382" s="466"/>
      <c r="CD382" s="465"/>
      <c r="CE382" s="457"/>
      <c r="CF382" s="464"/>
      <c r="CG382" s="466"/>
      <c r="CH382" s="465"/>
      <c r="CI382" s="457"/>
      <c r="CJ382" s="464"/>
      <c r="CK382" s="466"/>
      <c r="CL382" s="459"/>
      <c r="CM382" s="450"/>
      <c r="CN382" s="468">
        <f t="shared" si="196"/>
        <v>0</v>
      </c>
      <c r="CO382" s="468">
        <f t="shared" si="197"/>
        <v>0</v>
      </c>
      <c r="CP382" s="469">
        <f t="shared" si="198"/>
        <v>0</v>
      </c>
      <c r="CQ382" s="469">
        <f t="shared" si="199"/>
        <v>0</v>
      </c>
      <c r="CR382" s="463"/>
      <c r="CS382" s="457"/>
      <c r="CT382" s="464"/>
      <c r="CU382" s="464"/>
      <c r="CV382" s="465"/>
      <c r="CW382" s="457"/>
      <c r="CX382" s="392"/>
      <c r="CY382" s="392"/>
      <c r="CZ382" s="465"/>
      <c r="DA382" s="457"/>
      <c r="DB382" s="392"/>
      <c r="DC382" s="392"/>
      <c r="DD382" s="465"/>
      <c r="DE382" s="457"/>
      <c r="DF382" s="464"/>
      <c r="DG382" s="466"/>
      <c r="DH382" s="465"/>
      <c r="DI382" s="457"/>
      <c r="DJ382" s="464"/>
      <c r="DK382" s="466"/>
      <c r="DL382" s="465"/>
      <c r="DM382" s="457"/>
      <c r="DN382" s="464"/>
      <c r="DO382" s="466"/>
      <c r="DP382" s="465"/>
      <c r="DQ382" s="457"/>
      <c r="DR382" s="464"/>
      <c r="DS382" s="466"/>
      <c r="DT382" s="465"/>
      <c r="DU382" s="457"/>
      <c r="DV382" s="464"/>
      <c r="DW382" s="466"/>
      <c r="DX382" s="465"/>
      <c r="DY382" s="457"/>
      <c r="DZ382" s="464"/>
      <c r="EA382" s="466"/>
      <c r="EB382" s="465"/>
      <c r="EC382" s="457"/>
      <c r="ED382" s="464"/>
      <c r="EE382" s="466"/>
      <c r="EF382" s="459"/>
      <c r="EG382" s="450"/>
      <c r="EH382" s="460">
        <f t="shared" si="200"/>
        <v>0</v>
      </c>
      <c r="EI382" s="460">
        <f t="shared" si="201"/>
        <v>0</v>
      </c>
      <c r="EJ382" s="458">
        <f t="shared" si="202"/>
        <v>0</v>
      </c>
      <c r="EK382" s="470">
        <f t="shared" si="203"/>
        <v>0</v>
      </c>
      <c r="EL382" s="470">
        <f t="shared" si="204"/>
        <v>0</v>
      </c>
      <c r="EM382" s="449">
        <f t="shared" si="205"/>
        <v>0</v>
      </c>
      <c r="EN382" s="460">
        <f t="shared" si="206"/>
        <v>0</v>
      </c>
      <c r="EO382" s="469">
        <f t="shared" si="207"/>
        <v>0</v>
      </c>
      <c r="EP382" s="471"/>
      <c r="EQ382" s="450"/>
      <c r="ER382" s="471"/>
      <c r="ES382" s="450"/>
      <c r="ET382" s="471"/>
      <c r="EU382" s="450"/>
      <c r="EV382" s="471"/>
      <c r="EW382" s="450"/>
      <c r="EX382" s="471"/>
      <c r="EY382" s="450"/>
      <c r="EZ382" s="471"/>
      <c r="FA382" s="450"/>
      <c r="FB382" s="471"/>
      <c r="FC382" s="450"/>
      <c r="FD382" s="471"/>
      <c r="FE382" s="450"/>
      <c r="FF382" s="471"/>
      <c r="FG382" s="450"/>
      <c r="FH382" s="472"/>
      <c r="FI382" s="450"/>
      <c r="FJ382" s="468">
        <f t="shared" si="208"/>
        <v>0</v>
      </c>
      <c r="FK382" s="469">
        <f t="shared" si="209"/>
        <v>0</v>
      </c>
      <c r="FL382" s="472"/>
      <c r="FM382" s="450"/>
      <c r="FN382" s="460">
        <f t="shared" si="210"/>
        <v>266</v>
      </c>
      <c r="FO382" s="469">
        <f t="shared" si="211"/>
        <v>282</v>
      </c>
    </row>
    <row r="383" spans="1:171" x14ac:dyDescent="0.2">
      <c r="A383" s="423" t="s">
        <v>644</v>
      </c>
      <c r="B383" s="595" t="s">
        <v>781</v>
      </c>
      <c r="C383" s="596"/>
      <c r="D383" s="425">
        <v>207661</v>
      </c>
      <c r="E383" s="597">
        <v>6</v>
      </c>
      <c r="F383" s="532"/>
      <c r="G383" s="450">
        <v>0</v>
      </c>
      <c r="H383" s="457"/>
      <c r="I383" s="450"/>
      <c r="J383" s="457">
        <v>276</v>
      </c>
      <c r="K383" s="742">
        <v>230</v>
      </c>
      <c r="L383" s="458">
        <f t="shared" si="188"/>
        <v>1.0147058823529411</v>
      </c>
      <c r="M383" s="449">
        <f t="shared" si="189"/>
        <v>0.79584775086505188</v>
      </c>
      <c r="N383" s="459">
        <v>272</v>
      </c>
      <c r="O383" s="459">
        <v>0</v>
      </c>
      <c r="P383" s="459"/>
      <c r="Q383" s="459"/>
      <c r="R383" s="460">
        <f t="shared" si="190"/>
        <v>0</v>
      </c>
      <c r="S383" s="646">
        <v>289</v>
      </c>
      <c r="T383" s="461"/>
      <c r="U383" s="461"/>
      <c r="V383" s="461"/>
      <c r="W383" s="462">
        <f t="shared" si="212"/>
        <v>0</v>
      </c>
      <c r="X383" s="463"/>
      <c r="Y383" s="457"/>
      <c r="Z383" s="464"/>
      <c r="AA383" s="464"/>
      <c r="AB383" s="465"/>
      <c r="AC383" s="457"/>
      <c r="AD383" s="464"/>
      <c r="AE383" s="466"/>
      <c r="AF383" s="465"/>
      <c r="AG383" s="457"/>
      <c r="AH383" s="464"/>
      <c r="AI383" s="466"/>
      <c r="AJ383" s="465"/>
      <c r="AK383" s="457"/>
      <c r="AL383" s="464"/>
      <c r="AM383" s="466"/>
      <c r="AN383" s="465"/>
      <c r="AO383" s="457"/>
      <c r="AP383" s="464"/>
      <c r="AQ383" s="464"/>
      <c r="AR383" s="460">
        <f t="shared" si="192"/>
        <v>0</v>
      </c>
      <c r="AS383" s="467">
        <f t="shared" si="193"/>
        <v>0.49635036496350365</v>
      </c>
      <c r="AT383" s="447">
        <f t="shared" si="194"/>
        <v>0</v>
      </c>
      <c r="AU383" s="448">
        <f t="shared" si="195"/>
        <v>0.55684007707129091</v>
      </c>
      <c r="AV383" s="457"/>
      <c r="AW383" s="450"/>
      <c r="AX383" s="463"/>
      <c r="AY383" s="457"/>
      <c r="AZ383" s="464"/>
      <c r="BA383" s="464"/>
      <c r="BB383" s="465"/>
      <c r="BC383" s="457"/>
      <c r="BD383" s="464"/>
      <c r="BE383" s="466"/>
      <c r="BF383" s="465"/>
      <c r="BG383" s="457"/>
      <c r="BH383" s="464"/>
      <c r="BI383" s="466"/>
      <c r="BJ383" s="465"/>
      <c r="BK383" s="457"/>
      <c r="BL383" s="464"/>
      <c r="BM383" s="466"/>
      <c r="BN383" s="465"/>
      <c r="BO383" s="457"/>
      <c r="BP383" s="464"/>
      <c r="BQ383" s="466"/>
      <c r="BR383" s="465"/>
      <c r="BS383" s="457"/>
      <c r="BT383" s="392"/>
      <c r="BU383" s="392"/>
      <c r="BV383" s="465"/>
      <c r="BW383" s="457"/>
      <c r="BX383" s="464"/>
      <c r="BY383" s="466"/>
      <c r="BZ383" s="465"/>
      <c r="CA383" s="457"/>
      <c r="CB383" s="464"/>
      <c r="CC383" s="466"/>
      <c r="CD383" s="465"/>
      <c r="CE383" s="457"/>
      <c r="CF383" s="464"/>
      <c r="CG383" s="466"/>
      <c r="CH383" s="465"/>
      <c r="CI383" s="457"/>
      <c r="CJ383" s="464"/>
      <c r="CK383" s="466"/>
      <c r="CL383" s="459"/>
      <c r="CM383" s="450"/>
      <c r="CN383" s="468">
        <f t="shared" si="196"/>
        <v>0</v>
      </c>
      <c r="CO383" s="468">
        <f t="shared" si="197"/>
        <v>0</v>
      </c>
      <c r="CP383" s="469">
        <f t="shared" si="198"/>
        <v>0</v>
      </c>
      <c r="CQ383" s="469">
        <f t="shared" si="199"/>
        <v>0</v>
      </c>
      <c r="CR383" s="463"/>
      <c r="CS383" s="457"/>
      <c r="CT383" s="392"/>
      <c r="CU383" s="392"/>
      <c r="CV383" s="465"/>
      <c r="CW383" s="457"/>
      <c r="CX383" s="464"/>
      <c r="CY383" s="466"/>
      <c r="CZ383" s="465"/>
      <c r="DA383" s="457"/>
      <c r="DB383" s="464"/>
      <c r="DC383" s="466"/>
      <c r="DD383" s="465"/>
      <c r="DE383" s="457"/>
      <c r="DF383" s="464"/>
      <c r="DG383" s="466"/>
      <c r="DH383" s="465"/>
      <c r="DI383" s="457"/>
      <c r="DJ383" s="464"/>
      <c r="DK383" s="466"/>
      <c r="DL383" s="465"/>
      <c r="DM383" s="457"/>
      <c r="DN383" s="464"/>
      <c r="DO383" s="466"/>
      <c r="DP383" s="465"/>
      <c r="DQ383" s="457"/>
      <c r="DR383" s="464"/>
      <c r="DS383" s="466"/>
      <c r="DT383" s="465"/>
      <c r="DU383" s="457"/>
      <c r="DV383" s="464"/>
      <c r="DW383" s="466"/>
      <c r="DX383" s="465"/>
      <c r="DY383" s="457"/>
      <c r="DZ383" s="464"/>
      <c r="EA383" s="466"/>
      <c r="EB383" s="465"/>
      <c r="EC383" s="457"/>
      <c r="ED383" s="464"/>
      <c r="EE383" s="466"/>
      <c r="EF383" s="459"/>
      <c r="EG383" s="450"/>
      <c r="EH383" s="460">
        <f t="shared" si="200"/>
        <v>0</v>
      </c>
      <c r="EI383" s="460">
        <f t="shared" si="201"/>
        <v>0</v>
      </c>
      <c r="EJ383" s="458">
        <f t="shared" si="202"/>
        <v>0</v>
      </c>
      <c r="EK383" s="470">
        <f t="shared" si="203"/>
        <v>0</v>
      </c>
      <c r="EL383" s="470">
        <f t="shared" si="204"/>
        <v>0</v>
      </c>
      <c r="EM383" s="449">
        <f t="shared" si="205"/>
        <v>0</v>
      </c>
      <c r="EN383" s="460">
        <f t="shared" si="206"/>
        <v>0</v>
      </c>
      <c r="EO383" s="469">
        <f t="shared" si="207"/>
        <v>0</v>
      </c>
      <c r="EP383" s="471"/>
      <c r="EQ383" s="450"/>
      <c r="ER383" s="471"/>
      <c r="ES383" s="450"/>
      <c r="ET383" s="471"/>
      <c r="EU383" s="450"/>
      <c r="EV383" s="471"/>
      <c r="EW383" s="450"/>
      <c r="EX383" s="471"/>
      <c r="EY383" s="450"/>
      <c r="EZ383" s="471"/>
      <c r="FA383" s="450"/>
      <c r="FB383" s="471"/>
      <c r="FC383" s="450"/>
      <c r="FD383" s="471"/>
      <c r="FE383" s="450"/>
      <c r="FF383" s="471"/>
      <c r="FG383" s="450"/>
      <c r="FH383" s="472"/>
      <c r="FI383" s="450"/>
      <c r="FJ383" s="468">
        <f t="shared" si="208"/>
        <v>0</v>
      </c>
      <c r="FK383" s="469">
        <f t="shared" si="209"/>
        <v>0</v>
      </c>
      <c r="FL383" s="472"/>
      <c r="FM383" s="450"/>
      <c r="FN383" s="460">
        <f t="shared" si="210"/>
        <v>548</v>
      </c>
      <c r="FO383" s="469">
        <f t="shared" si="211"/>
        <v>519</v>
      </c>
    </row>
    <row r="384" spans="1:171" x14ac:dyDescent="0.2">
      <c r="A384" s="593" t="s">
        <v>644</v>
      </c>
      <c r="B384" s="440" t="s">
        <v>782</v>
      </c>
      <c r="C384" s="441"/>
      <c r="D384" s="438">
        <v>207722</v>
      </c>
      <c r="E384" s="594">
        <v>6</v>
      </c>
      <c r="F384" s="532"/>
      <c r="G384" s="450"/>
      <c r="H384" s="457"/>
      <c r="I384" s="450"/>
      <c r="J384" s="457"/>
      <c r="K384" s="742">
        <v>0</v>
      </c>
      <c r="L384" s="458">
        <f t="shared" si="188"/>
        <v>0</v>
      </c>
      <c r="M384" s="449">
        <f t="shared" si="189"/>
        <v>0</v>
      </c>
      <c r="N384" s="459">
        <v>211</v>
      </c>
      <c r="O384" s="459">
        <v>26</v>
      </c>
      <c r="P384" s="459"/>
      <c r="Q384" s="459"/>
      <c r="R384" s="460">
        <f t="shared" si="190"/>
        <v>26</v>
      </c>
      <c r="S384" s="646">
        <v>188</v>
      </c>
      <c r="T384" s="461">
        <v>36</v>
      </c>
      <c r="U384" s="461"/>
      <c r="V384" s="461"/>
      <c r="W384" s="462">
        <f t="shared" si="212"/>
        <v>36</v>
      </c>
      <c r="X384" s="463"/>
      <c r="Y384" s="457"/>
      <c r="Z384" s="464"/>
      <c r="AA384" s="464"/>
      <c r="AB384" s="465"/>
      <c r="AC384" s="457"/>
      <c r="AD384" s="464"/>
      <c r="AE384" s="466"/>
      <c r="AF384" s="465"/>
      <c r="AG384" s="457"/>
      <c r="AH384" s="464"/>
      <c r="AI384" s="466"/>
      <c r="AJ384" s="465"/>
      <c r="AK384" s="457"/>
      <c r="AL384" s="464"/>
      <c r="AM384" s="466"/>
      <c r="AN384" s="465"/>
      <c r="AO384" s="457"/>
      <c r="AP384" s="464"/>
      <c r="AQ384" s="464"/>
      <c r="AR384" s="460">
        <f t="shared" si="192"/>
        <v>0</v>
      </c>
      <c r="AS384" s="467">
        <f t="shared" si="193"/>
        <v>1</v>
      </c>
      <c r="AT384" s="447">
        <f t="shared" si="194"/>
        <v>0</v>
      </c>
      <c r="AU384" s="448">
        <f t="shared" si="195"/>
        <v>1</v>
      </c>
      <c r="AV384" s="457"/>
      <c r="AW384" s="450"/>
      <c r="AX384" s="463"/>
      <c r="AY384" s="457"/>
      <c r="AZ384" s="464"/>
      <c r="BA384" s="464"/>
      <c r="BB384" s="465"/>
      <c r="BC384" s="457"/>
      <c r="BD384" s="464"/>
      <c r="BE384" s="466"/>
      <c r="BF384" s="465"/>
      <c r="BG384" s="457"/>
      <c r="BH384" s="464"/>
      <c r="BI384" s="466"/>
      <c r="BJ384" s="465"/>
      <c r="BK384" s="457"/>
      <c r="BL384" s="464"/>
      <c r="BM384" s="466"/>
      <c r="BN384" s="465"/>
      <c r="BO384" s="457"/>
      <c r="BP384" s="464"/>
      <c r="BQ384" s="466"/>
      <c r="BR384" s="465"/>
      <c r="BS384" s="457"/>
      <c r="BT384" s="392"/>
      <c r="BU384" s="392"/>
      <c r="BV384" s="465"/>
      <c r="BW384" s="457"/>
      <c r="BX384" s="464"/>
      <c r="BY384" s="466"/>
      <c r="BZ384" s="465"/>
      <c r="CA384" s="457"/>
      <c r="CB384" s="464"/>
      <c r="CC384" s="466"/>
      <c r="CD384" s="465"/>
      <c r="CE384" s="457"/>
      <c r="CF384" s="464"/>
      <c r="CG384" s="466"/>
      <c r="CH384" s="465"/>
      <c r="CI384" s="457"/>
      <c r="CJ384" s="464"/>
      <c r="CK384" s="466"/>
      <c r="CL384" s="459"/>
      <c r="CM384" s="450"/>
      <c r="CN384" s="468">
        <f t="shared" si="196"/>
        <v>0</v>
      </c>
      <c r="CO384" s="468">
        <f t="shared" si="197"/>
        <v>0</v>
      </c>
      <c r="CP384" s="469">
        <f t="shared" si="198"/>
        <v>0</v>
      </c>
      <c r="CQ384" s="469">
        <f t="shared" si="199"/>
        <v>0</v>
      </c>
      <c r="CR384" s="463"/>
      <c r="CS384" s="457"/>
      <c r="CT384" s="392"/>
      <c r="CU384" s="392"/>
      <c r="CV384" s="465"/>
      <c r="CW384" s="457"/>
      <c r="CX384" s="464"/>
      <c r="CY384" s="466"/>
      <c r="CZ384" s="465"/>
      <c r="DA384" s="457"/>
      <c r="DB384" s="464"/>
      <c r="DC384" s="466"/>
      <c r="DD384" s="465"/>
      <c r="DE384" s="457"/>
      <c r="DF384" s="464"/>
      <c r="DG384" s="466"/>
      <c r="DH384" s="465"/>
      <c r="DI384" s="457"/>
      <c r="DJ384" s="464"/>
      <c r="DK384" s="466"/>
      <c r="DL384" s="465"/>
      <c r="DM384" s="457"/>
      <c r="DN384" s="464"/>
      <c r="DO384" s="466"/>
      <c r="DP384" s="465"/>
      <c r="DQ384" s="457"/>
      <c r="DR384" s="464"/>
      <c r="DS384" s="466"/>
      <c r="DT384" s="465"/>
      <c r="DU384" s="457"/>
      <c r="DV384" s="464"/>
      <c r="DW384" s="466"/>
      <c r="DX384" s="465"/>
      <c r="DY384" s="457"/>
      <c r="DZ384" s="464"/>
      <c r="EA384" s="466"/>
      <c r="EB384" s="465"/>
      <c r="EC384" s="457"/>
      <c r="ED384" s="464"/>
      <c r="EE384" s="466"/>
      <c r="EF384" s="459"/>
      <c r="EG384" s="450"/>
      <c r="EH384" s="460">
        <f t="shared" si="200"/>
        <v>0</v>
      </c>
      <c r="EI384" s="460">
        <f t="shared" si="201"/>
        <v>0</v>
      </c>
      <c r="EJ384" s="458">
        <f t="shared" si="202"/>
        <v>0</v>
      </c>
      <c r="EK384" s="470">
        <f t="shared" si="203"/>
        <v>0</v>
      </c>
      <c r="EL384" s="470">
        <f t="shared" si="204"/>
        <v>0</v>
      </c>
      <c r="EM384" s="449">
        <f t="shared" si="205"/>
        <v>0</v>
      </c>
      <c r="EN384" s="460">
        <f t="shared" si="206"/>
        <v>0</v>
      </c>
      <c r="EO384" s="469">
        <f t="shared" si="207"/>
        <v>0</v>
      </c>
      <c r="EP384" s="471"/>
      <c r="EQ384" s="450"/>
      <c r="ER384" s="471"/>
      <c r="ES384" s="450"/>
      <c r="ET384" s="471"/>
      <c r="EU384" s="450"/>
      <c r="EV384" s="471"/>
      <c r="EW384" s="450"/>
      <c r="EX384" s="471"/>
      <c r="EY384" s="450"/>
      <c r="EZ384" s="471"/>
      <c r="FA384" s="450"/>
      <c r="FB384" s="471"/>
      <c r="FC384" s="450"/>
      <c r="FD384" s="471"/>
      <c r="FE384" s="450"/>
      <c r="FF384" s="471"/>
      <c r="FG384" s="450"/>
      <c r="FH384" s="472"/>
      <c r="FI384" s="450"/>
      <c r="FJ384" s="468">
        <f t="shared" si="208"/>
        <v>0</v>
      </c>
      <c r="FK384" s="469">
        <f t="shared" si="209"/>
        <v>0</v>
      </c>
      <c r="FL384" s="472"/>
      <c r="FM384" s="450"/>
      <c r="FN384" s="460">
        <f t="shared" si="210"/>
        <v>211</v>
      </c>
      <c r="FO384" s="469">
        <f t="shared" si="211"/>
        <v>188</v>
      </c>
    </row>
    <row r="385" spans="1:171" x14ac:dyDescent="0.2">
      <c r="A385" s="423" t="s">
        <v>644</v>
      </c>
      <c r="B385" s="436" t="s">
        <v>783</v>
      </c>
      <c r="C385" s="441" t="s">
        <v>798</v>
      </c>
      <c r="D385" s="438">
        <v>207564</v>
      </c>
      <c r="E385" s="499">
        <v>7</v>
      </c>
      <c r="F385" s="532"/>
      <c r="G385" s="450"/>
      <c r="H385" s="457"/>
      <c r="I385" s="450"/>
      <c r="J385" s="457">
        <v>591</v>
      </c>
      <c r="K385" s="450">
        <v>641</v>
      </c>
      <c r="L385" s="458">
        <f t="shared" si="188"/>
        <v>12.061224489795919</v>
      </c>
      <c r="M385" s="449">
        <f t="shared" si="189"/>
        <v>0</v>
      </c>
      <c r="N385" s="459">
        <v>49</v>
      </c>
      <c r="O385" s="459">
        <v>0</v>
      </c>
      <c r="P385" s="459"/>
      <c r="Q385" s="459"/>
      <c r="R385" s="460">
        <f t="shared" si="190"/>
        <v>0</v>
      </c>
      <c r="S385" s="646"/>
      <c r="T385" s="461"/>
      <c r="U385" s="461"/>
      <c r="V385" s="461"/>
      <c r="W385" s="462">
        <f t="shared" si="212"/>
        <v>0</v>
      </c>
      <c r="X385" s="463">
        <v>11</v>
      </c>
      <c r="Y385" s="457">
        <v>40</v>
      </c>
      <c r="Z385" s="464">
        <v>11</v>
      </c>
      <c r="AA385" s="464">
        <v>36</v>
      </c>
      <c r="AB385" s="465">
        <v>15</v>
      </c>
      <c r="AC385" s="457">
        <v>9</v>
      </c>
      <c r="AD385" s="464">
        <v>15</v>
      </c>
      <c r="AE385" s="466">
        <v>18</v>
      </c>
      <c r="AF385" s="465"/>
      <c r="AG385" s="457"/>
      <c r="AH385" s="464"/>
      <c r="AI385" s="466"/>
      <c r="AJ385" s="465"/>
      <c r="AK385" s="457"/>
      <c r="AL385" s="464"/>
      <c r="AM385" s="466"/>
      <c r="AN385" s="465"/>
      <c r="AO385" s="457"/>
      <c r="AP385" s="464"/>
      <c r="AQ385" s="464"/>
      <c r="AR385" s="460">
        <f t="shared" si="192"/>
        <v>2</v>
      </c>
      <c r="AS385" s="467">
        <f t="shared" si="193"/>
        <v>7.6562500000000006E-2</v>
      </c>
      <c r="AT385" s="447">
        <f t="shared" si="194"/>
        <v>2</v>
      </c>
      <c r="AU385" s="448">
        <f t="shared" si="195"/>
        <v>0</v>
      </c>
      <c r="AV385" s="457"/>
      <c r="AW385" s="450"/>
      <c r="AX385" s="463"/>
      <c r="AY385" s="457"/>
      <c r="AZ385" s="464"/>
      <c r="BA385" s="464"/>
      <c r="BB385" s="465"/>
      <c r="BC385" s="457"/>
      <c r="BD385" s="464"/>
      <c r="BE385" s="466"/>
      <c r="BF385" s="465"/>
      <c r="BG385" s="457"/>
      <c r="BH385" s="464"/>
      <c r="BI385" s="466"/>
      <c r="BJ385" s="465"/>
      <c r="BK385" s="457"/>
      <c r="BL385" s="464"/>
      <c r="BM385" s="466"/>
      <c r="BN385" s="465"/>
      <c r="BO385" s="457"/>
      <c r="BP385" s="464"/>
      <c r="BQ385" s="466"/>
      <c r="BR385" s="465"/>
      <c r="BS385" s="457"/>
      <c r="BT385" s="392"/>
      <c r="BU385" s="392"/>
      <c r="BV385" s="465"/>
      <c r="BW385" s="457"/>
      <c r="BX385" s="464"/>
      <c r="BY385" s="466"/>
      <c r="BZ385" s="465"/>
      <c r="CA385" s="457"/>
      <c r="CB385" s="464"/>
      <c r="CC385" s="466"/>
      <c r="CD385" s="465"/>
      <c r="CE385" s="457"/>
      <c r="CF385" s="464"/>
      <c r="CG385" s="466"/>
      <c r="CH385" s="465"/>
      <c r="CI385" s="457"/>
      <c r="CJ385" s="464"/>
      <c r="CK385" s="466"/>
      <c r="CL385" s="459"/>
      <c r="CM385" s="450"/>
      <c r="CN385" s="468">
        <f t="shared" si="196"/>
        <v>0</v>
      </c>
      <c r="CO385" s="468">
        <f t="shared" si="197"/>
        <v>0</v>
      </c>
      <c r="CP385" s="469">
        <f t="shared" si="198"/>
        <v>0</v>
      </c>
      <c r="CQ385" s="469">
        <f t="shared" si="199"/>
        <v>0</v>
      </c>
      <c r="CR385" s="463"/>
      <c r="CS385" s="457"/>
      <c r="CT385" s="464"/>
      <c r="CU385" s="464"/>
      <c r="CV385" s="465"/>
      <c r="CW385" s="457"/>
      <c r="CX385" s="464"/>
      <c r="CY385" s="466"/>
      <c r="CZ385" s="465"/>
      <c r="DA385" s="457"/>
      <c r="DB385" s="464"/>
      <c r="DC385" s="466"/>
      <c r="DD385" s="465"/>
      <c r="DE385" s="457"/>
      <c r="DF385" s="464"/>
      <c r="DG385" s="466"/>
      <c r="DH385" s="465"/>
      <c r="DI385" s="457"/>
      <c r="DJ385" s="464"/>
      <c r="DK385" s="466"/>
      <c r="DL385" s="465"/>
      <c r="DM385" s="457"/>
      <c r="DN385" s="464"/>
      <c r="DO385" s="466"/>
      <c r="DP385" s="465"/>
      <c r="DQ385" s="457"/>
      <c r="DR385" s="464"/>
      <c r="DS385" s="466"/>
      <c r="DT385" s="465"/>
      <c r="DU385" s="457"/>
      <c r="DV385" s="464"/>
      <c r="DW385" s="466"/>
      <c r="DX385" s="465"/>
      <c r="DY385" s="457"/>
      <c r="DZ385" s="464"/>
      <c r="EA385" s="466"/>
      <c r="EB385" s="465"/>
      <c r="EC385" s="457"/>
      <c r="ED385" s="464"/>
      <c r="EE385" s="466"/>
      <c r="EF385" s="459"/>
      <c r="EG385" s="450"/>
      <c r="EH385" s="460">
        <f t="shared" si="200"/>
        <v>0</v>
      </c>
      <c r="EI385" s="460">
        <f t="shared" si="201"/>
        <v>0</v>
      </c>
      <c r="EJ385" s="458">
        <f t="shared" si="202"/>
        <v>0</v>
      </c>
      <c r="EK385" s="470">
        <f t="shared" si="203"/>
        <v>0</v>
      </c>
      <c r="EL385" s="470">
        <f t="shared" si="204"/>
        <v>0</v>
      </c>
      <c r="EM385" s="449">
        <f t="shared" si="205"/>
        <v>0</v>
      </c>
      <c r="EN385" s="460">
        <f t="shared" si="206"/>
        <v>0</v>
      </c>
      <c r="EO385" s="469">
        <f t="shared" si="207"/>
        <v>0</v>
      </c>
      <c r="EP385" s="471"/>
      <c r="EQ385" s="450"/>
      <c r="ER385" s="471"/>
      <c r="ES385" s="450"/>
      <c r="ET385" s="471"/>
      <c r="EU385" s="450"/>
      <c r="EV385" s="471"/>
      <c r="EW385" s="450"/>
      <c r="EX385" s="471"/>
      <c r="EY385" s="450"/>
      <c r="EZ385" s="471"/>
      <c r="FA385" s="450"/>
      <c r="FB385" s="471"/>
      <c r="FC385" s="450"/>
      <c r="FD385" s="471"/>
      <c r="FE385" s="450"/>
      <c r="FF385" s="471"/>
      <c r="FG385" s="450"/>
      <c r="FH385" s="472"/>
      <c r="FI385" s="450"/>
      <c r="FJ385" s="468">
        <f t="shared" si="208"/>
        <v>0</v>
      </c>
      <c r="FK385" s="469">
        <f t="shared" si="209"/>
        <v>0</v>
      </c>
      <c r="FL385" s="472"/>
      <c r="FM385" s="450"/>
      <c r="FN385" s="460">
        <f t="shared" si="210"/>
        <v>640</v>
      </c>
      <c r="FO385" s="469">
        <f t="shared" si="211"/>
        <v>641</v>
      </c>
    </row>
    <row r="386" spans="1:171" x14ac:dyDescent="0.2">
      <c r="A386" s="439" t="s">
        <v>644</v>
      </c>
      <c r="B386" s="440" t="s">
        <v>784</v>
      </c>
      <c r="C386" s="441" t="s">
        <v>799</v>
      </c>
      <c r="D386" s="438">
        <v>207397</v>
      </c>
      <c r="E386" s="601">
        <v>7</v>
      </c>
      <c r="F386" s="532">
        <v>27</v>
      </c>
      <c r="G386" s="450">
        <v>46</v>
      </c>
      <c r="H386" s="457"/>
      <c r="I386" s="450"/>
      <c r="J386" s="457">
        <v>421</v>
      </c>
      <c r="K386" s="450">
        <v>705</v>
      </c>
      <c r="L386" s="458">
        <f t="shared" si="188"/>
        <v>60.142857142857146</v>
      </c>
      <c r="M386" s="449">
        <f t="shared" si="189"/>
        <v>0</v>
      </c>
      <c r="N386" s="459">
        <v>7</v>
      </c>
      <c r="O386" s="459">
        <v>0</v>
      </c>
      <c r="P386" s="459"/>
      <c r="Q386" s="459"/>
      <c r="R386" s="460">
        <f t="shared" si="190"/>
        <v>0</v>
      </c>
      <c r="S386" s="646"/>
      <c r="T386" s="461"/>
      <c r="U386" s="461"/>
      <c r="V386" s="461"/>
      <c r="W386" s="462">
        <f t="shared" si="212"/>
        <v>0</v>
      </c>
      <c r="X386" s="463">
        <v>43</v>
      </c>
      <c r="Y386" s="457">
        <v>7</v>
      </c>
      <c r="Z386" s="464">
        <v>43</v>
      </c>
      <c r="AA386" s="464">
        <v>17</v>
      </c>
      <c r="AB386" s="465"/>
      <c r="AC386" s="457"/>
      <c r="AD386" s="464"/>
      <c r="AE386" s="466"/>
      <c r="AF386" s="465"/>
      <c r="AG386" s="457"/>
      <c r="AH386" s="464"/>
      <c r="AI386" s="466"/>
      <c r="AJ386" s="465"/>
      <c r="AK386" s="457"/>
      <c r="AL386" s="464"/>
      <c r="AM386" s="466"/>
      <c r="AN386" s="465"/>
      <c r="AO386" s="457"/>
      <c r="AP386" s="464"/>
      <c r="AQ386" s="464"/>
      <c r="AR386" s="460">
        <f t="shared" si="192"/>
        <v>1</v>
      </c>
      <c r="AS386" s="467">
        <f t="shared" si="193"/>
        <v>1.5384615384615385E-2</v>
      </c>
      <c r="AT386" s="447">
        <f t="shared" si="194"/>
        <v>1</v>
      </c>
      <c r="AU386" s="448">
        <f t="shared" si="195"/>
        <v>0</v>
      </c>
      <c r="AV386" s="457"/>
      <c r="AW386" s="450"/>
      <c r="AX386" s="463"/>
      <c r="AY386" s="457"/>
      <c r="AZ386" s="464"/>
      <c r="BA386" s="464"/>
      <c r="BB386" s="465"/>
      <c r="BC386" s="457"/>
      <c r="BD386" s="464"/>
      <c r="BE386" s="466"/>
      <c r="BF386" s="465"/>
      <c r="BG386" s="457"/>
      <c r="BH386" s="464"/>
      <c r="BI386" s="466"/>
      <c r="BJ386" s="465"/>
      <c r="BK386" s="457"/>
      <c r="BL386" s="464"/>
      <c r="BM386" s="466"/>
      <c r="BN386" s="465"/>
      <c r="BO386" s="457"/>
      <c r="BP386" s="464"/>
      <c r="BQ386" s="466"/>
      <c r="BR386" s="465"/>
      <c r="BS386" s="457"/>
      <c r="BT386" s="392"/>
      <c r="BU386" s="392"/>
      <c r="BV386" s="465"/>
      <c r="BW386" s="457"/>
      <c r="BX386" s="464"/>
      <c r="BY386" s="466"/>
      <c r="BZ386" s="465"/>
      <c r="CA386" s="457"/>
      <c r="CB386" s="464"/>
      <c r="CC386" s="466"/>
      <c r="CD386" s="465"/>
      <c r="CE386" s="457"/>
      <c r="CF386" s="464"/>
      <c r="CG386" s="466"/>
      <c r="CH386" s="465"/>
      <c r="CI386" s="457"/>
      <c r="CJ386" s="464"/>
      <c r="CK386" s="466"/>
      <c r="CL386" s="459"/>
      <c r="CM386" s="450"/>
      <c r="CN386" s="468">
        <f t="shared" si="196"/>
        <v>0</v>
      </c>
      <c r="CO386" s="468">
        <f t="shared" si="197"/>
        <v>0</v>
      </c>
      <c r="CP386" s="469">
        <f t="shared" si="198"/>
        <v>0</v>
      </c>
      <c r="CQ386" s="469">
        <f t="shared" si="199"/>
        <v>0</v>
      </c>
      <c r="CR386" s="463"/>
      <c r="CS386" s="457"/>
      <c r="CT386" s="464"/>
      <c r="CU386" s="464"/>
      <c r="CV386" s="465"/>
      <c r="CW386" s="457"/>
      <c r="CX386" s="464"/>
      <c r="CY386" s="466"/>
      <c r="CZ386" s="465"/>
      <c r="DA386" s="457"/>
      <c r="DB386" s="464"/>
      <c r="DC386" s="466"/>
      <c r="DD386" s="465"/>
      <c r="DE386" s="457"/>
      <c r="DF386" s="464"/>
      <c r="DG386" s="466"/>
      <c r="DH386" s="465"/>
      <c r="DI386" s="457"/>
      <c r="DJ386" s="464"/>
      <c r="DK386" s="466"/>
      <c r="DL386" s="465"/>
      <c r="DM386" s="457"/>
      <c r="DN386" s="464"/>
      <c r="DO386" s="466"/>
      <c r="DP386" s="465"/>
      <c r="DQ386" s="457"/>
      <c r="DR386" s="464"/>
      <c r="DS386" s="466"/>
      <c r="DT386" s="465"/>
      <c r="DU386" s="457"/>
      <c r="DV386" s="464"/>
      <c r="DW386" s="466"/>
      <c r="DX386" s="465"/>
      <c r="DY386" s="457"/>
      <c r="DZ386" s="464"/>
      <c r="EA386" s="466"/>
      <c r="EB386" s="465"/>
      <c r="EC386" s="457"/>
      <c r="ED386" s="464"/>
      <c r="EE386" s="466"/>
      <c r="EF386" s="459"/>
      <c r="EG386" s="450"/>
      <c r="EH386" s="460">
        <f t="shared" si="200"/>
        <v>0</v>
      </c>
      <c r="EI386" s="460">
        <f t="shared" si="201"/>
        <v>0</v>
      </c>
      <c r="EJ386" s="458">
        <f t="shared" si="202"/>
        <v>0</v>
      </c>
      <c r="EK386" s="470">
        <f t="shared" si="203"/>
        <v>0</v>
      </c>
      <c r="EL386" s="470">
        <f t="shared" si="204"/>
        <v>0</v>
      </c>
      <c r="EM386" s="449">
        <f t="shared" si="205"/>
        <v>0</v>
      </c>
      <c r="EN386" s="460">
        <f t="shared" si="206"/>
        <v>0</v>
      </c>
      <c r="EO386" s="469">
        <f t="shared" si="207"/>
        <v>0</v>
      </c>
      <c r="EP386" s="471"/>
      <c r="EQ386" s="450"/>
      <c r="ER386" s="471"/>
      <c r="ES386" s="450"/>
      <c r="ET386" s="471"/>
      <c r="EU386" s="450"/>
      <c r="EV386" s="471"/>
      <c r="EW386" s="450"/>
      <c r="EX386" s="471"/>
      <c r="EY386" s="450"/>
      <c r="EZ386" s="471"/>
      <c r="FA386" s="450"/>
      <c r="FB386" s="471"/>
      <c r="FC386" s="450"/>
      <c r="FD386" s="471"/>
      <c r="FE386" s="450"/>
      <c r="FF386" s="471"/>
      <c r="FG386" s="450"/>
      <c r="FH386" s="472"/>
      <c r="FI386" s="450"/>
      <c r="FJ386" s="468">
        <f t="shared" si="208"/>
        <v>0</v>
      </c>
      <c r="FK386" s="469">
        <f t="shared" si="209"/>
        <v>0</v>
      </c>
      <c r="FL386" s="472"/>
      <c r="FM386" s="450"/>
      <c r="FN386" s="460">
        <f t="shared" si="210"/>
        <v>455</v>
      </c>
      <c r="FO386" s="469">
        <f t="shared" si="211"/>
        <v>751</v>
      </c>
    </row>
    <row r="387" spans="1:171" x14ac:dyDescent="0.2">
      <c r="A387" s="439" t="s">
        <v>644</v>
      </c>
      <c r="B387" s="360" t="s">
        <v>785</v>
      </c>
      <c r="C387" s="441"/>
      <c r="D387" s="438">
        <v>207449</v>
      </c>
      <c r="E387" s="499">
        <v>8</v>
      </c>
      <c r="F387" s="532">
        <v>149</v>
      </c>
      <c r="G387" s="450">
        <v>202</v>
      </c>
      <c r="H387" s="457"/>
      <c r="I387" s="450"/>
      <c r="J387" s="457">
        <v>991</v>
      </c>
      <c r="K387" s="450">
        <v>1373</v>
      </c>
      <c r="L387" s="458">
        <f t="shared" si="188"/>
        <v>0</v>
      </c>
      <c r="M387" s="449">
        <f t="shared" si="189"/>
        <v>0</v>
      </c>
      <c r="N387" s="459"/>
      <c r="O387" s="459"/>
      <c r="P387" s="459"/>
      <c r="Q387" s="459"/>
      <c r="R387" s="460">
        <f t="shared" si="190"/>
        <v>0</v>
      </c>
      <c r="S387" s="646"/>
      <c r="T387" s="461"/>
      <c r="U387" s="461"/>
      <c r="V387" s="461"/>
      <c r="W387" s="462">
        <f t="shared" si="212"/>
        <v>0</v>
      </c>
      <c r="X387" s="463"/>
      <c r="Y387" s="457"/>
      <c r="Z387" s="464"/>
      <c r="AA387" s="464"/>
      <c r="AB387" s="465"/>
      <c r="AC387" s="457"/>
      <c r="AD387" s="464"/>
      <c r="AE387" s="466"/>
      <c r="AF387" s="465"/>
      <c r="AG387" s="457"/>
      <c r="AH387" s="464"/>
      <c r="AI387" s="466"/>
      <c r="AJ387" s="465"/>
      <c r="AK387" s="457"/>
      <c r="AL387" s="464"/>
      <c r="AM387" s="466"/>
      <c r="AN387" s="465"/>
      <c r="AO387" s="457"/>
      <c r="AP387" s="464"/>
      <c r="AQ387" s="464"/>
      <c r="AR387" s="460">
        <f t="shared" si="192"/>
        <v>0</v>
      </c>
      <c r="AS387" s="467">
        <f t="shared" si="193"/>
        <v>0</v>
      </c>
      <c r="AT387" s="447">
        <f t="shared" si="194"/>
        <v>0</v>
      </c>
      <c r="AU387" s="448">
        <f t="shared" si="195"/>
        <v>0</v>
      </c>
      <c r="AV387" s="457"/>
      <c r="AW387" s="450"/>
      <c r="AX387" s="463"/>
      <c r="AY387" s="457"/>
      <c r="AZ387" s="464"/>
      <c r="BA387" s="464"/>
      <c r="BB387" s="465"/>
      <c r="BC387" s="457"/>
      <c r="BD387" s="464"/>
      <c r="BE387" s="466"/>
      <c r="BF387" s="465"/>
      <c r="BG387" s="457"/>
      <c r="BH387" s="464"/>
      <c r="BI387" s="466"/>
      <c r="BJ387" s="465"/>
      <c r="BK387" s="457"/>
      <c r="BL387" s="464"/>
      <c r="BM387" s="466"/>
      <c r="BN387" s="465"/>
      <c r="BO387" s="457"/>
      <c r="BP387" s="464"/>
      <c r="BQ387" s="466"/>
      <c r="BR387" s="465"/>
      <c r="BS387" s="457"/>
      <c r="BT387" s="392"/>
      <c r="BU387" s="392"/>
      <c r="BV387" s="465"/>
      <c r="BW387" s="457"/>
      <c r="BX387" s="464"/>
      <c r="BY387" s="466"/>
      <c r="BZ387" s="465"/>
      <c r="CA387" s="457"/>
      <c r="CB387" s="464"/>
      <c r="CC387" s="466"/>
      <c r="CD387" s="465"/>
      <c r="CE387" s="457"/>
      <c r="CF387" s="464"/>
      <c r="CG387" s="466"/>
      <c r="CH387" s="465"/>
      <c r="CI387" s="457"/>
      <c r="CJ387" s="464"/>
      <c r="CK387" s="466"/>
      <c r="CL387" s="459"/>
      <c r="CM387" s="450"/>
      <c r="CN387" s="468">
        <f t="shared" si="196"/>
        <v>0</v>
      </c>
      <c r="CO387" s="468">
        <f t="shared" si="197"/>
        <v>0</v>
      </c>
      <c r="CP387" s="469">
        <f t="shared" si="198"/>
        <v>0</v>
      </c>
      <c r="CQ387" s="469">
        <f t="shared" si="199"/>
        <v>0</v>
      </c>
      <c r="CR387" s="463"/>
      <c r="CS387" s="457"/>
      <c r="CT387" s="464"/>
      <c r="CU387" s="464"/>
      <c r="CV387" s="465"/>
      <c r="CW387" s="457"/>
      <c r="CX387" s="464"/>
      <c r="CY387" s="466"/>
      <c r="CZ387" s="465"/>
      <c r="DA387" s="457"/>
      <c r="DB387" s="464"/>
      <c r="DC387" s="466"/>
      <c r="DD387" s="465"/>
      <c r="DE387" s="457"/>
      <c r="DF387" s="464"/>
      <c r="DG387" s="466"/>
      <c r="DH387" s="465"/>
      <c r="DI387" s="457"/>
      <c r="DJ387" s="464"/>
      <c r="DK387" s="466"/>
      <c r="DL387" s="465"/>
      <c r="DM387" s="457"/>
      <c r="DN387" s="464"/>
      <c r="DO387" s="466"/>
      <c r="DP387" s="465"/>
      <c r="DQ387" s="457"/>
      <c r="DR387" s="464"/>
      <c r="DS387" s="466"/>
      <c r="DT387" s="465"/>
      <c r="DU387" s="457"/>
      <c r="DV387" s="464"/>
      <c r="DW387" s="466"/>
      <c r="DX387" s="465"/>
      <c r="DY387" s="457"/>
      <c r="DZ387" s="464"/>
      <c r="EA387" s="466"/>
      <c r="EB387" s="465"/>
      <c r="EC387" s="457"/>
      <c r="ED387" s="464"/>
      <c r="EE387" s="466"/>
      <c r="EF387" s="459"/>
      <c r="EG387" s="450"/>
      <c r="EH387" s="460">
        <f t="shared" si="200"/>
        <v>0</v>
      </c>
      <c r="EI387" s="460">
        <f t="shared" si="201"/>
        <v>0</v>
      </c>
      <c r="EJ387" s="458">
        <f t="shared" si="202"/>
        <v>0</v>
      </c>
      <c r="EK387" s="470">
        <f t="shared" si="203"/>
        <v>0</v>
      </c>
      <c r="EL387" s="470">
        <f t="shared" si="204"/>
        <v>0</v>
      </c>
      <c r="EM387" s="449">
        <f t="shared" si="205"/>
        <v>0</v>
      </c>
      <c r="EN387" s="460">
        <f t="shared" si="206"/>
        <v>0</v>
      </c>
      <c r="EO387" s="469">
        <f t="shared" si="207"/>
        <v>0</v>
      </c>
      <c r="EP387" s="471"/>
      <c r="EQ387" s="450"/>
      <c r="ER387" s="471"/>
      <c r="ES387" s="450"/>
      <c r="ET387" s="471"/>
      <c r="EU387" s="450"/>
      <c r="EV387" s="471"/>
      <c r="EW387" s="450"/>
      <c r="EX387" s="471"/>
      <c r="EY387" s="450"/>
      <c r="EZ387" s="471"/>
      <c r="FA387" s="450"/>
      <c r="FB387" s="471"/>
      <c r="FC387" s="450"/>
      <c r="FD387" s="471"/>
      <c r="FE387" s="450"/>
      <c r="FF387" s="471"/>
      <c r="FG387" s="450"/>
      <c r="FH387" s="472"/>
      <c r="FI387" s="450"/>
      <c r="FJ387" s="468">
        <f t="shared" si="208"/>
        <v>0</v>
      </c>
      <c r="FK387" s="469">
        <f t="shared" si="209"/>
        <v>0</v>
      </c>
      <c r="FL387" s="472"/>
      <c r="FM387" s="450"/>
      <c r="FN387" s="460">
        <f t="shared" si="210"/>
        <v>1140</v>
      </c>
      <c r="FO387" s="469">
        <f t="shared" si="211"/>
        <v>1575</v>
      </c>
    </row>
    <row r="388" spans="1:171" x14ac:dyDescent="0.2">
      <c r="A388" s="439" t="s">
        <v>644</v>
      </c>
      <c r="B388" s="440" t="s">
        <v>786</v>
      </c>
      <c r="C388" s="598"/>
      <c r="D388" s="438">
        <v>207670</v>
      </c>
      <c r="E388" s="601">
        <v>8</v>
      </c>
      <c r="F388" s="532">
        <v>10</v>
      </c>
      <c r="G388" s="450">
        <v>13</v>
      </c>
      <c r="H388" s="457"/>
      <c r="I388" s="450"/>
      <c r="J388" s="457">
        <v>760</v>
      </c>
      <c r="K388" s="450">
        <v>847</v>
      </c>
      <c r="L388" s="458">
        <f t="shared" si="188"/>
        <v>0</v>
      </c>
      <c r="M388" s="449">
        <f t="shared" si="189"/>
        <v>0</v>
      </c>
      <c r="N388" s="459"/>
      <c r="O388" s="459"/>
      <c r="P388" s="459"/>
      <c r="Q388" s="459"/>
      <c r="R388" s="460">
        <f t="shared" si="190"/>
        <v>0</v>
      </c>
      <c r="S388" s="646"/>
      <c r="T388" s="461"/>
      <c r="U388" s="461"/>
      <c r="V388" s="461"/>
      <c r="W388" s="462">
        <f t="shared" si="212"/>
        <v>0</v>
      </c>
      <c r="X388" s="463"/>
      <c r="Y388" s="457"/>
      <c r="Z388" s="464"/>
      <c r="AA388" s="464"/>
      <c r="AB388" s="465"/>
      <c r="AC388" s="457"/>
      <c r="AD388" s="464"/>
      <c r="AE388" s="466"/>
      <c r="AF388" s="465"/>
      <c r="AG388" s="457"/>
      <c r="AH388" s="464"/>
      <c r="AI388" s="466"/>
      <c r="AJ388" s="465"/>
      <c r="AK388" s="457"/>
      <c r="AL388" s="464"/>
      <c r="AM388" s="466"/>
      <c r="AN388" s="465"/>
      <c r="AO388" s="457"/>
      <c r="AP388" s="464"/>
      <c r="AQ388" s="464"/>
      <c r="AR388" s="460">
        <f t="shared" si="192"/>
        <v>0</v>
      </c>
      <c r="AS388" s="467">
        <f t="shared" si="193"/>
        <v>0</v>
      </c>
      <c r="AT388" s="447">
        <f t="shared" si="194"/>
        <v>0</v>
      </c>
      <c r="AU388" s="448">
        <f t="shared" si="195"/>
        <v>0</v>
      </c>
      <c r="AV388" s="457"/>
      <c r="AW388" s="450"/>
      <c r="AX388" s="463"/>
      <c r="AY388" s="457"/>
      <c r="AZ388" s="464"/>
      <c r="BA388" s="464"/>
      <c r="BB388" s="465"/>
      <c r="BC388" s="457"/>
      <c r="BD388" s="464"/>
      <c r="BE388" s="466"/>
      <c r="BF388" s="465"/>
      <c r="BG388" s="457"/>
      <c r="BH388" s="464"/>
      <c r="BI388" s="466"/>
      <c r="BJ388" s="465"/>
      <c r="BK388" s="457"/>
      <c r="BL388" s="464"/>
      <c r="BM388" s="466"/>
      <c r="BN388" s="465"/>
      <c r="BO388" s="457"/>
      <c r="BP388" s="464"/>
      <c r="BQ388" s="466"/>
      <c r="BR388" s="465"/>
      <c r="BS388" s="457"/>
      <c r="BT388" s="392"/>
      <c r="BU388" s="392"/>
      <c r="BV388" s="465"/>
      <c r="BW388" s="457"/>
      <c r="BX388" s="464"/>
      <c r="BY388" s="466"/>
      <c r="BZ388" s="465"/>
      <c r="CA388" s="457"/>
      <c r="CB388" s="464"/>
      <c r="CC388" s="466"/>
      <c r="CD388" s="465"/>
      <c r="CE388" s="457"/>
      <c r="CF388" s="464"/>
      <c r="CG388" s="466"/>
      <c r="CH388" s="465"/>
      <c r="CI388" s="457"/>
      <c r="CJ388" s="464"/>
      <c r="CK388" s="466"/>
      <c r="CL388" s="459"/>
      <c r="CM388" s="450"/>
      <c r="CN388" s="468">
        <f t="shared" si="196"/>
        <v>0</v>
      </c>
      <c r="CO388" s="468">
        <f t="shared" si="197"/>
        <v>0</v>
      </c>
      <c r="CP388" s="469">
        <f t="shared" si="198"/>
        <v>0</v>
      </c>
      <c r="CQ388" s="469">
        <f t="shared" si="199"/>
        <v>0</v>
      </c>
      <c r="CR388" s="463"/>
      <c r="CS388" s="457"/>
      <c r="CT388" s="464"/>
      <c r="CU388" s="464"/>
      <c r="CV388" s="465"/>
      <c r="CW388" s="457"/>
      <c r="CX388" s="464"/>
      <c r="CY388" s="466"/>
      <c r="CZ388" s="465"/>
      <c r="DA388" s="457"/>
      <c r="DB388" s="464"/>
      <c r="DC388" s="466"/>
      <c r="DD388" s="465"/>
      <c r="DE388" s="457"/>
      <c r="DF388" s="464"/>
      <c r="DG388" s="466"/>
      <c r="DH388" s="465"/>
      <c r="DI388" s="457"/>
      <c r="DJ388" s="464"/>
      <c r="DK388" s="466"/>
      <c r="DL388" s="465"/>
      <c r="DM388" s="457"/>
      <c r="DN388" s="464"/>
      <c r="DO388" s="466"/>
      <c r="DP388" s="465"/>
      <c r="DQ388" s="457"/>
      <c r="DR388" s="464"/>
      <c r="DS388" s="466"/>
      <c r="DT388" s="465"/>
      <c r="DU388" s="457"/>
      <c r="DV388" s="464"/>
      <c r="DW388" s="466"/>
      <c r="DX388" s="465"/>
      <c r="DY388" s="457"/>
      <c r="DZ388" s="464"/>
      <c r="EA388" s="466"/>
      <c r="EB388" s="465"/>
      <c r="EC388" s="457"/>
      <c r="ED388" s="464"/>
      <c r="EE388" s="466"/>
      <c r="EF388" s="459"/>
      <c r="EG388" s="450"/>
      <c r="EH388" s="460">
        <f t="shared" si="200"/>
        <v>0</v>
      </c>
      <c r="EI388" s="460">
        <f t="shared" si="201"/>
        <v>0</v>
      </c>
      <c r="EJ388" s="458">
        <f t="shared" si="202"/>
        <v>0</v>
      </c>
      <c r="EK388" s="470">
        <f t="shared" si="203"/>
        <v>0</v>
      </c>
      <c r="EL388" s="470">
        <f t="shared" si="204"/>
        <v>0</v>
      </c>
      <c r="EM388" s="449">
        <f t="shared" si="205"/>
        <v>0</v>
      </c>
      <c r="EN388" s="460">
        <f t="shared" si="206"/>
        <v>0</v>
      </c>
      <c r="EO388" s="469">
        <f t="shared" si="207"/>
        <v>0</v>
      </c>
      <c r="EP388" s="471"/>
      <c r="EQ388" s="450"/>
      <c r="ER388" s="471"/>
      <c r="ES388" s="450"/>
      <c r="ET388" s="471"/>
      <c r="EU388" s="450"/>
      <c r="EV388" s="471"/>
      <c r="EW388" s="450"/>
      <c r="EX388" s="471"/>
      <c r="EY388" s="450"/>
      <c r="EZ388" s="471"/>
      <c r="FA388" s="450"/>
      <c r="FB388" s="471"/>
      <c r="FC388" s="450"/>
      <c r="FD388" s="471"/>
      <c r="FE388" s="450"/>
      <c r="FF388" s="471"/>
      <c r="FG388" s="450"/>
      <c r="FH388" s="472"/>
      <c r="FI388" s="450"/>
      <c r="FJ388" s="468">
        <f t="shared" si="208"/>
        <v>0</v>
      </c>
      <c r="FK388" s="469">
        <f t="shared" si="209"/>
        <v>0</v>
      </c>
      <c r="FL388" s="472"/>
      <c r="FM388" s="450"/>
      <c r="FN388" s="460">
        <f t="shared" si="210"/>
        <v>770</v>
      </c>
      <c r="FO388" s="469">
        <f t="shared" si="211"/>
        <v>860</v>
      </c>
    </row>
    <row r="389" spans="1:171" x14ac:dyDescent="0.2">
      <c r="A389" s="439" t="s">
        <v>644</v>
      </c>
      <c r="B389" s="436" t="s">
        <v>787</v>
      </c>
      <c r="C389" s="441"/>
      <c r="D389" s="438">
        <v>207935</v>
      </c>
      <c r="E389" s="499">
        <v>8</v>
      </c>
      <c r="F389" s="532">
        <v>261</v>
      </c>
      <c r="G389" s="450">
        <v>367</v>
      </c>
      <c r="H389" s="457"/>
      <c r="I389" s="450"/>
      <c r="J389" s="457">
        <v>2061</v>
      </c>
      <c r="K389" s="450">
        <v>2248</v>
      </c>
      <c r="L389" s="458">
        <f t="shared" si="188"/>
        <v>0</v>
      </c>
      <c r="M389" s="449">
        <f t="shared" si="189"/>
        <v>0</v>
      </c>
      <c r="N389" s="459"/>
      <c r="O389" s="459"/>
      <c r="P389" s="459"/>
      <c r="Q389" s="459"/>
      <c r="R389" s="460">
        <f t="shared" si="190"/>
        <v>0</v>
      </c>
      <c r="S389" s="646"/>
      <c r="T389" s="461"/>
      <c r="U389" s="461"/>
      <c r="V389" s="461"/>
      <c r="W389" s="462">
        <f t="shared" si="212"/>
        <v>0</v>
      </c>
      <c r="X389" s="463"/>
      <c r="Y389" s="457"/>
      <c r="Z389" s="464"/>
      <c r="AA389" s="464"/>
      <c r="AB389" s="465"/>
      <c r="AC389" s="457"/>
      <c r="AD389" s="464"/>
      <c r="AE389" s="466"/>
      <c r="AF389" s="465"/>
      <c r="AG389" s="457"/>
      <c r="AH389" s="464"/>
      <c r="AI389" s="466"/>
      <c r="AJ389" s="465"/>
      <c r="AK389" s="457"/>
      <c r="AL389" s="464"/>
      <c r="AM389" s="466"/>
      <c r="AN389" s="465"/>
      <c r="AO389" s="457"/>
      <c r="AP389" s="464"/>
      <c r="AQ389" s="464"/>
      <c r="AR389" s="460">
        <f t="shared" si="192"/>
        <v>0</v>
      </c>
      <c r="AS389" s="467">
        <f t="shared" si="193"/>
        <v>0</v>
      </c>
      <c r="AT389" s="447">
        <f t="shared" si="194"/>
        <v>0</v>
      </c>
      <c r="AU389" s="448">
        <f t="shared" si="195"/>
        <v>0</v>
      </c>
      <c r="AV389" s="457"/>
      <c r="AW389" s="450"/>
      <c r="AX389" s="463"/>
      <c r="AY389" s="457"/>
      <c r="AZ389" s="464"/>
      <c r="BA389" s="464"/>
      <c r="BB389" s="465"/>
      <c r="BC389" s="457"/>
      <c r="BD389" s="464"/>
      <c r="BE389" s="466"/>
      <c r="BF389" s="465"/>
      <c r="BG389" s="457"/>
      <c r="BH389" s="464"/>
      <c r="BI389" s="466"/>
      <c r="BJ389" s="465"/>
      <c r="BK389" s="457"/>
      <c r="BL389" s="464"/>
      <c r="BM389" s="466"/>
      <c r="BN389" s="465"/>
      <c r="BO389" s="457"/>
      <c r="BP389" s="464"/>
      <c r="BQ389" s="466"/>
      <c r="BR389" s="465"/>
      <c r="BS389" s="457"/>
      <c r="BT389" s="392"/>
      <c r="BU389" s="392"/>
      <c r="BV389" s="465"/>
      <c r="BW389" s="457"/>
      <c r="BX389" s="464"/>
      <c r="BY389" s="466"/>
      <c r="BZ389" s="465"/>
      <c r="CA389" s="457"/>
      <c r="CB389" s="464"/>
      <c r="CC389" s="466"/>
      <c r="CD389" s="465"/>
      <c r="CE389" s="457"/>
      <c r="CF389" s="464"/>
      <c r="CG389" s="466"/>
      <c r="CH389" s="465"/>
      <c r="CI389" s="457"/>
      <c r="CJ389" s="464"/>
      <c r="CK389" s="466"/>
      <c r="CL389" s="459"/>
      <c r="CM389" s="450"/>
      <c r="CN389" s="468">
        <f t="shared" si="196"/>
        <v>0</v>
      </c>
      <c r="CO389" s="468">
        <f t="shared" si="197"/>
        <v>0</v>
      </c>
      <c r="CP389" s="469">
        <f t="shared" si="198"/>
        <v>0</v>
      </c>
      <c r="CQ389" s="469">
        <f t="shared" si="199"/>
        <v>0</v>
      </c>
      <c r="CR389" s="463"/>
      <c r="CS389" s="457"/>
      <c r="CT389" s="464"/>
      <c r="CU389" s="464"/>
      <c r="CV389" s="465"/>
      <c r="CW389" s="457"/>
      <c r="CX389" s="464"/>
      <c r="CY389" s="466"/>
      <c r="CZ389" s="465"/>
      <c r="DA389" s="457"/>
      <c r="DB389" s="464"/>
      <c r="DC389" s="466"/>
      <c r="DD389" s="465"/>
      <c r="DE389" s="457"/>
      <c r="DF389" s="464"/>
      <c r="DG389" s="466"/>
      <c r="DH389" s="465"/>
      <c r="DI389" s="457"/>
      <c r="DJ389" s="464"/>
      <c r="DK389" s="466"/>
      <c r="DL389" s="465"/>
      <c r="DM389" s="457"/>
      <c r="DN389" s="464"/>
      <c r="DO389" s="466"/>
      <c r="DP389" s="465"/>
      <c r="DQ389" s="457"/>
      <c r="DR389" s="464"/>
      <c r="DS389" s="466"/>
      <c r="DT389" s="465"/>
      <c r="DU389" s="457"/>
      <c r="DV389" s="464"/>
      <c r="DW389" s="466"/>
      <c r="DX389" s="465"/>
      <c r="DY389" s="457"/>
      <c r="DZ389" s="464"/>
      <c r="EA389" s="466"/>
      <c r="EB389" s="465"/>
      <c r="EC389" s="457"/>
      <c r="ED389" s="464"/>
      <c r="EE389" s="466"/>
      <c r="EF389" s="459"/>
      <c r="EG389" s="450"/>
      <c r="EH389" s="460">
        <f t="shared" si="200"/>
        <v>0</v>
      </c>
      <c r="EI389" s="460">
        <f t="shared" si="201"/>
        <v>0</v>
      </c>
      <c r="EJ389" s="458">
        <f t="shared" si="202"/>
        <v>0</v>
      </c>
      <c r="EK389" s="470">
        <f t="shared" si="203"/>
        <v>0</v>
      </c>
      <c r="EL389" s="470">
        <f t="shared" si="204"/>
        <v>0</v>
      </c>
      <c r="EM389" s="449">
        <f t="shared" si="205"/>
        <v>0</v>
      </c>
      <c r="EN389" s="460">
        <f t="shared" si="206"/>
        <v>0</v>
      </c>
      <c r="EO389" s="469">
        <f t="shared" si="207"/>
        <v>0</v>
      </c>
      <c r="EP389" s="471"/>
      <c r="EQ389" s="450"/>
      <c r="ER389" s="471"/>
      <c r="ES389" s="450"/>
      <c r="ET389" s="471"/>
      <c r="EU389" s="450"/>
      <c r="EV389" s="471"/>
      <c r="EW389" s="450"/>
      <c r="EX389" s="471"/>
      <c r="EY389" s="450"/>
      <c r="EZ389" s="471"/>
      <c r="FA389" s="450"/>
      <c r="FB389" s="471"/>
      <c r="FC389" s="450"/>
      <c r="FD389" s="471"/>
      <c r="FE389" s="450"/>
      <c r="FF389" s="471"/>
      <c r="FG389" s="450"/>
      <c r="FH389" s="472"/>
      <c r="FI389" s="450"/>
      <c r="FJ389" s="468">
        <f t="shared" si="208"/>
        <v>0</v>
      </c>
      <c r="FK389" s="469">
        <f t="shared" si="209"/>
        <v>0</v>
      </c>
      <c r="FL389" s="472"/>
      <c r="FM389" s="450"/>
      <c r="FN389" s="460">
        <f t="shared" si="210"/>
        <v>2322</v>
      </c>
      <c r="FO389" s="469">
        <f t="shared" si="211"/>
        <v>2615</v>
      </c>
    </row>
    <row r="390" spans="1:171" x14ac:dyDescent="0.2">
      <c r="A390" s="439" t="s">
        <v>644</v>
      </c>
      <c r="B390" s="440" t="s">
        <v>789</v>
      </c>
      <c r="C390" s="444" t="s">
        <v>800</v>
      </c>
      <c r="D390" s="438">
        <v>206923</v>
      </c>
      <c r="E390" s="602">
        <v>9</v>
      </c>
      <c r="F390" s="532">
        <v>27</v>
      </c>
      <c r="G390" s="450">
        <v>13</v>
      </c>
      <c r="H390" s="457"/>
      <c r="I390" s="450"/>
      <c r="J390" s="457">
        <v>450</v>
      </c>
      <c r="K390" s="450">
        <v>411</v>
      </c>
      <c r="L390" s="458">
        <f t="shared" si="188"/>
        <v>0</v>
      </c>
      <c r="M390" s="449">
        <f t="shared" si="189"/>
        <v>0</v>
      </c>
      <c r="N390" s="459"/>
      <c r="O390" s="459"/>
      <c r="P390" s="459"/>
      <c r="Q390" s="459"/>
      <c r="R390" s="460">
        <f t="shared" si="190"/>
        <v>0</v>
      </c>
      <c r="S390" s="646"/>
      <c r="T390" s="461"/>
      <c r="U390" s="461"/>
      <c r="V390" s="461"/>
      <c r="W390" s="462">
        <f t="shared" si="212"/>
        <v>0</v>
      </c>
      <c r="X390" s="463"/>
      <c r="Y390" s="457"/>
      <c r="Z390" s="464"/>
      <c r="AA390" s="464"/>
      <c r="AB390" s="465"/>
      <c r="AC390" s="457"/>
      <c r="AD390" s="464"/>
      <c r="AE390" s="466"/>
      <c r="AF390" s="465"/>
      <c r="AG390" s="457"/>
      <c r="AH390" s="464"/>
      <c r="AI390" s="466"/>
      <c r="AJ390" s="465"/>
      <c r="AK390" s="457"/>
      <c r="AL390" s="464"/>
      <c r="AM390" s="466"/>
      <c r="AN390" s="465"/>
      <c r="AO390" s="457"/>
      <c r="AP390" s="464"/>
      <c r="AQ390" s="464"/>
      <c r="AR390" s="460">
        <f t="shared" si="192"/>
        <v>0</v>
      </c>
      <c r="AS390" s="467">
        <f t="shared" si="193"/>
        <v>0</v>
      </c>
      <c r="AT390" s="447">
        <f t="shared" si="194"/>
        <v>0</v>
      </c>
      <c r="AU390" s="448">
        <f t="shared" si="195"/>
        <v>0</v>
      </c>
      <c r="AV390" s="457"/>
      <c r="AW390" s="450"/>
      <c r="AX390" s="463"/>
      <c r="AY390" s="457"/>
      <c r="AZ390" s="464"/>
      <c r="BA390" s="464"/>
      <c r="BB390" s="465"/>
      <c r="BC390" s="457"/>
      <c r="BD390" s="464"/>
      <c r="BE390" s="466"/>
      <c r="BF390" s="465"/>
      <c r="BG390" s="457"/>
      <c r="BH390" s="464"/>
      <c r="BI390" s="466"/>
      <c r="BJ390" s="465"/>
      <c r="BK390" s="457"/>
      <c r="BL390" s="464"/>
      <c r="BM390" s="466"/>
      <c r="BN390" s="465"/>
      <c r="BO390" s="457"/>
      <c r="BP390" s="464"/>
      <c r="BQ390" s="466"/>
      <c r="BR390" s="465"/>
      <c r="BS390" s="457"/>
      <c r="BT390" s="392"/>
      <c r="BU390" s="392"/>
      <c r="BV390" s="465"/>
      <c r="BW390" s="457"/>
      <c r="BX390" s="464"/>
      <c r="BY390" s="466"/>
      <c r="BZ390" s="465"/>
      <c r="CA390" s="457"/>
      <c r="CB390" s="464"/>
      <c r="CC390" s="466"/>
      <c r="CD390" s="465"/>
      <c r="CE390" s="457"/>
      <c r="CF390" s="464"/>
      <c r="CG390" s="466"/>
      <c r="CH390" s="465"/>
      <c r="CI390" s="457"/>
      <c r="CJ390" s="464"/>
      <c r="CK390" s="466"/>
      <c r="CL390" s="459"/>
      <c r="CM390" s="450"/>
      <c r="CN390" s="468">
        <f t="shared" si="196"/>
        <v>0</v>
      </c>
      <c r="CO390" s="468">
        <f t="shared" si="197"/>
        <v>0</v>
      </c>
      <c r="CP390" s="469">
        <f t="shared" si="198"/>
        <v>0</v>
      </c>
      <c r="CQ390" s="469">
        <f t="shared" si="199"/>
        <v>0</v>
      </c>
      <c r="CR390" s="463"/>
      <c r="CS390" s="457"/>
      <c r="CT390" s="464"/>
      <c r="CU390" s="464"/>
      <c r="CV390" s="465"/>
      <c r="CW390" s="457"/>
      <c r="CX390" s="464"/>
      <c r="CY390" s="466"/>
      <c r="CZ390" s="465"/>
      <c r="DA390" s="457"/>
      <c r="DB390" s="464"/>
      <c r="DC390" s="466"/>
      <c r="DD390" s="465"/>
      <c r="DE390" s="457"/>
      <c r="DF390" s="464"/>
      <c r="DG390" s="466"/>
      <c r="DH390" s="465"/>
      <c r="DI390" s="457"/>
      <c r="DJ390" s="464"/>
      <c r="DK390" s="466"/>
      <c r="DL390" s="465"/>
      <c r="DM390" s="457"/>
      <c r="DN390" s="464"/>
      <c r="DO390" s="466"/>
      <c r="DP390" s="465"/>
      <c r="DQ390" s="457"/>
      <c r="DR390" s="464"/>
      <c r="DS390" s="466"/>
      <c r="DT390" s="465"/>
      <c r="DU390" s="457"/>
      <c r="DV390" s="464"/>
      <c r="DW390" s="466"/>
      <c r="DX390" s="465"/>
      <c r="DY390" s="457"/>
      <c r="DZ390" s="464"/>
      <c r="EA390" s="466"/>
      <c r="EB390" s="465"/>
      <c r="EC390" s="457"/>
      <c r="ED390" s="464"/>
      <c r="EE390" s="466"/>
      <c r="EF390" s="459"/>
      <c r="EG390" s="450"/>
      <c r="EH390" s="460">
        <f t="shared" si="200"/>
        <v>0</v>
      </c>
      <c r="EI390" s="460">
        <f t="shared" si="201"/>
        <v>0</v>
      </c>
      <c r="EJ390" s="458">
        <f t="shared" si="202"/>
        <v>0</v>
      </c>
      <c r="EK390" s="470">
        <f t="shared" si="203"/>
        <v>0</v>
      </c>
      <c r="EL390" s="470">
        <f t="shared" si="204"/>
        <v>0</v>
      </c>
      <c r="EM390" s="449">
        <f t="shared" si="205"/>
        <v>0</v>
      </c>
      <c r="EN390" s="460">
        <f t="shared" si="206"/>
        <v>0</v>
      </c>
      <c r="EO390" s="469">
        <f t="shared" si="207"/>
        <v>0</v>
      </c>
      <c r="EP390" s="471"/>
      <c r="EQ390" s="450"/>
      <c r="ER390" s="471"/>
      <c r="ES390" s="450"/>
      <c r="ET390" s="471"/>
      <c r="EU390" s="450"/>
      <c r="EV390" s="471"/>
      <c r="EW390" s="450"/>
      <c r="EX390" s="471"/>
      <c r="EY390" s="450"/>
      <c r="EZ390" s="471"/>
      <c r="FA390" s="450"/>
      <c r="FB390" s="471"/>
      <c r="FC390" s="450"/>
      <c r="FD390" s="471"/>
      <c r="FE390" s="450"/>
      <c r="FF390" s="471"/>
      <c r="FG390" s="450"/>
      <c r="FH390" s="472"/>
      <c r="FI390" s="450"/>
      <c r="FJ390" s="468">
        <f t="shared" si="208"/>
        <v>0</v>
      </c>
      <c r="FK390" s="469">
        <f t="shared" si="209"/>
        <v>0</v>
      </c>
      <c r="FL390" s="472"/>
      <c r="FM390" s="450"/>
      <c r="FN390" s="460">
        <f t="shared" si="210"/>
        <v>477</v>
      </c>
      <c r="FO390" s="469">
        <f t="shared" si="211"/>
        <v>424</v>
      </c>
    </row>
    <row r="391" spans="1:171" x14ac:dyDescent="0.2">
      <c r="A391" s="439" t="s">
        <v>644</v>
      </c>
      <c r="B391" s="360" t="s">
        <v>788</v>
      </c>
      <c r="C391" s="441"/>
      <c r="D391" s="438">
        <v>207281</v>
      </c>
      <c r="E391" s="499">
        <v>9</v>
      </c>
      <c r="F391" s="532">
        <v>0</v>
      </c>
      <c r="G391" s="450">
        <v>0</v>
      </c>
      <c r="H391" s="457"/>
      <c r="I391" s="450"/>
      <c r="J391" s="457">
        <v>790</v>
      </c>
      <c r="K391" s="450">
        <v>835</v>
      </c>
      <c r="L391" s="458">
        <f t="shared" si="188"/>
        <v>0</v>
      </c>
      <c r="M391" s="449">
        <f t="shared" si="189"/>
        <v>0</v>
      </c>
      <c r="N391" s="459"/>
      <c r="O391" s="459"/>
      <c r="P391" s="459"/>
      <c r="Q391" s="459"/>
      <c r="R391" s="460">
        <f t="shared" si="190"/>
        <v>0</v>
      </c>
      <c r="S391" s="646"/>
      <c r="T391" s="461"/>
      <c r="U391" s="461"/>
      <c r="V391" s="461"/>
      <c r="W391" s="462">
        <f t="shared" si="212"/>
        <v>0</v>
      </c>
      <c r="X391" s="463"/>
      <c r="Y391" s="457"/>
      <c r="Z391" s="464"/>
      <c r="AA391" s="464"/>
      <c r="AB391" s="465"/>
      <c r="AC391" s="457"/>
      <c r="AD391" s="464"/>
      <c r="AE391" s="466"/>
      <c r="AF391" s="465"/>
      <c r="AG391" s="457"/>
      <c r="AH391" s="464"/>
      <c r="AI391" s="466"/>
      <c r="AJ391" s="465"/>
      <c r="AK391" s="457"/>
      <c r="AL391" s="464"/>
      <c r="AM391" s="466"/>
      <c r="AN391" s="465"/>
      <c r="AO391" s="457"/>
      <c r="AP391" s="464"/>
      <c r="AQ391" s="464"/>
      <c r="AR391" s="460">
        <f t="shared" si="192"/>
        <v>0</v>
      </c>
      <c r="AS391" s="467">
        <f t="shared" si="193"/>
        <v>0</v>
      </c>
      <c r="AT391" s="447">
        <f t="shared" si="194"/>
        <v>0</v>
      </c>
      <c r="AU391" s="448">
        <f t="shared" si="195"/>
        <v>0</v>
      </c>
      <c r="AV391" s="457"/>
      <c r="AW391" s="450"/>
      <c r="AX391" s="463"/>
      <c r="AY391" s="457"/>
      <c r="AZ391" s="464"/>
      <c r="BA391" s="464"/>
      <c r="BB391" s="465"/>
      <c r="BC391" s="457"/>
      <c r="BD391" s="464"/>
      <c r="BE391" s="466"/>
      <c r="BF391" s="465"/>
      <c r="BG391" s="457"/>
      <c r="BH391" s="464"/>
      <c r="BI391" s="466"/>
      <c r="BJ391" s="465"/>
      <c r="BK391" s="457"/>
      <c r="BL391" s="464"/>
      <c r="BM391" s="466"/>
      <c r="BN391" s="465"/>
      <c r="BO391" s="457"/>
      <c r="BP391" s="464"/>
      <c r="BQ391" s="466"/>
      <c r="BR391" s="465"/>
      <c r="BS391" s="457"/>
      <c r="BT391" s="392"/>
      <c r="BU391" s="392"/>
      <c r="BV391" s="465"/>
      <c r="BW391" s="457"/>
      <c r="BX391" s="464"/>
      <c r="BY391" s="466"/>
      <c r="BZ391" s="465"/>
      <c r="CA391" s="457"/>
      <c r="CB391" s="464"/>
      <c r="CC391" s="466"/>
      <c r="CD391" s="465"/>
      <c r="CE391" s="457"/>
      <c r="CF391" s="464"/>
      <c r="CG391" s="466"/>
      <c r="CH391" s="465"/>
      <c r="CI391" s="457"/>
      <c r="CJ391" s="464"/>
      <c r="CK391" s="466"/>
      <c r="CL391" s="459"/>
      <c r="CM391" s="450"/>
      <c r="CN391" s="468">
        <f t="shared" si="196"/>
        <v>0</v>
      </c>
      <c r="CO391" s="468">
        <f t="shared" si="197"/>
        <v>0</v>
      </c>
      <c r="CP391" s="469">
        <f t="shared" si="198"/>
        <v>0</v>
      </c>
      <c r="CQ391" s="469">
        <f t="shared" si="199"/>
        <v>0</v>
      </c>
      <c r="CR391" s="463"/>
      <c r="CS391" s="457"/>
      <c r="CT391" s="464"/>
      <c r="CU391" s="464"/>
      <c r="CV391" s="465"/>
      <c r="CW391" s="457"/>
      <c r="CX391" s="464"/>
      <c r="CY391" s="466"/>
      <c r="CZ391" s="465"/>
      <c r="DA391" s="457"/>
      <c r="DB391" s="464"/>
      <c r="DC391" s="466"/>
      <c r="DD391" s="465"/>
      <c r="DE391" s="457"/>
      <c r="DF391" s="464"/>
      <c r="DG391" s="466"/>
      <c r="DH391" s="465"/>
      <c r="DI391" s="457"/>
      <c r="DJ391" s="464"/>
      <c r="DK391" s="466"/>
      <c r="DL391" s="465"/>
      <c r="DM391" s="457"/>
      <c r="DN391" s="464"/>
      <c r="DO391" s="466"/>
      <c r="DP391" s="465"/>
      <c r="DQ391" s="457"/>
      <c r="DR391" s="464"/>
      <c r="DS391" s="466"/>
      <c r="DT391" s="465"/>
      <c r="DU391" s="457"/>
      <c r="DV391" s="464"/>
      <c r="DW391" s="466"/>
      <c r="DX391" s="465"/>
      <c r="DY391" s="457"/>
      <c r="DZ391" s="464"/>
      <c r="EA391" s="466"/>
      <c r="EB391" s="465"/>
      <c r="EC391" s="457"/>
      <c r="ED391" s="464"/>
      <c r="EE391" s="466"/>
      <c r="EF391" s="459"/>
      <c r="EG391" s="450"/>
      <c r="EH391" s="460">
        <f t="shared" si="200"/>
        <v>0</v>
      </c>
      <c r="EI391" s="460">
        <f t="shared" si="201"/>
        <v>0</v>
      </c>
      <c r="EJ391" s="458">
        <f t="shared" si="202"/>
        <v>0</v>
      </c>
      <c r="EK391" s="470">
        <f t="shared" si="203"/>
        <v>0</v>
      </c>
      <c r="EL391" s="470">
        <f t="shared" si="204"/>
        <v>0</v>
      </c>
      <c r="EM391" s="449">
        <f t="shared" si="205"/>
        <v>0</v>
      </c>
      <c r="EN391" s="460">
        <f t="shared" si="206"/>
        <v>0</v>
      </c>
      <c r="EO391" s="469">
        <f t="shared" si="207"/>
        <v>0</v>
      </c>
      <c r="EP391" s="471"/>
      <c r="EQ391" s="450"/>
      <c r="ER391" s="471"/>
      <c r="ES391" s="450"/>
      <c r="ET391" s="471"/>
      <c r="EU391" s="450"/>
      <c r="EV391" s="471"/>
      <c r="EW391" s="450"/>
      <c r="EX391" s="471"/>
      <c r="EY391" s="450"/>
      <c r="EZ391" s="471"/>
      <c r="FA391" s="450"/>
      <c r="FB391" s="471"/>
      <c r="FC391" s="450"/>
      <c r="FD391" s="471"/>
      <c r="FE391" s="450"/>
      <c r="FF391" s="471"/>
      <c r="FG391" s="450"/>
      <c r="FH391" s="472"/>
      <c r="FI391" s="450"/>
      <c r="FJ391" s="468">
        <f t="shared" si="208"/>
        <v>0</v>
      </c>
      <c r="FK391" s="469">
        <f t="shared" si="209"/>
        <v>0</v>
      </c>
      <c r="FL391" s="472"/>
      <c r="FM391" s="450"/>
      <c r="FN391" s="460">
        <f t="shared" si="210"/>
        <v>790</v>
      </c>
      <c r="FO391" s="469">
        <f t="shared" si="211"/>
        <v>835</v>
      </c>
    </row>
    <row r="392" spans="1:171" x14ac:dyDescent="0.2">
      <c r="A392" s="439" t="s">
        <v>644</v>
      </c>
      <c r="B392" s="436" t="s">
        <v>790</v>
      </c>
      <c r="C392" s="441" t="s">
        <v>798</v>
      </c>
      <c r="D392" s="438">
        <v>206996</v>
      </c>
      <c r="E392" s="499">
        <v>10</v>
      </c>
      <c r="F392" s="532">
        <v>4</v>
      </c>
      <c r="G392" s="599" t="s">
        <v>791</v>
      </c>
      <c r="H392" s="457"/>
      <c r="I392" s="450"/>
      <c r="J392" s="457">
        <v>327</v>
      </c>
      <c r="K392" s="450">
        <v>331</v>
      </c>
      <c r="L392" s="458">
        <f t="shared" si="188"/>
        <v>0</v>
      </c>
      <c r="M392" s="449">
        <f t="shared" si="189"/>
        <v>0</v>
      </c>
      <c r="N392" s="459"/>
      <c r="O392" s="459"/>
      <c r="P392" s="459"/>
      <c r="Q392" s="459"/>
      <c r="R392" s="460">
        <f t="shared" si="190"/>
        <v>0</v>
      </c>
      <c r="S392" s="646"/>
      <c r="T392" s="461"/>
      <c r="U392" s="461"/>
      <c r="V392" s="461"/>
      <c r="W392" s="462">
        <f t="shared" si="212"/>
        <v>0</v>
      </c>
      <c r="X392" s="463"/>
      <c r="Y392" s="457"/>
      <c r="Z392" s="464"/>
      <c r="AA392" s="464"/>
      <c r="AB392" s="465"/>
      <c r="AC392" s="457"/>
      <c r="AD392" s="464"/>
      <c r="AE392" s="466"/>
      <c r="AF392" s="465"/>
      <c r="AG392" s="457"/>
      <c r="AH392" s="464"/>
      <c r="AI392" s="466"/>
      <c r="AJ392" s="465"/>
      <c r="AK392" s="457"/>
      <c r="AL392" s="464"/>
      <c r="AM392" s="466"/>
      <c r="AN392" s="465"/>
      <c r="AO392" s="457"/>
      <c r="AP392" s="464"/>
      <c r="AQ392" s="464"/>
      <c r="AR392" s="460">
        <f t="shared" si="192"/>
        <v>0</v>
      </c>
      <c r="AS392" s="467">
        <f t="shared" si="193"/>
        <v>0</v>
      </c>
      <c r="AT392" s="447">
        <f t="shared" si="194"/>
        <v>0</v>
      </c>
      <c r="AU392" s="448">
        <f t="shared" si="195"/>
        <v>0</v>
      </c>
      <c r="AV392" s="457"/>
      <c r="AW392" s="450"/>
      <c r="AX392" s="463"/>
      <c r="AY392" s="457"/>
      <c r="AZ392" s="464"/>
      <c r="BA392" s="464"/>
      <c r="BB392" s="465"/>
      <c r="BC392" s="457"/>
      <c r="BD392" s="464"/>
      <c r="BE392" s="466"/>
      <c r="BF392" s="465"/>
      <c r="BG392" s="457"/>
      <c r="BH392" s="464"/>
      <c r="BI392" s="466"/>
      <c r="BJ392" s="465"/>
      <c r="BK392" s="457"/>
      <c r="BL392" s="464"/>
      <c r="BM392" s="466"/>
      <c r="BN392" s="465"/>
      <c r="BO392" s="457"/>
      <c r="BP392" s="464"/>
      <c r="BQ392" s="466"/>
      <c r="BR392" s="465"/>
      <c r="BS392" s="457"/>
      <c r="BT392" s="392"/>
      <c r="BU392" s="392"/>
      <c r="BV392" s="465"/>
      <c r="BW392" s="457"/>
      <c r="BX392" s="464"/>
      <c r="BY392" s="466"/>
      <c r="BZ392" s="465"/>
      <c r="CA392" s="457"/>
      <c r="CB392" s="464"/>
      <c r="CC392" s="466"/>
      <c r="CD392" s="465"/>
      <c r="CE392" s="457"/>
      <c r="CF392" s="464"/>
      <c r="CG392" s="466"/>
      <c r="CH392" s="465"/>
      <c r="CI392" s="457"/>
      <c r="CJ392" s="464"/>
      <c r="CK392" s="466"/>
      <c r="CL392" s="459"/>
      <c r="CM392" s="450"/>
      <c r="CN392" s="468">
        <f t="shared" si="196"/>
        <v>0</v>
      </c>
      <c r="CO392" s="468">
        <f t="shared" si="197"/>
        <v>0</v>
      </c>
      <c r="CP392" s="469">
        <f t="shared" si="198"/>
        <v>0</v>
      </c>
      <c r="CQ392" s="469">
        <f t="shared" si="199"/>
        <v>0</v>
      </c>
      <c r="CR392" s="463"/>
      <c r="CS392" s="457"/>
      <c r="CT392" s="464"/>
      <c r="CU392" s="464"/>
      <c r="CV392" s="465"/>
      <c r="CW392" s="457"/>
      <c r="CX392" s="464"/>
      <c r="CY392" s="466"/>
      <c r="CZ392" s="465"/>
      <c r="DA392" s="457"/>
      <c r="DB392" s="464"/>
      <c r="DC392" s="466"/>
      <c r="DD392" s="465"/>
      <c r="DE392" s="457"/>
      <c r="DF392" s="464"/>
      <c r="DG392" s="466"/>
      <c r="DH392" s="465"/>
      <c r="DI392" s="457"/>
      <c r="DJ392" s="464"/>
      <c r="DK392" s="466"/>
      <c r="DL392" s="465"/>
      <c r="DM392" s="457"/>
      <c r="DN392" s="464"/>
      <c r="DO392" s="466"/>
      <c r="DP392" s="465"/>
      <c r="DQ392" s="457"/>
      <c r="DR392" s="464"/>
      <c r="DS392" s="466"/>
      <c r="DT392" s="465"/>
      <c r="DU392" s="457"/>
      <c r="DV392" s="464"/>
      <c r="DW392" s="466"/>
      <c r="DX392" s="465"/>
      <c r="DY392" s="457"/>
      <c r="DZ392" s="464"/>
      <c r="EA392" s="466"/>
      <c r="EB392" s="465"/>
      <c r="EC392" s="457"/>
      <c r="ED392" s="464"/>
      <c r="EE392" s="466"/>
      <c r="EF392" s="459"/>
      <c r="EG392" s="450"/>
      <c r="EH392" s="460">
        <f t="shared" si="200"/>
        <v>0</v>
      </c>
      <c r="EI392" s="460">
        <f t="shared" si="201"/>
        <v>0</v>
      </c>
      <c r="EJ392" s="458">
        <f t="shared" si="202"/>
        <v>0</v>
      </c>
      <c r="EK392" s="470">
        <f t="shared" si="203"/>
        <v>0</v>
      </c>
      <c r="EL392" s="470">
        <f t="shared" si="204"/>
        <v>0</v>
      </c>
      <c r="EM392" s="449">
        <f t="shared" si="205"/>
        <v>0</v>
      </c>
      <c r="EN392" s="460">
        <f t="shared" si="206"/>
        <v>0</v>
      </c>
      <c r="EO392" s="469">
        <f t="shared" si="207"/>
        <v>0</v>
      </c>
      <c r="EP392" s="471"/>
      <c r="EQ392" s="450"/>
      <c r="ER392" s="471"/>
      <c r="ES392" s="450"/>
      <c r="ET392" s="471"/>
      <c r="EU392" s="450"/>
      <c r="EV392" s="471"/>
      <c r="EW392" s="450"/>
      <c r="EX392" s="471"/>
      <c r="EY392" s="450"/>
      <c r="EZ392" s="471"/>
      <c r="FA392" s="450"/>
      <c r="FB392" s="471"/>
      <c r="FC392" s="450"/>
      <c r="FD392" s="471"/>
      <c r="FE392" s="450"/>
      <c r="FF392" s="471"/>
      <c r="FG392" s="450"/>
      <c r="FH392" s="472"/>
      <c r="FI392" s="450"/>
      <c r="FJ392" s="468">
        <f t="shared" si="208"/>
        <v>0</v>
      </c>
      <c r="FK392" s="469">
        <f t="shared" si="209"/>
        <v>0</v>
      </c>
      <c r="FL392" s="472"/>
      <c r="FM392" s="450"/>
      <c r="FN392" s="460">
        <f t="shared" si="210"/>
        <v>331</v>
      </c>
      <c r="FO392" s="469">
        <f t="shared" si="211"/>
        <v>331</v>
      </c>
    </row>
    <row r="393" spans="1:171" x14ac:dyDescent="0.2">
      <c r="A393" s="439" t="s">
        <v>644</v>
      </c>
      <c r="B393" s="436" t="s">
        <v>792</v>
      </c>
      <c r="C393" s="441"/>
      <c r="D393" s="438">
        <v>207050</v>
      </c>
      <c r="E393" s="499">
        <v>10</v>
      </c>
      <c r="F393" s="532">
        <v>7</v>
      </c>
      <c r="G393" s="450">
        <v>9</v>
      </c>
      <c r="H393" s="457"/>
      <c r="I393" s="450"/>
      <c r="J393" s="457">
        <v>241</v>
      </c>
      <c r="K393" s="450">
        <v>181</v>
      </c>
      <c r="L393" s="458">
        <f t="shared" si="188"/>
        <v>0</v>
      </c>
      <c r="M393" s="449">
        <f t="shared" si="189"/>
        <v>0</v>
      </c>
      <c r="N393" s="459"/>
      <c r="O393" s="459"/>
      <c r="P393" s="459"/>
      <c r="Q393" s="459"/>
      <c r="R393" s="460">
        <f t="shared" si="190"/>
        <v>0</v>
      </c>
      <c r="S393" s="646"/>
      <c r="T393" s="461"/>
      <c r="U393" s="461"/>
      <c r="V393" s="461"/>
      <c r="W393" s="462">
        <f t="shared" si="212"/>
        <v>0</v>
      </c>
      <c r="X393" s="463"/>
      <c r="Y393" s="457"/>
      <c r="Z393" s="464"/>
      <c r="AA393" s="464"/>
      <c r="AB393" s="465"/>
      <c r="AC393" s="457"/>
      <c r="AD393" s="464"/>
      <c r="AE393" s="466"/>
      <c r="AF393" s="465"/>
      <c r="AG393" s="457"/>
      <c r="AH393" s="464"/>
      <c r="AI393" s="466"/>
      <c r="AJ393" s="465"/>
      <c r="AK393" s="457"/>
      <c r="AL393" s="464"/>
      <c r="AM393" s="466"/>
      <c r="AN393" s="465"/>
      <c r="AO393" s="457"/>
      <c r="AP393" s="464"/>
      <c r="AQ393" s="464"/>
      <c r="AR393" s="460">
        <f t="shared" si="192"/>
        <v>0</v>
      </c>
      <c r="AS393" s="467">
        <f t="shared" si="193"/>
        <v>0</v>
      </c>
      <c r="AT393" s="447">
        <f t="shared" si="194"/>
        <v>0</v>
      </c>
      <c r="AU393" s="448">
        <f t="shared" si="195"/>
        <v>0</v>
      </c>
      <c r="AV393" s="457"/>
      <c r="AW393" s="450"/>
      <c r="AX393" s="463"/>
      <c r="AY393" s="457"/>
      <c r="AZ393" s="464"/>
      <c r="BA393" s="464"/>
      <c r="BB393" s="465"/>
      <c r="BC393" s="457"/>
      <c r="BD393" s="464"/>
      <c r="BE393" s="466"/>
      <c r="BF393" s="465"/>
      <c r="BG393" s="457"/>
      <c r="BH393" s="464"/>
      <c r="BI393" s="466"/>
      <c r="BJ393" s="465"/>
      <c r="BK393" s="457"/>
      <c r="BL393" s="464"/>
      <c r="BM393" s="466"/>
      <c r="BN393" s="465"/>
      <c r="BO393" s="457"/>
      <c r="BP393" s="464"/>
      <c r="BQ393" s="466"/>
      <c r="BR393" s="465"/>
      <c r="BS393" s="457"/>
      <c r="BT393" s="392"/>
      <c r="BU393" s="392"/>
      <c r="BV393" s="465"/>
      <c r="BW393" s="457"/>
      <c r="BX393" s="464"/>
      <c r="BY393" s="466"/>
      <c r="BZ393" s="465"/>
      <c r="CA393" s="457"/>
      <c r="CB393" s="464"/>
      <c r="CC393" s="466"/>
      <c r="CD393" s="465"/>
      <c r="CE393" s="457"/>
      <c r="CF393" s="464"/>
      <c r="CG393" s="466"/>
      <c r="CH393" s="465"/>
      <c r="CI393" s="457"/>
      <c r="CJ393" s="464"/>
      <c r="CK393" s="466"/>
      <c r="CL393" s="459"/>
      <c r="CM393" s="450"/>
      <c r="CN393" s="468">
        <f t="shared" si="196"/>
        <v>0</v>
      </c>
      <c r="CO393" s="468">
        <f t="shared" si="197"/>
        <v>0</v>
      </c>
      <c r="CP393" s="469">
        <f t="shared" si="198"/>
        <v>0</v>
      </c>
      <c r="CQ393" s="469">
        <f t="shared" si="199"/>
        <v>0</v>
      </c>
      <c r="CR393" s="463"/>
      <c r="CS393" s="457"/>
      <c r="CT393" s="464"/>
      <c r="CU393" s="464"/>
      <c r="CV393" s="465"/>
      <c r="CW393" s="457"/>
      <c r="CX393" s="464"/>
      <c r="CY393" s="466"/>
      <c r="CZ393" s="465"/>
      <c r="DA393" s="457"/>
      <c r="DB393" s="464"/>
      <c r="DC393" s="466"/>
      <c r="DD393" s="465"/>
      <c r="DE393" s="457"/>
      <c r="DF393" s="464"/>
      <c r="DG393" s="466"/>
      <c r="DH393" s="465"/>
      <c r="DI393" s="457"/>
      <c r="DJ393" s="464"/>
      <c r="DK393" s="466"/>
      <c r="DL393" s="465"/>
      <c r="DM393" s="457"/>
      <c r="DN393" s="464"/>
      <c r="DO393" s="466"/>
      <c r="DP393" s="465"/>
      <c r="DQ393" s="457"/>
      <c r="DR393" s="464"/>
      <c r="DS393" s="466"/>
      <c r="DT393" s="465"/>
      <c r="DU393" s="457"/>
      <c r="DV393" s="464"/>
      <c r="DW393" s="466"/>
      <c r="DX393" s="465"/>
      <c r="DY393" s="457"/>
      <c r="DZ393" s="464"/>
      <c r="EA393" s="466"/>
      <c r="EB393" s="465"/>
      <c r="EC393" s="457"/>
      <c r="ED393" s="464"/>
      <c r="EE393" s="466"/>
      <c r="EF393" s="459"/>
      <c r="EG393" s="450"/>
      <c r="EH393" s="460">
        <f t="shared" si="200"/>
        <v>0</v>
      </c>
      <c r="EI393" s="460">
        <f t="shared" si="201"/>
        <v>0</v>
      </c>
      <c r="EJ393" s="458">
        <f t="shared" si="202"/>
        <v>0</v>
      </c>
      <c r="EK393" s="470">
        <f t="shared" si="203"/>
        <v>0</v>
      </c>
      <c r="EL393" s="470">
        <f t="shared" si="204"/>
        <v>0</v>
      </c>
      <c r="EM393" s="449">
        <f t="shared" si="205"/>
        <v>0</v>
      </c>
      <c r="EN393" s="460">
        <f t="shared" si="206"/>
        <v>0</v>
      </c>
      <c r="EO393" s="469">
        <f t="shared" si="207"/>
        <v>0</v>
      </c>
      <c r="EP393" s="471"/>
      <c r="EQ393" s="450"/>
      <c r="ER393" s="471"/>
      <c r="ES393" s="450"/>
      <c r="ET393" s="471"/>
      <c r="EU393" s="450"/>
      <c r="EV393" s="471"/>
      <c r="EW393" s="450"/>
      <c r="EX393" s="471"/>
      <c r="EY393" s="450"/>
      <c r="EZ393" s="471"/>
      <c r="FA393" s="450"/>
      <c r="FB393" s="471"/>
      <c r="FC393" s="450"/>
      <c r="FD393" s="471"/>
      <c r="FE393" s="450"/>
      <c r="FF393" s="471"/>
      <c r="FG393" s="450"/>
      <c r="FH393" s="472"/>
      <c r="FI393" s="450"/>
      <c r="FJ393" s="468">
        <f t="shared" si="208"/>
        <v>0</v>
      </c>
      <c r="FK393" s="469">
        <f t="shared" si="209"/>
        <v>0</v>
      </c>
      <c r="FL393" s="472"/>
      <c r="FM393" s="450"/>
      <c r="FN393" s="460">
        <f t="shared" si="210"/>
        <v>248</v>
      </c>
      <c r="FO393" s="469">
        <f t="shared" si="211"/>
        <v>190</v>
      </c>
    </row>
    <row r="394" spans="1:171" x14ac:dyDescent="0.2">
      <c r="A394" s="439" t="s">
        <v>644</v>
      </c>
      <c r="B394" s="440" t="s">
        <v>793</v>
      </c>
      <c r="C394" s="441"/>
      <c r="D394" s="438">
        <v>207236</v>
      </c>
      <c r="E394" s="499">
        <v>10</v>
      </c>
      <c r="F394" s="532">
        <v>0</v>
      </c>
      <c r="G394" s="450">
        <v>0</v>
      </c>
      <c r="H394" s="457"/>
      <c r="I394" s="450"/>
      <c r="J394" s="457">
        <v>353</v>
      </c>
      <c r="K394" s="450">
        <v>408</v>
      </c>
      <c r="L394" s="458">
        <f t="shared" ref="L394:L457" si="213">IF(N394&gt;0,J394/N394, )</f>
        <v>0</v>
      </c>
      <c r="M394" s="449">
        <f t="shared" ref="M394:M457" si="214">IF(S394&gt;0,K394/S394, )</f>
        <v>0</v>
      </c>
      <c r="N394" s="459"/>
      <c r="O394" s="459"/>
      <c r="P394" s="459"/>
      <c r="Q394" s="459"/>
      <c r="R394" s="460">
        <f t="shared" ref="R394:R457" si="215">SUM(O394:Q394)</f>
        <v>0</v>
      </c>
      <c r="S394" s="646"/>
      <c r="T394" s="461"/>
      <c r="U394" s="461"/>
      <c r="V394" s="461"/>
      <c r="W394" s="462">
        <f t="shared" ref="W394:W457" si="216">SUM(T394:V394)</f>
        <v>0</v>
      </c>
      <c r="X394" s="463"/>
      <c r="Y394" s="457"/>
      <c r="Z394" s="464"/>
      <c r="AA394" s="464"/>
      <c r="AB394" s="465"/>
      <c r="AC394" s="457"/>
      <c r="AD394" s="464"/>
      <c r="AE394" s="466"/>
      <c r="AF394" s="465"/>
      <c r="AG394" s="457"/>
      <c r="AH394" s="464"/>
      <c r="AI394" s="466"/>
      <c r="AJ394" s="465"/>
      <c r="AK394" s="457"/>
      <c r="AL394" s="464"/>
      <c r="AM394" s="466"/>
      <c r="AN394" s="465"/>
      <c r="AO394" s="457"/>
      <c r="AP394" s="464"/>
      <c r="AQ394" s="464"/>
      <c r="AR394" s="460">
        <f t="shared" ref="AR394:AR457" si="217">COUNTA(X394,AB394,AF394,AJ394,AN394)</f>
        <v>0</v>
      </c>
      <c r="AS394" s="467">
        <f t="shared" ref="AS394:AS457" si="218">IF(FN394&gt;0,N394/FN394,)</f>
        <v>0</v>
      </c>
      <c r="AT394" s="447">
        <f t="shared" ref="AT394:AT457" si="219">COUNTA(Z394,AD394,AH394,AL394,AP394)</f>
        <v>0</v>
      </c>
      <c r="AU394" s="448">
        <f t="shared" ref="AU394:AU457" si="220">IF(FO394&gt;0,S394/FO394,)</f>
        <v>0</v>
      </c>
      <c r="AV394" s="457"/>
      <c r="AW394" s="450"/>
      <c r="AX394" s="463"/>
      <c r="AY394" s="457"/>
      <c r="AZ394" s="464"/>
      <c r="BA394" s="464"/>
      <c r="BB394" s="465"/>
      <c r="BC394" s="457"/>
      <c r="BD394" s="464"/>
      <c r="BE394" s="466"/>
      <c r="BF394" s="465"/>
      <c r="BG394" s="457"/>
      <c r="BH394" s="464"/>
      <c r="BI394" s="466"/>
      <c r="BJ394" s="465"/>
      <c r="BK394" s="457"/>
      <c r="BL394" s="464"/>
      <c r="BM394" s="466"/>
      <c r="BN394" s="465"/>
      <c r="BO394" s="457"/>
      <c r="BP394" s="464"/>
      <c r="BQ394" s="466"/>
      <c r="BR394" s="465"/>
      <c r="BS394" s="457"/>
      <c r="BT394" s="392"/>
      <c r="BU394" s="392"/>
      <c r="BV394" s="465"/>
      <c r="BW394" s="457"/>
      <c r="BX394" s="464"/>
      <c r="BY394" s="466"/>
      <c r="BZ394" s="465"/>
      <c r="CA394" s="457"/>
      <c r="CB394" s="464"/>
      <c r="CC394" s="466"/>
      <c r="CD394" s="465"/>
      <c r="CE394" s="457"/>
      <c r="CF394" s="464"/>
      <c r="CG394" s="466"/>
      <c r="CH394" s="465"/>
      <c r="CI394" s="457"/>
      <c r="CJ394" s="464"/>
      <c r="CK394" s="466"/>
      <c r="CL394" s="459"/>
      <c r="CM394" s="450"/>
      <c r="CN394" s="468">
        <f t="shared" ref="CN394:CN457" si="221">AY394+BC394+BG394+BK394+BO394+BS394+BW394+CA394+CE394+CI394+CL394</f>
        <v>0</v>
      </c>
      <c r="CO394" s="468">
        <f t="shared" ref="CO394:CO457" si="222">COUNTA(AX394,BB394,BF394,BJ394,BN394,BR394,BV394,BZ394,CD394,CH394)</f>
        <v>0</v>
      </c>
      <c r="CP394" s="469">
        <f t="shared" ref="CP394:CP457" si="223">BA394+BE394+BI394+BM394+BQ394+BU394+BY394+CC394+CG394+CK394+CM394</f>
        <v>0</v>
      </c>
      <c r="CQ394" s="469">
        <f t="shared" ref="CQ394:CQ457" si="224">COUNTA(AZ394,BD394,BH394,BL394,BP394,BT394,BX394,CB394,CF394,CJ394)</f>
        <v>0</v>
      </c>
      <c r="CR394" s="463"/>
      <c r="CS394" s="457"/>
      <c r="CT394" s="464"/>
      <c r="CU394" s="464"/>
      <c r="CV394" s="465"/>
      <c r="CW394" s="457"/>
      <c r="CX394" s="464"/>
      <c r="CY394" s="466"/>
      <c r="CZ394" s="465"/>
      <c r="DA394" s="457"/>
      <c r="DB394" s="464"/>
      <c r="DC394" s="466"/>
      <c r="DD394" s="465"/>
      <c r="DE394" s="457"/>
      <c r="DF394" s="464"/>
      <c r="DG394" s="466"/>
      <c r="DH394" s="465"/>
      <c r="DI394" s="457"/>
      <c r="DJ394" s="464"/>
      <c r="DK394" s="466"/>
      <c r="DL394" s="465"/>
      <c r="DM394" s="457"/>
      <c r="DN394" s="464"/>
      <c r="DO394" s="466"/>
      <c r="DP394" s="465"/>
      <c r="DQ394" s="457"/>
      <c r="DR394" s="464"/>
      <c r="DS394" s="466"/>
      <c r="DT394" s="465"/>
      <c r="DU394" s="457"/>
      <c r="DV394" s="464"/>
      <c r="DW394" s="466"/>
      <c r="DX394" s="465"/>
      <c r="DY394" s="457"/>
      <c r="DZ394" s="464"/>
      <c r="EA394" s="466"/>
      <c r="EB394" s="465"/>
      <c r="EC394" s="457"/>
      <c r="ED394" s="464"/>
      <c r="EE394" s="466"/>
      <c r="EF394" s="459"/>
      <c r="EG394" s="450"/>
      <c r="EH394" s="460">
        <f t="shared" ref="EH394:EH457" si="225">CS394+CW394+DA394+DE394+DI394+DM394+DQ394+DU394+DY394+EC394+EF394</f>
        <v>0</v>
      </c>
      <c r="EI394" s="460">
        <f t="shared" ref="EI394:EI457" si="226">COUNTA(CR394,CV394,CZ394,DD394,DH394,DL394,DP394,DT394,DX394,EB394)</f>
        <v>0</v>
      </c>
      <c r="EJ394" s="458">
        <f t="shared" ref="EJ394:EJ457" si="227">IF(EH394&gt;0,CS394/EH394,)</f>
        <v>0</v>
      </c>
      <c r="EK394" s="470">
        <f t="shared" ref="EK394:EK457" si="228">CU394+CY394+DC394+DG394+DK394+DO394+DS394+DW394+EA394+EE394+EG394</f>
        <v>0</v>
      </c>
      <c r="EL394" s="470">
        <f t="shared" ref="EL394:EL457" si="229">COUNTA(CT394,CX394,DB394,DF394,DJ394,DN394,DR394,DV394,DZ394,ED394)</f>
        <v>0</v>
      </c>
      <c r="EM394" s="449">
        <f t="shared" ref="EM394:EM457" si="230">IF(EK394&gt;0,CU394/EK394,)</f>
        <v>0</v>
      </c>
      <c r="EN394" s="460">
        <f t="shared" ref="EN394:EN457" si="231">CN394+EH394</f>
        <v>0</v>
      </c>
      <c r="EO394" s="469">
        <f t="shared" ref="EO394:EO457" si="232">CP394+EK394</f>
        <v>0</v>
      </c>
      <c r="EP394" s="471"/>
      <c r="EQ394" s="450"/>
      <c r="ER394" s="471"/>
      <c r="ES394" s="450"/>
      <c r="ET394" s="471"/>
      <c r="EU394" s="450"/>
      <c r="EV394" s="471"/>
      <c r="EW394" s="450"/>
      <c r="EX394" s="471"/>
      <c r="EY394" s="450"/>
      <c r="EZ394" s="471"/>
      <c r="FA394" s="450"/>
      <c r="FB394" s="471"/>
      <c r="FC394" s="450"/>
      <c r="FD394" s="471"/>
      <c r="FE394" s="450"/>
      <c r="FF394" s="471"/>
      <c r="FG394" s="450"/>
      <c r="FH394" s="472"/>
      <c r="FI394" s="450"/>
      <c r="FJ394" s="468">
        <f t="shared" ref="FJ394:FJ457" si="233">EP394+ER394+ET394+EV394+EX394+EZ394+FB394+FD394+FF394+FH394</f>
        <v>0</v>
      </c>
      <c r="FK394" s="469">
        <f t="shared" ref="FK394:FK457" si="234">EQ394+ES394+EU394+EW394+EY394+FA394+FC394+FE394+FG394+FI394</f>
        <v>0</v>
      </c>
      <c r="FL394" s="472"/>
      <c r="FM394" s="450"/>
      <c r="FN394" s="460">
        <f t="shared" ref="FN394:FN457" si="235">F394+H394+J394+N394+AV394+EN394+FJ394+FL394</f>
        <v>353</v>
      </c>
      <c r="FO394" s="469">
        <f t="shared" ref="FO394:FO457" si="236">G394+I394+K394+S394+AW394+EO394+FK394+FM394</f>
        <v>408</v>
      </c>
    </row>
    <row r="395" spans="1:171" x14ac:dyDescent="0.2">
      <c r="A395" s="439" t="s">
        <v>644</v>
      </c>
      <c r="B395" s="436" t="s">
        <v>794</v>
      </c>
      <c r="C395" s="441"/>
      <c r="D395" s="438">
        <v>207290</v>
      </c>
      <c r="E395" s="499">
        <v>10</v>
      </c>
      <c r="F395" s="532">
        <v>45</v>
      </c>
      <c r="G395" s="450">
        <v>47</v>
      </c>
      <c r="H395" s="457"/>
      <c r="I395" s="450"/>
      <c r="J395" s="457">
        <v>372</v>
      </c>
      <c r="K395" s="450">
        <v>400</v>
      </c>
      <c r="L395" s="458">
        <f t="shared" si="213"/>
        <v>0</v>
      </c>
      <c r="M395" s="449">
        <f t="shared" si="214"/>
        <v>0</v>
      </c>
      <c r="N395" s="459"/>
      <c r="O395" s="459"/>
      <c r="P395" s="459"/>
      <c r="Q395" s="459"/>
      <c r="R395" s="460">
        <f t="shared" si="215"/>
        <v>0</v>
      </c>
      <c r="S395" s="646"/>
      <c r="T395" s="461"/>
      <c r="U395" s="461"/>
      <c r="V395" s="461"/>
      <c r="W395" s="462">
        <f t="shared" si="216"/>
        <v>0</v>
      </c>
      <c r="X395" s="463"/>
      <c r="Y395" s="457"/>
      <c r="Z395" s="464"/>
      <c r="AA395" s="464"/>
      <c r="AB395" s="465"/>
      <c r="AC395" s="457"/>
      <c r="AD395" s="464"/>
      <c r="AE395" s="466"/>
      <c r="AF395" s="465"/>
      <c r="AG395" s="457"/>
      <c r="AH395" s="464"/>
      <c r="AI395" s="466"/>
      <c r="AJ395" s="465"/>
      <c r="AK395" s="457"/>
      <c r="AL395" s="464"/>
      <c r="AM395" s="466"/>
      <c r="AN395" s="465"/>
      <c r="AO395" s="457"/>
      <c r="AP395" s="464"/>
      <c r="AQ395" s="464"/>
      <c r="AR395" s="460">
        <f t="shared" si="217"/>
        <v>0</v>
      </c>
      <c r="AS395" s="467">
        <f t="shared" si="218"/>
        <v>0</v>
      </c>
      <c r="AT395" s="447">
        <f t="shared" si="219"/>
        <v>0</v>
      </c>
      <c r="AU395" s="448">
        <f t="shared" si="220"/>
        <v>0</v>
      </c>
      <c r="AV395" s="457"/>
      <c r="AW395" s="450"/>
      <c r="AX395" s="463"/>
      <c r="AY395" s="457"/>
      <c r="AZ395" s="464"/>
      <c r="BA395" s="464"/>
      <c r="BB395" s="465"/>
      <c r="BC395" s="457"/>
      <c r="BD395" s="464"/>
      <c r="BE395" s="466"/>
      <c r="BF395" s="465"/>
      <c r="BG395" s="457"/>
      <c r="BH395" s="464"/>
      <c r="BI395" s="466"/>
      <c r="BJ395" s="465"/>
      <c r="BK395" s="457"/>
      <c r="BL395" s="464"/>
      <c r="BM395" s="466"/>
      <c r="BN395" s="465"/>
      <c r="BO395" s="457"/>
      <c r="BP395" s="464"/>
      <c r="BQ395" s="466"/>
      <c r="BR395" s="465"/>
      <c r="BS395" s="457"/>
      <c r="BT395" s="392"/>
      <c r="BU395" s="392"/>
      <c r="BV395" s="465"/>
      <c r="BW395" s="457"/>
      <c r="BX395" s="464"/>
      <c r="BY395" s="466"/>
      <c r="BZ395" s="465"/>
      <c r="CA395" s="457"/>
      <c r="CB395" s="464"/>
      <c r="CC395" s="466"/>
      <c r="CD395" s="465"/>
      <c r="CE395" s="457"/>
      <c r="CF395" s="464"/>
      <c r="CG395" s="466"/>
      <c r="CH395" s="465"/>
      <c r="CI395" s="457"/>
      <c r="CJ395" s="464"/>
      <c r="CK395" s="466"/>
      <c r="CL395" s="459"/>
      <c r="CM395" s="450"/>
      <c r="CN395" s="468">
        <f t="shared" si="221"/>
        <v>0</v>
      </c>
      <c r="CO395" s="468">
        <f t="shared" si="222"/>
        <v>0</v>
      </c>
      <c r="CP395" s="469">
        <f t="shared" si="223"/>
        <v>0</v>
      </c>
      <c r="CQ395" s="469">
        <f t="shared" si="224"/>
        <v>0</v>
      </c>
      <c r="CR395" s="463"/>
      <c r="CS395" s="457"/>
      <c r="CT395" s="464"/>
      <c r="CU395" s="464"/>
      <c r="CV395" s="465"/>
      <c r="CW395" s="457"/>
      <c r="CX395" s="464"/>
      <c r="CY395" s="466"/>
      <c r="CZ395" s="465"/>
      <c r="DA395" s="457"/>
      <c r="DB395" s="464"/>
      <c r="DC395" s="466"/>
      <c r="DD395" s="465"/>
      <c r="DE395" s="457"/>
      <c r="DF395" s="464"/>
      <c r="DG395" s="466"/>
      <c r="DH395" s="465"/>
      <c r="DI395" s="457"/>
      <c r="DJ395" s="464"/>
      <c r="DK395" s="466"/>
      <c r="DL395" s="465"/>
      <c r="DM395" s="457"/>
      <c r="DN395" s="464"/>
      <c r="DO395" s="466"/>
      <c r="DP395" s="465"/>
      <c r="DQ395" s="457"/>
      <c r="DR395" s="464"/>
      <c r="DS395" s="466"/>
      <c r="DT395" s="465"/>
      <c r="DU395" s="457"/>
      <c r="DV395" s="464"/>
      <c r="DW395" s="466"/>
      <c r="DX395" s="465"/>
      <c r="DY395" s="457"/>
      <c r="DZ395" s="464"/>
      <c r="EA395" s="466"/>
      <c r="EB395" s="465"/>
      <c r="EC395" s="457"/>
      <c r="ED395" s="464"/>
      <c r="EE395" s="466"/>
      <c r="EF395" s="459"/>
      <c r="EG395" s="450"/>
      <c r="EH395" s="460">
        <f t="shared" si="225"/>
        <v>0</v>
      </c>
      <c r="EI395" s="460">
        <f t="shared" si="226"/>
        <v>0</v>
      </c>
      <c r="EJ395" s="458">
        <f t="shared" si="227"/>
        <v>0</v>
      </c>
      <c r="EK395" s="470">
        <f t="shared" si="228"/>
        <v>0</v>
      </c>
      <c r="EL395" s="470">
        <f t="shared" si="229"/>
        <v>0</v>
      </c>
      <c r="EM395" s="449">
        <f t="shared" si="230"/>
        <v>0</v>
      </c>
      <c r="EN395" s="460">
        <f t="shared" si="231"/>
        <v>0</v>
      </c>
      <c r="EO395" s="469">
        <f t="shared" si="232"/>
        <v>0</v>
      </c>
      <c r="EP395" s="471"/>
      <c r="EQ395" s="450"/>
      <c r="ER395" s="471"/>
      <c r="ES395" s="450"/>
      <c r="ET395" s="471"/>
      <c r="EU395" s="450"/>
      <c r="EV395" s="471"/>
      <c r="EW395" s="450"/>
      <c r="EX395" s="471"/>
      <c r="EY395" s="450"/>
      <c r="EZ395" s="471"/>
      <c r="FA395" s="450"/>
      <c r="FB395" s="471"/>
      <c r="FC395" s="450"/>
      <c r="FD395" s="471"/>
      <c r="FE395" s="450"/>
      <c r="FF395" s="471"/>
      <c r="FG395" s="450"/>
      <c r="FH395" s="472"/>
      <c r="FI395" s="450"/>
      <c r="FJ395" s="468">
        <f t="shared" si="233"/>
        <v>0</v>
      </c>
      <c r="FK395" s="469">
        <f t="shared" si="234"/>
        <v>0</v>
      </c>
      <c r="FL395" s="472"/>
      <c r="FM395" s="450"/>
      <c r="FN395" s="460">
        <f t="shared" si="235"/>
        <v>417</v>
      </c>
      <c r="FO395" s="469">
        <f t="shared" si="236"/>
        <v>447</v>
      </c>
    </row>
    <row r="396" spans="1:171" x14ac:dyDescent="0.2">
      <c r="A396" s="439" t="s">
        <v>644</v>
      </c>
      <c r="B396" s="436" t="s">
        <v>795</v>
      </c>
      <c r="C396" s="441"/>
      <c r="D396" s="438">
        <v>207069</v>
      </c>
      <c r="E396" s="499">
        <v>10</v>
      </c>
      <c r="F396" s="532">
        <v>23</v>
      </c>
      <c r="G396" s="450">
        <v>29</v>
      </c>
      <c r="H396" s="457"/>
      <c r="I396" s="450"/>
      <c r="J396" s="457">
        <v>249</v>
      </c>
      <c r="K396" s="450">
        <v>304</v>
      </c>
      <c r="L396" s="458">
        <f t="shared" si="213"/>
        <v>0</v>
      </c>
      <c r="M396" s="449">
        <f t="shared" si="214"/>
        <v>0</v>
      </c>
      <c r="N396" s="459"/>
      <c r="O396" s="459"/>
      <c r="P396" s="459"/>
      <c r="Q396" s="459"/>
      <c r="R396" s="460">
        <f t="shared" si="215"/>
        <v>0</v>
      </c>
      <c r="S396" s="646"/>
      <c r="T396" s="461"/>
      <c r="U396" s="461"/>
      <c r="V396" s="461"/>
      <c r="W396" s="462">
        <f t="shared" si="216"/>
        <v>0</v>
      </c>
      <c r="X396" s="463"/>
      <c r="Y396" s="457"/>
      <c r="Z396" s="464"/>
      <c r="AA396" s="464"/>
      <c r="AB396" s="465"/>
      <c r="AC396" s="457"/>
      <c r="AD396" s="464"/>
      <c r="AE396" s="466"/>
      <c r="AF396" s="465"/>
      <c r="AG396" s="457"/>
      <c r="AH396" s="464"/>
      <c r="AI396" s="466"/>
      <c r="AJ396" s="465"/>
      <c r="AK396" s="457"/>
      <c r="AL396" s="464"/>
      <c r="AM396" s="466"/>
      <c r="AN396" s="465"/>
      <c r="AO396" s="457"/>
      <c r="AP396" s="464"/>
      <c r="AQ396" s="464"/>
      <c r="AR396" s="460">
        <f t="shared" si="217"/>
        <v>0</v>
      </c>
      <c r="AS396" s="467">
        <f t="shared" si="218"/>
        <v>0</v>
      </c>
      <c r="AT396" s="447">
        <f t="shared" si="219"/>
        <v>0</v>
      </c>
      <c r="AU396" s="448">
        <f t="shared" si="220"/>
        <v>0</v>
      </c>
      <c r="AV396" s="457"/>
      <c r="AW396" s="450"/>
      <c r="AX396" s="463"/>
      <c r="AY396" s="457"/>
      <c r="AZ396" s="464"/>
      <c r="BA396" s="464"/>
      <c r="BB396" s="465"/>
      <c r="BC396" s="457"/>
      <c r="BD396" s="464"/>
      <c r="BE396" s="466"/>
      <c r="BF396" s="465"/>
      <c r="BG396" s="457"/>
      <c r="BH396" s="464"/>
      <c r="BI396" s="466"/>
      <c r="BJ396" s="465"/>
      <c r="BK396" s="457"/>
      <c r="BL396" s="464"/>
      <c r="BM396" s="466"/>
      <c r="BN396" s="465"/>
      <c r="BO396" s="457"/>
      <c r="BP396" s="464"/>
      <c r="BQ396" s="466"/>
      <c r="BR396" s="465"/>
      <c r="BS396" s="457"/>
      <c r="BT396" s="392"/>
      <c r="BU396" s="392"/>
      <c r="BV396" s="465"/>
      <c r="BW396" s="457"/>
      <c r="BX396" s="464"/>
      <c r="BY396" s="466"/>
      <c r="BZ396" s="465"/>
      <c r="CA396" s="457"/>
      <c r="CB396" s="464"/>
      <c r="CC396" s="466"/>
      <c r="CD396" s="465"/>
      <c r="CE396" s="457"/>
      <c r="CF396" s="464"/>
      <c r="CG396" s="466"/>
      <c r="CH396" s="465"/>
      <c r="CI396" s="457"/>
      <c r="CJ396" s="464"/>
      <c r="CK396" s="466"/>
      <c r="CL396" s="459"/>
      <c r="CM396" s="450"/>
      <c r="CN396" s="468">
        <f t="shared" si="221"/>
        <v>0</v>
      </c>
      <c r="CO396" s="468">
        <f t="shared" si="222"/>
        <v>0</v>
      </c>
      <c r="CP396" s="469">
        <f t="shared" si="223"/>
        <v>0</v>
      </c>
      <c r="CQ396" s="469">
        <f t="shared" si="224"/>
        <v>0</v>
      </c>
      <c r="CR396" s="463"/>
      <c r="CS396" s="457"/>
      <c r="CT396" s="464"/>
      <c r="CU396" s="464"/>
      <c r="CV396" s="465"/>
      <c r="CW396" s="457"/>
      <c r="CX396" s="464"/>
      <c r="CY396" s="466"/>
      <c r="CZ396" s="465"/>
      <c r="DA396" s="457"/>
      <c r="DB396" s="464"/>
      <c r="DC396" s="466"/>
      <c r="DD396" s="465"/>
      <c r="DE396" s="457"/>
      <c r="DF396" s="464"/>
      <c r="DG396" s="466"/>
      <c r="DH396" s="465"/>
      <c r="DI396" s="457"/>
      <c r="DJ396" s="464"/>
      <c r="DK396" s="466"/>
      <c r="DL396" s="465"/>
      <c r="DM396" s="457"/>
      <c r="DN396" s="464"/>
      <c r="DO396" s="466"/>
      <c r="DP396" s="465"/>
      <c r="DQ396" s="457"/>
      <c r="DR396" s="464"/>
      <c r="DS396" s="466"/>
      <c r="DT396" s="465"/>
      <c r="DU396" s="457"/>
      <c r="DV396" s="464"/>
      <c r="DW396" s="466"/>
      <c r="DX396" s="465"/>
      <c r="DY396" s="457"/>
      <c r="DZ396" s="464"/>
      <c r="EA396" s="466"/>
      <c r="EB396" s="465"/>
      <c r="EC396" s="457"/>
      <c r="ED396" s="464"/>
      <c r="EE396" s="466"/>
      <c r="EF396" s="459"/>
      <c r="EG396" s="450"/>
      <c r="EH396" s="460">
        <f t="shared" si="225"/>
        <v>0</v>
      </c>
      <c r="EI396" s="460">
        <f t="shared" si="226"/>
        <v>0</v>
      </c>
      <c r="EJ396" s="458">
        <f t="shared" si="227"/>
        <v>0</v>
      </c>
      <c r="EK396" s="470">
        <f t="shared" si="228"/>
        <v>0</v>
      </c>
      <c r="EL396" s="470">
        <f t="shared" si="229"/>
        <v>0</v>
      </c>
      <c r="EM396" s="449">
        <f t="shared" si="230"/>
        <v>0</v>
      </c>
      <c r="EN396" s="460">
        <f t="shared" si="231"/>
        <v>0</v>
      </c>
      <c r="EO396" s="469">
        <f t="shared" si="232"/>
        <v>0</v>
      </c>
      <c r="EP396" s="471"/>
      <c r="EQ396" s="450"/>
      <c r="ER396" s="471"/>
      <c r="ES396" s="450"/>
      <c r="ET396" s="471"/>
      <c r="EU396" s="450"/>
      <c r="EV396" s="471"/>
      <c r="EW396" s="450"/>
      <c r="EX396" s="471"/>
      <c r="EY396" s="450"/>
      <c r="EZ396" s="471"/>
      <c r="FA396" s="450"/>
      <c r="FB396" s="471"/>
      <c r="FC396" s="450"/>
      <c r="FD396" s="471"/>
      <c r="FE396" s="450"/>
      <c r="FF396" s="471"/>
      <c r="FG396" s="450"/>
      <c r="FH396" s="472"/>
      <c r="FI396" s="450"/>
      <c r="FJ396" s="468">
        <f t="shared" si="233"/>
        <v>0</v>
      </c>
      <c r="FK396" s="469">
        <f t="shared" si="234"/>
        <v>0</v>
      </c>
      <c r="FL396" s="472"/>
      <c r="FM396" s="450"/>
      <c r="FN396" s="460">
        <f t="shared" si="235"/>
        <v>272</v>
      </c>
      <c r="FO396" s="469">
        <f t="shared" si="236"/>
        <v>333</v>
      </c>
    </row>
    <row r="397" spans="1:171" x14ac:dyDescent="0.2">
      <c r="A397" s="439" t="s">
        <v>644</v>
      </c>
      <c r="B397" s="436" t="s">
        <v>796</v>
      </c>
      <c r="C397" s="441"/>
      <c r="D397" s="438">
        <v>207740</v>
      </c>
      <c r="E397" s="499">
        <v>10</v>
      </c>
      <c r="F397" s="532">
        <v>26</v>
      </c>
      <c r="G397" s="450">
        <v>18</v>
      </c>
      <c r="H397" s="457"/>
      <c r="I397" s="450"/>
      <c r="J397" s="457">
        <v>282</v>
      </c>
      <c r="K397" s="450">
        <v>296</v>
      </c>
      <c r="L397" s="458">
        <f t="shared" si="213"/>
        <v>0</v>
      </c>
      <c r="M397" s="449">
        <f t="shared" si="214"/>
        <v>0</v>
      </c>
      <c r="N397" s="459"/>
      <c r="O397" s="459"/>
      <c r="P397" s="459"/>
      <c r="Q397" s="459"/>
      <c r="R397" s="460">
        <f t="shared" si="215"/>
        <v>0</v>
      </c>
      <c r="S397" s="646"/>
      <c r="T397" s="461"/>
      <c r="U397" s="461"/>
      <c r="V397" s="461"/>
      <c r="W397" s="462">
        <f t="shared" si="216"/>
        <v>0</v>
      </c>
      <c r="X397" s="463"/>
      <c r="Y397" s="457"/>
      <c r="Z397" s="464"/>
      <c r="AA397" s="464"/>
      <c r="AB397" s="465"/>
      <c r="AC397" s="457"/>
      <c r="AD397" s="464"/>
      <c r="AE397" s="466"/>
      <c r="AF397" s="465"/>
      <c r="AG397" s="457"/>
      <c r="AH397" s="464"/>
      <c r="AI397" s="466"/>
      <c r="AJ397" s="465"/>
      <c r="AK397" s="457"/>
      <c r="AL397" s="464"/>
      <c r="AM397" s="466"/>
      <c r="AN397" s="465"/>
      <c r="AO397" s="457"/>
      <c r="AP397" s="464"/>
      <c r="AQ397" s="464"/>
      <c r="AR397" s="460">
        <f t="shared" si="217"/>
        <v>0</v>
      </c>
      <c r="AS397" s="467">
        <f t="shared" si="218"/>
        <v>0</v>
      </c>
      <c r="AT397" s="447">
        <f t="shared" si="219"/>
        <v>0</v>
      </c>
      <c r="AU397" s="448">
        <f t="shared" si="220"/>
        <v>0</v>
      </c>
      <c r="AV397" s="457"/>
      <c r="AW397" s="450"/>
      <c r="AX397" s="463"/>
      <c r="AY397" s="457"/>
      <c r="AZ397" s="464"/>
      <c r="BA397" s="464"/>
      <c r="BB397" s="465"/>
      <c r="BC397" s="457"/>
      <c r="BD397" s="464"/>
      <c r="BE397" s="466"/>
      <c r="BF397" s="465"/>
      <c r="BG397" s="457"/>
      <c r="BH397" s="464"/>
      <c r="BI397" s="466"/>
      <c r="BJ397" s="465"/>
      <c r="BK397" s="457"/>
      <c r="BL397" s="464"/>
      <c r="BM397" s="466"/>
      <c r="BN397" s="465"/>
      <c r="BO397" s="457"/>
      <c r="BP397" s="464"/>
      <c r="BQ397" s="466"/>
      <c r="BR397" s="465"/>
      <c r="BS397" s="457"/>
      <c r="BT397" s="392"/>
      <c r="BU397" s="392"/>
      <c r="BV397" s="465"/>
      <c r="BW397" s="457"/>
      <c r="BX397" s="464"/>
      <c r="BY397" s="466"/>
      <c r="BZ397" s="465"/>
      <c r="CA397" s="457"/>
      <c r="CB397" s="464"/>
      <c r="CC397" s="466"/>
      <c r="CD397" s="465"/>
      <c r="CE397" s="457"/>
      <c r="CF397" s="464"/>
      <c r="CG397" s="466"/>
      <c r="CH397" s="465"/>
      <c r="CI397" s="457"/>
      <c r="CJ397" s="464"/>
      <c r="CK397" s="466"/>
      <c r="CL397" s="459"/>
      <c r="CM397" s="450"/>
      <c r="CN397" s="468">
        <f t="shared" si="221"/>
        <v>0</v>
      </c>
      <c r="CO397" s="468">
        <f t="shared" si="222"/>
        <v>0</v>
      </c>
      <c r="CP397" s="469">
        <f t="shared" si="223"/>
        <v>0</v>
      </c>
      <c r="CQ397" s="469">
        <f t="shared" si="224"/>
        <v>0</v>
      </c>
      <c r="CR397" s="463"/>
      <c r="CS397" s="457"/>
      <c r="CT397" s="464"/>
      <c r="CU397" s="464"/>
      <c r="CV397" s="465"/>
      <c r="CW397" s="457"/>
      <c r="CX397" s="464"/>
      <c r="CY397" s="466"/>
      <c r="CZ397" s="465"/>
      <c r="DA397" s="457"/>
      <c r="DB397" s="464"/>
      <c r="DC397" s="466"/>
      <c r="DD397" s="465"/>
      <c r="DE397" s="457"/>
      <c r="DF397" s="464"/>
      <c r="DG397" s="466"/>
      <c r="DH397" s="465"/>
      <c r="DI397" s="457"/>
      <c r="DJ397" s="464"/>
      <c r="DK397" s="466"/>
      <c r="DL397" s="465"/>
      <c r="DM397" s="457"/>
      <c r="DN397" s="464"/>
      <c r="DO397" s="466"/>
      <c r="DP397" s="465"/>
      <c r="DQ397" s="457"/>
      <c r="DR397" s="464"/>
      <c r="DS397" s="466"/>
      <c r="DT397" s="465"/>
      <c r="DU397" s="457"/>
      <c r="DV397" s="464"/>
      <c r="DW397" s="466"/>
      <c r="DX397" s="465"/>
      <c r="DY397" s="457"/>
      <c r="DZ397" s="464"/>
      <c r="EA397" s="466"/>
      <c r="EB397" s="465"/>
      <c r="EC397" s="457"/>
      <c r="ED397" s="464"/>
      <c r="EE397" s="466"/>
      <c r="EF397" s="459"/>
      <c r="EG397" s="450"/>
      <c r="EH397" s="460">
        <f t="shared" si="225"/>
        <v>0</v>
      </c>
      <c r="EI397" s="460">
        <f t="shared" si="226"/>
        <v>0</v>
      </c>
      <c r="EJ397" s="458">
        <f t="shared" si="227"/>
        <v>0</v>
      </c>
      <c r="EK397" s="470">
        <f t="shared" si="228"/>
        <v>0</v>
      </c>
      <c r="EL397" s="470">
        <f t="shared" si="229"/>
        <v>0</v>
      </c>
      <c r="EM397" s="449">
        <f t="shared" si="230"/>
        <v>0</v>
      </c>
      <c r="EN397" s="460">
        <f t="shared" si="231"/>
        <v>0</v>
      </c>
      <c r="EO397" s="469">
        <f t="shared" si="232"/>
        <v>0</v>
      </c>
      <c r="EP397" s="471"/>
      <c r="EQ397" s="450"/>
      <c r="ER397" s="471"/>
      <c r="ES397" s="450"/>
      <c r="ET397" s="471"/>
      <c r="EU397" s="450"/>
      <c r="EV397" s="471"/>
      <c r="EW397" s="450"/>
      <c r="EX397" s="471"/>
      <c r="EY397" s="450"/>
      <c r="EZ397" s="471"/>
      <c r="FA397" s="450"/>
      <c r="FB397" s="471"/>
      <c r="FC397" s="450"/>
      <c r="FD397" s="471"/>
      <c r="FE397" s="450"/>
      <c r="FF397" s="471"/>
      <c r="FG397" s="450"/>
      <c r="FH397" s="472"/>
      <c r="FI397" s="450"/>
      <c r="FJ397" s="468">
        <f t="shared" si="233"/>
        <v>0</v>
      </c>
      <c r="FK397" s="469">
        <f t="shared" si="234"/>
        <v>0</v>
      </c>
      <c r="FL397" s="472"/>
      <c r="FM397" s="450"/>
      <c r="FN397" s="460">
        <f t="shared" si="235"/>
        <v>308</v>
      </c>
      <c r="FO397" s="469">
        <f t="shared" si="236"/>
        <v>314</v>
      </c>
    </row>
    <row r="398" spans="1:171" x14ac:dyDescent="0.2">
      <c r="A398" s="439" t="s">
        <v>644</v>
      </c>
      <c r="B398" s="436" t="s">
        <v>797</v>
      </c>
      <c r="C398" s="441" t="s">
        <v>801</v>
      </c>
      <c r="D398" s="438">
        <v>208035</v>
      </c>
      <c r="E398" s="499">
        <v>10</v>
      </c>
      <c r="F398" s="532">
        <v>7</v>
      </c>
      <c r="G398" s="450">
        <v>14</v>
      </c>
      <c r="H398" s="457"/>
      <c r="I398" s="450"/>
      <c r="J398" s="457">
        <v>292</v>
      </c>
      <c r="K398" s="450">
        <v>277</v>
      </c>
      <c r="L398" s="458">
        <f t="shared" si="213"/>
        <v>0</v>
      </c>
      <c r="M398" s="449">
        <f t="shared" si="214"/>
        <v>0</v>
      </c>
      <c r="N398" s="459"/>
      <c r="O398" s="459"/>
      <c r="P398" s="459"/>
      <c r="Q398" s="459"/>
      <c r="R398" s="460">
        <f t="shared" si="215"/>
        <v>0</v>
      </c>
      <c r="S398" s="646"/>
      <c r="T398" s="461"/>
      <c r="U398" s="461"/>
      <c r="V398" s="461"/>
      <c r="W398" s="462">
        <f t="shared" si="216"/>
        <v>0</v>
      </c>
      <c r="X398" s="463"/>
      <c r="Y398" s="457"/>
      <c r="Z398" s="464"/>
      <c r="AA398" s="464"/>
      <c r="AB398" s="465"/>
      <c r="AC398" s="457"/>
      <c r="AD398" s="464"/>
      <c r="AE398" s="466"/>
      <c r="AF398" s="465"/>
      <c r="AG398" s="457"/>
      <c r="AH398" s="464"/>
      <c r="AI398" s="466"/>
      <c r="AJ398" s="465"/>
      <c r="AK398" s="457"/>
      <c r="AL398" s="464"/>
      <c r="AM398" s="466"/>
      <c r="AN398" s="465"/>
      <c r="AO398" s="457"/>
      <c r="AP398" s="464"/>
      <c r="AQ398" s="464"/>
      <c r="AR398" s="460">
        <f t="shared" si="217"/>
        <v>0</v>
      </c>
      <c r="AS398" s="467">
        <f t="shared" si="218"/>
        <v>0</v>
      </c>
      <c r="AT398" s="447">
        <f t="shared" si="219"/>
        <v>0</v>
      </c>
      <c r="AU398" s="448">
        <f t="shared" si="220"/>
        <v>0</v>
      </c>
      <c r="AV398" s="457"/>
      <c r="AW398" s="450"/>
      <c r="AX398" s="463"/>
      <c r="AY398" s="457"/>
      <c r="AZ398" s="464"/>
      <c r="BA398" s="464"/>
      <c r="BB398" s="465"/>
      <c r="BC398" s="457"/>
      <c r="BD398" s="464"/>
      <c r="BE398" s="466"/>
      <c r="BF398" s="465"/>
      <c r="BG398" s="457"/>
      <c r="BH398" s="464"/>
      <c r="BI398" s="466"/>
      <c r="BJ398" s="465"/>
      <c r="BK398" s="457"/>
      <c r="BL398" s="464"/>
      <c r="BM398" s="466"/>
      <c r="BN398" s="465"/>
      <c r="BO398" s="457"/>
      <c r="BP398" s="464"/>
      <c r="BQ398" s="466"/>
      <c r="BR398" s="465"/>
      <c r="BS398" s="457"/>
      <c r="BT398" s="392"/>
      <c r="BU398" s="392"/>
      <c r="BV398" s="465"/>
      <c r="BW398" s="457"/>
      <c r="BX398" s="464"/>
      <c r="BY398" s="466"/>
      <c r="BZ398" s="465"/>
      <c r="CA398" s="457"/>
      <c r="CB398" s="464"/>
      <c r="CC398" s="466"/>
      <c r="CD398" s="465"/>
      <c r="CE398" s="457"/>
      <c r="CF398" s="464"/>
      <c r="CG398" s="466"/>
      <c r="CH398" s="465"/>
      <c r="CI398" s="457"/>
      <c r="CJ398" s="464"/>
      <c r="CK398" s="466"/>
      <c r="CL398" s="459"/>
      <c r="CM398" s="450"/>
      <c r="CN398" s="468">
        <f t="shared" si="221"/>
        <v>0</v>
      </c>
      <c r="CO398" s="468">
        <f t="shared" si="222"/>
        <v>0</v>
      </c>
      <c r="CP398" s="469">
        <f t="shared" si="223"/>
        <v>0</v>
      </c>
      <c r="CQ398" s="469">
        <f t="shared" si="224"/>
        <v>0</v>
      </c>
      <c r="CR398" s="463"/>
      <c r="CS398" s="457"/>
      <c r="CT398" s="464"/>
      <c r="CU398" s="464"/>
      <c r="CV398" s="465"/>
      <c r="CW398" s="457"/>
      <c r="CX398" s="464"/>
      <c r="CY398" s="466"/>
      <c r="CZ398" s="465"/>
      <c r="DA398" s="457"/>
      <c r="DB398" s="464"/>
      <c r="DC398" s="466"/>
      <c r="DD398" s="465"/>
      <c r="DE398" s="457"/>
      <c r="DF398" s="464"/>
      <c r="DG398" s="466"/>
      <c r="DH398" s="465"/>
      <c r="DI398" s="457"/>
      <c r="DJ398" s="464"/>
      <c r="DK398" s="466"/>
      <c r="DL398" s="465"/>
      <c r="DM398" s="457"/>
      <c r="DN398" s="464"/>
      <c r="DO398" s="466"/>
      <c r="DP398" s="465"/>
      <c r="DQ398" s="457"/>
      <c r="DR398" s="464"/>
      <c r="DS398" s="466"/>
      <c r="DT398" s="465"/>
      <c r="DU398" s="457"/>
      <c r="DV398" s="464"/>
      <c r="DW398" s="466"/>
      <c r="DX398" s="465"/>
      <c r="DY398" s="457"/>
      <c r="DZ398" s="464"/>
      <c r="EA398" s="466"/>
      <c r="EB398" s="465"/>
      <c r="EC398" s="457"/>
      <c r="ED398" s="464"/>
      <c r="EE398" s="466"/>
      <c r="EF398" s="459"/>
      <c r="EG398" s="450"/>
      <c r="EH398" s="460">
        <f t="shared" si="225"/>
        <v>0</v>
      </c>
      <c r="EI398" s="460">
        <f t="shared" si="226"/>
        <v>0</v>
      </c>
      <c r="EJ398" s="458">
        <f t="shared" si="227"/>
        <v>0</v>
      </c>
      <c r="EK398" s="470">
        <f t="shared" si="228"/>
        <v>0</v>
      </c>
      <c r="EL398" s="470">
        <f t="shared" si="229"/>
        <v>0</v>
      </c>
      <c r="EM398" s="449">
        <f t="shared" si="230"/>
        <v>0</v>
      </c>
      <c r="EN398" s="460">
        <f t="shared" si="231"/>
        <v>0</v>
      </c>
      <c r="EO398" s="469">
        <f t="shared" si="232"/>
        <v>0</v>
      </c>
      <c r="EP398" s="471"/>
      <c r="EQ398" s="450"/>
      <c r="ER398" s="471"/>
      <c r="ES398" s="450"/>
      <c r="ET398" s="471"/>
      <c r="EU398" s="450"/>
      <c r="EV398" s="471"/>
      <c r="EW398" s="450"/>
      <c r="EX398" s="471"/>
      <c r="EY398" s="450"/>
      <c r="EZ398" s="471"/>
      <c r="FA398" s="450"/>
      <c r="FB398" s="471"/>
      <c r="FC398" s="450"/>
      <c r="FD398" s="471"/>
      <c r="FE398" s="450"/>
      <c r="FF398" s="471"/>
      <c r="FG398" s="450"/>
      <c r="FH398" s="472"/>
      <c r="FI398" s="450"/>
      <c r="FJ398" s="468">
        <f t="shared" si="233"/>
        <v>0</v>
      </c>
      <c r="FK398" s="469">
        <f t="shared" si="234"/>
        <v>0</v>
      </c>
      <c r="FL398" s="472"/>
      <c r="FM398" s="450"/>
      <c r="FN398" s="460">
        <f t="shared" si="235"/>
        <v>299</v>
      </c>
      <c r="FO398" s="469">
        <f t="shared" si="236"/>
        <v>291</v>
      </c>
    </row>
    <row r="399" spans="1:171" x14ac:dyDescent="0.2">
      <c r="A399" s="454" t="s">
        <v>644</v>
      </c>
      <c r="B399" s="453" t="s">
        <v>645</v>
      </c>
      <c r="C399" s="503"/>
      <c r="D399" s="505">
        <v>365374</v>
      </c>
      <c r="E399" s="531">
        <v>12</v>
      </c>
      <c r="F399" s="532">
        <v>469</v>
      </c>
      <c r="G399" s="450">
        <v>481</v>
      </c>
      <c r="H399" s="457">
        <v>30</v>
      </c>
      <c r="I399" s="450">
        <v>4</v>
      </c>
      <c r="J399" s="457"/>
      <c r="K399" s="450"/>
      <c r="L399" s="458">
        <f t="shared" si="213"/>
        <v>0</v>
      </c>
      <c r="M399" s="449">
        <f t="shared" si="214"/>
        <v>0</v>
      </c>
      <c r="N399" s="459"/>
      <c r="O399" s="459"/>
      <c r="P399" s="459"/>
      <c r="Q399" s="459"/>
      <c r="R399" s="460">
        <f t="shared" si="215"/>
        <v>0</v>
      </c>
      <c r="S399" s="646"/>
      <c r="T399" s="461"/>
      <c r="U399" s="461"/>
      <c r="V399" s="461"/>
      <c r="W399" s="462">
        <f t="shared" si="216"/>
        <v>0</v>
      </c>
      <c r="X399" s="463"/>
      <c r="Y399" s="457"/>
      <c r="Z399" s="464"/>
      <c r="AA399" s="464"/>
      <c r="AB399" s="465"/>
      <c r="AC399" s="457"/>
      <c r="AD399" s="464"/>
      <c r="AE399" s="466"/>
      <c r="AF399" s="465"/>
      <c r="AG399" s="457"/>
      <c r="AH399" s="464"/>
      <c r="AI399" s="466"/>
      <c r="AJ399" s="465"/>
      <c r="AK399" s="457"/>
      <c r="AL399" s="464"/>
      <c r="AM399" s="466"/>
      <c r="AN399" s="465"/>
      <c r="AO399" s="457"/>
      <c r="AP399" s="464"/>
      <c r="AQ399" s="464"/>
      <c r="AR399" s="460">
        <f t="shared" si="217"/>
        <v>0</v>
      </c>
      <c r="AS399" s="467">
        <f t="shared" si="218"/>
        <v>0</v>
      </c>
      <c r="AT399" s="447">
        <f t="shared" si="219"/>
        <v>0</v>
      </c>
      <c r="AU399" s="448">
        <f t="shared" si="220"/>
        <v>0</v>
      </c>
      <c r="AV399" s="457"/>
      <c r="AW399" s="450"/>
      <c r="AX399" s="463"/>
      <c r="AY399" s="457"/>
      <c r="AZ399" s="464"/>
      <c r="BA399" s="464"/>
      <c r="BB399" s="465"/>
      <c r="BC399" s="457"/>
      <c r="BD399" s="464"/>
      <c r="BE399" s="466"/>
      <c r="BF399" s="465"/>
      <c r="BG399" s="457"/>
      <c r="BH399" s="464"/>
      <c r="BI399" s="466"/>
      <c r="BJ399" s="465"/>
      <c r="BK399" s="457"/>
      <c r="BL399" s="464"/>
      <c r="BM399" s="466"/>
      <c r="BN399" s="465"/>
      <c r="BO399" s="457"/>
      <c r="BP399" s="464"/>
      <c r="BQ399" s="466"/>
      <c r="BR399" s="465"/>
      <c r="BS399" s="457"/>
      <c r="BT399" s="464"/>
      <c r="BU399" s="392"/>
      <c r="BV399" s="465"/>
      <c r="BW399" s="457"/>
      <c r="BX399" s="464"/>
      <c r="BY399" s="466"/>
      <c r="BZ399" s="465"/>
      <c r="CA399" s="457"/>
      <c r="CB399" s="464"/>
      <c r="CC399" s="466"/>
      <c r="CD399" s="465"/>
      <c r="CE399" s="457"/>
      <c r="CF399" s="464"/>
      <c r="CG399" s="466"/>
      <c r="CH399" s="465"/>
      <c r="CI399" s="457"/>
      <c r="CJ399" s="464"/>
      <c r="CK399" s="466"/>
      <c r="CL399" s="459"/>
      <c r="CM399" s="450"/>
      <c r="CN399" s="468">
        <f t="shared" si="221"/>
        <v>0</v>
      </c>
      <c r="CO399" s="468">
        <f t="shared" si="222"/>
        <v>0</v>
      </c>
      <c r="CP399" s="469">
        <f t="shared" si="223"/>
        <v>0</v>
      </c>
      <c r="CQ399" s="469">
        <f t="shared" si="224"/>
        <v>0</v>
      </c>
      <c r="CR399" s="463"/>
      <c r="CS399" s="457"/>
      <c r="CT399" s="464"/>
      <c r="CU399" s="464"/>
      <c r="CV399" s="465"/>
      <c r="CW399" s="457"/>
      <c r="CX399" s="464"/>
      <c r="CY399" s="466"/>
      <c r="CZ399" s="465"/>
      <c r="DA399" s="457"/>
      <c r="DB399" s="464"/>
      <c r="DC399" s="466"/>
      <c r="DD399" s="465"/>
      <c r="DE399" s="457"/>
      <c r="DF399" s="464"/>
      <c r="DG399" s="466"/>
      <c r="DH399" s="465"/>
      <c r="DI399" s="457"/>
      <c r="DJ399" s="464"/>
      <c r="DK399" s="466"/>
      <c r="DL399" s="465"/>
      <c r="DM399" s="457"/>
      <c r="DN399" s="464"/>
      <c r="DO399" s="466"/>
      <c r="DP399" s="465"/>
      <c r="DQ399" s="457"/>
      <c r="DR399" s="464"/>
      <c r="DS399" s="466"/>
      <c r="DT399" s="465"/>
      <c r="DU399" s="457"/>
      <c r="DV399" s="464"/>
      <c r="DW399" s="466"/>
      <c r="DX399" s="465"/>
      <c r="DY399" s="457"/>
      <c r="DZ399" s="464"/>
      <c r="EA399" s="466"/>
      <c r="EB399" s="465"/>
      <c r="EC399" s="457"/>
      <c r="ED399" s="464"/>
      <c r="EE399" s="466"/>
      <c r="EF399" s="459"/>
      <c r="EG399" s="450"/>
      <c r="EH399" s="460">
        <f t="shared" si="225"/>
        <v>0</v>
      </c>
      <c r="EI399" s="460">
        <f t="shared" si="226"/>
        <v>0</v>
      </c>
      <c r="EJ399" s="458">
        <f t="shared" si="227"/>
        <v>0</v>
      </c>
      <c r="EK399" s="470">
        <f t="shared" si="228"/>
        <v>0</v>
      </c>
      <c r="EL399" s="470">
        <f t="shared" si="229"/>
        <v>0</v>
      </c>
      <c r="EM399" s="449">
        <f t="shared" si="230"/>
        <v>0</v>
      </c>
      <c r="EN399" s="460">
        <f t="shared" si="231"/>
        <v>0</v>
      </c>
      <c r="EO399" s="469">
        <f t="shared" si="232"/>
        <v>0</v>
      </c>
      <c r="EP399" s="471"/>
      <c r="EQ399" s="450"/>
      <c r="ER399" s="471"/>
      <c r="ES399" s="450"/>
      <c r="ET399" s="471"/>
      <c r="EU399" s="450"/>
      <c r="EV399" s="471"/>
      <c r="EW399" s="450"/>
      <c r="EX399" s="471"/>
      <c r="EY399" s="450"/>
      <c r="EZ399" s="471"/>
      <c r="FA399" s="450"/>
      <c r="FB399" s="471"/>
      <c r="FC399" s="450"/>
      <c r="FD399" s="471"/>
      <c r="FE399" s="450"/>
      <c r="FF399" s="471"/>
      <c r="FG399" s="450"/>
      <c r="FH399" s="472"/>
      <c r="FI399" s="450"/>
      <c r="FJ399" s="468">
        <f t="shared" si="233"/>
        <v>0</v>
      </c>
      <c r="FK399" s="469">
        <f t="shared" si="234"/>
        <v>0</v>
      </c>
      <c r="FL399" s="472"/>
      <c r="FM399" s="450"/>
      <c r="FN399" s="460">
        <f t="shared" si="235"/>
        <v>499</v>
      </c>
      <c r="FO399" s="469">
        <f t="shared" si="236"/>
        <v>485</v>
      </c>
    </row>
    <row r="400" spans="1:171" x14ac:dyDescent="0.2">
      <c r="A400" s="454" t="s">
        <v>644</v>
      </c>
      <c r="B400" s="453" t="s">
        <v>646</v>
      </c>
      <c r="C400" s="503"/>
      <c r="D400" s="505">
        <v>245999</v>
      </c>
      <c r="E400" s="531">
        <v>12</v>
      </c>
      <c r="F400" s="532">
        <v>675</v>
      </c>
      <c r="G400" s="450">
        <v>638</v>
      </c>
      <c r="H400" s="457">
        <v>46</v>
      </c>
      <c r="I400" s="450">
        <v>5</v>
      </c>
      <c r="J400" s="457"/>
      <c r="K400" s="450"/>
      <c r="L400" s="458">
        <f t="shared" si="213"/>
        <v>0</v>
      </c>
      <c r="M400" s="449">
        <f t="shared" si="214"/>
        <v>0</v>
      </c>
      <c r="N400" s="459"/>
      <c r="O400" s="459"/>
      <c r="P400" s="459"/>
      <c r="Q400" s="459"/>
      <c r="R400" s="460">
        <f t="shared" si="215"/>
        <v>0</v>
      </c>
      <c r="S400" s="646"/>
      <c r="T400" s="461"/>
      <c r="U400" s="461"/>
      <c r="V400" s="461"/>
      <c r="W400" s="462">
        <f t="shared" si="216"/>
        <v>0</v>
      </c>
      <c r="X400" s="463"/>
      <c r="Y400" s="457"/>
      <c r="Z400" s="464"/>
      <c r="AA400" s="464"/>
      <c r="AB400" s="465"/>
      <c r="AC400" s="457"/>
      <c r="AD400" s="464"/>
      <c r="AE400" s="466"/>
      <c r="AF400" s="465"/>
      <c r="AG400" s="457"/>
      <c r="AH400" s="464"/>
      <c r="AI400" s="466"/>
      <c r="AJ400" s="465"/>
      <c r="AK400" s="457"/>
      <c r="AL400" s="464"/>
      <c r="AM400" s="466"/>
      <c r="AN400" s="465"/>
      <c r="AO400" s="457"/>
      <c r="AP400" s="464"/>
      <c r="AQ400" s="464"/>
      <c r="AR400" s="460">
        <f t="shared" si="217"/>
        <v>0</v>
      </c>
      <c r="AS400" s="467">
        <f t="shared" si="218"/>
        <v>0</v>
      </c>
      <c r="AT400" s="447">
        <f t="shared" si="219"/>
        <v>0</v>
      </c>
      <c r="AU400" s="448">
        <f t="shared" si="220"/>
        <v>0</v>
      </c>
      <c r="AV400" s="457"/>
      <c r="AW400" s="450"/>
      <c r="AX400" s="463"/>
      <c r="AY400" s="457"/>
      <c r="AZ400" s="464"/>
      <c r="BA400" s="464"/>
      <c r="BB400" s="465"/>
      <c r="BC400" s="457"/>
      <c r="BD400" s="464"/>
      <c r="BE400" s="466"/>
      <c r="BF400" s="465"/>
      <c r="BG400" s="457"/>
      <c r="BH400" s="464"/>
      <c r="BI400" s="466"/>
      <c r="BJ400" s="465"/>
      <c r="BK400" s="457"/>
      <c r="BL400" s="464"/>
      <c r="BM400" s="466"/>
      <c r="BN400" s="465"/>
      <c r="BO400" s="457"/>
      <c r="BP400" s="464"/>
      <c r="BQ400" s="466"/>
      <c r="BR400" s="465"/>
      <c r="BS400" s="457"/>
      <c r="BT400" s="464"/>
      <c r="BU400" s="392"/>
      <c r="BV400" s="465"/>
      <c r="BW400" s="457"/>
      <c r="BX400" s="464"/>
      <c r="BY400" s="466"/>
      <c r="BZ400" s="465"/>
      <c r="CA400" s="457"/>
      <c r="CB400" s="464"/>
      <c r="CC400" s="466"/>
      <c r="CD400" s="465"/>
      <c r="CE400" s="457"/>
      <c r="CF400" s="464"/>
      <c r="CG400" s="466"/>
      <c r="CH400" s="465"/>
      <c r="CI400" s="457"/>
      <c r="CJ400" s="464"/>
      <c r="CK400" s="466"/>
      <c r="CL400" s="459"/>
      <c r="CM400" s="450"/>
      <c r="CN400" s="468">
        <f t="shared" si="221"/>
        <v>0</v>
      </c>
      <c r="CO400" s="468">
        <f t="shared" si="222"/>
        <v>0</v>
      </c>
      <c r="CP400" s="469">
        <f t="shared" si="223"/>
        <v>0</v>
      </c>
      <c r="CQ400" s="469">
        <f t="shared" si="224"/>
        <v>0</v>
      </c>
      <c r="CR400" s="463"/>
      <c r="CS400" s="457"/>
      <c r="CT400" s="464"/>
      <c r="CU400" s="464"/>
      <c r="CV400" s="465"/>
      <c r="CW400" s="457"/>
      <c r="CX400" s="464"/>
      <c r="CY400" s="466"/>
      <c r="CZ400" s="465"/>
      <c r="DA400" s="457"/>
      <c r="DB400" s="464"/>
      <c r="DC400" s="466"/>
      <c r="DD400" s="465"/>
      <c r="DE400" s="457"/>
      <c r="DF400" s="464"/>
      <c r="DG400" s="466"/>
      <c r="DH400" s="465"/>
      <c r="DI400" s="457"/>
      <c r="DJ400" s="464"/>
      <c r="DK400" s="466"/>
      <c r="DL400" s="465"/>
      <c r="DM400" s="457"/>
      <c r="DN400" s="464"/>
      <c r="DO400" s="466"/>
      <c r="DP400" s="465"/>
      <c r="DQ400" s="457"/>
      <c r="DR400" s="464"/>
      <c r="DS400" s="466"/>
      <c r="DT400" s="465"/>
      <c r="DU400" s="457"/>
      <c r="DV400" s="464"/>
      <c r="DW400" s="466"/>
      <c r="DX400" s="465"/>
      <c r="DY400" s="457"/>
      <c r="DZ400" s="464"/>
      <c r="EA400" s="466"/>
      <c r="EB400" s="465"/>
      <c r="EC400" s="457"/>
      <c r="ED400" s="464"/>
      <c r="EE400" s="466"/>
      <c r="EF400" s="459"/>
      <c r="EG400" s="450"/>
      <c r="EH400" s="460">
        <f t="shared" si="225"/>
        <v>0</v>
      </c>
      <c r="EI400" s="460">
        <f t="shared" si="226"/>
        <v>0</v>
      </c>
      <c r="EJ400" s="458">
        <f t="shared" si="227"/>
        <v>0</v>
      </c>
      <c r="EK400" s="470">
        <f t="shared" si="228"/>
        <v>0</v>
      </c>
      <c r="EL400" s="470">
        <f t="shared" si="229"/>
        <v>0</v>
      </c>
      <c r="EM400" s="449">
        <f t="shared" si="230"/>
        <v>0</v>
      </c>
      <c r="EN400" s="460">
        <f t="shared" si="231"/>
        <v>0</v>
      </c>
      <c r="EO400" s="469">
        <f t="shared" si="232"/>
        <v>0</v>
      </c>
      <c r="EP400" s="471"/>
      <c r="EQ400" s="450"/>
      <c r="ER400" s="471"/>
      <c r="ES400" s="450"/>
      <c r="ET400" s="471"/>
      <c r="EU400" s="450"/>
      <c r="EV400" s="471"/>
      <c r="EW400" s="450"/>
      <c r="EX400" s="471"/>
      <c r="EY400" s="450"/>
      <c r="EZ400" s="471"/>
      <c r="FA400" s="450"/>
      <c r="FB400" s="471"/>
      <c r="FC400" s="450"/>
      <c r="FD400" s="471"/>
      <c r="FE400" s="450"/>
      <c r="FF400" s="471"/>
      <c r="FG400" s="450"/>
      <c r="FH400" s="472"/>
      <c r="FI400" s="450"/>
      <c r="FJ400" s="468">
        <f t="shared" si="233"/>
        <v>0</v>
      </c>
      <c r="FK400" s="469">
        <f t="shared" si="234"/>
        <v>0</v>
      </c>
      <c r="FL400" s="472"/>
      <c r="FM400" s="450"/>
      <c r="FN400" s="460">
        <f t="shared" si="235"/>
        <v>721</v>
      </c>
      <c r="FO400" s="469">
        <f t="shared" si="236"/>
        <v>643</v>
      </c>
    </row>
    <row r="401" spans="1:171" x14ac:dyDescent="0.2">
      <c r="A401" s="454" t="s">
        <v>644</v>
      </c>
      <c r="B401" s="453" t="s">
        <v>647</v>
      </c>
      <c r="C401" s="503"/>
      <c r="D401" s="505">
        <v>363165</v>
      </c>
      <c r="E401" s="531">
        <v>12</v>
      </c>
      <c r="F401" s="532">
        <v>384</v>
      </c>
      <c r="G401" s="450">
        <v>446</v>
      </c>
      <c r="H401" s="457">
        <v>115</v>
      </c>
      <c r="I401" s="450">
        <v>117</v>
      </c>
      <c r="J401" s="457"/>
      <c r="K401" s="450"/>
      <c r="L401" s="458">
        <f t="shared" si="213"/>
        <v>0</v>
      </c>
      <c r="M401" s="449">
        <f t="shared" si="214"/>
        <v>0</v>
      </c>
      <c r="N401" s="459"/>
      <c r="O401" s="459"/>
      <c r="P401" s="459"/>
      <c r="Q401" s="459"/>
      <c r="R401" s="460">
        <f t="shared" si="215"/>
        <v>0</v>
      </c>
      <c r="S401" s="646"/>
      <c r="T401" s="461"/>
      <c r="U401" s="461"/>
      <c r="V401" s="461"/>
      <c r="W401" s="462">
        <f t="shared" si="216"/>
        <v>0</v>
      </c>
      <c r="X401" s="463"/>
      <c r="Y401" s="457"/>
      <c r="Z401" s="464"/>
      <c r="AA401" s="464"/>
      <c r="AB401" s="465"/>
      <c r="AC401" s="457"/>
      <c r="AD401" s="464"/>
      <c r="AE401" s="466"/>
      <c r="AF401" s="465"/>
      <c r="AG401" s="457"/>
      <c r="AH401" s="464"/>
      <c r="AI401" s="466"/>
      <c r="AJ401" s="465"/>
      <c r="AK401" s="457"/>
      <c r="AL401" s="464"/>
      <c r="AM401" s="466"/>
      <c r="AN401" s="465"/>
      <c r="AO401" s="457"/>
      <c r="AP401" s="464"/>
      <c r="AQ401" s="464"/>
      <c r="AR401" s="460">
        <f t="shared" si="217"/>
        <v>0</v>
      </c>
      <c r="AS401" s="467">
        <f t="shared" si="218"/>
        <v>0</v>
      </c>
      <c r="AT401" s="447">
        <f t="shared" si="219"/>
        <v>0</v>
      </c>
      <c r="AU401" s="448">
        <f t="shared" si="220"/>
        <v>0</v>
      </c>
      <c r="AV401" s="457"/>
      <c r="AW401" s="450"/>
      <c r="AX401" s="463"/>
      <c r="AY401" s="457"/>
      <c r="AZ401" s="464"/>
      <c r="BA401" s="464"/>
      <c r="BB401" s="465"/>
      <c r="BC401" s="457"/>
      <c r="BD401" s="464"/>
      <c r="BE401" s="466"/>
      <c r="BF401" s="465"/>
      <c r="BG401" s="457"/>
      <c r="BH401" s="464"/>
      <c r="BI401" s="466"/>
      <c r="BJ401" s="465"/>
      <c r="BK401" s="457"/>
      <c r="BL401" s="464"/>
      <c r="BM401" s="466"/>
      <c r="BN401" s="465"/>
      <c r="BO401" s="457"/>
      <c r="BP401" s="464"/>
      <c r="BQ401" s="466"/>
      <c r="BR401" s="465"/>
      <c r="BS401" s="457"/>
      <c r="BT401" s="464"/>
      <c r="BU401" s="392"/>
      <c r="BV401" s="465"/>
      <c r="BW401" s="457"/>
      <c r="BX401" s="464"/>
      <c r="BY401" s="466"/>
      <c r="BZ401" s="465"/>
      <c r="CA401" s="457"/>
      <c r="CB401" s="464"/>
      <c r="CC401" s="466"/>
      <c r="CD401" s="465"/>
      <c r="CE401" s="457"/>
      <c r="CF401" s="464"/>
      <c r="CG401" s="466"/>
      <c r="CH401" s="465"/>
      <c r="CI401" s="457"/>
      <c r="CJ401" s="464"/>
      <c r="CK401" s="466"/>
      <c r="CL401" s="459"/>
      <c r="CM401" s="450"/>
      <c r="CN401" s="468">
        <f t="shared" si="221"/>
        <v>0</v>
      </c>
      <c r="CO401" s="468">
        <f t="shared" si="222"/>
        <v>0</v>
      </c>
      <c r="CP401" s="469">
        <f t="shared" si="223"/>
        <v>0</v>
      </c>
      <c r="CQ401" s="469">
        <f t="shared" si="224"/>
        <v>0</v>
      </c>
      <c r="CR401" s="463"/>
      <c r="CS401" s="457"/>
      <c r="CT401" s="464"/>
      <c r="CU401" s="464"/>
      <c r="CV401" s="465"/>
      <c r="CW401" s="457"/>
      <c r="CX401" s="464"/>
      <c r="CY401" s="466"/>
      <c r="CZ401" s="465"/>
      <c r="DA401" s="457"/>
      <c r="DB401" s="464"/>
      <c r="DC401" s="466"/>
      <c r="DD401" s="465"/>
      <c r="DE401" s="457"/>
      <c r="DF401" s="464"/>
      <c r="DG401" s="466"/>
      <c r="DH401" s="465"/>
      <c r="DI401" s="457"/>
      <c r="DJ401" s="464"/>
      <c r="DK401" s="466"/>
      <c r="DL401" s="465"/>
      <c r="DM401" s="457"/>
      <c r="DN401" s="464"/>
      <c r="DO401" s="466"/>
      <c r="DP401" s="465"/>
      <c r="DQ401" s="457"/>
      <c r="DR401" s="464"/>
      <c r="DS401" s="466"/>
      <c r="DT401" s="465"/>
      <c r="DU401" s="457"/>
      <c r="DV401" s="464"/>
      <c r="DW401" s="466"/>
      <c r="DX401" s="465"/>
      <c r="DY401" s="457"/>
      <c r="DZ401" s="464"/>
      <c r="EA401" s="466"/>
      <c r="EB401" s="465"/>
      <c r="EC401" s="457"/>
      <c r="ED401" s="464"/>
      <c r="EE401" s="466"/>
      <c r="EF401" s="459"/>
      <c r="EG401" s="450"/>
      <c r="EH401" s="460">
        <f t="shared" si="225"/>
        <v>0</v>
      </c>
      <c r="EI401" s="460">
        <f t="shared" si="226"/>
        <v>0</v>
      </c>
      <c r="EJ401" s="458">
        <f t="shared" si="227"/>
        <v>0</v>
      </c>
      <c r="EK401" s="470">
        <f t="shared" si="228"/>
        <v>0</v>
      </c>
      <c r="EL401" s="470">
        <f t="shared" si="229"/>
        <v>0</v>
      </c>
      <c r="EM401" s="449">
        <f t="shared" si="230"/>
        <v>0</v>
      </c>
      <c r="EN401" s="460">
        <f t="shared" si="231"/>
        <v>0</v>
      </c>
      <c r="EO401" s="469">
        <f t="shared" si="232"/>
        <v>0</v>
      </c>
      <c r="EP401" s="471"/>
      <c r="EQ401" s="450"/>
      <c r="ER401" s="471"/>
      <c r="ES401" s="450"/>
      <c r="ET401" s="471"/>
      <c r="EU401" s="450"/>
      <c r="EV401" s="471"/>
      <c r="EW401" s="450"/>
      <c r="EX401" s="471"/>
      <c r="EY401" s="450"/>
      <c r="EZ401" s="471"/>
      <c r="FA401" s="450"/>
      <c r="FB401" s="471"/>
      <c r="FC401" s="450"/>
      <c r="FD401" s="471"/>
      <c r="FE401" s="450"/>
      <c r="FF401" s="471"/>
      <c r="FG401" s="450"/>
      <c r="FH401" s="472"/>
      <c r="FI401" s="450"/>
      <c r="FJ401" s="468">
        <f t="shared" si="233"/>
        <v>0</v>
      </c>
      <c r="FK401" s="469">
        <f t="shared" si="234"/>
        <v>0</v>
      </c>
      <c r="FL401" s="472"/>
      <c r="FM401" s="450"/>
      <c r="FN401" s="460">
        <f t="shared" si="235"/>
        <v>499</v>
      </c>
      <c r="FO401" s="469">
        <f t="shared" si="236"/>
        <v>563</v>
      </c>
    </row>
    <row r="402" spans="1:171" x14ac:dyDescent="0.2">
      <c r="A402" s="454" t="s">
        <v>644</v>
      </c>
      <c r="B402" s="455" t="s">
        <v>648</v>
      </c>
      <c r="C402" s="504"/>
      <c r="D402" s="505">
        <v>365213</v>
      </c>
      <c r="E402" s="531">
        <v>13</v>
      </c>
      <c r="F402" s="532">
        <v>259</v>
      </c>
      <c r="G402" s="450">
        <v>255</v>
      </c>
      <c r="H402" s="457">
        <v>16</v>
      </c>
      <c r="I402" s="450">
        <v>7</v>
      </c>
      <c r="J402" s="457"/>
      <c r="K402" s="742"/>
      <c r="L402" s="458">
        <f t="shared" si="213"/>
        <v>0</v>
      </c>
      <c r="M402" s="449">
        <f t="shared" si="214"/>
        <v>0</v>
      </c>
      <c r="N402" s="459"/>
      <c r="O402" s="459"/>
      <c r="P402" s="459"/>
      <c r="Q402" s="459"/>
      <c r="R402" s="460">
        <f t="shared" si="215"/>
        <v>0</v>
      </c>
      <c r="S402" s="646"/>
      <c r="T402" s="461"/>
      <c r="U402" s="461"/>
      <c r="V402" s="461"/>
      <c r="W402" s="462">
        <f t="shared" si="216"/>
        <v>0</v>
      </c>
      <c r="X402" s="463"/>
      <c r="Y402" s="457"/>
      <c r="Z402" s="464"/>
      <c r="AA402" s="464"/>
      <c r="AB402" s="465"/>
      <c r="AC402" s="457"/>
      <c r="AD402" s="464"/>
      <c r="AE402" s="466"/>
      <c r="AF402" s="465"/>
      <c r="AG402" s="457"/>
      <c r="AH402" s="464"/>
      <c r="AI402" s="466"/>
      <c r="AJ402" s="465"/>
      <c r="AK402" s="457"/>
      <c r="AL402" s="464"/>
      <c r="AM402" s="466"/>
      <c r="AN402" s="465"/>
      <c r="AO402" s="457"/>
      <c r="AP402" s="464"/>
      <c r="AQ402" s="464"/>
      <c r="AR402" s="460">
        <f t="shared" si="217"/>
        <v>0</v>
      </c>
      <c r="AS402" s="467">
        <f t="shared" si="218"/>
        <v>0</v>
      </c>
      <c r="AT402" s="447">
        <f t="shared" si="219"/>
        <v>0</v>
      </c>
      <c r="AU402" s="448">
        <f t="shared" si="220"/>
        <v>0</v>
      </c>
      <c r="AV402" s="457"/>
      <c r="AW402" s="450"/>
      <c r="AX402" s="463"/>
      <c r="AY402" s="457"/>
      <c r="AZ402" s="464"/>
      <c r="BA402" s="464"/>
      <c r="BB402" s="465"/>
      <c r="BC402" s="457"/>
      <c r="BD402" s="464"/>
      <c r="BE402" s="466"/>
      <c r="BF402" s="465"/>
      <c r="BG402" s="457"/>
      <c r="BH402" s="464"/>
      <c r="BI402" s="466"/>
      <c r="BJ402" s="465"/>
      <c r="BK402" s="457"/>
      <c r="BL402" s="464"/>
      <c r="BM402" s="466"/>
      <c r="BN402" s="465"/>
      <c r="BO402" s="457"/>
      <c r="BP402" s="464"/>
      <c r="BQ402" s="466"/>
      <c r="BR402" s="465"/>
      <c r="BS402" s="457"/>
      <c r="BT402" s="464"/>
      <c r="BU402" s="392"/>
      <c r="BV402" s="465"/>
      <c r="BW402" s="457"/>
      <c r="BX402" s="464"/>
      <c r="BY402" s="466"/>
      <c r="BZ402" s="465"/>
      <c r="CA402" s="457"/>
      <c r="CB402" s="464"/>
      <c r="CC402" s="466"/>
      <c r="CD402" s="465"/>
      <c r="CE402" s="457"/>
      <c r="CF402" s="464"/>
      <c r="CG402" s="466"/>
      <c r="CH402" s="465"/>
      <c r="CI402" s="457"/>
      <c r="CJ402" s="464"/>
      <c r="CK402" s="466"/>
      <c r="CL402" s="459"/>
      <c r="CM402" s="450"/>
      <c r="CN402" s="468">
        <f t="shared" si="221"/>
        <v>0</v>
      </c>
      <c r="CO402" s="468">
        <f t="shared" si="222"/>
        <v>0</v>
      </c>
      <c r="CP402" s="469">
        <f t="shared" si="223"/>
        <v>0</v>
      </c>
      <c r="CQ402" s="469">
        <f t="shared" si="224"/>
        <v>0</v>
      </c>
      <c r="CR402" s="463"/>
      <c r="CS402" s="457"/>
      <c r="CT402" s="464"/>
      <c r="CU402" s="464"/>
      <c r="CV402" s="465"/>
      <c r="CW402" s="457"/>
      <c r="CX402" s="464"/>
      <c r="CY402" s="466"/>
      <c r="CZ402" s="465"/>
      <c r="DA402" s="457"/>
      <c r="DB402" s="464"/>
      <c r="DC402" s="466"/>
      <c r="DD402" s="465"/>
      <c r="DE402" s="457"/>
      <c r="DF402" s="464"/>
      <c r="DG402" s="466"/>
      <c r="DH402" s="465"/>
      <c r="DI402" s="457"/>
      <c r="DJ402" s="464"/>
      <c r="DK402" s="466"/>
      <c r="DL402" s="465"/>
      <c r="DM402" s="457"/>
      <c r="DN402" s="464"/>
      <c r="DO402" s="466"/>
      <c r="DP402" s="465"/>
      <c r="DQ402" s="457"/>
      <c r="DR402" s="464"/>
      <c r="DS402" s="466"/>
      <c r="DT402" s="465"/>
      <c r="DU402" s="457"/>
      <c r="DV402" s="464"/>
      <c r="DW402" s="466"/>
      <c r="DX402" s="465"/>
      <c r="DY402" s="457"/>
      <c r="DZ402" s="464"/>
      <c r="EA402" s="466"/>
      <c r="EB402" s="465"/>
      <c r="EC402" s="457"/>
      <c r="ED402" s="464"/>
      <c r="EE402" s="466"/>
      <c r="EF402" s="459"/>
      <c r="EG402" s="450"/>
      <c r="EH402" s="460">
        <f t="shared" si="225"/>
        <v>0</v>
      </c>
      <c r="EI402" s="460">
        <f t="shared" si="226"/>
        <v>0</v>
      </c>
      <c r="EJ402" s="458">
        <f t="shared" si="227"/>
        <v>0</v>
      </c>
      <c r="EK402" s="470">
        <f t="shared" si="228"/>
        <v>0</v>
      </c>
      <c r="EL402" s="470">
        <f t="shared" si="229"/>
        <v>0</v>
      </c>
      <c r="EM402" s="449">
        <f t="shared" si="230"/>
        <v>0</v>
      </c>
      <c r="EN402" s="460">
        <f t="shared" si="231"/>
        <v>0</v>
      </c>
      <c r="EO402" s="469">
        <f t="shared" si="232"/>
        <v>0</v>
      </c>
      <c r="EP402" s="471"/>
      <c r="EQ402" s="450"/>
      <c r="ER402" s="471"/>
      <c r="ES402" s="450"/>
      <c r="ET402" s="471"/>
      <c r="EU402" s="450"/>
      <c r="EV402" s="471"/>
      <c r="EW402" s="450"/>
      <c r="EX402" s="471"/>
      <c r="EY402" s="450"/>
      <c r="EZ402" s="471"/>
      <c r="FA402" s="450"/>
      <c r="FB402" s="471"/>
      <c r="FC402" s="450"/>
      <c r="FD402" s="471"/>
      <c r="FE402" s="450"/>
      <c r="FF402" s="471"/>
      <c r="FG402" s="450"/>
      <c r="FH402" s="472"/>
      <c r="FI402" s="450"/>
      <c r="FJ402" s="468">
        <f t="shared" si="233"/>
        <v>0</v>
      </c>
      <c r="FK402" s="469">
        <f t="shared" si="234"/>
        <v>0</v>
      </c>
      <c r="FL402" s="472"/>
      <c r="FM402" s="450"/>
      <c r="FN402" s="460">
        <f t="shared" si="235"/>
        <v>275</v>
      </c>
      <c r="FO402" s="469">
        <f t="shared" si="236"/>
        <v>262</v>
      </c>
    </row>
    <row r="403" spans="1:171" x14ac:dyDescent="0.2">
      <c r="A403" s="454" t="s">
        <v>644</v>
      </c>
      <c r="B403" s="455" t="s">
        <v>649</v>
      </c>
      <c r="C403" s="504"/>
      <c r="D403" s="505">
        <v>364946</v>
      </c>
      <c r="E403" s="531">
        <v>13</v>
      </c>
      <c r="F403" s="532">
        <v>180</v>
      </c>
      <c r="G403" s="450">
        <v>183</v>
      </c>
      <c r="H403" s="457"/>
      <c r="I403" s="450">
        <v>0</v>
      </c>
      <c r="J403" s="457"/>
      <c r="K403" s="742"/>
      <c r="L403" s="458">
        <f t="shared" si="213"/>
        <v>0</v>
      </c>
      <c r="M403" s="449">
        <f t="shared" si="214"/>
        <v>0</v>
      </c>
      <c r="N403" s="459"/>
      <c r="O403" s="459"/>
      <c r="P403" s="459"/>
      <c r="Q403" s="459"/>
      <c r="R403" s="460">
        <f t="shared" si="215"/>
        <v>0</v>
      </c>
      <c r="S403" s="646"/>
      <c r="T403" s="461"/>
      <c r="U403" s="461"/>
      <c r="V403" s="461"/>
      <c r="W403" s="462">
        <f t="shared" si="216"/>
        <v>0</v>
      </c>
      <c r="X403" s="463"/>
      <c r="Y403" s="457"/>
      <c r="Z403" s="464"/>
      <c r="AA403" s="464"/>
      <c r="AB403" s="465"/>
      <c r="AC403" s="457"/>
      <c r="AD403" s="464"/>
      <c r="AE403" s="466"/>
      <c r="AF403" s="465"/>
      <c r="AG403" s="457"/>
      <c r="AH403" s="464"/>
      <c r="AI403" s="466"/>
      <c r="AJ403" s="465"/>
      <c r="AK403" s="457"/>
      <c r="AL403" s="464"/>
      <c r="AM403" s="466"/>
      <c r="AN403" s="465"/>
      <c r="AO403" s="457"/>
      <c r="AP403" s="464"/>
      <c r="AQ403" s="464"/>
      <c r="AR403" s="460">
        <f t="shared" si="217"/>
        <v>0</v>
      </c>
      <c r="AS403" s="467">
        <f t="shared" si="218"/>
        <v>0</v>
      </c>
      <c r="AT403" s="447">
        <f t="shared" si="219"/>
        <v>0</v>
      </c>
      <c r="AU403" s="448">
        <f t="shared" si="220"/>
        <v>0</v>
      </c>
      <c r="AV403" s="457"/>
      <c r="AW403" s="450"/>
      <c r="AX403" s="463"/>
      <c r="AY403" s="457"/>
      <c r="AZ403" s="464"/>
      <c r="BA403" s="464"/>
      <c r="BB403" s="465"/>
      <c r="BC403" s="457"/>
      <c r="BD403" s="464"/>
      <c r="BE403" s="466"/>
      <c r="BF403" s="465"/>
      <c r="BG403" s="457"/>
      <c r="BH403" s="464"/>
      <c r="BI403" s="466"/>
      <c r="BJ403" s="465"/>
      <c r="BK403" s="457"/>
      <c r="BL403" s="464"/>
      <c r="BM403" s="466"/>
      <c r="BN403" s="465"/>
      <c r="BO403" s="457"/>
      <c r="BP403" s="464"/>
      <c r="BQ403" s="466"/>
      <c r="BR403" s="465"/>
      <c r="BS403" s="457"/>
      <c r="BT403" s="464"/>
      <c r="BU403" s="466"/>
      <c r="BV403" s="465"/>
      <c r="BW403" s="457"/>
      <c r="BX403" s="464"/>
      <c r="BY403" s="466"/>
      <c r="BZ403" s="465"/>
      <c r="CA403" s="457"/>
      <c r="CB403" s="464"/>
      <c r="CC403" s="466"/>
      <c r="CD403" s="465"/>
      <c r="CE403" s="457"/>
      <c r="CF403" s="464"/>
      <c r="CG403" s="466"/>
      <c r="CH403" s="465"/>
      <c r="CI403" s="457"/>
      <c r="CJ403" s="464"/>
      <c r="CK403" s="466"/>
      <c r="CL403" s="459"/>
      <c r="CM403" s="450"/>
      <c r="CN403" s="468">
        <f t="shared" si="221"/>
        <v>0</v>
      </c>
      <c r="CO403" s="468">
        <f t="shared" si="222"/>
        <v>0</v>
      </c>
      <c r="CP403" s="469">
        <f t="shared" si="223"/>
        <v>0</v>
      </c>
      <c r="CQ403" s="469">
        <f t="shared" si="224"/>
        <v>0</v>
      </c>
      <c r="CR403" s="463"/>
      <c r="CS403" s="457"/>
      <c r="CT403" s="464"/>
      <c r="CU403" s="464"/>
      <c r="CV403" s="465"/>
      <c r="CW403" s="457"/>
      <c r="CX403" s="464"/>
      <c r="CY403" s="466"/>
      <c r="CZ403" s="465"/>
      <c r="DA403" s="457"/>
      <c r="DB403" s="464"/>
      <c r="DC403" s="466"/>
      <c r="DD403" s="465"/>
      <c r="DE403" s="457"/>
      <c r="DF403" s="464"/>
      <c r="DG403" s="466"/>
      <c r="DH403" s="465"/>
      <c r="DI403" s="457"/>
      <c r="DJ403" s="464"/>
      <c r="DK403" s="466"/>
      <c r="DL403" s="465"/>
      <c r="DM403" s="457"/>
      <c r="DN403" s="464"/>
      <c r="DO403" s="466"/>
      <c r="DP403" s="465"/>
      <c r="DQ403" s="457"/>
      <c r="DR403" s="464"/>
      <c r="DS403" s="466"/>
      <c r="DT403" s="465"/>
      <c r="DU403" s="457"/>
      <c r="DV403" s="464"/>
      <c r="DW403" s="466"/>
      <c r="DX403" s="465"/>
      <c r="DY403" s="457"/>
      <c r="DZ403" s="464"/>
      <c r="EA403" s="466"/>
      <c r="EB403" s="465"/>
      <c r="EC403" s="457"/>
      <c r="ED403" s="464"/>
      <c r="EE403" s="466"/>
      <c r="EF403" s="459"/>
      <c r="EG403" s="450"/>
      <c r="EH403" s="460">
        <f t="shared" si="225"/>
        <v>0</v>
      </c>
      <c r="EI403" s="460">
        <f t="shared" si="226"/>
        <v>0</v>
      </c>
      <c r="EJ403" s="458">
        <f t="shared" si="227"/>
        <v>0</v>
      </c>
      <c r="EK403" s="470">
        <f t="shared" si="228"/>
        <v>0</v>
      </c>
      <c r="EL403" s="470">
        <f t="shared" si="229"/>
        <v>0</v>
      </c>
      <c r="EM403" s="449">
        <f t="shared" si="230"/>
        <v>0</v>
      </c>
      <c r="EN403" s="460">
        <f t="shared" si="231"/>
        <v>0</v>
      </c>
      <c r="EO403" s="469">
        <f t="shared" si="232"/>
        <v>0</v>
      </c>
      <c r="EP403" s="471"/>
      <c r="EQ403" s="450"/>
      <c r="ER403" s="471"/>
      <c r="ES403" s="450"/>
      <c r="ET403" s="471"/>
      <c r="EU403" s="450"/>
      <c r="EV403" s="471"/>
      <c r="EW403" s="450"/>
      <c r="EX403" s="471"/>
      <c r="EY403" s="450"/>
      <c r="EZ403" s="471"/>
      <c r="FA403" s="450"/>
      <c r="FB403" s="471"/>
      <c r="FC403" s="450"/>
      <c r="FD403" s="471"/>
      <c r="FE403" s="450"/>
      <c r="FF403" s="471"/>
      <c r="FG403" s="450"/>
      <c r="FH403" s="472"/>
      <c r="FI403" s="450"/>
      <c r="FJ403" s="468">
        <f t="shared" si="233"/>
        <v>0</v>
      </c>
      <c r="FK403" s="469">
        <f t="shared" si="234"/>
        <v>0</v>
      </c>
      <c r="FL403" s="472"/>
      <c r="FM403" s="450"/>
      <c r="FN403" s="460">
        <f t="shared" si="235"/>
        <v>180</v>
      </c>
      <c r="FO403" s="469">
        <f t="shared" si="236"/>
        <v>183</v>
      </c>
    </row>
    <row r="404" spans="1:171" x14ac:dyDescent="0.2">
      <c r="A404" s="454" t="s">
        <v>644</v>
      </c>
      <c r="B404" s="455" t="s">
        <v>650</v>
      </c>
      <c r="C404" s="504"/>
      <c r="D404" s="505">
        <v>246017</v>
      </c>
      <c r="E404" s="531">
        <v>13</v>
      </c>
      <c r="F404" s="532">
        <v>755</v>
      </c>
      <c r="G404" s="450">
        <v>906</v>
      </c>
      <c r="H404" s="457">
        <v>3</v>
      </c>
      <c r="I404" s="450">
        <v>0</v>
      </c>
      <c r="J404" s="457"/>
      <c r="K404" s="742"/>
      <c r="L404" s="458">
        <f t="shared" si="213"/>
        <v>0</v>
      </c>
      <c r="M404" s="449">
        <f t="shared" si="214"/>
        <v>0</v>
      </c>
      <c r="N404" s="459"/>
      <c r="O404" s="459"/>
      <c r="P404" s="459"/>
      <c r="Q404" s="459"/>
      <c r="R404" s="460">
        <f t="shared" si="215"/>
        <v>0</v>
      </c>
      <c r="S404" s="646"/>
      <c r="T404" s="461"/>
      <c r="U404" s="461"/>
      <c r="V404" s="461"/>
      <c r="W404" s="462">
        <f t="shared" si="216"/>
        <v>0</v>
      </c>
      <c r="X404" s="463"/>
      <c r="Y404" s="457"/>
      <c r="Z404" s="464"/>
      <c r="AA404" s="464"/>
      <c r="AB404" s="465"/>
      <c r="AC404" s="457"/>
      <c r="AD404" s="464"/>
      <c r="AE404" s="466"/>
      <c r="AF404" s="465"/>
      <c r="AG404" s="457"/>
      <c r="AH404" s="464"/>
      <c r="AI404" s="466"/>
      <c r="AJ404" s="465"/>
      <c r="AK404" s="457"/>
      <c r="AL404" s="464"/>
      <c r="AM404" s="466"/>
      <c r="AN404" s="465"/>
      <c r="AO404" s="457"/>
      <c r="AP404" s="464"/>
      <c r="AQ404" s="464"/>
      <c r="AR404" s="460">
        <f t="shared" si="217"/>
        <v>0</v>
      </c>
      <c r="AS404" s="467">
        <f t="shared" si="218"/>
        <v>0</v>
      </c>
      <c r="AT404" s="447">
        <f t="shared" si="219"/>
        <v>0</v>
      </c>
      <c r="AU404" s="448">
        <f t="shared" si="220"/>
        <v>0</v>
      </c>
      <c r="AV404" s="457"/>
      <c r="AW404" s="450"/>
      <c r="AX404" s="463"/>
      <c r="AY404" s="457"/>
      <c r="AZ404" s="464"/>
      <c r="BA404" s="464"/>
      <c r="BB404" s="465"/>
      <c r="BC404" s="457"/>
      <c r="BD404" s="464"/>
      <c r="BE404" s="466"/>
      <c r="BF404" s="465"/>
      <c r="BG404" s="457"/>
      <c r="BH404" s="464"/>
      <c r="BI404" s="466"/>
      <c r="BJ404" s="465"/>
      <c r="BK404" s="457"/>
      <c r="BL404" s="464"/>
      <c r="BM404" s="466"/>
      <c r="BN404" s="465"/>
      <c r="BO404" s="457"/>
      <c r="BP404" s="464"/>
      <c r="BQ404" s="466"/>
      <c r="BR404" s="465"/>
      <c r="BS404" s="457"/>
      <c r="BT404" s="464"/>
      <c r="BU404" s="466"/>
      <c r="BV404" s="465"/>
      <c r="BW404" s="457"/>
      <c r="BX404" s="464"/>
      <c r="BY404" s="466"/>
      <c r="BZ404" s="465"/>
      <c r="CA404" s="457"/>
      <c r="CB404" s="464"/>
      <c r="CC404" s="466"/>
      <c r="CD404" s="465"/>
      <c r="CE404" s="457"/>
      <c r="CF404" s="464"/>
      <c r="CG404" s="466"/>
      <c r="CH404" s="465"/>
      <c r="CI404" s="457"/>
      <c r="CJ404" s="464"/>
      <c r="CK404" s="466"/>
      <c r="CL404" s="459"/>
      <c r="CM404" s="450"/>
      <c r="CN404" s="468">
        <f t="shared" si="221"/>
        <v>0</v>
      </c>
      <c r="CO404" s="468">
        <f t="shared" si="222"/>
        <v>0</v>
      </c>
      <c r="CP404" s="469">
        <f t="shared" si="223"/>
        <v>0</v>
      </c>
      <c r="CQ404" s="469">
        <f t="shared" si="224"/>
        <v>0</v>
      </c>
      <c r="CR404" s="463"/>
      <c r="CS404" s="457"/>
      <c r="CT404" s="464"/>
      <c r="CU404" s="464"/>
      <c r="CV404" s="465"/>
      <c r="CW404" s="457"/>
      <c r="CX404" s="464"/>
      <c r="CY404" s="466"/>
      <c r="CZ404" s="465"/>
      <c r="DA404" s="457"/>
      <c r="DB404" s="464"/>
      <c r="DC404" s="466"/>
      <c r="DD404" s="465"/>
      <c r="DE404" s="457"/>
      <c r="DF404" s="464"/>
      <c r="DG404" s="466"/>
      <c r="DH404" s="465"/>
      <c r="DI404" s="457"/>
      <c r="DJ404" s="464"/>
      <c r="DK404" s="466"/>
      <c r="DL404" s="465"/>
      <c r="DM404" s="457"/>
      <c r="DN404" s="464"/>
      <c r="DO404" s="466"/>
      <c r="DP404" s="465"/>
      <c r="DQ404" s="457"/>
      <c r="DR404" s="464"/>
      <c r="DS404" s="466"/>
      <c r="DT404" s="465"/>
      <c r="DU404" s="457"/>
      <c r="DV404" s="464"/>
      <c r="DW404" s="466"/>
      <c r="DX404" s="465"/>
      <c r="DY404" s="457"/>
      <c r="DZ404" s="464"/>
      <c r="EA404" s="466"/>
      <c r="EB404" s="465"/>
      <c r="EC404" s="457"/>
      <c r="ED404" s="464"/>
      <c r="EE404" s="466"/>
      <c r="EF404" s="459"/>
      <c r="EG404" s="450"/>
      <c r="EH404" s="460">
        <f t="shared" si="225"/>
        <v>0</v>
      </c>
      <c r="EI404" s="460">
        <f t="shared" si="226"/>
        <v>0</v>
      </c>
      <c r="EJ404" s="458">
        <f t="shared" si="227"/>
        <v>0</v>
      </c>
      <c r="EK404" s="470">
        <f t="shared" si="228"/>
        <v>0</v>
      </c>
      <c r="EL404" s="470">
        <f t="shared" si="229"/>
        <v>0</v>
      </c>
      <c r="EM404" s="449">
        <f t="shared" si="230"/>
        <v>0</v>
      </c>
      <c r="EN404" s="460">
        <f t="shared" si="231"/>
        <v>0</v>
      </c>
      <c r="EO404" s="469">
        <f t="shared" si="232"/>
        <v>0</v>
      </c>
      <c r="EP404" s="471"/>
      <c r="EQ404" s="450"/>
      <c r="ER404" s="471"/>
      <c r="ES404" s="450"/>
      <c r="ET404" s="471"/>
      <c r="EU404" s="450"/>
      <c r="EV404" s="471"/>
      <c r="EW404" s="450"/>
      <c r="EX404" s="471"/>
      <c r="EY404" s="450"/>
      <c r="EZ404" s="471"/>
      <c r="FA404" s="450"/>
      <c r="FB404" s="471"/>
      <c r="FC404" s="450"/>
      <c r="FD404" s="471"/>
      <c r="FE404" s="450"/>
      <c r="FF404" s="471"/>
      <c r="FG404" s="450"/>
      <c r="FH404" s="472"/>
      <c r="FI404" s="450"/>
      <c r="FJ404" s="468">
        <f t="shared" si="233"/>
        <v>0</v>
      </c>
      <c r="FK404" s="469">
        <f t="shared" si="234"/>
        <v>0</v>
      </c>
      <c r="FL404" s="472"/>
      <c r="FM404" s="450"/>
      <c r="FN404" s="460">
        <f t="shared" si="235"/>
        <v>758</v>
      </c>
      <c r="FO404" s="469">
        <f t="shared" si="236"/>
        <v>906</v>
      </c>
    </row>
    <row r="405" spans="1:171" x14ac:dyDescent="0.2">
      <c r="A405" s="454" t="s">
        <v>644</v>
      </c>
      <c r="B405" s="455" t="s">
        <v>651</v>
      </c>
      <c r="C405" s="504"/>
      <c r="D405" s="505">
        <v>375656</v>
      </c>
      <c r="E405" s="531">
        <v>13</v>
      </c>
      <c r="F405" s="532">
        <v>82</v>
      </c>
      <c r="G405" s="450">
        <v>61</v>
      </c>
      <c r="H405" s="457"/>
      <c r="I405" s="450">
        <v>0</v>
      </c>
      <c r="J405" s="457"/>
      <c r="K405" s="742"/>
      <c r="L405" s="458">
        <f t="shared" si="213"/>
        <v>0</v>
      </c>
      <c r="M405" s="449">
        <f t="shared" si="214"/>
        <v>0</v>
      </c>
      <c r="N405" s="459"/>
      <c r="O405" s="459"/>
      <c r="P405" s="459"/>
      <c r="Q405" s="459"/>
      <c r="R405" s="460">
        <f t="shared" si="215"/>
        <v>0</v>
      </c>
      <c r="S405" s="646"/>
      <c r="T405" s="461"/>
      <c r="U405" s="461"/>
      <c r="V405" s="461"/>
      <c r="W405" s="462">
        <f t="shared" si="216"/>
        <v>0</v>
      </c>
      <c r="X405" s="463"/>
      <c r="Y405" s="457"/>
      <c r="Z405" s="464"/>
      <c r="AA405" s="464"/>
      <c r="AB405" s="465"/>
      <c r="AC405" s="457"/>
      <c r="AD405" s="464"/>
      <c r="AE405" s="466"/>
      <c r="AF405" s="465"/>
      <c r="AG405" s="457"/>
      <c r="AH405" s="464"/>
      <c r="AI405" s="466"/>
      <c r="AJ405" s="465"/>
      <c r="AK405" s="457"/>
      <c r="AL405" s="464"/>
      <c r="AM405" s="466"/>
      <c r="AN405" s="465"/>
      <c r="AO405" s="457"/>
      <c r="AP405" s="464"/>
      <c r="AQ405" s="464"/>
      <c r="AR405" s="460">
        <f t="shared" si="217"/>
        <v>0</v>
      </c>
      <c r="AS405" s="467">
        <f t="shared" si="218"/>
        <v>0</v>
      </c>
      <c r="AT405" s="447">
        <f t="shared" si="219"/>
        <v>0</v>
      </c>
      <c r="AU405" s="448">
        <f t="shared" si="220"/>
        <v>0</v>
      </c>
      <c r="AV405" s="457"/>
      <c r="AW405" s="450"/>
      <c r="AX405" s="463"/>
      <c r="AY405" s="457"/>
      <c r="AZ405" s="464"/>
      <c r="BA405" s="464"/>
      <c r="BB405" s="465"/>
      <c r="BC405" s="457"/>
      <c r="BD405" s="464"/>
      <c r="BE405" s="466"/>
      <c r="BF405" s="465"/>
      <c r="BG405" s="457"/>
      <c r="BH405" s="464"/>
      <c r="BI405" s="466"/>
      <c r="BJ405" s="465"/>
      <c r="BK405" s="457"/>
      <c r="BL405" s="464"/>
      <c r="BM405" s="466"/>
      <c r="BN405" s="465"/>
      <c r="BO405" s="457"/>
      <c r="BP405" s="464"/>
      <c r="BQ405" s="466"/>
      <c r="BR405" s="465"/>
      <c r="BS405" s="457"/>
      <c r="BT405" s="464"/>
      <c r="BU405" s="466"/>
      <c r="BV405" s="465"/>
      <c r="BW405" s="457"/>
      <c r="BX405" s="464"/>
      <c r="BY405" s="466"/>
      <c r="BZ405" s="465"/>
      <c r="CA405" s="457"/>
      <c r="CB405" s="464"/>
      <c r="CC405" s="466"/>
      <c r="CD405" s="465"/>
      <c r="CE405" s="457"/>
      <c r="CF405" s="464"/>
      <c r="CG405" s="466"/>
      <c r="CH405" s="465"/>
      <c r="CI405" s="457"/>
      <c r="CJ405" s="464"/>
      <c r="CK405" s="466"/>
      <c r="CL405" s="459"/>
      <c r="CM405" s="450"/>
      <c r="CN405" s="468">
        <f t="shared" si="221"/>
        <v>0</v>
      </c>
      <c r="CO405" s="468">
        <f t="shared" si="222"/>
        <v>0</v>
      </c>
      <c r="CP405" s="469">
        <f t="shared" si="223"/>
        <v>0</v>
      </c>
      <c r="CQ405" s="469">
        <f t="shared" si="224"/>
        <v>0</v>
      </c>
      <c r="CR405" s="463"/>
      <c r="CS405" s="457"/>
      <c r="CT405" s="464"/>
      <c r="CU405" s="464"/>
      <c r="CV405" s="465"/>
      <c r="CW405" s="457"/>
      <c r="CX405" s="464"/>
      <c r="CY405" s="466"/>
      <c r="CZ405" s="465"/>
      <c r="DA405" s="457"/>
      <c r="DB405" s="464"/>
      <c r="DC405" s="466"/>
      <c r="DD405" s="465"/>
      <c r="DE405" s="457"/>
      <c r="DF405" s="464"/>
      <c r="DG405" s="466"/>
      <c r="DH405" s="465"/>
      <c r="DI405" s="457"/>
      <c r="DJ405" s="464"/>
      <c r="DK405" s="466"/>
      <c r="DL405" s="465"/>
      <c r="DM405" s="457"/>
      <c r="DN405" s="464"/>
      <c r="DO405" s="466"/>
      <c r="DP405" s="465"/>
      <c r="DQ405" s="457"/>
      <c r="DR405" s="464"/>
      <c r="DS405" s="466"/>
      <c r="DT405" s="465"/>
      <c r="DU405" s="457"/>
      <c r="DV405" s="464"/>
      <c r="DW405" s="466"/>
      <c r="DX405" s="465"/>
      <c r="DY405" s="457"/>
      <c r="DZ405" s="464"/>
      <c r="EA405" s="466"/>
      <c r="EB405" s="465"/>
      <c r="EC405" s="457"/>
      <c r="ED405" s="464"/>
      <c r="EE405" s="466"/>
      <c r="EF405" s="459"/>
      <c r="EG405" s="450"/>
      <c r="EH405" s="460">
        <f t="shared" si="225"/>
        <v>0</v>
      </c>
      <c r="EI405" s="460">
        <f t="shared" si="226"/>
        <v>0</v>
      </c>
      <c r="EJ405" s="458">
        <f t="shared" si="227"/>
        <v>0</v>
      </c>
      <c r="EK405" s="470">
        <f t="shared" si="228"/>
        <v>0</v>
      </c>
      <c r="EL405" s="470">
        <f t="shared" si="229"/>
        <v>0</v>
      </c>
      <c r="EM405" s="449">
        <f t="shared" si="230"/>
        <v>0</v>
      </c>
      <c r="EN405" s="460">
        <f t="shared" si="231"/>
        <v>0</v>
      </c>
      <c r="EO405" s="469">
        <f t="shared" si="232"/>
        <v>0</v>
      </c>
      <c r="EP405" s="471"/>
      <c r="EQ405" s="450"/>
      <c r="ER405" s="471"/>
      <c r="ES405" s="450"/>
      <c r="ET405" s="471"/>
      <c r="EU405" s="450"/>
      <c r="EV405" s="471"/>
      <c r="EW405" s="450"/>
      <c r="EX405" s="471"/>
      <c r="EY405" s="450"/>
      <c r="EZ405" s="471"/>
      <c r="FA405" s="450"/>
      <c r="FB405" s="471"/>
      <c r="FC405" s="450"/>
      <c r="FD405" s="471"/>
      <c r="FE405" s="450"/>
      <c r="FF405" s="471"/>
      <c r="FG405" s="450"/>
      <c r="FH405" s="472"/>
      <c r="FI405" s="450"/>
      <c r="FJ405" s="468">
        <f t="shared" si="233"/>
        <v>0</v>
      </c>
      <c r="FK405" s="469">
        <f t="shared" si="234"/>
        <v>0</v>
      </c>
      <c r="FL405" s="472"/>
      <c r="FM405" s="450"/>
      <c r="FN405" s="460">
        <f t="shared" si="235"/>
        <v>82</v>
      </c>
      <c r="FO405" s="469">
        <f t="shared" si="236"/>
        <v>61</v>
      </c>
    </row>
    <row r="406" spans="1:171" x14ac:dyDescent="0.2">
      <c r="A406" s="454" t="s">
        <v>644</v>
      </c>
      <c r="B406" s="455" t="s">
        <v>652</v>
      </c>
      <c r="C406" s="504"/>
      <c r="D406" s="505">
        <v>418348</v>
      </c>
      <c r="E406" s="531">
        <v>13</v>
      </c>
      <c r="F406" s="532">
        <v>227</v>
      </c>
      <c r="G406" s="450">
        <v>210</v>
      </c>
      <c r="H406" s="457"/>
      <c r="I406" s="450">
        <v>0</v>
      </c>
      <c r="J406" s="457"/>
      <c r="K406" s="742"/>
      <c r="L406" s="458">
        <f t="shared" si="213"/>
        <v>0</v>
      </c>
      <c r="M406" s="449">
        <f t="shared" si="214"/>
        <v>0</v>
      </c>
      <c r="N406" s="459"/>
      <c r="O406" s="459"/>
      <c r="P406" s="459"/>
      <c r="Q406" s="459"/>
      <c r="R406" s="460">
        <f t="shared" si="215"/>
        <v>0</v>
      </c>
      <c r="S406" s="461"/>
      <c r="T406" s="461"/>
      <c r="U406" s="461"/>
      <c r="V406" s="461"/>
      <c r="W406" s="462">
        <f t="shared" si="216"/>
        <v>0</v>
      </c>
      <c r="X406" s="463"/>
      <c r="Y406" s="457"/>
      <c r="Z406" s="464"/>
      <c r="AA406" s="464"/>
      <c r="AB406" s="465"/>
      <c r="AC406" s="457"/>
      <c r="AD406" s="464"/>
      <c r="AE406" s="466"/>
      <c r="AF406" s="465"/>
      <c r="AG406" s="457"/>
      <c r="AH406" s="464"/>
      <c r="AI406" s="466"/>
      <c r="AJ406" s="465"/>
      <c r="AK406" s="457"/>
      <c r="AL406" s="464"/>
      <c r="AM406" s="466"/>
      <c r="AN406" s="465"/>
      <c r="AO406" s="457"/>
      <c r="AP406" s="464"/>
      <c r="AQ406" s="464"/>
      <c r="AR406" s="460">
        <f t="shared" si="217"/>
        <v>0</v>
      </c>
      <c r="AS406" s="467">
        <f t="shared" si="218"/>
        <v>0</v>
      </c>
      <c r="AT406" s="447">
        <f t="shared" si="219"/>
        <v>0</v>
      </c>
      <c r="AU406" s="448">
        <f t="shared" si="220"/>
        <v>0</v>
      </c>
      <c r="AV406" s="457"/>
      <c r="AW406" s="450"/>
      <c r="AX406" s="463"/>
      <c r="AY406" s="457"/>
      <c r="AZ406" s="464"/>
      <c r="BA406" s="464"/>
      <c r="BB406" s="465"/>
      <c r="BC406" s="457"/>
      <c r="BD406" s="464"/>
      <c r="BE406" s="466"/>
      <c r="BF406" s="465"/>
      <c r="BG406" s="457"/>
      <c r="BH406" s="464"/>
      <c r="BI406" s="466"/>
      <c r="BJ406" s="465"/>
      <c r="BK406" s="457"/>
      <c r="BL406" s="464"/>
      <c r="BM406" s="466"/>
      <c r="BN406" s="465"/>
      <c r="BO406" s="457"/>
      <c r="BP406" s="464"/>
      <c r="BQ406" s="466"/>
      <c r="BR406" s="465"/>
      <c r="BS406" s="457"/>
      <c r="BT406" s="464"/>
      <c r="BU406" s="466"/>
      <c r="BV406" s="465"/>
      <c r="BW406" s="457"/>
      <c r="BX406" s="464"/>
      <c r="BY406" s="466"/>
      <c r="BZ406" s="465"/>
      <c r="CA406" s="457"/>
      <c r="CB406" s="464"/>
      <c r="CC406" s="466"/>
      <c r="CD406" s="465"/>
      <c r="CE406" s="457"/>
      <c r="CF406" s="464"/>
      <c r="CG406" s="466"/>
      <c r="CH406" s="465"/>
      <c r="CI406" s="457"/>
      <c r="CJ406" s="464"/>
      <c r="CK406" s="466"/>
      <c r="CL406" s="459"/>
      <c r="CM406" s="450"/>
      <c r="CN406" s="468">
        <f t="shared" si="221"/>
        <v>0</v>
      </c>
      <c r="CO406" s="468">
        <f t="shared" si="222"/>
        <v>0</v>
      </c>
      <c r="CP406" s="469">
        <f t="shared" si="223"/>
        <v>0</v>
      </c>
      <c r="CQ406" s="469">
        <f t="shared" si="224"/>
        <v>0</v>
      </c>
      <c r="CR406" s="463"/>
      <c r="CS406" s="457"/>
      <c r="CT406" s="464"/>
      <c r="CU406" s="464"/>
      <c r="CV406" s="465"/>
      <c r="CW406" s="457"/>
      <c r="CX406" s="464"/>
      <c r="CY406" s="466"/>
      <c r="CZ406" s="465"/>
      <c r="DA406" s="457"/>
      <c r="DB406" s="464"/>
      <c r="DC406" s="466"/>
      <c r="DD406" s="465"/>
      <c r="DE406" s="457"/>
      <c r="DF406" s="464"/>
      <c r="DG406" s="466"/>
      <c r="DH406" s="465"/>
      <c r="DI406" s="457"/>
      <c r="DJ406" s="464"/>
      <c r="DK406" s="466"/>
      <c r="DL406" s="465"/>
      <c r="DM406" s="457"/>
      <c r="DN406" s="464"/>
      <c r="DO406" s="466"/>
      <c r="DP406" s="465"/>
      <c r="DQ406" s="457"/>
      <c r="DR406" s="464"/>
      <c r="DS406" s="466"/>
      <c r="DT406" s="465"/>
      <c r="DU406" s="457"/>
      <c r="DV406" s="464"/>
      <c r="DW406" s="466"/>
      <c r="DX406" s="465"/>
      <c r="DY406" s="457"/>
      <c r="DZ406" s="464"/>
      <c r="EA406" s="466"/>
      <c r="EB406" s="465"/>
      <c r="EC406" s="457"/>
      <c r="ED406" s="464"/>
      <c r="EE406" s="466"/>
      <c r="EF406" s="459"/>
      <c r="EG406" s="450"/>
      <c r="EH406" s="460">
        <f t="shared" si="225"/>
        <v>0</v>
      </c>
      <c r="EI406" s="460">
        <f t="shared" si="226"/>
        <v>0</v>
      </c>
      <c r="EJ406" s="458">
        <f t="shared" si="227"/>
        <v>0</v>
      </c>
      <c r="EK406" s="470">
        <f t="shared" si="228"/>
        <v>0</v>
      </c>
      <c r="EL406" s="470">
        <f t="shared" si="229"/>
        <v>0</v>
      </c>
      <c r="EM406" s="449">
        <f t="shared" si="230"/>
        <v>0</v>
      </c>
      <c r="EN406" s="460">
        <f t="shared" si="231"/>
        <v>0</v>
      </c>
      <c r="EO406" s="469">
        <f t="shared" si="232"/>
        <v>0</v>
      </c>
      <c r="EP406" s="471"/>
      <c r="EQ406" s="450"/>
      <c r="ER406" s="471"/>
      <c r="ES406" s="450"/>
      <c r="ET406" s="471"/>
      <c r="EU406" s="450"/>
      <c r="EV406" s="471"/>
      <c r="EW406" s="450"/>
      <c r="EX406" s="471"/>
      <c r="EY406" s="450"/>
      <c r="EZ406" s="471"/>
      <c r="FA406" s="450"/>
      <c r="FB406" s="471"/>
      <c r="FC406" s="450"/>
      <c r="FD406" s="471"/>
      <c r="FE406" s="450"/>
      <c r="FF406" s="471"/>
      <c r="FG406" s="450"/>
      <c r="FH406" s="472"/>
      <c r="FI406" s="450"/>
      <c r="FJ406" s="468">
        <f t="shared" si="233"/>
        <v>0</v>
      </c>
      <c r="FK406" s="469">
        <f t="shared" si="234"/>
        <v>0</v>
      </c>
      <c r="FL406" s="472"/>
      <c r="FM406" s="450"/>
      <c r="FN406" s="460">
        <f t="shared" si="235"/>
        <v>227</v>
      </c>
      <c r="FO406" s="469">
        <f t="shared" si="236"/>
        <v>210</v>
      </c>
    </row>
    <row r="407" spans="1:171" x14ac:dyDescent="0.2">
      <c r="A407" s="454" t="s">
        <v>644</v>
      </c>
      <c r="B407" s="455" t="s">
        <v>653</v>
      </c>
      <c r="C407" s="504"/>
      <c r="D407" s="505">
        <v>375683</v>
      </c>
      <c r="E407" s="531">
        <v>13</v>
      </c>
      <c r="F407" s="532">
        <v>363</v>
      </c>
      <c r="G407" s="450">
        <v>323</v>
      </c>
      <c r="H407" s="457">
        <v>49</v>
      </c>
      <c r="I407" s="450">
        <v>34</v>
      </c>
      <c r="J407" s="457"/>
      <c r="K407" s="742"/>
      <c r="L407" s="458">
        <f t="shared" si="213"/>
        <v>0</v>
      </c>
      <c r="M407" s="449">
        <f t="shared" si="214"/>
        <v>0</v>
      </c>
      <c r="N407" s="459"/>
      <c r="O407" s="459"/>
      <c r="P407" s="459"/>
      <c r="Q407" s="459"/>
      <c r="R407" s="460">
        <f t="shared" si="215"/>
        <v>0</v>
      </c>
      <c r="S407" s="461"/>
      <c r="T407" s="461"/>
      <c r="U407" s="461"/>
      <c r="V407" s="461"/>
      <c r="W407" s="462">
        <f t="shared" si="216"/>
        <v>0</v>
      </c>
      <c r="X407" s="463"/>
      <c r="Y407" s="457"/>
      <c r="Z407" s="464"/>
      <c r="AA407" s="464"/>
      <c r="AB407" s="465"/>
      <c r="AC407" s="457"/>
      <c r="AD407" s="464"/>
      <c r="AE407" s="466"/>
      <c r="AF407" s="465"/>
      <c r="AG407" s="457"/>
      <c r="AH407" s="464"/>
      <c r="AI407" s="466"/>
      <c r="AJ407" s="465"/>
      <c r="AK407" s="457"/>
      <c r="AL407" s="464"/>
      <c r="AM407" s="466"/>
      <c r="AN407" s="465"/>
      <c r="AO407" s="457"/>
      <c r="AP407" s="464"/>
      <c r="AQ407" s="464"/>
      <c r="AR407" s="460">
        <f t="shared" si="217"/>
        <v>0</v>
      </c>
      <c r="AS407" s="467">
        <f t="shared" si="218"/>
        <v>0</v>
      </c>
      <c r="AT407" s="447">
        <f t="shared" si="219"/>
        <v>0</v>
      </c>
      <c r="AU407" s="448">
        <f t="shared" si="220"/>
        <v>0</v>
      </c>
      <c r="AV407" s="457"/>
      <c r="AW407" s="450"/>
      <c r="AX407" s="463"/>
      <c r="AY407" s="457"/>
      <c r="AZ407" s="464"/>
      <c r="BA407" s="464"/>
      <c r="BB407" s="465"/>
      <c r="BC407" s="457"/>
      <c r="BD407" s="464"/>
      <c r="BE407" s="466"/>
      <c r="BF407" s="465"/>
      <c r="BG407" s="457"/>
      <c r="BH407" s="464"/>
      <c r="BI407" s="466"/>
      <c r="BJ407" s="465"/>
      <c r="BK407" s="457"/>
      <c r="BL407" s="464"/>
      <c r="BM407" s="466"/>
      <c r="BN407" s="465"/>
      <c r="BO407" s="457"/>
      <c r="BP407" s="464"/>
      <c r="BQ407" s="466"/>
      <c r="BR407" s="465"/>
      <c r="BS407" s="457"/>
      <c r="BT407" s="464"/>
      <c r="BU407" s="466"/>
      <c r="BV407" s="465"/>
      <c r="BW407" s="457"/>
      <c r="BX407" s="464"/>
      <c r="BY407" s="466"/>
      <c r="BZ407" s="465"/>
      <c r="CA407" s="457"/>
      <c r="CB407" s="464"/>
      <c r="CC407" s="466"/>
      <c r="CD407" s="465"/>
      <c r="CE407" s="457"/>
      <c r="CF407" s="464"/>
      <c r="CG407" s="466"/>
      <c r="CH407" s="465"/>
      <c r="CI407" s="457"/>
      <c r="CJ407" s="464"/>
      <c r="CK407" s="466"/>
      <c r="CL407" s="459"/>
      <c r="CM407" s="450"/>
      <c r="CN407" s="468">
        <f t="shared" si="221"/>
        <v>0</v>
      </c>
      <c r="CO407" s="468">
        <f t="shared" si="222"/>
        <v>0</v>
      </c>
      <c r="CP407" s="469">
        <f t="shared" si="223"/>
        <v>0</v>
      </c>
      <c r="CQ407" s="469">
        <f t="shared" si="224"/>
        <v>0</v>
      </c>
      <c r="CR407" s="463"/>
      <c r="CS407" s="457"/>
      <c r="CT407" s="464"/>
      <c r="CU407" s="464"/>
      <c r="CV407" s="465"/>
      <c r="CW407" s="457"/>
      <c r="CX407" s="464"/>
      <c r="CY407" s="466"/>
      <c r="CZ407" s="465"/>
      <c r="DA407" s="457"/>
      <c r="DB407" s="464"/>
      <c r="DC407" s="466"/>
      <c r="DD407" s="465"/>
      <c r="DE407" s="457"/>
      <c r="DF407" s="464"/>
      <c r="DG407" s="466"/>
      <c r="DH407" s="465"/>
      <c r="DI407" s="457"/>
      <c r="DJ407" s="464"/>
      <c r="DK407" s="466"/>
      <c r="DL407" s="465"/>
      <c r="DM407" s="457"/>
      <c r="DN407" s="464"/>
      <c r="DO407" s="466"/>
      <c r="DP407" s="465"/>
      <c r="DQ407" s="457"/>
      <c r="DR407" s="464"/>
      <c r="DS407" s="466"/>
      <c r="DT407" s="465"/>
      <c r="DU407" s="457"/>
      <c r="DV407" s="464"/>
      <c r="DW407" s="466"/>
      <c r="DX407" s="465"/>
      <c r="DY407" s="457"/>
      <c r="DZ407" s="464"/>
      <c r="EA407" s="466"/>
      <c r="EB407" s="465"/>
      <c r="EC407" s="457"/>
      <c r="ED407" s="464"/>
      <c r="EE407" s="466"/>
      <c r="EF407" s="459"/>
      <c r="EG407" s="450"/>
      <c r="EH407" s="460">
        <f t="shared" si="225"/>
        <v>0</v>
      </c>
      <c r="EI407" s="460">
        <f t="shared" si="226"/>
        <v>0</v>
      </c>
      <c r="EJ407" s="458">
        <f t="shared" si="227"/>
        <v>0</v>
      </c>
      <c r="EK407" s="470">
        <f t="shared" si="228"/>
        <v>0</v>
      </c>
      <c r="EL407" s="470">
        <f t="shared" si="229"/>
        <v>0</v>
      </c>
      <c r="EM407" s="449">
        <f t="shared" si="230"/>
        <v>0</v>
      </c>
      <c r="EN407" s="460">
        <f t="shared" si="231"/>
        <v>0</v>
      </c>
      <c r="EO407" s="469">
        <f t="shared" si="232"/>
        <v>0</v>
      </c>
      <c r="EP407" s="471"/>
      <c r="EQ407" s="450"/>
      <c r="ER407" s="471"/>
      <c r="ES407" s="450"/>
      <c r="ET407" s="471"/>
      <c r="EU407" s="450"/>
      <c r="EV407" s="471"/>
      <c r="EW407" s="450"/>
      <c r="EX407" s="471"/>
      <c r="EY407" s="450"/>
      <c r="EZ407" s="471"/>
      <c r="FA407" s="450"/>
      <c r="FB407" s="471"/>
      <c r="FC407" s="450"/>
      <c r="FD407" s="471"/>
      <c r="FE407" s="450"/>
      <c r="FF407" s="471"/>
      <c r="FG407" s="450"/>
      <c r="FH407" s="472"/>
      <c r="FI407" s="450"/>
      <c r="FJ407" s="468">
        <f t="shared" si="233"/>
        <v>0</v>
      </c>
      <c r="FK407" s="469">
        <f t="shared" si="234"/>
        <v>0</v>
      </c>
      <c r="FL407" s="472"/>
      <c r="FM407" s="450"/>
      <c r="FN407" s="460">
        <f t="shared" si="235"/>
        <v>412</v>
      </c>
      <c r="FO407" s="469">
        <f t="shared" si="236"/>
        <v>357</v>
      </c>
    </row>
    <row r="408" spans="1:171" x14ac:dyDescent="0.2">
      <c r="A408" s="454" t="s">
        <v>644</v>
      </c>
      <c r="B408" s="455" t="s">
        <v>654</v>
      </c>
      <c r="C408" s="506"/>
      <c r="D408" s="505">
        <v>364548</v>
      </c>
      <c r="E408" s="507">
        <v>13</v>
      </c>
      <c r="F408" s="532">
        <v>491</v>
      </c>
      <c r="G408" s="450">
        <v>559</v>
      </c>
      <c r="H408" s="457">
        <v>31</v>
      </c>
      <c r="I408" s="450">
        <v>9</v>
      </c>
      <c r="J408" s="457"/>
      <c r="K408" s="742"/>
      <c r="L408" s="458">
        <f t="shared" si="213"/>
        <v>0</v>
      </c>
      <c r="M408" s="449">
        <f t="shared" si="214"/>
        <v>0</v>
      </c>
      <c r="N408" s="459"/>
      <c r="O408" s="459"/>
      <c r="P408" s="459"/>
      <c r="Q408" s="459"/>
      <c r="R408" s="460">
        <f t="shared" si="215"/>
        <v>0</v>
      </c>
      <c r="S408" s="646"/>
      <c r="T408" s="461"/>
      <c r="U408" s="461"/>
      <c r="V408" s="461"/>
      <c r="W408" s="462">
        <f t="shared" si="216"/>
        <v>0</v>
      </c>
      <c r="X408" s="463"/>
      <c r="Y408" s="457"/>
      <c r="Z408" s="464"/>
      <c r="AA408" s="464"/>
      <c r="AB408" s="465"/>
      <c r="AC408" s="457"/>
      <c r="AD408" s="464"/>
      <c r="AE408" s="466"/>
      <c r="AF408" s="465"/>
      <c r="AG408" s="457"/>
      <c r="AH408" s="464"/>
      <c r="AI408" s="466"/>
      <c r="AJ408" s="465"/>
      <c r="AK408" s="457"/>
      <c r="AL408" s="464"/>
      <c r="AM408" s="466"/>
      <c r="AN408" s="465"/>
      <c r="AO408" s="457"/>
      <c r="AP408" s="464"/>
      <c r="AQ408" s="464"/>
      <c r="AR408" s="460">
        <f t="shared" si="217"/>
        <v>0</v>
      </c>
      <c r="AS408" s="467">
        <f t="shared" si="218"/>
        <v>0</v>
      </c>
      <c r="AT408" s="447">
        <f t="shared" si="219"/>
        <v>0</v>
      </c>
      <c r="AU408" s="448">
        <f t="shared" si="220"/>
        <v>0</v>
      </c>
      <c r="AV408" s="457"/>
      <c r="AW408" s="450"/>
      <c r="AX408" s="463"/>
      <c r="AY408" s="457"/>
      <c r="AZ408" s="464"/>
      <c r="BA408" s="464"/>
      <c r="BB408" s="465"/>
      <c r="BC408" s="457"/>
      <c r="BD408" s="464"/>
      <c r="BE408" s="466"/>
      <c r="BF408" s="465"/>
      <c r="BG408" s="457"/>
      <c r="BH408" s="464"/>
      <c r="BI408" s="466"/>
      <c r="BJ408" s="465"/>
      <c r="BK408" s="457"/>
      <c r="BL408" s="464"/>
      <c r="BM408" s="466"/>
      <c r="BN408" s="465"/>
      <c r="BO408" s="457"/>
      <c r="BP408" s="464"/>
      <c r="BQ408" s="466"/>
      <c r="BR408" s="465"/>
      <c r="BS408" s="457"/>
      <c r="BT408" s="464"/>
      <c r="BU408" s="466"/>
      <c r="BV408" s="465"/>
      <c r="BW408" s="457"/>
      <c r="BX408" s="464"/>
      <c r="BY408" s="466"/>
      <c r="BZ408" s="465"/>
      <c r="CA408" s="457"/>
      <c r="CB408" s="464"/>
      <c r="CC408" s="466"/>
      <c r="CD408" s="465"/>
      <c r="CE408" s="457"/>
      <c r="CF408" s="464"/>
      <c r="CG408" s="466"/>
      <c r="CH408" s="465"/>
      <c r="CI408" s="457"/>
      <c r="CJ408" s="464"/>
      <c r="CK408" s="466"/>
      <c r="CL408" s="459"/>
      <c r="CM408" s="450"/>
      <c r="CN408" s="468">
        <f t="shared" si="221"/>
        <v>0</v>
      </c>
      <c r="CO408" s="468">
        <f t="shared" si="222"/>
        <v>0</v>
      </c>
      <c r="CP408" s="469">
        <f t="shared" si="223"/>
        <v>0</v>
      </c>
      <c r="CQ408" s="469">
        <f t="shared" si="224"/>
        <v>0</v>
      </c>
      <c r="CR408" s="463"/>
      <c r="CS408" s="457"/>
      <c r="CT408" s="464"/>
      <c r="CU408" s="464"/>
      <c r="CV408" s="465"/>
      <c r="CW408" s="457"/>
      <c r="CX408" s="464"/>
      <c r="CY408" s="466"/>
      <c r="CZ408" s="465"/>
      <c r="DA408" s="457"/>
      <c r="DB408" s="464"/>
      <c r="DC408" s="466"/>
      <c r="DD408" s="465"/>
      <c r="DE408" s="457"/>
      <c r="DF408" s="464"/>
      <c r="DG408" s="466"/>
      <c r="DH408" s="465"/>
      <c r="DI408" s="457"/>
      <c r="DJ408" s="464"/>
      <c r="DK408" s="466"/>
      <c r="DL408" s="465"/>
      <c r="DM408" s="457"/>
      <c r="DN408" s="464"/>
      <c r="DO408" s="466"/>
      <c r="DP408" s="465"/>
      <c r="DQ408" s="457"/>
      <c r="DR408" s="464"/>
      <c r="DS408" s="466"/>
      <c r="DT408" s="465"/>
      <c r="DU408" s="457"/>
      <c r="DV408" s="464"/>
      <c r="DW408" s="466"/>
      <c r="DX408" s="465"/>
      <c r="DY408" s="457"/>
      <c r="DZ408" s="464"/>
      <c r="EA408" s="466"/>
      <c r="EB408" s="465"/>
      <c r="EC408" s="457"/>
      <c r="ED408" s="464"/>
      <c r="EE408" s="466"/>
      <c r="EF408" s="459"/>
      <c r="EG408" s="450"/>
      <c r="EH408" s="460">
        <f t="shared" si="225"/>
        <v>0</v>
      </c>
      <c r="EI408" s="460">
        <f t="shared" si="226"/>
        <v>0</v>
      </c>
      <c r="EJ408" s="458">
        <f t="shared" si="227"/>
        <v>0</v>
      </c>
      <c r="EK408" s="470">
        <f t="shared" si="228"/>
        <v>0</v>
      </c>
      <c r="EL408" s="470">
        <f t="shared" si="229"/>
        <v>0</v>
      </c>
      <c r="EM408" s="449">
        <f t="shared" si="230"/>
        <v>0</v>
      </c>
      <c r="EN408" s="460">
        <f t="shared" si="231"/>
        <v>0</v>
      </c>
      <c r="EO408" s="469">
        <f t="shared" si="232"/>
        <v>0</v>
      </c>
      <c r="EP408" s="471"/>
      <c r="EQ408" s="450"/>
      <c r="ER408" s="471"/>
      <c r="ES408" s="450"/>
      <c r="ET408" s="471"/>
      <c r="EU408" s="450"/>
      <c r="EV408" s="471"/>
      <c r="EW408" s="450"/>
      <c r="EX408" s="471"/>
      <c r="EY408" s="450"/>
      <c r="EZ408" s="471"/>
      <c r="FA408" s="450"/>
      <c r="FB408" s="471"/>
      <c r="FC408" s="450"/>
      <c r="FD408" s="471"/>
      <c r="FE408" s="450"/>
      <c r="FF408" s="471"/>
      <c r="FG408" s="450"/>
      <c r="FH408" s="472"/>
      <c r="FI408" s="450"/>
      <c r="FJ408" s="468">
        <f t="shared" si="233"/>
        <v>0</v>
      </c>
      <c r="FK408" s="469">
        <f t="shared" si="234"/>
        <v>0</v>
      </c>
      <c r="FL408" s="472"/>
      <c r="FM408" s="450"/>
      <c r="FN408" s="460">
        <f t="shared" si="235"/>
        <v>522</v>
      </c>
      <c r="FO408" s="469">
        <f t="shared" si="236"/>
        <v>568</v>
      </c>
    </row>
    <row r="409" spans="1:171" x14ac:dyDescent="0.2">
      <c r="A409" s="454" t="s">
        <v>644</v>
      </c>
      <c r="B409" s="455" t="s">
        <v>655</v>
      </c>
      <c r="C409" s="504"/>
      <c r="D409" s="505">
        <v>428019</v>
      </c>
      <c r="E409" s="531">
        <v>13</v>
      </c>
      <c r="F409" s="532">
        <v>146</v>
      </c>
      <c r="G409" s="450">
        <v>158</v>
      </c>
      <c r="H409" s="457"/>
      <c r="I409" s="450">
        <v>0</v>
      </c>
      <c r="J409" s="457"/>
      <c r="K409" s="742"/>
      <c r="L409" s="458">
        <f t="shared" si="213"/>
        <v>0</v>
      </c>
      <c r="M409" s="449">
        <f t="shared" si="214"/>
        <v>0</v>
      </c>
      <c r="N409" s="459"/>
      <c r="O409" s="459"/>
      <c r="P409" s="459"/>
      <c r="Q409" s="459"/>
      <c r="R409" s="460">
        <f t="shared" si="215"/>
        <v>0</v>
      </c>
      <c r="S409" s="646"/>
      <c r="T409" s="461"/>
      <c r="U409" s="461"/>
      <c r="V409" s="461"/>
      <c r="W409" s="462">
        <f t="shared" si="216"/>
        <v>0</v>
      </c>
      <c r="X409" s="463"/>
      <c r="Y409" s="457"/>
      <c r="Z409" s="464"/>
      <c r="AA409" s="464"/>
      <c r="AB409" s="465"/>
      <c r="AC409" s="457"/>
      <c r="AD409" s="464"/>
      <c r="AE409" s="466"/>
      <c r="AF409" s="465"/>
      <c r="AG409" s="457"/>
      <c r="AH409" s="464"/>
      <c r="AI409" s="466"/>
      <c r="AJ409" s="465"/>
      <c r="AK409" s="457"/>
      <c r="AL409" s="464"/>
      <c r="AM409" s="466"/>
      <c r="AN409" s="465"/>
      <c r="AO409" s="457"/>
      <c r="AP409" s="464"/>
      <c r="AQ409" s="464"/>
      <c r="AR409" s="460">
        <f t="shared" si="217"/>
        <v>0</v>
      </c>
      <c r="AS409" s="467">
        <f t="shared" si="218"/>
        <v>0</v>
      </c>
      <c r="AT409" s="447">
        <f t="shared" si="219"/>
        <v>0</v>
      </c>
      <c r="AU409" s="448">
        <f t="shared" si="220"/>
        <v>0</v>
      </c>
      <c r="AV409" s="457"/>
      <c r="AW409" s="450"/>
      <c r="AX409" s="463"/>
      <c r="AY409" s="457"/>
      <c r="AZ409" s="464"/>
      <c r="BA409" s="464"/>
      <c r="BB409" s="465"/>
      <c r="BC409" s="457"/>
      <c r="BD409" s="464"/>
      <c r="BE409" s="466"/>
      <c r="BF409" s="465"/>
      <c r="BG409" s="457"/>
      <c r="BH409" s="464"/>
      <c r="BI409" s="466"/>
      <c r="BJ409" s="465"/>
      <c r="BK409" s="457"/>
      <c r="BL409" s="464"/>
      <c r="BM409" s="466"/>
      <c r="BN409" s="465"/>
      <c r="BO409" s="457"/>
      <c r="BP409" s="464"/>
      <c r="BQ409" s="466"/>
      <c r="BR409" s="465"/>
      <c r="BS409" s="457"/>
      <c r="BT409" s="464"/>
      <c r="BU409" s="466"/>
      <c r="BV409" s="465"/>
      <c r="BW409" s="457"/>
      <c r="BX409" s="464"/>
      <c r="BY409" s="466"/>
      <c r="BZ409" s="465"/>
      <c r="CA409" s="457"/>
      <c r="CB409" s="464"/>
      <c r="CC409" s="466"/>
      <c r="CD409" s="465"/>
      <c r="CE409" s="457"/>
      <c r="CF409" s="464"/>
      <c r="CG409" s="466"/>
      <c r="CH409" s="465"/>
      <c r="CI409" s="457"/>
      <c r="CJ409" s="464"/>
      <c r="CK409" s="466"/>
      <c r="CL409" s="459"/>
      <c r="CM409" s="450"/>
      <c r="CN409" s="468">
        <f t="shared" si="221"/>
        <v>0</v>
      </c>
      <c r="CO409" s="468">
        <f t="shared" si="222"/>
        <v>0</v>
      </c>
      <c r="CP409" s="469">
        <f t="shared" si="223"/>
        <v>0</v>
      </c>
      <c r="CQ409" s="469">
        <f t="shared" si="224"/>
        <v>0</v>
      </c>
      <c r="CR409" s="463"/>
      <c r="CS409" s="457"/>
      <c r="CT409" s="464"/>
      <c r="CU409" s="464"/>
      <c r="CV409" s="465"/>
      <c r="CW409" s="457"/>
      <c r="CX409" s="464"/>
      <c r="CY409" s="466"/>
      <c r="CZ409" s="465"/>
      <c r="DA409" s="457"/>
      <c r="DB409" s="464"/>
      <c r="DC409" s="466"/>
      <c r="DD409" s="465"/>
      <c r="DE409" s="457"/>
      <c r="DF409" s="464"/>
      <c r="DG409" s="466"/>
      <c r="DH409" s="465"/>
      <c r="DI409" s="457"/>
      <c r="DJ409" s="464"/>
      <c r="DK409" s="466"/>
      <c r="DL409" s="465"/>
      <c r="DM409" s="457"/>
      <c r="DN409" s="464"/>
      <c r="DO409" s="466"/>
      <c r="DP409" s="465"/>
      <c r="DQ409" s="457"/>
      <c r="DR409" s="464"/>
      <c r="DS409" s="466"/>
      <c r="DT409" s="465"/>
      <c r="DU409" s="457"/>
      <c r="DV409" s="464"/>
      <c r="DW409" s="466"/>
      <c r="DX409" s="465"/>
      <c r="DY409" s="457"/>
      <c r="DZ409" s="464"/>
      <c r="EA409" s="466"/>
      <c r="EB409" s="465"/>
      <c r="EC409" s="457"/>
      <c r="ED409" s="464"/>
      <c r="EE409" s="466"/>
      <c r="EF409" s="459"/>
      <c r="EG409" s="450"/>
      <c r="EH409" s="460">
        <f t="shared" si="225"/>
        <v>0</v>
      </c>
      <c r="EI409" s="460">
        <f t="shared" si="226"/>
        <v>0</v>
      </c>
      <c r="EJ409" s="458">
        <f t="shared" si="227"/>
        <v>0</v>
      </c>
      <c r="EK409" s="470">
        <f t="shared" si="228"/>
        <v>0</v>
      </c>
      <c r="EL409" s="470">
        <f t="shared" si="229"/>
        <v>0</v>
      </c>
      <c r="EM409" s="449">
        <f t="shared" si="230"/>
        <v>0</v>
      </c>
      <c r="EN409" s="460">
        <f t="shared" si="231"/>
        <v>0</v>
      </c>
      <c r="EO409" s="469">
        <f t="shared" si="232"/>
        <v>0</v>
      </c>
      <c r="EP409" s="471"/>
      <c r="EQ409" s="450"/>
      <c r="ER409" s="471"/>
      <c r="ES409" s="450"/>
      <c r="ET409" s="471"/>
      <c r="EU409" s="450"/>
      <c r="EV409" s="471"/>
      <c r="EW409" s="450"/>
      <c r="EX409" s="471"/>
      <c r="EY409" s="450"/>
      <c r="EZ409" s="471"/>
      <c r="FA409" s="450"/>
      <c r="FB409" s="471"/>
      <c r="FC409" s="450"/>
      <c r="FD409" s="471"/>
      <c r="FE409" s="450"/>
      <c r="FF409" s="471"/>
      <c r="FG409" s="450"/>
      <c r="FH409" s="472"/>
      <c r="FI409" s="450"/>
      <c r="FJ409" s="468">
        <f t="shared" si="233"/>
        <v>0</v>
      </c>
      <c r="FK409" s="469">
        <f t="shared" si="234"/>
        <v>0</v>
      </c>
      <c r="FL409" s="472"/>
      <c r="FM409" s="450"/>
      <c r="FN409" s="460">
        <f t="shared" si="235"/>
        <v>146</v>
      </c>
      <c r="FO409" s="469">
        <f t="shared" si="236"/>
        <v>158</v>
      </c>
    </row>
    <row r="410" spans="1:171" x14ac:dyDescent="0.2">
      <c r="A410" s="454" t="s">
        <v>644</v>
      </c>
      <c r="B410" s="455" t="s">
        <v>656</v>
      </c>
      <c r="C410" s="504"/>
      <c r="D410" s="505">
        <v>208053</v>
      </c>
      <c r="E410" s="531">
        <v>13</v>
      </c>
      <c r="F410" s="532">
        <v>91</v>
      </c>
      <c r="G410" s="450">
        <v>95</v>
      </c>
      <c r="H410" s="457"/>
      <c r="I410" s="450">
        <v>0</v>
      </c>
      <c r="J410" s="457"/>
      <c r="K410" s="742"/>
      <c r="L410" s="458">
        <f t="shared" si="213"/>
        <v>0</v>
      </c>
      <c r="M410" s="449">
        <f t="shared" si="214"/>
        <v>0</v>
      </c>
      <c r="N410" s="459"/>
      <c r="O410" s="459"/>
      <c r="P410" s="459"/>
      <c r="Q410" s="459"/>
      <c r="R410" s="460">
        <f t="shared" si="215"/>
        <v>0</v>
      </c>
      <c r="S410" s="646"/>
      <c r="T410" s="461"/>
      <c r="U410" s="461"/>
      <c r="V410" s="461"/>
      <c r="W410" s="462">
        <f t="shared" si="216"/>
        <v>0</v>
      </c>
      <c r="X410" s="463"/>
      <c r="Y410" s="457"/>
      <c r="Z410" s="464"/>
      <c r="AA410" s="464"/>
      <c r="AB410" s="465"/>
      <c r="AC410" s="457"/>
      <c r="AD410" s="464"/>
      <c r="AE410" s="466"/>
      <c r="AF410" s="465"/>
      <c r="AG410" s="457"/>
      <c r="AH410" s="464"/>
      <c r="AI410" s="466"/>
      <c r="AJ410" s="465"/>
      <c r="AK410" s="457"/>
      <c r="AL410" s="464"/>
      <c r="AM410" s="466"/>
      <c r="AN410" s="465"/>
      <c r="AO410" s="457"/>
      <c r="AP410" s="464"/>
      <c r="AQ410" s="464"/>
      <c r="AR410" s="460">
        <f t="shared" si="217"/>
        <v>0</v>
      </c>
      <c r="AS410" s="467">
        <f t="shared" si="218"/>
        <v>0</v>
      </c>
      <c r="AT410" s="447">
        <f t="shared" si="219"/>
        <v>0</v>
      </c>
      <c r="AU410" s="448">
        <f t="shared" si="220"/>
        <v>0</v>
      </c>
      <c r="AV410" s="457"/>
      <c r="AW410" s="450"/>
      <c r="AX410" s="463"/>
      <c r="AY410" s="457"/>
      <c r="AZ410" s="464"/>
      <c r="BA410" s="464"/>
      <c r="BB410" s="465"/>
      <c r="BC410" s="457"/>
      <c r="BD410" s="464"/>
      <c r="BE410" s="466"/>
      <c r="BF410" s="465"/>
      <c r="BG410" s="457"/>
      <c r="BH410" s="464"/>
      <c r="BI410" s="466"/>
      <c r="BJ410" s="465"/>
      <c r="BK410" s="457"/>
      <c r="BL410" s="464"/>
      <c r="BM410" s="466"/>
      <c r="BN410" s="465"/>
      <c r="BO410" s="457"/>
      <c r="BP410" s="464"/>
      <c r="BQ410" s="466"/>
      <c r="BR410" s="465"/>
      <c r="BS410" s="457"/>
      <c r="BT410" s="464"/>
      <c r="BU410" s="466"/>
      <c r="BV410" s="465"/>
      <c r="BW410" s="457"/>
      <c r="BX410" s="464"/>
      <c r="BY410" s="466"/>
      <c r="BZ410" s="465"/>
      <c r="CA410" s="457"/>
      <c r="CB410" s="464"/>
      <c r="CC410" s="466"/>
      <c r="CD410" s="465"/>
      <c r="CE410" s="457"/>
      <c r="CF410" s="464"/>
      <c r="CG410" s="466"/>
      <c r="CH410" s="465"/>
      <c r="CI410" s="457"/>
      <c r="CJ410" s="464"/>
      <c r="CK410" s="466"/>
      <c r="CL410" s="459"/>
      <c r="CM410" s="450"/>
      <c r="CN410" s="468">
        <f t="shared" si="221"/>
        <v>0</v>
      </c>
      <c r="CO410" s="468">
        <f t="shared" si="222"/>
        <v>0</v>
      </c>
      <c r="CP410" s="469">
        <f t="shared" si="223"/>
        <v>0</v>
      </c>
      <c r="CQ410" s="469">
        <f t="shared" si="224"/>
        <v>0</v>
      </c>
      <c r="CR410" s="463"/>
      <c r="CS410" s="457"/>
      <c r="CT410" s="464"/>
      <c r="CU410" s="464"/>
      <c r="CV410" s="465"/>
      <c r="CW410" s="457"/>
      <c r="CX410" s="464"/>
      <c r="CY410" s="466"/>
      <c r="CZ410" s="465"/>
      <c r="DA410" s="457"/>
      <c r="DB410" s="464"/>
      <c r="DC410" s="466"/>
      <c r="DD410" s="465"/>
      <c r="DE410" s="457"/>
      <c r="DF410" s="464"/>
      <c r="DG410" s="466"/>
      <c r="DH410" s="465"/>
      <c r="DI410" s="457"/>
      <c r="DJ410" s="464"/>
      <c r="DK410" s="466"/>
      <c r="DL410" s="465"/>
      <c r="DM410" s="457"/>
      <c r="DN410" s="464"/>
      <c r="DO410" s="466"/>
      <c r="DP410" s="465"/>
      <c r="DQ410" s="457"/>
      <c r="DR410" s="464"/>
      <c r="DS410" s="466"/>
      <c r="DT410" s="465"/>
      <c r="DU410" s="457"/>
      <c r="DV410" s="464"/>
      <c r="DW410" s="466"/>
      <c r="DX410" s="465"/>
      <c r="DY410" s="457"/>
      <c r="DZ410" s="464"/>
      <c r="EA410" s="466"/>
      <c r="EB410" s="465"/>
      <c r="EC410" s="457"/>
      <c r="ED410" s="464"/>
      <c r="EE410" s="466"/>
      <c r="EF410" s="459"/>
      <c r="EG410" s="450"/>
      <c r="EH410" s="460">
        <f t="shared" si="225"/>
        <v>0</v>
      </c>
      <c r="EI410" s="460">
        <f t="shared" si="226"/>
        <v>0</v>
      </c>
      <c r="EJ410" s="458">
        <f t="shared" si="227"/>
        <v>0</v>
      </c>
      <c r="EK410" s="470">
        <f t="shared" si="228"/>
        <v>0</v>
      </c>
      <c r="EL410" s="470">
        <f t="shared" si="229"/>
        <v>0</v>
      </c>
      <c r="EM410" s="449">
        <f t="shared" si="230"/>
        <v>0</v>
      </c>
      <c r="EN410" s="460">
        <f t="shared" si="231"/>
        <v>0</v>
      </c>
      <c r="EO410" s="469">
        <f t="shared" si="232"/>
        <v>0</v>
      </c>
      <c r="EP410" s="471"/>
      <c r="EQ410" s="450"/>
      <c r="ER410" s="471"/>
      <c r="ES410" s="450"/>
      <c r="ET410" s="471"/>
      <c r="EU410" s="450"/>
      <c r="EV410" s="471"/>
      <c r="EW410" s="450"/>
      <c r="EX410" s="471"/>
      <c r="EY410" s="450"/>
      <c r="EZ410" s="471"/>
      <c r="FA410" s="450"/>
      <c r="FB410" s="471"/>
      <c r="FC410" s="450"/>
      <c r="FD410" s="471"/>
      <c r="FE410" s="450"/>
      <c r="FF410" s="471"/>
      <c r="FG410" s="450"/>
      <c r="FH410" s="472"/>
      <c r="FI410" s="450"/>
      <c r="FJ410" s="468">
        <f t="shared" si="233"/>
        <v>0</v>
      </c>
      <c r="FK410" s="469">
        <f t="shared" si="234"/>
        <v>0</v>
      </c>
      <c r="FL410" s="472"/>
      <c r="FM410" s="450"/>
      <c r="FN410" s="460">
        <f t="shared" si="235"/>
        <v>91</v>
      </c>
      <c r="FO410" s="469">
        <f t="shared" si="236"/>
        <v>95</v>
      </c>
    </row>
    <row r="411" spans="1:171" x14ac:dyDescent="0.2">
      <c r="A411" s="454" t="s">
        <v>644</v>
      </c>
      <c r="B411" s="455" t="s">
        <v>657</v>
      </c>
      <c r="C411" s="504"/>
      <c r="D411" s="505">
        <v>418296</v>
      </c>
      <c r="E411" s="531">
        <v>13</v>
      </c>
      <c r="F411" s="532">
        <v>314</v>
      </c>
      <c r="G411" s="450">
        <v>306</v>
      </c>
      <c r="H411" s="457">
        <v>16</v>
      </c>
      <c r="I411" s="450">
        <v>11</v>
      </c>
      <c r="J411" s="457"/>
      <c r="K411" s="742"/>
      <c r="L411" s="458">
        <f t="shared" si="213"/>
        <v>0</v>
      </c>
      <c r="M411" s="449">
        <f t="shared" si="214"/>
        <v>0</v>
      </c>
      <c r="N411" s="459"/>
      <c r="O411" s="459"/>
      <c r="P411" s="459"/>
      <c r="Q411" s="459"/>
      <c r="R411" s="460">
        <f t="shared" si="215"/>
        <v>0</v>
      </c>
      <c r="S411" s="646"/>
      <c r="T411" s="461"/>
      <c r="U411" s="461"/>
      <c r="V411" s="461"/>
      <c r="W411" s="462">
        <f t="shared" si="216"/>
        <v>0</v>
      </c>
      <c r="X411" s="463"/>
      <c r="Y411" s="457"/>
      <c r="Z411" s="464"/>
      <c r="AA411" s="464"/>
      <c r="AB411" s="465"/>
      <c r="AC411" s="457"/>
      <c r="AD411" s="464"/>
      <c r="AE411" s="466"/>
      <c r="AF411" s="465"/>
      <c r="AG411" s="457"/>
      <c r="AH411" s="464"/>
      <c r="AI411" s="466"/>
      <c r="AJ411" s="465"/>
      <c r="AK411" s="457"/>
      <c r="AL411" s="464"/>
      <c r="AM411" s="466"/>
      <c r="AN411" s="465"/>
      <c r="AO411" s="457"/>
      <c r="AP411" s="464"/>
      <c r="AQ411" s="464"/>
      <c r="AR411" s="460">
        <f t="shared" si="217"/>
        <v>0</v>
      </c>
      <c r="AS411" s="467">
        <f t="shared" si="218"/>
        <v>0</v>
      </c>
      <c r="AT411" s="447">
        <f t="shared" si="219"/>
        <v>0</v>
      </c>
      <c r="AU411" s="448">
        <f t="shared" si="220"/>
        <v>0</v>
      </c>
      <c r="AV411" s="457"/>
      <c r="AW411" s="450"/>
      <c r="AX411" s="463"/>
      <c r="AY411" s="457"/>
      <c r="AZ411" s="464"/>
      <c r="BA411" s="464"/>
      <c r="BB411" s="465"/>
      <c r="BC411" s="457"/>
      <c r="BD411" s="464"/>
      <c r="BE411" s="466"/>
      <c r="BF411" s="465"/>
      <c r="BG411" s="457"/>
      <c r="BH411" s="464"/>
      <c r="BI411" s="466"/>
      <c r="BJ411" s="465"/>
      <c r="BK411" s="457"/>
      <c r="BL411" s="464"/>
      <c r="BM411" s="466"/>
      <c r="BN411" s="465"/>
      <c r="BO411" s="457"/>
      <c r="BP411" s="464"/>
      <c r="BQ411" s="466"/>
      <c r="BR411" s="465"/>
      <c r="BS411" s="457"/>
      <c r="BT411" s="464"/>
      <c r="BU411" s="466"/>
      <c r="BV411" s="465"/>
      <c r="BW411" s="457"/>
      <c r="BX411" s="464"/>
      <c r="BY411" s="466"/>
      <c r="BZ411" s="465"/>
      <c r="CA411" s="457"/>
      <c r="CB411" s="464"/>
      <c r="CC411" s="466"/>
      <c r="CD411" s="465"/>
      <c r="CE411" s="457"/>
      <c r="CF411" s="464"/>
      <c r="CG411" s="466"/>
      <c r="CH411" s="465"/>
      <c r="CI411" s="457"/>
      <c r="CJ411" s="464"/>
      <c r="CK411" s="466"/>
      <c r="CL411" s="459"/>
      <c r="CM411" s="450"/>
      <c r="CN411" s="468">
        <f t="shared" si="221"/>
        <v>0</v>
      </c>
      <c r="CO411" s="468">
        <f t="shared" si="222"/>
        <v>0</v>
      </c>
      <c r="CP411" s="469">
        <f t="shared" si="223"/>
        <v>0</v>
      </c>
      <c r="CQ411" s="469">
        <f t="shared" si="224"/>
        <v>0</v>
      </c>
      <c r="CR411" s="463"/>
      <c r="CS411" s="457"/>
      <c r="CT411" s="464"/>
      <c r="CU411" s="464"/>
      <c r="CV411" s="465"/>
      <c r="CW411" s="457"/>
      <c r="CX411" s="464"/>
      <c r="CY411" s="466"/>
      <c r="CZ411" s="465"/>
      <c r="DA411" s="457"/>
      <c r="DB411" s="464"/>
      <c r="DC411" s="466"/>
      <c r="DD411" s="465"/>
      <c r="DE411" s="457"/>
      <c r="DF411" s="464"/>
      <c r="DG411" s="466"/>
      <c r="DH411" s="465"/>
      <c r="DI411" s="457"/>
      <c r="DJ411" s="464"/>
      <c r="DK411" s="466"/>
      <c r="DL411" s="465"/>
      <c r="DM411" s="457"/>
      <c r="DN411" s="464"/>
      <c r="DO411" s="466"/>
      <c r="DP411" s="465"/>
      <c r="DQ411" s="457"/>
      <c r="DR411" s="464"/>
      <c r="DS411" s="466"/>
      <c r="DT411" s="465"/>
      <c r="DU411" s="457"/>
      <c r="DV411" s="464"/>
      <c r="DW411" s="466"/>
      <c r="DX411" s="465"/>
      <c r="DY411" s="457"/>
      <c r="DZ411" s="464"/>
      <c r="EA411" s="466"/>
      <c r="EB411" s="465"/>
      <c r="EC411" s="457"/>
      <c r="ED411" s="464"/>
      <c r="EE411" s="466"/>
      <c r="EF411" s="459"/>
      <c r="EG411" s="450"/>
      <c r="EH411" s="460">
        <f t="shared" si="225"/>
        <v>0</v>
      </c>
      <c r="EI411" s="460">
        <f t="shared" si="226"/>
        <v>0</v>
      </c>
      <c r="EJ411" s="458">
        <f t="shared" si="227"/>
        <v>0</v>
      </c>
      <c r="EK411" s="470">
        <f t="shared" si="228"/>
        <v>0</v>
      </c>
      <c r="EL411" s="470">
        <f t="shared" si="229"/>
        <v>0</v>
      </c>
      <c r="EM411" s="449">
        <f t="shared" si="230"/>
        <v>0</v>
      </c>
      <c r="EN411" s="460">
        <f t="shared" si="231"/>
        <v>0</v>
      </c>
      <c r="EO411" s="469">
        <f t="shared" si="232"/>
        <v>0</v>
      </c>
      <c r="EP411" s="471"/>
      <c r="EQ411" s="450"/>
      <c r="ER411" s="471"/>
      <c r="ES411" s="450"/>
      <c r="ET411" s="471"/>
      <c r="EU411" s="450"/>
      <c r="EV411" s="471"/>
      <c r="EW411" s="450"/>
      <c r="EX411" s="471"/>
      <c r="EY411" s="450"/>
      <c r="EZ411" s="471"/>
      <c r="FA411" s="450"/>
      <c r="FB411" s="471"/>
      <c r="FC411" s="450"/>
      <c r="FD411" s="471"/>
      <c r="FE411" s="450"/>
      <c r="FF411" s="471"/>
      <c r="FG411" s="450"/>
      <c r="FH411" s="472"/>
      <c r="FI411" s="450"/>
      <c r="FJ411" s="468">
        <f t="shared" si="233"/>
        <v>0</v>
      </c>
      <c r="FK411" s="469">
        <f t="shared" si="234"/>
        <v>0</v>
      </c>
      <c r="FL411" s="472"/>
      <c r="FM411" s="450"/>
      <c r="FN411" s="460">
        <f t="shared" si="235"/>
        <v>330</v>
      </c>
      <c r="FO411" s="469">
        <f t="shared" si="236"/>
        <v>317</v>
      </c>
    </row>
    <row r="412" spans="1:171" x14ac:dyDescent="0.2">
      <c r="A412" s="454" t="s">
        <v>644</v>
      </c>
      <c r="B412" s="455" t="s">
        <v>658</v>
      </c>
      <c r="C412" s="504"/>
      <c r="D412" s="505">
        <v>421540</v>
      </c>
      <c r="E412" s="531">
        <v>13</v>
      </c>
      <c r="F412" s="532">
        <v>116</v>
      </c>
      <c r="G412" s="450">
        <v>103</v>
      </c>
      <c r="H412" s="457"/>
      <c r="I412" s="450">
        <v>0</v>
      </c>
      <c r="J412" s="457"/>
      <c r="K412" s="742"/>
      <c r="L412" s="458">
        <f t="shared" si="213"/>
        <v>0</v>
      </c>
      <c r="M412" s="449">
        <f t="shared" si="214"/>
        <v>0</v>
      </c>
      <c r="N412" s="459"/>
      <c r="O412" s="459"/>
      <c r="P412" s="459"/>
      <c r="Q412" s="459"/>
      <c r="R412" s="460">
        <f t="shared" si="215"/>
        <v>0</v>
      </c>
      <c r="S412" s="646"/>
      <c r="T412" s="461"/>
      <c r="U412" s="461"/>
      <c r="V412" s="461"/>
      <c r="W412" s="462">
        <f t="shared" si="216"/>
        <v>0</v>
      </c>
      <c r="X412" s="463"/>
      <c r="Y412" s="457"/>
      <c r="Z412" s="464"/>
      <c r="AA412" s="464"/>
      <c r="AB412" s="465"/>
      <c r="AC412" s="457"/>
      <c r="AD412" s="464"/>
      <c r="AE412" s="466"/>
      <c r="AF412" s="465"/>
      <c r="AG412" s="457"/>
      <c r="AH412" s="464"/>
      <c r="AI412" s="466"/>
      <c r="AJ412" s="465"/>
      <c r="AK412" s="457"/>
      <c r="AL412" s="464"/>
      <c r="AM412" s="466"/>
      <c r="AN412" s="465"/>
      <c r="AO412" s="457"/>
      <c r="AP412" s="464"/>
      <c r="AQ412" s="464"/>
      <c r="AR412" s="460">
        <f t="shared" si="217"/>
        <v>0</v>
      </c>
      <c r="AS412" s="467">
        <f t="shared" si="218"/>
        <v>0</v>
      </c>
      <c r="AT412" s="447">
        <f t="shared" si="219"/>
        <v>0</v>
      </c>
      <c r="AU412" s="448">
        <f t="shared" si="220"/>
        <v>0</v>
      </c>
      <c r="AV412" s="457"/>
      <c r="AW412" s="450"/>
      <c r="AX412" s="463"/>
      <c r="AY412" s="457"/>
      <c r="AZ412" s="464"/>
      <c r="BA412" s="464"/>
      <c r="BB412" s="465"/>
      <c r="BC412" s="457"/>
      <c r="BD412" s="464"/>
      <c r="BE412" s="466"/>
      <c r="BF412" s="465"/>
      <c r="BG412" s="457"/>
      <c r="BH412" s="464"/>
      <c r="BI412" s="466"/>
      <c r="BJ412" s="465"/>
      <c r="BK412" s="457"/>
      <c r="BL412" s="464"/>
      <c r="BM412" s="466"/>
      <c r="BN412" s="465"/>
      <c r="BO412" s="457"/>
      <c r="BP412" s="464"/>
      <c r="BQ412" s="466"/>
      <c r="BR412" s="465"/>
      <c r="BS412" s="457"/>
      <c r="BT412" s="464"/>
      <c r="BU412" s="466"/>
      <c r="BV412" s="465"/>
      <c r="BW412" s="457"/>
      <c r="BX412" s="464"/>
      <c r="BY412" s="466"/>
      <c r="BZ412" s="465"/>
      <c r="CA412" s="457"/>
      <c r="CB412" s="464"/>
      <c r="CC412" s="466"/>
      <c r="CD412" s="465"/>
      <c r="CE412" s="457"/>
      <c r="CF412" s="464"/>
      <c r="CG412" s="466"/>
      <c r="CH412" s="465"/>
      <c r="CI412" s="457"/>
      <c r="CJ412" s="464"/>
      <c r="CK412" s="466"/>
      <c r="CL412" s="459"/>
      <c r="CM412" s="450"/>
      <c r="CN412" s="468">
        <f t="shared" si="221"/>
        <v>0</v>
      </c>
      <c r="CO412" s="468">
        <f t="shared" si="222"/>
        <v>0</v>
      </c>
      <c r="CP412" s="469">
        <f t="shared" si="223"/>
        <v>0</v>
      </c>
      <c r="CQ412" s="469">
        <f t="shared" si="224"/>
        <v>0</v>
      </c>
      <c r="CR412" s="463"/>
      <c r="CS412" s="457"/>
      <c r="CT412" s="464"/>
      <c r="CU412" s="464"/>
      <c r="CV412" s="465"/>
      <c r="CW412" s="457"/>
      <c r="CX412" s="464"/>
      <c r="CY412" s="466"/>
      <c r="CZ412" s="465"/>
      <c r="DA412" s="457"/>
      <c r="DB412" s="464"/>
      <c r="DC412" s="466"/>
      <c r="DD412" s="465"/>
      <c r="DE412" s="457"/>
      <c r="DF412" s="464"/>
      <c r="DG412" s="466"/>
      <c r="DH412" s="465"/>
      <c r="DI412" s="457"/>
      <c r="DJ412" s="464"/>
      <c r="DK412" s="466"/>
      <c r="DL412" s="465"/>
      <c r="DM412" s="457"/>
      <c r="DN412" s="464"/>
      <c r="DO412" s="466"/>
      <c r="DP412" s="465"/>
      <c r="DQ412" s="457"/>
      <c r="DR412" s="464"/>
      <c r="DS412" s="466"/>
      <c r="DT412" s="465"/>
      <c r="DU412" s="457"/>
      <c r="DV412" s="464"/>
      <c r="DW412" s="466"/>
      <c r="DX412" s="465"/>
      <c r="DY412" s="457"/>
      <c r="DZ412" s="464"/>
      <c r="EA412" s="466"/>
      <c r="EB412" s="465"/>
      <c r="EC412" s="457"/>
      <c r="ED412" s="464"/>
      <c r="EE412" s="466"/>
      <c r="EF412" s="459"/>
      <c r="EG412" s="450"/>
      <c r="EH412" s="460">
        <f t="shared" si="225"/>
        <v>0</v>
      </c>
      <c r="EI412" s="460">
        <f t="shared" si="226"/>
        <v>0</v>
      </c>
      <c r="EJ412" s="458">
        <f t="shared" si="227"/>
        <v>0</v>
      </c>
      <c r="EK412" s="470">
        <f t="shared" si="228"/>
        <v>0</v>
      </c>
      <c r="EL412" s="470">
        <f t="shared" si="229"/>
        <v>0</v>
      </c>
      <c r="EM412" s="449">
        <f t="shared" si="230"/>
        <v>0</v>
      </c>
      <c r="EN412" s="460">
        <f t="shared" si="231"/>
        <v>0</v>
      </c>
      <c r="EO412" s="469">
        <f t="shared" si="232"/>
        <v>0</v>
      </c>
      <c r="EP412" s="471"/>
      <c r="EQ412" s="450"/>
      <c r="ER412" s="471"/>
      <c r="ES412" s="450"/>
      <c r="ET412" s="471"/>
      <c r="EU412" s="450"/>
      <c r="EV412" s="471"/>
      <c r="EW412" s="450"/>
      <c r="EX412" s="471"/>
      <c r="EY412" s="450"/>
      <c r="EZ412" s="471"/>
      <c r="FA412" s="450"/>
      <c r="FB412" s="471"/>
      <c r="FC412" s="450"/>
      <c r="FD412" s="471"/>
      <c r="FE412" s="450"/>
      <c r="FF412" s="471"/>
      <c r="FG412" s="450"/>
      <c r="FH412" s="472"/>
      <c r="FI412" s="450"/>
      <c r="FJ412" s="468">
        <f t="shared" si="233"/>
        <v>0</v>
      </c>
      <c r="FK412" s="469">
        <f t="shared" si="234"/>
        <v>0</v>
      </c>
      <c r="FL412" s="472"/>
      <c r="FM412" s="450"/>
      <c r="FN412" s="460">
        <f t="shared" si="235"/>
        <v>116</v>
      </c>
      <c r="FO412" s="469">
        <f t="shared" si="236"/>
        <v>103</v>
      </c>
    </row>
    <row r="413" spans="1:171" x14ac:dyDescent="0.2">
      <c r="A413" s="454" t="s">
        <v>644</v>
      </c>
      <c r="B413" s="455" t="s">
        <v>659</v>
      </c>
      <c r="C413" s="504"/>
      <c r="D413" s="505">
        <v>421559</v>
      </c>
      <c r="E413" s="531">
        <v>13</v>
      </c>
      <c r="F413" s="532">
        <v>58</v>
      </c>
      <c r="G413" s="450">
        <v>87</v>
      </c>
      <c r="H413" s="457"/>
      <c r="I413" s="450">
        <v>0</v>
      </c>
      <c r="J413" s="457"/>
      <c r="K413" s="742"/>
      <c r="L413" s="458">
        <f t="shared" si="213"/>
        <v>0</v>
      </c>
      <c r="M413" s="449">
        <f t="shared" si="214"/>
        <v>0</v>
      </c>
      <c r="N413" s="459"/>
      <c r="O413" s="459"/>
      <c r="P413" s="459"/>
      <c r="Q413" s="459"/>
      <c r="R413" s="460">
        <f t="shared" si="215"/>
        <v>0</v>
      </c>
      <c r="S413" s="646"/>
      <c r="T413" s="461"/>
      <c r="U413" s="461"/>
      <c r="V413" s="461"/>
      <c r="W413" s="462">
        <f t="shared" si="216"/>
        <v>0</v>
      </c>
      <c r="X413" s="463"/>
      <c r="Y413" s="457"/>
      <c r="Z413" s="464"/>
      <c r="AA413" s="464"/>
      <c r="AB413" s="465"/>
      <c r="AC413" s="457"/>
      <c r="AD413" s="464"/>
      <c r="AE413" s="466"/>
      <c r="AF413" s="465"/>
      <c r="AG413" s="457"/>
      <c r="AH413" s="464"/>
      <c r="AI413" s="466"/>
      <c r="AJ413" s="465"/>
      <c r="AK413" s="457"/>
      <c r="AL413" s="464"/>
      <c r="AM413" s="466"/>
      <c r="AN413" s="465"/>
      <c r="AO413" s="457"/>
      <c r="AP413" s="464"/>
      <c r="AQ413" s="464"/>
      <c r="AR413" s="460">
        <f t="shared" si="217"/>
        <v>0</v>
      </c>
      <c r="AS413" s="467">
        <f t="shared" si="218"/>
        <v>0</v>
      </c>
      <c r="AT413" s="447">
        <f t="shared" si="219"/>
        <v>0</v>
      </c>
      <c r="AU413" s="448">
        <f t="shared" si="220"/>
        <v>0</v>
      </c>
      <c r="AV413" s="457"/>
      <c r="AW413" s="450"/>
      <c r="AX413" s="463"/>
      <c r="AY413" s="457"/>
      <c r="AZ413" s="464"/>
      <c r="BA413" s="464"/>
      <c r="BB413" s="465"/>
      <c r="BC413" s="457"/>
      <c r="BD413" s="464"/>
      <c r="BE413" s="466"/>
      <c r="BF413" s="465"/>
      <c r="BG413" s="457"/>
      <c r="BH413" s="464"/>
      <c r="BI413" s="466"/>
      <c r="BJ413" s="465"/>
      <c r="BK413" s="457"/>
      <c r="BL413" s="464"/>
      <c r="BM413" s="466"/>
      <c r="BN413" s="465"/>
      <c r="BO413" s="457"/>
      <c r="BP413" s="464"/>
      <c r="BQ413" s="466"/>
      <c r="BR413" s="465"/>
      <c r="BS413" s="457"/>
      <c r="BT413" s="464"/>
      <c r="BU413" s="466"/>
      <c r="BV413" s="465"/>
      <c r="BW413" s="457"/>
      <c r="BX413" s="464"/>
      <c r="BY413" s="466"/>
      <c r="BZ413" s="465"/>
      <c r="CA413" s="457"/>
      <c r="CB413" s="464"/>
      <c r="CC413" s="466"/>
      <c r="CD413" s="465"/>
      <c r="CE413" s="457"/>
      <c r="CF413" s="464"/>
      <c r="CG413" s="466"/>
      <c r="CH413" s="465"/>
      <c r="CI413" s="457"/>
      <c r="CJ413" s="464"/>
      <c r="CK413" s="466"/>
      <c r="CL413" s="459"/>
      <c r="CM413" s="450"/>
      <c r="CN413" s="468">
        <f t="shared" si="221"/>
        <v>0</v>
      </c>
      <c r="CO413" s="468">
        <f t="shared" si="222"/>
        <v>0</v>
      </c>
      <c r="CP413" s="469">
        <f t="shared" si="223"/>
        <v>0</v>
      </c>
      <c r="CQ413" s="469">
        <f t="shared" si="224"/>
        <v>0</v>
      </c>
      <c r="CR413" s="463"/>
      <c r="CS413" s="457"/>
      <c r="CT413" s="464"/>
      <c r="CU413" s="464"/>
      <c r="CV413" s="465"/>
      <c r="CW413" s="457"/>
      <c r="CX413" s="464"/>
      <c r="CY413" s="466"/>
      <c r="CZ413" s="465"/>
      <c r="DA413" s="457"/>
      <c r="DB413" s="464"/>
      <c r="DC413" s="466"/>
      <c r="DD413" s="465"/>
      <c r="DE413" s="457"/>
      <c r="DF413" s="464"/>
      <c r="DG413" s="466"/>
      <c r="DH413" s="465"/>
      <c r="DI413" s="457"/>
      <c r="DJ413" s="464"/>
      <c r="DK413" s="466"/>
      <c r="DL413" s="465"/>
      <c r="DM413" s="457"/>
      <c r="DN413" s="464"/>
      <c r="DO413" s="466"/>
      <c r="DP413" s="465"/>
      <c r="DQ413" s="457"/>
      <c r="DR413" s="464"/>
      <c r="DS413" s="466"/>
      <c r="DT413" s="465"/>
      <c r="DU413" s="457"/>
      <c r="DV413" s="464"/>
      <c r="DW413" s="466"/>
      <c r="DX413" s="465"/>
      <c r="DY413" s="457"/>
      <c r="DZ413" s="464"/>
      <c r="EA413" s="466"/>
      <c r="EB413" s="465"/>
      <c r="EC413" s="457"/>
      <c r="ED413" s="464"/>
      <c r="EE413" s="466"/>
      <c r="EF413" s="459"/>
      <c r="EG413" s="450"/>
      <c r="EH413" s="460">
        <f t="shared" si="225"/>
        <v>0</v>
      </c>
      <c r="EI413" s="460">
        <f t="shared" si="226"/>
        <v>0</v>
      </c>
      <c r="EJ413" s="458">
        <f t="shared" si="227"/>
        <v>0</v>
      </c>
      <c r="EK413" s="470">
        <f t="shared" si="228"/>
        <v>0</v>
      </c>
      <c r="EL413" s="470">
        <f t="shared" si="229"/>
        <v>0</v>
      </c>
      <c r="EM413" s="449">
        <f t="shared" si="230"/>
        <v>0</v>
      </c>
      <c r="EN413" s="460">
        <f t="shared" si="231"/>
        <v>0</v>
      </c>
      <c r="EO413" s="469">
        <f t="shared" si="232"/>
        <v>0</v>
      </c>
      <c r="EP413" s="471"/>
      <c r="EQ413" s="450"/>
      <c r="ER413" s="471"/>
      <c r="ES413" s="450"/>
      <c r="ET413" s="471"/>
      <c r="EU413" s="450"/>
      <c r="EV413" s="471"/>
      <c r="EW413" s="450"/>
      <c r="EX413" s="471"/>
      <c r="EY413" s="450"/>
      <c r="EZ413" s="471"/>
      <c r="FA413" s="450"/>
      <c r="FB413" s="471"/>
      <c r="FC413" s="450"/>
      <c r="FD413" s="471"/>
      <c r="FE413" s="450"/>
      <c r="FF413" s="471"/>
      <c r="FG413" s="450"/>
      <c r="FH413" s="472"/>
      <c r="FI413" s="450"/>
      <c r="FJ413" s="468">
        <f t="shared" si="233"/>
        <v>0</v>
      </c>
      <c r="FK413" s="469">
        <f t="shared" si="234"/>
        <v>0</v>
      </c>
      <c r="FL413" s="472"/>
      <c r="FM413" s="450"/>
      <c r="FN413" s="460">
        <f t="shared" si="235"/>
        <v>58</v>
      </c>
      <c r="FO413" s="469">
        <f t="shared" si="236"/>
        <v>87</v>
      </c>
    </row>
    <row r="414" spans="1:171" x14ac:dyDescent="0.2">
      <c r="A414" s="454" t="s">
        <v>644</v>
      </c>
      <c r="B414" s="455" t="s">
        <v>660</v>
      </c>
      <c r="C414" s="504"/>
      <c r="D414" s="505">
        <v>208026</v>
      </c>
      <c r="E414" s="531">
        <v>13</v>
      </c>
      <c r="F414" s="532">
        <v>158</v>
      </c>
      <c r="G414" s="450">
        <v>143</v>
      </c>
      <c r="H414" s="457"/>
      <c r="I414" s="450">
        <v>0</v>
      </c>
      <c r="J414" s="457"/>
      <c r="K414" s="742"/>
      <c r="L414" s="458">
        <f t="shared" si="213"/>
        <v>0</v>
      </c>
      <c r="M414" s="449">
        <f t="shared" si="214"/>
        <v>0</v>
      </c>
      <c r="N414" s="459"/>
      <c r="O414" s="459"/>
      <c r="P414" s="459"/>
      <c r="Q414" s="459"/>
      <c r="R414" s="460">
        <f t="shared" si="215"/>
        <v>0</v>
      </c>
      <c r="S414" s="646"/>
      <c r="T414" s="461"/>
      <c r="U414" s="461"/>
      <c r="V414" s="461"/>
      <c r="W414" s="462">
        <f t="shared" si="216"/>
        <v>0</v>
      </c>
      <c r="X414" s="463"/>
      <c r="Y414" s="457"/>
      <c r="Z414" s="464"/>
      <c r="AA414" s="464"/>
      <c r="AB414" s="465"/>
      <c r="AC414" s="457"/>
      <c r="AD414" s="464"/>
      <c r="AE414" s="466"/>
      <c r="AF414" s="465"/>
      <c r="AG414" s="457"/>
      <c r="AH414" s="464"/>
      <c r="AI414" s="466"/>
      <c r="AJ414" s="465"/>
      <c r="AK414" s="457"/>
      <c r="AL414" s="464"/>
      <c r="AM414" s="466"/>
      <c r="AN414" s="465"/>
      <c r="AO414" s="457"/>
      <c r="AP414" s="464"/>
      <c r="AQ414" s="464"/>
      <c r="AR414" s="460">
        <f t="shared" si="217"/>
        <v>0</v>
      </c>
      <c r="AS414" s="467">
        <f t="shared" si="218"/>
        <v>0</v>
      </c>
      <c r="AT414" s="447">
        <f t="shared" si="219"/>
        <v>0</v>
      </c>
      <c r="AU414" s="448">
        <f t="shared" si="220"/>
        <v>0</v>
      </c>
      <c r="AV414" s="457"/>
      <c r="AW414" s="450"/>
      <c r="AX414" s="463"/>
      <c r="AY414" s="457"/>
      <c r="AZ414" s="464"/>
      <c r="BA414" s="464"/>
      <c r="BB414" s="465"/>
      <c r="BC414" s="457"/>
      <c r="BD414" s="464"/>
      <c r="BE414" s="466"/>
      <c r="BF414" s="465"/>
      <c r="BG414" s="457"/>
      <c r="BH414" s="464"/>
      <c r="BI414" s="466"/>
      <c r="BJ414" s="465"/>
      <c r="BK414" s="457"/>
      <c r="BL414" s="464"/>
      <c r="BM414" s="466"/>
      <c r="BN414" s="465"/>
      <c r="BO414" s="457"/>
      <c r="BP414" s="464"/>
      <c r="BQ414" s="466"/>
      <c r="BR414" s="465"/>
      <c r="BS414" s="457"/>
      <c r="BT414" s="464"/>
      <c r="BU414" s="466"/>
      <c r="BV414" s="465"/>
      <c r="BW414" s="457"/>
      <c r="BX414" s="464"/>
      <c r="BY414" s="466"/>
      <c r="BZ414" s="465"/>
      <c r="CA414" s="457"/>
      <c r="CB414" s="464"/>
      <c r="CC414" s="466"/>
      <c r="CD414" s="465"/>
      <c r="CE414" s="457"/>
      <c r="CF414" s="464"/>
      <c r="CG414" s="466"/>
      <c r="CH414" s="465"/>
      <c r="CI414" s="457"/>
      <c r="CJ414" s="464"/>
      <c r="CK414" s="466"/>
      <c r="CL414" s="459"/>
      <c r="CM414" s="450"/>
      <c r="CN414" s="468">
        <f t="shared" si="221"/>
        <v>0</v>
      </c>
      <c r="CO414" s="468">
        <f t="shared" si="222"/>
        <v>0</v>
      </c>
      <c r="CP414" s="469">
        <f t="shared" si="223"/>
        <v>0</v>
      </c>
      <c r="CQ414" s="469">
        <f t="shared" si="224"/>
        <v>0</v>
      </c>
      <c r="CR414" s="463"/>
      <c r="CS414" s="457"/>
      <c r="CT414" s="464"/>
      <c r="CU414" s="464"/>
      <c r="CV414" s="465"/>
      <c r="CW414" s="457"/>
      <c r="CX414" s="464"/>
      <c r="CY414" s="466"/>
      <c r="CZ414" s="465"/>
      <c r="DA414" s="457"/>
      <c r="DB414" s="464"/>
      <c r="DC414" s="466"/>
      <c r="DD414" s="465"/>
      <c r="DE414" s="457"/>
      <c r="DF414" s="464"/>
      <c r="DG414" s="466"/>
      <c r="DH414" s="465"/>
      <c r="DI414" s="457"/>
      <c r="DJ414" s="464"/>
      <c r="DK414" s="466"/>
      <c r="DL414" s="465"/>
      <c r="DM414" s="457"/>
      <c r="DN414" s="464"/>
      <c r="DO414" s="466"/>
      <c r="DP414" s="465"/>
      <c r="DQ414" s="457"/>
      <c r="DR414" s="464"/>
      <c r="DS414" s="466"/>
      <c r="DT414" s="465"/>
      <c r="DU414" s="457"/>
      <c r="DV414" s="464"/>
      <c r="DW414" s="466"/>
      <c r="DX414" s="465"/>
      <c r="DY414" s="457"/>
      <c r="DZ414" s="464"/>
      <c r="EA414" s="466"/>
      <c r="EB414" s="465"/>
      <c r="EC414" s="457"/>
      <c r="ED414" s="464"/>
      <c r="EE414" s="466"/>
      <c r="EF414" s="459"/>
      <c r="EG414" s="450"/>
      <c r="EH414" s="460">
        <f t="shared" si="225"/>
        <v>0</v>
      </c>
      <c r="EI414" s="460">
        <f t="shared" si="226"/>
        <v>0</v>
      </c>
      <c r="EJ414" s="458">
        <f t="shared" si="227"/>
        <v>0</v>
      </c>
      <c r="EK414" s="470">
        <f t="shared" si="228"/>
        <v>0</v>
      </c>
      <c r="EL414" s="470">
        <f t="shared" si="229"/>
        <v>0</v>
      </c>
      <c r="EM414" s="449">
        <f t="shared" si="230"/>
        <v>0</v>
      </c>
      <c r="EN414" s="460">
        <f t="shared" si="231"/>
        <v>0</v>
      </c>
      <c r="EO414" s="469">
        <f t="shared" si="232"/>
        <v>0</v>
      </c>
      <c r="EP414" s="471"/>
      <c r="EQ414" s="450"/>
      <c r="ER414" s="471"/>
      <c r="ES414" s="450"/>
      <c r="ET414" s="471"/>
      <c r="EU414" s="450"/>
      <c r="EV414" s="471"/>
      <c r="EW414" s="450"/>
      <c r="EX414" s="471"/>
      <c r="EY414" s="450"/>
      <c r="EZ414" s="471"/>
      <c r="FA414" s="450"/>
      <c r="FB414" s="471"/>
      <c r="FC414" s="450"/>
      <c r="FD414" s="471"/>
      <c r="FE414" s="450"/>
      <c r="FF414" s="471"/>
      <c r="FG414" s="450"/>
      <c r="FH414" s="472"/>
      <c r="FI414" s="450"/>
      <c r="FJ414" s="468">
        <f t="shared" si="233"/>
        <v>0</v>
      </c>
      <c r="FK414" s="469">
        <f t="shared" si="234"/>
        <v>0</v>
      </c>
      <c r="FL414" s="472"/>
      <c r="FM414" s="450"/>
      <c r="FN414" s="460">
        <f t="shared" si="235"/>
        <v>158</v>
      </c>
      <c r="FO414" s="469">
        <f t="shared" si="236"/>
        <v>143</v>
      </c>
    </row>
    <row r="415" spans="1:171" x14ac:dyDescent="0.2">
      <c r="A415" s="454" t="s">
        <v>644</v>
      </c>
      <c r="B415" s="455" t="s">
        <v>661</v>
      </c>
      <c r="C415" s="504"/>
      <c r="D415" s="505">
        <v>375692</v>
      </c>
      <c r="E415" s="531">
        <v>13</v>
      </c>
      <c r="F415" s="532">
        <v>67</v>
      </c>
      <c r="G415" s="450">
        <v>46</v>
      </c>
      <c r="H415" s="457"/>
      <c r="I415" s="450">
        <v>0</v>
      </c>
      <c r="J415" s="457"/>
      <c r="K415" s="742"/>
      <c r="L415" s="458">
        <f t="shared" si="213"/>
        <v>0</v>
      </c>
      <c r="M415" s="449">
        <f t="shared" si="214"/>
        <v>0</v>
      </c>
      <c r="N415" s="459"/>
      <c r="O415" s="459"/>
      <c r="P415" s="459"/>
      <c r="Q415" s="459"/>
      <c r="R415" s="460">
        <f t="shared" si="215"/>
        <v>0</v>
      </c>
      <c r="S415" s="646"/>
      <c r="T415" s="461"/>
      <c r="U415" s="461"/>
      <c r="V415" s="461"/>
      <c r="W415" s="462">
        <f t="shared" si="216"/>
        <v>0</v>
      </c>
      <c r="X415" s="463"/>
      <c r="Y415" s="457"/>
      <c r="Z415" s="464"/>
      <c r="AA415" s="464"/>
      <c r="AB415" s="465"/>
      <c r="AC415" s="457"/>
      <c r="AD415" s="464"/>
      <c r="AE415" s="466"/>
      <c r="AF415" s="465"/>
      <c r="AG415" s="457"/>
      <c r="AH415" s="464"/>
      <c r="AI415" s="466"/>
      <c r="AJ415" s="465"/>
      <c r="AK415" s="457"/>
      <c r="AL415" s="464"/>
      <c r="AM415" s="466"/>
      <c r="AN415" s="465"/>
      <c r="AO415" s="457"/>
      <c r="AP415" s="464"/>
      <c r="AQ415" s="464"/>
      <c r="AR415" s="460">
        <f t="shared" si="217"/>
        <v>0</v>
      </c>
      <c r="AS415" s="467">
        <f t="shared" si="218"/>
        <v>0</v>
      </c>
      <c r="AT415" s="447">
        <f t="shared" si="219"/>
        <v>0</v>
      </c>
      <c r="AU415" s="448">
        <f t="shared" si="220"/>
        <v>0</v>
      </c>
      <c r="AV415" s="457"/>
      <c r="AW415" s="450"/>
      <c r="AX415" s="463"/>
      <c r="AY415" s="457"/>
      <c r="AZ415" s="464"/>
      <c r="BA415" s="464"/>
      <c r="BB415" s="465"/>
      <c r="BC415" s="457"/>
      <c r="BD415" s="464"/>
      <c r="BE415" s="466"/>
      <c r="BF415" s="465"/>
      <c r="BG415" s="457"/>
      <c r="BH415" s="464"/>
      <c r="BI415" s="466"/>
      <c r="BJ415" s="465"/>
      <c r="BK415" s="457"/>
      <c r="BL415" s="464"/>
      <c r="BM415" s="466"/>
      <c r="BN415" s="465"/>
      <c r="BO415" s="457"/>
      <c r="BP415" s="464"/>
      <c r="BQ415" s="466"/>
      <c r="BR415" s="465"/>
      <c r="BS415" s="457"/>
      <c r="BT415" s="464"/>
      <c r="BU415" s="466"/>
      <c r="BV415" s="465"/>
      <c r="BW415" s="457"/>
      <c r="BX415" s="464"/>
      <c r="BY415" s="466"/>
      <c r="BZ415" s="465"/>
      <c r="CA415" s="457"/>
      <c r="CB415" s="464"/>
      <c r="CC415" s="466"/>
      <c r="CD415" s="465"/>
      <c r="CE415" s="457"/>
      <c r="CF415" s="464"/>
      <c r="CG415" s="466"/>
      <c r="CH415" s="465"/>
      <c r="CI415" s="457"/>
      <c r="CJ415" s="464"/>
      <c r="CK415" s="466"/>
      <c r="CL415" s="459"/>
      <c r="CM415" s="450"/>
      <c r="CN415" s="468">
        <f t="shared" si="221"/>
        <v>0</v>
      </c>
      <c r="CO415" s="468">
        <f t="shared" si="222"/>
        <v>0</v>
      </c>
      <c r="CP415" s="469">
        <f t="shared" si="223"/>
        <v>0</v>
      </c>
      <c r="CQ415" s="469">
        <f t="shared" si="224"/>
        <v>0</v>
      </c>
      <c r="CR415" s="463"/>
      <c r="CS415" s="457"/>
      <c r="CT415" s="464"/>
      <c r="CU415" s="464"/>
      <c r="CV415" s="465"/>
      <c r="CW415" s="457"/>
      <c r="CX415" s="464"/>
      <c r="CY415" s="466"/>
      <c r="CZ415" s="465"/>
      <c r="DA415" s="457"/>
      <c r="DB415" s="464"/>
      <c r="DC415" s="466"/>
      <c r="DD415" s="465"/>
      <c r="DE415" s="457"/>
      <c r="DF415" s="464"/>
      <c r="DG415" s="466"/>
      <c r="DH415" s="465"/>
      <c r="DI415" s="457"/>
      <c r="DJ415" s="464"/>
      <c r="DK415" s="466"/>
      <c r="DL415" s="465"/>
      <c r="DM415" s="457"/>
      <c r="DN415" s="464"/>
      <c r="DO415" s="466"/>
      <c r="DP415" s="465"/>
      <c r="DQ415" s="457"/>
      <c r="DR415" s="464"/>
      <c r="DS415" s="466"/>
      <c r="DT415" s="465"/>
      <c r="DU415" s="457"/>
      <c r="DV415" s="464"/>
      <c r="DW415" s="466"/>
      <c r="DX415" s="465"/>
      <c r="DY415" s="457"/>
      <c r="DZ415" s="464"/>
      <c r="EA415" s="466"/>
      <c r="EB415" s="465"/>
      <c r="EC415" s="457"/>
      <c r="ED415" s="464"/>
      <c r="EE415" s="466"/>
      <c r="EF415" s="459"/>
      <c r="EG415" s="450"/>
      <c r="EH415" s="460">
        <f t="shared" si="225"/>
        <v>0</v>
      </c>
      <c r="EI415" s="460">
        <f t="shared" si="226"/>
        <v>0</v>
      </c>
      <c r="EJ415" s="458">
        <f t="shared" si="227"/>
        <v>0</v>
      </c>
      <c r="EK415" s="470">
        <f t="shared" si="228"/>
        <v>0</v>
      </c>
      <c r="EL415" s="470">
        <f t="shared" si="229"/>
        <v>0</v>
      </c>
      <c r="EM415" s="449">
        <f t="shared" si="230"/>
        <v>0</v>
      </c>
      <c r="EN415" s="460">
        <f t="shared" si="231"/>
        <v>0</v>
      </c>
      <c r="EO415" s="469">
        <f t="shared" si="232"/>
        <v>0</v>
      </c>
      <c r="EP415" s="471"/>
      <c r="EQ415" s="450"/>
      <c r="ER415" s="471"/>
      <c r="ES415" s="450"/>
      <c r="ET415" s="471"/>
      <c r="EU415" s="450"/>
      <c r="EV415" s="471"/>
      <c r="EW415" s="450"/>
      <c r="EX415" s="471"/>
      <c r="EY415" s="450"/>
      <c r="EZ415" s="471"/>
      <c r="FA415" s="450"/>
      <c r="FB415" s="471"/>
      <c r="FC415" s="450"/>
      <c r="FD415" s="471"/>
      <c r="FE415" s="450"/>
      <c r="FF415" s="471"/>
      <c r="FG415" s="450"/>
      <c r="FH415" s="472"/>
      <c r="FI415" s="450"/>
      <c r="FJ415" s="468">
        <f t="shared" si="233"/>
        <v>0</v>
      </c>
      <c r="FK415" s="469">
        <f t="shared" si="234"/>
        <v>0</v>
      </c>
      <c r="FL415" s="472"/>
      <c r="FM415" s="450"/>
      <c r="FN415" s="460">
        <f t="shared" si="235"/>
        <v>67</v>
      </c>
      <c r="FO415" s="469">
        <f t="shared" si="236"/>
        <v>46</v>
      </c>
    </row>
    <row r="416" spans="1:171" x14ac:dyDescent="0.2">
      <c r="A416" s="454" t="s">
        <v>644</v>
      </c>
      <c r="B416" s="455" t="s">
        <v>662</v>
      </c>
      <c r="C416" s="504"/>
      <c r="D416" s="505">
        <v>375708</v>
      </c>
      <c r="E416" s="531">
        <v>13</v>
      </c>
      <c r="F416" s="532">
        <v>128</v>
      </c>
      <c r="G416" s="450">
        <v>133</v>
      </c>
      <c r="H416" s="457"/>
      <c r="I416" s="450">
        <v>0</v>
      </c>
      <c r="J416" s="457"/>
      <c r="K416" s="742"/>
      <c r="L416" s="458">
        <f t="shared" si="213"/>
        <v>0</v>
      </c>
      <c r="M416" s="449">
        <f t="shared" si="214"/>
        <v>0</v>
      </c>
      <c r="N416" s="459"/>
      <c r="O416" s="459"/>
      <c r="P416" s="459"/>
      <c r="Q416" s="459"/>
      <c r="R416" s="460">
        <f t="shared" si="215"/>
        <v>0</v>
      </c>
      <c r="S416" s="461"/>
      <c r="T416" s="461"/>
      <c r="U416" s="461"/>
      <c r="V416" s="461"/>
      <c r="W416" s="462">
        <f t="shared" si="216"/>
        <v>0</v>
      </c>
      <c r="X416" s="463"/>
      <c r="Y416" s="457"/>
      <c r="Z416" s="464"/>
      <c r="AA416" s="464"/>
      <c r="AB416" s="465"/>
      <c r="AC416" s="457"/>
      <c r="AD416" s="464"/>
      <c r="AE416" s="466"/>
      <c r="AF416" s="465"/>
      <c r="AG416" s="457"/>
      <c r="AH416" s="464"/>
      <c r="AI416" s="466"/>
      <c r="AJ416" s="465"/>
      <c r="AK416" s="457"/>
      <c r="AL416" s="464"/>
      <c r="AM416" s="466"/>
      <c r="AN416" s="465"/>
      <c r="AO416" s="457"/>
      <c r="AP416" s="464"/>
      <c r="AQ416" s="464"/>
      <c r="AR416" s="460">
        <f t="shared" si="217"/>
        <v>0</v>
      </c>
      <c r="AS416" s="467">
        <f t="shared" si="218"/>
        <v>0</v>
      </c>
      <c r="AT416" s="447">
        <f t="shared" si="219"/>
        <v>0</v>
      </c>
      <c r="AU416" s="448">
        <f t="shared" si="220"/>
        <v>0</v>
      </c>
      <c r="AV416" s="457"/>
      <c r="AW416" s="450"/>
      <c r="AX416" s="463"/>
      <c r="AY416" s="457"/>
      <c r="AZ416" s="464"/>
      <c r="BA416" s="464"/>
      <c r="BB416" s="465"/>
      <c r="BC416" s="457"/>
      <c r="BD416" s="464"/>
      <c r="BE416" s="466"/>
      <c r="BF416" s="465"/>
      <c r="BG416" s="457"/>
      <c r="BH416" s="464"/>
      <c r="BI416" s="466"/>
      <c r="BJ416" s="465"/>
      <c r="BK416" s="457"/>
      <c r="BL416" s="464"/>
      <c r="BM416" s="466"/>
      <c r="BN416" s="465"/>
      <c r="BO416" s="457"/>
      <c r="BP416" s="464"/>
      <c r="BQ416" s="466"/>
      <c r="BR416" s="465"/>
      <c r="BS416" s="457"/>
      <c r="BT416" s="464"/>
      <c r="BU416" s="466"/>
      <c r="BV416" s="465"/>
      <c r="BW416" s="457"/>
      <c r="BX416" s="464"/>
      <c r="BY416" s="466"/>
      <c r="BZ416" s="465"/>
      <c r="CA416" s="457"/>
      <c r="CB416" s="464"/>
      <c r="CC416" s="466"/>
      <c r="CD416" s="465"/>
      <c r="CE416" s="457"/>
      <c r="CF416" s="464"/>
      <c r="CG416" s="466"/>
      <c r="CH416" s="465"/>
      <c r="CI416" s="457"/>
      <c r="CJ416" s="464"/>
      <c r="CK416" s="466"/>
      <c r="CL416" s="459"/>
      <c r="CM416" s="450"/>
      <c r="CN416" s="468">
        <f t="shared" si="221"/>
        <v>0</v>
      </c>
      <c r="CO416" s="468">
        <f t="shared" si="222"/>
        <v>0</v>
      </c>
      <c r="CP416" s="469">
        <f t="shared" si="223"/>
        <v>0</v>
      </c>
      <c r="CQ416" s="469">
        <f t="shared" si="224"/>
        <v>0</v>
      </c>
      <c r="CR416" s="463"/>
      <c r="CS416" s="457"/>
      <c r="CT416" s="464"/>
      <c r="CU416" s="464"/>
      <c r="CV416" s="465"/>
      <c r="CW416" s="457"/>
      <c r="CX416" s="464"/>
      <c r="CY416" s="466"/>
      <c r="CZ416" s="465"/>
      <c r="DA416" s="457"/>
      <c r="DB416" s="464"/>
      <c r="DC416" s="466"/>
      <c r="DD416" s="465"/>
      <c r="DE416" s="457"/>
      <c r="DF416" s="464"/>
      <c r="DG416" s="466"/>
      <c r="DH416" s="465"/>
      <c r="DI416" s="457"/>
      <c r="DJ416" s="464"/>
      <c r="DK416" s="466"/>
      <c r="DL416" s="465"/>
      <c r="DM416" s="457"/>
      <c r="DN416" s="464"/>
      <c r="DO416" s="466"/>
      <c r="DP416" s="465"/>
      <c r="DQ416" s="457"/>
      <c r="DR416" s="464"/>
      <c r="DS416" s="466"/>
      <c r="DT416" s="465"/>
      <c r="DU416" s="457"/>
      <c r="DV416" s="464"/>
      <c r="DW416" s="466"/>
      <c r="DX416" s="465"/>
      <c r="DY416" s="457"/>
      <c r="DZ416" s="464"/>
      <c r="EA416" s="466"/>
      <c r="EB416" s="465"/>
      <c r="EC416" s="457"/>
      <c r="ED416" s="464"/>
      <c r="EE416" s="466"/>
      <c r="EF416" s="459"/>
      <c r="EG416" s="450"/>
      <c r="EH416" s="460">
        <f t="shared" si="225"/>
        <v>0</v>
      </c>
      <c r="EI416" s="460">
        <f t="shared" si="226"/>
        <v>0</v>
      </c>
      <c r="EJ416" s="458">
        <f t="shared" si="227"/>
        <v>0</v>
      </c>
      <c r="EK416" s="470">
        <f t="shared" si="228"/>
        <v>0</v>
      </c>
      <c r="EL416" s="470">
        <f t="shared" si="229"/>
        <v>0</v>
      </c>
      <c r="EM416" s="449">
        <f t="shared" si="230"/>
        <v>0</v>
      </c>
      <c r="EN416" s="460">
        <f t="shared" si="231"/>
        <v>0</v>
      </c>
      <c r="EO416" s="469">
        <f t="shared" si="232"/>
        <v>0</v>
      </c>
      <c r="EP416" s="471"/>
      <c r="EQ416" s="450"/>
      <c r="ER416" s="471"/>
      <c r="ES416" s="450"/>
      <c r="ET416" s="471"/>
      <c r="EU416" s="450"/>
      <c r="EV416" s="471"/>
      <c r="EW416" s="450"/>
      <c r="EX416" s="471"/>
      <c r="EY416" s="450"/>
      <c r="EZ416" s="471"/>
      <c r="FA416" s="450"/>
      <c r="FB416" s="471"/>
      <c r="FC416" s="450"/>
      <c r="FD416" s="471"/>
      <c r="FE416" s="450"/>
      <c r="FF416" s="471"/>
      <c r="FG416" s="450"/>
      <c r="FH416" s="472"/>
      <c r="FI416" s="450"/>
      <c r="FJ416" s="468">
        <f t="shared" si="233"/>
        <v>0</v>
      </c>
      <c r="FK416" s="469">
        <f t="shared" si="234"/>
        <v>0</v>
      </c>
      <c r="FL416" s="472"/>
      <c r="FM416" s="450"/>
      <c r="FN416" s="460">
        <f t="shared" si="235"/>
        <v>128</v>
      </c>
      <c r="FO416" s="469">
        <f t="shared" si="236"/>
        <v>133</v>
      </c>
    </row>
    <row r="417" spans="1:171" x14ac:dyDescent="0.2">
      <c r="A417" s="454" t="s">
        <v>644</v>
      </c>
      <c r="B417" s="455" t="s">
        <v>663</v>
      </c>
      <c r="C417" s="504"/>
      <c r="D417" s="505">
        <v>375717</v>
      </c>
      <c r="E417" s="531">
        <v>13</v>
      </c>
      <c r="F417" s="532">
        <v>153</v>
      </c>
      <c r="G417" s="450">
        <v>155</v>
      </c>
      <c r="H417" s="457"/>
      <c r="I417" s="450">
        <v>0</v>
      </c>
      <c r="J417" s="457"/>
      <c r="K417" s="742"/>
      <c r="L417" s="458">
        <f t="shared" si="213"/>
        <v>0</v>
      </c>
      <c r="M417" s="449">
        <f t="shared" si="214"/>
        <v>0</v>
      </c>
      <c r="N417" s="459"/>
      <c r="O417" s="459"/>
      <c r="P417" s="459"/>
      <c r="Q417" s="459"/>
      <c r="R417" s="460">
        <f t="shared" si="215"/>
        <v>0</v>
      </c>
      <c r="S417" s="461"/>
      <c r="T417" s="461"/>
      <c r="U417" s="461"/>
      <c r="V417" s="461"/>
      <c r="W417" s="462">
        <f t="shared" si="216"/>
        <v>0</v>
      </c>
      <c r="X417" s="463"/>
      <c r="Y417" s="457"/>
      <c r="Z417" s="464"/>
      <c r="AA417" s="464"/>
      <c r="AB417" s="465"/>
      <c r="AC417" s="457"/>
      <c r="AD417" s="464"/>
      <c r="AE417" s="466"/>
      <c r="AF417" s="465"/>
      <c r="AG417" s="457"/>
      <c r="AH417" s="464"/>
      <c r="AI417" s="466"/>
      <c r="AJ417" s="465"/>
      <c r="AK417" s="457"/>
      <c r="AL417" s="464"/>
      <c r="AM417" s="466"/>
      <c r="AN417" s="465"/>
      <c r="AO417" s="457"/>
      <c r="AP417" s="464"/>
      <c r="AQ417" s="464"/>
      <c r="AR417" s="460">
        <f t="shared" si="217"/>
        <v>0</v>
      </c>
      <c r="AS417" s="467">
        <f t="shared" si="218"/>
        <v>0</v>
      </c>
      <c r="AT417" s="447">
        <f t="shared" si="219"/>
        <v>0</v>
      </c>
      <c r="AU417" s="448">
        <f t="shared" si="220"/>
        <v>0</v>
      </c>
      <c r="AV417" s="457"/>
      <c r="AW417" s="450"/>
      <c r="AX417" s="463"/>
      <c r="AY417" s="457"/>
      <c r="AZ417" s="464"/>
      <c r="BA417" s="464"/>
      <c r="BB417" s="465"/>
      <c r="BC417" s="457"/>
      <c r="BD417" s="464"/>
      <c r="BE417" s="466"/>
      <c r="BF417" s="465"/>
      <c r="BG417" s="457"/>
      <c r="BH417" s="464"/>
      <c r="BI417" s="466"/>
      <c r="BJ417" s="465"/>
      <c r="BK417" s="457"/>
      <c r="BL417" s="464"/>
      <c r="BM417" s="466"/>
      <c r="BN417" s="465"/>
      <c r="BO417" s="457"/>
      <c r="BP417" s="464"/>
      <c r="BQ417" s="466"/>
      <c r="BR417" s="465"/>
      <c r="BS417" s="457"/>
      <c r="BT417" s="464"/>
      <c r="BU417" s="466"/>
      <c r="BV417" s="465"/>
      <c r="BW417" s="457"/>
      <c r="BX417" s="464"/>
      <c r="BY417" s="466"/>
      <c r="BZ417" s="465"/>
      <c r="CA417" s="457"/>
      <c r="CB417" s="464"/>
      <c r="CC417" s="466"/>
      <c r="CD417" s="465"/>
      <c r="CE417" s="457"/>
      <c r="CF417" s="464"/>
      <c r="CG417" s="466"/>
      <c r="CH417" s="465"/>
      <c r="CI417" s="457"/>
      <c r="CJ417" s="464"/>
      <c r="CK417" s="466"/>
      <c r="CL417" s="459"/>
      <c r="CM417" s="450"/>
      <c r="CN417" s="468">
        <f t="shared" si="221"/>
        <v>0</v>
      </c>
      <c r="CO417" s="468">
        <f t="shared" si="222"/>
        <v>0</v>
      </c>
      <c r="CP417" s="469">
        <f t="shared" si="223"/>
        <v>0</v>
      </c>
      <c r="CQ417" s="469">
        <f t="shared" si="224"/>
        <v>0</v>
      </c>
      <c r="CR417" s="463"/>
      <c r="CS417" s="457"/>
      <c r="CT417" s="464"/>
      <c r="CU417" s="464"/>
      <c r="CV417" s="465"/>
      <c r="CW417" s="457"/>
      <c r="CX417" s="464"/>
      <c r="CY417" s="466"/>
      <c r="CZ417" s="465"/>
      <c r="DA417" s="457"/>
      <c r="DB417" s="464"/>
      <c r="DC417" s="466"/>
      <c r="DD417" s="465"/>
      <c r="DE417" s="457"/>
      <c r="DF417" s="464"/>
      <c r="DG417" s="466"/>
      <c r="DH417" s="465"/>
      <c r="DI417" s="457"/>
      <c r="DJ417" s="464"/>
      <c r="DK417" s="466"/>
      <c r="DL417" s="465"/>
      <c r="DM417" s="457"/>
      <c r="DN417" s="464"/>
      <c r="DO417" s="466"/>
      <c r="DP417" s="465"/>
      <c r="DQ417" s="457"/>
      <c r="DR417" s="464"/>
      <c r="DS417" s="466"/>
      <c r="DT417" s="465"/>
      <c r="DU417" s="457"/>
      <c r="DV417" s="464"/>
      <c r="DW417" s="466"/>
      <c r="DX417" s="465"/>
      <c r="DY417" s="457"/>
      <c r="DZ417" s="464"/>
      <c r="EA417" s="466"/>
      <c r="EB417" s="465"/>
      <c r="EC417" s="457"/>
      <c r="ED417" s="464"/>
      <c r="EE417" s="466"/>
      <c r="EF417" s="459"/>
      <c r="EG417" s="450"/>
      <c r="EH417" s="460">
        <f t="shared" si="225"/>
        <v>0</v>
      </c>
      <c r="EI417" s="460">
        <f t="shared" si="226"/>
        <v>0</v>
      </c>
      <c r="EJ417" s="458">
        <f t="shared" si="227"/>
        <v>0</v>
      </c>
      <c r="EK417" s="470">
        <f t="shared" si="228"/>
        <v>0</v>
      </c>
      <c r="EL417" s="470">
        <f t="shared" si="229"/>
        <v>0</v>
      </c>
      <c r="EM417" s="449">
        <f t="shared" si="230"/>
        <v>0</v>
      </c>
      <c r="EN417" s="460">
        <f t="shared" si="231"/>
        <v>0</v>
      </c>
      <c r="EO417" s="469">
        <f t="shared" si="232"/>
        <v>0</v>
      </c>
      <c r="EP417" s="471"/>
      <c r="EQ417" s="450"/>
      <c r="ER417" s="471"/>
      <c r="ES417" s="450"/>
      <c r="ET417" s="471"/>
      <c r="EU417" s="450"/>
      <c r="EV417" s="471"/>
      <c r="EW417" s="450"/>
      <c r="EX417" s="471"/>
      <c r="EY417" s="450"/>
      <c r="EZ417" s="471"/>
      <c r="FA417" s="450"/>
      <c r="FB417" s="471"/>
      <c r="FC417" s="450"/>
      <c r="FD417" s="471"/>
      <c r="FE417" s="450"/>
      <c r="FF417" s="471"/>
      <c r="FG417" s="450"/>
      <c r="FH417" s="472"/>
      <c r="FI417" s="450"/>
      <c r="FJ417" s="468">
        <f t="shared" si="233"/>
        <v>0</v>
      </c>
      <c r="FK417" s="469">
        <f t="shared" si="234"/>
        <v>0</v>
      </c>
      <c r="FL417" s="472"/>
      <c r="FM417" s="450"/>
      <c r="FN417" s="460">
        <f t="shared" si="235"/>
        <v>153</v>
      </c>
      <c r="FO417" s="469">
        <f t="shared" si="236"/>
        <v>155</v>
      </c>
    </row>
    <row r="418" spans="1:171" x14ac:dyDescent="0.2">
      <c r="A418" s="454" t="s">
        <v>644</v>
      </c>
      <c r="B418" s="455" t="s">
        <v>664</v>
      </c>
      <c r="C418" s="504"/>
      <c r="D418" s="505">
        <v>375735</v>
      </c>
      <c r="E418" s="531">
        <v>13</v>
      </c>
      <c r="F418" s="532">
        <v>154</v>
      </c>
      <c r="G418" s="450">
        <v>158</v>
      </c>
      <c r="H418" s="457"/>
      <c r="I418" s="450">
        <v>0</v>
      </c>
      <c r="J418" s="457"/>
      <c r="K418" s="742"/>
      <c r="L418" s="458">
        <f t="shared" si="213"/>
        <v>0</v>
      </c>
      <c r="M418" s="449">
        <f t="shared" si="214"/>
        <v>0</v>
      </c>
      <c r="N418" s="459"/>
      <c r="O418" s="459"/>
      <c r="P418" s="459"/>
      <c r="Q418" s="459"/>
      <c r="R418" s="460">
        <f t="shared" si="215"/>
        <v>0</v>
      </c>
      <c r="S418" s="461"/>
      <c r="T418" s="461"/>
      <c r="U418" s="461"/>
      <c r="V418" s="461"/>
      <c r="W418" s="462">
        <f t="shared" si="216"/>
        <v>0</v>
      </c>
      <c r="X418" s="463"/>
      <c r="Y418" s="457"/>
      <c r="Z418" s="464"/>
      <c r="AA418" s="464"/>
      <c r="AB418" s="465"/>
      <c r="AC418" s="457"/>
      <c r="AD418" s="464"/>
      <c r="AE418" s="466"/>
      <c r="AF418" s="465"/>
      <c r="AG418" s="457"/>
      <c r="AH418" s="464"/>
      <c r="AI418" s="466"/>
      <c r="AJ418" s="465"/>
      <c r="AK418" s="457"/>
      <c r="AL418" s="464"/>
      <c r="AM418" s="466"/>
      <c r="AN418" s="465"/>
      <c r="AO418" s="457"/>
      <c r="AP418" s="464"/>
      <c r="AQ418" s="464"/>
      <c r="AR418" s="460">
        <f t="shared" si="217"/>
        <v>0</v>
      </c>
      <c r="AS418" s="467">
        <f t="shared" si="218"/>
        <v>0</v>
      </c>
      <c r="AT418" s="447">
        <f t="shared" si="219"/>
        <v>0</v>
      </c>
      <c r="AU418" s="448">
        <f t="shared" si="220"/>
        <v>0</v>
      </c>
      <c r="AV418" s="457"/>
      <c r="AW418" s="450"/>
      <c r="AX418" s="463"/>
      <c r="AY418" s="457"/>
      <c r="AZ418" s="464"/>
      <c r="BA418" s="464"/>
      <c r="BB418" s="465"/>
      <c r="BC418" s="457"/>
      <c r="BD418" s="464"/>
      <c r="BE418" s="466"/>
      <c r="BF418" s="465"/>
      <c r="BG418" s="457"/>
      <c r="BH418" s="464"/>
      <c r="BI418" s="466"/>
      <c r="BJ418" s="465"/>
      <c r="BK418" s="457"/>
      <c r="BL418" s="464"/>
      <c r="BM418" s="466"/>
      <c r="BN418" s="465"/>
      <c r="BO418" s="457"/>
      <c r="BP418" s="464"/>
      <c r="BQ418" s="466"/>
      <c r="BR418" s="465"/>
      <c r="BS418" s="457"/>
      <c r="BT418" s="464"/>
      <c r="BU418" s="466"/>
      <c r="BV418" s="465"/>
      <c r="BW418" s="457"/>
      <c r="BX418" s="464"/>
      <c r="BY418" s="466"/>
      <c r="BZ418" s="465"/>
      <c r="CA418" s="457"/>
      <c r="CB418" s="464"/>
      <c r="CC418" s="466"/>
      <c r="CD418" s="465"/>
      <c r="CE418" s="457"/>
      <c r="CF418" s="464"/>
      <c r="CG418" s="466"/>
      <c r="CH418" s="465"/>
      <c r="CI418" s="457"/>
      <c r="CJ418" s="464"/>
      <c r="CK418" s="466"/>
      <c r="CL418" s="459"/>
      <c r="CM418" s="450"/>
      <c r="CN418" s="468">
        <f t="shared" si="221"/>
        <v>0</v>
      </c>
      <c r="CO418" s="468">
        <f t="shared" si="222"/>
        <v>0</v>
      </c>
      <c r="CP418" s="469">
        <f t="shared" si="223"/>
        <v>0</v>
      </c>
      <c r="CQ418" s="469">
        <f t="shared" si="224"/>
        <v>0</v>
      </c>
      <c r="CR418" s="463"/>
      <c r="CS418" s="457"/>
      <c r="CT418" s="464"/>
      <c r="CU418" s="464"/>
      <c r="CV418" s="465"/>
      <c r="CW418" s="457"/>
      <c r="CX418" s="464"/>
      <c r="CY418" s="466"/>
      <c r="CZ418" s="465"/>
      <c r="DA418" s="457"/>
      <c r="DB418" s="464"/>
      <c r="DC418" s="466"/>
      <c r="DD418" s="465"/>
      <c r="DE418" s="457"/>
      <c r="DF418" s="464"/>
      <c r="DG418" s="466"/>
      <c r="DH418" s="465"/>
      <c r="DI418" s="457"/>
      <c r="DJ418" s="464"/>
      <c r="DK418" s="466"/>
      <c r="DL418" s="465"/>
      <c r="DM418" s="457"/>
      <c r="DN418" s="464"/>
      <c r="DO418" s="466"/>
      <c r="DP418" s="465"/>
      <c r="DQ418" s="457"/>
      <c r="DR418" s="464"/>
      <c r="DS418" s="466"/>
      <c r="DT418" s="465"/>
      <c r="DU418" s="457"/>
      <c r="DV418" s="464"/>
      <c r="DW418" s="466"/>
      <c r="DX418" s="465"/>
      <c r="DY418" s="457"/>
      <c r="DZ418" s="464"/>
      <c r="EA418" s="466"/>
      <c r="EB418" s="465"/>
      <c r="EC418" s="457"/>
      <c r="ED418" s="464"/>
      <c r="EE418" s="466"/>
      <c r="EF418" s="459"/>
      <c r="EG418" s="450"/>
      <c r="EH418" s="460">
        <f t="shared" si="225"/>
        <v>0</v>
      </c>
      <c r="EI418" s="460">
        <f t="shared" si="226"/>
        <v>0</v>
      </c>
      <c r="EJ418" s="458">
        <f t="shared" si="227"/>
        <v>0</v>
      </c>
      <c r="EK418" s="470">
        <f t="shared" si="228"/>
        <v>0</v>
      </c>
      <c r="EL418" s="470">
        <f t="shared" si="229"/>
        <v>0</v>
      </c>
      <c r="EM418" s="449">
        <f t="shared" si="230"/>
        <v>0</v>
      </c>
      <c r="EN418" s="460">
        <f t="shared" si="231"/>
        <v>0</v>
      </c>
      <c r="EO418" s="469">
        <f t="shared" si="232"/>
        <v>0</v>
      </c>
      <c r="EP418" s="471"/>
      <c r="EQ418" s="450"/>
      <c r="ER418" s="471"/>
      <c r="ES418" s="450"/>
      <c r="ET418" s="471"/>
      <c r="EU418" s="450"/>
      <c r="EV418" s="471"/>
      <c r="EW418" s="450"/>
      <c r="EX418" s="471"/>
      <c r="EY418" s="450"/>
      <c r="EZ418" s="471"/>
      <c r="FA418" s="450"/>
      <c r="FB418" s="471"/>
      <c r="FC418" s="450"/>
      <c r="FD418" s="471"/>
      <c r="FE418" s="450"/>
      <c r="FF418" s="471"/>
      <c r="FG418" s="450"/>
      <c r="FH418" s="472"/>
      <c r="FI418" s="450"/>
      <c r="FJ418" s="468">
        <f t="shared" si="233"/>
        <v>0</v>
      </c>
      <c r="FK418" s="469">
        <f t="shared" si="234"/>
        <v>0</v>
      </c>
      <c r="FL418" s="472"/>
      <c r="FM418" s="450"/>
      <c r="FN418" s="460">
        <f t="shared" si="235"/>
        <v>154</v>
      </c>
      <c r="FO418" s="469">
        <f t="shared" si="236"/>
        <v>158</v>
      </c>
    </row>
    <row r="419" spans="1:171" x14ac:dyDescent="0.2">
      <c r="A419" s="454" t="s">
        <v>644</v>
      </c>
      <c r="B419" s="455" t="s">
        <v>665</v>
      </c>
      <c r="C419" s="504"/>
      <c r="D419" s="505">
        <v>375726</v>
      </c>
      <c r="E419" s="531">
        <v>13</v>
      </c>
      <c r="F419" s="532">
        <v>187</v>
      </c>
      <c r="G419" s="450">
        <v>252</v>
      </c>
      <c r="H419" s="457"/>
      <c r="I419" s="450">
        <v>0</v>
      </c>
      <c r="J419" s="457"/>
      <c r="K419" s="742"/>
      <c r="L419" s="458">
        <f t="shared" si="213"/>
        <v>0</v>
      </c>
      <c r="M419" s="449">
        <f t="shared" si="214"/>
        <v>0</v>
      </c>
      <c r="N419" s="459"/>
      <c r="O419" s="459"/>
      <c r="P419" s="459"/>
      <c r="Q419" s="459"/>
      <c r="R419" s="460">
        <f t="shared" si="215"/>
        <v>0</v>
      </c>
      <c r="S419" s="461"/>
      <c r="T419" s="461"/>
      <c r="U419" s="461"/>
      <c r="V419" s="461"/>
      <c r="W419" s="462">
        <f t="shared" si="216"/>
        <v>0</v>
      </c>
      <c r="X419" s="463"/>
      <c r="Y419" s="457"/>
      <c r="Z419" s="464"/>
      <c r="AA419" s="464"/>
      <c r="AB419" s="465"/>
      <c r="AC419" s="457"/>
      <c r="AD419" s="464"/>
      <c r="AE419" s="466"/>
      <c r="AF419" s="465"/>
      <c r="AG419" s="457"/>
      <c r="AH419" s="464"/>
      <c r="AI419" s="466"/>
      <c r="AJ419" s="465"/>
      <c r="AK419" s="457"/>
      <c r="AL419" s="464"/>
      <c r="AM419" s="466"/>
      <c r="AN419" s="465"/>
      <c r="AO419" s="457"/>
      <c r="AP419" s="464"/>
      <c r="AQ419" s="464"/>
      <c r="AR419" s="460">
        <f t="shared" si="217"/>
        <v>0</v>
      </c>
      <c r="AS419" s="467">
        <f t="shared" si="218"/>
        <v>0</v>
      </c>
      <c r="AT419" s="447">
        <f t="shared" si="219"/>
        <v>0</v>
      </c>
      <c r="AU419" s="448">
        <f t="shared" si="220"/>
        <v>0</v>
      </c>
      <c r="AV419" s="457"/>
      <c r="AW419" s="450"/>
      <c r="AX419" s="463"/>
      <c r="AY419" s="457"/>
      <c r="AZ419" s="464"/>
      <c r="BA419" s="464"/>
      <c r="BB419" s="465"/>
      <c r="BC419" s="457"/>
      <c r="BD419" s="464"/>
      <c r="BE419" s="466"/>
      <c r="BF419" s="465"/>
      <c r="BG419" s="457"/>
      <c r="BH419" s="464"/>
      <c r="BI419" s="466"/>
      <c r="BJ419" s="465"/>
      <c r="BK419" s="457"/>
      <c r="BL419" s="464"/>
      <c r="BM419" s="466"/>
      <c r="BN419" s="465"/>
      <c r="BO419" s="457"/>
      <c r="BP419" s="464"/>
      <c r="BQ419" s="466"/>
      <c r="BR419" s="465"/>
      <c r="BS419" s="457"/>
      <c r="BT419" s="464"/>
      <c r="BU419" s="466"/>
      <c r="BV419" s="465"/>
      <c r="BW419" s="457"/>
      <c r="BX419" s="464"/>
      <c r="BY419" s="466"/>
      <c r="BZ419" s="465"/>
      <c r="CA419" s="457"/>
      <c r="CB419" s="464"/>
      <c r="CC419" s="466"/>
      <c r="CD419" s="465"/>
      <c r="CE419" s="457"/>
      <c r="CF419" s="464"/>
      <c r="CG419" s="466"/>
      <c r="CH419" s="465"/>
      <c r="CI419" s="457"/>
      <c r="CJ419" s="464"/>
      <c r="CK419" s="466"/>
      <c r="CL419" s="459"/>
      <c r="CM419" s="450"/>
      <c r="CN419" s="468">
        <f t="shared" si="221"/>
        <v>0</v>
      </c>
      <c r="CO419" s="468">
        <f t="shared" si="222"/>
        <v>0</v>
      </c>
      <c r="CP419" s="469">
        <f t="shared" si="223"/>
        <v>0</v>
      </c>
      <c r="CQ419" s="469">
        <f t="shared" si="224"/>
        <v>0</v>
      </c>
      <c r="CR419" s="463"/>
      <c r="CS419" s="457"/>
      <c r="CT419" s="464"/>
      <c r="CU419" s="464"/>
      <c r="CV419" s="465"/>
      <c r="CW419" s="457"/>
      <c r="CX419" s="464"/>
      <c r="CY419" s="466"/>
      <c r="CZ419" s="465"/>
      <c r="DA419" s="457"/>
      <c r="DB419" s="464"/>
      <c r="DC419" s="466"/>
      <c r="DD419" s="465"/>
      <c r="DE419" s="457"/>
      <c r="DF419" s="464"/>
      <c r="DG419" s="466"/>
      <c r="DH419" s="465"/>
      <c r="DI419" s="457"/>
      <c r="DJ419" s="464"/>
      <c r="DK419" s="466"/>
      <c r="DL419" s="465"/>
      <c r="DM419" s="457"/>
      <c r="DN419" s="464"/>
      <c r="DO419" s="466"/>
      <c r="DP419" s="465"/>
      <c r="DQ419" s="457"/>
      <c r="DR419" s="464"/>
      <c r="DS419" s="466"/>
      <c r="DT419" s="465"/>
      <c r="DU419" s="457"/>
      <c r="DV419" s="464"/>
      <c r="DW419" s="466"/>
      <c r="DX419" s="465"/>
      <c r="DY419" s="457"/>
      <c r="DZ419" s="464"/>
      <c r="EA419" s="466"/>
      <c r="EB419" s="465"/>
      <c r="EC419" s="457"/>
      <c r="ED419" s="464"/>
      <c r="EE419" s="466"/>
      <c r="EF419" s="459"/>
      <c r="EG419" s="450"/>
      <c r="EH419" s="460">
        <f t="shared" si="225"/>
        <v>0</v>
      </c>
      <c r="EI419" s="460">
        <f t="shared" si="226"/>
        <v>0</v>
      </c>
      <c r="EJ419" s="458">
        <f t="shared" si="227"/>
        <v>0</v>
      </c>
      <c r="EK419" s="470">
        <f t="shared" si="228"/>
        <v>0</v>
      </c>
      <c r="EL419" s="470">
        <f t="shared" si="229"/>
        <v>0</v>
      </c>
      <c r="EM419" s="449">
        <f t="shared" si="230"/>
        <v>0</v>
      </c>
      <c r="EN419" s="460">
        <f t="shared" si="231"/>
        <v>0</v>
      </c>
      <c r="EO419" s="469">
        <f t="shared" si="232"/>
        <v>0</v>
      </c>
      <c r="EP419" s="471"/>
      <c r="EQ419" s="450"/>
      <c r="ER419" s="471"/>
      <c r="ES419" s="450"/>
      <c r="ET419" s="471"/>
      <c r="EU419" s="450"/>
      <c r="EV419" s="471"/>
      <c r="EW419" s="450"/>
      <c r="EX419" s="471"/>
      <c r="EY419" s="450"/>
      <c r="EZ419" s="471"/>
      <c r="FA419" s="450"/>
      <c r="FB419" s="471"/>
      <c r="FC419" s="450"/>
      <c r="FD419" s="471"/>
      <c r="FE419" s="450"/>
      <c r="FF419" s="471"/>
      <c r="FG419" s="450"/>
      <c r="FH419" s="472"/>
      <c r="FI419" s="450"/>
      <c r="FJ419" s="468">
        <f t="shared" si="233"/>
        <v>0</v>
      </c>
      <c r="FK419" s="469">
        <f t="shared" si="234"/>
        <v>0</v>
      </c>
      <c r="FL419" s="472"/>
      <c r="FM419" s="450"/>
      <c r="FN419" s="460">
        <f t="shared" si="235"/>
        <v>187</v>
      </c>
      <c r="FO419" s="469">
        <f t="shared" si="236"/>
        <v>252</v>
      </c>
    </row>
    <row r="420" spans="1:171" x14ac:dyDescent="0.2">
      <c r="A420" s="454" t="s">
        <v>644</v>
      </c>
      <c r="B420" s="455" t="s">
        <v>666</v>
      </c>
      <c r="C420" s="504"/>
      <c r="D420" s="505">
        <v>375744</v>
      </c>
      <c r="E420" s="531">
        <v>13</v>
      </c>
      <c r="F420" s="532">
        <v>204</v>
      </c>
      <c r="G420" s="450">
        <v>203</v>
      </c>
      <c r="H420" s="457"/>
      <c r="I420" s="450">
        <v>0</v>
      </c>
      <c r="J420" s="457"/>
      <c r="K420" s="742"/>
      <c r="L420" s="458">
        <f t="shared" si="213"/>
        <v>0</v>
      </c>
      <c r="M420" s="449">
        <f t="shared" si="214"/>
        <v>0</v>
      </c>
      <c r="N420" s="459"/>
      <c r="O420" s="459"/>
      <c r="P420" s="459"/>
      <c r="Q420" s="459"/>
      <c r="R420" s="460">
        <f t="shared" si="215"/>
        <v>0</v>
      </c>
      <c r="S420" s="461"/>
      <c r="T420" s="461"/>
      <c r="U420" s="461"/>
      <c r="V420" s="461"/>
      <c r="W420" s="462">
        <f t="shared" si="216"/>
        <v>0</v>
      </c>
      <c r="X420" s="463"/>
      <c r="Y420" s="457"/>
      <c r="Z420" s="464"/>
      <c r="AA420" s="464"/>
      <c r="AB420" s="465"/>
      <c r="AC420" s="457"/>
      <c r="AD420" s="464"/>
      <c r="AE420" s="466"/>
      <c r="AF420" s="465"/>
      <c r="AG420" s="457"/>
      <c r="AH420" s="464"/>
      <c r="AI420" s="466"/>
      <c r="AJ420" s="465"/>
      <c r="AK420" s="457"/>
      <c r="AL420" s="464"/>
      <c r="AM420" s="466"/>
      <c r="AN420" s="465"/>
      <c r="AO420" s="457"/>
      <c r="AP420" s="464"/>
      <c r="AQ420" s="464"/>
      <c r="AR420" s="460">
        <f t="shared" si="217"/>
        <v>0</v>
      </c>
      <c r="AS420" s="467">
        <f t="shared" si="218"/>
        <v>0</v>
      </c>
      <c r="AT420" s="447">
        <f t="shared" si="219"/>
        <v>0</v>
      </c>
      <c r="AU420" s="448">
        <f t="shared" si="220"/>
        <v>0</v>
      </c>
      <c r="AV420" s="457"/>
      <c r="AW420" s="450"/>
      <c r="AX420" s="463"/>
      <c r="AY420" s="457"/>
      <c r="AZ420" s="464"/>
      <c r="BA420" s="464"/>
      <c r="BB420" s="465"/>
      <c r="BC420" s="457"/>
      <c r="BD420" s="464"/>
      <c r="BE420" s="466"/>
      <c r="BF420" s="465"/>
      <c r="BG420" s="457"/>
      <c r="BH420" s="464"/>
      <c r="BI420" s="466"/>
      <c r="BJ420" s="465"/>
      <c r="BK420" s="457"/>
      <c r="BL420" s="464"/>
      <c r="BM420" s="466"/>
      <c r="BN420" s="465"/>
      <c r="BO420" s="457"/>
      <c r="BP420" s="464"/>
      <c r="BQ420" s="466"/>
      <c r="BR420" s="465"/>
      <c r="BS420" s="457"/>
      <c r="BT420" s="464"/>
      <c r="BU420" s="466"/>
      <c r="BV420" s="465"/>
      <c r="BW420" s="457"/>
      <c r="BX420" s="464"/>
      <c r="BY420" s="466"/>
      <c r="BZ420" s="465"/>
      <c r="CA420" s="457"/>
      <c r="CB420" s="464"/>
      <c r="CC420" s="466"/>
      <c r="CD420" s="465"/>
      <c r="CE420" s="457"/>
      <c r="CF420" s="464"/>
      <c r="CG420" s="466"/>
      <c r="CH420" s="465"/>
      <c r="CI420" s="457"/>
      <c r="CJ420" s="464"/>
      <c r="CK420" s="466"/>
      <c r="CL420" s="459"/>
      <c r="CM420" s="450"/>
      <c r="CN420" s="468">
        <f t="shared" si="221"/>
        <v>0</v>
      </c>
      <c r="CO420" s="468">
        <f t="shared" si="222"/>
        <v>0</v>
      </c>
      <c r="CP420" s="469">
        <f t="shared" si="223"/>
        <v>0</v>
      </c>
      <c r="CQ420" s="469">
        <f t="shared" si="224"/>
        <v>0</v>
      </c>
      <c r="CR420" s="463"/>
      <c r="CS420" s="457"/>
      <c r="CT420" s="464"/>
      <c r="CU420" s="464"/>
      <c r="CV420" s="465"/>
      <c r="CW420" s="457"/>
      <c r="CX420" s="464"/>
      <c r="CY420" s="466"/>
      <c r="CZ420" s="465"/>
      <c r="DA420" s="457"/>
      <c r="DB420" s="464"/>
      <c r="DC420" s="466"/>
      <c r="DD420" s="465"/>
      <c r="DE420" s="457"/>
      <c r="DF420" s="464"/>
      <c r="DG420" s="466"/>
      <c r="DH420" s="465"/>
      <c r="DI420" s="457"/>
      <c r="DJ420" s="464"/>
      <c r="DK420" s="466"/>
      <c r="DL420" s="465"/>
      <c r="DM420" s="457"/>
      <c r="DN420" s="464"/>
      <c r="DO420" s="466"/>
      <c r="DP420" s="465"/>
      <c r="DQ420" s="457"/>
      <c r="DR420" s="464"/>
      <c r="DS420" s="466"/>
      <c r="DT420" s="465"/>
      <c r="DU420" s="457"/>
      <c r="DV420" s="464"/>
      <c r="DW420" s="466"/>
      <c r="DX420" s="465"/>
      <c r="DY420" s="457"/>
      <c r="DZ420" s="464"/>
      <c r="EA420" s="466"/>
      <c r="EB420" s="465"/>
      <c r="EC420" s="457"/>
      <c r="ED420" s="464"/>
      <c r="EE420" s="466"/>
      <c r="EF420" s="459"/>
      <c r="EG420" s="450"/>
      <c r="EH420" s="460">
        <f t="shared" si="225"/>
        <v>0</v>
      </c>
      <c r="EI420" s="460">
        <f t="shared" si="226"/>
        <v>0</v>
      </c>
      <c r="EJ420" s="458">
        <f t="shared" si="227"/>
        <v>0</v>
      </c>
      <c r="EK420" s="470">
        <f t="shared" si="228"/>
        <v>0</v>
      </c>
      <c r="EL420" s="470">
        <f t="shared" si="229"/>
        <v>0</v>
      </c>
      <c r="EM420" s="449">
        <f t="shared" si="230"/>
        <v>0</v>
      </c>
      <c r="EN420" s="460">
        <f t="shared" si="231"/>
        <v>0</v>
      </c>
      <c r="EO420" s="469">
        <f t="shared" si="232"/>
        <v>0</v>
      </c>
      <c r="EP420" s="471"/>
      <c r="EQ420" s="450"/>
      <c r="ER420" s="471"/>
      <c r="ES420" s="450"/>
      <c r="ET420" s="471"/>
      <c r="EU420" s="450"/>
      <c r="EV420" s="471"/>
      <c r="EW420" s="450"/>
      <c r="EX420" s="471"/>
      <c r="EY420" s="450"/>
      <c r="EZ420" s="471"/>
      <c r="FA420" s="450"/>
      <c r="FB420" s="471"/>
      <c r="FC420" s="450"/>
      <c r="FD420" s="471"/>
      <c r="FE420" s="450"/>
      <c r="FF420" s="471"/>
      <c r="FG420" s="450"/>
      <c r="FH420" s="472"/>
      <c r="FI420" s="450"/>
      <c r="FJ420" s="468">
        <f t="shared" si="233"/>
        <v>0</v>
      </c>
      <c r="FK420" s="469">
        <f t="shared" si="234"/>
        <v>0</v>
      </c>
      <c r="FL420" s="472"/>
      <c r="FM420" s="450"/>
      <c r="FN420" s="460">
        <f t="shared" si="235"/>
        <v>204</v>
      </c>
      <c r="FO420" s="469">
        <f t="shared" si="236"/>
        <v>203</v>
      </c>
    </row>
    <row r="421" spans="1:171" x14ac:dyDescent="0.2">
      <c r="A421" s="454" t="s">
        <v>644</v>
      </c>
      <c r="B421" s="455" t="s">
        <v>667</v>
      </c>
      <c r="C421" s="504"/>
      <c r="D421" s="505">
        <v>375753</v>
      </c>
      <c r="E421" s="531">
        <v>13</v>
      </c>
      <c r="F421" s="532">
        <v>37</v>
      </c>
      <c r="G421" s="450">
        <v>46</v>
      </c>
      <c r="H421" s="457"/>
      <c r="I421" s="450">
        <v>0</v>
      </c>
      <c r="J421" s="457"/>
      <c r="K421" s="742"/>
      <c r="L421" s="458">
        <f t="shared" si="213"/>
        <v>0</v>
      </c>
      <c r="M421" s="449">
        <f t="shared" si="214"/>
        <v>0</v>
      </c>
      <c r="N421" s="459"/>
      <c r="O421" s="459"/>
      <c r="P421" s="459"/>
      <c r="Q421" s="459"/>
      <c r="R421" s="460">
        <f t="shared" si="215"/>
        <v>0</v>
      </c>
      <c r="S421" s="461"/>
      <c r="T421" s="461"/>
      <c r="U421" s="461"/>
      <c r="V421" s="461"/>
      <c r="W421" s="462">
        <f t="shared" si="216"/>
        <v>0</v>
      </c>
      <c r="X421" s="463"/>
      <c r="Y421" s="457"/>
      <c r="Z421" s="464"/>
      <c r="AA421" s="464"/>
      <c r="AB421" s="465"/>
      <c r="AC421" s="457"/>
      <c r="AD421" s="464"/>
      <c r="AE421" s="466"/>
      <c r="AF421" s="465"/>
      <c r="AG421" s="457"/>
      <c r="AH421" s="464"/>
      <c r="AI421" s="466"/>
      <c r="AJ421" s="465"/>
      <c r="AK421" s="457"/>
      <c r="AL421" s="464"/>
      <c r="AM421" s="466"/>
      <c r="AN421" s="465"/>
      <c r="AO421" s="457"/>
      <c r="AP421" s="464"/>
      <c r="AQ421" s="464"/>
      <c r="AR421" s="460">
        <f t="shared" si="217"/>
        <v>0</v>
      </c>
      <c r="AS421" s="467">
        <f t="shared" si="218"/>
        <v>0</v>
      </c>
      <c r="AT421" s="447">
        <f t="shared" si="219"/>
        <v>0</v>
      </c>
      <c r="AU421" s="448">
        <f t="shared" si="220"/>
        <v>0</v>
      </c>
      <c r="AV421" s="457"/>
      <c r="AW421" s="450"/>
      <c r="AX421" s="463"/>
      <c r="AY421" s="457"/>
      <c r="AZ421" s="464"/>
      <c r="BA421" s="464"/>
      <c r="BB421" s="465"/>
      <c r="BC421" s="457"/>
      <c r="BD421" s="464"/>
      <c r="BE421" s="466"/>
      <c r="BF421" s="465"/>
      <c r="BG421" s="457"/>
      <c r="BH421" s="464"/>
      <c r="BI421" s="466"/>
      <c r="BJ421" s="465"/>
      <c r="BK421" s="457"/>
      <c r="BL421" s="464"/>
      <c r="BM421" s="466"/>
      <c r="BN421" s="465"/>
      <c r="BO421" s="457"/>
      <c r="BP421" s="464"/>
      <c r="BQ421" s="466"/>
      <c r="BR421" s="465"/>
      <c r="BS421" s="457"/>
      <c r="BT421" s="464"/>
      <c r="BU421" s="466"/>
      <c r="BV421" s="465"/>
      <c r="BW421" s="457"/>
      <c r="BX421" s="464"/>
      <c r="BY421" s="466"/>
      <c r="BZ421" s="465"/>
      <c r="CA421" s="457"/>
      <c r="CB421" s="464"/>
      <c r="CC421" s="466"/>
      <c r="CD421" s="465"/>
      <c r="CE421" s="457"/>
      <c r="CF421" s="464"/>
      <c r="CG421" s="466"/>
      <c r="CH421" s="465"/>
      <c r="CI421" s="457"/>
      <c r="CJ421" s="464"/>
      <c r="CK421" s="466"/>
      <c r="CL421" s="459"/>
      <c r="CM421" s="450"/>
      <c r="CN421" s="468">
        <f t="shared" si="221"/>
        <v>0</v>
      </c>
      <c r="CO421" s="468">
        <f t="shared" si="222"/>
        <v>0</v>
      </c>
      <c r="CP421" s="469">
        <f t="shared" si="223"/>
        <v>0</v>
      </c>
      <c r="CQ421" s="469">
        <f t="shared" si="224"/>
        <v>0</v>
      </c>
      <c r="CR421" s="463"/>
      <c r="CS421" s="457"/>
      <c r="CT421" s="464"/>
      <c r="CU421" s="464"/>
      <c r="CV421" s="465"/>
      <c r="CW421" s="457"/>
      <c r="CX421" s="464"/>
      <c r="CY421" s="466"/>
      <c r="CZ421" s="465"/>
      <c r="DA421" s="457"/>
      <c r="DB421" s="464"/>
      <c r="DC421" s="466"/>
      <c r="DD421" s="465"/>
      <c r="DE421" s="457"/>
      <c r="DF421" s="464"/>
      <c r="DG421" s="466"/>
      <c r="DH421" s="465"/>
      <c r="DI421" s="457"/>
      <c r="DJ421" s="464"/>
      <c r="DK421" s="466"/>
      <c r="DL421" s="465"/>
      <c r="DM421" s="457"/>
      <c r="DN421" s="464"/>
      <c r="DO421" s="466"/>
      <c r="DP421" s="465"/>
      <c r="DQ421" s="457"/>
      <c r="DR421" s="464"/>
      <c r="DS421" s="466"/>
      <c r="DT421" s="465"/>
      <c r="DU421" s="457"/>
      <c r="DV421" s="464"/>
      <c r="DW421" s="466"/>
      <c r="DX421" s="465"/>
      <c r="DY421" s="457"/>
      <c r="DZ421" s="464"/>
      <c r="EA421" s="466"/>
      <c r="EB421" s="465"/>
      <c r="EC421" s="457"/>
      <c r="ED421" s="464"/>
      <c r="EE421" s="466"/>
      <c r="EF421" s="459"/>
      <c r="EG421" s="450"/>
      <c r="EH421" s="460">
        <f t="shared" si="225"/>
        <v>0</v>
      </c>
      <c r="EI421" s="460">
        <f t="shared" si="226"/>
        <v>0</v>
      </c>
      <c r="EJ421" s="458">
        <f t="shared" si="227"/>
        <v>0</v>
      </c>
      <c r="EK421" s="470">
        <f t="shared" si="228"/>
        <v>0</v>
      </c>
      <c r="EL421" s="470">
        <f t="shared" si="229"/>
        <v>0</v>
      </c>
      <c r="EM421" s="449">
        <f t="shared" si="230"/>
        <v>0</v>
      </c>
      <c r="EN421" s="460">
        <f t="shared" si="231"/>
        <v>0</v>
      </c>
      <c r="EO421" s="469">
        <f t="shared" si="232"/>
        <v>0</v>
      </c>
      <c r="EP421" s="471"/>
      <c r="EQ421" s="450"/>
      <c r="ER421" s="471"/>
      <c r="ES421" s="450"/>
      <c r="ET421" s="471"/>
      <c r="EU421" s="450"/>
      <c r="EV421" s="471"/>
      <c r="EW421" s="450"/>
      <c r="EX421" s="471"/>
      <c r="EY421" s="450"/>
      <c r="EZ421" s="471"/>
      <c r="FA421" s="450"/>
      <c r="FB421" s="471"/>
      <c r="FC421" s="450"/>
      <c r="FD421" s="471"/>
      <c r="FE421" s="450"/>
      <c r="FF421" s="471"/>
      <c r="FG421" s="450"/>
      <c r="FH421" s="472"/>
      <c r="FI421" s="450"/>
      <c r="FJ421" s="468">
        <f t="shared" si="233"/>
        <v>0</v>
      </c>
      <c r="FK421" s="469">
        <f t="shared" si="234"/>
        <v>0</v>
      </c>
      <c r="FL421" s="472"/>
      <c r="FM421" s="450"/>
      <c r="FN421" s="460">
        <f t="shared" si="235"/>
        <v>37</v>
      </c>
      <c r="FO421" s="469">
        <f t="shared" si="236"/>
        <v>46</v>
      </c>
    </row>
    <row r="422" spans="1:171" x14ac:dyDescent="0.2">
      <c r="A422" s="454" t="s">
        <v>644</v>
      </c>
      <c r="B422" s="455" t="s">
        <v>668</v>
      </c>
      <c r="C422" s="504"/>
      <c r="D422" s="505">
        <v>405748</v>
      </c>
      <c r="E422" s="531">
        <v>13</v>
      </c>
      <c r="F422" s="532">
        <v>49</v>
      </c>
      <c r="G422" s="450">
        <v>71</v>
      </c>
      <c r="H422" s="457"/>
      <c r="I422" s="450">
        <v>0</v>
      </c>
      <c r="J422" s="457"/>
      <c r="K422" s="742"/>
      <c r="L422" s="458">
        <f t="shared" si="213"/>
        <v>0</v>
      </c>
      <c r="M422" s="449">
        <f t="shared" si="214"/>
        <v>0</v>
      </c>
      <c r="N422" s="459"/>
      <c r="O422" s="459"/>
      <c r="P422" s="459"/>
      <c r="Q422" s="459"/>
      <c r="R422" s="460">
        <f t="shared" si="215"/>
        <v>0</v>
      </c>
      <c r="S422" s="461"/>
      <c r="T422" s="461"/>
      <c r="U422" s="461"/>
      <c r="V422" s="461"/>
      <c r="W422" s="462">
        <f t="shared" si="216"/>
        <v>0</v>
      </c>
      <c r="X422" s="463"/>
      <c r="Y422" s="457"/>
      <c r="Z422" s="464"/>
      <c r="AA422" s="464"/>
      <c r="AB422" s="465"/>
      <c r="AC422" s="457"/>
      <c r="AD422" s="464"/>
      <c r="AE422" s="466"/>
      <c r="AF422" s="465"/>
      <c r="AG422" s="457"/>
      <c r="AH422" s="464"/>
      <c r="AI422" s="466"/>
      <c r="AJ422" s="465"/>
      <c r="AK422" s="457"/>
      <c r="AL422" s="464"/>
      <c r="AM422" s="466"/>
      <c r="AN422" s="465"/>
      <c r="AO422" s="457"/>
      <c r="AP422" s="464"/>
      <c r="AQ422" s="464"/>
      <c r="AR422" s="460">
        <f t="shared" si="217"/>
        <v>0</v>
      </c>
      <c r="AS422" s="467">
        <f t="shared" si="218"/>
        <v>0</v>
      </c>
      <c r="AT422" s="447">
        <f t="shared" si="219"/>
        <v>0</v>
      </c>
      <c r="AU422" s="448">
        <f t="shared" si="220"/>
        <v>0</v>
      </c>
      <c r="AV422" s="457"/>
      <c r="AW422" s="450"/>
      <c r="AX422" s="463"/>
      <c r="AY422" s="457"/>
      <c r="AZ422" s="464"/>
      <c r="BA422" s="464"/>
      <c r="BB422" s="465"/>
      <c r="BC422" s="457"/>
      <c r="BD422" s="464"/>
      <c r="BE422" s="466"/>
      <c r="BF422" s="465"/>
      <c r="BG422" s="457"/>
      <c r="BH422" s="464"/>
      <c r="BI422" s="466"/>
      <c r="BJ422" s="465"/>
      <c r="BK422" s="457"/>
      <c r="BL422" s="464"/>
      <c r="BM422" s="466"/>
      <c r="BN422" s="465"/>
      <c r="BO422" s="457"/>
      <c r="BP422" s="464"/>
      <c r="BQ422" s="466"/>
      <c r="BR422" s="465"/>
      <c r="BS422" s="457"/>
      <c r="BT422" s="464"/>
      <c r="BU422" s="466"/>
      <c r="BV422" s="465"/>
      <c r="BW422" s="457"/>
      <c r="BX422" s="464"/>
      <c r="BY422" s="466"/>
      <c r="BZ422" s="465"/>
      <c r="CA422" s="457"/>
      <c r="CB422" s="464"/>
      <c r="CC422" s="466"/>
      <c r="CD422" s="465"/>
      <c r="CE422" s="457"/>
      <c r="CF422" s="464"/>
      <c r="CG422" s="466"/>
      <c r="CH422" s="465"/>
      <c r="CI422" s="457"/>
      <c r="CJ422" s="464"/>
      <c r="CK422" s="466"/>
      <c r="CL422" s="459"/>
      <c r="CM422" s="450"/>
      <c r="CN422" s="468">
        <f t="shared" si="221"/>
        <v>0</v>
      </c>
      <c r="CO422" s="468">
        <f t="shared" si="222"/>
        <v>0</v>
      </c>
      <c r="CP422" s="469">
        <f t="shared" si="223"/>
        <v>0</v>
      </c>
      <c r="CQ422" s="469">
        <f t="shared" si="224"/>
        <v>0</v>
      </c>
      <c r="CR422" s="463"/>
      <c r="CS422" s="457"/>
      <c r="CT422" s="464"/>
      <c r="CU422" s="464"/>
      <c r="CV422" s="465"/>
      <c r="CW422" s="457"/>
      <c r="CX422" s="464"/>
      <c r="CY422" s="466"/>
      <c r="CZ422" s="465"/>
      <c r="DA422" s="457"/>
      <c r="DB422" s="464"/>
      <c r="DC422" s="466"/>
      <c r="DD422" s="465"/>
      <c r="DE422" s="457"/>
      <c r="DF422" s="464"/>
      <c r="DG422" s="466"/>
      <c r="DH422" s="465"/>
      <c r="DI422" s="457"/>
      <c r="DJ422" s="464"/>
      <c r="DK422" s="466"/>
      <c r="DL422" s="465"/>
      <c r="DM422" s="457"/>
      <c r="DN422" s="464"/>
      <c r="DO422" s="466"/>
      <c r="DP422" s="465"/>
      <c r="DQ422" s="457"/>
      <c r="DR422" s="464"/>
      <c r="DS422" s="466"/>
      <c r="DT422" s="465"/>
      <c r="DU422" s="457"/>
      <c r="DV422" s="464"/>
      <c r="DW422" s="466"/>
      <c r="DX422" s="465"/>
      <c r="DY422" s="457"/>
      <c r="DZ422" s="464"/>
      <c r="EA422" s="466"/>
      <c r="EB422" s="465"/>
      <c r="EC422" s="457"/>
      <c r="ED422" s="464"/>
      <c r="EE422" s="466"/>
      <c r="EF422" s="459"/>
      <c r="EG422" s="450"/>
      <c r="EH422" s="460">
        <f t="shared" si="225"/>
        <v>0</v>
      </c>
      <c r="EI422" s="460">
        <f t="shared" si="226"/>
        <v>0</v>
      </c>
      <c r="EJ422" s="458">
        <f t="shared" si="227"/>
        <v>0</v>
      </c>
      <c r="EK422" s="470">
        <f t="shared" si="228"/>
        <v>0</v>
      </c>
      <c r="EL422" s="470">
        <f t="shared" si="229"/>
        <v>0</v>
      </c>
      <c r="EM422" s="449">
        <f t="shared" si="230"/>
        <v>0</v>
      </c>
      <c r="EN422" s="460">
        <f t="shared" si="231"/>
        <v>0</v>
      </c>
      <c r="EO422" s="469">
        <f t="shared" si="232"/>
        <v>0</v>
      </c>
      <c r="EP422" s="471"/>
      <c r="EQ422" s="450"/>
      <c r="ER422" s="471"/>
      <c r="ES422" s="450"/>
      <c r="ET422" s="471"/>
      <c r="EU422" s="450"/>
      <c r="EV422" s="471"/>
      <c r="EW422" s="450"/>
      <c r="EX422" s="471"/>
      <c r="EY422" s="450"/>
      <c r="EZ422" s="471"/>
      <c r="FA422" s="450"/>
      <c r="FB422" s="471"/>
      <c r="FC422" s="450"/>
      <c r="FD422" s="471"/>
      <c r="FE422" s="450"/>
      <c r="FF422" s="471"/>
      <c r="FG422" s="450"/>
      <c r="FH422" s="472"/>
      <c r="FI422" s="450"/>
      <c r="FJ422" s="468">
        <f t="shared" si="233"/>
        <v>0</v>
      </c>
      <c r="FK422" s="469">
        <f t="shared" si="234"/>
        <v>0</v>
      </c>
      <c r="FL422" s="472"/>
      <c r="FM422" s="450"/>
      <c r="FN422" s="460">
        <f t="shared" si="235"/>
        <v>49</v>
      </c>
      <c r="FO422" s="469">
        <f t="shared" si="236"/>
        <v>71</v>
      </c>
    </row>
    <row r="423" spans="1:171" x14ac:dyDescent="0.2">
      <c r="A423" s="454" t="s">
        <v>644</v>
      </c>
      <c r="B423" s="455" t="s">
        <v>669</v>
      </c>
      <c r="C423" s="504"/>
      <c r="D423" s="505">
        <v>375762</v>
      </c>
      <c r="E423" s="531">
        <v>13</v>
      </c>
      <c r="F423" s="532">
        <v>41</v>
      </c>
      <c r="G423" s="450">
        <v>55</v>
      </c>
      <c r="H423" s="457"/>
      <c r="I423" s="450">
        <v>0</v>
      </c>
      <c r="J423" s="457"/>
      <c r="K423" s="742"/>
      <c r="L423" s="458">
        <f t="shared" si="213"/>
        <v>0</v>
      </c>
      <c r="M423" s="449">
        <f t="shared" si="214"/>
        <v>0</v>
      </c>
      <c r="N423" s="459"/>
      <c r="O423" s="459"/>
      <c r="P423" s="459"/>
      <c r="Q423" s="459"/>
      <c r="R423" s="460">
        <f t="shared" si="215"/>
        <v>0</v>
      </c>
      <c r="S423" s="461"/>
      <c r="T423" s="461"/>
      <c r="U423" s="461"/>
      <c r="V423" s="461"/>
      <c r="W423" s="462">
        <f t="shared" si="216"/>
        <v>0</v>
      </c>
      <c r="X423" s="463"/>
      <c r="Y423" s="457"/>
      <c r="Z423" s="464"/>
      <c r="AA423" s="464"/>
      <c r="AB423" s="465"/>
      <c r="AC423" s="457"/>
      <c r="AD423" s="464"/>
      <c r="AE423" s="466"/>
      <c r="AF423" s="465"/>
      <c r="AG423" s="457"/>
      <c r="AH423" s="464"/>
      <c r="AI423" s="466"/>
      <c r="AJ423" s="465"/>
      <c r="AK423" s="457"/>
      <c r="AL423" s="464"/>
      <c r="AM423" s="466"/>
      <c r="AN423" s="465"/>
      <c r="AO423" s="457"/>
      <c r="AP423" s="464"/>
      <c r="AQ423" s="464"/>
      <c r="AR423" s="460">
        <f t="shared" si="217"/>
        <v>0</v>
      </c>
      <c r="AS423" s="467">
        <f t="shared" si="218"/>
        <v>0</v>
      </c>
      <c r="AT423" s="447">
        <f t="shared" si="219"/>
        <v>0</v>
      </c>
      <c r="AU423" s="448">
        <f t="shared" si="220"/>
        <v>0</v>
      </c>
      <c r="AV423" s="457"/>
      <c r="AW423" s="450"/>
      <c r="AX423" s="463"/>
      <c r="AY423" s="457"/>
      <c r="AZ423" s="464"/>
      <c r="BA423" s="464"/>
      <c r="BB423" s="465"/>
      <c r="BC423" s="457"/>
      <c r="BD423" s="464"/>
      <c r="BE423" s="466"/>
      <c r="BF423" s="465"/>
      <c r="BG423" s="457"/>
      <c r="BH423" s="464"/>
      <c r="BI423" s="466"/>
      <c r="BJ423" s="465"/>
      <c r="BK423" s="457"/>
      <c r="BL423" s="464"/>
      <c r="BM423" s="466"/>
      <c r="BN423" s="465"/>
      <c r="BO423" s="457"/>
      <c r="BP423" s="464"/>
      <c r="BQ423" s="466"/>
      <c r="BR423" s="465"/>
      <c r="BS423" s="457"/>
      <c r="BT423" s="464"/>
      <c r="BU423" s="466"/>
      <c r="BV423" s="465"/>
      <c r="BW423" s="457"/>
      <c r="BX423" s="464"/>
      <c r="BY423" s="466"/>
      <c r="BZ423" s="465"/>
      <c r="CA423" s="457"/>
      <c r="CB423" s="464"/>
      <c r="CC423" s="466"/>
      <c r="CD423" s="465"/>
      <c r="CE423" s="457"/>
      <c r="CF423" s="464"/>
      <c r="CG423" s="466"/>
      <c r="CH423" s="465"/>
      <c r="CI423" s="457"/>
      <c r="CJ423" s="464"/>
      <c r="CK423" s="466"/>
      <c r="CL423" s="459"/>
      <c r="CM423" s="450"/>
      <c r="CN423" s="468">
        <f t="shared" si="221"/>
        <v>0</v>
      </c>
      <c r="CO423" s="468">
        <f t="shared" si="222"/>
        <v>0</v>
      </c>
      <c r="CP423" s="469">
        <f t="shared" si="223"/>
        <v>0</v>
      </c>
      <c r="CQ423" s="469">
        <f t="shared" si="224"/>
        <v>0</v>
      </c>
      <c r="CR423" s="463"/>
      <c r="CS423" s="457"/>
      <c r="CT423" s="464"/>
      <c r="CU423" s="464"/>
      <c r="CV423" s="465"/>
      <c r="CW423" s="457"/>
      <c r="CX423" s="464"/>
      <c r="CY423" s="466"/>
      <c r="CZ423" s="465"/>
      <c r="DA423" s="457"/>
      <c r="DB423" s="464"/>
      <c r="DC423" s="466"/>
      <c r="DD423" s="465"/>
      <c r="DE423" s="457"/>
      <c r="DF423" s="464"/>
      <c r="DG423" s="466"/>
      <c r="DH423" s="465"/>
      <c r="DI423" s="457"/>
      <c r="DJ423" s="464"/>
      <c r="DK423" s="466"/>
      <c r="DL423" s="465"/>
      <c r="DM423" s="457"/>
      <c r="DN423" s="464"/>
      <c r="DO423" s="466"/>
      <c r="DP423" s="465"/>
      <c r="DQ423" s="457"/>
      <c r="DR423" s="464"/>
      <c r="DS423" s="466"/>
      <c r="DT423" s="465"/>
      <c r="DU423" s="457"/>
      <c r="DV423" s="464"/>
      <c r="DW423" s="466"/>
      <c r="DX423" s="465"/>
      <c r="DY423" s="457"/>
      <c r="DZ423" s="464"/>
      <c r="EA423" s="466"/>
      <c r="EB423" s="465"/>
      <c r="EC423" s="457"/>
      <c r="ED423" s="464"/>
      <c r="EE423" s="466"/>
      <c r="EF423" s="459"/>
      <c r="EG423" s="450"/>
      <c r="EH423" s="460">
        <f t="shared" si="225"/>
        <v>0</v>
      </c>
      <c r="EI423" s="460">
        <f t="shared" si="226"/>
        <v>0</v>
      </c>
      <c r="EJ423" s="458">
        <f t="shared" si="227"/>
        <v>0</v>
      </c>
      <c r="EK423" s="470">
        <f t="shared" si="228"/>
        <v>0</v>
      </c>
      <c r="EL423" s="470">
        <f t="shared" si="229"/>
        <v>0</v>
      </c>
      <c r="EM423" s="449">
        <f t="shared" si="230"/>
        <v>0</v>
      </c>
      <c r="EN423" s="460">
        <f t="shared" si="231"/>
        <v>0</v>
      </c>
      <c r="EO423" s="469">
        <f t="shared" si="232"/>
        <v>0</v>
      </c>
      <c r="EP423" s="471"/>
      <c r="EQ423" s="450"/>
      <c r="ER423" s="471"/>
      <c r="ES423" s="450"/>
      <c r="ET423" s="471"/>
      <c r="EU423" s="450"/>
      <c r="EV423" s="471"/>
      <c r="EW423" s="450"/>
      <c r="EX423" s="471"/>
      <c r="EY423" s="450"/>
      <c r="EZ423" s="471"/>
      <c r="FA423" s="450"/>
      <c r="FB423" s="471"/>
      <c r="FC423" s="450"/>
      <c r="FD423" s="471"/>
      <c r="FE423" s="450"/>
      <c r="FF423" s="471"/>
      <c r="FG423" s="450"/>
      <c r="FH423" s="472"/>
      <c r="FI423" s="450"/>
      <c r="FJ423" s="468">
        <f t="shared" si="233"/>
        <v>0</v>
      </c>
      <c r="FK423" s="469">
        <f t="shared" si="234"/>
        <v>0</v>
      </c>
      <c r="FL423" s="472"/>
      <c r="FM423" s="450"/>
      <c r="FN423" s="460">
        <f t="shared" si="235"/>
        <v>41</v>
      </c>
      <c r="FO423" s="469">
        <f t="shared" si="236"/>
        <v>55</v>
      </c>
    </row>
    <row r="424" spans="1:171" x14ac:dyDescent="0.2">
      <c r="A424" s="454" t="s">
        <v>644</v>
      </c>
      <c r="B424" s="455" t="s">
        <v>670</v>
      </c>
      <c r="C424" s="504"/>
      <c r="D424" s="505">
        <v>365480</v>
      </c>
      <c r="E424" s="531">
        <v>13</v>
      </c>
      <c r="F424" s="532">
        <v>275</v>
      </c>
      <c r="G424" s="450">
        <v>262</v>
      </c>
      <c r="H424" s="457">
        <v>9</v>
      </c>
      <c r="I424" s="450">
        <v>12</v>
      </c>
      <c r="J424" s="457"/>
      <c r="K424" s="742"/>
      <c r="L424" s="458">
        <f t="shared" si="213"/>
        <v>0</v>
      </c>
      <c r="M424" s="449">
        <f t="shared" si="214"/>
        <v>0</v>
      </c>
      <c r="N424" s="459"/>
      <c r="O424" s="459"/>
      <c r="P424" s="459"/>
      <c r="Q424" s="459"/>
      <c r="R424" s="460">
        <f t="shared" si="215"/>
        <v>0</v>
      </c>
      <c r="S424" s="461"/>
      <c r="T424" s="461"/>
      <c r="U424" s="461"/>
      <c r="V424" s="461"/>
      <c r="W424" s="462">
        <f t="shared" si="216"/>
        <v>0</v>
      </c>
      <c r="X424" s="463"/>
      <c r="Y424" s="457"/>
      <c r="Z424" s="464"/>
      <c r="AA424" s="464"/>
      <c r="AB424" s="465"/>
      <c r="AC424" s="457"/>
      <c r="AD424" s="464"/>
      <c r="AE424" s="466"/>
      <c r="AF424" s="465"/>
      <c r="AG424" s="457"/>
      <c r="AH424" s="464"/>
      <c r="AI424" s="466"/>
      <c r="AJ424" s="465"/>
      <c r="AK424" s="457"/>
      <c r="AL424" s="464"/>
      <c r="AM424" s="466"/>
      <c r="AN424" s="465"/>
      <c r="AO424" s="457"/>
      <c r="AP424" s="464"/>
      <c r="AQ424" s="464"/>
      <c r="AR424" s="460">
        <f t="shared" si="217"/>
        <v>0</v>
      </c>
      <c r="AS424" s="467">
        <f t="shared" si="218"/>
        <v>0</v>
      </c>
      <c r="AT424" s="447">
        <f t="shared" si="219"/>
        <v>0</v>
      </c>
      <c r="AU424" s="448">
        <f t="shared" si="220"/>
        <v>0</v>
      </c>
      <c r="AV424" s="457"/>
      <c r="AW424" s="450"/>
      <c r="AX424" s="463"/>
      <c r="AY424" s="457"/>
      <c r="AZ424" s="464"/>
      <c r="BA424" s="464"/>
      <c r="BB424" s="465"/>
      <c r="BC424" s="457"/>
      <c r="BD424" s="464"/>
      <c r="BE424" s="466"/>
      <c r="BF424" s="465"/>
      <c r="BG424" s="457"/>
      <c r="BH424" s="464"/>
      <c r="BI424" s="466"/>
      <c r="BJ424" s="465"/>
      <c r="BK424" s="457"/>
      <c r="BL424" s="464"/>
      <c r="BM424" s="466"/>
      <c r="BN424" s="465"/>
      <c r="BO424" s="457"/>
      <c r="BP424" s="464"/>
      <c r="BQ424" s="466"/>
      <c r="BR424" s="465"/>
      <c r="BS424" s="457"/>
      <c r="BT424" s="464"/>
      <c r="BU424" s="466"/>
      <c r="BV424" s="465"/>
      <c r="BW424" s="457"/>
      <c r="BX424" s="464"/>
      <c r="BY424" s="466"/>
      <c r="BZ424" s="465"/>
      <c r="CA424" s="457"/>
      <c r="CB424" s="464"/>
      <c r="CC424" s="466"/>
      <c r="CD424" s="465"/>
      <c r="CE424" s="457"/>
      <c r="CF424" s="464"/>
      <c r="CG424" s="466"/>
      <c r="CH424" s="465"/>
      <c r="CI424" s="457"/>
      <c r="CJ424" s="464"/>
      <c r="CK424" s="466"/>
      <c r="CL424" s="459"/>
      <c r="CM424" s="450"/>
      <c r="CN424" s="468">
        <f t="shared" si="221"/>
        <v>0</v>
      </c>
      <c r="CO424" s="468">
        <f t="shared" si="222"/>
        <v>0</v>
      </c>
      <c r="CP424" s="469">
        <f t="shared" si="223"/>
        <v>0</v>
      </c>
      <c r="CQ424" s="469">
        <f t="shared" si="224"/>
        <v>0</v>
      </c>
      <c r="CR424" s="463"/>
      <c r="CS424" s="457"/>
      <c r="CT424" s="464"/>
      <c r="CU424" s="464"/>
      <c r="CV424" s="465"/>
      <c r="CW424" s="457"/>
      <c r="CX424" s="464"/>
      <c r="CY424" s="466"/>
      <c r="CZ424" s="465"/>
      <c r="DA424" s="457"/>
      <c r="DB424" s="464"/>
      <c r="DC424" s="466"/>
      <c r="DD424" s="465"/>
      <c r="DE424" s="457"/>
      <c r="DF424" s="464"/>
      <c r="DG424" s="466"/>
      <c r="DH424" s="465"/>
      <c r="DI424" s="457"/>
      <c r="DJ424" s="464"/>
      <c r="DK424" s="466"/>
      <c r="DL424" s="465"/>
      <c r="DM424" s="457"/>
      <c r="DN424" s="464"/>
      <c r="DO424" s="466"/>
      <c r="DP424" s="465"/>
      <c r="DQ424" s="457"/>
      <c r="DR424" s="464"/>
      <c r="DS424" s="466"/>
      <c r="DT424" s="465"/>
      <c r="DU424" s="457"/>
      <c r="DV424" s="464"/>
      <c r="DW424" s="466"/>
      <c r="DX424" s="465"/>
      <c r="DY424" s="457"/>
      <c r="DZ424" s="464"/>
      <c r="EA424" s="466"/>
      <c r="EB424" s="465"/>
      <c r="EC424" s="457"/>
      <c r="ED424" s="464"/>
      <c r="EE424" s="466"/>
      <c r="EF424" s="459"/>
      <c r="EG424" s="450"/>
      <c r="EH424" s="460">
        <f t="shared" si="225"/>
        <v>0</v>
      </c>
      <c r="EI424" s="460">
        <f t="shared" si="226"/>
        <v>0</v>
      </c>
      <c r="EJ424" s="458">
        <f t="shared" si="227"/>
        <v>0</v>
      </c>
      <c r="EK424" s="470">
        <f t="shared" si="228"/>
        <v>0</v>
      </c>
      <c r="EL424" s="470">
        <f t="shared" si="229"/>
        <v>0</v>
      </c>
      <c r="EM424" s="449">
        <f t="shared" si="230"/>
        <v>0</v>
      </c>
      <c r="EN424" s="460">
        <f t="shared" si="231"/>
        <v>0</v>
      </c>
      <c r="EO424" s="469">
        <f t="shared" si="232"/>
        <v>0</v>
      </c>
      <c r="EP424" s="471"/>
      <c r="EQ424" s="450"/>
      <c r="ER424" s="471"/>
      <c r="ES424" s="450"/>
      <c r="ET424" s="471"/>
      <c r="EU424" s="450"/>
      <c r="EV424" s="471"/>
      <c r="EW424" s="450"/>
      <c r="EX424" s="471"/>
      <c r="EY424" s="450"/>
      <c r="EZ424" s="471"/>
      <c r="FA424" s="450"/>
      <c r="FB424" s="471"/>
      <c r="FC424" s="450"/>
      <c r="FD424" s="471"/>
      <c r="FE424" s="450"/>
      <c r="FF424" s="471"/>
      <c r="FG424" s="450"/>
      <c r="FH424" s="472"/>
      <c r="FI424" s="450"/>
      <c r="FJ424" s="468">
        <f t="shared" si="233"/>
        <v>0</v>
      </c>
      <c r="FK424" s="469">
        <f t="shared" si="234"/>
        <v>0</v>
      </c>
      <c r="FL424" s="472"/>
      <c r="FM424" s="450"/>
      <c r="FN424" s="460">
        <f t="shared" si="235"/>
        <v>284</v>
      </c>
      <c r="FO424" s="469">
        <f t="shared" si="236"/>
        <v>274</v>
      </c>
    </row>
    <row r="425" spans="1:171" x14ac:dyDescent="0.2">
      <c r="A425" s="454" t="s">
        <v>644</v>
      </c>
      <c r="B425" s="455" t="s">
        <v>671</v>
      </c>
      <c r="C425" s="504"/>
      <c r="D425" s="505">
        <v>418320</v>
      </c>
      <c r="E425" s="531">
        <v>13</v>
      </c>
      <c r="F425" s="532">
        <v>287</v>
      </c>
      <c r="G425" s="450">
        <v>279</v>
      </c>
      <c r="H425" s="457"/>
      <c r="I425" s="450">
        <v>0</v>
      </c>
      <c r="J425" s="457"/>
      <c r="K425" s="742"/>
      <c r="L425" s="458">
        <f t="shared" si="213"/>
        <v>0</v>
      </c>
      <c r="M425" s="449">
        <f t="shared" si="214"/>
        <v>0</v>
      </c>
      <c r="N425" s="459"/>
      <c r="O425" s="459"/>
      <c r="P425" s="459"/>
      <c r="Q425" s="459"/>
      <c r="R425" s="460">
        <f t="shared" si="215"/>
        <v>0</v>
      </c>
      <c r="S425" s="461"/>
      <c r="T425" s="461"/>
      <c r="U425" s="461"/>
      <c r="V425" s="461"/>
      <c r="W425" s="462">
        <f t="shared" si="216"/>
        <v>0</v>
      </c>
      <c r="X425" s="463"/>
      <c r="Y425" s="457"/>
      <c r="Z425" s="464"/>
      <c r="AA425" s="464"/>
      <c r="AB425" s="465"/>
      <c r="AC425" s="457"/>
      <c r="AD425" s="464"/>
      <c r="AE425" s="466"/>
      <c r="AF425" s="465"/>
      <c r="AG425" s="457"/>
      <c r="AH425" s="464"/>
      <c r="AI425" s="466"/>
      <c r="AJ425" s="465"/>
      <c r="AK425" s="457"/>
      <c r="AL425" s="464"/>
      <c r="AM425" s="466"/>
      <c r="AN425" s="465"/>
      <c r="AO425" s="457"/>
      <c r="AP425" s="464"/>
      <c r="AQ425" s="464"/>
      <c r="AR425" s="460">
        <f t="shared" si="217"/>
        <v>0</v>
      </c>
      <c r="AS425" s="467">
        <f t="shared" si="218"/>
        <v>0</v>
      </c>
      <c r="AT425" s="447">
        <f t="shared" si="219"/>
        <v>0</v>
      </c>
      <c r="AU425" s="448">
        <f t="shared" si="220"/>
        <v>0</v>
      </c>
      <c r="AV425" s="457"/>
      <c r="AW425" s="450"/>
      <c r="AX425" s="463"/>
      <c r="AY425" s="457"/>
      <c r="AZ425" s="464"/>
      <c r="BA425" s="464"/>
      <c r="BB425" s="465"/>
      <c r="BC425" s="457"/>
      <c r="BD425" s="464"/>
      <c r="BE425" s="466"/>
      <c r="BF425" s="465"/>
      <c r="BG425" s="457"/>
      <c r="BH425" s="464"/>
      <c r="BI425" s="466"/>
      <c r="BJ425" s="465"/>
      <c r="BK425" s="457"/>
      <c r="BL425" s="464"/>
      <c r="BM425" s="466"/>
      <c r="BN425" s="465"/>
      <c r="BO425" s="457"/>
      <c r="BP425" s="464"/>
      <c r="BQ425" s="466"/>
      <c r="BR425" s="465"/>
      <c r="BS425" s="457"/>
      <c r="BT425" s="464"/>
      <c r="BU425" s="466"/>
      <c r="BV425" s="465"/>
      <c r="BW425" s="457"/>
      <c r="BX425" s="464"/>
      <c r="BY425" s="466"/>
      <c r="BZ425" s="465"/>
      <c r="CA425" s="457"/>
      <c r="CB425" s="464"/>
      <c r="CC425" s="466"/>
      <c r="CD425" s="465"/>
      <c r="CE425" s="457"/>
      <c r="CF425" s="464"/>
      <c r="CG425" s="466"/>
      <c r="CH425" s="465"/>
      <c r="CI425" s="457"/>
      <c r="CJ425" s="464"/>
      <c r="CK425" s="466"/>
      <c r="CL425" s="459"/>
      <c r="CM425" s="450"/>
      <c r="CN425" s="468">
        <f t="shared" si="221"/>
        <v>0</v>
      </c>
      <c r="CO425" s="468">
        <f t="shared" si="222"/>
        <v>0</v>
      </c>
      <c r="CP425" s="469">
        <f t="shared" si="223"/>
        <v>0</v>
      </c>
      <c r="CQ425" s="469">
        <f t="shared" si="224"/>
        <v>0</v>
      </c>
      <c r="CR425" s="463"/>
      <c r="CS425" s="457"/>
      <c r="CT425" s="464"/>
      <c r="CU425" s="464"/>
      <c r="CV425" s="465"/>
      <c r="CW425" s="457"/>
      <c r="CX425" s="464"/>
      <c r="CY425" s="466"/>
      <c r="CZ425" s="465"/>
      <c r="DA425" s="457"/>
      <c r="DB425" s="464"/>
      <c r="DC425" s="466"/>
      <c r="DD425" s="465"/>
      <c r="DE425" s="457"/>
      <c r="DF425" s="464"/>
      <c r="DG425" s="466"/>
      <c r="DH425" s="465"/>
      <c r="DI425" s="457"/>
      <c r="DJ425" s="464"/>
      <c r="DK425" s="466"/>
      <c r="DL425" s="465"/>
      <c r="DM425" s="457"/>
      <c r="DN425" s="464"/>
      <c r="DO425" s="466"/>
      <c r="DP425" s="465"/>
      <c r="DQ425" s="457"/>
      <c r="DR425" s="464"/>
      <c r="DS425" s="466"/>
      <c r="DT425" s="465"/>
      <c r="DU425" s="457"/>
      <c r="DV425" s="464"/>
      <c r="DW425" s="466"/>
      <c r="DX425" s="465"/>
      <c r="DY425" s="457"/>
      <c r="DZ425" s="464"/>
      <c r="EA425" s="466"/>
      <c r="EB425" s="465"/>
      <c r="EC425" s="457"/>
      <c r="ED425" s="464"/>
      <c r="EE425" s="466"/>
      <c r="EF425" s="459"/>
      <c r="EG425" s="450"/>
      <c r="EH425" s="460">
        <f t="shared" si="225"/>
        <v>0</v>
      </c>
      <c r="EI425" s="460">
        <f t="shared" si="226"/>
        <v>0</v>
      </c>
      <c r="EJ425" s="458">
        <f t="shared" si="227"/>
        <v>0</v>
      </c>
      <c r="EK425" s="470">
        <f t="shared" si="228"/>
        <v>0</v>
      </c>
      <c r="EL425" s="470">
        <f t="shared" si="229"/>
        <v>0</v>
      </c>
      <c r="EM425" s="449">
        <f t="shared" si="230"/>
        <v>0</v>
      </c>
      <c r="EN425" s="460">
        <f t="shared" si="231"/>
        <v>0</v>
      </c>
      <c r="EO425" s="469">
        <f t="shared" si="232"/>
        <v>0</v>
      </c>
      <c r="EP425" s="471"/>
      <c r="EQ425" s="450"/>
      <c r="ER425" s="471"/>
      <c r="ES425" s="450"/>
      <c r="ET425" s="471"/>
      <c r="EU425" s="450"/>
      <c r="EV425" s="471"/>
      <c r="EW425" s="450"/>
      <c r="EX425" s="471"/>
      <c r="EY425" s="450"/>
      <c r="EZ425" s="471"/>
      <c r="FA425" s="450"/>
      <c r="FB425" s="471"/>
      <c r="FC425" s="450"/>
      <c r="FD425" s="471"/>
      <c r="FE425" s="450"/>
      <c r="FF425" s="471"/>
      <c r="FG425" s="450"/>
      <c r="FH425" s="472"/>
      <c r="FI425" s="450"/>
      <c r="FJ425" s="468">
        <f t="shared" si="233"/>
        <v>0</v>
      </c>
      <c r="FK425" s="469">
        <f t="shared" si="234"/>
        <v>0</v>
      </c>
      <c r="FL425" s="472"/>
      <c r="FM425" s="450"/>
      <c r="FN425" s="460">
        <f t="shared" si="235"/>
        <v>287</v>
      </c>
      <c r="FO425" s="469">
        <f t="shared" si="236"/>
        <v>279</v>
      </c>
    </row>
    <row r="426" spans="1:171" x14ac:dyDescent="0.2">
      <c r="A426" s="454" t="s">
        <v>644</v>
      </c>
      <c r="B426" s="455" t="s">
        <v>672</v>
      </c>
      <c r="C426" s="504"/>
      <c r="D426" s="505">
        <v>431017</v>
      </c>
      <c r="E426" s="531">
        <v>13</v>
      </c>
      <c r="F426" s="532">
        <v>173</v>
      </c>
      <c r="G426" s="450">
        <v>233</v>
      </c>
      <c r="H426" s="457"/>
      <c r="I426" s="450">
        <v>0</v>
      </c>
      <c r="J426" s="457"/>
      <c r="K426" s="742"/>
      <c r="L426" s="458">
        <f t="shared" si="213"/>
        <v>0</v>
      </c>
      <c r="M426" s="449">
        <f t="shared" si="214"/>
        <v>0</v>
      </c>
      <c r="N426" s="459"/>
      <c r="O426" s="459"/>
      <c r="P426" s="459"/>
      <c r="Q426" s="459"/>
      <c r="R426" s="460">
        <f t="shared" si="215"/>
        <v>0</v>
      </c>
      <c r="S426" s="461"/>
      <c r="T426" s="461"/>
      <c r="U426" s="461"/>
      <c r="V426" s="461"/>
      <c r="W426" s="462">
        <f t="shared" si="216"/>
        <v>0</v>
      </c>
      <c r="X426" s="463"/>
      <c r="Y426" s="457"/>
      <c r="Z426" s="464"/>
      <c r="AA426" s="464"/>
      <c r="AB426" s="465"/>
      <c r="AC426" s="457"/>
      <c r="AD426" s="464"/>
      <c r="AE426" s="466"/>
      <c r="AF426" s="465"/>
      <c r="AG426" s="457"/>
      <c r="AH426" s="464"/>
      <c r="AI426" s="466"/>
      <c r="AJ426" s="465"/>
      <c r="AK426" s="457"/>
      <c r="AL426" s="464"/>
      <c r="AM426" s="466"/>
      <c r="AN426" s="465"/>
      <c r="AO426" s="457"/>
      <c r="AP426" s="464"/>
      <c r="AQ426" s="464"/>
      <c r="AR426" s="460">
        <f t="shared" si="217"/>
        <v>0</v>
      </c>
      <c r="AS426" s="467">
        <f t="shared" si="218"/>
        <v>0</v>
      </c>
      <c r="AT426" s="447">
        <f t="shared" si="219"/>
        <v>0</v>
      </c>
      <c r="AU426" s="448">
        <f t="shared" si="220"/>
        <v>0</v>
      </c>
      <c r="AV426" s="457"/>
      <c r="AW426" s="450"/>
      <c r="AX426" s="463"/>
      <c r="AY426" s="457"/>
      <c r="AZ426" s="464"/>
      <c r="BA426" s="464"/>
      <c r="BB426" s="465"/>
      <c r="BC426" s="457"/>
      <c r="BD426" s="464"/>
      <c r="BE426" s="466"/>
      <c r="BF426" s="465"/>
      <c r="BG426" s="457"/>
      <c r="BH426" s="464"/>
      <c r="BI426" s="466"/>
      <c r="BJ426" s="465"/>
      <c r="BK426" s="457"/>
      <c r="BL426" s="464"/>
      <c r="BM426" s="466"/>
      <c r="BN426" s="465"/>
      <c r="BO426" s="457"/>
      <c r="BP426" s="464"/>
      <c r="BQ426" s="466"/>
      <c r="BR426" s="465"/>
      <c r="BS426" s="457"/>
      <c r="BT426" s="464"/>
      <c r="BU426" s="466"/>
      <c r="BV426" s="465"/>
      <c r="BW426" s="457"/>
      <c r="BX426" s="464"/>
      <c r="BY426" s="466"/>
      <c r="BZ426" s="465"/>
      <c r="CA426" s="457"/>
      <c r="CB426" s="464"/>
      <c r="CC426" s="466"/>
      <c r="CD426" s="465"/>
      <c r="CE426" s="457"/>
      <c r="CF426" s="464"/>
      <c r="CG426" s="466"/>
      <c r="CH426" s="465"/>
      <c r="CI426" s="457"/>
      <c r="CJ426" s="464"/>
      <c r="CK426" s="466"/>
      <c r="CL426" s="459"/>
      <c r="CM426" s="450"/>
      <c r="CN426" s="468">
        <f t="shared" si="221"/>
        <v>0</v>
      </c>
      <c r="CO426" s="468">
        <f t="shared" si="222"/>
        <v>0</v>
      </c>
      <c r="CP426" s="469">
        <f t="shared" si="223"/>
        <v>0</v>
      </c>
      <c r="CQ426" s="469">
        <f t="shared" si="224"/>
        <v>0</v>
      </c>
      <c r="CR426" s="463"/>
      <c r="CS426" s="457"/>
      <c r="CT426" s="464"/>
      <c r="CU426" s="464"/>
      <c r="CV426" s="465"/>
      <c r="CW426" s="457"/>
      <c r="CX426" s="464"/>
      <c r="CY426" s="466"/>
      <c r="CZ426" s="465"/>
      <c r="DA426" s="457"/>
      <c r="DB426" s="464"/>
      <c r="DC426" s="466"/>
      <c r="DD426" s="465"/>
      <c r="DE426" s="457"/>
      <c r="DF426" s="464"/>
      <c r="DG426" s="466"/>
      <c r="DH426" s="465"/>
      <c r="DI426" s="457"/>
      <c r="DJ426" s="464"/>
      <c r="DK426" s="466"/>
      <c r="DL426" s="465"/>
      <c r="DM426" s="457"/>
      <c r="DN426" s="464"/>
      <c r="DO426" s="466"/>
      <c r="DP426" s="465"/>
      <c r="DQ426" s="457"/>
      <c r="DR426" s="464"/>
      <c r="DS426" s="466"/>
      <c r="DT426" s="465"/>
      <c r="DU426" s="457"/>
      <c r="DV426" s="464"/>
      <c r="DW426" s="466"/>
      <c r="DX426" s="465"/>
      <c r="DY426" s="457"/>
      <c r="DZ426" s="464"/>
      <c r="EA426" s="466"/>
      <c r="EB426" s="465"/>
      <c r="EC426" s="457"/>
      <c r="ED426" s="464"/>
      <c r="EE426" s="466"/>
      <c r="EF426" s="459"/>
      <c r="EG426" s="450"/>
      <c r="EH426" s="460">
        <f t="shared" si="225"/>
        <v>0</v>
      </c>
      <c r="EI426" s="460">
        <f t="shared" si="226"/>
        <v>0</v>
      </c>
      <c r="EJ426" s="458">
        <f t="shared" si="227"/>
        <v>0</v>
      </c>
      <c r="EK426" s="470">
        <f t="shared" si="228"/>
        <v>0</v>
      </c>
      <c r="EL426" s="470">
        <f t="shared" si="229"/>
        <v>0</v>
      </c>
      <c r="EM426" s="449">
        <f t="shared" si="230"/>
        <v>0</v>
      </c>
      <c r="EN426" s="460">
        <f t="shared" si="231"/>
        <v>0</v>
      </c>
      <c r="EO426" s="469">
        <f t="shared" si="232"/>
        <v>0</v>
      </c>
      <c r="EP426" s="471"/>
      <c r="EQ426" s="450"/>
      <c r="ER426" s="471"/>
      <c r="ES426" s="450"/>
      <c r="ET426" s="471"/>
      <c r="EU426" s="450"/>
      <c r="EV426" s="471"/>
      <c r="EW426" s="450"/>
      <c r="EX426" s="471"/>
      <c r="EY426" s="450"/>
      <c r="EZ426" s="471"/>
      <c r="FA426" s="450"/>
      <c r="FB426" s="471"/>
      <c r="FC426" s="450"/>
      <c r="FD426" s="471"/>
      <c r="FE426" s="450"/>
      <c r="FF426" s="471"/>
      <c r="FG426" s="450"/>
      <c r="FH426" s="472"/>
      <c r="FI426" s="450"/>
      <c r="FJ426" s="468">
        <f t="shared" si="233"/>
        <v>0</v>
      </c>
      <c r="FK426" s="469">
        <f t="shared" si="234"/>
        <v>0</v>
      </c>
      <c r="FL426" s="472"/>
      <c r="FM426" s="450"/>
      <c r="FN426" s="460">
        <f t="shared" si="235"/>
        <v>173</v>
      </c>
      <c r="FO426" s="469">
        <f t="shared" si="236"/>
        <v>233</v>
      </c>
    </row>
    <row r="427" spans="1:171" x14ac:dyDescent="0.2">
      <c r="A427" s="454" t="s">
        <v>644</v>
      </c>
      <c r="B427" s="533" t="s">
        <v>673</v>
      </c>
      <c r="C427" s="534"/>
      <c r="D427" s="505">
        <v>248606</v>
      </c>
      <c r="E427" s="531">
        <v>13</v>
      </c>
      <c r="F427" s="532">
        <v>489</v>
      </c>
      <c r="G427" s="450">
        <v>515</v>
      </c>
      <c r="H427" s="457"/>
      <c r="I427" s="450">
        <v>8</v>
      </c>
      <c r="J427" s="457"/>
      <c r="K427" s="742"/>
      <c r="L427" s="458">
        <f t="shared" si="213"/>
        <v>0</v>
      </c>
      <c r="M427" s="449">
        <f t="shared" si="214"/>
        <v>0</v>
      </c>
      <c r="N427" s="459"/>
      <c r="O427" s="459"/>
      <c r="P427" s="459"/>
      <c r="Q427" s="459"/>
      <c r="R427" s="460">
        <f t="shared" si="215"/>
        <v>0</v>
      </c>
      <c r="S427" s="461"/>
      <c r="T427" s="461"/>
      <c r="U427" s="461"/>
      <c r="V427" s="461"/>
      <c r="W427" s="462">
        <f t="shared" si="216"/>
        <v>0</v>
      </c>
      <c r="X427" s="463"/>
      <c r="Y427" s="457"/>
      <c r="Z427" s="464"/>
      <c r="AA427" s="464"/>
      <c r="AB427" s="465"/>
      <c r="AC427" s="457"/>
      <c r="AD427" s="464"/>
      <c r="AE427" s="466"/>
      <c r="AF427" s="465"/>
      <c r="AG427" s="457"/>
      <c r="AH427" s="464"/>
      <c r="AI427" s="466"/>
      <c r="AJ427" s="465"/>
      <c r="AK427" s="457"/>
      <c r="AL427" s="464"/>
      <c r="AM427" s="466"/>
      <c r="AN427" s="465"/>
      <c r="AO427" s="457"/>
      <c r="AP427" s="464"/>
      <c r="AQ427" s="464"/>
      <c r="AR427" s="460">
        <f t="shared" si="217"/>
        <v>0</v>
      </c>
      <c r="AS427" s="467">
        <f t="shared" si="218"/>
        <v>0</v>
      </c>
      <c r="AT427" s="447">
        <f t="shared" si="219"/>
        <v>0</v>
      </c>
      <c r="AU427" s="448">
        <f t="shared" si="220"/>
        <v>0</v>
      </c>
      <c r="AV427" s="457"/>
      <c r="AW427" s="450"/>
      <c r="AX427" s="463"/>
      <c r="AY427" s="457"/>
      <c r="AZ427" s="464"/>
      <c r="BA427" s="464"/>
      <c r="BB427" s="465"/>
      <c r="BC427" s="457"/>
      <c r="BD427" s="464"/>
      <c r="BE427" s="466"/>
      <c r="BF427" s="465"/>
      <c r="BG427" s="457"/>
      <c r="BH427" s="464"/>
      <c r="BI427" s="466"/>
      <c r="BJ427" s="465"/>
      <c r="BK427" s="457"/>
      <c r="BL427" s="464"/>
      <c r="BM427" s="466"/>
      <c r="BN427" s="465"/>
      <c r="BO427" s="457"/>
      <c r="BP427" s="464"/>
      <c r="BQ427" s="466"/>
      <c r="BR427" s="465"/>
      <c r="BS427" s="457"/>
      <c r="BT427" s="464"/>
      <c r="BU427" s="466"/>
      <c r="BV427" s="465"/>
      <c r="BW427" s="457"/>
      <c r="BX427" s="464"/>
      <c r="BY427" s="466"/>
      <c r="BZ427" s="465"/>
      <c r="CA427" s="457"/>
      <c r="CB427" s="464"/>
      <c r="CC427" s="466"/>
      <c r="CD427" s="465"/>
      <c r="CE427" s="457"/>
      <c r="CF427" s="464"/>
      <c r="CG427" s="466"/>
      <c r="CH427" s="465"/>
      <c r="CI427" s="457"/>
      <c r="CJ427" s="464"/>
      <c r="CK427" s="466"/>
      <c r="CL427" s="459"/>
      <c r="CM427" s="450"/>
      <c r="CN427" s="468">
        <f t="shared" si="221"/>
        <v>0</v>
      </c>
      <c r="CO427" s="468">
        <f t="shared" si="222"/>
        <v>0</v>
      </c>
      <c r="CP427" s="469">
        <f t="shared" si="223"/>
        <v>0</v>
      </c>
      <c r="CQ427" s="469">
        <f t="shared" si="224"/>
        <v>0</v>
      </c>
      <c r="CR427" s="463"/>
      <c r="CS427" s="457"/>
      <c r="CT427" s="464"/>
      <c r="CU427" s="464"/>
      <c r="CV427" s="465"/>
      <c r="CW427" s="457"/>
      <c r="CX427" s="464"/>
      <c r="CY427" s="466"/>
      <c r="CZ427" s="465"/>
      <c r="DA427" s="457"/>
      <c r="DB427" s="464"/>
      <c r="DC427" s="466"/>
      <c r="DD427" s="465"/>
      <c r="DE427" s="457"/>
      <c r="DF427" s="464"/>
      <c r="DG427" s="466"/>
      <c r="DH427" s="465"/>
      <c r="DI427" s="457"/>
      <c r="DJ427" s="464"/>
      <c r="DK427" s="466"/>
      <c r="DL427" s="465"/>
      <c r="DM427" s="457"/>
      <c r="DN427" s="464"/>
      <c r="DO427" s="466"/>
      <c r="DP427" s="465"/>
      <c r="DQ427" s="457"/>
      <c r="DR427" s="464"/>
      <c r="DS427" s="466"/>
      <c r="DT427" s="465"/>
      <c r="DU427" s="457"/>
      <c r="DV427" s="464"/>
      <c r="DW427" s="466"/>
      <c r="DX427" s="465"/>
      <c r="DY427" s="457"/>
      <c r="DZ427" s="464"/>
      <c r="EA427" s="466"/>
      <c r="EB427" s="465"/>
      <c r="EC427" s="457"/>
      <c r="ED427" s="464"/>
      <c r="EE427" s="466"/>
      <c r="EF427" s="459"/>
      <c r="EG427" s="450"/>
      <c r="EH427" s="460">
        <f t="shared" si="225"/>
        <v>0</v>
      </c>
      <c r="EI427" s="460">
        <f t="shared" si="226"/>
        <v>0</v>
      </c>
      <c r="EJ427" s="458">
        <f t="shared" si="227"/>
        <v>0</v>
      </c>
      <c r="EK427" s="470">
        <f t="shared" si="228"/>
        <v>0</v>
      </c>
      <c r="EL427" s="470">
        <f t="shared" si="229"/>
        <v>0</v>
      </c>
      <c r="EM427" s="449">
        <f t="shared" si="230"/>
        <v>0</v>
      </c>
      <c r="EN427" s="460">
        <f t="shared" si="231"/>
        <v>0</v>
      </c>
      <c r="EO427" s="469">
        <f t="shared" si="232"/>
        <v>0</v>
      </c>
      <c r="EP427" s="471"/>
      <c r="EQ427" s="450"/>
      <c r="ER427" s="471"/>
      <c r="ES427" s="450"/>
      <c r="ET427" s="471"/>
      <c r="EU427" s="450"/>
      <c r="EV427" s="471"/>
      <c r="EW427" s="450"/>
      <c r="EX427" s="471"/>
      <c r="EY427" s="450"/>
      <c r="EZ427" s="471"/>
      <c r="FA427" s="450"/>
      <c r="FB427" s="471"/>
      <c r="FC427" s="450"/>
      <c r="FD427" s="471"/>
      <c r="FE427" s="450"/>
      <c r="FF427" s="471"/>
      <c r="FG427" s="450"/>
      <c r="FH427" s="472"/>
      <c r="FI427" s="450"/>
      <c r="FJ427" s="468">
        <f t="shared" si="233"/>
        <v>0</v>
      </c>
      <c r="FK427" s="469">
        <f t="shared" si="234"/>
        <v>0</v>
      </c>
      <c r="FL427" s="472"/>
      <c r="FM427" s="450"/>
      <c r="FN427" s="460">
        <f t="shared" si="235"/>
        <v>489</v>
      </c>
      <c r="FO427" s="469">
        <f t="shared" si="236"/>
        <v>523</v>
      </c>
    </row>
    <row r="428" spans="1:171" x14ac:dyDescent="0.2">
      <c r="A428" s="454" t="s">
        <v>644</v>
      </c>
      <c r="B428" s="455" t="s">
        <v>674</v>
      </c>
      <c r="C428" s="504"/>
      <c r="D428" s="505">
        <v>420459</v>
      </c>
      <c r="E428" s="531">
        <v>13</v>
      </c>
      <c r="F428" s="532">
        <v>206</v>
      </c>
      <c r="G428" s="450">
        <v>217</v>
      </c>
      <c r="H428" s="457"/>
      <c r="I428" s="450">
        <v>0</v>
      </c>
      <c r="J428" s="457"/>
      <c r="K428" s="742"/>
      <c r="L428" s="458">
        <f t="shared" si="213"/>
        <v>0</v>
      </c>
      <c r="M428" s="449">
        <f t="shared" si="214"/>
        <v>0</v>
      </c>
      <c r="N428" s="459"/>
      <c r="O428" s="459"/>
      <c r="P428" s="459"/>
      <c r="Q428" s="459"/>
      <c r="R428" s="460">
        <f t="shared" si="215"/>
        <v>0</v>
      </c>
      <c r="S428" s="461"/>
      <c r="T428" s="461"/>
      <c r="U428" s="461"/>
      <c r="V428" s="461"/>
      <c r="W428" s="462">
        <f t="shared" si="216"/>
        <v>0</v>
      </c>
      <c r="X428" s="463"/>
      <c r="Y428" s="457"/>
      <c r="Z428" s="464"/>
      <c r="AA428" s="464"/>
      <c r="AB428" s="465"/>
      <c r="AC428" s="457"/>
      <c r="AD428" s="464"/>
      <c r="AE428" s="466"/>
      <c r="AF428" s="465"/>
      <c r="AG428" s="457"/>
      <c r="AH428" s="464"/>
      <c r="AI428" s="466"/>
      <c r="AJ428" s="465"/>
      <c r="AK428" s="457"/>
      <c r="AL428" s="464"/>
      <c r="AM428" s="466"/>
      <c r="AN428" s="465"/>
      <c r="AO428" s="457"/>
      <c r="AP428" s="464"/>
      <c r="AQ428" s="464"/>
      <c r="AR428" s="460">
        <f t="shared" si="217"/>
        <v>0</v>
      </c>
      <c r="AS428" s="467">
        <f t="shared" si="218"/>
        <v>0</v>
      </c>
      <c r="AT428" s="447">
        <f t="shared" si="219"/>
        <v>0</v>
      </c>
      <c r="AU428" s="448">
        <f t="shared" si="220"/>
        <v>0</v>
      </c>
      <c r="AV428" s="457"/>
      <c r="AW428" s="450"/>
      <c r="AX428" s="463"/>
      <c r="AY428" s="457"/>
      <c r="AZ428" s="464"/>
      <c r="BA428" s="464"/>
      <c r="BB428" s="465"/>
      <c r="BC428" s="457"/>
      <c r="BD428" s="464"/>
      <c r="BE428" s="466"/>
      <c r="BF428" s="465"/>
      <c r="BG428" s="457"/>
      <c r="BH428" s="464"/>
      <c r="BI428" s="466"/>
      <c r="BJ428" s="465"/>
      <c r="BK428" s="457"/>
      <c r="BL428" s="464"/>
      <c r="BM428" s="466"/>
      <c r="BN428" s="465"/>
      <c r="BO428" s="457"/>
      <c r="BP428" s="464"/>
      <c r="BQ428" s="466"/>
      <c r="BR428" s="465"/>
      <c r="BS428" s="457"/>
      <c r="BT428" s="464"/>
      <c r="BU428" s="466"/>
      <c r="BV428" s="465"/>
      <c r="BW428" s="457"/>
      <c r="BX428" s="464"/>
      <c r="BY428" s="466"/>
      <c r="BZ428" s="465"/>
      <c r="CA428" s="457"/>
      <c r="CB428" s="464"/>
      <c r="CC428" s="466"/>
      <c r="CD428" s="465"/>
      <c r="CE428" s="457"/>
      <c r="CF428" s="464"/>
      <c r="CG428" s="466"/>
      <c r="CH428" s="465"/>
      <c r="CI428" s="457"/>
      <c r="CJ428" s="464"/>
      <c r="CK428" s="466"/>
      <c r="CL428" s="459"/>
      <c r="CM428" s="450"/>
      <c r="CN428" s="468">
        <f t="shared" si="221"/>
        <v>0</v>
      </c>
      <c r="CO428" s="468">
        <f t="shared" si="222"/>
        <v>0</v>
      </c>
      <c r="CP428" s="469">
        <f t="shared" si="223"/>
        <v>0</v>
      </c>
      <c r="CQ428" s="469">
        <f t="shared" si="224"/>
        <v>0</v>
      </c>
      <c r="CR428" s="463"/>
      <c r="CS428" s="457"/>
      <c r="CT428" s="464"/>
      <c r="CU428" s="464"/>
      <c r="CV428" s="465"/>
      <c r="CW428" s="457"/>
      <c r="CX428" s="464"/>
      <c r="CY428" s="466"/>
      <c r="CZ428" s="465"/>
      <c r="DA428" s="457"/>
      <c r="DB428" s="464"/>
      <c r="DC428" s="466"/>
      <c r="DD428" s="465"/>
      <c r="DE428" s="457"/>
      <c r="DF428" s="464"/>
      <c r="DG428" s="466"/>
      <c r="DH428" s="465"/>
      <c r="DI428" s="457"/>
      <c r="DJ428" s="464"/>
      <c r="DK428" s="466"/>
      <c r="DL428" s="465"/>
      <c r="DM428" s="457"/>
      <c r="DN428" s="464"/>
      <c r="DO428" s="466"/>
      <c r="DP428" s="465"/>
      <c r="DQ428" s="457"/>
      <c r="DR428" s="464"/>
      <c r="DS428" s="466"/>
      <c r="DT428" s="465"/>
      <c r="DU428" s="457"/>
      <c r="DV428" s="464"/>
      <c r="DW428" s="466"/>
      <c r="DX428" s="465"/>
      <c r="DY428" s="457"/>
      <c r="DZ428" s="464"/>
      <c r="EA428" s="466"/>
      <c r="EB428" s="465"/>
      <c r="EC428" s="457"/>
      <c r="ED428" s="464"/>
      <c r="EE428" s="466"/>
      <c r="EF428" s="459"/>
      <c r="EG428" s="450"/>
      <c r="EH428" s="460">
        <f t="shared" si="225"/>
        <v>0</v>
      </c>
      <c r="EI428" s="460">
        <f t="shared" si="226"/>
        <v>0</v>
      </c>
      <c r="EJ428" s="458">
        <f t="shared" si="227"/>
        <v>0</v>
      </c>
      <c r="EK428" s="470">
        <f t="shared" si="228"/>
        <v>0</v>
      </c>
      <c r="EL428" s="470">
        <f t="shared" si="229"/>
        <v>0</v>
      </c>
      <c r="EM428" s="449">
        <f t="shared" si="230"/>
        <v>0</v>
      </c>
      <c r="EN428" s="460">
        <f t="shared" si="231"/>
        <v>0</v>
      </c>
      <c r="EO428" s="469">
        <f t="shared" si="232"/>
        <v>0</v>
      </c>
      <c r="EP428" s="471"/>
      <c r="EQ428" s="450"/>
      <c r="ER428" s="471"/>
      <c r="ES428" s="450"/>
      <c r="ET428" s="471"/>
      <c r="EU428" s="450"/>
      <c r="EV428" s="471"/>
      <c r="EW428" s="450"/>
      <c r="EX428" s="471"/>
      <c r="EY428" s="450"/>
      <c r="EZ428" s="471"/>
      <c r="FA428" s="450"/>
      <c r="FB428" s="471"/>
      <c r="FC428" s="450"/>
      <c r="FD428" s="471"/>
      <c r="FE428" s="450"/>
      <c r="FF428" s="471"/>
      <c r="FG428" s="450"/>
      <c r="FH428" s="472"/>
      <c r="FI428" s="450"/>
      <c r="FJ428" s="468">
        <f t="shared" si="233"/>
        <v>0</v>
      </c>
      <c r="FK428" s="469">
        <f t="shared" si="234"/>
        <v>0</v>
      </c>
      <c r="FL428" s="472"/>
      <c r="FM428" s="450"/>
      <c r="FN428" s="460">
        <f t="shared" si="235"/>
        <v>206</v>
      </c>
      <c r="FO428" s="469">
        <f t="shared" si="236"/>
        <v>217</v>
      </c>
    </row>
    <row r="429" spans="1:171" x14ac:dyDescent="0.2">
      <c r="A429" s="535" t="s">
        <v>644</v>
      </c>
      <c r="B429" s="536" t="s">
        <v>675</v>
      </c>
      <c r="C429" s="537" t="s">
        <v>676</v>
      </c>
      <c r="D429" s="538">
        <v>456560</v>
      </c>
      <c r="E429" s="592">
        <v>13</v>
      </c>
      <c r="F429" s="532">
        <v>65</v>
      </c>
      <c r="G429" s="450">
        <v>64</v>
      </c>
      <c r="H429" s="457"/>
      <c r="I429" s="450">
        <v>0</v>
      </c>
      <c r="J429" s="457"/>
      <c r="K429" s="742"/>
      <c r="L429" s="458">
        <f t="shared" si="213"/>
        <v>0</v>
      </c>
      <c r="M429" s="449">
        <f t="shared" si="214"/>
        <v>0</v>
      </c>
      <c r="N429" s="459"/>
      <c r="O429" s="459"/>
      <c r="P429" s="459"/>
      <c r="Q429" s="459"/>
      <c r="R429" s="460">
        <f t="shared" si="215"/>
        <v>0</v>
      </c>
      <c r="S429" s="461"/>
      <c r="T429" s="461"/>
      <c r="U429" s="461"/>
      <c r="V429" s="461"/>
      <c r="W429" s="462">
        <f t="shared" si="216"/>
        <v>0</v>
      </c>
      <c r="X429" s="463"/>
      <c r="Y429" s="457"/>
      <c r="Z429" s="464"/>
      <c r="AA429" s="464"/>
      <c r="AB429" s="465"/>
      <c r="AC429" s="457"/>
      <c r="AD429" s="464"/>
      <c r="AE429" s="466"/>
      <c r="AF429" s="465"/>
      <c r="AG429" s="457"/>
      <c r="AH429" s="464"/>
      <c r="AI429" s="466"/>
      <c r="AJ429" s="465"/>
      <c r="AK429" s="457"/>
      <c r="AL429" s="464"/>
      <c r="AM429" s="466"/>
      <c r="AN429" s="465"/>
      <c r="AO429" s="457"/>
      <c r="AP429" s="464"/>
      <c r="AQ429" s="464"/>
      <c r="AR429" s="460">
        <f t="shared" si="217"/>
        <v>0</v>
      </c>
      <c r="AS429" s="467">
        <f t="shared" si="218"/>
        <v>0</v>
      </c>
      <c r="AT429" s="447">
        <f t="shared" si="219"/>
        <v>0</v>
      </c>
      <c r="AU429" s="448">
        <f t="shared" si="220"/>
        <v>0</v>
      </c>
      <c r="AV429" s="457"/>
      <c r="AW429" s="450"/>
      <c r="AX429" s="463"/>
      <c r="AY429" s="457"/>
      <c r="AZ429" s="464"/>
      <c r="BA429" s="464"/>
      <c r="BB429" s="465"/>
      <c r="BC429" s="457"/>
      <c r="BD429" s="464"/>
      <c r="BE429" s="466"/>
      <c r="BF429" s="465"/>
      <c r="BG429" s="457"/>
      <c r="BH429" s="464"/>
      <c r="BI429" s="466"/>
      <c r="BJ429" s="465"/>
      <c r="BK429" s="457"/>
      <c r="BL429" s="464"/>
      <c r="BM429" s="466"/>
      <c r="BN429" s="465"/>
      <c r="BO429" s="457"/>
      <c r="BP429" s="464"/>
      <c r="BQ429" s="466"/>
      <c r="BR429" s="465"/>
      <c r="BS429" s="457"/>
      <c r="BT429" s="464"/>
      <c r="BU429" s="466"/>
      <c r="BV429" s="465"/>
      <c r="BW429" s="457"/>
      <c r="BX429" s="464"/>
      <c r="BY429" s="466"/>
      <c r="BZ429" s="465"/>
      <c r="CA429" s="457"/>
      <c r="CB429" s="464"/>
      <c r="CC429" s="466"/>
      <c r="CD429" s="465"/>
      <c r="CE429" s="457"/>
      <c r="CF429" s="464"/>
      <c r="CG429" s="466"/>
      <c r="CH429" s="465"/>
      <c r="CI429" s="457"/>
      <c r="CJ429" s="464"/>
      <c r="CK429" s="466"/>
      <c r="CL429" s="459"/>
      <c r="CM429" s="450"/>
      <c r="CN429" s="468">
        <f t="shared" si="221"/>
        <v>0</v>
      </c>
      <c r="CO429" s="468">
        <f t="shared" si="222"/>
        <v>0</v>
      </c>
      <c r="CP429" s="469">
        <f t="shared" si="223"/>
        <v>0</v>
      </c>
      <c r="CQ429" s="469">
        <f t="shared" si="224"/>
        <v>0</v>
      </c>
      <c r="CR429" s="463"/>
      <c r="CS429" s="457"/>
      <c r="CT429" s="464"/>
      <c r="CU429" s="464"/>
      <c r="CV429" s="465"/>
      <c r="CW429" s="457"/>
      <c r="CX429" s="464"/>
      <c r="CY429" s="466"/>
      <c r="CZ429" s="465"/>
      <c r="DA429" s="457"/>
      <c r="DB429" s="464"/>
      <c r="DC429" s="466"/>
      <c r="DD429" s="465"/>
      <c r="DE429" s="457"/>
      <c r="DF429" s="464"/>
      <c r="DG429" s="466"/>
      <c r="DH429" s="465"/>
      <c r="DI429" s="457"/>
      <c r="DJ429" s="464"/>
      <c r="DK429" s="466"/>
      <c r="DL429" s="465"/>
      <c r="DM429" s="457"/>
      <c r="DN429" s="464"/>
      <c r="DO429" s="466"/>
      <c r="DP429" s="465"/>
      <c r="DQ429" s="457"/>
      <c r="DR429" s="464"/>
      <c r="DS429" s="466"/>
      <c r="DT429" s="465"/>
      <c r="DU429" s="457"/>
      <c r="DV429" s="464"/>
      <c r="DW429" s="466"/>
      <c r="DX429" s="465"/>
      <c r="DY429" s="457"/>
      <c r="DZ429" s="464"/>
      <c r="EA429" s="466"/>
      <c r="EB429" s="465"/>
      <c r="EC429" s="457"/>
      <c r="ED429" s="464"/>
      <c r="EE429" s="466"/>
      <c r="EF429" s="459"/>
      <c r="EG429" s="450"/>
      <c r="EH429" s="460">
        <f t="shared" si="225"/>
        <v>0</v>
      </c>
      <c r="EI429" s="460">
        <f t="shared" si="226"/>
        <v>0</v>
      </c>
      <c r="EJ429" s="458">
        <f t="shared" si="227"/>
        <v>0</v>
      </c>
      <c r="EK429" s="470">
        <f t="shared" si="228"/>
        <v>0</v>
      </c>
      <c r="EL429" s="470">
        <f t="shared" si="229"/>
        <v>0</v>
      </c>
      <c r="EM429" s="449">
        <f t="shared" si="230"/>
        <v>0</v>
      </c>
      <c r="EN429" s="460">
        <f t="shared" si="231"/>
        <v>0</v>
      </c>
      <c r="EO429" s="469">
        <f t="shared" si="232"/>
        <v>0</v>
      </c>
      <c r="EP429" s="471"/>
      <c r="EQ429" s="450"/>
      <c r="ER429" s="471"/>
      <c r="ES429" s="450"/>
      <c r="ET429" s="471"/>
      <c r="EU429" s="450"/>
      <c r="EV429" s="471"/>
      <c r="EW429" s="450"/>
      <c r="EX429" s="471"/>
      <c r="EY429" s="450"/>
      <c r="EZ429" s="471"/>
      <c r="FA429" s="450"/>
      <c r="FB429" s="471"/>
      <c r="FC429" s="450"/>
      <c r="FD429" s="471"/>
      <c r="FE429" s="450"/>
      <c r="FF429" s="471"/>
      <c r="FG429" s="450"/>
      <c r="FH429" s="472"/>
      <c r="FI429" s="450"/>
      <c r="FJ429" s="468">
        <f t="shared" si="233"/>
        <v>0</v>
      </c>
      <c r="FK429" s="469">
        <f t="shared" si="234"/>
        <v>0</v>
      </c>
      <c r="FL429" s="472"/>
      <c r="FM429" s="450"/>
      <c r="FN429" s="460">
        <f t="shared" si="235"/>
        <v>65</v>
      </c>
      <c r="FO429" s="469">
        <f t="shared" si="236"/>
        <v>64</v>
      </c>
    </row>
    <row r="430" spans="1:171" x14ac:dyDescent="0.2">
      <c r="A430" s="454" t="s">
        <v>644</v>
      </c>
      <c r="B430" s="539" t="s">
        <v>677</v>
      </c>
      <c r="C430" s="540"/>
      <c r="D430" s="541">
        <v>432074</v>
      </c>
      <c r="E430" s="531">
        <v>13</v>
      </c>
      <c r="F430" s="532">
        <v>110</v>
      </c>
      <c r="G430" s="450">
        <v>82</v>
      </c>
      <c r="H430" s="457"/>
      <c r="I430" s="450">
        <v>0</v>
      </c>
      <c r="J430" s="457"/>
      <c r="K430" s="742"/>
      <c r="L430" s="458">
        <f t="shared" si="213"/>
        <v>0</v>
      </c>
      <c r="M430" s="449">
        <f t="shared" si="214"/>
        <v>0</v>
      </c>
      <c r="N430" s="459"/>
      <c r="O430" s="459"/>
      <c r="P430" s="459"/>
      <c r="Q430" s="459"/>
      <c r="R430" s="460">
        <f t="shared" si="215"/>
        <v>0</v>
      </c>
      <c r="S430" s="461"/>
      <c r="T430" s="461"/>
      <c r="U430" s="461"/>
      <c r="V430" s="461"/>
      <c r="W430" s="462">
        <f t="shared" si="216"/>
        <v>0</v>
      </c>
      <c r="X430" s="463"/>
      <c r="Y430" s="457"/>
      <c r="Z430" s="464"/>
      <c r="AA430" s="464"/>
      <c r="AB430" s="465"/>
      <c r="AC430" s="457"/>
      <c r="AD430" s="464"/>
      <c r="AE430" s="466"/>
      <c r="AF430" s="465"/>
      <c r="AG430" s="457"/>
      <c r="AH430" s="464"/>
      <c r="AI430" s="466"/>
      <c r="AJ430" s="465"/>
      <c r="AK430" s="457"/>
      <c r="AL430" s="464"/>
      <c r="AM430" s="466"/>
      <c r="AN430" s="465"/>
      <c r="AO430" s="457"/>
      <c r="AP430" s="464"/>
      <c r="AQ430" s="464"/>
      <c r="AR430" s="460">
        <f t="shared" si="217"/>
        <v>0</v>
      </c>
      <c r="AS430" s="467">
        <f t="shared" si="218"/>
        <v>0</v>
      </c>
      <c r="AT430" s="447">
        <f t="shared" si="219"/>
        <v>0</v>
      </c>
      <c r="AU430" s="448">
        <f t="shared" si="220"/>
        <v>0</v>
      </c>
      <c r="AV430" s="457"/>
      <c r="AW430" s="450"/>
      <c r="AX430" s="463"/>
      <c r="AY430" s="457"/>
      <c r="AZ430" s="464"/>
      <c r="BA430" s="464"/>
      <c r="BB430" s="465"/>
      <c r="BC430" s="457"/>
      <c r="BD430" s="464"/>
      <c r="BE430" s="466"/>
      <c r="BF430" s="465"/>
      <c r="BG430" s="457"/>
      <c r="BH430" s="464"/>
      <c r="BI430" s="466"/>
      <c r="BJ430" s="465"/>
      <c r="BK430" s="457"/>
      <c r="BL430" s="464"/>
      <c r="BM430" s="466"/>
      <c r="BN430" s="465"/>
      <c r="BO430" s="457"/>
      <c r="BP430" s="464"/>
      <c r="BQ430" s="466"/>
      <c r="BR430" s="465"/>
      <c r="BS430" s="457"/>
      <c r="BT430" s="464"/>
      <c r="BU430" s="466"/>
      <c r="BV430" s="465"/>
      <c r="BW430" s="457"/>
      <c r="BX430" s="464"/>
      <c r="BY430" s="466"/>
      <c r="BZ430" s="465"/>
      <c r="CA430" s="457"/>
      <c r="CB430" s="464"/>
      <c r="CC430" s="466"/>
      <c r="CD430" s="465"/>
      <c r="CE430" s="457"/>
      <c r="CF430" s="464"/>
      <c r="CG430" s="466"/>
      <c r="CH430" s="465"/>
      <c r="CI430" s="457"/>
      <c r="CJ430" s="464"/>
      <c r="CK430" s="466"/>
      <c r="CL430" s="459"/>
      <c r="CM430" s="450"/>
      <c r="CN430" s="468">
        <f t="shared" si="221"/>
        <v>0</v>
      </c>
      <c r="CO430" s="468">
        <f t="shared" si="222"/>
        <v>0</v>
      </c>
      <c r="CP430" s="469">
        <f t="shared" si="223"/>
        <v>0</v>
      </c>
      <c r="CQ430" s="469">
        <f t="shared" si="224"/>
        <v>0</v>
      </c>
      <c r="CR430" s="463"/>
      <c r="CS430" s="457"/>
      <c r="CT430" s="464"/>
      <c r="CU430" s="464"/>
      <c r="CV430" s="465"/>
      <c r="CW430" s="457"/>
      <c r="CX430" s="464"/>
      <c r="CY430" s="466"/>
      <c r="CZ430" s="465"/>
      <c r="DA430" s="457"/>
      <c r="DB430" s="464"/>
      <c r="DC430" s="466"/>
      <c r="DD430" s="465"/>
      <c r="DE430" s="457"/>
      <c r="DF430" s="464"/>
      <c r="DG430" s="466"/>
      <c r="DH430" s="465"/>
      <c r="DI430" s="457"/>
      <c r="DJ430" s="464"/>
      <c r="DK430" s="466"/>
      <c r="DL430" s="465"/>
      <c r="DM430" s="457"/>
      <c r="DN430" s="464"/>
      <c r="DO430" s="466"/>
      <c r="DP430" s="465"/>
      <c r="DQ430" s="457"/>
      <c r="DR430" s="464"/>
      <c r="DS430" s="466"/>
      <c r="DT430" s="465"/>
      <c r="DU430" s="457"/>
      <c r="DV430" s="464"/>
      <c r="DW430" s="466"/>
      <c r="DX430" s="465"/>
      <c r="DY430" s="457"/>
      <c r="DZ430" s="464"/>
      <c r="EA430" s="466"/>
      <c r="EB430" s="465"/>
      <c r="EC430" s="457"/>
      <c r="ED430" s="464"/>
      <c r="EE430" s="466"/>
      <c r="EF430" s="459"/>
      <c r="EG430" s="450"/>
      <c r="EH430" s="460">
        <f t="shared" si="225"/>
        <v>0</v>
      </c>
      <c r="EI430" s="460">
        <f t="shared" si="226"/>
        <v>0</v>
      </c>
      <c r="EJ430" s="458">
        <f t="shared" si="227"/>
        <v>0</v>
      </c>
      <c r="EK430" s="470">
        <f t="shared" si="228"/>
        <v>0</v>
      </c>
      <c r="EL430" s="470">
        <f t="shared" si="229"/>
        <v>0</v>
      </c>
      <c r="EM430" s="449">
        <f t="shared" si="230"/>
        <v>0</v>
      </c>
      <c r="EN430" s="460">
        <f t="shared" si="231"/>
        <v>0</v>
      </c>
      <c r="EO430" s="469">
        <f t="shared" si="232"/>
        <v>0</v>
      </c>
      <c r="EP430" s="471"/>
      <c r="EQ430" s="450"/>
      <c r="ER430" s="471"/>
      <c r="ES430" s="450"/>
      <c r="ET430" s="471"/>
      <c r="EU430" s="450"/>
      <c r="EV430" s="471"/>
      <c r="EW430" s="450"/>
      <c r="EX430" s="471"/>
      <c r="EY430" s="450"/>
      <c r="EZ430" s="471"/>
      <c r="FA430" s="450"/>
      <c r="FB430" s="471"/>
      <c r="FC430" s="450"/>
      <c r="FD430" s="471"/>
      <c r="FE430" s="450"/>
      <c r="FF430" s="471"/>
      <c r="FG430" s="450"/>
      <c r="FH430" s="472"/>
      <c r="FI430" s="450"/>
      <c r="FJ430" s="468">
        <f t="shared" si="233"/>
        <v>0</v>
      </c>
      <c r="FK430" s="469">
        <f t="shared" si="234"/>
        <v>0</v>
      </c>
      <c r="FL430" s="472"/>
      <c r="FM430" s="450"/>
      <c r="FN430" s="460">
        <f t="shared" si="235"/>
        <v>110</v>
      </c>
      <c r="FO430" s="469">
        <f t="shared" si="236"/>
        <v>82</v>
      </c>
    </row>
    <row r="431" spans="1:171" x14ac:dyDescent="0.2">
      <c r="A431" s="454" t="s">
        <v>644</v>
      </c>
      <c r="B431" s="539" t="s">
        <v>678</v>
      </c>
      <c r="C431" s="540"/>
      <c r="D431" s="541">
        <v>418339</v>
      </c>
      <c r="E431" s="531">
        <v>13</v>
      </c>
      <c r="F431" s="532">
        <v>218</v>
      </c>
      <c r="G431" s="450">
        <v>199</v>
      </c>
      <c r="H431" s="457"/>
      <c r="I431" s="450">
        <v>0</v>
      </c>
      <c r="J431" s="457"/>
      <c r="K431" s="742"/>
      <c r="L431" s="458">
        <f t="shared" si="213"/>
        <v>0</v>
      </c>
      <c r="M431" s="449">
        <f t="shared" si="214"/>
        <v>0</v>
      </c>
      <c r="N431" s="459"/>
      <c r="O431" s="459"/>
      <c r="P431" s="459"/>
      <c r="Q431" s="459"/>
      <c r="R431" s="460">
        <f t="shared" si="215"/>
        <v>0</v>
      </c>
      <c r="S431" s="461"/>
      <c r="T431" s="461"/>
      <c r="U431" s="461"/>
      <c r="V431" s="461"/>
      <c r="W431" s="462">
        <f t="shared" si="216"/>
        <v>0</v>
      </c>
      <c r="X431" s="463"/>
      <c r="Y431" s="457"/>
      <c r="Z431" s="464"/>
      <c r="AA431" s="464"/>
      <c r="AB431" s="465"/>
      <c r="AC431" s="457"/>
      <c r="AD431" s="464"/>
      <c r="AE431" s="466"/>
      <c r="AF431" s="465"/>
      <c r="AG431" s="457"/>
      <c r="AH431" s="464"/>
      <c r="AI431" s="466"/>
      <c r="AJ431" s="465"/>
      <c r="AK431" s="457"/>
      <c r="AL431" s="464"/>
      <c r="AM431" s="466"/>
      <c r="AN431" s="465"/>
      <c r="AO431" s="457"/>
      <c r="AP431" s="464"/>
      <c r="AQ431" s="464"/>
      <c r="AR431" s="460">
        <f t="shared" si="217"/>
        <v>0</v>
      </c>
      <c r="AS431" s="467">
        <f t="shared" si="218"/>
        <v>0</v>
      </c>
      <c r="AT431" s="447">
        <f t="shared" si="219"/>
        <v>0</v>
      </c>
      <c r="AU431" s="448">
        <f t="shared" si="220"/>
        <v>0</v>
      </c>
      <c r="AV431" s="457"/>
      <c r="AW431" s="450"/>
      <c r="AX431" s="463"/>
      <c r="AY431" s="457"/>
      <c r="AZ431" s="464"/>
      <c r="BA431" s="464"/>
      <c r="BB431" s="465"/>
      <c r="BC431" s="457"/>
      <c r="BD431" s="464"/>
      <c r="BE431" s="466"/>
      <c r="BF431" s="465"/>
      <c r="BG431" s="457"/>
      <c r="BH431" s="464"/>
      <c r="BI431" s="466"/>
      <c r="BJ431" s="465"/>
      <c r="BK431" s="457"/>
      <c r="BL431" s="464"/>
      <c r="BM431" s="466"/>
      <c r="BN431" s="465"/>
      <c r="BO431" s="457"/>
      <c r="BP431" s="464"/>
      <c r="BQ431" s="466"/>
      <c r="BR431" s="465"/>
      <c r="BS431" s="457"/>
      <c r="BT431" s="464"/>
      <c r="BU431" s="466"/>
      <c r="BV431" s="465"/>
      <c r="BW431" s="457"/>
      <c r="BX431" s="464"/>
      <c r="BY431" s="466"/>
      <c r="BZ431" s="465"/>
      <c r="CA431" s="457"/>
      <c r="CB431" s="464"/>
      <c r="CC431" s="466"/>
      <c r="CD431" s="465"/>
      <c r="CE431" s="457"/>
      <c r="CF431" s="464"/>
      <c r="CG431" s="466"/>
      <c r="CH431" s="465"/>
      <c r="CI431" s="457"/>
      <c r="CJ431" s="464"/>
      <c r="CK431" s="466"/>
      <c r="CL431" s="459"/>
      <c r="CM431" s="450"/>
      <c r="CN431" s="468">
        <f t="shared" si="221"/>
        <v>0</v>
      </c>
      <c r="CO431" s="468">
        <f t="shared" si="222"/>
        <v>0</v>
      </c>
      <c r="CP431" s="469">
        <f t="shared" si="223"/>
        <v>0</v>
      </c>
      <c r="CQ431" s="469">
        <f t="shared" si="224"/>
        <v>0</v>
      </c>
      <c r="CR431" s="463"/>
      <c r="CS431" s="457"/>
      <c r="CT431" s="464"/>
      <c r="CU431" s="464"/>
      <c r="CV431" s="465"/>
      <c r="CW431" s="457"/>
      <c r="CX431" s="464"/>
      <c r="CY431" s="466"/>
      <c r="CZ431" s="465"/>
      <c r="DA431" s="457"/>
      <c r="DB431" s="464"/>
      <c r="DC431" s="466"/>
      <c r="DD431" s="465"/>
      <c r="DE431" s="457"/>
      <c r="DF431" s="464"/>
      <c r="DG431" s="466"/>
      <c r="DH431" s="465"/>
      <c r="DI431" s="457"/>
      <c r="DJ431" s="464"/>
      <c r="DK431" s="466"/>
      <c r="DL431" s="465"/>
      <c r="DM431" s="457"/>
      <c r="DN431" s="464"/>
      <c r="DO431" s="466"/>
      <c r="DP431" s="465"/>
      <c r="DQ431" s="457"/>
      <c r="DR431" s="464"/>
      <c r="DS431" s="466"/>
      <c r="DT431" s="465"/>
      <c r="DU431" s="457"/>
      <c r="DV431" s="464"/>
      <c r="DW431" s="466"/>
      <c r="DX431" s="465"/>
      <c r="DY431" s="457"/>
      <c r="DZ431" s="464"/>
      <c r="EA431" s="466"/>
      <c r="EB431" s="465"/>
      <c r="EC431" s="457"/>
      <c r="ED431" s="464"/>
      <c r="EE431" s="466"/>
      <c r="EF431" s="459"/>
      <c r="EG431" s="450"/>
      <c r="EH431" s="460">
        <f t="shared" si="225"/>
        <v>0</v>
      </c>
      <c r="EI431" s="460">
        <f t="shared" si="226"/>
        <v>0</v>
      </c>
      <c r="EJ431" s="458">
        <f t="shared" si="227"/>
        <v>0</v>
      </c>
      <c r="EK431" s="470">
        <f t="shared" si="228"/>
        <v>0</v>
      </c>
      <c r="EL431" s="470">
        <f t="shared" si="229"/>
        <v>0</v>
      </c>
      <c r="EM431" s="449">
        <f t="shared" si="230"/>
        <v>0</v>
      </c>
      <c r="EN431" s="460">
        <f t="shared" si="231"/>
        <v>0</v>
      </c>
      <c r="EO431" s="469">
        <f t="shared" si="232"/>
        <v>0</v>
      </c>
      <c r="EP431" s="471"/>
      <c r="EQ431" s="450"/>
      <c r="ER431" s="471"/>
      <c r="ES431" s="450"/>
      <c r="ET431" s="471"/>
      <c r="EU431" s="450"/>
      <c r="EV431" s="471"/>
      <c r="EW431" s="450"/>
      <c r="EX431" s="471"/>
      <c r="EY431" s="450"/>
      <c r="EZ431" s="471"/>
      <c r="FA431" s="450"/>
      <c r="FB431" s="471"/>
      <c r="FC431" s="450"/>
      <c r="FD431" s="471"/>
      <c r="FE431" s="450"/>
      <c r="FF431" s="471"/>
      <c r="FG431" s="450"/>
      <c r="FH431" s="472"/>
      <c r="FI431" s="450"/>
      <c r="FJ431" s="468">
        <f t="shared" si="233"/>
        <v>0</v>
      </c>
      <c r="FK431" s="469">
        <f t="shared" si="234"/>
        <v>0</v>
      </c>
      <c r="FL431" s="472"/>
      <c r="FM431" s="450"/>
      <c r="FN431" s="460">
        <f t="shared" si="235"/>
        <v>218</v>
      </c>
      <c r="FO431" s="469">
        <f t="shared" si="236"/>
        <v>199</v>
      </c>
    </row>
    <row r="432" spans="1:171" x14ac:dyDescent="0.2">
      <c r="A432" s="454" t="s">
        <v>644</v>
      </c>
      <c r="B432" s="539" t="s">
        <v>679</v>
      </c>
      <c r="C432" s="540"/>
      <c r="D432" s="541">
        <v>366623</v>
      </c>
      <c r="E432" s="531">
        <v>13</v>
      </c>
      <c r="F432" s="532">
        <v>29</v>
      </c>
      <c r="G432" s="450">
        <v>28</v>
      </c>
      <c r="H432" s="457"/>
      <c r="I432" s="450">
        <v>0</v>
      </c>
      <c r="J432" s="457"/>
      <c r="K432" s="742"/>
      <c r="L432" s="458">
        <f t="shared" si="213"/>
        <v>0</v>
      </c>
      <c r="M432" s="449">
        <f t="shared" si="214"/>
        <v>0</v>
      </c>
      <c r="N432" s="459"/>
      <c r="O432" s="459"/>
      <c r="P432" s="459"/>
      <c r="Q432" s="459"/>
      <c r="R432" s="460">
        <f t="shared" si="215"/>
        <v>0</v>
      </c>
      <c r="S432" s="461"/>
      <c r="T432" s="461"/>
      <c r="U432" s="461"/>
      <c r="V432" s="461"/>
      <c r="W432" s="462">
        <f t="shared" si="216"/>
        <v>0</v>
      </c>
      <c r="X432" s="463"/>
      <c r="Y432" s="457"/>
      <c r="Z432" s="464"/>
      <c r="AA432" s="464"/>
      <c r="AB432" s="465"/>
      <c r="AC432" s="457"/>
      <c r="AD432" s="464"/>
      <c r="AE432" s="466"/>
      <c r="AF432" s="465"/>
      <c r="AG432" s="457"/>
      <c r="AH432" s="464"/>
      <c r="AI432" s="466"/>
      <c r="AJ432" s="465"/>
      <c r="AK432" s="457"/>
      <c r="AL432" s="464"/>
      <c r="AM432" s="466"/>
      <c r="AN432" s="465"/>
      <c r="AO432" s="457"/>
      <c r="AP432" s="464"/>
      <c r="AQ432" s="464"/>
      <c r="AR432" s="460">
        <f t="shared" si="217"/>
        <v>0</v>
      </c>
      <c r="AS432" s="467">
        <f t="shared" si="218"/>
        <v>0</v>
      </c>
      <c r="AT432" s="447">
        <f t="shared" si="219"/>
        <v>0</v>
      </c>
      <c r="AU432" s="448">
        <f t="shared" si="220"/>
        <v>0</v>
      </c>
      <c r="AV432" s="457"/>
      <c r="AW432" s="450"/>
      <c r="AX432" s="463"/>
      <c r="AY432" s="457"/>
      <c r="AZ432" s="464"/>
      <c r="BA432" s="464"/>
      <c r="BB432" s="465"/>
      <c r="BC432" s="457"/>
      <c r="BD432" s="464"/>
      <c r="BE432" s="466"/>
      <c r="BF432" s="465"/>
      <c r="BG432" s="457"/>
      <c r="BH432" s="464"/>
      <c r="BI432" s="466"/>
      <c r="BJ432" s="465"/>
      <c r="BK432" s="457"/>
      <c r="BL432" s="464"/>
      <c r="BM432" s="466"/>
      <c r="BN432" s="465"/>
      <c r="BO432" s="457"/>
      <c r="BP432" s="464"/>
      <c r="BQ432" s="466"/>
      <c r="BR432" s="465"/>
      <c r="BS432" s="457"/>
      <c r="BT432" s="464"/>
      <c r="BU432" s="466"/>
      <c r="BV432" s="465"/>
      <c r="BW432" s="457"/>
      <c r="BX432" s="464"/>
      <c r="BY432" s="466"/>
      <c r="BZ432" s="465"/>
      <c r="CA432" s="457"/>
      <c r="CB432" s="464"/>
      <c r="CC432" s="466"/>
      <c r="CD432" s="465"/>
      <c r="CE432" s="457"/>
      <c r="CF432" s="464"/>
      <c r="CG432" s="466"/>
      <c r="CH432" s="465"/>
      <c r="CI432" s="457"/>
      <c r="CJ432" s="464"/>
      <c r="CK432" s="466"/>
      <c r="CL432" s="459"/>
      <c r="CM432" s="450"/>
      <c r="CN432" s="468">
        <f t="shared" si="221"/>
        <v>0</v>
      </c>
      <c r="CO432" s="468">
        <f t="shared" si="222"/>
        <v>0</v>
      </c>
      <c r="CP432" s="469">
        <f t="shared" si="223"/>
        <v>0</v>
      </c>
      <c r="CQ432" s="469">
        <f t="shared" si="224"/>
        <v>0</v>
      </c>
      <c r="CR432" s="463"/>
      <c r="CS432" s="457"/>
      <c r="CT432" s="464"/>
      <c r="CU432" s="464"/>
      <c r="CV432" s="465"/>
      <c r="CW432" s="457"/>
      <c r="CX432" s="464"/>
      <c r="CY432" s="466"/>
      <c r="CZ432" s="465"/>
      <c r="DA432" s="457"/>
      <c r="DB432" s="464"/>
      <c r="DC432" s="466"/>
      <c r="DD432" s="465"/>
      <c r="DE432" s="457"/>
      <c r="DF432" s="464"/>
      <c r="DG432" s="466"/>
      <c r="DH432" s="465"/>
      <c r="DI432" s="457"/>
      <c r="DJ432" s="464"/>
      <c r="DK432" s="466"/>
      <c r="DL432" s="465"/>
      <c r="DM432" s="457"/>
      <c r="DN432" s="464"/>
      <c r="DO432" s="466"/>
      <c r="DP432" s="465"/>
      <c r="DQ432" s="457"/>
      <c r="DR432" s="464"/>
      <c r="DS432" s="466"/>
      <c r="DT432" s="465"/>
      <c r="DU432" s="457"/>
      <c r="DV432" s="464"/>
      <c r="DW432" s="466"/>
      <c r="DX432" s="465"/>
      <c r="DY432" s="457"/>
      <c r="DZ432" s="464"/>
      <c r="EA432" s="466"/>
      <c r="EB432" s="465"/>
      <c r="EC432" s="457"/>
      <c r="ED432" s="464"/>
      <c r="EE432" s="466"/>
      <c r="EF432" s="459"/>
      <c r="EG432" s="450"/>
      <c r="EH432" s="460">
        <f t="shared" si="225"/>
        <v>0</v>
      </c>
      <c r="EI432" s="460">
        <f t="shared" si="226"/>
        <v>0</v>
      </c>
      <c r="EJ432" s="458">
        <f t="shared" si="227"/>
        <v>0</v>
      </c>
      <c r="EK432" s="470">
        <f t="shared" si="228"/>
        <v>0</v>
      </c>
      <c r="EL432" s="470">
        <f t="shared" si="229"/>
        <v>0</v>
      </c>
      <c r="EM432" s="449">
        <f t="shared" si="230"/>
        <v>0</v>
      </c>
      <c r="EN432" s="460">
        <f t="shared" si="231"/>
        <v>0</v>
      </c>
      <c r="EO432" s="469">
        <f t="shared" si="232"/>
        <v>0</v>
      </c>
      <c r="EP432" s="471"/>
      <c r="EQ432" s="450"/>
      <c r="ER432" s="471"/>
      <c r="ES432" s="450"/>
      <c r="ET432" s="471"/>
      <c r="EU432" s="450"/>
      <c r="EV432" s="471"/>
      <c r="EW432" s="450"/>
      <c r="EX432" s="471"/>
      <c r="EY432" s="450"/>
      <c r="EZ432" s="471"/>
      <c r="FA432" s="450"/>
      <c r="FB432" s="471"/>
      <c r="FC432" s="450"/>
      <c r="FD432" s="471"/>
      <c r="FE432" s="450"/>
      <c r="FF432" s="471"/>
      <c r="FG432" s="450"/>
      <c r="FH432" s="472"/>
      <c r="FI432" s="450"/>
      <c r="FJ432" s="468">
        <f t="shared" si="233"/>
        <v>0</v>
      </c>
      <c r="FK432" s="469">
        <f t="shared" si="234"/>
        <v>0</v>
      </c>
      <c r="FL432" s="472"/>
      <c r="FM432" s="450"/>
      <c r="FN432" s="460">
        <f t="shared" si="235"/>
        <v>29</v>
      </c>
      <c r="FO432" s="469">
        <f t="shared" si="236"/>
        <v>28</v>
      </c>
    </row>
    <row r="433" spans="1:171" x14ac:dyDescent="0.2">
      <c r="A433" s="454" t="s">
        <v>644</v>
      </c>
      <c r="B433" s="539" t="s">
        <v>680</v>
      </c>
      <c r="C433" s="540"/>
      <c r="D433" s="541">
        <v>407601</v>
      </c>
      <c r="E433" s="531">
        <v>13</v>
      </c>
      <c r="F433" s="532">
        <v>44</v>
      </c>
      <c r="G433" s="450">
        <v>32</v>
      </c>
      <c r="H433" s="457"/>
      <c r="I433" s="450">
        <v>0</v>
      </c>
      <c r="J433" s="457"/>
      <c r="K433" s="742"/>
      <c r="L433" s="458">
        <f t="shared" si="213"/>
        <v>0</v>
      </c>
      <c r="M433" s="449">
        <f t="shared" si="214"/>
        <v>0</v>
      </c>
      <c r="N433" s="459"/>
      <c r="O433" s="459"/>
      <c r="P433" s="459"/>
      <c r="Q433" s="459"/>
      <c r="R433" s="460">
        <f t="shared" si="215"/>
        <v>0</v>
      </c>
      <c r="S433" s="461"/>
      <c r="T433" s="461"/>
      <c r="U433" s="461"/>
      <c r="V433" s="461"/>
      <c r="W433" s="462">
        <f t="shared" si="216"/>
        <v>0</v>
      </c>
      <c r="X433" s="463"/>
      <c r="Y433" s="457"/>
      <c r="Z433" s="464"/>
      <c r="AA433" s="464"/>
      <c r="AB433" s="465"/>
      <c r="AC433" s="457"/>
      <c r="AD433" s="464"/>
      <c r="AE433" s="466"/>
      <c r="AF433" s="465"/>
      <c r="AG433" s="457"/>
      <c r="AH433" s="464"/>
      <c r="AI433" s="466"/>
      <c r="AJ433" s="465"/>
      <c r="AK433" s="457"/>
      <c r="AL433" s="464"/>
      <c r="AM433" s="466"/>
      <c r="AN433" s="465"/>
      <c r="AO433" s="457"/>
      <c r="AP433" s="464"/>
      <c r="AQ433" s="464"/>
      <c r="AR433" s="460">
        <f t="shared" si="217"/>
        <v>0</v>
      </c>
      <c r="AS433" s="467">
        <f t="shared" si="218"/>
        <v>0</v>
      </c>
      <c r="AT433" s="447">
        <f t="shared" si="219"/>
        <v>0</v>
      </c>
      <c r="AU433" s="448">
        <f t="shared" si="220"/>
        <v>0</v>
      </c>
      <c r="AV433" s="457"/>
      <c r="AW433" s="450"/>
      <c r="AX433" s="463"/>
      <c r="AY433" s="457"/>
      <c r="AZ433" s="464"/>
      <c r="BA433" s="464"/>
      <c r="BB433" s="465"/>
      <c r="BC433" s="457"/>
      <c r="BD433" s="464"/>
      <c r="BE433" s="466"/>
      <c r="BF433" s="465"/>
      <c r="BG433" s="457"/>
      <c r="BH433" s="464"/>
      <c r="BI433" s="466"/>
      <c r="BJ433" s="465"/>
      <c r="BK433" s="457"/>
      <c r="BL433" s="464"/>
      <c r="BM433" s="466"/>
      <c r="BN433" s="465"/>
      <c r="BO433" s="457"/>
      <c r="BP433" s="464"/>
      <c r="BQ433" s="466"/>
      <c r="BR433" s="465"/>
      <c r="BS433" s="457"/>
      <c r="BT433" s="464"/>
      <c r="BU433" s="466"/>
      <c r="BV433" s="465"/>
      <c r="BW433" s="457"/>
      <c r="BX433" s="464"/>
      <c r="BY433" s="466"/>
      <c r="BZ433" s="465"/>
      <c r="CA433" s="457"/>
      <c r="CB433" s="464"/>
      <c r="CC433" s="466"/>
      <c r="CD433" s="465"/>
      <c r="CE433" s="457"/>
      <c r="CF433" s="464"/>
      <c r="CG433" s="466"/>
      <c r="CH433" s="465"/>
      <c r="CI433" s="457"/>
      <c r="CJ433" s="464"/>
      <c r="CK433" s="466"/>
      <c r="CL433" s="459"/>
      <c r="CM433" s="450"/>
      <c r="CN433" s="468">
        <f t="shared" si="221"/>
        <v>0</v>
      </c>
      <c r="CO433" s="468">
        <f t="shared" si="222"/>
        <v>0</v>
      </c>
      <c r="CP433" s="469">
        <f t="shared" si="223"/>
        <v>0</v>
      </c>
      <c r="CQ433" s="469">
        <f t="shared" si="224"/>
        <v>0</v>
      </c>
      <c r="CR433" s="463"/>
      <c r="CS433" s="457"/>
      <c r="CT433" s="464"/>
      <c r="CU433" s="464"/>
      <c r="CV433" s="465"/>
      <c r="CW433" s="457"/>
      <c r="CX433" s="464"/>
      <c r="CY433" s="466"/>
      <c r="CZ433" s="465"/>
      <c r="DA433" s="457"/>
      <c r="DB433" s="464"/>
      <c r="DC433" s="466"/>
      <c r="DD433" s="465"/>
      <c r="DE433" s="457"/>
      <c r="DF433" s="464"/>
      <c r="DG433" s="466"/>
      <c r="DH433" s="465"/>
      <c r="DI433" s="457"/>
      <c r="DJ433" s="464"/>
      <c r="DK433" s="466"/>
      <c r="DL433" s="465"/>
      <c r="DM433" s="457"/>
      <c r="DN433" s="464"/>
      <c r="DO433" s="466"/>
      <c r="DP433" s="465"/>
      <c r="DQ433" s="457"/>
      <c r="DR433" s="464"/>
      <c r="DS433" s="466"/>
      <c r="DT433" s="465"/>
      <c r="DU433" s="457"/>
      <c r="DV433" s="464"/>
      <c r="DW433" s="466"/>
      <c r="DX433" s="465"/>
      <c r="DY433" s="457"/>
      <c r="DZ433" s="464"/>
      <c r="EA433" s="466"/>
      <c r="EB433" s="465"/>
      <c r="EC433" s="457"/>
      <c r="ED433" s="464"/>
      <c r="EE433" s="466"/>
      <c r="EF433" s="459"/>
      <c r="EG433" s="450"/>
      <c r="EH433" s="460">
        <f t="shared" si="225"/>
        <v>0</v>
      </c>
      <c r="EI433" s="460">
        <f t="shared" si="226"/>
        <v>0</v>
      </c>
      <c r="EJ433" s="458">
        <f t="shared" si="227"/>
        <v>0</v>
      </c>
      <c r="EK433" s="470">
        <f t="shared" si="228"/>
        <v>0</v>
      </c>
      <c r="EL433" s="470">
        <f t="shared" si="229"/>
        <v>0</v>
      </c>
      <c r="EM433" s="449">
        <f t="shared" si="230"/>
        <v>0</v>
      </c>
      <c r="EN433" s="460">
        <f t="shared" si="231"/>
        <v>0</v>
      </c>
      <c r="EO433" s="469">
        <f t="shared" si="232"/>
        <v>0</v>
      </c>
      <c r="EP433" s="471"/>
      <c r="EQ433" s="450"/>
      <c r="ER433" s="471"/>
      <c r="ES433" s="450"/>
      <c r="ET433" s="471"/>
      <c r="EU433" s="450"/>
      <c r="EV433" s="471"/>
      <c r="EW433" s="450"/>
      <c r="EX433" s="471"/>
      <c r="EY433" s="450"/>
      <c r="EZ433" s="471"/>
      <c r="FA433" s="450"/>
      <c r="FB433" s="471"/>
      <c r="FC433" s="450"/>
      <c r="FD433" s="471"/>
      <c r="FE433" s="450"/>
      <c r="FF433" s="471"/>
      <c r="FG433" s="450"/>
      <c r="FH433" s="472"/>
      <c r="FI433" s="450"/>
      <c r="FJ433" s="468">
        <f t="shared" si="233"/>
        <v>0</v>
      </c>
      <c r="FK433" s="469">
        <f t="shared" si="234"/>
        <v>0</v>
      </c>
      <c r="FL433" s="472"/>
      <c r="FM433" s="450"/>
      <c r="FN433" s="460">
        <f t="shared" si="235"/>
        <v>44</v>
      </c>
      <c r="FO433" s="469">
        <f t="shared" si="236"/>
        <v>32</v>
      </c>
    </row>
    <row r="434" spans="1:171" x14ac:dyDescent="0.2">
      <c r="A434" s="454" t="s">
        <v>644</v>
      </c>
      <c r="B434" s="539" t="s">
        <v>681</v>
      </c>
      <c r="C434" s="540"/>
      <c r="D434" s="541">
        <v>364627</v>
      </c>
      <c r="E434" s="531">
        <v>13</v>
      </c>
      <c r="F434" s="532">
        <v>165</v>
      </c>
      <c r="G434" s="450">
        <v>196</v>
      </c>
      <c r="H434" s="457"/>
      <c r="I434" s="450">
        <v>0</v>
      </c>
      <c r="J434" s="457"/>
      <c r="K434" s="742"/>
      <c r="L434" s="458">
        <f t="shared" si="213"/>
        <v>0</v>
      </c>
      <c r="M434" s="449">
        <f t="shared" si="214"/>
        <v>0</v>
      </c>
      <c r="N434" s="459"/>
      <c r="O434" s="459"/>
      <c r="P434" s="459"/>
      <c r="Q434" s="459"/>
      <c r="R434" s="460">
        <f t="shared" si="215"/>
        <v>0</v>
      </c>
      <c r="S434" s="461"/>
      <c r="T434" s="461"/>
      <c r="U434" s="461"/>
      <c r="V434" s="461"/>
      <c r="W434" s="462">
        <f t="shared" si="216"/>
        <v>0</v>
      </c>
      <c r="X434" s="463"/>
      <c r="Y434" s="457"/>
      <c r="Z434" s="464"/>
      <c r="AA434" s="464"/>
      <c r="AB434" s="465"/>
      <c r="AC434" s="457"/>
      <c r="AD434" s="464"/>
      <c r="AE434" s="466"/>
      <c r="AF434" s="465"/>
      <c r="AG434" s="457"/>
      <c r="AH434" s="464"/>
      <c r="AI434" s="466"/>
      <c r="AJ434" s="465"/>
      <c r="AK434" s="457"/>
      <c r="AL434" s="464"/>
      <c r="AM434" s="466"/>
      <c r="AN434" s="465"/>
      <c r="AO434" s="457"/>
      <c r="AP434" s="464"/>
      <c r="AQ434" s="464"/>
      <c r="AR434" s="460">
        <f t="shared" si="217"/>
        <v>0</v>
      </c>
      <c r="AS434" s="467">
        <f t="shared" si="218"/>
        <v>0</v>
      </c>
      <c r="AT434" s="447">
        <f t="shared" si="219"/>
        <v>0</v>
      </c>
      <c r="AU434" s="448">
        <f t="shared" si="220"/>
        <v>0</v>
      </c>
      <c r="AV434" s="457"/>
      <c r="AW434" s="450"/>
      <c r="AX434" s="463"/>
      <c r="AY434" s="457"/>
      <c r="AZ434" s="464"/>
      <c r="BA434" s="464"/>
      <c r="BB434" s="465"/>
      <c r="BC434" s="457"/>
      <c r="BD434" s="464"/>
      <c r="BE434" s="466"/>
      <c r="BF434" s="465"/>
      <c r="BG434" s="457"/>
      <c r="BH434" s="464"/>
      <c r="BI434" s="466"/>
      <c r="BJ434" s="465"/>
      <c r="BK434" s="457"/>
      <c r="BL434" s="464"/>
      <c r="BM434" s="466"/>
      <c r="BN434" s="465"/>
      <c r="BO434" s="457"/>
      <c r="BP434" s="464"/>
      <c r="BQ434" s="466"/>
      <c r="BR434" s="465"/>
      <c r="BS434" s="457"/>
      <c r="BT434" s="464"/>
      <c r="BU434" s="466"/>
      <c r="BV434" s="465"/>
      <c r="BW434" s="457"/>
      <c r="BX434" s="464"/>
      <c r="BY434" s="466"/>
      <c r="BZ434" s="465"/>
      <c r="CA434" s="457"/>
      <c r="CB434" s="464"/>
      <c r="CC434" s="466"/>
      <c r="CD434" s="465"/>
      <c r="CE434" s="457"/>
      <c r="CF434" s="464"/>
      <c r="CG434" s="466"/>
      <c r="CH434" s="465"/>
      <c r="CI434" s="457"/>
      <c r="CJ434" s="464"/>
      <c r="CK434" s="466"/>
      <c r="CL434" s="459"/>
      <c r="CM434" s="450"/>
      <c r="CN434" s="468">
        <f t="shared" si="221"/>
        <v>0</v>
      </c>
      <c r="CO434" s="468">
        <f t="shared" si="222"/>
        <v>0</v>
      </c>
      <c r="CP434" s="469">
        <f t="shared" si="223"/>
        <v>0</v>
      </c>
      <c r="CQ434" s="469">
        <f t="shared" si="224"/>
        <v>0</v>
      </c>
      <c r="CR434" s="463"/>
      <c r="CS434" s="457"/>
      <c r="CT434" s="464"/>
      <c r="CU434" s="464"/>
      <c r="CV434" s="465"/>
      <c r="CW434" s="457"/>
      <c r="CX434" s="464"/>
      <c r="CY434" s="466"/>
      <c r="CZ434" s="465"/>
      <c r="DA434" s="457"/>
      <c r="DB434" s="464"/>
      <c r="DC434" s="466"/>
      <c r="DD434" s="465"/>
      <c r="DE434" s="457"/>
      <c r="DF434" s="464"/>
      <c r="DG434" s="466"/>
      <c r="DH434" s="465"/>
      <c r="DI434" s="457"/>
      <c r="DJ434" s="464"/>
      <c r="DK434" s="466"/>
      <c r="DL434" s="465"/>
      <c r="DM434" s="457"/>
      <c r="DN434" s="464"/>
      <c r="DO434" s="466"/>
      <c r="DP434" s="465"/>
      <c r="DQ434" s="457"/>
      <c r="DR434" s="464"/>
      <c r="DS434" s="466"/>
      <c r="DT434" s="465"/>
      <c r="DU434" s="457"/>
      <c r="DV434" s="464"/>
      <c r="DW434" s="466"/>
      <c r="DX434" s="465"/>
      <c r="DY434" s="457"/>
      <c r="DZ434" s="464"/>
      <c r="EA434" s="466"/>
      <c r="EB434" s="465"/>
      <c r="EC434" s="457"/>
      <c r="ED434" s="464"/>
      <c r="EE434" s="466"/>
      <c r="EF434" s="459"/>
      <c r="EG434" s="450"/>
      <c r="EH434" s="460">
        <f t="shared" si="225"/>
        <v>0</v>
      </c>
      <c r="EI434" s="460">
        <f t="shared" si="226"/>
        <v>0</v>
      </c>
      <c r="EJ434" s="458">
        <f t="shared" si="227"/>
        <v>0</v>
      </c>
      <c r="EK434" s="470">
        <f t="shared" si="228"/>
        <v>0</v>
      </c>
      <c r="EL434" s="470">
        <f t="shared" si="229"/>
        <v>0</v>
      </c>
      <c r="EM434" s="449">
        <f t="shared" si="230"/>
        <v>0</v>
      </c>
      <c r="EN434" s="460">
        <f t="shared" si="231"/>
        <v>0</v>
      </c>
      <c r="EO434" s="469">
        <f t="shared" si="232"/>
        <v>0</v>
      </c>
      <c r="EP434" s="471"/>
      <c r="EQ434" s="450"/>
      <c r="ER434" s="471"/>
      <c r="ES434" s="450"/>
      <c r="ET434" s="471"/>
      <c r="EU434" s="450"/>
      <c r="EV434" s="471"/>
      <c r="EW434" s="450"/>
      <c r="EX434" s="471"/>
      <c r="EY434" s="450"/>
      <c r="EZ434" s="471"/>
      <c r="FA434" s="450"/>
      <c r="FB434" s="471"/>
      <c r="FC434" s="450"/>
      <c r="FD434" s="471"/>
      <c r="FE434" s="450"/>
      <c r="FF434" s="471"/>
      <c r="FG434" s="450"/>
      <c r="FH434" s="472"/>
      <c r="FI434" s="450"/>
      <c r="FJ434" s="468">
        <f t="shared" si="233"/>
        <v>0</v>
      </c>
      <c r="FK434" s="469">
        <f t="shared" si="234"/>
        <v>0</v>
      </c>
      <c r="FL434" s="472"/>
      <c r="FM434" s="450"/>
      <c r="FN434" s="460">
        <f t="shared" si="235"/>
        <v>165</v>
      </c>
      <c r="FO434" s="469">
        <f t="shared" si="236"/>
        <v>196</v>
      </c>
    </row>
    <row r="435" spans="1:171" x14ac:dyDescent="0.2">
      <c r="A435" s="454" t="s">
        <v>644</v>
      </c>
      <c r="B435" s="539" t="s">
        <v>682</v>
      </c>
      <c r="C435" s="540"/>
      <c r="D435" s="541">
        <v>206905</v>
      </c>
      <c r="E435" s="531">
        <v>13</v>
      </c>
      <c r="F435" s="532">
        <v>108</v>
      </c>
      <c r="G435" s="450">
        <v>123</v>
      </c>
      <c r="H435" s="457"/>
      <c r="I435" s="450">
        <v>0</v>
      </c>
      <c r="J435" s="457"/>
      <c r="K435" s="742"/>
      <c r="L435" s="458">
        <f t="shared" si="213"/>
        <v>0</v>
      </c>
      <c r="M435" s="449">
        <f t="shared" si="214"/>
        <v>0</v>
      </c>
      <c r="N435" s="459"/>
      <c r="O435" s="459"/>
      <c r="P435" s="459"/>
      <c r="Q435" s="459"/>
      <c r="R435" s="460">
        <f t="shared" si="215"/>
        <v>0</v>
      </c>
      <c r="S435" s="461"/>
      <c r="T435" s="461"/>
      <c r="U435" s="461"/>
      <c r="V435" s="461"/>
      <c r="W435" s="462">
        <f t="shared" si="216"/>
        <v>0</v>
      </c>
      <c r="X435" s="463"/>
      <c r="Y435" s="457"/>
      <c r="Z435" s="464"/>
      <c r="AA435" s="464"/>
      <c r="AB435" s="465"/>
      <c r="AC435" s="457"/>
      <c r="AD435" s="464"/>
      <c r="AE435" s="466"/>
      <c r="AF435" s="465"/>
      <c r="AG435" s="457"/>
      <c r="AH435" s="464"/>
      <c r="AI435" s="466"/>
      <c r="AJ435" s="465"/>
      <c r="AK435" s="457"/>
      <c r="AL435" s="464"/>
      <c r="AM435" s="466"/>
      <c r="AN435" s="465"/>
      <c r="AO435" s="457"/>
      <c r="AP435" s="464"/>
      <c r="AQ435" s="464"/>
      <c r="AR435" s="460">
        <f t="shared" si="217"/>
        <v>0</v>
      </c>
      <c r="AS435" s="467">
        <f t="shared" si="218"/>
        <v>0</v>
      </c>
      <c r="AT435" s="447">
        <f t="shared" si="219"/>
        <v>0</v>
      </c>
      <c r="AU435" s="448">
        <f t="shared" si="220"/>
        <v>0</v>
      </c>
      <c r="AV435" s="457"/>
      <c r="AW435" s="450"/>
      <c r="AX435" s="463"/>
      <c r="AY435" s="457"/>
      <c r="AZ435" s="464"/>
      <c r="BA435" s="464"/>
      <c r="BB435" s="465"/>
      <c r="BC435" s="457"/>
      <c r="BD435" s="464"/>
      <c r="BE435" s="466"/>
      <c r="BF435" s="465"/>
      <c r="BG435" s="457"/>
      <c r="BH435" s="464"/>
      <c r="BI435" s="466"/>
      <c r="BJ435" s="465"/>
      <c r="BK435" s="457"/>
      <c r="BL435" s="464"/>
      <c r="BM435" s="466"/>
      <c r="BN435" s="465"/>
      <c r="BO435" s="457"/>
      <c r="BP435" s="464"/>
      <c r="BQ435" s="466"/>
      <c r="BR435" s="465"/>
      <c r="BS435" s="457"/>
      <c r="BT435" s="464"/>
      <c r="BU435" s="466"/>
      <c r="BV435" s="465"/>
      <c r="BW435" s="457"/>
      <c r="BX435" s="464"/>
      <c r="BY435" s="466"/>
      <c r="BZ435" s="465"/>
      <c r="CA435" s="457"/>
      <c r="CB435" s="464"/>
      <c r="CC435" s="466"/>
      <c r="CD435" s="465"/>
      <c r="CE435" s="457"/>
      <c r="CF435" s="464"/>
      <c r="CG435" s="466"/>
      <c r="CH435" s="465"/>
      <c r="CI435" s="457"/>
      <c r="CJ435" s="464"/>
      <c r="CK435" s="466"/>
      <c r="CL435" s="459"/>
      <c r="CM435" s="450"/>
      <c r="CN435" s="468">
        <f t="shared" si="221"/>
        <v>0</v>
      </c>
      <c r="CO435" s="468">
        <f t="shared" si="222"/>
        <v>0</v>
      </c>
      <c r="CP435" s="469">
        <f t="shared" si="223"/>
        <v>0</v>
      </c>
      <c r="CQ435" s="469">
        <f t="shared" si="224"/>
        <v>0</v>
      </c>
      <c r="CR435" s="463"/>
      <c r="CS435" s="457"/>
      <c r="CT435" s="464"/>
      <c r="CU435" s="464"/>
      <c r="CV435" s="465"/>
      <c r="CW435" s="457"/>
      <c r="CX435" s="464"/>
      <c r="CY435" s="466"/>
      <c r="CZ435" s="465"/>
      <c r="DA435" s="457"/>
      <c r="DB435" s="464"/>
      <c r="DC435" s="466"/>
      <c r="DD435" s="465"/>
      <c r="DE435" s="457"/>
      <c r="DF435" s="464"/>
      <c r="DG435" s="466"/>
      <c r="DH435" s="465"/>
      <c r="DI435" s="457"/>
      <c r="DJ435" s="464"/>
      <c r="DK435" s="466"/>
      <c r="DL435" s="465"/>
      <c r="DM435" s="457"/>
      <c r="DN435" s="464"/>
      <c r="DO435" s="466"/>
      <c r="DP435" s="465"/>
      <c r="DQ435" s="457"/>
      <c r="DR435" s="464"/>
      <c r="DS435" s="466"/>
      <c r="DT435" s="465"/>
      <c r="DU435" s="457"/>
      <c r="DV435" s="464"/>
      <c r="DW435" s="466"/>
      <c r="DX435" s="465"/>
      <c r="DY435" s="457"/>
      <c r="DZ435" s="464"/>
      <c r="EA435" s="466"/>
      <c r="EB435" s="465"/>
      <c r="EC435" s="457"/>
      <c r="ED435" s="464"/>
      <c r="EE435" s="466"/>
      <c r="EF435" s="459"/>
      <c r="EG435" s="450"/>
      <c r="EH435" s="460">
        <f t="shared" si="225"/>
        <v>0</v>
      </c>
      <c r="EI435" s="460">
        <f t="shared" si="226"/>
        <v>0</v>
      </c>
      <c r="EJ435" s="458">
        <f t="shared" si="227"/>
        <v>0</v>
      </c>
      <c r="EK435" s="470">
        <f t="shared" si="228"/>
        <v>0</v>
      </c>
      <c r="EL435" s="470">
        <f t="shared" si="229"/>
        <v>0</v>
      </c>
      <c r="EM435" s="449">
        <f t="shared" si="230"/>
        <v>0</v>
      </c>
      <c r="EN435" s="460">
        <f t="shared" si="231"/>
        <v>0</v>
      </c>
      <c r="EO435" s="469">
        <f t="shared" si="232"/>
        <v>0</v>
      </c>
      <c r="EP435" s="471"/>
      <c r="EQ435" s="450"/>
      <c r="ER435" s="471"/>
      <c r="ES435" s="450"/>
      <c r="ET435" s="471"/>
      <c r="EU435" s="450"/>
      <c r="EV435" s="471"/>
      <c r="EW435" s="450"/>
      <c r="EX435" s="471"/>
      <c r="EY435" s="450"/>
      <c r="EZ435" s="471"/>
      <c r="FA435" s="450"/>
      <c r="FB435" s="471"/>
      <c r="FC435" s="450"/>
      <c r="FD435" s="471"/>
      <c r="FE435" s="450"/>
      <c r="FF435" s="471"/>
      <c r="FG435" s="450"/>
      <c r="FH435" s="472"/>
      <c r="FI435" s="450"/>
      <c r="FJ435" s="468">
        <f t="shared" si="233"/>
        <v>0</v>
      </c>
      <c r="FK435" s="469">
        <f t="shared" si="234"/>
        <v>0</v>
      </c>
      <c r="FL435" s="472"/>
      <c r="FM435" s="450"/>
      <c r="FN435" s="460">
        <f t="shared" si="235"/>
        <v>108</v>
      </c>
      <c r="FO435" s="469">
        <f t="shared" si="236"/>
        <v>123</v>
      </c>
    </row>
    <row r="436" spans="1:171" x14ac:dyDescent="0.2">
      <c r="A436" s="454" t="s">
        <v>644</v>
      </c>
      <c r="B436" s="539" t="s">
        <v>683</v>
      </c>
      <c r="C436" s="540"/>
      <c r="D436" s="541">
        <v>250993</v>
      </c>
      <c r="E436" s="531">
        <v>13</v>
      </c>
      <c r="F436" s="532">
        <v>155</v>
      </c>
      <c r="G436" s="450">
        <v>194</v>
      </c>
      <c r="H436" s="457"/>
      <c r="I436" s="450">
        <v>0</v>
      </c>
      <c r="J436" s="457"/>
      <c r="K436" s="742"/>
      <c r="L436" s="458">
        <f t="shared" si="213"/>
        <v>0</v>
      </c>
      <c r="M436" s="449">
        <f t="shared" si="214"/>
        <v>0</v>
      </c>
      <c r="N436" s="459"/>
      <c r="O436" s="459"/>
      <c r="P436" s="459"/>
      <c r="Q436" s="459"/>
      <c r="R436" s="460">
        <f t="shared" si="215"/>
        <v>0</v>
      </c>
      <c r="S436" s="461"/>
      <c r="T436" s="461"/>
      <c r="U436" s="461"/>
      <c r="V436" s="461"/>
      <c r="W436" s="462">
        <f t="shared" si="216"/>
        <v>0</v>
      </c>
      <c r="X436" s="463"/>
      <c r="Y436" s="457"/>
      <c r="Z436" s="464"/>
      <c r="AA436" s="464"/>
      <c r="AB436" s="465"/>
      <c r="AC436" s="457"/>
      <c r="AD436" s="464"/>
      <c r="AE436" s="466"/>
      <c r="AF436" s="465"/>
      <c r="AG436" s="457"/>
      <c r="AH436" s="464"/>
      <c r="AI436" s="466"/>
      <c r="AJ436" s="465"/>
      <c r="AK436" s="457"/>
      <c r="AL436" s="464"/>
      <c r="AM436" s="466"/>
      <c r="AN436" s="465"/>
      <c r="AO436" s="457"/>
      <c r="AP436" s="464"/>
      <c r="AQ436" s="464"/>
      <c r="AR436" s="460">
        <f t="shared" si="217"/>
        <v>0</v>
      </c>
      <c r="AS436" s="467">
        <f t="shared" si="218"/>
        <v>0</v>
      </c>
      <c r="AT436" s="447">
        <f t="shared" si="219"/>
        <v>0</v>
      </c>
      <c r="AU436" s="448">
        <f t="shared" si="220"/>
        <v>0</v>
      </c>
      <c r="AV436" s="457"/>
      <c r="AW436" s="450"/>
      <c r="AX436" s="463"/>
      <c r="AY436" s="457"/>
      <c r="AZ436" s="464"/>
      <c r="BA436" s="464"/>
      <c r="BB436" s="465"/>
      <c r="BC436" s="457"/>
      <c r="BD436" s="464"/>
      <c r="BE436" s="466"/>
      <c r="BF436" s="465"/>
      <c r="BG436" s="457"/>
      <c r="BH436" s="464"/>
      <c r="BI436" s="466"/>
      <c r="BJ436" s="465"/>
      <c r="BK436" s="457"/>
      <c r="BL436" s="464"/>
      <c r="BM436" s="466"/>
      <c r="BN436" s="465"/>
      <c r="BO436" s="457"/>
      <c r="BP436" s="464"/>
      <c r="BQ436" s="466"/>
      <c r="BR436" s="465"/>
      <c r="BS436" s="457"/>
      <c r="BT436" s="464"/>
      <c r="BU436" s="466"/>
      <c r="BV436" s="465"/>
      <c r="BW436" s="457"/>
      <c r="BX436" s="464"/>
      <c r="BY436" s="466"/>
      <c r="BZ436" s="465"/>
      <c r="CA436" s="457"/>
      <c r="CB436" s="464"/>
      <c r="CC436" s="466"/>
      <c r="CD436" s="465"/>
      <c r="CE436" s="457"/>
      <c r="CF436" s="464"/>
      <c r="CG436" s="466"/>
      <c r="CH436" s="465"/>
      <c r="CI436" s="457"/>
      <c r="CJ436" s="464"/>
      <c r="CK436" s="466"/>
      <c r="CL436" s="459"/>
      <c r="CM436" s="450"/>
      <c r="CN436" s="468">
        <f t="shared" si="221"/>
        <v>0</v>
      </c>
      <c r="CO436" s="468">
        <f t="shared" si="222"/>
        <v>0</v>
      </c>
      <c r="CP436" s="469">
        <f t="shared" si="223"/>
        <v>0</v>
      </c>
      <c r="CQ436" s="469">
        <f t="shared" si="224"/>
        <v>0</v>
      </c>
      <c r="CR436" s="463"/>
      <c r="CS436" s="457"/>
      <c r="CT436" s="464"/>
      <c r="CU436" s="464"/>
      <c r="CV436" s="465"/>
      <c r="CW436" s="457"/>
      <c r="CX436" s="464"/>
      <c r="CY436" s="466"/>
      <c r="CZ436" s="465"/>
      <c r="DA436" s="457"/>
      <c r="DB436" s="464"/>
      <c r="DC436" s="466"/>
      <c r="DD436" s="465"/>
      <c r="DE436" s="457"/>
      <c r="DF436" s="464"/>
      <c r="DG436" s="466"/>
      <c r="DH436" s="465"/>
      <c r="DI436" s="457"/>
      <c r="DJ436" s="464"/>
      <c r="DK436" s="466"/>
      <c r="DL436" s="465"/>
      <c r="DM436" s="457"/>
      <c r="DN436" s="464"/>
      <c r="DO436" s="466"/>
      <c r="DP436" s="465"/>
      <c r="DQ436" s="457"/>
      <c r="DR436" s="464"/>
      <c r="DS436" s="466"/>
      <c r="DT436" s="465"/>
      <c r="DU436" s="457"/>
      <c r="DV436" s="464"/>
      <c r="DW436" s="466"/>
      <c r="DX436" s="465"/>
      <c r="DY436" s="457"/>
      <c r="DZ436" s="464"/>
      <c r="EA436" s="466"/>
      <c r="EB436" s="465"/>
      <c r="EC436" s="457"/>
      <c r="ED436" s="464"/>
      <c r="EE436" s="466"/>
      <c r="EF436" s="459"/>
      <c r="EG436" s="450"/>
      <c r="EH436" s="460">
        <f t="shared" si="225"/>
        <v>0</v>
      </c>
      <c r="EI436" s="460">
        <f t="shared" si="226"/>
        <v>0</v>
      </c>
      <c r="EJ436" s="458">
        <f t="shared" si="227"/>
        <v>0</v>
      </c>
      <c r="EK436" s="470">
        <f t="shared" si="228"/>
        <v>0</v>
      </c>
      <c r="EL436" s="470">
        <f t="shared" si="229"/>
        <v>0</v>
      </c>
      <c r="EM436" s="449">
        <f t="shared" si="230"/>
        <v>0</v>
      </c>
      <c r="EN436" s="460">
        <f t="shared" si="231"/>
        <v>0</v>
      </c>
      <c r="EO436" s="469">
        <f t="shared" si="232"/>
        <v>0</v>
      </c>
      <c r="EP436" s="471"/>
      <c r="EQ436" s="450"/>
      <c r="ER436" s="471"/>
      <c r="ES436" s="450"/>
      <c r="ET436" s="471"/>
      <c r="EU436" s="450"/>
      <c r="EV436" s="471"/>
      <c r="EW436" s="450"/>
      <c r="EX436" s="471"/>
      <c r="EY436" s="450"/>
      <c r="EZ436" s="471"/>
      <c r="FA436" s="450"/>
      <c r="FB436" s="471"/>
      <c r="FC436" s="450"/>
      <c r="FD436" s="471"/>
      <c r="FE436" s="450"/>
      <c r="FF436" s="471"/>
      <c r="FG436" s="450"/>
      <c r="FH436" s="472"/>
      <c r="FI436" s="450"/>
      <c r="FJ436" s="468">
        <f t="shared" si="233"/>
        <v>0</v>
      </c>
      <c r="FK436" s="469">
        <f t="shared" si="234"/>
        <v>0</v>
      </c>
      <c r="FL436" s="472"/>
      <c r="FM436" s="450"/>
      <c r="FN436" s="460">
        <f t="shared" si="235"/>
        <v>155</v>
      </c>
      <c r="FO436" s="469">
        <f t="shared" si="236"/>
        <v>194</v>
      </c>
    </row>
    <row r="437" spans="1:171" x14ac:dyDescent="0.2">
      <c r="A437" s="454" t="s">
        <v>644</v>
      </c>
      <c r="B437" s="539" t="s">
        <v>684</v>
      </c>
      <c r="C437" s="540"/>
      <c r="D437" s="541">
        <v>365198</v>
      </c>
      <c r="E437" s="531">
        <v>13</v>
      </c>
      <c r="F437" s="532">
        <v>213</v>
      </c>
      <c r="G437" s="450">
        <v>264</v>
      </c>
      <c r="H437" s="457"/>
      <c r="I437" s="450">
        <v>6</v>
      </c>
      <c r="J437" s="457"/>
      <c r="K437" s="742"/>
      <c r="L437" s="458">
        <f t="shared" si="213"/>
        <v>0</v>
      </c>
      <c r="M437" s="449">
        <f t="shared" si="214"/>
        <v>0</v>
      </c>
      <c r="N437" s="459"/>
      <c r="O437" s="459"/>
      <c r="P437" s="459"/>
      <c r="Q437" s="459"/>
      <c r="R437" s="460">
        <f t="shared" si="215"/>
        <v>0</v>
      </c>
      <c r="S437" s="461"/>
      <c r="T437" s="461"/>
      <c r="U437" s="461"/>
      <c r="V437" s="461"/>
      <c r="W437" s="462">
        <f t="shared" si="216"/>
        <v>0</v>
      </c>
      <c r="X437" s="463"/>
      <c r="Y437" s="457"/>
      <c r="Z437" s="464"/>
      <c r="AA437" s="464"/>
      <c r="AB437" s="465"/>
      <c r="AC437" s="457"/>
      <c r="AD437" s="464"/>
      <c r="AE437" s="466"/>
      <c r="AF437" s="465"/>
      <c r="AG437" s="457"/>
      <c r="AH437" s="464"/>
      <c r="AI437" s="466"/>
      <c r="AJ437" s="465"/>
      <c r="AK437" s="457"/>
      <c r="AL437" s="464"/>
      <c r="AM437" s="466"/>
      <c r="AN437" s="465"/>
      <c r="AO437" s="457"/>
      <c r="AP437" s="464"/>
      <c r="AQ437" s="464"/>
      <c r="AR437" s="460">
        <f t="shared" si="217"/>
        <v>0</v>
      </c>
      <c r="AS437" s="467">
        <f t="shared" si="218"/>
        <v>0</v>
      </c>
      <c r="AT437" s="447">
        <f t="shared" si="219"/>
        <v>0</v>
      </c>
      <c r="AU437" s="448">
        <f t="shared" si="220"/>
        <v>0</v>
      </c>
      <c r="AV437" s="457"/>
      <c r="AW437" s="450"/>
      <c r="AX437" s="463"/>
      <c r="AY437" s="457"/>
      <c r="AZ437" s="464"/>
      <c r="BA437" s="464"/>
      <c r="BB437" s="465"/>
      <c r="BC437" s="457"/>
      <c r="BD437" s="464"/>
      <c r="BE437" s="466"/>
      <c r="BF437" s="465"/>
      <c r="BG437" s="457"/>
      <c r="BH437" s="464"/>
      <c r="BI437" s="466"/>
      <c r="BJ437" s="465"/>
      <c r="BK437" s="457"/>
      <c r="BL437" s="464"/>
      <c r="BM437" s="466"/>
      <c r="BN437" s="465"/>
      <c r="BO437" s="457"/>
      <c r="BP437" s="464"/>
      <c r="BQ437" s="466"/>
      <c r="BR437" s="465"/>
      <c r="BS437" s="457"/>
      <c r="BT437" s="464"/>
      <c r="BU437" s="466"/>
      <c r="BV437" s="465"/>
      <c r="BW437" s="457"/>
      <c r="BX437" s="464"/>
      <c r="BY437" s="466"/>
      <c r="BZ437" s="465"/>
      <c r="CA437" s="457"/>
      <c r="CB437" s="464"/>
      <c r="CC437" s="466"/>
      <c r="CD437" s="465"/>
      <c r="CE437" s="457"/>
      <c r="CF437" s="464"/>
      <c r="CG437" s="466"/>
      <c r="CH437" s="465"/>
      <c r="CI437" s="457"/>
      <c r="CJ437" s="464"/>
      <c r="CK437" s="466"/>
      <c r="CL437" s="459"/>
      <c r="CM437" s="450"/>
      <c r="CN437" s="468">
        <f t="shared" si="221"/>
        <v>0</v>
      </c>
      <c r="CO437" s="468">
        <f t="shared" si="222"/>
        <v>0</v>
      </c>
      <c r="CP437" s="469">
        <f t="shared" si="223"/>
        <v>0</v>
      </c>
      <c r="CQ437" s="469">
        <f t="shared" si="224"/>
        <v>0</v>
      </c>
      <c r="CR437" s="463"/>
      <c r="CS437" s="457"/>
      <c r="CT437" s="464"/>
      <c r="CU437" s="464"/>
      <c r="CV437" s="465"/>
      <c r="CW437" s="457"/>
      <c r="CX437" s="464"/>
      <c r="CY437" s="466"/>
      <c r="CZ437" s="465"/>
      <c r="DA437" s="457"/>
      <c r="DB437" s="464"/>
      <c r="DC437" s="466"/>
      <c r="DD437" s="465"/>
      <c r="DE437" s="457"/>
      <c r="DF437" s="464"/>
      <c r="DG437" s="466"/>
      <c r="DH437" s="465"/>
      <c r="DI437" s="457"/>
      <c r="DJ437" s="464"/>
      <c r="DK437" s="466"/>
      <c r="DL437" s="465"/>
      <c r="DM437" s="457"/>
      <c r="DN437" s="464"/>
      <c r="DO437" s="466"/>
      <c r="DP437" s="465"/>
      <c r="DQ437" s="457"/>
      <c r="DR437" s="464"/>
      <c r="DS437" s="466"/>
      <c r="DT437" s="465"/>
      <c r="DU437" s="457"/>
      <c r="DV437" s="464"/>
      <c r="DW437" s="466"/>
      <c r="DX437" s="465"/>
      <c r="DY437" s="457"/>
      <c r="DZ437" s="464"/>
      <c r="EA437" s="466"/>
      <c r="EB437" s="465"/>
      <c r="EC437" s="457"/>
      <c r="ED437" s="464"/>
      <c r="EE437" s="466"/>
      <c r="EF437" s="459"/>
      <c r="EG437" s="450"/>
      <c r="EH437" s="460">
        <f t="shared" si="225"/>
        <v>0</v>
      </c>
      <c r="EI437" s="460">
        <f t="shared" si="226"/>
        <v>0</v>
      </c>
      <c r="EJ437" s="458">
        <f t="shared" si="227"/>
        <v>0</v>
      </c>
      <c r="EK437" s="470">
        <f t="shared" si="228"/>
        <v>0</v>
      </c>
      <c r="EL437" s="470">
        <f t="shared" si="229"/>
        <v>0</v>
      </c>
      <c r="EM437" s="449">
        <f t="shared" si="230"/>
        <v>0</v>
      </c>
      <c r="EN437" s="460">
        <f t="shared" si="231"/>
        <v>0</v>
      </c>
      <c r="EO437" s="469">
        <f t="shared" si="232"/>
        <v>0</v>
      </c>
      <c r="EP437" s="471"/>
      <c r="EQ437" s="450"/>
      <c r="ER437" s="471"/>
      <c r="ES437" s="450"/>
      <c r="ET437" s="471"/>
      <c r="EU437" s="450"/>
      <c r="EV437" s="471"/>
      <c r="EW437" s="450"/>
      <c r="EX437" s="471"/>
      <c r="EY437" s="450"/>
      <c r="EZ437" s="471"/>
      <c r="FA437" s="450"/>
      <c r="FB437" s="471"/>
      <c r="FC437" s="450"/>
      <c r="FD437" s="471"/>
      <c r="FE437" s="450"/>
      <c r="FF437" s="471"/>
      <c r="FG437" s="450"/>
      <c r="FH437" s="472"/>
      <c r="FI437" s="450"/>
      <c r="FJ437" s="468">
        <f t="shared" si="233"/>
        <v>0</v>
      </c>
      <c r="FK437" s="469">
        <f t="shared" si="234"/>
        <v>0</v>
      </c>
      <c r="FL437" s="472"/>
      <c r="FM437" s="450"/>
      <c r="FN437" s="460">
        <f t="shared" si="235"/>
        <v>213</v>
      </c>
      <c r="FO437" s="469">
        <f t="shared" si="236"/>
        <v>270</v>
      </c>
    </row>
    <row r="438" spans="1:171" x14ac:dyDescent="0.2">
      <c r="A438" s="454" t="s">
        <v>644</v>
      </c>
      <c r="B438" s="539" t="s">
        <v>685</v>
      </c>
      <c r="C438" s="540"/>
      <c r="D438" s="541">
        <v>368364</v>
      </c>
      <c r="E438" s="531">
        <v>13</v>
      </c>
      <c r="F438" s="532">
        <v>150</v>
      </c>
      <c r="G438" s="450">
        <v>158</v>
      </c>
      <c r="H438" s="457">
        <v>1</v>
      </c>
      <c r="I438" s="450">
        <v>2</v>
      </c>
      <c r="J438" s="457"/>
      <c r="K438" s="742"/>
      <c r="L438" s="458">
        <f t="shared" si="213"/>
        <v>0</v>
      </c>
      <c r="M438" s="449">
        <f t="shared" si="214"/>
        <v>0</v>
      </c>
      <c r="N438" s="459"/>
      <c r="O438" s="459"/>
      <c r="P438" s="459"/>
      <c r="Q438" s="459"/>
      <c r="R438" s="460">
        <f t="shared" si="215"/>
        <v>0</v>
      </c>
      <c r="S438" s="461"/>
      <c r="T438" s="461"/>
      <c r="U438" s="461"/>
      <c r="V438" s="461"/>
      <c r="W438" s="462">
        <f t="shared" si="216"/>
        <v>0</v>
      </c>
      <c r="X438" s="463"/>
      <c r="Y438" s="457"/>
      <c r="Z438" s="464"/>
      <c r="AA438" s="464"/>
      <c r="AB438" s="465"/>
      <c r="AC438" s="457"/>
      <c r="AD438" s="464"/>
      <c r="AE438" s="466"/>
      <c r="AF438" s="465"/>
      <c r="AG438" s="457"/>
      <c r="AH438" s="464"/>
      <c r="AI438" s="466"/>
      <c r="AJ438" s="465"/>
      <c r="AK438" s="457"/>
      <c r="AL438" s="464"/>
      <c r="AM438" s="466"/>
      <c r="AN438" s="465"/>
      <c r="AO438" s="457"/>
      <c r="AP438" s="464"/>
      <c r="AQ438" s="464"/>
      <c r="AR438" s="460">
        <f t="shared" si="217"/>
        <v>0</v>
      </c>
      <c r="AS438" s="467">
        <f t="shared" si="218"/>
        <v>0</v>
      </c>
      <c r="AT438" s="447">
        <f t="shared" si="219"/>
        <v>0</v>
      </c>
      <c r="AU438" s="448">
        <f t="shared" si="220"/>
        <v>0</v>
      </c>
      <c r="AV438" s="457"/>
      <c r="AW438" s="450"/>
      <c r="AX438" s="463"/>
      <c r="AY438" s="457"/>
      <c r="AZ438" s="464"/>
      <c r="BA438" s="464"/>
      <c r="BB438" s="465"/>
      <c r="BC438" s="457"/>
      <c r="BD438" s="464"/>
      <c r="BE438" s="466"/>
      <c r="BF438" s="465"/>
      <c r="BG438" s="457"/>
      <c r="BH438" s="464"/>
      <c r="BI438" s="466"/>
      <c r="BJ438" s="465"/>
      <c r="BK438" s="457"/>
      <c r="BL438" s="464"/>
      <c r="BM438" s="466"/>
      <c r="BN438" s="465"/>
      <c r="BO438" s="457"/>
      <c r="BP438" s="464"/>
      <c r="BQ438" s="466"/>
      <c r="BR438" s="465"/>
      <c r="BS438" s="457"/>
      <c r="BT438" s="464"/>
      <c r="BU438" s="466"/>
      <c r="BV438" s="465"/>
      <c r="BW438" s="457"/>
      <c r="BX438" s="464"/>
      <c r="BY438" s="466"/>
      <c r="BZ438" s="465"/>
      <c r="CA438" s="457"/>
      <c r="CB438" s="464"/>
      <c r="CC438" s="466"/>
      <c r="CD438" s="465"/>
      <c r="CE438" s="457"/>
      <c r="CF438" s="464"/>
      <c r="CG438" s="466"/>
      <c r="CH438" s="465"/>
      <c r="CI438" s="457"/>
      <c r="CJ438" s="464"/>
      <c r="CK438" s="466"/>
      <c r="CL438" s="459"/>
      <c r="CM438" s="450"/>
      <c r="CN438" s="468">
        <f t="shared" si="221"/>
        <v>0</v>
      </c>
      <c r="CO438" s="468">
        <f t="shared" si="222"/>
        <v>0</v>
      </c>
      <c r="CP438" s="469">
        <f t="shared" si="223"/>
        <v>0</v>
      </c>
      <c r="CQ438" s="469">
        <f t="shared" si="224"/>
        <v>0</v>
      </c>
      <c r="CR438" s="463"/>
      <c r="CS438" s="457"/>
      <c r="CT438" s="464"/>
      <c r="CU438" s="464"/>
      <c r="CV438" s="465"/>
      <c r="CW438" s="457"/>
      <c r="CX438" s="464"/>
      <c r="CY438" s="466"/>
      <c r="CZ438" s="465"/>
      <c r="DA438" s="457"/>
      <c r="DB438" s="464"/>
      <c r="DC438" s="466"/>
      <c r="DD438" s="465"/>
      <c r="DE438" s="457"/>
      <c r="DF438" s="464"/>
      <c r="DG438" s="466"/>
      <c r="DH438" s="465"/>
      <c r="DI438" s="457"/>
      <c r="DJ438" s="464"/>
      <c r="DK438" s="466"/>
      <c r="DL438" s="465"/>
      <c r="DM438" s="457"/>
      <c r="DN438" s="464"/>
      <c r="DO438" s="466"/>
      <c r="DP438" s="465"/>
      <c r="DQ438" s="457"/>
      <c r="DR438" s="464"/>
      <c r="DS438" s="466"/>
      <c r="DT438" s="465"/>
      <c r="DU438" s="457"/>
      <c r="DV438" s="464"/>
      <c r="DW438" s="466"/>
      <c r="DX438" s="465"/>
      <c r="DY438" s="457"/>
      <c r="DZ438" s="464"/>
      <c r="EA438" s="466"/>
      <c r="EB438" s="465"/>
      <c r="EC438" s="457"/>
      <c r="ED438" s="464"/>
      <c r="EE438" s="466"/>
      <c r="EF438" s="459"/>
      <c r="EG438" s="450"/>
      <c r="EH438" s="460">
        <f t="shared" si="225"/>
        <v>0</v>
      </c>
      <c r="EI438" s="460">
        <f t="shared" si="226"/>
        <v>0</v>
      </c>
      <c r="EJ438" s="458">
        <f t="shared" si="227"/>
        <v>0</v>
      </c>
      <c r="EK438" s="470">
        <f t="shared" si="228"/>
        <v>0</v>
      </c>
      <c r="EL438" s="470">
        <f t="shared" si="229"/>
        <v>0</v>
      </c>
      <c r="EM438" s="449">
        <f t="shared" si="230"/>
        <v>0</v>
      </c>
      <c r="EN438" s="460">
        <f t="shared" si="231"/>
        <v>0</v>
      </c>
      <c r="EO438" s="469">
        <f t="shared" si="232"/>
        <v>0</v>
      </c>
      <c r="EP438" s="471"/>
      <c r="EQ438" s="450"/>
      <c r="ER438" s="471"/>
      <c r="ES438" s="450"/>
      <c r="ET438" s="471"/>
      <c r="EU438" s="450"/>
      <c r="EV438" s="471"/>
      <c r="EW438" s="450"/>
      <c r="EX438" s="471"/>
      <c r="EY438" s="450"/>
      <c r="EZ438" s="471"/>
      <c r="FA438" s="450"/>
      <c r="FB438" s="471"/>
      <c r="FC438" s="450"/>
      <c r="FD438" s="471"/>
      <c r="FE438" s="450"/>
      <c r="FF438" s="471"/>
      <c r="FG438" s="450"/>
      <c r="FH438" s="472"/>
      <c r="FI438" s="450"/>
      <c r="FJ438" s="468">
        <f t="shared" si="233"/>
        <v>0</v>
      </c>
      <c r="FK438" s="469">
        <f t="shared" si="234"/>
        <v>0</v>
      </c>
      <c r="FL438" s="472"/>
      <c r="FM438" s="450"/>
      <c r="FN438" s="460">
        <f t="shared" si="235"/>
        <v>151</v>
      </c>
      <c r="FO438" s="469">
        <f t="shared" si="236"/>
        <v>160</v>
      </c>
    </row>
    <row r="439" spans="1:171" x14ac:dyDescent="0.2">
      <c r="A439" s="454" t="s">
        <v>644</v>
      </c>
      <c r="B439" s="539" t="s">
        <v>686</v>
      </c>
      <c r="C439" s="540"/>
      <c r="D439" s="541">
        <v>418287</v>
      </c>
      <c r="E439" s="531">
        <v>13</v>
      </c>
      <c r="F439" s="532">
        <v>262</v>
      </c>
      <c r="G439" s="450">
        <v>270</v>
      </c>
      <c r="H439" s="457">
        <v>9</v>
      </c>
      <c r="I439" s="450">
        <v>10</v>
      </c>
      <c r="J439" s="457"/>
      <c r="K439" s="742"/>
      <c r="L439" s="458">
        <f t="shared" si="213"/>
        <v>0</v>
      </c>
      <c r="M439" s="449">
        <f t="shared" si="214"/>
        <v>0</v>
      </c>
      <c r="N439" s="459"/>
      <c r="O439" s="459"/>
      <c r="P439" s="459"/>
      <c r="Q439" s="459"/>
      <c r="R439" s="460">
        <f t="shared" si="215"/>
        <v>0</v>
      </c>
      <c r="S439" s="461"/>
      <c r="T439" s="461"/>
      <c r="U439" s="461"/>
      <c r="V439" s="461"/>
      <c r="W439" s="462">
        <f t="shared" si="216"/>
        <v>0</v>
      </c>
      <c r="X439" s="463"/>
      <c r="Y439" s="457"/>
      <c r="Z439" s="464"/>
      <c r="AA439" s="464"/>
      <c r="AB439" s="465"/>
      <c r="AC439" s="457"/>
      <c r="AD439" s="464"/>
      <c r="AE439" s="466"/>
      <c r="AF439" s="465"/>
      <c r="AG439" s="457"/>
      <c r="AH439" s="464"/>
      <c r="AI439" s="466"/>
      <c r="AJ439" s="465"/>
      <c r="AK439" s="457"/>
      <c r="AL439" s="464"/>
      <c r="AM439" s="466"/>
      <c r="AN439" s="465"/>
      <c r="AO439" s="457"/>
      <c r="AP439" s="464"/>
      <c r="AQ439" s="464"/>
      <c r="AR439" s="460">
        <f t="shared" si="217"/>
        <v>0</v>
      </c>
      <c r="AS439" s="467">
        <f t="shared" si="218"/>
        <v>0</v>
      </c>
      <c r="AT439" s="447">
        <f t="shared" si="219"/>
        <v>0</v>
      </c>
      <c r="AU439" s="448">
        <f t="shared" si="220"/>
        <v>0</v>
      </c>
      <c r="AV439" s="457"/>
      <c r="AW439" s="450"/>
      <c r="AX439" s="463"/>
      <c r="AY439" s="457"/>
      <c r="AZ439" s="464"/>
      <c r="BA439" s="464"/>
      <c r="BB439" s="465"/>
      <c r="BC439" s="457"/>
      <c r="BD439" s="464"/>
      <c r="BE439" s="466"/>
      <c r="BF439" s="465"/>
      <c r="BG439" s="457"/>
      <c r="BH439" s="464"/>
      <c r="BI439" s="466"/>
      <c r="BJ439" s="465"/>
      <c r="BK439" s="457"/>
      <c r="BL439" s="464"/>
      <c r="BM439" s="466"/>
      <c r="BN439" s="465"/>
      <c r="BO439" s="457"/>
      <c r="BP439" s="464"/>
      <c r="BQ439" s="466"/>
      <c r="BR439" s="465"/>
      <c r="BS439" s="457"/>
      <c r="BT439" s="464"/>
      <c r="BU439" s="466"/>
      <c r="BV439" s="465"/>
      <c r="BW439" s="457"/>
      <c r="BX439" s="464"/>
      <c r="BY439" s="466"/>
      <c r="BZ439" s="465"/>
      <c r="CA439" s="457"/>
      <c r="CB439" s="464"/>
      <c r="CC439" s="466"/>
      <c r="CD439" s="465"/>
      <c r="CE439" s="457"/>
      <c r="CF439" s="464"/>
      <c r="CG439" s="466"/>
      <c r="CH439" s="465"/>
      <c r="CI439" s="457"/>
      <c r="CJ439" s="464"/>
      <c r="CK439" s="466"/>
      <c r="CL439" s="459"/>
      <c r="CM439" s="450"/>
      <c r="CN439" s="468">
        <f t="shared" si="221"/>
        <v>0</v>
      </c>
      <c r="CO439" s="468">
        <f t="shared" si="222"/>
        <v>0</v>
      </c>
      <c r="CP439" s="469">
        <f t="shared" si="223"/>
        <v>0</v>
      </c>
      <c r="CQ439" s="469">
        <f t="shared" si="224"/>
        <v>0</v>
      </c>
      <c r="CR439" s="463"/>
      <c r="CS439" s="457"/>
      <c r="CT439" s="464"/>
      <c r="CU439" s="464"/>
      <c r="CV439" s="465"/>
      <c r="CW439" s="457"/>
      <c r="CX439" s="464"/>
      <c r="CY439" s="466"/>
      <c r="CZ439" s="465"/>
      <c r="DA439" s="457"/>
      <c r="DB439" s="464"/>
      <c r="DC439" s="466"/>
      <c r="DD439" s="465"/>
      <c r="DE439" s="457"/>
      <c r="DF439" s="464"/>
      <c r="DG439" s="466"/>
      <c r="DH439" s="465"/>
      <c r="DI439" s="457"/>
      <c r="DJ439" s="464"/>
      <c r="DK439" s="466"/>
      <c r="DL439" s="465"/>
      <c r="DM439" s="457"/>
      <c r="DN439" s="464"/>
      <c r="DO439" s="466"/>
      <c r="DP439" s="465"/>
      <c r="DQ439" s="457"/>
      <c r="DR439" s="464"/>
      <c r="DS439" s="466"/>
      <c r="DT439" s="465"/>
      <c r="DU439" s="457"/>
      <c r="DV439" s="464"/>
      <c r="DW439" s="466"/>
      <c r="DX439" s="465"/>
      <c r="DY439" s="457"/>
      <c r="DZ439" s="464"/>
      <c r="EA439" s="466"/>
      <c r="EB439" s="465"/>
      <c r="EC439" s="457"/>
      <c r="ED439" s="464"/>
      <c r="EE439" s="466"/>
      <c r="EF439" s="459"/>
      <c r="EG439" s="450"/>
      <c r="EH439" s="460">
        <f t="shared" si="225"/>
        <v>0</v>
      </c>
      <c r="EI439" s="460">
        <f t="shared" si="226"/>
        <v>0</v>
      </c>
      <c r="EJ439" s="458">
        <f t="shared" si="227"/>
        <v>0</v>
      </c>
      <c r="EK439" s="470">
        <f t="shared" si="228"/>
        <v>0</v>
      </c>
      <c r="EL439" s="470">
        <f t="shared" si="229"/>
        <v>0</v>
      </c>
      <c r="EM439" s="449">
        <f t="shared" si="230"/>
        <v>0</v>
      </c>
      <c r="EN439" s="460">
        <f t="shared" si="231"/>
        <v>0</v>
      </c>
      <c r="EO439" s="469">
        <f t="shared" si="232"/>
        <v>0</v>
      </c>
      <c r="EP439" s="471"/>
      <c r="EQ439" s="450"/>
      <c r="ER439" s="471"/>
      <c r="ES439" s="450"/>
      <c r="ET439" s="471"/>
      <c r="EU439" s="450"/>
      <c r="EV439" s="471"/>
      <c r="EW439" s="450"/>
      <c r="EX439" s="471"/>
      <c r="EY439" s="450"/>
      <c r="EZ439" s="471"/>
      <c r="FA439" s="450"/>
      <c r="FB439" s="471"/>
      <c r="FC439" s="450"/>
      <c r="FD439" s="471"/>
      <c r="FE439" s="450"/>
      <c r="FF439" s="471"/>
      <c r="FG439" s="450"/>
      <c r="FH439" s="472"/>
      <c r="FI439" s="450"/>
      <c r="FJ439" s="468">
        <f t="shared" si="233"/>
        <v>0</v>
      </c>
      <c r="FK439" s="469">
        <f t="shared" si="234"/>
        <v>0</v>
      </c>
      <c r="FL439" s="472"/>
      <c r="FM439" s="450"/>
      <c r="FN439" s="460">
        <f t="shared" si="235"/>
        <v>271</v>
      </c>
      <c r="FO439" s="469">
        <f t="shared" si="236"/>
        <v>280</v>
      </c>
    </row>
    <row r="440" spans="1:171" x14ac:dyDescent="0.2">
      <c r="A440" s="454" t="s">
        <v>644</v>
      </c>
      <c r="B440" s="539" t="s">
        <v>687</v>
      </c>
      <c r="C440" s="540"/>
      <c r="D440" s="541">
        <v>207607</v>
      </c>
      <c r="E440" s="531">
        <v>13</v>
      </c>
      <c r="F440" s="532">
        <v>385</v>
      </c>
      <c r="G440" s="450">
        <v>403</v>
      </c>
      <c r="H440" s="457"/>
      <c r="I440" s="450">
        <v>0</v>
      </c>
      <c r="J440" s="457"/>
      <c r="K440" s="742"/>
      <c r="L440" s="458">
        <f t="shared" si="213"/>
        <v>0</v>
      </c>
      <c r="M440" s="449">
        <f t="shared" si="214"/>
        <v>0</v>
      </c>
      <c r="N440" s="459"/>
      <c r="O440" s="459"/>
      <c r="P440" s="459"/>
      <c r="Q440" s="459"/>
      <c r="R440" s="460">
        <f t="shared" si="215"/>
        <v>0</v>
      </c>
      <c r="S440" s="461"/>
      <c r="T440" s="461"/>
      <c r="U440" s="461"/>
      <c r="V440" s="461"/>
      <c r="W440" s="462">
        <f t="shared" si="216"/>
        <v>0</v>
      </c>
      <c r="X440" s="463"/>
      <c r="Y440" s="457"/>
      <c r="Z440" s="464"/>
      <c r="AA440" s="464"/>
      <c r="AB440" s="465"/>
      <c r="AC440" s="457"/>
      <c r="AD440" s="464"/>
      <c r="AE440" s="466"/>
      <c r="AF440" s="465"/>
      <c r="AG440" s="457"/>
      <c r="AH440" s="464"/>
      <c r="AI440" s="466"/>
      <c r="AJ440" s="465"/>
      <c r="AK440" s="457"/>
      <c r="AL440" s="464"/>
      <c r="AM440" s="466"/>
      <c r="AN440" s="465"/>
      <c r="AO440" s="457"/>
      <c r="AP440" s="464"/>
      <c r="AQ440" s="464"/>
      <c r="AR440" s="460">
        <f t="shared" si="217"/>
        <v>0</v>
      </c>
      <c r="AS440" s="467">
        <f t="shared" si="218"/>
        <v>0</v>
      </c>
      <c r="AT440" s="447">
        <f t="shared" si="219"/>
        <v>0</v>
      </c>
      <c r="AU440" s="448">
        <f t="shared" si="220"/>
        <v>0</v>
      </c>
      <c r="AV440" s="457"/>
      <c r="AW440" s="450"/>
      <c r="AX440" s="463"/>
      <c r="AY440" s="457"/>
      <c r="AZ440" s="464"/>
      <c r="BA440" s="464"/>
      <c r="BB440" s="465"/>
      <c r="BC440" s="457"/>
      <c r="BD440" s="464"/>
      <c r="BE440" s="466"/>
      <c r="BF440" s="465"/>
      <c r="BG440" s="457"/>
      <c r="BH440" s="464"/>
      <c r="BI440" s="466"/>
      <c r="BJ440" s="465"/>
      <c r="BK440" s="457"/>
      <c r="BL440" s="464"/>
      <c r="BM440" s="466"/>
      <c r="BN440" s="465"/>
      <c r="BO440" s="457"/>
      <c r="BP440" s="464"/>
      <c r="BQ440" s="466"/>
      <c r="BR440" s="465"/>
      <c r="BS440" s="457"/>
      <c r="BT440" s="464"/>
      <c r="BU440" s="466"/>
      <c r="BV440" s="465"/>
      <c r="BW440" s="457"/>
      <c r="BX440" s="464"/>
      <c r="BY440" s="466"/>
      <c r="BZ440" s="465"/>
      <c r="CA440" s="457"/>
      <c r="CB440" s="464"/>
      <c r="CC440" s="466"/>
      <c r="CD440" s="465"/>
      <c r="CE440" s="457"/>
      <c r="CF440" s="464"/>
      <c r="CG440" s="466"/>
      <c r="CH440" s="465"/>
      <c r="CI440" s="457"/>
      <c r="CJ440" s="464"/>
      <c r="CK440" s="466"/>
      <c r="CL440" s="459"/>
      <c r="CM440" s="450"/>
      <c r="CN440" s="468">
        <f t="shared" si="221"/>
        <v>0</v>
      </c>
      <c r="CO440" s="468">
        <f t="shared" si="222"/>
        <v>0</v>
      </c>
      <c r="CP440" s="469">
        <f t="shared" si="223"/>
        <v>0</v>
      </c>
      <c r="CQ440" s="469">
        <f t="shared" si="224"/>
        <v>0</v>
      </c>
      <c r="CR440" s="463"/>
      <c r="CS440" s="457"/>
      <c r="CT440" s="464"/>
      <c r="CU440" s="464"/>
      <c r="CV440" s="465"/>
      <c r="CW440" s="457"/>
      <c r="CX440" s="464"/>
      <c r="CY440" s="466"/>
      <c r="CZ440" s="465"/>
      <c r="DA440" s="457"/>
      <c r="DB440" s="464"/>
      <c r="DC440" s="466"/>
      <c r="DD440" s="465"/>
      <c r="DE440" s="457"/>
      <c r="DF440" s="464"/>
      <c r="DG440" s="466"/>
      <c r="DH440" s="465"/>
      <c r="DI440" s="457"/>
      <c r="DJ440" s="464"/>
      <c r="DK440" s="466"/>
      <c r="DL440" s="465"/>
      <c r="DM440" s="457"/>
      <c r="DN440" s="464"/>
      <c r="DO440" s="466"/>
      <c r="DP440" s="465"/>
      <c r="DQ440" s="457"/>
      <c r="DR440" s="464"/>
      <c r="DS440" s="466"/>
      <c r="DT440" s="465"/>
      <c r="DU440" s="457"/>
      <c r="DV440" s="464"/>
      <c r="DW440" s="466"/>
      <c r="DX440" s="465"/>
      <c r="DY440" s="457"/>
      <c r="DZ440" s="464"/>
      <c r="EA440" s="466"/>
      <c r="EB440" s="465"/>
      <c r="EC440" s="457"/>
      <c r="ED440" s="464"/>
      <c r="EE440" s="466"/>
      <c r="EF440" s="459"/>
      <c r="EG440" s="450"/>
      <c r="EH440" s="460">
        <f t="shared" si="225"/>
        <v>0</v>
      </c>
      <c r="EI440" s="460">
        <f t="shared" si="226"/>
        <v>0</v>
      </c>
      <c r="EJ440" s="458">
        <f t="shared" si="227"/>
        <v>0</v>
      </c>
      <c r="EK440" s="470">
        <f t="shared" si="228"/>
        <v>0</v>
      </c>
      <c r="EL440" s="470">
        <f t="shared" si="229"/>
        <v>0</v>
      </c>
      <c r="EM440" s="449">
        <f t="shared" si="230"/>
        <v>0</v>
      </c>
      <c r="EN440" s="460">
        <f t="shared" si="231"/>
        <v>0</v>
      </c>
      <c r="EO440" s="469">
        <f t="shared" si="232"/>
        <v>0</v>
      </c>
      <c r="EP440" s="471"/>
      <c r="EQ440" s="450"/>
      <c r="ER440" s="471"/>
      <c r="ES440" s="450"/>
      <c r="ET440" s="471"/>
      <c r="EU440" s="450"/>
      <c r="EV440" s="471"/>
      <c r="EW440" s="450"/>
      <c r="EX440" s="471"/>
      <c r="EY440" s="450"/>
      <c r="EZ440" s="471"/>
      <c r="FA440" s="450"/>
      <c r="FB440" s="471"/>
      <c r="FC440" s="450"/>
      <c r="FD440" s="471"/>
      <c r="FE440" s="450"/>
      <c r="FF440" s="471"/>
      <c r="FG440" s="450"/>
      <c r="FH440" s="472"/>
      <c r="FI440" s="450"/>
      <c r="FJ440" s="468">
        <f t="shared" si="233"/>
        <v>0</v>
      </c>
      <c r="FK440" s="469">
        <f t="shared" si="234"/>
        <v>0</v>
      </c>
      <c r="FL440" s="472"/>
      <c r="FM440" s="450"/>
      <c r="FN440" s="460">
        <f t="shared" si="235"/>
        <v>385</v>
      </c>
      <c r="FO440" s="469">
        <f t="shared" si="236"/>
        <v>403</v>
      </c>
    </row>
    <row r="441" spans="1:171" x14ac:dyDescent="0.2">
      <c r="A441" s="454" t="s">
        <v>644</v>
      </c>
      <c r="B441" s="455" t="s">
        <v>688</v>
      </c>
      <c r="C441" s="506"/>
      <c r="D441" s="541">
        <v>261393</v>
      </c>
      <c r="E441" s="507">
        <v>13</v>
      </c>
      <c r="F441" s="532">
        <v>521</v>
      </c>
      <c r="G441" s="450">
        <v>694</v>
      </c>
      <c r="H441" s="457"/>
      <c r="I441" s="450">
        <v>0</v>
      </c>
      <c r="J441" s="457"/>
      <c r="K441" s="742"/>
      <c r="L441" s="458">
        <f t="shared" si="213"/>
        <v>0</v>
      </c>
      <c r="M441" s="449">
        <f t="shared" si="214"/>
        <v>0</v>
      </c>
      <c r="N441" s="459"/>
      <c r="O441" s="459"/>
      <c r="P441" s="459"/>
      <c r="Q441" s="459"/>
      <c r="R441" s="460">
        <f t="shared" si="215"/>
        <v>0</v>
      </c>
      <c r="S441" s="461"/>
      <c r="T441" s="461"/>
      <c r="U441" s="461"/>
      <c r="V441" s="461"/>
      <c r="W441" s="462">
        <f t="shared" si="216"/>
        <v>0</v>
      </c>
      <c r="X441" s="463"/>
      <c r="Y441" s="457"/>
      <c r="Z441" s="464"/>
      <c r="AA441" s="464"/>
      <c r="AB441" s="465"/>
      <c r="AC441" s="457"/>
      <c r="AD441" s="464"/>
      <c r="AE441" s="466"/>
      <c r="AF441" s="465"/>
      <c r="AG441" s="457"/>
      <c r="AH441" s="464"/>
      <c r="AI441" s="466"/>
      <c r="AJ441" s="465"/>
      <c r="AK441" s="457"/>
      <c r="AL441" s="464"/>
      <c r="AM441" s="466"/>
      <c r="AN441" s="465"/>
      <c r="AO441" s="457"/>
      <c r="AP441" s="464"/>
      <c r="AQ441" s="464"/>
      <c r="AR441" s="460">
        <f t="shared" si="217"/>
        <v>0</v>
      </c>
      <c r="AS441" s="467">
        <f t="shared" si="218"/>
        <v>0</v>
      </c>
      <c r="AT441" s="447">
        <f t="shared" si="219"/>
        <v>0</v>
      </c>
      <c r="AU441" s="448">
        <f t="shared" si="220"/>
        <v>0</v>
      </c>
      <c r="AV441" s="457"/>
      <c r="AW441" s="450"/>
      <c r="AX441" s="463"/>
      <c r="AY441" s="457"/>
      <c r="AZ441" s="464"/>
      <c r="BA441" s="464"/>
      <c r="BB441" s="465"/>
      <c r="BC441" s="457"/>
      <c r="BD441" s="464"/>
      <c r="BE441" s="466"/>
      <c r="BF441" s="465"/>
      <c r="BG441" s="457"/>
      <c r="BH441" s="464"/>
      <c r="BI441" s="466"/>
      <c r="BJ441" s="465"/>
      <c r="BK441" s="457"/>
      <c r="BL441" s="464"/>
      <c r="BM441" s="466"/>
      <c r="BN441" s="465"/>
      <c r="BO441" s="457"/>
      <c r="BP441" s="464"/>
      <c r="BQ441" s="466"/>
      <c r="BR441" s="465"/>
      <c r="BS441" s="457"/>
      <c r="BT441" s="464"/>
      <c r="BU441" s="466"/>
      <c r="BV441" s="465"/>
      <c r="BW441" s="457"/>
      <c r="BX441" s="464"/>
      <c r="BY441" s="466"/>
      <c r="BZ441" s="465"/>
      <c r="CA441" s="457"/>
      <c r="CB441" s="464"/>
      <c r="CC441" s="466"/>
      <c r="CD441" s="465"/>
      <c r="CE441" s="457"/>
      <c r="CF441" s="464"/>
      <c r="CG441" s="466"/>
      <c r="CH441" s="465"/>
      <c r="CI441" s="457"/>
      <c r="CJ441" s="464"/>
      <c r="CK441" s="466"/>
      <c r="CL441" s="459"/>
      <c r="CM441" s="450"/>
      <c r="CN441" s="468">
        <f t="shared" si="221"/>
        <v>0</v>
      </c>
      <c r="CO441" s="468">
        <f t="shared" si="222"/>
        <v>0</v>
      </c>
      <c r="CP441" s="469">
        <f t="shared" si="223"/>
        <v>0</v>
      </c>
      <c r="CQ441" s="469">
        <f t="shared" si="224"/>
        <v>0</v>
      </c>
      <c r="CR441" s="463"/>
      <c r="CS441" s="457"/>
      <c r="CT441" s="464"/>
      <c r="CU441" s="464"/>
      <c r="CV441" s="465"/>
      <c r="CW441" s="457"/>
      <c r="CX441" s="464"/>
      <c r="CY441" s="466"/>
      <c r="CZ441" s="465"/>
      <c r="DA441" s="457"/>
      <c r="DB441" s="464"/>
      <c r="DC441" s="466"/>
      <c r="DD441" s="465"/>
      <c r="DE441" s="457"/>
      <c r="DF441" s="464"/>
      <c r="DG441" s="466"/>
      <c r="DH441" s="465"/>
      <c r="DI441" s="457"/>
      <c r="DJ441" s="464"/>
      <c r="DK441" s="466"/>
      <c r="DL441" s="465"/>
      <c r="DM441" s="457"/>
      <c r="DN441" s="464"/>
      <c r="DO441" s="466"/>
      <c r="DP441" s="465"/>
      <c r="DQ441" s="457"/>
      <c r="DR441" s="464"/>
      <c r="DS441" s="466"/>
      <c r="DT441" s="465"/>
      <c r="DU441" s="457"/>
      <c r="DV441" s="464"/>
      <c r="DW441" s="466"/>
      <c r="DX441" s="465"/>
      <c r="DY441" s="457"/>
      <c r="DZ441" s="464"/>
      <c r="EA441" s="466"/>
      <c r="EB441" s="465"/>
      <c r="EC441" s="457"/>
      <c r="ED441" s="464"/>
      <c r="EE441" s="466"/>
      <c r="EF441" s="459"/>
      <c r="EG441" s="450"/>
      <c r="EH441" s="460">
        <f t="shared" si="225"/>
        <v>0</v>
      </c>
      <c r="EI441" s="460">
        <f t="shared" si="226"/>
        <v>0</v>
      </c>
      <c r="EJ441" s="458">
        <f t="shared" si="227"/>
        <v>0</v>
      </c>
      <c r="EK441" s="470">
        <f t="shared" si="228"/>
        <v>0</v>
      </c>
      <c r="EL441" s="470">
        <f t="shared" si="229"/>
        <v>0</v>
      </c>
      <c r="EM441" s="449">
        <f t="shared" si="230"/>
        <v>0</v>
      </c>
      <c r="EN441" s="460">
        <f t="shared" si="231"/>
        <v>0</v>
      </c>
      <c r="EO441" s="469">
        <f t="shared" si="232"/>
        <v>0</v>
      </c>
      <c r="EP441" s="471"/>
      <c r="EQ441" s="450"/>
      <c r="ER441" s="471"/>
      <c r="ES441" s="450"/>
      <c r="ET441" s="471"/>
      <c r="EU441" s="450"/>
      <c r="EV441" s="471"/>
      <c r="EW441" s="450"/>
      <c r="EX441" s="471"/>
      <c r="EY441" s="450"/>
      <c r="EZ441" s="471"/>
      <c r="FA441" s="450"/>
      <c r="FB441" s="471"/>
      <c r="FC441" s="450"/>
      <c r="FD441" s="471"/>
      <c r="FE441" s="450"/>
      <c r="FF441" s="471"/>
      <c r="FG441" s="450"/>
      <c r="FH441" s="472"/>
      <c r="FI441" s="450"/>
      <c r="FJ441" s="468">
        <f t="shared" si="233"/>
        <v>0</v>
      </c>
      <c r="FK441" s="469">
        <f t="shared" si="234"/>
        <v>0</v>
      </c>
      <c r="FL441" s="472"/>
      <c r="FM441" s="450"/>
      <c r="FN441" s="460">
        <f t="shared" si="235"/>
        <v>521</v>
      </c>
      <c r="FO441" s="469">
        <f t="shared" si="236"/>
        <v>694</v>
      </c>
    </row>
    <row r="442" spans="1:171" x14ac:dyDescent="0.2">
      <c r="A442" s="454" t="s">
        <v>644</v>
      </c>
      <c r="B442" s="539" t="s">
        <v>689</v>
      </c>
      <c r="C442" s="540"/>
      <c r="D442" s="541">
        <v>261375</v>
      </c>
      <c r="E442" s="531">
        <v>13</v>
      </c>
      <c r="F442" s="532">
        <v>857</v>
      </c>
      <c r="G442" s="450">
        <v>815</v>
      </c>
      <c r="H442" s="457">
        <v>16</v>
      </c>
      <c r="I442" s="450">
        <v>16</v>
      </c>
      <c r="J442" s="457"/>
      <c r="K442" s="742"/>
      <c r="L442" s="458">
        <f t="shared" si="213"/>
        <v>0</v>
      </c>
      <c r="M442" s="449">
        <f t="shared" si="214"/>
        <v>0</v>
      </c>
      <c r="N442" s="459"/>
      <c r="O442" s="459"/>
      <c r="P442" s="459"/>
      <c r="Q442" s="459"/>
      <c r="R442" s="460">
        <f t="shared" si="215"/>
        <v>0</v>
      </c>
      <c r="S442" s="461"/>
      <c r="T442" s="461"/>
      <c r="U442" s="461"/>
      <c r="V442" s="461"/>
      <c r="W442" s="462">
        <f t="shared" si="216"/>
        <v>0</v>
      </c>
      <c r="X442" s="463"/>
      <c r="Y442" s="457"/>
      <c r="Z442" s="464"/>
      <c r="AA442" s="464"/>
      <c r="AB442" s="465"/>
      <c r="AC442" s="457"/>
      <c r="AD442" s="464"/>
      <c r="AE442" s="466"/>
      <c r="AF442" s="465"/>
      <c r="AG442" s="457"/>
      <c r="AH442" s="464"/>
      <c r="AI442" s="466"/>
      <c r="AJ442" s="465"/>
      <c r="AK442" s="457"/>
      <c r="AL442" s="464"/>
      <c r="AM442" s="466"/>
      <c r="AN442" s="465"/>
      <c r="AO442" s="457"/>
      <c r="AP442" s="464"/>
      <c r="AQ442" s="464"/>
      <c r="AR442" s="460">
        <f t="shared" si="217"/>
        <v>0</v>
      </c>
      <c r="AS442" s="467">
        <f t="shared" si="218"/>
        <v>0</v>
      </c>
      <c r="AT442" s="447">
        <f t="shared" si="219"/>
        <v>0</v>
      </c>
      <c r="AU442" s="448">
        <f t="shared" si="220"/>
        <v>0</v>
      </c>
      <c r="AV442" s="457"/>
      <c r="AW442" s="450"/>
      <c r="AX442" s="463"/>
      <c r="AY442" s="457"/>
      <c r="AZ442" s="464"/>
      <c r="BA442" s="464"/>
      <c r="BB442" s="465"/>
      <c r="BC442" s="457"/>
      <c r="BD442" s="464"/>
      <c r="BE442" s="466"/>
      <c r="BF442" s="465"/>
      <c r="BG442" s="457"/>
      <c r="BH442" s="464"/>
      <c r="BI442" s="466"/>
      <c r="BJ442" s="465"/>
      <c r="BK442" s="457"/>
      <c r="BL442" s="464"/>
      <c r="BM442" s="466"/>
      <c r="BN442" s="465"/>
      <c r="BO442" s="457"/>
      <c r="BP442" s="464"/>
      <c r="BQ442" s="466"/>
      <c r="BR442" s="465"/>
      <c r="BS442" s="457"/>
      <c r="BT442" s="464"/>
      <c r="BU442" s="466"/>
      <c r="BV442" s="465"/>
      <c r="BW442" s="457"/>
      <c r="BX442" s="464"/>
      <c r="BY442" s="466"/>
      <c r="BZ442" s="465"/>
      <c r="CA442" s="457"/>
      <c r="CB442" s="464"/>
      <c r="CC442" s="466"/>
      <c r="CD442" s="465"/>
      <c r="CE442" s="457"/>
      <c r="CF442" s="464"/>
      <c r="CG442" s="466"/>
      <c r="CH442" s="465"/>
      <c r="CI442" s="457"/>
      <c r="CJ442" s="464"/>
      <c r="CK442" s="466"/>
      <c r="CL442" s="459"/>
      <c r="CM442" s="450"/>
      <c r="CN442" s="468">
        <f t="shared" si="221"/>
        <v>0</v>
      </c>
      <c r="CO442" s="468">
        <f t="shared" si="222"/>
        <v>0</v>
      </c>
      <c r="CP442" s="469">
        <f t="shared" si="223"/>
        <v>0</v>
      </c>
      <c r="CQ442" s="469">
        <f t="shared" si="224"/>
        <v>0</v>
      </c>
      <c r="CR442" s="463"/>
      <c r="CS442" s="457"/>
      <c r="CT442" s="464"/>
      <c r="CU442" s="464"/>
      <c r="CV442" s="465"/>
      <c r="CW442" s="457"/>
      <c r="CX442" s="464"/>
      <c r="CY442" s="466"/>
      <c r="CZ442" s="465"/>
      <c r="DA442" s="457"/>
      <c r="DB442" s="464"/>
      <c r="DC442" s="466"/>
      <c r="DD442" s="465"/>
      <c r="DE442" s="457"/>
      <c r="DF442" s="464"/>
      <c r="DG442" s="466"/>
      <c r="DH442" s="465"/>
      <c r="DI442" s="457"/>
      <c r="DJ442" s="464"/>
      <c r="DK442" s="466"/>
      <c r="DL442" s="465"/>
      <c r="DM442" s="457"/>
      <c r="DN442" s="464"/>
      <c r="DO442" s="466"/>
      <c r="DP442" s="465"/>
      <c r="DQ442" s="457"/>
      <c r="DR442" s="464"/>
      <c r="DS442" s="466"/>
      <c r="DT442" s="465"/>
      <c r="DU442" s="457"/>
      <c r="DV442" s="464"/>
      <c r="DW442" s="466"/>
      <c r="DX442" s="465"/>
      <c r="DY442" s="457"/>
      <c r="DZ442" s="464"/>
      <c r="EA442" s="466"/>
      <c r="EB442" s="465"/>
      <c r="EC442" s="457"/>
      <c r="ED442" s="464"/>
      <c r="EE442" s="466"/>
      <c r="EF442" s="459"/>
      <c r="EG442" s="450"/>
      <c r="EH442" s="460">
        <f t="shared" si="225"/>
        <v>0</v>
      </c>
      <c r="EI442" s="460">
        <f t="shared" si="226"/>
        <v>0</v>
      </c>
      <c r="EJ442" s="458">
        <f t="shared" si="227"/>
        <v>0</v>
      </c>
      <c r="EK442" s="470">
        <f t="shared" si="228"/>
        <v>0</v>
      </c>
      <c r="EL442" s="470">
        <f t="shared" si="229"/>
        <v>0</v>
      </c>
      <c r="EM442" s="449">
        <f t="shared" si="230"/>
        <v>0</v>
      </c>
      <c r="EN442" s="460">
        <f t="shared" si="231"/>
        <v>0</v>
      </c>
      <c r="EO442" s="469">
        <f t="shared" si="232"/>
        <v>0</v>
      </c>
      <c r="EP442" s="471"/>
      <c r="EQ442" s="450"/>
      <c r="ER442" s="471"/>
      <c r="ES442" s="450"/>
      <c r="ET442" s="471"/>
      <c r="EU442" s="450"/>
      <c r="EV442" s="471"/>
      <c r="EW442" s="450"/>
      <c r="EX442" s="471"/>
      <c r="EY442" s="450"/>
      <c r="EZ442" s="471"/>
      <c r="FA442" s="450"/>
      <c r="FB442" s="471"/>
      <c r="FC442" s="450"/>
      <c r="FD442" s="471"/>
      <c r="FE442" s="450"/>
      <c r="FF442" s="471"/>
      <c r="FG442" s="450"/>
      <c r="FH442" s="472"/>
      <c r="FI442" s="450"/>
      <c r="FJ442" s="468">
        <f t="shared" si="233"/>
        <v>0</v>
      </c>
      <c r="FK442" s="469">
        <f t="shared" si="234"/>
        <v>0</v>
      </c>
      <c r="FL442" s="472"/>
      <c r="FM442" s="450"/>
      <c r="FN442" s="460">
        <f t="shared" si="235"/>
        <v>873</v>
      </c>
      <c r="FO442" s="469">
        <f t="shared" si="236"/>
        <v>831</v>
      </c>
    </row>
    <row r="443" spans="1:171" x14ac:dyDescent="0.2">
      <c r="A443" s="454" t="s">
        <v>644</v>
      </c>
      <c r="B443" s="539" t="s">
        <v>690</v>
      </c>
      <c r="C443" s="540"/>
      <c r="D443" s="541">
        <v>261384</v>
      </c>
      <c r="E443" s="531">
        <v>13</v>
      </c>
      <c r="F443" s="532">
        <v>326</v>
      </c>
      <c r="G443" s="450">
        <v>345</v>
      </c>
      <c r="H443" s="457">
        <v>36</v>
      </c>
      <c r="I443" s="450">
        <v>38</v>
      </c>
      <c r="J443" s="457"/>
      <c r="K443" s="742"/>
      <c r="L443" s="458">
        <f t="shared" si="213"/>
        <v>0</v>
      </c>
      <c r="M443" s="449">
        <f t="shared" si="214"/>
        <v>0</v>
      </c>
      <c r="N443" s="459"/>
      <c r="O443" s="459"/>
      <c r="P443" s="459"/>
      <c r="Q443" s="459"/>
      <c r="R443" s="460">
        <f t="shared" si="215"/>
        <v>0</v>
      </c>
      <c r="S443" s="461"/>
      <c r="T443" s="461"/>
      <c r="U443" s="461"/>
      <c r="V443" s="461"/>
      <c r="W443" s="462">
        <f t="shared" si="216"/>
        <v>0</v>
      </c>
      <c r="X443" s="463"/>
      <c r="Y443" s="457"/>
      <c r="Z443" s="464"/>
      <c r="AA443" s="464"/>
      <c r="AB443" s="465"/>
      <c r="AC443" s="457"/>
      <c r="AD443" s="464"/>
      <c r="AE443" s="466"/>
      <c r="AF443" s="465"/>
      <c r="AG443" s="457"/>
      <c r="AH443" s="464"/>
      <c r="AI443" s="466"/>
      <c r="AJ443" s="465"/>
      <c r="AK443" s="457"/>
      <c r="AL443" s="464"/>
      <c r="AM443" s="466"/>
      <c r="AN443" s="465"/>
      <c r="AO443" s="457"/>
      <c r="AP443" s="464"/>
      <c r="AQ443" s="464"/>
      <c r="AR443" s="460">
        <f t="shared" si="217"/>
        <v>0</v>
      </c>
      <c r="AS443" s="467">
        <f t="shared" si="218"/>
        <v>0</v>
      </c>
      <c r="AT443" s="447">
        <f t="shared" si="219"/>
        <v>0</v>
      </c>
      <c r="AU443" s="448">
        <f t="shared" si="220"/>
        <v>0</v>
      </c>
      <c r="AV443" s="457"/>
      <c r="AW443" s="450"/>
      <c r="AX443" s="463"/>
      <c r="AY443" s="457"/>
      <c r="AZ443" s="464"/>
      <c r="BA443" s="464"/>
      <c r="BB443" s="465"/>
      <c r="BC443" s="457"/>
      <c r="BD443" s="464"/>
      <c r="BE443" s="466"/>
      <c r="BF443" s="465"/>
      <c r="BG443" s="457"/>
      <c r="BH443" s="464"/>
      <c r="BI443" s="466"/>
      <c r="BJ443" s="465"/>
      <c r="BK443" s="457"/>
      <c r="BL443" s="464"/>
      <c r="BM443" s="466"/>
      <c r="BN443" s="465"/>
      <c r="BO443" s="457"/>
      <c r="BP443" s="464"/>
      <c r="BQ443" s="466"/>
      <c r="BR443" s="465"/>
      <c r="BS443" s="457"/>
      <c r="BT443" s="464"/>
      <c r="BU443" s="466"/>
      <c r="BV443" s="465"/>
      <c r="BW443" s="457"/>
      <c r="BX443" s="464"/>
      <c r="BY443" s="466"/>
      <c r="BZ443" s="465"/>
      <c r="CA443" s="457"/>
      <c r="CB443" s="464"/>
      <c r="CC443" s="466"/>
      <c r="CD443" s="465"/>
      <c r="CE443" s="457"/>
      <c r="CF443" s="464"/>
      <c r="CG443" s="466"/>
      <c r="CH443" s="465"/>
      <c r="CI443" s="457"/>
      <c r="CJ443" s="464"/>
      <c r="CK443" s="466"/>
      <c r="CL443" s="459"/>
      <c r="CM443" s="450"/>
      <c r="CN443" s="468">
        <f t="shared" si="221"/>
        <v>0</v>
      </c>
      <c r="CO443" s="468">
        <f t="shared" si="222"/>
        <v>0</v>
      </c>
      <c r="CP443" s="469">
        <f t="shared" si="223"/>
        <v>0</v>
      </c>
      <c r="CQ443" s="469">
        <f t="shared" si="224"/>
        <v>0</v>
      </c>
      <c r="CR443" s="463"/>
      <c r="CS443" s="457"/>
      <c r="CT443" s="464"/>
      <c r="CU443" s="464"/>
      <c r="CV443" s="465"/>
      <c r="CW443" s="457"/>
      <c r="CX443" s="464"/>
      <c r="CY443" s="466"/>
      <c r="CZ443" s="465"/>
      <c r="DA443" s="457"/>
      <c r="DB443" s="464"/>
      <c r="DC443" s="466"/>
      <c r="DD443" s="465"/>
      <c r="DE443" s="457"/>
      <c r="DF443" s="464"/>
      <c r="DG443" s="466"/>
      <c r="DH443" s="465"/>
      <c r="DI443" s="457"/>
      <c r="DJ443" s="464"/>
      <c r="DK443" s="466"/>
      <c r="DL443" s="465"/>
      <c r="DM443" s="457"/>
      <c r="DN443" s="464"/>
      <c r="DO443" s="466"/>
      <c r="DP443" s="465"/>
      <c r="DQ443" s="457"/>
      <c r="DR443" s="464"/>
      <c r="DS443" s="466"/>
      <c r="DT443" s="465"/>
      <c r="DU443" s="457"/>
      <c r="DV443" s="464"/>
      <c r="DW443" s="466"/>
      <c r="DX443" s="465"/>
      <c r="DY443" s="457"/>
      <c r="DZ443" s="464"/>
      <c r="EA443" s="466"/>
      <c r="EB443" s="465"/>
      <c r="EC443" s="457"/>
      <c r="ED443" s="464"/>
      <c r="EE443" s="466"/>
      <c r="EF443" s="459"/>
      <c r="EG443" s="450"/>
      <c r="EH443" s="460">
        <f t="shared" si="225"/>
        <v>0</v>
      </c>
      <c r="EI443" s="460">
        <f t="shared" si="226"/>
        <v>0</v>
      </c>
      <c r="EJ443" s="458">
        <f t="shared" si="227"/>
        <v>0</v>
      </c>
      <c r="EK443" s="470">
        <f t="shared" si="228"/>
        <v>0</v>
      </c>
      <c r="EL443" s="470">
        <f t="shared" si="229"/>
        <v>0</v>
      </c>
      <c r="EM443" s="449">
        <f t="shared" si="230"/>
        <v>0</v>
      </c>
      <c r="EN443" s="460">
        <f t="shared" si="231"/>
        <v>0</v>
      </c>
      <c r="EO443" s="469">
        <f t="shared" si="232"/>
        <v>0</v>
      </c>
      <c r="EP443" s="471"/>
      <c r="EQ443" s="450"/>
      <c r="ER443" s="471"/>
      <c r="ES443" s="450"/>
      <c r="ET443" s="471"/>
      <c r="EU443" s="450"/>
      <c r="EV443" s="471"/>
      <c r="EW443" s="450"/>
      <c r="EX443" s="471"/>
      <c r="EY443" s="450"/>
      <c r="EZ443" s="471"/>
      <c r="FA443" s="450"/>
      <c r="FB443" s="471"/>
      <c r="FC443" s="450"/>
      <c r="FD443" s="471"/>
      <c r="FE443" s="450"/>
      <c r="FF443" s="471"/>
      <c r="FG443" s="450"/>
      <c r="FH443" s="472"/>
      <c r="FI443" s="450"/>
      <c r="FJ443" s="468">
        <f t="shared" si="233"/>
        <v>0</v>
      </c>
      <c r="FK443" s="469">
        <f t="shared" si="234"/>
        <v>0</v>
      </c>
      <c r="FL443" s="472"/>
      <c r="FM443" s="450"/>
      <c r="FN443" s="460">
        <f t="shared" si="235"/>
        <v>362</v>
      </c>
      <c r="FO443" s="469">
        <f t="shared" si="236"/>
        <v>383</v>
      </c>
    </row>
    <row r="444" spans="1:171" x14ac:dyDescent="0.2">
      <c r="A444" s="454" t="s">
        <v>644</v>
      </c>
      <c r="B444" s="539" t="s">
        <v>691</v>
      </c>
      <c r="C444" s="540"/>
      <c r="D444" s="541">
        <v>418357</v>
      </c>
      <c r="E444" s="531">
        <v>13</v>
      </c>
      <c r="F444" s="532">
        <v>105</v>
      </c>
      <c r="G444" s="450">
        <v>125</v>
      </c>
      <c r="H444" s="457"/>
      <c r="I444" s="450">
        <v>0</v>
      </c>
      <c r="J444" s="457"/>
      <c r="K444" s="742"/>
      <c r="L444" s="458">
        <f t="shared" si="213"/>
        <v>0</v>
      </c>
      <c r="M444" s="449">
        <f t="shared" si="214"/>
        <v>0</v>
      </c>
      <c r="N444" s="459"/>
      <c r="O444" s="459"/>
      <c r="P444" s="459"/>
      <c r="Q444" s="459"/>
      <c r="R444" s="460">
        <f t="shared" si="215"/>
        <v>0</v>
      </c>
      <c r="S444" s="461"/>
      <c r="T444" s="461"/>
      <c r="U444" s="461"/>
      <c r="V444" s="461"/>
      <c r="W444" s="462">
        <f t="shared" si="216"/>
        <v>0</v>
      </c>
      <c r="X444" s="463"/>
      <c r="Y444" s="457"/>
      <c r="Z444" s="464"/>
      <c r="AA444" s="464"/>
      <c r="AB444" s="465"/>
      <c r="AC444" s="457"/>
      <c r="AD444" s="464"/>
      <c r="AE444" s="466"/>
      <c r="AF444" s="465"/>
      <c r="AG444" s="457"/>
      <c r="AH444" s="464"/>
      <c r="AI444" s="466"/>
      <c r="AJ444" s="465"/>
      <c r="AK444" s="457"/>
      <c r="AL444" s="464"/>
      <c r="AM444" s="466"/>
      <c r="AN444" s="465"/>
      <c r="AO444" s="457"/>
      <c r="AP444" s="464"/>
      <c r="AQ444" s="464"/>
      <c r="AR444" s="460">
        <f t="shared" si="217"/>
        <v>0</v>
      </c>
      <c r="AS444" s="467">
        <f t="shared" si="218"/>
        <v>0</v>
      </c>
      <c r="AT444" s="447">
        <f t="shared" si="219"/>
        <v>0</v>
      </c>
      <c r="AU444" s="448">
        <f t="shared" si="220"/>
        <v>0</v>
      </c>
      <c r="AV444" s="457"/>
      <c r="AW444" s="450"/>
      <c r="AX444" s="463"/>
      <c r="AY444" s="457"/>
      <c r="AZ444" s="464"/>
      <c r="BA444" s="464"/>
      <c r="BB444" s="465"/>
      <c r="BC444" s="457"/>
      <c r="BD444" s="464"/>
      <c r="BE444" s="466"/>
      <c r="BF444" s="465"/>
      <c r="BG444" s="457"/>
      <c r="BH444" s="464"/>
      <c r="BI444" s="466"/>
      <c r="BJ444" s="465"/>
      <c r="BK444" s="457"/>
      <c r="BL444" s="464"/>
      <c r="BM444" s="466"/>
      <c r="BN444" s="465"/>
      <c r="BO444" s="457"/>
      <c r="BP444" s="464"/>
      <c r="BQ444" s="466"/>
      <c r="BR444" s="465"/>
      <c r="BS444" s="457"/>
      <c r="BT444" s="464"/>
      <c r="BU444" s="466"/>
      <c r="BV444" s="465"/>
      <c r="BW444" s="457"/>
      <c r="BX444" s="464"/>
      <c r="BY444" s="466"/>
      <c r="BZ444" s="465"/>
      <c r="CA444" s="457"/>
      <c r="CB444" s="464"/>
      <c r="CC444" s="466"/>
      <c r="CD444" s="465"/>
      <c r="CE444" s="457"/>
      <c r="CF444" s="464"/>
      <c r="CG444" s="466"/>
      <c r="CH444" s="465"/>
      <c r="CI444" s="457"/>
      <c r="CJ444" s="464"/>
      <c r="CK444" s="466"/>
      <c r="CL444" s="459"/>
      <c r="CM444" s="450"/>
      <c r="CN444" s="468">
        <f t="shared" si="221"/>
        <v>0</v>
      </c>
      <c r="CO444" s="468">
        <f t="shared" si="222"/>
        <v>0</v>
      </c>
      <c r="CP444" s="469">
        <f t="shared" si="223"/>
        <v>0</v>
      </c>
      <c r="CQ444" s="469">
        <f t="shared" si="224"/>
        <v>0</v>
      </c>
      <c r="CR444" s="463"/>
      <c r="CS444" s="457"/>
      <c r="CT444" s="464"/>
      <c r="CU444" s="464"/>
      <c r="CV444" s="465"/>
      <c r="CW444" s="457"/>
      <c r="CX444" s="464"/>
      <c r="CY444" s="466"/>
      <c r="CZ444" s="465"/>
      <c r="DA444" s="457"/>
      <c r="DB444" s="464"/>
      <c r="DC444" s="466"/>
      <c r="DD444" s="465"/>
      <c r="DE444" s="457"/>
      <c r="DF444" s="464"/>
      <c r="DG444" s="466"/>
      <c r="DH444" s="465"/>
      <c r="DI444" s="457"/>
      <c r="DJ444" s="464"/>
      <c r="DK444" s="466"/>
      <c r="DL444" s="465"/>
      <c r="DM444" s="457"/>
      <c r="DN444" s="464"/>
      <c r="DO444" s="466"/>
      <c r="DP444" s="465"/>
      <c r="DQ444" s="457"/>
      <c r="DR444" s="464"/>
      <c r="DS444" s="466"/>
      <c r="DT444" s="465"/>
      <c r="DU444" s="457"/>
      <c r="DV444" s="464"/>
      <c r="DW444" s="466"/>
      <c r="DX444" s="465"/>
      <c r="DY444" s="457"/>
      <c r="DZ444" s="464"/>
      <c r="EA444" s="466"/>
      <c r="EB444" s="465"/>
      <c r="EC444" s="457"/>
      <c r="ED444" s="464"/>
      <c r="EE444" s="466"/>
      <c r="EF444" s="459"/>
      <c r="EG444" s="450"/>
      <c r="EH444" s="460">
        <f t="shared" si="225"/>
        <v>0</v>
      </c>
      <c r="EI444" s="460">
        <f t="shared" si="226"/>
        <v>0</v>
      </c>
      <c r="EJ444" s="458">
        <f t="shared" si="227"/>
        <v>0</v>
      </c>
      <c r="EK444" s="470">
        <f t="shared" si="228"/>
        <v>0</v>
      </c>
      <c r="EL444" s="470">
        <f t="shared" si="229"/>
        <v>0</v>
      </c>
      <c r="EM444" s="449">
        <f t="shared" si="230"/>
        <v>0</v>
      </c>
      <c r="EN444" s="460">
        <f t="shared" si="231"/>
        <v>0</v>
      </c>
      <c r="EO444" s="469">
        <f t="shared" si="232"/>
        <v>0</v>
      </c>
      <c r="EP444" s="471"/>
      <c r="EQ444" s="450"/>
      <c r="ER444" s="471"/>
      <c r="ES444" s="450"/>
      <c r="ET444" s="471"/>
      <c r="EU444" s="450"/>
      <c r="EV444" s="471"/>
      <c r="EW444" s="450"/>
      <c r="EX444" s="471"/>
      <c r="EY444" s="450"/>
      <c r="EZ444" s="471"/>
      <c r="FA444" s="450"/>
      <c r="FB444" s="471"/>
      <c r="FC444" s="450"/>
      <c r="FD444" s="471"/>
      <c r="FE444" s="450"/>
      <c r="FF444" s="471"/>
      <c r="FG444" s="450"/>
      <c r="FH444" s="472"/>
      <c r="FI444" s="450"/>
      <c r="FJ444" s="468">
        <f t="shared" si="233"/>
        <v>0</v>
      </c>
      <c r="FK444" s="469">
        <f t="shared" si="234"/>
        <v>0</v>
      </c>
      <c r="FL444" s="472"/>
      <c r="FM444" s="450"/>
      <c r="FN444" s="460">
        <f t="shared" si="235"/>
        <v>105</v>
      </c>
      <c r="FO444" s="469">
        <f t="shared" si="236"/>
        <v>125</v>
      </c>
    </row>
    <row r="445" spans="1:171" x14ac:dyDescent="0.2">
      <c r="A445" s="454" t="s">
        <v>644</v>
      </c>
      <c r="B445" s="539" t="s">
        <v>692</v>
      </c>
      <c r="C445" s="540"/>
      <c r="D445" s="541">
        <v>418302</v>
      </c>
      <c r="E445" s="531">
        <v>13</v>
      </c>
      <c r="F445" s="532">
        <v>223</v>
      </c>
      <c r="G445" s="450">
        <v>211</v>
      </c>
      <c r="H445" s="457">
        <v>5</v>
      </c>
      <c r="I445" s="450">
        <v>5</v>
      </c>
      <c r="J445" s="457"/>
      <c r="K445" s="742"/>
      <c r="L445" s="458">
        <f t="shared" si="213"/>
        <v>0</v>
      </c>
      <c r="M445" s="449">
        <f t="shared" si="214"/>
        <v>0</v>
      </c>
      <c r="N445" s="459"/>
      <c r="O445" s="459"/>
      <c r="P445" s="459"/>
      <c r="Q445" s="459"/>
      <c r="R445" s="460">
        <f t="shared" si="215"/>
        <v>0</v>
      </c>
      <c r="S445" s="461"/>
      <c r="T445" s="461"/>
      <c r="U445" s="461"/>
      <c r="V445" s="461"/>
      <c r="W445" s="462">
        <f t="shared" si="216"/>
        <v>0</v>
      </c>
      <c r="X445" s="463"/>
      <c r="Y445" s="457"/>
      <c r="Z445" s="464"/>
      <c r="AA445" s="464"/>
      <c r="AB445" s="465"/>
      <c r="AC445" s="457"/>
      <c r="AD445" s="464"/>
      <c r="AE445" s="466"/>
      <c r="AF445" s="465"/>
      <c r="AG445" s="457"/>
      <c r="AH445" s="464"/>
      <c r="AI445" s="466"/>
      <c r="AJ445" s="465"/>
      <c r="AK445" s="457"/>
      <c r="AL445" s="464"/>
      <c r="AM445" s="466"/>
      <c r="AN445" s="465"/>
      <c r="AO445" s="457"/>
      <c r="AP445" s="464"/>
      <c r="AQ445" s="464"/>
      <c r="AR445" s="460">
        <f t="shared" si="217"/>
        <v>0</v>
      </c>
      <c r="AS445" s="467">
        <f t="shared" si="218"/>
        <v>0</v>
      </c>
      <c r="AT445" s="447">
        <f t="shared" si="219"/>
        <v>0</v>
      </c>
      <c r="AU445" s="448">
        <f t="shared" si="220"/>
        <v>0</v>
      </c>
      <c r="AV445" s="457"/>
      <c r="AW445" s="450"/>
      <c r="AX445" s="463"/>
      <c r="AY445" s="457"/>
      <c r="AZ445" s="464"/>
      <c r="BA445" s="464"/>
      <c r="BB445" s="465"/>
      <c r="BC445" s="457"/>
      <c r="BD445" s="464"/>
      <c r="BE445" s="466"/>
      <c r="BF445" s="465"/>
      <c r="BG445" s="457"/>
      <c r="BH445" s="464"/>
      <c r="BI445" s="466"/>
      <c r="BJ445" s="465"/>
      <c r="BK445" s="457"/>
      <c r="BL445" s="464"/>
      <c r="BM445" s="466"/>
      <c r="BN445" s="465"/>
      <c r="BO445" s="457"/>
      <c r="BP445" s="464"/>
      <c r="BQ445" s="466"/>
      <c r="BR445" s="465"/>
      <c r="BS445" s="457"/>
      <c r="BT445" s="464"/>
      <c r="BU445" s="466"/>
      <c r="BV445" s="465"/>
      <c r="BW445" s="457"/>
      <c r="BX445" s="464"/>
      <c r="BY445" s="466"/>
      <c r="BZ445" s="465"/>
      <c r="CA445" s="457"/>
      <c r="CB445" s="464"/>
      <c r="CC445" s="466"/>
      <c r="CD445" s="465"/>
      <c r="CE445" s="457"/>
      <c r="CF445" s="464"/>
      <c r="CG445" s="466"/>
      <c r="CH445" s="465"/>
      <c r="CI445" s="457"/>
      <c r="CJ445" s="464"/>
      <c r="CK445" s="466"/>
      <c r="CL445" s="459"/>
      <c r="CM445" s="450"/>
      <c r="CN445" s="468">
        <f t="shared" si="221"/>
        <v>0</v>
      </c>
      <c r="CO445" s="468">
        <f t="shared" si="222"/>
        <v>0</v>
      </c>
      <c r="CP445" s="469">
        <f t="shared" si="223"/>
        <v>0</v>
      </c>
      <c r="CQ445" s="469">
        <f t="shared" si="224"/>
        <v>0</v>
      </c>
      <c r="CR445" s="463"/>
      <c r="CS445" s="457"/>
      <c r="CT445" s="464"/>
      <c r="CU445" s="464"/>
      <c r="CV445" s="465"/>
      <c r="CW445" s="457"/>
      <c r="CX445" s="464"/>
      <c r="CY445" s="466"/>
      <c r="CZ445" s="465"/>
      <c r="DA445" s="457"/>
      <c r="DB445" s="464"/>
      <c r="DC445" s="466"/>
      <c r="DD445" s="465"/>
      <c r="DE445" s="457"/>
      <c r="DF445" s="464"/>
      <c r="DG445" s="466"/>
      <c r="DH445" s="465"/>
      <c r="DI445" s="457"/>
      <c r="DJ445" s="464"/>
      <c r="DK445" s="466"/>
      <c r="DL445" s="465"/>
      <c r="DM445" s="457"/>
      <c r="DN445" s="464"/>
      <c r="DO445" s="466"/>
      <c r="DP445" s="465"/>
      <c r="DQ445" s="457"/>
      <c r="DR445" s="464"/>
      <c r="DS445" s="466"/>
      <c r="DT445" s="465"/>
      <c r="DU445" s="457"/>
      <c r="DV445" s="464"/>
      <c r="DW445" s="466"/>
      <c r="DX445" s="465"/>
      <c r="DY445" s="457"/>
      <c r="DZ445" s="464"/>
      <c r="EA445" s="466"/>
      <c r="EB445" s="465"/>
      <c r="EC445" s="457"/>
      <c r="ED445" s="464"/>
      <c r="EE445" s="466"/>
      <c r="EF445" s="459"/>
      <c r="EG445" s="450"/>
      <c r="EH445" s="460">
        <f t="shared" si="225"/>
        <v>0</v>
      </c>
      <c r="EI445" s="460">
        <f t="shared" si="226"/>
        <v>0</v>
      </c>
      <c r="EJ445" s="458">
        <f t="shared" si="227"/>
        <v>0</v>
      </c>
      <c r="EK445" s="470">
        <f t="shared" si="228"/>
        <v>0</v>
      </c>
      <c r="EL445" s="470">
        <f t="shared" si="229"/>
        <v>0</v>
      </c>
      <c r="EM445" s="449">
        <f t="shared" si="230"/>
        <v>0</v>
      </c>
      <c r="EN445" s="460">
        <f t="shared" si="231"/>
        <v>0</v>
      </c>
      <c r="EO445" s="469">
        <f t="shared" si="232"/>
        <v>0</v>
      </c>
      <c r="EP445" s="471"/>
      <c r="EQ445" s="450"/>
      <c r="ER445" s="471"/>
      <c r="ES445" s="450"/>
      <c r="ET445" s="471"/>
      <c r="EU445" s="450"/>
      <c r="EV445" s="471"/>
      <c r="EW445" s="450"/>
      <c r="EX445" s="471"/>
      <c r="EY445" s="450"/>
      <c r="EZ445" s="471"/>
      <c r="FA445" s="450"/>
      <c r="FB445" s="471"/>
      <c r="FC445" s="450"/>
      <c r="FD445" s="471"/>
      <c r="FE445" s="450"/>
      <c r="FF445" s="471"/>
      <c r="FG445" s="450"/>
      <c r="FH445" s="472"/>
      <c r="FI445" s="450"/>
      <c r="FJ445" s="468">
        <f t="shared" si="233"/>
        <v>0</v>
      </c>
      <c r="FK445" s="469">
        <f t="shared" si="234"/>
        <v>0</v>
      </c>
      <c r="FL445" s="472"/>
      <c r="FM445" s="450"/>
      <c r="FN445" s="460">
        <f t="shared" si="235"/>
        <v>228</v>
      </c>
      <c r="FO445" s="469">
        <f t="shared" si="236"/>
        <v>216</v>
      </c>
    </row>
    <row r="446" spans="1:171" x14ac:dyDescent="0.2">
      <c r="A446" s="513" t="s">
        <v>1125</v>
      </c>
      <c r="B446" s="514" t="s">
        <v>1126</v>
      </c>
      <c r="C446" s="515"/>
      <c r="D446" s="702">
        <v>217882</v>
      </c>
      <c r="E446" s="703">
        <v>1</v>
      </c>
      <c r="F446" s="532"/>
      <c r="G446" s="450"/>
      <c r="H446" s="457"/>
      <c r="I446" s="450"/>
      <c r="J446" s="457"/>
      <c r="K446" s="742"/>
      <c r="L446" s="458">
        <f t="shared" si="213"/>
        <v>0</v>
      </c>
      <c r="M446" s="449">
        <f t="shared" si="214"/>
        <v>0</v>
      </c>
      <c r="N446" s="459">
        <v>3318</v>
      </c>
      <c r="O446" s="459">
        <v>186</v>
      </c>
      <c r="P446" s="459"/>
      <c r="Q446" s="459"/>
      <c r="R446" s="460">
        <f t="shared" si="215"/>
        <v>186</v>
      </c>
      <c r="S446" s="461">
        <v>3441</v>
      </c>
      <c r="T446" s="461">
        <v>230</v>
      </c>
      <c r="U446" s="461"/>
      <c r="V446" s="461"/>
      <c r="W446" s="462">
        <f t="shared" si="216"/>
        <v>230</v>
      </c>
      <c r="X446" s="463"/>
      <c r="Y446" s="457"/>
      <c r="Z446" s="464"/>
      <c r="AA446" s="464"/>
      <c r="AB446" s="465"/>
      <c r="AC446" s="457"/>
      <c r="AD446" s="464"/>
      <c r="AE446" s="466"/>
      <c r="AF446" s="465"/>
      <c r="AG446" s="457"/>
      <c r="AH446" s="464"/>
      <c r="AI446" s="466"/>
      <c r="AJ446" s="465"/>
      <c r="AK446" s="457"/>
      <c r="AL446" s="464"/>
      <c r="AM446" s="466"/>
      <c r="AN446" s="465"/>
      <c r="AO446" s="457"/>
      <c r="AP446" s="464"/>
      <c r="AQ446" s="464"/>
      <c r="AR446" s="460">
        <f t="shared" si="217"/>
        <v>0</v>
      </c>
      <c r="AS446" s="467">
        <f t="shared" si="218"/>
        <v>0.73439575033200533</v>
      </c>
      <c r="AT446" s="447">
        <f t="shared" si="219"/>
        <v>0</v>
      </c>
      <c r="AU446" s="448">
        <f t="shared" si="220"/>
        <v>0.72717666948436177</v>
      </c>
      <c r="AV446" s="457"/>
      <c r="AW446" s="450"/>
      <c r="AX446" s="463">
        <v>52</v>
      </c>
      <c r="AY446" s="457">
        <v>227</v>
      </c>
      <c r="AZ446" s="464">
        <v>14</v>
      </c>
      <c r="BA446" s="464">
        <v>269</v>
      </c>
      <c r="BB446" s="465">
        <v>14</v>
      </c>
      <c r="BC446" s="457">
        <v>215</v>
      </c>
      <c r="BD446" s="464">
        <v>13</v>
      </c>
      <c r="BE446" s="466">
        <v>224</v>
      </c>
      <c r="BF446" s="465">
        <v>13</v>
      </c>
      <c r="BG446" s="457">
        <v>164</v>
      </c>
      <c r="BH446" s="464">
        <v>52</v>
      </c>
      <c r="BI446" s="466">
        <v>185</v>
      </c>
      <c r="BJ446" s="465">
        <v>4</v>
      </c>
      <c r="BK446" s="457">
        <v>75</v>
      </c>
      <c r="BL446" s="464">
        <v>40</v>
      </c>
      <c r="BM446" s="466">
        <v>76</v>
      </c>
      <c r="BN446" s="465">
        <v>11</v>
      </c>
      <c r="BO446" s="457">
        <v>55</v>
      </c>
      <c r="BP446" s="464">
        <v>10</v>
      </c>
      <c r="BQ446" s="466">
        <v>40</v>
      </c>
      <c r="BR446" s="465">
        <v>1</v>
      </c>
      <c r="BS446" s="457">
        <v>45</v>
      </c>
      <c r="BT446" s="464">
        <v>11</v>
      </c>
      <c r="BU446" s="466">
        <v>37</v>
      </c>
      <c r="BV446" s="465">
        <v>23</v>
      </c>
      <c r="BW446" s="457">
        <v>31</v>
      </c>
      <c r="BX446" s="464">
        <v>27</v>
      </c>
      <c r="BY446" s="466">
        <v>36</v>
      </c>
      <c r="BZ446" s="465">
        <v>51</v>
      </c>
      <c r="CA446" s="457">
        <v>28</v>
      </c>
      <c r="CB446" s="464">
        <v>51</v>
      </c>
      <c r="CC446" s="466">
        <v>31</v>
      </c>
      <c r="CD446" s="465">
        <v>27</v>
      </c>
      <c r="CE446" s="457">
        <v>25</v>
      </c>
      <c r="CF446" s="464">
        <v>26</v>
      </c>
      <c r="CG446" s="466">
        <v>26</v>
      </c>
      <c r="CH446" s="465">
        <v>45</v>
      </c>
      <c r="CI446" s="457">
        <v>24</v>
      </c>
      <c r="CJ446" s="464">
        <v>23</v>
      </c>
      <c r="CK446" s="466">
        <v>25</v>
      </c>
      <c r="CL446" s="459">
        <v>119</v>
      </c>
      <c r="CM446" s="450">
        <v>122</v>
      </c>
      <c r="CN446" s="468">
        <f t="shared" si="221"/>
        <v>1008</v>
      </c>
      <c r="CO446" s="468">
        <f t="shared" si="222"/>
        <v>10</v>
      </c>
      <c r="CP446" s="469">
        <f t="shared" si="223"/>
        <v>1071</v>
      </c>
      <c r="CQ446" s="469">
        <f t="shared" si="224"/>
        <v>10</v>
      </c>
      <c r="CR446" s="463">
        <v>14</v>
      </c>
      <c r="CS446" s="457">
        <v>71</v>
      </c>
      <c r="CT446" s="464">
        <v>14</v>
      </c>
      <c r="CU446" s="464">
        <v>79</v>
      </c>
      <c r="CV446" s="465">
        <v>13</v>
      </c>
      <c r="CW446" s="457">
        <v>21</v>
      </c>
      <c r="CX446" s="464">
        <v>26</v>
      </c>
      <c r="CY446" s="466">
        <v>23</v>
      </c>
      <c r="CZ446" s="465">
        <v>40</v>
      </c>
      <c r="DA446" s="457">
        <v>21</v>
      </c>
      <c r="DB446" s="464">
        <v>40</v>
      </c>
      <c r="DC446" s="466">
        <v>18</v>
      </c>
      <c r="DD446" s="465">
        <v>26</v>
      </c>
      <c r="DE446" s="457">
        <v>15</v>
      </c>
      <c r="DF446" s="464">
        <v>13</v>
      </c>
      <c r="DG446" s="466">
        <v>14</v>
      </c>
      <c r="DH446" s="465">
        <v>11</v>
      </c>
      <c r="DI446" s="457">
        <v>9</v>
      </c>
      <c r="DJ446" s="464">
        <v>1</v>
      </c>
      <c r="DK446" s="466">
        <v>10</v>
      </c>
      <c r="DL446" s="465">
        <v>31</v>
      </c>
      <c r="DM446" s="457">
        <v>9</v>
      </c>
      <c r="DN446" s="464">
        <v>27</v>
      </c>
      <c r="DO446" s="466">
        <v>10</v>
      </c>
      <c r="DP446" s="465">
        <v>42</v>
      </c>
      <c r="DQ446" s="457">
        <v>9</v>
      </c>
      <c r="DR446" s="464">
        <v>41</v>
      </c>
      <c r="DS446" s="466">
        <v>10</v>
      </c>
      <c r="DT446" s="465">
        <v>9</v>
      </c>
      <c r="DU446" s="457">
        <v>8</v>
      </c>
      <c r="DV446" s="464">
        <v>11</v>
      </c>
      <c r="DW446" s="466">
        <v>8</v>
      </c>
      <c r="DX446" s="465">
        <v>3</v>
      </c>
      <c r="DY446" s="457">
        <v>7</v>
      </c>
      <c r="DZ446" s="464">
        <v>42</v>
      </c>
      <c r="EA446" s="466">
        <v>8</v>
      </c>
      <c r="EB446" s="465">
        <v>1</v>
      </c>
      <c r="EC446" s="457">
        <v>6</v>
      </c>
      <c r="ED446" s="464">
        <v>31</v>
      </c>
      <c r="EE446" s="466">
        <v>7</v>
      </c>
      <c r="EF446" s="459">
        <v>16</v>
      </c>
      <c r="EG446" s="450">
        <v>33</v>
      </c>
      <c r="EH446" s="460">
        <f t="shared" si="225"/>
        <v>192</v>
      </c>
      <c r="EI446" s="460">
        <f t="shared" si="226"/>
        <v>10</v>
      </c>
      <c r="EJ446" s="458">
        <f t="shared" si="227"/>
        <v>0.36979166666666669</v>
      </c>
      <c r="EK446" s="470">
        <f t="shared" si="228"/>
        <v>220</v>
      </c>
      <c r="EL446" s="470">
        <f t="shared" si="229"/>
        <v>10</v>
      </c>
      <c r="EM446" s="449">
        <f t="shared" si="230"/>
        <v>0.35909090909090907</v>
      </c>
      <c r="EN446" s="460">
        <f t="shared" si="231"/>
        <v>1200</v>
      </c>
      <c r="EO446" s="469">
        <f t="shared" si="232"/>
        <v>1291</v>
      </c>
      <c r="EP446" s="471"/>
      <c r="EQ446" s="450"/>
      <c r="ER446" s="471"/>
      <c r="ES446" s="450"/>
      <c r="ET446" s="471"/>
      <c r="EU446" s="450"/>
      <c r="EV446" s="471"/>
      <c r="EW446" s="450"/>
      <c r="EX446" s="471"/>
      <c r="EY446" s="450"/>
      <c r="EZ446" s="471"/>
      <c r="FA446" s="450"/>
      <c r="FB446" s="471"/>
      <c r="FC446" s="450"/>
      <c r="FD446" s="471"/>
      <c r="FE446" s="450"/>
      <c r="FF446" s="471"/>
      <c r="FG446" s="450"/>
      <c r="FH446" s="472"/>
      <c r="FI446" s="450"/>
      <c r="FJ446" s="468">
        <f t="shared" si="233"/>
        <v>0</v>
      </c>
      <c r="FK446" s="469">
        <f t="shared" si="234"/>
        <v>0</v>
      </c>
      <c r="FL446" s="472"/>
      <c r="FM446" s="450"/>
      <c r="FN446" s="460">
        <f t="shared" si="235"/>
        <v>4518</v>
      </c>
      <c r="FO446" s="469">
        <f t="shared" si="236"/>
        <v>4732</v>
      </c>
    </row>
    <row r="447" spans="1:171" x14ac:dyDescent="0.2">
      <c r="A447" s="513" t="s">
        <v>1125</v>
      </c>
      <c r="B447" s="514" t="s">
        <v>1127</v>
      </c>
      <c r="C447" s="515"/>
      <c r="D447" s="702">
        <v>218663</v>
      </c>
      <c r="E447" s="703">
        <v>1</v>
      </c>
      <c r="F447" s="532"/>
      <c r="G447" s="450"/>
      <c r="H447" s="457">
        <v>15</v>
      </c>
      <c r="I447" s="450">
        <v>16</v>
      </c>
      <c r="J447" s="457">
        <v>6</v>
      </c>
      <c r="K447" s="742">
        <v>7</v>
      </c>
      <c r="L447" s="458">
        <f t="shared" si="213"/>
        <v>1.344688480502017E-3</v>
      </c>
      <c r="M447" s="449">
        <f t="shared" si="214"/>
        <v>1.5364354697102723E-3</v>
      </c>
      <c r="N447" s="459">
        <v>4462</v>
      </c>
      <c r="O447" s="459">
        <v>279</v>
      </c>
      <c r="P447" s="459"/>
      <c r="Q447" s="459">
        <v>26</v>
      </c>
      <c r="R447" s="460">
        <f t="shared" si="215"/>
        <v>305</v>
      </c>
      <c r="S447" s="461">
        <v>4556</v>
      </c>
      <c r="T447" s="461">
        <v>195</v>
      </c>
      <c r="U447" s="461"/>
      <c r="V447" s="461">
        <v>20</v>
      </c>
      <c r="W447" s="462">
        <f t="shared" si="216"/>
        <v>215</v>
      </c>
      <c r="X447" s="463"/>
      <c r="Y447" s="457"/>
      <c r="Z447" s="464"/>
      <c r="AA447" s="464"/>
      <c r="AB447" s="465"/>
      <c r="AC447" s="457"/>
      <c r="AD447" s="464"/>
      <c r="AE447" s="466"/>
      <c r="AF447" s="465"/>
      <c r="AG447" s="457"/>
      <c r="AH447" s="464"/>
      <c r="AI447" s="466"/>
      <c r="AJ447" s="465"/>
      <c r="AK447" s="457"/>
      <c r="AL447" s="464"/>
      <c r="AM447" s="466"/>
      <c r="AN447" s="465"/>
      <c r="AO447" s="457"/>
      <c r="AP447" s="464"/>
      <c r="AQ447" s="464"/>
      <c r="AR447" s="460">
        <f t="shared" si="217"/>
        <v>0</v>
      </c>
      <c r="AS447" s="467">
        <f t="shared" si="218"/>
        <v>0.63371680159068311</v>
      </c>
      <c r="AT447" s="447">
        <f t="shared" si="219"/>
        <v>0</v>
      </c>
      <c r="AU447" s="448">
        <f t="shared" si="220"/>
        <v>0.63622399106270078</v>
      </c>
      <c r="AV447" s="457">
        <v>83</v>
      </c>
      <c r="AW447" s="450">
        <v>91</v>
      </c>
      <c r="AX447" s="463">
        <v>13</v>
      </c>
      <c r="AY447" s="457">
        <v>401</v>
      </c>
      <c r="AZ447" s="464">
        <v>13</v>
      </c>
      <c r="BA447" s="464">
        <v>396</v>
      </c>
      <c r="BB447" s="465">
        <v>52</v>
      </c>
      <c r="BC447" s="457">
        <v>351</v>
      </c>
      <c r="BD447" s="464">
        <v>52</v>
      </c>
      <c r="BE447" s="466">
        <v>369</v>
      </c>
      <c r="BF447" s="465">
        <v>44</v>
      </c>
      <c r="BG447" s="457">
        <v>260</v>
      </c>
      <c r="BH447" s="464">
        <v>44</v>
      </c>
      <c r="BI447" s="466">
        <v>260</v>
      </c>
      <c r="BJ447" s="465">
        <v>51</v>
      </c>
      <c r="BK447" s="457">
        <v>188</v>
      </c>
      <c r="BL447" s="464">
        <v>51</v>
      </c>
      <c r="BM447" s="466">
        <v>221</v>
      </c>
      <c r="BN447" s="465">
        <v>25</v>
      </c>
      <c r="BO447" s="457">
        <v>164</v>
      </c>
      <c r="BP447" s="464">
        <v>25</v>
      </c>
      <c r="BQ447" s="466">
        <v>156</v>
      </c>
      <c r="BR447" s="465">
        <v>14</v>
      </c>
      <c r="BS447" s="457">
        <v>87</v>
      </c>
      <c r="BT447" s="464">
        <v>14</v>
      </c>
      <c r="BU447" s="466">
        <v>77</v>
      </c>
      <c r="BV447" s="465">
        <v>26</v>
      </c>
      <c r="BW447" s="457">
        <v>49</v>
      </c>
      <c r="BX447" s="464">
        <v>26</v>
      </c>
      <c r="BY447" s="466">
        <v>56</v>
      </c>
      <c r="BZ447" s="465">
        <v>45</v>
      </c>
      <c r="CA447" s="457">
        <v>46</v>
      </c>
      <c r="CB447" s="464">
        <v>50</v>
      </c>
      <c r="CC447" s="466">
        <v>50</v>
      </c>
      <c r="CD447" s="465">
        <v>40</v>
      </c>
      <c r="CE447" s="457">
        <v>39</v>
      </c>
      <c r="CF447" s="464">
        <v>40</v>
      </c>
      <c r="CG447" s="466">
        <v>40</v>
      </c>
      <c r="CH447" s="465">
        <v>50</v>
      </c>
      <c r="CI447" s="457">
        <v>39</v>
      </c>
      <c r="CJ447" s="464">
        <v>45</v>
      </c>
      <c r="CK447" s="466">
        <v>37</v>
      </c>
      <c r="CL447" s="459">
        <v>148</v>
      </c>
      <c r="CM447" s="450">
        <v>155</v>
      </c>
      <c r="CN447" s="468">
        <f t="shared" si="221"/>
        <v>1772</v>
      </c>
      <c r="CO447" s="468">
        <f t="shared" si="222"/>
        <v>10</v>
      </c>
      <c r="CP447" s="469">
        <f t="shared" si="223"/>
        <v>1817</v>
      </c>
      <c r="CQ447" s="469">
        <f t="shared" si="224"/>
        <v>10</v>
      </c>
      <c r="CR447" s="463">
        <v>13</v>
      </c>
      <c r="CS447" s="457">
        <v>57</v>
      </c>
      <c r="CT447" s="464">
        <v>51</v>
      </c>
      <c r="CU447" s="464">
        <v>46</v>
      </c>
      <c r="CV447" s="465">
        <v>51</v>
      </c>
      <c r="CW447" s="457">
        <v>47</v>
      </c>
      <c r="CX447" s="464">
        <v>13</v>
      </c>
      <c r="CY447" s="466">
        <v>42</v>
      </c>
      <c r="CZ447" s="465">
        <v>26</v>
      </c>
      <c r="DA447" s="457">
        <v>36</v>
      </c>
      <c r="DB447" s="464">
        <v>14</v>
      </c>
      <c r="DC447" s="466">
        <v>40</v>
      </c>
      <c r="DD447" s="465">
        <v>40</v>
      </c>
      <c r="DE447" s="457">
        <v>35</v>
      </c>
      <c r="DF447" s="464">
        <v>26</v>
      </c>
      <c r="DG447" s="466">
        <v>37</v>
      </c>
      <c r="DH447" s="465">
        <v>14</v>
      </c>
      <c r="DI447" s="457">
        <v>29</v>
      </c>
      <c r="DJ447" s="464">
        <v>40</v>
      </c>
      <c r="DK447" s="466">
        <v>28</v>
      </c>
      <c r="DL447" s="465">
        <v>45</v>
      </c>
      <c r="DM447" s="457">
        <v>15</v>
      </c>
      <c r="DN447" s="464">
        <v>27</v>
      </c>
      <c r="DO447" s="466">
        <v>17</v>
      </c>
      <c r="DP447" s="465">
        <v>50</v>
      </c>
      <c r="DQ447" s="457">
        <v>13</v>
      </c>
      <c r="DR447" s="464">
        <v>45</v>
      </c>
      <c r="DS447" s="466">
        <v>14</v>
      </c>
      <c r="DT447" s="465">
        <v>42</v>
      </c>
      <c r="DU447" s="457">
        <v>12</v>
      </c>
      <c r="DV447" s="464">
        <v>42</v>
      </c>
      <c r="DW447" s="466">
        <v>13</v>
      </c>
      <c r="DX447" s="465">
        <v>23</v>
      </c>
      <c r="DY447" s="457">
        <v>11</v>
      </c>
      <c r="DZ447" s="464">
        <v>50</v>
      </c>
      <c r="EA447" s="466">
        <v>11</v>
      </c>
      <c r="EB447" s="465">
        <v>52</v>
      </c>
      <c r="EC447" s="457">
        <v>11</v>
      </c>
      <c r="ED447" s="464">
        <v>23</v>
      </c>
      <c r="EE447" s="466">
        <v>9</v>
      </c>
      <c r="EF447" s="459">
        <v>23</v>
      </c>
      <c r="EG447" s="450">
        <v>22</v>
      </c>
      <c r="EH447" s="460">
        <f t="shared" si="225"/>
        <v>289</v>
      </c>
      <c r="EI447" s="460">
        <f t="shared" si="226"/>
        <v>10</v>
      </c>
      <c r="EJ447" s="458">
        <f t="shared" si="227"/>
        <v>0.1972318339100346</v>
      </c>
      <c r="EK447" s="470">
        <f t="shared" si="228"/>
        <v>279</v>
      </c>
      <c r="EL447" s="470">
        <f t="shared" si="229"/>
        <v>10</v>
      </c>
      <c r="EM447" s="449">
        <f t="shared" si="230"/>
        <v>0.16487455197132617</v>
      </c>
      <c r="EN447" s="460">
        <f t="shared" si="231"/>
        <v>2061</v>
      </c>
      <c r="EO447" s="469">
        <f t="shared" si="232"/>
        <v>2096</v>
      </c>
      <c r="EP447" s="471">
        <v>229</v>
      </c>
      <c r="EQ447" s="450">
        <v>220</v>
      </c>
      <c r="ER447" s="471">
        <v>80</v>
      </c>
      <c r="ES447" s="450">
        <v>75</v>
      </c>
      <c r="ET447" s="471"/>
      <c r="EU447" s="450"/>
      <c r="EV447" s="471">
        <v>105</v>
      </c>
      <c r="EW447" s="450">
        <v>100</v>
      </c>
      <c r="EX447" s="471"/>
      <c r="EY447" s="450"/>
      <c r="EZ447" s="471"/>
      <c r="FA447" s="450"/>
      <c r="FB447" s="471"/>
      <c r="FC447" s="450"/>
      <c r="FD447" s="471"/>
      <c r="FE447" s="450"/>
      <c r="FF447" s="471"/>
      <c r="FG447" s="450"/>
      <c r="FH447" s="472"/>
      <c r="FI447" s="450"/>
      <c r="FJ447" s="468">
        <f t="shared" si="233"/>
        <v>414</v>
      </c>
      <c r="FK447" s="469">
        <f t="shared" si="234"/>
        <v>395</v>
      </c>
      <c r="FL447" s="472"/>
      <c r="FM447" s="450"/>
      <c r="FN447" s="460">
        <f t="shared" si="235"/>
        <v>7041</v>
      </c>
      <c r="FO447" s="469">
        <f t="shared" si="236"/>
        <v>7161</v>
      </c>
    </row>
    <row r="448" spans="1:171" x14ac:dyDescent="0.2">
      <c r="A448" s="513" t="s">
        <v>1125</v>
      </c>
      <c r="B448" s="514" t="s">
        <v>1128</v>
      </c>
      <c r="C448" s="515"/>
      <c r="D448" s="702">
        <v>217819</v>
      </c>
      <c r="E448" s="703">
        <v>3</v>
      </c>
      <c r="F448" s="532"/>
      <c r="G448" s="450"/>
      <c r="H448" s="457"/>
      <c r="I448" s="450"/>
      <c r="J448" s="457"/>
      <c r="K448" s="742"/>
      <c r="L448" s="458">
        <f t="shared" si="213"/>
        <v>0</v>
      </c>
      <c r="M448" s="449">
        <f t="shared" si="214"/>
        <v>0</v>
      </c>
      <c r="N448" s="459">
        <v>2025</v>
      </c>
      <c r="O448" s="459">
        <v>217</v>
      </c>
      <c r="P448" s="459"/>
      <c r="Q448" s="459">
        <v>25</v>
      </c>
      <c r="R448" s="460">
        <f t="shared" si="215"/>
        <v>242</v>
      </c>
      <c r="S448" s="461">
        <v>2114</v>
      </c>
      <c r="T448" s="461">
        <v>209</v>
      </c>
      <c r="U448" s="461"/>
      <c r="V448" s="461">
        <v>33</v>
      </c>
      <c r="W448" s="462">
        <f t="shared" si="216"/>
        <v>242</v>
      </c>
      <c r="X448" s="463"/>
      <c r="Y448" s="457"/>
      <c r="Z448" s="464"/>
      <c r="AA448" s="464"/>
      <c r="AB448" s="465"/>
      <c r="AC448" s="457"/>
      <c r="AD448" s="464"/>
      <c r="AE448" s="466"/>
      <c r="AF448" s="465"/>
      <c r="AG448" s="457"/>
      <c r="AH448" s="464"/>
      <c r="AI448" s="466"/>
      <c r="AJ448" s="465"/>
      <c r="AK448" s="457"/>
      <c r="AL448" s="464"/>
      <c r="AM448" s="466"/>
      <c r="AN448" s="465"/>
      <c r="AO448" s="457"/>
      <c r="AP448" s="464"/>
      <c r="AQ448" s="464"/>
      <c r="AR448" s="460">
        <f t="shared" si="217"/>
        <v>0</v>
      </c>
      <c r="AS448" s="467">
        <f t="shared" si="218"/>
        <v>0.91422121896162534</v>
      </c>
      <c r="AT448" s="447">
        <f t="shared" si="219"/>
        <v>0</v>
      </c>
      <c r="AU448" s="448">
        <f t="shared" si="220"/>
        <v>0.89919183326244156</v>
      </c>
      <c r="AV448" s="457">
        <v>7</v>
      </c>
      <c r="AW448" s="450">
        <v>12</v>
      </c>
      <c r="AX448" s="463">
        <v>13</v>
      </c>
      <c r="AY448" s="457">
        <v>70</v>
      </c>
      <c r="AZ448" s="464">
        <v>13</v>
      </c>
      <c r="BA448" s="464">
        <v>77</v>
      </c>
      <c r="BB448" s="465">
        <v>3</v>
      </c>
      <c r="BC448" s="457">
        <v>22</v>
      </c>
      <c r="BD448" s="464">
        <v>52</v>
      </c>
      <c r="BE448" s="466">
        <v>48</v>
      </c>
      <c r="BF448" s="465">
        <v>44</v>
      </c>
      <c r="BG448" s="457">
        <v>18</v>
      </c>
      <c r="BH448" s="464">
        <v>44</v>
      </c>
      <c r="BI448" s="466">
        <v>32</v>
      </c>
      <c r="BJ448" s="465">
        <v>52</v>
      </c>
      <c r="BK448" s="457">
        <v>17</v>
      </c>
      <c r="BL448" s="464">
        <v>3</v>
      </c>
      <c r="BM448" s="466">
        <v>16</v>
      </c>
      <c r="BN448" s="465">
        <v>9</v>
      </c>
      <c r="BO448" s="457">
        <v>15</v>
      </c>
      <c r="BP448" s="464">
        <v>9</v>
      </c>
      <c r="BQ448" s="466">
        <v>10</v>
      </c>
      <c r="BR448" s="465">
        <v>26</v>
      </c>
      <c r="BS448" s="457">
        <v>11</v>
      </c>
      <c r="BT448" s="464">
        <v>23</v>
      </c>
      <c r="BU448" s="466">
        <v>10</v>
      </c>
      <c r="BV448" s="465">
        <v>23</v>
      </c>
      <c r="BW448" s="457">
        <v>10</v>
      </c>
      <c r="BX448" s="464">
        <v>27</v>
      </c>
      <c r="BY448" s="466">
        <v>9</v>
      </c>
      <c r="BZ448" s="465">
        <v>54</v>
      </c>
      <c r="CA448" s="457">
        <v>9</v>
      </c>
      <c r="CB448" s="464">
        <v>26</v>
      </c>
      <c r="CC448" s="466">
        <v>8</v>
      </c>
      <c r="CD448" s="465">
        <v>16</v>
      </c>
      <c r="CE448" s="457">
        <v>5</v>
      </c>
      <c r="CF448" s="464">
        <v>11</v>
      </c>
      <c r="CG448" s="466">
        <v>7</v>
      </c>
      <c r="CH448" s="465">
        <v>11</v>
      </c>
      <c r="CI448" s="457">
        <v>4</v>
      </c>
      <c r="CJ448" s="464">
        <v>54</v>
      </c>
      <c r="CK448" s="466">
        <v>7</v>
      </c>
      <c r="CL448" s="459">
        <v>2</v>
      </c>
      <c r="CM448" s="450">
        <v>1</v>
      </c>
      <c r="CN448" s="468">
        <f t="shared" si="221"/>
        <v>183</v>
      </c>
      <c r="CO448" s="468">
        <f t="shared" si="222"/>
        <v>10</v>
      </c>
      <c r="CP448" s="469">
        <f t="shared" si="223"/>
        <v>225</v>
      </c>
      <c r="CQ448" s="469">
        <f t="shared" si="224"/>
        <v>10</v>
      </c>
      <c r="CR448" s="463"/>
      <c r="CS448" s="457"/>
      <c r="CT448" s="464"/>
      <c r="CU448" s="464"/>
      <c r="CV448" s="465"/>
      <c r="CW448" s="457"/>
      <c r="CX448" s="464"/>
      <c r="CY448" s="466"/>
      <c r="CZ448" s="465"/>
      <c r="DA448" s="457"/>
      <c r="DB448" s="464"/>
      <c r="DC448" s="466"/>
      <c r="DD448" s="465"/>
      <c r="DE448" s="457"/>
      <c r="DF448" s="464"/>
      <c r="DG448" s="466"/>
      <c r="DH448" s="465"/>
      <c r="DI448" s="457"/>
      <c r="DJ448" s="464"/>
      <c r="DK448" s="466"/>
      <c r="DL448" s="465"/>
      <c r="DM448" s="457"/>
      <c r="DN448" s="464"/>
      <c r="DO448" s="466"/>
      <c r="DP448" s="465"/>
      <c r="DQ448" s="457"/>
      <c r="DR448" s="464"/>
      <c r="DS448" s="466"/>
      <c r="DT448" s="465"/>
      <c r="DU448" s="457"/>
      <c r="DV448" s="464"/>
      <c r="DW448" s="466"/>
      <c r="DX448" s="465"/>
      <c r="DY448" s="457"/>
      <c r="DZ448" s="464"/>
      <c r="EA448" s="466"/>
      <c r="EB448" s="465"/>
      <c r="EC448" s="457"/>
      <c r="ED448" s="464"/>
      <c r="EE448" s="466"/>
      <c r="EF448" s="459"/>
      <c r="EG448" s="450"/>
      <c r="EH448" s="460">
        <f t="shared" si="225"/>
        <v>0</v>
      </c>
      <c r="EI448" s="460">
        <f t="shared" si="226"/>
        <v>0</v>
      </c>
      <c r="EJ448" s="458">
        <f t="shared" si="227"/>
        <v>0</v>
      </c>
      <c r="EK448" s="470">
        <f t="shared" si="228"/>
        <v>0</v>
      </c>
      <c r="EL448" s="470">
        <f t="shared" si="229"/>
        <v>0</v>
      </c>
      <c r="EM448" s="449">
        <f t="shared" si="230"/>
        <v>0</v>
      </c>
      <c r="EN448" s="460">
        <f t="shared" si="231"/>
        <v>183</v>
      </c>
      <c r="EO448" s="469">
        <f t="shared" si="232"/>
        <v>225</v>
      </c>
      <c r="EP448" s="471"/>
      <c r="EQ448" s="450"/>
      <c r="ER448" s="471"/>
      <c r="ES448" s="450"/>
      <c r="ET448" s="471"/>
      <c r="EU448" s="450"/>
      <c r="EV448" s="471"/>
      <c r="EW448" s="450"/>
      <c r="EX448" s="471"/>
      <c r="EY448" s="450"/>
      <c r="EZ448" s="471"/>
      <c r="FA448" s="450"/>
      <c r="FB448" s="471"/>
      <c r="FC448" s="450"/>
      <c r="FD448" s="471"/>
      <c r="FE448" s="450"/>
      <c r="FF448" s="471"/>
      <c r="FG448" s="450"/>
      <c r="FH448" s="472"/>
      <c r="FI448" s="450"/>
      <c r="FJ448" s="468">
        <f t="shared" si="233"/>
        <v>0</v>
      </c>
      <c r="FK448" s="469">
        <f t="shared" si="234"/>
        <v>0</v>
      </c>
      <c r="FL448" s="472"/>
      <c r="FM448" s="450"/>
      <c r="FN448" s="460">
        <f t="shared" si="235"/>
        <v>2215</v>
      </c>
      <c r="FO448" s="469">
        <f t="shared" si="236"/>
        <v>2351</v>
      </c>
    </row>
    <row r="449" spans="1:171" x14ac:dyDescent="0.2">
      <c r="A449" s="513" t="s">
        <v>1125</v>
      </c>
      <c r="B449" s="514" t="s">
        <v>1129</v>
      </c>
      <c r="C449" s="515"/>
      <c r="D449" s="702">
        <v>218964</v>
      </c>
      <c r="E449" s="703">
        <v>3</v>
      </c>
      <c r="F449" s="532"/>
      <c r="G449" s="450"/>
      <c r="H449" s="457"/>
      <c r="I449" s="450"/>
      <c r="J449" s="457"/>
      <c r="K449" s="742"/>
      <c r="L449" s="458">
        <f t="shared" si="213"/>
        <v>0</v>
      </c>
      <c r="M449" s="449">
        <f t="shared" si="214"/>
        <v>0</v>
      </c>
      <c r="N449" s="459">
        <v>937</v>
      </c>
      <c r="O449" s="459">
        <v>151</v>
      </c>
      <c r="P449" s="459"/>
      <c r="Q449" s="459">
        <v>33</v>
      </c>
      <c r="R449" s="460">
        <f t="shared" si="215"/>
        <v>184</v>
      </c>
      <c r="S449" s="461">
        <v>969</v>
      </c>
      <c r="T449" s="461">
        <v>138</v>
      </c>
      <c r="U449" s="461"/>
      <c r="V449" s="461">
        <v>33</v>
      </c>
      <c r="W449" s="462">
        <f t="shared" si="216"/>
        <v>171</v>
      </c>
      <c r="X449" s="463"/>
      <c r="Y449" s="457"/>
      <c r="Z449" s="464"/>
      <c r="AA449" s="464"/>
      <c r="AB449" s="465"/>
      <c r="AC449" s="457"/>
      <c r="AD449" s="464"/>
      <c r="AE449" s="466"/>
      <c r="AF449" s="465"/>
      <c r="AG449" s="457"/>
      <c r="AH449" s="464"/>
      <c r="AI449" s="466"/>
      <c r="AJ449" s="465"/>
      <c r="AK449" s="457"/>
      <c r="AL449" s="464"/>
      <c r="AM449" s="466"/>
      <c r="AN449" s="465"/>
      <c r="AO449" s="457"/>
      <c r="AP449" s="464"/>
      <c r="AQ449" s="464"/>
      <c r="AR449" s="460">
        <f t="shared" si="217"/>
        <v>0</v>
      </c>
      <c r="AS449" s="467">
        <f t="shared" si="218"/>
        <v>0.72804972804972801</v>
      </c>
      <c r="AT449" s="447">
        <f t="shared" si="219"/>
        <v>0</v>
      </c>
      <c r="AU449" s="448">
        <f t="shared" si="220"/>
        <v>0.71724648408586233</v>
      </c>
      <c r="AV449" s="457"/>
      <c r="AW449" s="450"/>
      <c r="AX449" s="463">
        <v>13</v>
      </c>
      <c r="AY449" s="457">
        <v>153</v>
      </c>
      <c r="AZ449" s="464">
        <v>13</v>
      </c>
      <c r="BA449" s="464">
        <v>159</v>
      </c>
      <c r="BB449" s="465">
        <v>52</v>
      </c>
      <c r="BC449" s="457">
        <v>71</v>
      </c>
      <c r="BD449" s="464">
        <v>52</v>
      </c>
      <c r="BE449" s="466">
        <v>75</v>
      </c>
      <c r="BF449" s="465">
        <v>44</v>
      </c>
      <c r="BG449" s="457">
        <v>37</v>
      </c>
      <c r="BH449" s="464">
        <v>44</v>
      </c>
      <c r="BI449" s="466">
        <v>44</v>
      </c>
      <c r="BJ449" s="465">
        <v>50</v>
      </c>
      <c r="BK449" s="457">
        <v>20</v>
      </c>
      <c r="BL449" s="464">
        <v>50</v>
      </c>
      <c r="BM449" s="466">
        <v>27</v>
      </c>
      <c r="BN449" s="465">
        <v>19</v>
      </c>
      <c r="BO449" s="457">
        <v>18</v>
      </c>
      <c r="BP449" s="464">
        <v>19</v>
      </c>
      <c r="BQ449" s="466">
        <v>25</v>
      </c>
      <c r="BR449" s="465">
        <v>42</v>
      </c>
      <c r="BS449" s="457">
        <v>18</v>
      </c>
      <c r="BT449" s="464">
        <v>42</v>
      </c>
      <c r="BU449" s="466">
        <v>18</v>
      </c>
      <c r="BV449" s="465">
        <v>23</v>
      </c>
      <c r="BW449" s="457">
        <v>8</v>
      </c>
      <c r="BX449" s="464">
        <v>26</v>
      </c>
      <c r="BY449" s="466">
        <v>9</v>
      </c>
      <c r="BZ449" s="465">
        <v>54</v>
      </c>
      <c r="CA449" s="457">
        <v>7</v>
      </c>
      <c r="CB449" s="464">
        <v>24</v>
      </c>
      <c r="CC449" s="466">
        <v>7</v>
      </c>
      <c r="CD449" s="465">
        <v>24</v>
      </c>
      <c r="CE449" s="457">
        <v>6</v>
      </c>
      <c r="CF449" s="464">
        <v>31</v>
      </c>
      <c r="CG449" s="466">
        <v>7</v>
      </c>
      <c r="CH449" s="465">
        <v>16</v>
      </c>
      <c r="CI449" s="457">
        <v>5</v>
      </c>
      <c r="CJ449" s="464">
        <v>23</v>
      </c>
      <c r="CK449" s="466">
        <v>4</v>
      </c>
      <c r="CL449" s="459">
        <v>7</v>
      </c>
      <c r="CM449" s="450">
        <v>7</v>
      </c>
      <c r="CN449" s="468">
        <f t="shared" si="221"/>
        <v>350</v>
      </c>
      <c r="CO449" s="468">
        <f t="shared" si="222"/>
        <v>10</v>
      </c>
      <c r="CP449" s="469">
        <f t="shared" si="223"/>
        <v>382</v>
      </c>
      <c r="CQ449" s="469">
        <f t="shared" si="224"/>
        <v>10</v>
      </c>
      <c r="CR449" s="463"/>
      <c r="CS449" s="457"/>
      <c r="CT449" s="464"/>
      <c r="CU449" s="464"/>
      <c r="CV449" s="465"/>
      <c r="CW449" s="457"/>
      <c r="CX449" s="464"/>
      <c r="CY449" s="466"/>
      <c r="CZ449" s="465"/>
      <c r="DA449" s="457"/>
      <c r="DB449" s="464"/>
      <c r="DC449" s="466"/>
      <c r="DD449" s="465"/>
      <c r="DE449" s="457"/>
      <c r="DF449" s="464"/>
      <c r="DG449" s="466"/>
      <c r="DH449" s="465"/>
      <c r="DI449" s="457"/>
      <c r="DJ449" s="464"/>
      <c r="DK449" s="466"/>
      <c r="DL449" s="465"/>
      <c r="DM449" s="457"/>
      <c r="DN449" s="464"/>
      <c r="DO449" s="466"/>
      <c r="DP449" s="465"/>
      <c r="DQ449" s="457"/>
      <c r="DR449" s="464"/>
      <c r="DS449" s="466"/>
      <c r="DT449" s="465"/>
      <c r="DU449" s="457"/>
      <c r="DV449" s="464"/>
      <c r="DW449" s="466"/>
      <c r="DX449" s="465"/>
      <c r="DY449" s="457"/>
      <c r="DZ449" s="464"/>
      <c r="EA449" s="466"/>
      <c r="EB449" s="465"/>
      <c r="EC449" s="457"/>
      <c r="ED449" s="464"/>
      <c r="EE449" s="466"/>
      <c r="EF449" s="459"/>
      <c r="EG449" s="450"/>
      <c r="EH449" s="460">
        <f t="shared" si="225"/>
        <v>0</v>
      </c>
      <c r="EI449" s="460">
        <f t="shared" si="226"/>
        <v>0</v>
      </c>
      <c r="EJ449" s="458">
        <f t="shared" si="227"/>
        <v>0</v>
      </c>
      <c r="EK449" s="470">
        <f t="shared" si="228"/>
        <v>0</v>
      </c>
      <c r="EL449" s="470">
        <f t="shared" si="229"/>
        <v>0</v>
      </c>
      <c r="EM449" s="449">
        <f t="shared" si="230"/>
        <v>0</v>
      </c>
      <c r="EN449" s="460">
        <f t="shared" si="231"/>
        <v>350</v>
      </c>
      <c r="EO449" s="469">
        <f t="shared" si="232"/>
        <v>382</v>
      </c>
      <c r="EP449" s="471"/>
      <c r="EQ449" s="450"/>
      <c r="ER449" s="471"/>
      <c r="ES449" s="450"/>
      <c r="ET449" s="471"/>
      <c r="EU449" s="450"/>
      <c r="EV449" s="471"/>
      <c r="EW449" s="450"/>
      <c r="EX449" s="471"/>
      <c r="EY449" s="450"/>
      <c r="EZ449" s="471"/>
      <c r="FA449" s="450"/>
      <c r="FB449" s="471"/>
      <c r="FC449" s="450"/>
      <c r="FD449" s="471"/>
      <c r="FE449" s="450"/>
      <c r="FF449" s="471"/>
      <c r="FG449" s="450"/>
      <c r="FH449" s="472"/>
      <c r="FI449" s="450"/>
      <c r="FJ449" s="468">
        <f t="shared" si="233"/>
        <v>0</v>
      </c>
      <c r="FK449" s="469">
        <f t="shared" si="234"/>
        <v>0</v>
      </c>
      <c r="FL449" s="472"/>
      <c r="FM449" s="450"/>
      <c r="FN449" s="460">
        <f t="shared" si="235"/>
        <v>1287</v>
      </c>
      <c r="FO449" s="469">
        <f t="shared" si="236"/>
        <v>1351</v>
      </c>
    </row>
    <row r="450" spans="1:171" x14ac:dyDescent="0.2">
      <c r="A450" s="513" t="s">
        <v>1125</v>
      </c>
      <c r="B450" s="514" t="s">
        <v>1130</v>
      </c>
      <c r="C450" s="515" t="s">
        <v>738</v>
      </c>
      <c r="D450" s="702">
        <v>217864</v>
      </c>
      <c r="E450" s="703">
        <v>4</v>
      </c>
      <c r="F450" s="532"/>
      <c r="G450" s="450"/>
      <c r="H450" s="457"/>
      <c r="I450" s="450"/>
      <c r="J450" s="457"/>
      <c r="K450" s="742"/>
      <c r="L450" s="458">
        <f t="shared" si="213"/>
        <v>0</v>
      </c>
      <c r="M450" s="449">
        <f t="shared" si="214"/>
        <v>0</v>
      </c>
      <c r="N450" s="459">
        <v>522</v>
      </c>
      <c r="O450" s="459">
        <v>39</v>
      </c>
      <c r="P450" s="459"/>
      <c r="Q450" s="459"/>
      <c r="R450" s="460">
        <f t="shared" si="215"/>
        <v>39</v>
      </c>
      <c r="S450" s="461">
        <v>495</v>
      </c>
      <c r="T450" s="461">
        <v>41</v>
      </c>
      <c r="U450" s="461"/>
      <c r="V450" s="461">
        <v>1</v>
      </c>
      <c r="W450" s="462">
        <f t="shared" si="216"/>
        <v>42</v>
      </c>
      <c r="X450" s="463"/>
      <c r="Y450" s="457"/>
      <c r="Z450" s="464"/>
      <c r="AA450" s="464"/>
      <c r="AB450" s="465"/>
      <c r="AC450" s="457"/>
      <c r="AD450" s="464"/>
      <c r="AE450" s="466"/>
      <c r="AF450" s="465"/>
      <c r="AG450" s="457"/>
      <c r="AH450" s="464"/>
      <c r="AI450" s="466"/>
      <c r="AJ450" s="465"/>
      <c r="AK450" s="457"/>
      <c r="AL450" s="464"/>
      <c r="AM450" s="466"/>
      <c r="AN450" s="465"/>
      <c r="AO450" s="457"/>
      <c r="AP450" s="464"/>
      <c r="AQ450" s="464"/>
      <c r="AR450" s="460">
        <f t="shared" si="217"/>
        <v>0</v>
      </c>
      <c r="AS450" s="467">
        <f t="shared" si="218"/>
        <v>0.62815884476534301</v>
      </c>
      <c r="AT450" s="447">
        <f t="shared" si="219"/>
        <v>0</v>
      </c>
      <c r="AU450" s="448">
        <f t="shared" si="220"/>
        <v>0.62658227848101267</v>
      </c>
      <c r="AV450" s="457"/>
      <c r="AW450" s="450"/>
      <c r="AX450" s="463">
        <v>52</v>
      </c>
      <c r="AY450" s="457">
        <v>97</v>
      </c>
      <c r="AZ450" s="464">
        <v>13</v>
      </c>
      <c r="BA450" s="464">
        <v>107</v>
      </c>
      <c r="BB450" s="465">
        <v>13</v>
      </c>
      <c r="BC450" s="457">
        <v>95</v>
      </c>
      <c r="BD450" s="464">
        <v>52</v>
      </c>
      <c r="BE450" s="466">
        <v>89</v>
      </c>
      <c r="BF450" s="465">
        <v>42</v>
      </c>
      <c r="BG450" s="457">
        <v>56</v>
      </c>
      <c r="BH450" s="464">
        <v>42</v>
      </c>
      <c r="BI450" s="466">
        <v>33</v>
      </c>
      <c r="BJ450" s="465">
        <v>31</v>
      </c>
      <c r="BK450" s="457">
        <v>21</v>
      </c>
      <c r="BL450" s="464">
        <v>31</v>
      </c>
      <c r="BM450" s="466">
        <v>23</v>
      </c>
      <c r="BN450" s="465">
        <v>45</v>
      </c>
      <c r="BO450" s="457">
        <v>9</v>
      </c>
      <c r="BP450" s="464">
        <v>15</v>
      </c>
      <c r="BQ450" s="466">
        <v>15</v>
      </c>
      <c r="BR450" s="465">
        <v>54</v>
      </c>
      <c r="BS450" s="457">
        <v>9</v>
      </c>
      <c r="BT450" s="464">
        <v>26</v>
      </c>
      <c r="BU450" s="466">
        <v>9</v>
      </c>
      <c r="BV450" s="465">
        <v>15</v>
      </c>
      <c r="BW450" s="457">
        <v>8</v>
      </c>
      <c r="BX450" s="464">
        <v>45</v>
      </c>
      <c r="BY450" s="466">
        <v>6</v>
      </c>
      <c r="BZ450" s="465">
        <v>26</v>
      </c>
      <c r="CA450" s="457">
        <v>8</v>
      </c>
      <c r="CB450" s="464">
        <v>54</v>
      </c>
      <c r="CC450" s="466">
        <v>6</v>
      </c>
      <c r="CD450" s="465">
        <v>11</v>
      </c>
      <c r="CE450" s="457">
        <v>3</v>
      </c>
      <c r="CF450" s="464">
        <v>23</v>
      </c>
      <c r="CG450" s="466">
        <v>4</v>
      </c>
      <c r="CH450" s="465">
        <v>23</v>
      </c>
      <c r="CI450" s="457">
        <v>3</v>
      </c>
      <c r="CJ450" s="464">
        <v>11</v>
      </c>
      <c r="CK450" s="466">
        <v>3</v>
      </c>
      <c r="CL450" s="459"/>
      <c r="CM450" s="450"/>
      <c r="CN450" s="468">
        <f t="shared" si="221"/>
        <v>309</v>
      </c>
      <c r="CO450" s="468">
        <f t="shared" si="222"/>
        <v>10</v>
      </c>
      <c r="CP450" s="469">
        <f t="shared" si="223"/>
        <v>295</v>
      </c>
      <c r="CQ450" s="469">
        <f t="shared" si="224"/>
        <v>10</v>
      </c>
      <c r="CR450" s="463"/>
      <c r="CS450" s="457"/>
      <c r="CT450" s="464"/>
      <c r="CU450" s="464"/>
      <c r="CV450" s="465"/>
      <c r="CW450" s="457"/>
      <c r="CX450" s="464"/>
      <c r="CY450" s="466"/>
      <c r="CZ450" s="465"/>
      <c r="DA450" s="457"/>
      <c r="DB450" s="464"/>
      <c r="DC450" s="466"/>
      <c r="DD450" s="465"/>
      <c r="DE450" s="457"/>
      <c r="DF450" s="464"/>
      <c r="DG450" s="466"/>
      <c r="DH450" s="465"/>
      <c r="DI450" s="457"/>
      <c r="DJ450" s="464"/>
      <c r="DK450" s="466"/>
      <c r="DL450" s="465"/>
      <c r="DM450" s="457"/>
      <c r="DN450" s="464"/>
      <c r="DO450" s="466"/>
      <c r="DP450" s="465"/>
      <c r="DQ450" s="457"/>
      <c r="DR450" s="464"/>
      <c r="DS450" s="466"/>
      <c r="DT450" s="465"/>
      <c r="DU450" s="457"/>
      <c r="DV450" s="464"/>
      <c r="DW450" s="466"/>
      <c r="DX450" s="465"/>
      <c r="DY450" s="457"/>
      <c r="DZ450" s="464"/>
      <c r="EA450" s="466"/>
      <c r="EB450" s="465"/>
      <c r="EC450" s="457"/>
      <c r="ED450" s="464"/>
      <c r="EE450" s="466"/>
      <c r="EF450" s="459"/>
      <c r="EG450" s="450"/>
      <c r="EH450" s="460">
        <f t="shared" si="225"/>
        <v>0</v>
      </c>
      <c r="EI450" s="460">
        <f t="shared" si="226"/>
        <v>0</v>
      </c>
      <c r="EJ450" s="458">
        <f t="shared" si="227"/>
        <v>0</v>
      </c>
      <c r="EK450" s="470">
        <f t="shared" si="228"/>
        <v>0</v>
      </c>
      <c r="EL450" s="470">
        <f t="shared" si="229"/>
        <v>0</v>
      </c>
      <c r="EM450" s="449">
        <f t="shared" si="230"/>
        <v>0</v>
      </c>
      <c r="EN450" s="460">
        <f t="shared" si="231"/>
        <v>309</v>
      </c>
      <c r="EO450" s="469">
        <f t="shared" si="232"/>
        <v>295</v>
      </c>
      <c r="EP450" s="471"/>
      <c r="EQ450" s="450"/>
      <c r="ER450" s="471"/>
      <c r="ES450" s="450"/>
      <c r="ET450" s="471"/>
      <c r="EU450" s="450"/>
      <c r="EV450" s="471"/>
      <c r="EW450" s="450"/>
      <c r="EX450" s="471"/>
      <c r="EY450" s="450"/>
      <c r="EZ450" s="471"/>
      <c r="FA450" s="450"/>
      <c r="FB450" s="471"/>
      <c r="FC450" s="450"/>
      <c r="FD450" s="471"/>
      <c r="FE450" s="450"/>
      <c r="FF450" s="471"/>
      <c r="FG450" s="450"/>
      <c r="FH450" s="472"/>
      <c r="FI450" s="450"/>
      <c r="FJ450" s="468">
        <f t="shared" si="233"/>
        <v>0</v>
      </c>
      <c r="FK450" s="469">
        <f t="shared" si="234"/>
        <v>0</v>
      </c>
      <c r="FL450" s="472"/>
      <c r="FM450" s="450"/>
      <c r="FN450" s="460">
        <f t="shared" si="235"/>
        <v>831</v>
      </c>
      <c r="FO450" s="469">
        <f t="shared" si="236"/>
        <v>790</v>
      </c>
    </row>
    <row r="451" spans="1:171" x14ac:dyDescent="0.2">
      <c r="A451" s="513" t="s">
        <v>1125</v>
      </c>
      <c r="B451" s="514" t="s">
        <v>1131</v>
      </c>
      <c r="C451" s="515"/>
      <c r="D451" s="702">
        <v>218724</v>
      </c>
      <c r="E451" s="703">
        <v>5</v>
      </c>
      <c r="F451" s="532"/>
      <c r="G451" s="450"/>
      <c r="H451" s="457"/>
      <c r="I451" s="450"/>
      <c r="J451" s="457"/>
      <c r="K451" s="742"/>
      <c r="L451" s="458">
        <f t="shared" si="213"/>
        <v>0</v>
      </c>
      <c r="M451" s="449">
        <f t="shared" si="214"/>
        <v>0</v>
      </c>
      <c r="N451" s="459">
        <v>1379</v>
      </c>
      <c r="O451" s="459">
        <v>140</v>
      </c>
      <c r="P451" s="459"/>
      <c r="Q451" s="459"/>
      <c r="R451" s="460">
        <f t="shared" si="215"/>
        <v>140</v>
      </c>
      <c r="S451" s="461">
        <v>1399</v>
      </c>
      <c r="T451" s="461">
        <v>123</v>
      </c>
      <c r="U451" s="461"/>
      <c r="V451" s="461"/>
      <c r="W451" s="462">
        <f t="shared" si="216"/>
        <v>123</v>
      </c>
      <c r="X451" s="463"/>
      <c r="Y451" s="457"/>
      <c r="Z451" s="464"/>
      <c r="AA451" s="464"/>
      <c r="AB451" s="465"/>
      <c r="AC451" s="457"/>
      <c r="AD451" s="464"/>
      <c r="AE451" s="466"/>
      <c r="AF451" s="465"/>
      <c r="AG451" s="457"/>
      <c r="AH451" s="464"/>
      <c r="AI451" s="466"/>
      <c r="AJ451" s="465"/>
      <c r="AK451" s="457"/>
      <c r="AL451" s="464"/>
      <c r="AM451" s="466"/>
      <c r="AN451" s="465"/>
      <c r="AO451" s="457"/>
      <c r="AP451" s="464"/>
      <c r="AQ451" s="464"/>
      <c r="AR451" s="460">
        <f t="shared" si="217"/>
        <v>0</v>
      </c>
      <c r="AS451" s="467">
        <f t="shared" si="218"/>
        <v>0.91994663108739161</v>
      </c>
      <c r="AT451" s="447">
        <f t="shared" si="219"/>
        <v>0</v>
      </c>
      <c r="AU451" s="448">
        <f t="shared" si="220"/>
        <v>0.88544303797468349</v>
      </c>
      <c r="AV451" s="457"/>
      <c r="AW451" s="450"/>
      <c r="AX451" s="463">
        <v>13</v>
      </c>
      <c r="AY451" s="457">
        <v>78</v>
      </c>
      <c r="AZ451" s="464">
        <v>13</v>
      </c>
      <c r="BA451" s="464">
        <v>138</v>
      </c>
      <c r="BB451" s="465">
        <v>52</v>
      </c>
      <c r="BC451" s="457">
        <v>31</v>
      </c>
      <c r="BD451" s="464">
        <v>52</v>
      </c>
      <c r="BE451" s="466">
        <v>33</v>
      </c>
      <c r="BF451" s="465">
        <v>26</v>
      </c>
      <c r="BG451" s="457">
        <v>11</v>
      </c>
      <c r="BH451" s="464">
        <v>26</v>
      </c>
      <c r="BI451" s="466">
        <v>7</v>
      </c>
      <c r="BJ451" s="465"/>
      <c r="BK451" s="457"/>
      <c r="BL451" s="464">
        <v>23</v>
      </c>
      <c r="BM451" s="466">
        <v>3</v>
      </c>
      <c r="BN451" s="465"/>
      <c r="BO451" s="457"/>
      <c r="BP451" s="464"/>
      <c r="BQ451" s="466"/>
      <c r="BR451" s="465"/>
      <c r="BS451" s="457"/>
      <c r="BT451" s="464"/>
      <c r="BU451" s="466"/>
      <c r="BV451" s="465"/>
      <c r="BW451" s="457"/>
      <c r="BX451" s="464"/>
      <c r="BY451" s="466"/>
      <c r="BZ451" s="465"/>
      <c r="CA451" s="457"/>
      <c r="CB451" s="464"/>
      <c r="CC451" s="466"/>
      <c r="CD451" s="465"/>
      <c r="CE451" s="457"/>
      <c r="CF451" s="464"/>
      <c r="CG451" s="466"/>
      <c r="CH451" s="465"/>
      <c r="CI451" s="457"/>
      <c r="CJ451" s="464"/>
      <c r="CK451" s="466"/>
      <c r="CL451" s="459"/>
      <c r="CM451" s="450"/>
      <c r="CN451" s="468">
        <f t="shared" si="221"/>
        <v>120</v>
      </c>
      <c r="CO451" s="468">
        <f t="shared" si="222"/>
        <v>3</v>
      </c>
      <c r="CP451" s="469">
        <f t="shared" si="223"/>
        <v>181</v>
      </c>
      <c r="CQ451" s="469">
        <f t="shared" si="224"/>
        <v>4</v>
      </c>
      <c r="CR451" s="463"/>
      <c r="CS451" s="457"/>
      <c r="CT451" s="464"/>
      <c r="CU451" s="464"/>
      <c r="CV451" s="465"/>
      <c r="CW451" s="457"/>
      <c r="CX451" s="464"/>
      <c r="CY451" s="466"/>
      <c r="CZ451" s="465"/>
      <c r="DA451" s="457"/>
      <c r="DB451" s="464"/>
      <c r="DC451" s="466"/>
      <c r="DD451" s="465"/>
      <c r="DE451" s="457"/>
      <c r="DF451" s="464"/>
      <c r="DG451" s="466"/>
      <c r="DH451" s="465"/>
      <c r="DI451" s="457"/>
      <c r="DJ451" s="464"/>
      <c r="DK451" s="466"/>
      <c r="DL451" s="465"/>
      <c r="DM451" s="457"/>
      <c r="DN451" s="464"/>
      <c r="DO451" s="466"/>
      <c r="DP451" s="465"/>
      <c r="DQ451" s="457"/>
      <c r="DR451" s="464"/>
      <c r="DS451" s="466"/>
      <c r="DT451" s="465"/>
      <c r="DU451" s="457"/>
      <c r="DV451" s="464"/>
      <c r="DW451" s="466"/>
      <c r="DX451" s="465"/>
      <c r="DY451" s="457"/>
      <c r="DZ451" s="464"/>
      <c r="EA451" s="466"/>
      <c r="EB451" s="465"/>
      <c r="EC451" s="457"/>
      <c r="ED451" s="464"/>
      <c r="EE451" s="466"/>
      <c r="EF451" s="459"/>
      <c r="EG451" s="450"/>
      <c r="EH451" s="460">
        <f t="shared" si="225"/>
        <v>0</v>
      </c>
      <c r="EI451" s="460">
        <f t="shared" si="226"/>
        <v>0</v>
      </c>
      <c r="EJ451" s="458">
        <f t="shared" si="227"/>
        <v>0</v>
      </c>
      <c r="EK451" s="470">
        <f t="shared" si="228"/>
        <v>0</v>
      </c>
      <c r="EL451" s="470">
        <f t="shared" si="229"/>
        <v>0</v>
      </c>
      <c r="EM451" s="449">
        <f t="shared" si="230"/>
        <v>0</v>
      </c>
      <c r="EN451" s="460">
        <f t="shared" si="231"/>
        <v>120</v>
      </c>
      <c r="EO451" s="469">
        <f t="shared" si="232"/>
        <v>181</v>
      </c>
      <c r="EP451" s="471"/>
      <c r="EQ451" s="450"/>
      <c r="ER451" s="471"/>
      <c r="ES451" s="450"/>
      <c r="ET451" s="471"/>
      <c r="EU451" s="450"/>
      <c r="EV451" s="471"/>
      <c r="EW451" s="450"/>
      <c r="EX451" s="471"/>
      <c r="EY451" s="450"/>
      <c r="EZ451" s="471"/>
      <c r="FA451" s="450"/>
      <c r="FB451" s="471"/>
      <c r="FC451" s="450"/>
      <c r="FD451" s="471"/>
      <c r="FE451" s="450"/>
      <c r="FF451" s="471"/>
      <c r="FG451" s="450"/>
      <c r="FH451" s="472"/>
      <c r="FI451" s="450"/>
      <c r="FJ451" s="468">
        <f t="shared" si="233"/>
        <v>0</v>
      </c>
      <c r="FK451" s="469">
        <f t="shared" si="234"/>
        <v>0</v>
      </c>
      <c r="FL451" s="472"/>
      <c r="FM451" s="450"/>
      <c r="FN451" s="460">
        <f t="shared" si="235"/>
        <v>1499</v>
      </c>
      <c r="FO451" s="469">
        <f t="shared" si="236"/>
        <v>1580</v>
      </c>
    </row>
    <row r="452" spans="1:171" x14ac:dyDescent="0.2">
      <c r="A452" s="513" t="s">
        <v>1125</v>
      </c>
      <c r="B452" s="514" t="s">
        <v>1132</v>
      </c>
      <c r="C452" s="515"/>
      <c r="D452" s="702">
        <v>218061</v>
      </c>
      <c r="E452" s="703">
        <v>5</v>
      </c>
      <c r="F452" s="532"/>
      <c r="G452" s="450"/>
      <c r="H452" s="457"/>
      <c r="I452" s="450"/>
      <c r="J452" s="457"/>
      <c r="K452" s="742"/>
      <c r="L452" s="458">
        <f t="shared" si="213"/>
        <v>0</v>
      </c>
      <c r="M452" s="449">
        <f t="shared" si="214"/>
        <v>0</v>
      </c>
      <c r="N452" s="459">
        <v>553</v>
      </c>
      <c r="O452" s="459">
        <v>47</v>
      </c>
      <c r="P452" s="459"/>
      <c r="Q452" s="459"/>
      <c r="R452" s="460">
        <f t="shared" si="215"/>
        <v>47</v>
      </c>
      <c r="S452" s="461">
        <v>566</v>
      </c>
      <c r="T452" s="461">
        <v>48</v>
      </c>
      <c r="U452" s="461"/>
      <c r="V452" s="461">
        <v>3</v>
      </c>
      <c r="W452" s="462">
        <f t="shared" si="216"/>
        <v>51</v>
      </c>
      <c r="X452" s="463"/>
      <c r="Y452" s="457"/>
      <c r="Z452" s="464"/>
      <c r="AA452" s="464"/>
      <c r="AB452" s="465"/>
      <c r="AC452" s="457"/>
      <c r="AD452" s="464"/>
      <c r="AE452" s="466"/>
      <c r="AF452" s="465"/>
      <c r="AG452" s="457"/>
      <c r="AH452" s="464"/>
      <c r="AI452" s="466"/>
      <c r="AJ452" s="465"/>
      <c r="AK452" s="457"/>
      <c r="AL452" s="464"/>
      <c r="AM452" s="466"/>
      <c r="AN452" s="465"/>
      <c r="AO452" s="457"/>
      <c r="AP452" s="464"/>
      <c r="AQ452" s="464"/>
      <c r="AR452" s="460">
        <f t="shared" si="217"/>
        <v>0</v>
      </c>
      <c r="AS452" s="467">
        <f t="shared" si="218"/>
        <v>0.88764044943820219</v>
      </c>
      <c r="AT452" s="447">
        <f t="shared" si="219"/>
        <v>0</v>
      </c>
      <c r="AU452" s="448">
        <f t="shared" si="220"/>
        <v>0.88993710691823902</v>
      </c>
      <c r="AV452" s="457"/>
      <c r="AW452" s="450"/>
      <c r="AX452" s="463">
        <v>13</v>
      </c>
      <c r="AY452" s="457">
        <v>45</v>
      </c>
      <c r="AZ452" s="464">
        <v>13</v>
      </c>
      <c r="BA452" s="464">
        <v>38</v>
      </c>
      <c r="BB452" s="465">
        <v>52</v>
      </c>
      <c r="BC452" s="457">
        <v>14</v>
      </c>
      <c r="BD452" s="464">
        <v>42</v>
      </c>
      <c r="BE452" s="466">
        <v>18</v>
      </c>
      <c r="BF452" s="465">
        <v>42</v>
      </c>
      <c r="BG452" s="457">
        <v>11</v>
      </c>
      <c r="BH452" s="464">
        <v>52</v>
      </c>
      <c r="BI452" s="466">
        <v>14</v>
      </c>
      <c r="BJ452" s="465"/>
      <c r="BK452" s="457"/>
      <c r="BL452" s="464"/>
      <c r="BM452" s="466"/>
      <c r="BN452" s="465"/>
      <c r="BO452" s="457"/>
      <c r="BP452" s="464"/>
      <c r="BQ452" s="466"/>
      <c r="BR452" s="465"/>
      <c r="BS452" s="457"/>
      <c r="BT452" s="464"/>
      <c r="BU452" s="466"/>
      <c r="BV452" s="465"/>
      <c r="BW452" s="457"/>
      <c r="BX452" s="464"/>
      <c r="BY452" s="466"/>
      <c r="BZ452" s="465"/>
      <c r="CA452" s="457"/>
      <c r="CB452" s="464"/>
      <c r="CC452" s="466"/>
      <c r="CD452" s="465"/>
      <c r="CE452" s="457"/>
      <c r="CF452" s="464"/>
      <c r="CG452" s="466"/>
      <c r="CH452" s="465"/>
      <c r="CI452" s="457"/>
      <c r="CJ452" s="464"/>
      <c r="CK452" s="466"/>
      <c r="CL452" s="459"/>
      <c r="CM452" s="450"/>
      <c r="CN452" s="468">
        <f t="shared" si="221"/>
        <v>70</v>
      </c>
      <c r="CO452" s="468">
        <f t="shared" si="222"/>
        <v>3</v>
      </c>
      <c r="CP452" s="469">
        <f t="shared" si="223"/>
        <v>70</v>
      </c>
      <c r="CQ452" s="469">
        <f t="shared" si="224"/>
        <v>3</v>
      </c>
      <c r="CR452" s="463"/>
      <c r="CS452" s="457"/>
      <c r="CT452" s="464"/>
      <c r="CU452" s="464"/>
      <c r="CV452" s="465"/>
      <c r="CW452" s="457"/>
      <c r="CX452" s="464"/>
      <c r="CY452" s="466"/>
      <c r="CZ452" s="465"/>
      <c r="DA452" s="457"/>
      <c r="DB452" s="464"/>
      <c r="DC452" s="466"/>
      <c r="DD452" s="465"/>
      <c r="DE452" s="457"/>
      <c r="DF452" s="464"/>
      <c r="DG452" s="466"/>
      <c r="DH452" s="465"/>
      <c r="DI452" s="457"/>
      <c r="DJ452" s="464"/>
      <c r="DK452" s="466"/>
      <c r="DL452" s="465"/>
      <c r="DM452" s="457"/>
      <c r="DN452" s="464"/>
      <c r="DO452" s="466"/>
      <c r="DP452" s="465"/>
      <c r="DQ452" s="457"/>
      <c r="DR452" s="464"/>
      <c r="DS452" s="466"/>
      <c r="DT452" s="465"/>
      <c r="DU452" s="457"/>
      <c r="DV452" s="464"/>
      <c r="DW452" s="466"/>
      <c r="DX452" s="465"/>
      <c r="DY452" s="457"/>
      <c r="DZ452" s="464"/>
      <c r="EA452" s="466"/>
      <c r="EB452" s="465"/>
      <c r="EC452" s="457"/>
      <c r="ED452" s="464"/>
      <c r="EE452" s="466"/>
      <c r="EF452" s="459"/>
      <c r="EG452" s="450"/>
      <c r="EH452" s="460">
        <f t="shared" si="225"/>
        <v>0</v>
      </c>
      <c r="EI452" s="460">
        <f t="shared" si="226"/>
        <v>0</v>
      </c>
      <c r="EJ452" s="458">
        <f t="shared" si="227"/>
        <v>0</v>
      </c>
      <c r="EK452" s="470">
        <f t="shared" si="228"/>
        <v>0</v>
      </c>
      <c r="EL452" s="470">
        <f t="shared" si="229"/>
        <v>0</v>
      </c>
      <c r="EM452" s="449">
        <f t="shared" si="230"/>
        <v>0</v>
      </c>
      <c r="EN452" s="460">
        <f t="shared" si="231"/>
        <v>70</v>
      </c>
      <c r="EO452" s="469">
        <f t="shared" si="232"/>
        <v>70</v>
      </c>
      <c r="EP452" s="471"/>
      <c r="EQ452" s="450"/>
      <c r="ER452" s="471"/>
      <c r="ES452" s="450"/>
      <c r="ET452" s="471"/>
      <c r="EU452" s="450"/>
      <c r="EV452" s="471"/>
      <c r="EW452" s="450"/>
      <c r="EX452" s="471"/>
      <c r="EY452" s="450"/>
      <c r="EZ452" s="471"/>
      <c r="FA452" s="450"/>
      <c r="FB452" s="471"/>
      <c r="FC452" s="450"/>
      <c r="FD452" s="471"/>
      <c r="FE452" s="450"/>
      <c r="FF452" s="471"/>
      <c r="FG452" s="450"/>
      <c r="FH452" s="472"/>
      <c r="FI452" s="450"/>
      <c r="FJ452" s="468">
        <f t="shared" si="233"/>
        <v>0</v>
      </c>
      <c r="FK452" s="469">
        <f t="shared" si="234"/>
        <v>0</v>
      </c>
      <c r="FL452" s="472"/>
      <c r="FM452" s="450"/>
      <c r="FN452" s="460">
        <f t="shared" si="235"/>
        <v>623</v>
      </c>
      <c r="FO452" s="469">
        <f t="shared" si="236"/>
        <v>636</v>
      </c>
    </row>
    <row r="453" spans="1:171" x14ac:dyDescent="0.2">
      <c r="A453" s="513" t="s">
        <v>1125</v>
      </c>
      <c r="B453" s="514" t="s">
        <v>1133</v>
      </c>
      <c r="C453" s="515"/>
      <c r="D453" s="702">
        <v>218733</v>
      </c>
      <c r="E453" s="703">
        <v>5</v>
      </c>
      <c r="F453" s="532"/>
      <c r="G453" s="450"/>
      <c r="H453" s="457"/>
      <c r="I453" s="450"/>
      <c r="J453" s="457"/>
      <c r="K453" s="742"/>
      <c r="L453" s="458">
        <f t="shared" si="213"/>
        <v>0</v>
      </c>
      <c r="M453" s="449">
        <f t="shared" si="214"/>
        <v>0</v>
      </c>
      <c r="N453" s="459">
        <v>548</v>
      </c>
      <c r="O453" s="459">
        <v>56</v>
      </c>
      <c r="P453" s="459"/>
      <c r="Q453" s="459"/>
      <c r="R453" s="460">
        <f t="shared" si="215"/>
        <v>56</v>
      </c>
      <c r="S453" s="461">
        <v>583</v>
      </c>
      <c r="T453" s="461">
        <v>56</v>
      </c>
      <c r="U453" s="461"/>
      <c r="V453" s="461"/>
      <c r="W453" s="462">
        <f t="shared" si="216"/>
        <v>56</v>
      </c>
      <c r="X453" s="463"/>
      <c r="Y453" s="457"/>
      <c r="Z453" s="464"/>
      <c r="AA453" s="464"/>
      <c r="AB453" s="465"/>
      <c r="AC453" s="457"/>
      <c r="AD453" s="464"/>
      <c r="AE453" s="466"/>
      <c r="AF453" s="465"/>
      <c r="AG453" s="457"/>
      <c r="AH453" s="464"/>
      <c r="AI453" s="466"/>
      <c r="AJ453" s="465"/>
      <c r="AK453" s="457"/>
      <c r="AL453" s="464"/>
      <c r="AM453" s="466"/>
      <c r="AN453" s="465"/>
      <c r="AO453" s="457"/>
      <c r="AP453" s="464"/>
      <c r="AQ453" s="464"/>
      <c r="AR453" s="460">
        <f t="shared" si="217"/>
        <v>0</v>
      </c>
      <c r="AS453" s="467">
        <f t="shared" si="218"/>
        <v>0.75795297372060855</v>
      </c>
      <c r="AT453" s="447">
        <f t="shared" si="219"/>
        <v>0</v>
      </c>
      <c r="AU453" s="448">
        <f t="shared" si="220"/>
        <v>0.7857142857142857</v>
      </c>
      <c r="AV453" s="457"/>
      <c r="AW453" s="450"/>
      <c r="AX453" s="463">
        <v>13</v>
      </c>
      <c r="AY453" s="457">
        <v>91</v>
      </c>
      <c r="AZ453" s="464">
        <v>51</v>
      </c>
      <c r="BA453" s="464">
        <v>72</v>
      </c>
      <c r="BB453" s="465">
        <v>51</v>
      </c>
      <c r="BC453" s="457">
        <v>54</v>
      </c>
      <c r="BD453" s="464">
        <v>13</v>
      </c>
      <c r="BE453" s="466">
        <v>61</v>
      </c>
      <c r="BF453" s="465">
        <v>52</v>
      </c>
      <c r="BG453" s="457">
        <v>11</v>
      </c>
      <c r="BH453" s="464">
        <v>52</v>
      </c>
      <c r="BI453" s="466">
        <v>16</v>
      </c>
      <c r="BJ453" s="465">
        <v>19</v>
      </c>
      <c r="BK453" s="457">
        <v>2</v>
      </c>
      <c r="BL453" s="464"/>
      <c r="BM453" s="466"/>
      <c r="BN453" s="465"/>
      <c r="BO453" s="457"/>
      <c r="BP453" s="464"/>
      <c r="BQ453" s="466"/>
      <c r="BR453" s="465"/>
      <c r="BS453" s="457"/>
      <c r="BT453" s="464"/>
      <c r="BU453" s="466"/>
      <c r="BV453" s="465"/>
      <c r="BW453" s="457"/>
      <c r="BX453" s="464"/>
      <c r="BY453" s="466"/>
      <c r="BZ453" s="465"/>
      <c r="CA453" s="457"/>
      <c r="CB453" s="464"/>
      <c r="CC453" s="466"/>
      <c r="CD453" s="465"/>
      <c r="CE453" s="457"/>
      <c r="CF453" s="464"/>
      <c r="CG453" s="466"/>
      <c r="CH453" s="465"/>
      <c r="CI453" s="457"/>
      <c r="CJ453" s="464"/>
      <c r="CK453" s="466"/>
      <c r="CL453" s="459"/>
      <c r="CM453" s="450"/>
      <c r="CN453" s="468">
        <f t="shared" si="221"/>
        <v>158</v>
      </c>
      <c r="CO453" s="468">
        <f t="shared" si="222"/>
        <v>4</v>
      </c>
      <c r="CP453" s="469">
        <f t="shared" si="223"/>
        <v>149</v>
      </c>
      <c r="CQ453" s="469">
        <f t="shared" si="224"/>
        <v>3</v>
      </c>
      <c r="CR453" s="463">
        <v>13</v>
      </c>
      <c r="CS453" s="457">
        <v>17</v>
      </c>
      <c r="CT453" s="464">
        <v>13</v>
      </c>
      <c r="CU453" s="464">
        <v>10</v>
      </c>
      <c r="CV453" s="465"/>
      <c r="CW453" s="457"/>
      <c r="CX453" s="464"/>
      <c r="CY453" s="466"/>
      <c r="CZ453" s="465"/>
      <c r="DA453" s="457"/>
      <c r="DB453" s="464"/>
      <c r="DC453" s="466"/>
      <c r="DD453" s="465"/>
      <c r="DE453" s="457"/>
      <c r="DF453" s="464"/>
      <c r="DG453" s="466"/>
      <c r="DH453" s="465"/>
      <c r="DI453" s="457"/>
      <c r="DJ453" s="464"/>
      <c r="DK453" s="466"/>
      <c r="DL453" s="465"/>
      <c r="DM453" s="457"/>
      <c r="DN453" s="464"/>
      <c r="DO453" s="466"/>
      <c r="DP453" s="465"/>
      <c r="DQ453" s="457"/>
      <c r="DR453" s="464"/>
      <c r="DS453" s="466"/>
      <c r="DT453" s="465"/>
      <c r="DU453" s="457"/>
      <c r="DV453" s="464"/>
      <c r="DW453" s="466"/>
      <c r="DX453" s="465"/>
      <c r="DY453" s="457"/>
      <c r="DZ453" s="464"/>
      <c r="EA453" s="466"/>
      <c r="EB453" s="465"/>
      <c r="EC453" s="457"/>
      <c r="ED453" s="464"/>
      <c r="EE453" s="466"/>
      <c r="EF453" s="459"/>
      <c r="EG453" s="450"/>
      <c r="EH453" s="460">
        <f t="shared" si="225"/>
        <v>17</v>
      </c>
      <c r="EI453" s="460">
        <f t="shared" si="226"/>
        <v>1</v>
      </c>
      <c r="EJ453" s="458">
        <f t="shared" si="227"/>
        <v>1</v>
      </c>
      <c r="EK453" s="470">
        <f t="shared" si="228"/>
        <v>10</v>
      </c>
      <c r="EL453" s="470">
        <f t="shared" si="229"/>
        <v>1</v>
      </c>
      <c r="EM453" s="449">
        <f t="shared" si="230"/>
        <v>1</v>
      </c>
      <c r="EN453" s="460">
        <f t="shared" si="231"/>
        <v>175</v>
      </c>
      <c r="EO453" s="469">
        <f t="shared" si="232"/>
        <v>159</v>
      </c>
      <c r="EP453" s="471"/>
      <c r="EQ453" s="450"/>
      <c r="ER453" s="471"/>
      <c r="ES453" s="450"/>
      <c r="ET453" s="471"/>
      <c r="EU453" s="450"/>
      <c r="EV453" s="471"/>
      <c r="EW453" s="450"/>
      <c r="EX453" s="471"/>
      <c r="EY453" s="450"/>
      <c r="EZ453" s="471"/>
      <c r="FA453" s="450"/>
      <c r="FB453" s="471"/>
      <c r="FC453" s="450"/>
      <c r="FD453" s="471"/>
      <c r="FE453" s="450"/>
      <c r="FF453" s="471"/>
      <c r="FG453" s="450"/>
      <c r="FH453" s="472"/>
      <c r="FI453" s="450"/>
      <c r="FJ453" s="468">
        <f t="shared" si="233"/>
        <v>0</v>
      </c>
      <c r="FK453" s="469">
        <f t="shared" si="234"/>
        <v>0</v>
      </c>
      <c r="FL453" s="472"/>
      <c r="FM453" s="450"/>
      <c r="FN453" s="460">
        <f t="shared" si="235"/>
        <v>723</v>
      </c>
      <c r="FO453" s="469">
        <f t="shared" si="236"/>
        <v>742</v>
      </c>
    </row>
    <row r="454" spans="1:171" x14ac:dyDescent="0.2">
      <c r="A454" s="513" t="s">
        <v>1125</v>
      </c>
      <c r="B454" s="514" t="s">
        <v>1134</v>
      </c>
      <c r="C454" s="515"/>
      <c r="D454" s="702">
        <v>218229</v>
      </c>
      <c r="E454" s="703">
        <v>6</v>
      </c>
      <c r="F454" s="532">
        <v>5</v>
      </c>
      <c r="G454" s="450">
        <v>6</v>
      </c>
      <c r="H454" s="457"/>
      <c r="I454" s="450"/>
      <c r="J454" s="457"/>
      <c r="K454" s="742"/>
      <c r="L454" s="458">
        <f t="shared" si="213"/>
        <v>0</v>
      </c>
      <c r="M454" s="449">
        <f t="shared" si="214"/>
        <v>0</v>
      </c>
      <c r="N454" s="459">
        <v>430</v>
      </c>
      <c r="O454" s="459">
        <v>68</v>
      </c>
      <c r="P454" s="459"/>
      <c r="Q454" s="459">
        <v>7</v>
      </c>
      <c r="R454" s="460">
        <f t="shared" si="215"/>
        <v>75</v>
      </c>
      <c r="S454" s="461">
        <v>445</v>
      </c>
      <c r="T454" s="461">
        <v>63</v>
      </c>
      <c r="U454" s="461"/>
      <c r="V454" s="461">
        <v>6</v>
      </c>
      <c r="W454" s="462">
        <f t="shared" si="216"/>
        <v>69</v>
      </c>
      <c r="X454" s="463"/>
      <c r="Y454" s="457"/>
      <c r="Z454" s="464"/>
      <c r="AA454" s="464"/>
      <c r="AB454" s="465"/>
      <c r="AC454" s="457"/>
      <c r="AD454" s="464"/>
      <c r="AE454" s="466"/>
      <c r="AF454" s="465"/>
      <c r="AG454" s="457"/>
      <c r="AH454" s="464"/>
      <c r="AI454" s="466"/>
      <c r="AJ454" s="465"/>
      <c r="AK454" s="457"/>
      <c r="AL454" s="464"/>
      <c r="AM454" s="466"/>
      <c r="AN454" s="465"/>
      <c r="AO454" s="457"/>
      <c r="AP454" s="464"/>
      <c r="AQ454" s="464"/>
      <c r="AR454" s="460">
        <f t="shared" si="217"/>
        <v>0</v>
      </c>
      <c r="AS454" s="467">
        <f t="shared" si="218"/>
        <v>0.9641255605381166</v>
      </c>
      <c r="AT454" s="447">
        <f t="shared" si="219"/>
        <v>0</v>
      </c>
      <c r="AU454" s="448">
        <f t="shared" si="220"/>
        <v>0.94882729211087424</v>
      </c>
      <c r="AV454" s="457"/>
      <c r="AW454" s="450"/>
      <c r="AX454" s="463">
        <v>13</v>
      </c>
      <c r="AY454" s="457">
        <v>11</v>
      </c>
      <c r="AZ454" s="464">
        <v>13</v>
      </c>
      <c r="BA454" s="464">
        <v>18</v>
      </c>
      <c r="BB454" s="465"/>
      <c r="BC454" s="457"/>
      <c r="BD454" s="464"/>
      <c r="BE454" s="466"/>
      <c r="BF454" s="465"/>
      <c r="BG454" s="457"/>
      <c r="BH454" s="464"/>
      <c r="BI454" s="466"/>
      <c r="BJ454" s="465"/>
      <c r="BK454" s="457"/>
      <c r="BL454" s="464"/>
      <c r="BM454" s="466"/>
      <c r="BN454" s="465"/>
      <c r="BO454" s="457"/>
      <c r="BP454" s="464"/>
      <c r="BQ454" s="466"/>
      <c r="BR454" s="465"/>
      <c r="BS454" s="457"/>
      <c r="BT454" s="464"/>
      <c r="BU454" s="466"/>
      <c r="BV454" s="465"/>
      <c r="BW454" s="457"/>
      <c r="BX454" s="464"/>
      <c r="BY454" s="466"/>
      <c r="BZ454" s="465"/>
      <c r="CA454" s="457"/>
      <c r="CB454" s="464"/>
      <c r="CC454" s="466"/>
      <c r="CD454" s="465"/>
      <c r="CE454" s="457"/>
      <c r="CF454" s="464"/>
      <c r="CG454" s="466"/>
      <c r="CH454" s="465"/>
      <c r="CI454" s="457"/>
      <c r="CJ454" s="464"/>
      <c r="CK454" s="466"/>
      <c r="CL454" s="459"/>
      <c r="CM454" s="450"/>
      <c r="CN454" s="468">
        <f t="shared" si="221"/>
        <v>11</v>
      </c>
      <c r="CO454" s="468">
        <f t="shared" si="222"/>
        <v>1</v>
      </c>
      <c r="CP454" s="469">
        <f t="shared" si="223"/>
        <v>18</v>
      </c>
      <c r="CQ454" s="469">
        <f t="shared" si="224"/>
        <v>1</v>
      </c>
      <c r="CR454" s="463"/>
      <c r="CS454" s="457"/>
      <c r="CT454" s="464"/>
      <c r="CU454" s="464"/>
      <c r="CV454" s="465"/>
      <c r="CW454" s="457"/>
      <c r="CX454" s="464"/>
      <c r="CY454" s="466"/>
      <c r="CZ454" s="465"/>
      <c r="DA454" s="457"/>
      <c r="DB454" s="464"/>
      <c r="DC454" s="466"/>
      <c r="DD454" s="465"/>
      <c r="DE454" s="457"/>
      <c r="DF454" s="464"/>
      <c r="DG454" s="466"/>
      <c r="DH454" s="465"/>
      <c r="DI454" s="457"/>
      <c r="DJ454" s="464"/>
      <c r="DK454" s="466"/>
      <c r="DL454" s="465"/>
      <c r="DM454" s="457"/>
      <c r="DN454" s="464"/>
      <c r="DO454" s="466"/>
      <c r="DP454" s="465"/>
      <c r="DQ454" s="457"/>
      <c r="DR454" s="464"/>
      <c r="DS454" s="466"/>
      <c r="DT454" s="465"/>
      <c r="DU454" s="457"/>
      <c r="DV454" s="464"/>
      <c r="DW454" s="466"/>
      <c r="DX454" s="465"/>
      <c r="DY454" s="457"/>
      <c r="DZ454" s="464"/>
      <c r="EA454" s="466"/>
      <c r="EB454" s="465"/>
      <c r="EC454" s="457"/>
      <c r="ED454" s="464"/>
      <c r="EE454" s="466"/>
      <c r="EF454" s="459"/>
      <c r="EG454" s="450"/>
      <c r="EH454" s="460">
        <f t="shared" si="225"/>
        <v>0</v>
      </c>
      <c r="EI454" s="460">
        <f t="shared" si="226"/>
        <v>0</v>
      </c>
      <c r="EJ454" s="458">
        <f t="shared" si="227"/>
        <v>0</v>
      </c>
      <c r="EK454" s="470">
        <f t="shared" si="228"/>
        <v>0</v>
      </c>
      <c r="EL454" s="470">
        <f t="shared" si="229"/>
        <v>0</v>
      </c>
      <c r="EM454" s="449">
        <f t="shared" si="230"/>
        <v>0</v>
      </c>
      <c r="EN454" s="460">
        <f t="shared" si="231"/>
        <v>11</v>
      </c>
      <c r="EO454" s="469">
        <f t="shared" si="232"/>
        <v>18</v>
      </c>
      <c r="EP454" s="471"/>
      <c r="EQ454" s="450"/>
      <c r="ER454" s="471"/>
      <c r="ES454" s="450"/>
      <c r="ET454" s="471"/>
      <c r="EU454" s="450"/>
      <c r="EV454" s="471"/>
      <c r="EW454" s="450"/>
      <c r="EX454" s="471"/>
      <c r="EY454" s="450"/>
      <c r="EZ454" s="471"/>
      <c r="FA454" s="450"/>
      <c r="FB454" s="471"/>
      <c r="FC454" s="450"/>
      <c r="FD454" s="471"/>
      <c r="FE454" s="450"/>
      <c r="FF454" s="471"/>
      <c r="FG454" s="450"/>
      <c r="FH454" s="472"/>
      <c r="FI454" s="450"/>
      <c r="FJ454" s="468">
        <f t="shared" si="233"/>
        <v>0</v>
      </c>
      <c r="FK454" s="469">
        <f t="shared" si="234"/>
        <v>0</v>
      </c>
      <c r="FL454" s="472"/>
      <c r="FM454" s="450"/>
      <c r="FN454" s="460">
        <f t="shared" si="235"/>
        <v>446</v>
      </c>
      <c r="FO454" s="469">
        <f t="shared" si="236"/>
        <v>469</v>
      </c>
    </row>
    <row r="455" spans="1:171" x14ac:dyDescent="0.2">
      <c r="A455" s="513" t="s">
        <v>1125</v>
      </c>
      <c r="B455" s="514" t="s">
        <v>1135</v>
      </c>
      <c r="C455" s="515"/>
      <c r="D455" s="702">
        <v>218645</v>
      </c>
      <c r="E455" s="703">
        <v>6</v>
      </c>
      <c r="F455" s="532"/>
      <c r="G455" s="450"/>
      <c r="H455" s="457"/>
      <c r="I455" s="450"/>
      <c r="J455" s="457"/>
      <c r="K455" s="742"/>
      <c r="L455" s="458">
        <f t="shared" si="213"/>
        <v>0</v>
      </c>
      <c r="M455" s="449">
        <f t="shared" si="214"/>
        <v>0</v>
      </c>
      <c r="N455" s="459">
        <v>498</v>
      </c>
      <c r="O455" s="459">
        <v>72</v>
      </c>
      <c r="P455" s="459"/>
      <c r="Q455" s="459"/>
      <c r="R455" s="460">
        <f t="shared" si="215"/>
        <v>72</v>
      </c>
      <c r="S455" s="461">
        <v>524</v>
      </c>
      <c r="T455" s="461">
        <v>63</v>
      </c>
      <c r="U455" s="461"/>
      <c r="V455" s="461"/>
      <c r="W455" s="462">
        <f t="shared" si="216"/>
        <v>63</v>
      </c>
      <c r="X455" s="463"/>
      <c r="Y455" s="457"/>
      <c r="Z455" s="464"/>
      <c r="AA455" s="464"/>
      <c r="AB455" s="465"/>
      <c r="AC455" s="457"/>
      <c r="AD455" s="464"/>
      <c r="AE455" s="466"/>
      <c r="AF455" s="465"/>
      <c r="AG455" s="457"/>
      <c r="AH455" s="464"/>
      <c r="AI455" s="466"/>
      <c r="AJ455" s="465"/>
      <c r="AK455" s="457"/>
      <c r="AL455" s="464"/>
      <c r="AM455" s="466"/>
      <c r="AN455" s="465"/>
      <c r="AO455" s="457"/>
      <c r="AP455" s="464"/>
      <c r="AQ455" s="464"/>
      <c r="AR455" s="460">
        <f t="shared" si="217"/>
        <v>0</v>
      </c>
      <c r="AS455" s="467">
        <f t="shared" si="218"/>
        <v>0.98613861386138613</v>
      </c>
      <c r="AT455" s="447">
        <f t="shared" si="219"/>
        <v>0</v>
      </c>
      <c r="AU455" s="448">
        <f t="shared" si="220"/>
        <v>0.97579143389199252</v>
      </c>
      <c r="AV455" s="457"/>
      <c r="AW455" s="450"/>
      <c r="AX455" s="463">
        <v>42</v>
      </c>
      <c r="AY455" s="457">
        <v>6</v>
      </c>
      <c r="AZ455" s="464">
        <v>13</v>
      </c>
      <c r="BA455" s="464">
        <v>12</v>
      </c>
      <c r="BB455" s="465">
        <v>13</v>
      </c>
      <c r="BC455" s="457">
        <v>1</v>
      </c>
      <c r="BD455" s="464">
        <v>42</v>
      </c>
      <c r="BE455" s="466">
        <v>1</v>
      </c>
      <c r="BF455" s="465"/>
      <c r="BG455" s="457"/>
      <c r="BH455" s="464"/>
      <c r="BI455" s="466"/>
      <c r="BJ455" s="465"/>
      <c r="BK455" s="457"/>
      <c r="BL455" s="464"/>
      <c r="BM455" s="466"/>
      <c r="BN455" s="465"/>
      <c r="BO455" s="457"/>
      <c r="BP455" s="464"/>
      <c r="BQ455" s="466"/>
      <c r="BR455" s="465"/>
      <c r="BS455" s="457"/>
      <c r="BT455" s="464"/>
      <c r="BU455" s="466"/>
      <c r="BV455" s="465"/>
      <c r="BW455" s="457"/>
      <c r="BX455" s="464"/>
      <c r="BY455" s="466"/>
      <c r="BZ455" s="465"/>
      <c r="CA455" s="457"/>
      <c r="CB455" s="464"/>
      <c r="CC455" s="466"/>
      <c r="CD455" s="465"/>
      <c r="CE455" s="457"/>
      <c r="CF455" s="464"/>
      <c r="CG455" s="466"/>
      <c r="CH455" s="465"/>
      <c r="CI455" s="457"/>
      <c r="CJ455" s="464"/>
      <c r="CK455" s="466"/>
      <c r="CL455" s="459"/>
      <c r="CM455" s="450"/>
      <c r="CN455" s="468">
        <f t="shared" si="221"/>
        <v>7</v>
      </c>
      <c r="CO455" s="468">
        <f t="shared" si="222"/>
        <v>2</v>
      </c>
      <c r="CP455" s="469">
        <f t="shared" si="223"/>
        <v>13</v>
      </c>
      <c r="CQ455" s="469">
        <f t="shared" si="224"/>
        <v>2</v>
      </c>
      <c r="CR455" s="463"/>
      <c r="CS455" s="457"/>
      <c r="CT455" s="464"/>
      <c r="CU455" s="464"/>
      <c r="CV455" s="465"/>
      <c r="CW455" s="457"/>
      <c r="CX455" s="464"/>
      <c r="CY455" s="466"/>
      <c r="CZ455" s="465"/>
      <c r="DA455" s="457"/>
      <c r="DB455" s="464"/>
      <c r="DC455" s="466"/>
      <c r="DD455" s="465"/>
      <c r="DE455" s="457"/>
      <c r="DF455" s="464"/>
      <c r="DG455" s="466"/>
      <c r="DH455" s="465"/>
      <c r="DI455" s="457"/>
      <c r="DJ455" s="464"/>
      <c r="DK455" s="466"/>
      <c r="DL455" s="465"/>
      <c r="DM455" s="457"/>
      <c r="DN455" s="464"/>
      <c r="DO455" s="466"/>
      <c r="DP455" s="465"/>
      <c r="DQ455" s="457"/>
      <c r="DR455" s="464"/>
      <c r="DS455" s="466"/>
      <c r="DT455" s="465"/>
      <c r="DU455" s="457"/>
      <c r="DV455" s="464"/>
      <c r="DW455" s="466"/>
      <c r="DX455" s="465"/>
      <c r="DY455" s="457"/>
      <c r="DZ455" s="464"/>
      <c r="EA455" s="466"/>
      <c r="EB455" s="465"/>
      <c r="EC455" s="457"/>
      <c r="ED455" s="464"/>
      <c r="EE455" s="466"/>
      <c r="EF455" s="459"/>
      <c r="EG455" s="450"/>
      <c r="EH455" s="460">
        <f t="shared" si="225"/>
        <v>0</v>
      </c>
      <c r="EI455" s="460">
        <f t="shared" si="226"/>
        <v>0</v>
      </c>
      <c r="EJ455" s="458">
        <f t="shared" si="227"/>
        <v>0</v>
      </c>
      <c r="EK455" s="470">
        <f t="shared" si="228"/>
        <v>0</v>
      </c>
      <c r="EL455" s="470">
        <f t="shared" si="229"/>
        <v>0</v>
      </c>
      <c r="EM455" s="449">
        <f t="shared" si="230"/>
        <v>0</v>
      </c>
      <c r="EN455" s="460">
        <f t="shared" si="231"/>
        <v>7</v>
      </c>
      <c r="EO455" s="469">
        <f t="shared" si="232"/>
        <v>13</v>
      </c>
      <c r="EP455" s="471"/>
      <c r="EQ455" s="450"/>
      <c r="ER455" s="471"/>
      <c r="ES455" s="450"/>
      <c r="ET455" s="471"/>
      <c r="EU455" s="450"/>
      <c r="EV455" s="471"/>
      <c r="EW455" s="450"/>
      <c r="EX455" s="471"/>
      <c r="EY455" s="450"/>
      <c r="EZ455" s="471"/>
      <c r="FA455" s="450"/>
      <c r="FB455" s="471"/>
      <c r="FC455" s="450"/>
      <c r="FD455" s="471"/>
      <c r="FE455" s="450"/>
      <c r="FF455" s="471"/>
      <c r="FG455" s="450"/>
      <c r="FH455" s="472"/>
      <c r="FI455" s="450"/>
      <c r="FJ455" s="468">
        <f t="shared" si="233"/>
        <v>0</v>
      </c>
      <c r="FK455" s="469">
        <f t="shared" si="234"/>
        <v>0</v>
      </c>
      <c r="FL455" s="472"/>
      <c r="FM455" s="450"/>
      <c r="FN455" s="460">
        <f t="shared" si="235"/>
        <v>505</v>
      </c>
      <c r="FO455" s="469">
        <f t="shared" si="236"/>
        <v>537</v>
      </c>
    </row>
    <row r="456" spans="1:171" x14ac:dyDescent="0.2">
      <c r="A456" s="513" t="s">
        <v>1125</v>
      </c>
      <c r="B456" s="520" t="s">
        <v>1136</v>
      </c>
      <c r="C456" s="521"/>
      <c r="D456" s="702">
        <v>218654</v>
      </c>
      <c r="E456" s="703">
        <v>6</v>
      </c>
      <c r="F456" s="532"/>
      <c r="G456" s="450"/>
      <c r="H456" s="457"/>
      <c r="I456" s="450"/>
      <c r="J456" s="457">
        <v>3</v>
      </c>
      <c r="K456" s="742">
        <v>3</v>
      </c>
      <c r="L456" s="458">
        <f t="shared" si="213"/>
        <v>1.3888888888888888E-2</v>
      </c>
      <c r="M456" s="449">
        <f t="shared" si="214"/>
        <v>1.1627906976744186E-2</v>
      </c>
      <c r="N456" s="459">
        <v>216</v>
      </c>
      <c r="O456" s="459">
        <v>22</v>
      </c>
      <c r="P456" s="459"/>
      <c r="Q456" s="459"/>
      <c r="R456" s="460">
        <f t="shared" si="215"/>
        <v>22</v>
      </c>
      <c r="S456" s="461">
        <v>258</v>
      </c>
      <c r="T456" s="461">
        <v>21</v>
      </c>
      <c r="U456" s="461"/>
      <c r="V456" s="461"/>
      <c r="W456" s="462">
        <f t="shared" si="216"/>
        <v>21</v>
      </c>
      <c r="X456" s="463"/>
      <c r="Y456" s="457"/>
      <c r="Z456" s="464"/>
      <c r="AA456" s="464"/>
      <c r="AB456" s="465"/>
      <c r="AC456" s="457"/>
      <c r="AD456" s="464"/>
      <c r="AE456" s="466"/>
      <c r="AF456" s="465"/>
      <c r="AG456" s="457"/>
      <c r="AH456" s="464"/>
      <c r="AI456" s="466"/>
      <c r="AJ456" s="465"/>
      <c r="AK456" s="457"/>
      <c r="AL456" s="464"/>
      <c r="AM456" s="466"/>
      <c r="AN456" s="465"/>
      <c r="AO456" s="457"/>
      <c r="AP456" s="464"/>
      <c r="AQ456" s="464"/>
      <c r="AR456" s="460">
        <f t="shared" si="217"/>
        <v>0</v>
      </c>
      <c r="AS456" s="467">
        <f t="shared" si="218"/>
        <v>0.98630136986301364</v>
      </c>
      <c r="AT456" s="447">
        <f t="shared" si="219"/>
        <v>0</v>
      </c>
      <c r="AU456" s="448">
        <f t="shared" si="220"/>
        <v>0.9885057471264368</v>
      </c>
      <c r="AV456" s="457"/>
      <c r="AW456" s="450"/>
      <c r="AX456" s="463"/>
      <c r="AY456" s="457"/>
      <c r="AZ456" s="464"/>
      <c r="BA456" s="464"/>
      <c r="BB456" s="465"/>
      <c r="BC456" s="457"/>
      <c r="BD456" s="464"/>
      <c r="BE456" s="466"/>
      <c r="BF456" s="465"/>
      <c r="BG456" s="457"/>
      <c r="BH456" s="464"/>
      <c r="BI456" s="466"/>
      <c r="BJ456" s="465"/>
      <c r="BK456" s="457"/>
      <c r="BL456" s="464"/>
      <c r="BM456" s="466"/>
      <c r="BN456" s="465"/>
      <c r="BO456" s="457"/>
      <c r="BP456" s="464"/>
      <c r="BQ456" s="466"/>
      <c r="BR456" s="465"/>
      <c r="BS456" s="457"/>
      <c r="BT456" s="464"/>
      <c r="BU456" s="466"/>
      <c r="BV456" s="465"/>
      <c r="BW456" s="457"/>
      <c r="BX456" s="464"/>
      <c r="BY456" s="466"/>
      <c r="BZ456" s="465"/>
      <c r="CA456" s="457"/>
      <c r="CB456" s="464"/>
      <c r="CC456" s="466"/>
      <c r="CD456" s="465"/>
      <c r="CE456" s="457"/>
      <c r="CF456" s="464"/>
      <c r="CG456" s="466"/>
      <c r="CH456" s="465"/>
      <c r="CI456" s="457"/>
      <c r="CJ456" s="464"/>
      <c r="CK456" s="466"/>
      <c r="CL456" s="459"/>
      <c r="CM456" s="450"/>
      <c r="CN456" s="468">
        <f t="shared" si="221"/>
        <v>0</v>
      </c>
      <c r="CO456" s="468">
        <f t="shared" si="222"/>
        <v>0</v>
      </c>
      <c r="CP456" s="469">
        <f t="shared" si="223"/>
        <v>0</v>
      </c>
      <c r="CQ456" s="469">
        <f t="shared" si="224"/>
        <v>0</v>
      </c>
      <c r="CR456" s="463"/>
      <c r="CS456" s="457"/>
      <c r="CT456" s="464"/>
      <c r="CU456" s="464"/>
      <c r="CV456" s="465"/>
      <c r="CW456" s="457"/>
      <c r="CX456" s="464"/>
      <c r="CY456" s="466"/>
      <c r="CZ456" s="465"/>
      <c r="DA456" s="457"/>
      <c r="DB456" s="464"/>
      <c r="DC456" s="466"/>
      <c r="DD456" s="465"/>
      <c r="DE456" s="457"/>
      <c r="DF456" s="464"/>
      <c r="DG456" s="466"/>
      <c r="DH456" s="465"/>
      <c r="DI456" s="457"/>
      <c r="DJ456" s="464"/>
      <c r="DK456" s="466"/>
      <c r="DL456" s="465"/>
      <c r="DM456" s="457"/>
      <c r="DN456" s="464"/>
      <c r="DO456" s="466"/>
      <c r="DP456" s="465"/>
      <c r="DQ456" s="457"/>
      <c r="DR456" s="464"/>
      <c r="DS456" s="466"/>
      <c r="DT456" s="465"/>
      <c r="DU456" s="457"/>
      <c r="DV456" s="464"/>
      <c r="DW456" s="466"/>
      <c r="DX456" s="465"/>
      <c r="DY456" s="457"/>
      <c r="DZ456" s="464"/>
      <c r="EA456" s="466"/>
      <c r="EB456" s="465"/>
      <c r="EC456" s="457"/>
      <c r="ED456" s="464"/>
      <c r="EE456" s="466"/>
      <c r="EF456" s="459"/>
      <c r="EG456" s="450"/>
      <c r="EH456" s="460">
        <f t="shared" si="225"/>
        <v>0</v>
      </c>
      <c r="EI456" s="460">
        <f t="shared" si="226"/>
        <v>0</v>
      </c>
      <c r="EJ456" s="458">
        <f t="shared" si="227"/>
        <v>0</v>
      </c>
      <c r="EK456" s="470">
        <f t="shared" si="228"/>
        <v>0</v>
      </c>
      <c r="EL456" s="470">
        <f t="shared" si="229"/>
        <v>0</v>
      </c>
      <c r="EM456" s="449">
        <f t="shared" si="230"/>
        <v>0</v>
      </c>
      <c r="EN456" s="460">
        <f t="shared" si="231"/>
        <v>0</v>
      </c>
      <c r="EO456" s="469">
        <f t="shared" si="232"/>
        <v>0</v>
      </c>
      <c r="EP456" s="471"/>
      <c r="EQ456" s="450"/>
      <c r="ER456" s="471"/>
      <c r="ES456" s="450"/>
      <c r="ET456" s="471"/>
      <c r="EU456" s="450"/>
      <c r="EV456" s="471"/>
      <c r="EW456" s="450"/>
      <c r="EX456" s="471"/>
      <c r="EY456" s="450"/>
      <c r="EZ456" s="471"/>
      <c r="FA456" s="450"/>
      <c r="FB456" s="471"/>
      <c r="FC456" s="450"/>
      <c r="FD456" s="471"/>
      <c r="FE456" s="450"/>
      <c r="FF456" s="471"/>
      <c r="FG456" s="450"/>
      <c r="FH456" s="472"/>
      <c r="FI456" s="450"/>
      <c r="FJ456" s="468">
        <f t="shared" si="233"/>
        <v>0</v>
      </c>
      <c r="FK456" s="469">
        <f t="shared" si="234"/>
        <v>0</v>
      </c>
      <c r="FL456" s="472"/>
      <c r="FM456" s="450"/>
      <c r="FN456" s="460">
        <f t="shared" si="235"/>
        <v>219</v>
      </c>
      <c r="FO456" s="469">
        <f t="shared" si="236"/>
        <v>261</v>
      </c>
    </row>
    <row r="457" spans="1:171" x14ac:dyDescent="0.2">
      <c r="A457" s="513" t="s">
        <v>1125</v>
      </c>
      <c r="B457" s="514" t="s">
        <v>1137</v>
      </c>
      <c r="C457" s="515"/>
      <c r="D457" s="702">
        <v>218742</v>
      </c>
      <c r="E457" s="703">
        <v>6</v>
      </c>
      <c r="F457" s="532"/>
      <c r="G457" s="450"/>
      <c r="H457" s="457"/>
      <c r="I457" s="450"/>
      <c r="J457" s="457"/>
      <c r="K457" s="742"/>
      <c r="L457" s="458">
        <f t="shared" si="213"/>
        <v>0</v>
      </c>
      <c r="M457" s="449">
        <f t="shared" si="214"/>
        <v>0</v>
      </c>
      <c r="N457" s="459">
        <v>1078</v>
      </c>
      <c r="O457" s="459">
        <v>216</v>
      </c>
      <c r="P457" s="459"/>
      <c r="Q457" s="459"/>
      <c r="R457" s="460">
        <f t="shared" si="215"/>
        <v>216</v>
      </c>
      <c r="S457" s="461">
        <v>1092</v>
      </c>
      <c r="T457" s="461">
        <v>220</v>
      </c>
      <c r="U457" s="461"/>
      <c r="V457" s="461"/>
      <c r="W457" s="462">
        <f t="shared" si="216"/>
        <v>220</v>
      </c>
      <c r="X457" s="463"/>
      <c r="Y457" s="457"/>
      <c r="Z457" s="464"/>
      <c r="AA457" s="464"/>
      <c r="AB457" s="465"/>
      <c r="AC457" s="457"/>
      <c r="AD457" s="464"/>
      <c r="AE457" s="466"/>
      <c r="AF457" s="465"/>
      <c r="AG457" s="457"/>
      <c r="AH457" s="464"/>
      <c r="AI457" s="466"/>
      <c r="AJ457" s="465"/>
      <c r="AK457" s="457"/>
      <c r="AL457" s="464"/>
      <c r="AM457" s="466"/>
      <c r="AN457" s="465"/>
      <c r="AO457" s="457"/>
      <c r="AP457" s="464"/>
      <c r="AQ457" s="464"/>
      <c r="AR457" s="460">
        <f t="shared" si="217"/>
        <v>0</v>
      </c>
      <c r="AS457" s="467">
        <f t="shared" si="218"/>
        <v>0.9908088235294118</v>
      </c>
      <c r="AT457" s="447">
        <f t="shared" si="219"/>
        <v>0</v>
      </c>
      <c r="AU457" s="448">
        <f t="shared" si="220"/>
        <v>0.98467087466185754</v>
      </c>
      <c r="AV457" s="457">
        <v>2</v>
      </c>
      <c r="AW457" s="450">
        <v>3</v>
      </c>
      <c r="AX457" s="463">
        <v>13</v>
      </c>
      <c r="AY457" s="457">
        <v>8</v>
      </c>
      <c r="AZ457" s="464">
        <v>13</v>
      </c>
      <c r="BA457" s="464">
        <v>14</v>
      </c>
      <c r="BB457" s="465"/>
      <c r="BC457" s="457"/>
      <c r="BD457" s="464"/>
      <c r="BE457" s="466"/>
      <c r="BF457" s="465"/>
      <c r="BG457" s="457"/>
      <c r="BH457" s="464"/>
      <c r="BI457" s="466"/>
      <c r="BJ457" s="465"/>
      <c r="BK457" s="457"/>
      <c r="BL457" s="464"/>
      <c r="BM457" s="466"/>
      <c r="BN457" s="465"/>
      <c r="BO457" s="457"/>
      <c r="BP457" s="464"/>
      <c r="BQ457" s="466"/>
      <c r="BR457" s="465"/>
      <c r="BS457" s="457"/>
      <c r="BT457" s="464"/>
      <c r="BU457" s="466"/>
      <c r="BV457" s="465"/>
      <c r="BW457" s="457"/>
      <c r="BX457" s="464"/>
      <c r="BY457" s="466"/>
      <c r="BZ457" s="465"/>
      <c r="CA457" s="457"/>
      <c r="CB457" s="464"/>
      <c r="CC457" s="466"/>
      <c r="CD457" s="465"/>
      <c r="CE457" s="457"/>
      <c r="CF457" s="464"/>
      <c r="CG457" s="466"/>
      <c r="CH457" s="465"/>
      <c r="CI457" s="457"/>
      <c r="CJ457" s="464"/>
      <c r="CK457" s="466"/>
      <c r="CL457" s="459"/>
      <c r="CM457" s="450"/>
      <c r="CN457" s="468">
        <f t="shared" si="221"/>
        <v>8</v>
      </c>
      <c r="CO457" s="468">
        <f t="shared" si="222"/>
        <v>1</v>
      </c>
      <c r="CP457" s="469">
        <f t="shared" si="223"/>
        <v>14</v>
      </c>
      <c r="CQ457" s="469">
        <f t="shared" si="224"/>
        <v>1</v>
      </c>
      <c r="CR457" s="463"/>
      <c r="CS457" s="457"/>
      <c r="CT457" s="464"/>
      <c r="CU457" s="464"/>
      <c r="CV457" s="465"/>
      <c r="CW457" s="457"/>
      <c r="CX457" s="464"/>
      <c r="CY457" s="466"/>
      <c r="CZ457" s="465"/>
      <c r="DA457" s="457"/>
      <c r="DB457" s="464"/>
      <c r="DC457" s="466"/>
      <c r="DD457" s="465"/>
      <c r="DE457" s="457"/>
      <c r="DF457" s="464"/>
      <c r="DG457" s="466"/>
      <c r="DH457" s="465"/>
      <c r="DI457" s="457"/>
      <c r="DJ457" s="464"/>
      <c r="DK457" s="466"/>
      <c r="DL457" s="465"/>
      <c r="DM457" s="457"/>
      <c r="DN457" s="464"/>
      <c r="DO457" s="466"/>
      <c r="DP457" s="465"/>
      <c r="DQ457" s="457"/>
      <c r="DR457" s="464"/>
      <c r="DS457" s="466"/>
      <c r="DT457" s="465"/>
      <c r="DU457" s="457"/>
      <c r="DV457" s="464"/>
      <c r="DW457" s="466"/>
      <c r="DX457" s="465"/>
      <c r="DY457" s="457"/>
      <c r="DZ457" s="464"/>
      <c r="EA457" s="466"/>
      <c r="EB457" s="465"/>
      <c r="EC457" s="457"/>
      <c r="ED457" s="464"/>
      <c r="EE457" s="466"/>
      <c r="EF457" s="459"/>
      <c r="EG457" s="450"/>
      <c r="EH457" s="460">
        <f t="shared" si="225"/>
        <v>0</v>
      </c>
      <c r="EI457" s="460">
        <f t="shared" si="226"/>
        <v>0</v>
      </c>
      <c r="EJ457" s="458">
        <f t="shared" si="227"/>
        <v>0</v>
      </c>
      <c r="EK457" s="470">
        <f t="shared" si="228"/>
        <v>0</v>
      </c>
      <c r="EL457" s="470">
        <f t="shared" si="229"/>
        <v>0</v>
      </c>
      <c r="EM457" s="449">
        <f t="shared" si="230"/>
        <v>0</v>
      </c>
      <c r="EN457" s="460">
        <f t="shared" si="231"/>
        <v>8</v>
      </c>
      <c r="EO457" s="469">
        <f t="shared" si="232"/>
        <v>14</v>
      </c>
      <c r="EP457" s="471"/>
      <c r="EQ457" s="450"/>
      <c r="ER457" s="471"/>
      <c r="ES457" s="450"/>
      <c r="ET457" s="471"/>
      <c r="EU457" s="450"/>
      <c r="EV457" s="471"/>
      <c r="EW457" s="450"/>
      <c r="EX457" s="471"/>
      <c r="EY457" s="450"/>
      <c r="EZ457" s="471"/>
      <c r="FA457" s="450"/>
      <c r="FB457" s="471"/>
      <c r="FC457" s="450"/>
      <c r="FD457" s="471"/>
      <c r="FE457" s="450"/>
      <c r="FF457" s="471"/>
      <c r="FG457" s="450"/>
      <c r="FH457" s="472"/>
      <c r="FI457" s="450"/>
      <c r="FJ457" s="468">
        <f t="shared" si="233"/>
        <v>0</v>
      </c>
      <c r="FK457" s="469">
        <f t="shared" si="234"/>
        <v>0</v>
      </c>
      <c r="FL457" s="472"/>
      <c r="FM457" s="450"/>
      <c r="FN457" s="460">
        <f t="shared" si="235"/>
        <v>1088</v>
      </c>
      <c r="FO457" s="469">
        <f t="shared" si="236"/>
        <v>1109</v>
      </c>
    </row>
    <row r="458" spans="1:171" x14ac:dyDescent="0.2">
      <c r="A458" s="704" t="s">
        <v>1125</v>
      </c>
      <c r="B458" s="528" t="s">
        <v>1145</v>
      </c>
      <c r="C458" s="708" t="s">
        <v>1276</v>
      </c>
      <c r="D458" s="702">
        <v>218025</v>
      </c>
      <c r="E458" s="709">
        <v>8</v>
      </c>
      <c r="F458" s="532">
        <v>292</v>
      </c>
      <c r="G458" s="450">
        <v>311</v>
      </c>
      <c r="H458" s="457"/>
      <c r="I458" s="450"/>
      <c r="J458" s="457">
        <v>525</v>
      </c>
      <c r="K458" s="742">
        <v>534</v>
      </c>
      <c r="L458" s="458">
        <f t="shared" ref="L458:L521" si="237">IF(N458&gt;0,J458/N458, )</f>
        <v>0</v>
      </c>
      <c r="M458" s="449">
        <f t="shared" ref="M458:M521" si="238">IF(S458&gt;0,K458/S458, )</f>
        <v>0</v>
      </c>
      <c r="N458" s="459"/>
      <c r="O458" s="459"/>
      <c r="P458" s="459"/>
      <c r="Q458" s="459"/>
      <c r="R458" s="460">
        <f t="shared" ref="R458:R521" si="239">SUM(O458:Q458)</f>
        <v>0</v>
      </c>
      <c r="S458" s="461"/>
      <c r="T458" s="461"/>
      <c r="U458" s="461"/>
      <c r="V458" s="461"/>
      <c r="W458" s="462">
        <f t="shared" ref="W458:W521" si="240">SUM(T458:V458)</f>
        <v>0</v>
      </c>
      <c r="X458" s="463"/>
      <c r="Y458" s="457"/>
      <c r="Z458" s="464"/>
      <c r="AA458" s="464"/>
      <c r="AB458" s="465"/>
      <c r="AC458" s="457"/>
      <c r="AD458" s="464"/>
      <c r="AE458" s="466"/>
      <c r="AF458" s="465"/>
      <c r="AG458" s="457"/>
      <c r="AH458" s="464"/>
      <c r="AI458" s="466"/>
      <c r="AJ458" s="465"/>
      <c r="AK458" s="457"/>
      <c r="AL458" s="464"/>
      <c r="AM458" s="466"/>
      <c r="AN458" s="465"/>
      <c r="AO458" s="457"/>
      <c r="AP458" s="464"/>
      <c r="AQ458" s="464"/>
      <c r="AR458" s="460">
        <f t="shared" ref="AR458:AR521" si="241">COUNTA(X458,AB458,AF458,AJ458,AN458)</f>
        <v>0</v>
      </c>
      <c r="AS458" s="467">
        <f t="shared" ref="AS458:AS521" si="242">IF(FN458&gt;0,N458/FN458,)</f>
        <v>0</v>
      </c>
      <c r="AT458" s="447">
        <f t="shared" ref="AT458:AT521" si="243">COUNTA(Z458,AD458,AH458,AL458,AP458)</f>
        <v>0</v>
      </c>
      <c r="AU458" s="448">
        <f t="shared" ref="AU458:AU521" si="244">IF(FO458&gt;0,S458/FO458,)</f>
        <v>0</v>
      </c>
      <c r="AV458" s="457"/>
      <c r="AW458" s="450"/>
      <c r="AX458" s="463"/>
      <c r="AY458" s="457"/>
      <c r="AZ458" s="464"/>
      <c r="BA458" s="464"/>
      <c r="BB458" s="465"/>
      <c r="BC458" s="457"/>
      <c r="BD458" s="464"/>
      <c r="BE458" s="466"/>
      <c r="BF458" s="465"/>
      <c r="BG458" s="457"/>
      <c r="BH458" s="464"/>
      <c r="BI458" s="466"/>
      <c r="BJ458" s="465"/>
      <c r="BK458" s="457"/>
      <c r="BL458" s="464"/>
      <c r="BM458" s="466"/>
      <c r="BN458" s="465"/>
      <c r="BO458" s="457"/>
      <c r="BP458" s="464"/>
      <c r="BQ458" s="466"/>
      <c r="BR458" s="465"/>
      <c r="BS458" s="457"/>
      <c r="BT458" s="464"/>
      <c r="BU458" s="466"/>
      <c r="BV458" s="465"/>
      <c r="BW458" s="457"/>
      <c r="BX458" s="464"/>
      <c r="BY458" s="466"/>
      <c r="BZ458" s="465"/>
      <c r="CA458" s="457"/>
      <c r="CB458" s="464"/>
      <c r="CC458" s="466"/>
      <c r="CD458" s="465"/>
      <c r="CE458" s="457"/>
      <c r="CF458" s="464"/>
      <c r="CG458" s="466"/>
      <c r="CH458" s="465"/>
      <c r="CI458" s="457"/>
      <c r="CJ458" s="464"/>
      <c r="CK458" s="466"/>
      <c r="CL458" s="459"/>
      <c r="CM458" s="450"/>
      <c r="CN458" s="468">
        <f t="shared" ref="CN458:CN521" si="245">AY458+BC458+BG458+BK458+BO458+BS458+BW458+CA458+CE458+CI458+CL458</f>
        <v>0</v>
      </c>
      <c r="CO458" s="468">
        <f t="shared" ref="CO458:CO521" si="246">COUNTA(AX458,BB458,BF458,BJ458,BN458,BR458,BV458,BZ458,CD458,CH458)</f>
        <v>0</v>
      </c>
      <c r="CP458" s="469">
        <f t="shared" ref="CP458:CP521" si="247">BA458+BE458+BI458+BM458+BQ458+BU458+BY458+CC458+CG458+CK458+CM458</f>
        <v>0</v>
      </c>
      <c r="CQ458" s="469">
        <f t="shared" ref="CQ458:CQ521" si="248">COUNTA(AZ458,BD458,BH458,BL458,BP458,BT458,BX458,CB458,CF458,CJ458)</f>
        <v>0</v>
      </c>
      <c r="CR458" s="463"/>
      <c r="CS458" s="457"/>
      <c r="CT458" s="464"/>
      <c r="CU458" s="464"/>
      <c r="CV458" s="465"/>
      <c r="CW458" s="457"/>
      <c r="CX458" s="464"/>
      <c r="CY458" s="466"/>
      <c r="CZ458" s="465"/>
      <c r="DA458" s="457"/>
      <c r="DB458" s="464"/>
      <c r="DC458" s="466"/>
      <c r="DD458" s="465"/>
      <c r="DE458" s="457"/>
      <c r="DF458" s="464"/>
      <c r="DG458" s="466"/>
      <c r="DH458" s="465"/>
      <c r="DI458" s="457"/>
      <c r="DJ458" s="464"/>
      <c r="DK458" s="466"/>
      <c r="DL458" s="465"/>
      <c r="DM458" s="457"/>
      <c r="DN458" s="464"/>
      <c r="DO458" s="466"/>
      <c r="DP458" s="465"/>
      <c r="DQ458" s="457"/>
      <c r="DR458" s="464"/>
      <c r="DS458" s="466"/>
      <c r="DT458" s="465"/>
      <c r="DU458" s="457"/>
      <c r="DV458" s="464"/>
      <c r="DW458" s="466"/>
      <c r="DX458" s="465"/>
      <c r="DY458" s="457"/>
      <c r="DZ458" s="464"/>
      <c r="EA458" s="466"/>
      <c r="EB458" s="465"/>
      <c r="EC458" s="457"/>
      <c r="ED458" s="464"/>
      <c r="EE458" s="466"/>
      <c r="EF458" s="459"/>
      <c r="EG458" s="450"/>
      <c r="EH458" s="460">
        <f t="shared" ref="EH458:EH521" si="249">CS458+CW458+DA458+DE458+DI458+DM458+DQ458+DU458+DY458+EC458+EF458</f>
        <v>0</v>
      </c>
      <c r="EI458" s="460">
        <f t="shared" ref="EI458:EI521" si="250">COUNTA(CR458,CV458,CZ458,DD458,DH458,DL458,DP458,DT458,DX458,EB458)</f>
        <v>0</v>
      </c>
      <c r="EJ458" s="458">
        <f t="shared" ref="EJ458:EJ521" si="251">IF(EH458&gt;0,CS458/EH458,)</f>
        <v>0</v>
      </c>
      <c r="EK458" s="470">
        <f t="shared" ref="EK458:EK521" si="252">CU458+CY458+DC458+DG458+DK458+DO458+DS458+DW458+EA458+EE458+EG458</f>
        <v>0</v>
      </c>
      <c r="EL458" s="470">
        <f t="shared" ref="EL458:EL521" si="253">COUNTA(CT458,CX458,DB458,DF458,DJ458,DN458,DR458,DV458,DZ458,ED458)</f>
        <v>0</v>
      </c>
      <c r="EM458" s="449">
        <f t="shared" ref="EM458:EM521" si="254">IF(EK458&gt;0,CU458/EK458,)</f>
        <v>0</v>
      </c>
      <c r="EN458" s="460">
        <f t="shared" ref="EN458:EN521" si="255">CN458+EH458</f>
        <v>0</v>
      </c>
      <c r="EO458" s="469">
        <f t="shared" ref="EO458:EO521" si="256">CP458+EK458</f>
        <v>0</v>
      </c>
      <c r="EP458" s="471"/>
      <c r="EQ458" s="450"/>
      <c r="ER458" s="471"/>
      <c r="ES458" s="450"/>
      <c r="ET458" s="471"/>
      <c r="EU458" s="450"/>
      <c r="EV458" s="471"/>
      <c r="EW458" s="450"/>
      <c r="EX458" s="471"/>
      <c r="EY458" s="450"/>
      <c r="EZ458" s="471"/>
      <c r="FA458" s="450"/>
      <c r="FB458" s="471"/>
      <c r="FC458" s="450"/>
      <c r="FD458" s="471"/>
      <c r="FE458" s="450"/>
      <c r="FF458" s="471"/>
      <c r="FG458" s="450"/>
      <c r="FH458" s="472"/>
      <c r="FI458" s="450"/>
      <c r="FJ458" s="468">
        <f t="shared" ref="FJ458:FJ521" si="257">EP458+ER458+ET458+EV458+EX458+EZ458+FB458+FD458+FF458+FH458</f>
        <v>0</v>
      </c>
      <c r="FK458" s="469">
        <f t="shared" ref="FK458:FK521" si="258">EQ458+ES458+EU458+EW458+EY458+FA458+FC458+FE458+FG458+FI458</f>
        <v>0</v>
      </c>
      <c r="FL458" s="472"/>
      <c r="FM458" s="450"/>
      <c r="FN458" s="460">
        <f t="shared" ref="FN458:FN521" si="259">F458+H458+J458+N458+AV458+EN458+FJ458+FL458</f>
        <v>817</v>
      </c>
      <c r="FO458" s="469">
        <f t="shared" ref="FO458:FO521" si="260">G458+I458+K458+S458+AW458+EO458+FK458+FM458</f>
        <v>845</v>
      </c>
    </row>
    <row r="459" spans="1:171" x14ac:dyDescent="0.2">
      <c r="A459" s="704" t="s">
        <v>1125</v>
      </c>
      <c r="B459" s="705" t="s">
        <v>1138</v>
      </c>
      <c r="C459" s="706"/>
      <c r="D459" s="702">
        <v>218113</v>
      </c>
      <c r="E459" s="707">
        <v>8</v>
      </c>
      <c r="F459" s="532">
        <v>1765</v>
      </c>
      <c r="G459" s="450">
        <v>1601</v>
      </c>
      <c r="H459" s="457"/>
      <c r="I459" s="450"/>
      <c r="J459" s="457">
        <v>1194</v>
      </c>
      <c r="K459" s="742">
        <v>1223</v>
      </c>
      <c r="L459" s="458">
        <f t="shared" si="237"/>
        <v>0</v>
      </c>
      <c r="M459" s="449">
        <f t="shared" si="238"/>
        <v>0</v>
      </c>
      <c r="N459" s="459"/>
      <c r="O459" s="459"/>
      <c r="P459" s="459"/>
      <c r="Q459" s="459"/>
      <c r="R459" s="460">
        <f t="shared" si="239"/>
        <v>0</v>
      </c>
      <c r="S459" s="461"/>
      <c r="T459" s="461"/>
      <c r="U459" s="461"/>
      <c r="V459" s="461"/>
      <c r="W459" s="462">
        <f t="shared" si="240"/>
        <v>0</v>
      </c>
      <c r="X459" s="463"/>
      <c r="Y459" s="457"/>
      <c r="Z459" s="464"/>
      <c r="AA459" s="464"/>
      <c r="AB459" s="465"/>
      <c r="AC459" s="457"/>
      <c r="AD459" s="464"/>
      <c r="AE459" s="466"/>
      <c r="AF459" s="465"/>
      <c r="AG459" s="457"/>
      <c r="AH459" s="464"/>
      <c r="AI459" s="466"/>
      <c r="AJ459" s="465"/>
      <c r="AK459" s="457"/>
      <c r="AL459" s="464"/>
      <c r="AM459" s="466"/>
      <c r="AN459" s="465"/>
      <c r="AO459" s="457"/>
      <c r="AP459" s="464"/>
      <c r="AQ459" s="464"/>
      <c r="AR459" s="460">
        <f t="shared" si="241"/>
        <v>0</v>
      </c>
      <c r="AS459" s="467">
        <f t="shared" si="242"/>
        <v>0</v>
      </c>
      <c r="AT459" s="447">
        <f t="shared" si="243"/>
        <v>0</v>
      </c>
      <c r="AU459" s="448">
        <f t="shared" si="244"/>
        <v>0</v>
      </c>
      <c r="AV459" s="457"/>
      <c r="AW459" s="450"/>
      <c r="AX459" s="463"/>
      <c r="AY459" s="457"/>
      <c r="AZ459" s="464"/>
      <c r="BA459" s="464"/>
      <c r="BB459" s="465"/>
      <c r="BC459" s="457"/>
      <c r="BD459" s="464"/>
      <c r="BE459" s="466"/>
      <c r="BF459" s="465"/>
      <c r="BG459" s="457"/>
      <c r="BH459" s="464"/>
      <c r="BI459" s="466"/>
      <c r="BJ459" s="465"/>
      <c r="BK459" s="457"/>
      <c r="BL459" s="464"/>
      <c r="BM459" s="466"/>
      <c r="BN459" s="465"/>
      <c r="BO459" s="457"/>
      <c r="BP459" s="464"/>
      <c r="BQ459" s="466"/>
      <c r="BR459" s="465"/>
      <c r="BS459" s="457"/>
      <c r="BT459" s="464"/>
      <c r="BU459" s="466"/>
      <c r="BV459" s="465"/>
      <c r="BW459" s="457"/>
      <c r="BX459" s="464"/>
      <c r="BY459" s="466"/>
      <c r="BZ459" s="465"/>
      <c r="CA459" s="457"/>
      <c r="CB459" s="464"/>
      <c r="CC459" s="466"/>
      <c r="CD459" s="465"/>
      <c r="CE459" s="457"/>
      <c r="CF459" s="464"/>
      <c r="CG459" s="466"/>
      <c r="CH459" s="465"/>
      <c r="CI459" s="457"/>
      <c r="CJ459" s="464"/>
      <c r="CK459" s="466"/>
      <c r="CL459" s="459"/>
      <c r="CM459" s="450"/>
      <c r="CN459" s="468">
        <f t="shared" si="245"/>
        <v>0</v>
      </c>
      <c r="CO459" s="468">
        <f t="shared" si="246"/>
        <v>0</v>
      </c>
      <c r="CP459" s="469">
        <f t="shared" si="247"/>
        <v>0</v>
      </c>
      <c r="CQ459" s="469">
        <f t="shared" si="248"/>
        <v>0</v>
      </c>
      <c r="CR459" s="463"/>
      <c r="CS459" s="457"/>
      <c r="CT459" s="464"/>
      <c r="CU459" s="464"/>
      <c r="CV459" s="465"/>
      <c r="CW459" s="457"/>
      <c r="CX459" s="464"/>
      <c r="CY459" s="466"/>
      <c r="CZ459" s="465"/>
      <c r="DA459" s="457"/>
      <c r="DB459" s="464"/>
      <c r="DC459" s="466"/>
      <c r="DD459" s="465"/>
      <c r="DE459" s="457"/>
      <c r="DF459" s="464"/>
      <c r="DG459" s="466"/>
      <c r="DH459" s="465"/>
      <c r="DI459" s="457"/>
      <c r="DJ459" s="464"/>
      <c r="DK459" s="466"/>
      <c r="DL459" s="465"/>
      <c r="DM459" s="457"/>
      <c r="DN459" s="464"/>
      <c r="DO459" s="466"/>
      <c r="DP459" s="465"/>
      <c r="DQ459" s="457"/>
      <c r="DR459" s="464"/>
      <c r="DS459" s="466"/>
      <c r="DT459" s="465"/>
      <c r="DU459" s="457"/>
      <c r="DV459" s="464"/>
      <c r="DW459" s="466"/>
      <c r="DX459" s="465"/>
      <c r="DY459" s="457"/>
      <c r="DZ459" s="464"/>
      <c r="EA459" s="466"/>
      <c r="EB459" s="465"/>
      <c r="EC459" s="457"/>
      <c r="ED459" s="464"/>
      <c r="EE459" s="466"/>
      <c r="EF459" s="459"/>
      <c r="EG459" s="450"/>
      <c r="EH459" s="460">
        <f t="shared" si="249"/>
        <v>0</v>
      </c>
      <c r="EI459" s="460">
        <f t="shared" si="250"/>
        <v>0</v>
      </c>
      <c r="EJ459" s="458">
        <f t="shared" si="251"/>
        <v>0</v>
      </c>
      <c r="EK459" s="470">
        <f t="shared" si="252"/>
        <v>0</v>
      </c>
      <c r="EL459" s="470">
        <f t="shared" si="253"/>
        <v>0</v>
      </c>
      <c r="EM459" s="449">
        <f t="shared" si="254"/>
        <v>0</v>
      </c>
      <c r="EN459" s="460">
        <f t="shared" si="255"/>
        <v>0</v>
      </c>
      <c r="EO459" s="469">
        <f t="shared" si="256"/>
        <v>0</v>
      </c>
      <c r="EP459" s="471"/>
      <c r="EQ459" s="450"/>
      <c r="ER459" s="471"/>
      <c r="ES459" s="450"/>
      <c r="ET459" s="471"/>
      <c r="EU459" s="450"/>
      <c r="EV459" s="471"/>
      <c r="EW459" s="450"/>
      <c r="EX459" s="471"/>
      <c r="EY459" s="450"/>
      <c r="EZ459" s="471"/>
      <c r="FA459" s="450"/>
      <c r="FB459" s="471"/>
      <c r="FC459" s="450"/>
      <c r="FD459" s="471"/>
      <c r="FE459" s="450"/>
      <c r="FF459" s="471"/>
      <c r="FG459" s="450"/>
      <c r="FH459" s="472"/>
      <c r="FI459" s="450"/>
      <c r="FJ459" s="468">
        <f t="shared" si="257"/>
        <v>0</v>
      </c>
      <c r="FK459" s="469">
        <f t="shared" si="258"/>
        <v>0</v>
      </c>
      <c r="FL459" s="472"/>
      <c r="FM459" s="450"/>
      <c r="FN459" s="460">
        <f t="shared" si="259"/>
        <v>2959</v>
      </c>
      <c r="FO459" s="469">
        <f t="shared" si="260"/>
        <v>2824</v>
      </c>
    </row>
    <row r="460" spans="1:171" x14ac:dyDescent="0.2">
      <c r="A460" s="704" t="s">
        <v>1125</v>
      </c>
      <c r="B460" s="528" t="s">
        <v>1139</v>
      </c>
      <c r="C460" s="708"/>
      <c r="D460" s="702">
        <v>218140</v>
      </c>
      <c r="E460" s="845">
        <v>8</v>
      </c>
      <c r="F460" s="532">
        <v>747</v>
      </c>
      <c r="G460" s="450">
        <v>611</v>
      </c>
      <c r="H460" s="457"/>
      <c r="I460" s="450"/>
      <c r="J460" s="457">
        <v>735</v>
      </c>
      <c r="K460" s="742">
        <v>867</v>
      </c>
      <c r="L460" s="458">
        <f t="shared" si="237"/>
        <v>0</v>
      </c>
      <c r="M460" s="449">
        <f t="shared" si="238"/>
        <v>0</v>
      </c>
      <c r="N460" s="459"/>
      <c r="O460" s="459"/>
      <c r="P460" s="459"/>
      <c r="Q460" s="459"/>
      <c r="R460" s="460">
        <f t="shared" si="239"/>
        <v>0</v>
      </c>
      <c r="S460" s="461"/>
      <c r="T460" s="461"/>
      <c r="U460" s="461"/>
      <c r="V460" s="461"/>
      <c r="W460" s="462">
        <f t="shared" si="240"/>
        <v>0</v>
      </c>
      <c r="X460" s="463"/>
      <c r="Y460" s="457"/>
      <c r="Z460" s="464"/>
      <c r="AA460" s="464"/>
      <c r="AB460" s="465"/>
      <c r="AC460" s="457"/>
      <c r="AD460" s="464"/>
      <c r="AE460" s="466"/>
      <c r="AF460" s="465"/>
      <c r="AG460" s="457"/>
      <c r="AH460" s="464"/>
      <c r="AI460" s="466"/>
      <c r="AJ460" s="465"/>
      <c r="AK460" s="457"/>
      <c r="AL460" s="464"/>
      <c r="AM460" s="466"/>
      <c r="AN460" s="465"/>
      <c r="AO460" s="457"/>
      <c r="AP460" s="464"/>
      <c r="AQ460" s="464"/>
      <c r="AR460" s="460">
        <f t="shared" si="241"/>
        <v>0</v>
      </c>
      <c r="AS460" s="467">
        <f t="shared" si="242"/>
        <v>0</v>
      </c>
      <c r="AT460" s="447">
        <f t="shared" si="243"/>
        <v>0</v>
      </c>
      <c r="AU460" s="448">
        <f t="shared" si="244"/>
        <v>0</v>
      </c>
      <c r="AV460" s="457"/>
      <c r="AW460" s="450"/>
      <c r="AX460" s="463"/>
      <c r="AY460" s="457"/>
      <c r="AZ460" s="464"/>
      <c r="BA460" s="464"/>
      <c r="BB460" s="465"/>
      <c r="BC460" s="457"/>
      <c r="BD460" s="464"/>
      <c r="BE460" s="466"/>
      <c r="BF460" s="465"/>
      <c r="BG460" s="457"/>
      <c r="BH460" s="464"/>
      <c r="BI460" s="466"/>
      <c r="BJ460" s="465"/>
      <c r="BK460" s="457"/>
      <c r="BL460" s="464"/>
      <c r="BM460" s="466"/>
      <c r="BN460" s="465"/>
      <c r="BO460" s="457"/>
      <c r="BP460" s="464"/>
      <c r="BQ460" s="466"/>
      <c r="BR460" s="465"/>
      <c r="BS460" s="457"/>
      <c r="BT460" s="464"/>
      <c r="BU460" s="466"/>
      <c r="BV460" s="465"/>
      <c r="BW460" s="457"/>
      <c r="BX460" s="464"/>
      <c r="BY460" s="466"/>
      <c r="BZ460" s="465"/>
      <c r="CA460" s="457"/>
      <c r="CB460" s="464"/>
      <c r="CC460" s="466"/>
      <c r="CD460" s="465"/>
      <c r="CE460" s="457"/>
      <c r="CF460" s="464"/>
      <c r="CG460" s="466"/>
      <c r="CH460" s="465"/>
      <c r="CI460" s="457"/>
      <c r="CJ460" s="464"/>
      <c r="CK460" s="466"/>
      <c r="CL460" s="459"/>
      <c r="CM460" s="450"/>
      <c r="CN460" s="468">
        <f t="shared" si="245"/>
        <v>0</v>
      </c>
      <c r="CO460" s="468">
        <f t="shared" si="246"/>
        <v>0</v>
      </c>
      <c r="CP460" s="469">
        <f t="shared" si="247"/>
        <v>0</v>
      </c>
      <c r="CQ460" s="469">
        <f t="shared" si="248"/>
        <v>0</v>
      </c>
      <c r="CR460" s="463"/>
      <c r="CS460" s="457"/>
      <c r="CT460" s="464"/>
      <c r="CU460" s="464"/>
      <c r="CV460" s="465"/>
      <c r="CW460" s="457"/>
      <c r="CX460" s="464"/>
      <c r="CY460" s="466"/>
      <c r="CZ460" s="465"/>
      <c r="DA460" s="457"/>
      <c r="DB460" s="464"/>
      <c r="DC460" s="466"/>
      <c r="DD460" s="465"/>
      <c r="DE460" s="457"/>
      <c r="DF460" s="464"/>
      <c r="DG460" s="466"/>
      <c r="DH460" s="465"/>
      <c r="DI460" s="457"/>
      <c r="DJ460" s="464"/>
      <c r="DK460" s="466"/>
      <c r="DL460" s="465"/>
      <c r="DM460" s="457"/>
      <c r="DN460" s="464"/>
      <c r="DO460" s="466"/>
      <c r="DP460" s="465"/>
      <c r="DQ460" s="457"/>
      <c r="DR460" s="464"/>
      <c r="DS460" s="466"/>
      <c r="DT460" s="465"/>
      <c r="DU460" s="457"/>
      <c r="DV460" s="464"/>
      <c r="DW460" s="466"/>
      <c r="DX460" s="465"/>
      <c r="DY460" s="457"/>
      <c r="DZ460" s="464"/>
      <c r="EA460" s="466"/>
      <c r="EB460" s="465"/>
      <c r="EC460" s="457"/>
      <c r="ED460" s="464"/>
      <c r="EE460" s="466"/>
      <c r="EF460" s="459"/>
      <c r="EG460" s="450"/>
      <c r="EH460" s="460">
        <f t="shared" si="249"/>
        <v>0</v>
      </c>
      <c r="EI460" s="460">
        <f t="shared" si="250"/>
        <v>0</v>
      </c>
      <c r="EJ460" s="458">
        <f t="shared" si="251"/>
        <v>0</v>
      </c>
      <c r="EK460" s="470">
        <f t="shared" si="252"/>
        <v>0</v>
      </c>
      <c r="EL460" s="470">
        <f t="shared" si="253"/>
        <v>0</v>
      </c>
      <c r="EM460" s="449">
        <f t="shared" si="254"/>
        <v>0</v>
      </c>
      <c r="EN460" s="460">
        <f t="shared" si="255"/>
        <v>0</v>
      </c>
      <c r="EO460" s="469">
        <f t="shared" si="256"/>
        <v>0</v>
      </c>
      <c r="EP460" s="471"/>
      <c r="EQ460" s="450"/>
      <c r="ER460" s="471"/>
      <c r="ES460" s="450"/>
      <c r="ET460" s="471"/>
      <c r="EU460" s="450"/>
      <c r="EV460" s="471"/>
      <c r="EW460" s="450"/>
      <c r="EX460" s="471"/>
      <c r="EY460" s="450"/>
      <c r="EZ460" s="471"/>
      <c r="FA460" s="450"/>
      <c r="FB460" s="471"/>
      <c r="FC460" s="450"/>
      <c r="FD460" s="471"/>
      <c r="FE460" s="450"/>
      <c r="FF460" s="471"/>
      <c r="FG460" s="450"/>
      <c r="FH460" s="472"/>
      <c r="FI460" s="450"/>
      <c r="FJ460" s="468">
        <f t="shared" si="257"/>
        <v>0</v>
      </c>
      <c r="FK460" s="469">
        <f t="shared" si="258"/>
        <v>0</v>
      </c>
      <c r="FL460" s="472"/>
      <c r="FM460" s="450"/>
      <c r="FN460" s="460">
        <f t="shared" si="259"/>
        <v>1482</v>
      </c>
      <c r="FO460" s="469">
        <f t="shared" si="260"/>
        <v>1478</v>
      </c>
    </row>
    <row r="461" spans="1:171" x14ac:dyDescent="0.2">
      <c r="A461" s="704" t="s">
        <v>1125</v>
      </c>
      <c r="B461" s="705" t="s">
        <v>1140</v>
      </c>
      <c r="C461" s="706"/>
      <c r="D461" s="702">
        <v>218353</v>
      </c>
      <c r="E461" s="707">
        <v>8</v>
      </c>
      <c r="F461" s="532">
        <v>908</v>
      </c>
      <c r="G461" s="450">
        <v>1017</v>
      </c>
      <c r="H461" s="457"/>
      <c r="I461" s="450"/>
      <c r="J461" s="457">
        <v>1006</v>
      </c>
      <c r="K461" s="742">
        <v>1144</v>
      </c>
      <c r="L461" s="458">
        <f t="shared" si="237"/>
        <v>0</v>
      </c>
      <c r="M461" s="449">
        <f t="shared" si="238"/>
        <v>0</v>
      </c>
      <c r="N461" s="459"/>
      <c r="O461" s="459"/>
      <c r="P461" s="459"/>
      <c r="Q461" s="459"/>
      <c r="R461" s="460">
        <f t="shared" si="239"/>
        <v>0</v>
      </c>
      <c r="S461" s="461"/>
      <c r="T461" s="461"/>
      <c r="U461" s="461"/>
      <c r="V461" s="461"/>
      <c r="W461" s="462">
        <f t="shared" si="240"/>
        <v>0</v>
      </c>
      <c r="X461" s="463"/>
      <c r="Y461" s="457"/>
      <c r="Z461" s="464"/>
      <c r="AA461" s="464"/>
      <c r="AB461" s="465"/>
      <c r="AC461" s="457"/>
      <c r="AD461" s="464"/>
      <c r="AE461" s="466"/>
      <c r="AF461" s="465"/>
      <c r="AG461" s="457"/>
      <c r="AH461" s="464"/>
      <c r="AI461" s="466"/>
      <c r="AJ461" s="465"/>
      <c r="AK461" s="457"/>
      <c r="AL461" s="464"/>
      <c r="AM461" s="466"/>
      <c r="AN461" s="465"/>
      <c r="AO461" s="457"/>
      <c r="AP461" s="464"/>
      <c r="AQ461" s="464"/>
      <c r="AR461" s="460">
        <f t="shared" si="241"/>
        <v>0</v>
      </c>
      <c r="AS461" s="467">
        <f t="shared" si="242"/>
        <v>0</v>
      </c>
      <c r="AT461" s="447">
        <f t="shared" si="243"/>
        <v>0</v>
      </c>
      <c r="AU461" s="448">
        <f t="shared" si="244"/>
        <v>0</v>
      </c>
      <c r="AV461" s="457"/>
      <c r="AW461" s="450"/>
      <c r="AX461" s="463"/>
      <c r="AY461" s="457"/>
      <c r="AZ461" s="464"/>
      <c r="BA461" s="464"/>
      <c r="BB461" s="465"/>
      <c r="BC461" s="457"/>
      <c r="BD461" s="464"/>
      <c r="BE461" s="466"/>
      <c r="BF461" s="465"/>
      <c r="BG461" s="457"/>
      <c r="BH461" s="464"/>
      <c r="BI461" s="466"/>
      <c r="BJ461" s="465"/>
      <c r="BK461" s="457"/>
      <c r="BL461" s="464"/>
      <c r="BM461" s="466"/>
      <c r="BN461" s="465"/>
      <c r="BO461" s="457"/>
      <c r="BP461" s="464"/>
      <c r="BQ461" s="466"/>
      <c r="BR461" s="465"/>
      <c r="BS461" s="457"/>
      <c r="BT461" s="464"/>
      <c r="BU461" s="466"/>
      <c r="BV461" s="465"/>
      <c r="BW461" s="457"/>
      <c r="BX461" s="464"/>
      <c r="BY461" s="466"/>
      <c r="BZ461" s="465"/>
      <c r="CA461" s="457"/>
      <c r="CB461" s="464"/>
      <c r="CC461" s="466"/>
      <c r="CD461" s="465"/>
      <c r="CE461" s="457"/>
      <c r="CF461" s="464"/>
      <c r="CG461" s="466"/>
      <c r="CH461" s="465"/>
      <c r="CI461" s="457"/>
      <c r="CJ461" s="464"/>
      <c r="CK461" s="466"/>
      <c r="CL461" s="459"/>
      <c r="CM461" s="450"/>
      <c r="CN461" s="468">
        <f t="shared" si="245"/>
        <v>0</v>
      </c>
      <c r="CO461" s="468">
        <f t="shared" si="246"/>
        <v>0</v>
      </c>
      <c r="CP461" s="469">
        <f t="shared" si="247"/>
        <v>0</v>
      </c>
      <c r="CQ461" s="469">
        <f t="shared" si="248"/>
        <v>0</v>
      </c>
      <c r="CR461" s="463"/>
      <c r="CS461" s="457"/>
      <c r="CT461" s="464"/>
      <c r="CU461" s="464"/>
      <c r="CV461" s="465"/>
      <c r="CW461" s="457"/>
      <c r="CX461" s="464"/>
      <c r="CY461" s="466"/>
      <c r="CZ461" s="465"/>
      <c r="DA461" s="457"/>
      <c r="DB461" s="464"/>
      <c r="DC461" s="466"/>
      <c r="DD461" s="465"/>
      <c r="DE461" s="457"/>
      <c r="DF461" s="464"/>
      <c r="DG461" s="466"/>
      <c r="DH461" s="465"/>
      <c r="DI461" s="457"/>
      <c r="DJ461" s="464"/>
      <c r="DK461" s="466"/>
      <c r="DL461" s="465"/>
      <c r="DM461" s="457"/>
      <c r="DN461" s="464"/>
      <c r="DO461" s="466"/>
      <c r="DP461" s="465"/>
      <c r="DQ461" s="457"/>
      <c r="DR461" s="464"/>
      <c r="DS461" s="466"/>
      <c r="DT461" s="465"/>
      <c r="DU461" s="457"/>
      <c r="DV461" s="464"/>
      <c r="DW461" s="466"/>
      <c r="DX461" s="465"/>
      <c r="DY461" s="457"/>
      <c r="DZ461" s="464"/>
      <c r="EA461" s="466"/>
      <c r="EB461" s="465"/>
      <c r="EC461" s="457"/>
      <c r="ED461" s="464"/>
      <c r="EE461" s="466"/>
      <c r="EF461" s="459"/>
      <c r="EG461" s="450"/>
      <c r="EH461" s="460">
        <f t="shared" si="249"/>
        <v>0</v>
      </c>
      <c r="EI461" s="460">
        <f t="shared" si="250"/>
        <v>0</v>
      </c>
      <c r="EJ461" s="458">
        <f t="shared" si="251"/>
        <v>0</v>
      </c>
      <c r="EK461" s="470">
        <f t="shared" si="252"/>
        <v>0</v>
      </c>
      <c r="EL461" s="470">
        <f t="shared" si="253"/>
        <v>0</v>
      </c>
      <c r="EM461" s="449">
        <f t="shared" si="254"/>
        <v>0</v>
      </c>
      <c r="EN461" s="460">
        <f t="shared" si="255"/>
        <v>0</v>
      </c>
      <c r="EO461" s="469">
        <f t="shared" si="256"/>
        <v>0</v>
      </c>
      <c r="EP461" s="471"/>
      <c r="EQ461" s="450"/>
      <c r="ER461" s="471"/>
      <c r="ES461" s="450"/>
      <c r="ET461" s="471"/>
      <c r="EU461" s="450"/>
      <c r="EV461" s="471"/>
      <c r="EW461" s="450"/>
      <c r="EX461" s="471"/>
      <c r="EY461" s="450"/>
      <c r="EZ461" s="471"/>
      <c r="FA461" s="450"/>
      <c r="FB461" s="471"/>
      <c r="FC461" s="450"/>
      <c r="FD461" s="471"/>
      <c r="FE461" s="450"/>
      <c r="FF461" s="471"/>
      <c r="FG461" s="450"/>
      <c r="FH461" s="472"/>
      <c r="FI461" s="450"/>
      <c r="FJ461" s="468">
        <f t="shared" si="257"/>
        <v>0</v>
      </c>
      <c r="FK461" s="469">
        <f t="shared" si="258"/>
        <v>0</v>
      </c>
      <c r="FL461" s="472"/>
      <c r="FM461" s="450"/>
      <c r="FN461" s="460">
        <f t="shared" si="259"/>
        <v>1914</v>
      </c>
      <c r="FO461" s="469">
        <f t="shared" si="260"/>
        <v>2161</v>
      </c>
    </row>
    <row r="462" spans="1:171" x14ac:dyDescent="0.2">
      <c r="A462" s="704" t="s">
        <v>1125</v>
      </c>
      <c r="B462" s="528" t="s">
        <v>1147</v>
      </c>
      <c r="C462" s="708" t="s">
        <v>1276</v>
      </c>
      <c r="D462" s="702">
        <v>218520</v>
      </c>
      <c r="E462" s="709">
        <v>8</v>
      </c>
      <c r="F462" s="532">
        <v>499</v>
      </c>
      <c r="G462" s="450">
        <v>577</v>
      </c>
      <c r="H462" s="457"/>
      <c r="I462" s="450"/>
      <c r="J462" s="457">
        <v>582</v>
      </c>
      <c r="K462" s="742">
        <v>580</v>
      </c>
      <c r="L462" s="458">
        <f t="shared" si="237"/>
        <v>0</v>
      </c>
      <c r="M462" s="449">
        <f t="shared" si="238"/>
        <v>0</v>
      </c>
      <c r="N462" s="459"/>
      <c r="O462" s="459"/>
      <c r="P462" s="459"/>
      <c r="Q462" s="459"/>
      <c r="R462" s="460">
        <f t="shared" si="239"/>
        <v>0</v>
      </c>
      <c r="S462" s="461"/>
      <c r="T462" s="461"/>
      <c r="U462" s="461"/>
      <c r="V462" s="461"/>
      <c r="W462" s="462">
        <f t="shared" si="240"/>
        <v>0</v>
      </c>
      <c r="X462" s="463"/>
      <c r="Y462" s="457"/>
      <c r="Z462" s="464"/>
      <c r="AA462" s="464"/>
      <c r="AB462" s="465"/>
      <c r="AC462" s="457"/>
      <c r="AD462" s="464"/>
      <c r="AE462" s="466"/>
      <c r="AF462" s="465"/>
      <c r="AG462" s="457"/>
      <c r="AH462" s="464"/>
      <c r="AI462" s="466"/>
      <c r="AJ462" s="465"/>
      <c r="AK462" s="457"/>
      <c r="AL462" s="464"/>
      <c r="AM462" s="466"/>
      <c r="AN462" s="465"/>
      <c r="AO462" s="457"/>
      <c r="AP462" s="464"/>
      <c r="AQ462" s="464"/>
      <c r="AR462" s="460">
        <f t="shared" si="241"/>
        <v>0</v>
      </c>
      <c r="AS462" s="467">
        <f t="shared" si="242"/>
        <v>0</v>
      </c>
      <c r="AT462" s="447">
        <f t="shared" si="243"/>
        <v>0</v>
      </c>
      <c r="AU462" s="448">
        <f t="shared" si="244"/>
        <v>0</v>
      </c>
      <c r="AV462" s="457"/>
      <c r="AW462" s="450"/>
      <c r="AX462" s="463"/>
      <c r="AY462" s="457"/>
      <c r="AZ462" s="464"/>
      <c r="BA462" s="464"/>
      <c r="BB462" s="465"/>
      <c r="BC462" s="457"/>
      <c r="BD462" s="464"/>
      <c r="BE462" s="466"/>
      <c r="BF462" s="465"/>
      <c r="BG462" s="457"/>
      <c r="BH462" s="464"/>
      <c r="BI462" s="466"/>
      <c r="BJ462" s="465"/>
      <c r="BK462" s="457"/>
      <c r="BL462" s="464"/>
      <c r="BM462" s="466"/>
      <c r="BN462" s="465"/>
      <c r="BO462" s="457"/>
      <c r="BP462" s="464"/>
      <c r="BQ462" s="466"/>
      <c r="BR462" s="465"/>
      <c r="BS462" s="457"/>
      <c r="BT462" s="464"/>
      <c r="BU462" s="466"/>
      <c r="BV462" s="465"/>
      <c r="BW462" s="457"/>
      <c r="BX462" s="464"/>
      <c r="BY462" s="466"/>
      <c r="BZ462" s="465"/>
      <c r="CA462" s="457"/>
      <c r="CB462" s="464"/>
      <c r="CC462" s="466"/>
      <c r="CD462" s="465"/>
      <c r="CE462" s="457"/>
      <c r="CF462" s="464"/>
      <c r="CG462" s="466"/>
      <c r="CH462" s="465"/>
      <c r="CI462" s="457"/>
      <c r="CJ462" s="464"/>
      <c r="CK462" s="466"/>
      <c r="CL462" s="459"/>
      <c r="CM462" s="450"/>
      <c r="CN462" s="468">
        <f t="shared" si="245"/>
        <v>0</v>
      </c>
      <c r="CO462" s="468">
        <f t="shared" si="246"/>
        <v>0</v>
      </c>
      <c r="CP462" s="469">
        <f t="shared" si="247"/>
        <v>0</v>
      </c>
      <c r="CQ462" s="469">
        <f t="shared" si="248"/>
        <v>0</v>
      </c>
      <c r="CR462" s="463"/>
      <c r="CS462" s="457"/>
      <c r="CT462" s="464"/>
      <c r="CU462" s="464"/>
      <c r="CV462" s="465"/>
      <c r="CW462" s="457"/>
      <c r="CX462" s="464"/>
      <c r="CY462" s="466"/>
      <c r="CZ462" s="465"/>
      <c r="DA462" s="457"/>
      <c r="DB462" s="464"/>
      <c r="DC462" s="466"/>
      <c r="DD462" s="465"/>
      <c r="DE462" s="457"/>
      <c r="DF462" s="464"/>
      <c r="DG462" s="466"/>
      <c r="DH462" s="465"/>
      <c r="DI462" s="457"/>
      <c r="DJ462" s="464"/>
      <c r="DK462" s="466"/>
      <c r="DL462" s="465"/>
      <c r="DM462" s="457"/>
      <c r="DN462" s="464"/>
      <c r="DO462" s="466"/>
      <c r="DP462" s="465"/>
      <c r="DQ462" s="457"/>
      <c r="DR462" s="464"/>
      <c r="DS462" s="466"/>
      <c r="DT462" s="465"/>
      <c r="DU462" s="457"/>
      <c r="DV462" s="464"/>
      <c r="DW462" s="466"/>
      <c r="DX462" s="465"/>
      <c r="DY462" s="457"/>
      <c r="DZ462" s="464"/>
      <c r="EA462" s="466"/>
      <c r="EB462" s="465"/>
      <c r="EC462" s="457"/>
      <c r="ED462" s="464"/>
      <c r="EE462" s="466"/>
      <c r="EF462" s="459"/>
      <c r="EG462" s="450"/>
      <c r="EH462" s="460">
        <f t="shared" si="249"/>
        <v>0</v>
      </c>
      <c r="EI462" s="460">
        <f t="shared" si="250"/>
        <v>0</v>
      </c>
      <c r="EJ462" s="458">
        <f t="shared" si="251"/>
        <v>0</v>
      </c>
      <c r="EK462" s="470">
        <f t="shared" si="252"/>
        <v>0</v>
      </c>
      <c r="EL462" s="470">
        <f t="shared" si="253"/>
        <v>0</v>
      </c>
      <c r="EM462" s="449">
        <f t="shared" si="254"/>
        <v>0</v>
      </c>
      <c r="EN462" s="460">
        <f t="shared" si="255"/>
        <v>0</v>
      </c>
      <c r="EO462" s="469">
        <f t="shared" si="256"/>
        <v>0</v>
      </c>
      <c r="EP462" s="471"/>
      <c r="EQ462" s="450"/>
      <c r="ER462" s="471"/>
      <c r="ES462" s="450"/>
      <c r="ET462" s="471"/>
      <c r="EU462" s="450"/>
      <c r="EV462" s="471"/>
      <c r="EW462" s="450"/>
      <c r="EX462" s="471"/>
      <c r="EY462" s="450"/>
      <c r="EZ462" s="471"/>
      <c r="FA462" s="450"/>
      <c r="FB462" s="471"/>
      <c r="FC462" s="450"/>
      <c r="FD462" s="471"/>
      <c r="FE462" s="450"/>
      <c r="FF462" s="471"/>
      <c r="FG462" s="450"/>
      <c r="FH462" s="472"/>
      <c r="FI462" s="450"/>
      <c r="FJ462" s="468">
        <f t="shared" si="257"/>
        <v>0</v>
      </c>
      <c r="FK462" s="469">
        <f t="shared" si="258"/>
        <v>0</v>
      </c>
      <c r="FL462" s="472"/>
      <c r="FM462" s="450"/>
      <c r="FN462" s="460">
        <f t="shared" si="259"/>
        <v>1081</v>
      </c>
      <c r="FO462" s="469">
        <f t="shared" si="260"/>
        <v>1157</v>
      </c>
    </row>
    <row r="463" spans="1:171" x14ac:dyDescent="0.2">
      <c r="A463" s="704" t="s">
        <v>1125</v>
      </c>
      <c r="B463" s="514" t="s">
        <v>1141</v>
      </c>
      <c r="C463" s="708"/>
      <c r="D463" s="702">
        <v>218885</v>
      </c>
      <c r="E463" s="845">
        <v>8</v>
      </c>
      <c r="F463" s="532">
        <v>462</v>
      </c>
      <c r="G463" s="450">
        <v>714</v>
      </c>
      <c r="H463" s="457"/>
      <c r="I463" s="450"/>
      <c r="J463" s="457">
        <v>598</v>
      </c>
      <c r="K463" s="742">
        <v>597</v>
      </c>
      <c r="L463" s="458">
        <f t="shared" si="237"/>
        <v>0</v>
      </c>
      <c r="M463" s="449">
        <f t="shared" si="238"/>
        <v>0</v>
      </c>
      <c r="N463" s="459"/>
      <c r="O463" s="459"/>
      <c r="P463" s="459"/>
      <c r="Q463" s="459"/>
      <c r="R463" s="460">
        <f t="shared" si="239"/>
        <v>0</v>
      </c>
      <c r="S463" s="461"/>
      <c r="T463" s="461"/>
      <c r="U463" s="461"/>
      <c r="V463" s="461"/>
      <c r="W463" s="462">
        <f t="shared" si="240"/>
        <v>0</v>
      </c>
      <c r="X463" s="463"/>
      <c r="Y463" s="457"/>
      <c r="Z463" s="464"/>
      <c r="AA463" s="464"/>
      <c r="AB463" s="465"/>
      <c r="AC463" s="457"/>
      <c r="AD463" s="464"/>
      <c r="AE463" s="466"/>
      <c r="AF463" s="465"/>
      <c r="AG463" s="457"/>
      <c r="AH463" s="464"/>
      <c r="AI463" s="466"/>
      <c r="AJ463" s="465"/>
      <c r="AK463" s="457"/>
      <c r="AL463" s="464"/>
      <c r="AM463" s="466"/>
      <c r="AN463" s="465"/>
      <c r="AO463" s="457"/>
      <c r="AP463" s="464"/>
      <c r="AQ463" s="464"/>
      <c r="AR463" s="460">
        <f t="shared" si="241"/>
        <v>0</v>
      </c>
      <c r="AS463" s="467">
        <f t="shared" si="242"/>
        <v>0</v>
      </c>
      <c r="AT463" s="447">
        <f t="shared" si="243"/>
        <v>0</v>
      </c>
      <c r="AU463" s="448">
        <f t="shared" si="244"/>
        <v>0</v>
      </c>
      <c r="AV463" s="457"/>
      <c r="AW463" s="450"/>
      <c r="AX463" s="463"/>
      <c r="AY463" s="457"/>
      <c r="AZ463" s="464"/>
      <c r="BA463" s="464"/>
      <c r="BB463" s="465"/>
      <c r="BC463" s="457"/>
      <c r="BD463" s="464"/>
      <c r="BE463" s="466"/>
      <c r="BF463" s="465"/>
      <c r="BG463" s="457"/>
      <c r="BH463" s="464"/>
      <c r="BI463" s="466"/>
      <c r="BJ463" s="465"/>
      <c r="BK463" s="457"/>
      <c r="BL463" s="464"/>
      <c r="BM463" s="466"/>
      <c r="BN463" s="465"/>
      <c r="BO463" s="457"/>
      <c r="BP463" s="464"/>
      <c r="BQ463" s="466"/>
      <c r="BR463" s="465"/>
      <c r="BS463" s="457"/>
      <c r="BT463" s="464"/>
      <c r="BU463" s="466"/>
      <c r="BV463" s="465"/>
      <c r="BW463" s="457"/>
      <c r="BX463" s="464"/>
      <c r="BY463" s="466"/>
      <c r="BZ463" s="465"/>
      <c r="CA463" s="457"/>
      <c r="CB463" s="464"/>
      <c r="CC463" s="466"/>
      <c r="CD463" s="465"/>
      <c r="CE463" s="457"/>
      <c r="CF463" s="464"/>
      <c r="CG463" s="466"/>
      <c r="CH463" s="465"/>
      <c r="CI463" s="457"/>
      <c r="CJ463" s="464"/>
      <c r="CK463" s="466"/>
      <c r="CL463" s="459"/>
      <c r="CM463" s="450"/>
      <c r="CN463" s="468">
        <f t="shared" si="245"/>
        <v>0</v>
      </c>
      <c r="CO463" s="468">
        <f t="shared" si="246"/>
        <v>0</v>
      </c>
      <c r="CP463" s="469">
        <f t="shared" si="247"/>
        <v>0</v>
      </c>
      <c r="CQ463" s="469">
        <f t="shared" si="248"/>
        <v>0</v>
      </c>
      <c r="CR463" s="463"/>
      <c r="CS463" s="457"/>
      <c r="CT463" s="464"/>
      <c r="CU463" s="464"/>
      <c r="CV463" s="465"/>
      <c r="CW463" s="457"/>
      <c r="CX463" s="464"/>
      <c r="CY463" s="466"/>
      <c r="CZ463" s="465"/>
      <c r="DA463" s="457"/>
      <c r="DB463" s="464"/>
      <c r="DC463" s="466"/>
      <c r="DD463" s="465"/>
      <c r="DE463" s="457"/>
      <c r="DF463" s="464"/>
      <c r="DG463" s="466"/>
      <c r="DH463" s="465"/>
      <c r="DI463" s="457"/>
      <c r="DJ463" s="464"/>
      <c r="DK463" s="466"/>
      <c r="DL463" s="465"/>
      <c r="DM463" s="457"/>
      <c r="DN463" s="464"/>
      <c r="DO463" s="466"/>
      <c r="DP463" s="465"/>
      <c r="DQ463" s="457"/>
      <c r="DR463" s="464"/>
      <c r="DS463" s="466"/>
      <c r="DT463" s="465"/>
      <c r="DU463" s="457"/>
      <c r="DV463" s="464"/>
      <c r="DW463" s="466"/>
      <c r="DX463" s="465"/>
      <c r="DY463" s="457"/>
      <c r="DZ463" s="464"/>
      <c r="EA463" s="466"/>
      <c r="EB463" s="465"/>
      <c r="EC463" s="457"/>
      <c r="ED463" s="464"/>
      <c r="EE463" s="466"/>
      <c r="EF463" s="459"/>
      <c r="EG463" s="450"/>
      <c r="EH463" s="460">
        <f t="shared" si="249"/>
        <v>0</v>
      </c>
      <c r="EI463" s="460">
        <f t="shared" si="250"/>
        <v>0</v>
      </c>
      <c r="EJ463" s="458">
        <f t="shared" si="251"/>
        <v>0</v>
      </c>
      <c r="EK463" s="470">
        <f t="shared" si="252"/>
        <v>0</v>
      </c>
      <c r="EL463" s="470">
        <f t="shared" si="253"/>
        <v>0</v>
      </c>
      <c r="EM463" s="449">
        <f t="shared" si="254"/>
        <v>0</v>
      </c>
      <c r="EN463" s="460">
        <f t="shared" si="255"/>
        <v>0</v>
      </c>
      <c r="EO463" s="469">
        <f t="shared" si="256"/>
        <v>0</v>
      </c>
      <c r="EP463" s="471"/>
      <c r="EQ463" s="450"/>
      <c r="ER463" s="471"/>
      <c r="ES463" s="450"/>
      <c r="ET463" s="471"/>
      <c r="EU463" s="450"/>
      <c r="EV463" s="471"/>
      <c r="EW463" s="450"/>
      <c r="EX463" s="471"/>
      <c r="EY463" s="450"/>
      <c r="EZ463" s="471"/>
      <c r="FA463" s="450"/>
      <c r="FB463" s="471"/>
      <c r="FC463" s="450"/>
      <c r="FD463" s="471"/>
      <c r="FE463" s="450"/>
      <c r="FF463" s="471"/>
      <c r="FG463" s="450"/>
      <c r="FH463" s="472"/>
      <c r="FI463" s="450"/>
      <c r="FJ463" s="468">
        <f t="shared" si="257"/>
        <v>0</v>
      </c>
      <c r="FK463" s="469">
        <f t="shared" si="258"/>
        <v>0</v>
      </c>
      <c r="FL463" s="472"/>
      <c r="FM463" s="450"/>
      <c r="FN463" s="460">
        <f t="shared" si="259"/>
        <v>1060</v>
      </c>
      <c r="FO463" s="469">
        <f t="shared" si="260"/>
        <v>1311</v>
      </c>
    </row>
    <row r="464" spans="1:171" x14ac:dyDescent="0.2">
      <c r="A464" s="704" t="s">
        <v>1125</v>
      </c>
      <c r="B464" s="705" t="s">
        <v>1142</v>
      </c>
      <c r="C464" s="706"/>
      <c r="D464" s="702">
        <v>218894</v>
      </c>
      <c r="E464" s="707">
        <v>8</v>
      </c>
      <c r="F464" s="532">
        <v>1048</v>
      </c>
      <c r="G464" s="450">
        <v>1395</v>
      </c>
      <c r="H464" s="457"/>
      <c r="I464" s="450"/>
      <c r="J464" s="457">
        <v>1203</v>
      </c>
      <c r="K464" s="742">
        <v>1250</v>
      </c>
      <c r="L464" s="458">
        <f t="shared" si="237"/>
        <v>0</v>
      </c>
      <c r="M464" s="449">
        <f t="shared" si="238"/>
        <v>0</v>
      </c>
      <c r="N464" s="459"/>
      <c r="O464" s="459"/>
      <c r="P464" s="459"/>
      <c r="Q464" s="459"/>
      <c r="R464" s="460">
        <f t="shared" si="239"/>
        <v>0</v>
      </c>
      <c r="S464" s="461"/>
      <c r="T464" s="461"/>
      <c r="U464" s="461"/>
      <c r="V464" s="461"/>
      <c r="W464" s="462">
        <f t="shared" si="240"/>
        <v>0</v>
      </c>
      <c r="X464" s="463"/>
      <c r="Y464" s="457"/>
      <c r="Z464" s="464"/>
      <c r="AA464" s="464"/>
      <c r="AB464" s="465"/>
      <c r="AC464" s="457"/>
      <c r="AD464" s="464"/>
      <c r="AE464" s="466"/>
      <c r="AF464" s="465"/>
      <c r="AG464" s="457"/>
      <c r="AH464" s="464"/>
      <c r="AI464" s="466"/>
      <c r="AJ464" s="465"/>
      <c r="AK464" s="457"/>
      <c r="AL464" s="464"/>
      <c r="AM464" s="466"/>
      <c r="AN464" s="465"/>
      <c r="AO464" s="457"/>
      <c r="AP464" s="464"/>
      <c r="AQ464" s="464"/>
      <c r="AR464" s="460">
        <f t="shared" si="241"/>
        <v>0</v>
      </c>
      <c r="AS464" s="467">
        <f t="shared" si="242"/>
        <v>0</v>
      </c>
      <c r="AT464" s="447">
        <f t="shared" si="243"/>
        <v>0</v>
      </c>
      <c r="AU464" s="448">
        <f t="shared" si="244"/>
        <v>0</v>
      </c>
      <c r="AV464" s="457"/>
      <c r="AW464" s="450"/>
      <c r="AX464" s="463"/>
      <c r="AY464" s="457"/>
      <c r="AZ464" s="464"/>
      <c r="BA464" s="464"/>
      <c r="BB464" s="465"/>
      <c r="BC464" s="457"/>
      <c r="BD464" s="464"/>
      <c r="BE464" s="466"/>
      <c r="BF464" s="465"/>
      <c r="BG464" s="457"/>
      <c r="BH464" s="464"/>
      <c r="BI464" s="466"/>
      <c r="BJ464" s="465"/>
      <c r="BK464" s="457"/>
      <c r="BL464" s="464"/>
      <c r="BM464" s="466"/>
      <c r="BN464" s="465"/>
      <c r="BO464" s="457"/>
      <c r="BP464" s="464"/>
      <c r="BQ464" s="466"/>
      <c r="BR464" s="465"/>
      <c r="BS464" s="457"/>
      <c r="BT464" s="464"/>
      <c r="BU464" s="466"/>
      <c r="BV464" s="465"/>
      <c r="BW464" s="457"/>
      <c r="BX464" s="464"/>
      <c r="BY464" s="466"/>
      <c r="BZ464" s="465"/>
      <c r="CA464" s="457"/>
      <c r="CB464" s="464"/>
      <c r="CC464" s="466"/>
      <c r="CD464" s="465"/>
      <c r="CE464" s="457"/>
      <c r="CF464" s="464"/>
      <c r="CG464" s="466"/>
      <c r="CH464" s="465"/>
      <c r="CI464" s="457"/>
      <c r="CJ464" s="464"/>
      <c r="CK464" s="466"/>
      <c r="CL464" s="459"/>
      <c r="CM464" s="450"/>
      <c r="CN464" s="468">
        <f t="shared" si="245"/>
        <v>0</v>
      </c>
      <c r="CO464" s="468">
        <f t="shared" si="246"/>
        <v>0</v>
      </c>
      <c r="CP464" s="469">
        <f t="shared" si="247"/>
        <v>0</v>
      </c>
      <c r="CQ464" s="469">
        <f t="shared" si="248"/>
        <v>0</v>
      </c>
      <c r="CR464" s="463"/>
      <c r="CS464" s="457"/>
      <c r="CT464" s="464"/>
      <c r="CU464" s="464"/>
      <c r="CV464" s="465"/>
      <c r="CW464" s="457"/>
      <c r="CX464" s="464"/>
      <c r="CY464" s="466"/>
      <c r="CZ464" s="465"/>
      <c r="DA464" s="457"/>
      <c r="DB464" s="464"/>
      <c r="DC464" s="466"/>
      <c r="DD464" s="465"/>
      <c r="DE464" s="457"/>
      <c r="DF464" s="464"/>
      <c r="DG464" s="466"/>
      <c r="DH464" s="465"/>
      <c r="DI464" s="457"/>
      <c r="DJ464" s="464"/>
      <c r="DK464" s="466"/>
      <c r="DL464" s="465"/>
      <c r="DM464" s="457"/>
      <c r="DN464" s="464"/>
      <c r="DO464" s="466"/>
      <c r="DP464" s="465"/>
      <c r="DQ464" s="457"/>
      <c r="DR464" s="464"/>
      <c r="DS464" s="466"/>
      <c r="DT464" s="465"/>
      <c r="DU464" s="457"/>
      <c r="DV464" s="464"/>
      <c r="DW464" s="466"/>
      <c r="DX464" s="465"/>
      <c r="DY464" s="457"/>
      <c r="DZ464" s="464"/>
      <c r="EA464" s="466"/>
      <c r="EB464" s="465"/>
      <c r="EC464" s="457"/>
      <c r="ED464" s="464"/>
      <c r="EE464" s="466"/>
      <c r="EF464" s="459"/>
      <c r="EG464" s="450"/>
      <c r="EH464" s="460">
        <f t="shared" si="249"/>
        <v>0</v>
      </c>
      <c r="EI464" s="460">
        <f t="shared" si="250"/>
        <v>0</v>
      </c>
      <c r="EJ464" s="458">
        <f t="shared" si="251"/>
        <v>0</v>
      </c>
      <c r="EK464" s="470">
        <f t="shared" si="252"/>
        <v>0</v>
      </c>
      <c r="EL464" s="470">
        <f t="shared" si="253"/>
        <v>0</v>
      </c>
      <c r="EM464" s="449">
        <f t="shared" si="254"/>
        <v>0</v>
      </c>
      <c r="EN464" s="460">
        <f t="shared" si="255"/>
        <v>0</v>
      </c>
      <c r="EO464" s="469">
        <f t="shared" si="256"/>
        <v>0</v>
      </c>
      <c r="EP464" s="471"/>
      <c r="EQ464" s="450"/>
      <c r="ER464" s="471"/>
      <c r="ES464" s="450"/>
      <c r="ET464" s="471"/>
      <c r="EU464" s="450"/>
      <c r="EV464" s="471"/>
      <c r="EW464" s="450"/>
      <c r="EX464" s="471"/>
      <c r="EY464" s="450"/>
      <c r="EZ464" s="471"/>
      <c r="FA464" s="450"/>
      <c r="FB464" s="471"/>
      <c r="FC464" s="450"/>
      <c r="FD464" s="471"/>
      <c r="FE464" s="450"/>
      <c r="FF464" s="471"/>
      <c r="FG464" s="450"/>
      <c r="FH464" s="472"/>
      <c r="FI464" s="450"/>
      <c r="FJ464" s="468">
        <f t="shared" si="257"/>
        <v>0</v>
      </c>
      <c r="FK464" s="469">
        <f t="shared" si="258"/>
        <v>0</v>
      </c>
      <c r="FL464" s="472"/>
      <c r="FM464" s="450"/>
      <c r="FN464" s="460">
        <f t="shared" si="259"/>
        <v>2251</v>
      </c>
      <c r="FO464" s="469">
        <f t="shared" si="260"/>
        <v>2645</v>
      </c>
    </row>
    <row r="465" spans="1:171" x14ac:dyDescent="0.2">
      <c r="A465" s="704" t="s">
        <v>1125</v>
      </c>
      <c r="B465" s="524" t="s">
        <v>1143</v>
      </c>
      <c r="C465" s="525"/>
      <c r="D465" s="702">
        <v>217615</v>
      </c>
      <c r="E465" s="707">
        <v>9</v>
      </c>
      <c r="F465" s="532">
        <v>457</v>
      </c>
      <c r="G465" s="450">
        <v>408</v>
      </c>
      <c r="H465" s="457"/>
      <c r="I465" s="450"/>
      <c r="J465" s="457">
        <v>283</v>
      </c>
      <c r="K465" s="742">
        <v>279</v>
      </c>
      <c r="L465" s="458">
        <f t="shared" si="237"/>
        <v>0</v>
      </c>
      <c r="M465" s="449">
        <f t="shared" si="238"/>
        <v>0</v>
      </c>
      <c r="N465" s="459"/>
      <c r="O465" s="459"/>
      <c r="P465" s="459"/>
      <c r="Q465" s="459"/>
      <c r="R465" s="460">
        <f t="shared" si="239"/>
        <v>0</v>
      </c>
      <c r="S465" s="461"/>
      <c r="T465" s="461"/>
      <c r="U465" s="461"/>
      <c r="V465" s="461"/>
      <c r="W465" s="462">
        <f t="shared" si="240"/>
        <v>0</v>
      </c>
      <c r="X465" s="463"/>
      <c r="Y465" s="457"/>
      <c r="Z465" s="464"/>
      <c r="AA465" s="464"/>
      <c r="AB465" s="465"/>
      <c r="AC465" s="457"/>
      <c r="AD465" s="464"/>
      <c r="AE465" s="466"/>
      <c r="AF465" s="465"/>
      <c r="AG465" s="457"/>
      <c r="AH465" s="464"/>
      <c r="AI465" s="466"/>
      <c r="AJ465" s="465"/>
      <c r="AK465" s="457"/>
      <c r="AL465" s="464"/>
      <c r="AM465" s="466"/>
      <c r="AN465" s="465"/>
      <c r="AO465" s="457"/>
      <c r="AP465" s="464"/>
      <c r="AQ465" s="464"/>
      <c r="AR465" s="460">
        <f t="shared" si="241"/>
        <v>0</v>
      </c>
      <c r="AS465" s="467">
        <f t="shared" si="242"/>
        <v>0</v>
      </c>
      <c r="AT465" s="447">
        <f t="shared" si="243"/>
        <v>0</v>
      </c>
      <c r="AU465" s="448">
        <f t="shared" si="244"/>
        <v>0</v>
      </c>
      <c r="AV465" s="457"/>
      <c r="AW465" s="450"/>
      <c r="AX465" s="463"/>
      <c r="AY465" s="457"/>
      <c r="AZ465" s="464"/>
      <c r="BA465" s="464"/>
      <c r="BB465" s="465"/>
      <c r="BC465" s="457"/>
      <c r="BD465" s="464"/>
      <c r="BE465" s="466"/>
      <c r="BF465" s="465"/>
      <c r="BG465" s="457"/>
      <c r="BH465" s="464"/>
      <c r="BI465" s="466"/>
      <c r="BJ465" s="465"/>
      <c r="BK465" s="457"/>
      <c r="BL465" s="464"/>
      <c r="BM465" s="466"/>
      <c r="BN465" s="465"/>
      <c r="BO465" s="457"/>
      <c r="BP465" s="464"/>
      <c r="BQ465" s="466"/>
      <c r="BR465" s="465"/>
      <c r="BS465" s="457"/>
      <c r="BT465" s="464"/>
      <c r="BU465" s="466"/>
      <c r="BV465" s="465"/>
      <c r="BW465" s="457"/>
      <c r="BX465" s="464"/>
      <c r="BY465" s="466"/>
      <c r="BZ465" s="465"/>
      <c r="CA465" s="457"/>
      <c r="CB465" s="464"/>
      <c r="CC465" s="466"/>
      <c r="CD465" s="465"/>
      <c r="CE465" s="457"/>
      <c r="CF465" s="464"/>
      <c r="CG465" s="466"/>
      <c r="CH465" s="465"/>
      <c r="CI465" s="457"/>
      <c r="CJ465" s="464"/>
      <c r="CK465" s="466"/>
      <c r="CL465" s="459"/>
      <c r="CM465" s="450"/>
      <c r="CN465" s="468">
        <f t="shared" si="245"/>
        <v>0</v>
      </c>
      <c r="CO465" s="468">
        <f t="shared" si="246"/>
        <v>0</v>
      </c>
      <c r="CP465" s="469">
        <f t="shared" si="247"/>
        <v>0</v>
      </c>
      <c r="CQ465" s="469">
        <f t="shared" si="248"/>
        <v>0</v>
      </c>
      <c r="CR465" s="463"/>
      <c r="CS465" s="457"/>
      <c r="CT465" s="464"/>
      <c r="CU465" s="464"/>
      <c r="CV465" s="465"/>
      <c r="CW465" s="457"/>
      <c r="CX465" s="464"/>
      <c r="CY465" s="466"/>
      <c r="CZ465" s="465"/>
      <c r="DA465" s="457"/>
      <c r="DB465" s="464"/>
      <c r="DC465" s="466"/>
      <c r="DD465" s="465"/>
      <c r="DE465" s="457"/>
      <c r="DF465" s="464"/>
      <c r="DG465" s="466"/>
      <c r="DH465" s="465"/>
      <c r="DI465" s="457"/>
      <c r="DJ465" s="464"/>
      <c r="DK465" s="466"/>
      <c r="DL465" s="465"/>
      <c r="DM465" s="457"/>
      <c r="DN465" s="464"/>
      <c r="DO465" s="466"/>
      <c r="DP465" s="465"/>
      <c r="DQ465" s="457"/>
      <c r="DR465" s="464"/>
      <c r="DS465" s="466"/>
      <c r="DT465" s="465"/>
      <c r="DU465" s="457"/>
      <c r="DV465" s="464"/>
      <c r="DW465" s="466"/>
      <c r="DX465" s="465"/>
      <c r="DY465" s="457"/>
      <c r="DZ465" s="464"/>
      <c r="EA465" s="466"/>
      <c r="EB465" s="465"/>
      <c r="EC465" s="457"/>
      <c r="ED465" s="464"/>
      <c r="EE465" s="466"/>
      <c r="EF465" s="459"/>
      <c r="EG465" s="450"/>
      <c r="EH465" s="460">
        <f t="shared" si="249"/>
        <v>0</v>
      </c>
      <c r="EI465" s="460">
        <f t="shared" si="250"/>
        <v>0</v>
      </c>
      <c r="EJ465" s="458">
        <f t="shared" si="251"/>
        <v>0</v>
      </c>
      <c r="EK465" s="470">
        <f t="shared" si="252"/>
        <v>0</v>
      </c>
      <c r="EL465" s="470">
        <f t="shared" si="253"/>
        <v>0</v>
      </c>
      <c r="EM465" s="449">
        <f t="shared" si="254"/>
        <v>0</v>
      </c>
      <c r="EN465" s="460">
        <f t="shared" si="255"/>
        <v>0</v>
      </c>
      <c r="EO465" s="469">
        <f t="shared" si="256"/>
        <v>0</v>
      </c>
      <c r="EP465" s="471"/>
      <c r="EQ465" s="450"/>
      <c r="ER465" s="471"/>
      <c r="ES465" s="450"/>
      <c r="ET465" s="471"/>
      <c r="EU465" s="450"/>
      <c r="EV465" s="471"/>
      <c r="EW465" s="450"/>
      <c r="EX465" s="471"/>
      <c r="EY465" s="450"/>
      <c r="EZ465" s="471"/>
      <c r="FA465" s="450"/>
      <c r="FB465" s="471"/>
      <c r="FC465" s="450"/>
      <c r="FD465" s="471"/>
      <c r="FE465" s="450"/>
      <c r="FF465" s="471"/>
      <c r="FG465" s="450"/>
      <c r="FH465" s="472"/>
      <c r="FI465" s="450"/>
      <c r="FJ465" s="468">
        <f t="shared" si="257"/>
        <v>0</v>
      </c>
      <c r="FK465" s="469">
        <f t="shared" si="258"/>
        <v>0</v>
      </c>
      <c r="FL465" s="472"/>
      <c r="FM465" s="450"/>
      <c r="FN465" s="460">
        <f t="shared" si="259"/>
        <v>740</v>
      </c>
      <c r="FO465" s="469">
        <f t="shared" si="260"/>
        <v>687</v>
      </c>
    </row>
    <row r="466" spans="1:171" x14ac:dyDescent="0.2">
      <c r="A466" s="704" t="s">
        <v>1125</v>
      </c>
      <c r="B466" s="705" t="s">
        <v>1144</v>
      </c>
      <c r="C466" s="706"/>
      <c r="D466" s="702">
        <v>218858</v>
      </c>
      <c r="E466" s="707">
        <v>9</v>
      </c>
      <c r="F466" s="532">
        <v>441</v>
      </c>
      <c r="G466" s="450">
        <v>551</v>
      </c>
      <c r="H466" s="457"/>
      <c r="I466" s="450"/>
      <c r="J466" s="457">
        <v>206</v>
      </c>
      <c r="K466" s="742">
        <v>308</v>
      </c>
      <c r="L466" s="458">
        <f t="shared" si="237"/>
        <v>0</v>
      </c>
      <c r="M466" s="449">
        <f t="shared" si="238"/>
        <v>0</v>
      </c>
      <c r="N466" s="459"/>
      <c r="O466" s="459"/>
      <c r="P466" s="459"/>
      <c r="Q466" s="459"/>
      <c r="R466" s="460">
        <f t="shared" si="239"/>
        <v>0</v>
      </c>
      <c r="S466" s="461"/>
      <c r="T466" s="461"/>
      <c r="U466" s="461"/>
      <c r="V466" s="461"/>
      <c r="W466" s="462">
        <f t="shared" si="240"/>
        <v>0</v>
      </c>
      <c r="X466" s="463"/>
      <c r="Y466" s="457"/>
      <c r="Z466" s="464"/>
      <c r="AA466" s="464"/>
      <c r="AB466" s="465"/>
      <c r="AC466" s="457"/>
      <c r="AD466" s="464"/>
      <c r="AE466" s="466"/>
      <c r="AF466" s="465"/>
      <c r="AG466" s="457"/>
      <c r="AH466" s="464"/>
      <c r="AI466" s="466"/>
      <c r="AJ466" s="465"/>
      <c r="AK466" s="457"/>
      <c r="AL466" s="464"/>
      <c r="AM466" s="466"/>
      <c r="AN466" s="465"/>
      <c r="AO466" s="457"/>
      <c r="AP466" s="464"/>
      <c r="AQ466" s="464"/>
      <c r="AR466" s="460">
        <f t="shared" si="241"/>
        <v>0</v>
      </c>
      <c r="AS466" s="467">
        <f t="shared" si="242"/>
        <v>0</v>
      </c>
      <c r="AT466" s="447">
        <f t="shared" si="243"/>
        <v>0</v>
      </c>
      <c r="AU466" s="448">
        <f t="shared" si="244"/>
        <v>0</v>
      </c>
      <c r="AV466" s="457"/>
      <c r="AW466" s="450"/>
      <c r="AX466" s="463"/>
      <c r="AY466" s="457"/>
      <c r="AZ466" s="464"/>
      <c r="BA466" s="464"/>
      <c r="BB466" s="465"/>
      <c r="BC466" s="457"/>
      <c r="BD466" s="464"/>
      <c r="BE466" s="466"/>
      <c r="BF466" s="465"/>
      <c r="BG466" s="457"/>
      <c r="BH466" s="464"/>
      <c r="BI466" s="466"/>
      <c r="BJ466" s="465"/>
      <c r="BK466" s="457"/>
      <c r="BL466" s="464"/>
      <c r="BM466" s="466"/>
      <c r="BN466" s="465"/>
      <c r="BO466" s="457"/>
      <c r="BP466" s="464"/>
      <c r="BQ466" s="466"/>
      <c r="BR466" s="465"/>
      <c r="BS466" s="457"/>
      <c r="BT466" s="464"/>
      <c r="BU466" s="466"/>
      <c r="BV466" s="465"/>
      <c r="BW466" s="457"/>
      <c r="BX466" s="464"/>
      <c r="BY466" s="466"/>
      <c r="BZ466" s="465"/>
      <c r="CA466" s="457"/>
      <c r="CB466" s="464"/>
      <c r="CC466" s="466"/>
      <c r="CD466" s="465"/>
      <c r="CE466" s="457"/>
      <c r="CF466" s="464"/>
      <c r="CG466" s="466"/>
      <c r="CH466" s="465"/>
      <c r="CI466" s="457"/>
      <c r="CJ466" s="464"/>
      <c r="CK466" s="466"/>
      <c r="CL466" s="459"/>
      <c r="CM466" s="450"/>
      <c r="CN466" s="468">
        <f t="shared" si="245"/>
        <v>0</v>
      </c>
      <c r="CO466" s="468">
        <f t="shared" si="246"/>
        <v>0</v>
      </c>
      <c r="CP466" s="469">
        <f t="shared" si="247"/>
        <v>0</v>
      </c>
      <c r="CQ466" s="469">
        <f t="shared" si="248"/>
        <v>0</v>
      </c>
      <c r="CR466" s="463"/>
      <c r="CS466" s="457"/>
      <c r="CT466" s="464"/>
      <c r="CU466" s="464"/>
      <c r="CV466" s="465"/>
      <c r="CW466" s="457"/>
      <c r="CX466" s="464"/>
      <c r="CY466" s="466"/>
      <c r="CZ466" s="465"/>
      <c r="DA466" s="457"/>
      <c r="DB466" s="464"/>
      <c r="DC466" s="466"/>
      <c r="DD466" s="465"/>
      <c r="DE466" s="457"/>
      <c r="DF466" s="464"/>
      <c r="DG466" s="466"/>
      <c r="DH466" s="465"/>
      <c r="DI466" s="457"/>
      <c r="DJ466" s="464"/>
      <c r="DK466" s="466"/>
      <c r="DL466" s="465"/>
      <c r="DM466" s="457"/>
      <c r="DN466" s="464"/>
      <c r="DO466" s="466"/>
      <c r="DP466" s="465"/>
      <c r="DQ466" s="457"/>
      <c r="DR466" s="464"/>
      <c r="DS466" s="466"/>
      <c r="DT466" s="465"/>
      <c r="DU466" s="457"/>
      <c r="DV466" s="464"/>
      <c r="DW466" s="466"/>
      <c r="DX466" s="465"/>
      <c r="DY466" s="457"/>
      <c r="DZ466" s="464"/>
      <c r="EA466" s="466"/>
      <c r="EB466" s="465"/>
      <c r="EC466" s="457"/>
      <c r="ED466" s="464"/>
      <c r="EE466" s="466"/>
      <c r="EF466" s="459"/>
      <c r="EG466" s="450"/>
      <c r="EH466" s="460">
        <f t="shared" si="249"/>
        <v>0</v>
      </c>
      <c r="EI466" s="460">
        <f t="shared" si="250"/>
        <v>0</v>
      </c>
      <c r="EJ466" s="458">
        <f t="shared" si="251"/>
        <v>0</v>
      </c>
      <c r="EK466" s="470">
        <f t="shared" si="252"/>
        <v>0</v>
      </c>
      <c r="EL466" s="470">
        <f t="shared" si="253"/>
        <v>0</v>
      </c>
      <c r="EM466" s="449">
        <f t="shared" si="254"/>
        <v>0</v>
      </c>
      <c r="EN466" s="460">
        <f t="shared" si="255"/>
        <v>0</v>
      </c>
      <c r="EO466" s="469">
        <f t="shared" si="256"/>
        <v>0</v>
      </c>
      <c r="EP466" s="471"/>
      <c r="EQ466" s="450"/>
      <c r="ER466" s="471"/>
      <c r="ES466" s="450"/>
      <c r="ET466" s="471"/>
      <c r="EU466" s="450"/>
      <c r="EV466" s="471"/>
      <c r="EW466" s="450"/>
      <c r="EX466" s="471"/>
      <c r="EY466" s="450"/>
      <c r="EZ466" s="471"/>
      <c r="FA466" s="450"/>
      <c r="FB466" s="471"/>
      <c r="FC466" s="450"/>
      <c r="FD466" s="471"/>
      <c r="FE466" s="450"/>
      <c r="FF466" s="471"/>
      <c r="FG466" s="450"/>
      <c r="FH466" s="472"/>
      <c r="FI466" s="450"/>
      <c r="FJ466" s="468">
        <f t="shared" si="257"/>
        <v>0</v>
      </c>
      <c r="FK466" s="469">
        <f t="shared" si="258"/>
        <v>0</v>
      </c>
      <c r="FL466" s="472"/>
      <c r="FM466" s="450"/>
      <c r="FN466" s="460">
        <f t="shared" si="259"/>
        <v>647</v>
      </c>
      <c r="FO466" s="469">
        <f t="shared" si="260"/>
        <v>859</v>
      </c>
    </row>
    <row r="467" spans="1:171" x14ac:dyDescent="0.2">
      <c r="A467" s="704" t="s">
        <v>1125</v>
      </c>
      <c r="B467" s="705" t="s">
        <v>1146</v>
      </c>
      <c r="C467" s="706"/>
      <c r="D467" s="702">
        <v>218487</v>
      </c>
      <c r="E467" s="707">
        <v>9</v>
      </c>
      <c r="F467" s="532">
        <v>295</v>
      </c>
      <c r="G467" s="450">
        <v>218</v>
      </c>
      <c r="H467" s="457"/>
      <c r="I467" s="450"/>
      <c r="J467" s="457">
        <v>217</v>
      </c>
      <c r="K467" s="742">
        <v>225</v>
      </c>
      <c r="L467" s="458">
        <f t="shared" si="237"/>
        <v>0</v>
      </c>
      <c r="M467" s="449">
        <f t="shared" si="238"/>
        <v>0</v>
      </c>
      <c r="N467" s="459"/>
      <c r="O467" s="459"/>
      <c r="P467" s="459"/>
      <c r="Q467" s="459"/>
      <c r="R467" s="460">
        <f t="shared" si="239"/>
        <v>0</v>
      </c>
      <c r="S467" s="461"/>
      <c r="T467" s="461"/>
      <c r="U467" s="461"/>
      <c r="V467" s="461"/>
      <c r="W467" s="462">
        <f t="shared" si="240"/>
        <v>0</v>
      </c>
      <c r="X467" s="463"/>
      <c r="Y467" s="457"/>
      <c r="Z467" s="464"/>
      <c r="AA467" s="464"/>
      <c r="AB467" s="465"/>
      <c r="AC467" s="457"/>
      <c r="AD467" s="464"/>
      <c r="AE467" s="466"/>
      <c r="AF467" s="465"/>
      <c r="AG467" s="457"/>
      <c r="AH467" s="464"/>
      <c r="AI467" s="466"/>
      <c r="AJ467" s="465"/>
      <c r="AK467" s="457"/>
      <c r="AL467" s="464"/>
      <c r="AM467" s="466"/>
      <c r="AN467" s="465"/>
      <c r="AO467" s="457"/>
      <c r="AP467" s="464"/>
      <c r="AQ467" s="464"/>
      <c r="AR467" s="460">
        <f t="shared" si="241"/>
        <v>0</v>
      </c>
      <c r="AS467" s="467">
        <f t="shared" si="242"/>
        <v>0</v>
      </c>
      <c r="AT467" s="447">
        <f t="shared" si="243"/>
        <v>0</v>
      </c>
      <c r="AU467" s="448">
        <f t="shared" si="244"/>
        <v>0</v>
      </c>
      <c r="AV467" s="457"/>
      <c r="AW467" s="450"/>
      <c r="AX467" s="463"/>
      <c r="AY467" s="457"/>
      <c r="AZ467" s="464"/>
      <c r="BA467" s="464"/>
      <c r="BB467" s="465"/>
      <c r="BC467" s="457"/>
      <c r="BD467" s="464"/>
      <c r="BE467" s="466"/>
      <c r="BF467" s="465"/>
      <c r="BG467" s="457"/>
      <c r="BH467" s="464"/>
      <c r="BI467" s="466"/>
      <c r="BJ467" s="465"/>
      <c r="BK467" s="457"/>
      <c r="BL467" s="464"/>
      <c r="BM467" s="466"/>
      <c r="BN467" s="465"/>
      <c r="BO467" s="457"/>
      <c r="BP467" s="464"/>
      <c r="BQ467" s="466"/>
      <c r="BR467" s="465"/>
      <c r="BS467" s="457"/>
      <c r="BT467" s="464"/>
      <c r="BU467" s="466"/>
      <c r="BV467" s="465"/>
      <c r="BW467" s="457"/>
      <c r="BX467" s="464"/>
      <c r="BY467" s="466"/>
      <c r="BZ467" s="465"/>
      <c r="CA467" s="457"/>
      <c r="CB467" s="464"/>
      <c r="CC467" s="466"/>
      <c r="CD467" s="465"/>
      <c r="CE467" s="457"/>
      <c r="CF467" s="464"/>
      <c r="CG467" s="466"/>
      <c r="CH467" s="465"/>
      <c r="CI467" s="457"/>
      <c r="CJ467" s="464"/>
      <c r="CK467" s="466"/>
      <c r="CL467" s="459"/>
      <c r="CM467" s="450"/>
      <c r="CN467" s="468">
        <f t="shared" si="245"/>
        <v>0</v>
      </c>
      <c r="CO467" s="468">
        <f t="shared" si="246"/>
        <v>0</v>
      </c>
      <c r="CP467" s="469">
        <f t="shared" si="247"/>
        <v>0</v>
      </c>
      <c r="CQ467" s="469">
        <f t="shared" si="248"/>
        <v>0</v>
      </c>
      <c r="CR467" s="463"/>
      <c r="CS467" s="457"/>
      <c r="CT467" s="464"/>
      <c r="CU467" s="464"/>
      <c r="CV467" s="465"/>
      <c r="CW467" s="457"/>
      <c r="CX467" s="464"/>
      <c r="CY467" s="466"/>
      <c r="CZ467" s="465"/>
      <c r="DA467" s="457"/>
      <c r="DB467" s="464"/>
      <c r="DC467" s="466"/>
      <c r="DD467" s="465"/>
      <c r="DE467" s="457"/>
      <c r="DF467" s="464"/>
      <c r="DG467" s="466"/>
      <c r="DH467" s="465"/>
      <c r="DI467" s="457"/>
      <c r="DJ467" s="464"/>
      <c r="DK467" s="466"/>
      <c r="DL467" s="465"/>
      <c r="DM467" s="457"/>
      <c r="DN467" s="464"/>
      <c r="DO467" s="466"/>
      <c r="DP467" s="465"/>
      <c r="DQ467" s="457"/>
      <c r="DR467" s="464"/>
      <c r="DS467" s="466"/>
      <c r="DT467" s="465"/>
      <c r="DU467" s="457"/>
      <c r="DV467" s="464"/>
      <c r="DW467" s="466"/>
      <c r="DX467" s="465"/>
      <c r="DY467" s="457"/>
      <c r="DZ467" s="464"/>
      <c r="EA467" s="466"/>
      <c r="EB467" s="465"/>
      <c r="EC467" s="457"/>
      <c r="ED467" s="464"/>
      <c r="EE467" s="466"/>
      <c r="EF467" s="459"/>
      <c r="EG467" s="450"/>
      <c r="EH467" s="460">
        <f t="shared" si="249"/>
        <v>0</v>
      </c>
      <c r="EI467" s="460">
        <f t="shared" si="250"/>
        <v>0</v>
      </c>
      <c r="EJ467" s="458">
        <f t="shared" si="251"/>
        <v>0</v>
      </c>
      <c r="EK467" s="470">
        <f t="shared" si="252"/>
        <v>0</v>
      </c>
      <c r="EL467" s="470">
        <f t="shared" si="253"/>
        <v>0</v>
      </c>
      <c r="EM467" s="449">
        <f t="shared" si="254"/>
        <v>0</v>
      </c>
      <c r="EN467" s="460">
        <f t="shared" si="255"/>
        <v>0</v>
      </c>
      <c r="EO467" s="469">
        <f t="shared" si="256"/>
        <v>0</v>
      </c>
      <c r="EP467" s="471"/>
      <c r="EQ467" s="450"/>
      <c r="ER467" s="471"/>
      <c r="ES467" s="450"/>
      <c r="ET467" s="471"/>
      <c r="EU467" s="450"/>
      <c r="EV467" s="471"/>
      <c r="EW467" s="450"/>
      <c r="EX467" s="471"/>
      <c r="EY467" s="450"/>
      <c r="EZ467" s="471"/>
      <c r="FA467" s="450"/>
      <c r="FB467" s="471"/>
      <c r="FC467" s="450"/>
      <c r="FD467" s="471"/>
      <c r="FE467" s="450"/>
      <c r="FF467" s="471"/>
      <c r="FG467" s="450"/>
      <c r="FH467" s="472"/>
      <c r="FI467" s="450"/>
      <c r="FJ467" s="468">
        <f t="shared" si="257"/>
        <v>0</v>
      </c>
      <c r="FK467" s="469">
        <f t="shared" si="258"/>
        <v>0</v>
      </c>
      <c r="FL467" s="472"/>
      <c r="FM467" s="450"/>
      <c r="FN467" s="460">
        <f t="shared" si="259"/>
        <v>512</v>
      </c>
      <c r="FO467" s="469">
        <f t="shared" si="260"/>
        <v>443</v>
      </c>
    </row>
    <row r="468" spans="1:171" x14ac:dyDescent="0.2">
      <c r="A468" s="704" t="s">
        <v>1125</v>
      </c>
      <c r="B468" s="528" t="s">
        <v>1148</v>
      </c>
      <c r="C468" s="529"/>
      <c r="D468" s="702">
        <v>218830</v>
      </c>
      <c r="E468" s="707">
        <v>9</v>
      </c>
      <c r="F468" s="532">
        <v>334</v>
      </c>
      <c r="G468" s="450">
        <v>300</v>
      </c>
      <c r="H468" s="457"/>
      <c r="I468" s="450"/>
      <c r="J468" s="457">
        <v>433</v>
      </c>
      <c r="K468" s="742">
        <v>509</v>
      </c>
      <c r="L468" s="458">
        <f t="shared" si="237"/>
        <v>0</v>
      </c>
      <c r="M468" s="449">
        <f t="shared" si="238"/>
        <v>0</v>
      </c>
      <c r="N468" s="459"/>
      <c r="O468" s="459"/>
      <c r="P468" s="459"/>
      <c r="Q468" s="459"/>
      <c r="R468" s="460">
        <f t="shared" si="239"/>
        <v>0</v>
      </c>
      <c r="S468" s="461"/>
      <c r="T468" s="461"/>
      <c r="U468" s="461"/>
      <c r="V468" s="461"/>
      <c r="W468" s="462">
        <f t="shared" si="240"/>
        <v>0</v>
      </c>
      <c r="X468" s="463"/>
      <c r="Y468" s="457"/>
      <c r="Z468" s="464"/>
      <c r="AA468" s="464"/>
      <c r="AB468" s="465"/>
      <c r="AC468" s="457"/>
      <c r="AD468" s="464"/>
      <c r="AE468" s="466"/>
      <c r="AF468" s="465"/>
      <c r="AG468" s="457"/>
      <c r="AH468" s="464"/>
      <c r="AI468" s="466"/>
      <c r="AJ468" s="465"/>
      <c r="AK468" s="457"/>
      <c r="AL468" s="464"/>
      <c r="AM468" s="466"/>
      <c r="AN468" s="465"/>
      <c r="AO468" s="457"/>
      <c r="AP468" s="464"/>
      <c r="AQ468" s="464"/>
      <c r="AR468" s="460">
        <f t="shared" si="241"/>
        <v>0</v>
      </c>
      <c r="AS468" s="467">
        <f t="shared" si="242"/>
        <v>0</v>
      </c>
      <c r="AT468" s="447">
        <f t="shared" si="243"/>
        <v>0</v>
      </c>
      <c r="AU468" s="448">
        <f t="shared" si="244"/>
        <v>0</v>
      </c>
      <c r="AV468" s="457"/>
      <c r="AW468" s="450"/>
      <c r="AX468" s="463"/>
      <c r="AY468" s="457"/>
      <c r="AZ468" s="464"/>
      <c r="BA468" s="464"/>
      <c r="BB468" s="465"/>
      <c r="BC468" s="457"/>
      <c r="BD468" s="464"/>
      <c r="BE468" s="466"/>
      <c r="BF468" s="465"/>
      <c r="BG468" s="457"/>
      <c r="BH468" s="464"/>
      <c r="BI468" s="466"/>
      <c r="BJ468" s="465"/>
      <c r="BK468" s="457"/>
      <c r="BL468" s="464"/>
      <c r="BM468" s="466"/>
      <c r="BN468" s="465"/>
      <c r="BO468" s="457"/>
      <c r="BP468" s="464"/>
      <c r="BQ468" s="466"/>
      <c r="BR468" s="465"/>
      <c r="BS468" s="457"/>
      <c r="BT468" s="464"/>
      <c r="BU468" s="466"/>
      <c r="BV468" s="465"/>
      <c r="BW468" s="457"/>
      <c r="BX468" s="464"/>
      <c r="BY468" s="466"/>
      <c r="BZ468" s="465"/>
      <c r="CA468" s="457"/>
      <c r="CB468" s="464"/>
      <c r="CC468" s="466"/>
      <c r="CD468" s="465"/>
      <c r="CE468" s="457"/>
      <c r="CF468" s="464"/>
      <c r="CG468" s="466"/>
      <c r="CH468" s="465"/>
      <c r="CI468" s="457"/>
      <c r="CJ468" s="464"/>
      <c r="CK468" s="466"/>
      <c r="CL468" s="459"/>
      <c r="CM468" s="450"/>
      <c r="CN468" s="468">
        <f t="shared" si="245"/>
        <v>0</v>
      </c>
      <c r="CO468" s="468">
        <f t="shared" si="246"/>
        <v>0</v>
      </c>
      <c r="CP468" s="469">
        <f t="shared" si="247"/>
        <v>0</v>
      </c>
      <c r="CQ468" s="469">
        <f t="shared" si="248"/>
        <v>0</v>
      </c>
      <c r="CR468" s="463"/>
      <c r="CS468" s="457"/>
      <c r="CT468" s="464"/>
      <c r="CU468" s="464"/>
      <c r="CV468" s="465"/>
      <c r="CW468" s="457"/>
      <c r="CX468" s="464"/>
      <c r="CY468" s="466"/>
      <c r="CZ468" s="465"/>
      <c r="DA468" s="457"/>
      <c r="DB468" s="464"/>
      <c r="DC468" s="466"/>
      <c r="DD468" s="465"/>
      <c r="DE468" s="457"/>
      <c r="DF468" s="464"/>
      <c r="DG468" s="466"/>
      <c r="DH468" s="465"/>
      <c r="DI468" s="457"/>
      <c r="DJ468" s="464"/>
      <c r="DK468" s="466"/>
      <c r="DL468" s="465"/>
      <c r="DM468" s="457"/>
      <c r="DN468" s="464"/>
      <c r="DO468" s="466"/>
      <c r="DP468" s="465"/>
      <c r="DQ468" s="457"/>
      <c r="DR468" s="464"/>
      <c r="DS468" s="466"/>
      <c r="DT468" s="465"/>
      <c r="DU468" s="457"/>
      <c r="DV468" s="464"/>
      <c r="DW468" s="466"/>
      <c r="DX468" s="465"/>
      <c r="DY468" s="457"/>
      <c r="DZ468" s="464"/>
      <c r="EA468" s="466"/>
      <c r="EB468" s="465"/>
      <c r="EC468" s="457"/>
      <c r="ED468" s="464"/>
      <c r="EE468" s="466"/>
      <c r="EF468" s="459"/>
      <c r="EG468" s="450"/>
      <c r="EH468" s="460">
        <f t="shared" si="249"/>
        <v>0</v>
      </c>
      <c r="EI468" s="460">
        <f t="shared" si="250"/>
        <v>0</v>
      </c>
      <c r="EJ468" s="458">
        <f t="shared" si="251"/>
        <v>0</v>
      </c>
      <c r="EK468" s="470">
        <f t="shared" si="252"/>
        <v>0</v>
      </c>
      <c r="EL468" s="470">
        <f t="shared" si="253"/>
        <v>0</v>
      </c>
      <c r="EM468" s="449">
        <f t="shared" si="254"/>
        <v>0</v>
      </c>
      <c r="EN468" s="460">
        <f t="shared" si="255"/>
        <v>0</v>
      </c>
      <c r="EO468" s="469">
        <f t="shared" si="256"/>
        <v>0</v>
      </c>
      <c r="EP468" s="471"/>
      <c r="EQ468" s="450"/>
      <c r="ER468" s="471"/>
      <c r="ES468" s="450"/>
      <c r="ET468" s="471"/>
      <c r="EU468" s="450"/>
      <c r="EV468" s="471"/>
      <c r="EW468" s="450"/>
      <c r="EX468" s="471"/>
      <c r="EY468" s="450"/>
      <c r="EZ468" s="471"/>
      <c r="FA468" s="450"/>
      <c r="FB468" s="471"/>
      <c r="FC468" s="450"/>
      <c r="FD468" s="471"/>
      <c r="FE468" s="450"/>
      <c r="FF468" s="471"/>
      <c r="FG468" s="450"/>
      <c r="FH468" s="472"/>
      <c r="FI468" s="450"/>
      <c r="FJ468" s="468">
        <f t="shared" si="257"/>
        <v>0</v>
      </c>
      <c r="FK468" s="469">
        <f t="shared" si="258"/>
        <v>0</v>
      </c>
      <c r="FL468" s="472"/>
      <c r="FM468" s="450"/>
      <c r="FN468" s="460">
        <f t="shared" si="259"/>
        <v>767</v>
      </c>
      <c r="FO468" s="469">
        <f t="shared" si="260"/>
        <v>809</v>
      </c>
    </row>
    <row r="469" spans="1:171" x14ac:dyDescent="0.2">
      <c r="A469" s="704" t="s">
        <v>1125</v>
      </c>
      <c r="B469" s="528" t="s">
        <v>1149</v>
      </c>
      <c r="C469" s="529"/>
      <c r="D469" s="702">
        <v>218991</v>
      </c>
      <c r="E469" s="707">
        <v>9</v>
      </c>
      <c r="F469" s="532">
        <v>539</v>
      </c>
      <c r="G469" s="450">
        <v>480</v>
      </c>
      <c r="H469" s="457"/>
      <c r="I469" s="450"/>
      <c r="J469" s="457">
        <v>503</v>
      </c>
      <c r="K469" s="742">
        <v>463</v>
      </c>
      <c r="L469" s="458">
        <f t="shared" si="237"/>
        <v>0</v>
      </c>
      <c r="M469" s="449">
        <f t="shared" si="238"/>
        <v>0</v>
      </c>
      <c r="N469" s="459"/>
      <c r="O469" s="459"/>
      <c r="P469" s="459"/>
      <c r="Q469" s="459"/>
      <c r="R469" s="460">
        <f t="shared" si="239"/>
        <v>0</v>
      </c>
      <c r="S469" s="461"/>
      <c r="T469" s="461"/>
      <c r="U469" s="461"/>
      <c r="V469" s="461"/>
      <c r="W469" s="462">
        <f t="shared" si="240"/>
        <v>0</v>
      </c>
      <c r="X469" s="463"/>
      <c r="Y469" s="457"/>
      <c r="Z469" s="464"/>
      <c r="AA469" s="464"/>
      <c r="AB469" s="465"/>
      <c r="AC469" s="457"/>
      <c r="AD469" s="464"/>
      <c r="AE469" s="466"/>
      <c r="AF469" s="465"/>
      <c r="AG469" s="457"/>
      <c r="AH469" s="464"/>
      <c r="AI469" s="466"/>
      <c r="AJ469" s="465"/>
      <c r="AK469" s="457"/>
      <c r="AL469" s="464"/>
      <c r="AM469" s="466"/>
      <c r="AN469" s="465"/>
      <c r="AO469" s="457"/>
      <c r="AP469" s="464"/>
      <c r="AQ469" s="464"/>
      <c r="AR469" s="460">
        <f t="shared" si="241"/>
        <v>0</v>
      </c>
      <c r="AS469" s="467">
        <f t="shared" si="242"/>
        <v>0</v>
      </c>
      <c r="AT469" s="447">
        <f t="shared" si="243"/>
        <v>0</v>
      </c>
      <c r="AU469" s="448">
        <f t="shared" si="244"/>
        <v>0</v>
      </c>
      <c r="AV469" s="457"/>
      <c r="AW469" s="450"/>
      <c r="AX469" s="463"/>
      <c r="AY469" s="457"/>
      <c r="AZ469" s="464"/>
      <c r="BA469" s="464"/>
      <c r="BB469" s="465"/>
      <c r="BC469" s="457"/>
      <c r="BD469" s="464"/>
      <c r="BE469" s="466"/>
      <c r="BF469" s="465"/>
      <c r="BG469" s="457"/>
      <c r="BH469" s="464"/>
      <c r="BI469" s="466"/>
      <c r="BJ469" s="465"/>
      <c r="BK469" s="457"/>
      <c r="BL469" s="464"/>
      <c r="BM469" s="466"/>
      <c r="BN469" s="465"/>
      <c r="BO469" s="457"/>
      <c r="BP469" s="464"/>
      <c r="BQ469" s="466"/>
      <c r="BR469" s="465"/>
      <c r="BS469" s="457"/>
      <c r="BT469" s="464"/>
      <c r="BU469" s="466"/>
      <c r="BV469" s="465"/>
      <c r="BW469" s="457"/>
      <c r="BX469" s="464"/>
      <c r="BY469" s="466"/>
      <c r="BZ469" s="465"/>
      <c r="CA469" s="457"/>
      <c r="CB469" s="464"/>
      <c r="CC469" s="466"/>
      <c r="CD469" s="465"/>
      <c r="CE469" s="457"/>
      <c r="CF469" s="464"/>
      <c r="CG469" s="466"/>
      <c r="CH469" s="465"/>
      <c r="CI469" s="457"/>
      <c r="CJ469" s="464"/>
      <c r="CK469" s="466"/>
      <c r="CL469" s="459"/>
      <c r="CM469" s="450"/>
      <c r="CN469" s="468">
        <f t="shared" si="245"/>
        <v>0</v>
      </c>
      <c r="CO469" s="468">
        <f t="shared" si="246"/>
        <v>0</v>
      </c>
      <c r="CP469" s="469">
        <f t="shared" si="247"/>
        <v>0</v>
      </c>
      <c r="CQ469" s="469">
        <f t="shared" si="248"/>
        <v>0</v>
      </c>
      <c r="CR469" s="463"/>
      <c r="CS469" s="457"/>
      <c r="CT469" s="464"/>
      <c r="CU469" s="464"/>
      <c r="CV469" s="465"/>
      <c r="CW469" s="457"/>
      <c r="CX469" s="464"/>
      <c r="CY469" s="466"/>
      <c r="CZ469" s="465"/>
      <c r="DA469" s="457"/>
      <c r="DB469" s="464"/>
      <c r="DC469" s="466"/>
      <c r="DD469" s="465"/>
      <c r="DE469" s="457"/>
      <c r="DF469" s="464"/>
      <c r="DG469" s="466"/>
      <c r="DH469" s="465"/>
      <c r="DI469" s="457"/>
      <c r="DJ469" s="464"/>
      <c r="DK469" s="466"/>
      <c r="DL469" s="465"/>
      <c r="DM469" s="457"/>
      <c r="DN469" s="464"/>
      <c r="DO469" s="466"/>
      <c r="DP469" s="465"/>
      <c r="DQ469" s="457"/>
      <c r="DR469" s="464"/>
      <c r="DS469" s="466"/>
      <c r="DT469" s="465"/>
      <c r="DU469" s="457"/>
      <c r="DV469" s="464"/>
      <c r="DW469" s="466"/>
      <c r="DX469" s="465"/>
      <c r="DY469" s="457"/>
      <c r="DZ469" s="464"/>
      <c r="EA469" s="466"/>
      <c r="EB469" s="465"/>
      <c r="EC469" s="457"/>
      <c r="ED469" s="464"/>
      <c r="EE469" s="466"/>
      <c r="EF469" s="459"/>
      <c r="EG469" s="450"/>
      <c r="EH469" s="460">
        <f t="shared" si="249"/>
        <v>0</v>
      </c>
      <c r="EI469" s="460">
        <f t="shared" si="250"/>
        <v>0</v>
      </c>
      <c r="EJ469" s="458">
        <f t="shared" si="251"/>
        <v>0</v>
      </c>
      <c r="EK469" s="470">
        <f t="shared" si="252"/>
        <v>0</v>
      </c>
      <c r="EL469" s="470">
        <f t="shared" si="253"/>
        <v>0</v>
      </c>
      <c r="EM469" s="449">
        <f t="shared" si="254"/>
        <v>0</v>
      </c>
      <c r="EN469" s="460">
        <f t="shared" si="255"/>
        <v>0</v>
      </c>
      <c r="EO469" s="469">
        <f t="shared" si="256"/>
        <v>0</v>
      </c>
      <c r="EP469" s="471"/>
      <c r="EQ469" s="450"/>
      <c r="ER469" s="471"/>
      <c r="ES469" s="450"/>
      <c r="ET469" s="471"/>
      <c r="EU469" s="450"/>
      <c r="EV469" s="471"/>
      <c r="EW469" s="450"/>
      <c r="EX469" s="471"/>
      <c r="EY469" s="450"/>
      <c r="EZ469" s="471"/>
      <c r="FA469" s="450"/>
      <c r="FB469" s="471"/>
      <c r="FC469" s="450"/>
      <c r="FD469" s="471"/>
      <c r="FE469" s="450"/>
      <c r="FF469" s="471"/>
      <c r="FG469" s="450"/>
      <c r="FH469" s="472"/>
      <c r="FI469" s="450"/>
      <c r="FJ469" s="468">
        <f t="shared" si="257"/>
        <v>0</v>
      </c>
      <c r="FK469" s="469">
        <f t="shared" si="258"/>
        <v>0</v>
      </c>
      <c r="FL469" s="472"/>
      <c r="FM469" s="450"/>
      <c r="FN469" s="460">
        <f t="shared" si="259"/>
        <v>1042</v>
      </c>
      <c r="FO469" s="469">
        <f t="shared" si="260"/>
        <v>943</v>
      </c>
    </row>
    <row r="470" spans="1:171" x14ac:dyDescent="0.2">
      <c r="A470" s="704" t="s">
        <v>1125</v>
      </c>
      <c r="B470" s="705" t="s">
        <v>1150</v>
      </c>
      <c r="C470" s="706" t="s">
        <v>599</v>
      </c>
      <c r="D470" s="702">
        <v>217989</v>
      </c>
      <c r="E470" s="707">
        <v>10</v>
      </c>
      <c r="F470" s="532">
        <v>131</v>
      </c>
      <c r="G470" s="450">
        <v>244</v>
      </c>
      <c r="H470" s="457"/>
      <c r="I470" s="450"/>
      <c r="J470" s="457">
        <v>66</v>
      </c>
      <c r="K470" s="450">
        <v>107</v>
      </c>
      <c r="L470" s="458">
        <f t="shared" si="237"/>
        <v>0</v>
      </c>
      <c r="M470" s="449">
        <f t="shared" si="238"/>
        <v>0</v>
      </c>
      <c r="N470" s="459"/>
      <c r="O470" s="459"/>
      <c r="P470" s="459"/>
      <c r="Q470" s="459"/>
      <c r="R470" s="460">
        <f t="shared" si="239"/>
        <v>0</v>
      </c>
      <c r="S470" s="461"/>
      <c r="T470" s="461"/>
      <c r="U470" s="461"/>
      <c r="V470" s="461"/>
      <c r="W470" s="462">
        <f t="shared" si="240"/>
        <v>0</v>
      </c>
      <c r="X470" s="463"/>
      <c r="Y470" s="457"/>
      <c r="Z470" s="464"/>
      <c r="AA470" s="464"/>
      <c r="AB470" s="465"/>
      <c r="AC470" s="457"/>
      <c r="AD470" s="464"/>
      <c r="AE470" s="466"/>
      <c r="AF470" s="465"/>
      <c r="AG470" s="457"/>
      <c r="AH470" s="464"/>
      <c r="AI470" s="466"/>
      <c r="AJ470" s="465"/>
      <c r="AK470" s="457"/>
      <c r="AL470" s="464"/>
      <c r="AM470" s="466"/>
      <c r="AN470" s="465"/>
      <c r="AO470" s="457"/>
      <c r="AP470" s="464"/>
      <c r="AQ470" s="464"/>
      <c r="AR470" s="460">
        <f t="shared" si="241"/>
        <v>0</v>
      </c>
      <c r="AS470" s="467">
        <f t="shared" si="242"/>
        <v>0</v>
      </c>
      <c r="AT470" s="447">
        <f t="shared" si="243"/>
        <v>0</v>
      </c>
      <c r="AU470" s="448">
        <f t="shared" si="244"/>
        <v>0</v>
      </c>
      <c r="AV470" s="457"/>
      <c r="AW470" s="450"/>
      <c r="AX470" s="463"/>
      <c r="AY470" s="457"/>
      <c r="AZ470" s="464"/>
      <c r="BA470" s="464"/>
      <c r="BB470" s="465"/>
      <c r="BC470" s="457"/>
      <c r="BD470" s="464"/>
      <c r="BE470" s="466"/>
      <c r="BF470" s="465"/>
      <c r="BG470" s="457"/>
      <c r="BH470" s="464"/>
      <c r="BI470" s="466"/>
      <c r="BJ470" s="465"/>
      <c r="BK470" s="457"/>
      <c r="BL470" s="464"/>
      <c r="BM470" s="466"/>
      <c r="BN470" s="465"/>
      <c r="BO470" s="457"/>
      <c r="BP470" s="464"/>
      <c r="BQ470" s="466"/>
      <c r="BR470" s="465"/>
      <c r="BS470" s="457"/>
      <c r="BT470" s="464"/>
      <c r="BU470" s="466"/>
      <c r="BV470" s="465"/>
      <c r="BW470" s="457"/>
      <c r="BX470" s="464"/>
      <c r="BY470" s="466"/>
      <c r="BZ470" s="465"/>
      <c r="CA470" s="457"/>
      <c r="CB470" s="464"/>
      <c r="CC470" s="466"/>
      <c r="CD470" s="465"/>
      <c r="CE470" s="457"/>
      <c r="CF470" s="464"/>
      <c r="CG470" s="466"/>
      <c r="CH470" s="465"/>
      <c r="CI470" s="457"/>
      <c r="CJ470" s="464"/>
      <c r="CK470" s="466"/>
      <c r="CL470" s="459"/>
      <c r="CM470" s="450"/>
      <c r="CN470" s="468">
        <f t="shared" si="245"/>
        <v>0</v>
      </c>
      <c r="CO470" s="468">
        <f t="shared" si="246"/>
        <v>0</v>
      </c>
      <c r="CP470" s="469">
        <f t="shared" si="247"/>
        <v>0</v>
      </c>
      <c r="CQ470" s="469">
        <f t="shared" si="248"/>
        <v>0</v>
      </c>
      <c r="CR470" s="463"/>
      <c r="CS470" s="457"/>
      <c r="CT470" s="464"/>
      <c r="CU470" s="464"/>
      <c r="CV470" s="465"/>
      <c r="CW470" s="457"/>
      <c r="CX470" s="464"/>
      <c r="CY470" s="466"/>
      <c r="CZ470" s="465"/>
      <c r="DA470" s="457"/>
      <c r="DB470" s="464"/>
      <c r="DC470" s="466"/>
      <c r="DD470" s="465"/>
      <c r="DE470" s="457"/>
      <c r="DF470" s="464"/>
      <c r="DG470" s="466"/>
      <c r="DH470" s="465"/>
      <c r="DI470" s="457"/>
      <c r="DJ470" s="464"/>
      <c r="DK470" s="466"/>
      <c r="DL470" s="465"/>
      <c r="DM470" s="457"/>
      <c r="DN470" s="464"/>
      <c r="DO470" s="466"/>
      <c r="DP470" s="465"/>
      <c r="DQ470" s="457"/>
      <c r="DR470" s="464"/>
      <c r="DS470" s="466"/>
      <c r="DT470" s="465"/>
      <c r="DU470" s="457"/>
      <c r="DV470" s="464"/>
      <c r="DW470" s="466"/>
      <c r="DX470" s="465"/>
      <c r="DY470" s="457"/>
      <c r="DZ470" s="464"/>
      <c r="EA470" s="466"/>
      <c r="EB470" s="465"/>
      <c r="EC470" s="457"/>
      <c r="ED470" s="464"/>
      <c r="EE470" s="466"/>
      <c r="EF470" s="459"/>
      <c r="EG470" s="450"/>
      <c r="EH470" s="460">
        <f t="shared" si="249"/>
        <v>0</v>
      </c>
      <c r="EI470" s="460">
        <f t="shared" si="250"/>
        <v>0</v>
      </c>
      <c r="EJ470" s="458">
        <f t="shared" si="251"/>
        <v>0</v>
      </c>
      <c r="EK470" s="470">
        <f t="shared" si="252"/>
        <v>0</v>
      </c>
      <c r="EL470" s="470">
        <f t="shared" si="253"/>
        <v>0</v>
      </c>
      <c r="EM470" s="449">
        <f t="shared" si="254"/>
        <v>0</v>
      </c>
      <c r="EN470" s="460">
        <f t="shared" si="255"/>
        <v>0</v>
      </c>
      <c r="EO470" s="469">
        <f t="shared" si="256"/>
        <v>0</v>
      </c>
      <c r="EP470" s="471"/>
      <c r="EQ470" s="450"/>
      <c r="ER470" s="471"/>
      <c r="ES470" s="450"/>
      <c r="ET470" s="471"/>
      <c r="EU470" s="450"/>
      <c r="EV470" s="471"/>
      <c r="EW470" s="450"/>
      <c r="EX470" s="471"/>
      <c r="EY470" s="450"/>
      <c r="EZ470" s="471"/>
      <c r="FA470" s="450"/>
      <c r="FB470" s="471"/>
      <c r="FC470" s="450"/>
      <c r="FD470" s="471"/>
      <c r="FE470" s="450"/>
      <c r="FF470" s="471"/>
      <c r="FG470" s="450"/>
      <c r="FH470" s="472"/>
      <c r="FI470" s="450"/>
      <c r="FJ470" s="468">
        <f t="shared" si="257"/>
        <v>0</v>
      </c>
      <c r="FK470" s="469">
        <f t="shared" si="258"/>
        <v>0</v>
      </c>
      <c r="FL470" s="472"/>
      <c r="FM470" s="450"/>
      <c r="FN470" s="460">
        <f t="shared" si="259"/>
        <v>197</v>
      </c>
      <c r="FO470" s="469">
        <f t="shared" si="260"/>
        <v>351</v>
      </c>
    </row>
    <row r="471" spans="1:171" x14ac:dyDescent="0.2">
      <c r="A471" s="704" t="s">
        <v>1125</v>
      </c>
      <c r="B471" s="705" t="s">
        <v>1151</v>
      </c>
      <c r="C471" s="706"/>
      <c r="D471" s="702">
        <v>217837</v>
      </c>
      <c r="E471" s="707">
        <v>10</v>
      </c>
      <c r="F471" s="532">
        <v>116</v>
      </c>
      <c r="G471" s="450">
        <v>146</v>
      </c>
      <c r="H471" s="457"/>
      <c r="I471" s="450"/>
      <c r="J471" s="457">
        <v>124</v>
      </c>
      <c r="K471" s="450">
        <v>128</v>
      </c>
      <c r="L471" s="458">
        <f t="shared" si="237"/>
        <v>0</v>
      </c>
      <c r="M471" s="449">
        <f t="shared" si="238"/>
        <v>0</v>
      </c>
      <c r="N471" s="459"/>
      <c r="O471" s="459"/>
      <c r="P471" s="459"/>
      <c r="Q471" s="459"/>
      <c r="R471" s="460">
        <f t="shared" si="239"/>
        <v>0</v>
      </c>
      <c r="S471" s="461"/>
      <c r="T471" s="461"/>
      <c r="U471" s="461"/>
      <c r="V471" s="461"/>
      <c r="W471" s="462">
        <f t="shared" si="240"/>
        <v>0</v>
      </c>
      <c r="X471" s="463"/>
      <c r="Y471" s="457"/>
      <c r="Z471" s="464"/>
      <c r="AA471" s="464"/>
      <c r="AB471" s="465"/>
      <c r="AC471" s="457"/>
      <c r="AD471" s="464"/>
      <c r="AE471" s="466"/>
      <c r="AF471" s="465"/>
      <c r="AG471" s="457"/>
      <c r="AH471" s="464"/>
      <c r="AI471" s="466"/>
      <c r="AJ471" s="465"/>
      <c r="AK471" s="457"/>
      <c r="AL471" s="464"/>
      <c r="AM471" s="466"/>
      <c r="AN471" s="465"/>
      <c r="AO471" s="457"/>
      <c r="AP471" s="464"/>
      <c r="AQ471" s="464"/>
      <c r="AR471" s="460">
        <f t="shared" si="241"/>
        <v>0</v>
      </c>
      <c r="AS471" s="467">
        <f t="shared" si="242"/>
        <v>0</v>
      </c>
      <c r="AT471" s="447">
        <f t="shared" si="243"/>
        <v>0</v>
      </c>
      <c r="AU471" s="448">
        <f t="shared" si="244"/>
        <v>0</v>
      </c>
      <c r="AV471" s="457"/>
      <c r="AW471" s="450"/>
      <c r="AX471" s="463"/>
      <c r="AY471" s="457"/>
      <c r="AZ471" s="464"/>
      <c r="BA471" s="464"/>
      <c r="BB471" s="465"/>
      <c r="BC471" s="457"/>
      <c r="BD471" s="464"/>
      <c r="BE471" s="466"/>
      <c r="BF471" s="465"/>
      <c r="BG471" s="457"/>
      <c r="BH471" s="464"/>
      <c r="BI471" s="466"/>
      <c r="BJ471" s="465"/>
      <c r="BK471" s="457"/>
      <c r="BL471" s="464"/>
      <c r="BM471" s="466"/>
      <c r="BN471" s="465"/>
      <c r="BO471" s="457"/>
      <c r="BP471" s="464"/>
      <c r="BQ471" s="466"/>
      <c r="BR471" s="465"/>
      <c r="BS471" s="457"/>
      <c r="BT471" s="464"/>
      <c r="BU471" s="466"/>
      <c r="BV471" s="465"/>
      <c r="BW471" s="457"/>
      <c r="BX471" s="464"/>
      <c r="BY471" s="466"/>
      <c r="BZ471" s="465"/>
      <c r="CA471" s="457"/>
      <c r="CB471" s="464"/>
      <c r="CC471" s="466"/>
      <c r="CD471" s="465"/>
      <c r="CE471" s="457"/>
      <c r="CF471" s="464"/>
      <c r="CG471" s="466"/>
      <c r="CH471" s="465"/>
      <c r="CI471" s="457"/>
      <c r="CJ471" s="464"/>
      <c r="CK471" s="466"/>
      <c r="CL471" s="459"/>
      <c r="CM471" s="450"/>
      <c r="CN471" s="468">
        <f t="shared" si="245"/>
        <v>0</v>
      </c>
      <c r="CO471" s="468">
        <f t="shared" si="246"/>
        <v>0</v>
      </c>
      <c r="CP471" s="469">
        <f t="shared" si="247"/>
        <v>0</v>
      </c>
      <c r="CQ471" s="469">
        <f t="shared" si="248"/>
        <v>0</v>
      </c>
      <c r="CR471" s="463"/>
      <c r="CS471" s="457"/>
      <c r="CT471" s="464"/>
      <c r="CU471" s="464"/>
      <c r="CV471" s="465"/>
      <c r="CW471" s="457"/>
      <c r="CX471" s="464"/>
      <c r="CY471" s="466"/>
      <c r="CZ471" s="465"/>
      <c r="DA471" s="457"/>
      <c r="DB471" s="464"/>
      <c r="DC471" s="466"/>
      <c r="DD471" s="465"/>
      <c r="DE471" s="457"/>
      <c r="DF471" s="464"/>
      <c r="DG471" s="466"/>
      <c r="DH471" s="465"/>
      <c r="DI471" s="457"/>
      <c r="DJ471" s="464"/>
      <c r="DK471" s="466"/>
      <c r="DL471" s="465"/>
      <c r="DM471" s="457"/>
      <c r="DN471" s="464"/>
      <c r="DO471" s="466"/>
      <c r="DP471" s="465"/>
      <c r="DQ471" s="457"/>
      <c r="DR471" s="464"/>
      <c r="DS471" s="466"/>
      <c r="DT471" s="465"/>
      <c r="DU471" s="457"/>
      <c r="DV471" s="464"/>
      <c r="DW471" s="466"/>
      <c r="DX471" s="465"/>
      <c r="DY471" s="457"/>
      <c r="DZ471" s="464"/>
      <c r="EA471" s="466"/>
      <c r="EB471" s="465"/>
      <c r="EC471" s="457"/>
      <c r="ED471" s="464"/>
      <c r="EE471" s="466"/>
      <c r="EF471" s="459"/>
      <c r="EG471" s="450"/>
      <c r="EH471" s="460">
        <f t="shared" si="249"/>
        <v>0</v>
      </c>
      <c r="EI471" s="460">
        <f t="shared" si="250"/>
        <v>0</v>
      </c>
      <c r="EJ471" s="458">
        <f t="shared" si="251"/>
        <v>0</v>
      </c>
      <c r="EK471" s="470">
        <f t="shared" si="252"/>
        <v>0</v>
      </c>
      <c r="EL471" s="470">
        <f t="shared" si="253"/>
        <v>0</v>
      </c>
      <c r="EM471" s="449">
        <f t="shared" si="254"/>
        <v>0</v>
      </c>
      <c r="EN471" s="460">
        <f t="shared" si="255"/>
        <v>0</v>
      </c>
      <c r="EO471" s="469">
        <f t="shared" si="256"/>
        <v>0</v>
      </c>
      <c r="EP471" s="471"/>
      <c r="EQ471" s="450"/>
      <c r="ER471" s="471"/>
      <c r="ES471" s="450"/>
      <c r="ET471" s="471"/>
      <c r="EU471" s="450"/>
      <c r="EV471" s="471"/>
      <c r="EW471" s="450"/>
      <c r="EX471" s="471"/>
      <c r="EY471" s="450"/>
      <c r="EZ471" s="471"/>
      <c r="FA471" s="450"/>
      <c r="FB471" s="471"/>
      <c r="FC471" s="450"/>
      <c r="FD471" s="471"/>
      <c r="FE471" s="450"/>
      <c r="FF471" s="471"/>
      <c r="FG471" s="450"/>
      <c r="FH471" s="472"/>
      <c r="FI471" s="450"/>
      <c r="FJ471" s="468">
        <f t="shared" si="257"/>
        <v>0</v>
      </c>
      <c r="FK471" s="469">
        <f t="shared" si="258"/>
        <v>0</v>
      </c>
      <c r="FL471" s="472"/>
      <c r="FM471" s="450"/>
      <c r="FN471" s="460">
        <f t="shared" si="259"/>
        <v>240</v>
      </c>
      <c r="FO471" s="469">
        <f t="shared" si="260"/>
        <v>274</v>
      </c>
    </row>
    <row r="472" spans="1:171" x14ac:dyDescent="0.2">
      <c r="A472" s="704" t="s">
        <v>1125</v>
      </c>
      <c r="B472" s="705" t="s">
        <v>1152</v>
      </c>
      <c r="C472" s="706"/>
      <c r="D472" s="702">
        <v>217712</v>
      </c>
      <c r="E472" s="707">
        <v>10</v>
      </c>
      <c r="F472" s="532">
        <v>275</v>
      </c>
      <c r="G472" s="450">
        <v>265</v>
      </c>
      <c r="H472" s="457"/>
      <c r="I472" s="450"/>
      <c r="J472" s="457">
        <v>173</v>
      </c>
      <c r="K472" s="450">
        <v>210</v>
      </c>
      <c r="L472" s="458">
        <f t="shared" si="237"/>
        <v>0</v>
      </c>
      <c r="M472" s="449">
        <f t="shared" si="238"/>
        <v>0</v>
      </c>
      <c r="N472" s="459"/>
      <c r="O472" s="459"/>
      <c r="P472" s="459"/>
      <c r="Q472" s="459"/>
      <c r="R472" s="460">
        <f t="shared" si="239"/>
        <v>0</v>
      </c>
      <c r="S472" s="461"/>
      <c r="T472" s="461"/>
      <c r="U472" s="461"/>
      <c r="V472" s="461"/>
      <c r="W472" s="462">
        <f t="shared" si="240"/>
        <v>0</v>
      </c>
      <c r="X472" s="463"/>
      <c r="Y472" s="457"/>
      <c r="Z472" s="464"/>
      <c r="AA472" s="464"/>
      <c r="AB472" s="465"/>
      <c r="AC472" s="457"/>
      <c r="AD472" s="464"/>
      <c r="AE472" s="466"/>
      <c r="AF472" s="465"/>
      <c r="AG472" s="457"/>
      <c r="AH472" s="464"/>
      <c r="AI472" s="466"/>
      <c r="AJ472" s="465"/>
      <c r="AK472" s="457"/>
      <c r="AL472" s="464"/>
      <c r="AM472" s="466"/>
      <c r="AN472" s="465"/>
      <c r="AO472" s="457"/>
      <c r="AP472" s="464"/>
      <c r="AQ472" s="464"/>
      <c r="AR472" s="460">
        <f t="shared" si="241"/>
        <v>0</v>
      </c>
      <c r="AS472" s="467">
        <f t="shared" si="242"/>
        <v>0</v>
      </c>
      <c r="AT472" s="447">
        <f t="shared" si="243"/>
        <v>0</v>
      </c>
      <c r="AU472" s="448">
        <f t="shared" si="244"/>
        <v>0</v>
      </c>
      <c r="AV472" s="457"/>
      <c r="AW472" s="450"/>
      <c r="AX472" s="463"/>
      <c r="AY472" s="457"/>
      <c r="AZ472" s="464"/>
      <c r="BA472" s="464"/>
      <c r="BB472" s="465"/>
      <c r="BC472" s="457"/>
      <c r="BD472" s="464"/>
      <c r="BE472" s="466"/>
      <c r="BF472" s="465"/>
      <c r="BG472" s="457"/>
      <c r="BH472" s="464"/>
      <c r="BI472" s="466"/>
      <c r="BJ472" s="465"/>
      <c r="BK472" s="457"/>
      <c r="BL472" s="464"/>
      <c r="BM472" s="466"/>
      <c r="BN472" s="465"/>
      <c r="BO472" s="457"/>
      <c r="BP472" s="464"/>
      <c r="BQ472" s="466"/>
      <c r="BR472" s="465"/>
      <c r="BS472" s="457"/>
      <c r="BT472" s="464"/>
      <c r="BU472" s="466"/>
      <c r="BV472" s="465"/>
      <c r="BW472" s="457"/>
      <c r="BX472" s="464"/>
      <c r="BY472" s="466"/>
      <c r="BZ472" s="465"/>
      <c r="CA472" s="457"/>
      <c r="CB472" s="464"/>
      <c r="CC472" s="466"/>
      <c r="CD472" s="465"/>
      <c r="CE472" s="457"/>
      <c r="CF472" s="464"/>
      <c r="CG472" s="466"/>
      <c r="CH472" s="465"/>
      <c r="CI472" s="457"/>
      <c r="CJ472" s="464"/>
      <c r="CK472" s="466"/>
      <c r="CL472" s="459"/>
      <c r="CM472" s="450"/>
      <c r="CN472" s="468">
        <f t="shared" si="245"/>
        <v>0</v>
      </c>
      <c r="CO472" s="468">
        <f t="shared" si="246"/>
        <v>0</v>
      </c>
      <c r="CP472" s="469">
        <f t="shared" si="247"/>
        <v>0</v>
      </c>
      <c r="CQ472" s="469">
        <f t="shared" si="248"/>
        <v>0</v>
      </c>
      <c r="CR472" s="463"/>
      <c r="CS472" s="457"/>
      <c r="CT472" s="464"/>
      <c r="CU472" s="464"/>
      <c r="CV472" s="465"/>
      <c r="CW472" s="457"/>
      <c r="CX472" s="464"/>
      <c r="CY472" s="466"/>
      <c r="CZ472" s="465"/>
      <c r="DA472" s="457"/>
      <c r="DB472" s="464"/>
      <c r="DC472" s="466"/>
      <c r="DD472" s="465"/>
      <c r="DE472" s="457"/>
      <c r="DF472" s="464"/>
      <c r="DG472" s="466"/>
      <c r="DH472" s="465"/>
      <c r="DI472" s="457"/>
      <c r="DJ472" s="464"/>
      <c r="DK472" s="466"/>
      <c r="DL472" s="465"/>
      <c r="DM472" s="457"/>
      <c r="DN472" s="464"/>
      <c r="DO472" s="466"/>
      <c r="DP472" s="465"/>
      <c r="DQ472" s="457"/>
      <c r="DR472" s="464"/>
      <c r="DS472" s="466"/>
      <c r="DT472" s="465"/>
      <c r="DU472" s="457"/>
      <c r="DV472" s="464"/>
      <c r="DW472" s="466"/>
      <c r="DX472" s="465"/>
      <c r="DY472" s="457"/>
      <c r="DZ472" s="464"/>
      <c r="EA472" s="466"/>
      <c r="EB472" s="465"/>
      <c r="EC472" s="457"/>
      <c r="ED472" s="464"/>
      <c r="EE472" s="466"/>
      <c r="EF472" s="459"/>
      <c r="EG472" s="450"/>
      <c r="EH472" s="460">
        <f t="shared" si="249"/>
        <v>0</v>
      </c>
      <c r="EI472" s="460">
        <f t="shared" si="250"/>
        <v>0</v>
      </c>
      <c r="EJ472" s="458">
        <f t="shared" si="251"/>
        <v>0</v>
      </c>
      <c r="EK472" s="470">
        <f t="shared" si="252"/>
        <v>0</v>
      </c>
      <c r="EL472" s="470">
        <f t="shared" si="253"/>
        <v>0</v>
      </c>
      <c r="EM472" s="449">
        <f t="shared" si="254"/>
        <v>0</v>
      </c>
      <c r="EN472" s="460">
        <f t="shared" si="255"/>
        <v>0</v>
      </c>
      <c r="EO472" s="469">
        <f t="shared" si="256"/>
        <v>0</v>
      </c>
      <c r="EP472" s="471"/>
      <c r="EQ472" s="450"/>
      <c r="ER472" s="471"/>
      <c r="ES472" s="450"/>
      <c r="ET472" s="471"/>
      <c r="EU472" s="450"/>
      <c r="EV472" s="471"/>
      <c r="EW472" s="450"/>
      <c r="EX472" s="471"/>
      <c r="EY472" s="450"/>
      <c r="EZ472" s="471"/>
      <c r="FA472" s="450"/>
      <c r="FB472" s="471"/>
      <c r="FC472" s="450"/>
      <c r="FD472" s="471"/>
      <c r="FE472" s="450"/>
      <c r="FF472" s="471"/>
      <c r="FG472" s="450"/>
      <c r="FH472" s="472"/>
      <c r="FI472" s="450"/>
      <c r="FJ472" s="468">
        <f t="shared" si="257"/>
        <v>0</v>
      </c>
      <c r="FK472" s="469">
        <f t="shared" si="258"/>
        <v>0</v>
      </c>
      <c r="FL472" s="472"/>
      <c r="FM472" s="450"/>
      <c r="FN472" s="460">
        <f t="shared" si="259"/>
        <v>448</v>
      </c>
      <c r="FO472" s="469">
        <f t="shared" si="260"/>
        <v>475</v>
      </c>
    </row>
    <row r="473" spans="1:171" x14ac:dyDescent="0.2">
      <c r="A473" s="704" t="s">
        <v>1125</v>
      </c>
      <c r="B473" s="705" t="s">
        <v>1153</v>
      </c>
      <c r="C473" s="706"/>
      <c r="D473" s="702">
        <v>218672</v>
      </c>
      <c r="E473" s="707">
        <v>10</v>
      </c>
      <c r="F473" s="532"/>
      <c r="G473" s="450"/>
      <c r="H473" s="457"/>
      <c r="I473" s="450"/>
      <c r="J473" s="457">
        <v>129</v>
      </c>
      <c r="K473" s="742">
        <v>132</v>
      </c>
      <c r="L473" s="458">
        <f t="shared" si="237"/>
        <v>0</v>
      </c>
      <c r="M473" s="449">
        <f t="shared" si="238"/>
        <v>0</v>
      </c>
      <c r="N473" s="459"/>
      <c r="O473" s="459"/>
      <c r="P473" s="459"/>
      <c r="Q473" s="459"/>
      <c r="R473" s="460">
        <f t="shared" si="239"/>
        <v>0</v>
      </c>
      <c r="S473" s="461"/>
      <c r="T473" s="461"/>
      <c r="U473" s="461"/>
      <c r="V473" s="461"/>
      <c r="W473" s="462">
        <f t="shared" si="240"/>
        <v>0</v>
      </c>
      <c r="X473" s="463"/>
      <c r="Y473" s="457"/>
      <c r="Z473" s="464"/>
      <c r="AA473" s="464"/>
      <c r="AB473" s="465"/>
      <c r="AC473" s="457"/>
      <c r="AD473" s="464"/>
      <c r="AE473" s="466"/>
      <c r="AF473" s="465"/>
      <c r="AG473" s="457"/>
      <c r="AH473" s="464"/>
      <c r="AI473" s="466"/>
      <c r="AJ473" s="465"/>
      <c r="AK473" s="457"/>
      <c r="AL473" s="464"/>
      <c r="AM473" s="466"/>
      <c r="AN473" s="465"/>
      <c r="AO473" s="457"/>
      <c r="AP473" s="464"/>
      <c r="AQ473" s="464"/>
      <c r="AR473" s="460">
        <f t="shared" si="241"/>
        <v>0</v>
      </c>
      <c r="AS473" s="467">
        <f t="shared" si="242"/>
        <v>0</v>
      </c>
      <c r="AT473" s="447">
        <f t="shared" si="243"/>
        <v>0</v>
      </c>
      <c r="AU473" s="448">
        <f t="shared" si="244"/>
        <v>0</v>
      </c>
      <c r="AV473" s="457"/>
      <c r="AW473" s="450"/>
      <c r="AX473" s="463"/>
      <c r="AY473" s="457"/>
      <c r="AZ473" s="464"/>
      <c r="BA473" s="464"/>
      <c r="BB473" s="465"/>
      <c r="BC473" s="457"/>
      <c r="BD473" s="464"/>
      <c r="BE473" s="466"/>
      <c r="BF473" s="465"/>
      <c r="BG473" s="457"/>
      <c r="BH473" s="464"/>
      <c r="BI473" s="466"/>
      <c r="BJ473" s="465"/>
      <c r="BK473" s="457"/>
      <c r="BL473" s="464"/>
      <c r="BM473" s="466"/>
      <c r="BN473" s="465"/>
      <c r="BO473" s="457"/>
      <c r="BP473" s="464"/>
      <c r="BQ473" s="466"/>
      <c r="BR473" s="465"/>
      <c r="BS473" s="457"/>
      <c r="BT473" s="464"/>
      <c r="BU473" s="466"/>
      <c r="BV473" s="465"/>
      <c r="BW473" s="457"/>
      <c r="BX473" s="464"/>
      <c r="BY473" s="466"/>
      <c r="BZ473" s="465"/>
      <c r="CA473" s="457"/>
      <c r="CB473" s="464"/>
      <c r="CC473" s="466"/>
      <c r="CD473" s="465"/>
      <c r="CE473" s="457"/>
      <c r="CF473" s="464"/>
      <c r="CG473" s="466"/>
      <c r="CH473" s="465"/>
      <c r="CI473" s="457"/>
      <c r="CJ473" s="464"/>
      <c r="CK473" s="466"/>
      <c r="CL473" s="459"/>
      <c r="CM473" s="450"/>
      <c r="CN473" s="468">
        <f t="shared" si="245"/>
        <v>0</v>
      </c>
      <c r="CO473" s="468">
        <f t="shared" si="246"/>
        <v>0</v>
      </c>
      <c r="CP473" s="469">
        <f t="shared" si="247"/>
        <v>0</v>
      </c>
      <c r="CQ473" s="469">
        <f t="shared" si="248"/>
        <v>0</v>
      </c>
      <c r="CR473" s="463"/>
      <c r="CS473" s="457"/>
      <c r="CT473" s="464"/>
      <c r="CU473" s="464"/>
      <c r="CV473" s="465"/>
      <c r="CW473" s="457"/>
      <c r="CX473" s="464"/>
      <c r="CY473" s="466"/>
      <c r="CZ473" s="465"/>
      <c r="DA473" s="457"/>
      <c r="DB473" s="464"/>
      <c r="DC473" s="466"/>
      <c r="DD473" s="465"/>
      <c r="DE473" s="457"/>
      <c r="DF473" s="464"/>
      <c r="DG473" s="466"/>
      <c r="DH473" s="465"/>
      <c r="DI473" s="457"/>
      <c r="DJ473" s="464"/>
      <c r="DK473" s="466"/>
      <c r="DL473" s="465"/>
      <c r="DM473" s="457"/>
      <c r="DN473" s="464"/>
      <c r="DO473" s="466"/>
      <c r="DP473" s="465"/>
      <c r="DQ473" s="457"/>
      <c r="DR473" s="464"/>
      <c r="DS473" s="466"/>
      <c r="DT473" s="465"/>
      <c r="DU473" s="457"/>
      <c r="DV473" s="464"/>
      <c r="DW473" s="466"/>
      <c r="DX473" s="465"/>
      <c r="DY473" s="457"/>
      <c r="DZ473" s="464"/>
      <c r="EA473" s="466"/>
      <c r="EB473" s="465"/>
      <c r="EC473" s="457"/>
      <c r="ED473" s="464"/>
      <c r="EE473" s="466"/>
      <c r="EF473" s="459"/>
      <c r="EG473" s="450"/>
      <c r="EH473" s="460">
        <f t="shared" si="249"/>
        <v>0</v>
      </c>
      <c r="EI473" s="460">
        <f t="shared" si="250"/>
        <v>0</v>
      </c>
      <c r="EJ473" s="458">
        <f t="shared" si="251"/>
        <v>0</v>
      </c>
      <c r="EK473" s="470">
        <f t="shared" si="252"/>
        <v>0</v>
      </c>
      <c r="EL473" s="470">
        <f t="shared" si="253"/>
        <v>0</v>
      </c>
      <c r="EM473" s="449">
        <f t="shared" si="254"/>
        <v>0</v>
      </c>
      <c r="EN473" s="460">
        <f t="shared" si="255"/>
        <v>0</v>
      </c>
      <c r="EO473" s="469">
        <f t="shared" si="256"/>
        <v>0</v>
      </c>
      <c r="EP473" s="471"/>
      <c r="EQ473" s="450"/>
      <c r="ER473" s="471"/>
      <c r="ES473" s="450"/>
      <c r="ET473" s="471"/>
      <c r="EU473" s="450"/>
      <c r="EV473" s="471"/>
      <c r="EW473" s="450"/>
      <c r="EX473" s="471"/>
      <c r="EY473" s="450"/>
      <c r="EZ473" s="471"/>
      <c r="FA473" s="450"/>
      <c r="FB473" s="471"/>
      <c r="FC473" s="450"/>
      <c r="FD473" s="471"/>
      <c r="FE473" s="450"/>
      <c r="FF473" s="471"/>
      <c r="FG473" s="450"/>
      <c r="FH473" s="472"/>
      <c r="FI473" s="450"/>
      <c r="FJ473" s="468">
        <f t="shared" si="257"/>
        <v>0</v>
      </c>
      <c r="FK473" s="469">
        <f t="shared" si="258"/>
        <v>0</v>
      </c>
      <c r="FL473" s="472"/>
      <c r="FM473" s="450"/>
      <c r="FN473" s="460">
        <f t="shared" si="259"/>
        <v>129</v>
      </c>
      <c r="FO473" s="469">
        <f t="shared" si="260"/>
        <v>132</v>
      </c>
    </row>
    <row r="474" spans="1:171" x14ac:dyDescent="0.2">
      <c r="A474" s="704" t="s">
        <v>1125</v>
      </c>
      <c r="B474" s="705" t="s">
        <v>1154</v>
      </c>
      <c r="C474" s="706"/>
      <c r="D474" s="702">
        <v>218681</v>
      </c>
      <c r="E474" s="707">
        <v>10</v>
      </c>
      <c r="F474" s="532"/>
      <c r="G474" s="450"/>
      <c r="H474" s="457"/>
      <c r="I474" s="450"/>
      <c r="J474" s="457">
        <v>146</v>
      </c>
      <c r="K474" s="742">
        <v>147</v>
      </c>
      <c r="L474" s="458">
        <f t="shared" si="237"/>
        <v>0</v>
      </c>
      <c r="M474" s="449">
        <f t="shared" si="238"/>
        <v>0</v>
      </c>
      <c r="N474" s="459"/>
      <c r="O474" s="459"/>
      <c r="P474" s="459"/>
      <c r="Q474" s="459"/>
      <c r="R474" s="460">
        <f t="shared" si="239"/>
        <v>0</v>
      </c>
      <c r="S474" s="461"/>
      <c r="T474" s="461"/>
      <c r="U474" s="461"/>
      <c r="V474" s="461"/>
      <c r="W474" s="462">
        <f t="shared" si="240"/>
        <v>0</v>
      </c>
      <c r="X474" s="463"/>
      <c r="Y474" s="457"/>
      <c r="Z474" s="464"/>
      <c r="AA474" s="464"/>
      <c r="AB474" s="465"/>
      <c r="AC474" s="457"/>
      <c r="AD474" s="464"/>
      <c r="AE474" s="466"/>
      <c r="AF474" s="465"/>
      <c r="AG474" s="457"/>
      <c r="AH474" s="464"/>
      <c r="AI474" s="466"/>
      <c r="AJ474" s="465"/>
      <c r="AK474" s="457"/>
      <c r="AL474" s="464"/>
      <c r="AM474" s="466"/>
      <c r="AN474" s="465"/>
      <c r="AO474" s="457"/>
      <c r="AP474" s="464"/>
      <c r="AQ474" s="464"/>
      <c r="AR474" s="460">
        <f t="shared" si="241"/>
        <v>0</v>
      </c>
      <c r="AS474" s="467">
        <f t="shared" si="242"/>
        <v>0</v>
      </c>
      <c r="AT474" s="447">
        <f t="shared" si="243"/>
        <v>0</v>
      </c>
      <c r="AU474" s="448">
        <f t="shared" si="244"/>
        <v>0</v>
      </c>
      <c r="AV474" s="457"/>
      <c r="AW474" s="450"/>
      <c r="AX474" s="463"/>
      <c r="AY474" s="457"/>
      <c r="AZ474" s="464"/>
      <c r="BA474" s="464"/>
      <c r="BB474" s="465"/>
      <c r="BC474" s="457"/>
      <c r="BD474" s="464"/>
      <c r="BE474" s="466"/>
      <c r="BF474" s="465"/>
      <c r="BG474" s="457"/>
      <c r="BH474" s="464"/>
      <c r="BI474" s="466"/>
      <c r="BJ474" s="465"/>
      <c r="BK474" s="457"/>
      <c r="BL474" s="464"/>
      <c r="BM474" s="466"/>
      <c r="BN474" s="465"/>
      <c r="BO474" s="457"/>
      <c r="BP474" s="464"/>
      <c r="BQ474" s="466"/>
      <c r="BR474" s="465"/>
      <c r="BS474" s="457"/>
      <c r="BT474" s="464"/>
      <c r="BU474" s="466"/>
      <c r="BV474" s="465"/>
      <c r="BW474" s="457"/>
      <c r="BX474" s="464"/>
      <c r="BY474" s="466"/>
      <c r="BZ474" s="465"/>
      <c r="CA474" s="457"/>
      <c r="CB474" s="464"/>
      <c r="CC474" s="466"/>
      <c r="CD474" s="465"/>
      <c r="CE474" s="457"/>
      <c r="CF474" s="464"/>
      <c r="CG474" s="466"/>
      <c r="CH474" s="465"/>
      <c r="CI474" s="457"/>
      <c r="CJ474" s="464"/>
      <c r="CK474" s="466"/>
      <c r="CL474" s="459"/>
      <c r="CM474" s="450"/>
      <c r="CN474" s="468">
        <f t="shared" si="245"/>
        <v>0</v>
      </c>
      <c r="CO474" s="468">
        <f t="shared" si="246"/>
        <v>0</v>
      </c>
      <c r="CP474" s="469">
        <f t="shared" si="247"/>
        <v>0</v>
      </c>
      <c r="CQ474" s="469">
        <f t="shared" si="248"/>
        <v>0</v>
      </c>
      <c r="CR474" s="463"/>
      <c r="CS474" s="457"/>
      <c r="CT474" s="392"/>
      <c r="CU474" s="392"/>
      <c r="CV474" s="465"/>
      <c r="CW474" s="457"/>
      <c r="CX474" s="464"/>
      <c r="CY474" s="466"/>
      <c r="CZ474" s="465"/>
      <c r="DA474" s="457"/>
      <c r="DB474" s="464"/>
      <c r="DC474" s="466"/>
      <c r="DD474" s="465"/>
      <c r="DE474" s="457"/>
      <c r="DF474" s="464"/>
      <c r="DG474" s="466"/>
      <c r="DH474" s="465"/>
      <c r="DI474" s="457"/>
      <c r="DJ474" s="464"/>
      <c r="DK474" s="466"/>
      <c r="DL474" s="465"/>
      <c r="DM474" s="457"/>
      <c r="DN474" s="464"/>
      <c r="DO474" s="466"/>
      <c r="DP474" s="465"/>
      <c r="DQ474" s="457"/>
      <c r="DR474" s="464"/>
      <c r="DS474" s="466"/>
      <c r="DT474" s="465"/>
      <c r="DU474" s="457"/>
      <c r="DV474" s="464"/>
      <c r="DW474" s="466"/>
      <c r="DX474" s="465"/>
      <c r="DY474" s="457"/>
      <c r="DZ474" s="464"/>
      <c r="EA474" s="466"/>
      <c r="EB474" s="465"/>
      <c r="EC474" s="457"/>
      <c r="ED474" s="464"/>
      <c r="EE474" s="466"/>
      <c r="EF474" s="459"/>
      <c r="EG474" s="450"/>
      <c r="EH474" s="460">
        <f t="shared" si="249"/>
        <v>0</v>
      </c>
      <c r="EI474" s="460">
        <f t="shared" si="250"/>
        <v>0</v>
      </c>
      <c r="EJ474" s="458">
        <f t="shared" si="251"/>
        <v>0</v>
      </c>
      <c r="EK474" s="470">
        <f t="shared" si="252"/>
        <v>0</v>
      </c>
      <c r="EL474" s="470">
        <f t="shared" si="253"/>
        <v>0</v>
      </c>
      <c r="EM474" s="449">
        <f t="shared" si="254"/>
        <v>0</v>
      </c>
      <c r="EN474" s="460">
        <f t="shared" si="255"/>
        <v>0</v>
      </c>
      <c r="EO474" s="469">
        <f t="shared" si="256"/>
        <v>0</v>
      </c>
      <c r="EP474" s="471"/>
      <c r="EQ474" s="450"/>
      <c r="ER474" s="471"/>
      <c r="ES474" s="450"/>
      <c r="ET474" s="471"/>
      <c r="EU474" s="450"/>
      <c r="EV474" s="471"/>
      <c r="EW474" s="450"/>
      <c r="EX474" s="471"/>
      <c r="EY474" s="450"/>
      <c r="EZ474" s="471"/>
      <c r="FA474" s="450"/>
      <c r="FB474" s="471"/>
      <c r="FC474" s="450"/>
      <c r="FD474" s="471"/>
      <c r="FE474" s="450"/>
      <c r="FF474" s="471"/>
      <c r="FG474" s="450"/>
      <c r="FH474" s="472"/>
      <c r="FI474" s="450"/>
      <c r="FJ474" s="468">
        <f t="shared" si="257"/>
        <v>0</v>
      </c>
      <c r="FK474" s="469">
        <f t="shared" si="258"/>
        <v>0</v>
      </c>
      <c r="FL474" s="472"/>
      <c r="FM474" s="450"/>
      <c r="FN474" s="460">
        <f t="shared" si="259"/>
        <v>146</v>
      </c>
      <c r="FO474" s="469">
        <f t="shared" si="260"/>
        <v>147</v>
      </c>
    </row>
    <row r="475" spans="1:171" x14ac:dyDescent="0.2">
      <c r="A475" s="704" t="s">
        <v>1125</v>
      </c>
      <c r="B475" s="705" t="s">
        <v>1155</v>
      </c>
      <c r="C475" s="706"/>
      <c r="D475" s="702">
        <v>218690</v>
      </c>
      <c r="E475" s="707">
        <v>10</v>
      </c>
      <c r="F475" s="532"/>
      <c r="G475" s="450"/>
      <c r="H475" s="457"/>
      <c r="I475" s="450"/>
      <c r="J475" s="457">
        <v>91</v>
      </c>
      <c r="K475" s="450">
        <v>78</v>
      </c>
      <c r="L475" s="458">
        <f t="shared" si="237"/>
        <v>0</v>
      </c>
      <c r="M475" s="449">
        <f t="shared" si="238"/>
        <v>0</v>
      </c>
      <c r="N475" s="459"/>
      <c r="O475" s="459"/>
      <c r="P475" s="459"/>
      <c r="Q475" s="459"/>
      <c r="R475" s="460">
        <f t="shared" si="239"/>
        <v>0</v>
      </c>
      <c r="S475" s="461"/>
      <c r="T475" s="461"/>
      <c r="U475" s="461"/>
      <c r="V475" s="461"/>
      <c r="W475" s="462">
        <f t="shared" si="240"/>
        <v>0</v>
      </c>
      <c r="X475" s="463"/>
      <c r="Y475" s="457"/>
      <c r="Z475" s="464"/>
      <c r="AA475" s="464"/>
      <c r="AB475" s="465"/>
      <c r="AC475" s="457"/>
      <c r="AD475" s="464"/>
      <c r="AE475" s="466"/>
      <c r="AF475" s="465"/>
      <c r="AG475" s="457"/>
      <c r="AH475" s="464"/>
      <c r="AI475" s="466"/>
      <c r="AJ475" s="465"/>
      <c r="AK475" s="457"/>
      <c r="AL475" s="464"/>
      <c r="AM475" s="466"/>
      <c r="AN475" s="465"/>
      <c r="AO475" s="457"/>
      <c r="AP475" s="464"/>
      <c r="AQ475" s="464"/>
      <c r="AR475" s="460">
        <f t="shared" si="241"/>
        <v>0</v>
      </c>
      <c r="AS475" s="467">
        <f t="shared" si="242"/>
        <v>0</v>
      </c>
      <c r="AT475" s="447">
        <f t="shared" si="243"/>
        <v>0</v>
      </c>
      <c r="AU475" s="448">
        <f t="shared" si="244"/>
        <v>0</v>
      </c>
      <c r="AV475" s="457"/>
      <c r="AW475" s="450"/>
      <c r="AX475" s="463"/>
      <c r="AY475" s="457"/>
      <c r="AZ475" s="392"/>
      <c r="BA475" s="392"/>
      <c r="BB475" s="465"/>
      <c r="BC475" s="457"/>
      <c r="BD475" s="392"/>
      <c r="BE475" s="392"/>
      <c r="BF475" s="465"/>
      <c r="BG475" s="457"/>
      <c r="BH475" s="392"/>
      <c r="BI475" s="392"/>
      <c r="BJ475" s="465"/>
      <c r="BK475" s="457"/>
      <c r="BL475" s="392"/>
      <c r="BM475" s="392"/>
      <c r="BN475" s="465"/>
      <c r="BO475" s="457"/>
      <c r="BP475" s="464"/>
      <c r="BQ475" s="466"/>
      <c r="BR475" s="465"/>
      <c r="BS475" s="457"/>
      <c r="BT475" s="392"/>
      <c r="BU475" s="392"/>
      <c r="BV475" s="465"/>
      <c r="BW475" s="457"/>
      <c r="BX475" s="464"/>
      <c r="BY475" s="466"/>
      <c r="BZ475" s="465"/>
      <c r="CA475" s="457"/>
      <c r="CB475" s="464"/>
      <c r="CC475" s="466"/>
      <c r="CD475" s="465"/>
      <c r="CE475" s="457"/>
      <c r="CF475" s="464"/>
      <c r="CG475" s="466"/>
      <c r="CH475" s="465"/>
      <c r="CI475" s="457"/>
      <c r="CJ475" s="464"/>
      <c r="CK475" s="466"/>
      <c r="CL475" s="459"/>
      <c r="CM475" s="450"/>
      <c r="CN475" s="468">
        <f t="shared" si="245"/>
        <v>0</v>
      </c>
      <c r="CO475" s="468">
        <f t="shared" si="246"/>
        <v>0</v>
      </c>
      <c r="CP475" s="469">
        <f t="shared" si="247"/>
        <v>0</v>
      </c>
      <c r="CQ475" s="469">
        <f t="shared" si="248"/>
        <v>0</v>
      </c>
      <c r="CR475" s="463"/>
      <c r="CS475" s="457"/>
      <c r="CT475" s="392"/>
      <c r="CU475" s="392"/>
      <c r="CV475" s="465"/>
      <c r="CW475" s="457"/>
      <c r="CX475" s="464"/>
      <c r="CY475" s="466"/>
      <c r="CZ475" s="465"/>
      <c r="DA475" s="457"/>
      <c r="DB475" s="464"/>
      <c r="DC475" s="466"/>
      <c r="DD475" s="465"/>
      <c r="DE475" s="457"/>
      <c r="DF475" s="464"/>
      <c r="DG475" s="466"/>
      <c r="DH475" s="465"/>
      <c r="DI475" s="457"/>
      <c r="DJ475" s="464"/>
      <c r="DK475" s="466"/>
      <c r="DL475" s="465"/>
      <c r="DM475" s="457"/>
      <c r="DN475" s="464"/>
      <c r="DO475" s="466"/>
      <c r="DP475" s="465"/>
      <c r="DQ475" s="457"/>
      <c r="DR475" s="464"/>
      <c r="DS475" s="466"/>
      <c r="DT475" s="465"/>
      <c r="DU475" s="457"/>
      <c r="DV475" s="464"/>
      <c r="DW475" s="466"/>
      <c r="DX475" s="465"/>
      <c r="DY475" s="457"/>
      <c r="DZ475" s="464"/>
      <c r="EA475" s="466"/>
      <c r="EB475" s="465"/>
      <c r="EC475" s="457"/>
      <c r="ED475" s="464"/>
      <c r="EE475" s="466"/>
      <c r="EF475" s="459"/>
      <c r="EG475" s="450"/>
      <c r="EH475" s="460">
        <f t="shared" si="249"/>
        <v>0</v>
      </c>
      <c r="EI475" s="460">
        <f t="shared" si="250"/>
        <v>0</v>
      </c>
      <c r="EJ475" s="458">
        <f t="shared" si="251"/>
        <v>0</v>
      </c>
      <c r="EK475" s="470">
        <f t="shared" si="252"/>
        <v>0</v>
      </c>
      <c r="EL475" s="470">
        <f t="shared" si="253"/>
        <v>0</v>
      </c>
      <c r="EM475" s="449">
        <f t="shared" si="254"/>
        <v>0</v>
      </c>
      <c r="EN475" s="460">
        <f t="shared" si="255"/>
        <v>0</v>
      </c>
      <c r="EO475" s="469">
        <f t="shared" si="256"/>
        <v>0</v>
      </c>
      <c r="EP475" s="471"/>
      <c r="EQ475" s="450"/>
      <c r="ER475" s="471"/>
      <c r="ES475" s="450"/>
      <c r="ET475" s="471"/>
      <c r="EU475" s="450"/>
      <c r="EV475" s="471"/>
      <c r="EW475" s="450"/>
      <c r="EX475" s="471"/>
      <c r="EY475" s="450"/>
      <c r="EZ475" s="471"/>
      <c r="FA475" s="450"/>
      <c r="FB475" s="471"/>
      <c r="FC475" s="450"/>
      <c r="FD475" s="471"/>
      <c r="FE475" s="450"/>
      <c r="FF475" s="471"/>
      <c r="FG475" s="450"/>
      <c r="FH475" s="472"/>
      <c r="FI475" s="450"/>
      <c r="FJ475" s="468">
        <f t="shared" si="257"/>
        <v>0</v>
      </c>
      <c r="FK475" s="469">
        <f t="shared" si="258"/>
        <v>0</v>
      </c>
      <c r="FL475" s="472"/>
      <c r="FM475" s="450"/>
      <c r="FN475" s="460">
        <f t="shared" si="259"/>
        <v>91</v>
      </c>
      <c r="FO475" s="469">
        <f t="shared" si="260"/>
        <v>78</v>
      </c>
    </row>
    <row r="476" spans="1:171" x14ac:dyDescent="0.2">
      <c r="A476" s="704" t="s">
        <v>1125</v>
      </c>
      <c r="B476" s="705" t="s">
        <v>1156</v>
      </c>
      <c r="C476" s="706"/>
      <c r="D476" s="702">
        <v>218706</v>
      </c>
      <c r="E476" s="707">
        <v>10</v>
      </c>
      <c r="F476" s="532"/>
      <c r="G476" s="450"/>
      <c r="H476" s="457"/>
      <c r="I476" s="450"/>
      <c r="J476" s="457">
        <v>49</v>
      </c>
      <c r="K476" s="450">
        <v>69</v>
      </c>
      <c r="L476" s="458">
        <f t="shared" si="237"/>
        <v>0</v>
      </c>
      <c r="M476" s="449">
        <f t="shared" si="238"/>
        <v>0</v>
      </c>
      <c r="N476" s="459"/>
      <c r="O476" s="459"/>
      <c r="P476" s="459"/>
      <c r="Q476" s="459"/>
      <c r="R476" s="460">
        <f t="shared" si="239"/>
        <v>0</v>
      </c>
      <c r="S476" s="461"/>
      <c r="T476" s="461"/>
      <c r="U476" s="461"/>
      <c r="V476" s="461"/>
      <c r="W476" s="462">
        <f t="shared" si="240"/>
        <v>0</v>
      </c>
      <c r="X476" s="463"/>
      <c r="Y476" s="457"/>
      <c r="Z476" s="464"/>
      <c r="AA476" s="464"/>
      <c r="AB476" s="465"/>
      <c r="AC476" s="457"/>
      <c r="AD476" s="464"/>
      <c r="AE476" s="466"/>
      <c r="AF476" s="465"/>
      <c r="AG476" s="457"/>
      <c r="AH476" s="464"/>
      <c r="AI476" s="466"/>
      <c r="AJ476" s="465"/>
      <c r="AK476" s="457"/>
      <c r="AL476" s="464"/>
      <c r="AM476" s="466"/>
      <c r="AN476" s="465"/>
      <c r="AO476" s="457"/>
      <c r="AP476" s="464"/>
      <c r="AQ476" s="464"/>
      <c r="AR476" s="460">
        <f t="shared" si="241"/>
        <v>0</v>
      </c>
      <c r="AS476" s="467">
        <f t="shared" si="242"/>
        <v>0</v>
      </c>
      <c r="AT476" s="447">
        <f t="shared" si="243"/>
        <v>0</v>
      </c>
      <c r="AU476" s="448">
        <f t="shared" si="244"/>
        <v>0</v>
      </c>
      <c r="AV476" s="457"/>
      <c r="AW476" s="450"/>
      <c r="AX476" s="463"/>
      <c r="AY476" s="457"/>
      <c r="AZ476" s="392"/>
      <c r="BA476" s="392"/>
      <c r="BB476" s="465"/>
      <c r="BC476" s="457"/>
      <c r="BD476" s="464"/>
      <c r="BE476" s="466"/>
      <c r="BF476" s="465"/>
      <c r="BG476" s="457"/>
      <c r="BH476" s="392"/>
      <c r="BI476" s="392"/>
      <c r="BJ476" s="465"/>
      <c r="BK476" s="457"/>
      <c r="BL476" s="464"/>
      <c r="BM476" s="466"/>
      <c r="BN476" s="465"/>
      <c r="BO476" s="457"/>
      <c r="BP476" s="464"/>
      <c r="BQ476" s="466"/>
      <c r="BR476" s="465"/>
      <c r="BS476" s="457"/>
      <c r="BT476" s="464"/>
      <c r="BU476" s="466"/>
      <c r="BV476" s="465"/>
      <c r="BW476" s="457"/>
      <c r="BX476" s="464"/>
      <c r="BY476" s="466"/>
      <c r="BZ476" s="465"/>
      <c r="CA476" s="457"/>
      <c r="CB476" s="464"/>
      <c r="CC476" s="466"/>
      <c r="CD476" s="465"/>
      <c r="CE476" s="457"/>
      <c r="CF476" s="464"/>
      <c r="CG476" s="466"/>
      <c r="CH476" s="465"/>
      <c r="CI476" s="457"/>
      <c r="CJ476" s="464"/>
      <c r="CK476" s="466"/>
      <c r="CL476" s="459"/>
      <c r="CM476" s="450"/>
      <c r="CN476" s="468">
        <f t="shared" si="245"/>
        <v>0</v>
      </c>
      <c r="CO476" s="468">
        <f t="shared" si="246"/>
        <v>0</v>
      </c>
      <c r="CP476" s="469">
        <f t="shared" si="247"/>
        <v>0</v>
      </c>
      <c r="CQ476" s="469">
        <f t="shared" si="248"/>
        <v>0</v>
      </c>
      <c r="CR476" s="463"/>
      <c r="CS476" s="457"/>
      <c r="CT476" s="392"/>
      <c r="CU476" s="392"/>
      <c r="CV476" s="465"/>
      <c r="CW476" s="457"/>
      <c r="CX476" s="464"/>
      <c r="CY476" s="466"/>
      <c r="CZ476" s="465"/>
      <c r="DA476" s="457"/>
      <c r="DB476" s="464"/>
      <c r="DC476" s="466"/>
      <c r="DD476" s="465"/>
      <c r="DE476" s="457"/>
      <c r="DF476" s="464"/>
      <c r="DG476" s="466"/>
      <c r="DH476" s="465"/>
      <c r="DI476" s="457"/>
      <c r="DJ476" s="464"/>
      <c r="DK476" s="466"/>
      <c r="DL476" s="465"/>
      <c r="DM476" s="457"/>
      <c r="DN476" s="464"/>
      <c r="DO476" s="466"/>
      <c r="DP476" s="465"/>
      <c r="DQ476" s="457"/>
      <c r="DR476" s="464"/>
      <c r="DS476" s="466"/>
      <c r="DT476" s="465"/>
      <c r="DU476" s="457"/>
      <c r="DV476" s="464"/>
      <c r="DW476" s="466"/>
      <c r="DX476" s="465"/>
      <c r="DY476" s="457"/>
      <c r="DZ476" s="464"/>
      <c r="EA476" s="466"/>
      <c r="EB476" s="465"/>
      <c r="EC476" s="457"/>
      <c r="ED476" s="464"/>
      <c r="EE476" s="466"/>
      <c r="EF476" s="459"/>
      <c r="EG476" s="450"/>
      <c r="EH476" s="460">
        <f t="shared" si="249"/>
        <v>0</v>
      </c>
      <c r="EI476" s="460">
        <f t="shared" si="250"/>
        <v>0</v>
      </c>
      <c r="EJ476" s="458">
        <f t="shared" si="251"/>
        <v>0</v>
      </c>
      <c r="EK476" s="470">
        <f t="shared" si="252"/>
        <v>0</v>
      </c>
      <c r="EL476" s="470">
        <f t="shared" si="253"/>
        <v>0</v>
      </c>
      <c r="EM476" s="449">
        <f t="shared" si="254"/>
        <v>0</v>
      </c>
      <c r="EN476" s="460">
        <f t="shared" si="255"/>
        <v>0</v>
      </c>
      <c r="EO476" s="469">
        <f t="shared" si="256"/>
        <v>0</v>
      </c>
      <c r="EP476" s="471"/>
      <c r="EQ476" s="450"/>
      <c r="ER476" s="471"/>
      <c r="ES476" s="450"/>
      <c r="ET476" s="471"/>
      <c r="EU476" s="450"/>
      <c r="EV476" s="471"/>
      <c r="EW476" s="450"/>
      <c r="EX476" s="471"/>
      <c r="EY476" s="450"/>
      <c r="EZ476" s="471"/>
      <c r="FA476" s="450"/>
      <c r="FB476" s="471"/>
      <c r="FC476" s="450"/>
      <c r="FD476" s="471"/>
      <c r="FE476" s="450"/>
      <c r="FF476" s="471"/>
      <c r="FG476" s="450"/>
      <c r="FH476" s="472"/>
      <c r="FI476" s="450"/>
      <c r="FJ476" s="468">
        <f t="shared" si="257"/>
        <v>0</v>
      </c>
      <c r="FK476" s="469">
        <f t="shared" si="258"/>
        <v>0</v>
      </c>
      <c r="FL476" s="472"/>
      <c r="FM476" s="450"/>
      <c r="FN476" s="460">
        <f t="shared" si="259"/>
        <v>49</v>
      </c>
      <c r="FO476" s="469">
        <f t="shared" si="260"/>
        <v>69</v>
      </c>
    </row>
    <row r="477" spans="1:171" x14ac:dyDescent="0.2">
      <c r="A477" s="704" t="s">
        <v>1125</v>
      </c>
      <c r="B477" s="705" t="s">
        <v>1157</v>
      </c>
      <c r="C477" s="706"/>
      <c r="D477" s="702">
        <v>218955</v>
      </c>
      <c r="E477" s="707">
        <v>10</v>
      </c>
      <c r="F477" s="532">
        <v>112</v>
      </c>
      <c r="G477" s="450">
        <v>76</v>
      </c>
      <c r="H477" s="457"/>
      <c r="I477" s="450"/>
      <c r="J477" s="457">
        <v>69</v>
      </c>
      <c r="K477" s="450">
        <v>93</v>
      </c>
      <c r="L477" s="458">
        <f t="shared" si="237"/>
        <v>0</v>
      </c>
      <c r="M477" s="449">
        <f t="shared" si="238"/>
        <v>0</v>
      </c>
      <c r="N477" s="459"/>
      <c r="O477" s="459"/>
      <c r="P477" s="459"/>
      <c r="Q477" s="459"/>
      <c r="R477" s="460">
        <f t="shared" si="239"/>
        <v>0</v>
      </c>
      <c r="S477" s="646"/>
      <c r="T477" s="461"/>
      <c r="U477" s="461"/>
      <c r="V477" s="461"/>
      <c r="W477" s="462">
        <f t="shared" si="240"/>
        <v>0</v>
      </c>
      <c r="X477" s="463"/>
      <c r="Y477" s="457"/>
      <c r="Z477" s="464"/>
      <c r="AA477" s="464"/>
      <c r="AB477" s="465"/>
      <c r="AC477" s="457"/>
      <c r="AD477" s="464"/>
      <c r="AE477" s="466"/>
      <c r="AF477" s="465"/>
      <c r="AG477" s="457"/>
      <c r="AH477" s="464"/>
      <c r="AI477" s="466"/>
      <c r="AJ477" s="465"/>
      <c r="AK477" s="457"/>
      <c r="AL477" s="464"/>
      <c r="AM477" s="466"/>
      <c r="AN477" s="465"/>
      <c r="AO477" s="457"/>
      <c r="AP477" s="464"/>
      <c r="AQ477" s="464"/>
      <c r="AR477" s="460">
        <f t="shared" si="241"/>
        <v>0</v>
      </c>
      <c r="AS477" s="467">
        <f t="shared" si="242"/>
        <v>0</v>
      </c>
      <c r="AT477" s="447">
        <f t="shared" si="243"/>
        <v>0</v>
      </c>
      <c r="AU477" s="448">
        <f t="shared" si="244"/>
        <v>0</v>
      </c>
      <c r="AV477" s="457"/>
      <c r="AW477" s="450"/>
      <c r="AX477" s="463"/>
      <c r="AY477" s="457"/>
      <c r="AZ477" s="464"/>
      <c r="BA477" s="464"/>
      <c r="BB477" s="465"/>
      <c r="BC477" s="457"/>
      <c r="BD477" s="464"/>
      <c r="BE477" s="466"/>
      <c r="BF477" s="465"/>
      <c r="BG477" s="457"/>
      <c r="BH477" s="392"/>
      <c r="BI477" s="392"/>
      <c r="BJ477" s="465"/>
      <c r="BK477" s="457"/>
      <c r="BL477" s="464"/>
      <c r="BM477" s="466"/>
      <c r="BN477" s="465"/>
      <c r="BO477" s="457"/>
      <c r="BP477" s="464"/>
      <c r="BQ477" s="466"/>
      <c r="BR477" s="465"/>
      <c r="BS477" s="457"/>
      <c r="BT477" s="464"/>
      <c r="BU477" s="466"/>
      <c r="BV477" s="465"/>
      <c r="BW477" s="457"/>
      <c r="BX477" s="464"/>
      <c r="BY477" s="466"/>
      <c r="BZ477" s="465"/>
      <c r="CA477" s="457"/>
      <c r="CB477" s="464"/>
      <c r="CC477" s="466"/>
      <c r="CD477" s="465"/>
      <c r="CE477" s="457"/>
      <c r="CF477" s="464"/>
      <c r="CG477" s="466"/>
      <c r="CH477" s="465"/>
      <c r="CI477" s="457"/>
      <c r="CJ477" s="464"/>
      <c r="CK477" s="466"/>
      <c r="CL477" s="459"/>
      <c r="CM477" s="450"/>
      <c r="CN477" s="468">
        <f t="shared" si="245"/>
        <v>0</v>
      </c>
      <c r="CO477" s="468">
        <f t="shared" si="246"/>
        <v>0</v>
      </c>
      <c r="CP477" s="469">
        <f t="shared" si="247"/>
        <v>0</v>
      </c>
      <c r="CQ477" s="469">
        <f t="shared" si="248"/>
        <v>0</v>
      </c>
      <c r="CR477" s="463"/>
      <c r="CS477" s="457"/>
      <c r="CT477" s="464"/>
      <c r="CU477" s="464"/>
      <c r="CV477" s="465"/>
      <c r="CW477" s="457"/>
      <c r="CX477" s="464"/>
      <c r="CY477" s="466"/>
      <c r="CZ477" s="465"/>
      <c r="DA477" s="457"/>
      <c r="DB477" s="464"/>
      <c r="DC477" s="466"/>
      <c r="DD477" s="465"/>
      <c r="DE477" s="457"/>
      <c r="DF477" s="464"/>
      <c r="DG477" s="466"/>
      <c r="DH477" s="465"/>
      <c r="DI477" s="457"/>
      <c r="DJ477" s="464"/>
      <c r="DK477" s="466"/>
      <c r="DL477" s="465"/>
      <c r="DM477" s="457"/>
      <c r="DN477" s="464"/>
      <c r="DO477" s="466"/>
      <c r="DP477" s="465"/>
      <c r="DQ477" s="457"/>
      <c r="DR477" s="464"/>
      <c r="DS477" s="466"/>
      <c r="DT477" s="465"/>
      <c r="DU477" s="457"/>
      <c r="DV477" s="464"/>
      <c r="DW477" s="466"/>
      <c r="DX477" s="465"/>
      <c r="DY477" s="457"/>
      <c r="DZ477" s="464"/>
      <c r="EA477" s="466"/>
      <c r="EB477" s="465"/>
      <c r="EC477" s="457"/>
      <c r="ED477" s="464"/>
      <c r="EE477" s="466"/>
      <c r="EF477" s="459"/>
      <c r="EG477" s="450"/>
      <c r="EH477" s="460">
        <f t="shared" si="249"/>
        <v>0</v>
      </c>
      <c r="EI477" s="460">
        <f t="shared" si="250"/>
        <v>0</v>
      </c>
      <c r="EJ477" s="458">
        <f t="shared" si="251"/>
        <v>0</v>
      </c>
      <c r="EK477" s="470">
        <f t="shared" si="252"/>
        <v>0</v>
      </c>
      <c r="EL477" s="470">
        <f t="shared" si="253"/>
        <v>0</v>
      </c>
      <c r="EM477" s="449">
        <f t="shared" si="254"/>
        <v>0</v>
      </c>
      <c r="EN477" s="460">
        <f t="shared" si="255"/>
        <v>0</v>
      </c>
      <c r="EO477" s="469">
        <f t="shared" si="256"/>
        <v>0</v>
      </c>
      <c r="EP477" s="471"/>
      <c r="EQ477" s="450"/>
      <c r="ER477" s="471"/>
      <c r="ES477" s="450"/>
      <c r="ET477" s="471"/>
      <c r="EU477" s="450"/>
      <c r="EV477" s="471"/>
      <c r="EW477" s="450"/>
      <c r="EX477" s="471"/>
      <c r="EY477" s="450"/>
      <c r="EZ477" s="471"/>
      <c r="FA477" s="450"/>
      <c r="FB477" s="471"/>
      <c r="FC477" s="450"/>
      <c r="FD477" s="471"/>
      <c r="FE477" s="450"/>
      <c r="FF477" s="471"/>
      <c r="FG477" s="450"/>
      <c r="FH477" s="472"/>
      <c r="FI477" s="450"/>
      <c r="FJ477" s="468">
        <f t="shared" si="257"/>
        <v>0</v>
      </c>
      <c r="FK477" s="469">
        <f t="shared" si="258"/>
        <v>0</v>
      </c>
      <c r="FL477" s="472"/>
      <c r="FM477" s="450"/>
      <c r="FN477" s="460">
        <f t="shared" si="259"/>
        <v>181</v>
      </c>
      <c r="FO477" s="469">
        <f t="shared" si="260"/>
        <v>169</v>
      </c>
    </row>
    <row r="478" spans="1:171" x14ac:dyDescent="0.2">
      <c r="A478" s="704" t="s">
        <v>1125</v>
      </c>
      <c r="B478" s="705" t="s">
        <v>1158</v>
      </c>
      <c r="C478" s="710"/>
      <c r="D478" s="702">
        <v>218335</v>
      </c>
      <c r="E478" s="703">
        <v>15</v>
      </c>
      <c r="F478" s="532"/>
      <c r="G478" s="450"/>
      <c r="H478" s="457"/>
      <c r="I478" s="450"/>
      <c r="J478" s="457"/>
      <c r="K478" s="450"/>
      <c r="L478" s="458">
        <f t="shared" si="237"/>
        <v>0</v>
      </c>
      <c r="M478" s="449">
        <f t="shared" si="238"/>
        <v>0</v>
      </c>
      <c r="N478" s="459">
        <v>189</v>
      </c>
      <c r="O478" s="459"/>
      <c r="P478" s="459"/>
      <c r="Q478" s="459"/>
      <c r="R478" s="460">
        <f t="shared" si="239"/>
        <v>0</v>
      </c>
      <c r="S478" s="461">
        <v>124</v>
      </c>
      <c r="T478" s="461"/>
      <c r="U478" s="461"/>
      <c r="V478" s="461"/>
      <c r="W478" s="462">
        <f t="shared" si="240"/>
        <v>0</v>
      </c>
      <c r="X478" s="463"/>
      <c r="Y478" s="457"/>
      <c r="Z478" s="464"/>
      <c r="AA478" s="464"/>
      <c r="AB478" s="465"/>
      <c r="AC478" s="457"/>
      <c r="AD478" s="464"/>
      <c r="AE478" s="466"/>
      <c r="AF478" s="465"/>
      <c r="AG478" s="457"/>
      <c r="AH478" s="464"/>
      <c r="AI478" s="466"/>
      <c r="AJ478" s="465"/>
      <c r="AK478" s="457"/>
      <c r="AL478" s="464"/>
      <c r="AM478" s="466"/>
      <c r="AN478" s="465"/>
      <c r="AO478" s="457"/>
      <c r="AP478" s="464"/>
      <c r="AQ478" s="464"/>
      <c r="AR478" s="460">
        <f t="shared" si="241"/>
        <v>0</v>
      </c>
      <c r="AS478" s="467">
        <f t="shared" si="242"/>
        <v>0.2371392722710163</v>
      </c>
      <c r="AT478" s="447">
        <f t="shared" si="243"/>
        <v>0</v>
      </c>
      <c r="AU478" s="448">
        <f t="shared" si="244"/>
        <v>0.15636822194199243</v>
      </c>
      <c r="AV478" s="457">
        <v>6</v>
      </c>
      <c r="AW478" s="450">
        <v>4</v>
      </c>
      <c r="AX478" s="463">
        <v>51</v>
      </c>
      <c r="AY478" s="457">
        <v>210</v>
      </c>
      <c r="AZ478" s="464">
        <v>51</v>
      </c>
      <c r="BA478" s="464">
        <v>253</v>
      </c>
      <c r="BB478" s="465">
        <v>26</v>
      </c>
      <c r="BC478" s="457">
        <v>7</v>
      </c>
      <c r="BD478" s="464">
        <v>26</v>
      </c>
      <c r="BE478" s="466">
        <v>3</v>
      </c>
      <c r="BF478" s="465"/>
      <c r="BG478" s="457"/>
      <c r="BH478" s="464"/>
      <c r="BI478" s="466"/>
      <c r="BJ478" s="465"/>
      <c r="BK478" s="457"/>
      <c r="BL478" s="464"/>
      <c r="BM478" s="466"/>
      <c r="BN478" s="465"/>
      <c r="BO478" s="457"/>
      <c r="BP478" s="464"/>
      <c r="BQ478" s="466"/>
      <c r="BR478" s="465"/>
      <c r="BS478" s="457"/>
      <c r="BT478" s="464"/>
      <c r="BU478" s="466"/>
      <c r="BV478" s="465"/>
      <c r="BW478" s="457"/>
      <c r="BX478" s="464"/>
      <c r="BY478" s="466"/>
      <c r="BZ478" s="465"/>
      <c r="CA478" s="457"/>
      <c r="CB478" s="464"/>
      <c r="CC478" s="466"/>
      <c r="CD478" s="465"/>
      <c r="CE478" s="457"/>
      <c r="CF478" s="464"/>
      <c r="CG478" s="466"/>
      <c r="CH478" s="465"/>
      <c r="CI478" s="457"/>
      <c r="CJ478" s="464"/>
      <c r="CK478" s="466"/>
      <c r="CL478" s="459"/>
      <c r="CM478" s="450"/>
      <c r="CN478" s="468">
        <f t="shared" si="245"/>
        <v>217</v>
      </c>
      <c r="CO478" s="468">
        <f t="shared" si="246"/>
        <v>2</v>
      </c>
      <c r="CP478" s="469">
        <f t="shared" si="247"/>
        <v>256</v>
      </c>
      <c r="CQ478" s="469">
        <f t="shared" si="248"/>
        <v>2</v>
      </c>
      <c r="CR478" s="463">
        <v>51</v>
      </c>
      <c r="CS478" s="457">
        <v>72</v>
      </c>
      <c r="CT478" s="464">
        <v>51</v>
      </c>
      <c r="CU478" s="464">
        <v>108</v>
      </c>
      <c r="CV478" s="465">
        <v>26</v>
      </c>
      <c r="CW478" s="457">
        <v>24</v>
      </c>
      <c r="CX478" s="464">
        <v>26</v>
      </c>
      <c r="CY478" s="466">
        <v>22</v>
      </c>
      <c r="CZ478" s="465"/>
      <c r="DA478" s="457"/>
      <c r="DB478" s="464"/>
      <c r="DC478" s="466"/>
      <c r="DD478" s="465"/>
      <c r="DE478" s="457"/>
      <c r="DF478" s="464"/>
      <c r="DG478" s="466"/>
      <c r="DH478" s="465"/>
      <c r="DI478" s="457"/>
      <c r="DJ478" s="464"/>
      <c r="DK478" s="466"/>
      <c r="DL478" s="465"/>
      <c r="DM478" s="457"/>
      <c r="DN478" s="464"/>
      <c r="DO478" s="466"/>
      <c r="DP478" s="465"/>
      <c r="DQ478" s="457"/>
      <c r="DR478" s="464"/>
      <c r="DS478" s="466"/>
      <c r="DT478" s="465"/>
      <c r="DU478" s="457"/>
      <c r="DV478" s="464"/>
      <c r="DW478" s="466"/>
      <c r="DX478" s="465"/>
      <c r="DY478" s="457"/>
      <c r="DZ478" s="464"/>
      <c r="EA478" s="466"/>
      <c r="EB478" s="465"/>
      <c r="EC478" s="457"/>
      <c r="ED478" s="464"/>
      <c r="EE478" s="466"/>
      <c r="EF478" s="459"/>
      <c r="EG478" s="450"/>
      <c r="EH478" s="460">
        <f t="shared" si="249"/>
        <v>96</v>
      </c>
      <c r="EI478" s="460">
        <f t="shared" si="250"/>
        <v>2</v>
      </c>
      <c r="EJ478" s="458">
        <f t="shared" si="251"/>
        <v>0.75</v>
      </c>
      <c r="EK478" s="470">
        <f t="shared" si="252"/>
        <v>130</v>
      </c>
      <c r="EL478" s="470">
        <f t="shared" si="253"/>
        <v>2</v>
      </c>
      <c r="EM478" s="449">
        <f t="shared" si="254"/>
        <v>0.83076923076923082</v>
      </c>
      <c r="EN478" s="460">
        <f t="shared" si="255"/>
        <v>313</v>
      </c>
      <c r="EO478" s="469">
        <f t="shared" si="256"/>
        <v>386</v>
      </c>
      <c r="EP478" s="471"/>
      <c r="EQ478" s="450"/>
      <c r="ER478" s="471">
        <v>163</v>
      </c>
      <c r="ES478" s="450">
        <v>142</v>
      </c>
      <c r="ET478" s="471">
        <v>51</v>
      </c>
      <c r="EU478" s="450">
        <v>57</v>
      </c>
      <c r="EV478" s="471">
        <v>75</v>
      </c>
      <c r="EW478" s="450">
        <v>80</v>
      </c>
      <c r="EX478" s="471"/>
      <c r="EY478" s="450"/>
      <c r="EZ478" s="471"/>
      <c r="FA478" s="450"/>
      <c r="FB478" s="471"/>
      <c r="FC478" s="450"/>
      <c r="FD478" s="471"/>
      <c r="FE478" s="450"/>
      <c r="FF478" s="471"/>
      <c r="FG478" s="450"/>
      <c r="FH478" s="472"/>
      <c r="FI478" s="450"/>
      <c r="FJ478" s="468">
        <f t="shared" si="257"/>
        <v>289</v>
      </c>
      <c r="FK478" s="469">
        <f t="shared" si="258"/>
        <v>279</v>
      </c>
      <c r="FL478" s="472"/>
      <c r="FM478" s="450"/>
      <c r="FN478" s="460">
        <f t="shared" si="259"/>
        <v>797</v>
      </c>
      <c r="FO478" s="469">
        <f t="shared" si="260"/>
        <v>793</v>
      </c>
    </row>
    <row r="479" spans="1:171" x14ac:dyDescent="0.2">
      <c r="A479" s="603" t="s">
        <v>802</v>
      </c>
      <c r="B479" s="604" t="s">
        <v>803</v>
      </c>
      <c r="C479" s="605"/>
      <c r="D479" s="606">
        <v>220862</v>
      </c>
      <c r="E479" s="607">
        <v>1</v>
      </c>
      <c r="F479" s="532"/>
      <c r="G479" s="450"/>
      <c r="H479" s="457"/>
      <c r="I479" s="450"/>
      <c r="J479" s="457"/>
      <c r="K479" s="450"/>
      <c r="L479" s="458">
        <f t="shared" si="237"/>
        <v>0</v>
      </c>
      <c r="M479" s="449">
        <f t="shared" si="238"/>
        <v>0</v>
      </c>
      <c r="N479" s="459">
        <v>2678</v>
      </c>
      <c r="O479" s="459"/>
      <c r="P479" s="459"/>
      <c r="Q479" s="459"/>
      <c r="R479" s="460">
        <f t="shared" si="239"/>
        <v>0</v>
      </c>
      <c r="S479" s="745">
        <v>2724</v>
      </c>
      <c r="T479" s="461"/>
      <c r="U479" s="461"/>
      <c r="V479" s="461"/>
      <c r="W479" s="462">
        <f t="shared" si="240"/>
        <v>0</v>
      </c>
      <c r="X479" s="463"/>
      <c r="Y479" s="457"/>
      <c r="Z479" s="464"/>
      <c r="AA479" s="464"/>
      <c r="AB479" s="465"/>
      <c r="AC479" s="457"/>
      <c r="AD479" s="464"/>
      <c r="AE479" s="466"/>
      <c r="AF479" s="465"/>
      <c r="AG479" s="457"/>
      <c r="AH479" s="464"/>
      <c r="AI479" s="466"/>
      <c r="AJ479" s="465"/>
      <c r="AK479" s="457"/>
      <c r="AL479" s="464"/>
      <c r="AM479" s="466"/>
      <c r="AN479" s="465"/>
      <c r="AO479" s="457"/>
      <c r="AP479" s="464"/>
      <c r="AQ479" s="464"/>
      <c r="AR479" s="460">
        <f t="shared" si="241"/>
        <v>0</v>
      </c>
      <c r="AS479" s="467">
        <f t="shared" si="242"/>
        <v>0.67354124748490951</v>
      </c>
      <c r="AT479" s="447">
        <f t="shared" si="243"/>
        <v>0</v>
      </c>
      <c r="AU479" s="448">
        <f t="shared" si="244"/>
        <v>0.68031968031968026</v>
      </c>
      <c r="AV479" s="457"/>
      <c r="AW479" s="450"/>
      <c r="AX479" s="463">
        <v>13</v>
      </c>
      <c r="AY479" s="457">
        <v>284</v>
      </c>
      <c r="AZ479" s="464">
        <v>13</v>
      </c>
      <c r="BA479" s="758">
        <v>236</v>
      </c>
      <c r="BB479" s="465">
        <v>52</v>
      </c>
      <c r="BC479" s="457">
        <v>203</v>
      </c>
      <c r="BD479" s="464">
        <v>52</v>
      </c>
      <c r="BE479" s="762">
        <v>189</v>
      </c>
      <c r="BF479" s="465">
        <v>51</v>
      </c>
      <c r="BG479" s="457">
        <v>156</v>
      </c>
      <c r="BH479" s="464">
        <v>51</v>
      </c>
      <c r="BI479" s="764">
        <v>168</v>
      </c>
      <c r="BJ479" s="465">
        <v>23</v>
      </c>
      <c r="BK479" s="457">
        <v>52</v>
      </c>
      <c r="BL479" s="464">
        <v>24</v>
      </c>
      <c r="BM479" s="766">
        <v>49</v>
      </c>
      <c r="BN479" s="465">
        <v>50</v>
      </c>
      <c r="BO479" s="457">
        <v>40</v>
      </c>
      <c r="BP479" s="464">
        <v>23</v>
      </c>
      <c r="BQ479" s="769">
        <v>40</v>
      </c>
      <c r="BR479" s="465">
        <v>24</v>
      </c>
      <c r="BS479" s="457">
        <v>34</v>
      </c>
      <c r="BT479" s="464">
        <v>50</v>
      </c>
      <c r="BU479" s="773">
        <v>40</v>
      </c>
      <c r="BV479" s="465">
        <v>11</v>
      </c>
      <c r="BW479" s="457">
        <v>31</v>
      </c>
      <c r="BX479" s="464">
        <v>14</v>
      </c>
      <c r="BY479" s="775">
        <v>36</v>
      </c>
      <c r="BZ479" s="465">
        <v>14</v>
      </c>
      <c r="CA479" s="457">
        <v>31</v>
      </c>
      <c r="CB479" s="464">
        <v>31</v>
      </c>
      <c r="CC479" s="776">
        <v>32</v>
      </c>
      <c r="CD479" s="465">
        <v>31</v>
      </c>
      <c r="CE479" s="457">
        <v>30</v>
      </c>
      <c r="CF479" s="464">
        <v>45</v>
      </c>
      <c r="CG479" s="777">
        <v>31</v>
      </c>
      <c r="CH479" s="465">
        <v>45</v>
      </c>
      <c r="CI479" s="457">
        <v>28</v>
      </c>
      <c r="CJ479" s="464">
        <v>42</v>
      </c>
      <c r="CK479" s="778">
        <v>30</v>
      </c>
      <c r="CL479" s="459">
        <v>153</v>
      </c>
      <c r="CM479" s="608">
        <v>158</v>
      </c>
      <c r="CN479" s="468">
        <f t="shared" si="245"/>
        <v>1042</v>
      </c>
      <c r="CO479" s="468">
        <f t="shared" si="246"/>
        <v>10</v>
      </c>
      <c r="CP479" s="469">
        <f t="shared" si="247"/>
        <v>1009</v>
      </c>
      <c r="CQ479" s="469">
        <f t="shared" si="248"/>
        <v>10</v>
      </c>
      <c r="CR479" s="463">
        <v>42</v>
      </c>
      <c r="CS479" s="457">
        <v>24</v>
      </c>
      <c r="CT479" s="752">
        <v>13</v>
      </c>
      <c r="CU479" s="755">
        <v>31</v>
      </c>
      <c r="CV479" s="465">
        <v>13</v>
      </c>
      <c r="CW479" s="457">
        <v>20</v>
      </c>
      <c r="CX479" s="752">
        <v>42</v>
      </c>
      <c r="CY479" s="760">
        <v>23</v>
      </c>
      <c r="CZ479" s="465">
        <v>51</v>
      </c>
      <c r="DA479" s="457">
        <v>12</v>
      </c>
      <c r="DB479" s="752">
        <v>52</v>
      </c>
      <c r="DC479" s="760">
        <v>13</v>
      </c>
      <c r="DD479" s="465">
        <v>50</v>
      </c>
      <c r="DE479" s="457">
        <v>11</v>
      </c>
      <c r="DF479" s="752">
        <v>50</v>
      </c>
      <c r="DG479" s="760">
        <v>12</v>
      </c>
      <c r="DH479" s="465">
        <v>52</v>
      </c>
      <c r="DI479" s="457">
        <v>11</v>
      </c>
      <c r="DJ479" s="752">
        <v>51</v>
      </c>
      <c r="DK479" s="760">
        <v>9</v>
      </c>
      <c r="DL479" s="465">
        <v>9</v>
      </c>
      <c r="DM479" s="457">
        <v>8</v>
      </c>
      <c r="DN479" s="752">
        <v>54</v>
      </c>
      <c r="DO479" s="760">
        <v>9</v>
      </c>
      <c r="DP479" s="465">
        <v>54</v>
      </c>
      <c r="DQ479" s="457">
        <v>8</v>
      </c>
      <c r="DR479" s="752">
        <v>11</v>
      </c>
      <c r="DS479" s="760">
        <v>8</v>
      </c>
      <c r="DT479" s="465">
        <v>27</v>
      </c>
      <c r="DU479" s="457">
        <v>7</v>
      </c>
      <c r="DV479" s="752">
        <v>14</v>
      </c>
      <c r="DW479" s="760">
        <v>7</v>
      </c>
      <c r="DX479" s="465">
        <v>14</v>
      </c>
      <c r="DY479" s="457">
        <v>6</v>
      </c>
      <c r="DZ479" s="752">
        <v>23</v>
      </c>
      <c r="EA479" s="760">
        <v>6</v>
      </c>
      <c r="EB479" s="465">
        <v>40</v>
      </c>
      <c r="EC479" s="457">
        <v>6</v>
      </c>
      <c r="ED479" s="752">
        <v>26</v>
      </c>
      <c r="EE479" s="760">
        <v>6</v>
      </c>
      <c r="EF479" s="459">
        <v>15</v>
      </c>
      <c r="EG479" s="610">
        <v>12</v>
      </c>
      <c r="EH479" s="460">
        <f t="shared" si="249"/>
        <v>128</v>
      </c>
      <c r="EI479" s="460">
        <f t="shared" si="250"/>
        <v>10</v>
      </c>
      <c r="EJ479" s="458">
        <f t="shared" si="251"/>
        <v>0.1875</v>
      </c>
      <c r="EK479" s="470">
        <f t="shared" si="252"/>
        <v>136</v>
      </c>
      <c r="EL479" s="470">
        <f t="shared" si="253"/>
        <v>10</v>
      </c>
      <c r="EM479" s="449">
        <f t="shared" si="254"/>
        <v>0.22794117647058823</v>
      </c>
      <c r="EN479" s="460">
        <f t="shared" si="255"/>
        <v>1170</v>
      </c>
      <c r="EO479" s="469">
        <f t="shared" si="256"/>
        <v>1145</v>
      </c>
      <c r="EP479" s="471">
        <v>128</v>
      </c>
      <c r="EQ479" s="611">
        <v>135</v>
      </c>
      <c r="ER479" s="471"/>
      <c r="ES479" s="450"/>
      <c r="ET479" s="471"/>
      <c r="EU479" s="450"/>
      <c r="EV479" s="471"/>
      <c r="EW479" s="450"/>
      <c r="EX479" s="471"/>
      <c r="EY479" s="450"/>
      <c r="EZ479" s="471"/>
      <c r="FA479" s="450"/>
      <c r="FB479" s="471"/>
      <c r="FC479" s="450"/>
      <c r="FD479" s="471"/>
      <c r="FE479" s="450"/>
      <c r="FF479" s="471"/>
      <c r="FG479" s="450"/>
      <c r="FH479" s="472"/>
      <c r="FI479" s="450"/>
      <c r="FJ479" s="468">
        <f t="shared" si="257"/>
        <v>128</v>
      </c>
      <c r="FK479" s="469">
        <f t="shared" si="258"/>
        <v>135</v>
      </c>
      <c r="FL479" s="472"/>
      <c r="FM479" s="450"/>
      <c r="FN479" s="460">
        <f t="shared" si="259"/>
        <v>3976</v>
      </c>
      <c r="FO479" s="469">
        <f t="shared" si="260"/>
        <v>4004</v>
      </c>
    </row>
    <row r="480" spans="1:171" x14ac:dyDescent="0.2">
      <c r="A480" s="603" t="s">
        <v>802</v>
      </c>
      <c r="B480" s="604" t="s">
        <v>804</v>
      </c>
      <c r="C480" s="605"/>
      <c r="D480" s="606">
        <v>221759</v>
      </c>
      <c r="E480" s="607">
        <v>1</v>
      </c>
      <c r="F480" s="532"/>
      <c r="G480" s="450"/>
      <c r="H480" s="457"/>
      <c r="I480" s="450"/>
      <c r="J480" s="457"/>
      <c r="K480" s="450"/>
      <c r="L480" s="458">
        <f t="shared" si="237"/>
        <v>0</v>
      </c>
      <c r="M480" s="449">
        <f t="shared" si="238"/>
        <v>0</v>
      </c>
      <c r="N480" s="459">
        <v>4332</v>
      </c>
      <c r="O480" s="459"/>
      <c r="P480" s="459"/>
      <c r="Q480" s="459"/>
      <c r="R480" s="460">
        <f t="shared" si="239"/>
        <v>0</v>
      </c>
      <c r="S480" s="745">
        <v>4539</v>
      </c>
      <c r="T480" s="461"/>
      <c r="U480" s="461"/>
      <c r="V480" s="461"/>
      <c r="W480" s="462">
        <f t="shared" si="240"/>
        <v>0</v>
      </c>
      <c r="X480" s="463"/>
      <c r="Y480" s="457"/>
      <c r="Z480" s="464"/>
      <c r="AA480" s="464"/>
      <c r="AB480" s="465"/>
      <c r="AC480" s="457"/>
      <c r="AD480" s="464"/>
      <c r="AE480" s="466"/>
      <c r="AF480" s="465"/>
      <c r="AG480" s="457"/>
      <c r="AH480" s="464"/>
      <c r="AI480" s="466"/>
      <c r="AJ480" s="465"/>
      <c r="AK480" s="457"/>
      <c r="AL480" s="464"/>
      <c r="AM480" s="466"/>
      <c r="AN480" s="465"/>
      <c r="AO480" s="457"/>
      <c r="AP480" s="464"/>
      <c r="AQ480" s="464"/>
      <c r="AR480" s="460">
        <f t="shared" si="241"/>
        <v>0</v>
      </c>
      <c r="AS480" s="467">
        <f t="shared" si="242"/>
        <v>0.68457648546144123</v>
      </c>
      <c r="AT480" s="447">
        <f t="shared" si="243"/>
        <v>0</v>
      </c>
      <c r="AU480" s="448">
        <f t="shared" si="244"/>
        <v>0.67817122366651728</v>
      </c>
      <c r="AV480" s="457"/>
      <c r="AW480" s="450"/>
      <c r="AX480" s="463">
        <v>52</v>
      </c>
      <c r="AY480" s="457">
        <v>332</v>
      </c>
      <c r="AZ480" s="464">
        <v>52</v>
      </c>
      <c r="BA480" s="759">
        <v>360</v>
      </c>
      <c r="BB480" s="465">
        <v>30</v>
      </c>
      <c r="BC480" s="457">
        <v>252</v>
      </c>
      <c r="BD480" s="464">
        <v>13</v>
      </c>
      <c r="BE480" s="763">
        <v>254</v>
      </c>
      <c r="BF480" s="465">
        <v>44</v>
      </c>
      <c r="BG480" s="457">
        <v>199</v>
      </c>
      <c r="BH480" s="464">
        <v>44</v>
      </c>
      <c r="BI480" s="765">
        <v>199</v>
      </c>
      <c r="BJ480" s="465">
        <v>31</v>
      </c>
      <c r="BK480" s="457">
        <v>102</v>
      </c>
      <c r="BL480" s="464">
        <v>14</v>
      </c>
      <c r="BM480" s="767">
        <v>163</v>
      </c>
      <c r="BN480" s="465">
        <v>40</v>
      </c>
      <c r="BO480" s="457">
        <v>89</v>
      </c>
      <c r="BP480" s="464">
        <v>31</v>
      </c>
      <c r="BQ480" s="770">
        <v>92</v>
      </c>
      <c r="BR480" s="465">
        <v>42</v>
      </c>
      <c r="BS480" s="457">
        <v>81</v>
      </c>
      <c r="BT480" s="464">
        <v>51</v>
      </c>
      <c r="BU480" s="774">
        <v>77</v>
      </c>
      <c r="BV480" s="465">
        <v>51</v>
      </c>
      <c r="BW480" s="457">
        <v>77</v>
      </c>
      <c r="BX480" s="464">
        <v>25</v>
      </c>
      <c r="BY480" s="760">
        <v>73</v>
      </c>
      <c r="BZ480" s="465">
        <v>25</v>
      </c>
      <c r="CA480" s="457">
        <v>73</v>
      </c>
      <c r="CB480" s="464">
        <v>1</v>
      </c>
      <c r="CC480" s="760">
        <v>54</v>
      </c>
      <c r="CD480" s="465">
        <v>41</v>
      </c>
      <c r="CE480" s="457">
        <v>64</v>
      </c>
      <c r="CF480" s="464">
        <v>50</v>
      </c>
      <c r="CG480" s="760">
        <v>50</v>
      </c>
      <c r="CH480" s="465">
        <v>50</v>
      </c>
      <c r="CI480" s="457">
        <v>44</v>
      </c>
      <c r="CJ480" s="464">
        <v>42</v>
      </c>
      <c r="CK480" s="760">
        <v>34</v>
      </c>
      <c r="CL480" s="459">
        <v>202</v>
      </c>
      <c r="CM480" s="612">
        <v>227</v>
      </c>
      <c r="CN480" s="468">
        <f t="shared" si="245"/>
        <v>1515</v>
      </c>
      <c r="CO480" s="468">
        <f t="shared" si="246"/>
        <v>10</v>
      </c>
      <c r="CP480" s="469">
        <f t="shared" si="247"/>
        <v>1583</v>
      </c>
      <c r="CQ480" s="469">
        <f t="shared" si="248"/>
        <v>10</v>
      </c>
      <c r="CR480" s="463">
        <v>40</v>
      </c>
      <c r="CS480" s="457">
        <v>45</v>
      </c>
      <c r="CT480" s="752">
        <v>14</v>
      </c>
      <c r="CU480" s="755">
        <v>58</v>
      </c>
      <c r="CV480" s="465">
        <v>30</v>
      </c>
      <c r="CW480" s="457">
        <v>35</v>
      </c>
      <c r="CX480" s="752">
        <v>40</v>
      </c>
      <c r="CY480" s="760">
        <v>44</v>
      </c>
      <c r="CZ480" s="465">
        <v>42</v>
      </c>
      <c r="DA480" s="457">
        <v>34</v>
      </c>
      <c r="DB480" s="752">
        <v>42</v>
      </c>
      <c r="DC480" s="760">
        <v>39</v>
      </c>
      <c r="DD480" s="465">
        <v>26</v>
      </c>
      <c r="DE480" s="457">
        <v>26</v>
      </c>
      <c r="DF480" s="752">
        <v>13</v>
      </c>
      <c r="DG480" s="760">
        <v>30</v>
      </c>
      <c r="DH480" s="465">
        <v>45</v>
      </c>
      <c r="DI480" s="457">
        <v>17</v>
      </c>
      <c r="DJ480" s="752">
        <v>26</v>
      </c>
      <c r="DK480" s="760">
        <v>23</v>
      </c>
      <c r="DL480" s="465">
        <v>52</v>
      </c>
      <c r="DM480" s="457">
        <v>15</v>
      </c>
      <c r="DN480" s="752">
        <v>52</v>
      </c>
      <c r="DO480" s="760">
        <v>16</v>
      </c>
      <c r="DP480" s="465">
        <v>31</v>
      </c>
      <c r="DQ480" s="457">
        <v>14</v>
      </c>
      <c r="DR480" s="752">
        <v>45</v>
      </c>
      <c r="DS480" s="760">
        <v>15</v>
      </c>
      <c r="DT480" s="465">
        <v>41</v>
      </c>
      <c r="DU480" s="457">
        <v>14</v>
      </c>
      <c r="DV480" s="752">
        <v>51</v>
      </c>
      <c r="DW480" s="760">
        <v>15</v>
      </c>
      <c r="DX480" s="465">
        <v>27</v>
      </c>
      <c r="DY480" s="457">
        <v>10</v>
      </c>
      <c r="DZ480" s="752">
        <v>23</v>
      </c>
      <c r="EA480" s="760">
        <v>11</v>
      </c>
      <c r="EB480" s="465">
        <v>10</v>
      </c>
      <c r="EC480" s="457">
        <v>9</v>
      </c>
      <c r="ED480" s="752">
        <v>27</v>
      </c>
      <c r="EE480" s="760">
        <v>11</v>
      </c>
      <c r="EF480" s="459">
        <v>51</v>
      </c>
      <c r="EG480" s="610">
        <v>57</v>
      </c>
      <c r="EH480" s="460">
        <f t="shared" si="249"/>
        <v>270</v>
      </c>
      <c r="EI480" s="460">
        <f t="shared" si="250"/>
        <v>10</v>
      </c>
      <c r="EJ480" s="458">
        <f t="shared" si="251"/>
        <v>0.16666666666666666</v>
      </c>
      <c r="EK480" s="470">
        <f t="shared" si="252"/>
        <v>319</v>
      </c>
      <c r="EL480" s="470">
        <f t="shared" si="253"/>
        <v>10</v>
      </c>
      <c r="EM480" s="449">
        <f t="shared" si="254"/>
        <v>0.18181818181818182</v>
      </c>
      <c r="EN480" s="460">
        <f t="shared" si="255"/>
        <v>1785</v>
      </c>
      <c r="EO480" s="469">
        <f t="shared" si="256"/>
        <v>1902</v>
      </c>
      <c r="EP480" s="471">
        <v>147</v>
      </c>
      <c r="EQ480" s="611">
        <v>155</v>
      </c>
      <c r="ER480" s="471"/>
      <c r="ES480" s="450"/>
      <c r="ET480" s="471"/>
      <c r="EU480" s="450"/>
      <c r="EV480" s="471"/>
      <c r="EW480" s="450"/>
      <c r="EX480" s="471"/>
      <c r="EY480" s="450"/>
      <c r="EZ480" s="471"/>
      <c r="FA480" s="450"/>
      <c r="FB480" s="471"/>
      <c r="FC480" s="450"/>
      <c r="FD480" s="471">
        <v>64</v>
      </c>
      <c r="FE480" s="611">
        <v>97</v>
      </c>
      <c r="FF480" s="471"/>
      <c r="FG480" s="450"/>
      <c r="FH480" s="472"/>
      <c r="FI480" s="450"/>
      <c r="FJ480" s="468">
        <f t="shared" si="257"/>
        <v>211</v>
      </c>
      <c r="FK480" s="469">
        <f t="shared" si="258"/>
        <v>252</v>
      </c>
      <c r="FL480" s="472"/>
      <c r="FM480" s="450"/>
      <c r="FN480" s="460">
        <f t="shared" si="259"/>
        <v>6328</v>
      </c>
      <c r="FO480" s="469">
        <f t="shared" si="260"/>
        <v>6693</v>
      </c>
    </row>
    <row r="481" spans="1:171" x14ac:dyDescent="0.2">
      <c r="A481" s="726" t="s">
        <v>802</v>
      </c>
      <c r="B481" s="604" t="s">
        <v>805</v>
      </c>
      <c r="C481" s="613"/>
      <c r="D481" s="606">
        <v>221838</v>
      </c>
      <c r="E481" s="614">
        <v>2</v>
      </c>
      <c r="F481" s="532"/>
      <c r="G481" s="450"/>
      <c r="H481" s="457"/>
      <c r="I481" s="450"/>
      <c r="J481" s="457">
        <v>115</v>
      </c>
      <c r="K481" s="615">
        <v>139</v>
      </c>
      <c r="L481" s="458">
        <f t="shared" si="237"/>
        <v>0.11904761904761904</v>
      </c>
      <c r="M481" s="449">
        <f t="shared" si="238"/>
        <v>0.14494264859228362</v>
      </c>
      <c r="N481" s="459">
        <v>966</v>
      </c>
      <c r="O481" s="459"/>
      <c r="P481" s="459"/>
      <c r="Q481" s="459"/>
      <c r="R481" s="460">
        <f t="shared" si="239"/>
        <v>0</v>
      </c>
      <c r="S481" s="745">
        <v>959</v>
      </c>
      <c r="T481" s="461"/>
      <c r="U481" s="461"/>
      <c r="V481" s="461"/>
      <c r="W481" s="462">
        <f t="shared" si="240"/>
        <v>0</v>
      </c>
      <c r="X481" s="463"/>
      <c r="Y481" s="457"/>
      <c r="Z481" s="464"/>
      <c r="AA481" s="464"/>
      <c r="AB481" s="465"/>
      <c r="AC481" s="457"/>
      <c r="AD481" s="464"/>
      <c r="AE481" s="466"/>
      <c r="AF481" s="465"/>
      <c r="AG481" s="457"/>
      <c r="AH481" s="464"/>
      <c r="AI481" s="466"/>
      <c r="AJ481" s="465"/>
      <c r="AK481" s="457"/>
      <c r="AL481" s="464"/>
      <c r="AM481" s="466"/>
      <c r="AN481" s="465"/>
      <c r="AO481" s="457"/>
      <c r="AP481" s="464"/>
      <c r="AQ481" s="464"/>
      <c r="AR481" s="460">
        <f t="shared" si="241"/>
        <v>0</v>
      </c>
      <c r="AS481" s="467">
        <f t="shared" si="242"/>
        <v>0.63344262295081966</v>
      </c>
      <c r="AT481" s="447">
        <f t="shared" si="243"/>
        <v>0</v>
      </c>
      <c r="AU481" s="448">
        <f t="shared" si="244"/>
        <v>0.59788029925187036</v>
      </c>
      <c r="AV481" s="457"/>
      <c r="AW481" s="450"/>
      <c r="AX481" s="463">
        <v>13</v>
      </c>
      <c r="AY481" s="457">
        <v>108</v>
      </c>
      <c r="AZ481" s="464">
        <v>51</v>
      </c>
      <c r="BA481" s="755">
        <v>144</v>
      </c>
      <c r="BB481" s="465">
        <v>51</v>
      </c>
      <c r="BC481" s="457">
        <v>107</v>
      </c>
      <c r="BD481" s="464">
        <v>13</v>
      </c>
      <c r="BE481" s="760">
        <v>113</v>
      </c>
      <c r="BF481" s="465">
        <v>52</v>
      </c>
      <c r="BG481" s="457">
        <v>33</v>
      </c>
      <c r="BH481" s="464">
        <v>42</v>
      </c>
      <c r="BI481" s="760">
        <v>37</v>
      </c>
      <c r="BJ481" s="465">
        <v>44</v>
      </c>
      <c r="BK481" s="457">
        <v>30</v>
      </c>
      <c r="BL481" s="464">
        <v>44</v>
      </c>
      <c r="BM481" s="760">
        <v>25</v>
      </c>
      <c r="BN481" s="465">
        <v>42</v>
      </c>
      <c r="BO481" s="457">
        <v>22</v>
      </c>
      <c r="BP481" s="464">
        <v>52</v>
      </c>
      <c r="BQ481" s="760">
        <v>23</v>
      </c>
      <c r="BR481" s="465">
        <v>31</v>
      </c>
      <c r="BS481" s="457">
        <v>20</v>
      </c>
      <c r="BT481" s="464">
        <v>14</v>
      </c>
      <c r="BU481" s="760">
        <v>22</v>
      </c>
      <c r="BV481" s="465">
        <v>1</v>
      </c>
      <c r="BW481" s="457">
        <v>12</v>
      </c>
      <c r="BX481" s="464">
        <v>1</v>
      </c>
      <c r="BY481" s="760">
        <v>18</v>
      </c>
      <c r="BZ481" s="465">
        <v>26</v>
      </c>
      <c r="CA481" s="457">
        <v>10</v>
      </c>
      <c r="CB481" s="464">
        <v>31</v>
      </c>
      <c r="CC481" s="760">
        <v>13</v>
      </c>
      <c r="CD481" s="465">
        <v>24</v>
      </c>
      <c r="CE481" s="457">
        <v>8</v>
      </c>
      <c r="CF481" s="464">
        <v>40</v>
      </c>
      <c r="CG481" s="760">
        <v>11</v>
      </c>
      <c r="CH481" s="465">
        <v>14</v>
      </c>
      <c r="CI481" s="457">
        <v>7</v>
      </c>
      <c r="CJ481" s="464">
        <v>26</v>
      </c>
      <c r="CK481" s="760">
        <v>9</v>
      </c>
      <c r="CL481" s="459">
        <v>20</v>
      </c>
      <c r="CM481" s="610">
        <v>19</v>
      </c>
      <c r="CN481" s="468">
        <f t="shared" si="245"/>
        <v>377</v>
      </c>
      <c r="CO481" s="468">
        <f t="shared" si="246"/>
        <v>10</v>
      </c>
      <c r="CP481" s="469">
        <f t="shared" si="247"/>
        <v>434</v>
      </c>
      <c r="CQ481" s="469">
        <f t="shared" si="248"/>
        <v>10</v>
      </c>
      <c r="CR481" s="463">
        <v>51</v>
      </c>
      <c r="CS481" s="457">
        <v>28</v>
      </c>
      <c r="CT481" s="752">
        <v>51</v>
      </c>
      <c r="CU481" s="755">
        <v>30</v>
      </c>
      <c r="CV481" s="465">
        <v>13</v>
      </c>
      <c r="CW481" s="457">
        <v>24</v>
      </c>
      <c r="CX481" s="752">
        <v>13</v>
      </c>
      <c r="CY481" s="760">
        <v>29</v>
      </c>
      <c r="CZ481" s="465">
        <v>42</v>
      </c>
      <c r="DA481" s="457">
        <v>8</v>
      </c>
      <c r="DB481" s="752">
        <v>42</v>
      </c>
      <c r="DC481" s="760">
        <v>6</v>
      </c>
      <c r="DD481" s="465">
        <v>26</v>
      </c>
      <c r="DE481" s="457">
        <v>4</v>
      </c>
      <c r="DF481" s="752">
        <v>14</v>
      </c>
      <c r="DG481" s="760">
        <v>4</v>
      </c>
      <c r="DH481" s="465">
        <v>14</v>
      </c>
      <c r="DI481" s="457">
        <v>2</v>
      </c>
      <c r="DJ481" s="752">
        <v>44</v>
      </c>
      <c r="DK481" s="760">
        <v>2</v>
      </c>
      <c r="DL481" s="465">
        <v>44</v>
      </c>
      <c r="DM481" s="457">
        <v>1</v>
      </c>
      <c r="DN481" s="752">
        <v>26</v>
      </c>
      <c r="DO481" s="760">
        <v>1</v>
      </c>
      <c r="DP481" s="465"/>
      <c r="DQ481" s="457"/>
      <c r="DR481" s="464"/>
      <c r="DS481" s="466"/>
      <c r="DT481" s="465"/>
      <c r="DU481" s="457"/>
      <c r="DV481" s="464"/>
      <c r="DW481" s="466"/>
      <c r="DX481" s="465"/>
      <c r="DY481" s="457"/>
      <c r="DZ481" s="464"/>
      <c r="EA481" s="466"/>
      <c r="EB481" s="465"/>
      <c r="EC481" s="457"/>
      <c r="ED481" s="464"/>
      <c r="EE481" s="466"/>
      <c r="EF481" s="459"/>
      <c r="EG481" s="450"/>
      <c r="EH481" s="460">
        <f t="shared" si="249"/>
        <v>67</v>
      </c>
      <c r="EI481" s="460">
        <f t="shared" si="250"/>
        <v>6</v>
      </c>
      <c r="EJ481" s="458">
        <f t="shared" si="251"/>
        <v>0.41791044776119401</v>
      </c>
      <c r="EK481" s="470">
        <f t="shared" si="252"/>
        <v>72</v>
      </c>
      <c r="EL481" s="470">
        <f t="shared" si="253"/>
        <v>6</v>
      </c>
      <c r="EM481" s="449">
        <f t="shared" si="254"/>
        <v>0.41666666666666669</v>
      </c>
      <c r="EN481" s="460">
        <f t="shared" si="255"/>
        <v>444</v>
      </c>
      <c r="EO481" s="469">
        <f t="shared" si="256"/>
        <v>506</v>
      </c>
      <c r="EP481" s="471"/>
      <c r="EQ481" s="450"/>
      <c r="ER481" s="471"/>
      <c r="ES481" s="450"/>
      <c r="ET481" s="471"/>
      <c r="EU481" s="450"/>
      <c r="EV481" s="471"/>
      <c r="EW481" s="450"/>
      <c r="EX481" s="471"/>
      <c r="EY481" s="450"/>
      <c r="EZ481" s="471"/>
      <c r="FA481" s="450"/>
      <c r="FB481" s="471"/>
      <c r="FC481" s="450"/>
      <c r="FD481" s="471"/>
      <c r="FE481" s="450"/>
      <c r="FF481" s="471"/>
      <c r="FG481" s="450"/>
      <c r="FH481" s="472"/>
      <c r="FI481" s="450"/>
      <c r="FJ481" s="468">
        <f t="shared" si="257"/>
        <v>0</v>
      </c>
      <c r="FK481" s="469">
        <f t="shared" si="258"/>
        <v>0</v>
      </c>
      <c r="FL481" s="472"/>
      <c r="FM481" s="450"/>
      <c r="FN481" s="460">
        <f t="shared" si="259"/>
        <v>1525</v>
      </c>
      <c r="FO481" s="469">
        <f t="shared" si="260"/>
        <v>1604</v>
      </c>
    </row>
    <row r="482" spans="1:171" x14ac:dyDescent="0.2">
      <c r="A482" s="726" t="s">
        <v>802</v>
      </c>
      <c r="B482" s="604" t="s">
        <v>806</v>
      </c>
      <c r="C482" s="605"/>
      <c r="D482" s="606">
        <v>219602</v>
      </c>
      <c r="E482" s="607">
        <v>3</v>
      </c>
      <c r="F482" s="532"/>
      <c r="G482" s="450"/>
      <c r="H482" s="457"/>
      <c r="I482" s="450"/>
      <c r="J482" s="457">
        <v>225</v>
      </c>
      <c r="K482" s="615">
        <v>241</v>
      </c>
      <c r="L482" s="458">
        <f t="shared" si="237"/>
        <v>0.18101367658889783</v>
      </c>
      <c r="M482" s="449">
        <f t="shared" si="238"/>
        <v>0.1836890243902439</v>
      </c>
      <c r="N482" s="459">
        <v>1243</v>
      </c>
      <c r="O482" s="459"/>
      <c r="P482" s="459"/>
      <c r="Q482" s="459"/>
      <c r="R482" s="460">
        <f t="shared" si="239"/>
        <v>0</v>
      </c>
      <c r="S482" s="745">
        <v>1312</v>
      </c>
      <c r="T482" s="461"/>
      <c r="U482" s="461"/>
      <c r="V482" s="461"/>
      <c r="W482" s="462">
        <f t="shared" si="240"/>
        <v>0</v>
      </c>
      <c r="X482" s="463"/>
      <c r="Y482" s="457"/>
      <c r="Z482" s="464"/>
      <c r="AA482" s="464"/>
      <c r="AB482" s="465"/>
      <c r="AC482" s="457"/>
      <c r="AD482" s="464"/>
      <c r="AE482" s="466"/>
      <c r="AF482" s="465"/>
      <c r="AG482" s="457"/>
      <c r="AH482" s="464"/>
      <c r="AI482" s="466"/>
      <c r="AJ482" s="465"/>
      <c r="AK482" s="457"/>
      <c r="AL482" s="464"/>
      <c r="AM482" s="466"/>
      <c r="AN482" s="465"/>
      <c r="AO482" s="457"/>
      <c r="AP482" s="464"/>
      <c r="AQ482" s="464"/>
      <c r="AR482" s="460">
        <f t="shared" si="241"/>
        <v>0</v>
      </c>
      <c r="AS482" s="467">
        <f t="shared" si="242"/>
        <v>0.70464852607709749</v>
      </c>
      <c r="AT482" s="447">
        <f t="shared" si="243"/>
        <v>0</v>
      </c>
      <c r="AU482" s="448">
        <f t="shared" si="244"/>
        <v>0.69824374667376266</v>
      </c>
      <c r="AV482" s="457"/>
      <c r="AW482" s="450"/>
      <c r="AX482" s="463">
        <v>13</v>
      </c>
      <c r="AY482" s="457">
        <v>115</v>
      </c>
      <c r="AZ482" s="464">
        <v>13</v>
      </c>
      <c r="BA482" s="755">
        <v>139</v>
      </c>
      <c r="BB482" s="465">
        <v>52</v>
      </c>
      <c r="BC482" s="457">
        <v>51</v>
      </c>
      <c r="BD482" s="464">
        <v>31</v>
      </c>
      <c r="BE482" s="760">
        <v>35</v>
      </c>
      <c r="BF482" s="465">
        <v>9</v>
      </c>
      <c r="BG482" s="457">
        <v>24</v>
      </c>
      <c r="BH482" s="464">
        <v>52</v>
      </c>
      <c r="BI482" s="760">
        <v>35</v>
      </c>
      <c r="BJ482" s="465">
        <v>31</v>
      </c>
      <c r="BK482" s="457">
        <v>24</v>
      </c>
      <c r="BL482" s="464">
        <v>9</v>
      </c>
      <c r="BM482" s="760">
        <v>27</v>
      </c>
      <c r="BN482" s="465">
        <v>51</v>
      </c>
      <c r="BO482" s="457">
        <v>24</v>
      </c>
      <c r="BP482" s="464">
        <v>51</v>
      </c>
      <c r="BQ482" s="760">
        <v>16</v>
      </c>
      <c r="BR482" s="465">
        <v>50</v>
      </c>
      <c r="BS482" s="457">
        <v>12</v>
      </c>
      <c r="BT482" s="464">
        <v>54</v>
      </c>
      <c r="BU482" s="760">
        <v>15</v>
      </c>
      <c r="BV482" s="465">
        <v>24</v>
      </c>
      <c r="BW482" s="457">
        <v>9</v>
      </c>
      <c r="BX482" s="464">
        <v>44</v>
      </c>
      <c r="BY482" s="760">
        <v>13</v>
      </c>
      <c r="BZ482" s="465">
        <v>26</v>
      </c>
      <c r="CA482" s="457">
        <v>9</v>
      </c>
      <c r="CB482" s="464">
        <v>50</v>
      </c>
      <c r="CC482" s="760">
        <v>12</v>
      </c>
      <c r="CD482" s="465">
        <v>23</v>
      </c>
      <c r="CE482" s="457">
        <v>8</v>
      </c>
      <c r="CF482" s="464">
        <v>42</v>
      </c>
      <c r="CG482" s="760">
        <v>10</v>
      </c>
      <c r="CH482" s="465">
        <v>44</v>
      </c>
      <c r="CI482" s="457">
        <v>8</v>
      </c>
      <c r="CJ482" s="464">
        <v>23</v>
      </c>
      <c r="CK482" s="760">
        <v>8</v>
      </c>
      <c r="CL482" s="459">
        <v>12</v>
      </c>
      <c r="CM482" s="610">
        <v>16</v>
      </c>
      <c r="CN482" s="468">
        <f t="shared" si="245"/>
        <v>296</v>
      </c>
      <c r="CO482" s="468">
        <f t="shared" si="246"/>
        <v>10</v>
      </c>
      <c r="CP482" s="469">
        <f t="shared" si="247"/>
        <v>326</v>
      </c>
      <c r="CQ482" s="469">
        <f t="shared" si="248"/>
        <v>10</v>
      </c>
      <c r="CR482" s="463"/>
      <c r="CS482" s="457"/>
      <c r="CT482" s="464"/>
      <c r="CU482" s="464"/>
      <c r="CV482" s="465"/>
      <c r="CW482" s="457"/>
      <c r="CX482" s="464"/>
      <c r="CY482" s="466"/>
      <c r="CZ482" s="465"/>
      <c r="DA482" s="457"/>
      <c r="DB482" s="464"/>
      <c r="DC482" s="466"/>
      <c r="DD482" s="465"/>
      <c r="DE482" s="457"/>
      <c r="DF482" s="464"/>
      <c r="DG482" s="466"/>
      <c r="DH482" s="465"/>
      <c r="DI482" s="457"/>
      <c r="DJ482" s="464"/>
      <c r="DK482" s="466"/>
      <c r="DL482" s="465"/>
      <c r="DM482" s="457"/>
      <c r="DN482" s="464"/>
      <c r="DO482" s="466"/>
      <c r="DP482" s="465"/>
      <c r="DQ482" s="457"/>
      <c r="DR482" s="464"/>
      <c r="DS482" s="466"/>
      <c r="DT482" s="465"/>
      <c r="DU482" s="457"/>
      <c r="DV482" s="464"/>
      <c r="DW482" s="466"/>
      <c r="DX482" s="465"/>
      <c r="DY482" s="457"/>
      <c r="DZ482" s="464"/>
      <c r="EA482" s="466"/>
      <c r="EB482" s="465"/>
      <c r="EC482" s="457"/>
      <c r="ED482" s="464"/>
      <c r="EE482" s="466"/>
      <c r="EF482" s="459"/>
      <c r="EG482" s="450"/>
      <c r="EH482" s="460">
        <f t="shared" si="249"/>
        <v>0</v>
      </c>
      <c r="EI482" s="460">
        <f t="shared" si="250"/>
        <v>0</v>
      </c>
      <c r="EJ482" s="458">
        <f t="shared" si="251"/>
        <v>0</v>
      </c>
      <c r="EK482" s="470">
        <f t="shared" si="252"/>
        <v>0</v>
      </c>
      <c r="EL482" s="470">
        <f t="shared" si="253"/>
        <v>0</v>
      </c>
      <c r="EM482" s="449">
        <f t="shared" si="254"/>
        <v>0</v>
      </c>
      <c r="EN482" s="460">
        <f t="shared" si="255"/>
        <v>296</v>
      </c>
      <c r="EO482" s="469">
        <f t="shared" si="256"/>
        <v>326</v>
      </c>
      <c r="EP482" s="471"/>
      <c r="EQ482" s="450"/>
      <c r="ER482" s="471"/>
      <c r="ES482" s="450"/>
      <c r="ET482" s="471"/>
      <c r="EU482" s="450"/>
      <c r="EV482" s="471"/>
      <c r="EW482" s="450"/>
      <c r="EX482" s="471"/>
      <c r="EY482" s="450"/>
      <c r="EZ482" s="471"/>
      <c r="FA482" s="450"/>
      <c r="FB482" s="471"/>
      <c r="FC482" s="450"/>
      <c r="FD482" s="471"/>
      <c r="FE482" s="450"/>
      <c r="FF482" s="471"/>
      <c r="FG482" s="450"/>
      <c r="FH482" s="472"/>
      <c r="FI482" s="450"/>
      <c r="FJ482" s="468">
        <f t="shared" si="257"/>
        <v>0</v>
      </c>
      <c r="FK482" s="469">
        <f t="shared" si="258"/>
        <v>0</v>
      </c>
      <c r="FL482" s="472"/>
      <c r="FM482" s="450"/>
      <c r="FN482" s="460">
        <f t="shared" si="259"/>
        <v>1764</v>
      </c>
      <c r="FO482" s="469">
        <f t="shared" si="260"/>
        <v>1879</v>
      </c>
    </row>
    <row r="483" spans="1:171" x14ac:dyDescent="0.2">
      <c r="A483" s="726" t="s">
        <v>802</v>
      </c>
      <c r="B483" s="604" t="s">
        <v>807</v>
      </c>
      <c r="C483" s="605"/>
      <c r="D483" s="606">
        <v>220075</v>
      </c>
      <c r="E483" s="607">
        <v>3</v>
      </c>
      <c r="F483" s="532"/>
      <c r="G483" s="450"/>
      <c r="H483" s="457"/>
      <c r="I483" s="450"/>
      <c r="J483" s="457"/>
      <c r="K483" s="450"/>
      <c r="L483" s="458">
        <f t="shared" si="237"/>
        <v>0</v>
      </c>
      <c r="M483" s="449">
        <f t="shared" si="238"/>
        <v>0</v>
      </c>
      <c r="N483" s="459">
        <v>2028</v>
      </c>
      <c r="O483" s="459"/>
      <c r="P483" s="459"/>
      <c r="Q483" s="459"/>
      <c r="R483" s="460">
        <f t="shared" si="239"/>
        <v>0</v>
      </c>
      <c r="S483" s="745">
        <v>2146</v>
      </c>
      <c r="T483" s="461"/>
      <c r="U483" s="461"/>
      <c r="V483" s="461"/>
      <c r="W483" s="462">
        <f t="shared" si="240"/>
        <v>0</v>
      </c>
      <c r="X483" s="463"/>
      <c r="Y483" s="457"/>
      <c r="Z483" s="464"/>
      <c r="AA483" s="464"/>
      <c r="AB483" s="465"/>
      <c r="AC483" s="457"/>
      <c r="AD483" s="464"/>
      <c r="AE483" s="466"/>
      <c r="AF483" s="465"/>
      <c r="AG483" s="457"/>
      <c r="AH483" s="464"/>
      <c r="AI483" s="466"/>
      <c r="AJ483" s="465"/>
      <c r="AK483" s="457"/>
      <c r="AL483" s="464"/>
      <c r="AM483" s="466"/>
      <c r="AN483" s="465"/>
      <c r="AO483" s="457"/>
      <c r="AP483" s="464"/>
      <c r="AQ483" s="464"/>
      <c r="AR483" s="460">
        <f t="shared" si="241"/>
        <v>0</v>
      </c>
      <c r="AS483" s="467">
        <f t="shared" si="242"/>
        <v>0.70686650400836526</v>
      </c>
      <c r="AT483" s="447">
        <f t="shared" si="243"/>
        <v>0</v>
      </c>
      <c r="AU483" s="448">
        <f t="shared" si="244"/>
        <v>0.72182980154725862</v>
      </c>
      <c r="AV483" s="457"/>
      <c r="AW483" s="450"/>
      <c r="AX483" s="463">
        <v>13</v>
      </c>
      <c r="AY483" s="457">
        <v>174</v>
      </c>
      <c r="AZ483" s="464">
        <v>13</v>
      </c>
      <c r="BA483" s="755">
        <v>153</v>
      </c>
      <c r="BB483" s="465">
        <v>51</v>
      </c>
      <c r="BC483" s="457">
        <v>134</v>
      </c>
      <c r="BD483" s="464">
        <v>51</v>
      </c>
      <c r="BE483" s="760">
        <v>124</v>
      </c>
      <c r="BF483" s="465">
        <v>52</v>
      </c>
      <c r="BG483" s="457">
        <v>95</v>
      </c>
      <c r="BH483" s="464">
        <v>52</v>
      </c>
      <c r="BI483" s="760">
        <v>106</v>
      </c>
      <c r="BJ483" s="465">
        <v>44</v>
      </c>
      <c r="BK483" s="457">
        <v>35</v>
      </c>
      <c r="BL483" s="464">
        <v>31</v>
      </c>
      <c r="BM483" s="760">
        <v>35</v>
      </c>
      <c r="BN483" s="465">
        <v>31</v>
      </c>
      <c r="BO483" s="457">
        <v>26</v>
      </c>
      <c r="BP483" s="464">
        <v>44</v>
      </c>
      <c r="BQ483" s="760">
        <v>33</v>
      </c>
      <c r="BR483" s="465">
        <v>26</v>
      </c>
      <c r="BS483" s="457">
        <v>25</v>
      </c>
      <c r="BT483" s="464">
        <v>24</v>
      </c>
      <c r="BU483" s="760">
        <v>21</v>
      </c>
      <c r="BV483" s="465">
        <v>15</v>
      </c>
      <c r="BW483" s="457">
        <v>24</v>
      </c>
      <c r="BX483" s="464">
        <v>11</v>
      </c>
      <c r="BY483" s="760">
        <v>17</v>
      </c>
      <c r="BZ483" s="465">
        <v>11</v>
      </c>
      <c r="CA483" s="457">
        <v>21</v>
      </c>
      <c r="CB483" s="464">
        <v>54</v>
      </c>
      <c r="CC483" s="760">
        <v>17</v>
      </c>
      <c r="CD483" s="465">
        <v>43</v>
      </c>
      <c r="CE483" s="457">
        <v>15</v>
      </c>
      <c r="CF483" s="464">
        <v>40</v>
      </c>
      <c r="CG483" s="760">
        <v>16</v>
      </c>
      <c r="CH483" s="465">
        <v>24</v>
      </c>
      <c r="CI483" s="457">
        <v>14</v>
      </c>
      <c r="CJ483" s="464">
        <v>15</v>
      </c>
      <c r="CK483" s="760">
        <v>15</v>
      </c>
      <c r="CL483" s="459">
        <v>67</v>
      </c>
      <c r="CM483" s="610">
        <v>72</v>
      </c>
      <c r="CN483" s="468">
        <f t="shared" si="245"/>
        <v>630</v>
      </c>
      <c r="CO483" s="468">
        <f t="shared" si="246"/>
        <v>10</v>
      </c>
      <c r="CP483" s="469">
        <f t="shared" si="247"/>
        <v>609</v>
      </c>
      <c r="CQ483" s="469">
        <f t="shared" si="248"/>
        <v>10</v>
      </c>
      <c r="CR483" s="463">
        <v>51</v>
      </c>
      <c r="CS483" s="457">
        <v>40</v>
      </c>
      <c r="CT483" s="752">
        <v>13</v>
      </c>
      <c r="CU483" s="755">
        <v>39</v>
      </c>
      <c r="CV483" s="465">
        <v>13</v>
      </c>
      <c r="CW483" s="457">
        <v>38</v>
      </c>
      <c r="CX483" s="752">
        <v>51</v>
      </c>
      <c r="CY483" s="760">
        <v>37</v>
      </c>
      <c r="CZ483" s="465">
        <v>26</v>
      </c>
      <c r="DA483" s="457">
        <v>1</v>
      </c>
      <c r="DB483" s="752">
        <v>26</v>
      </c>
      <c r="DC483" s="760">
        <v>6</v>
      </c>
      <c r="DD483" s="465"/>
      <c r="DE483" s="457"/>
      <c r="DF483" s="752">
        <v>42</v>
      </c>
      <c r="DG483" s="760">
        <v>1</v>
      </c>
      <c r="DH483" s="465"/>
      <c r="DI483" s="457"/>
      <c r="DJ483" s="464"/>
      <c r="DK483" s="466"/>
      <c r="DL483" s="465"/>
      <c r="DM483" s="457"/>
      <c r="DN483" s="464"/>
      <c r="DO483" s="466"/>
      <c r="DP483" s="465"/>
      <c r="DQ483" s="457"/>
      <c r="DR483" s="464"/>
      <c r="DS483" s="466"/>
      <c r="DT483" s="465"/>
      <c r="DU483" s="457"/>
      <c r="DV483" s="464"/>
      <c r="DW483" s="466"/>
      <c r="DX483" s="465"/>
      <c r="DY483" s="457"/>
      <c r="DZ483" s="464"/>
      <c r="EA483" s="466"/>
      <c r="EB483" s="465"/>
      <c r="EC483" s="457"/>
      <c r="ED483" s="464"/>
      <c r="EE483" s="466"/>
      <c r="EF483" s="459"/>
      <c r="EG483" s="450"/>
      <c r="EH483" s="460">
        <f t="shared" si="249"/>
        <v>79</v>
      </c>
      <c r="EI483" s="460">
        <f t="shared" si="250"/>
        <v>3</v>
      </c>
      <c r="EJ483" s="458">
        <f t="shared" si="251"/>
        <v>0.50632911392405067</v>
      </c>
      <c r="EK483" s="470">
        <f t="shared" si="252"/>
        <v>83</v>
      </c>
      <c r="EL483" s="470">
        <f t="shared" si="253"/>
        <v>4</v>
      </c>
      <c r="EM483" s="449">
        <f t="shared" si="254"/>
        <v>0.46987951807228917</v>
      </c>
      <c r="EN483" s="460">
        <f t="shared" si="255"/>
        <v>709</v>
      </c>
      <c r="EO483" s="469">
        <f t="shared" si="256"/>
        <v>692</v>
      </c>
      <c r="EP483" s="471"/>
      <c r="EQ483" s="450"/>
      <c r="ER483" s="471">
        <v>60</v>
      </c>
      <c r="ES483" s="611">
        <v>58</v>
      </c>
      <c r="ET483" s="471"/>
      <c r="EU483" s="450"/>
      <c r="EV483" s="471">
        <v>72</v>
      </c>
      <c r="EW483" s="611">
        <v>77</v>
      </c>
      <c r="EX483" s="471"/>
      <c r="EY483" s="450"/>
      <c r="EZ483" s="471"/>
      <c r="FA483" s="450"/>
      <c r="FB483" s="471"/>
      <c r="FC483" s="450"/>
      <c r="FD483" s="471"/>
      <c r="FE483" s="450"/>
      <c r="FF483" s="471"/>
      <c r="FG483" s="450"/>
      <c r="FH483" s="472"/>
      <c r="FI483" s="450"/>
      <c r="FJ483" s="468">
        <f t="shared" si="257"/>
        <v>132</v>
      </c>
      <c r="FK483" s="469">
        <f t="shared" si="258"/>
        <v>135</v>
      </c>
      <c r="FL483" s="472"/>
      <c r="FM483" s="450"/>
      <c r="FN483" s="460">
        <f t="shared" si="259"/>
        <v>2869</v>
      </c>
      <c r="FO483" s="469">
        <f t="shared" si="260"/>
        <v>2973</v>
      </c>
    </row>
    <row r="484" spans="1:171" x14ac:dyDescent="0.2">
      <c r="A484" s="726" t="s">
        <v>802</v>
      </c>
      <c r="B484" s="604" t="s">
        <v>808</v>
      </c>
      <c r="C484" s="605"/>
      <c r="D484" s="606">
        <v>220978</v>
      </c>
      <c r="E484" s="607">
        <v>3</v>
      </c>
      <c r="F484" s="532"/>
      <c r="G484" s="450"/>
      <c r="H484" s="457"/>
      <c r="I484" s="450"/>
      <c r="J484" s="457"/>
      <c r="K484" s="450"/>
      <c r="L484" s="458">
        <f t="shared" si="237"/>
        <v>0</v>
      </c>
      <c r="M484" s="449">
        <f t="shared" si="238"/>
        <v>0</v>
      </c>
      <c r="N484" s="459">
        <v>3868</v>
      </c>
      <c r="O484" s="459"/>
      <c r="P484" s="459"/>
      <c r="Q484" s="459"/>
      <c r="R484" s="460">
        <f t="shared" si="239"/>
        <v>0</v>
      </c>
      <c r="S484" s="745">
        <v>3911</v>
      </c>
      <c r="T484" s="461"/>
      <c r="U484" s="461"/>
      <c r="V484" s="461"/>
      <c r="W484" s="462">
        <f t="shared" si="240"/>
        <v>0</v>
      </c>
      <c r="X484" s="463"/>
      <c r="Y484" s="457"/>
      <c r="Z484" s="464"/>
      <c r="AA484" s="464"/>
      <c r="AB484" s="465"/>
      <c r="AC484" s="457"/>
      <c r="AD484" s="464"/>
      <c r="AE484" s="466"/>
      <c r="AF484" s="465"/>
      <c r="AG484" s="457"/>
      <c r="AH484" s="464"/>
      <c r="AI484" s="466"/>
      <c r="AJ484" s="465"/>
      <c r="AK484" s="457"/>
      <c r="AL484" s="464"/>
      <c r="AM484" s="466"/>
      <c r="AN484" s="465"/>
      <c r="AO484" s="457"/>
      <c r="AP484" s="464"/>
      <c r="AQ484" s="464"/>
      <c r="AR484" s="460">
        <f t="shared" si="241"/>
        <v>0</v>
      </c>
      <c r="AS484" s="467">
        <f t="shared" si="242"/>
        <v>0.80399085429224693</v>
      </c>
      <c r="AT484" s="447">
        <f t="shared" si="243"/>
        <v>0</v>
      </c>
      <c r="AU484" s="448">
        <f t="shared" si="244"/>
        <v>0.80539538714991765</v>
      </c>
      <c r="AV484" s="457"/>
      <c r="AW484" s="450"/>
      <c r="AX484" s="463">
        <v>13</v>
      </c>
      <c r="AY484" s="457">
        <v>451</v>
      </c>
      <c r="AZ484" s="464">
        <v>13</v>
      </c>
      <c r="BA484" s="755">
        <v>399</v>
      </c>
      <c r="BB484" s="465">
        <v>52</v>
      </c>
      <c r="BC484" s="457">
        <v>197</v>
      </c>
      <c r="BD484" s="464">
        <v>52</v>
      </c>
      <c r="BE484" s="760">
        <v>185</v>
      </c>
      <c r="BF484" s="465">
        <v>31</v>
      </c>
      <c r="BG484" s="457">
        <v>44</v>
      </c>
      <c r="BH484" s="464">
        <v>11</v>
      </c>
      <c r="BI484" s="760">
        <v>42</v>
      </c>
      <c r="BJ484" s="465">
        <v>26</v>
      </c>
      <c r="BK484" s="457">
        <v>31</v>
      </c>
      <c r="BL484" s="464">
        <v>42</v>
      </c>
      <c r="BM484" s="760">
        <v>41</v>
      </c>
      <c r="BN484" s="465">
        <v>42</v>
      </c>
      <c r="BO484" s="457">
        <v>28</v>
      </c>
      <c r="BP484" s="464">
        <v>31</v>
      </c>
      <c r="BQ484" s="760">
        <v>40</v>
      </c>
      <c r="BR484" s="465">
        <v>51</v>
      </c>
      <c r="BS484" s="457">
        <v>24</v>
      </c>
      <c r="BT484" s="464">
        <v>26</v>
      </c>
      <c r="BU484" s="760">
        <v>38</v>
      </c>
      <c r="BV484" s="465">
        <v>23</v>
      </c>
      <c r="BW484" s="457">
        <v>20</v>
      </c>
      <c r="BX484" s="464">
        <v>54</v>
      </c>
      <c r="BY484" s="760">
        <v>22</v>
      </c>
      <c r="BZ484" s="465">
        <v>45</v>
      </c>
      <c r="CA484" s="457">
        <v>20</v>
      </c>
      <c r="CB484" s="464">
        <v>45</v>
      </c>
      <c r="CC484" s="760">
        <v>18</v>
      </c>
      <c r="CD484" s="465">
        <v>54</v>
      </c>
      <c r="CE484" s="457">
        <v>17</v>
      </c>
      <c r="CF484" s="464">
        <v>24</v>
      </c>
      <c r="CG484" s="760">
        <v>17</v>
      </c>
      <c r="CH484" s="465">
        <v>10</v>
      </c>
      <c r="CI484" s="457">
        <v>10</v>
      </c>
      <c r="CJ484" s="464">
        <v>50</v>
      </c>
      <c r="CK484" s="760">
        <v>16</v>
      </c>
      <c r="CL484" s="459">
        <v>81</v>
      </c>
      <c r="CM484" s="610">
        <v>107</v>
      </c>
      <c r="CN484" s="468">
        <f t="shared" si="245"/>
        <v>923</v>
      </c>
      <c r="CO484" s="468">
        <f t="shared" si="246"/>
        <v>10</v>
      </c>
      <c r="CP484" s="469">
        <f t="shared" si="247"/>
        <v>925</v>
      </c>
      <c r="CQ484" s="469">
        <f t="shared" si="248"/>
        <v>10</v>
      </c>
      <c r="CR484" s="463">
        <v>31</v>
      </c>
      <c r="CS484" s="457">
        <v>8</v>
      </c>
      <c r="CT484" s="752">
        <v>31</v>
      </c>
      <c r="CU484" s="760">
        <v>7</v>
      </c>
      <c r="CV484" s="661">
        <v>23</v>
      </c>
      <c r="CW484" s="457">
        <v>7</v>
      </c>
      <c r="CX484" s="752">
        <v>23</v>
      </c>
      <c r="CY484" s="760">
        <v>5</v>
      </c>
      <c r="CZ484" s="465">
        <v>54</v>
      </c>
      <c r="DA484" s="457">
        <v>3</v>
      </c>
      <c r="DB484" s="752">
        <v>13</v>
      </c>
      <c r="DC484" s="760">
        <v>4</v>
      </c>
      <c r="DD484" s="465">
        <v>40</v>
      </c>
      <c r="DE484" s="457">
        <v>1</v>
      </c>
      <c r="DF484" s="752">
        <v>54</v>
      </c>
      <c r="DG484" s="760">
        <v>3</v>
      </c>
      <c r="DH484" s="465">
        <v>45</v>
      </c>
      <c r="DI484" s="457">
        <v>1</v>
      </c>
      <c r="DJ484" s="752">
        <v>45</v>
      </c>
      <c r="DK484" s="760">
        <v>1</v>
      </c>
      <c r="DL484" s="465"/>
      <c r="DM484" s="457"/>
      <c r="DN484" s="464"/>
      <c r="DO484" s="466"/>
      <c r="DP484" s="465"/>
      <c r="DQ484" s="457"/>
      <c r="DR484" s="464"/>
      <c r="DS484" s="466"/>
      <c r="DT484" s="465"/>
      <c r="DU484" s="457"/>
      <c r="DV484" s="464"/>
      <c r="DW484" s="466"/>
      <c r="DX484" s="465"/>
      <c r="DY484" s="457"/>
      <c r="DZ484" s="464"/>
      <c r="EA484" s="466"/>
      <c r="EB484" s="465"/>
      <c r="EC484" s="457"/>
      <c r="ED484" s="464"/>
      <c r="EE484" s="466"/>
      <c r="EF484" s="459"/>
      <c r="EG484" s="450"/>
      <c r="EH484" s="460">
        <f t="shared" si="249"/>
        <v>20</v>
      </c>
      <c r="EI484" s="460">
        <f t="shared" si="250"/>
        <v>5</v>
      </c>
      <c r="EJ484" s="458">
        <f t="shared" si="251"/>
        <v>0.4</v>
      </c>
      <c r="EK484" s="470">
        <f t="shared" si="252"/>
        <v>20</v>
      </c>
      <c r="EL484" s="470">
        <f t="shared" si="253"/>
        <v>5</v>
      </c>
      <c r="EM484" s="449">
        <f t="shared" si="254"/>
        <v>0.35</v>
      </c>
      <c r="EN484" s="460">
        <f t="shared" si="255"/>
        <v>943</v>
      </c>
      <c r="EO484" s="469">
        <f t="shared" si="256"/>
        <v>945</v>
      </c>
      <c r="EP484" s="471"/>
      <c r="EQ484" s="450"/>
      <c r="ER484" s="471"/>
      <c r="ES484" s="450"/>
      <c r="ET484" s="471"/>
      <c r="EU484" s="450"/>
      <c r="EV484" s="471"/>
      <c r="EW484" s="450"/>
      <c r="EX484" s="471"/>
      <c r="EY484" s="450"/>
      <c r="EZ484" s="471"/>
      <c r="FA484" s="450"/>
      <c r="FB484" s="471"/>
      <c r="FC484" s="450"/>
      <c r="FD484" s="471"/>
      <c r="FE484" s="450"/>
      <c r="FF484" s="471"/>
      <c r="FG484" s="450"/>
      <c r="FH484" s="472"/>
      <c r="FI484" s="450"/>
      <c r="FJ484" s="468">
        <f t="shared" si="257"/>
        <v>0</v>
      </c>
      <c r="FK484" s="469">
        <f t="shared" si="258"/>
        <v>0</v>
      </c>
      <c r="FL484" s="472"/>
      <c r="FM484" s="450"/>
      <c r="FN484" s="460">
        <f t="shared" si="259"/>
        <v>4811</v>
      </c>
      <c r="FO484" s="469">
        <f t="shared" si="260"/>
        <v>4856</v>
      </c>
    </row>
    <row r="485" spans="1:171" x14ac:dyDescent="0.2">
      <c r="A485" s="726" t="s">
        <v>802</v>
      </c>
      <c r="B485" s="604" t="s">
        <v>809</v>
      </c>
      <c r="C485" s="605"/>
      <c r="D485" s="606">
        <v>221847</v>
      </c>
      <c r="E485" s="607">
        <v>3</v>
      </c>
      <c r="F485" s="532"/>
      <c r="G485" s="450"/>
      <c r="H485" s="457"/>
      <c r="I485" s="450"/>
      <c r="J485" s="457"/>
      <c r="K485" s="450"/>
      <c r="L485" s="458">
        <f t="shared" si="237"/>
        <v>0</v>
      </c>
      <c r="M485" s="449">
        <f t="shared" si="238"/>
        <v>0</v>
      </c>
      <c r="N485" s="459">
        <v>1603</v>
      </c>
      <c r="O485" s="459"/>
      <c r="P485" s="459"/>
      <c r="Q485" s="459"/>
      <c r="R485" s="460">
        <f t="shared" si="239"/>
        <v>0</v>
      </c>
      <c r="S485" s="745">
        <v>1696</v>
      </c>
      <c r="T485" s="461"/>
      <c r="U485" s="461"/>
      <c r="V485" s="461"/>
      <c r="W485" s="462">
        <f t="shared" si="240"/>
        <v>0</v>
      </c>
      <c r="X485" s="463"/>
      <c r="Y485" s="457"/>
      <c r="Z485" s="464"/>
      <c r="AA485" s="464"/>
      <c r="AB485" s="465"/>
      <c r="AC485" s="457"/>
      <c r="AD485" s="464"/>
      <c r="AE485" s="466"/>
      <c r="AF485" s="465"/>
      <c r="AG485" s="457"/>
      <c r="AH485" s="464"/>
      <c r="AI485" s="466"/>
      <c r="AJ485" s="465"/>
      <c r="AK485" s="457"/>
      <c r="AL485" s="464"/>
      <c r="AM485" s="466"/>
      <c r="AN485" s="465"/>
      <c r="AO485" s="457"/>
      <c r="AP485" s="464"/>
      <c r="AQ485" s="464"/>
      <c r="AR485" s="460">
        <f t="shared" si="241"/>
        <v>0</v>
      </c>
      <c r="AS485" s="467">
        <f t="shared" si="242"/>
        <v>0.63712241653418122</v>
      </c>
      <c r="AT485" s="447">
        <f t="shared" si="243"/>
        <v>0</v>
      </c>
      <c r="AU485" s="448">
        <f t="shared" si="244"/>
        <v>0.78591288229842449</v>
      </c>
      <c r="AV485" s="457"/>
      <c r="AW485" s="450"/>
      <c r="AX485" s="463">
        <v>13</v>
      </c>
      <c r="AY485" s="457">
        <v>284</v>
      </c>
      <c r="AZ485" s="464">
        <v>13</v>
      </c>
      <c r="BA485" s="755">
        <v>273</v>
      </c>
      <c r="BB485" s="465">
        <v>52</v>
      </c>
      <c r="BC485" s="457">
        <v>203</v>
      </c>
      <c r="BD485" s="464">
        <v>52</v>
      </c>
      <c r="BE485" s="760">
        <v>81</v>
      </c>
      <c r="BF485" s="465">
        <v>51</v>
      </c>
      <c r="BG485" s="457">
        <v>156</v>
      </c>
      <c r="BH485" s="464">
        <v>14</v>
      </c>
      <c r="BI485" s="760">
        <v>30</v>
      </c>
      <c r="BJ485" s="465">
        <v>23</v>
      </c>
      <c r="BK485" s="457">
        <v>52</v>
      </c>
      <c r="BL485" s="464">
        <v>51</v>
      </c>
      <c r="BM485" s="760">
        <v>14</v>
      </c>
      <c r="BN485" s="465">
        <v>50</v>
      </c>
      <c r="BO485" s="457">
        <v>40</v>
      </c>
      <c r="BP485" s="464">
        <v>31</v>
      </c>
      <c r="BQ485" s="760">
        <v>13</v>
      </c>
      <c r="BR485" s="465">
        <v>24</v>
      </c>
      <c r="BS485" s="457">
        <v>34</v>
      </c>
      <c r="BT485" s="464">
        <v>26</v>
      </c>
      <c r="BU485" s="760">
        <v>10</v>
      </c>
      <c r="BV485" s="465">
        <v>11</v>
      </c>
      <c r="BW485" s="457">
        <v>31</v>
      </c>
      <c r="BX485" s="464">
        <v>24</v>
      </c>
      <c r="BY485" s="760">
        <v>7</v>
      </c>
      <c r="BZ485" s="465">
        <v>14</v>
      </c>
      <c r="CA485" s="457">
        <v>31</v>
      </c>
      <c r="CB485" s="464">
        <v>23</v>
      </c>
      <c r="CC485" s="760">
        <v>6</v>
      </c>
      <c r="CD485" s="465">
        <v>31</v>
      </c>
      <c r="CE485" s="457">
        <v>30</v>
      </c>
      <c r="CF485" s="464">
        <v>40</v>
      </c>
      <c r="CG485" s="760">
        <v>5</v>
      </c>
      <c r="CH485" s="465">
        <v>45</v>
      </c>
      <c r="CI485" s="457">
        <v>28</v>
      </c>
      <c r="CJ485" s="464">
        <v>11</v>
      </c>
      <c r="CK485" s="760">
        <v>3</v>
      </c>
      <c r="CL485" s="459">
        <v>3</v>
      </c>
      <c r="CM485" s="609">
        <v>2</v>
      </c>
      <c r="CN485" s="468">
        <f t="shared" si="245"/>
        <v>892</v>
      </c>
      <c r="CO485" s="468">
        <f t="shared" si="246"/>
        <v>10</v>
      </c>
      <c r="CP485" s="469">
        <f t="shared" si="247"/>
        <v>444</v>
      </c>
      <c r="CQ485" s="469">
        <f t="shared" si="248"/>
        <v>10</v>
      </c>
      <c r="CR485" s="463">
        <v>14</v>
      </c>
      <c r="CS485" s="457">
        <v>10</v>
      </c>
      <c r="CT485" s="752">
        <v>14</v>
      </c>
      <c r="CU485" s="755">
        <v>14</v>
      </c>
      <c r="CV485" s="465">
        <v>13</v>
      </c>
      <c r="CW485" s="457">
        <v>8</v>
      </c>
      <c r="CX485" s="752">
        <v>13</v>
      </c>
      <c r="CY485" s="760">
        <v>3</v>
      </c>
      <c r="CZ485" s="465">
        <v>3</v>
      </c>
      <c r="DA485" s="457">
        <v>3</v>
      </c>
      <c r="DB485" s="752">
        <v>3</v>
      </c>
      <c r="DC485" s="760">
        <v>1</v>
      </c>
      <c r="DD485" s="465"/>
      <c r="DE485" s="457"/>
      <c r="DF485" s="464"/>
      <c r="DG485" s="466"/>
      <c r="DH485" s="465"/>
      <c r="DI485" s="457"/>
      <c r="DJ485" s="464"/>
      <c r="DK485" s="466"/>
      <c r="DL485" s="465"/>
      <c r="DM485" s="457"/>
      <c r="DN485" s="464"/>
      <c r="DO485" s="466"/>
      <c r="DP485" s="465"/>
      <c r="DQ485" s="457"/>
      <c r="DR485" s="464"/>
      <c r="DS485" s="466"/>
      <c r="DT485" s="465"/>
      <c r="DU485" s="457"/>
      <c r="DV485" s="464"/>
      <c r="DW485" s="466"/>
      <c r="DX485" s="465"/>
      <c r="DY485" s="457"/>
      <c r="DZ485" s="464"/>
      <c r="EA485" s="466"/>
      <c r="EB485" s="465"/>
      <c r="EC485" s="457"/>
      <c r="ED485" s="464"/>
      <c r="EE485" s="466"/>
      <c r="EF485" s="459"/>
      <c r="EG485" s="450"/>
      <c r="EH485" s="460">
        <f t="shared" si="249"/>
        <v>21</v>
      </c>
      <c r="EI485" s="460">
        <f t="shared" si="250"/>
        <v>3</v>
      </c>
      <c r="EJ485" s="458">
        <f t="shared" si="251"/>
        <v>0.47619047619047616</v>
      </c>
      <c r="EK485" s="470">
        <f t="shared" si="252"/>
        <v>18</v>
      </c>
      <c r="EL485" s="470">
        <f t="shared" si="253"/>
        <v>3</v>
      </c>
      <c r="EM485" s="449">
        <f t="shared" si="254"/>
        <v>0.77777777777777779</v>
      </c>
      <c r="EN485" s="460">
        <f t="shared" si="255"/>
        <v>913</v>
      </c>
      <c r="EO485" s="469">
        <f t="shared" si="256"/>
        <v>462</v>
      </c>
      <c r="EP485" s="471"/>
      <c r="EQ485" s="450"/>
      <c r="ER485" s="471"/>
      <c r="ES485" s="450"/>
      <c r="ET485" s="471"/>
      <c r="EU485" s="450"/>
      <c r="EV485" s="471"/>
      <c r="EW485" s="450"/>
      <c r="EX485" s="471"/>
      <c r="EY485" s="450"/>
      <c r="EZ485" s="471"/>
      <c r="FA485" s="450"/>
      <c r="FB485" s="471"/>
      <c r="FC485" s="450"/>
      <c r="FD485" s="471"/>
      <c r="FE485" s="450"/>
      <c r="FF485" s="471"/>
      <c r="FG485" s="450"/>
      <c r="FH485" s="472"/>
      <c r="FI485" s="450"/>
      <c r="FJ485" s="468">
        <f t="shared" si="257"/>
        <v>0</v>
      </c>
      <c r="FK485" s="469">
        <f t="shared" si="258"/>
        <v>0</v>
      </c>
      <c r="FL485" s="472"/>
      <c r="FM485" s="450"/>
      <c r="FN485" s="460">
        <f t="shared" si="259"/>
        <v>2516</v>
      </c>
      <c r="FO485" s="469">
        <f t="shared" si="260"/>
        <v>2158</v>
      </c>
    </row>
    <row r="486" spans="1:171" x14ac:dyDescent="0.2">
      <c r="A486" s="726" t="s">
        <v>802</v>
      </c>
      <c r="B486" s="604" t="s">
        <v>810</v>
      </c>
      <c r="C486" s="605"/>
      <c r="D486" s="606">
        <v>221740</v>
      </c>
      <c r="E486" s="607">
        <v>3</v>
      </c>
      <c r="F486" s="532"/>
      <c r="G486" s="450"/>
      <c r="H486" s="457"/>
      <c r="I486" s="450"/>
      <c r="J486" s="457"/>
      <c r="K486" s="450"/>
      <c r="L486" s="458">
        <f t="shared" si="237"/>
        <v>0</v>
      </c>
      <c r="M486" s="449">
        <f t="shared" si="238"/>
        <v>0</v>
      </c>
      <c r="N486" s="459">
        <v>1320</v>
      </c>
      <c r="O486" s="459"/>
      <c r="P486" s="459"/>
      <c r="Q486" s="459"/>
      <c r="R486" s="460">
        <f t="shared" si="239"/>
        <v>0</v>
      </c>
      <c r="S486" s="745">
        <v>1514</v>
      </c>
      <c r="T486" s="461"/>
      <c r="U486" s="461"/>
      <c r="V486" s="461"/>
      <c r="W486" s="462">
        <f t="shared" si="240"/>
        <v>0</v>
      </c>
      <c r="X486" s="463"/>
      <c r="Y486" s="457"/>
      <c r="Z486" s="464"/>
      <c r="AA486" s="464"/>
      <c r="AB486" s="465"/>
      <c r="AC486" s="457"/>
      <c r="AD486" s="464"/>
      <c r="AE486" s="466"/>
      <c r="AF486" s="465"/>
      <c r="AG486" s="457"/>
      <c r="AH486" s="464"/>
      <c r="AI486" s="466"/>
      <c r="AJ486" s="465"/>
      <c r="AK486" s="457"/>
      <c r="AL486" s="464"/>
      <c r="AM486" s="466"/>
      <c r="AN486" s="465"/>
      <c r="AO486" s="457"/>
      <c r="AP486" s="464"/>
      <c r="AQ486" s="464"/>
      <c r="AR486" s="460">
        <f t="shared" si="241"/>
        <v>0</v>
      </c>
      <c r="AS486" s="467">
        <f t="shared" si="242"/>
        <v>0.72847682119205293</v>
      </c>
      <c r="AT486" s="447">
        <f t="shared" si="243"/>
        <v>0</v>
      </c>
      <c r="AU486" s="448">
        <f t="shared" si="244"/>
        <v>0.73566569484936828</v>
      </c>
      <c r="AV486" s="457"/>
      <c r="AW486" s="450"/>
      <c r="AX486" s="463">
        <v>31</v>
      </c>
      <c r="AY486" s="457">
        <v>124</v>
      </c>
      <c r="AZ486" s="464">
        <v>13</v>
      </c>
      <c r="BA486" s="755">
        <v>152</v>
      </c>
      <c r="BB486" s="465">
        <v>52</v>
      </c>
      <c r="BC486" s="457">
        <v>114</v>
      </c>
      <c r="BD486" s="464">
        <v>52</v>
      </c>
      <c r="BE486" s="760">
        <v>142</v>
      </c>
      <c r="BF486" s="465">
        <v>51</v>
      </c>
      <c r="BG486" s="457">
        <v>95</v>
      </c>
      <c r="BH486" s="464">
        <v>51</v>
      </c>
      <c r="BI486" s="760">
        <v>51</v>
      </c>
      <c r="BJ486" s="465">
        <v>42</v>
      </c>
      <c r="BK486" s="457">
        <v>21</v>
      </c>
      <c r="BL486" s="464">
        <v>15</v>
      </c>
      <c r="BM486" s="760">
        <v>31</v>
      </c>
      <c r="BN486" s="465">
        <v>30</v>
      </c>
      <c r="BO486" s="457">
        <v>18</v>
      </c>
      <c r="BP486" s="464">
        <v>42</v>
      </c>
      <c r="BQ486" s="760">
        <v>26</v>
      </c>
      <c r="BR486" s="465">
        <v>44</v>
      </c>
      <c r="BS486" s="457">
        <v>16</v>
      </c>
      <c r="BT486" s="464">
        <v>14</v>
      </c>
      <c r="BU486" s="760">
        <v>20</v>
      </c>
      <c r="BV486" s="465">
        <v>23</v>
      </c>
      <c r="BW486" s="457">
        <v>12</v>
      </c>
      <c r="BX486" s="464">
        <v>23</v>
      </c>
      <c r="BY486" s="760">
        <v>19</v>
      </c>
      <c r="BZ486" s="465">
        <v>50</v>
      </c>
      <c r="CA486" s="457">
        <v>10</v>
      </c>
      <c r="CB486" s="464">
        <v>44</v>
      </c>
      <c r="CC486" s="760">
        <v>14</v>
      </c>
      <c r="CD486" s="465">
        <v>40</v>
      </c>
      <c r="CE486" s="457">
        <v>8</v>
      </c>
      <c r="CF486" s="464">
        <v>3</v>
      </c>
      <c r="CG486" s="760">
        <v>8</v>
      </c>
      <c r="CH486" s="465">
        <v>10</v>
      </c>
      <c r="CI486" s="457">
        <v>7</v>
      </c>
      <c r="CJ486" s="464">
        <v>50</v>
      </c>
      <c r="CK486" s="760">
        <v>7</v>
      </c>
      <c r="CL486" s="459">
        <v>7</v>
      </c>
      <c r="CM486" s="610">
        <v>20</v>
      </c>
      <c r="CN486" s="468">
        <f t="shared" si="245"/>
        <v>432</v>
      </c>
      <c r="CO486" s="468">
        <f t="shared" si="246"/>
        <v>10</v>
      </c>
      <c r="CP486" s="469">
        <f t="shared" si="247"/>
        <v>490</v>
      </c>
      <c r="CQ486" s="469">
        <f t="shared" si="248"/>
        <v>10</v>
      </c>
      <c r="CR486" s="463">
        <v>51</v>
      </c>
      <c r="CS486" s="457">
        <v>48</v>
      </c>
      <c r="CT486" s="752">
        <v>51</v>
      </c>
      <c r="CU486" s="755">
        <v>43</v>
      </c>
      <c r="CV486" s="465">
        <v>30</v>
      </c>
      <c r="CW486" s="457">
        <v>9</v>
      </c>
      <c r="CX486" s="752">
        <v>13</v>
      </c>
      <c r="CY486" s="760">
        <v>10</v>
      </c>
      <c r="CZ486" s="465">
        <v>42</v>
      </c>
      <c r="DA486" s="457">
        <v>3</v>
      </c>
      <c r="DB486" s="752">
        <v>14</v>
      </c>
      <c r="DC486" s="760">
        <v>1</v>
      </c>
      <c r="DD486" s="465"/>
      <c r="DE486" s="457"/>
      <c r="DF486" s="464"/>
      <c r="DG486" s="466"/>
      <c r="DH486" s="465"/>
      <c r="DI486" s="457"/>
      <c r="DJ486" s="464"/>
      <c r="DK486" s="466"/>
      <c r="DL486" s="465"/>
      <c r="DM486" s="457"/>
      <c r="DN486" s="464"/>
      <c r="DO486" s="466"/>
      <c r="DP486" s="465"/>
      <c r="DQ486" s="457"/>
      <c r="DR486" s="464"/>
      <c r="DS486" s="466"/>
      <c r="DT486" s="465"/>
      <c r="DU486" s="457"/>
      <c r="DV486" s="464"/>
      <c r="DW486" s="466"/>
      <c r="DX486" s="465"/>
      <c r="DY486" s="457"/>
      <c r="DZ486" s="464"/>
      <c r="EA486" s="466"/>
      <c r="EB486" s="465"/>
      <c r="EC486" s="457"/>
      <c r="ED486" s="464"/>
      <c r="EE486" s="466"/>
      <c r="EF486" s="459"/>
      <c r="EG486" s="450"/>
      <c r="EH486" s="460">
        <f t="shared" si="249"/>
        <v>60</v>
      </c>
      <c r="EI486" s="460">
        <f t="shared" si="250"/>
        <v>3</v>
      </c>
      <c r="EJ486" s="458">
        <f t="shared" si="251"/>
        <v>0.8</v>
      </c>
      <c r="EK486" s="470">
        <f t="shared" si="252"/>
        <v>54</v>
      </c>
      <c r="EL486" s="470">
        <f t="shared" si="253"/>
        <v>3</v>
      </c>
      <c r="EM486" s="449">
        <f t="shared" si="254"/>
        <v>0.79629629629629628</v>
      </c>
      <c r="EN486" s="460">
        <f t="shared" si="255"/>
        <v>492</v>
      </c>
      <c r="EO486" s="469">
        <f t="shared" si="256"/>
        <v>544</v>
      </c>
      <c r="EP486" s="471"/>
      <c r="EQ486" s="450"/>
      <c r="ER486" s="471"/>
      <c r="ES486" s="450"/>
      <c r="ET486" s="471"/>
      <c r="EU486" s="450"/>
      <c r="EV486" s="471"/>
      <c r="EW486" s="450"/>
      <c r="EX486" s="471"/>
      <c r="EY486" s="450"/>
      <c r="EZ486" s="471"/>
      <c r="FA486" s="450"/>
      <c r="FB486" s="471"/>
      <c r="FC486" s="450"/>
      <c r="FD486" s="471"/>
      <c r="FE486" s="450"/>
      <c r="FF486" s="471"/>
      <c r="FG486" s="450"/>
      <c r="FH486" s="472"/>
      <c r="FI486" s="450"/>
      <c r="FJ486" s="468">
        <f t="shared" si="257"/>
        <v>0</v>
      </c>
      <c r="FK486" s="469">
        <f t="shared" si="258"/>
        <v>0</v>
      </c>
      <c r="FL486" s="472"/>
      <c r="FM486" s="450"/>
      <c r="FN486" s="460">
        <f t="shared" si="259"/>
        <v>1812</v>
      </c>
      <c r="FO486" s="469">
        <f t="shared" si="260"/>
        <v>2058</v>
      </c>
    </row>
    <row r="487" spans="1:171" x14ac:dyDescent="0.2">
      <c r="A487" s="726" t="s">
        <v>802</v>
      </c>
      <c r="B487" s="604" t="s">
        <v>811</v>
      </c>
      <c r="C487" s="605"/>
      <c r="D487" s="606">
        <v>221768</v>
      </c>
      <c r="E487" s="607">
        <v>5</v>
      </c>
      <c r="F487" s="532"/>
      <c r="G487" s="450"/>
      <c r="H487" s="457"/>
      <c r="I487" s="450"/>
      <c r="J487" s="457"/>
      <c r="K487" s="450"/>
      <c r="L487" s="458">
        <f t="shared" si="237"/>
        <v>0</v>
      </c>
      <c r="M487" s="449">
        <f t="shared" si="238"/>
        <v>0</v>
      </c>
      <c r="N487" s="459">
        <v>1038</v>
      </c>
      <c r="O487" s="459"/>
      <c r="P487" s="459"/>
      <c r="Q487" s="459"/>
      <c r="R487" s="460">
        <f t="shared" si="239"/>
        <v>0</v>
      </c>
      <c r="S487" s="745">
        <v>1116</v>
      </c>
      <c r="T487" s="461"/>
      <c r="U487" s="461"/>
      <c r="V487" s="461"/>
      <c r="W487" s="462">
        <f t="shared" si="240"/>
        <v>0</v>
      </c>
      <c r="X487" s="463"/>
      <c r="Y487" s="457"/>
      <c r="Z487" s="464"/>
      <c r="AA487" s="464"/>
      <c r="AB487" s="465"/>
      <c r="AC487" s="457"/>
      <c r="AD487" s="464"/>
      <c r="AE487" s="466"/>
      <c r="AF487" s="465"/>
      <c r="AG487" s="457"/>
      <c r="AH487" s="464"/>
      <c r="AI487" s="466"/>
      <c r="AJ487" s="465"/>
      <c r="AK487" s="457"/>
      <c r="AL487" s="464"/>
      <c r="AM487" s="466"/>
      <c r="AN487" s="465"/>
      <c r="AO487" s="457"/>
      <c r="AP487" s="464"/>
      <c r="AQ487" s="464"/>
      <c r="AR487" s="460">
        <f t="shared" si="241"/>
        <v>0</v>
      </c>
      <c r="AS487" s="467">
        <f t="shared" si="242"/>
        <v>0.88793840889649278</v>
      </c>
      <c r="AT487" s="447">
        <f t="shared" si="243"/>
        <v>0</v>
      </c>
      <c r="AU487" s="448">
        <f t="shared" si="244"/>
        <v>0.89423076923076927</v>
      </c>
      <c r="AV487" s="457"/>
      <c r="AW487" s="450"/>
      <c r="AX487" s="463">
        <v>31</v>
      </c>
      <c r="AY487" s="457">
        <v>48</v>
      </c>
      <c r="AZ487" s="464">
        <v>13</v>
      </c>
      <c r="BA487" s="755">
        <v>64</v>
      </c>
      <c r="BB487" s="465">
        <v>52</v>
      </c>
      <c r="BC487" s="457">
        <v>43</v>
      </c>
      <c r="BD487" s="464">
        <v>52</v>
      </c>
      <c r="BE487" s="760">
        <v>48</v>
      </c>
      <c r="BF487" s="465">
        <v>30</v>
      </c>
      <c r="BG487" s="457">
        <v>19</v>
      </c>
      <c r="BH487" s="464">
        <v>19</v>
      </c>
      <c r="BI487" s="760">
        <v>13</v>
      </c>
      <c r="BJ487" s="465">
        <v>19</v>
      </c>
      <c r="BK487" s="457">
        <v>15</v>
      </c>
      <c r="BL487" s="464">
        <v>1</v>
      </c>
      <c r="BM487" s="760">
        <v>7</v>
      </c>
      <c r="BN487" s="465">
        <v>10</v>
      </c>
      <c r="BO487" s="457">
        <v>6</v>
      </c>
      <c r="BP487" s="464"/>
      <c r="BQ487" s="768"/>
      <c r="BR487" s="465"/>
      <c r="BS487" s="457"/>
      <c r="BT487" s="464"/>
      <c r="BU487" s="768"/>
      <c r="BV487" s="465"/>
      <c r="BW487" s="457"/>
      <c r="BX487" s="464"/>
      <c r="BY487" s="768"/>
      <c r="BZ487" s="465"/>
      <c r="CA487" s="457"/>
      <c r="CB487" s="464"/>
      <c r="CC487" s="768"/>
      <c r="CD487" s="465"/>
      <c r="CE487" s="457"/>
      <c r="CF487" s="464"/>
      <c r="CG487" s="768"/>
      <c r="CH487" s="465"/>
      <c r="CI487" s="457"/>
      <c r="CJ487" s="464"/>
      <c r="CK487" s="768"/>
      <c r="CL487" s="459"/>
      <c r="CM487" s="450"/>
      <c r="CN487" s="468">
        <f t="shared" si="245"/>
        <v>131</v>
      </c>
      <c r="CO487" s="468">
        <f t="shared" si="246"/>
        <v>5</v>
      </c>
      <c r="CP487" s="469">
        <f t="shared" si="247"/>
        <v>132</v>
      </c>
      <c r="CQ487" s="469">
        <f t="shared" si="248"/>
        <v>4</v>
      </c>
      <c r="CR487" s="463"/>
      <c r="CS487" s="457"/>
      <c r="CT487" s="464"/>
      <c r="CU487" s="464"/>
      <c r="CV487" s="465"/>
      <c r="CW487" s="457"/>
      <c r="CX487" s="464"/>
      <c r="CY487" s="466"/>
      <c r="CZ487" s="465"/>
      <c r="DA487" s="457"/>
      <c r="DB487" s="464"/>
      <c r="DC487" s="466"/>
      <c r="DD487" s="465"/>
      <c r="DE487" s="457"/>
      <c r="DF487" s="464"/>
      <c r="DG487" s="466"/>
      <c r="DH487" s="465"/>
      <c r="DI487" s="457"/>
      <c r="DJ487" s="464"/>
      <c r="DK487" s="466"/>
      <c r="DL487" s="465"/>
      <c r="DM487" s="457"/>
      <c r="DN487" s="464"/>
      <c r="DO487" s="466"/>
      <c r="DP487" s="465"/>
      <c r="DQ487" s="457"/>
      <c r="DR487" s="464"/>
      <c r="DS487" s="466"/>
      <c r="DT487" s="465"/>
      <c r="DU487" s="457"/>
      <c r="DV487" s="464"/>
      <c r="DW487" s="466"/>
      <c r="DX487" s="465"/>
      <c r="DY487" s="457"/>
      <c r="DZ487" s="464"/>
      <c r="EA487" s="466"/>
      <c r="EB487" s="465"/>
      <c r="EC487" s="457"/>
      <c r="ED487" s="464"/>
      <c r="EE487" s="466"/>
      <c r="EF487" s="459"/>
      <c r="EG487" s="450"/>
      <c r="EH487" s="460">
        <f t="shared" si="249"/>
        <v>0</v>
      </c>
      <c r="EI487" s="460">
        <f t="shared" si="250"/>
        <v>0</v>
      </c>
      <c r="EJ487" s="458">
        <f t="shared" si="251"/>
        <v>0</v>
      </c>
      <c r="EK487" s="470">
        <f t="shared" si="252"/>
        <v>0</v>
      </c>
      <c r="EL487" s="470">
        <f t="shared" si="253"/>
        <v>0</v>
      </c>
      <c r="EM487" s="449">
        <f t="shared" si="254"/>
        <v>0</v>
      </c>
      <c r="EN487" s="460">
        <f t="shared" si="255"/>
        <v>131</v>
      </c>
      <c r="EO487" s="469">
        <f t="shared" si="256"/>
        <v>132</v>
      </c>
      <c r="EP487" s="471"/>
      <c r="EQ487" s="450"/>
      <c r="ER487" s="471"/>
      <c r="ES487" s="450"/>
      <c r="ET487" s="471"/>
      <c r="EU487" s="450"/>
      <c r="EV487" s="471"/>
      <c r="EW487" s="450"/>
      <c r="EX487" s="471"/>
      <c r="EY487" s="450"/>
      <c r="EZ487" s="471"/>
      <c r="FA487" s="450"/>
      <c r="FB487" s="471"/>
      <c r="FC487" s="450"/>
      <c r="FD487" s="471"/>
      <c r="FE487" s="450"/>
      <c r="FF487" s="471"/>
      <c r="FG487" s="450"/>
      <c r="FH487" s="472"/>
      <c r="FI487" s="450"/>
      <c r="FJ487" s="468">
        <f t="shared" si="257"/>
        <v>0</v>
      </c>
      <c r="FK487" s="469">
        <f t="shared" si="258"/>
        <v>0</v>
      </c>
      <c r="FL487" s="472"/>
      <c r="FM487" s="450"/>
      <c r="FN487" s="460">
        <f t="shared" si="259"/>
        <v>1169</v>
      </c>
      <c r="FO487" s="469">
        <f t="shared" si="260"/>
        <v>1248</v>
      </c>
    </row>
    <row r="488" spans="1:171" x14ac:dyDescent="0.2">
      <c r="A488" s="729" t="s">
        <v>802</v>
      </c>
      <c r="B488" s="617" t="s">
        <v>812</v>
      </c>
      <c r="C488" s="618"/>
      <c r="D488" s="619">
        <v>219824</v>
      </c>
      <c r="E488" s="656">
        <v>8</v>
      </c>
      <c r="F488" s="532"/>
      <c r="G488" s="450"/>
      <c r="H488" s="457"/>
      <c r="I488" s="450"/>
      <c r="J488" s="457">
        <v>842</v>
      </c>
      <c r="K488" s="621">
        <v>896</v>
      </c>
      <c r="L488" s="458">
        <f t="shared" si="237"/>
        <v>0</v>
      </c>
      <c r="M488" s="449">
        <f t="shared" si="238"/>
        <v>0</v>
      </c>
      <c r="N488" s="459"/>
      <c r="O488" s="459"/>
      <c r="P488" s="459"/>
      <c r="Q488" s="459"/>
      <c r="R488" s="460">
        <f t="shared" si="239"/>
        <v>0</v>
      </c>
      <c r="S488" s="750"/>
      <c r="T488" s="461"/>
      <c r="U488" s="461"/>
      <c r="V488" s="461"/>
      <c r="W488" s="462">
        <f t="shared" si="240"/>
        <v>0</v>
      </c>
      <c r="X488" s="463"/>
      <c r="Y488" s="457"/>
      <c r="Z488" s="464"/>
      <c r="AA488" s="464"/>
      <c r="AB488" s="465"/>
      <c r="AC488" s="457"/>
      <c r="AD488" s="464"/>
      <c r="AE488" s="466"/>
      <c r="AF488" s="465"/>
      <c r="AG488" s="457"/>
      <c r="AH488" s="464"/>
      <c r="AI488" s="466"/>
      <c r="AJ488" s="465"/>
      <c r="AK488" s="457"/>
      <c r="AL488" s="464"/>
      <c r="AM488" s="466"/>
      <c r="AN488" s="465"/>
      <c r="AO488" s="457"/>
      <c r="AP488" s="464"/>
      <c r="AQ488" s="464"/>
      <c r="AR488" s="460">
        <f t="shared" si="241"/>
        <v>0</v>
      </c>
      <c r="AS488" s="467">
        <f t="shared" si="242"/>
        <v>0</v>
      </c>
      <c r="AT488" s="447">
        <f t="shared" si="243"/>
        <v>0</v>
      </c>
      <c r="AU488" s="448">
        <f t="shared" si="244"/>
        <v>0</v>
      </c>
      <c r="AV488" s="457"/>
      <c r="AW488" s="450"/>
      <c r="AX488" s="463"/>
      <c r="AY488" s="457"/>
      <c r="AZ488" s="464"/>
      <c r="BA488" s="464"/>
      <c r="BB488" s="465"/>
      <c r="BC488" s="457"/>
      <c r="BD488" s="464"/>
      <c r="BE488" s="466"/>
      <c r="BF488" s="465"/>
      <c r="BG488" s="457"/>
      <c r="BH488" s="464"/>
      <c r="BI488" s="466"/>
      <c r="BJ488" s="465"/>
      <c r="BK488" s="457"/>
      <c r="BL488" s="464"/>
      <c r="BM488" s="466"/>
      <c r="BN488" s="465"/>
      <c r="BO488" s="457"/>
      <c r="BP488" s="464"/>
      <c r="BQ488" s="466"/>
      <c r="BR488" s="465"/>
      <c r="BS488" s="457"/>
      <c r="BT488" s="464"/>
      <c r="BU488" s="466"/>
      <c r="BV488" s="465"/>
      <c r="BW488" s="457"/>
      <c r="BX488" s="464"/>
      <c r="BY488" s="466"/>
      <c r="BZ488" s="465"/>
      <c r="CA488" s="457"/>
      <c r="CB488" s="464"/>
      <c r="CC488" s="466"/>
      <c r="CD488" s="465"/>
      <c r="CE488" s="457"/>
      <c r="CF488" s="464"/>
      <c r="CG488" s="466"/>
      <c r="CH488" s="465"/>
      <c r="CI488" s="457"/>
      <c r="CJ488" s="464"/>
      <c r="CK488" s="466"/>
      <c r="CL488" s="459"/>
      <c r="CM488" s="450"/>
      <c r="CN488" s="468">
        <f t="shared" si="245"/>
        <v>0</v>
      </c>
      <c r="CO488" s="468">
        <f t="shared" si="246"/>
        <v>0</v>
      </c>
      <c r="CP488" s="469">
        <f t="shared" si="247"/>
        <v>0</v>
      </c>
      <c r="CQ488" s="469">
        <f t="shared" si="248"/>
        <v>0</v>
      </c>
      <c r="CR488" s="463"/>
      <c r="CS488" s="457"/>
      <c r="CT488" s="464"/>
      <c r="CU488" s="464"/>
      <c r="CV488" s="465"/>
      <c r="CW488" s="457"/>
      <c r="CX488" s="464"/>
      <c r="CY488" s="466"/>
      <c r="CZ488" s="465"/>
      <c r="DA488" s="457"/>
      <c r="DB488" s="464"/>
      <c r="DC488" s="466"/>
      <c r="DD488" s="465"/>
      <c r="DE488" s="457"/>
      <c r="DF488" s="464"/>
      <c r="DG488" s="466"/>
      <c r="DH488" s="465"/>
      <c r="DI488" s="457"/>
      <c r="DJ488" s="464"/>
      <c r="DK488" s="466"/>
      <c r="DL488" s="465"/>
      <c r="DM488" s="457"/>
      <c r="DN488" s="464"/>
      <c r="DO488" s="466"/>
      <c r="DP488" s="465"/>
      <c r="DQ488" s="457"/>
      <c r="DR488" s="464"/>
      <c r="DS488" s="466"/>
      <c r="DT488" s="465"/>
      <c r="DU488" s="457"/>
      <c r="DV488" s="464"/>
      <c r="DW488" s="466"/>
      <c r="DX488" s="465"/>
      <c r="DY488" s="457"/>
      <c r="DZ488" s="464"/>
      <c r="EA488" s="466"/>
      <c r="EB488" s="465"/>
      <c r="EC488" s="457"/>
      <c r="ED488" s="464"/>
      <c r="EE488" s="466"/>
      <c r="EF488" s="459"/>
      <c r="EG488" s="450"/>
      <c r="EH488" s="460">
        <f t="shared" si="249"/>
        <v>0</v>
      </c>
      <c r="EI488" s="460">
        <f t="shared" si="250"/>
        <v>0</v>
      </c>
      <c r="EJ488" s="458">
        <f t="shared" si="251"/>
        <v>0</v>
      </c>
      <c r="EK488" s="470">
        <f t="shared" si="252"/>
        <v>0</v>
      </c>
      <c r="EL488" s="470">
        <f t="shared" si="253"/>
        <v>0</v>
      </c>
      <c r="EM488" s="449">
        <f t="shared" si="254"/>
        <v>0</v>
      </c>
      <c r="EN488" s="460">
        <f t="shared" si="255"/>
        <v>0</v>
      </c>
      <c r="EO488" s="469">
        <f t="shared" si="256"/>
        <v>0</v>
      </c>
      <c r="EP488" s="471"/>
      <c r="EQ488" s="450"/>
      <c r="ER488" s="471"/>
      <c r="ES488" s="450"/>
      <c r="ET488" s="471"/>
      <c r="EU488" s="450"/>
      <c r="EV488" s="471"/>
      <c r="EW488" s="450"/>
      <c r="EX488" s="471"/>
      <c r="EY488" s="450"/>
      <c r="EZ488" s="471"/>
      <c r="FA488" s="450"/>
      <c r="FB488" s="471"/>
      <c r="FC488" s="450"/>
      <c r="FD488" s="471"/>
      <c r="FE488" s="450"/>
      <c r="FF488" s="471"/>
      <c r="FG488" s="450"/>
      <c r="FH488" s="472"/>
      <c r="FI488" s="450"/>
      <c r="FJ488" s="468">
        <f t="shared" si="257"/>
        <v>0</v>
      </c>
      <c r="FK488" s="469">
        <f t="shared" si="258"/>
        <v>0</v>
      </c>
      <c r="FL488" s="472"/>
      <c r="FM488" s="450"/>
      <c r="FN488" s="460">
        <f t="shared" si="259"/>
        <v>842</v>
      </c>
      <c r="FO488" s="469">
        <f t="shared" si="260"/>
        <v>896</v>
      </c>
    </row>
    <row r="489" spans="1:171" x14ac:dyDescent="0.2">
      <c r="A489" s="729" t="s">
        <v>802</v>
      </c>
      <c r="B489" s="604" t="s">
        <v>813</v>
      </c>
      <c r="C489" s="613"/>
      <c r="D489" s="619">
        <v>221184</v>
      </c>
      <c r="E489" s="614">
        <v>8</v>
      </c>
      <c r="F489" s="532"/>
      <c r="G489" s="450"/>
      <c r="H489" s="457"/>
      <c r="I489" s="450"/>
      <c r="J489" s="457">
        <v>531</v>
      </c>
      <c r="K489" s="621">
        <v>718</v>
      </c>
      <c r="L489" s="458">
        <f t="shared" si="237"/>
        <v>0</v>
      </c>
      <c r="M489" s="449">
        <f t="shared" si="238"/>
        <v>0</v>
      </c>
      <c r="N489" s="459"/>
      <c r="O489" s="459"/>
      <c r="P489" s="459"/>
      <c r="Q489" s="459"/>
      <c r="R489" s="460">
        <f t="shared" si="239"/>
        <v>0</v>
      </c>
      <c r="S489" s="461"/>
      <c r="T489" s="461"/>
      <c r="U489" s="461"/>
      <c r="V489" s="461"/>
      <c r="W489" s="462">
        <f t="shared" si="240"/>
        <v>0</v>
      </c>
      <c r="X489" s="463"/>
      <c r="Y489" s="457"/>
      <c r="Z489" s="464"/>
      <c r="AA489" s="464"/>
      <c r="AB489" s="465"/>
      <c r="AC489" s="457"/>
      <c r="AD489" s="464"/>
      <c r="AE489" s="466"/>
      <c r="AF489" s="465"/>
      <c r="AG489" s="457"/>
      <c r="AH489" s="464"/>
      <c r="AI489" s="466"/>
      <c r="AJ489" s="465"/>
      <c r="AK489" s="457"/>
      <c r="AL489" s="464"/>
      <c r="AM489" s="466"/>
      <c r="AN489" s="465"/>
      <c r="AO489" s="457"/>
      <c r="AP489" s="464"/>
      <c r="AQ489" s="464"/>
      <c r="AR489" s="460">
        <f t="shared" si="241"/>
        <v>0</v>
      </c>
      <c r="AS489" s="467">
        <f t="shared" si="242"/>
        <v>0</v>
      </c>
      <c r="AT489" s="447">
        <f t="shared" si="243"/>
        <v>0</v>
      </c>
      <c r="AU489" s="448">
        <f t="shared" si="244"/>
        <v>0</v>
      </c>
      <c r="AV489" s="457"/>
      <c r="AW489" s="450"/>
      <c r="AX489" s="463"/>
      <c r="AY489" s="457"/>
      <c r="AZ489" s="464"/>
      <c r="BA489" s="464"/>
      <c r="BB489" s="465"/>
      <c r="BC489" s="457"/>
      <c r="BD489" s="464"/>
      <c r="BE489" s="466"/>
      <c r="BF489" s="465"/>
      <c r="BG489" s="457"/>
      <c r="BH489" s="464"/>
      <c r="BI489" s="466"/>
      <c r="BJ489" s="465"/>
      <c r="BK489" s="457"/>
      <c r="BL489" s="464"/>
      <c r="BM489" s="466"/>
      <c r="BN489" s="465"/>
      <c r="BO489" s="457"/>
      <c r="BP489" s="464"/>
      <c r="BQ489" s="466"/>
      <c r="BR489" s="465"/>
      <c r="BS489" s="457"/>
      <c r="BT489" s="464"/>
      <c r="BU489" s="466"/>
      <c r="BV489" s="465"/>
      <c r="BW489" s="457"/>
      <c r="BX489" s="464"/>
      <c r="BY489" s="466"/>
      <c r="BZ489" s="465"/>
      <c r="CA489" s="457"/>
      <c r="CB489" s="464"/>
      <c r="CC489" s="466"/>
      <c r="CD489" s="465"/>
      <c r="CE489" s="457"/>
      <c r="CF489" s="464"/>
      <c r="CG489" s="466"/>
      <c r="CH489" s="465"/>
      <c r="CI489" s="457"/>
      <c r="CJ489" s="464"/>
      <c r="CK489" s="466"/>
      <c r="CL489" s="459"/>
      <c r="CM489" s="450"/>
      <c r="CN489" s="468">
        <f t="shared" si="245"/>
        <v>0</v>
      </c>
      <c r="CO489" s="468">
        <f t="shared" si="246"/>
        <v>0</v>
      </c>
      <c r="CP489" s="469">
        <f t="shared" si="247"/>
        <v>0</v>
      </c>
      <c r="CQ489" s="469">
        <f t="shared" si="248"/>
        <v>0</v>
      </c>
      <c r="CR489" s="463"/>
      <c r="CS489" s="457"/>
      <c r="CT489" s="464"/>
      <c r="CU489" s="464"/>
      <c r="CV489" s="465"/>
      <c r="CW489" s="457"/>
      <c r="CX489" s="464"/>
      <c r="CY489" s="466"/>
      <c r="CZ489" s="465"/>
      <c r="DA489" s="457"/>
      <c r="DB489" s="464"/>
      <c r="DC489" s="466"/>
      <c r="DD489" s="465"/>
      <c r="DE489" s="457"/>
      <c r="DF489" s="464"/>
      <c r="DG489" s="466"/>
      <c r="DH489" s="465"/>
      <c r="DI489" s="457"/>
      <c r="DJ489" s="464"/>
      <c r="DK489" s="466"/>
      <c r="DL489" s="465"/>
      <c r="DM489" s="457"/>
      <c r="DN489" s="464"/>
      <c r="DO489" s="466"/>
      <c r="DP489" s="465"/>
      <c r="DQ489" s="457"/>
      <c r="DR489" s="464"/>
      <c r="DS489" s="466"/>
      <c r="DT489" s="465"/>
      <c r="DU489" s="457"/>
      <c r="DV489" s="464"/>
      <c r="DW489" s="466"/>
      <c r="DX489" s="465"/>
      <c r="DY489" s="457"/>
      <c r="DZ489" s="464"/>
      <c r="EA489" s="466"/>
      <c r="EB489" s="465"/>
      <c r="EC489" s="457"/>
      <c r="ED489" s="464"/>
      <c r="EE489" s="466"/>
      <c r="EF489" s="459"/>
      <c r="EG489" s="450"/>
      <c r="EH489" s="460">
        <f t="shared" si="249"/>
        <v>0</v>
      </c>
      <c r="EI489" s="460">
        <f t="shared" si="250"/>
        <v>0</v>
      </c>
      <c r="EJ489" s="458">
        <f t="shared" si="251"/>
        <v>0</v>
      </c>
      <c r="EK489" s="470">
        <f t="shared" si="252"/>
        <v>0</v>
      </c>
      <c r="EL489" s="470">
        <f t="shared" si="253"/>
        <v>0</v>
      </c>
      <c r="EM489" s="449">
        <f t="shared" si="254"/>
        <v>0</v>
      </c>
      <c r="EN489" s="460">
        <f t="shared" si="255"/>
        <v>0</v>
      </c>
      <c r="EO489" s="469">
        <f t="shared" si="256"/>
        <v>0</v>
      </c>
      <c r="EP489" s="471"/>
      <c r="EQ489" s="450"/>
      <c r="ER489" s="471"/>
      <c r="ES489" s="450"/>
      <c r="ET489" s="471"/>
      <c r="EU489" s="450"/>
      <c r="EV489" s="471"/>
      <c r="EW489" s="450"/>
      <c r="EX489" s="471"/>
      <c r="EY489" s="450"/>
      <c r="EZ489" s="471"/>
      <c r="FA489" s="450"/>
      <c r="FB489" s="471"/>
      <c r="FC489" s="450"/>
      <c r="FD489" s="471"/>
      <c r="FE489" s="450"/>
      <c r="FF489" s="471"/>
      <c r="FG489" s="450"/>
      <c r="FH489" s="472"/>
      <c r="FI489" s="450"/>
      <c r="FJ489" s="468">
        <f t="shared" si="257"/>
        <v>0</v>
      </c>
      <c r="FK489" s="469">
        <f t="shared" si="258"/>
        <v>0</v>
      </c>
      <c r="FL489" s="472"/>
      <c r="FM489" s="450"/>
      <c r="FN489" s="460">
        <f t="shared" si="259"/>
        <v>531</v>
      </c>
      <c r="FO489" s="469">
        <f t="shared" si="260"/>
        <v>718</v>
      </c>
    </row>
    <row r="490" spans="1:171" x14ac:dyDescent="0.2">
      <c r="A490" s="729" t="s">
        <v>802</v>
      </c>
      <c r="B490" s="617" t="s">
        <v>814</v>
      </c>
      <c r="C490" s="618"/>
      <c r="D490" s="619">
        <v>221643</v>
      </c>
      <c r="E490" s="656">
        <v>8</v>
      </c>
      <c r="F490" s="532"/>
      <c r="G490" s="450"/>
      <c r="H490" s="457"/>
      <c r="I490" s="450"/>
      <c r="J490" s="457">
        <v>932</v>
      </c>
      <c r="K490" s="621">
        <v>1101</v>
      </c>
      <c r="L490" s="458">
        <f t="shared" si="237"/>
        <v>0</v>
      </c>
      <c r="M490" s="449">
        <f t="shared" si="238"/>
        <v>0</v>
      </c>
      <c r="N490" s="459"/>
      <c r="O490" s="459"/>
      <c r="P490" s="459"/>
      <c r="Q490" s="459"/>
      <c r="R490" s="460">
        <f t="shared" si="239"/>
        <v>0</v>
      </c>
      <c r="S490" s="461"/>
      <c r="T490" s="461"/>
      <c r="U490" s="461"/>
      <c r="V490" s="461"/>
      <c r="W490" s="462">
        <f t="shared" si="240"/>
        <v>0</v>
      </c>
      <c r="X490" s="463"/>
      <c r="Y490" s="457"/>
      <c r="Z490" s="464"/>
      <c r="AA490" s="464"/>
      <c r="AB490" s="465"/>
      <c r="AC490" s="457"/>
      <c r="AD490" s="464"/>
      <c r="AE490" s="466"/>
      <c r="AF490" s="465"/>
      <c r="AG490" s="457"/>
      <c r="AH490" s="464"/>
      <c r="AI490" s="466"/>
      <c r="AJ490" s="465"/>
      <c r="AK490" s="457"/>
      <c r="AL490" s="464"/>
      <c r="AM490" s="466"/>
      <c r="AN490" s="465"/>
      <c r="AO490" s="457"/>
      <c r="AP490" s="464"/>
      <c r="AQ490" s="464"/>
      <c r="AR490" s="460">
        <f t="shared" si="241"/>
        <v>0</v>
      </c>
      <c r="AS490" s="467">
        <f t="shared" si="242"/>
        <v>0</v>
      </c>
      <c r="AT490" s="447">
        <f t="shared" si="243"/>
        <v>0</v>
      </c>
      <c r="AU490" s="448">
        <f t="shared" si="244"/>
        <v>0</v>
      </c>
      <c r="AV490" s="457"/>
      <c r="AW490" s="450"/>
      <c r="AX490" s="463"/>
      <c r="AY490" s="457"/>
      <c r="AZ490" s="464"/>
      <c r="BA490" s="464"/>
      <c r="BB490" s="465"/>
      <c r="BC490" s="457"/>
      <c r="BD490" s="464"/>
      <c r="BE490" s="466"/>
      <c r="BF490" s="465"/>
      <c r="BG490" s="457"/>
      <c r="BH490" s="464"/>
      <c r="BI490" s="466"/>
      <c r="BJ490" s="465"/>
      <c r="BK490" s="457"/>
      <c r="BL490" s="464"/>
      <c r="BM490" s="466"/>
      <c r="BN490" s="465"/>
      <c r="BO490" s="457"/>
      <c r="BP490" s="464"/>
      <c r="BQ490" s="466"/>
      <c r="BR490" s="465"/>
      <c r="BS490" s="457"/>
      <c r="BT490" s="464"/>
      <c r="BU490" s="466"/>
      <c r="BV490" s="465"/>
      <c r="BW490" s="457"/>
      <c r="BX490" s="464"/>
      <c r="BY490" s="466"/>
      <c r="BZ490" s="465"/>
      <c r="CA490" s="457"/>
      <c r="CB490" s="464"/>
      <c r="CC490" s="466"/>
      <c r="CD490" s="465"/>
      <c r="CE490" s="457"/>
      <c r="CF490" s="464"/>
      <c r="CG490" s="466"/>
      <c r="CH490" s="465"/>
      <c r="CI490" s="457"/>
      <c r="CJ490" s="464"/>
      <c r="CK490" s="466"/>
      <c r="CL490" s="459"/>
      <c r="CM490" s="450"/>
      <c r="CN490" s="468">
        <f t="shared" si="245"/>
        <v>0</v>
      </c>
      <c r="CO490" s="468">
        <f t="shared" si="246"/>
        <v>0</v>
      </c>
      <c r="CP490" s="469">
        <f t="shared" si="247"/>
        <v>0</v>
      </c>
      <c r="CQ490" s="469">
        <f t="shared" si="248"/>
        <v>0</v>
      </c>
      <c r="CR490" s="463"/>
      <c r="CS490" s="457"/>
      <c r="CT490" s="464"/>
      <c r="CU490" s="464"/>
      <c r="CV490" s="465"/>
      <c r="CW490" s="457"/>
      <c r="CX490" s="464"/>
      <c r="CY490" s="466"/>
      <c r="CZ490" s="465"/>
      <c r="DA490" s="457"/>
      <c r="DB490" s="464"/>
      <c r="DC490" s="466"/>
      <c r="DD490" s="465"/>
      <c r="DE490" s="457"/>
      <c r="DF490" s="464"/>
      <c r="DG490" s="466"/>
      <c r="DH490" s="465"/>
      <c r="DI490" s="457"/>
      <c r="DJ490" s="464"/>
      <c r="DK490" s="466"/>
      <c r="DL490" s="465"/>
      <c r="DM490" s="457"/>
      <c r="DN490" s="464"/>
      <c r="DO490" s="466"/>
      <c r="DP490" s="465"/>
      <c r="DQ490" s="457"/>
      <c r="DR490" s="464"/>
      <c r="DS490" s="466"/>
      <c r="DT490" s="465"/>
      <c r="DU490" s="457"/>
      <c r="DV490" s="464"/>
      <c r="DW490" s="466"/>
      <c r="DX490" s="465"/>
      <c r="DY490" s="457"/>
      <c r="DZ490" s="464"/>
      <c r="EA490" s="466"/>
      <c r="EB490" s="465"/>
      <c r="EC490" s="457"/>
      <c r="ED490" s="464"/>
      <c r="EE490" s="466"/>
      <c r="EF490" s="459"/>
      <c r="EG490" s="450"/>
      <c r="EH490" s="460">
        <f t="shared" si="249"/>
        <v>0</v>
      </c>
      <c r="EI490" s="460">
        <f t="shared" si="250"/>
        <v>0</v>
      </c>
      <c r="EJ490" s="458">
        <f t="shared" si="251"/>
        <v>0</v>
      </c>
      <c r="EK490" s="470">
        <f t="shared" si="252"/>
        <v>0</v>
      </c>
      <c r="EL490" s="470">
        <f t="shared" si="253"/>
        <v>0</v>
      </c>
      <c r="EM490" s="449">
        <f t="shared" si="254"/>
        <v>0</v>
      </c>
      <c r="EN490" s="460">
        <f t="shared" si="255"/>
        <v>0</v>
      </c>
      <c r="EO490" s="469">
        <f t="shared" si="256"/>
        <v>0</v>
      </c>
      <c r="EP490" s="471"/>
      <c r="EQ490" s="450"/>
      <c r="ER490" s="471"/>
      <c r="ES490" s="450"/>
      <c r="ET490" s="471"/>
      <c r="EU490" s="450"/>
      <c r="EV490" s="471"/>
      <c r="EW490" s="450"/>
      <c r="EX490" s="471"/>
      <c r="EY490" s="450"/>
      <c r="EZ490" s="471"/>
      <c r="FA490" s="450"/>
      <c r="FB490" s="471"/>
      <c r="FC490" s="450"/>
      <c r="FD490" s="471"/>
      <c r="FE490" s="450"/>
      <c r="FF490" s="471"/>
      <c r="FG490" s="450"/>
      <c r="FH490" s="472"/>
      <c r="FI490" s="450"/>
      <c r="FJ490" s="468">
        <f t="shared" si="257"/>
        <v>0</v>
      </c>
      <c r="FK490" s="469">
        <f t="shared" si="258"/>
        <v>0</v>
      </c>
      <c r="FL490" s="472"/>
      <c r="FM490" s="450"/>
      <c r="FN490" s="460">
        <f t="shared" si="259"/>
        <v>932</v>
      </c>
      <c r="FO490" s="469">
        <f t="shared" si="260"/>
        <v>1101</v>
      </c>
    </row>
    <row r="491" spans="1:171" x14ac:dyDescent="0.2">
      <c r="A491" s="729" t="s">
        <v>802</v>
      </c>
      <c r="B491" s="617" t="s">
        <v>815</v>
      </c>
      <c r="C491" s="618"/>
      <c r="D491" s="619">
        <v>221485</v>
      </c>
      <c r="E491" s="656">
        <v>8</v>
      </c>
      <c r="F491" s="532"/>
      <c r="G491" s="450"/>
      <c r="H491" s="457"/>
      <c r="I491" s="450"/>
      <c r="J491" s="457">
        <v>841</v>
      </c>
      <c r="K491" s="621">
        <v>808</v>
      </c>
      <c r="L491" s="458">
        <f t="shared" si="237"/>
        <v>0</v>
      </c>
      <c r="M491" s="449">
        <f t="shared" si="238"/>
        <v>0</v>
      </c>
      <c r="N491" s="459"/>
      <c r="O491" s="459"/>
      <c r="P491" s="459"/>
      <c r="Q491" s="459"/>
      <c r="R491" s="460">
        <f t="shared" si="239"/>
        <v>0</v>
      </c>
      <c r="S491" s="461"/>
      <c r="T491" s="461"/>
      <c r="U491" s="461"/>
      <c r="V491" s="461"/>
      <c r="W491" s="462">
        <f t="shared" si="240"/>
        <v>0</v>
      </c>
      <c r="X491" s="463"/>
      <c r="Y491" s="457"/>
      <c r="Z491" s="464"/>
      <c r="AA491" s="464"/>
      <c r="AB491" s="465"/>
      <c r="AC491" s="457"/>
      <c r="AD491" s="464"/>
      <c r="AE491" s="466"/>
      <c r="AF491" s="465"/>
      <c r="AG491" s="457"/>
      <c r="AH491" s="464"/>
      <c r="AI491" s="466"/>
      <c r="AJ491" s="465"/>
      <c r="AK491" s="457"/>
      <c r="AL491" s="464"/>
      <c r="AM491" s="466"/>
      <c r="AN491" s="465"/>
      <c r="AO491" s="457"/>
      <c r="AP491" s="464"/>
      <c r="AQ491" s="464"/>
      <c r="AR491" s="460">
        <f t="shared" si="241"/>
        <v>0</v>
      </c>
      <c r="AS491" s="467">
        <f t="shared" si="242"/>
        <v>0</v>
      </c>
      <c r="AT491" s="447">
        <f t="shared" si="243"/>
        <v>0</v>
      </c>
      <c r="AU491" s="448">
        <f t="shared" si="244"/>
        <v>0</v>
      </c>
      <c r="AV491" s="457"/>
      <c r="AW491" s="450"/>
      <c r="AX491" s="463"/>
      <c r="AY491" s="457"/>
      <c r="AZ491" s="464"/>
      <c r="BA491" s="464"/>
      <c r="BB491" s="465"/>
      <c r="BC491" s="457"/>
      <c r="BD491" s="464"/>
      <c r="BE491" s="466"/>
      <c r="BF491" s="465"/>
      <c r="BG491" s="457"/>
      <c r="BH491" s="464"/>
      <c r="BI491" s="466"/>
      <c r="BJ491" s="465"/>
      <c r="BK491" s="457"/>
      <c r="BL491" s="464"/>
      <c r="BM491" s="466"/>
      <c r="BN491" s="465"/>
      <c r="BO491" s="457"/>
      <c r="BP491" s="464"/>
      <c r="BQ491" s="466"/>
      <c r="BR491" s="465"/>
      <c r="BS491" s="457"/>
      <c r="BT491" s="464"/>
      <c r="BU491" s="466"/>
      <c r="BV491" s="465"/>
      <c r="BW491" s="457"/>
      <c r="BX491" s="464"/>
      <c r="BY491" s="466"/>
      <c r="BZ491" s="465"/>
      <c r="CA491" s="457"/>
      <c r="CB491" s="464"/>
      <c r="CC491" s="466"/>
      <c r="CD491" s="465"/>
      <c r="CE491" s="457"/>
      <c r="CF491" s="464"/>
      <c r="CG491" s="466"/>
      <c r="CH491" s="465"/>
      <c r="CI491" s="457"/>
      <c r="CJ491" s="464"/>
      <c r="CK491" s="466"/>
      <c r="CL491" s="459"/>
      <c r="CM491" s="450"/>
      <c r="CN491" s="468">
        <f t="shared" si="245"/>
        <v>0</v>
      </c>
      <c r="CO491" s="468">
        <f t="shared" si="246"/>
        <v>0</v>
      </c>
      <c r="CP491" s="469">
        <f t="shared" si="247"/>
        <v>0</v>
      </c>
      <c r="CQ491" s="469">
        <f t="shared" si="248"/>
        <v>0</v>
      </c>
      <c r="CR491" s="463"/>
      <c r="CS491" s="457"/>
      <c r="CT491" s="464"/>
      <c r="CU491" s="464"/>
      <c r="CV491" s="465"/>
      <c r="CW491" s="457"/>
      <c r="CX491" s="464"/>
      <c r="CY491" s="466"/>
      <c r="CZ491" s="465"/>
      <c r="DA491" s="457"/>
      <c r="DB491" s="464"/>
      <c r="DC491" s="466"/>
      <c r="DD491" s="465"/>
      <c r="DE491" s="457"/>
      <c r="DF491" s="464"/>
      <c r="DG491" s="466"/>
      <c r="DH491" s="465"/>
      <c r="DI491" s="457"/>
      <c r="DJ491" s="464"/>
      <c r="DK491" s="466"/>
      <c r="DL491" s="465"/>
      <c r="DM491" s="457"/>
      <c r="DN491" s="464"/>
      <c r="DO491" s="466"/>
      <c r="DP491" s="465"/>
      <c r="DQ491" s="457"/>
      <c r="DR491" s="464"/>
      <c r="DS491" s="466"/>
      <c r="DT491" s="465"/>
      <c r="DU491" s="457"/>
      <c r="DV491" s="464"/>
      <c r="DW491" s="466"/>
      <c r="DX491" s="465"/>
      <c r="DY491" s="457"/>
      <c r="DZ491" s="464"/>
      <c r="EA491" s="466"/>
      <c r="EB491" s="465"/>
      <c r="EC491" s="457"/>
      <c r="ED491" s="464"/>
      <c r="EE491" s="466"/>
      <c r="EF491" s="459"/>
      <c r="EG491" s="450"/>
      <c r="EH491" s="460">
        <f t="shared" si="249"/>
        <v>0</v>
      </c>
      <c r="EI491" s="460">
        <f t="shared" si="250"/>
        <v>0</v>
      </c>
      <c r="EJ491" s="458">
        <f t="shared" si="251"/>
        <v>0</v>
      </c>
      <c r="EK491" s="470">
        <f t="shared" si="252"/>
        <v>0</v>
      </c>
      <c r="EL491" s="470">
        <f t="shared" si="253"/>
        <v>0</v>
      </c>
      <c r="EM491" s="449">
        <f t="shared" si="254"/>
        <v>0</v>
      </c>
      <c r="EN491" s="460">
        <f t="shared" si="255"/>
        <v>0</v>
      </c>
      <c r="EO491" s="469">
        <f t="shared" si="256"/>
        <v>0</v>
      </c>
      <c r="EP491" s="471"/>
      <c r="EQ491" s="450"/>
      <c r="ER491" s="471"/>
      <c r="ES491" s="450"/>
      <c r="ET491" s="471"/>
      <c r="EU491" s="450"/>
      <c r="EV491" s="471"/>
      <c r="EW491" s="450"/>
      <c r="EX491" s="471"/>
      <c r="EY491" s="450"/>
      <c r="EZ491" s="471"/>
      <c r="FA491" s="450"/>
      <c r="FB491" s="471"/>
      <c r="FC491" s="450"/>
      <c r="FD491" s="471"/>
      <c r="FE491" s="450"/>
      <c r="FF491" s="471"/>
      <c r="FG491" s="450"/>
      <c r="FH491" s="472"/>
      <c r="FI491" s="450"/>
      <c r="FJ491" s="468">
        <f t="shared" si="257"/>
        <v>0</v>
      </c>
      <c r="FK491" s="469">
        <f t="shared" si="258"/>
        <v>0</v>
      </c>
      <c r="FL491" s="472"/>
      <c r="FM491" s="450"/>
      <c r="FN491" s="460">
        <f t="shared" si="259"/>
        <v>841</v>
      </c>
      <c r="FO491" s="469">
        <f t="shared" si="260"/>
        <v>808</v>
      </c>
    </row>
    <row r="492" spans="1:171" x14ac:dyDescent="0.2">
      <c r="A492" s="729" t="s">
        <v>802</v>
      </c>
      <c r="B492" s="604" t="s">
        <v>816</v>
      </c>
      <c r="C492" s="613"/>
      <c r="D492" s="619">
        <v>222053</v>
      </c>
      <c r="E492" s="614">
        <v>8</v>
      </c>
      <c r="F492" s="532"/>
      <c r="G492" s="450"/>
      <c r="H492" s="457"/>
      <c r="I492" s="450"/>
      <c r="J492" s="457">
        <v>723</v>
      </c>
      <c r="K492" s="621">
        <v>763</v>
      </c>
      <c r="L492" s="458">
        <f t="shared" si="237"/>
        <v>0</v>
      </c>
      <c r="M492" s="449">
        <f t="shared" si="238"/>
        <v>0</v>
      </c>
      <c r="N492" s="459"/>
      <c r="O492" s="459"/>
      <c r="P492" s="459"/>
      <c r="Q492" s="459"/>
      <c r="R492" s="460">
        <f t="shared" si="239"/>
        <v>0</v>
      </c>
      <c r="S492" s="461"/>
      <c r="T492" s="461"/>
      <c r="U492" s="461"/>
      <c r="V492" s="461"/>
      <c r="W492" s="462">
        <f t="shared" si="240"/>
        <v>0</v>
      </c>
      <c r="X492" s="463"/>
      <c r="Y492" s="457"/>
      <c r="Z492" s="464"/>
      <c r="AA492" s="464"/>
      <c r="AB492" s="465"/>
      <c r="AC492" s="457"/>
      <c r="AD492" s="464"/>
      <c r="AE492" s="466"/>
      <c r="AF492" s="465"/>
      <c r="AG492" s="457"/>
      <c r="AH492" s="464"/>
      <c r="AI492" s="466"/>
      <c r="AJ492" s="465"/>
      <c r="AK492" s="457"/>
      <c r="AL492" s="464"/>
      <c r="AM492" s="466"/>
      <c r="AN492" s="465"/>
      <c r="AO492" s="457"/>
      <c r="AP492" s="464"/>
      <c r="AQ492" s="464"/>
      <c r="AR492" s="460">
        <f t="shared" si="241"/>
        <v>0</v>
      </c>
      <c r="AS492" s="467">
        <f t="shared" si="242"/>
        <v>0</v>
      </c>
      <c r="AT492" s="447">
        <f t="shared" si="243"/>
        <v>0</v>
      </c>
      <c r="AU492" s="448">
        <f t="shared" si="244"/>
        <v>0</v>
      </c>
      <c r="AV492" s="457"/>
      <c r="AW492" s="450"/>
      <c r="AX492" s="463"/>
      <c r="AY492" s="457"/>
      <c r="AZ492" s="464"/>
      <c r="BA492" s="464"/>
      <c r="BB492" s="465"/>
      <c r="BC492" s="457"/>
      <c r="BD492" s="464"/>
      <c r="BE492" s="466"/>
      <c r="BF492" s="465"/>
      <c r="BG492" s="457"/>
      <c r="BH492" s="464"/>
      <c r="BI492" s="466"/>
      <c r="BJ492" s="465"/>
      <c r="BK492" s="457"/>
      <c r="BL492" s="464"/>
      <c r="BM492" s="466"/>
      <c r="BN492" s="465"/>
      <c r="BO492" s="457"/>
      <c r="BP492" s="464"/>
      <c r="BQ492" s="466"/>
      <c r="BR492" s="465"/>
      <c r="BS492" s="457"/>
      <c r="BT492" s="464"/>
      <c r="BU492" s="466"/>
      <c r="BV492" s="465"/>
      <c r="BW492" s="457"/>
      <c r="BX492" s="464"/>
      <c r="BY492" s="466"/>
      <c r="BZ492" s="465"/>
      <c r="CA492" s="457"/>
      <c r="CB492" s="464"/>
      <c r="CC492" s="466"/>
      <c r="CD492" s="465"/>
      <c r="CE492" s="457"/>
      <c r="CF492" s="464"/>
      <c r="CG492" s="466"/>
      <c r="CH492" s="465"/>
      <c r="CI492" s="457"/>
      <c r="CJ492" s="464"/>
      <c r="CK492" s="466"/>
      <c r="CL492" s="459"/>
      <c r="CM492" s="450"/>
      <c r="CN492" s="468">
        <f t="shared" si="245"/>
        <v>0</v>
      </c>
      <c r="CO492" s="468">
        <f t="shared" si="246"/>
        <v>0</v>
      </c>
      <c r="CP492" s="469">
        <f t="shared" si="247"/>
        <v>0</v>
      </c>
      <c r="CQ492" s="469">
        <f t="shared" si="248"/>
        <v>0</v>
      </c>
      <c r="CR492" s="463"/>
      <c r="CS492" s="457"/>
      <c r="CT492" s="464"/>
      <c r="CU492" s="464"/>
      <c r="CV492" s="465"/>
      <c r="CW492" s="457"/>
      <c r="CX492" s="464"/>
      <c r="CY492" s="466"/>
      <c r="CZ492" s="465"/>
      <c r="DA492" s="457"/>
      <c r="DB492" s="464"/>
      <c r="DC492" s="466"/>
      <c r="DD492" s="465"/>
      <c r="DE492" s="457"/>
      <c r="DF492" s="464"/>
      <c r="DG492" s="466"/>
      <c r="DH492" s="465"/>
      <c r="DI492" s="457"/>
      <c r="DJ492" s="464"/>
      <c r="DK492" s="466"/>
      <c r="DL492" s="465"/>
      <c r="DM492" s="457"/>
      <c r="DN492" s="464"/>
      <c r="DO492" s="466"/>
      <c r="DP492" s="465"/>
      <c r="DQ492" s="457"/>
      <c r="DR492" s="464"/>
      <c r="DS492" s="466"/>
      <c r="DT492" s="465"/>
      <c r="DU492" s="457"/>
      <c r="DV492" s="464"/>
      <c r="DW492" s="466"/>
      <c r="DX492" s="465"/>
      <c r="DY492" s="457"/>
      <c r="DZ492" s="464"/>
      <c r="EA492" s="466"/>
      <c r="EB492" s="465"/>
      <c r="EC492" s="457"/>
      <c r="ED492" s="464"/>
      <c r="EE492" s="466"/>
      <c r="EF492" s="459"/>
      <c r="EG492" s="450"/>
      <c r="EH492" s="460">
        <f t="shared" si="249"/>
        <v>0</v>
      </c>
      <c r="EI492" s="460">
        <f t="shared" si="250"/>
        <v>0</v>
      </c>
      <c r="EJ492" s="458">
        <f t="shared" si="251"/>
        <v>0</v>
      </c>
      <c r="EK492" s="470">
        <f t="shared" si="252"/>
        <v>0</v>
      </c>
      <c r="EL492" s="470">
        <f t="shared" si="253"/>
        <v>0</v>
      </c>
      <c r="EM492" s="449">
        <f t="shared" si="254"/>
        <v>0</v>
      </c>
      <c r="EN492" s="460">
        <f t="shared" si="255"/>
        <v>0</v>
      </c>
      <c r="EO492" s="469">
        <f t="shared" si="256"/>
        <v>0</v>
      </c>
      <c r="EP492" s="471"/>
      <c r="EQ492" s="450"/>
      <c r="ER492" s="471"/>
      <c r="ES492" s="450"/>
      <c r="ET492" s="471"/>
      <c r="EU492" s="450"/>
      <c r="EV492" s="471"/>
      <c r="EW492" s="450"/>
      <c r="EX492" s="471"/>
      <c r="EY492" s="450"/>
      <c r="EZ492" s="471"/>
      <c r="FA492" s="450"/>
      <c r="FB492" s="471"/>
      <c r="FC492" s="450"/>
      <c r="FD492" s="471"/>
      <c r="FE492" s="450"/>
      <c r="FF492" s="471"/>
      <c r="FG492" s="450"/>
      <c r="FH492" s="472"/>
      <c r="FI492" s="450"/>
      <c r="FJ492" s="468">
        <f t="shared" si="257"/>
        <v>0</v>
      </c>
      <c r="FK492" s="469">
        <f t="shared" si="258"/>
        <v>0</v>
      </c>
      <c r="FL492" s="472"/>
      <c r="FM492" s="450"/>
      <c r="FN492" s="460">
        <f t="shared" si="259"/>
        <v>723</v>
      </c>
      <c r="FO492" s="469">
        <f t="shared" si="260"/>
        <v>763</v>
      </c>
    </row>
    <row r="493" spans="1:171" x14ac:dyDescent="0.2">
      <c r="A493" s="729" t="s">
        <v>802</v>
      </c>
      <c r="B493" s="617" t="s">
        <v>817</v>
      </c>
      <c r="C493" s="618"/>
      <c r="D493" s="619">
        <v>219879</v>
      </c>
      <c r="E493" s="656">
        <v>9</v>
      </c>
      <c r="F493" s="532"/>
      <c r="G493" s="450"/>
      <c r="H493" s="457"/>
      <c r="I493" s="450"/>
      <c r="J493" s="457">
        <v>354</v>
      </c>
      <c r="K493" s="621">
        <v>370</v>
      </c>
      <c r="L493" s="458">
        <f t="shared" si="237"/>
        <v>0</v>
      </c>
      <c r="M493" s="449">
        <f t="shared" si="238"/>
        <v>0</v>
      </c>
      <c r="N493" s="459"/>
      <c r="O493" s="459"/>
      <c r="P493" s="459"/>
      <c r="Q493" s="459"/>
      <c r="R493" s="460">
        <f t="shared" si="239"/>
        <v>0</v>
      </c>
      <c r="S493" s="461"/>
      <c r="T493" s="461"/>
      <c r="U493" s="461"/>
      <c r="V493" s="461"/>
      <c r="W493" s="462">
        <f t="shared" si="240"/>
        <v>0</v>
      </c>
      <c r="X493" s="463"/>
      <c r="Y493" s="457"/>
      <c r="Z493" s="464"/>
      <c r="AA493" s="464"/>
      <c r="AB493" s="465"/>
      <c r="AC493" s="457"/>
      <c r="AD493" s="464"/>
      <c r="AE493" s="466"/>
      <c r="AF493" s="465"/>
      <c r="AG493" s="457"/>
      <c r="AH493" s="464"/>
      <c r="AI493" s="466"/>
      <c r="AJ493" s="465"/>
      <c r="AK493" s="457"/>
      <c r="AL493" s="464"/>
      <c r="AM493" s="466"/>
      <c r="AN493" s="465"/>
      <c r="AO493" s="457"/>
      <c r="AP493" s="464"/>
      <c r="AQ493" s="464"/>
      <c r="AR493" s="460">
        <f t="shared" si="241"/>
        <v>0</v>
      </c>
      <c r="AS493" s="467">
        <f t="shared" si="242"/>
        <v>0</v>
      </c>
      <c r="AT493" s="447">
        <f t="shared" si="243"/>
        <v>0</v>
      </c>
      <c r="AU493" s="448">
        <f t="shared" si="244"/>
        <v>0</v>
      </c>
      <c r="AV493" s="457"/>
      <c r="AW493" s="450"/>
      <c r="AX493" s="463"/>
      <c r="AY493" s="457"/>
      <c r="AZ493" s="464"/>
      <c r="BA493" s="464"/>
      <c r="BB493" s="465"/>
      <c r="BC493" s="457"/>
      <c r="BD493" s="464"/>
      <c r="BE493" s="466"/>
      <c r="BF493" s="465"/>
      <c r="BG493" s="457"/>
      <c r="BH493" s="464"/>
      <c r="BI493" s="466"/>
      <c r="BJ493" s="465"/>
      <c r="BK493" s="457"/>
      <c r="BL493" s="464"/>
      <c r="BM493" s="466"/>
      <c r="BN493" s="465"/>
      <c r="BO493" s="457"/>
      <c r="BP493" s="464"/>
      <c r="BQ493" s="466"/>
      <c r="BR493" s="465"/>
      <c r="BS493" s="457"/>
      <c r="BT493" s="464"/>
      <c r="BU493" s="466"/>
      <c r="BV493" s="465"/>
      <c r="BW493" s="457"/>
      <c r="BX493" s="464"/>
      <c r="BY493" s="466"/>
      <c r="BZ493" s="465"/>
      <c r="CA493" s="457"/>
      <c r="CB493" s="464"/>
      <c r="CC493" s="466"/>
      <c r="CD493" s="465"/>
      <c r="CE493" s="457"/>
      <c r="CF493" s="464"/>
      <c r="CG493" s="466"/>
      <c r="CH493" s="465"/>
      <c r="CI493" s="457"/>
      <c r="CJ493" s="464"/>
      <c r="CK493" s="466"/>
      <c r="CL493" s="459"/>
      <c r="CM493" s="450"/>
      <c r="CN493" s="468">
        <f t="shared" si="245"/>
        <v>0</v>
      </c>
      <c r="CO493" s="468">
        <f t="shared" si="246"/>
        <v>0</v>
      </c>
      <c r="CP493" s="469">
        <f t="shared" si="247"/>
        <v>0</v>
      </c>
      <c r="CQ493" s="469">
        <f t="shared" si="248"/>
        <v>0</v>
      </c>
      <c r="CR493" s="463"/>
      <c r="CS493" s="457"/>
      <c r="CT493" s="464"/>
      <c r="CU493" s="464"/>
      <c r="CV493" s="465"/>
      <c r="CW493" s="457"/>
      <c r="CX493" s="464"/>
      <c r="CY493" s="466"/>
      <c r="CZ493" s="465"/>
      <c r="DA493" s="457"/>
      <c r="DB493" s="464"/>
      <c r="DC493" s="466"/>
      <c r="DD493" s="465"/>
      <c r="DE493" s="457"/>
      <c r="DF493" s="464"/>
      <c r="DG493" s="466"/>
      <c r="DH493" s="465"/>
      <c r="DI493" s="457"/>
      <c r="DJ493" s="464"/>
      <c r="DK493" s="466"/>
      <c r="DL493" s="465"/>
      <c r="DM493" s="457"/>
      <c r="DN493" s="464"/>
      <c r="DO493" s="466"/>
      <c r="DP493" s="465"/>
      <c r="DQ493" s="457"/>
      <c r="DR493" s="464"/>
      <c r="DS493" s="466"/>
      <c r="DT493" s="465"/>
      <c r="DU493" s="457"/>
      <c r="DV493" s="464"/>
      <c r="DW493" s="466"/>
      <c r="DX493" s="465"/>
      <c r="DY493" s="457"/>
      <c r="DZ493" s="464"/>
      <c r="EA493" s="466"/>
      <c r="EB493" s="465"/>
      <c r="EC493" s="457"/>
      <c r="ED493" s="464"/>
      <c r="EE493" s="466"/>
      <c r="EF493" s="459"/>
      <c r="EG493" s="450"/>
      <c r="EH493" s="460">
        <f t="shared" si="249"/>
        <v>0</v>
      </c>
      <c r="EI493" s="460">
        <f t="shared" si="250"/>
        <v>0</v>
      </c>
      <c r="EJ493" s="458">
        <f t="shared" si="251"/>
        <v>0</v>
      </c>
      <c r="EK493" s="470">
        <f t="shared" si="252"/>
        <v>0</v>
      </c>
      <c r="EL493" s="470">
        <f t="shared" si="253"/>
        <v>0</v>
      </c>
      <c r="EM493" s="449">
        <f t="shared" si="254"/>
        <v>0</v>
      </c>
      <c r="EN493" s="460">
        <f t="shared" si="255"/>
        <v>0</v>
      </c>
      <c r="EO493" s="469">
        <f t="shared" si="256"/>
        <v>0</v>
      </c>
      <c r="EP493" s="471"/>
      <c r="EQ493" s="450"/>
      <c r="ER493" s="471"/>
      <c r="ES493" s="450"/>
      <c r="ET493" s="471"/>
      <c r="EU493" s="450"/>
      <c r="EV493" s="471"/>
      <c r="EW493" s="450"/>
      <c r="EX493" s="471"/>
      <c r="EY493" s="450"/>
      <c r="EZ493" s="471"/>
      <c r="FA493" s="450"/>
      <c r="FB493" s="471"/>
      <c r="FC493" s="450"/>
      <c r="FD493" s="471"/>
      <c r="FE493" s="450"/>
      <c r="FF493" s="471"/>
      <c r="FG493" s="450"/>
      <c r="FH493" s="472"/>
      <c r="FI493" s="450"/>
      <c r="FJ493" s="468">
        <f t="shared" si="257"/>
        <v>0</v>
      </c>
      <c r="FK493" s="469">
        <f t="shared" si="258"/>
        <v>0</v>
      </c>
      <c r="FL493" s="472"/>
      <c r="FM493" s="450"/>
      <c r="FN493" s="460">
        <f t="shared" si="259"/>
        <v>354</v>
      </c>
      <c r="FO493" s="469">
        <f t="shared" si="260"/>
        <v>370</v>
      </c>
    </row>
    <row r="494" spans="1:171" x14ac:dyDescent="0.2">
      <c r="A494" s="729" t="s">
        <v>802</v>
      </c>
      <c r="B494" s="617" t="s">
        <v>818</v>
      </c>
      <c r="C494" s="618"/>
      <c r="D494" s="619">
        <v>219888</v>
      </c>
      <c r="E494" s="656">
        <v>9</v>
      </c>
      <c r="F494" s="532"/>
      <c r="G494" s="450"/>
      <c r="H494" s="457"/>
      <c r="I494" s="450"/>
      <c r="J494" s="457">
        <v>540</v>
      </c>
      <c r="K494" s="621">
        <v>611</v>
      </c>
      <c r="L494" s="458">
        <f t="shared" si="237"/>
        <v>0</v>
      </c>
      <c r="M494" s="449">
        <f t="shared" si="238"/>
        <v>0</v>
      </c>
      <c r="N494" s="459"/>
      <c r="O494" s="459"/>
      <c r="P494" s="459"/>
      <c r="Q494" s="459"/>
      <c r="R494" s="460">
        <f t="shared" si="239"/>
        <v>0</v>
      </c>
      <c r="S494" s="461"/>
      <c r="T494" s="461"/>
      <c r="U494" s="461"/>
      <c r="V494" s="461"/>
      <c r="W494" s="462">
        <f t="shared" si="240"/>
        <v>0</v>
      </c>
      <c r="X494" s="463"/>
      <c r="Y494" s="457"/>
      <c r="Z494" s="464"/>
      <c r="AA494" s="464"/>
      <c r="AB494" s="465"/>
      <c r="AC494" s="457"/>
      <c r="AD494" s="464"/>
      <c r="AE494" s="466"/>
      <c r="AF494" s="465"/>
      <c r="AG494" s="457"/>
      <c r="AH494" s="464"/>
      <c r="AI494" s="466"/>
      <c r="AJ494" s="465"/>
      <c r="AK494" s="457"/>
      <c r="AL494" s="464"/>
      <c r="AM494" s="466"/>
      <c r="AN494" s="465"/>
      <c r="AO494" s="457"/>
      <c r="AP494" s="464"/>
      <c r="AQ494" s="464"/>
      <c r="AR494" s="460">
        <f t="shared" si="241"/>
        <v>0</v>
      </c>
      <c r="AS494" s="467">
        <f t="shared" si="242"/>
        <v>0</v>
      </c>
      <c r="AT494" s="447">
        <f t="shared" si="243"/>
        <v>0</v>
      </c>
      <c r="AU494" s="448">
        <f t="shared" si="244"/>
        <v>0</v>
      </c>
      <c r="AV494" s="457"/>
      <c r="AW494" s="450"/>
      <c r="AX494" s="463"/>
      <c r="AY494" s="457"/>
      <c r="AZ494" s="464"/>
      <c r="BA494" s="464"/>
      <c r="BB494" s="465"/>
      <c r="BC494" s="457"/>
      <c r="BD494" s="464"/>
      <c r="BE494" s="466"/>
      <c r="BF494" s="465"/>
      <c r="BG494" s="457"/>
      <c r="BH494" s="464"/>
      <c r="BI494" s="466"/>
      <c r="BJ494" s="465"/>
      <c r="BK494" s="457"/>
      <c r="BL494" s="464"/>
      <c r="BM494" s="466"/>
      <c r="BN494" s="465"/>
      <c r="BO494" s="457"/>
      <c r="BP494" s="464"/>
      <c r="BQ494" s="466"/>
      <c r="BR494" s="465"/>
      <c r="BS494" s="457"/>
      <c r="BT494" s="464"/>
      <c r="BU494" s="466"/>
      <c r="BV494" s="465"/>
      <c r="BW494" s="457"/>
      <c r="BX494" s="464"/>
      <c r="BY494" s="466"/>
      <c r="BZ494" s="465"/>
      <c r="CA494" s="457"/>
      <c r="CB494" s="464"/>
      <c r="CC494" s="466"/>
      <c r="CD494" s="465"/>
      <c r="CE494" s="457"/>
      <c r="CF494" s="464"/>
      <c r="CG494" s="466"/>
      <c r="CH494" s="465"/>
      <c r="CI494" s="457"/>
      <c r="CJ494" s="464"/>
      <c r="CK494" s="466"/>
      <c r="CL494" s="459"/>
      <c r="CM494" s="450"/>
      <c r="CN494" s="468">
        <f t="shared" si="245"/>
        <v>0</v>
      </c>
      <c r="CO494" s="468">
        <f t="shared" si="246"/>
        <v>0</v>
      </c>
      <c r="CP494" s="469">
        <f t="shared" si="247"/>
        <v>0</v>
      </c>
      <c r="CQ494" s="469">
        <f t="shared" si="248"/>
        <v>0</v>
      </c>
      <c r="CR494" s="463"/>
      <c r="CS494" s="457"/>
      <c r="CT494" s="464"/>
      <c r="CU494" s="464"/>
      <c r="CV494" s="465"/>
      <c r="CW494" s="457"/>
      <c r="CX494" s="464"/>
      <c r="CY494" s="466"/>
      <c r="CZ494" s="465"/>
      <c r="DA494" s="457"/>
      <c r="DB494" s="464"/>
      <c r="DC494" s="466"/>
      <c r="DD494" s="465"/>
      <c r="DE494" s="457"/>
      <c r="DF494" s="464"/>
      <c r="DG494" s="466"/>
      <c r="DH494" s="465"/>
      <c r="DI494" s="457"/>
      <c r="DJ494" s="464"/>
      <c r="DK494" s="466"/>
      <c r="DL494" s="465"/>
      <c r="DM494" s="457"/>
      <c r="DN494" s="464"/>
      <c r="DO494" s="466"/>
      <c r="DP494" s="465"/>
      <c r="DQ494" s="457"/>
      <c r="DR494" s="464"/>
      <c r="DS494" s="466"/>
      <c r="DT494" s="465"/>
      <c r="DU494" s="457"/>
      <c r="DV494" s="464"/>
      <c r="DW494" s="466"/>
      <c r="DX494" s="465"/>
      <c r="DY494" s="457"/>
      <c r="DZ494" s="464"/>
      <c r="EA494" s="466"/>
      <c r="EB494" s="465"/>
      <c r="EC494" s="457"/>
      <c r="ED494" s="464"/>
      <c r="EE494" s="466"/>
      <c r="EF494" s="459"/>
      <c r="EG494" s="450"/>
      <c r="EH494" s="460">
        <f t="shared" si="249"/>
        <v>0</v>
      </c>
      <c r="EI494" s="460">
        <f t="shared" si="250"/>
        <v>0</v>
      </c>
      <c r="EJ494" s="458">
        <f t="shared" si="251"/>
        <v>0</v>
      </c>
      <c r="EK494" s="470">
        <f t="shared" si="252"/>
        <v>0</v>
      </c>
      <c r="EL494" s="470">
        <f t="shared" si="253"/>
        <v>0</v>
      </c>
      <c r="EM494" s="449">
        <f t="shared" si="254"/>
        <v>0</v>
      </c>
      <c r="EN494" s="460">
        <f t="shared" si="255"/>
        <v>0</v>
      </c>
      <c r="EO494" s="469">
        <f t="shared" si="256"/>
        <v>0</v>
      </c>
      <c r="EP494" s="471"/>
      <c r="EQ494" s="450"/>
      <c r="ER494" s="471"/>
      <c r="ES494" s="450"/>
      <c r="ET494" s="471"/>
      <c r="EU494" s="450"/>
      <c r="EV494" s="471"/>
      <c r="EW494" s="450"/>
      <c r="EX494" s="471"/>
      <c r="EY494" s="450"/>
      <c r="EZ494" s="471"/>
      <c r="FA494" s="450"/>
      <c r="FB494" s="471"/>
      <c r="FC494" s="450"/>
      <c r="FD494" s="471"/>
      <c r="FE494" s="450"/>
      <c r="FF494" s="471"/>
      <c r="FG494" s="450"/>
      <c r="FH494" s="472"/>
      <c r="FI494" s="450"/>
      <c r="FJ494" s="468">
        <f t="shared" si="257"/>
        <v>0</v>
      </c>
      <c r="FK494" s="469">
        <f t="shared" si="258"/>
        <v>0</v>
      </c>
      <c r="FL494" s="472"/>
      <c r="FM494" s="450"/>
      <c r="FN494" s="460">
        <f t="shared" si="259"/>
        <v>540</v>
      </c>
      <c r="FO494" s="469">
        <f t="shared" si="260"/>
        <v>611</v>
      </c>
    </row>
    <row r="495" spans="1:171" x14ac:dyDescent="0.2">
      <c r="A495" s="729" t="s">
        <v>802</v>
      </c>
      <c r="B495" s="604" t="s">
        <v>819</v>
      </c>
      <c r="C495" s="613"/>
      <c r="D495" s="619">
        <v>220057</v>
      </c>
      <c r="E495" s="614">
        <v>9</v>
      </c>
      <c r="F495" s="532"/>
      <c r="G495" s="450"/>
      <c r="H495" s="457"/>
      <c r="I495" s="450"/>
      <c r="J495" s="457">
        <v>260</v>
      </c>
      <c r="K495" s="621">
        <v>280</v>
      </c>
      <c r="L495" s="458">
        <f t="shared" si="237"/>
        <v>0</v>
      </c>
      <c r="M495" s="449">
        <f t="shared" si="238"/>
        <v>0</v>
      </c>
      <c r="N495" s="459"/>
      <c r="O495" s="459"/>
      <c r="P495" s="459"/>
      <c r="Q495" s="459"/>
      <c r="R495" s="460">
        <f t="shared" si="239"/>
        <v>0</v>
      </c>
      <c r="S495" s="461"/>
      <c r="T495" s="461"/>
      <c r="U495" s="461"/>
      <c r="V495" s="461"/>
      <c r="W495" s="462">
        <f t="shared" si="240"/>
        <v>0</v>
      </c>
      <c r="X495" s="463"/>
      <c r="Y495" s="457"/>
      <c r="Z495" s="464"/>
      <c r="AA495" s="464"/>
      <c r="AB495" s="465"/>
      <c r="AC495" s="457"/>
      <c r="AD495" s="464"/>
      <c r="AE495" s="466"/>
      <c r="AF495" s="465"/>
      <c r="AG495" s="457"/>
      <c r="AH495" s="464"/>
      <c r="AI495" s="466"/>
      <c r="AJ495" s="465"/>
      <c r="AK495" s="457"/>
      <c r="AL495" s="464"/>
      <c r="AM495" s="466"/>
      <c r="AN495" s="465"/>
      <c r="AO495" s="457"/>
      <c r="AP495" s="464"/>
      <c r="AQ495" s="464"/>
      <c r="AR495" s="460">
        <f t="shared" si="241"/>
        <v>0</v>
      </c>
      <c r="AS495" s="467">
        <f t="shared" si="242"/>
        <v>0</v>
      </c>
      <c r="AT495" s="447">
        <f t="shared" si="243"/>
        <v>0</v>
      </c>
      <c r="AU495" s="448">
        <f t="shared" si="244"/>
        <v>0</v>
      </c>
      <c r="AV495" s="457"/>
      <c r="AW495" s="450"/>
      <c r="AX495" s="463"/>
      <c r="AY495" s="457"/>
      <c r="AZ495" s="464"/>
      <c r="BA495" s="464"/>
      <c r="BB495" s="465"/>
      <c r="BC495" s="457"/>
      <c r="BD495" s="464"/>
      <c r="BE495" s="466"/>
      <c r="BF495" s="465"/>
      <c r="BG495" s="457"/>
      <c r="BH495" s="464"/>
      <c r="BI495" s="466"/>
      <c r="BJ495" s="465"/>
      <c r="BK495" s="457"/>
      <c r="BL495" s="464"/>
      <c r="BM495" s="466"/>
      <c r="BN495" s="465"/>
      <c r="BO495" s="457"/>
      <c r="BP495" s="464"/>
      <c r="BQ495" s="466"/>
      <c r="BR495" s="465"/>
      <c r="BS495" s="457"/>
      <c r="BT495" s="464"/>
      <c r="BU495" s="466"/>
      <c r="BV495" s="465"/>
      <c r="BW495" s="457"/>
      <c r="BX495" s="464"/>
      <c r="BY495" s="466"/>
      <c r="BZ495" s="465"/>
      <c r="CA495" s="457"/>
      <c r="CB495" s="464"/>
      <c r="CC495" s="466"/>
      <c r="CD495" s="465"/>
      <c r="CE495" s="457"/>
      <c r="CF495" s="464"/>
      <c r="CG495" s="466"/>
      <c r="CH495" s="465"/>
      <c r="CI495" s="457"/>
      <c r="CJ495" s="464"/>
      <c r="CK495" s="466"/>
      <c r="CL495" s="459"/>
      <c r="CM495" s="450"/>
      <c r="CN495" s="468">
        <f t="shared" si="245"/>
        <v>0</v>
      </c>
      <c r="CO495" s="468">
        <f t="shared" si="246"/>
        <v>0</v>
      </c>
      <c r="CP495" s="469">
        <f t="shared" si="247"/>
        <v>0</v>
      </c>
      <c r="CQ495" s="469">
        <f t="shared" si="248"/>
        <v>0</v>
      </c>
      <c r="CR495" s="463"/>
      <c r="CS495" s="457"/>
      <c r="CT495" s="464"/>
      <c r="CU495" s="464"/>
      <c r="CV495" s="465"/>
      <c r="CW495" s="457"/>
      <c r="CX495" s="464"/>
      <c r="CY495" s="466"/>
      <c r="CZ495" s="465"/>
      <c r="DA495" s="457"/>
      <c r="DB495" s="464"/>
      <c r="DC495" s="466"/>
      <c r="DD495" s="465"/>
      <c r="DE495" s="457"/>
      <c r="DF495" s="464"/>
      <c r="DG495" s="466"/>
      <c r="DH495" s="465"/>
      <c r="DI495" s="457"/>
      <c r="DJ495" s="464"/>
      <c r="DK495" s="466"/>
      <c r="DL495" s="465"/>
      <c r="DM495" s="457"/>
      <c r="DN495" s="464"/>
      <c r="DO495" s="466"/>
      <c r="DP495" s="465"/>
      <c r="DQ495" s="457"/>
      <c r="DR495" s="464"/>
      <c r="DS495" s="466"/>
      <c r="DT495" s="465"/>
      <c r="DU495" s="457"/>
      <c r="DV495" s="464"/>
      <c r="DW495" s="466"/>
      <c r="DX495" s="465"/>
      <c r="DY495" s="457"/>
      <c r="DZ495" s="464"/>
      <c r="EA495" s="466"/>
      <c r="EB495" s="465"/>
      <c r="EC495" s="457"/>
      <c r="ED495" s="464"/>
      <c r="EE495" s="466"/>
      <c r="EF495" s="459"/>
      <c r="EG495" s="450"/>
      <c r="EH495" s="460">
        <f t="shared" si="249"/>
        <v>0</v>
      </c>
      <c r="EI495" s="460">
        <f t="shared" si="250"/>
        <v>0</v>
      </c>
      <c r="EJ495" s="458">
        <f t="shared" si="251"/>
        <v>0</v>
      </c>
      <c r="EK495" s="470">
        <f t="shared" si="252"/>
        <v>0</v>
      </c>
      <c r="EL495" s="470">
        <f t="shared" si="253"/>
        <v>0</v>
      </c>
      <c r="EM495" s="449">
        <f t="shared" si="254"/>
        <v>0</v>
      </c>
      <c r="EN495" s="460">
        <f t="shared" si="255"/>
        <v>0</v>
      </c>
      <c r="EO495" s="469">
        <f t="shared" si="256"/>
        <v>0</v>
      </c>
      <c r="EP495" s="471"/>
      <c r="EQ495" s="450"/>
      <c r="ER495" s="471"/>
      <c r="ES495" s="450"/>
      <c r="ET495" s="471"/>
      <c r="EU495" s="450"/>
      <c r="EV495" s="471"/>
      <c r="EW495" s="450"/>
      <c r="EX495" s="471"/>
      <c r="EY495" s="450"/>
      <c r="EZ495" s="471"/>
      <c r="FA495" s="450"/>
      <c r="FB495" s="471"/>
      <c r="FC495" s="450"/>
      <c r="FD495" s="471"/>
      <c r="FE495" s="450"/>
      <c r="FF495" s="471"/>
      <c r="FG495" s="450"/>
      <c r="FH495" s="472"/>
      <c r="FI495" s="450"/>
      <c r="FJ495" s="468">
        <f t="shared" si="257"/>
        <v>0</v>
      </c>
      <c r="FK495" s="469">
        <f t="shared" si="258"/>
        <v>0</v>
      </c>
      <c r="FL495" s="472"/>
      <c r="FM495" s="450"/>
      <c r="FN495" s="460">
        <f t="shared" si="259"/>
        <v>260</v>
      </c>
      <c r="FO495" s="469">
        <f t="shared" si="260"/>
        <v>280</v>
      </c>
    </row>
    <row r="496" spans="1:171" x14ac:dyDescent="0.2">
      <c r="A496" s="729" t="s">
        <v>802</v>
      </c>
      <c r="B496" s="617" t="s">
        <v>820</v>
      </c>
      <c r="C496" s="618"/>
      <c r="D496" s="619">
        <v>220400</v>
      </c>
      <c r="E496" s="656">
        <v>9</v>
      </c>
      <c r="F496" s="532"/>
      <c r="G496" s="450"/>
      <c r="H496" s="457"/>
      <c r="I496" s="450"/>
      <c r="J496" s="457">
        <v>576</v>
      </c>
      <c r="K496" s="621">
        <v>554</v>
      </c>
      <c r="L496" s="458">
        <f t="shared" si="237"/>
        <v>0</v>
      </c>
      <c r="M496" s="449">
        <f t="shared" si="238"/>
        <v>0</v>
      </c>
      <c r="N496" s="459"/>
      <c r="O496" s="459"/>
      <c r="P496" s="459"/>
      <c r="Q496" s="459"/>
      <c r="R496" s="460">
        <f t="shared" si="239"/>
        <v>0</v>
      </c>
      <c r="S496" s="461"/>
      <c r="T496" s="461"/>
      <c r="U496" s="461"/>
      <c r="V496" s="461"/>
      <c r="W496" s="462">
        <f t="shared" si="240"/>
        <v>0</v>
      </c>
      <c r="X496" s="463"/>
      <c r="Y496" s="457"/>
      <c r="Z496" s="464"/>
      <c r="AA496" s="464"/>
      <c r="AB496" s="465"/>
      <c r="AC496" s="457"/>
      <c r="AD496" s="464"/>
      <c r="AE496" s="466"/>
      <c r="AF496" s="465"/>
      <c r="AG496" s="457"/>
      <c r="AH496" s="464"/>
      <c r="AI496" s="466"/>
      <c r="AJ496" s="465"/>
      <c r="AK496" s="457"/>
      <c r="AL496" s="464"/>
      <c r="AM496" s="466"/>
      <c r="AN496" s="465"/>
      <c r="AO496" s="457"/>
      <c r="AP496" s="464"/>
      <c r="AQ496" s="464"/>
      <c r="AR496" s="460">
        <f t="shared" si="241"/>
        <v>0</v>
      </c>
      <c r="AS496" s="467">
        <f t="shared" si="242"/>
        <v>0</v>
      </c>
      <c r="AT496" s="447">
        <f t="shared" si="243"/>
        <v>0</v>
      </c>
      <c r="AU496" s="448">
        <f t="shared" si="244"/>
        <v>0</v>
      </c>
      <c r="AV496" s="457"/>
      <c r="AW496" s="450"/>
      <c r="AX496" s="463"/>
      <c r="AY496" s="457"/>
      <c r="AZ496" s="464"/>
      <c r="BA496" s="464"/>
      <c r="BB496" s="465"/>
      <c r="BC496" s="457"/>
      <c r="BD496" s="464"/>
      <c r="BE496" s="466"/>
      <c r="BF496" s="465"/>
      <c r="BG496" s="457"/>
      <c r="BH496" s="464"/>
      <c r="BI496" s="466"/>
      <c r="BJ496" s="465"/>
      <c r="BK496" s="457"/>
      <c r="BL496" s="464"/>
      <c r="BM496" s="466"/>
      <c r="BN496" s="465"/>
      <c r="BO496" s="457"/>
      <c r="BP496" s="464"/>
      <c r="BQ496" s="466"/>
      <c r="BR496" s="465"/>
      <c r="BS496" s="457"/>
      <c r="BT496" s="464"/>
      <c r="BU496" s="466"/>
      <c r="BV496" s="465"/>
      <c r="BW496" s="457"/>
      <c r="BX496" s="464"/>
      <c r="BY496" s="466"/>
      <c r="BZ496" s="465"/>
      <c r="CA496" s="457"/>
      <c r="CB496" s="464"/>
      <c r="CC496" s="466"/>
      <c r="CD496" s="465"/>
      <c r="CE496" s="457"/>
      <c r="CF496" s="464"/>
      <c r="CG496" s="466"/>
      <c r="CH496" s="465"/>
      <c r="CI496" s="457"/>
      <c r="CJ496" s="464"/>
      <c r="CK496" s="466"/>
      <c r="CL496" s="459"/>
      <c r="CM496" s="450"/>
      <c r="CN496" s="468">
        <f t="shared" si="245"/>
        <v>0</v>
      </c>
      <c r="CO496" s="468">
        <f t="shared" si="246"/>
        <v>0</v>
      </c>
      <c r="CP496" s="469">
        <f t="shared" si="247"/>
        <v>0</v>
      </c>
      <c r="CQ496" s="469">
        <f t="shared" si="248"/>
        <v>0</v>
      </c>
      <c r="CR496" s="463"/>
      <c r="CS496" s="457"/>
      <c r="CT496" s="464"/>
      <c r="CU496" s="464"/>
      <c r="CV496" s="465"/>
      <c r="CW496" s="457"/>
      <c r="CX496" s="464"/>
      <c r="CY496" s="466"/>
      <c r="CZ496" s="465"/>
      <c r="DA496" s="457"/>
      <c r="DB496" s="464"/>
      <c r="DC496" s="466"/>
      <c r="DD496" s="465"/>
      <c r="DE496" s="457"/>
      <c r="DF496" s="464"/>
      <c r="DG496" s="466"/>
      <c r="DH496" s="465"/>
      <c r="DI496" s="457"/>
      <c r="DJ496" s="464"/>
      <c r="DK496" s="466"/>
      <c r="DL496" s="465"/>
      <c r="DM496" s="457"/>
      <c r="DN496" s="464"/>
      <c r="DO496" s="466"/>
      <c r="DP496" s="465"/>
      <c r="DQ496" s="457"/>
      <c r="DR496" s="464"/>
      <c r="DS496" s="466"/>
      <c r="DT496" s="465"/>
      <c r="DU496" s="457"/>
      <c r="DV496" s="464"/>
      <c r="DW496" s="466"/>
      <c r="DX496" s="465"/>
      <c r="DY496" s="457"/>
      <c r="DZ496" s="464"/>
      <c r="EA496" s="466"/>
      <c r="EB496" s="465"/>
      <c r="EC496" s="457"/>
      <c r="ED496" s="464"/>
      <c r="EE496" s="466"/>
      <c r="EF496" s="459"/>
      <c r="EG496" s="450"/>
      <c r="EH496" s="460">
        <f t="shared" si="249"/>
        <v>0</v>
      </c>
      <c r="EI496" s="460">
        <f t="shared" si="250"/>
        <v>0</v>
      </c>
      <c r="EJ496" s="458">
        <f t="shared" si="251"/>
        <v>0</v>
      </c>
      <c r="EK496" s="470">
        <f t="shared" si="252"/>
        <v>0</v>
      </c>
      <c r="EL496" s="470">
        <f t="shared" si="253"/>
        <v>0</v>
      </c>
      <c r="EM496" s="449">
        <f t="shared" si="254"/>
        <v>0</v>
      </c>
      <c r="EN496" s="460">
        <f t="shared" si="255"/>
        <v>0</v>
      </c>
      <c r="EO496" s="469">
        <f t="shared" si="256"/>
        <v>0</v>
      </c>
      <c r="EP496" s="471"/>
      <c r="EQ496" s="450"/>
      <c r="ER496" s="471"/>
      <c r="ES496" s="450"/>
      <c r="ET496" s="471"/>
      <c r="EU496" s="450"/>
      <c r="EV496" s="471"/>
      <c r="EW496" s="450"/>
      <c r="EX496" s="471"/>
      <c r="EY496" s="450"/>
      <c r="EZ496" s="471"/>
      <c r="FA496" s="450"/>
      <c r="FB496" s="471"/>
      <c r="FC496" s="450"/>
      <c r="FD496" s="471"/>
      <c r="FE496" s="450"/>
      <c r="FF496" s="471"/>
      <c r="FG496" s="450"/>
      <c r="FH496" s="472"/>
      <c r="FI496" s="450"/>
      <c r="FJ496" s="468">
        <f t="shared" si="257"/>
        <v>0</v>
      </c>
      <c r="FK496" s="469">
        <f t="shared" si="258"/>
        <v>0</v>
      </c>
      <c r="FL496" s="472"/>
      <c r="FM496" s="450"/>
      <c r="FN496" s="460">
        <f t="shared" si="259"/>
        <v>576</v>
      </c>
      <c r="FO496" s="469">
        <f t="shared" si="260"/>
        <v>554</v>
      </c>
    </row>
    <row r="497" spans="1:171" x14ac:dyDescent="0.2">
      <c r="A497" s="729" t="s">
        <v>802</v>
      </c>
      <c r="B497" s="617" t="s">
        <v>821</v>
      </c>
      <c r="C497" s="618"/>
      <c r="D497" s="619">
        <v>221096</v>
      </c>
      <c r="E497" s="656">
        <v>9</v>
      </c>
      <c r="F497" s="532"/>
      <c r="G497" s="450"/>
      <c r="H497" s="457"/>
      <c r="I497" s="450"/>
      <c r="J497" s="457">
        <v>526</v>
      </c>
      <c r="K497" s="621">
        <v>627</v>
      </c>
      <c r="L497" s="458">
        <f t="shared" si="237"/>
        <v>0</v>
      </c>
      <c r="M497" s="449">
        <f t="shared" si="238"/>
        <v>0</v>
      </c>
      <c r="N497" s="459"/>
      <c r="O497" s="459"/>
      <c r="P497" s="459"/>
      <c r="Q497" s="459"/>
      <c r="R497" s="460">
        <f t="shared" si="239"/>
        <v>0</v>
      </c>
      <c r="S497" s="461"/>
      <c r="T497" s="461"/>
      <c r="U497" s="461"/>
      <c r="V497" s="461"/>
      <c r="W497" s="462">
        <f t="shared" si="240"/>
        <v>0</v>
      </c>
      <c r="X497" s="463"/>
      <c r="Y497" s="457"/>
      <c r="Z497" s="464"/>
      <c r="AA497" s="464"/>
      <c r="AB497" s="465"/>
      <c r="AC497" s="457"/>
      <c r="AD497" s="464"/>
      <c r="AE497" s="466"/>
      <c r="AF497" s="465"/>
      <c r="AG497" s="457"/>
      <c r="AH497" s="464"/>
      <c r="AI497" s="466"/>
      <c r="AJ497" s="465"/>
      <c r="AK497" s="457"/>
      <c r="AL497" s="464"/>
      <c r="AM497" s="466"/>
      <c r="AN497" s="465"/>
      <c r="AO497" s="457"/>
      <c r="AP497" s="464"/>
      <c r="AQ497" s="464"/>
      <c r="AR497" s="460">
        <f t="shared" si="241"/>
        <v>0</v>
      </c>
      <c r="AS497" s="467">
        <f t="shared" si="242"/>
        <v>0</v>
      </c>
      <c r="AT497" s="447">
        <f t="shared" si="243"/>
        <v>0</v>
      </c>
      <c r="AU497" s="448">
        <f t="shared" si="244"/>
        <v>0</v>
      </c>
      <c r="AV497" s="457"/>
      <c r="AW497" s="450"/>
      <c r="AX497" s="463"/>
      <c r="AY497" s="457"/>
      <c r="AZ497" s="464"/>
      <c r="BA497" s="464"/>
      <c r="BB497" s="465"/>
      <c r="BC497" s="457"/>
      <c r="BD497" s="464"/>
      <c r="BE497" s="466"/>
      <c r="BF497" s="465"/>
      <c r="BG497" s="457"/>
      <c r="BH497" s="464"/>
      <c r="BI497" s="466"/>
      <c r="BJ497" s="465"/>
      <c r="BK497" s="457"/>
      <c r="BL497" s="464"/>
      <c r="BM497" s="466"/>
      <c r="BN497" s="465"/>
      <c r="BO497" s="457"/>
      <c r="BP497" s="464"/>
      <c r="BQ497" s="466"/>
      <c r="BR497" s="465"/>
      <c r="BS497" s="457"/>
      <c r="BT497" s="464"/>
      <c r="BU497" s="466"/>
      <c r="BV497" s="465"/>
      <c r="BW497" s="457"/>
      <c r="BX497" s="464"/>
      <c r="BY497" s="466"/>
      <c r="BZ497" s="465"/>
      <c r="CA497" s="457"/>
      <c r="CB497" s="464"/>
      <c r="CC497" s="466"/>
      <c r="CD497" s="465"/>
      <c r="CE497" s="457"/>
      <c r="CF497" s="464"/>
      <c r="CG497" s="466"/>
      <c r="CH497" s="465"/>
      <c r="CI497" s="457"/>
      <c r="CJ497" s="464"/>
      <c r="CK497" s="466"/>
      <c r="CL497" s="459"/>
      <c r="CM497" s="450"/>
      <c r="CN497" s="468">
        <f t="shared" si="245"/>
        <v>0</v>
      </c>
      <c r="CO497" s="468">
        <f t="shared" si="246"/>
        <v>0</v>
      </c>
      <c r="CP497" s="469">
        <f t="shared" si="247"/>
        <v>0</v>
      </c>
      <c r="CQ497" s="469">
        <f t="shared" si="248"/>
        <v>0</v>
      </c>
      <c r="CR497" s="463"/>
      <c r="CS497" s="457"/>
      <c r="CT497" s="464"/>
      <c r="CU497" s="464"/>
      <c r="CV497" s="465"/>
      <c r="CW497" s="457"/>
      <c r="CX497" s="464"/>
      <c r="CY497" s="466"/>
      <c r="CZ497" s="465"/>
      <c r="DA497" s="457"/>
      <c r="DB497" s="464"/>
      <c r="DC497" s="466"/>
      <c r="DD497" s="465"/>
      <c r="DE497" s="457"/>
      <c r="DF497" s="464"/>
      <c r="DG497" s="466"/>
      <c r="DH497" s="465"/>
      <c r="DI497" s="457"/>
      <c r="DJ497" s="464"/>
      <c r="DK497" s="466"/>
      <c r="DL497" s="465"/>
      <c r="DM497" s="457"/>
      <c r="DN497" s="464"/>
      <c r="DO497" s="466"/>
      <c r="DP497" s="465"/>
      <c r="DQ497" s="457"/>
      <c r="DR497" s="464"/>
      <c r="DS497" s="466"/>
      <c r="DT497" s="465"/>
      <c r="DU497" s="457"/>
      <c r="DV497" s="464"/>
      <c r="DW497" s="466"/>
      <c r="DX497" s="465"/>
      <c r="DY497" s="457"/>
      <c r="DZ497" s="464"/>
      <c r="EA497" s="466"/>
      <c r="EB497" s="465"/>
      <c r="EC497" s="457"/>
      <c r="ED497" s="464"/>
      <c r="EE497" s="466"/>
      <c r="EF497" s="459"/>
      <c r="EG497" s="450"/>
      <c r="EH497" s="460">
        <f t="shared" si="249"/>
        <v>0</v>
      </c>
      <c r="EI497" s="460">
        <f t="shared" si="250"/>
        <v>0</v>
      </c>
      <c r="EJ497" s="458">
        <f t="shared" si="251"/>
        <v>0</v>
      </c>
      <c r="EK497" s="470">
        <f t="shared" si="252"/>
        <v>0</v>
      </c>
      <c r="EL497" s="470">
        <f t="shared" si="253"/>
        <v>0</v>
      </c>
      <c r="EM497" s="449">
        <f t="shared" si="254"/>
        <v>0</v>
      </c>
      <c r="EN497" s="460">
        <f t="shared" si="255"/>
        <v>0</v>
      </c>
      <c r="EO497" s="469">
        <f t="shared" si="256"/>
        <v>0</v>
      </c>
      <c r="EP497" s="471"/>
      <c r="EQ497" s="450"/>
      <c r="ER497" s="471"/>
      <c r="ES497" s="450"/>
      <c r="ET497" s="471"/>
      <c r="EU497" s="450"/>
      <c r="EV497" s="471"/>
      <c r="EW497" s="450"/>
      <c r="EX497" s="471"/>
      <c r="EY497" s="450"/>
      <c r="EZ497" s="471"/>
      <c r="FA497" s="450"/>
      <c r="FB497" s="471"/>
      <c r="FC497" s="450"/>
      <c r="FD497" s="471"/>
      <c r="FE497" s="450"/>
      <c r="FF497" s="471"/>
      <c r="FG497" s="450"/>
      <c r="FH497" s="472"/>
      <c r="FI497" s="450"/>
      <c r="FJ497" s="468">
        <f t="shared" si="257"/>
        <v>0</v>
      </c>
      <c r="FK497" s="469">
        <f t="shared" si="258"/>
        <v>0</v>
      </c>
      <c r="FL497" s="472"/>
      <c r="FM497" s="450"/>
      <c r="FN497" s="460">
        <f t="shared" si="259"/>
        <v>526</v>
      </c>
      <c r="FO497" s="469">
        <f t="shared" si="260"/>
        <v>627</v>
      </c>
    </row>
    <row r="498" spans="1:171" x14ac:dyDescent="0.2">
      <c r="A498" s="729" t="s">
        <v>802</v>
      </c>
      <c r="B498" s="617" t="s">
        <v>822</v>
      </c>
      <c r="C498" s="618"/>
      <c r="D498" s="619">
        <v>221908</v>
      </c>
      <c r="E498" s="656">
        <v>9</v>
      </c>
      <c r="F498" s="532"/>
      <c r="G498" s="450"/>
      <c r="H498" s="457"/>
      <c r="I498" s="450"/>
      <c r="J498" s="457">
        <v>696</v>
      </c>
      <c r="K498" s="621">
        <v>764</v>
      </c>
      <c r="L498" s="458">
        <f t="shared" si="237"/>
        <v>0</v>
      </c>
      <c r="M498" s="449">
        <f t="shared" si="238"/>
        <v>0</v>
      </c>
      <c r="N498" s="459"/>
      <c r="O498" s="459"/>
      <c r="P498" s="459"/>
      <c r="Q498" s="459"/>
      <c r="R498" s="460">
        <f t="shared" si="239"/>
        <v>0</v>
      </c>
      <c r="S498" s="461"/>
      <c r="T498" s="461"/>
      <c r="U498" s="461"/>
      <c r="V498" s="461"/>
      <c r="W498" s="462">
        <f t="shared" si="240"/>
        <v>0</v>
      </c>
      <c r="X498" s="463"/>
      <c r="Y498" s="457"/>
      <c r="Z498" s="464"/>
      <c r="AA498" s="464"/>
      <c r="AB498" s="465"/>
      <c r="AC498" s="457"/>
      <c r="AD498" s="464"/>
      <c r="AE498" s="466"/>
      <c r="AF498" s="465"/>
      <c r="AG498" s="457"/>
      <c r="AH498" s="464"/>
      <c r="AI498" s="466"/>
      <c r="AJ498" s="465"/>
      <c r="AK498" s="457"/>
      <c r="AL498" s="464"/>
      <c r="AM498" s="466"/>
      <c r="AN498" s="465"/>
      <c r="AO498" s="457"/>
      <c r="AP498" s="464"/>
      <c r="AQ498" s="464"/>
      <c r="AR498" s="460">
        <f t="shared" si="241"/>
        <v>0</v>
      </c>
      <c r="AS498" s="467">
        <f t="shared" si="242"/>
        <v>0</v>
      </c>
      <c r="AT498" s="447">
        <f t="shared" si="243"/>
        <v>0</v>
      </c>
      <c r="AU498" s="448">
        <f t="shared" si="244"/>
        <v>0</v>
      </c>
      <c r="AV498" s="457"/>
      <c r="AW498" s="450"/>
      <c r="AX498" s="463"/>
      <c r="AY498" s="457"/>
      <c r="AZ498" s="464"/>
      <c r="BA498" s="464"/>
      <c r="BB498" s="465"/>
      <c r="BC498" s="457"/>
      <c r="BD498" s="464"/>
      <c r="BE498" s="466"/>
      <c r="BF498" s="465"/>
      <c r="BG498" s="457"/>
      <c r="BH498" s="464"/>
      <c r="BI498" s="466"/>
      <c r="BJ498" s="465"/>
      <c r="BK498" s="457"/>
      <c r="BL498" s="464"/>
      <c r="BM498" s="466"/>
      <c r="BN498" s="465"/>
      <c r="BO498" s="457"/>
      <c r="BP498" s="464"/>
      <c r="BQ498" s="466"/>
      <c r="BR498" s="465"/>
      <c r="BS498" s="457"/>
      <c r="BT498" s="464"/>
      <c r="BU498" s="466"/>
      <c r="BV498" s="465"/>
      <c r="BW498" s="457"/>
      <c r="BX498" s="464"/>
      <c r="BY498" s="466"/>
      <c r="BZ498" s="465"/>
      <c r="CA498" s="457"/>
      <c r="CB498" s="464"/>
      <c r="CC498" s="466"/>
      <c r="CD498" s="465"/>
      <c r="CE498" s="457"/>
      <c r="CF498" s="464"/>
      <c r="CG498" s="466"/>
      <c r="CH498" s="465"/>
      <c r="CI498" s="457"/>
      <c r="CJ498" s="464"/>
      <c r="CK498" s="466"/>
      <c r="CL498" s="459"/>
      <c r="CM498" s="450"/>
      <c r="CN498" s="468">
        <f t="shared" si="245"/>
        <v>0</v>
      </c>
      <c r="CO498" s="468">
        <f t="shared" si="246"/>
        <v>0</v>
      </c>
      <c r="CP498" s="469">
        <f t="shared" si="247"/>
        <v>0</v>
      </c>
      <c r="CQ498" s="469">
        <f t="shared" si="248"/>
        <v>0</v>
      </c>
      <c r="CR498" s="463"/>
      <c r="CS498" s="457"/>
      <c r="CT498" s="464"/>
      <c r="CU498" s="464"/>
      <c r="CV498" s="465"/>
      <c r="CW498" s="457"/>
      <c r="CX498" s="464"/>
      <c r="CY498" s="466"/>
      <c r="CZ498" s="465"/>
      <c r="DA498" s="457"/>
      <c r="DB498" s="464"/>
      <c r="DC498" s="466"/>
      <c r="DD498" s="465"/>
      <c r="DE498" s="457"/>
      <c r="DF498" s="464"/>
      <c r="DG498" s="466"/>
      <c r="DH498" s="465"/>
      <c r="DI498" s="457"/>
      <c r="DJ498" s="464"/>
      <c r="DK498" s="466"/>
      <c r="DL498" s="465"/>
      <c r="DM498" s="457"/>
      <c r="DN498" s="464"/>
      <c r="DO498" s="466"/>
      <c r="DP498" s="465"/>
      <c r="DQ498" s="457"/>
      <c r="DR498" s="464"/>
      <c r="DS498" s="466"/>
      <c r="DT498" s="465"/>
      <c r="DU498" s="457"/>
      <c r="DV498" s="464"/>
      <c r="DW498" s="466"/>
      <c r="DX498" s="465"/>
      <c r="DY498" s="457"/>
      <c r="DZ498" s="464"/>
      <c r="EA498" s="466"/>
      <c r="EB498" s="465"/>
      <c r="EC498" s="457"/>
      <c r="ED498" s="464"/>
      <c r="EE498" s="466"/>
      <c r="EF498" s="459"/>
      <c r="EG498" s="450"/>
      <c r="EH498" s="460">
        <f t="shared" si="249"/>
        <v>0</v>
      </c>
      <c r="EI498" s="460">
        <f t="shared" si="250"/>
        <v>0</v>
      </c>
      <c r="EJ498" s="458">
        <f t="shared" si="251"/>
        <v>0</v>
      </c>
      <c r="EK498" s="470">
        <f t="shared" si="252"/>
        <v>0</v>
      </c>
      <c r="EL498" s="470">
        <f t="shared" si="253"/>
        <v>0</v>
      </c>
      <c r="EM498" s="449">
        <f t="shared" si="254"/>
        <v>0</v>
      </c>
      <c r="EN498" s="460">
        <f t="shared" si="255"/>
        <v>0</v>
      </c>
      <c r="EO498" s="469">
        <f t="shared" si="256"/>
        <v>0</v>
      </c>
      <c r="EP498" s="471"/>
      <c r="EQ498" s="450"/>
      <c r="ER498" s="471"/>
      <c r="ES498" s="450"/>
      <c r="ET498" s="471"/>
      <c r="EU498" s="450"/>
      <c r="EV498" s="471"/>
      <c r="EW498" s="450"/>
      <c r="EX498" s="471"/>
      <c r="EY498" s="450"/>
      <c r="EZ498" s="471"/>
      <c r="FA498" s="450"/>
      <c r="FB498" s="471"/>
      <c r="FC498" s="450"/>
      <c r="FD498" s="471"/>
      <c r="FE498" s="450"/>
      <c r="FF498" s="471"/>
      <c r="FG498" s="450"/>
      <c r="FH498" s="472"/>
      <c r="FI498" s="450"/>
      <c r="FJ498" s="468">
        <f t="shared" si="257"/>
        <v>0</v>
      </c>
      <c r="FK498" s="469">
        <f t="shared" si="258"/>
        <v>0</v>
      </c>
      <c r="FL498" s="472"/>
      <c r="FM498" s="450"/>
      <c r="FN498" s="460">
        <f t="shared" si="259"/>
        <v>696</v>
      </c>
      <c r="FO498" s="469">
        <f t="shared" si="260"/>
        <v>764</v>
      </c>
    </row>
    <row r="499" spans="1:171" x14ac:dyDescent="0.2">
      <c r="A499" s="729" t="s">
        <v>802</v>
      </c>
      <c r="B499" s="617" t="s">
        <v>823</v>
      </c>
      <c r="C499" s="618"/>
      <c r="D499" s="619">
        <v>221397</v>
      </c>
      <c r="E499" s="656">
        <v>9</v>
      </c>
      <c r="F499" s="532"/>
      <c r="G499" s="450"/>
      <c r="H499" s="457"/>
      <c r="I499" s="450"/>
      <c r="J499" s="457">
        <v>771</v>
      </c>
      <c r="K499" s="621">
        <v>804</v>
      </c>
      <c r="L499" s="458">
        <f t="shared" si="237"/>
        <v>0</v>
      </c>
      <c r="M499" s="449">
        <f t="shared" si="238"/>
        <v>0</v>
      </c>
      <c r="N499" s="459"/>
      <c r="O499" s="459"/>
      <c r="P499" s="459"/>
      <c r="Q499" s="459"/>
      <c r="R499" s="460">
        <f t="shared" si="239"/>
        <v>0</v>
      </c>
      <c r="S499" s="461"/>
      <c r="T499" s="461"/>
      <c r="U499" s="461"/>
      <c r="V499" s="461"/>
      <c r="W499" s="462">
        <f t="shared" si="240"/>
        <v>0</v>
      </c>
      <c r="X499" s="463"/>
      <c r="Y499" s="457"/>
      <c r="Z499" s="464"/>
      <c r="AA499" s="464"/>
      <c r="AB499" s="465"/>
      <c r="AC499" s="457"/>
      <c r="AD499" s="464"/>
      <c r="AE499" s="466"/>
      <c r="AF499" s="465"/>
      <c r="AG499" s="457"/>
      <c r="AH499" s="464"/>
      <c r="AI499" s="466"/>
      <c r="AJ499" s="465"/>
      <c r="AK499" s="457"/>
      <c r="AL499" s="464"/>
      <c r="AM499" s="466"/>
      <c r="AN499" s="465"/>
      <c r="AO499" s="457"/>
      <c r="AP499" s="464"/>
      <c r="AQ499" s="464"/>
      <c r="AR499" s="460">
        <f t="shared" si="241"/>
        <v>0</v>
      </c>
      <c r="AS499" s="467">
        <f t="shared" si="242"/>
        <v>0</v>
      </c>
      <c r="AT499" s="447">
        <f t="shared" si="243"/>
        <v>0</v>
      </c>
      <c r="AU499" s="448">
        <f t="shared" si="244"/>
        <v>0</v>
      </c>
      <c r="AV499" s="457"/>
      <c r="AW499" s="450"/>
      <c r="AX499" s="463"/>
      <c r="AY499" s="457"/>
      <c r="AZ499" s="464"/>
      <c r="BA499" s="464"/>
      <c r="BB499" s="465"/>
      <c r="BC499" s="457"/>
      <c r="BD499" s="464"/>
      <c r="BE499" s="466"/>
      <c r="BF499" s="465"/>
      <c r="BG499" s="457"/>
      <c r="BH499" s="464"/>
      <c r="BI499" s="466"/>
      <c r="BJ499" s="465"/>
      <c r="BK499" s="457"/>
      <c r="BL499" s="464"/>
      <c r="BM499" s="466"/>
      <c r="BN499" s="465"/>
      <c r="BO499" s="457"/>
      <c r="BP499" s="464"/>
      <c r="BQ499" s="466"/>
      <c r="BR499" s="465"/>
      <c r="BS499" s="457"/>
      <c r="BT499" s="464"/>
      <c r="BU499" s="466"/>
      <c r="BV499" s="465"/>
      <c r="BW499" s="457"/>
      <c r="BX499" s="464"/>
      <c r="BY499" s="466"/>
      <c r="BZ499" s="465"/>
      <c r="CA499" s="457"/>
      <c r="CB499" s="464"/>
      <c r="CC499" s="466"/>
      <c r="CD499" s="465"/>
      <c r="CE499" s="457"/>
      <c r="CF499" s="464"/>
      <c r="CG499" s="466"/>
      <c r="CH499" s="465"/>
      <c r="CI499" s="457"/>
      <c r="CJ499" s="464"/>
      <c r="CK499" s="466"/>
      <c r="CL499" s="459"/>
      <c r="CM499" s="450"/>
      <c r="CN499" s="468">
        <f t="shared" si="245"/>
        <v>0</v>
      </c>
      <c r="CO499" s="468">
        <f t="shared" si="246"/>
        <v>0</v>
      </c>
      <c r="CP499" s="469">
        <f t="shared" si="247"/>
        <v>0</v>
      </c>
      <c r="CQ499" s="469">
        <f t="shared" si="248"/>
        <v>0</v>
      </c>
      <c r="CR499" s="463"/>
      <c r="CS499" s="457"/>
      <c r="CT499" s="464"/>
      <c r="CU499" s="464"/>
      <c r="CV499" s="465"/>
      <c r="CW499" s="457"/>
      <c r="CX499" s="464"/>
      <c r="CY499" s="466"/>
      <c r="CZ499" s="465"/>
      <c r="DA499" s="457"/>
      <c r="DB499" s="464"/>
      <c r="DC499" s="466"/>
      <c r="DD499" s="465"/>
      <c r="DE499" s="457"/>
      <c r="DF499" s="464"/>
      <c r="DG499" s="466"/>
      <c r="DH499" s="465"/>
      <c r="DI499" s="457"/>
      <c r="DJ499" s="464"/>
      <c r="DK499" s="466"/>
      <c r="DL499" s="465"/>
      <c r="DM499" s="457"/>
      <c r="DN499" s="464"/>
      <c r="DO499" s="466"/>
      <c r="DP499" s="465"/>
      <c r="DQ499" s="457"/>
      <c r="DR499" s="464"/>
      <c r="DS499" s="466"/>
      <c r="DT499" s="465"/>
      <c r="DU499" s="457"/>
      <c r="DV499" s="464"/>
      <c r="DW499" s="466"/>
      <c r="DX499" s="465"/>
      <c r="DY499" s="457"/>
      <c r="DZ499" s="464"/>
      <c r="EA499" s="466"/>
      <c r="EB499" s="465"/>
      <c r="EC499" s="457"/>
      <c r="ED499" s="464"/>
      <c r="EE499" s="466"/>
      <c r="EF499" s="459"/>
      <c r="EG499" s="450"/>
      <c r="EH499" s="460">
        <f t="shared" si="249"/>
        <v>0</v>
      </c>
      <c r="EI499" s="460">
        <f t="shared" si="250"/>
        <v>0</v>
      </c>
      <c r="EJ499" s="458">
        <f t="shared" si="251"/>
        <v>0</v>
      </c>
      <c r="EK499" s="470">
        <f t="shared" si="252"/>
        <v>0</v>
      </c>
      <c r="EL499" s="470">
        <f t="shared" si="253"/>
        <v>0</v>
      </c>
      <c r="EM499" s="449">
        <f t="shared" si="254"/>
        <v>0</v>
      </c>
      <c r="EN499" s="460">
        <f t="shared" si="255"/>
        <v>0</v>
      </c>
      <c r="EO499" s="469">
        <f t="shared" si="256"/>
        <v>0</v>
      </c>
      <c r="EP499" s="471"/>
      <c r="EQ499" s="450"/>
      <c r="ER499" s="471"/>
      <c r="ES499" s="450"/>
      <c r="ET499" s="471"/>
      <c r="EU499" s="450"/>
      <c r="EV499" s="471"/>
      <c r="EW499" s="450"/>
      <c r="EX499" s="471"/>
      <c r="EY499" s="450"/>
      <c r="EZ499" s="471"/>
      <c r="FA499" s="450"/>
      <c r="FB499" s="471"/>
      <c r="FC499" s="450"/>
      <c r="FD499" s="471"/>
      <c r="FE499" s="450"/>
      <c r="FF499" s="471"/>
      <c r="FG499" s="450"/>
      <c r="FH499" s="472"/>
      <c r="FI499" s="450"/>
      <c r="FJ499" s="468">
        <f t="shared" si="257"/>
        <v>0</v>
      </c>
      <c r="FK499" s="469">
        <f t="shared" si="258"/>
        <v>0</v>
      </c>
      <c r="FL499" s="472"/>
      <c r="FM499" s="450"/>
      <c r="FN499" s="460">
        <f t="shared" si="259"/>
        <v>771</v>
      </c>
      <c r="FO499" s="469">
        <f t="shared" si="260"/>
        <v>804</v>
      </c>
    </row>
    <row r="500" spans="1:171" x14ac:dyDescent="0.2">
      <c r="A500" s="729" t="s">
        <v>802</v>
      </c>
      <c r="B500" s="604" t="s">
        <v>824</v>
      </c>
      <c r="C500" s="605"/>
      <c r="D500" s="619">
        <v>222062</v>
      </c>
      <c r="E500" s="656">
        <v>9</v>
      </c>
      <c r="F500" s="532"/>
      <c r="G500" s="450"/>
      <c r="H500" s="457"/>
      <c r="I500" s="450"/>
      <c r="J500" s="457">
        <v>720</v>
      </c>
      <c r="K500" s="621">
        <v>791</v>
      </c>
      <c r="L500" s="458">
        <f t="shared" si="237"/>
        <v>0</v>
      </c>
      <c r="M500" s="449">
        <f t="shared" si="238"/>
        <v>0</v>
      </c>
      <c r="N500" s="459"/>
      <c r="O500" s="459"/>
      <c r="P500" s="459"/>
      <c r="Q500" s="459"/>
      <c r="R500" s="460">
        <f t="shared" si="239"/>
        <v>0</v>
      </c>
      <c r="S500" s="461"/>
      <c r="T500" s="461"/>
      <c r="U500" s="461"/>
      <c r="V500" s="461"/>
      <c r="W500" s="462">
        <f t="shared" si="240"/>
        <v>0</v>
      </c>
      <c r="X500" s="463"/>
      <c r="Y500" s="457"/>
      <c r="Z500" s="464"/>
      <c r="AA500" s="464"/>
      <c r="AB500" s="465"/>
      <c r="AC500" s="457"/>
      <c r="AD500" s="464"/>
      <c r="AE500" s="466"/>
      <c r="AF500" s="465"/>
      <c r="AG500" s="457"/>
      <c r="AH500" s="464"/>
      <c r="AI500" s="466"/>
      <c r="AJ500" s="465"/>
      <c r="AK500" s="457"/>
      <c r="AL500" s="464"/>
      <c r="AM500" s="466"/>
      <c r="AN500" s="465"/>
      <c r="AO500" s="457"/>
      <c r="AP500" s="464"/>
      <c r="AQ500" s="464"/>
      <c r="AR500" s="460">
        <f t="shared" si="241"/>
        <v>0</v>
      </c>
      <c r="AS500" s="467">
        <f t="shared" si="242"/>
        <v>0</v>
      </c>
      <c r="AT500" s="447">
        <f t="shared" si="243"/>
        <v>0</v>
      </c>
      <c r="AU500" s="448">
        <f t="shared" si="244"/>
        <v>0</v>
      </c>
      <c r="AV500" s="457"/>
      <c r="AW500" s="450"/>
      <c r="AX500" s="463"/>
      <c r="AY500" s="457"/>
      <c r="AZ500" s="464"/>
      <c r="BA500" s="464"/>
      <c r="BB500" s="465"/>
      <c r="BC500" s="457"/>
      <c r="BD500" s="464"/>
      <c r="BE500" s="466"/>
      <c r="BF500" s="465"/>
      <c r="BG500" s="457"/>
      <c r="BH500" s="464"/>
      <c r="BI500" s="466"/>
      <c r="BJ500" s="465"/>
      <c r="BK500" s="457"/>
      <c r="BL500" s="464"/>
      <c r="BM500" s="466"/>
      <c r="BN500" s="465"/>
      <c r="BO500" s="457"/>
      <c r="BP500" s="464"/>
      <c r="BQ500" s="466"/>
      <c r="BR500" s="465"/>
      <c r="BS500" s="457"/>
      <c r="BT500" s="464"/>
      <c r="BU500" s="466"/>
      <c r="BV500" s="465"/>
      <c r="BW500" s="457"/>
      <c r="BX500" s="464"/>
      <c r="BY500" s="466"/>
      <c r="BZ500" s="465"/>
      <c r="CA500" s="457"/>
      <c r="CB500" s="464"/>
      <c r="CC500" s="466"/>
      <c r="CD500" s="465"/>
      <c r="CE500" s="457"/>
      <c r="CF500" s="464"/>
      <c r="CG500" s="466"/>
      <c r="CH500" s="465"/>
      <c r="CI500" s="457"/>
      <c r="CJ500" s="464"/>
      <c r="CK500" s="466"/>
      <c r="CL500" s="459"/>
      <c r="CM500" s="450"/>
      <c r="CN500" s="468">
        <f t="shared" si="245"/>
        <v>0</v>
      </c>
      <c r="CO500" s="468">
        <f t="shared" si="246"/>
        <v>0</v>
      </c>
      <c r="CP500" s="469">
        <f t="shared" si="247"/>
        <v>0</v>
      </c>
      <c r="CQ500" s="469">
        <f t="shared" si="248"/>
        <v>0</v>
      </c>
      <c r="CR500" s="463"/>
      <c r="CS500" s="457"/>
      <c r="CT500" s="464"/>
      <c r="CU500" s="464"/>
      <c r="CV500" s="465"/>
      <c r="CW500" s="457"/>
      <c r="CX500" s="464"/>
      <c r="CY500" s="466"/>
      <c r="CZ500" s="465"/>
      <c r="DA500" s="457"/>
      <c r="DB500" s="464"/>
      <c r="DC500" s="466"/>
      <c r="DD500" s="465"/>
      <c r="DE500" s="457"/>
      <c r="DF500" s="464"/>
      <c r="DG500" s="466"/>
      <c r="DH500" s="465"/>
      <c r="DI500" s="457"/>
      <c r="DJ500" s="464"/>
      <c r="DK500" s="466"/>
      <c r="DL500" s="465"/>
      <c r="DM500" s="457"/>
      <c r="DN500" s="464"/>
      <c r="DO500" s="466"/>
      <c r="DP500" s="465"/>
      <c r="DQ500" s="457"/>
      <c r="DR500" s="464"/>
      <c r="DS500" s="466"/>
      <c r="DT500" s="465"/>
      <c r="DU500" s="457"/>
      <c r="DV500" s="464"/>
      <c r="DW500" s="466"/>
      <c r="DX500" s="465"/>
      <c r="DY500" s="457"/>
      <c r="DZ500" s="464"/>
      <c r="EA500" s="466"/>
      <c r="EB500" s="465"/>
      <c r="EC500" s="457"/>
      <c r="ED500" s="464"/>
      <c r="EE500" s="466"/>
      <c r="EF500" s="459"/>
      <c r="EG500" s="450"/>
      <c r="EH500" s="460">
        <f t="shared" si="249"/>
        <v>0</v>
      </c>
      <c r="EI500" s="460">
        <f t="shared" si="250"/>
        <v>0</v>
      </c>
      <c r="EJ500" s="458">
        <f t="shared" si="251"/>
        <v>0</v>
      </c>
      <c r="EK500" s="470">
        <f t="shared" si="252"/>
        <v>0</v>
      </c>
      <c r="EL500" s="470">
        <f t="shared" si="253"/>
        <v>0</v>
      </c>
      <c r="EM500" s="449">
        <f t="shared" si="254"/>
        <v>0</v>
      </c>
      <c r="EN500" s="460">
        <f t="shared" si="255"/>
        <v>0</v>
      </c>
      <c r="EO500" s="469">
        <f t="shared" si="256"/>
        <v>0</v>
      </c>
      <c r="EP500" s="471"/>
      <c r="EQ500" s="450"/>
      <c r="ER500" s="471"/>
      <c r="ES500" s="450"/>
      <c r="ET500" s="471"/>
      <c r="EU500" s="450"/>
      <c r="EV500" s="471"/>
      <c r="EW500" s="450"/>
      <c r="EX500" s="471"/>
      <c r="EY500" s="450"/>
      <c r="EZ500" s="471"/>
      <c r="FA500" s="450"/>
      <c r="FB500" s="471"/>
      <c r="FC500" s="450"/>
      <c r="FD500" s="471"/>
      <c r="FE500" s="450"/>
      <c r="FF500" s="471"/>
      <c r="FG500" s="450"/>
      <c r="FH500" s="472"/>
      <c r="FI500" s="450"/>
      <c r="FJ500" s="468">
        <f t="shared" si="257"/>
        <v>0</v>
      </c>
      <c r="FK500" s="469">
        <f t="shared" si="258"/>
        <v>0</v>
      </c>
      <c r="FL500" s="472"/>
      <c r="FM500" s="450"/>
      <c r="FN500" s="460">
        <f t="shared" si="259"/>
        <v>720</v>
      </c>
      <c r="FO500" s="469">
        <f t="shared" si="260"/>
        <v>791</v>
      </c>
    </row>
    <row r="501" spans="1:171" x14ac:dyDescent="0.2">
      <c r="A501" s="729" t="s">
        <v>802</v>
      </c>
      <c r="B501" s="604" t="s">
        <v>826</v>
      </c>
      <c r="C501" s="613" t="s">
        <v>979</v>
      </c>
      <c r="D501" s="619" t="s">
        <v>827</v>
      </c>
      <c r="E501" s="657">
        <v>12</v>
      </c>
      <c r="F501" s="532">
        <v>535</v>
      </c>
      <c r="G501" s="622">
        <v>650</v>
      </c>
      <c r="H501" s="457"/>
      <c r="I501" s="450"/>
      <c r="J501" s="457"/>
      <c r="K501" s="450"/>
      <c r="L501" s="458">
        <f t="shared" si="237"/>
        <v>0</v>
      </c>
      <c r="M501" s="449">
        <f t="shared" si="238"/>
        <v>0</v>
      </c>
      <c r="N501" s="459"/>
      <c r="O501" s="459"/>
      <c r="P501" s="459"/>
      <c r="Q501" s="459"/>
      <c r="R501" s="460">
        <f t="shared" si="239"/>
        <v>0</v>
      </c>
      <c r="S501" s="461"/>
      <c r="T501" s="461"/>
      <c r="U501" s="461"/>
      <c r="V501" s="461"/>
      <c r="W501" s="462">
        <f t="shared" si="240"/>
        <v>0</v>
      </c>
      <c r="X501" s="463"/>
      <c r="Y501" s="457"/>
      <c r="Z501" s="464"/>
      <c r="AA501" s="464"/>
      <c r="AB501" s="465"/>
      <c r="AC501" s="457"/>
      <c r="AD501" s="464"/>
      <c r="AE501" s="466"/>
      <c r="AF501" s="465"/>
      <c r="AG501" s="457"/>
      <c r="AH501" s="464"/>
      <c r="AI501" s="466"/>
      <c r="AJ501" s="465"/>
      <c r="AK501" s="457"/>
      <c r="AL501" s="464"/>
      <c r="AM501" s="466"/>
      <c r="AN501" s="465"/>
      <c r="AO501" s="457"/>
      <c r="AP501" s="464"/>
      <c r="AQ501" s="464"/>
      <c r="AR501" s="460">
        <f t="shared" si="241"/>
        <v>0</v>
      </c>
      <c r="AS501" s="467">
        <f t="shared" si="242"/>
        <v>0</v>
      </c>
      <c r="AT501" s="447">
        <f t="shared" si="243"/>
        <v>0</v>
      </c>
      <c r="AU501" s="448">
        <f t="shared" si="244"/>
        <v>0</v>
      </c>
      <c r="AV501" s="457"/>
      <c r="AW501" s="450"/>
      <c r="AX501" s="463"/>
      <c r="AY501" s="457"/>
      <c r="AZ501" s="464"/>
      <c r="BA501" s="464"/>
      <c r="BB501" s="465"/>
      <c r="BC501" s="457"/>
      <c r="BD501" s="464"/>
      <c r="BE501" s="466"/>
      <c r="BF501" s="465"/>
      <c r="BG501" s="457"/>
      <c r="BH501" s="464"/>
      <c r="BI501" s="466"/>
      <c r="BJ501" s="465"/>
      <c r="BK501" s="457"/>
      <c r="BL501" s="464"/>
      <c r="BM501" s="466"/>
      <c r="BN501" s="465"/>
      <c r="BO501" s="457"/>
      <c r="BP501" s="464"/>
      <c r="BQ501" s="466"/>
      <c r="BR501" s="465"/>
      <c r="BS501" s="457"/>
      <c r="BT501" s="464"/>
      <c r="BU501" s="466"/>
      <c r="BV501" s="465"/>
      <c r="BW501" s="457"/>
      <c r="BX501" s="464"/>
      <c r="BY501" s="466"/>
      <c r="BZ501" s="465"/>
      <c r="CA501" s="457"/>
      <c r="CB501" s="464"/>
      <c r="CC501" s="466"/>
      <c r="CD501" s="465"/>
      <c r="CE501" s="457"/>
      <c r="CF501" s="464"/>
      <c r="CG501" s="466"/>
      <c r="CH501" s="465"/>
      <c r="CI501" s="457"/>
      <c r="CJ501" s="464"/>
      <c r="CK501" s="466"/>
      <c r="CL501" s="459"/>
      <c r="CM501" s="450"/>
      <c r="CN501" s="468">
        <f t="shared" si="245"/>
        <v>0</v>
      </c>
      <c r="CO501" s="468">
        <f t="shared" si="246"/>
        <v>0</v>
      </c>
      <c r="CP501" s="469">
        <f t="shared" si="247"/>
        <v>0</v>
      </c>
      <c r="CQ501" s="469">
        <f t="shared" si="248"/>
        <v>0</v>
      </c>
      <c r="CR501" s="463"/>
      <c r="CS501" s="457"/>
      <c r="CT501" s="464"/>
      <c r="CU501" s="464"/>
      <c r="CV501" s="465"/>
      <c r="CW501" s="457"/>
      <c r="CX501" s="464"/>
      <c r="CY501" s="466"/>
      <c r="CZ501" s="465"/>
      <c r="DA501" s="457"/>
      <c r="DB501" s="464"/>
      <c r="DC501" s="466"/>
      <c r="DD501" s="465"/>
      <c r="DE501" s="457"/>
      <c r="DF501" s="464"/>
      <c r="DG501" s="466"/>
      <c r="DH501" s="465"/>
      <c r="DI501" s="457"/>
      <c r="DJ501" s="464"/>
      <c r="DK501" s="466"/>
      <c r="DL501" s="465"/>
      <c r="DM501" s="457"/>
      <c r="DN501" s="464"/>
      <c r="DO501" s="466"/>
      <c r="DP501" s="465"/>
      <c r="DQ501" s="457"/>
      <c r="DR501" s="464"/>
      <c r="DS501" s="466"/>
      <c r="DT501" s="465"/>
      <c r="DU501" s="457"/>
      <c r="DV501" s="464"/>
      <c r="DW501" s="466"/>
      <c r="DX501" s="465"/>
      <c r="DY501" s="457"/>
      <c r="DZ501" s="464"/>
      <c r="EA501" s="466"/>
      <c r="EB501" s="465"/>
      <c r="EC501" s="457"/>
      <c r="ED501" s="464"/>
      <c r="EE501" s="466"/>
      <c r="EF501" s="459"/>
      <c r="EG501" s="450"/>
      <c r="EH501" s="460">
        <f t="shared" si="249"/>
        <v>0</v>
      </c>
      <c r="EI501" s="460">
        <f t="shared" si="250"/>
        <v>0</v>
      </c>
      <c r="EJ501" s="458">
        <f t="shared" si="251"/>
        <v>0</v>
      </c>
      <c r="EK501" s="470">
        <f t="shared" si="252"/>
        <v>0</v>
      </c>
      <c r="EL501" s="470">
        <f t="shared" si="253"/>
        <v>0</v>
      </c>
      <c r="EM501" s="449">
        <f t="shared" si="254"/>
        <v>0</v>
      </c>
      <c r="EN501" s="460">
        <f t="shared" si="255"/>
        <v>0</v>
      </c>
      <c r="EO501" s="469">
        <f t="shared" si="256"/>
        <v>0</v>
      </c>
      <c r="EP501" s="471"/>
      <c r="EQ501" s="450"/>
      <c r="ER501" s="471"/>
      <c r="ES501" s="450"/>
      <c r="ET501" s="471"/>
      <c r="EU501" s="450"/>
      <c r="EV501" s="471"/>
      <c r="EW501" s="450"/>
      <c r="EX501" s="471"/>
      <c r="EY501" s="450"/>
      <c r="EZ501" s="471"/>
      <c r="FA501" s="450"/>
      <c r="FB501" s="471"/>
      <c r="FC501" s="450"/>
      <c r="FD501" s="471"/>
      <c r="FE501" s="450"/>
      <c r="FF501" s="471"/>
      <c r="FG501" s="450"/>
      <c r="FH501" s="472"/>
      <c r="FI501" s="450"/>
      <c r="FJ501" s="468">
        <f t="shared" si="257"/>
        <v>0</v>
      </c>
      <c r="FK501" s="469">
        <f t="shared" si="258"/>
        <v>0</v>
      </c>
      <c r="FL501" s="472"/>
      <c r="FM501" s="450"/>
      <c r="FN501" s="460">
        <f t="shared" si="259"/>
        <v>535</v>
      </c>
      <c r="FO501" s="469">
        <f t="shared" si="260"/>
        <v>650</v>
      </c>
    </row>
    <row r="502" spans="1:171" x14ac:dyDescent="0.2">
      <c r="A502" s="729" t="s">
        <v>802</v>
      </c>
      <c r="B502" s="617" t="s">
        <v>825</v>
      </c>
      <c r="C502" s="618"/>
      <c r="D502" s="619">
        <v>219596</v>
      </c>
      <c r="E502" s="656">
        <v>13</v>
      </c>
      <c r="F502" s="532">
        <v>175</v>
      </c>
      <c r="G502" s="622">
        <v>157</v>
      </c>
      <c r="H502" s="457"/>
      <c r="I502" s="450"/>
      <c r="J502" s="457"/>
      <c r="K502" s="450"/>
      <c r="L502" s="458">
        <f t="shared" si="237"/>
        <v>0</v>
      </c>
      <c r="M502" s="449">
        <f t="shared" si="238"/>
        <v>0</v>
      </c>
      <c r="N502" s="459"/>
      <c r="O502" s="459"/>
      <c r="P502" s="459"/>
      <c r="Q502" s="459"/>
      <c r="R502" s="460">
        <f t="shared" si="239"/>
        <v>0</v>
      </c>
      <c r="S502" s="461"/>
      <c r="T502" s="461"/>
      <c r="U502" s="461"/>
      <c r="V502" s="461"/>
      <c r="W502" s="462">
        <f t="shared" si="240"/>
        <v>0</v>
      </c>
      <c r="X502" s="463"/>
      <c r="Y502" s="457"/>
      <c r="Z502" s="464"/>
      <c r="AA502" s="464"/>
      <c r="AB502" s="465"/>
      <c r="AC502" s="457"/>
      <c r="AD502" s="464"/>
      <c r="AE502" s="466"/>
      <c r="AF502" s="465"/>
      <c r="AG502" s="457"/>
      <c r="AH502" s="464"/>
      <c r="AI502" s="466"/>
      <c r="AJ502" s="465"/>
      <c r="AK502" s="457"/>
      <c r="AL502" s="464"/>
      <c r="AM502" s="466"/>
      <c r="AN502" s="465"/>
      <c r="AO502" s="457"/>
      <c r="AP502" s="464"/>
      <c r="AQ502" s="464"/>
      <c r="AR502" s="460">
        <f t="shared" si="241"/>
        <v>0</v>
      </c>
      <c r="AS502" s="467">
        <f t="shared" si="242"/>
        <v>0</v>
      </c>
      <c r="AT502" s="447">
        <f t="shared" si="243"/>
        <v>0</v>
      </c>
      <c r="AU502" s="448">
        <f t="shared" si="244"/>
        <v>0</v>
      </c>
      <c r="AV502" s="457"/>
      <c r="AW502" s="450"/>
      <c r="AX502" s="463"/>
      <c r="AY502" s="457"/>
      <c r="AZ502" s="464"/>
      <c r="BA502" s="464"/>
      <c r="BB502" s="465"/>
      <c r="BC502" s="457"/>
      <c r="BD502" s="464"/>
      <c r="BE502" s="466"/>
      <c r="BF502" s="465"/>
      <c r="BG502" s="457"/>
      <c r="BH502" s="464"/>
      <c r="BI502" s="466"/>
      <c r="BJ502" s="465"/>
      <c r="BK502" s="457"/>
      <c r="BL502" s="464"/>
      <c r="BM502" s="466"/>
      <c r="BN502" s="465"/>
      <c r="BO502" s="457"/>
      <c r="BP502" s="464"/>
      <c r="BQ502" s="466"/>
      <c r="BR502" s="465"/>
      <c r="BS502" s="457"/>
      <c r="BT502" s="464"/>
      <c r="BU502" s="466"/>
      <c r="BV502" s="465"/>
      <c r="BW502" s="457"/>
      <c r="BX502" s="464"/>
      <c r="BY502" s="466"/>
      <c r="BZ502" s="465"/>
      <c r="CA502" s="457"/>
      <c r="CB502" s="464"/>
      <c r="CC502" s="466"/>
      <c r="CD502" s="465"/>
      <c r="CE502" s="457"/>
      <c r="CF502" s="464"/>
      <c r="CG502" s="466"/>
      <c r="CH502" s="465"/>
      <c r="CI502" s="457"/>
      <c r="CJ502" s="464"/>
      <c r="CK502" s="466"/>
      <c r="CL502" s="459"/>
      <c r="CM502" s="450"/>
      <c r="CN502" s="468">
        <f t="shared" si="245"/>
        <v>0</v>
      </c>
      <c r="CO502" s="468">
        <f t="shared" si="246"/>
        <v>0</v>
      </c>
      <c r="CP502" s="469">
        <f t="shared" si="247"/>
        <v>0</v>
      </c>
      <c r="CQ502" s="469">
        <f t="shared" si="248"/>
        <v>0</v>
      </c>
      <c r="CR502" s="463"/>
      <c r="CS502" s="457"/>
      <c r="CT502" s="464"/>
      <c r="CU502" s="464"/>
      <c r="CV502" s="465"/>
      <c r="CW502" s="457"/>
      <c r="CX502" s="464"/>
      <c r="CY502" s="466"/>
      <c r="CZ502" s="465"/>
      <c r="DA502" s="457"/>
      <c r="DB502" s="464"/>
      <c r="DC502" s="466"/>
      <c r="DD502" s="465"/>
      <c r="DE502" s="457"/>
      <c r="DF502" s="464"/>
      <c r="DG502" s="466"/>
      <c r="DH502" s="465"/>
      <c r="DI502" s="457"/>
      <c r="DJ502" s="464"/>
      <c r="DK502" s="466"/>
      <c r="DL502" s="465"/>
      <c r="DM502" s="457"/>
      <c r="DN502" s="464"/>
      <c r="DO502" s="466"/>
      <c r="DP502" s="465"/>
      <c r="DQ502" s="457"/>
      <c r="DR502" s="464"/>
      <c r="DS502" s="466"/>
      <c r="DT502" s="465"/>
      <c r="DU502" s="457"/>
      <c r="DV502" s="464"/>
      <c r="DW502" s="466"/>
      <c r="DX502" s="465"/>
      <c r="DY502" s="457"/>
      <c r="DZ502" s="464"/>
      <c r="EA502" s="466"/>
      <c r="EB502" s="465"/>
      <c r="EC502" s="457"/>
      <c r="ED502" s="464"/>
      <c r="EE502" s="466"/>
      <c r="EF502" s="459"/>
      <c r="EG502" s="450"/>
      <c r="EH502" s="460">
        <f t="shared" si="249"/>
        <v>0</v>
      </c>
      <c r="EI502" s="460">
        <f t="shared" si="250"/>
        <v>0</v>
      </c>
      <c r="EJ502" s="458">
        <f t="shared" si="251"/>
        <v>0</v>
      </c>
      <c r="EK502" s="470">
        <f t="shared" si="252"/>
        <v>0</v>
      </c>
      <c r="EL502" s="470">
        <f t="shared" si="253"/>
        <v>0</v>
      </c>
      <c r="EM502" s="449">
        <f t="shared" si="254"/>
        <v>0</v>
      </c>
      <c r="EN502" s="460">
        <f t="shared" si="255"/>
        <v>0</v>
      </c>
      <c r="EO502" s="469">
        <f t="shared" si="256"/>
        <v>0</v>
      </c>
      <c r="EP502" s="471"/>
      <c r="EQ502" s="450"/>
      <c r="ER502" s="471"/>
      <c r="ES502" s="450"/>
      <c r="ET502" s="471"/>
      <c r="EU502" s="450"/>
      <c r="EV502" s="471"/>
      <c r="EW502" s="450"/>
      <c r="EX502" s="471"/>
      <c r="EY502" s="450"/>
      <c r="EZ502" s="471"/>
      <c r="FA502" s="450"/>
      <c r="FB502" s="471"/>
      <c r="FC502" s="450"/>
      <c r="FD502" s="471"/>
      <c r="FE502" s="450"/>
      <c r="FF502" s="471"/>
      <c r="FG502" s="450"/>
      <c r="FH502" s="472"/>
      <c r="FI502" s="450"/>
      <c r="FJ502" s="468">
        <f t="shared" si="257"/>
        <v>0</v>
      </c>
      <c r="FK502" s="469">
        <f t="shared" si="258"/>
        <v>0</v>
      </c>
      <c r="FL502" s="472"/>
      <c r="FM502" s="450"/>
      <c r="FN502" s="460">
        <f t="shared" si="259"/>
        <v>175</v>
      </c>
      <c r="FO502" s="469">
        <f t="shared" si="260"/>
        <v>157</v>
      </c>
    </row>
    <row r="503" spans="1:171" x14ac:dyDescent="0.2">
      <c r="A503" s="729" t="s">
        <v>802</v>
      </c>
      <c r="B503" s="617" t="s">
        <v>828</v>
      </c>
      <c r="C503" s="618"/>
      <c r="D503" s="619">
        <v>219921</v>
      </c>
      <c r="E503" s="656">
        <v>13</v>
      </c>
      <c r="F503" s="532">
        <v>126</v>
      </c>
      <c r="G503" s="622">
        <v>108</v>
      </c>
      <c r="H503" s="457"/>
      <c r="I503" s="450"/>
      <c r="J503" s="457"/>
      <c r="K503" s="450"/>
      <c r="L503" s="458">
        <f t="shared" si="237"/>
        <v>0</v>
      </c>
      <c r="M503" s="449">
        <f t="shared" si="238"/>
        <v>0</v>
      </c>
      <c r="N503" s="459"/>
      <c r="O503" s="459"/>
      <c r="P503" s="459"/>
      <c r="Q503" s="459"/>
      <c r="R503" s="460">
        <f t="shared" si="239"/>
        <v>0</v>
      </c>
      <c r="S503" s="461"/>
      <c r="T503" s="461"/>
      <c r="U503" s="461"/>
      <c r="V503" s="461"/>
      <c r="W503" s="462">
        <f t="shared" si="240"/>
        <v>0</v>
      </c>
      <c r="X503" s="463"/>
      <c r="Y503" s="457"/>
      <c r="Z503" s="464"/>
      <c r="AA503" s="464"/>
      <c r="AB503" s="465"/>
      <c r="AC503" s="457"/>
      <c r="AD503" s="464"/>
      <c r="AE503" s="466"/>
      <c r="AF503" s="465"/>
      <c r="AG503" s="457"/>
      <c r="AH503" s="464"/>
      <c r="AI503" s="466"/>
      <c r="AJ503" s="465"/>
      <c r="AK503" s="457"/>
      <c r="AL503" s="464"/>
      <c r="AM503" s="466"/>
      <c r="AN503" s="465"/>
      <c r="AO503" s="457"/>
      <c r="AP503" s="464"/>
      <c r="AQ503" s="464"/>
      <c r="AR503" s="460">
        <f t="shared" si="241"/>
        <v>0</v>
      </c>
      <c r="AS503" s="467">
        <f t="shared" si="242"/>
        <v>0</v>
      </c>
      <c r="AT503" s="447">
        <f t="shared" si="243"/>
        <v>0</v>
      </c>
      <c r="AU503" s="448">
        <f t="shared" si="244"/>
        <v>0</v>
      </c>
      <c r="AV503" s="457"/>
      <c r="AW503" s="450"/>
      <c r="AX503" s="463"/>
      <c r="AY503" s="457"/>
      <c r="AZ503" s="464"/>
      <c r="BA503" s="464"/>
      <c r="BB503" s="465"/>
      <c r="BC503" s="457"/>
      <c r="BD503" s="464"/>
      <c r="BE503" s="466"/>
      <c r="BF503" s="465"/>
      <c r="BG503" s="457"/>
      <c r="BH503" s="464"/>
      <c r="BI503" s="466"/>
      <c r="BJ503" s="465"/>
      <c r="BK503" s="457"/>
      <c r="BL503" s="464"/>
      <c r="BM503" s="466"/>
      <c r="BN503" s="465"/>
      <c r="BO503" s="457"/>
      <c r="BP503" s="464"/>
      <c r="BQ503" s="466"/>
      <c r="BR503" s="465"/>
      <c r="BS503" s="457"/>
      <c r="BT503" s="464"/>
      <c r="BU503" s="466"/>
      <c r="BV503" s="465"/>
      <c r="BW503" s="457"/>
      <c r="BX503" s="464"/>
      <c r="BY503" s="466"/>
      <c r="BZ503" s="465"/>
      <c r="CA503" s="457"/>
      <c r="CB503" s="464"/>
      <c r="CC503" s="466"/>
      <c r="CD503" s="465"/>
      <c r="CE503" s="457"/>
      <c r="CF503" s="464"/>
      <c r="CG503" s="466"/>
      <c r="CH503" s="465"/>
      <c r="CI503" s="457"/>
      <c r="CJ503" s="464"/>
      <c r="CK503" s="466"/>
      <c r="CL503" s="459"/>
      <c r="CM503" s="450"/>
      <c r="CN503" s="468">
        <f t="shared" si="245"/>
        <v>0</v>
      </c>
      <c r="CO503" s="468">
        <f t="shared" si="246"/>
        <v>0</v>
      </c>
      <c r="CP503" s="469">
        <f t="shared" si="247"/>
        <v>0</v>
      </c>
      <c r="CQ503" s="469">
        <f t="shared" si="248"/>
        <v>0</v>
      </c>
      <c r="CR503" s="463"/>
      <c r="CS503" s="457"/>
      <c r="CT503" s="464"/>
      <c r="CU503" s="464"/>
      <c r="CV503" s="465"/>
      <c r="CW503" s="457"/>
      <c r="CX503" s="464"/>
      <c r="CY503" s="466"/>
      <c r="CZ503" s="465"/>
      <c r="DA503" s="457"/>
      <c r="DB503" s="464"/>
      <c r="DC503" s="466"/>
      <c r="DD503" s="465"/>
      <c r="DE503" s="457"/>
      <c r="DF503" s="464"/>
      <c r="DG503" s="466"/>
      <c r="DH503" s="465"/>
      <c r="DI503" s="457"/>
      <c r="DJ503" s="464"/>
      <c r="DK503" s="466"/>
      <c r="DL503" s="465"/>
      <c r="DM503" s="457"/>
      <c r="DN503" s="464"/>
      <c r="DO503" s="466"/>
      <c r="DP503" s="465"/>
      <c r="DQ503" s="457"/>
      <c r="DR503" s="464"/>
      <c r="DS503" s="466"/>
      <c r="DT503" s="465"/>
      <c r="DU503" s="457"/>
      <c r="DV503" s="464"/>
      <c r="DW503" s="466"/>
      <c r="DX503" s="465"/>
      <c r="DY503" s="457"/>
      <c r="DZ503" s="464"/>
      <c r="EA503" s="466"/>
      <c r="EB503" s="465"/>
      <c r="EC503" s="457"/>
      <c r="ED503" s="464"/>
      <c r="EE503" s="466"/>
      <c r="EF503" s="459"/>
      <c r="EG503" s="450"/>
      <c r="EH503" s="460">
        <f t="shared" si="249"/>
        <v>0</v>
      </c>
      <c r="EI503" s="460">
        <f t="shared" si="250"/>
        <v>0</v>
      </c>
      <c r="EJ503" s="458">
        <f t="shared" si="251"/>
        <v>0</v>
      </c>
      <c r="EK503" s="470">
        <f t="shared" si="252"/>
        <v>0</v>
      </c>
      <c r="EL503" s="470">
        <f t="shared" si="253"/>
        <v>0</v>
      </c>
      <c r="EM503" s="449">
        <f t="shared" si="254"/>
        <v>0</v>
      </c>
      <c r="EN503" s="460">
        <f t="shared" si="255"/>
        <v>0</v>
      </c>
      <c r="EO503" s="469">
        <f t="shared" si="256"/>
        <v>0</v>
      </c>
      <c r="EP503" s="471"/>
      <c r="EQ503" s="450"/>
      <c r="ER503" s="471"/>
      <c r="ES503" s="450"/>
      <c r="ET503" s="471"/>
      <c r="EU503" s="450"/>
      <c r="EV503" s="471"/>
      <c r="EW503" s="450"/>
      <c r="EX503" s="471"/>
      <c r="EY503" s="450"/>
      <c r="EZ503" s="471"/>
      <c r="FA503" s="450"/>
      <c r="FB503" s="471"/>
      <c r="FC503" s="450"/>
      <c r="FD503" s="471"/>
      <c r="FE503" s="450"/>
      <c r="FF503" s="471"/>
      <c r="FG503" s="450"/>
      <c r="FH503" s="472"/>
      <c r="FI503" s="450"/>
      <c r="FJ503" s="468">
        <f t="shared" si="257"/>
        <v>0</v>
      </c>
      <c r="FK503" s="469">
        <f t="shared" si="258"/>
        <v>0</v>
      </c>
      <c r="FL503" s="472"/>
      <c r="FM503" s="450"/>
      <c r="FN503" s="460">
        <f t="shared" si="259"/>
        <v>126</v>
      </c>
      <c r="FO503" s="469">
        <f t="shared" si="260"/>
        <v>108</v>
      </c>
    </row>
    <row r="504" spans="1:171" x14ac:dyDescent="0.2">
      <c r="A504" s="729" t="s">
        <v>802</v>
      </c>
      <c r="B504" s="617" t="s">
        <v>829</v>
      </c>
      <c r="C504" s="618"/>
      <c r="D504" s="619">
        <v>221591</v>
      </c>
      <c r="E504" s="656">
        <v>13</v>
      </c>
      <c r="F504" s="532">
        <v>202</v>
      </c>
      <c r="G504" s="622">
        <v>215</v>
      </c>
      <c r="H504" s="457"/>
      <c r="I504" s="450"/>
      <c r="J504" s="457"/>
      <c r="K504" s="450"/>
      <c r="L504" s="458">
        <f t="shared" si="237"/>
        <v>0</v>
      </c>
      <c r="M504" s="449">
        <f t="shared" si="238"/>
        <v>0</v>
      </c>
      <c r="N504" s="459"/>
      <c r="O504" s="459"/>
      <c r="P504" s="459"/>
      <c r="Q504" s="459"/>
      <c r="R504" s="460">
        <f t="shared" si="239"/>
        <v>0</v>
      </c>
      <c r="S504" s="461"/>
      <c r="T504" s="461"/>
      <c r="U504" s="461"/>
      <c r="V504" s="461"/>
      <c r="W504" s="462">
        <f t="shared" si="240"/>
        <v>0</v>
      </c>
      <c r="X504" s="463"/>
      <c r="Y504" s="457"/>
      <c r="Z504" s="464"/>
      <c r="AA504" s="464"/>
      <c r="AB504" s="465"/>
      <c r="AC504" s="457"/>
      <c r="AD504" s="464"/>
      <c r="AE504" s="466"/>
      <c r="AF504" s="465"/>
      <c r="AG504" s="457"/>
      <c r="AH504" s="464"/>
      <c r="AI504" s="466"/>
      <c r="AJ504" s="465"/>
      <c r="AK504" s="457"/>
      <c r="AL504" s="464"/>
      <c r="AM504" s="466"/>
      <c r="AN504" s="465"/>
      <c r="AO504" s="457"/>
      <c r="AP504" s="464"/>
      <c r="AQ504" s="464"/>
      <c r="AR504" s="460">
        <f t="shared" si="241"/>
        <v>0</v>
      </c>
      <c r="AS504" s="467">
        <f t="shared" si="242"/>
        <v>0</v>
      </c>
      <c r="AT504" s="447">
        <f t="shared" si="243"/>
        <v>0</v>
      </c>
      <c r="AU504" s="448">
        <f t="shared" si="244"/>
        <v>0</v>
      </c>
      <c r="AV504" s="457"/>
      <c r="AW504" s="450"/>
      <c r="AX504" s="463"/>
      <c r="AY504" s="457"/>
      <c r="AZ504" s="464"/>
      <c r="BA504" s="464"/>
      <c r="BB504" s="465"/>
      <c r="BC504" s="457"/>
      <c r="BD504" s="464"/>
      <c r="BE504" s="466"/>
      <c r="BF504" s="465"/>
      <c r="BG504" s="457"/>
      <c r="BH504" s="464"/>
      <c r="BI504" s="466"/>
      <c r="BJ504" s="465"/>
      <c r="BK504" s="457"/>
      <c r="BL504" s="464"/>
      <c r="BM504" s="466"/>
      <c r="BN504" s="465"/>
      <c r="BO504" s="457"/>
      <c r="BP504" s="464"/>
      <c r="BQ504" s="466"/>
      <c r="BR504" s="465"/>
      <c r="BS504" s="457"/>
      <c r="BT504" s="464"/>
      <c r="BU504" s="466"/>
      <c r="BV504" s="465"/>
      <c r="BW504" s="457"/>
      <c r="BX504" s="464"/>
      <c r="BY504" s="466"/>
      <c r="BZ504" s="465"/>
      <c r="CA504" s="457"/>
      <c r="CB504" s="464"/>
      <c r="CC504" s="466"/>
      <c r="CD504" s="465"/>
      <c r="CE504" s="457"/>
      <c r="CF504" s="464"/>
      <c r="CG504" s="466"/>
      <c r="CH504" s="465"/>
      <c r="CI504" s="457"/>
      <c r="CJ504" s="464"/>
      <c r="CK504" s="466"/>
      <c r="CL504" s="459"/>
      <c r="CM504" s="450"/>
      <c r="CN504" s="468">
        <f t="shared" si="245"/>
        <v>0</v>
      </c>
      <c r="CO504" s="468">
        <f t="shared" si="246"/>
        <v>0</v>
      </c>
      <c r="CP504" s="469">
        <f t="shared" si="247"/>
        <v>0</v>
      </c>
      <c r="CQ504" s="469">
        <f t="shared" si="248"/>
        <v>0</v>
      </c>
      <c r="CR504" s="463"/>
      <c r="CS504" s="457"/>
      <c r="CT504" s="464"/>
      <c r="CU504" s="464"/>
      <c r="CV504" s="465"/>
      <c r="CW504" s="457"/>
      <c r="CX504" s="464"/>
      <c r="CY504" s="466"/>
      <c r="CZ504" s="465"/>
      <c r="DA504" s="457"/>
      <c r="DB504" s="464"/>
      <c r="DC504" s="466"/>
      <c r="DD504" s="465"/>
      <c r="DE504" s="457"/>
      <c r="DF504" s="464"/>
      <c r="DG504" s="466"/>
      <c r="DH504" s="465"/>
      <c r="DI504" s="457"/>
      <c r="DJ504" s="464"/>
      <c r="DK504" s="466"/>
      <c r="DL504" s="465"/>
      <c r="DM504" s="457"/>
      <c r="DN504" s="464"/>
      <c r="DO504" s="466"/>
      <c r="DP504" s="465"/>
      <c r="DQ504" s="457"/>
      <c r="DR504" s="464"/>
      <c r="DS504" s="466"/>
      <c r="DT504" s="465"/>
      <c r="DU504" s="457"/>
      <c r="DV504" s="464"/>
      <c r="DW504" s="466"/>
      <c r="DX504" s="465"/>
      <c r="DY504" s="457"/>
      <c r="DZ504" s="464"/>
      <c r="EA504" s="466"/>
      <c r="EB504" s="465"/>
      <c r="EC504" s="457"/>
      <c r="ED504" s="464"/>
      <c r="EE504" s="466"/>
      <c r="EF504" s="459"/>
      <c r="EG504" s="450"/>
      <c r="EH504" s="460">
        <f t="shared" si="249"/>
        <v>0</v>
      </c>
      <c r="EI504" s="460">
        <f t="shared" si="250"/>
        <v>0</v>
      </c>
      <c r="EJ504" s="458">
        <f t="shared" si="251"/>
        <v>0</v>
      </c>
      <c r="EK504" s="470">
        <f t="shared" si="252"/>
        <v>0</v>
      </c>
      <c r="EL504" s="470">
        <f t="shared" si="253"/>
        <v>0</v>
      </c>
      <c r="EM504" s="449">
        <f t="shared" si="254"/>
        <v>0</v>
      </c>
      <c r="EN504" s="460">
        <f t="shared" si="255"/>
        <v>0</v>
      </c>
      <c r="EO504" s="469">
        <f t="shared" si="256"/>
        <v>0</v>
      </c>
      <c r="EP504" s="471"/>
      <c r="EQ504" s="450"/>
      <c r="ER504" s="471"/>
      <c r="ES504" s="450"/>
      <c r="ET504" s="471"/>
      <c r="EU504" s="450"/>
      <c r="EV504" s="471"/>
      <c r="EW504" s="450"/>
      <c r="EX504" s="471"/>
      <c r="EY504" s="450"/>
      <c r="EZ504" s="471"/>
      <c r="FA504" s="450"/>
      <c r="FB504" s="471"/>
      <c r="FC504" s="450"/>
      <c r="FD504" s="471"/>
      <c r="FE504" s="450"/>
      <c r="FF504" s="471"/>
      <c r="FG504" s="450"/>
      <c r="FH504" s="472"/>
      <c r="FI504" s="450"/>
      <c r="FJ504" s="468">
        <f t="shared" si="257"/>
        <v>0</v>
      </c>
      <c r="FK504" s="469">
        <f t="shared" si="258"/>
        <v>0</v>
      </c>
      <c r="FL504" s="472"/>
      <c r="FM504" s="450"/>
      <c r="FN504" s="460">
        <f t="shared" si="259"/>
        <v>202</v>
      </c>
      <c r="FO504" s="469">
        <f t="shared" si="260"/>
        <v>215</v>
      </c>
    </row>
    <row r="505" spans="1:171" x14ac:dyDescent="0.2">
      <c r="A505" s="729" t="s">
        <v>802</v>
      </c>
      <c r="B505" s="617" t="s">
        <v>830</v>
      </c>
      <c r="C505" s="618"/>
      <c r="D505" s="619">
        <v>221430</v>
      </c>
      <c r="E505" s="656">
        <v>13</v>
      </c>
      <c r="F505" s="532">
        <v>221</v>
      </c>
      <c r="G505" s="622">
        <v>161</v>
      </c>
      <c r="H505" s="457"/>
      <c r="I505" s="450"/>
      <c r="J505" s="457"/>
      <c r="K505" s="450"/>
      <c r="L505" s="458">
        <f t="shared" si="237"/>
        <v>0</v>
      </c>
      <c r="M505" s="449">
        <f t="shared" si="238"/>
        <v>0</v>
      </c>
      <c r="N505" s="459"/>
      <c r="O505" s="459"/>
      <c r="P505" s="459"/>
      <c r="Q505" s="459"/>
      <c r="R505" s="460">
        <f t="shared" si="239"/>
        <v>0</v>
      </c>
      <c r="S505" s="461"/>
      <c r="T505" s="461"/>
      <c r="U505" s="461"/>
      <c r="V505" s="461"/>
      <c r="W505" s="462">
        <f t="shared" si="240"/>
        <v>0</v>
      </c>
      <c r="X505" s="463"/>
      <c r="Y505" s="457"/>
      <c r="Z505" s="464"/>
      <c r="AA505" s="464"/>
      <c r="AB505" s="465"/>
      <c r="AC505" s="457"/>
      <c r="AD505" s="464"/>
      <c r="AE505" s="466"/>
      <c r="AF505" s="465"/>
      <c r="AG505" s="457"/>
      <c r="AH505" s="464"/>
      <c r="AI505" s="466"/>
      <c r="AJ505" s="465"/>
      <c r="AK505" s="457"/>
      <c r="AL505" s="464"/>
      <c r="AM505" s="466"/>
      <c r="AN505" s="465"/>
      <c r="AO505" s="457"/>
      <c r="AP505" s="464"/>
      <c r="AQ505" s="464"/>
      <c r="AR505" s="460">
        <f t="shared" si="241"/>
        <v>0</v>
      </c>
      <c r="AS505" s="467">
        <f t="shared" si="242"/>
        <v>0</v>
      </c>
      <c r="AT505" s="447">
        <f t="shared" si="243"/>
        <v>0</v>
      </c>
      <c r="AU505" s="448">
        <f t="shared" si="244"/>
        <v>0</v>
      </c>
      <c r="AV505" s="457"/>
      <c r="AW505" s="450"/>
      <c r="AX505" s="463"/>
      <c r="AY505" s="457"/>
      <c r="AZ505" s="464"/>
      <c r="BA505" s="464"/>
      <c r="BB505" s="465"/>
      <c r="BC505" s="457"/>
      <c r="BD505" s="464"/>
      <c r="BE505" s="466"/>
      <c r="BF505" s="465"/>
      <c r="BG505" s="457"/>
      <c r="BH505" s="464"/>
      <c r="BI505" s="466"/>
      <c r="BJ505" s="465"/>
      <c r="BK505" s="457"/>
      <c r="BL505" s="464"/>
      <c r="BM505" s="466"/>
      <c r="BN505" s="465"/>
      <c r="BO505" s="457"/>
      <c r="BP505" s="464"/>
      <c r="BQ505" s="466"/>
      <c r="BR505" s="465"/>
      <c r="BS505" s="457"/>
      <c r="BT505" s="464"/>
      <c r="BU505" s="466"/>
      <c r="BV505" s="465"/>
      <c r="BW505" s="457"/>
      <c r="BX505" s="464"/>
      <c r="BY505" s="466"/>
      <c r="BZ505" s="465"/>
      <c r="CA505" s="457"/>
      <c r="CB505" s="464"/>
      <c r="CC505" s="466"/>
      <c r="CD505" s="465"/>
      <c r="CE505" s="457"/>
      <c r="CF505" s="464"/>
      <c r="CG505" s="466"/>
      <c r="CH505" s="465"/>
      <c r="CI505" s="457"/>
      <c r="CJ505" s="464"/>
      <c r="CK505" s="466"/>
      <c r="CL505" s="459"/>
      <c r="CM505" s="450"/>
      <c r="CN505" s="468">
        <f t="shared" si="245"/>
        <v>0</v>
      </c>
      <c r="CO505" s="468">
        <f t="shared" si="246"/>
        <v>0</v>
      </c>
      <c r="CP505" s="469">
        <f t="shared" si="247"/>
        <v>0</v>
      </c>
      <c r="CQ505" s="469">
        <f t="shared" si="248"/>
        <v>0</v>
      </c>
      <c r="CR505" s="463"/>
      <c r="CS505" s="457"/>
      <c r="CT505" s="464"/>
      <c r="CU505" s="464"/>
      <c r="CV505" s="465"/>
      <c r="CW505" s="457"/>
      <c r="CX505" s="464"/>
      <c r="CY505" s="466"/>
      <c r="CZ505" s="465"/>
      <c r="DA505" s="457"/>
      <c r="DB505" s="464"/>
      <c r="DC505" s="466"/>
      <c r="DD505" s="465"/>
      <c r="DE505" s="457"/>
      <c r="DF505" s="464"/>
      <c r="DG505" s="466"/>
      <c r="DH505" s="465"/>
      <c r="DI505" s="457"/>
      <c r="DJ505" s="464"/>
      <c r="DK505" s="466"/>
      <c r="DL505" s="465"/>
      <c r="DM505" s="457"/>
      <c r="DN505" s="464"/>
      <c r="DO505" s="466"/>
      <c r="DP505" s="465"/>
      <c r="DQ505" s="457"/>
      <c r="DR505" s="464"/>
      <c r="DS505" s="466"/>
      <c r="DT505" s="465"/>
      <c r="DU505" s="457"/>
      <c r="DV505" s="464"/>
      <c r="DW505" s="466"/>
      <c r="DX505" s="465"/>
      <c r="DY505" s="457"/>
      <c r="DZ505" s="464"/>
      <c r="EA505" s="466"/>
      <c r="EB505" s="465"/>
      <c r="EC505" s="457"/>
      <c r="ED505" s="464"/>
      <c r="EE505" s="466"/>
      <c r="EF505" s="459"/>
      <c r="EG505" s="450"/>
      <c r="EH505" s="460">
        <f t="shared" si="249"/>
        <v>0</v>
      </c>
      <c r="EI505" s="460">
        <f t="shared" si="250"/>
        <v>0</v>
      </c>
      <c r="EJ505" s="458">
        <f t="shared" si="251"/>
        <v>0</v>
      </c>
      <c r="EK505" s="470">
        <f t="shared" si="252"/>
        <v>0</v>
      </c>
      <c r="EL505" s="470">
        <f t="shared" si="253"/>
        <v>0</v>
      </c>
      <c r="EM505" s="449">
        <f t="shared" si="254"/>
        <v>0</v>
      </c>
      <c r="EN505" s="460">
        <f t="shared" si="255"/>
        <v>0</v>
      </c>
      <c r="EO505" s="469">
        <f t="shared" si="256"/>
        <v>0</v>
      </c>
      <c r="EP505" s="471"/>
      <c r="EQ505" s="450"/>
      <c r="ER505" s="471"/>
      <c r="ES505" s="450"/>
      <c r="ET505" s="471"/>
      <c r="EU505" s="450"/>
      <c r="EV505" s="471"/>
      <c r="EW505" s="450"/>
      <c r="EX505" s="471"/>
      <c r="EY505" s="450"/>
      <c r="EZ505" s="471"/>
      <c r="FA505" s="450"/>
      <c r="FB505" s="471"/>
      <c r="FC505" s="450"/>
      <c r="FD505" s="471"/>
      <c r="FE505" s="450"/>
      <c r="FF505" s="471"/>
      <c r="FG505" s="450"/>
      <c r="FH505" s="472"/>
      <c r="FI505" s="450"/>
      <c r="FJ505" s="468">
        <f t="shared" si="257"/>
        <v>0</v>
      </c>
      <c r="FK505" s="469">
        <f t="shared" si="258"/>
        <v>0</v>
      </c>
      <c r="FL505" s="472"/>
      <c r="FM505" s="450"/>
      <c r="FN505" s="460">
        <f t="shared" si="259"/>
        <v>221</v>
      </c>
      <c r="FO505" s="469">
        <f t="shared" si="260"/>
        <v>161</v>
      </c>
    </row>
    <row r="506" spans="1:171" x14ac:dyDescent="0.2">
      <c r="A506" s="729" t="s">
        <v>802</v>
      </c>
      <c r="B506" s="617" t="s">
        <v>831</v>
      </c>
      <c r="C506" s="618"/>
      <c r="D506" s="619">
        <v>219994</v>
      </c>
      <c r="E506" s="656">
        <v>13</v>
      </c>
      <c r="F506" s="532">
        <v>377</v>
      </c>
      <c r="G506" s="622">
        <v>354</v>
      </c>
      <c r="H506" s="457"/>
      <c r="I506" s="450"/>
      <c r="J506" s="457"/>
      <c r="K506" s="450"/>
      <c r="L506" s="458">
        <f t="shared" si="237"/>
        <v>0</v>
      </c>
      <c r="M506" s="449">
        <f t="shared" si="238"/>
        <v>0</v>
      </c>
      <c r="N506" s="459"/>
      <c r="O506" s="459"/>
      <c r="P506" s="459"/>
      <c r="Q506" s="459"/>
      <c r="R506" s="460">
        <f t="shared" si="239"/>
        <v>0</v>
      </c>
      <c r="S506" s="461"/>
      <c r="T506" s="461"/>
      <c r="U506" s="461"/>
      <c r="V506" s="461"/>
      <c r="W506" s="462">
        <f t="shared" si="240"/>
        <v>0</v>
      </c>
      <c r="X506" s="463"/>
      <c r="Y506" s="457"/>
      <c r="Z506" s="464"/>
      <c r="AA506" s="464"/>
      <c r="AB506" s="465"/>
      <c r="AC506" s="457"/>
      <c r="AD506" s="464"/>
      <c r="AE506" s="466"/>
      <c r="AF506" s="465"/>
      <c r="AG506" s="457"/>
      <c r="AH506" s="464"/>
      <c r="AI506" s="466"/>
      <c r="AJ506" s="465"/>
      <c r="AK506" s="457"/>
      <c r="AL506" s="464"/>
      <c r="AM506" s="466"/>
      <c r="AN506" s="465"/>
      <c r="AO506" s="457"/>
      <c r="AP506" s="464"/>
      <c r="AQ506" s="464"/>
      <c r="AR506" s="460">
        <f t="shared" si="241"/>
        <v>0</v>
      </c>
      <c r="AS506" s="467">
        <f t="shared" si="242"/>
        <v>0</v>
      </c>
      <c r="AT506" s="447">
        <f t="shared" si="243"/>
        <v>0</v>
      </c>
      <c r="AU506" s="448">
        <f t="shared" si="244"/>
        <v>0</v>
      </c>
      <c r="AV506" s="457"/>
      <c r="AW506" s="450"/>
      <c r="AX506" s="463"/>
      <c r="AY506" s="457"/>
      <c r="AZ506" s="464"/>
      <c r="BA506" s="464"/>
      <c r="BB506" s="465"/>
      <c r="BC506" s="457"/>
      <c r="BD506" s="464"/>
      <c r="BE506" s="466"/>
      <c r="BF506" s="465"/>
      <c r="BG506" s="457"/>
      <c r="BH506" s="464"/>
      <c r="BI506" s="466"/>
      <c r="BJ506" s="465"/>
      <c r="BK506" s="457"/>
      <c r="BL506" s="464"/>
      <c r="BM506" s="466"/>
      <c r="BN506" s="465"/>
      <c r="BO506" s="457"/>
      <c r="BP506" s="464"/>
      <c r="BQ506" s="466"/>
      <c r="BR506" s="465"/>
      <c r="BS506" s="457"/>
      <c r="BT506" s="464"/>
      <c r="BU506" s="466"/>
      <c r="BV506" s="465"/>
      <c r="BW506" s="457"/>
      <c r="BX506" s="464"/>
      <c r="BY506" s="466"/>
      <c r="BZ506" s="465"/>
      <c r="CA506" s="457"/>
      <c r="CB506" s="464"/>
      <c r="CC506" s="466"/>
      <c r="CD506" s="465"/>
      <c r="CE506" s="457"/>
      <c r="CF506" s="464"/>
      <c r="CG506" s="466"/>
      <c r="CH506" s="465"/>
      <c r="CI506" s="457"/>
      <c r="CJ506" s="464"/>
      <c r="CK506" s="466"/>
      <c r="CL506" s="459"/>
      <c r="CM506" s="450"/>
      <c r="CN506" s="468">
        <f t="shared" si="245"/>
        <v>0</v>
      </c>
      <c r="CO506" s="468">
        <f t="shared" si="246"/>
        <v>0</v>
      </c>
      <c r="CP506" s="469">
        <f t="shared" si="247"/>
        <v>0</v>
      </c>
      <c r="CQ506" s="469">
        <f t="shared" si="248"/>
        <v>0</v>
      </c>
      <c r="CR506" s="463"/>
      <c r="CS506" s="457"/>
      <c r="CT506" s="464"/>
      <c r="CU506" s="464"/>
      <c r="CV506" s="465"/>
      <c r="CW506" s="457"/>
      <c r="CX506" s="464"/>
      <c r="CY506" s="466"/>
      <c r="CZ506" s="465"/>
      <c r="DA506" s="457"/>
      <c r="DB506" s="464"/>
      <c r="DC506" s="466"/>
      <c r="DD506" s="465"/>
      <c r="DE506" s="457"/>
      <c r="DF506" s="464"/>
      <c r="DG506" s="466"/>
      <c r="DH506" s="465"/>
      <c r="DI506" s="457"/>
      <c r="DJ506" s="464"/>
      <c r="DK506" s="466"/>
      <c r="DL506" s="465"/>
      <c r="DM506" s="457"/>
      <c r="DN506" s="464"/>
      <c r="DO506" s="466"/>
      <c r="DP506" s="465"/>
      <c r="DQ506" s="457"/>
      <c r="DR506" s="464"/>
      <c r="DS506" s="466"/>
      <c r="DT506" s="465"/>
      <c r="DU506" s="457"/>
      <c r="DV506" s="464"/>
      <c r="DW506" s="466"/>
      <c r="DX506" s="465"/>
      <c r="DY506" s="457"/>
      <c r="DZ506" s="464"/>
      <c r="EA506" s="466"/>
      <c r="EB506" s="465"/>
      <c r="EC506" s="457"/>
      <c r="ED506" s="464"/>
      <c r="EE506" s="466"/>
      <c r="EF506" s="459"/>
      <c r="EG506" s="450"/>
      <c r="EH506" s="460">
        <f t="shared" si="249"/>
        <v>0</v>
      </c>
      <c r="EI506" s="460">
        <f t="shared" si="250"/>
        <v>0</v>
      </c>
      <c r="EJ506" s="458">
        <f t="shared" si="251"/>
        <v>0</v>
      </c>
      <c r="EK506" s="470">
        <f t="shared" si="252"/>
        <v>0</v>
      </c>
      <c r="EL506" s="470">
        <f t="shared" si="253"/>
        <v>0</v>
      </c>
      <c r="EM506" s="449">
        <f t="shared" si="254"/>
        <v>0</v>
      </c>
      <c r="EN506" s="460">
        <f t="shared" si="255"/>
        <v>0</v>
      </c>
      <c r="EO506" s="469">
        <f t="shared" si="256"/>
        <v>0</v>
      </c>
      <c r="EP506" s="471"/>
      <c r="EQ506" s="450"/>
      <c r="ER506" s="471"/>
      <c r="ES506" s="450"/>
      <c r="ET506" s="471"/>
      <c r="EU506" s="450"/>
      <c r="EV506" s="471"/>
      <c r="EW506" s="450"/>
      <c r="EX506" s="471"/>
      <c r="EY506" s="450"/>
      <c r="EZ506" s="471"/>
      <c r="FA506" s="450"/>
      <c r="FB506" s="471"/>
      <c r="FC506" s="450"/>
      <c r="FD506" s="471"/>
      <c r="FE506" s="450"/>
      <c r="FF506" s="471"/>
      <c r="FG506" s="450"/>
      <c r="FH506" s="472"/>
      <c r="FI506" s="450"/>
      <c r="FJ506" s="468">
        <f t="shared" si="257"/>
        <v>0</v>
      </c>
      <c r="FK506" s="469">
        <f t="shared" si="258"/>
        <v>0</v>
      </c>
      <c r="FL506" s="472"/>
      <c r="FM506" s="450"/>
      <c r="FN506" s="460">
        <f t="shared" si="259"/>
        <v>377</v>
      </c>
      <c r="FO506" s="469">
        <f t="shared" si="260"/>
        <v>354</v>
      </c>
    </row>
    <row r="507" spans="1:171" x14ac:dyDescent="0.2">
      <c r="A507" s="729" t="s">
        <v>802</v>
      </c>
      <c r="B507" s="617" t="s">
        <v>832</v>
      </c>
      <c r="C507" s="618"/>
      <c r="D507" s="619">
        <v>220127</v>
      </c>
      <c r="E507" s="656">
        <v>13</v>
      </c>
      <c r="F507" s="532">
        <v>464</v>
      </c>
      <c r="G507" s="622">
        <v>487</v>
      </c>
      <c r="H507" s="457"/>
      <c r="I507" s="450"/>
      <c r="J507" s="457"/>
      <c r="K507" s="450"/>
      <c r="L507" s="458">
        <f t="shared" si="237"/>
        <v>0</v>
      </c>
      <c r="M507" s="449">
        <f t="shared" si="238"/>
        <v>0</v>
      </c>
      <c r="N507" s="459"/>
      <c r="O507" s="459"/>
      <c r="P507" s="459"/>
      <c r="Q507" s="459"/>
      <c r="R507" s="460">
        <f t="shared" si="239"/>
        <v>0</v>
      </c>
      <c r="S507" s="461"/>
      <c r="T507" s="461"/>
      <c r="U507" s="461"/>
      <c r="V507" s="461"/>
      <c r="W507" s="462">
        <f t="shared" si="240"/>
        <v>0</v>
      </c>
      <c r="X507" s="463"/>
      <c r="Y507" s="457"/>
      <c r="Z507" s="464"/>
      <c r="AA507" s="464"/>
      <c r="AB507" s="465"/>
      <c r="AC507" s="457"/>
      <c r="AD507" s="464"/>
      <c r="AE507" s="466"/>
      <c r="AF507" s="465"/>
      <c r="AG507" s="457"/>
      <c r="AH507" s="464"/>
      <c r="AI507" s="466"/>
      <c r="AJ507" s="465"/>
      <c r="AK507" s="457"/>
      <c r="AL507" s="464"/>
      <c r="AM507" s="466"/>
      <c r="AN507" s="465"/>
      <c r="AO507" s="457"/>
      <c r="AP507" s="464"/>
      <c r="AQ507" s="464"/>
      <c r="AR507" s="460">
        <f t="shared" si="241"/>
        <v>0</v>
      </c>
      <c r="AS507" s="467">
        <f t="shared" si="242"/>
        <v>0</v>
      </c>
      <c r="AT507" s="447">
        <f t="shared" si="243"/>
        <v>0</v>
      </c>
      <c r="AU507" s="448">
        <f t="shared" si="244"/>
        <v>0</v>
      </c>
      <c r="AV507" s="457"/>
      <c r="AW507" s="450"/>
      <c r="AX507" s="463"/>
      <c r="AY507" s="457"/>
      <c r="AZ507" s="464"/>
      <c r="BA507" s="464"/>
      <c r="BB507" s="465"/>
      <c r="BC507" s="457"/>
      <c r="BD507" s="464"/>
      <c r="BE507" s="466"/>
      <c r="BF507" s="465"/>
      <c r="BG507" s="457"/>
      <c r="BH507" s="464"/>
      <c r="BI507" s="466"/>
      <c r="BJ507" s="465"/>
      <c r="BK507" s="457"/>
      <c r="BL507" s="464"/>
      <c r="BM507" s="466"/>
      <c r="BN507" s="465"/>
      <c r="BO507" s="457"/>
      <c r="BP507" s="464"/>
      <c r="BQ507" s="466"/>
      <c r="BR507" s="465"/>
      <c r="BS507" s="457"/>
      <c r="BT507" s="464"/>
      <c r="BU507" s="466"/>
      <c r="BV507" s="465"/>
      <c r="BW507" s="457"/>
      <c r="BX507" s="464"/>
      <c r="BY507" s="466"/>
      <c r="BZ507" s="465"/>
      <c r="CA507" s="457"/>
      <c r="CB507" s="464"/>
      <c r="CC507" s="466"/>
      <c r="CD507" s="465"/>
      <c r="CE507" s="457"/>
      <c r="CF507" s="464"/>
      <c r="CG507" s="466"/>
      <c r="CH507" s="465"/>
      <c r="CI507" s="457"/>
      <c r="CJ507" s="464"/>
      <c r="CK507" s="466"/>
      <c r="CL507" s="459"/>
      <c r="CM507" s="450"/>
      <c r="CN507" s="468">
        <f t="shared" si="245"/>
        <v>0</v>
      </c>
      <c r="CO507" s="468">
        <f t="shared" si="246"/>
        <v>0</v>
      </c>
      <c r="CP507" s="469">
        <f t="shared" si="247"/>
        <v>0</v>
      </c>
      <c r="CQ507" s="469">
        <f t="shared" si="248"/>
        <v>0</v>
      </c>
      <c r="CR507" s="463"/>
      <c r="CS507" s="457"/>
      <c r="CT507" s="464"/>
      <c r="CU507" s="464"/>
      <c r="CV507" s="465"/>
      <c r="CW507" s="457"/>
      <c r="CX507" s="464"/>
      <c r="CY507" s="466"/>
      <c r="CZ507" s="465"/>
      <c r="DA507" s="457"/>
      <c r="DB507" s="464"/>
      <c r="DC507" s="466"/>
      <c r="DD507" s="465"/>
      <c r="DE507" s="457"/>
      <c r="DF507" s="464"/>
      <c r="DG507" s="466"/>
      <c r="DH507" s="465"/>
      <c r="DI507" s="457"/>
      <c r="DJ507" s="464"/>
      <c r="DK507" s="466"/>
      <c r="DL507" s="465"/>
      <c r="DM507" s="457"/>
      <c r="DN507" s="464"/>
      <c r="DO507" s="466"/>
      <c r="DP507" s="465"/>
      <c r="DQ507" s="457"/>
      <c r="DR507" s="464"/>
      <c r="DS507" s="466"/>
      <c r="DT507" s="465"/>
      <c r="DU507" s="457"/>
      <c r="DV507" s="464"/>
      <c r="DW507" s="466"/>
      <c r="DX507" s="465"/>
      <c r="DY507" s="457"/>
      <c r="DZ507" s="464"/>
      <c r="EA507" s="466"/>
      <c r="EB507" s="465"/>
      <c r="EC507" s="457"/>
      <c r="ED507" s="464"/>
      <c r="EE507" s="466"/>
      <c r="EF507" s="459"/>
      <c r="EG507" s="450"/>
      <c r="EH507" s="460">
        <f t="shared" si="249"/>
        <v>0</v>
      </c>
      <c r="EI507" s="460">
        <f t="shared" si="250"/>
        <v>0</v>
      </c>
      <c r="EJ507" s="458">
        <f t="shared" si="251"/>
        <v>0</v>
      </c>
      <c r="EK507" s="470">
        <f t="shared" si="252"/>
        <v>0</v>
      </c>
      <c r="EL507" s="470">
        <f t="shared" si="253"/>
        <v>0</v>
      </c>
      <c r="EM507" s="449">
        <f t="shared" si="254"/>
        <v>0</v>
      </c>
      <c r="EN507" s="460">
        <f t="shared" si="255"/>
        <v>0</v>
      </c>
      <c r="EO507" s="469">
        <f t="shared" si="256"/>
        <v>0</v>
      </c>
      <c r="EP507" s="471"/>
      <c r="EQ507" s="450"/>
      <c r="ER507" s="471"/>
      <c r="ES507" s="450"/>
      <c r="ET507" s="471"/>
      <c r="EU507" s="450"/>
      <c r="EV507" s="471"/>
      <c r="EW507" s="450"/>
      <c r="EX507" s="471"/>
      <c r="EY507" s="450"/>
      <c r="EZ507" s="471"/>
      <c r="FA507" s="450"/>
      <c r="FB507" s="471"/>
      <c r="FC507" s="450"/>
      <c r="FD507" s="471"/>
      <c r="FE507" s="450"/>
      <c r="FF507" s="471"/>
      <c r="FG507" s="450"/>
      <c r="FH507" s="472"/>
      <c r="FI507" s="450"/>
      <c r="FJ507" s="468">
        <f t="shared" si="257"/>
        <v>0</v>
      </c>
      <c r="FK507" s="469">
        <f t="shared" si="258"/>
        <v>0</v>
      </c>
      <c r="FL507" s="472"/>
      <c r="FM507" s="450"/>
      <c r="FN507" s="460">
        <f t="shared" si="259"/>
        <v>464</v>
      </c>
      <c r="FO507" s="469">
        <f t="shared" si="260"/>
        <v>487</v>
      </c>
    </row>
    <row r="508" spans="1:171" x14ac:dyDescent="0.2">
      <c r="A508" s="729" t="s">
        <v>802</v>
      </c>
      <c r="B508" s="617" t="s">
        <v>833</v>
      </c>
      <c r="C508" s="618"/>
      <c r="D508" s="619">
        <v>220251</v>
      </c>
      <c r="E508" s="656">
        <v>13</v>
      </c>
      <c r="F508" s="532">
        <v>257</v>
      </c>
      <c r="G508" s="622">
        <v>137</v>
      </c>
      <c r="H508" s="457"/>
      <c r="I508" s="450"/>
      <c r="J508" s="457"/>
      <c r="K508" s="450"/>
      <c r="L508" s="458">
        <f t="shared" si="237"/>
        <v>0</v>
      </c>
      <c r="M508" s="449">
        <f t="shared" si="238"/>
        <v>0</v>
      </c>
      <c r="N508" s="459"/>
      <c r="O508" s="459"/>
      <c r="P508" s="459"/>
      <c r="Q508" s="459"/>
      <c r="R508" s="460">
        <f t="shared" si="239"/>
        <v>0</v>
      </c>
      <c r="S508" s="461"/>
      <c r="T508" s="461"/>
      <c r="U508" s="461"/>
      <c r="V508" s="461"/>
      <c r="W508" s="462">
        <f t="shared" si="240"/>
        <v>0</v>
      </c>
      <c r="X508" s="463"/>
      <c r="Y508" s="457"/>
      <c r="Z508" s="464"/>
      <c r="AA508" s="464"/>
      <c r="AB508" s="465"/>
      <c r="AC508" s="457"/>
      <c r="AD508" s="464"/>
      <c r="AE508" s="466"/>
      <c r="AF508" s="465"/>
      <c r="AG508" s="457"/>
      <c r="AH508" s="464"/>
      <c r="AI508" s="466"/>
      <c r="AJ508" s="465"/>
      <c r="AK508" s="457"/>
      <c r="AL508" s="464"/>
      <c r="AM508" s="466"/>
      <c r="AN508" s="465"/>
      <c r="AO508" s="457"/>
      <c r="AP508" s="464"/>
      <c r="AQ508" s="464"/>
      <c r="AR508" s="460">
        <f t="shared" si="241"/>
        <v>0</v>
      </c>
      <c r="AS508" s="467">
        <f t="shared" si="242"/>
        <v>0</v>
      </c>
      <c r="AT508" s="447">
        <f t="shared" si="243"/>
        <v>0</v>
      </c>
      <c r="AU508" s="448">
        <f t="shared" si="244"/>
        <v>0</v>
      </c>
      <c r="AV508" s="457"/>
      <c r="AW508" s="450"/>
      <c r="AX508" s="463"/>
      <c r="AY508" s="457"/>
      <c r="AZ508" s="464"/>
      <c r="BA508" s="464"/>
      <c r="BB508" s="465"/>
      <c r="BC508" s="457"/>
      <c r="BD508" s="464"/>
      <c r="BE508" s="466"/>
      <c r="BF508" s="465"/>
      <c r="BG508" s="457"/>
      <c r="BH508" s="464"/>
      <c r="BI508" s="466"/>
      <c r="BJ508" s="465"/>
      <c r="BK508" s="457"/>
      <c r="BL508" s="464"/>
      <c r="BM508" s="466"/>
      <c r="BN508" s="465"/>
      <c r="BO508" s="457"/>
      <c r="BP508" s="464"/>
      <c r="BQ508" s="466"/>
      <c r="BR508" s="465"/>
      <c r="BS508" s="457"/>
      <c r="BT508" s="464"/>
      <c r="BU508" s="466"/>
      <c r="BV508" s="465"/>
      <c r="BW508" s="457"/>
      <c r="BX508" s="464"/>
      <c r="BY508" s="466"/>
      <c r="BZ508" s="465"/>
      <c r="CA508" s="457"/>
      <c r="CB508" s="464"/>
      <c r="CC508" s="466"/>
      <c r="CD508" s="465"/>
      <c r="CE508" s="457"/>
      <c r="CF508" s="464"/>
      <c r="CG508" s="466"/>
      <c r="CH508" s="465"/>
      <c r="CI508" s="457"/>
      <c r="CJ508" s="464"/>
      <c r="CK508" s="466"/>
      <c r="CL508" s="459"/>
      <c r="CM508" s="450"/>
      <c r="CN508" s="468">
        <f t="shared" si="245"/>
        <v>0</v>
      </c>
      <c r="CO508" s="468">
        <f t="shared" si="246"/>
        <v>0</v>
      </c>
      <c r="CP508" s="469">
        <f t="shared" si="247"/>
        <v>0</v>
      </c>
      <c r="CQ508" s="469">
        <f t="shared" si="248"/>
        <v>0</v>
      </c>
      <c r="CR508" s="463"/>
      <c r="CS508" s="457"/>
      <c r="CT508" s="464"/>
      <c r="CU508" s="464"/>
      <c r="CV508" s="465"/>
      <c r="CW508" s="457"/>
      <c r="CX508" s="464"/>
      <c r="CY508" s="466"/>
      <c r="CZ508" s="465"/>
      <c r="DA508" s="457"/>
      <c r="DB508" s="464"/>
      <c r="DC508" s="466"/>
      <c r="DD508" s="465"/>
      <c r="DE508" s="457"/>
      <c r="DF508" s="464"/>
      <c r="DG508" s="466"/>
      <c r="DH508" s="465"/>
      <c r="DI508" s="457"/>
      <c r="DJ508" s="464"/>
      <c r="DK508" s="466"/>
      <c r="DL508" s="465"/>
      <c r="DM508" s="457"/>
      <c r="DN508" s="464"/>
      <c r="DO508" s="466"/>
      <c r="DP508" s="465"/>
      <c r="DQ508" s="457"/>
      <c r="DR508" s="464"/>
      <c r="DS508" s="466"/>
      <c r="DT508" s="465"/>
      <c r="DU508" s="457"/>
      <c r="DV508" s="464"/>
      <c r="DW508" s="466"/>
      <c r="DX508" s="465"/>
      <c r="DY508" s="457"/>
      <c r="DZ508" s="464"/>
      <c r="EA508" s="466"/>
      <c r="EB508" s="465"/>
      <c r="EC508" s="457"/>
      <c r="ED508" s="464"/>
      <c r="EE508" s="466"/>
      <c r="EF508" s="459"/>
      <c r="EG508" s="450"/>
      <c r="EH508" s="460">
        <f t="shared" si="249"/>
        <v>0</v>
      </c>
      <c r="EI508" s="460">
        <f t="shared" si="250"/>
        <v>0</v>
      </c>
      <c r="EJ508" s="458">
        <f t="shared" si="251"/>
        <v>0</v>
      </c>
      <c r="EK508" s="470">
        <f t="shared" si="252"/>
        <v>0</v>
      </c>
      <c r="EL508" s="470">
        <f t="shared" si="253"/>
        <v>0</v>
      </c>
      <c r="EM508" s="449">
        <f t="shared" si="254"/>
        <v>0</v>
      </c>
      <c r="EN508" s="460">
        <f t="shared" si="255"/>
        <v>0</v>
      </c>
      <c r="EO508" s="469">
        <f t="shared" si="256"/>
        <v>0</v>
      </c>
      <c r="EP508" s="471"/>
      <c r="EQ508" s="450"/>
      <c r="ER508" s="471"/>
      <c r="ES508" s="450"/>
      <c r="ET508" s="471"/>
      <c r="EU508" s="450"/>
      <c r="EV508" s="471"/>
      <c r="EW508" s="450"/>
      <c r="EX508" s="471"/>
      <c r="EY508" s="450"/>
      <c r="EZ508" s="471"/>
      <c r="FA508" s="450"/>
      <c r="FB508" s="471"/>
      <c r="FC508" s="450"/>
      <c r="FD508" s="471"/>
      <c r="FE508" s="450"/>
      <c r="FF508" s="471"/>
      <c r="FG508" s="450"/>
      <c r="FH508" s="472"/>
      <c r="FI508" s="450"/>
      <c r="FJ508" s="468">
        <f t="shared" si="257"/>
        <v>0</v>
      </c>
      <c r="FK508" s="469">
        <f t="shared" si="258"/>
        <v>0</v>
      </c>
      <c r="FL508" s="472"/>
      <c r="FM508" s="450"/>
      <c r="FN508" s="460">
        <f t="shared" si="259"/>
        <v>257</v>
      </c>
      <c r="FO508" s="469">
        <f t="shared" si="260"/>
        <v>137</v>
      </c>
    </row>
    <row r="509" spans="1:171" x14ac:dyDescent="0.2">
      <c r="A509" s="729" t="s">
        <v>802</v>
      </c>
      <c r="B509" s="617" t="s">
        <v>834</v>
      </c>
      <c r="C509" s="618"/>
      <c r="D509" s="619">
        <v>220279</v>
      </c>
      <c r="E509" s="656">
        <v>13</v>
      </c>
      <c r="F509" s="532">
        <v>378</v>
      </c>
      <c r="G509" s="622">
        <v>301</v>
      </c>
      <c r="H509" s="457"/>
      <c r="I509" s="450"/>
      <c r="J509" s="457"/>
      <c r="K509" s="450"/>
      <c r="L509" s="458">
        <f t="shared" si="237"/>
        <v>0</v>
      </c>
      <c r="M509" s="449">
        <f t="shared" si="238"/>
        <v>0</v>
      </c>
      <c r="N509" s="459"/>
      <c r="O509" s="459"/>
      <c r="P509" s="459"/>
      <c r="Q509" s="459"/>
      <c r="R509" s="460">
        <f t="shared" si="239"/>
        <v>0</v>
      </c>
      <c r="S509" s="461"/>
      <c r="T509" s="461"/>
      <c r="U509" s="461"/>
      <c r="V509" s="461"/>
      <c r="W509" s="462">
        <f t="shared" si="240"/>
        <v>0</v>
      </c>
      <c r="X509" s="463"/>
      <c r="Y509" s="457"/>
      <c r="Z509" s="464"/>
      <c r="AA509" s="464"/>
      <c r="AB509" s="465"/>
      <c r="AC509" s="457"/>
      <c r="AD509" s="464"/>
      <c r="AE509" s="466"/>
      <c r="AF509" s="465"/>
      <c r="AG509" s="457"/>
      <c r="AH509" s="464"/>
      <c r="AI509" s="466"/>
      <c r="AJ509" s="465"/>
      <c r="AK509" s="457"/>
      <c r="AL509" s="464"/>
      <c r="AM509" s="466"/>
      <c r="AN509" s="465"/>
      <c r="AO509" s="457"/>
      <c r="AP509" s="464"/>
      <c r="AQ509" s="464"/>
      <c r="AR509" s="460">
        <f t="shared" si="241"/>
        <v>0</v>
      </c>
      <c r="AS509" s="467">
        <f t="shared" si="242"/>
        <v>0</v>
      </c>
      <c r="AT509" s="447">
        <f t="shared" si="243"/>
        <v>0</v>
      </c>
      <c r="AU509" s="448">
        <f t="shared" si="244"/>
        <v>0</v>
      </c>
      <c r="AV509" s="457"/>
      <c r="AW509" s="450"/>
      <c r="AX509" s="463"/>
      <c r="AY509" s="457"/>
      <c r="AZ509" s="464"/>
      <c r="BA509" s="464"/>
      <c r="BB509" s="465"/>
      <c r="BC509" s="457"/>
      <c r="BD509" s="464"/>
      <c r="BE509" s="466"/>
      <c r="BF509" s="465"/>
      <c r="BG509" s="457"/>
      <c r="BH509" s="464"/>
      <c r="BI509" s="466"/>
      <c r="BJ509" s="465"/>
      <c r="BK509" s="457"/>
      <c r="BL509" s="464"/>
      <c r="BM509" s="466"/>
      <c r="BN509" s="465"/>
      <c r="BO509" s="457"/>
      <c r="BP509" s="464"/>
      <c r="BQ509" s="466"/>
      <c r="BR509" s="465"/>
      <c r="BS509" s="457"/>
      <c r="BT509" s="464"/>
      <c r="BU509" s="466"/>
      <c r="BV509" s="465"/>
      <c r="BW509" s="457"/>
      <c r="BX509" s="464"/>
      <c r="BY509" s="466"/>
      <c r="BZ509" s="465"/>
      <c r="CA509" s="457"/>
      <c r="CB509" s="464"/>
      <c r="CC509" s="466"/>
      <c r="CD509" s="465"/>
      <c r="CE509" s="457"/>
      <c r="CF509" s="464"/>
      <c r="CG509" s="466"/>
      <c r="CH509" s="465"/>
      <c r="CI509" s="457"/>
      <c r="CJ509" s="464"/>
      <c r="CK509" s="466"/>
      <c r="CL509" s="459"/>
      <c r="CM509" s="450"/>
      <c r="CN509" s="468">
        <f t="shared" si="245"/>
        <v>0</v>
      </c>
      <c r="CO509" s="468">
        <f t="shared" si="246"/>
        <v>0</v>
      </c>
      <c r="CP509" s="469">
        <f t="shared" si="247"/>
        <v>0</v>
      </c>
      <c r="CQ509" s="469">
        <f t="shared" si="248"/>
        <v>0</v>
      </c>
      <c r="CR509" s="463"/>
      <c r="CS509" s="457"/>
      <c r="CT509" s="464"/>
      <c r="CU509" s="464"/>
      <c r="CV509" s="465"/>
      <c r="CW509" s="457"/>
      <c r="CX509" s="464"/>
      <c r="CY509" s="466"/>
      <c r="CZ509" s="465"/>
      <c r="DA509" s="457"/>
      <c r="DB509" s="464"/>
      <c r="DC509" s="466"/>
      <c r="DD509" s="465"/>
      <c r="DE509" s="457"/>
      <c r="DF509" s="464"/>
      <c r="DG509" s="466"/>
      <c r="DH509" s="465"/>
      <c r="DI509" s="457"/>
      <c r="DJ509" s="464"/>
      <c r="DK509" s="466"/>
      <c r="DL509" s="465"/>
      <c r="DM509" s="457"/>
      <c r="DN509" s="464"/>
      <c r="DO509" s="466"/>
      <c r="DP509" s="465"/>
      <c r="DQ509" s="457"/>
      <c r="DR509" s="464"/>
      <c r="DS509" s="466"/>
      <c r="DT509" s="465"/>
      <c r="DU509" s="457"/>
      <c r="DV509" s="464"/>
      <c r="DW509" s="466"/>
      <c r="DX509" s="465"/>
      <c r="DY509" s="457"/>
      <c r="DZ509" s="464"/>
      <c r="EA509" s="466"/>
      <c r="EB509" s="465"/>
      <c r="EC509" s="457"/>
      <c r="ED509" s="464"/>
      <c r="EE509" s="466"/>
      <c r="EF509" s="459"/>
      <c r="EG509" s="450"/>
      <c r="EH509" s="460">
        <f t="shared" si="249"/>
        <v>0</v>
      </c>
      <c r="EI509" s="460">
        <f t="shared" si="250"/>
        <v>0</v>
      </c>
      <c r="EJ509" s="458">
        <f t="shared" si="251"/>
        <v>0</v>
      </c>
      <c r="EK509" s="470">
        <f t="shared" si="252"/>
        <v>0</v>
      </c>
      <c r="EL509" s="470">
        <f t="shared" si="253"/>
        <v>0</v>
      </c>
      <c r="EM509" s="449">
        <f t="shared" si="254"/>
        <v>0</v>
      </c>
      <c r="EN509" s="460">
        <f t="shared" si="255"/>
        <v>0</v>
      </c>
      <c r="EO509" s="469">
        <f t="shared" si="256"/>
        <v>0</v>
      </c>
      <c r="EP509" s="471"/>
      <c r="EQ509" s="450"/>
      <c r="ER509" s="471"/>
      <c r="ES509" s="450"/>
      <c r="ET509" s="471"/>
      <c r="EU509" s="450"/>
      <c r="EV509" s="471"/>
      <c r="EW509" s="450"/>
      <c r="EX509" s="471"/>
      <c r="EY509" s="450"/>
      <c r="EZ509" s="471"/>
      <c r="FA509" s="450"/>
      <c r="FB509" s="471"/>
      <c r="FC509" s="450"/>
      <c r="FD509" s="471"/>
      <c r="FE509" s="450"/>
      <c r="FF509" s="471"/>
      <c r="FG509" s="450"/>
      <c r="FH509" s="472"/>
      <c r="FI509" s="450"/>
      <c r="FJ509" s="468">
        <f t="shared" si="257"/>
        <v>0</v>
      </c>
      <c r="FK509" s="469">
        <f t="shared" si="258"/>
        <v>0</v>
      </c>
      <c r="FL509" s="472"/>
      <c r="FM509" s="450"/>
      <c r="FN509" s="460">
        <f t="shared" si="259"/>
        <v>378</v>
      </c>
      <c r="FO509" s="469">
        <f t="shared" si="260"/>
        <v>301</v>
      </c>
    </row>
    <row r="510" spans="1:171" x14ac:dyDescent="0.2">
      <c r="A510" s="729" t="s">
        <v>802</v>
      </c>
      <c r="B510" s="617" t="s">
        <v>835</v>
      </c>
      <c r="C510" s="618"/>
      <c r="D510" s="619">
        <v>220321</v>
      </c>
      <c r="E510" s="656">
        <v>13</v>
      </c>
      <c r="F510" s="532">
        <v>318</v>
      </c>
      <c r="G510" s="622">
        <v>255</v>
      </c>
      <c r="H510" s="457"/>
      <c r="I510" s="450"/>
      <c r="J510" s="457"/>
      <c r="K510" s="450"/>
      <c r="L510" s="458">
        <f t="shared" si="237"/>
        <v>0</v>
      </c>
      <c r="M510" s="449">
        <f t="shared" si="238"/>
        <v>0</v>
      </c>
      <c r="N510" s="459"/>
      <c r="O510" s="459"/>
      <c r="P510" s="459"/>
      <c r="Q510" s="459"/>
      <c r="R510" s="460">
        <f t="shared" si="239"/>
        <v>0</v>
      </c>
      <c r="S510" s="461"/>
      <c r="T510" s="461"/>
      <c r="U510" s="461"/>
      <c r="V510" s="461"/>
      <c r="W510" s="462">
        <f t="shared" si="240"/>
        <v>0</v>
      </c>
      <c r="X510" s="463"/>
      <c r="Y510" s="457"/>
      <c r="Z510" s="464"/>
      <c r="AA510" s="464"/>
      <c r="AB510" s="465"/>
      <c r="AC510" s="457"/>
      <c r="AD510" s="464"/>
      <c r="AE510" s="466"/>
      <c r="AF510" s="465"/>
      <c r="AG510" s="457"/>
      <c r="AH510" s="464"/>
      <c r="AI510" s="466"/>
      <c r="AJ510" s="465"/>
      <c r="AK510" s="457"/>
      <c r="AL510" s="464"/>
      <c r="AM510" s="466"/>
      <c r="AN510" s="465"/>
      <c r="AO510" s="457"/>
      <c r="AP510" s="464"/>
      <c r="AQ510" s="464"/>
      <c r="AR510" s="460">
        <f t="shared" si="241"/>
        <v>0</v>
      </c>
      <c r="AS510" s="467">
        <f t="shared" si="242"/>
        <v>0</v>
      </c>
      <c r="AT510" s="447">
        <f t="shared" si="243"/>
        <v>0</v>
      </c>
      <c r="AU510" s="448">
        <f t="shared" si="244"/>
        <v>0</v>
      </c>
      <c r="AV510" s="457"/>
      <c r="AW510" s="450"/>
      <c r="AX510" s="463"/>
      <c r="AY510" s="457"/>
      <c r="AZ510" s="464"/>
      <c r="BA510" s="464"/>
      <c r="BB510" s="465"/>
      <c r="BC510" s="457"/>
      <c r="BD510" s="464"/>
      <c r="BE510" s="466"/>
      <c r="BF510" s="465"/>
      <c r="BG510" s="457"/>
      <c r="BH510" s="464"/>
      <c r="BI510" s="466"/>
      <c r="BJ510" s="465"/>
      <c r="BK510" s="457"/>
      <c r="BL510" s="464"/>
      <c r="BM510" s="466"/>
      <c r="BN510" s="465"/>
      <c r="BO510" s="457"/>
      <c r="BP510" s="464"/>
      <c r="BQ510" s="466"/>
      <c r="BR510" s="465"/>
      <c r="BS510" s="457"/>
      <c r="BT510" s="464"/>
      <c r="BU510" s="466"/>
      <c r="BV510" s="465"/>
      <c r="BW510" s="457"/>
      <c r="BX510" s="464"/>
      <c r="BY510" s="466"/>
      <c r="BZ510" s="465"/>
      <c r="CA510" s="457"/>
      <c r="CB510" s="464"/>
      <c r="CC510" s="466"/>
      <c r="CD510" s="465"/>
      <c r="CE510" s="457"/>
      <c r="CF510" s="464"/>
      <c r="CG510" s="466"/>
      <c r="CH510" s="465"/>
      <c r="CI510" s="457"/>
      <c r="CJ510" s="464"/>
      <c r="CK510" s="466"/>
      <c r="CL510" s="459"/>
      <c r="CM510" s="450"/>
      <c r="CN510" s="468">
        <f t="shared" si="245"/>
        <v>0</v>
      </c>
      <c r="CO510" s="468">
        <f t="shared" si="246"/>
        <v>0</v>
      </c>
      <c r="CP510" s="469">
        <f t="shared" si="247"/>
        <v>0</v>
      </c>
      <c r="CQ510" s="469">
        <f t="shared" si="248"/>
        <v>0</v>
      </c>
      <c r="CR510" s="463"/>
      <c r="CS510" s="457"/>
      <c r="CT510" s="464"/>
      <c r="CU510" s="464"/>
      <c r="CV510" s="465"/>
      <c r="CW510" s="457"/>
      <c r="CX510" s="464"/>
      <c r="CY510" s="466"/>
      <c r="CZ510" s="465"/>
      <c r="DA510" s="457"/>
      <c r="DB510" s="464"/>
      <c r="DC510" s="466"/>
      <c r="DD510" s="465"/>
      <c r="DE510" s="457"/>
      <c r="DF510" s="464"/>
      <c r="DG510" s="466"/>
      <c r="DH510" s="465"/>
      <c r="DI510" s="457"/>
      <c r="DJ510" s="464"/>
      <c r="DK510" s="466"/>
      <c r="DL510" s="465"/>
      <c r="DM510" s="457"/>
      <c r="DN510" s="464"/>
      <c r="DO510" s="466"/>
      <c r="DP510" s="465"/>
      <c r="DQ510" s="457"/>
      <c r="DR510" s="464"/>
      <c r="DS510" s="466"/>
      <c r="DT510" s="465"/>
      <c r="DU510" s="457"/>
      <c r="DV510" s="464"/>
      <c r="DW510" s="466"/>
      <c r="DX510" s="465"/>
      <c r="DY510" s="457"/>
      <c r="DZ510" s="464"/>
      <c r="EA510" s="466"/>
      <c r="EB510" s="465"/>
      <c r="EC510" s="457"/>
      <c r="ED510" s="464"/>
      <c r="EE510" s="466"/>
      <c r="EF510" s="459"/>
      <c r="EG510" s="450"/>
      <c r="EH510" s="460">
        <f t="shared" si="249"/>
        <v>0</v>
      </c>
      <c r="EI510" s="460">
        <f t="shared" si="250"/>
        <v>0</v>
      </c>
      <c r="EJ510" s="458">
        <f t="shared" si="251"/>
        <v>0</v>
      </c>
      <c r="EK510" s="470">
        <f t="shared" si="252"/>
        <v>0</v>
      </c>
      <c r="EL510" s="470">
        <f t="shared" si="253"/>
        <v>0</v>
      </c>
      <c r="EM510" s="449">
        <f t="shared" si="254"/>
        <v>0</v>
      </c>
      <c r="EN510" s="460">
        <f t="shared" si="255"/>
        <v>0</v>
      </c>
      <c r="EO510" s="469">
        <f t="shared" si="256"/>
        <v>0</v>
      </c>
      <c r="EP510" s="471"/>
      <c r="EQ510" s="450"/>
      <c r="ER510" s="471"/>
      <c r="ES510" s="450"/>
      <c r="ET510" s="471"/>
      <c r="EU510" s="450"/>
      <c r="EV510" s="471"/>
      <c r="EW510" s="450"/>
      <c r="EX510" s="471"/>
      <c r="EY510" s="450"/>
      <c r="EZ510" s="471"/>
      <c r="FA510" s="450"/>
      <c r="FB510" s="471"/>
      <c r="FC510" s="450"/>
      <c r="FD510" s="471"/>
      <c r="FE510" s="450"/>
      <c r="FF510" s="471"/>
      <c r="FG510" s="450"/>
      <c r="FH510" s="472"/>
      <c r="FI510" s="450"/>
      <c r="FJ510" s="468">
        <f t="shared" si="257"/>
        <v>0</v>
      </c>
      <c r="FK510" s="469">
        <f t="shared" si="258"/>
        <v>0</v>
      </c>
      <c r="FL510" s="472"/>
      <c r="FM510" s="450"/>
      <c r="FN510" s="460">
        <f t="shared" si="259"/>
        <v>318</v>
      </c>
      <c r="FO510" s="469">
        <f t="shared" si="260"/>
        <v>255</v>
      </c>
    </row>
    <row r="511" spans="1:171" x14ac:dyDescent="0.2">
      <c r="A511" s="729" t="s">
        <v>802</v>
      </c>
      <c r="B511" s="617" t="s">
        <v>836</v>
      </c>
      <c r="C511" s="618"/>
      <c r="D511" s="619">
        <v>220394</v>
      </c>
      <c r="E511" s="656">
        <v>13</v>
      </c>
      <c r="F511" s="532">
        <v>162</v>
      </c>
      <c r="G511" s="622">
        <v>135</v>
      </c>
      <c r="H511" s="457"/>
      <c r="I511" s="450"/>
      <c r="J511" s="457"/>
      <c r="K511" s="450"/>
      <c r="L511" s="458">
        <f t="shared" si="237"/>
        <v>0</v>
      </c>
      <c r="M511" s="449">
        <f t="shared" si="238"/>
        <v>0</v>
      </c>
      <c r="N511" s="459"/>
      <c r="O511" s="459"/>
      <c r="P511" s="459"/>
      <c r="Q511" s="459"/>
      <c r="R511" s="460">
        <f t="shared" si="239"/>
        <v>0</v>
      </c>
      <c r="S511" s="461"/>
      <c r="T511" s="461"/>
      <c r="U511" s="461"/>
      <c r="V511" s="461"/>
      <c r="W511" s="462">
        <f t="shared" si="240"/>
        <v>0</v>
      </c>
      <c r="X511" s="463"/>
      <c r="Y511" s="457"/>
      <c r="Z511" s="464"/>
      <c r="AA511" s="464"/>
      <c r="AB511" s="465"/>
      <c r="AC511" s="457"/>
      <c r="AD511" s="464"/>
      <c r="AE511" s="466"/>
      <c r="AF511" s="465"/>
      <c r="AG511" s="457"/>
      <c r="AH511" s="464"/>
      <c r="AI511" s="466"/>
      <c r="AJ511" s="465"/>
      <c r="AK511" s="457"/>
      <c r="AL511" s="464"/>
      <c r="AM511" s="466"/>
      <c r="AN511" s="465"/>
      <c r="AO511" s="457"/>
      <c r="AP511" s="464"/>
      <c r="AQ511" s="464"/>
      <c r="AR511" s="460">
        <f t="shared" si="241"/>
        <v>0</v>
      </c>
      <c r="AS511" s="467">
        <f t="shared" si="242"/>
        <v>0</v>
      </c>
      <c r="AT511" s="447">
        <f t="shared" si="243"/>
        <v>0</v>
      </c>
      <c r="AU511" s="448">
        <f t="shared" si="244"/>
        <v>0</v>
      </c>
      <c r="AV511" s="457"/>
      <c r="AW511" s="450"/>
      <c r="AX511" s="463"/>
      <c r="AY511" s="457"/>
      <c r="AZ511" s="464"/>
      <c r="BA511" s="464"/>
      <c r="BB511" s="465"/>
      <c r="BC511" s="457"/>
      <c r="BD511" s="464"/>
      <c r="BE511" s="466"/>
      <c r="BF511" s="465"/>
      <c r="BG511" s="457"/>
      <c r="BH511" s="464"/>
      <c r="BI511" s="466"/>
      <c r="BJ511" s="465"/>
      <c r="BK511" s="457"/>
      <c r="BL511" s="464"/>
      <c r="BM511" s="466"/>
      <c r="BN511" s="465"/>
      <c r="BO511" s="457"/>
      <c r="BP511" s="464"/>
      <c r="BQ511" s="466"/>
      <c r="BR511" s="465"/>
      <c r="BS511" s="457"/>
      <c r="BT511" s="464"/>
      <c r="BU511" s="466"/>
      <c r="BV511" s="465"/>
      <c r="BW511" s="457"/>
      <c r="BX511" s="464"/>
      <c r="BY511" s="466"/>
      <c r="BZ511" s="465"/>
      <c r="CA511" s="457"/>
      <c r="CB511" s="464"/>
      <c r="CC511" s="466"/>
      <c r="CD511" s="465"/>
      <c r="CE511" s="457"/>
      <c r="CF511" s="464"/>
      <c r="CG511" s="466"/>
      <c r="CH511" s="465"/>
      <c r="CI511" s="457"/>
      <c r="CJ511" s="464"/>
      <c r="CK511" s="466"/>
      <c r="CL511" s="459"/>
      <c r="CM511" s="450"/>
      <c r="CN511" s="468">
        <f t="shared" si="245"/>
        <v>0</v>
      </c>
      <c r="CO511" s="468">
        <f t="shared" si="246"/>
        <v>0</v>
      </c>
      <c r="CP511" s="469">
        <f t="shared" si="247"/>
        <v>0</v>
      </c>
      <c r="CQ511" s="469">
        <f t="shared" si="248"/>
        <v>0</v>
      </c>
      <c r="CR511" s="463"/>
      <c r="CS511" s="457"/>
      <c r="CT511" s="464"/>
      <c r="CU511" s="464"/>
      <c r="CV511" s="465"/>
      <c r="CW511" s="457"/>
      <c r="CX511" s="464"/>
      <c r="CY511" s="466"/>
      <c r="CZ511" s="465"/>
      <c r="DA511" s="457"/>
      <c r="DB511" s="464"/>
      <c r="DC511" s="466"/>
      <c r="DD511" s="465"/>
      <c r="DE511" s="457"/>
      <c r="DF511" s="464"/>
      <c r="DG511" s="466"/>
      <c r="DH511" s="465"/>
      <c r="DI511" s="457"/>
      <c r="DJ511" s="464"/>
      <c r="DK511" s="466"/>
      <c r="DL511" s="465"/>
      <c r="DM511" s="457"/>
      <c r="DN511" s="464"/>
      <c r="DO511" s="466"/>
      <c r="DP511" s="465"/>
      <c r="DQ511" s="457"/>
      <c r="DR511" s="464"/>
      <c r="DS511" s="466"/>
      <c r="DT511" s="465"/>
      <c r="DU511" s="457"/>
      <c r="DV511" s="464"/>
      <c r="DW511" s="466"/>
      <c r="DX511" s="465"/>
      <c r="DY511" s="457"/>
      <c r="DZ511" s="464"/>
      <c r="EA511" s="466"/>
      <c r="EB511" s="465"/>
      <c r="EC511" s="457"/>
      <c r="ED511" s="464"/>
      <c r="EE511" s="466"/>
      <c r="EF511" s="459"/>
      <c r="EG511" s="450"/>
      <c r="EH511" s="460">
        <f t="shared" si="249"/>
        <v>0</v>
      </c>
      <c r="EI511" s="460">
        <f t="shared" si="250"/>
        <v>0</v>
      </c>
      <c r="EJ511" s="458">
        <f t="shared" si="251"/>
        <v>0</v>
      </c>
      <c r="EK511" s="470">
        <f t="shared" si="252"/>
        <v>0</v>
      </c>
      <c r="EL511" s="470">
        <f t="shared" si="253"/>
        <v>0</v>
      </c>
      <c r="EM511" s="449">
        <f t="shared" si="254"/>
        <v>0</v>
      </c>
      <c r="EN511" s="460">
        <f t="shared" si="255"/>
        <v>0</v>
      </c>
      <c r="EO511" s="469">
        <f t="shared" si="256"/>
        <v>0</v>
      </c>
      <c r="EP511" s="471"/>
      <c r="EQ511" s="450"/>
      <c r="ER511" s="471"/>
      <c r="ES511" s="450"/>
      <c r="ET511" s="471"/>
      <c r="EU511" s="450"/>
      <c r="EV511" s="471"/>
      <c r="EW511" s="450"/>
      <c r="EX511" s="471"/>
      <c r="EY511" s="450"/>
      <c r="EZ511" s="471"/>
      <c r="FA511" s="450"/>
      <c r="FB511" s="471"/>
      <c r="FC511" s="450"/>
      <c r="FD511" s="471"/>
      <c r="FE511" s="450"/>
      <c r="FF511" s="471"/>
      <c r="FG511" s="450"/>
      <c r="FH511" s="472"/>
      <c r="FI511" s="450"/>
      <c r="FJ511" s="468">
        <f t="shared" si="257"/>
        <v>0</v>
      </c>
      <c r="FK511" s="469">
        <f t="shared" si="258"/>
        <v>0</v>
      </c>
      <c r="FL511" s="472"/>
      <c r="FM511" s="450"/>
      <c r="FN511" s="460">
        <f t="shared" si="259"/>
        <v>162</v>
      </c>
      <c r="FO511" s="469">
        <f t="shared" si="260"/>
        <v>135</v>
      </c>
    </row>
    <row r="512" spans="1:171" x14ac:dyDescent="0.2">
      <c r="A512" s="729" t="s">
        <v>802</v>
      </c>
      <c r="B512" s="617" t="s">
        <v>837</v>
      </c>
      <c r="C512" s="618"/>
      <c r="D512" s="619">
        <v>221616</v>
      </c>
      <c r="E512" s="656">
        <v>13</v>
      </c>
      <c r="F512" s="532">
        <v>435</v>
      </c>
      <c r="G512" s="622">
        <v>414</v>
      </c>
      <c r="H512" s="457"/>
      <c r="I512" s="450"/>
      <c r="J512" s="457"/>
      <c r="K512" s="450"/>
      <c r="L512" s="458">
        <f t="shared" si="237"/>
        <v>0</v>
      </c>
      <c r="M512" s="449">
        <f t="shared" si="238"/>
        <v>0</v>
      </c>
      <c r="N512" s="459"/>
      <c r="O512" s="459"/>
      <c r="P512" s="459"/>
      <c r="Q512" s="459"/>
      <c r="R512" s="460">
        <f t="shared" si="239"/>
        <v>0</v>
      </c>
      <c r="S512" s="461"/>
      <c r="T512" s="461"/>
      <c r="U512" s="461"/>
      <c r="V512" s="461"/>
      <c r="W512" s="462">
        <f t="shared" si="240"/>
        <v>0</v>
      </c>
      <c r="X512" s="463"/>
      <c r="Y512" s="457"/>
      <c r="Z512" s="464"/>
      <c r="AA512" s="464"/>
      <c r="AB512" s="465"/>
      <c r="AC512" s="457"/>
      <c r="AD512" s="464"/>
      <c r="AE512" s="466"/>
      <c r="AF512" s="465"/>
      <c r="AG512" s="457"/>
      <c r="AH512" s="464"/>
      <c r="AI512" s="466"/>
      <c r="AJ512" s="465"/>
      <c r="AK512" s="457"/>
      <c r="AL512" s="464"/>
      <c r="AM512" s="466"/>
      <c r="AN512" s="465"/>
      <c r="AO512" s="457"/>
      <c r="AP512" s="464"/>
      <c r="AQ512" s="464"/>
      <c r="AR512" s="460">
        <f t="shared" si="241"/>
        <v>0</v>
      </c>
      <c r="AS512" s="467">
        <f t="shared" si="242"/>
        <v>0</v>
      </c>
      <c r="AT512" s="447">
        <f t="shared" si="243"/>
        <v>0</v>
      </c>
      <c r="AU512" s="448">
        <f t="shared" si="244"/>
        <v>0</v>
      </c>
      <c r="AV512" s="457"/>
      <c r="AW512" s="450"/>
      <c r="AX512" s="463"/>
      <c r="AY512" s="457"/>
      <c r="AZ512" s="464"/>
      <c r="BA512" s="464"/>
      <c r="BB512" s="465"/>
      <c r="BC512" s="457"/>
      <c r="BD512" s="464"/>
      <c r="BE512" s="466"/>
      <c r="BF512" s="465"/>
      <c r="BG512" s="457"/>
      <c r="BH512" s="464"/>
      <c r="BI512" s="466"/>
      <c r="BJ512" s="465"/>
      <c r="BK512" s="457"/>
      <c r="BL512" s="464"/>
      <c r="BM512" s="466"/>
      <c r="BN512" s="465"/>
      <c r="BO512" s="457"/>
      <c r="BP512" s="464"/>
      <c r="BQ512" s="466"/>
      <c r="BR512" s="465"/>
      <c r="BS512" s="457"/>
      <c r="BT512" s="464"/>
      <c r="BU512" s="466"/>
      <c r="BV512" s="465"/>
      <c r="BW512" s="457"/>
      <c r="BX512" s="464"/>
      <c r="BY512" s="466"/>
      <c r="BZ512" s="465"/>
      <c r="CA512" s="457"/>
      <c r="CB512" s="464"/>
      <c r="CC512" s="466"/>
      <c r="CD512" s="465"/>
      <c r="CE512" s="457"/>
      <c r="CF512" s="464"/>
      <c r="CG512" s="466"/>
      <c r="CH512" s="465"/>
      <c r="CI512" s="457"/>
      <c r="CJ512" s="464"/>
      <c r="CK512" s="466"/>
      <c r="CL512" s="459"/>
      <c r="CM512" s="450"/>
      <c r="CN512" s="468">
        <f t="shared" si="245"/>
        <v>0</v>
      </c>
      <c r="CO512" s="468">
        <f t="shared" si="246"/>
        <v>0</v>
      </c>
      <c r="CP512" s="469">
        <f t="shared" si="247"/>
        <v>0</v>
      </c>
      <c r="CQ512" s="469">
        <f t="shared" si="248"/>
        <v>0</v>
      </c>
      <c r="CR512" s="463"/>
      <c r="CS512" s="457"/>
      <c r="CT512" s="464"/>
      <c r="CU512" s="464"/>
      <c r="CV512" s="465"/>
      <c r="CW512" s="457"/>
      <c r="CX512" s="464"/>
      <c r="CY512" s="466"/>
      <c r="CZ512" s="465"/>
      <c r="DA512" s="457"/>
      <c r="DB512" s="464"/>
      <c r="DC512" s="466"/>
      <c r="DD512" s="465"/>
      <c r="DE512" s="457"/>
      <c r="DF512" s="464"/>
      <c r="DG512" s="466"/>
      <c r="DH512" s="465"/>
      <c r="DI512" s="457"/>
      <c r="DJ512" s="464"/>
      <c r="DK512" s="466"/>
      <c r="DL512" s="465"/>
      <c r="DM512" s="457"/>
      <c r="DN512" s="464"/>
      <c r="DO512" s="466"/>
      <c r="DP512" s="465"/>
      <c r="DQ512" s="457"/>
      <c r="DR512" s="464"/>
      <c r="DS512" s="466"/>
      <c r="DT512" s="465"/>
      <c r="DU512" s="457"/>
      <c r="DV512" s="464"/>
      <c r="DW512" s="466"/>
      <c r="DX512" s="465"/>
      <c r="DY512" s="457"/>
      <c r="DZ512" s="464"/>
      <c r="EA512" s="466"/>
      <c r="EB512" s="465"/>
      <c r="EC512" s="457"/>
      <c r="ED512" s="464"/>
      <c r="EE512" s="466"/>
      <c r="EF512" s="459"/>
      <c r="EG512" s="450"/>
      <c r="EH512" s="460">
        <f t="shared" si="249"/>
        <v>0</v>
      </c>
      <c r="EI512" s="460">
        <f t="shared" si="250"/>
        <v>0</v>
      </c>
      <c r="EJ512" s="458">
        <f t="shared" si="251"/>
        <v>0</v>
      </c>
      <c r="EK512" s="470">
        <f t="shared" si="252"/>
        <v>0</v>
      </c>
      <c r="EL512" s="470">
        <f t="shared" si="253"/>
        <v>0</v>
      </c>
      <c r="EM512" s="449">
        <f t="shared" si="254"/>
        <v>0</v>
      </c>
      <c r="EN512" s="460">
        <f t="shared" si="255"/>
        <v>0</v>
      </c>
      <c r="EO512" s="469">
        <f t="shared" si="256"/>
        <v>0</v>
      </c>
      <c r="EP512" s="471"/>
      <c r="EQ512" s="450"/>
      <c r="ER512" s="471"/>
      <c r="ES512" s="450"/>
      <c r="ET512" s="471"/>
      <c r="EU512" s="450"/>
      <c r="EV512" s="471"/>
      <c r="EW512" s="450"/>
      <c r="EX512" s="471"/>
      <c r="EY512" s="450"/>
      <c r="EZ512" s="471"/>
      <c r="FA512" s="450"/>
      <c r="FB512" s="471"/>
      <c r="FC512" s="450"/>
      <c r="FD512" s="471"/>
      <c r="FE512" s="450"/>
      <c r="FF512" s="471"/>
      <c r="FG512" s="450"/>
      <c r="FH512" s="472"/>
      <c r="FI512" s="450"/>
      <c r="FJ512" s="468">
        <f t="shared" si="257"/>
        <v>0</v>
      </c>
      <c r="FK512" s="469">
        <f t="shared" si="258"/>
        <v>0</v>
      </c>
      <c r="FL512" s="472"/>
      <c r="FM512" s="450"/>
      <c r="FN512" s="460">
        <f t="shared" si="259"/>
        <v>435</v>
      </c>
      <c r="FO512" s="469">
        <f t="shared" si="260"/>
        <v>414</v>
      </c>
    </row>
    <row r="513" spans="1:171" x14ac:dyDescent="0.2">
      <c r="A513" s="729" t="s">
        <v>802</v>
      </c>
      <c r="B513" s="617" t="s">
        <v>838</v>
      </c>
      <c r="C513" s="618"/>
      <c r="D513" s="619">
        <v>221625</v>
      </c>
      <c r="E513" s="656">
        <v>13</v>
      </c>
      <c r="F513" s="532">
        <v>494</v>
      </c>
      <c r="G513" s="622">
        <v>420</v>
      </c>
      <c r="H513" s="457"/>
      <c r="I513" s="450"/>
      <c r="J513" s="457"/>
      <c r="K513" s="450"/>
      <c r="L513" s="458">
        <f t="shared" si="237"/>
        <v>0</v>
      </c>
      <c r="M513" s="449">
        <f t="shared" si="238"/>
        <v>0</v>
      </c>
      <c r="N513" s="459"/>
      <c r="O513" s="459"/>
      <c r="P513" s="459"/>
      <c r="Q513" s="459"/>
      <c r="R513" s="460">
        <f t="shared" si="239"/>
        <v>0</v>
      </c>
      <c r="S513" s="461"/>
      <c r="T513" s="461"/>
      <c r="U513" s="461"/>
      <c r="V513" s="461"/>
      <c r="W513" s="462">
        <f t="shared" si="240"/>
        <v>0</v>
      </c>
      <c r="X513" s="463"/>
      <c r="Y513" s="457"/>
      <c r="Z513" s="464"/>
      <c r="AA513" s="464"/>
      <c r="AB513" s="465"/>
      <c r="AC513" s="457"/>
      <c r="AD513" s="464"/>
      <c r="AE513" s="466"/>
      <c r="AF513" s="465"/>
      <c r="AG513" s="457"/>
      <c r="AH513" s="464"/>
      <c r="AI513" s="466"/>
      <c r="AJ513" s="465"/>
      <c r="AK513" s="457"/>
      <c r="AL513" s="464"/>
      <c r="AM513" s="466"/>
      <c r="AN513" s="465"/>
      <c r="AO513" s="457"/>
      <c r="AP513" s="464"/>
      <c r="AQ513" s="464"/>
      <c r="AR513" s="460">
        <f t="shared" si="241"/>
        <v>0</v>
      </c>
      <c r="AS513" s="467">
        <f t="shared" si="242"/>
        <v>0</v>
      </c>
      <c r="AT513" s="447">
        <f t="shared" si="243"/>
        <v>0</v>
      </c>
      <c r="AU513" s="448">
        <f t="shared" si="244"/>
        <v>0</v>
      </c>
      <c r="AV513" s="457"/>
      <c r="AW513" s="450"/>
      <c r="AX513" s="463"/>
      <c r="AY513" s="457"/>
      <c r="AZ513" s="464"/>
      <c r="BA513" s="464"/>
      <c r="BB513" s="465"/>
      <c r="BC513" s="457"/>
      <c r="BD513" s="464"/>
      <c r="BE513" s="466"/>
      <c r="BF513" s="465"/>
      <c r="BG513" s="457"/>
      <c r="BH513" s="464"/>
      <c r="BI513" s="466"/>
      <c r="BJ513" s="465"/>
      <c r="BK513" s="457"/>
      <c r="BL513" s="464"/>
      <c r="BM513" s="466"/>
      <c r="BN513" s="465"/>
      <c r="BO513" s="457"/>
      <c r="BP513" s="464"/>
      <c r="BQ513" s="466"/>
      <c r="BR513" s="465"/>
      <c r="BS513" s="457"/>
      <c r="BT513" s="464"/>
      <c r="BU513" s="466"/>
      <c r="BV513" s="465"/>
      <c r="BW513" s="457"/>
      <c r="BX513" s="464"/>
      <c r="BY513" s="466"/>
      <c r="BZ513" s="465"/>
      <c r="CA513" s="457"/>
      <c r="CB513" s="464"/>
      <c r="CC513" s="466"/>
      <c r="CD513" s="465"/>
      <c r="CE513" s="457"/>
      <c r="CF513" s="464"/>
      <c r="CG513" s="466"/>
      <c r="CH513" s="465"/>
      <c r="CI513" s="457"/>
      <c r="CJ513" s="464"/>
      <c r="CK513" s="466"/>
      <c r="CL513" s="459"/>
      <c r="CM513" s="450"/>
      <c r="CN513" s="468">
        <f t="shared" si="245"/>
        <v>0</v>
      </c>
      <c r="CO513" s="468">
        <f t="shared" si="246"/>
        <v>0</v>
      </c>
      <c r="CP513" s="469">
        <f t="shared" si="247"/>
        <v>0</v>
      </c>
      <c r="CQ513" s="469">
        <f t="shared" si="248"/>
        <v>0</v>
      </c>
      <c r="CR513" s="463"/>
      <c r="CS513" s="457"/>
      <c r="CT513" s="464"/>
      <c r="CU513" s="464"/>
      <c r="CV513" s="465"/>
      <c r="CW513" s="457"/>
      <c r="CX513" s="464"/>
      <c r="CY513" s="466"/>
      <c r="CZ513" s="465"/>
      <c r="DA513" s="457"/>
      <c r="DB513" s="464"/>
      <c r="DC513" s="466"/>
      <c r="DD513" s="465"/>
      <c r="DE513" s="457"/>
      <c r="DF513" s="464"/>
      <c r="DG513" s="466"/>
      <c r="DH513" s="465"/>
      <c r="DI513" s="457"/>
      <c r="DJ513" s="464"/>
      <c r="DK513" s="466"/>
      <c r="DL513" s="465"/>
      <c r="DM513" s="457"/>
      <c r="DN513" s="464"/>
      <c r="DO513" s="466"/>
      <c r="DP513" s="465"/>
      <c r="DQ513" s="457"/>
      <c r="DR513" s="464"/>
      <c r="DS513" s="466"/>
      <c r="DT513" s="465"/>
      <c r="DU513" s="457"/>
      <c r="DV513" s="464"/>
      <c r="DW513" s="466"/>
      <c r="DX513" s="465"/>
      <c r="DY513" s="457"/>
      <c r="DZ513" s="464"/>
      <c r="EA513" s="466"/>
      <c r="EB513" s="465"/>
      <c r="EC513" s="457"/>
      <c r="ED513" s="464"/>
      <c r="EE513" s="466"/>
      <c r="EF513" s="459"/>
      <c r="EG513" s="450"/>
      <c r="EH513" s="460">
        <f t="shared" si="249"/>
        <v>0</v>
      </c>
      <c r="EI513" s="460">
        <f t="shared" si="250"/>
        <v>0</v>
      </c>
      <c r="EJ513" s="458">
        <f t="shared" si="251"/>
        <v>0</v>
      </c>
      <c r="EK513" s="470">
        <f t="shared" si="252"/>
        <v>0</v>
      </c>
      <c r="EL513" s="470">
        <f t="shared" si="253"/>
        <v>0</v>
      </c>
      <c r="EM513" s="449">
        <f t="shared" si="254"/>
        <v>0</v>
      </c>
      <c r="EN513" s="460">
        <f t="shared" si="255"/>
        <v>0</v>
      </c>
      <c r="EO513" s="469">
        <f t="shared" si="256"/>
        <v>0</v>
      </c>
      <c r="EP513" s="471"/>
      <c r="EQ513" s="450"/>
      <c r="ER513" s="471"/>
      <c r="ES513" s="450"/>
      <c r="ET513" s="471"/>
      <c r="EU513" s="450"/>
      <c r="EV513" s="471"/>
      <c r="EW513" s="450"/>
      <c r="EX513" s="471"/>
      <c r="EY513" s="450"/>
      <c r="EZ513" s="471"/>
      <c r="FA513" s="450"/>
      <c r="FB513" s="471"/>
      <c r="FC513" s="450"/>
      <c r="FD513" s="471"/>
      <c r="FE513" s="450"/>
      <c r="FF513" s="471"/>
      <c r="FG513" s="450"/>
      <c r="FH513" s="472"/>
      <c r="FI513" s="450"/>
      <c r="FJ513" s="468">
        <f t="shared" si="257"/>
        <v>0</v>
      </c>
      <c r="FK513" s="469">
        <f t="shared" si="258"/>
        <v>0</v>
      </c>
      <c r="FL513" s="472"/>
      <c r="FM513" s="450"/>
      <c r="FN513" s="460">
        <f t="shared" si="259"/>
        <v>494</v>
      </c>
      <c r="FO513" s="469">
        <f t="shared" si="260"/>
        <v>420</v>
      </c>
    </row>
    <row r="514" spans="1:171" x14ac:dyDescent="0.2">
      <c r="A514" s="616" t="s">
        <v>802</v>
      </c>
      <c r="B514" s="617" t="s">
        <v>839</v>
      </c>
      <c r="C514" s="618"/>
      <c r="D514" s="619">
        <v>220640</v>
      </c>
      <c r="E514" s="656">
        <v>13</v>
      </c>
      <c r="F514" s="532">
        <v>237</v>
      </c>
      <c r="G514" s="622">
        <v>218</v>
      </c>
      <c r="H514" s="457"/>
      <c r="I514" s="450"/>
      <c r="J514" s="457"/>
      <c r="K514" s="742"/>
      <c r="L514" s="458">
        <f t="shared" si="237"/>
        <v>0</v>
      </c>
      <c r="M514" s="449">
        <f t="shared" si="238"/>
        <v>0</v>
      </c>
      <c r="N514" s="459"/>
      <c r="O514" s="459"/>
      <c r="P514" s="459"/>
      <c r="Q514" s="459"/>
      <c r="R514" s="460">
        <f t="shared" si="239"/>
        <v>0</v>
      </c>
      <c r="S514" s="461"/>
      <c r="T514" s="461"/>
      <c r="U514" s="461"/>
      <c r="V514" s="461"/>
      <c r="W514" s="462">
        <f t="shared" si="240"/>
        <v>0</v>
      </c>
      <c r="X514" s="463"/>
      <c r="Y514" s="457"/>
      <c r="Z514" s="464"/>
      <c r="AA514" s="464"/>
      <c r="AB514" s="465"/>
      <c r="AC514" s="457"/>
      <c r="AD514" s="464"/>
      <c r="AE514" s="466"/>
      <c r="AF514" s="465"/>
      <c r="AG514" s="457"/>
      <c r="AH514" s="464"/>
      <c r="AI514" s="466"/>
      <c r="AJ514" s="465"/>
      <c r="AK514" s="457"/>
      <c r="AL514" s="464"/>
      <c r="AM514" s="466"/>
      <c r="AN514" s="465"/>
      <c r="AO514" s="457"/>
      <c r="AP514" s="464"/>
      <c r="AQ514" s="464"/>
      <c r="AR514" s="460">
        <f t="shared" si="241"/>
        <v>0</v>
      </c>
      <c r="AS514" s="467">
        <f t="shared" si="242"/>
        <v>0</v>
      </c>
      <c r="AT514" s="447">
        <f t="shared" si="243"/>
        <v>0</v>
      </c>
      <c r="AU514" s="448">
        <f t="shared" si="244"/>
        <v>0</v>
      </c>
      <c r="AV514" s="457"/>
      <c r="AW514" s="450"/>
      <c r="AX514" s="463"/>
      <c r="AY514" s="457"/>
      <c r="AZ514" s="464"/>
      <c r="BA514" s="464"/>
      <c r="BB514" s="465"/>
      <c r="BC514" s="457"/>
      <c r="BD514" s="464"/>
      <c r="BE514" s="466"/>
      <c r="BF514" s="465"/>
      <c r="BG514" s="457"/>
      <c r="BH514" s="464"/>
      <c r="BI514" s="466"/>
      <c r="BJ514" s="465"/>
      <c r="BK514" s="457"/>
      <c r="BL514" s="464"/>
      <c r="BM514" s="466"/>
      <c r="BN514" s="465"/>
      <c r="BO514" s="457"/>
      <c r="BP514" s="464"/>
      <c r="BQ514" s="466"/>
      <c r="BR514" s="465"/>
      <c r="BS514" s="457"/>
      <c r="BT514" s="464"/>
      <c r="BU514" s="466"/>
      <c r="BV514" s="465"/>
      <c r="BW514" s="457"/>
      <c r="BX514" s="464"/>
      <c r="BY514" s="466"/>
      <c r="BZ514" s="465"/>
      <c r="CA514" s="457"/>
      <c r="CB514" s="464"/>
      <c r="CC514" s="466"/>
      <c r="CD514" s="465"/>
      <c r="CE514" s="457"/>
      <c r="CF514" s="464"/>
      <c r="CG514" s="466"/>
      <c r="CH514" s="465"/>
      <c r="CI514" s="457"/>
      <c r="CJ514" s="464"/>
      <c r="CK514" s="466"/>
      <c r="CL514" s="459"/>
      <c r="CM514" s="450"/>
      <c r="CN514" s="468">
        <f t="shared" si="245"/>
        <v>0</v>
      </c>
      <c r="CO514" s="468">
        <f t="shared" si="246"/>
        <v>0</v>
      </c>
      <c r="CP514" s="469">
        <f t="shared" si="247"/>
        <v>0</v>
      </c>
      <c r="CQ514" s="469">
        <f t="shared" si="248"/>
        <v>0</v>
      </c>
      <c r="CR514" s="463"/>
      <c r="CS514" s="457"/>
      <c r="CT514" s="464"/>
      <c r="CU514" s="464"/>
      <c r="CV514" s="465"/>
      <c r="CW514" s="457"/>
      <c r="CX514" s="464"/>
      <c r="CY514" s="466"/>
      <c r="CZ514" s="465"/>
      <c r="DA514" s="457"/>
      <c r="DB514" s="464"/>
      <c r="DC514" s="466"/>
      <c r="DD514" s="465"/>
      <c r="DE514" s="457"/>
      <c r="DF514" s="464"/>
      <c r="DG514" s="466"/>
      <c r="DH514" s="465"/>
      <c r="DI514" s="457"/>
      <c r="DJ514" s="464"/>
      <c r="DK514" s="466"/>
      <c r="DL514" s="465"/>
      <c r="DM514" s="457"/>
      <c r="DN514" s="464"/>
      <c r="DO514" s="466"/>
      <c r="DP514" s="465"/>
      <c r="DQ514" s="457"/>
      <c r="DR514" s="464"/>
      <c r="DS514" s="466"/>
      <c r="DT514" s="465"/>
      <c r="DU514" s="457"/>
      <c r="DV514" s="464"/>
      <c r="DW514" s="466"/>
      <c r="DX514" s="465"/>
      <c r="DY514" s="457"/>
      <c r="DZ514" s="464"/>
      <c r="EA514" s="466"/>
      <c r="EB514" s="465"/>
      <c r="EC514" s="457"/>
      <c r="ED514" s="464"/>
      <c r="EE514" s="466"/>
      <c r="EF514" s="459"/>
      <c r="EG514" s="450"/>
      <c r="EH514" s="460">
        <f t="shared" si="249"/>
        <v>0</v>
      </c>
      <c r="EI514" s="460">
        <f t="shared" si="250"/>
        <v>0</v>
      </c>
      <c r="EJ514" s="458">
        <f t="shared" si="251"/>
        <v>0</v>
      </c>
      <c r="EK514" s="470">
        <f t="shared" si="252"/>
        <v>0</v>
      </c>
      <c r="EL514" s="470">
        <f t="shared" si="253"/>
        <v>0</v>
      </c>
      <c r="EM514" s="449">
        <f t="shared" si="254"/>
        <v>0</v>
      </c>
      <c r="EN514" s="460">
        <f t="shared" si="255"/>
        <v>0</v>
      </c>
      <c r="EO514" s="469">
        <f t="shared" si="256"/>
        <v>0</v>
      </c>
      <c r="EP514" s="471"/>
      <c r="EQ514" s="450"/>
      <c r="ER514" s="471"/>
      <c r="ES514" s="450"/>
      <c r="ET514" s="471"/>
      <c r="EU514" s="450"/>
      <c r="EV514" s="471"/>
      <c r="EW514" s="450"/>
      <c r="EX514" s="471"/>
      <c r="EY514" s="450"/>
      <c r="EZ514" s="471"/>
      <c r="FA514" s="450"/>
      <c r="FB514" s="471"/>
      <c r="FC514" s="450"/>
      <c r="FD514" s="471"/>
      <c r="FE514" s="450"/>
      <c r="FF514" s="471"/>
      <c r="FG514" s="450"/>
      <c r="FH514" s="472"/>
      <c r="FI514" s="450"/>
      <c r="FJ514" s="468">
        <f t="shared" si="257"/>
        <v>0</v>
      </c>
      <c r="FK514" s="469">
        <f t="shared" si="258"/>
        <v>0</v>
      </c>
      <c r="FL514" s="472"/>
      <c r="FM514" s="450"/>
      <c r="FN514" s="460">
        <f t="shared" si="259"/>
        <v>237</v>
      </c>
      <c r="FO514" s="469">
        <f t="shared" si="260"/>
        <v>218</v>
      </c>
    </row>
    <row r="515" spans="1:171" x14ac:dyDescent="0.2">
      <c r="A515" s="616" t="s">
        <v>802</v>
      </c>
      <c r="B515" s="617" t="s">
        <v>840</v>
      </c>
      <c r="C515" s="618"/>
      <c r="D515" s="619">
        <v>220756</v>
      </c>
      <c r="E515" s="656">
        <v>13</v>
      </c>
      <c r="F515" s="532">
        <v>206</v>
      </c>
      <c r="G515" s="622">
        <v>148</v>
      </c>
      <c r="H515" s="457"/>
      <c r="I515" s="450"/>
      <c r="J515" s="457"/>
      <c r="K515" s="742"/>
      <c r="L515" s="458">
        <f t="shared" si="237"/>
        <v>0</v>
      </c>
      <c r="M515" s="449">
        <f t="shared" si="238"/>
        <v>0</v>
      </c>
      <c r="N515" s="459"/>
      <c r="O515" s="459"/>
      <c r="P515" s="459"/>
      <c r="Q515" s="459"/>
      <c r="R515" s="460">
        <f t="shared" si="239"/>
        <v>0</v>
      </c>
      <c r="S515" s="461"/>
      <c r="T515" s="461"/>
      <c r="U515" s="461"/>
      <c r="V515" s="461"/>
      <c r="W515" s="462">
        <f t="shared" si="240"/>
        <v>0</v>
      </c>
      <c r="X515" s="463"/>
      <c r="Y515" s="457"/>
      <c r="Z515" s="464"/>
      <c r="AA515" s="464"/>
      <c r="AB515" s="465"/>
      <c r="AC515" s="457"/>
      <c r="AD515" s="464"/>
      <c r="AE515" s="466"/>
      <c r="AF515" s="465"/>
      <c r="AG515" s="457"/>
      <c r="AH515" s="464"/>
      <c r="AI515" s="466"/>
      <c r="AJ515" s="465"/>
      <c r="AK515" s="457"/>
      <c r="AL515" s="464"/>
      <c r="AM515" s="466"/>
      <c r="AN515" s="465"/>
      <c r="AO515" s="457"/>
      <c r="AP515" s="464"/>
      <c r="AQ515" s="464"/>
      <c r="AR515" s="460">
        <f t="shared" si="241"/>
        <v>0</v>
      </c>
      <c r="AS515" s="467">
        <f t="shared" si="242"/>
        <v>0</v>
      </c>
      <c r="AT515" s="447">
        <f t="shared" si="243"/>
        <v>0</v>
      </c>
      <c r="AU515" s="448">
        <f t="shared" si="244"/>
        <v>0</v>
      </c>
      <c r="AV515" s="457"/>
      <c r="AW515" s="450"/>
      <c r="AX515" s="463"/>
      <c r="AY515" s="457"/>
      <c r="AZ515" s="464"/>
      <c r="BA515" s="464"/>
      <c r="BB515" s="465"/>
      <c r="BC515" s="457"/>
      <c r="BD515" s="464"/>
      <c r="BE515" s="466"/>
      <c r="BF515" s="465"/>
      <c r="BG515" s="457"/>
      <c r="BH515" s="464"/>
      <c r="BI515" s="466"/>
      <c r="BJ515" s="465"/>
      <c r="BK515" s="457"/>
      <c r="BL515" s="464"/>
      <c r="BM515" s="466"/>
      <c r="BN515" s="465"/>
      <c r="BO515" s="457"/>
      <c r="BP515" s="464"/>
      <c r="BQ515" s="466"/>
      <c r="BR515" s="465"/>
      <c r="BS515" s="457"/>
      <c r="BT515" s="464"/>
      <c r="BU515" s="466"/>
      <c r="BV515" s="465"/>
      <c r="BW515" s="457"/>
      <c r="BX515" s="464"/>
      <c r="BY515" s="466"/>
      <c r="BZ515" s="465"/>
      <c r="CA515" s="457"/>
      <c r="CB515" s="464"/>
      <c r="CC515" s="466"/>
      <c r="CD515" s="465"/>
      <c r="CE515" s="457"/>
      <c r="CF515" s="464"/>
      <c r="CG515" s="466"/>
      <c r="CH515" s="465"/>
      <c r="CI515" s="457"/>
      <c r="CJ515" s="464"/>
      <c r="CK515" s="466"/>
      <c r="CL515" s="459"/>
      <c r="CM515" s="450"/>
      <c r="CN515" s="468">
        <f t="shared" si="245"/>
        <v>0</v>
      </c>
      <c r="CO515" s="468">
        <f t="shared" si="246"/>
        <v>0</v>
      </c>
      <c r="CP515" s="469">
        <f t="shared" si="247"/>
        <v>0</v>
      </c>
      <c r="CQ515" s="469">
        <f t="shared" si="248"/>
        <v>0</v>
      </c>
      <c r="CR515" s="463"/>
      <c r="CS515" s="457"/>
      <c r="CT515" s="392"/>
      <c r="CU515" s="392"/>
      <c r="CV515" s="465"/>
      <c r="CW515" s="457"/>
      <c r="CX515" s="464"/>
      <c r="CY515" s="466"/>
      <c r="CZ515" s="465"/>
      <c r="DA515" s="457"/>
      <c r="DB515" s="464"/>
      <c r="DC515" s="466"/>
      <c r="DD515" s="465"/>
      <c r="DE515" s="457"/>
      <c r="DF515" s="464"/>
      <c r="DG515" s="466"/>
      <c r="DH515" s="465"/>
      <c r="DI515" s="457"/>
      <c r="DJ515" s="464"/>
      <c r="DK515" s="466"/>
      <c r="DL515" s="465"/>
      <c r="DM515" s="457"/>
      <c r="DN515" s="464"/>
      <c r="DO515" s="466"/>
      <c r="DP515" s="465"/>
      <c r="DQ515" s="457"/>
      <c r="DR515" s="464"/>
      <c r="DS515" s="466"/>
      <c r="DT515" s="465"/>
      <c r="DU515" s="457"/>
      <c r="DV515" s="464"/>
      <c r="DW515" s="466"/>
      <c r="DX515" s="465"/>
      <c r="DY515" s="457"/>
      <c r="DZ515" s="464"/>
      <c r="EA515" s="466"/>
      <c r="EB515" s="465"/>
      <c r="EC515" s="457"/>
      <c r="ED515" s="464"/>
      <c r="EE515" s="466"/>
      <c r="EF515" s="459"/>
      <c r="EG515" s="450"/>
      <c r="EH515" s="460">
        <f t="shared" si="249"/>
        <v>0</v>
      </c>
      <c r="EI515" s="460">
        <f t="shared" si="250"/>
        <v>0</v>
      </c>
      <c r="EJ515" s="458">
        <f t="shared" si="251"/>
        <v>0</v>
      </c>
      <c r="EK515" s="470">
        <f t="shared" si="252"/>
        <v>0</v>
      </c>
      <c r="EL515" s="470">
        <f t="shared" si="253"/>
        <v>0</v>
      </c>
      <c r="EM515" s="449">
        <f t="shared" si="254"/>
        <v>0</v>
      </c>
      <c r="EN515" s="460">
        <f t="shared" si="255"/>
        <v>0</v>
      </c>
      <c r="EO515" s="469">
        <f t="shared" si="256"/>
        <v>0</v>
      </c>
      <c r="EP515" s="471"/>
      <c r="EQ515" s="450"/>
      <c r="ER515" s="471"/>
      <c r="ES515" s="450"/>
      <c r="ET515" s="471"/>
      <c r="EU515" s="450"/>
      <c r="EV515" s="471"/>
      <c r="EW515" s="450"/>
      <c r="EX515" s="471"/>
      <c r="EY515" s="450"/>
      <c r="EZ515" s="471"/>
      <c r="FA515" s="450"/>
      <c r="FB515" s="471"/>
      <c r="FC515" s="450"/>
      <c r="FD515" s="471"/>
      <c r="FE515" s="450"/>
      <c r="FF515" s="471"/>
      <c r="FG515" s="450"/>
      <c r="FH515" s="472"/>
      <c r="FI515" s="450"/>
      <c r="FJ515" s="468">
        <f t="shared" si="257"/>
        <v>0</v>
      </c>
      <c r="FK515" s="469">
        <f t="shared" si="258"/>
        <v>0</v>
      </c>
      <c r="FL515" s="472"/>
      <c r="FM515" s="450"/>
      <c r="FN515" s="460">
        <f t="shared" si="259"/>
        <v>206</v>
      </c>
      <c r="FO515" s="469">
        <f t="shared" si="260"/>
        <v>148</v>
      </c>
    </row>
    <row r="516" spans="1:171" x14ac:dyDescent="0.2">
      <c r="A516" s="616" t="s">
        <v>802</v>
      </c>
      <c r="B516" s="617" t="s">
        <v>841</v>
      </c>
      <c r="C516" s="618"/>
      <c r="D516" s="619">
        <v>221607</v>
      </c>
      <c r="E516" s="656">
        <v>13</v>
      </c>
      <c r="F516" s="532">
        <v>238</v>
      </c>
      <c r="G516" s="622">
        <v>180</v>
      </c>
      <c r="H516" s="457"/>
      <c r="I516" s="450"/>
      <c r="J516" s="457"/>
      <c r="K516" s="450"/>
      <c r="L516" s="458">
        <f t="shared" si="237"/>
        <v>0</v>
      </c>
      <c r="M516" s="449">
        <f t="shared" si="238"/>
        <v>0</v>
      </c>
      <c r="N516" s="459"/>
      <c r="O516" s="459"/>
      <c r="P516" s="459"/>
      <c r="Q516" s="459"/>
      <c r="R516" s="460">
        <f t="shared" si="239"/>
        <v>0</v>
      </c>
      <c r="S516" s="461"/>
      <c r="T516" s="461"/>
      <c r="U516" s="461"/>
      <c r="V516" s="461"/>
      <c r="W516" s="462">
        <f t="shared" si="240"/>
        <v>0</v>
      </c>
      <c r="X516" s="463"/>
      <c r="Y516" s="457"/>
      <c r="Z516" s="464"/>
      <c r="AA516" s="464"/>
      <c r="AB516" s="465"/>
      <c r="AC516" s="457"/>
      <c r="AD516" s="464"/>
      <c r="AE516" s="466"/>
      <c r="AF516" s="465"/>
      <c r="AG516" s="457"/>
      <c r="AH516" s="464"/>
      <c r="AI516" s="466"/>
      <c r="AJ516" s="465"/>
      <c r="AK516" s="457"/>
      <c r="AL516" s="464"/>
      <c r="AM516" s="466"/>
      <c r="AN516" s="465"/>
      <c r="AO516" s="457"/>
      <c r="AP516" s="464"/>
      <c r="AQ516" s="464"/>
      <c r="AR516" s="460">
        <f t="shared" si="241"/>
        <v>0</v>
      </c>
      <c r="AS516" s="467">
        <f t="shared" si="242"/>
        <v>0</v>
      </c>
      <c r="AT516" s="447">
        <f t="shared" si="243"/>
        <v>0</v>
      </c>
      <c r="AU516" s="448">
        <f t="shared" si="244"/>
        <v>0</v>
      </c>
      <c r="AV516" s="457"/>
      <c r="AW516" s="450"/>
      <c r="AX516" s="463"/>
      <c r="AY516" s="457"/>
      <c r="AZ516" s="392"/>
      <c r="BA516" s="392"/>
      <c r="BB516" s="465"/>
      <c r="BC516" s="457"/>
      <c r="BD516" s="392"/>
      <c r="BE516" s="392"/>
      <c r="BF516" s="465"/>
      <c r="BG516" s="457"/>
      <c r="BH516" s="392"/>
      <c r="BI516" s="392"/>
      <c r="BJ516" s="465"/>
      <c r="BK516" s="457"/>
      <c r="BL516" s="392"/>
      <c r="BM516" s="392"/>
      <c r="BN516" s="465"/>
      <c r="BO516" s="457"/>
      <c r="BP516" s="464"/>
      <c r="BQ516" s="466"/>
      <c r="BR516" s="465"/>
      <c r="BS516" s="457"/>
      <c r="BT516" s="392"/>
      <c r="BU516" s="392"/>
      <c r="BV516" s="465"/>
      <c r="BW516" s="457"/>
      <c r="BX516" s="464"/>
      <c r="BY516" s="466"/>
      <c r="BZ516" s="465"/>
      <c r="CA516" s="457"/>
      <c r="CB516" s="464"/>
      <c r="CC516" s="466"/>
      <c r="CD516" s="465"/>
      <c r="CE516" s="457"/>
      <c r="CF516" s="464"/>
      <c r="CG516" s="466"/>
      <c r="CH516" s="465"/>
      <c r="CI516" s="457"/>
      <c r="CJ516" s="464"/>
      <c r="CK516" s="466"/>
      <c r="CL516" s="459"/>
      <c r="CM516" s="450"/>
      <c r="CN516" s="468">
        <f t="shared" si="245"/>
        <v>0</v>
      </c>
      <c r="CO516" s="468">
        <f t="shared" si="246"/>
        <v>0</v>
      </c>
      <c r="CP516" s="469">
        <f t="shared" si="247"/>
        <v>0</v>
      </c>
      <c r="CQ516" s="469">
        <f t="shared" si="248"/>
        <v>0</v>
      </c>
      <c r="CR516" s="463"/>
      <c r="CS516" s="457"/>
      <c r="CT516" s="392"/>
      <c r="CU516" s="392"/>
      <c r="CV516" s="465"/>
      <c r="CW516" s="457"/>
      <c r="CX516" s="464"/>
      <c r="CY516" s="466"/>
      <c r="CZ516" s="465"/>
      <c r="DA516" s="457"/>
      <c r="DB516" s="464"/>
      <c r="DC516" s="466"/>
      <c r="DD516" s="465"/>
      <c r="DE516" s="457"/>
      <c r="DF516" s="464"/>
      <c r="DG516" s="466"/>
      <c r="DH516" s="465"/>
      <c r="DI516" s="457"/>
      <c r="DJ516" s="464"/>
      <c r="DK516" s="466"/>
      <c r="DL516" s="465"/>
      <c r="DM516" s="457"/>
      <c r="DN516" s="464"/>
      <c r="DO516" s="466"/>
      <c r="DP516" s="465"/>
      <c r="DQ516" s="457"/>
      <c r="DR516" s="464"/>
      <c r="DS516" s="466"/>
      <c r="DT516" s="465"/>
      <c r="DU516" s="457"/>
      <c r="DV516" s="464"/>
      <c r="DW516" s="466"/>
      <c r="DX516" s="465"/>
      <c r="DY516" s="457"/>
      <c r="DZ516" s="464"/>
      <c r="EA516" s="466"/>
      <c r="EB516" s="465"/>
      <c r="EC516" s="457"/>
      <c r="ED516" s="464"/>
      <c r="EE516" s="466"/>
      <c r="EF516" s="459"/>
      <c r="EG516" s="450"/>
      <c r="EH516" s="460">
        <f t="shared" si="249"/>
        <v>0</v>
      </c>
      <c r="EI516" s="460">
        <f t="shared" si="250"/>
        <v>0</v>
      </c>
      <c r="EJ516" s="458">
        <f t="shared" si="251"/>
        <v>0</v>
      </c>
      <c r="EK516" s="470">
        <f t="shared" si="252"/>
        <v>0</v>
      </c>
      <c r="EL516" s="470">
        <f t="shared" si="253"/>
        <v>0</v>
      </c>
      <c r="EM516" s="449">
        <f t="shared" si="254"/>
        <v>0</v>
      </c>
      <c r="EN516" s="460">
        <f t="shared" si="255"/>
        <v>0</v>
      </c>
      <c r="EO516" s="469">
        <f t="shared" si="256"/>
        <v>0</v>
      </c>
      <c r="EP516" s="471"/>
      <c r="EQ516" s="450"/>
      <c r="ER516" s="471"/>
      <c r="ES516" s="450"/>
      <c r="ET516" s="471"/>
      <c r="EU516" s="450"/>
      <c r="EV516" s="471"/>
      <c r="EW516" s="450"/>
      <c r="EX516" s="471"/>
      <c r="EY516" s="450"/>
      <c r="EZ516" s="471"/>
      <c r="FA516" s="450"/>
      <c r="FB516" s="471"/>
      <c r="FC516" s="450"/>
      <c r="FD516" s="471"/>
      <c r="FE516" s="450"/>
      <c r="FF516" s="471"/>
      <c r="FG516" s="450"/>
      <c r="FH516" s="472"/>
      <c r="FI516" s="450"/>
      <c r="FJ516" s="468">
        <f t="shared" si="257"/>
        <v>0</v>
      </c>
      <c r="FK516" s="469">
        <f t="shared" si="258"/>
        <v>0</v>
      </c>
      <c r="FL516" s="472"/>
      <c r="FM516" s="450"/>
      <c r="FN516" s="460">
        <f t="shared" si="259"/>
        <v>238</v>
      </c>
      <c r="FO516" s="469">
        <f t="shared" si="260"/>
        <v>180</v>
      </c>
    </row>
    <row r="517" spans="1:171" x14ac:dyDescent="0.2">
      <c r="A517" s="616" t="s">
        <v>802</v>
      </c>
      <c r="B517" s="617" t="s">
        <v>842</v>
      </c>
      <c r="C517" s="605"/>
      <c r="D517" s="619">
        <v>220853</v>
      </c>
      <c r="E517" s="656">
        <v>13</v>
      </c>
      <c r="F517" s="532">
        <v>517</v>
      </c>
      <c r="G517" s="622">
        <v>560</v>
      </c>
      <c r="H517" s="457"/>
      <c r="I517" s="450"/>
      <c r="J517" s="457"/>
      <c r="K517" s="450"/>
      <c r="L517" s="458">
        <f t="shared" si="237"/>
        <v>0</v>
      </c>
      <c r="M517" s="449">
        <f t="shared" si="238"/>
        <v>0</v>
      </c>
      <c r="N517" s="459"/>
      <c r="O517" s="459"/>
      <c r="P517" s="459"/>
      <c r="Q517" s="459"/>
      <c r="R517" s="460">
        <f t="shared" si="239"/>
        <v>0</v>
      </c>
      <c r="S517" s="461"/>
      <c r="T517" s="461"/>
      <c r="U517" s="461"/>
      <c r="V517" s="461"/>
      <c r="W517" s="462">
        <f t="shared" si="240"/>
        <v>0</v>
      </c>
      <c r="X517" s="463"/>
      <c r="Y517" s="457"/>
      <c r="Z517" s="464"/>
      <c r="AA517" s="464"/>
      <c r="AB517" s="465"/>
      <c r="AC517" s="457"/>
      <c r="AD517" s="464"/>
      <c r="AE517" s="466"/>
      <c r="AF517" s="465"/>
      <c r="AG517" s="457"/>
      <c r="AH517" s="464"/>
      <c r="AI517" s="466"/>
      <c r="AJ517" s="465"/>
      <c r="AK517" s="457"/>
      <c r="AL517" s="464"/>
      <c r="AM517" s="466"/>
      <c r="AN517" s="465"/>
      <c r="AO517" s="457"/>
      <c r="AP517" s="464"/>
      <c r="AQ517" s="464"/>
      <c r="AR517" s="460">
        <f t="shared" si="241"/>
        <v>0</v>
      </c>
      <c r="AS517" s="467">
        <f t="shared" si="242"/>
        <v>0</v>
      </c>
      <c r="AT517" s="447">
        <f t="shared" si="243"/>
        <v>0</v>
      </c>
      <c r="AU517" s="448">
        <f t="shared" si="244"/>
        <v>0</v>
      </c>
      <c r="AV517" s="457"/>
      <c r="AW517" s="450"/>
      <c r="AX517" s="463"/>
      <c r="AY517" s="457"/>
      <c r="AZ517" s="392"/>
      <c r="BA517" s="392"/>
      <c r="BB517" s="465"/>
      <c r="BC517" s="457"/>
      <c r="BD517" s="464"/>
      <c r="BE517" s="466"/>
      <c r="BF517" s="465"/>
      <c r="BG517" s="457"/>
      <c r="BH517" s="392"/>
      <c r="BI517" s="392"/>
      <c r="BJ517" s="465"/>
      <c r="BK517" s="457"/>
      <c r="BL517" s="464"/>
      <c r="BM517" s="466"/>
      <c r="BN517" s="465"/>
      <c r="BO517" s="457"/>
      <c r="BP517" s="464"/>
      <c r="BQ517" s="466"/>
      <c r="BR517" s="465"/>
      <c r="BS517" s="457"/>
      <c r="BT517" s="464"/>
      <c r="BU517" s="466"/>
      <c r="BV517" s="465"/>
      <c r="BW517" s="457"/>
      <c r="BX517" s="464"/>
      <c r="BY517" s="466"/>
      <c r="BZ517" s="465"/>
      <c r="CA517" s="457"/>
      <c r="CB517" s="464"/>
      <c r="CC517" s="466"/>
      <c r="CD517" s="465"/>
      <c r="CE517" s="457"/>
      <c r="CF517" s="464"/>
      <c r="CG517" s="466"/>
      <c r="CH517" s="465"/>
      <c r="CI517" s="457"/>
      <c r="CJ517" s="464"/>
      <c r="CK517" s="466"/>
      <c r="CL517" s="459"/>
      <c r="CM517" s="450"/>
      <c r="CN517" s="468">
        <f t="shared" si="245"/>
        <v>0</v>
      </c>
      <c r="CO517" s="468">
        <f t="shared" si="246"/>
        <v>0</v>
      </c>
      <c r="CP517" s="469">
        <f t="shared" si="247"/>
        <v>0</v>
      </c>
      <c r="CQ517" s="469">
        <f t="shared" si="248"/>
        <v>0</v>
      </c>
      <c r="CR517" s="463"/>
      <c r="CS517" s="457"/>
      <c r="CT517" s="392"/>
      <c r="CU517" s="392"/>
      <c r="CV517" s="465"/>
      <c r="CW517" s="457"/>
      <c r="CX517" s="464"/>
      <c r="CY517" s="466"/>
      <c r="CZ517" s="465"/>
      <c r="DA517" s="457"/>
      <c r="DB517" s="464"/>
      <c r="DC517" s="466"/>
      <c r="DD517" s="465"/>
      <c r="DE517" s="457"/>
      <c r="DF517" s="464"/>
      <c r="DG517" s="466"/>
      <c r="DH517" s="465"/>
      <c r="DI517" s="457"/>
      <c r="DJ517" s="464"/>
      <c r="DK517" s="466"/>
      <c r="DL517" s="465"/>
      <c r="DM517" s="457"/>
      <c r="DN517" s="464"/>
      <c r="DO517" s="466"/>
      <c r="DP517" s="465"/>
      <c r="DQ517" s="457"/>
      <c r="DR517" s="464"/>
      <c r="DS517" s="466"/>
      <c r="DT517" s="465"/>
      <c r="DU517" s="457"/>
      <c r="DV517" s="464"/>
      <c r="DW517" s="466"/>
      <c r="DX517" s="465"/>
      <c r="DY517" s="457"/>
      <c r="DZ517" s="464"/>
      <c r="EA517" s="466"/>
      <c r="EB517" s="465"/>
      <c r="EC517" s="457"/>
      <c r="ED517" s="464"/>
      <c r="EE517" s="466"/>
      <c r="EF517" s="459"/>
      <c r="EG517" s="450"/>
      <c r="EH517" s="460">
        <f t="shared" si="249"/>
        <v>0</v>
      </c>
      <c r="EI517" s="460">
        <f t="shared" si="250"/>
        <v>0</v>
      </c>
      <c r="EJ517" s="458">
        <f t="shared" si="251"/>
        <v>0</v>
      </c>
      <c r="EK517" s="470">
        <f t="shared" si="252"/>
        <v>0</v>
      </c>
      <c r="EL517" s="470">
        <f t="shared" si="253"/>
        <v>0</v>
      </c>
      <c r="EM517" s="449">
        <f t="shared" si="254"/>
        <v>0</v>
      </c>
      <c r="EN517" s="460">
        <f t="shared" si="255"/>
        <v>0</v>
      </c>
      <c r="EO517" s="469">
        <f t="shared" si="256"/>
        <v>0</v>
      </c>
      <c r="EP517" s="471"/>
      <c r="EQ517" s="450"/>
      <c r="ER517" s="471"/>
      <c r="ES517" s="450"/>
      <c r="ET517" s="471"/>
      <c r="EU517" s="450"/>
      <c r="EV517" s="471"/>
      <c r="EW517" s="450"/>
      <c r="EX517" s="471"/>
      <c r="EY517" s="450"/>
      <c r="EZ517" s="471"/>
      <c r="FA517" s="450"/>
      <c r="FB517" s="471"/>
      <c r="FC517" s="450"/>
      <c r="FD517" s="471"/>
      <c r="FE517" s="450"/>
      <c r="FF517" s="471"/>
      <c r="FG517" s="450"/>
      <c r="FH517" s="472"/>
      <c r="FI517" s="450"/>
      <c r="FJ517" s="468">
        <f t="shared" si="257"/>
        <v>0</v>
      </c>
      <c r="FK517" s="469">
        <f t="shared" si="258"/>
        <v>0</v>
      </c>
      <c r="FL517" s="472"/>
      <c r="FM517" s="450"/>
      <c r="FN517" s="460">
        <f t="shared" si="259"/>
        <v>517</v>
      </c>
      <c r="FO517" s="469">
        <f t="shared" si="260"/>
        <v>560</v>
      </c>
    </row>
    <row r="518" spans="1:171" x14ac:dyDescent="0.2">
      <c r="A518" s="616" t="s">
        <v>802</v>
      </c>
      <c r="B518" s="617" t="s">
        <v>843</v>
      </c>
      <c r="C518" s="618"/>
      <c r="D518" s="619">
        <v>221050</v>
      </c>
      <c r="E518" s="656">
        <v>13</v>
      </c>
      <c r="F518" s="532">
        <v>400</v>
      </c>
      <c r="G518" s="622">
        <v>322</v>
      </c>
      <c r="H518" s="457"/>
      <c r="I518" s="450"/>
      <c r="J518" s="457"/>
      <c r="K518" s="450"/>
      <c r="L518" s="458">
        <f t="shared" si="237"/>
        <v>0</v>
      </c>
      <c r="M518" s="449">
        <f t="shared" si="238"/>
        <v>0</v>
      </c>
      <c r="N518" s="459"/>
      <c r="O518" s="459"/>
      <c r="P518" s="459"/>
      <c r="Q518" s="459"/>
      <c r="R518" s="460">
        <f t="shared" si="239"/>
        <v>0</v>
      </c>
      <c r="S518" s="646"/>
      <c r="T518" s="461"/>
      <c r="U518" s="461"/>
      <c r="V518" s="461"/>
      <c r="W518" s="462">
        <f t="shared" si="240"/>
        <v>0</v>
      </c>
      <c r="X518" s="463"/>
      <c r="Y518" s="457"/>
      <c r="Z518" s="464"/>
      <c r="AA518" s="464"/>
      <c r="AB518" s="465"/>
      <c r="AC518" s="457"/>
      <c r="AD518" s="464"/>
      <c r="AE518" s="466"/>
      <c r="AF518" s="465"/>
      <c r="AG518" s="457"/>
      <c r="AH518" s="464"/>
      <c r="AI518" s="466"/>
      <c r="AJ518" s="465"/>
      <c r="AK518" s="457"/>
      <c r="AL518" s="464"/>
      <c r="AM518" s="466"/>
      <c r="AN518" s="465"/>
      <c r="AO518" s="457"/>
      <c r="AP518" s="464"/>
      <c r="AQ518" s="464"/>
      <c r="AR518" s="460">
        <f t="shared" si="241"/>
        <v>0</v>
      </c>
      <c r="AS518" s="467">
        <f t="shared" si="242"/>
        <v>0</v>
      </c>
      <c r="AT518" s="447">
        <f t="shared" si="243"/>
        <v>0</v>
      </c>
      <c r="AU518" s="448">
        <f t="shared" si="244"/>
        <v>0</v>
      </c>
      <c r="AV518" s="457"/>
      <c r="AW518" s="450"/>
      <c r="AX518" s="463"/>
      <c r="AY518" s="457"/>
      <c r="AZ518" s="464"/>
      <c r="BA518" s="464"/>
      <c r="BB518" s="465"/>
      <c r="BC518" s="457"/>
      <c r="BD518" s="464"/>
      <c r="BE518" s="466"/>
      <c r="BF518" s="465"/>
      <c r="BG518" s="457"/>
      <c r="BH518" s="392"/>
      <c r="BI518" s="392"/>
      <c r="BJ518" s="465"/>
      <c r="BK518" s="457"/>
      <c r="BL518" s="464"/>
      <c r="BM518" s="466"/>
      <c r="BN518" s="465"/>
      <c r="BO518" s="457"/>
      <c r="BP518" s="464"/>
      <c r="BQ518" s="466"/>
      <c r="BR518" s="465"/>
      <c r="BS518" s="457"/>
      <c r="BT518" s="464"/>
      <c r="BU518" s="466"/>
      <c r="BV518" s="465"/>
      <c r="BW518" s="457"/>
      <c r="BX518" s="464"/>
      <c r="BY518" s="466"/>
      <c r="BZ518" s="465"/>
      <c r="CA518" s="457"/>
      <c r="CB518" s="464"/>
      <c r="CC518" s="466"/>
      <c r="CD518" s="465"/>
      <c r="CE518" s="457"/>
      <c r="CF518" s="464"/>
      <c r="CG518" s="466"/>
      <c r="CH518" s="465"/>
      <c r="CI518" s="457"/>
      <c r="CJ518" s="464"/>
      <c r="CK518" s="466"/>
      <c r="CL518" s="459"/>
      <c r="CM518" s="450"/>
      <c r="CN518" s="468">
        <f t="shared" si="245"/>
        <v>0</v>
      </c>
      <c r="CO518" s="468">
        <f t="shared" si="246"/>
        <v>0</v>
      </c>
      <c r="CP518" s="469">
        <f t="shared" si="247"/>
        <v>0</v>
      </c>
      <c r="CQ518" s="469">
        <f t="shared" si="248"/>
        <v>0</v>
      </c>
      <c r="CR518" s="463"/>
      <c r="CS518" s="457"/>
      <c r="CT518" s="464"/>
      <c r="CU518" s="464"/>
      <c r="CV518" s="465"/>
      <c r="CW518" s="457"/>
      <c r="CX518" s="464"/>
      <c r="CY518" s="466"/>
      <c r="CZ518" s="465"/>
      <c r="DA518" s="457"/>
      <c r="DB518" s="464"/>
      <c r="DC518" s="466"/>
      <c r="DD518" s="465"/>
      <c r="DE518" s="457"/>
      <c r="DF518" s="464"/>
      <c r="DG518" s="466"/>
      <c r="DH518" s="465"/>
      <c r="DI518" s="457"/>
      <c r="DJ518" s="464"/>
      <c r="DK518" s="466"/>
      <c r="DL518" s="465"/>
      <c r="DM518" s="457"/>
      <c r="DN518" s="464"/>
      <c r="DO518" s="466"/>
      <c r="DP518" s="465"/>
      <c r="DQ518" s="457"/>
      <c r="DR518" s="464"/>
      <c r="DS518" s="466"/>
      <c r="DT518" s="465"/>
      <c r="DU518" s="457"/>
      <c r="DV518" s="464"/>
      <c r="DW518" s="466"/>
      <c r="DX518" s="465"/>
      <c r="DY518" s="457"/>
      <c r="DZ518" s="464"/>
      <c r="EA518" s="466"/>
      <c r="EB518" s="465"/>
      <c r="EC518" s="457"/>
      <c r="ED518" s="464"/>
      <c r="EE518" s="466"/>
      <c r="EF518" s="459"/>
      <c r="EG518" s="450"/>
      <c r="EH518" s="460">
        <f t="shared" si="249"/>
        <v>0</v>
      </c>
      <c r="EI518" s="460">
        <f t="shared" si="250"/>
        <v>0</v>
      </c>
      <c r="EJ518" s="458">
        <f t="shared" si="251"/>
        <v>0</v>
      </c>
      <c r="EK518" s="470">
        <f t="shared" si="252"/>
        <v>0</v>
      </c>
      <c r="EL518" s="470">
        <f t="shared" si="253"/>
        <v>0</v>
      </c>
      <c r="EM518" s="449">
        <f t="shared" si="254"/>
        <v>0</v>
      </c>
      <c r="EN518" s="460">
        <f t="shared" si="255"/>
        <v>0</v>
      </c>
      <c r="EO518" s="469">
        <f t="shared" si="256"/>
        <v>0</v>
      </c>
      <c r="EP518" s="471"/>
      <c r="EQ518" s="450"/>
      <c r="ER518" s="471"/>
      <c r="ES518" s="450"/>
      <c r="ET518" s="471"/>
      <c r="EU518" s="450"/>
      <c r="EV518" s="471"/>
      <c r="EW518" s="450"/>
      <c r="EX518" s="471"/>
      <c r="EY518" s="450"/>
      <c r="EZ518" s="471"/>
      <c r="FA518" s="450"/>
      <c r="FB518" s="471"/>
      <c r="FC518" s="450"/>
      <c r="FD518" s="471"/>
      <c r="FE518" s="450"/>
      <c r="FF518" s="471"/>
      <c r="FG518" s="450"/>
      <c r="FH518" s="472"/>
      <c r="FI518" s="450"/>
      <c r="FJ518" s="468">
        <f t="shared" si="257"/>
        <v>0</v>
      </c>
      <c r="FK518" s="469">
        <f t="shared" si="258"/>
        <v>0</v>
      </c>
      <c r="FL518" s="472"/>
      <c r="FM518" s="450"/>
      <c r="FN518" s="460">
        <f t="shared" si="259"/>
        <v>400</v>
      </c>
      <c r="FO518" s="469">
        <f t="shared" si="260"/>
        <v>322</v>
      </c>
    </row>
    <row r="519" spans="1:171" x14ac:dyDescent="0.2">
      <c r="A519" s="616" t="s">
        <v>802</v>
      </c>
      <c r="B519" s="617" t="s">
        <v>844</v>
      </c>
      <c r="C519" s="618"/>
      <c r="D519" s="619">
        <v>221102</v>
      </c>
      <c r="E519" s="656">
        <v>13</v>
      </c>
      <c r="F519" s="532">
        <v>255</v>
      </c>
      <c r="G519" s="622">
        <v>253</v>
      </c>
      <c r="H519" s="457"/>
      <c r="I519" s="450"/>
      <c r="J519" s="457"/>
      <c r="K519" s="450"/>
      <c r="L519" s="458">
        <f t="shared" si="237"/>
        <v>0</v>
      </c>
      <c r="M519" s="449">
        <f t="shared" si="238"/>
        <v>0</v>
      </c>
      <c r="N519" s="459"/>
      <c r="O519" s="459"/>
      <c r="P519" s="459"/>
      <c r="Q519" s="459"/>
      <c r="R519" s="460">
        <f t="shared" si="239"/>
        <v>0</v>
      </c>
      <c r="S519" s="461"/>
      <c r="T519" s="461"/>
      <c r="U519" s="461"/>
      <c r="V519" s="461"/>
      <c r="W519" s="462">
        <f t="shared" si="240"/>
        <v>0</v>
      </c>
      <c r="X519" s="463"/>
      <c r="Y519" s="457"/>
      <c r="Z519" s="464"/>
      <c r="AA519" s="464"/>
      <c r="AB519" s="465"/>
      <c r="AC519" s="457"/>
      <c r="AD519" s="464"/>
      <c r="AE519" s="466"/>
      <c r="AF519" s="465"/>
      <c r="AG519" s="457"/>
      <c r="AH519" s="464"/>
      <c r="AI519" s="466"/>
      <c r="AJ519" s="465"/>
      <c r="AK519" s="457"/>
      <c r="AL519" s="464"/>
      <c r="AM519" s="466"/>
      <c r="AN519" s="465"/>
      <c r="AO519" s="457"/>
      <c r="AP519" s="464"/>
      <c r="AQ519" s="464"/>
      <c r="AR519" s="460">
        <f t="shared" si="241"/>
        <v>0</v>
      </c>
      <c r="AS519" s="467">
        <f t="shared" si="242"/>
        <v>0</v>
      </c>
      <c r="AT519" s="447">
        <f t="shared" si="243"/>
        <v>0</v>
      </c>
      <c r="AU519" s="448">
        <f t="shared" si="244"/>
        <v>0</v>
      </c>
      <c r="AV519" s="457"/>
      <c r="AW519" s="450"/>
      <c r="AX519" s="463"/>
      <c r="AY519" s="457"/>
      <c r="AZ519" s="464"/>
      <c r="BA519" s="464"/>
      <c r="BB519" s="465"/>
      <c r="BC519" s="457"/>
      <c r="BD519" s="464"/>
      <c r="BE519" s="466"/>
      <c r="BF519" s="465"/>
      <c r="BG519" s="457"/>
      <c r="BH519" s="464"/>
      <c r="BI519" s="466"/>
      <c r="BJ519" s="465"/>
      <c r="BK519" s="457"/>
      <c r="BL519" s="464"/>
      <c r="BM519" s="466"/>
      <c r="BN519" s="465"/>
      <c r="BO519" s="457"/>
      <c r="BP519" s="464"/>
      <c r="BQ519" s="466"/>
      <c r="BR519" s="465"/>
      <c r="BS519" s="457"/>
      <c r="BT519" s="464"/>
      <c r="BU519" s="466"/>
      <c r="BV519" s="465"/>
      <c r="BW519" s="457"/>
      <c r="BX519" s="464"/>
      <c r="BY519" s="466"/>
      <c r="BZ519" s="465"/>
      <c r="CA519" s="457"/>
      <c r="CB519" s="464"/>
      <c r="CC519" s="466"/>
      <c r="CD519" s="465"/>
      <c r="CE519" s="457"/>
      <c r="CF519" s="464"/>
      <c r="CG519" s="466"/>
      <c r="CH519" s="465"/>
      <c r="CI519" s="457"/>
      <c r="CJ519" s="464"/>
      <c r="CK519" s="466"/>
      <c r="CL519" s="459"/>
      <c r="CM519" s="450"/>
      <c r="CN519" s="468">
        <f t="shared" si="245"/>
        <v>0</v>
      </c>
      <c r="CO519" s="468">
        <f t="shared" si="246"/>
        <v>0</v>
      </c>
      <c r="CP519" s="469">
        <f t="shared" si="247"/>
        <v>0</v>
      </c>
      <c r="CQ519" s="469">
        <f t="shared" si="248"/>
        <v>0</v>
      </c>
      <c r="CR519" s="463"/>
      <c r="CS519" s="457"/>
      <c r="CT519" s="464"/>
      <c r="CU519" s="464"/>
      <c r="CV519" s="465"/>
      <c r="CW519" s="457"/>
      <c r="CX519" s="464"/>
      <c r="CY519" s="466"/>
      <c r="CZ519" s="465"/>
      <c r="DA519" s="457"/>
      <c r="DB519" s="464"/>
      <c r="DC519" s="466"/>
      <c r="DD519" s="465"/>
      <c r="DE519" s="457"/>
      <c r="DF519" s="464"/>
      <c r="DG519" s="466"/>
      <c r="DH519" s="465"/>
      <c r="DI519" s="457"/>
      <c r="DJ519" s="464"/>
      <c r="DK519" s="466"/>
      <c r="DL519" s="465"/>
      <c r="DM519" s="457"/>
      <c r="DN519" s="464"/>
      <c r="DO519" s="466"/>
      <c r="DP519" s="465"/>
      <c r="DQ519" s="457"/>
      <c r="DR519" s="464"/>
      <c r="DS519" s="466"/>
      <c r="DT519" s="465"/>
      <c r="DU519" s="457"/>
      <c r="DV519" s="464"/>
      <c r="DW519" s="466"/>
      <c r="DX519" s="465"/>
      <c r="DY519" s="457"/>
      <c r="DZ519" s="464"/>
      <c r="EA519" s="466"/>
      <c r="EB519" s="465"/>
      <c r="EC519" s="457"/>
      <c r="ED519" s="464"/>
      <c r="EE519" s="466"/>
      <c r="EF519" s="459"/>
      <c r="EG519" s="450"/>
      <c r="EH519" s="460">
        <f t="shared" si="249"/>
        <v>0</v>
      </c>
      <c r="EI519" s="460">
        <f t="shared" si="250"/>
        <v>0</v>
      </c>
      <c r="EJ519" s="458">
        <f t="shared" si="251"/>
        <v>0</v>
      </c>
      <c r="EK519" s="470">
        <f t="shared" si="252"/>
        <v>0</v>
      </c>
      <c r="EL519" s="470">
        <f t="shared" si="253"/>
        <v>0</v>
      </c>
      <c r="EM519" s="449">
        <f t="shared" si="254"/>
        <v>0</v>
      </c>
      <c r="EN519" s="460">
        <f t="shared" si="255"/>
        <v>0</v>
      </c>
      <c r="EO519" s="469">
        <f t="shared" si="256"/>
        <v>0</v>
      </c>
      <c r="EP519" s="471"/>
      <c r="EQ519" s="450"/>
      <c r="ER519" s="471"/>
      <c r="ES519" s="450"/>
      <c r="ET519" s="471"/>
      <c r="EU519" s="450"/>
      <c r="EV519" s="471"/>
      <c r="EW519" s="450"/>
      <c r="EX519" s="471"/>
      <c r="EY519" s="450"/>
      <c r="EZ519" s="471"/>
      <c r="FA519" s="450"/>
      <c r="FB519" s="471"/>
      <c r="FC519" s="450"/>
      <c r="FD519" s="471"/>
      <c r="FE519" s="450"/>
      <c r="FF519" s="471"/>
      <c r="FG519" s="450"/>
      <c r="FH519" s="472"/>
      <c r="FI519" s="450"/>
      <c r="FJ519" s="468">
        <f t="shared" si="257"/>
        <v>0</v>
      </c>
      <c r="FK519" s="469">
        <f t="shared" si="258"/>
        <v>0</v>
      </c>
      <c r="FL519" s="472"/>
      <c r="FM519" s="450"/>
      <c r="FN519" s="460">
        <f t="shared" si="259"/>
        <v>255</v>
      </c>
      <c r="FO519" s="469">
        <f t="shared" si="260"/>
        <v>253</v>
      </c>
    </row>
    <row r="520" spans="1:171" x14ac:dyDescent="0.2">
      <c r="A520" s="616" t="s">
        <v>802</v>
      </c>
      <c r="B520" s="617" t="s">
        <v>845</v>
      </c>
      <c r="C520" s="605"/>
      <c r="D520" s="619">
        <v>248925</v>
      </c>
      <c r="E520" s="656">
        <v>13</v>
      </c>
      <c r="F520" s="532">
        <v>581</v>
      </c>
      <c r="G520" s="622">
        <v>594</v>
      </c>
      <c r="H520" s="457"/>
      <c r="I520" s="450"/>
      <c r="J520" s="457"/>
      <c r="K520" s="450"/>
      <c r="L520" s="458">
        <f t="shared" si="237"/>
        <v>0</v>
      </c>
      <c r="M520" s="449">
        <f t="shared" si="238"/>
        <v>0</v>
      </c>
      <c r="N520" s="459"/>
      <c r="O520" s="459"/>
      <c r="P520" s="459"/>
      <c r="Q520" s="459"/>
      <c r="R520" s="460">
        <f t="shared" si="239"/>
        <v>0</v>
      </c>
      <c r="S520" s="461"/>
      <c r="T520" s="461"/>
      <c r="U520" s="461"/>
      <c r="V520" s="461"/>
      <c r="W520" s="462">
        <f t="shared" si="240"/>
        <v>0</v>
      </c>
      <c r="X520" s="463"/>
      <c r="Y520" s="457"/>
      <c r="Z520" s="464"/>
      <c r="AA520" s="464"/>
      <c r="AB520" s="465"/>
      <c r="AC520" s="457"/>
      <c r="AD520" s="464"/>
      <c r="AE520" s="466"/>
      <c r="AF520" s="465"/>
      <c r="AG520" s="457"/>
      <c r="AH520" s="464"/>
      <c r="AI520" s="466"/>
      <c r="AJ520" s="465"/>
      <c r="AK520" s="457"/>
      <c r="AL520" s="464"/>
      <c r="AM520" s="466"/>
      <c r="AN520" s="465"/>
      <c r="AO520" s="457"/>
      <c r="AP520" s="464"/>
      <c r="AQ520" s="464"/>
      <c r="AR520" s="460">
        <f t="shared" si="241"/>
        <v>0</v>
      </c>
      <c r="AS520" s="467">
        <f t="shared" si="242"/>
        <v>0</v>
      </c>
      <c r="AT520" s="447">
        <f t="shared" si="243"/>
        <v>0</v>
      </c>
      <c r="AU520" s="448">
        <f t="shared" si="244"/>
        <v>0</v>
      </c>
      <c r="AV520" s="457"/>
      <c r="AW520" s="450"/>
      <c r="AX520" s="463"/>
      <c r="AY520" s="457"/>
      <c r="AZ520" s="464"/>
      <c r="BA520" s="464"/>
      <c r="BB520" s="465"/>
      <c r="BC520" s="457"/>
      <c r="BD520" s="464"/>
      <c r="BE520" s="466"/>
      <c r="BF520" s="465"/>
      <c r="BG520" s="457"/>
      <c r="BH520" s="464"/>
      <c r="BI520" s="466"/>
      <c r="BJ520" s="465"/>
      <c r="BK520" s="457"/>
      <c r="BL520" s="464"/>
      <c r="BM520" s="466"/>
      <c r="BN520" s="465"/>
      <c r="BO520" s="457"/>
      <c r="BP520" s="464"/>
      <c r="BQ520" s="466"/>
      <c r="BR520" s="465"/>
      <c r="BS520" s="457"/>
      <c r="BT520" s="464"/>
      <c r="BU520" s="466"/>
      <c r="BV520" s="465"/>
      <c r="BW520" s="457"/>
      <c r="BX520" s="464"/>
      <c r="BY520" s="466"/>
      <c r="BZ520" s="465"/>
      <c r="CA520" s="457"/>
      <c r="CB520" s="464"/>
      <c r="CC520" s="466"/>
      <c r="CD520" s="465"/>
      <c r="CE520" s="457"/>
      <c r="CF520" s="464"/>
      <c r="CG520" s="466"/>
      <c r="CH520" s="465"/>
      <c r="CI520" s="457"/>
      <c r="CJ520" s="464"/>
      <c r="CK520" s="466"/>
      <c r="CL520" s="459"/>
      <c r="CM520" s="450"/>
      <c r="CN520" s="468">
        <f t="shared" si="245"/>
        <v>0</v>
      </c>
      <c r="CO520" s="468">
        <f t="shared" si="246"/>
        <v>0</v>
      </c>
      <c r="CP520" s="469">
        <f t="shared" si="247"/>
        <v>0</v>
      </c>
      <c r="CQ520" s="469">
        <f t="shared" si="248"/>
        <v>0</v>
      </c>
      <c r="CR520" s="463"/>
      <c r="CS520" s="457"/>
      <c r="CT520" s="464"/>
      <c r="CU520" s="464"/>
      <c r="CV520" s="465"/>
      <c r="CW520" s="457"/>
      <c r="CX520" s="464"/>
      <c r="CY520" s="466"/>
      <c r="CZ520" s="465"/>
      <c r="DA520" s="457"/>
      <c r="DB520" s="464"/>
      <c r="DC520" s="466"/>
      <c r="DD520" s="465"/>
      <c r="DE520" s="457"/>
      <c r="DF520" s="464"/>
      <c r="DG520" s="466"/>
      <c r="DH520" s="465"/>
      <c r="DI520" s="457"/>
      <c r="DJ520" s="464"/>
      <c r="DK520" s="466"/>
      <c r="DL520" s="465"/>
      <c r="DM520" s="457"/>
      <c r="DN520" s="464"/>
      <c r="DO520" s="466"/>
      <c r="DP520" s="465"/>
      <c r="DQ520" s="457"/>
      <c r="DR520" s="464"/>
      <c r="DS520" s="466"/>
      <c r="DT520" s="465"/>
      <c r="DU520" s="457"/>
      <c r="DV520" s="464"/>
      <c r="DW520" s="466"/>
      <c r="DX520" s="465"/>
      <c r="DY520" s="457"/>
      <c r="DZ520" s="464"/>
      <c r="EA520" s="466"/>
      <c r="EB520" s="465"/>
      <c r="EC520" s="457"/>
      <c r="ED520" s="464"/>
      <c r="EE520" s="466"/>
      <c r="EF520" s="459"/>
      <c r="EG520" s="450"/>
      <c r="EH520" s="460">
        <f t="shared" si="249"/>
        <v>0</v>
      </c>
      <c r="EI520" s="460">
        <f t="shared" si="250"/>
        <v>0</v>
      </c>
      <c r="EJ520" s="458">
        <f t="shared" si="251"/>
        <v>0</v>
      </c>
      <c r="EK520" s="470">
        <f t="shared" si="252"/>
        <v>0</v>
      </c>
      <c r="EL520" s="470">
        <f t="shared" si="253"/>
        <v>0</v>
      </c>
      <c r="EM520" s="449">
        <f t="shared" si="254"/>
        <v>0</v>
      </c>
      <c r="EN520" s="460">
        <f t="shared" si="255"/>
        <v>0</v>
      </c>
      <c r="EO520" s="469">
        <f t="shared" si="256"/>
        <v>0</v>
      </c>
      <c r="EP520" s="471"/>
      <c r="EQ520" s="450"/>
      <c r="ER520" s="471"/>
      <c r="ES520" s="450"/>
      <c r="ET520" s="471"/>
      <c r="EU520" s="450"/>
      <c r="EV520" s="471"/>
      <c r="EW520" s="450"/>
      <c r="EX520" s="471"/>
      <c r="EY520" s="450"/>
      <c r="EZ520" s="471"/>
      <c r="FA520" s="450"/>
      <c r="FB520" s="471"/>
      <c r="FC520" s="450"/>
      <c r="FD520" s="471"/>
      <c r="FE520" s="450"/>
      <c r="FF520" s="471"/>
      <c r="FG520" s="450"/>
      <c r="FH520" s="472"/>
      <c r="FI520" s="450"/>
      <c r="FJ520" s="468">
        <f t="shared" si="257"/>
        <v>0</v>
      </c>
      <c r="FK520" s="469">
        <f t="shared" si="258"/>
        <v>0</v>
      </c>
      <c r="FL520" s="472"/>
      <c r="FM520" s="450"/>
      <c r="FN520" s="460">
        <f t="shared" si="259"/>
        <v>581</v>
      </c>
      <c r="FO520" s="469">
        <f t="shared" si="260"/>
        <v>594</v>
      </c>
    </row>
    <row r="521" spans="1:171" x14ac:dyDescent="0.2">
      <c r="A521" s="616" t="s">
        <v>802</v>
      </c>
      <c r="B521" s="617" t="s">
        <v>846</v>
      </c>
      <c r="C521" s="618"/>
      <c r="D521" s="619">
        <v>221236</v>
      </c>
      <c r="E521" s="656">
        <v>13</v>
      </c>
      <c r="F521" s="532">
        <v>108</v>
      </c>
      <c r="G521" s="622">
        <v>92</v>
      </c>
      <c r="H521" s="457"/>
      <c r="I521" s="450"/>
      <c r="J521" s="457"/>
      <c r="K521" s="450"/>
      <c r="L521" s="458">
        <f t="shared" si="237"/>
        <v>0</v>
      </c>
      <c r="M521" s="449">
        <f t="shared" si="238"/>
        <v>0</v>
      </c>
      <c r="N521" s="459"/>
      <c r="O521" s="459"/>
      <c r="P521" s="459"/>
      <c r="Q521" s="459"/>
      <c r="R521" s="460">
        <f t="shared" si="239"/>
        <v>0</v>
      </c>
      <c r="S521" s="461"/>
      <c r="T521" s="461"/>
      <c r="U521" s="461"/>
      <c r="V521" s="461"/>
      <c r="W521" s="462">
        <f t="shared" si="240"/>
        <v>0</v>
      </c>
      <c r="X521" s="463"/>
      <c r="Y521" s="457"/>
      <c r="Z521" s="464"/>
      <c r="AA521" s="464"/>
      <c r="AB521" s="465"/>
      <c r="AC521" s="457"/>
      <c r="AD521" s="464"/>
      <c r="AE521" s="466"/>
      <c r="AF521" s="465"/>
      <c r="AG521" s="457"/>
      <c r="AH521" s="464"/>
      <c r="AI521" s="466"/>
      <c r="AJ521" s="465"/>
      <c r="AK521" s="457"/>
      <c r="AL521" s="464"/>
      <c r="AM521" s="466"/>
      <c r="AN521" s="465"/>
      <c r="AO521" s="457"/>
      <c r="AP521" s="464"/>
      <c r="AQ521" s="464"/>
      <c r="AR521" s="460">
        <f t="shared" si="241"/>
        <v>0</v>
      </c>
      <c r="AS521" s="467">
        <f t="shared" si="242"/>
        <v>0</v>
      </c>
      <c r="AT521" s="447">
        <f t="shared" si="243"/>
        <v>0</v>
      </c>
      <c r="AU521" s="448">
        <f t="shared" si="244"/>
        <v>0</v>
      </c>
      <c r="AV521" s="457"/>
      <c r="AW521" s="450"/>
      <c r="AX521" s="463"/>
      <c r="AY521" s="457"/>
      <c r="AZ521" s="464"/>
      <c r="BA521" s="464"/>
      <c r="BB521" s="465"/>
      <c r="BC521" s="457"/>
      <c r="BD521" s="464"/>
      <c r="BE521" s="466"/>
      <c r="BF521" s="465"/>
      <c r="BG521" s="457"/>
      <c r="BH521" s="464"/>
      <c r="BI521" s="466"/>
      <c r="BJ521" s="465"/>
      <c r="BK521" s="457"/>
      <c r="BL521" s="464"/>
      <c r="BM521" s="466"/>
      <c r="BN521" s="465"/>
      <c r="BO521" s="457"/>
      <c r="BP521" s="464"/>
      <c r="BQ521" s="466"/>
      <c r="BR521" s="465"/>
      <c r="BS521" s="457"/>
      <c r="BT521" s="464"/>
      <c r="BU521" s="466"/>
      <c r="BV521" s="465"/>
      <c r="BW521" s="457"/>
      <c r="BX521" s="464"/>
      <c r="BY521" s="466"/>
      <c r="BZ521" s="465"/>
      <c r="CA521" s="457"/>
      <c r="CB521" s="464"/>
      <c r="CC521" s="466"/>
      <c r="CD521" s="465"/>
      <c r="CE521" s="457"/>
      <c r="CF521" s="464"/>
      <c r="CG521" s="466"/>
      <c r="CH521" s="465"/>
      <c r="CI521" s="457"/>
      <c r="CJ521" s="464"/>
      <c r="CK521" s="466"/>
      <c r="CL521" s="459"/>
      <c r="CM521" s="450"/>
      <c r="CN521" s="468">
        <f t="shared" si="245"/>
        <v>0</v>
      </c>
      <c r="CO521" s="468">
        <f t="shared" si="246"/>
        <v>0</v>
      </c>
      <c r="CP521" s="469">
        <f t="shared" si="247"/>
        <v>0</v>
      </c>
      <c r="CQ521" s="469">
        <f t="shared" si="248"/>
        <v>0</v>
      </c>
      <c r="CR521" s="463"/>
      <c r="CS521" s="457"/>
      <c r="CT521" s="464"/>
      <c r="CU521" s="464"/>
      <c r="CV521" s="465"/>
      <c r="CW521" s="457"/>
      <c r="CX521" s="464"/>
      <c r="CY521" s="466"/>
      <c r="CZ521" s="465"/>
      <c r="DA521" s="457"/>
      <c r="DB521" s="464"/>
      <c r="DC521" s="466"/>
      <c r="DD521" s="465"/>
      <c r="DE521" s="457"/>
      <c r="DF521" s="464"/>
      <c r="DG521" s="466"/>
      <c r="DH521" s="465"/>
      <c r="DI521" s="457"/>
      <c r="DJ521" s="464"/>
      <c r="DK521" s="466"/>
      <c r="DL521" s="465"/>
      <c r="DM521" s="457"/>
      <c r="DN521" s="464"/>
      <c r="DO521" s="466"/>
      <c r="DP521" s="465"/>
      <c r="DQ521" s="457"/>
      <c r="DR521" s="464"/>
      <c r="DS521" s="466"/>
      <c r="DT521" s="465"/>
      <c r="DU521" s="457"/>
      <c r="DV521" s="464"/>
      <c r="DW521" s="466"/>
      <c r="DX521" s="465"/>
      <c r="DY521" s="457"/>
      <c r="DZ521" s="464"/>
      <c r="EA521" s="466"/>
      <c r="EB521" s="465"/>
      <c r="EC521" s="457"/>
      <c r="ED521" s="464"/>
      <c r="EE521" s="466"/>
      <c r="EF521" s="459"/>
      <c r="EG521" s="450"/>
      <c r="EH521" s="460">
        <f t="shared" si="249"/>
        <v>0</v>
      </c>
      <c r="EI521" s="460">
        <f t="shared" si="250"/>
        <v>0</v>
      </c>
      <c r="EJ521" s="458">
        <f t="shared" si="251"/>
        <v>0</v>
      </c>
      <c r="EK521" s="470">
        <f t="shared" si="252"/>
        <v>0</v>
      </c>
      <c r="EL521" s="470">
        <f t="shared" si="253"/>
        <v>0</v>
      </c>
      <c r="EM521" s="449">
        <f t="shared" si="254"/>
        <v>0</v>
      </c>
      <c r="EN521" s="460">
        <f t="shared" si="255"/>
        <v>0</v>
      </c>
      <c r="EO521" s="469">
        <f t="shared" si="256"/>
        <v>0</v>
      </c>
      <c r="EP521" s="471"/>
      <c r="EQ521" s="450"/>
      <c r="ER521" s="471"/>
      <c r="ES521" s="450"/>
      <c r="ET521" s="471"/>
      <c r="EU521" s="450"/>
      <c r="EV521" s="471"/>
      <c r="EW521" s="450"/>
      <c r="EX521" s="471"/>
      <c r="EY521" s="450"/>
      <c r="EZ521" s="471"/>
      <c r="FA521" s="450"/>
      <c r="FB521" s="471"/>
      <c r="FC521" s="450"/>
      <c r="FD521" s="471"/>
      <c r="FE521" s="450"/>
      <c r="FF521" s="471"/>
      <c r="FG521" s="450"/>
      <c r="FH521" s="472"/>
      <c r="FI521" s="450"/>
      <c r="FJ521" s="468">
        <f t="shared" si="257"/>
        <v>0</v>
      </c>
      <c r="FK521" s="469">
        <f t="shared" si="258"/>
        <v>0</v>
      </c>
      <c r="FL521" s="472"/>
      <c r="FM521" s="450"/>
      <c r="FN521" s="460">
        <f t="shared" si="259"/>
        <v>108</v>
      </c>
      <c r="FO521" s="469">
        <f t="shared" si="260"/>
        <v>92</v>
      </c>
    </row>
    <row r="522" spans="1:171" x14ac:dyDescent="0.2">
      <c r="A522" s="616" t="s">
        <v>802</v>
      </c>
      <c r="B522" s="617" t="s">
        <v>847</v>
      </c>
      <c r="C522" s="618"/>
      <c r="D522" s="619">
        <v>221582</v>
      </c>
      <c r="E522" s="656">
        <v>13</v>
      </c>
      <c r="F522" s="532">
        <v>250</v>
      </c>
      <c r="G522" s="622">
        <v>168</v>
      </c>
      <c r="H522" s="457"/>
      <c r="I522" s="450"/>
      <c r="J522" s="457"/>
      <c r="K522" s="450"/>
      <c r="L522" s="458">
        <f t="shared" ref="L522:L585" si="261">IF(N522&gt;0,J522/N522, )</f>
        <v>0</v>
      </c>
      <c r="M522" s="449">
        <f t="shared" ref="M522:M585" si="262">IF(S522&gt;0,K522/S522, )</f>
        <v>0</v>
      </c>
      <c r="N522" s="459"/>
      <c r="O522" s="459"/>
      <c r="P522" s="459"/>
      <c r="Q522" s="459"/>
      <c r="R522" s="460">
        <f t="shared" ref="R522:R585" si="263">SUM(O522:Q522)</f>
        <v>0</v>
      </c>
      <c r="S522" s="461"/>
      <c r="T522" s="461"/>
      <c r="U522" s="461"/>
      <c r="V522" s="461"/>
      <c r="W522" s="462">
        <f t="shared" ref="W522:W585" si="264">SUM(T522:V522)</f>
        <v>0</v>
      </c>
      <c r="X522" s="463"/>
      <c r="Y522" s="457"/>
      <c r="Z522" s="464"/>
      <c r="AA522" s="464"/>
      <c r="AB522" s="465"/>
      <c r="AC522" s="457"/>
      <c r="AD522" s="464"/>
      <c r="AE522" s="466"/>
      <c r="AF522" s="465"/>
      <c r="AG522" s="457"/>
      <c r="AH522" s="464"/>
      <c r="AI522" s="466"/>
      <c r="AJ522" s="465"/>
      <c r="AK522" s="457"/>
      <c r="AL522" s="464"/>
      <c r="AM522" s="466"/>
      <c r="AN522" s="465"/>
      <c r="AO522" s="457"/>
      <c r="AP522" s="464"/>
      <c r="AQ522" s="464"/>
      <c r="AR522" s="460">
        <f t="shared" ref="AR522:AR585" si="265">COUNTA(X522,AB522,AF522,AJ522,AN522)</f>
        <v>0</v>
      </c>
      <c r="AS522" s="467">
        <f t="shared" ref="AS522:AS585" si="266">IF(FN522&gt;0,N522/FN522,)</f>
        <v>0</v>
      </c>
      <c r="AT522" s="447">
        <f t="shared" ref="AT522:AT585" si="267">COUNTA(Z522,AD522,AH522,AL522,AP522)</f>
        <v>0</v>
      </c>
      <c r="AU522" s="448">
        <f t="shared" ref="AU522:AU585" si="268">IF(FO522&gt;0,S522/FO522,)</f>
        <v>0</v>
      </c>
      <c r="AV522" s="457"/>
      <c r="AW522" s="450"/>
      <c r="AX522" s="463"/>
      <c r="AY522" s="457"/>
      <c r="AZ522" s="464"/>
      <c r="BA522" s="464"/>
      <c r="BB522" s="465"/>
      <c r="BC522" s="457"/>
      <c r="BD522" s="464"/>
      <c r="BE522" s="466"/>
      <c r="BF522" s="465"/>
      <c r="BG522" s="457"/>
      <c r="BH522" s="464"/>
      <c r="BI522" s="466"/>
      <c r="BJ522" s="465"/>
      <c r="BK522" s="457"/>
      <c r="BL522" s="464"/>
      <c r="BM522" s="466"/>
      <c r="BN522" s="465"/>
      <c r="BO522" s="457"/>
      <c r="BP522" s="464"/>
      <c r="BQ522" s="466"/>
      <c r="BR522" s="465"/>
      <c r="BS522" s="457"/>
      <c r="BT522" s="464"/>
      <c r="BU522" s="466"/>
      <c r="BV522" s="465"/>
      <c r="BW522" s="457"/>
      <c r="BX522" s="464"/>
      <c r="BY522" s="466"/>
      <c r="BZ522" s="465"/>
      <c r="CA522" s="457"/>
      <c r="CB522" s="464"/>
      <c r="CC522" s="466"/>
      <c r="CD522" s="465"/>
      <c r="CE522" s="457"/>
      <c r="CF522" s="464"/>
      <c r="CG522" s="466"/>
      <c r="CH522" s="465"/>
      <c r="CI522" s="457"/>
      <c r="CJ522" s="464"/>
      <c r="CK522" s="466"/>
      <c r="CL522" s="459"/>
      <c r="CM522" s="450"/>
      <c r="CN522" s="468">
        <f t="shared" ref="CN522:CN585" si="269">AY522+BC522+BG522+BK522+BO522+BS522+BW522+CA522+CE522+CI522+CL522</f>
        <v>0</v>
      </c>
      <c r="CO522" s="468">
        <f t="shared" ref="CO522:CO585" si="270">COUNTA(AX522,BB522,BF522,BJ522,BN522,BR522,BV522,BZ522,CD522,CH522)</f>
        <v>0</v>
      </c>
      <c r="CP522" s="469">
        <f t="shared" ref="CP522:CP585" si="271">BA522+BE522+BI522+BM522+BQ522+BU522+BY522+CC522+CG522+CK522+CM522</f>
        <v>0</v>
      </c>
      <c r="CQ522" s="469">
        <f t="shared" ref="CQ522:CQ585" si="272">COUNTA(AZ522,BD522,BH522,BL522,BP522,BT522,BX522,CB522,CF522,CJ522)</f>
        <v>0</v>
      </c>
      <c r="CR522" s="463"/>
      <c r="CS522" s="457"/>
      <c r="CT522" s="464"/>
      <c r="CU522" s="464"/>
      <c r="CV522" s="465"/>
      <c r="CW522" s="457"/>
      <c r="CX522" s="464"/>
      <c r="CY522" s="466"/>
      <c r="CZ522" s="465"/>
      <c r="DA522" s="457"/>
      <c r="DB522" s="464"/>
      <c r="DC522" s="466"/>
      <c r="DD522" s="465"/>
      <c r="DE522" s="457"/>
      <c r="DF522" s="464"/>
      <c r="DG522" s="466"/>
      <c r="DH522" s="465"/>
      <c r="DI522" s="457"/>
      <c r="DJ522" s="464"/>
      <c r="DK522" s="466"/>
      <c r="DL522" s="465"/>
      <c r="DM522" s="457"/>
      <c r="DN522" s="464"/>
      <c r="DO522" s="466"/>
      <c r="DP522" s="465"/>
      <c r="DQ522" s="457"/>
      <c r="DR522" s="464"/>
      <c r="DS522" s="466"/>
      <c r="DT522" s="465"/>
      <c r="DU522" s="457"/>
      <c r="DV522" s="464"/>
      <c r="DW522" s="466"/>
      <c r="DX522" s="465"/>
      <c r="DY522" s="457"/>
      <c r="DZ522" s="464"/>
      <c r="EA522" s="466"/>
      <c r="EB522" s="465"/>
      <c r="EC522" s="457"/>
      <c r="ED522" s="464"/>
      <c r="EE522" s="466"/>
      <c r="EF522" s="459"/>
      <c r="EG522" s="450"/>
      <c r="EH522" s="460">
        <f t="shared" ref="EH522:EH585" si="273">CS522+CW522+DA522+DE522+DI522+DM522+DQ522+DU522+DY522+EC522+EF522</f>
        <v>0</v>
      </c>
      <c r="EI522" s="460">
        <f t="shared" ref="EI522:EI585" si="274">COUNTA(CR522,CV522,CZ522,DD522,DH522,DL522,DP522,DT522,DX522,EB522)</f>
        <v>0</v>
      </c>
      <c r="EJ522" s="458">
        <f t="shared" ref="EJ522:EJ585" si="275">IF(EH522&gt;0,CS522/EH522,)</f>
        <v>0</v>
      </c>
      <c r="EK522" s="470">
        <f t="shared" ref="EK522:EK585" si="276">CU522+CY522+DC522+DG522+DK522+DO522+DS522+DW522+EA522+EE522+EG522</f>
        <v>0</v>
      </c>
      <c r="EL522" s="470">
        <f t="shared" ref="EL522:EL585" si="277">COUNTA(CT522,CX522,DB522,DF522,DJ522,DN522,DR522,DV522,DZ522,ED522)</f>
        <v>0</v>
      </c>
      <c r="EM522" s="449">
        <f t="shared" ref="EM522:EM585" si="278">IF(EK522&gt;0,CU522/EK522,)</f>
        <v>0</v>
      </c>
      <c r="EN522" s="460">
        <f t="shared" ref="EN522:EN585" si="279">CN522+EH522</f>
        <v>0</v>
      </c>
      <c r="EO522" s="469">
        <f t="shared" ref="EO522:EO585" si="280">CP522+EK522</f>
        <v>0</v>
      </c>
      <c r="EP522" s="471"/>
      <c r="EQ522" s="450"/>
      <c r="ER522" s="471"/>
      <c r="ES522" s="450"/>
      <c r="ET522" s="471"/>
      <c r="EU522" s="450"/>
      <c r="EV522" s="471"/>
      <c r="EW522" s="450"/>
      <c r="EX522" s="471"/>
      <c r="EY522" s="450"/>
      <c r="EZ522" s="471"/>
      <c r="FA522" s="450"/>
      <c r="FB522" s="471"/>
      <c r="FC522" s="450"/>
      <c r="FD522" s="471"/>
      <c r="FE522" s="450"/>
      <c r="FF522" s="471"/>
      <c r="FG522" s="450"/>
      <c r="FH522" s="472"/>
      <c r="FI522" s="450"/>
      <c r="FJ522" s="468">
        <f t="shared" ref="FJ522:FJ585" si="281">EP522+ER522+ET522+EV522+EX522+EZ522+FB522+FD522+FF522+FH522</f>
        <v>0</v>
      </c>
      <c r="FK522" s="469">
        <f t="shared" ref="FK522:FK585" si="282">EQ522+ES522+EU522+EW522+EY522+FA522+FC522+FE522+FG522+FI522</f>
        <v>0</v>
      </c>
      <c r="FL522" s="472"/>
      <c r="FM522" s="450"/>
      <c r="FN522" s="460">
        <f t="shared" ref="FN522:FN585" si="283">F522+H522+J522+N522+AV522+EN522+FJ522+FL522</f>
        <v>250</v>
      </c>
      <c r="FO522" s="469">
        <f t="shared" ref="FO522:FO585" si="284">G522+I522+K522+S522+AW522+EO522+FK522+FM522</f>
        <v>168</v>
      </c>
    </row>
    <row r="523" spans="1:171" x14ac:dyDescent="0.2">
      <c r="A523" s="616" t="s">
        <v>802</v>
      </c>
      <c r="B523" s="617" t="s">
        <v>848</v>
      </c>
      <c r="C523" s="618"/>
      <c r="D523" s="619">
        <v>221281</v>
      </c>
      <c r="E523" s="656">
        <v>13</v>
      </c>
      <c r="F523" s="532">
        <v>289</v>
      </c>
      <c r="G523" s="622">
        <v>260</v>
      </c>
      <c r="H523" s="457"/>
      <c r="I523" s="450"/>
      <c r="J523" s="457"/>
      <c r="K523" s="450"/>
      <c r="L523" s="458">
        <f t="shared" si="261"/>
        <v>0</v>
      </c>
      <c r="M523" s="449">
        <f t="shared" si="262"/>
        <v>0</v>
      </c>
      <c r="N523" s="459"/>
      <c r="O523" s="459"/>
      <c r="P523" s="459"/>
      <c r="Q523" s="459"/>
      <c r="R523" s="460">
        <f t="shared" si="263"/>
        <v>0</v>
      </c>
      <c r="S523" s="461"/>
      <c r="T523" s="461"/>
      <c r="U523" s="461"/>
      <c r="V523" s="461"/>
      <c r="W523" s="462">
        <f t="shared" si="264"/>
        <v>0</v>
      </c>
      <c r="X523" s="463"/>
      <c r="Y523" s="457"/>
      <c r="Z523" s="464"/>
      <c r="AA523" s="464"/>
      <c r="AB523" s="465"/>
      <c r="AC523" s="457"/>
      <c r="AD523" s="464"/>
      <c r="AE523" s="466"/>
      <c r="AF523" s="465"/>
      <c r="AG523" s="457"/>
      <c r="AH523" s="464"/>
      <c r="AI523" s="466"/>
      <c r="AJ523" s="465"/>
      <c r="AK523" s="457"/>
      <c r="AL523" s="464"/>
      <c r="AM523" s="466"/>
      <c r="AN523" s="465"/>
      <c r="AO523" s="457"/>
      <c r="AP523" s="464"/>
      <c r="AQ523" s="464"/>
      <c r="AR523" s="460">
        <f t="shared" si="265"/>
        <v>0</v>
      </c>
      <c r="AS523" s="467">
        <f t="shared" si="266"/>
        <v>0</v>
      </c>
      <c r="AT523" s="447">
        <f t="shared" si="267"/>
        <v>0</v>
      </c>
      <c r="AU523" s="448">
        <f t="shared" si="268"/>
        <v>0</v>
      </c>
      <c r="AV523" s="457"/>
      <c r="AW523" s="450"/>
      <c r="AX523" s="463"/>
      <c r="AY523" s="457"/>
      <c r="AZ523" s="464"/>
      <c r="BA523" s="464"/>
      <c r="BB523" s="465"/>
      <c r="BC523" s="457"/>
      <c r="BD523" s="464"/>
      <c r="BE523" s="466"/>
      <c r="BF523" s="465"/>
      <c r="BG523" s="457"/>
      <c r="BH523" s="464"/>
      <c r="BI523" s="466"/>
      <c r="BJ523" s="465"/>
      <c r="BK523" s="457"/>
      <c r="BL523" s="464"/>
      <c r="BM523" s="466"/>
      <c r="BN523" s="465"/>
      <c r="BO523" s="457"/>
      <c r="BP523" s="464"/>
      <c r="BQ523" s="466"/>
      <c r="BR523" s="465"/>
      <c r="BS523" s="457"/>
      <c r="BT523" s="464"/>
      <c r="BU523" s="466"/>
      <c r="BV523" s="465"/>
      <c r="BW523" s="457"/>
      <c r="BX523" s="464"/>
      <c r="BY523" s="466"/>
      <c r="BZ523" s="465"/>
      <c r="CA523" s="457"/>
      <c r="CB523" s="464"/>
      <c r="CC523" s="466"/>
      <c r="CD523" s="465"/>
      <c r="CE523" s="457"/>
      <c r="CF523" s="464"/>
      <c r="CG523" s="466"/>
      <c r="CH523" s="465"/>
      <c r="CI523" s="457"/>
      <c r="CJ523" s="464"/>
      <c r="CK523" s="466"/>
      <c r="CL523" s="459"/>
      <c r="CM523" s="450"/>
      <c r="CN523" s="468">
        <f t="shared" si="269"/>
        <v>0</v>
      </c>
      <c r="CO523" s="468">
        <f t="shared" si="270"/>
        <v>0</v>
      </c>
      <c r="CP523" s="469">
        <f t="shared" si="271"/>
        <v>0</v>
      </c>
      <c r="CQ523" s="469">
        <f t="shared" si="272"/>
        <v>0</v>
      </c>
      <c r="CR523" s="463"/>
      <c r="CS523" s="457"/>
      <c r="CT523" s="464"/>
      <c r="CU523" s="464"/>
      <c r="CV523" s="465"/>
      <c r="CW523" s="457"/>
      <c r="CX523" s="464"/>
      <c r="CY523" s="466"/>
      <c r="CZ523" s="465"/>
      <c r="DA523" s="457"/>
      <c r="DB523" s="464"/>
      <c r="DC523" s="466"/>
      <c r="DD523" s="465"/>
      <c r="DE523" s="457"/>
      <c r="DF523" s="464"/>
      <c r="DG523" s="466"/>
      <c r="DH523" s="465"/>
      <c r="DI523" s="457"/>
      <c r="DJ523" s="464"/>
      <c r="DK523" s="466"/>
      <c r="DL523" s="465"/>
      <c r="DM523" s="457"/>
      <c r="DN523" s="464"/>
      <c r="DO523" s="466"/>
      <c r="DP523" s="465"/>
      <c r="DQ523" s="457"/>
      <c r="DR523" s="464"/>
      <c r="DS523" s="466"/>
      <c r="DT523" s="465"/>
      <c r="DU523" s="457"/>
      <c r="DV523" s="464"/>
      <c r="DW523" s="466"/>
      <c r="DX523" s="465"/>
      <c r="DY523" s="457"/>
      <c r="DZ523" s="464"/>
      <c r="EA523" s="466"/>
      <c r="EB523" s="465"/>
      <c r="EC523" s="457"/>
      <c r="ED523" s="464"/>
      <c r="EE523" s="466"/>
      <c r="EF523" s="459"/>
      <c r="EG523" s="450"/>
      <c r="EH523" s="460">
        <f t="shared" si="273"/>
        <v>0</v>
      </c>
      <c r="EI523" s="460">
        <f t="shared" si="274"/>
        <v>0</v>
      </c>
      <c r="EJ523" s="458">
        <f t="shared" si="275"/>
        <v>0</v>
      </c>
      <c r="EK523" s="470">
        <f t="shared" si="276"/>
        <v>0</v>
      </c>
      <c r="EL523" s="470">
        <f t="shared" si="277"/>
        <v>0</v>
      </c>
      <c r="EM523" s="449">
        <f t="shared" si="278"/>
        <v>0</v>
      </c>
      <c r="EN523" s="460">
        <f t="shared" si="279"/>
        <v>0</v>
      </c>
      <c r="EO523" s="469">
        <f t="shared" si="280"/>
        <v>0</v>
      </c>
      <c r="EP523" s="471"/>
      <c r="EQ523" s="450"/>
      <c r="ER523" s="471"/>
      <c r="ES523" s="450"/>
      <c r="ET523" s="471"/>
      <c r="EU523" s="450"/>
      <c r="EV523" s="471"/>
      <c r="EW523" s="450"/>
      <c r="EX523" s="471"/>
      <c r="EY523" s="450"/>
      <c r="EZ523" s="471"/>
      <c r="FA523" s="450"/>
      <c r="FB523" s="471"/>
      <c r="FC523" s="450"/>
      <c r="FD523" s="471"/>
      <c r="FE523" s="450"/>
      <c r="FF523" s="471"/>
      <c r="FG523" s="450"/>
      <c r="FH523" s="472"/>
      <c r="FI523" s="450"/>
      <c r="FJ523" s="468">
        <f t="shared" si="281"/>
        <v>0</v>
      </c>
      <c r="FK523" s="469">
        <f t="shared" si="282"/>
        <v>0</v>
      </c>
      <c r="FL523" s="472"/>
      <c r="FM523" s="450"/>
      <c r="FN523" s="460">
        <f t="shared" si="283"/>
        <v>289</v>
      </c>
      <c r="FO523" s="469">
        <f t="shared" si="284"/>
        <v>260</v>
      </c>
    </row>
    <row r="524" spans="1:171" x14ac:dyDescent="0.2">
      <c r="A524" s="616" t="s">
        <v>802</v>
      </c>
      <c r="B524" s="617" t="s">
        <v>849</v>
      </c>
      <c r="C524" s="618"/>
      <c r="D524" s="619">
        <v>221333</v>
      </c>
      <c r="E524" s="656">
        <v>13</v>
      </c>
      <c r="F524" s="532">
        <v>424</v>
      </c>
      <c r="G524" s="622">
        <v>220</v>
      </c>
      <c r="H524" s="457"/>
      <c r="I524" s="450"/>
      <c r="J524" s="457"/>
      <c r="K524" s="450"/>
      <c r="L524" s="458">
        <f t="shared" si="261"/>
        <v>0</v>
      </c>
      <c r="M524" s="449">
        <f t="shared" si="262"/>
        <v>0</v>
      </c>
      <c r="N524" s="459"/>
      <c r="O524" s="459"/>
      <c r="P524" s="459"/>
      <c r="Q524" s="459"/>
      <c r="R524" s="460">
        <f t="shared" si="263"/>
        <v>0</v>
      </c>
      <c r="S524" s="461"/>
      <c r="T524" s="461"/>
      <c r="U524" s="461"/>
      <c r="V524" s="461"/>
      <c r="W524" s="462">
        <f t="shared" si="264"/>
        <v>0</v>
      </c>
      <c r="X524" s="463"/>
      <c r="Y524" s="457"/>
      <c r="Z524" s="464"/>
      <c r="AA524" s="464"/>
      <c r="AB524" s="465"/>
      <c r="AC524" s="457"/>
      <c r="AD524" s="464"/>
      <c r="AE524" s="466"/>
      <c r="AF524" s="465"/>
      <c r="AG524" s="457"/>
      <c r="AH524" s="464"/>
      <c r="AI524" s="466"/>
      <c r="AJ524" s="465"/>
      <c r="AK524" s="457"/>
      <c r="AL524" s="464"/>
      <c r="AM524" s="466"/>
      <c r="AN524" s="465"/>
      <c r="AO524" s="457"/>
      <c r="AP524" s="464"/>
      <c r="AQ524" s="464"/>
      <c r="AR524" s="460">
        <f t="shared" si="265"/>
        <v>0</v>
      </c>
      <c r="AS524" s="467">
        <f t="shared" si="266"/>
        <v>0</v>
      </c>
      <c r="AT524" s="447">
        <f t="shared" si="267"/>
        <v>0</v>
      </c>
      <c r="AU524" s="448">
        <f t="shared" si="268"/>
        <v>0</v>
      </c>
      <c r="AV524" s="457"/>
      <c r="AW524" s="450"/>
      <c r="AX524" s="463"/>
      <c r="AY524" s="457"/>
      <c r="AZ524" s="464"/>
      <c r="BA524" s="464"/>
      <c r="BB524" s="465"/>
      <c r="BC524" s="457"/>
      <c r="BD524" s="464"/>
      <c r="BE524" s="466"/>
      <c r="BF524" s="465"/>
      <c r="BG524" s="457"/>
      <c r="BH524" s="464"/>
      <c r="BI524" s="466"/>
      <c r="BJ524" s="465"/>
      <c r="BK524" s="457"/>
      <c r="BL524" s="464"/>
      <c r="BM524" s="466"/>
      <c r="BN524" s="465"/>
      <c r="BO524" s="457"/>
      <c r="BP524" s="464"/>
      <c r="BQ524" s="466"/>
      <c r="BR524" s="465"/>
      <c r="BS524" s="457"/>
      <c r="BT524" s="464"/>
      <c r="BU524" s="466"/>
      <c r="BV524" s="465"/>
      <c r="BW524" s="457"/>
      <c r="BX524" s="464"/>
      <c r="BY524" s="466"/>
      <c r="BZ524" s="465"/>
      <c r="CA524" s="457"/>
      <c r="CB524" s="464"/>
      <c r="CC524" s="466"/>
      <c r="CD524" s="465"/>
      <c r="CE524" s="457"/>
      <c r="CF524" s="464"/>
      <c r="CG524" s="466"/>
      <c r="CH524" s="465"/>
      <c r="CI524" s="457"/>
      <c r="CJ524" s="464"/>
      <c r="CK524" s="466"/>
      <c r="CL524" s="459"/>
      <c r="CM524" s="450"/>
      <c r="CN524" s="468">
        <f t="shared" si="269"/>
        <v>0</v>
      </c>
      <c r="CO524" s="468">
        <f t="shared" si="270"/>
        <v>0</v>
      </c>
      <c r="CP524" s="469">
        <f t="shared" si="271"/>
        <v>0</v>
      </c>
      <c r="CQ524" s="469">
        <f t="shared" si="272"/>
        <v>0</v>
      </c>
      <c r="CR524" s="463"/>
      <c r="CS524" s="457"/>
      <c r="CT524" s="464"/>
      <c r="CU524" s="464"/>
      <c r="CV524" s="465"/>
      <c r="CW524" s="457"/>
      <c r="CX524" s="464"/>
      <c r="CY524" s="466"/>
      <c r="CZ524" s="465"/>
      <c r="DA524" s="457"/>
      <c r="DB524" s="464"/>
      <c r="DC524" s="466"/>
      <c r="DD524" s="465"/>
      <c r="DE524" s="457"/>
      <c r="DF524" s="464"/>
      <c r="DG524" s="466"/>
      <c r="DH524" s="465"/>
      <c r="DI524" s="457"/>
      <c r="DJ524" s="464"/>
      <c r="DK524" s="466"/>
      <c r="DL524" s="465"/>
      <c r="DM524" s="457"/>
      <c r="DN524" s="464"/>
      <c r="DO524" s="466"/>
      <c r="DP524" s="465"/>
      <c r="DQ524" s="457"/>
      <c r="DR524" s="464"/>
      <c r="DS524" s="466"/>
      <c r="DT524" s="465"/>
      <c r="DU524" s="457"/>
      <c r="DV524" s="464"/>
      <c r="DW524" s="466"/>
      <c r="DX524" s="465"/>
      <c r="DY524" s="457"/>
      <c r="DZ524" s="464"/>
      <c r="EA524" s="466"/>
      <c r="EB524" s="465"/>
      <c r="EC524" s="457"/>
      <c r="ED524" s="464"/>
      <c r="EE524" s="466"/>
      <c r="EF524" s="459"/>
      <c r="EG524" s="450"/>
      <c r="EH524" s="460">
        <f t="shared" si="273"/>
        <v>0</v>
      </c>
      <c r="EI524" s="460">
        <f t="shared" si="274"/>
        <v>0</v>
      </c>
      <c r="EJ524" s="458">
        <f t="shared" si="275"/>
        <v>0</v>
      </c>
      <c r="EK524" s="470">
        <f t="shared" si="276"/>
        <v>0</v>
      </c>
      <c r="EL524" s="470">
        <f t="shared" si="277"/>
        <v>0</v>
      </c>
      <c r="EM524" s="449">
        <f t="shared" si="278"/>
        <v>0</v>
      </c>
      <c r="EN524" s="460">
        <f t="shared" si="279"/>
        <v>0</v>
      </c>
      <c r="EO524" s="469">
        <f t="shared" si="280"/>
        <v>0</v>
      </c>
      <c r="EP524" s="471"/>
      <c r="EQ524" s="450"/>
      <c r="ER524" s="471"/>
      <c r="ES524" s="450"/>
      <c r="ET524" s="471"/>
      <c r="EU524" s="450"/>
      <c r="EV524" s="471"/>
      <c r="EW524" s="450"/>
      <c r="EX524" s="471"/>
      <c r="EY524" s="450"/>
      <c r="EZ524" s="471"/>
      <c r="FA524" s="450"/>
      <c r="FB524" s="471"/>
      <c r="FC524" s="450"/>
      <c r="FD524" s="471"/>
      <c r="FE524" s="450"/>
      <c r="FF524" s="471"/>
      <c r="FG524" s="450"/>
      <c r="FH524" s="472"/>
      <c r="FI524" s="450"/>
      <c r="FJ524" s="468">
        <f t="shared" si="281"/>
        <v>0</v>
      </c>
      <c r="FK524" s="469">
        <f t="shared" si="282"/>
        <v>0</v>
      </c>
      <c r="FL524" s="472"/>
      <c r="FM524" s="450"/>
      <c r="FN524" s="460">
        <f t="shared" si="283"/>
        <v>424</v>
      </c>
      <c r="FO524" s="469">
        <f t="shared" si="284"/>
        <v>220</v>
      </c>
    </row>
    <row r="525" spans="1:171" x14ac:dyDescent="0.2">
      <c r="A525" s="616" t="s">
        <v>802</v>
      </c>
      <c r="B525" s="617" t="s">
        <v>850</v>
      </c>
      <c r="C525" s="618"/>
      <c r="D525" s="619">
        <v>221388</v>
      </c>
      <c r="E525" s="656">
        <v>13</v>
      </c>
      <c r="F525" s="532">
        <v>136</v>
      </c>
      <c r="G525" s="622">
        <v>126</v>
      </c>
      <c r="H525" s="457"/>
      <c r="I525" s="450"/>
      <c r="J525" s="457"/>
      <c r="K525" s="450"/>
      <c r="L525" s="458">
        <f t="shared" si="261"/>
        <v>0</v>
      </c>
      <c r="M525" s="449">
        <f t="shared" si="262"/>
        <v>0</v>
      </c>
      <c r="N525" s="459"/>
      <c r="O525" s="459"/>
      <c r="P525" s="459"/>
      <c r="Q525" s="459"/>
      <c r="R525" s="460">
        <f t="shared" si="263"/>
        <v>0</v>
      </c>
      <c r="S525" s="461"/>
      <c r="T525" s="461"/>
      <c r="U525" s="461"/>
      <c r="V525" s="461"/>
      <c r="W525" s="462">
        <f t="shared" si="264"/>
        <v>0</v>
      </c>
      <c r="X525" s="463"/>
      <c r="Y525" s="457"/>
      <c r="Z525" s="464"/>
      <c r="AA525" s="464"/>
      <c r="AB525" s="465"/>
      <c r="AC525" s="457"/>
      <c r="AD525" s="464"/>
      <c r="AE525" s="466"/>
      <c r="AF525" s="465"/>
      <c r="AG525" s="457"/>
      <c r="AH525" s="464"/>
      <c r="AI525" s="466"/>
      <c r="AJ525" s="465"/>
      <c r="AK525" s="457"/>
      <c r="AL525" s="464"/>
      <c r="AM525" s="466"/>
      <c r="AN525" s="465"/>
      <c r="AO525" s="457"/>
      <c r="AP525" s="464"/>
      <c r="AQ525" s="464"/>
      <c r="AR525" s="460">
        <f t="shared" si="265"/>
        <v>0</v>
      </c>
      <c r="AS525" s="467">
        <f t="shared" si="266"/>
        <v>0</v>
      </c>
      <c r="AT525" s="447">
        <f t="shared" si="267"/>
        <v>0</v>
      </c>
      <c r="AU525" s="448">
        <f t="shared" si="268"/>
        <v>0</v>
      </c>
      <c r="AV525" s="457"/>
      <c r="AW525" s="450"/>
      <c r="AX525" s="463"/>
      <c r="AY525" s="457"/>
      <c r="AZ525" s="464"/>
      <c r="BA525" s="464"/>
      <c r="BB525" s="465"/>
      <c r="BC525" s="457"/>
      <c r="BD525" s="464"/>
      <c r="BE525" s="466"/>
      <c r="BF525" s="465"/>
      <c r="BG525" s="457"/>
      <c r="BH525" s="464"/>
      <c r="BI525" s="466"/>
      <c r="BJ525" s="465"/>
      <c r="BK525" s="457"/>
      <c r="BL525" s="464"/>
      <c r="BM525" s="466"/>
      <c r="BN525" s="465"/>
      <c r="BO525" s="457"/>
      <c r="BP525" s="464"/>
      <c r="BQ525" s="466"/>
      <c r="BR525" s="465"/>
      <c r="BS525" s="457"/>
      <c r="BT525" s="464"/>
      <c r="BU525" s="466"/>
      <c r="BV525" s="465"/>
      <c r="BW525" s="457"/>
      <c r="BX525" s="464"/>
      <c r="BY525" s="466"/>
      <c r="BZ525" s="465"/>
      <c r="CA525" s="457"/>
      <c r="CB525" s="464"/>
      <c r="CC525" s="466"/>
      <c r="CD525" s="465"/>
      <c r="CE525" s="457"/>
      <c r="CF525" s="464"/>
      <c r="CG525" s="466"/>
      <c r="CH525" s="465"/>
      <c r="CI525" s="457"/>
      <c r="CJ525" s="464"/>
      <c r="CK525" s="466"/>
      <c r="CL525" s="459"/>
      <c r="CM525" s="450"/>
      <c r="CN525" s="468">
        <f t="shared" si="269"/>
        <v>0</v>
      </c>
      <c r="CO525" s="468">
        <f t="shared" si="270"/>
        <v>0</v>
      </c>
      <c r="CP525" s="469">
        <f t="shared" si="271"/>
        <v>0</v>
      </c>
      <c r="CQ525" s="469">
        <f t="shared" si="272"/>
        <v>0</v>
      </c>
      <c r="CR525" s="463"/>
      <c r="CS525" s="457"/>
      <c r="CT525" s="464"/>
      <c r="CU525" s="466"/>
      <c r="CV525" s="661"/>
      <c r="CW525" s="457"/>
      <c r="CX525" s="464"/>
      <c r="CY525" s="466"/>
      <c r="CZ525" s="465"/>
      <c r="DA525" s="457"/>
      <c r="DB525" s="464"/>
      <c r="DC525" s="466"/>
      <c r="DD525" s="465"/>
      <c r="DE525" s="457"/>
      <c r="DF525" s="464"/>
      <c r="DG525" s="466"/>
      <c r="DH525" s="465"/>
      <c r="DI525" s="457"/>
      <c r="DJ525" s="464"/>
      <c r="DK525" s="466"/>
      <c r="DL525" s="465"/>
      <c r="DM525" s="457"/>
      <c r="DN525" s="464"/>
      <c r="DO525" s="466"/>
      <c r="DP525" s="465"/>
      <c r="DQ525" s="457"/>
      <c r="DR525" s="464"/>
      <c r="DS525" s="466"/>
      <c r="DT525" s="465"/>
      <c r="DU525" s="457"/>
      <c r="DV525" s="464"/>
      <c r="DW525" s="466"/>
      <c r="DX525" s="465"/>
      <c r="DY525" s="457"/>
      <c r="DZ525" s="464"/>
      <c r="EA525" s="466"/>
      <c r="EB525" s="465"/>
      <c r="EC525" s="457"/>
      <c r="ED525" s="464"/>
      <c r="EE525" s="466"/>
      <c r="EF525" s="459"/>
      <c r="EG525" s="450"/>
      <c r="EH525" s="460">
        <f t="shared" si="273"/>
        <v>0</v>
      </c>
      <c r="EI525" s="460">
        <f t="shared" si="274"/>
        <v>0</v>
      </c>
      <c r="EJ525" s="458">
        <f t="shared" si="275"/>
        <v>0</v>
      </c>
      <c r="EK525" s="470">
        <f t="shared" si="276"/>
        <v>0</v>
      </c>
      <c r="EL525" s="470">
        <f t="shared" si="277"/>
        <v>0</v>
      </c>
      <c r="EM525" s="449">
        <f t="shared" si="278"/>
        <v>0</v>
      </c>
      <c r="EN525" s="460">
        <f t="shared" si="279"/>
        <v>0</v>
      </c>
      <c r="EO525" s="469">
        <f t="shared" si="280"/>
        <v>0</v>
      </c>
      <c r="EP525" s="471"/>
      <c r="EQ525" s="450"/>
      <c r="ER525" s="471"/>
      <c r="ES525" s="450"/>
      <c r="ET525" s="471"/>
      <c r="EU525" s="450"/>
      <c r="EV525" s="471"/>
      <c r="EW525" s="450"/>
      <c r="EX525" s="471"/>
      <c r="EY525" s="450"/>
      <c r="EZ525" s="471"/>
      <c r="FA525" s="450"/>
      <c r="FB525" s="471"/>
      <c r="FC525" s="450"/>
      <c r="FD525" s="471"/>
      <c r="FE525" s="450"/>
      <c r="FF525" s="471"/>
      <c r="FG525" s="450"/>
      <c r="FH525" s="472"/>
      <c r="FI525" s="450"/>
      <c r="FJ525" s="468">
        <f t="shared" si="281"/>
        <v>0</v>
      </c>
      <c r="FK525" s="469">
        <f t="shared" si="282"/>
        <v>0</v>
      </c>
      <c r="FL525" s="472"/>
      <c r="FM525" s="450"/>
      <c r="FN525" s="460">
        <f t="shared" si="283"/>
        <v>136</v>
      </c>
      <c r="FO525" s="469">
        <f t="shared" si="284"/>
        <v>126</v>
      </c>
    </row>
    <row r="526" spans="1:171" x14ac:dyDescent="0.2">
      <c r="A526" s="616" t="s">
        <v>802</v>
      </c>
      <c r="B526" s="617" t="s">
        <v>851</v>
      </c>
      <c r="C526" s="618"/>
      <c r="D526" s="619">
        <v>221494</v>
      </c>
      <c r="E526" s="656">
        <v>13</v>
      </c>
      <c r="F526" s="532">
        <v>368</v>
      </c>
      <c r="G526" s="622">
        <v>281</v>
      </c>
      <c r="H526" s="457"/>
      <c r="I526" s="450"/>
      <c r="J526" s="457"/>
      <c r="K526" s="450"/>
      <c r="L526" s="458">
        <f t="shared" si="261"/>
        <v>0</v>
      </c>
      <c r="M526" s="449">
        <f t="shared" si="262"/>
        <v>0</v>
      </c>
      <c r="N526" s="459"/>
      <c r="O526" s="459"/>
      <c r="P526" s="459"/>
      <c r="Q526" s="459"/>
      <c r="R526" s="460">
        <f t="shared" si="263"/>
        <v>0</v>
      </c>
      <c r="S526" s="461"/>
      <c r="T526" s="461"/>
      <c r="U526" s="461"/>
      <c r="V526" s="461"/>
      <c r="W526" s="462">
        <f t="shared" si="264"/>
        <v>0</v>
      </c>
      <c r="X526" s="463"/>
      <c r="Y526" s="457"/>
      <c r="Z526" s="464"/>
      <c r="AA526" s="464"/>
      <c r="AB526" s="465"/>
      <c r="AC526" s="457"/>
      <c r="AD526" s="464"/>
      <c r="AE526" s="466"/>
      <c r="AF526" s="465"/>
      <c r="AG526" s="457"/>
      <c r="AH526" s="464"/>
      <c r="AI526" s="466"/>
      <c r="AJ526" s="465"/>
      <c r="AK526" s="457"/>
      <c r="AL526" s="464"/>
      <c r="AM526" s="466"/>
      <c r="AN526" s="465"/>
      <c r="AO526" s="457"/>
      <c r="AP526" s="464"/>
      <c r="AQ526" s="464"/>
      <c r="AR526" s="460">
        <f t="shared" si="265"/>
        <v>0</v>
      </c>
      <c r="AS526" s="467">
        <f t="shared" si="266"/>
        <v>0</v>
      </c>
      <c r="AT526" s="447">
        <f t="shared" si="267"/>
        <v>0</v>
      </c>
      <c r="AU526" s="448">
        <f t="shared" si="268"/>
        <v>0</v>
      </c>
      <c r="AV526" s="457"/>
      <c r="AW526" s="450"/>
      <c r="AX526" s="463"/>
      <c r="AY526" s="457"/>
      <c r="AZ526" s="464"/>
      <c r="BA526" s="464"/>
      <c r="BB526" s="465"/>
      <c r="BC526" s="457"/>
      <c r="BD526" s="464"/>
      <c r="BE526" s="466"/>
      <c r="BF526" s="465"/>
      <c r="BG526" s="457"/>
      <c r="BH526" s="464"/>
      <c r="BI526" s="466"/>
      <c r="BJ526" s="465"/>
      <c r="BK526" s="457"/>
      <c r="BL526" s="464"/>
      <c r="BM526" s="466"/>
      <c r="BN526" s="465"/>
      <c r="BO526" s="457"/>
      <c r="BP526" s="464"/>
      <c r="BQ526" s="466"/>
      <c r="BR526" s="465"/>
      <c r="BS526" s="457"/>
      <c r="BT526" s="464"/>
      <c r="BU526" s="466"/>
      <c r="BV526" s="465"/>
      <c r="BW526" s="457"/>
      <c r="BX526" s="464"/>
      <c r="BY526" s="466"/>
      <c r="BZ526" s="465"/>
      <c r="CA526" s="457"/>
      <c r="CB526" s="464"/>
      <c r="CC526" s="466"/>
      <c r="CD526" s="465"/>
      <c r="CE526" s="457"/>
      <c r="CF526" s="464"/>
      <c r="CG526" s="466"/>
      <c r="CH526" s="465"/>
      <c r="CI526" s="457"/>
      <c r="CJ526" s="464"/>
      <c r="CK526" s="466"/>
      <c r="CL526" s="459"/>
      <c r="CM526" s="450"/>
      <c r="CN526" s="468">
        <f t="shared" si="269"/>
        <v>0</v>
      </c>
      <c r="CO526" s="468">
        <f t="shared" si="270"/>
        <v>0</v>
      </c>
      <c r="CP526" s="469">
        <f t="shared" si="271"/>
        <v>0</v>
      </c>
      <c r="CQ526" s="469">
        <f t="shared" si="272"/>
        <v>0</v>
      </c>
      <c r="CR526" s="463"/>
      <c r="CS526" s="457"/>
      <c r="CT526" s="464"/>
      <c r="CU526" s="464"/>
      <c r="CV526" s="465"/>
      <c r="CW526" s="457"/>
      <c r="CX526" s="464"/>
      <c r="CY526" s="466"/>
      <c r="CZ526" s="465"/>
      <c r="DA526" s="457"/>
      <c r="DB526" s="464"/>
      <c r="DC526" s="466"/>
      <c r="DD526" s="465"/>
      <c r="DE526" s="457"/>
      <c r="DF526" s="464"/>
      <c r="DG526" s="466"/>
      <c r="DH526" s="465"/>
      <c r="DI526" s="457"/>
      <c r="DJ526" s="464"/>
      <c r="DK526" s="466"/>
      <c r="DL526" s="465"/>
      <c r="DM526" s="457"/>
      <c r="DN526" s="464"/>
      <c r="DO526" s="466"/>
      <c r="DP526" s="465"/>
      <c r="DQ526" s="457"/>
      <c r="DR526" s="464"/>
      <c r="DS526" s="466"/>
      <c r="DT526" s="465"/>
      <c r="DU526" s="457"/>
      <c r="DV526" s="464"/>
      <c r="DW526" s="466"/>
      <c r="DX526" s="465"/>
      <c r="DY526" s="457"/>
      <c r="DZ526" s="464"/>
      <c r="EA526" s="466"/>
      <c r="EB526" s="465"/>
      <c r="EC526" s="457"/>
      <c r="ED526" s="464"/>
      <c r="EE526" s="466"/>
      <c r="EF526" s="459"/>
      <c r="EG526" s="450"/>
      <c r="EH526" s="460">
        <f t="shared" si="273"/>
        <v>0</v>
      </c>
      <c r="EI526" s="460">
        <f t="shared" si="274"/>
        <v>0</v>
      </c>
      <c r="EJ526" s="458">
        <f t="shared" si="275"/>
        <v>0</v>
      </c>
      <c r="EK526" s="470">
        <f t="shared" si="276"/>
        <v>0</v>
      </c>
      <c r="EL526" s="470">
        <f t="shared" si="277"/>
        <v>0</v>
      </c>
      <c r="EM526" s="449">
        <f t="shared" si="278"/>
        <v>0</v>
      </c>
      <c r="EN526" s="460">
        <f t="shared" si="279"/>
        <v>0</v>
      </c>
      <c r="EO526" s="469">
        <f t="shared" si="280"/>
        <v>0</v>
      </c>
      <c r="EP526" s="471"/>
      <c r="EQ526" s="450"/>
      <c r="ER526" s="471"/>
      <c r="ES526" s="450"/>
      <c r="ET526" s="471"/>
      <c r="EU526" s="450"/>
      <c r="EV526" s="471"/>
      <c r="EW526" s="450"/>
      <c r="EX526" s="471"/>
      <c r="EY526" s="450"/>
      <c r="EZ526" s="471"/>
      <c r="FA526" s="450"/>
      <c r="FB526" s="471"/>
      <c r="FC526" s="450"/>
      <c r="FD526" s="471"/>
      <c r="FE526" s="450"/>
      <c r="FF526" s="471"/>
      <c r="FG526" s="450"/>
      <c r="FH526" s="472"/>
      <c r="FI526" s="450"/>
      <c r="FJ526" s="468">
        <f t="shared" si="281"/>
        <v>0</v>
      </c>
      <c r="FK526" s="469">
        <f t="shared" si="282"/>
        <v>0</v>
      </c>
      <c r="FL526" s="472"/>
      <c r="FM526" s="450"/>
      <c r="FN526" s="460">
        <f t="shared" si="283"/>
        <v>368</v>
      </c>
      <c r="FO526" s="469">
        <f t="shared" si="284"/>
        <v>281</v>
      </c>
    </row>
    <row r="527" spans="1:171" x14ac:dyDescent="0.2">
      <c r="A527" s="616" t="s">
        <v>802</v>
      </c>
      <c r="B527" s="617" t="s">
        <v>852</v>
      </c>
      <c r="C527" s="618"/>
      <c r="D527" s="619">
        <v>221634</v>
      </c>
      <c r="E527" s="656">
        <v>13</v>
      </c>
      <c r="F527" s="532">
        <v>117</v>
      </c>
      <c r="G527" s="622">
        <v>112</v>
      </c>
      <c r="H527" s="457"/>
      <c r="I527" s="450"/>
      <c r="J527" s="457"/>
      <c r="K527" s="450"/>
      <c r="L527" s="458">
        <f t="shared" si="261"/>
        <v>0</v>
      </c>
      <c r="M527" s="449">
        <f t="shared" si="262"/>
        <v>0</v>
      </c>
      <c r="N527" s="459"/>
      <c r="O527" s="459"/>
      <c r="P527" s="459"/>
      <c r="Q527" s="459"/>
      <c r="R527" s="460">
        <f t="shared" si="263"/>
        <v>0</v>
      </c>
      <c r="S527" s="461"/>
      <c r="T527" s="461"/>
      <c r="U527" s="461"/>
      <c r="V527" s="461"/>
      <c r="W527" s="462">
        <f t="shared" si="264"/>
        <v>0</v>
      </c>
      <c r="X527" s="463"/>
      <c r="Y527" s="457"/>
      <c r="Z527" s="464"/>
      <c r="AA527" s="464"/>
      <c r="AB527" s="465"/>
      <c r="AC527" s="457"/>
      <c r="AD527" s="464"/>
      <c r="AE527" s="466"/>
      <c r="AF527" s="465"/>
      <c r="AG527" s="457"/>
      <c r="AH527" s="464"/>
      <c r="AI527" s="466"/>
      <c r="AJ527" s="465"/>
      <c r="AK527" s="457"/>
      <c r="AL527" s="464"/>
      <c r="AM527" s="466"/>
      <c r="AN527" s="465"/>
      <c r="AO527" s="457"/>
      <c r="AP527" s="464"/>
      <c r="AQ527" s="464"/>
      <c r="AR527" s="460">
        <f t="shared" si="265"/>
        <v>0</v>
      </c>
      <c r="AS527" s="467">
        <f t="shared" si="266"/>
        <v>0</v>
      </c>
      <c r="AT527" s="447">
        <f t="shared" si="267"/>
        <v>0</v>
      </c>
      <c r="AU527" s="448">
        <f t="shared" si="268"/>
        <v>0</v>
      </c>
      <c r="AV527" s="457"/>
      <c r="AW527" s="450"/>
      <c r="AX527" s="463"/>
      <c r="AY527" s="457"/>
      <c r="AZ527" s="464"/>
      <c r="BA527" s="464"/>
      <c r="BB527" s="465"/>
      <c r="BC527" s="457"/>
      <c r="BD527" s="464"/>
      <c r="BE527" s="466"/>
      <c r="BF527" s="465"/>
      <c r="BG527" s="457"/>
      <c r="BH527" s="464"/>
      <c r="BI527" s="466"/>
      <c r="BJ527" s="465"/>
      <c r="BK527" s="457"/>
      <c r="BL527" s="464"/>
      <c r="BM527" s="466"/>
      <c r="BN527" s="465"/>
      <c r="BO527" s="457"/>
      <c r="BP527" s="464"/>
      <c r="BQ527" s="466"/>
      <c r="BR527" s="465"/>
      <c r="BS527" s="457"/>
      <c r="BT527" s="464"/>
      <c r="BU527" s="466"/>
      <c r="BV527" s="465"/>
      <c r="BW527" s="457"/>
      <c r="BX527" s="464"/>
      <c r="BY527" s="466"/>
      <c r="BZ527" s="465"/>
      <c r="CA527" s="457"/>
      <c r="CB527" s="464"/>
      <c r="CC527" s="466"/>
      <c r="CD527" s="465"/>
      <c r="CE527" s="457"/>
      <c r="CF527" s="464"/>
      <c r="CG527" s="466"/>
      <c r="CH527" s="465"/>
      <c r="CI527" s="457"/>
      <c r="CJ527" s="464"/>
      <c r="CK527" s="466"/>
      <c r="CL527" s="459"/>
      <c r="CM527" s="450"/>
      <c r="CN527" s="468">
        <f t="shared" si="269"/>
        <v>0</v>
      </c>
      <c r="CO527" s="468">
        <f t="shared" si="270"/>
        <v>0</v>
      </c>
      <c r="CP527" s="469">
        <f t="shared" si="271"/>
        <v>0</v>
      </c>
      <c r="CQ527" s="469">
        <f t="shared" si="272"/>
        <v>0</v>
      </c>
      <c r="CR527" s="463"/>
      <c r="CS527" s="457"/>
      <c r="CT527" s="464"/>
      <c r="CU527" s="464"/>
      <c r="CV527" s="465"/>
      <c r="CW527" s="457"/>
      <c r="CX527" s="464"/>
      <c r="CY527" s="466"/>
      <c r="CZ527" s="465"/>
      <c r="DA527" s="457"/>
      <c r="DB527" s="464"/>
      <c r="DC527" s="466"/>
      <c r="DD527" s="465"/>
      <c r="DE527" s="457"/>
      <c r="DF527" s="464"/>
      <c r="DG527" s="466"/>
      <c r="DH527" s="465"/>
      <c r="DI527" s="457"/>
      <c r="DJ527" s="464"/>
      <c r="DK527" s="466"/>
      <c r="DL527" s="465"/>
      <c r="DM527" s="457"/>
      <c r="DN527" s="464"/>
      <c r="DO527" s="466"/>
      <c r="DP527" s="465"/>
      <c r="DQ527" s="457"/>
      <c r="DR527" s="464"/>
      <c r="DS527" s="466"/>
      <c r="DT527" s="465"/>
      <c r="DU527" s="457"/>
      <c r="DV527" s="464"/>
      <c r="DW527" s="466"/>
      <c r="DX527" s="465"/>
      <c r="DY527" s="457"/>
      <c r="DZ527" s="464"/>
      <c r="EA527" s="466"/>
      <c r="EB527" s="465"/>
      <c r="EC527" s="457"/>
      <c r="ED527" s="464"/>
      <c r="EE527" s="466"/>
      <c r="EF527" s="459"/>
      <c r="EG527" s="450"/>
      <c r="EH527" s="460">
        <f t="shared" si="273"/>
        <v>0</v>
      </c>
      <c r="EI527" s="460">
        <f t="shared" si="274"/>
        <v>0</v>
      </c>
      <c r="EJ527" s="458">
        <f t="shared" si="275"/>
        <v>0</v>
      </c>
      <c r="EK527" s="470">
        <f t="shared" si="276"/>
        <v>0</v>
      </c>
      <c r="EL527" s="470">
        <f t="shared" si="277"/>
        <v>0</v>
      </c>
      <c r="EM527" s="449">
        <f t="shared" si="278"/>
        <v>0</v>
      </c>
      <c r="EN527" s="460">
        <f t="shared" si="279"/>
        <v>0</v>
      </c>
      <c r="EO527" s="469">
        <f t="shared" si="280"/>
        <v>0</v>
      </c>
      <c r="EP527" s="471"/>
      <c r="EQ527" s="450"/>
      <c r="ER527" s="471"/>
      <c r="ES527" s="450"/>
      <c r="ET527" s="471"/>
      <c r="EU527" s="450"/>
      <c r="EV527" s="471"/>
      <c r="EW527" s="450"/>
      <c r="EX527" s="471"/>
      <c r="EY527" s="450"/>
      <c r="EZ527" s="471"/>
      <c r="FA527" s="450"/>
      <c r="FB527" s="471"/>
      <c r="FC527" s="450"/>
      <c r="FD527" s="471"/>
      <c r="FE527" s="450"/>
      <c r="FF527" s="471"/>
      <c r="FG527" s="450"/>
      <c r="FH527" s="472"/>
      <c r="FI527" s="450"/>
      <c r="FJ527" s="468">
        <f t="shared" si="281"/>
        <v>0</v>
      </c>
      <c r="FK527" s="469">
        <f t="shared" si="282"/>
        <v>0</v>
      </c>
      <c r="FL527" s="472"/>
      <c r="FM527" s="450"/>
      <c r="FN527" s="460">
        <f t="shared" si="283"/>
        <v>117</v>
      </c>
      <c r="FO527" s="469">
        <f t="shared" si="284"/>
        <v>112</v>
      </c>
    </row>
    <row r="528" spans="1:171" x14ac:dyDescent="0.2">
      <c r="A528" s="616" t="s">
        <v>802</v>
      </c>
      <c r="B528" s="617" t="s">
        <v>853</v>
      </c>
      <c r="C528" s="618"/>
      <c r="D528" s="619">
        <v>221704</v>
      </c>
      <c r="E528" s="620">
        <v>15</v>
      </c>
      <c r="F528" s="532"/>
      <c r="G528" s="622"/>
      <c r="H528" s="457"/>
      <c r="I528" s="450"/>
      <c r="J528" s="457"/>
      <c r="K528" s="450"/>
      <c r="L528" s="458">
        <f t="shared" si="261"/>
        <v>0</v>
      </c>
      <c r="M528" s="449">
        <f t="shared" si="262"/>
        <v>0</v>
      </c>
      <c r="N528" s="459">
        <v>45</v>
      </c>
      <c r="O528" s="459"/>
      <c r="P528" s="459"/>
      <c r="Q528" s="459"/>
      <c r="R528" s="460">
        <f t="shared" si="263"/>
        <v>0</v>
      </c>
      <c r="S528" s="745">
        <v>39</v>
      </c>
      <c r="T528" s="461"/>
      <c r="U528" s="461"/>
      <c r="V528" s="461"/>
      <c r="W528" s="462">
        <f t="shared" si="264"/>
        <v>0</v>
      </c>
      <c r="X528" s="463"/>
      <c r="Y528" s="457"/>
      <c r="Z528" s="464"/>
      <c r="AA528" s="464"/>
      <c r="AB528" s="465"/>
      <c r="AC528" s="457"/>
      <c r="AD528" s="464"/>
      <c r="AE528" s="466"/>
      <c r="AF528" s="465"/>
      <c r="AG528" s="457"/>
      <c r="AH528" s="464"/>
      <c r="AI528" s="466"/>
      <c r="AJ528" s="465"/>
      <c r="AK528" s="457"/>
      <c r="AL528" s="464"/>
      <c r="AM528" s="466"/>
      <c r="AN528" s="465"/>
      <c r="AO528" s="457"/>
      <c r="AP528" s="464"/>
      <c r="AQ528" s="464"/>
      <c r="AR528" s="460">
        <f t="shared" si="265"/>
        <v>0</v>
      </c>
      <c r="AS528" s="467">
        <f t="shared" si="266"/>
        <v>6.0810810810810814E-2</v>
      </c>
      <c r="AT528" s="447">
        <f t="shared" si="267"/>
        <v>0</v>
      </c>
      <c r="AU528" s="448">
        <f t="shared" si="268"/>
        <v>5.078125E-2</v>
      </c>
      <c r="AV528" s="457"/>
      <c r="AW528" s="450"/>
      <c r="AX528" s="463">
        <v>51</v>
      </c>
      <c r="AY528" s="457">
        <v>149</v>
      </c>
      <c r="AZ528" s="752">
        <v>51</v>
      </c>
      <c r="BA528" s="755">
        <v>168</v>
      </c>
      <c r="BB528" s="465">
        <v>26</v>
      </c>
      <c r="BC528" s="457">
        <v>21</v>
      </c>
      <c r="BD528" s="752">
        <v>26</v>
      </c>
      <c r="BE528" s="760">
        <v>22</v>
      </c>
      <c r="BF528" s="465">
        <v>40</v>
      </c>
      <c r="BG528" s="457">
        <v>4</v>
      </c>
      <c r="BH528" s="464"/>
      <c r="BI528" s="466"/>
      <c r="BJ528" s="465"/>
      <c r="BK528" s="457"/>
      <c r="BL528" s="464"/>
      <c r="BM528" s="466"/>
      <c r="BN528" s="465"/>
      <c r="BO528" s="457"/>
      <c r="BP528" s="464"/>
      <c r="BQ528" s="466"/>
      <c r="BR528" s="465"/>
      <c r="BS528" s="457"/>
      <c r="BT528" s="464"/>
      <c r="BU528" s="466"/>
      <c r="BV528" s="465"/>
      <c r="BW528" s="457"/>
      <c r="BX528" s="464"/>
      <c r="BY528" s="466"/>
      <c r="BZ528" s="465"/>
      <c r="CA528" s="457"/>
      <c r="CB528" s="464"/>
      <c r="CC528" s="466"/>
      <c r="CD528" s="465"/>
      <c r="CE528" s="457"/>
      <c r="CF528" s="464"/>
      <c r="CG528" s="466"/>
      <c r="CH528" s="465"/>
      <c r="CI528" s="457"/>
      <c r="CJ528" s="464"/>
      <c r="CK528" s="466"/>
      <c r="CL528" s="459"/>
      <c r="CM528" s="450"/>
      <c r="CN528" s="468">
        <f t="shared" si="269"/>
        <v>174</v>
      </c>
      <c r="CO528" s="468">
        <f t="shared" si="270"/>
        <v>3</v>
      </c>
      <c r="CP528" s="469">
        <f t="shared" si="271"/>
        <v>190</v>
      </c>
      <c r="CQ528" s="469">
        <f t="shared" si="272"/>
        <v>2</v>
      </c>
      <c r="CR528" s="463">
        <v>51</v>
      </c>
      <c r="CS528" s="457">
        <v>86</v>
      </c>
      <c r="CT528" s="752">
        <v>51</v>
      </c>
      <c r="CU528" s="755">
        <v>126</v>
      </c>
      <c r="CV528" s="465">
        <v>26</v>
      </c>
      <c r="CW528" s="457">
        <v>14</v>
      </c>
      <c r="CX528" s="752">
        <v>26</v>
      </c>
      <c r="CY528" s="760">
        <v>15</v>
      </c>
      <c r="CZ528" s="465">
        <v>40</v>
      </c>
      <c r="DA528" s="457">
        <v>1</v>
      </c>
      <c r="DB528" s="752">
        <v>14</v>
      </c>
      <c r="DC528" s="760">
        <v>1</v>
      </c>
      <c r="DD528" s="465"/>
      <c r="DE528" s="457"/>
      <c r="DF528" s="464"/>
      <c r="DG528" s="466"/>
      <c r="DH528" s="465"/>
      <c r="DI528" s="457"/>
      <c r="DJ528" s="464"/>
      <c r="DK528" s="466"/>
      <c r="DL528" s="465"/>
      <c r="DM528" s="457"/>
      <c r="DN528" s="464"/>
      <c r="DO528" s="466"/>
      <c r="DP528" s="465"/>
      <c r="DQ528" s="457"/>
      <c r="DR528" s="464"/>
      <c r="DS528" s="466"/>
      <c r="DT528" s="465"/>
      <c r="DU528" s="457"/>
      <c r="DV528" s="464"/>
      <c r="DW528" s="466"/>
      <c r="DX528" s="465"/>
      <c r="DY528" s="457"/>
      <c r="DZ528" s="464"/>
      <c r="EA528" s="466"/>
      <c r="EB528" s="465"/>
      <c r="EC528" s="457"/>
      <c r="ED528" s="464"/>
      <c r="EE528" s="466"/>
      <c r="EF528" s="459"/>
      <c r="EG528" s="450"/>
      <c r="EH528" s="460">
        <f t="shared" si="273"/>
        <v>101</v>
      </c>
      <c r="EI528" s="460">
        <f t="shared" si="274"/>
        <v>3</v>
      </c>
      <c r="EJ528" s="458">
        <f t="shared" si="275"/>
        <v>0.85148514851485146</v>
      </c>
      <c r="EK528" s="470">
        <f t="shared" si="276"/>
        <v>142</v>
      </c>
      <c r="EL528" s="470">
        <f t="shared" si="277"/>
        <v>3</v>
      </c>
      <c r="EM528" s="449">
        <f t="shared" si="278"/>
        <v>0.88732394366197187</v>
      </c>
      <c r="EN528" s="460">
        <f t="shared" si="279"/>
        <v>275</v>
      </c>
      <c r="EO528" s="469">
        <f t="shared" si="280"/>
        <v>332</v>
      </c>
      <c r="EP528" s="471"/>
      <c r="EQ528" s="450"/>
      <c r="ER528" s="471">
        <v>140</v>
      </c>
      <c r="ES528" s="611">
        <v>149</v>
      </c>
      <c r="ET528" s="471">
        <v>83</v>
      </c>
      <c r="EU528" s="611">
        <v>76</v>
      </c>
      <c r="EV528" s="471">
        <v>197</v>
      </c>
      <c r="EW528" s="611">
        <v>172</v>
      </c>
      <c r="EX528" s="471"/>
      <c r="EY528" s="450"/>
      <c r="EZ528" s="471"/>
      <c r="FA528" s="450"/>
      <c r="FB528" s="471"/>
      <c r="FC528" s="450"/>
      <c r="FD528" s="471"/>
      <c r="FE528" s="450"/>
      <c r="FF528" s="471"/>
      <c r="FG528" s="450"/>
      <c r="FH528" s="472"/>
      <c r="FI528" s="450"/>
      <c r="FJ528" s="468">
        <f t="shared" si="281"/>
        <v>420</v>
      </c>
      <c r="FK528" s="469">
        <f t="shared" si="282"/>
        <v>397</v>
      </c>
      <c r="FL528" s="472"/>
      <c r="FM528" s="450"/>
      <c r="FN528" s="460">
        <f t="shared" si="283"/>
        <v>740</v>
      </c>
      <c r="FO528" s="469">
        <f t="shared" si="284"/>
        <v>768</v>
      </c>
    </row>
    <row r="529" spans="1:171" x14ac:dyDescent="0.2">
      <c r="A529" s="543" t="s">
        <v>854</v>
      </c>
      <c r="B529" s="544" t="s">
        <v>855</v>
      </c>
      <c r="C529" s="545"/>
      <c r="D529" s="546">
        <v>228723</v>
      </c>
      <c r="E529" s="547">
        <v>1</v>
      </c>
      <c r="F529" s="532"/>
      <c r="G529" s="450"/>
      <c r="H529" s="457"/>
      <c r="I529" s="450"/>
      <c r="J529" s="457"/>
      <c r="K529" s="450"/>
      <c r="L529" s="458">
        <f t="shared" si="261"/>
        <v>0</v>
      </c>
      <c r="M529" s="449">
        <f t="shared" si="262"/>
        <v>0</v>
      </c>
      <c r="N529" s="459">
        <v>8748</v>
      </c>
      <c r="O529" s="459"/>
      <c r="P529" s="459"/>
      <c r="Q529" s="459"/>
      <c r="R529" s="460">
        <f t="shared" si="263"/>
        <v>0</v>
      </c>
      <c r="S529" s="650">
        <v>9020</v>
      </c>
      <c r="T529" s="461"/>
      <c r="U529" s="461"/>
      <c r="V529" s="461"/>
      <c r="W529" s="462">
        <f t="shared" si="264"/>
        <v>0</v>
      </c>
      <c r="X529" s="463"/>
      <c r="Y529" s="457"/>
      <c r="Z529" s="464"/>
      <c r="AA529" s="464"/>
      <c r="AB529" s="465"/>
      <c r="AC529" s="457"/>
      <c r="AD529" s="464"/>
      <c r="AE529" s="466"/>
      <c r="AF529" s="465"/>
      <c r="AG529" s="457"/>
      <c r="AH529" s="464"/>
      <c r="AI529" s="466"/>
      <c r="AJ529" s="465"/>
      <c r="AK529" s="457"/>
      <c r="AL529" s="464"/>
      <c r="AM529" s="466"/>
      <c r="AN529" s="465"/>
      <c r="AO529" s="457"/>
      <c r="AP529" s="464"/>
      <c r="AQ529" s="464"/>
      <c r="AR529" s="460">
        <f t="shared" si="265"/>
        <v>0</v>
      </c>
      <c r="AS529" s="467">
        <f t="shared" si="266"/>
        <v>0.74654377880184331</v>
      </c>
      <c r="AT529" s="447">
        <f t="shared" si="267"/>
        <v>0</v>
      </c>
      <c r="AU529" s="448">
        <f t="shared" si="268"/>
        <v>0.75595038551793492</v>
      </c>
      <c r="AV529" s="457"/>
      <c r="AW529" s="450"/>
      <c r="AX529" s="463">
        <v>14</v>
      </c>
      <c r="AY529" s="457">
        <v>626</v>
      </c>
      <c r="AZ529" s="464">
        <v>14</v>
      </c>
      <c r="BA529" s="464">
        <v>538</v>
      </c>
      <c r="BB529" s="465">
        <v>52</v>
      </c>
      <c r="BC529" s="457">
        <v>464</v>
      </c>
      <c r="BD529" s="464">
        <v>52</v>
      </c>
      <c r="BE529" s="466">
        <v>466</v>
      </c>
      <c r="BF529" s="465">
        <v>13</v>
      </c>
      <c r="BG529" s="457">
        <v>248</v>
      </c>
      <c r="BH529" s="464">
        <v>13</v>
      </c>
      <c r="BI529" s="466">
        <v>250</v>
      </c>
      <c r="BJ529" s="465">
        <v>11</v>
      </c>
      <c r="BK529" s="457">
        <v>160</v>
      </c>
      <c r="BL529" s="464">
        <v>11</v>
      </c>
      <c r="BM529" s="466">
        <v>186</v>
      </c>
      <c r="BN529" s="465">
        <v>1</v>
      </c>
      <c r="BO529" s="457">
        <v>132</v>
      </c>
      <c r="BP529" s="464">
        <v>1</v>
      </c>
      <c r="BQ529" s="466">
        <v>107</v>
      </c>
      <c r="BR529" s="465">
        <v>45</v>
      </c>
      <c r="BS529" s="457">
        <v>105</v>
      </c>
      <c r="BT529" s="464">
        <v>45</v>
      </c>
      <c r="BU529" s="466">
        <v>92</v>
      </c>
      <c r="BV529" s="465">
        <v>40</v>
      </c>
      <c r="BW529" s="457">
        <v>74</v>
      </c>
      <c r="BX529" s="464">
        <v>4</v>
      </c>
      <c r="BY529" s="466">
        <v>79</v>
      </c>
      <c r="BZ529" s="465">
        <v>4</v>
      </c>
      <c r="CA529" s="457">
        <v>69</v>
      </c>
      <c r="CB529" s="464">
        <v>40</v>
      </c>
      <c r="CC529" s="466">
        <v>63</v>
      </c>
      <c r="CD529" s="465">
        <v>31</v>
      </c>
      <c r="CE529" s="457">
        <v>56</v>
      </c>
      <c r="CF529" s="464">
        <v>27</v>
      </c>
      <c r="CG529" s="466">
        <v>55</v>
      </c>
      <c r="CH529" s="465">
        <v>42</v>
      </c>
      <c r="CI529" s="457">
        <v>55</v>
      </c>
      <c r="CJ529" s="464">
        <v>26</v>
      </c>
      <c r="CK529" s="466">
        <v>53</v>
      </c>
      <c r="CL529" s="459">
        <v>242</v>
      </c>
      <c r="CM529" s="624">
        <v>216</v>
      </c>
      <c r="CN529" s="468">
        <f t="shared" si="269"/>
        <v>2231</v>
      </c>
      <c r="CO529" s="468">
        <f t="shared" si="270"/>
        <v>10</v>
      </c>
      <c r="CP529" s="469">
        <f t="shared" si="271"/>
        <v>2105</v>
      </c>
      <c r="CQ529" s="469">
        <f t="shared" si="272"/>
        <v>10</v>
      </c>
      <c r="CR529" s="463">
        <v>14</v>
      </c>
      <c r="CS529" s="457">
        <v>183</v>
      </c>
      <c r="CT529" s="625">
        <v>14</v>
      </c>
      <c r="CU529" s="625">
        <v>200</v>
      </c>
      <c r="CV529" s="465">
        <v>13</v>
      </c>
      <c r="CW529" s="457">
        <v>90</v>
      </c>
      <c r="CX529" s="625">
        <v>40</v>
      </c>
      <c r="CY529" s="626">
        <v>73</v>
      </c>
      <c r="CZ529" s="465">
        <v>40</v>
      </c>
      <c r="DA529" s="457">
        <v>67</v>
      </c>
      <c r="DB529" s="625">
        <v>13</v>
      </c>
      <c r="DC529" s="626">
        <v>67</v>
      </c>
      <c r="DD529" s="465">
        <v>26</v>
      </c>
      <c r="DE529" s="457">
        <v>48</v>
      </c>
      <c r="DF529" s="625">
        <v>1</v>
      </c>
      <c r="DG529" s="626">
        <v>57</v>
      </c>
      <c r="DH529" s="465">
        <v>42</v>
      </c>
      <c r="DI529" s="457">
        <v>45</v>
      </c>
      <c r="DJ529" s="625">
        <v>42</v>
      </c>
      <c r="DK529" s="626">
        <v>48</v>
      </c>
      <c r="DL529" s="465">
        <v>1</v>
      </c>
      <c r="DM529" s="457">
        <v>36</v>
      </c>
      <c r="DN529" s="464">
        <v>26</v>
      </c>
      <c r="DO529" s="466">
        <v>47</v>
      </c>
      <c r="DP529" s="465">
        <v>45</v>
      </c>
      <c r="DQ529" s="457">
        <v>33</v>
      </c>
      <c r="DR529" s="625">
        <v>45</v>
      </c>
      <c r="DS529" s="626">
        <v>42</v>
      </c>
      <c r="DT529" s="465">
        <v>27</v>
      </c>
      <c r="DU529" s="457">
        <v>18</v>
      </c>
      <c r="DV529" s="625">
        <v>27</v>
      </c>
      <c r="DW529" s="626">
        <v>29</v>
      </c>
      <c r="DX529" s="465">
        <v>11</v>
      </c>
      <c r="DY529" s="457">
        <v>16</v>
      </c>
      <c r="DZ529" s="625">
        <v>11</v>
      </c>
      <c r="EA529" s="626">
        <v>21</v>
      </c>
      <c r="EB529" s="465">
        <v>31</v>
      </c>
      <c r="EC529" s="457">
        <v>15</v>
      </c>
      <c r="ED529" s="625">
        <v>4</v>
      </c>
      <c r="EE529" s="626">
        <v>15</v>
      </c>
      <c r="EF529" s="459">
        <v>67</v>
      </c>
      <c r="EG529" s="627">
        <v>79</v>
      </c>
      <c r="EH529" s="460">
        <f t="shared" si="273"/>
        <v>618</v>
      </c>
      <c r="EI529" s="460">
        <f t="shared" si="274"/>
        <v>10</v>
      </c>
      <c r="EJ529" s="458">
        <f t="shared" si="275"/>
        <v>0.29611650485436891</v>
      </c>
      <c r="EK529" s="470">
        <f t="shared" si="276"/>
        <v>678</v>
      </c>
      <c r="EL529" s="470">
        <f t="shared" si="277"/>
        <v>10</v>
      </c>
      <c r="EM529" s="449">
        <f t="shared" si="278"/>
        <v>0.29498525073746312</v>
      </c>
      <c r="EN529" s="460">
        <f t="shared" si="279"/>
        <v>2849</v>
      </c>
      <c r="EO529" s="469">
        <f t="shared" si="280"/>
        <v>2783</v>
      </c>
      <c r="EP529" s="471"/>
      <c r="EQ529" s="450"/>
      <c r="ER529" s="471"/>
      <c r="ES529" s="450"/>
      <c r="ET529" s="471"/>
      <c r="EU529" s="450"/>
      <c r="EV529" s="471"/>
      <c r="EW529" s="450"/>
      <c r="EX529" s="471"/>
      <c r="EY529" s="450"/>
      <c r="EZ529" s="471"/>
      <c r="FA529" s="450"/>
      <c r="FB529" s="471"/>
      <c r="FC529" s="450"/>
      <c r="FD529" s="471">
        <v>121</v>
      </c>
      <c r="FE529" s="450">
        <v>129</v>
      </c>
      <c r="FF529" s="471"/>
      <c r="FG529" s="450"/>
      <c r="FH529" s="472"/>
      <c r="FI529" s="450"/>
      <c r="FJ529" s="468">
        <f t="shared" si="281"/>
        <v>121</v>
      </c>
      <c r="FK529" s="469">
        <f t="shared" si="282"/>
        <v>129</v>
      </c>
      <c r="FL529" s="472"/>
      <c r="FM529" s="450"/>
      <c r="FN529" s="460">
        <f t="shared" si="283"/>
        <v>11718</v>
      </c>
      <c r="FO529" s="469">
        <f t="shared" si="284"/>
        <v>11932</v>
      </c>
    </row>
    <row r="530" spans="1:171" x14ac:dyDescent="0.2">
      <c r="A530" s="543" t="s">
        <v>854</v>
      </c>
      <c r="B530" s="544" t="s">
        <v>856</v>
      </c>
      <c r="C530" s="545"/>
      <c r="D530" s="546">
        <v>229115</v>
      </c>
      <c r="E530" s="547">
        <v>1</v>
      </c>
      <c r="F530" s="532"/>
      <c r="G530" s="450"/>
      <c r="H530" s="457"/>
      <c r="I530" s="450"/>
      <c r="J530" s="457"/>
      <c r="K530" s="450"/>
      <c r="L530" s="458">
        <f t="shared" si="261"/>
        <v>0</v>
      </c>
      <c r="M530" s="449">
        <f t="shared" si="262"/>
        <v>0</v>
      </c>
      <c r="N530" s="459">
        <v>4605</v>
      </c>
      <c r="O530" s="459"/>
      <c r="P530" s="459"/>
      <c r="Q530" s="459"/>
      <c r="R530" s="460">
        <f t="shared" si="263"/>
        <v>0</v>
      </c>
      <c r="S530" s="650">
        <v>4941</v>
      </c>
      <c r="T530" s="461"/>
      <c r="U530" s="461"/>
      <c r="V530" s="461"/>
      <c r="W530" s="462">
        <f t="shared" si="264"/>
        <v>0</v>
      </c>
      <c r="X530" s="463"/>
      <c r="Y530" s="457"/>
      <c r="Z530" s="464"/>
      <c r="AA530" s="464"/>
      <c r="AB530" s="465"/>
      <c r="AC530" s="457"/>
      <c r="AD530" s="464"/>
      <c r="AE530" s="466"/>
      <c r="AF530" s="465"/>
      <c r="AG530" s="457"/>
      <c r="AH530" s="464"/>
      <c r="AI530" s="466"/>
      <c r="AJ530" s="465"/>
      <c r="AK530" s="457"/>
      <c r="AL530" s="464"/>
      <c r="AM530" s="466"/>
      <c r="AN530" s="465"/>
      <c r="AO530" s="457"/>
      <c r="AP530" s="464"/>
      <c r="AQ530" s="464"/>
      <c r="AR530" s="460">
        <f t="shared" si="265"/>
        <v>0</v>
      </c>
      <c r="AS530" s="467">
        <f t="shared" si="266"/>
        <v>0.72303344324069707</v>
      </c>
      <c r="AT530" s="447">
        <f t="shared" si="267"/>
        <v>0</v>
      </c>
      <c r="AU530" s="448">
        <f t="shared" si="268"/>
        <v>0.70434782608695656</v>
      </c>
      <c r="AV530" s="457"/>
      <c r="AW530" s="450"/>
      <c r="AX530" s="463">
        <v>52</v>
      </c>
      <c r="AY530" s="457">
        <v>343</v>
      </c>
      <c r="AZ530" s="464">
        <v>52</v>
      </c>
      <c r="BA530" s="464">
        <v>432</v>
      </c>
      <c r="BB530" s="465">
        <v>13</v>
      </c>
      <c r="BC530" s="457">
        <v>221</v>
      </c>
      <c r="BD530" s="464">
        <v>13</v>
      </c>
      <c r="BE530" s="466">
        <v>242</v>
      </c>
      <c r="BF530" s="465">
        <v>14</v>
      </c>
      <c r="BG530" s="457">
        <v>154</v>
      </c>
      <c r="BH530" s="464">
        <v>14</v>
      </c>
      <c r="BI530" s="466">
        <v>193</v>
      </c>
      <c r="BJ530" s="465">
        <v>30</v>
      </c>
      <c r="BK530" s="457">
        <v>53</v>
      </c>
      <c r="BL530" s="464">
        <v>19</v>
      </c>
      <c r="BM530" s="466">
        <v>84</v>
      </c>
      <c r="BN530" s="465">
        <v>4</v>
      </c>
      <c r="BO530" s="457">
        <v>52</v>
      </c>
      <c r="BP530" s="464">
        <v>1</v>
      </c>
      <c r="BQ530" s="466">
        <v>73</v>
      </c>
      <c r="BR530" s="465">
        <v>19</v>
      </c>
      <c r="BS530" s="457">
        <v>46</v>
      </c>
      <c r="BT530" s="771">
        <v>4</v>
      </c>
      <c r="BU530" s="772">
        <v>73</v>
      </c>
      <c r="BV530" s="465">
        <v>11</v>
      </c>
      <c r="BW530" s="457">
        <v>42</v>
      </c>
      <c r="BX530" s="464">
        <v>11</v>
      </c>
      <c r="BY530" s="466">
        <v>61</v>
      </c>
      <c r="BZ530" s="465">
        <v>26</v>
      </c>
      <c r="CA530" s="457">
        <v>42</v>
      </c>
      <c r="CB530" s="464">
        <v>30</v>
      </c>
      <c r="CC530" s="466">
        <v>46</v>
      </c>
      <c r="CD530" s="465">
        <v>31</v>
      </c>
      <c r="CE530" s="457">
        <v>41</v>
      </c>
      <c r="CF530" s="464">
        <v>23</v>
      </c>
      <c r="CG530" s="466">
        <v>45</v>
      </c>
      <c r="CH530" s="465">
        <v>27</v>
      </c>
      <c r="CI530" s="457">
        <v>40</v>
      </c>
      <c r="CJ530" s="464">
        <v>40</v>
      </c>
      <c r="CK530" s="466">
        <v>42</v>
      </c>
      <c r="CL530" s="459">
        <v>266</v>
      </c>
      <c r="CM530" s="624">
        <v>314</v>
      </c>
      <c r="CN530" s="468">
        <f t="shared" si="269"/>
        <v>1300</v>
      </c>
      <c r="CO530" s="468">
        <f t="shared" si="270"/>
        <v>10</v>
      </c>
      <c r="CP530" s="469">
        <f t="shared" si="271"/>
        <v>1605</v>
      </c>
      <c r="CQ530" s="469">
        <f t="shared" si="272"/>
        <v>10</v>
      </c>
      <c r="CR530" s="463">
        <v>13</v>
      </c>
      <c r="CS530" s="457">
        <v>47</v>
      </c>
      <c r="CT530" s="625">
        <v>13</v>
      </c>
      <c r="CU530" s="625">
        <v>53</v>
      </c>
      <c r="CV530" s="465">
        <v>14</v>
      </c>
      <c r="CW530" s="457">
        <v>38</v>
      </c>
      <c r="CX530" s="625">
        <v>14</v>
      </c>
      <c r="CY530" s="626">
        <v>35</v>
      </c>
      <c r="CZ530" s="465">
        <v>40</v>
      </c>
      <c r="DA530" s="457">
        <v>24</v>
      </c>
      <c r="DB530" s="625">
        <v>50</v>
      </c>
      <c r="DC530" s="626">
        <v>24</v>
      </c>
      <c r="DD530" s="465">
        <v>50</v>
      </c>
      <c r="DE530" s="457">
        <v>24</v>
      </c>
      <c r="DF530" s="625">
        <v>23</v>
      </c>
      <c r="DG530" s="626">
        <v>23</v>
      </c>
      <c r="DH530" s="465">
        <v>23</v>
      </c>
      <c r="DI530" s="457">
        <v>22</v>
      </c>
      <c r="DJ530" s="625">
        <v>1</v>
      </c>
      <c r="DK530" s="626">
        <v>18</v>
      </c>
      <c r="DL530" s="465">
        <v>42</v>
      </c>
      <c r="DM530" s="457">
        <v>21</v>
      </c>
      <c r="DN530" s="625">
        <v>52</v>
      </c>
      <c r="DO530" s="626">
        <v>17</v>
      </c>
      <c r="DP530" s="465">
        <v>52</v>
      </c>
      <c r="DQ530" s="457">
        <v>18</v>
      </c>
      <c r="DR530" s="625">
        <v>42</v>
      </c>
      <c r="DS530" s="626">
        <v>15</v>
      </c>
      <c r="DT530" s="465">
        <v>1</v>
      </c>
      <c r="DU530" s="457">
        <v>17</v>
      </c>
      <c r="DV530" s="625">
        <v>26</v>
      </c>
      <c r="DW530" s="626">
        <v>11</v>
      </c>
      <c r="DX530" s="465">
        <v>26</v>
      </c>
      <c r="DY530" s="457">
        <v>15</v>
      </c>
      <c r="DZ530" s="625">
        <v>40</v>
      </c>
      <c r="EA530" s="626">
        <v>11</v>
      </c>
      <c r="EB530" s="465">
        <v>27</v>
      </c>
      <c r="EC530" s="457">
        <v>9</v>
      </c>
      <c r="ED530" s="625">
        <v>19</v>
      </c>
      <c r="EE530" s="626">
        <v>9</v>
      </c>
      <c r="EF530" s="459">
        <v>30</v>
      </c>
      <c r="EG530" s="627">
        <v>37</v>
      </c>
      <c r="EH530" s="460">
        <f t="shared" si="273"/>
        <v>265</v>
      </c>
      <c r="EI530" s="460">
        <f t="shared" si="274"/>
        <v>10</v>
      </c>
      <c r="EJ530" s="458">
        <f t="shared" si="275"/>
        <v>0.17735849056603772</v>
      </c>
      <c r="EK530" s="470">
        <f t="shared" si="276"/>
        <v>253</v>
      </c>
      <c r="EL530" s="470">
        <f t="shared" si="277"/>
        <v>10</v>
      </c>
      <c r="EM530" s="449">
        <f t="shared" si="278"/>
        <v>0.20948616600790515</v>
      </c>
      <c r="EN530" s="460">
        <f t="shared" si="279"/>
        <v>1565</v>
      </c>
      <c r="EO530" s="469">
        <f t="shared" si="280"/>
        <v>1858</v>
      </c>
      <c r="EP530" s="471">
        <v>199</v>
      </c>
      <c r="EQ530" s="450">
        <v>216</v>
      </c>
      <c r="ER530" s="471"/>
      <c r="ES530" s="450"/>
      <c r="ET530" s="471"/>
      <c r="EU530" s="450"/>
      <c r="EV530" s="471"/>
      <c r="EW530" s="450"/>
      <c r="EX530" s="471"/>
      <c r="EY530" s="450"/>
      <c r="EZ530" s="471"/>
      <c r="FA530" s="450"/>
      <c r="FB530" s="471"/>
      <c r="FC530" s="450"/>
      <c r="FD530" s="471"/>
      <c r="FE530" s="450"/>
      <c r="FF530" s="471"/>
      <c r="FG530" s="450"/>
      <c r="FH530" s="472"/>
      <c r="FI530" s="450"/>
      <c r="FJ530" s="468">
        <f t="shared" si="281"/>
        <v>199</v>
      </c>
      <c r="FK530" s="469">
        <f t="shared" si="282"/>
        <v>216</v>
      </c>
      <c r="FL530" s="472"/>
      <c r="FM530" s="450"/>
      <c r="FN530" s="460">
        <f t="shared" si="283"/>
        <v>6369</v>
      </c>
      <c r="FO530" s="469">
        <f t="shared" si="284"/>
        <v>7015</v>
      </c>
    </row>
    <row r="531" spans="1:171" x14ac:dyDescent="0.2">
      <c r="A531" s="543" t="s">
        <v>854</v>
      </c>
      <c r="B531" s="544" t="s">
        <v>857</v>
      </c>
      <c r="C531" s="545"/>
      <c r="D531" s="546">
        <v>225511</v>
      </c>
      <c r="E531" s="547">
        <v>1</v>
      </c>
      <c r="F531" s="532"/>
      <c r="G531" s="450"/>
      <c r="H531" s="457"/>
      <c r="I531" s="450"/>
      <c r="J531" s="457"/>
      <c r="K531" s="450"/>
      <c r="L531" s="458">
        <f t="shared" si="261"/>
        <v>0</v>
      </c>
      <c r="M531" s="449">
        <f t="shared" si="262"/>
        <v>0</v>
      </c>
      <c r="N531" s="459">
        <v>5092</v>
      </c>
      <c r="O531" s="459"/>
      <c r="P531" s="459"/>
      <c r="Q531" s="459"/>
      <c r="R531" s="460">
        <f t="shared" si="263"/>
        <v>0</v>
      </c>
      <c r="S531" s="650">
        <v>5426</v>
      </c>
      <c r="T531" s="461"/>
      <c r="U531" s="461"/>
      <c r="V531" s="461"/>
      <c r="W531" s="462">
        <f t="shared" si="264"/>
        <v>0</v>
      </c>
      <c r="X531" s="463"/>
      <c r="Y531" s="457"/>
      <c r="Z531" s="464"/>
      <c r="AA531" s="464"/>
      <c r="AB531" s="465"/>
      <c r="AC531" s="457"/>
      <c r="AD531" s="464"/>
      <c r="AE531" s="466"/>
      <c r="AF531" s="465"/>
      <c r="AG531" s="457"/>
      <c r="AH531" s="464"/>
      <c r="AI531" s="466"/>
      <c r="AJ531" s="465"/>
      <c r="AK531" s="457"/>
      <c r="AL531" s="464"/>
      <c r="AM531" s="466"/>
      <c r="AN531" s="465"/>
      <c r="AO531" s="457"/>
      <c r="AP531" s="464"/>
      <c r="AQ531" s="464"/>
      <c r="AR531" s="460">
        <f t="shared" si="265"/>
        <v>0</v>
      </c>
      <c r="AS531" s="467">
        <f t="shared" si="266"/>
        <v>0.64990427568602427</v>
      </c>
      <c r="AT531" s="447">
        <f t="shared" si="267"/>
        <v>0</v>
      </c>
      <c r="AU531" s="448">
        <f t="shared" si="268"/>
        <v>0.65833535549623878</v>
      </c>
      <c r="AV531" s="457"/>
      <c r="AW531" s="450"/>
      <c r="AX531" s="463">
        <v>52</v>
      </c>
      <c r="AY531" s="457">
        <v>709</v>
      </c>
      <c r="AZ531" s="464">
        <v>52</v>
      </c>
      <c r="BA531" s="464">
        <v>798</v>
      </c>
      <c r="BB531" s="465">
        <v>14</v>
      </c>
      <c r="BC531" s="457">
        <v>253</v>
      </c>
      <c r="BD531" s="464">
        <v>13</v>
      </c>
      <c r="BE531" s="466">
        <v>218</v>
      </c>
      <c r="BF531" s="465">
        <v>13</v>
      </c>
      <c r="BG531" s="457">
        <v>188</v>
      </c>
      <c r="BH531" s="464">
        <v>14</v>
      </c>
      <c r="BI531" s="466">
        <v>173</v>
      </c>
      <c r="BJ531" s="465">
        <v>44</v>
      </c>
      <c r="BK531" s="457">
        <v>162</v>
      </c>
      <c r="BL531" s="464">
        <v>44</v>
      </c>
      <c r="BM531" s="466">
        <v>156</v>
      </c>
      <c r="BN531" s="465">
        <v>11</v>
      </c>
      <c r="BO531" s="457">
        <v>96</v>
      </c>
      <c r="BP531" s="464">
        <v>11</v>
      </c>
      <c r="BQ531" s="466">
        <v>104</v>
      </c>
      <c r="BR531" s="465">
        <v>22</v>
      </c>
      <c r="BS531" s="457">
        <v>89</v>
      </c>
      <c r="BT531" s="771">
        <v>45</v>
      </c>
      <c r="BU531" s="772">
        <v>87</v>
      </c>
      <c r="BV531" s="465">
        <v>50</v>
      </c>
      <c r="BW531" s="457">
        <v>68</v>
      </c>
      <c r="BX531" s="464">
        <v>40</v>
      </c>
      <c r="BY531" s="466">
        <v>81</v>
      </c>
      <c r="BZ531" s="465">
        <v>45</v>
      </c>
      <c r="CA531" s="457">
        <v>67</v>
      </c>
      <c r="CB531" s="464">
        <v>50</v>
      </c>
      <c r="CC531" s="466">
        <v>78</v>
      </c>
      <c r="CD531" s="465">
        <v>51</v>
      </c>
      <c r="CE531" s="457">
        <v>57</v>
      </c>
      <c r="CF531" s="464">
        <v>22</v>
      </c>
      <c r="CG531" s="466">
        <v>72</v>
      </c>
      <c r="CH531" s="465">
        <v>40</v>
      </c>
      <c r="CI531" s="457">
        <v>40</v>
      </c>
      <c r="CJ531" s="464">
        <v>51</v>
      </c>
      <c r="CK531" s="466">
        <v>48</v>
      </c>
      <c r="CL531" s="459">
        <v>198</v>
      </c>
      <c r="CM531" s="624">
        <v>218</v>
      </c>
      <c r="CN531" s="468">
        <f t="shared" si="269"/>
        <v>1927</v>
      </c>
      <c r="CO531" s="468">
        <f t="shared" si="270"/>
        <v>10</v>
      </c>
      <c r="CP531" s="469">
        <f t="shared" si="271"/>
        <v>2033</v>
      </c>
      <c r="CQ531" s="469">
        <f t="shared" si="272"/>
        <v>10</v>
      </c>
      <c r="CR531" s="463">
        <v>13</v>
      </c>
      <c r="CS531" s="457">
        <v>60</v>
      </c>
      <c r="CT531" s="625">
        <v>13</v>
      </c>
      <c r="CU531" s="625">
        <v>61</v>
      </c>
      <c r="CV531" s="465">
        <v>14</v>
      </c>
      <c r="CW531" s="457">
        <v>52</v>
      </c>
      <c r="CX531" s="625">
        <v>14</v>
      </c>
      <c r="CY531" s="626">
        <v>40</v>
      </c>
      <c r="CZ531" s="465">
        <v>42</v>
      </c>
      <c r="DA531" s="457">
        <v>46</v>
      </c>
      <c r="DB531" s="625">
        <v>42</v>
      </c>
      <c r="DC531" s="626">
        <v>32</v>
      </c>
      <c r="DD531" s="465">
        <v>40</v>
      </c>
      <c r="DE531" s="457">
        <v>35</v>
      </c>
      <c r="DF531" s="625">
        <v>40</v>
      </c>
      <c r="DG531" s="626">
        <v>31</v>
      </c>
      <c r="DH531" s="465">
        <v>51</v>
      </c>
      <c r="DI531" s="457">
        <v>22</v>
      </c>
      <c r="DJ531" s="625">
        <v>26</v>
      </c>
      <c r="DK531" s="626">
        <v>22</v>
      </c>
      <c r="DL531" s="465">
        <v>11</v>
      </c>
      <c r="DM531" s="457">
        <v>19</v>
      </c>
      <c r="DN531" s="625">
        <v>23</v>
      </c>
      <c r="DO531" s="626">
        <v>17</v>
      </c>
      <c r="DP531" s="465">
        <v>26</v>
      </c>
      <c r="DQ531" s="457">
        <v>13</v>
      </c>
      <c r="DR531" s="625">
        <v>45</v>
      </c>
      <c r="DS531" s="626">
        <v>17</v>
      </c>
      <c r="DT531" s="465">
        <v>27</v>
      </c>
      <c r="DU531" s="457">
        <v>10</v>
      </c>
      <c r="DV531" s="625">
        <v>52</v>
      </c>
      <c r="DW531" s="626">
        <v>14</v>
      </c>
      <c r="DX531" s="465">
        <v>45</v>
      </c>
      <c r="DY531" s="457">
        <v>9</v>
      </c>
      <c r="DZ531" s="625">
        <v>11</v>
      </c>
      <c r="EA531" s="626">
        <v>12</v>
      </c>
      <c r="EB531" s="465">
        <v>23</v>
      </c>
      <c r="EC531" s="457">
        <v>8</v>
      </c>
      <c r="ED531" s="625">
        <v>27</v>
      </c>
      <c r="EE531" s="626">
        <v>12</v>
      </c>
      <c r="EF531" s="459">
        <v>32</v>
      </c>
      <c r="EG531" s="627">
        <v>46</v>
      </c>
      <c r="EH531" s="460">
        <f t="shared" si="273"/>
        <v>306</v>
      </c>
      <c r="EI531" s="460">
        <f t="shared" si="274"/>
        <v>10</v>
      </c>
      <c r="EJ531" s="458">
        <f t="shared" si="275"/>
        <v>0.19607843137254902</v>
      </c>
      <c r="EK531" s="470">
        <f t="shared" si="276"/>
        <v>304</v>
      </c>
      <c r="EL531" s="470">
        <f t="shared" si="277"/>
        <v>10</v>
      </c>
      <c r="EM531" s="449">
        <f t="shared" si="278"/>
        <v>0.20065789473684212</v>
      </c>
      <c r="EN531" s="460">
        <f t="shared" si="279"/>
        <v>2233</v>
      </c>
      <c r="EO531" s="469">
        <f t="shared" si="280"/>
        <v>2337</v>
      </c>
      <c r="EP531" s="471">
        <v>282</v>
      </c>
      <c r="EQ531" s="628">
        <v>262</v>
      </c>
      <c r="ER531" s="471"/>
      <c r="ES531" s="450"/>
      <c r="ET531" s="471"/>
      <c r="EU531" s="450"/>
      <c r="EV531" s="471">
        <v>126</v>
      </c>
      <c r="EW531" s="628">
        <v>126</v>
      </c>
      <c r="EX531" s="471"/>
      <c r="EY531" s="450"/>
      <c r="EZ531" s="471">
        <v>102</v>
      </c>
      <c r="FA531" s="628">
        <v>91</v>
      </c>
      <c r="FB531" s="471"/>
      <c r="FC531" s="450"/>
      <c r="FD531" s="471"/>
      <c r="FE531" s="450"/>
      <c r="FF531" s="471"/>
      <c r="FG531" s="450"/>
      <c r="FH531" s="472"/>
      <c r="FI531" s="450"/>
      <c r="FJ531" s="468">
        <f t="shared" si="281"/>
        <v>510</v>
      </c>
      <c r="FK531" s="469">
        <f t="shared" si="282"/>
        <v>479</v>
      </c>
      <c r="FL531" s="472"/>
      <c r="FM531" s="450"/>
      <c r="FN531" s="460">
        <f t="shared" si="283"/>
        <v>7835</v>
      </c>
      <c r="FO531" s="469">
        <f t="shared" si="284"/>
        <v>8242</v>
      </c>
    </row>
    <row r="532" spans="1:171" x14ac:dyDescent="0.2">
      <c r="A532" s="543" t="s">
        <v>854</v>
      </c>
      <c r="B532" s="544" t="s">
        <v>858</v>
      </c>
      <c r="C532" s="545"/>
      <c r="D532" s="546">
        <v>227216</v>
      </c>
      <c r="E532" s="547">
        <v>1</v>
      </c>
      <c r="F532" s="532"/>
      <c r="G532" s="450"/>
      <c r="H532" s="457"/>
      <c r="I532" s="450"/>
      <c r="J532" s="457"/>
      <c r="K532" s="450"/>
      <c r="L532" s="458">
        <f t="shared" si="261"/>
        <v>0</v>
      </c>
      <c r="M532" s="449">
        <f t="shared" si="262"/>
        <v>0</v>
      </c>
      <c r="N532" s="459">
        <v>6571</v>
      </c>
      <c r="O532" s="459"/>
      <c r="P532" s="459"/>
      <c r="Q532" s="459"/>
      <c r="R532" s="460">
        <f t="shared" si="263"/>
        <v>0</v>
      </c>
      <c r="S532" s="650">
        <v>6262</v>
      </c>
      <c r="T532" s="461"/>
      <c r="U532" s="461"/>
      <c r="V532" s="461"/>
      <c r="W532" s="462">
        <f t="shared" si="264"/>
        <v>0</v>
      </c>
      <c r="X532" s="463"/>
      <c r="Y532" s="457"/>
      <c r="Z532" s="464"/>
      <c r="AA532" s="464"/>
      <c r="AB532" s="465"/>
      <c r="AC532" s="457"/>
      <c r="AD532" s="464"/>
      <c r="AE532" s="466"/>
      <c r="AF532" s="465"/>
      <c r="AG532" s="457"/>
      <c r="AH532" s="464"/>
      <c r="AI532" s="466"/>
      <c r="AJ532" s="465"/>
      <c r="AK532" s="457"/>
      <c r="AL532" s="464"/>
      <c r="AM532" s="466"/>
      <c r="AN532" s="465"/>
      <c r="AO532" s="457"/>
      <c r="AP532" s="464"/>
      <c r="AQ532" s="464"/>
      <c r="AR532" s="460">
        <f t="shared" si="265"/>
        <v>0</v>
      </c>
      <c r="AS532" s="467">
        <f t="shared" si="266"/>
        <v>0.76335966542750933</v>
      </c>
      <c r="AT532" s="447">
        <f t="shared" si="267"/>
        <v>0</v>
      </c>
      <c r="AU532" s="448">
        <f t="shared" si="268"/>
        <v>0.73679256383103897</v>
      </c>
      <c r="AV532" s="457"/>
      <c r="AW532" s="450"/>
      <c r="AX532" s="463">
        <v>25</v>
      </c>
      <c r="AY532" s="457">
        <v>432</v>
      </c>
      <c r="AZ532" s="464">
        <v>25</v>
      </c>
      <c r="BA532" s="464">
        <v>414</v>
      </c>
      <c r="BB532" s="465">
        <v>13</v>
      </c>
      <c r="BC532" s="457">
        <v>369</v>
      </c>
      <c r="BD532" s="464">
        <v>13</v>
      </c>
      <c r="BE532" s="466">
        <v>406</v>
      </c>
      <c r="BF532" s="465">
        <v>52</v>
      </c>
      <c r="BG532" s="457">
        <v>280</v>
      </c>
      <c r="BH532" s="464">
        <v>52</v>
      </c>
      <c r="BI532" s="466">
        <v>317</v>
      </c>
      <c r="BJ532" s="465">
        <v>11</v>
      </c>
      <c r="BK532" s="457">
        <v>105</v>
      </c>
      <c r="BL532" s="464">
        <v>50</v>
      </c>
      <c r="BM532" s="466">
        <v>128</v>
      </c>
      <c r="BN532" s="465">
        <v>50</v>
      </c>
      <c r="BO532" s="457">
        <v>97</v>
      </c>
      <c r="BP532" s="464">
        <v>11</v>
      </c>
      <c r="BQ532" s="466">
        <v>115</v>
      </c>
      <c r="BR532" s="465">
        <v>51</v>
      </c>
      <c r="BS532" s="457">
        <v>90</v>
      </c>
      <c r="BT532" s="771">
        <v>42</v>
      </c>
      <c r="BU532" s="772">
        <v>89</v>
      </c>
      <c r="BV532" s="465">
        <v>42</v>
      </c>
      <c r="BW532" s="457">
        <v>68</v>
      </c>
      <c r="BX532" s="464">
        <v>45</v>
      </c>
      <c r="BY532" s="466">
        <v>83</v>
      </c>
      <c r="BZ532" s="465">
        <v>14</v>
      </c>
      <c r="CA532" s="457">
        <v>54</v>
      </c>
      <c r="CB532" s="464">
        <v>51</v>
      </c>
      <c r="CC532" s="466">
        <v>82</v>
      </c>
      <c r="CD532" s="465">
        <v>45</v>
      </c>
      <c r="CE532" s="457">
        <v>53</v>
      </c>
      <c r="CF532" s="464">
        <v>44</v>
      </c>
      <c r="CG532" s="466">
        <v>64</v>
      </c>
      <c r="CH532" s="465">
        <v>44</v>
      </c>
      <c r="CI532" s="457">
        <v>50</v>
      </c>
      <c r="CJ532" s="464">
        <v>14</v>
      </c>
      <c r="CK532" s="466">
        <v>59</v>
      </c>
      <c r="CL532" s="459">
        <v>222</v>
      </c>
      <c r="CM532" s="624">
        <v>245</v>
      </c>
      <c r="CN532" s="468">
        <f t="shared" si="269"/>
        <v>1820</v>
      </c>
      <c r="CO532" s="468">
        <f t="shared" si="270"/>
        <v>10</v>
      </c>
      <c r="CP532" s="469">
        <f t="shared" si="271"/>
        <v>2002</v>
      </c>
      <c r="CQ532" s="469">
        <f t="shared" si="272"/>
        <v>10</v>
      </c>
      <c r="CR532" s="463">
        <v>13</v>
      </c>
      <c r="CS532" s="457">
        <v>62</v>
      </c>
      <c r="CT532" s="625">
        <v>13</v>
      </c>
      <c r="CU532" s="625">
        <v>63</v>
      </c>
      <c r="CV532" s="465">
        <v>50</v>
      </c>
      <c r="CW532" s="457">
        <v>24</v>
      </c>
      <c r="CX532" s="625">
        <v>50</v>
      </c>
      <c r="CY532" s="626">
        <v>39</v>
      </c>
      <c r="CZ532" s="465">
        <v>42</v>
      </c>
      <c r="DA532" s="457">
        <v>23</v>
      </c>
      <c r="DB532" s="625">
        <v>52</v>
      </c>
      <c r="DC532" s="626">
        <v>19</v>
      </c>
      <c r="DD532" s="465">
        <v>40</v>
      </c>
      <c r="DE532" s="457">
        <v>20</v>
      </c>
      <c r="DF532" s="625">
        <v>11</v>
      </c>
      <c r="DG532" s="626">
        <v>16</v>
      </c>
      <c r="DH532" s="465">
        <v>11</v>
      </c>
      <c r="DI532" s="457">
        <v>19</v>
      </c>
      <c r="DJ532" s="625">
        <v>42</v>
      </c>
      <c r="DK532" s="626">
        <v>16</v>
      </c>
      <c r="DL532" s="465">
        <v>45</v>
      </c>
      <c r="DM532" s="457">
        <v>11</v>
      </c>
      <c r="DN532" s="625">
        <v>40</v>
      </c>
      <c r="DO532" s="626">
        <v>14</v>
      </c>
      <c r="DP532" s="465">
        <v>52</v>
      </c>
      <c r="DQ532" s="457">
        <v>10</v>
      </c>
      <c r="DR532" s="625">
        <v>23</v>
      </c>
      <c r="DS532" s="626">
        <v>10</v>
      </c>
      <c r="DT532" s="465">
        <v>14</v>
      </c>
      <c r="DU532" s="457">
        <v>8</v>
      </c>
      <c r="DV532" s="625">
        <v>45</v>
      </c>
      <c r="DW532" s="626">
        <v>10</v>
      </c>
      <c r="DX532" s="465">
        <v>26</v>
      </c>
      <c r="DY532" s="457">
        <v>8</v>
      </c>
      <c r="DZ532" s="625">
        <v>30</v>
      </c>
      <c r="EA532" s="626">
        <v>8</v>
      </c>
      <c r="EB532" s="465">
        <v>3</v>
      </c>
      <c r="EC532" s="457">
        <v>5</v>
      </c>
      <c r="ED532" s="625">
        <v>26</v>
      </c>
      <c r="EE532" s="626">
        <v>7</v>
      </c>
      <c r="EF532" s="459">
        <v>20</v>
      </c>
      <c r="EG532" s="627">
        <v>23</v>
      </c>
      <c r="EH532" s="460">
        <f t="shared" si="273"/>
        <v>210</v>
      </c>
      <c r="EI532" s="460">
        <f t="shared" si="274"/>
        <v>10</v>
      </c>
      <c r="EJ532" s="458">
        <f t="shared" si="275"/>
        <v>0.29523809523809524</v>
      </c>
      <c r="EK532" s="470">
        <f t="shared" si="276"/>
        <v>225</v>
      </c>
      <c r="EL532" s="470">
        <f t="shared" si="277"/>
        <v>10</v>
      </c>
      <c r="EM532" s="449">
        <f t="shared" si="278"/>
        <v>0.28000000000000003</v>
      </c>
      <c r="EN532" s="460">
        <f t="shared" si="279"/>
        <v>2030</v>
      </c>
      <c r="EO532" s="469">
        <f t="shared" si="280"/>
        <v>2227</v>
      </c>
      <c r="EP532" s="471"/>
      <c r="EQ532" s="450"/>
      <c r="ER532" s="471"/>
      <c r="ES532" s="450"/>
      <c r="ET532" s="471"/>
      <c r="EU532" s="450"/>
      <c r="EV532" s="471"/>
      <c r="EW532" s="628"/>
      <c r="EX532" s="471"/>
      <c r="EY532" s="450"/>
      <c r="EZ532" s="471"/>
      <c r="FA532" s="450"/>
      <c r="FB532" s="471"/>
      <c r="FC532" s="450"/>
      <c r="FD532" s="471"/>
      <c r="FE532" s="450"/>
      <c r="FF532" s="471"/>
      <c r="FG532" s="450"/>
      <c r="FH532" s="472">
        <v>7</v>
      </c>
      <c r="FI532" s="629">
        <v>10</v>
      </c>
      <c r="FJ532" s="468">
        <f t="shared" si="281"/>
        <v>7</v>
      </c>
      <c r="FK532" s="469">
        <f t="shared" si="282"/>
        <v>10</v>
      </c>
      <c r="FL532" s="472"/>
      <c r="FM532" s="450"/>
      <c r="FN532" s="460">
        <f t="shared" si="283"/>
        <v>8608</v>
      </c>
      <c r="FO532" s="469">
        <f t="shared" si="284"/>
        <v>8499</v>
      </c>
    </row>
    <row r="533" spans="1:171" x14ac:dyDescent="0.2">
      <c r="A533" s="543" t="s">
        <v>854</v>
      </c>
      <c r="B533" s="544" t="s">
        <v>859</v>
      </c>
      <c r="C533" s="545"/>
      <c r="D533" s="546">
        <v>228769</v>
      </c>
      <c r="E533" s="547">
        <v>1</v>
      </c>
      <c r="F533" s="532"/>
      <c r="G533" s="450"/>
      <c r="H533" s="457"/>
      <c r="I533" s="450"/>
      <c r="J533" s="457"/>
      <c r="K533" s="450"/>
      <c r="L533" s="458">
        <f t="shared" si="261"/>
        <v>0</v>
      </c>
      <c r="M533" s="449">
        <f t="shared" si="262"/>
        <v>0</v>
      </c>
      <c r="N533" s="459">
        <v>5103</v>
      </c>
      <c r="O533" s="459"/>
      <c r="P533" s="459"/>
      <c r="Q533" s="459"/>
      <c r="R533" s="460">
        <f t="shared" si="263"/>
        <v>0</v>
      </c>
      <c r="S533" s="650">
        <v>5773</v>
      </c>
      <c r="T533" s="461"/>
      <c r="U533" s="461"/>
      <c r="V533" s="461"/>
      <c r="W533" s="462">
        <f t="shared" si="264"/>
        <v>0</v>
      </c>
      <c r="X533" s="463"/>
      <c r="Y533" s="457"/>
      <c r="Z533" s="464"/>
      <c r="AA533" s="464"/>
      <c r="AB533" s="465"/>
      <c r="AC533" s="457"/>
      <c r="AD533" s="464"/>
      <c r="AE533" s="466"/>
      <c r="AF533" s="465"/>
      <c r="AG533" s="457"/>
      <c r="AH533" s="464"/>
      <c r="AI533" s="466"/>
      <c r="AJ533" s="465"/>
      <c r="AK533" s="457"/>
      <c r="AL533" s="464"/>
      <c r="AM533" s="466"/>
      <c r="AN533" s="465"/>
      <c r="AO533" s="457"/>
      <c r="AP533" s="464"/>
      <c r="AQ533" s="464"/>
      <c r="AR533" s="460">
        <f t="shared" si="265"/>
        <v>0</v>
      </c>
      <c r="AS533" s="467">
        <f t="shared" si="266"/>
        <v>0.66732051785013735</v>
      </c>
      <c r="AT533" s="447">
        <f t="shared" si="267"/>
        <v>0</v>
      </c>
      <c r="AU533" s="448">
        <f t="shared" si="268"/>
        <v>0.62607092506235762</v>
      </c>
      <c r="AV533" s="457"/>
      <c r="AW533" s="450"/>
      <c r="AX533" s="463">
        <v>52</v>
      </c>
      <c r="AY533" s="457">
        <v>647</v>
      </c>
      <c r="AZ533" s="464">
        <v>13</v>
      </c>
      <c r="BA533" s="464">
        <v>1368</v>
      </c>
      <c r="BB533" s="465">
        <v>13</v>
      </c>
      <c r="BC533" s="457">
        <v>513</v>
      </c>
      <c r="BD533" s="464">
        <v>52</v>
      </c>
      <c r="BE533" s="466">
        <v>632</v>
      </c>
      <c r="BF533" s="465">
        <v>14</v>
      </c>
      <c r="BG533" s="457">
        <v>360</v>
      </c>
      <c r="BH533" s="464">
        <v>14</v>
      </c>
      <c r="BI533" s="466">
        <v>323</v>
      </c>
      <c r="BJ533" s="465">
        <v>44</v>
      </c>
      <c r="BK533" s="457">
        <v>274</v>
      </c>
      <c r="BL533" s="464">
        <v>44</v>
      </c>
      <c r="BM533" s="466">
        <v>281</v>
      </c>
      <c r="BN533" s="465">
        <v>51</v>
      </c>
      <c r="BO533" s="457">
        <v>194</v>
      </c>
      <c r="BP533" s="464">
        <v>51</v>
      </c>
      <c r="BQ533" s="466">
        <v>255</v>
      </c>
      <c r="BR533" s="465">
        <v>4</v>
      </c>
      <c r="BS533" s="457">
        <v>82</v>
      </c>
      <c r="BT533" s="771">
        <v>4</v>
      </c>
      <c r="BU533" s="772">
        <v>91</v>
      </c>
      <c r="BV533" s="465">
        <v>11</v>
      </c>
      <c r="BW533" s="457">
        <v>54</v>
      </c>
      <c r="BX533" s="464">
        <v>11</v>
      </c>
      <c r="BY533" s="466">
        <v>57</v>
      </c>
      <c r="BZ533" s="465">
        <v>45</v>
      </c>
      <c r="CA533" s="457">
        <v>52</v>
      </c>
      <c r="CB533" s="464">
        <v>43</v>
      </c>
      <c r="CC533" s="466">
        <v>45</v>
      </c>
      <c r="CD533" s="465">
        <v>43</v>
      </c>
      <c r="CE533" s="457">
        <v>45</v>
      </c>
      <c r="CF533" s="464">
        <v>45</v>
      </c>
      <c r="CG533" s="466">
        <v>34</v>
      </c>
      <c r="CH533" s="465">
        <v>30</v>
      </c>
      <c r="CI533" s="457">
        <v>35</v>
      </c>
      <c r="CJ533" s="464">
        <v>40</v>
      </c>
      <c r="CK533" s="466">
        <v>24</v>
      </c>
      <c r="CL533" s="459">
        <v>161</v>
      </c>
      <c r="CM533" s="624">
        <v>170</v>
      </c>
      <c r="CN533" s="468">
        <f t="shared" si="269"/>
        <v>2417</v>
      </c>
      <c r="CO533" s="468">
        <f t="shared" si="270"/>
        <v>10</v>
      </c>
      <c r="CP533" s="469">
        <f t="shared" si="271"/>
        <v>3280</v>
      </c>
      <c r="CQ533" s="469">
        <f t="shared" si="272"/>
        <v>10</v>
      </c>
      <c r="CR533" s="463">
        <v>14</v>
      </c>
      <c r="CS533" s="457">
        <v>45</v>
      </c>
      <c r="CT533" s="625">
        <v>14</v>
      </c>
      <c r="CU533" s="625">
        <v>58</v>
      </c>
      <c r="CV533" s="465">
        <v>40</v>
      </c>
      <c r="CW533" s="457">
        <v>19</v>
      </c>
      <c r="CX533" s="625">
        <v>44</v>
      </c>
      <c r="CY533" s="626">
        <v>24</v>
      </c>
      <c r="CZ533" s="465">
        <v>44</v>
      </c>
      <c r="DA533" s="457">
        <v>12</v>
      </c>
      <c r="DB533" s="625">
        <v>52</v>
      </c>
      <c r="DC533" s="626">
        <v>15</v>
      </c>
      <c r="DD533" s="465">
        <v>42</v>
      </c>
      <c r="DE533" s="457">
        <v>10</v>
      </c>
      <c r="DF533" s="625">
        <v>40</v>
      </c>
      <c r="DG533" s="626">
        <v>12</v>
      </c>
      <c r="DH533" s="465">
        <v>11</v>
      </c>
      <c r="DI533" s="457">
        <v>8</v>
      </c>
      <c r="DJ533" s="625">
        <v>51</v>
      </c>
      <c r="DK533" s="626">
        <v>11</v>
      </c>
      <c r="DL533" s="465">
        <v>52</v>
      </c>
      <c r="DM533" s="457">
        <v>7</v>
      </c>
      <c r="DN533" s="625">
        <v>27</v>
      </c>
      <c r="DO533" s="626">
        <v>8</v>
      </c>
      <c r="DP533" s="465">
        <v>23</v>
      </c>
      <c r="DQ533" s="457">
        <v>5</v>
      </c>
      <c r="DR533" s="625">
        <v>23</v>
      </c>
      <c r="DS533" s="626">
        <v>7</v>
      </c>
      <c r="DT533" s="465">
        <v>16</v>
      </c>
      <c r="DU533" s="457">
        <v>4</v>
      </c>
      <c r="DV533" s="625">
        <v>42</v>
      </c>
      <c r="DW533" s="626">
        <v>7</v>
      </c>
      <c r="DX533" s="465">
        <v>27</v>
      </c>
      <c r="DY533" s="457">
        <v>4</v>
      </c>
      <c r="DZ533" s="625">
        <v>11</v>
      </c>
      <c r="EA533" s="626">
        <v>6</v>
      </c>
      <c r="EB533" s="465">
        <v>51</v>
      </c>
      <c r="EC533" s="457">
        <v>4</v>
      </c>
      <c r="ED533" s="625">
        <v>3</v>
      </c>
      <c r="EE533" s="626">
        <v>5</v>
      </c>
      <c r="EF533" s="459">
        <v>9</v>
      </c>
      <c r="EG533" s="627">
        <v>15</v>
      </c>
      <c r="EH533" s="460">
        <f t="shared" si="273"/>
        <v>127</v>
      </c>
      <c r="EI533" s="460">
        <f t="shared" si="274"/>
        <v>10</v>
      </c>
      <c r="EJ533" s="458">
        <f t="shared" si="275"/>
        <v>0.3543307086614173</v>
      </c>
      <c r="EK533" s="470">
        <f t="shared" si="276"/>
        <v>168</v>
      </c>
      <c r="EL533" s="470">
        <f t="shared" si="277"/>
        <v>10</v>
      </c>
      <c r="EM533" s="449">
        <f t="shared" si="278"/>
        <v>0.34523809523809523</v>
      </c>
      <c r="EN533" s="460">
        <f t="shared" si="279"/>
        <v>2544</v>
      </c>
      <c r="EO533" s="469">
        <f t="shared" si="280"/>
        <v>3448</v>
      </c>
      <c r="EP533" s="471"/>
      <c r="EQ533" s="450"/>
      <c r="ER533" s="471"/>
      <c r="ES533" s="450"/>
      <c r="ET533" s="471"/>
      <c r="EU533" s="450"/>
      <c r="EV533" s="471"/>
      <c r="EW533" s="628"/>
      <c r="EX533" s="471"/>
      <c r="EY533" s="450"/>
      <c r="EZ533" s="471"/>
      <c r="FA533" s="450"/>
      <c r="FB533" s="471"/>
      <c r="FC533" s="450"/>
      <c r="FD533" s="471"/>
      <c r="FE533" s="450"/>
      <c r="FF533" s="471"/>
      <c r="FG533" s="450"/>
      <c r="FH533" s="472"/>
      <c r="FI533" s="629"/>
      <c r="FJ533" s="468">
        <f t="shared" si="281"/>
        <v>0</v>
      </c>
      <c r="FK533" s="469">
        <f t="shared" si="282"/>
        <v>0</v>
      </c>
      <c r="FL533" s="472"/>
      <c r="FM533" s="450"/>
      <c r="FN533" s="460">
        <f t="shared" si="283"/>
        <v>7647</v>
      </c>
      <c r="FO533" s="469">
        <f t="shared" si="284"/>
        <v>9221</v>
      </c>
    </row>
    <row r="534" spans="1:171" x14ac:dyDescent="0.2">
      <c r="A534" s="543" t="s">
        <v>854</v>
      </c>
      <c r="B534" s="544" t="s">
        <v>860</v>
      </c>
      <c r="C534" s="545"/>
      <c r="D534" s="546">
        <v>228778</v>
      </c>
      <c r="E534" s="547">
        <v>1</v>
      </c>
      <c r="F534" s="532"/>
      <c r="G534" s="450"/>
      <c r="H534" s="457"/>
      <c r="I534" s="450"/>
      <c r="J534" s="457"/>
      <c r="K534" s="450"/>
      <c r="L534" s="458">
        <f t="shared" si="261"/>
        <v>0</v>
      </c>
      <c r="M534" s="449">
        <f t="shared" si="262"/>
        <v>0</v>
      </c>
      <c r="N534" s="459">
        <v>9027</v>
      </c>
      <c r="O534" s="459"/>
      <c r="P534" s="459"/>
      <c r="Q534" s="459"/>
      <c r="R534" s="460">
        <f t="shared" si="263"/>
        <v>0</v>
      </c>
      <c r="S534" s="650">
        <v>8860</v>
      </c>
      <c r="T534" s="461"/>
      <c r="U534" s="461"/>
      <c r="V534" s="461"/>
      <c r="W534" s="462">
        <f t="shared" si="264"/>
        <v>0</v>
      </c>
      <c r="X534" s="463"/>
      <c r="Y534" s="457"/>
      <c r="Z534" s="464"/>
      <c r="AA534" s="464"/>
      <c r="AB534" s="465"/>
      <c r="AC534" s="457"/>
      <c r="AD534" s="464"/>
      <c r="AE534" s="466"/>
      <c r="AF534" s="465"/>
      <c r="AG534" s="457"/>
      <c r="AH534" s="464"/>
      <c r="AI534" s="466"/>
      <c r="AJ534" s="465"/>
      <c r="AK534" s="457"/>
      <c r="AL534" s="464"/>
      <c r="AM534" s="466"/>
      <c r="AN534" s="465"/>
      <c r="AO534" s="457"/>
      <c r="AP534" s="464"/>
      <c r="AQ534" s="464"/>
      <c r="AR534" s="460">
        <f t="shared" si="265"/>
        <v>0</v>
      </c>
      <c r="AS534" s="467">
        <f t="shared" si="266"/>
        <v>0.67542087542087537</v>
      </c>
      <c r="AT534" s="447">
        <f t="shared" si="267"/>
        <v>0</v>
      </c>
      <c r="AU534" s="448">
        <f t="shared" si="268"/>
        <v>0.66431731273899675</v>
      </c>
      <c r="AV534" s="457"/>
      <c r="AW534" s="450"/>
      <c r="AX534" s="463">
        <v>52</v>
      </c>
      <c r="AY534" s="457">
        <v>907</v>
      </c>
      <c r="AZ534" s="464">
        <v>52</v>
      </c>
      <c r="BA534" s="464">
        <v>949</v>
      </c>
      <c r="BB534" s="465">
        <v>14</v>
      </c>
      <c r="BC534" s="457">
        <v>441</v>
      </c>
      <c r="BD534" s="464">
        <v>14</v>
      </c>
      <c r="BE534" s="466">
        <v>395</v>
      </c>
      <c r="BF534" s="465">
        <v>44</v>
      </c>
      <c r="BG534" s="457">
        <v>275</v>
      </c>
      <c r="BH534" s="464">
        <v>44</v>
      </c>
      <c r="BI534" s="466">
        <v>289</v>
      </c>
      <c r="BJ534" s="465">
        <v>13</v>
      </c>
      <c r="BK534" s="457">
        <v>187</v>
      </c>
      <c r="BL534" s="464">
        <v>13</v>
      </c>
      <c r="BM534" s="466">
        <v>245</v>
      </c>
      <c r="BN534" s="465">
        <v>9</v>
      </c>
      <c r="BO534" s="457">
        <v>146</v>
      </c>
      <c r="BP534" s="464">
        <v>9</v>
      </c>
      <c r="BQ534" s="466">
        <v>157</v>
      </c>
      <c r="BR534" s="465">
        <v>4</v>
      </c>
      <c r="BS534" s="457">
        <v>109</v>
      </c>
      <c r="BT534" s="771">
        <v>25</v>
      </c>
      <c r="BU534" s="772">
        <v>125</v>
      </c>
      <c r="BV534" s="465">
        <v>51</v>
      </c>
      <c r="BW534" s="457">
        <v>106</v>
      </c>
      <c r="BX534" s="464">
        <v>4</v>
      </c>
      <c r="BY534" s="466">
        <v>123</v>
      </c>
      <c r="BZ534" s="465">
        <v>25</v>
      </c>
      <c r="CA534" s="457">
        <v>103</v>
      </c>
      <c r="CB534" s="464">
        <v>50</v>
      </c>
      <c r="CC534" s="466">
        <v>120</v>
      </c>
      <c r="CD534" s="465">
        <v>50</v>
      </c>
      <c r="CE534" s="457">
        <v>102</v>
      </c>
      <c r="CF534" s="464">
        <v>51</v>
      </c>
      <c r="CG534" s="466">
        <v>117</v>
      </c>
      <c r="CH534" s="465">
        <v>45</v>
      </c>
      <c r="CI534" s="457">
        <v>93</v>
      </c>
      <c r="CJ534" s="464">
        <v>45</v>
      </c>
      <c r="CK534" s="466">
        <v>95</v>
      </c>
      <c r="CL534" s="459">
        <v>517</v>
      </c>
      <c r="CM534" s="624">
        <v>515</v>
      </c>
      <c r="CN534" s="468">
        <f t="shared" si="269"/>
        <v>2986</v>
      </c>
      <c r="CO534" s="468">
        <f t="shared" si="270"/>
        <v>10</v>
      </c>
      <c r="CP534" s="469">
        <f t="shared" si="271"/>
        <v>3130</v>
      </c>
      <c r="CQ534" s="469">
        <f t="shared" si="272"/>
        <v>10</v>
      </c>
      <c r="CR534" s="463">
        <v>14</v>
      </c>
      <c r="CS534" s="457">
        <v>202</v>
      </c>
      <c r="CT534" s="625">
        <v>14</v>
      </c>
      <c r="CU534" s="625">
        <v>214</v>
      </c>
      <c r="CV534" s="465">
        <v>13</v>
      </c>
      <c r="CW534" s="457">
        <v>105</v>
      </c>
      <c r="CX534" s="625">
        <v>13</v>
      </c>
      <c r="CY534" s="626">
        <v>85</v>
      </c>
      <c r="CZ534" s="465">
        <v>40</v>
      </c>
      <c r="DA534" s="457">
        <v>82</v>
      </c>
      <c r="DB534" s="625">
        <v>40</v>
      </c>
      <c r="DC534" s="626">
        <v>78</v>
      </c>
      <c r="DD534" s="465">
        <v>45</v>
      </c>
      <c r="DE534" s="457">
        <v>61</v>
      </c>
      <c r="DF534" s="625">
        <v>50</v>
      </c>
      <c r="DG534" s="626">
        <v>57</v>
      </c>
      <c r="DH534" s="465">
        <v>26</v>
      </c>
      <c r="DI534" s="457">
        <v>54</v>
      </c>
      <c r="DJ534" s="625">
        <v>45</v>
      </c>
      <c r="DK534" s="626">
        <v>55</v>
      </c>
      <c r="DL534" s="465">
        <v>42</v>
      </c>
      <c r="DM534" s="457">
        <v>49</v>
      </c>
      <c r="DN534" s="625">
        <v>26</v>
      </c>
      <c r="DO534" s="626">
        <v>53</v>
      </c>
      <c r="DP534" s="465">
        <v>16</v>
      </c>
      <c r="DQ534" s="457">
        <v>44</v>
      </c>
      <c r="DR534" s="625">
        <v>42</v>
      </c>
      <c r="DS534" s="626">
        <v>47</v>
      </c>
      <c r="DT534" s="465">
        <v>50</v>
      </c>
      <c r="DU534" s="457">
        <v>41</v>
      </c>
      <c r="DV534" s="625">
        <v>16</v>
      </c>
      <c r="DW534" s="626">
        <v>40</v>
      </c>
      <c r="DX534" s="465">
        <v>23</v>
      </c>
      <c r="DY534" s="457">
        <v>27</v>
      </c>
      <c r="DZ534" s="625">
        <v>51</v>
      </c>
      <c r="EA534" s="626">
        <v>30</v>
      </c>
      <c r="EB534" s="465">
        <v>51</v>
      </c>
      <c r="EC534" s="457">
        <v>25</v>
      </c>
      <c r="ED534" s="625">
        <v>54</v>
      </c>
      <c r="EE534" s="626">
        <v>29</v>
      </c>
      <c r="EF534" s="459">
        <v>154</v>
      </c>
      <c r="EG534" s="627">
        <v>155</v>
      </c>
      <c r="EH534" s="460">
        <f t="shared" si="273"/>
        <v>844</v>
      </c>
      <c r="EI534" s="460">
        <f t="shared" si="274"/>
        <v>10</v>
      </c>
      <c r="EJ534" s="458">
        <f t="shared" si="275"/>
        <v>0.23933649289099526</v>
      </c>
      <c r="EK534" s="470">
        <f t="shared" si="276"/>
        <v>843</v>
      </c>
      <c r="EL534" s="470">
        <f t="shared" si="277"/>
        <v>10</v>
      </c>
      <c r="EM534" s="449">
        <f t="shared" si="278"/>
        <v>0.25385527876631081</v>
      </c>
      <c r="EN534" s="460">
        <f t="shared" si="279"/>
        <v>3830</v>
      </c>
      <c r="EO534" s="469">
        <f t="shared" si="280"/>
        <v>3973</v>
      </c>
      <c r="EP534" s="471">
        <v>382</v>
      </c>
      <c r="EQ534" s="628">
        <v>373</v>
      </c>
      <c r="ER534" s="471"/>
      <c r="ES534" s="450"/>
      <c r="ET534" s="471"/>
      <c r="EU534" s="450"/>
      <c r="EV534" s="471">
        <v>117</v>
      </c>
      <c r="EW534" s="628">
        <v>127</v>
      </c>
      <c r="EX534" s="471"/>
      <c r="EY534" s="450"/>
      <c r="EZ534" s="471"/>
      <c r="FA534" s="450"/>
      <c r="FB534" s="471"/>
      <c r="FC534" s="450"/>
      <c r="FD534" s="471"/>
      <c r="FE534" s="450"/>
      <c r="FF534" s="471"/>
      <c r="FG534" s="450"/>
      <c r="FH534" s="472">
        <v>9</v>
      </c>
      <c r="FI534" s="179">
        <v>4</v>
      </c>
      <c r="FJ534" s="468">
        <f t="shared" si="281"/>
        <v>508</v>
      </c>
      <c r="FK534" s="469">
        <f t="shared" si="282"/>
        <v>504</v>
      </c>
      <c r="FL534" s="472"/>
      <c r="FM534" s="450"/>
      <c r="FN534" s="460">
        <f t="shared" si="283"/>
        <v>13365</v>
      </c>
      <c r="FO534" s="469">
        <f t="shared" si="284"/>
        <v>13337</v>
      </c>
    </row>
    <row r="535" spans="1:171" x14ac:dyDescent="0.2">
      <c r="A535" s="543" t="s">
        <v>854</v>
      </c>
      <c r="B535" s="544" t="s">
        <v>861</v>
      </c>
      <c r="C535" s="545"/>
      <c r="D535" s="546">
        <v>228787</v>
      </c>
      <c r="E535" s="547">
        <v>1</v>
      </c>
      <c r="F535" s="532"/>
      <c r="G535" s="450"/>
      <c r="H535" s="457"/>
      <c r="I535" s="450"/>
      <c r="J535" s="457"/>
      <c r="K535" s="450"/>
      <c r="L535" s="458">
        <f t="shared" si="261"/>
        <v>0</v>
      </c>
      <c r="M535" s="449">
        <f t="shared" si="262"/>
        <v>0</v>
      </c>
      <c r="N535" s="459">
        <v>2314</v>
      </c>
      <c r="O535" s="459"/>
      <c r="P535" s="459"/>
      <c r="Q535" s="459"/>
      <c r="R535" s="460">
        <f t="shared" si="263"/>
        <v>0</v>
      </c>
      <c r="S535" s="650">
        <v>2510</v>
      </c>
      <c r="T535" s="461"/>
      <c r="U535" s="461"/>
      <c r="V535" s="461"/>
      <c r="W535" s="462">
        <f t="shared" si="264"/>
        <v>0</v>
      </c>
      <c r="X535" s="463"/>
      <c r="Y535" s="457"/>
      <c r="Z535" s="464"/>
      <c r="AA535" s="464"/>
      <c r="AB535" s="465"/>
      <c r="AC535" s="457"/>
      <c r="AD535" s="464"/>
      <c r="AE535" s="466"/>
      <c r="AF535" s="465"/>
      <c r="AG535" s="457"/>
      <c r="AH535" s="464"/>
      <c r="AI535" s="466"/>
      <c r="AJ535" s="465"/>
      <c r="AK535" s="457"/>
      <c r="AL535" s="464"/>
      <c r="AM535" s="466"/>
      <c r="AN535" s="465"/>
      <c r="AO535" s="457"/>
      <c r="AP535" s="464"/>
      <c r="AQ535" s="464"/>
      <c r="AR535" s="460">
        <f t="shared" si="265"/>
        <v>0</v>
      </c>
      <c r="AS535" s="467">
        <f t="shared" si="266"/>
        <v>0.51721054984354042</v>
      </c>
      <c r="AT535" s="447">
        <f t="shared" si="267"/>
        <v>0</v>
      </c>
      <c r="AU535" s="448">
        <f t="shared" si="268"/>
        <v>0.5114099429502853</v>
      </c>
      <c r="AV535" s="457"/>
      <c r="AW535" s="450"/>
      <c r="AX535" s="463">
        <v>52</v>
      </c>
      <c r="AY535" s="457">
        <v>974</v>
      </c>
      <c r="AZ535" s="464">
        <v>52</v>
      </c>
      <c r="BA535" s="464">
        <v>1106</v>
      </c>
      <c r="BB535" s="465">
        <v>11</v>
      </c>
      <c r="BC535" s="457">
        <v>299</v>
      </c>
      <c r="BD535" s="464">
        <v>11</v>
      </c>
      <c r="BE535" s="466">
        <v>320</v>
      </c>
      <c r="BF535" s="465">
        <v>14</v>
      </c>
      <c r="BG535" s="457">
        <v>186</v>
      </c>
      <c r="BH535" s="464">
        <v>14</v>
      </c>
      <c r="BI535" s="466">
        <v>240</v>
      </c>
      <c r="BJ535" s="465">
        <v>51</v>
      </c>
      <c r="BK535" s="457">
        <v>162</v>
      </c>
      <c r="BL535" s="464">
        <v>51</v>
      </c>
      <c r="BM535" s="466">
        <v>171</v>
      </c>
      <c r="BN535" s="465">
        <v>30</v>
      </c>
      <c r="BO535" s="457">
        <v>69</v>
      </c>
      <c r="BP535" s="464">
        <v>30</v>
      </c>
      <c r="BQ535" s="466">
        <v>68</v>
      </c>
      <c r="BR535" s="465">
        <v>45</v>
      </c>
      <c r="BS535" s="457">
        <v>56</v>
      </c>
      <c r="BT535" s="771">
        <v>45</v>
      </c>
      <c r="BU535" s="772">
        <v>68</v>
      </c>
      <c r="BV535" s="465">
        <v>44</v>
      </c>
      <c r="BW535" s="457">
        <v>48</v>
      </c>
      <c r="BX535" s="464">
        <v>44</v>
      </c>
      <c r="BY535" s="466">
        <v>47</v>
      </c>
      <c r="BZ535" s="465">
        <v>50</v>
      </c>
      <c r="CA535" s="457">
        <v>39</v>
      </c>
      <c r="CB535" s="464">
        <v>24</v>
      </c>
      <c r="CC535" s="466">
        <v>36</v>
      </c>
      <c r="CD535" s="465">
        <v>26</v>
      </c>
      <c r="CE535" s="457">
        <v>35</v>
      </c>
      <c r="CF535" s="464">
        <v>26</v>
      </c>
      <c r="CG535" s="466">
        <v>32</v>
      </c>
      <c r="CH535" s="465">
        <v>24</v>
      </c>
      <c r="CI535" s="457">
        <v>33</v>
      </c>
      <c r="CJ535" s="464">
        <v>50</v>
      </c>
      <c r="CK535" s="466">
        <v>28</v>
      </c>
      <c r="CL535" s="459">
        <v>93</v>
      </c>
      <c r="CM535" s="624">
        <v>103</v>
      </c>
      <c r="CN535" s="468">
        <f t="shared" si="269"/>
        <v>1994</v>
      </c>
      <c r="CO535" s="468">
        <f t="shared" si="270"/>
        <v>10</v>
      </c>
      <c r="CP535" s="469">
        <f t="shared" si="271"/>
        <v>2219</v>
      </c>
      <c r="CQ535" s="469">
        <f t="shared" si="272"/>
        <v>10</v>
      </c>
      <c r="CR535" s="463">
        <v>14</v>
      </c>
      <c r="CS535" s="457">
        <v>34</v>
      </c>
      <c r="CT535" s="625">
        <v>14</v>
      </c>
      <c r="CU535" s="625">
        <v>52</v>
      </c>
      <c r="CV535" s="465">
        <v>11</v>
      </c>
      <c r="CW535" s="457">
        <v>25</v>
      </c>
      <c r="CX535" s="625">
        <v>11</v>
      </c>
      <c r="CY535" s="626">
        <v>25</v>
      </c>
      <c r="CZ535" s="465">
        <v>44</v>
      </c>
      <c r="DA535" s="457">
        <v>19</v>
      </c>
      <c r="DB535" s="625">
        <v>24</v>
      </c>
      <c r="DC535" s="626">
        <v>16</v>
      </c>
      <c r="DD535" s="465">
        <v>45</v>
      </c>
      <c r="DE535" s="457">
        <v>19</v>
      </c>
      <c r="DF535" s="625">
        <v>44</v>
      </c>
      <c r="DG535" s="626">
        <v>15</v>
      </c>
      <c r="DH535" s="465">
        <v>52</v>
      </c>
      <c r="DI535" s="457">
        <v>16</v>
      </c>
      <c r="DJ535" s="625">
        <v>26</v>
      </c>
      <c r="DK535" s="626">
        <v>14</v>
      </c>
      <c r="DL535" s="465">
        <v>24</v>
      </c>
      <c r="DM535" s="457">
        <v>14</v>
      </c>
      <c r="DN535" s="625">
        <v>52</v>
      </c>
      <c r="DO535" s="626">
        <v>14</v>
      </c>
      <c r="DP535" s="465">
        <v>40</v>
      </c>
      <c r="DQ535" s="457">
        <v>13</v>
      </c>
      <c r="DR535" s="625">
        <v>45</v>
      </c>
      <c r="DS535" s="626">
        <v>13</v>
      </c>
      <c r="DT535" s="465">
        <v>26</v>
      </c>
      <c r="DU535" s="457">
        <v>10</v>
      </c>
      <c r="DV535" s="625">
        <v>40</v>
      </c>
      <c r="DW535" s="626">
        <v>11</v>
      </c>
      <c r="DX535" s="465">
        <v>27</v>
      </c>
      <c r="DY535" s="457">
        <v>6</v>
      </c>
      <c r="DZ535" s="625">
        <v>27</v>
      </c>
      <c r="EA535" s="626">
        <v>5</v>
      </c>
      <c r="EB535" s="465">
        <v>42</v>
      </c>
      <c r="EC535" s="457">
        <v>4</v>
      </c>
      <c r="ED535" s="625">
        <v>42</v>
      </c>
      <c r="EE535" s="626">
        <v>3</v>
      </c>
      <c r="EF535" s="459"/>
      <c r="EG535" s="627"/>
      <c r="EH535" s="460">
        <f t="shared" si="273"/>
        <v>160</v>
      </c>
      <c r="EI535" s="460">
        <f t="shared" si="274"/>
        <v>10</v>
      </c>
      <c r="EJ535" s="458">
        <f t="shared" si="275"/>
        <v>0.21249999999999999</v>
      </c>
      <c r="EK535" s="470">
        <f t="shared" si="276"/>
        <v>168</v>
      </c>
      <c r="EL535" s="470">
        <f t="shared" si="277"/>
        <v>10</v>
      </c>
      <c r="EM535" s="449">
        <f t="shared" si="278"/>
        <v>0.30952380952380953</v>
      </c>
      <c r="EN535" s="460">
        <f t="shared" si="279"/>
        <v>2154</v>
      </c>
      <c r="EO535" s="469">
        <f t="shared" si="280"/>
        <v>2387</v>
      </c>
      <c r="EP535" s="471"/>
      <c r="EQ535" s="450"/>
      <c r="ER535" s="471"/>
      <c r="ES535" s="450"/>
      <c r="ET535" s="471"/>
      <c r="EU535" s="450"/>
      <c r="EV535" s="471"/>
      <c r="EW535" s="628"/>
      <c r="EX535" s="471"/>
      <c r="EY535" s="450"/>
      <c r="EZ535" s="471"/>
      <c r="FA535" s="450"/>
      <c r="FB535" s="471"/>
      <c r="FC535" s="450"/>
      <c r="FD535" s="471"/>
      <c r="FE535" s="450"/>
      <c r="FF535" s="471"/>
      <c r="FG535" s="450"/>
      <c r="FH535" s="472">
        <v>6</v>
      </c>
      <c r="FI535" s="629">
        <v>11</v>
      </c>
      <c r="FJ535" s="468">
        <f t="shared" si="281"/>
        <v>6</v>
      </c>
      <c r="FK535" s="469">
        <f t="shared" si="282"/>
        <v>11</v>
      </c>
      <c r="FL535" s="472"/>
      <c r="FM535" s="450"/>
      <c r="FN535" s="460">
        <f t="shared" si="283"/>
        <v>4474</v>
      </c>
      <c r="FO535" s="469">
        <f t="shared" si="284"/>
        <v>4908</v>
      </c>
    </row>
    <row r="536" spans="1:171" x14ac:dyDescent="0.2">
      <c r="A536" s="543" t="s">
        <v>854</v>
      </c>
      <c r="B536" s="544" t="s">
        <v>862</v>
      </c>
      <c r="C536" s="545"/>
      <c r="D536" s="546">
        <v>229179</v>
      </c>
      <c r="E536" s="547">
        <v>2</v>
      </c>
      <c r="F536" s="532"/>
      <c r="G536" s="450"/>
      <c r="H536" s="457"/>
      <c r="I536" s="450"/>
      <c r="J536" s="457"/>
      <c r="K536" s="450"/>
      <c r="L536" s="458">
        <f t="shared" si="261"/>
        <v>0</v>
      </c>
      <c r="M536" s="449">
        <f t="shared" si="262"/>
        <v>0</v>
      </c>
      <c r="N536" s="459">
        <v>1725</v>
      </c>
      <c r="O536" s="459"/>
      <c r="P536" s="459"/>
      <c r="Q536" s="459"/>
      <c r="R536" s="460">
        <f t="shared" si="263"/>
        <v>0</v>
      </c>
      <c r="S536" s="650">
        <v>1919</v>
      </c>
      <c r="T536" s="461"/>
      <c r="U536" s="461"/>
      <c r="V536" s="461"/>
      <c r="W536" s="462">
        <f t="shared" si="264"/>
        <v>0</v>
      </c>
      <c r="X536" s="463"/>
      <c r="Y536" s="457"/>
      <c r="Z536" s="464"/>
      <c r="AA536" s="464"/>
      <c r="AB536" s="465"/>
      <c r="AC536" s="457"/>
      <c r="AD536" s="464"/>
      <c r="AE536" s="466"/>
      <c r="AF536" s="465"/>
      <c r="AG536" s="457"/>
      <c r="AH536" s="464"/>
      <c r="AI536" s="466"/>
      <c r="AJ536" s="465"/>
      <c r="AK536" s="457"/>
      <c r="AL536" s="464"/>
      <c r="AM536" s="466"/>
      <c r="AN536" s="465"/>
      <c r="AO536" s="457"/>
      <c r="AP536" s="464"/>
      <c r="AQ536" s="464"/>
      <c r="AR536" s="460">
        <f t="shared" si="265"/>
        <v>0</v>
      </c>
      <c r="AS536" s="467">
        <f t="shared" si="266"/>
        <v>0.4859154929577465</v>
      </c>
      <c r="AT536" s="447">
        <f t="shared" si="267"/>
        <v>0</v>
      </c>
      <c r="AU536" s="448">
        <f t="shared" si="268"/>
        <v>0.52388752388752391</v>
      </c>
      <c r="AV536" s="457"/>
      <c r="AW536" s="450"/>
      <c r="AX536" s="463">
        <v>51</v>
      </c>
      <c r="AY536" s="457">
        <v>485</v>
      </c>
      <c r="AZ536" s="464">
        <v>52</v>
      </c>
      <c r="BA536" s="464">
        <v>515</v>
      </c>
      <c r="BB536" s="465">
        <v>52</v>
      </c>
      <c r="BC536" s="457">
        <v>479</v>
      </c>
      <c r="BD536" s="464">
        <v>51</v>
      </c>
      <c r="BE536" s="466">
        <v>443</v>
      </c>
      <c r="BF536" s="465">
        <v>13</v>
      </c>
      <c r="BG536" s="457">
        <v>252</v>
      </c>
      <c r="BH536" s="464">
        <v>13</v>
      </c>
      <c r="BI536" s="466">
        <v>186</v>
      </c>
      <c r="BJ536" s="465">
        <v>25</v>
      </c>
      <c r="BK536" s="457">
        <v>193</v>
      </c>
      <c r="BL536" s="464">
        <v>25</v>
      </c>
      <c r="BM536" s="466">
        <v>158</v>
      </c>
      <c r="BN536" s="465">
        <v>19</v>
      </c>
      <c r="BO536" s="457">
        <v>43</v>
      </c>
      <c r="BP536" s="464">
        <v>19</v>
      </c>
      <c r="BQ536" s="466">
        <v>55</v>
      </c>
      <c r="BR536" s="465">
        <v>30</v>
      </c>
      <c r="BS536" s="457">
        <v>42</v>
      </c>
      <c r="BT536" s="771">
        <v>30</v>
      </c>
      <c r="BU536" s="772">
        <v>45</v>
      </c>
      <c r="BV536" s="465">
        <v>50</v>
      </c>
      <c r="BW536" s="457">
        <v>32</v>
      </c>
      <c r="BX536" s="464">
        <v>50</v>
      </c>
      <c r="BY536" s="466">
        <v>41</v>
      </c>
      <c r="BZ536" s="465">
        <v>31</v>
      </c>
      <c r="CA536" s="457">
        <v>30</v>
      </c>
      <c r="CB536" s="464">
        <v>31</v>
      </c>
      <c r="CC536" s="466">
        <v>37</v>
      </c>
      <c r="CD536" s="465">
        <v>42</v>
      </c>
      <c r="CE536" s="457">
        <v>18</v>
      </c>
      <c r="CF536" s="464">
        <v>42</v>
      </c>
      <c r="CG536" s="466">
        <v>24</v>
      </c>
      <c r="CH536" s="465">
        <v>45</v>
      </c>
      <c r="CI536" s="457">
        <v>10</v>
      </c>
      <c r="CJ536" s="464">
        <v>5</v>
      </c>
      <c r="CK536" s="466">
        <v>20</v>
      </c>
      <c r="CL536" s="459">
        <v>22</v>
      </c>
      <c r="CM536" s="624">
        <v>34</v>
      </c>
      <c r="CN536" s="468">
        <f t="shared" si="269"/>
        <v>1606</v>
      </c>
      <c r="CO536" s="468">
        <f t="shared" si="270"/>
        <v>10</v>
      </c>
      <c r="CP536" s="469">
        <f t="shared" si="271"/>
        <v>1558</v>
      </c>
      <c r="CQ536" s="469">
        <f t="shared" si="272"/>
        <v>10</v>
      </c>
      <c r="CR536" s="463">
        <v>51</v>
      </c>
      <c r="CS536" s="457">
        <v>43</v>
      </c>
      <c r="CT536" s="625">
        <v>51</v>
      </c>
      <c r="CU536" s="625">
        <v>36</v>
      </c>
      <c r="CV536" s="465">
        <v>42</v>
      </c>
      <c r="CW536" s="457">
        <v>17</v>
      </c>
      <c r="CX536" s="625">
        <v>19</v>
      </c>
      <c r="CY536" s="626">
        <v>10</v>
      </c>
      <c r="CZ536" s="465">
        <v>19</v>
      </c>
      <c r="DA536" s="457">
        <v>9</v>
      </c>
      <c r="DB536" s="625">
        <v>42</v>
      </c>
      <c r="DC536" s="626">
        <v>9</v>
      </c>
      <c r="DD536" s="465">
        <v>31</v>
      </c>
      <c r="DE536" s="457">
        <v>8</v>
      </c>
      <c r="DF536" s="625">
        <v>31</v>
      </c>
      <c r="DG536" s="626">
        <v>8</v>
      </c>
      <c r="DH536" s="465">
        <v>13</v>
      </c>
      <c r="DI536" s="457">
        <v>6</v>
      </c>
      <c r="DJ536" s="625">
        <v>45</v>
      </c>
      <c r="DK536" s="626">
        <v>7</v>
      </c>
      <c r="DL536" s="465">
        <v>23</v>
      </c>
      <c r="DM536" s="457">
        <v>6</v>
      </c>
      <c r="DN536" s="625">
        <v>13</v>
      </c>
      <c r="DO536" s="626">
        <v>5</v>
      </c>
      <c r="DP536" s="465">
        <v>50</v>
      </c>
      <c r="DQ536" s="457">
        <v>4</v>
      </c>
      <c r="DR536" s="625">
        <v>30</v>
      </c>
      <c r="DS536" s="626">
        <v>3</v>
      </c>
      <c r="DT536" s="465">
        <v>30</v>
      </c>
      <c r="DU536" s="457">
        <v>3</v>
      </c>
      <c r="DV536" s="625">
        <v>50</v>
      </c>
      <c r="DW536" s="626">
        <v>3</v>
      </c>
      <c r="DX536" s="465">
        <v>45</v>
      </c>
      <c r="DY536" s="457">
        <v>3</v>
      </c>
      <c r="DZ536" s="625">
        <v>23</v>
      </c>
      <c r="EA536" s="626">
        <v>2</v>
      </c>
      <c r="EB536" s="465">
        <v>25</v>
      </c>
      <c r="EC536" s="457">
        <v>2</v>
      </c>
      <c r="ED536" s="625">
        <v>25</v>
      </c>
      <c r="EE536" s="626">
        <v>2</v>
      </c>
      <c r="EF536" s="459">
        <v>2</v>
      </c>
      <c r="EG536" s="476"/>
      <c r="EH536" s="460">
        <f t="shared" si="273"/>
        <v>103</v>
      </c>
      <c r="EI536" s="460">
        <f t="shared" si="274"/>
        <v>10</v>
      </c>
      <c r="EJ536" s="458">
        <f t="shared" si="275"/>
        <v>0.41747572815533979</v>
      </c>
      <c r="EK536" s="470">
        <f t="shared" si="276"/>
        <v>85</v>
      </c>
      <c r="EL536" s="470">
        <f t="shared" si="277"/>
        <v>10</v>
      </c>
      <c r="EM536" s="449">
        <f t="shared" si="278"/>
        <v>0.42352941176470588</v>
      </c>
      <c r="EN536" s="460">
        <f t="shared" si="279"/>
        <v>1709</v>
      </c>
      <c r="EO536" s="469">
        <f t="shared" si="280"/>
        <v>1643</v>
      </c>
      <c r="EP536" s="471"/>
      <c r="EQ536" s="450"/>
      <c r="ER536" s="471"/>
      <c r="ES536" s="450"/>
      <c r="ET536" s="471"/>
      <c r="EU536" s="450"/>
      <c r="EV536" s="471"/>
      <c r="EW536" s="628"/>
      <c r="EX536" s="471"/>
      <c r="EY536" s="450"/>
      <c r="EZ536" s="471"/>
      <c r="FA536" s="450"/>
      <c r="FB536" s="471"/>
      <c r="FC536" s="450"/>
      <c r="FD536" s="471"/>
      <c r="FE536" s="450"/>
      <c r="FF536" s="471"/>
      <c r="FG536" s="450"/>
      <c r="FH536" s="472">
        <v>116</v>
      </c>
      <c r="FI536" s="629">
        <v>101</v>
      </c>
      <c r="FJ536" s="468">
        <f t="shared" si="281"/>
        <v>116</v>
      </c>
      <c r="FK536" s="469">
        <f t="shared" si="282"/>
        <v>101</v>
      </c>
      <c r="FL536" s="472"/>
      <c r="FM536" s="450"/>
      <c r="FN536" s="460">
        <f t="shared" si="283"/>
        <v>3550</v>
      </c>
      <c r="FO536" s="469">
        <f t="shared" si="284"/>
        <v>3663</v>
      </c>
    </row>
    <row r="537" spans="1:171" x14ac:dyDescent="0.2">
      <c r="A537" s="543" t="s">
        <v>854</v>
      </c>
      <c r="B537" s="544" t="s">
        <v>863</v>
      </c>
      <c r="C537" s="545"/>
      <c r="D537" s="546">
        <v>228796</v>
      </c>
      <c r="E537" s="547">
        <v>2</v>
      </c>
      <c r="F537" s="532"/>
      <c r="G537" s="450"/>
      <c r="H537" s="457"/>
      <c r="I537" s="450"/>
      <c r="J537" s="457"/>
      <c r="K537" s="450"/>
      <c r="L537" s="458">
        <f t="shared" si="261"/>
        <v>0</v>
      </c>
      <c r="M537" s="449">
        <f t="shared" si="262"/>
        <v>0</v>
      </c>
      <c r="N537" s="459">
        <v>3008</v>
      </c>
      <c r="O537" s="459"/>
      <c r="P537" s="459"/>
      <c r="Q537" s="459"/>
      <c r="R537" s="460">
        <f t="shared" si="263"/>
        <v>0</v>
      </c>
      <c r="S537" s="650">
        <v>3132</v>
      </c>
      <c r="T537" s="461"/>
      <c r="U537" s="461"/>
      <c r="V537" s="461"/>
      <c r="W537" s="462">
        <f t="shared" si="264"/>
        <v>0</v>
      </c>
      <c r="X537" s="463"/>
      <c r="Y537" s="457"/>
      <c r="Z537" s="464"/>
      <c r="AA537" s="464"/>
      <c r="AB537" s="465"/>
      <c r="AC537" s="457"/>
      <c r="AD537" s="464"/>
      <c r="AE537" s="466"/>
      <c r="AF537" s="465"/>
      <c r="AG537" s="457"/>
      <c r="AH537" s="464"/>
      <c r="AI537" s="466"/>
      <c r="AJ537" s="465"/>
      <c r="AK537" s="457"/>
      <c r="AL537" s="464"/>
      <c r="AM537" s="466"/>
      <c r="AN537" s="465"/>
      <c r="AO537" s="457"/>
      <c r="AP537" s="464"/>
      <c r="AQ537" s="464"/>
      <c r="AR537" s="460">
        <f t="shared" si="265"/>
        <v>0</v>
      </c>
      <c r="AS537" s="467">
        <f t="shared" si="266"/>
        <v>0.72359874909790711</v>
      </c>
      <c r="AT537" s="447">
        <f t="shared" si="267"/>
        <v>0</v>
      </c>
      <c r="AU537" s="448">
        <f t="shared" si="268"/>
        <v>0.72082853855005757</v>
      </c>
      <c r="AV537" s="457"/>
      <c r="AW537" s="450"/>
      <c r="AX537" s="463">
        <v>13</v>
      </c>
      <c r="AY537" s="457">
        <v>338</v>
      </c>
      <c r="AZ537" s="464">
        <v>13</v>
      </c>
      <c r="BA537" s="464">
        <v>349</v>
      </c>
      <c r="BB537" s="465">
        <v>52</v>
      </c>
      <c r="BC537" s="457">
        <v>167</v>
      </c>
      <c r="BD537" s="464">
        <v>52</v>
      </c>
      <c r="BE537" s="466">
        <v>167</v>
      </c>
      <c r="BF537" s="465">
        <v>14</v>
      </c>
      <c r="BG537" s="457">
        <v>131</v>
      </c>
      <c r="BH537" s="464">
        <v>14</v>
      </c>
      <c r="BI537" s="466">
        <v>155</v>
      </c>
      <c r="BJ537" s="465">
        <v>51</v>
      </c>
      <c r="BK537" s="457">
        <v>95</v>
      </c>
      <c r="BL537" s="464">
        <v>30</v>
      </c>
      <c r="BM537" s="466">
        <v>130</v>
      </c>
      <c r="BN537" s="465">
        <v>30</v>
      </c>
      <c r="BO537" s="457">
        <v>85</v>
      </c>
      <c r="BP537" s="464">
        <v>51</v>
      </c>
      <c r="BQ537" s="466">
        <v>96</v>
      </c>
      <c r="BR537" s="465">
        <v>9</v>
      </c>
      <c r="BS537" s="457">
        <v>43</v>
      </c>
      <c r="BT537" s="771">
        <v>44</v>
      </c>
      <c r="BU537" s="772">
        <v>46</v>
      </c>
      <c r="BV537" s="465">
        <v>23</v>
      </c>
      <c r="BW537" s="457">
        <v>30</v>
      </c>
      <c r="BX537" s="464">
        <v>23</v>
      </c>
      <c r="BY537" s="466">
        <v>31</v>
      </c>
      <c r="BZ537" s="465">
        <v>11</v>
      </c>
      <c r="CA537" s="457">
        <v>25</v>
      </c>
      <c r="CB537" s="464">
        <v>9</v>
      </c>
      <c r="CC537" s="466">
        <v>23</v>
      </c>
      <c r="CD537" s="465">
        <v>27</v>
      </c>
      <c r="CE537" s="457">
        <v>20</v>
      </c>
      <c r="CF537" s="464">
        <v>27</v>
      </c>
      <c r="CG537" s="466">
        <v>18</v>
      </c>
      <c r="CH537" s="465">
        <v>44</v>
      </c>
      <c r="CI537" s="457">
        <v>19</v>
      </c>
      <c r="CJ537" s="464">
        <v>11</v>
      </c>
      <c r="CK537" s="466">
        <v>16</v>
      </c>
      <c r="CL537" s="459">
        <v>118</v>
      </c>
      <c r="CM537" s="624">
        <v>103</v>
      </c>
      <c r="CN537" s="468">
        <f t="shared" si="269"/>
        <v>1071</v>
      </c>
      <c r="CO537" s="468">
        <f t="shared" si="270"/>
        <v>10</v>
      </c>
      <c r="CP537" s="469">
        <f t="shared" si="271"/>
        <v>1134</v>
      </c>
      <c r="CQ537" s="469">
        <f t="shared" si="272"/>
        <v>10</v>
      </c>
      <c r="CR537" s="463">
        <v>14</v>
      </c>
      <c r="CS537" s="457">
        <v>21</v>
      </c>
      <c r="CT537" s="625">
        <v>14</v>
      </c>
      <c r="CU537" s="625">
        <v>24</v>
      </c>
      <c r="CV537" s="465">
        <v>40</v>
      </c>
      <c r="CW537" s="457">
        <v>9</v>
      </c>
      <c r="CX537" s="625">
        <v>13</v>
      </c>
      <c r="CY537" s="626">
        <v>8</v>
      </c>
      <c r="CZ537" s="465">
        <v>42</v>
      </c>
      <c r="DA537" s="457">
        <v>8</v>
      </c>
      <c r="DB537" s="625">
        <v>40</v>
      </c>
      <c r="DC537" s="626">
        <v>7</v>
      </c>
      <c r="DD537" s="465">
        <v>26</v>
      </c>
      <c r="DE537" s="457">
        <v>7</v>
      </c>
      <c r="DF537" s="625">
        <v>26</v>
      </c>
      <c r="DG537" s="626">
        <v>5</v>
      </c>
      <c r="DH537" s="465">
        <v>54</v>
      </c>
      <c r="DI537" s="457">
        <v>5</v>
      </c>
      <c r="DJ537" s="625">
        <v>52</v>
      </c>
      <c r="DK537" s="626">
        <v>5</v>
      </c>
      <c r="DL537" s="465">
        <v>23</v>
      </c>
      <c r="DM537" s="457">
        <v>4</v>
      </c>
      <c r="DN537" s="625">
        <v>42</v>
      </c>
      <c r="DO537" s="626">
        <v>4</v>
      </c>
      <c r="DP537" s="465">
        <v>51</v>
      </c>
      <c r="DQ537" s="457">
        <v>4</v>
      </c>
      <c r="DR537" s="625">
        <v>54</v>
      </c>
      <c r="DS537" s="626">
        <v>4</v>
      </c>
      <c r="DT537" s="465">
        <v>13</v>
      </c>
      <c r="DU537" s="457">
        <v>3</v>
      </c>
      <c r="DV537" s="625">
        <v>23</v>
      </c>
      <c r="DW537" s="626">
        <v>3</v>
      </c>
      <c r="DX537" s="465">
        <v>52</v>
      </c>
      <c r="DY537" s="457">
        <v>2</v>
      </c>
      <c r="DZ537" s="625">
        <v>51</v>
      </c>
      <c r="EA537" s="626">
        <v>3</v>
      </c>
      <c r="EB537" s="465">
        <v>11</v>
      </c>
      <c r="EC537" s="457">
        <v>1</v>
      </c>
      <c r="ED537" s="625">
        <v>11</v>
      </c>
      <c r="EE537" s="626">
        <v>2</v>
      </c>
      <c r="EF537" s="459"/>
      <c r="EG537" s="627">
        <v>1</v>
      </c>
      <c r="EH537" s="460">
        <f t="shared" si="273"/>
        <v>64</v>
      </c>
      <c r="EI537" s="460">
        <f t="shared" si="274"/>
        <v>10</v>
      </c>
      <c r="EJ537" s="458">
        <f t="shared" si="275"/>
        <v>0.328125</v>
      </c>
      <c r="EK537" s="470">
        <f t="shared" si="276"/>
        <v>66</v>
      </c>
      <c r="EL537" s="470">
        <f t="shared" si="277"/>
        <v>10</v>
      </c>
      <c r="EM537" s="449">
        <f t="shared" si="278"/>
        <v>0.36363636363636365</v>
      </c>
      <c r="EN537" s="460">
        <f t="shared" si="279"/>
        <v>1135</v>
      </c>
      <c r="EO537" s="469">
        <f t="shared" si="280"/>
        <v>1200</v>
      </c>
      <c r="EP537" s="471"/>
      <c r="EQ537" s="450"/>
      <c r="ER537" s="471"/>
      <c r="ES537" s="450"/>
      <c r="ET537" s="471"/>
      <c r="EU537" s="450"/>
      <c r="EV537" s="471"/>
      <c r="EW537" s="628"/>
      <c r="EX537" s="471"/>
      <c r="EY537" s="450"/>
      <c r="EZ537" s="471"/>
      <c r="FA537" s="450"/>
      <c r="FB537" s="471"/>
      <c r="FC537" s="450"/>
      <c r="FD537" s="471"/>
      <c r="FE537" s="450"/>
      <c r="FF537" s="471"/>
      <c r="FG537" s="450"/>
      <c r="FH537" s="472">
        <v>14</v>
      </c>
      <c r="FI537" s="629">
        <v>13</v>
      </c>
      <c r="FJ537" s="468">
        <f t="shared" si="281"/>
        <v>14</v>
      </c>
      <c r="FK537" s="469">
        <f t="shared" si="282"/>
        <v>13</v>
      </c>
      <c r="FL537" s="472"/>
      <c r="FM537" s="450"/>
      <c r="FN537" s="460">
        <f t="shared" si="283"/>
        <v>4157</v>
      </c>
      <c r="FO537" s="469">
        <f t="shared" si="284"/>
        <v>4345</v>
      </c>
    </row>
    <row r="538" spans="1:171" x14ac:dyDescent="0.2">
      <c r="A538" s="543" t="s">
        <v>854</v>
      </c>
      <c r="B538" s="544" t="s">
        <v>864</v>
      </c>
      <c r="C538" s="545"/>
      <c r="D538" s="546">
        <v>229027</v>
      </c>
      <c r="E538" s="547">
        <v>2</v>
      </c>
      <c r="F538" s="532"/>
      <c r="G538" s="450"/>
      <c r="H538" s="457"/>
      <c r="I538" s="450"/>
      <c r="J538" s="457"/>
      <c r="K538" s="450"/>
      <c r="L538" s="458">
        <f t="shared" si="261"/>
        <v>0</v>
      </c>
      <c r="M538" s="449">
        <f t="shared" si="262"/>
        <v>0</v>
      </c>
      <c r="N538" s="459">
        <v>4148</v>
      </c>
      <c r="O538" s="459"/>
      <c r="P538" s="459"/>
      <c r="Q538" s="459"/>
      <c r="R538" s="460">
        <f t="shared" si="263"/>
        <v>0</v>
      </c>
      <c r="S538" s="650">
        <v>4243</v>
      </c>
      <c r="T538" s="461"/>
      <c r="U538" s="461"/>
      <c r="V538" s="461"/>
      <c r="W538" s="462">
        <f t="shared" si="264"/>
        <v>0</v>
      </c>
      <c r="X538" s="463"/>
      <c r="Y538" s="457"/>
      <c r="Z538" s="464"/>
      <c r="AA538" s="464"/>
      <c r="AB538" s="465"/>
      <c r="AC538" s="457"/>
      <c r="AD538" s="464"/>
      <c r="AE538" s="466"/>
      <c r="AF538" s="465"/>
      <c r="AG538" s="457"/>
      <c r="AH538" s="464"/>
      <c r="AI538" s="466"/>
      <c r="AJ538" s="465"/>
      <c r="AK538" s="457"/>
      <c r="AL538" s="464"/>
      <c r="AM538" s="466"/>
      <c r="AN538" s="465"/>
      <c r="AO538" s="457"/>
      <c r="AP538" s="464"/>
      <c r="AQ538" s="464"/>
      <c r="AR538" s="460">
        <f t="shared" si="265"/>
        <v>0</v>
      </c>
      <c r="AS538" s="467">
        <f t="shared" si="266"/>
        <v>0.79417959027378904</v>
      </c>
      <c r="AT538" s="447">
        <f t="shared" si="267"/>
        <v>0</v>
      </c>
      <c r="AU538" s="448">
        <f t="shared" si="268"/>
        <v>0.77271899471863048</v>
      </c>
      <c r="AV538" s="457"/>
      <c r="AW538" s="450"/>
      <c r="AX538" s="463">
        <v>13</v>
      </c>
      <c r="AY538" s="457">
        <v>326</v>
      </c>
      <c r="AZ538" s="464">
        <v>13</v>
      </c>
      <c r="BA538" s="464">
        <v>382</v>
      </c>
      <c r="BB538" s="465">
        <v>52</v>
      </c>
      <c r="BC538" s="457">
        <v>183</v>
      </c>
      <c r="BD538" s="464">
        <v>52</v>
      </c>
      <c r="BE538" s="466">
        <v>214</v>
      </c>
      <c r="BF538" s="465">
        <v>14</v>
      </c>
      <c r="BG538" s="457">
        <v>106</v>
      </c>
      <c r="BH538" s="464">
        <v>44</v>
      </c>
      <c r="BI538" s="466">
        <v>89</v>
      </c>
      <c r="BJ538" s="465">
        <v>44</v>
      </c>
      <c r="BK538" s="457">
        <v>74</v>
      </c>
      <c r="BL538" s="464">
        <v>14</v>
      </c>
      <c r="BM538" s="466">
        <v>85</v>
      </c>
      <c r="BN538" s="465">
        <v>26</v>
      </c>
      <c r="BO538" s="457">
        <v>62</v>
      </c>
      <c r="BP538" s="464">
        <v>26</v>
      </c>
      <c r="BQ538" s="466">
        <v>57</v>
      </c>
      <c r="BR538" s="465">
        <v>4</v>
      </c>
      <c r="BS538" s="457">
        <v>41</v>
      </c>
      <c r="BT538" s="771">
        <v>11</v>
      </c>
      <c r="BU538" s="772">
        <v>48</v>
      </c>
      <c r="BV538" s="465">
        <v>45</v>
      </c>
      <c r="BW538" s="457">
        <v>40</v>
      </c>
      <c r="BX538" s="464">
        <v>31</v>
      </c>
      <c r="BY538" s="466">
        <v>48</v>
      </c>
      <c r="BZ538" s="465">
        <v>54</v>
      </c>
      <c r="CA538" s="457">
        <v>28</v>
      </c>
      <c r="CB538" s="464">
        <v>4</v>
      </c>
      <c r="CC538" s="466">
        <v>41</v>
      </c>
      <c r="CD538" s="465">
        <v>31</v>
      </c>
      <c r="CE538" s="457">
        <v>21</v>
      </c>
      <c r="CF538" s="464">
        <v>27</v>
      </c>
      <c r="CG538" s="466">
        <v>33</v>
      </c>
      <c r="CH538" s="465">
        <v>11</v>
      </c>
      <c r="CI538" s="457">
        <v>19</v>
      </c>
      <c r="CJ538" s="464">
        <v>45</v>
      </c>
      <c r="CK538" s="466">
        <v>32</v>
      </c>
      <c r="CL538" s="459">
        <v>107</v>
      </c>
      <c r="CM538" s="624">
        <v>140</v>
      </c>
      <c r="CN538" s="468">
        <f t="shared" si="269"/>
        <v>1007</v>
      </c>
      <c r="CO538" s="468">
        <f t="shared" si="270"/>
        <v>10</v>
      </c>
      <c r="CP538" s="469">
        <f t="shared" si="271"/>
        <v>1169</v>
      </c>
      <c r="CQ538" s="469">
        <f t="shared" si="272"/>
        <v>10</v>
      </c>
      <c r="CR538" s="463">
        <v>14</v>
      </c>
      <c r="CS538" s="457">
        <v>12</v>
      </c>
      <c r="CT538" s="625">
        <v>13</v>
      </c>
      <c r="CU538" s="625">
        <v>19</v>
      </c>
      <c r="CV538" s="465">
        <v>45</v>
      </c>
      <c r="CW538" s="457">
        <v>12</v>
      </c>
      <c r="CX538" s="625">
        <v>14</v>
      </c>
      <c r="CY538" s="626">
        <v>17</v>
      </c>
      <c r="CZ538" s="465">
        <v>13</v>
      </c>
      <c r="DA538" s="457">
        <v>11</v>
      </c>
      <c r="DB538" s="625">
        <v>45</v>
      </c>
      <c r="DC538" s="626">
        <v>11</v>
      </c>
      <c r="DD538" s="465">
        <v>52</v>
      </c>
      <c r="DE538" s="457">
        <v>10</v>
      </c>
      <c r="DF538" s="625">
        <v>52</v>
      </c>
      <c r="DG538" s="626">
        <v>11</v>
      </c>
      <c r="DH538" s="465">
        <v>26</v>
      </c>
      <c r="DI538" s="457">
        <v>8</v>
      </c>
      <c r="DJ538" s="625">
        <v>26</v>
      </c>
      <c r="DK538" s="626">
        <v>7</v>
      </c>
      <c r="DL538" s="465">
        <v>11</v>
      </c>
      <c r="DM538" s="457">
        <v>5</v>
      </c>
      <c r="DN538" s="625">
        <v>23</v>
      </c>
      <c r="DO538" s="626">
        <v>4</v>
      </c>
      <c r="DP538" s="465">
        <v>40</v>
      </c>
      <c r="DQ538" s="457">
        <v>5</v>
      </c>
      <c r="DR538" s="625">
        <v>27</v>
      </c>
      <c r="DS538" s="626">
        <v>4</v>
      </c>
      <c r="DT538" s="465">
        <v>23</v>
      </c>
      <c r="DU538" s="457">
        <v>4</v>
      </c>
      <c r="DV538" s="625">
        <v>11</v>
      </c>
      <c r="DW538" s="626">
        <v>3</v>
      </c>
      <c r="DX538" s="465">
        <v>27</v>
      </c>
      <c r="DY538" s="457">
        <v>1</v>
      </c>
      <c r="DZ538" s="625">
        <v>40</v>
      </c>
      <c r="EA538" s="626">
        <v>3</v>
      </c>
      <c r="EB538" s="465"/>
      <c r="EC538" s="457"/>
      <c r="ED538" s="625"/>
      <c r="EE538" s="626"/>
      <c r="EF538" s="459"/>
      <c r="EG538" s="450"/>
      <c r="EH538" s="460">
        <f t="shared" si="273"/>
        <v>68</v>
      </c>
      <c r="EI538" s="460">
        <f t="shared" si="274"/>
        <v>9</v>
      </c>
      <c r="EJ538" s="458">
        <f t="shared" si="275"/>
        <v>0.17647058823529413</v>
      </c>
      <c r="EK538" s="470">
        <f t="shared" si="276"/>
        <v>79</v>
      </c>
      <c r="EL538" s="470">
        <f t="shared" si="277"/>
        <v>9</v>
      </c>
      <c r="EM538" s="449">
        <f t="shared" si="278"/>
        <v>0.24050632911392406</v>
      </c>
      <c r="EN538" s="460">
        <f t="shared" si="279"/>
        <v>1075</v>
      </c>
      <c r="EO538" s="469">
        <f t="shared" si="280"/>
        <v>1248</v>
      </c>
      <c r="EP538" s="471"/>
      <c r="EQ538" s="450"/>
      <c r="ER538" s="471"/>
      <c r="ES538" s="450"/>
      <c r="ET538" s="471"/>
      <c r="EU538" s="450"/>
      <c r="EV538" s="471"/>
      <c r="EW538" s="628"/>
      <c r="EX538" s="471"/>
      <c r="EY538" s="450"/>
      <c r="EZ538" s="471"/>
      <c r="FA538" s="450"/>
      <c r="FB538" s="471"/>
      <c r="FC538" s="450"/>
      <c r="FD538" s="471"/>
      <c r="FE538" s="450"/>
      <c r="FF538" s="471"/>
      <c r="FG538" s="450"/>
      <c r="FH538" s="472"/>
      <c r="FI538" s="179"/>
      <c r="FJ538" s="468">
        <f t="shared" si="281"/>
        <v>0</v>
      </c>
      <c r="FK538" s="469">
        <f t="shared" si="282"/>
        <v>0</v>
      </c>
      <c r="FL538" s="472"/>
      <c r="FM538" s="450"/>
      <c r="FN538" s="460">
        <f t="shared" si="283"/>
        <v>5223</v>
      </c>
      <c r="FO538" s="469">
        <f t="shared" si="284"/>
        <v>5491</v>
      </c>
    </row>
    <row r="539" spans="1:171" x14ac:dyDescent="0.2">
      <c r="A539" s="543" t="s">
        <v>854</v>
      </c>
      <c r="B539" s="544" t="s">
        <v>865</v>
      </c>
      <c r="C539" s="545"/>
      <c r="D539" s="546">
        <v>222831</v>
      </c>
      <c r="E539" s="547">
        <v>3</v>
      </c>
      <c r="F539" s="532"/>
      <c r="G539" s="450"/>
      <c r="H539" s="457"/>
      <c r="I539" s="450"/>
      <c r="J539" s="457">
        <v>155</v>
      </c>
      <c r="K539" s="627">
        <v>141</v>
      </c>
      <c r="L539" s="458">
        <f t="shared" si="261"/>
        <v>0.19254658385093168</v>
      </c>
      <c r="M539" s="449">
        <f t="shared" si="262"/>
        <v>0.15128755364806867</v>
      </c>
      <c r="N539" s="459">
        <v>805</v>
      </c>
      <c r="O539" s="459"/>
      <c r="P539" s="459"/>
      <c r="Q539" s="459"/>
      <c r="R539" s="460">
        <f t="shared" si="263"/>
        <v>0</v>
      </c>
      <c r="S539" s="650">
        <v>932</v>
      </c>
      <c r="T539" s="461"/>
      <c r="U539" s="461"/>
      <c r="V539" s="461"/>
      <c r="W539" s="462">
        <f t="shared" si="264"/>
        <v>0</v>
      </c>
      <c r="X539" s="463"/>
      <c r="Y539" s="457"/>
      <c r="Z539" s="464"/>
      <c r="AA539" s="464"/>
      <c r="AB539" s="465"/>
      <c r="AC539" s="457"/>
      <c r="AD539" s="464"/>
      <c r="AE539" s="466"/>
      <c r="AF539" s="465"/>
      <c r="AG539" s="457"/>
      <c r="AH539" s="464"/>
      <c r="AI539" s="466"/>
      <c r="AJ539" s="465"/>
      <c r="AK539" s="457"/>
      <c r="AL539" s="464"/>
      <c r="AM539" s="466"/>
      <c r="AN539" s="465"/>
      <c r="AO539" s="457"/>
      <c r="AP539" s="464"/>
      <c r="AQ539" s="464"/>
      <c r="AR539" s="460">
        <f t="shared" si="265"/>
        <v>0</v>
      </c>
      <c r="AS539" s="467">
        <f t="shared" si="266"/>
        <v>0.7018308631211857</v>
      </c>
      <c r="AT539" s="447">
        <f t="shared" si="267"/>
        <v>0</v>
      </c>
      <c r="AU539" s="448">
        <f t="shared" si="268"/>
        <v>0.6939687267311988</v>
      </c>
      <c r="AV539" s="457"/>
      <c r="AW539" s="450"/>
      <c r="AX539" s="463">
        <v>13</v>
      </c>
      <c r="AY539" s="457">
        <v>84</v>
      </c>
      <c r="AZ539" s="464">
        <v>13</v>
      </c>
      <c r="BA539" s="464">
        <v>122</v>
      </c>
      <c r="BB539" s="465">
        <v>51</v>
      </c>
      <c r="BC539" s="457">
        <v>26</v>
      </c>
      <c r="BD539" s="464">
        <v>52</v>
      </c>
      <c r="BE539" s="466">
        <v>32</v>
      </c>
      <c r="BF539" s="465">
        <v>52</v>
      </c>
      <c r="BG539" s="457">
        <v>21</v>
      </c>
      <c r="BH539" s="464">
        <v>42</v>
      </c>
      <c r="BI539" s="466">
        <v>25</v>
      </c>
      <c r="BJ539" s="465">
        <v>42</v>
      </c>
      <c r="BK539" s="457">
        <v>16</v>
      </c>
      <c r="BL539" s="464">
        <v>51</v>
      </c>
      <c r="BM539" s="466">
        <v>16</v>
      </c>
      <c r="BN539" s="465">
        <v>1</v>
      </c>
      <c r="BO539" s="457">
        <v>9</v>
      </c>
      <c r="BP539" s="464">
        <v>31</v>
      </c>
      <c r="BQ539" s="466">
        <v>13</v>
      </c>
      <c r="BR539" s="465">
        <v>31</v>
      </c>
      <c r="BS539" s="457">
        <v>9</v>
      </c>
      <c r="BT539" s="771">
        <v>1</v>
      </c>
      <c r="BU539" s="772">
        <v>11</v>
      </c>
      <c r="BV539" s="465">
        <v>9</v>
      </c>
      <c r="BW539" s="457">
        <v>6</v>
      </c>
      <c r="BX539" s="464">
        <v>9</v>
      </c>
      <c r="BY539" s="466">
        <v>10</v>
      </c>
      <c r="BZ539" s="465">
        <v>23</v>
      </c>
      <c r="CA539" s="457">
        <v>5</v>
      </c>
      <c r="CB539" s="464">
        <v>26</v>
      </c>
      <c r="CC539" s="466">
        <v>8</v>
      </c>
      <c r="CD539" s="465">
        <v>26</v>
      </c>
      <c r="CE539" s="457">
        <v>4</v>
      </c>
      <c r="CF539" s="464">
        <v>23</v>
      </c>
      <c r="CG539" s="466">
        <v>5</v>
      </c>
      <c r="CH539" s="465">
        <v>44</v>
      </c>
      <c r="CI539" s="457">
        <v>3</v>
      </c>
      <c r="CJ539" s="464">
        <v>44</v>
      </c>
      <c r="CK539" s="466">
        <v>3</v>
      </c>
      <c r="CL539" s="459">
        <v>4</v>
      </c>
      <c r="CM539" s="624">
        <v>6</v>
      </c>
      <c r="CN539" s="468">
        <f t="shared" si="269"/>
        <v>187</v>
      </c>
      <c r="CO539" s="468">
        <f t="shared" si="270"/>
        <v>10</v>
      </c>
      <c r="CP539" s="469">
        <f t="shared" si="271"/>
        <v>251</v>
      </c>
      <c r="CQ539" s="469">
        <f t="shared" si="272"/>
        <v>10</v>
      </c>
      <c r="CR539" s="463"/>
      <c r="CS539" s="457"/>
      <c r="CT539" s="753"/>
      <c r="CU539" s="753"/>
      <c r="CV539" s="465"/>
      <c r="CW539" s="457"/>
      <c r="CX539" s="753"/>
      <c r="CY539" s="761"/>
      <c r="CZ539" s="465"/>
      <c r="DA539" s="457"/>
      <c r="DB539" s="625"/>
      <c r="DC539" s="626"/>
      <c r="DD539" s="465"/>
      <c r="DE539" s="457"/>
      <c r="DF539" s="625"/>
      <c r="DG539" s="626"/>
      <c r="DH539" s="465"/>
      <c r="DI539" s="457"/>
      <c r="DJ539" s="464"/>
      <c r="DK539" s="466"/>
      <c r="DL539" s="465"/>
      <c r="DM539" s="457"/>
      <c r="DN539" s="464"/>
      <c r="DO539" s="466"/>
      <c r="DP539" s="465"/>
      <c r="DQ539" s="457"/>
      <c r="DR539" s="464"/>
      <c r="DS539" s="466"/>
      <c r="DT539" s="465"/>
      <c r="DU539" s="457"/>
      <c r="DV539" s="464"/>
      <c r="DW539" s="466"/>
      <c r="DX539" s="465"/>
      <c r="DY539" s="457"/>
      <c r="DZ539" s="625"/>
      <c r="EA539" s="626"/>
      <c r="EB539" s="465"/>
      <c r="EC539" s="457"/>
      <c r="ED539" s="464"/>
      <c r="EE539" s="466"/>
      <c r="EF539" s="459"/>
      <c r="EG539" s="450"/>
      <c r="EH539" s="460">
        <f t="shared" si="273"/>
        <v>0</v>
      </c>
      <c r="EI539" s="460">
        <f t="shared" si="274"/>
        <v>0</v>
      </c>
      <c r="EJ539" s="458">
        <f t="shared" si="275"/>
        <v>0</v>
      </c>
      <c r="EK539" s="470">
        <f t="shared" si="276"/>
        <v>0</v>
      </c>
      <c r="EL539" s="470">
        <f t="shared" si="277"/>
        <v>0</v>
      </c>
      <c r="EM539" s="449">
        <f t="shared" si="278"/>
        <v>0</v>
      </c>
      <c r="EN539" s="460">
        <f t="shared" si="279"/>
        <v>187</v>
      </c>
      <c r="EO539" s="469">
        <f t="shared" si="280"/>
        <v>251</v>
      </c>
      <c r="EP539" s="471"/>
      <c r="EQ539" s="450"/>
      <c r="ER539" s="471"/>
      <c r="ES539" s="450"/>
      <c r="ET539" s="471"/>
      <c r="EU539" s="450"/>
      <c r="EV539" s="471"/>
      <c r="EW539" s="628"/>
      <c r="EX539" s="471"/>
      <c r="EY539" s="450"/>
      <c r="EZ539" s="471"/>
      <c r="FA539" s="450"/>
      <c r="FB539" s="471"/>
      <c r="FC539" s="450"/>
      <c r="FD539" s="471"/>
      <c r="FE539" s="450"/>
      <c r="FF539" s="471"/>
      <c r="FG539" s="450"/>
      <c r="FH539" s="472"/>
      <c r="FI539" s="629">
        <v>19</v>
      </c>
      <c r="FJ539" s="468">
        <f t="shared" si="281"/>
        <v>0</v>
      </c>
      <c r="FK539" s="469">
        <f t="shared" si="282"/>
        <v>19</v>
      </c>
      <c r="FL539" s="472"/>
      <c r="FM539" s="450"/>
      <c r="FN539" s="460">
        <f t="shared" si="283"/>
        <v>1147</v>
      </c>
      <c r="FO539" s="469">
        <f t="shared" si="284"/>
        <v>1343</v>
      </c>
    </row>
    <row r="540" spans="1:171" x14ac:dyDescent="0.2">
      <c r="A540" s="543" t="s">
        <v>854</v>
      </c>
      <c r="B540" s="544" t="s">
        <v>866</v>
      </c>
      <c r="C540" s="545"/>
      <c r="D540" s="546">
        <v>226091</v>
      </c>
      <c r="E540" s="547">
        <v>3</v>
      </c>
      <c r="F540" s="532"/>
      <c r="G540" s="450"/>
      <c r="H540" s="457"/>
      <c r="I540" s="450"/>
      <c r="J540" s="457">
        <v>42</v>
      </c>
      <c r="K540" s="627">
        <v>27</v>
      </c>
      <c r="L540" s="458">
        <f t="shared" si="261"/>
        <v>3.2357473035439135E-2</v>
      </c>
      <c r="M540" s="449">
        <f t="shared" si="262"/>
        <v>1.9955654101995565E-2</v>
      </c>
      <c r="N540" s="459">
        <v>1298</v>
      </c>
      <c r="O540" s="459"/>
      <c r="P540" s="459"/>
      <c r="Q540" s="459"/>
      <c r="R540" s="460">
        <f t="shared" si="263"/>
        <v>0</v>
      </c>
      <c r="S540" s="650">
        <v>1353</v>
      </c>
      <c r="T540" s="461"/>
      <c r="U540" s="461"/>
      <c r="V540" s="461"/>
      <c r="W540" s="462">
        <f t="shared" si="264"/>
        <v>0</v>
      </c>
      <c r="X540" s="463"/>
      <c r="Y540" s="457"/>
      <c r="Z540" s="464"/>
      <c r="AA540" s="464"/>
      <c r="AB540" s="465"/>
      <c r="AC540" s="457"/>
      <c r="AD540" s="464"/>
      <c r="AE540" s="466"/>
      <c r="AF540" s="465"/>
      <c r="AG540" s="457"/>
      <c r="AH540" s="464"/>
      <c r="AI540" s="466"/>
      <c r="AJ540" s="465"/>
      <c r="AK540" s="457"/>
      <c r="AL540" s="464"/>
      <c r="AM540" s="466"/>
      <c r="AN540" s="465"/>
      <c r="AO540" s="457"/>
      <c r="AP540" s="464"/>
      <c r="AQ540" s="464"/>
      <c r="AR540" s="460">
        <f t="shared" si="265"/>
        <v>0</v>
      </c>
      <c r="AS540" s="467">
        <f t="shared" si="266"/>
        <v>0.35223880597014923</v>
      </c>
      <c r="AT540" s="447">
        <f t="shared" si="267"/>
        <v>0</v>
      </c>
      <c r="AU540" s="448">
        <f t="shared" si="268"/>
        <v>0.44950166112956813</v>
      </c>
      <c r="AV540" s="457"/>
      <c r="AW540" s="450"/>
      <c r="AX540" s="463">
        <v>13</v>
      </c>
      <c r="AY540" s="457">
        <v>1841</v>
      </c>
      <c r="AZ540" s="464">
        <v>13</v>
      </c>
      <c r="BA540" s="464">
        <v>1233</v>
      </c>
      <c r="BB540" s="465">
        <v>14</v>
      </c>
      <c r="BC540" s="457">
        <v>250</v>
      </c>
      <c r="BD540" s="464">
        <v>14</v>
      </c>
      <c r="BE540" s="466">
        <v>121</v>
      </c>
      <c r="BF540" s="465">
        <v>52</v>
      </c>
      <c r="BG540" s="457">
        <v>71</v>
      </c>
      <c r="BH540" s="464">
        <v>52</v>
      </c>
      <c r="BI540" s="466">
        <v>83</v>
      </c>
      <c r="BJ540" s="465">
        <v>42</v>
      </c>
      <c r="BK540" s="457">
        <v>29</v>
      </c>
      <c r="BL540" s="464">
        <v>51</v>
      </c>
      <c r="BM540" s="466">
        <v>31</v>
      </c>
      <c r="BN540" s="465">
        <v>51</v>
      </c>
      <c r="BO540" s="457">
        <v>27</v>
      </c>
      <c r="BP540" s="464">
        <v>42</v>
      </c>
      <c r="BQ540" s="466">
        <v>24</v>
      </c>
      <c r="BR540" s="465">
        <v>40</v>
      </c>
      <c r="BS540" s="457">
        <v>20</v>
      </c>
      <c r="BT540" s="771">
        <v>40</v>
      </c>
      <c r="BU540" s="772">
        <v>19</v>
      </c>
      <c r="BV540" s="465">
        <v>11</v>
      </c>
      <c r="BW540" s="457">
        <v>13</v>
      </c>
      <c r="BX540" s="464">
        <v>11</v>
      </c>
      <c r="BY540" s="466">
        <v>15</v>
      </c>
      <c r="BZ540" s="465">
        <v>23</v>
      </c>
      <c r="CA540" s="457">
        <v>12</v>
      </c>
      <c r="CB540" s="464">
        <v>19</v>
      </c>
      <c r="CC540" s="466">
        <v>13</v>
      </c>
      <c r="CD540" s="465">
        <v>19</v>
      </c>
      <c r="CE540" s="457">
        <v>9</v>
      </c>
      <c r="CF540" s="464">
        <v>31</v>
      </c>
      <c r="CG540" s="466">
        <v>10</v>
      </c>
      <c r="CH540" s="465">
        <v>31</v>
      </c>
      <c r="CI540" s="457">
        <v>9</v>
      </c>
      <c r="CJ540" s="464">
        <v>23</v>
      </c>
      <c r="CK540" s="466">
        <v>8</v>
      </c>
      <c r="CL540" s="459">
        <v>32</v>
      </c>
      <c r="CM540" s="624">
        <v>36</v>
      </c>
      <c r="CN540" s="468">
        <f t="shared" si="269"/>
        <v>2313</v>
      </c>
      <c r="CO540" s="468">
        <f t="shared" si="270"/>
        <v>10</v>
      </c>
      <c r="CP540" s="469">
        <f t="shared" si="271"/>
        <v>1593</v>
      </c>
      <c r="CQ540" s="469">
        <f t="shared" si="272"/>
        <v>10</v>
      </c>
      <c r="CR540" s="463">
        <v>13</v>
      </c>
      <c r="CS540" s="457">
        <v>21</v>
      </c>
      <c r="CT540" s="625">
        <v>13</v>
      </c>
      <c r="CU540" s="625">
        <v>21</v>
      </c>
      <c r="CV540" s="465">
        <v>14</v>
      </c>
      <c r="CW540" s="457">
        <v>10</v>
      </c>
      <c r="CX540" s="625">
        <v>14</v>
      </c>
      <c r="CY540" s="626">
        <v>7</v>
      </c>
      <c r="CZ540" s="465">
        <v>0</v>
      </c>
      <c r="DA540" s="457"/>
      <c r="DB540" s="625"/>
      <c r="DC540" s="626"/>
      <c r="DD540" s="465"/>
      <c r="DE540" s="457"/>
      <c r="DF540" s="625"/>
      <c r="DG540" s="626"/>
      <c r="DH540" s="465"/>
      <c r="DI540" s="457"/>
      <c r="DJ540" s="464"/>
      <c r="DK540" s="466"/>
      <c r="DL540" s="465"/>
      <c r="DM540" s="457"/>
      <c r="DN540" s="464"/>
      <c r="DO540" s="466"/>
      <c r="DP540" s="465"/>
      <c r="DQ540" s="457"/>
      <c r="DR540" s="464"/>
      <c r="DS540" s="466"/>
      <c r="DT540" s="465"/>
      <c r="DU540" s="457"/>
      <c r="DV540" s="464"/>
      <c r="DW540" s="466"/>
      <c r="DX540" s="465"/>
      <c r="DY540" s="457"/>
      <c r="DZ540" s="464"/>
      <c r="EA540" s="466"/>
      <c r="EB540" s="465"/>
      <c r="EC540" s="457"/>
      <c r="ED540" s="464"/>
      <c r="EE540" s="466"/>
      <c r="EF540" s="459"/>
      <c r="EG540" s="450"/>
      <c r="EH540" s="460">
        <f t="shared" si="273"/>
        <v>31</v>
      </c>
      <c r="EI540" s="460">
        <f t="shared" si="274"/>
        <v>3</v>
      </c>
      <c r="EJ540" s="458">
        <f t="shared" si="275"/>
        <v>0.67741935483870963</v>
      </c>
      <c r="EK540" s="470">
        <f t="shared" si="276"/>
        <v>28</v>
      </c>
      <c r="EL540" s="470">
        <f t="shared" si="277"/>
        <v>2</v>
      </c>
      <c r="EM540" s="449">
        <f t="shared" si="278"/>
        <v>0.75</v>
      </c>
      <c r="EN540" s="460">
        <f t="shared" si="279"/>
        <v>2344</v>
      </c>
      <c r="EO540" s="469">
        <f t="shared" si="280"/>
        <v>1621</v>
      </c>
      <c r="EP540" s="471"/>
      <c r="EQ540" s="450"/>
      <c r="ER540" s="471"/>
      <c r="ES540" s="450"/>
      <c r="ET540" s="471"/>
      <c r="EU540" s="450"/>
      <c r="EV540" s="471"/>
      <c r="EW540" s="628"/>
      <c r="EX540" s="471"/>
      <c r="EY540" s="450"/>
      <c r="EZ540" s="471"/>
      <c r="FA540" s="450"/>
      <c r="FB540" s="471"/>
      <c r="FC540" s="450"/>
      <c r="FD540" s="471"/>
      <c r="FE540" s="450"/>
      <c r="FF540" s="471"/>
      <c r="FG540" s="450"/>
      <c r="FH540" s="472">
        <v>1</v>
      </c>
      <c r="FI540" s="630">
        <v>9</v>
      </c>
      <c r="FJ540" s="468">
        <f t="shared" si="281"/>
        <v>1</v>
      </c>
      <c r="FK540" s="469">
        <f t="shared" si="282"/>
        <v>9</v>
      </c>
      <c r="FL540" s="472"/>
      <c r="FM540" s="450"/>
      <c r="FN540" s="460">
        <f t="shared" si="283"/>
        <v>3685</v>
      </c>
      <c r="FO540" s="469">
        <f t="shared" si="284"/>
        <v>3010</v>
      </c>
    </row>
    <row r="541" spans="1:171" x14ac:dyDescent="0.2">
      <c r="A541" s="543" t="s">
        <v>854</v>
      </c>
      <c r="B541" s="544" t="s">
        <v>867</v>
      </c>
      <c r="C541" s="545"/>
      <c r="D541" s="546">
        <v>226833</v>
      </c>
      <c r="E541" s="547">
        <v>3</v>
      </c>
      <c r="F541" s="532"/>
      <c r="G541" s="450"/>
      <c r="H541" s="457"/>
      <c r="I541" s="450"/>
      <c r="J541" s="457">
        <v>49</v>
      </c>
      <c r="K541" s="627">
        <v>40</v>
      </c>
      <c r="L541" s="458">
        <f t="shared" si="261"/>
        <v>4.7711781888997079E-2</v>
      </c>
      <c r="M541" s="449">
        <f t="shared" si="262"/>
        <v>3.7523452157598502E-2</v>
      </c>
      <c r="N541" s="459">
        <v>1027</v>
      </c>
      <c r="O541" s="459"/>
      <c r="P541" s="459"/>
      <c r="Q541" s="459"/>
      <c r="R541" s="460">
        <f t="shared" si="263"/>
        <v>0</v>
      </c>
      <c r="S541" s="650">
        <v>1066</v>
      </c>
      <c r="T541" s="461"/>
      <c r="U541" s="461"/>
      <c r="V541" s="461"/>
      <c r="W541" s="462">
        <f t="shared" si="264"/>
        <v>0</v>
      </c>
      <c r="X541" s="463"/>
      <c r="Y541" s="457"/>
      <c r="Z541" s="464"/>
      <c r="AA541" s="464"/>
      <c r="AB541" s="465"/>
      <c r="AC541" s="457"/>
      <c r="AD541" s="464"/>
      <c r="AE541" s="466"/>
      <c r="AF541" s="465"/>
      <c r="AG541" s="457"/>
      <c r="AH541" s="464"/>
      <c r="AI541" s="466"/>
      <c r="AJ541" s="465"/>
      <c r="AK541" s="457"/>
      <c r="AL541" s="464"/>
      <c r="AM541" s="466"/>
      <c r="AN541" s="465"/>
      <c r="AO541" s="457"/>
      <c r="AP541" s="464"/>
      <c r="AQ541" s="464"/>
      <c r="AR541" s="460">
        <f t="shared" si="265"/>
        <v>0</v>
      </c>
      <c r="AS541" s="467">
        <f t="shared" si="266"/>
        <v>0.80234375000000002</v>
      </c>
      <c r="AT541" s="447">
        <f t="shared" si="267"/>
        <v>0</v>
      </c>
      <c r="AU541" s="448">
        <f t="shared" si="268"/>
        <v>0.79611650485436891</v>
      </c>
      <c r="AV541" s="457"/>
      <c r="AW541" s="450"/>
      <c r="AX541" s="463">
        <v>51</v>
      </c>
      <c r="AY541" s="457">
        <v>49</v>
      </c>
      <c r="AZ541" s="464">
        <v>51</v>
      </c>
      <c r="BA541" s="464">
        <v>65</v>
      </c>
      <c r="BB541" s="465">
        <v>13</v>
      </c>
      <c r="BC541" s="457">
        <v>48</v>
      </c>
      <c r="BD541" s="464">
        <v>13</v>
      </c>
      <c r="BE541" s="466">
        <v>52</v>
      </c>
      <c r="BF541" s="465">
        <v>52</v>
      </c>
      <c r="BG541" s="457">
        <v>44</v>
      </c>
      <c r="BH541" s="464">
        <v>52</v>
      </c>
      <c r="BI541" s="466">
        <v>43</v>
      </c>
      <c r="BJ541" s="465">
        <v>42</v>
      </c>
      <c r="BK541" s="457">
        <v>16</v>
      </c>
      <c r="BL541" s="464">
        <v>42</v>
      </c>
      <c r="BM541" s="466">
        <v>23</v>
      </c>
      <c r="BN541" s="465">
        <v>11</v>
      </c>
      <c r="BO541" s="457">
        <v>11</v>
      </c>
      <c r="BP541" s="464">
        <v>26</v>
      </c>
      <c r="BQ541" s="466">
        <v>19</v>
      </c>
      <c r="BR541" s="465">
        <v>44</v>
      </c>
      <c r="BS541" s="457">
        <v>9</v>
      </c>
      <c r="BT541" s="771">
        <v>54</v>
      </c>
      <c r="BU541" s="772">
        <v>8</v>
      </c>
      <c r="BV541" s="465">
        <v>31</v>
      </c>
      <c r="BW541" s="457">
        <v>7</v>
      </c>
      <c r="BX541" s="464">
        <v>44</v>
      </c>
      <c r="BY541" s="466">
        <v>7</v>
      </c>
      <c r="BZ541" s="465">
        <v>26</v>
      </c>
      <c r="CA541" s="457">
        <v>6</v>
      </c>
      <c r="CB541" s="464">
        <v>11</v>
      </c>
      <c r="CC541" s="466">
        <v>5</v>
      </c>
      <c r="CD541" s="465">
        <v>45</v>
      </c>
      <c r="CE541" s="457">
        <v>6</v>
      </c>
      <c r="CF541" s="464">
        <v>23</v>
      </c>
      <c r="CG541" s="466">
        <v>4</v>
      </c>
      <c r="CH541" s="465">
        <v>23</v>
      </c>
      <c r="CI541" s="457">
        <v>5</v>
      </c>
      <c r="CJ541" s="464">
        <v>45</v>
      </c>
      <c r="CK541" s="466">
        <v>4</v>
      </c>
      <c r="CL541" s="459">
        <v>3</v>
      </c>
      <c r="CM541" s="624">
        <v>3</v>
      </c>
      <c r="CN541" s="468">
        <f t="shared" si="269"/>
        <v>204</v>
      </c>
      <c r="CO541" s="468">
        <f t="shared" si="270"/>
        <v>10</v>
      </c>
      <c r="CP541" s="469">
        <f t="shared" si="271"/>
        <v>233</v>
      </c>
      <c r="CQ541" s="469">
        <f t="shared" si="272"/>
        <v>10</v>
      </c>
      <c r="CR541" s="463"/>
      <c r="CS541" s="457"/>
      <c r="CT541" s="753"/>
      <c r="CU541" s="753"/>
      <c r="CV541" s="465"/>
      <c r="CW541" s="457"/>
      <c r="CX541" s="625"/>
      <c r="CY541" s="626"/>
      <c r="CZ541" s="465"/>
      <c r="DA541" s="457"/>
      <c r="DB541" s="625"/>
      <c r="DC541" s="626"/>
      <c r="DD541" s="465"/>
      <c r="DE541" s="457"/>
      <c r="DF541" s="625"/>
      <c r="DG541" s="626"/>
      <c r="DH541" s="465"/>
      <c r="DI541" s="457"/>
      <c r="DJ541" s="464"/>
      <c r="DK541" s="466"/>
      <c r="DL541" s="465"/>
      <c r="DM541" s="457"/>
      <c r="DN541" s="464"/>
      <c r="DO541" s="466"/>
      <c r="DP541" s="465"/>
      <c r="DQ541" s="457"/>
      <c r="DR541" s="464"/>
      <c r="DS541" s="466"/>
      <c r="DT541" s="465"/>
      <c r="DU541" s="457"/>
      <c r="DV541" s="464"/>
      <c r="DW541" s="466"/>
      <c r="DX541" s="465"/>
      <c r="DY541" s="457"/>
      <c r="DZ541" s="464"/>
      <c r="EA541" s="466"/>
      <c r="EB541" s="465"/>
      <c r="EC541" s="457"/>
      <c r="ED541" s="464"/>
      <c r="EE541" s="466"/>
      <c r="EF541" s="459"/>
      <c r="EG541" s="450"/>
      <c r="EH541" s="460">
        <f t="shared" si="273"/>
        <v>0</v>
      </c>
      <c r="EI541" s="460">
        <f t="shared" si="274"/>
        <v>0</v>
      </c>
      <c r="EJ541" s="458">
        <f t="shared" si="275"/>
        <v>0</v>
      </c>
      <c r="EK541" s="470">
        <f t="shared" si="276"/>
        <v>0</v>
      </c>
      <c r="EL541" s="470">
        <f t="shared" si="277"/>
        <v>0</v>
      </c>
      <c r="EM541" s="449">
        <f t="shared" si="278"/>
        <v>0</v>
      </c>
      <c r="EN541" s="460">
        <f t="shared" si="279"/>
        <v>204</v>
      </c>
      <c r="EO541" s="469">
        <f t="shared" si="280"/>
        <v>233</v>
      </c>
      <c r="EP541" s="471"/>
      <c r="EQ541" s="450"/>
      <c r="ER541" s="471"/>
      <c r="ES541" s="450"/>
      <c r="ET541" s="471"/>
      <c r="EU541" s="450"/>
      <c r="EV541" s="471"/>
      <c r="EW541" s="628"/>
      <c r="EX541" s="471"/>
      <c r="EY541" s="450"/>
      <c r="EZ541" s="471"/>
      <c r="FA541" s="450"/>
      <c r="FB541" s="471"/>
      <c r="FC541" s="450"/>
      <c r="FD541" s="471"/>
      <c r="FE541" s="450"/>
      <c r="FF541" s="471"/>
      <c r="FG541" s="450"/>
      <c r="FH541" s="472"/>
      <c r="FI541" s="450"/>
      <c r="FJ541" s="468">
        <f t="shared" si="281"/>
        <v>0</v>
      </c>
      <c r="FK541" s="469">
        <f t="shared" si="282"/>
        <v>0</v>
      </c>
      <c r="FL541" s="472"/>
      <c r="FM541" s="450"/>
      <c r="FN541" s="460">
        <f t="shared" si="283"/>
        <v>1280</v>
      </c>
      <c r="FO541" s="469">
        <f t="shared" si="284"/>
        <v>1339</v>
      </c>
    </row>
    <row r="542" spans="1:171" x14ac:dyDescent="0.2">
      <c r="A542" s="543" t="s">
        <v>854</v>
      </c>
      <c r="B542" s="544" t="s">
        <v>868</v>
      </c>
      <c r="C542" s="545"/>
      <c r="D542" s="546">
        <v>227526</v>
      </c>
      <c r="E542" s="547">
        <v>3</v>
      </c>
      <c r="F542" s="532"/>
      <c r="G542" s="450"/>
      <c r="H542" s="457"/>
      <c r="I542" s="450"/>
      <c r="J542" s="457"/>
      <c r="K542" s="450"/>
      <c r="L542" s="458">
        <f t="shared" si="261"/>
        <v>0</v>
      </c>
      <c r="M542" s="449">
        <f t="shared" si="262"/>
        <v>0</v>
      </c>
      <c r="N542" s="459">
        <v>904</v>
      </c>
      <c r="O542" s="459"/>
      <c r="P542" s="459"/>
      <c r="Q542" s="459"/>
      <c r="R542" s="460">
        <f t="shared" si="263"/>
        <v>0</v>
      </c>
      <c r="S542" s="650">
        <v>1026</v>
      </c>
      <c r="T542" s="461"/>
      <c r="U542" s="461"/>
      <c r="V542" s="461"/>
      <c r="W542" s="462">
        <f t="shared" si="264"/>
        <v>0</v>
      </c>
      <c r="X542" s="463"/>
      <c r="Y542" s="457"/>
      <c r="Z542" s="464"/>
      <c r="AA542" s="464"/>
      <c r="AB542" s="465"/>
      <c r="AC542" s="457"/>
      <c r="AD542" s="464"/>
      <c r="AE542" s="466"/>
      <c r="AF542" s="465"/>
      <c r="AG542" s="457"/>
      <c r="AH542" s="464"/>
      <c r="AI542" s="466"/>
      <c r="AJ542" s="465"/>
      <c r="AK542" s="457"/>
      <c r="AL542" s="464"/>
      <c r="AM542" s="466"/>
      <c r="AN542" s="465"/>
      <c r="AO542" s="457"/>
      <c r="AP542" s="464"/>
      <c r="AQ542" s="464"/>
      <c r="AR542" s="460">
        <f t="shared" si="265"/>
        <v>0</v>
      </c>
      <c r="AS542" s="467">
        <f t="shared" si="266"/>
        <v>0.62216104611149348</v>
      </c>
      <c r="AT542" s="447">
        <f t="shared" si="267"/>
        <v>0</v>
      </c>
      <c r="AU542" s="448">
        <f t="shared" si="268"/>
        <v>0.68951612903225812</v>
      </c>
      <c r="AV542" s="457"/>
      <c r="AW542" s="450"/>
      <c r="AX542" s="463">
        <v>42</v>
      </c>
      <c r="AY542" s="457">
        <v>209</v>
      </c>
      <c r="AZ542" s="464">
        <v>42</v>
      </c>
      <c r="BA542" s="464">
        <v>156</v>
      </c>
      <c r="BB542" s="465">
        <v>13</v>
      </c>
      <c r="BC542" s="457">
        <v>160</v>
      </c>
      <c r="BD542" s="464">
        <v>13</v>
      </c>
      <c r="BE542" s="466">
        <v>104</v>
      </c>
      <c r="BF542" s="465">
        <v>52</v>
      </c>
      <c r="BG542" s="457">
        <v>48</v>
      </c>
      <c r="BH542" s="464">
        <v>52</v>
      </c>
      <c r="BI542" s="466">
        <v>45</v>
      </c>
      <c r="BJ542" s="465">
        <v>4</v>
      </c>
      <c r="BK542" s="457">
        <v>31</v>
      </c>
      <c r="BL542" s="464">
        <v>51</v>
      </c>
      <c r="BM542" s="466">
        <v>35</v>
      </c>
      <c r="BN542" s="465">
        <v>51</v>
      </c>
      <c r="BO542" s="457">
        <v>19</v>
      </c>
      <c r="BP542" s="464">
        <v>4</v>
      </c>
      <c r="BQ542" s="466">
        <v>25</v>
      </c>
      <c r="BR542" s="465">
        <v>14</v>
      </c>
      <c r="BS542" s="457">
        <v>17</v>
      </c>
      <c r="BT542" s="771">
        <v>14</v>
      </c>
      <c r="BU542" s="772">
        <v>20</v>
      </c>
      <c r="BV542" s="465">
        <v>19</v>
      </c>
      <c r="BW542" s="457">
        <v>10</v>
      </c>
      <c r="BX542" s="464">
        <v>19</v>
      </c>
      <c r="BY542" s="466">
        <v>17</v>
      </c>
      <c r="BZ542" s="465">
        <v>1</v>
      </c>
      <c r="CA542" s="457">
        <v>8</v>
      </c>
      <c r="CB542" s="464">
        <v>11</v>
      </c>
      <c r="CC542" s="466">
        <v>15</v>
      </c>
      <c r="CD542" s="465">
        <v>11</v>
      </c>
      <c r="CE542" s="457">
        <v>8</v>
      </c>
      <c r="CF542" s="464">
        <v>1</v>
      </c>
      <c r="CG542" s="466">
        <v>10</v>
      </c>
      <c r="CH542" s="465">
        <v>45</v>
      </c>
      <c r="CI542" s="457">
        <v>7</v>
      </c>
      <c r="CJ542" s="464">
        <v>40</v>
      </c>
      <c r="CK542" s="466">
        <v>6</v>
      </c>
      <c r="CL542" s="459">
        <v>17</v>
      </c>
      <c r="CM542" s="624">
        <v>12</v>
      </c>
      <c r="CN542" s="468">
        <f t="shared" si="269"/>
        <v>534</v>
      </c>
      <c r="CO542" s="468">
        <f t="shared" si="270"/>
        <v>10</v>
      </c>
      <c r="CP542" s="469">
        <f t="shared" si="271"/>
        <v>445</v>
      </c>
      <c r="CQ542" s="469">
        <f t="shared" si="272"/>
        <v>10</v>
      </c>
      <c r="CR542" s="463">
        <v>43</v>
      </c>
      <c r="CS542" s="457">
        <v>7</v>
      </c>
      <c r="CT542" s="625">
        <v>13</v>
      </c>
      <c r="CU542" s="625">
        <v>7</v>
      </c>
      <c r="CV542" s="465">
        <v>13</v>
      </c>
      <c r="CW542" s="457">
        <v>5</v>
      </c>
      <c r="CX542" s="625">
        <v>14</v>
      </c>
      <c r="CY542" s="626">
        <v>7</v>
      </c>
      <c r="CZ542" s="465">
        <v>14</v>
      </c>
      <c r="DA542" s="457">
        <v>2</v>
      </c>
      <c r="DB542" s="625">
        <v>42</v>
      </c>
      <c r="DC542" s="626">
        <v>2</v>
      </c>
      <c r="DD542" s="465">
        <v>42</v>
      </c>
      <c r="DE542" s="457">
        <v>1</v>
      </c>
      <c r="DF542" s="625">
        <v>43</v>
      </c>
      <c r="DG542" s="626">
        <v>1</v>
      </c>
      <c r="DH542" s="465"/>
      <c r="DI542" s="457"/>
      <c r="DJ542" s="464"/>
      <c r="DK542" s="466"/>
      <c r="DL542" s="465"/>
      <c r="DM542" s="457"/>
      <c r="DN542" s="464"/>
      <c r="DO542" s="466"/>
      <c r="DP542" s="465"/>
      <c r="DQ542" s="457"/>
      <c r="DR542" s="464"/>
      <c r="DS542" s="466"/>
      <c r="DT542" s="465"/>
      <c r="DU542" s="457"/>
      <c r="DV542" s="464"/>
      <c r="DW542" s="466"/>
      <c r="DX542" s="465"/>
      <c r="DY542" s="457"/>
      <c r="DZ542" s="464"/>
      <c r="EA542" s="466"/>
      <c r="EB542" s="465"/>
      <c r="EC542" s="457"/>
      <c r="ED542" s="464"/>
      <c r="EE542" s="466"/>
      <c r="EF542" s="459"/>
      <c r="EG542" s="450"/>
      <c r="EH542" s="460">
        <f t="shared" si="273"/>
        <v>15</v>
      </c>
      <c r="EI542" s="460">
        <f t="shared" si="274"/>
        <v>4</v>
      </c>
      <c r="EJ542" s="458">
        <f t="shared" si="275"/>
        <v>0.46666666666666667</v>
      </c>
      <c r="EK542" s="470">
        <f t="shared" si="276"/>
        <v>17</v>
      </c>
      <c r="EL542" s="470">
        <f t="shared" si="277"/>
        <v>4</v>
      </c>
      <c r="EM542" s="449">
        <f t="shared" si="278"/>
        <v>0.41176470588235292</v>
      </c>
      <c r="EN542" s="460">
        <f t="shared" si="279"/>
        <v>549</v>
      </c>
      <c r="EO542" s="469">
        <f t="shared" si="280"/>
        <v>462</v>
      </c>
      <c r="EP542" s="471"/>
      <c r="EQ542" s="450"/>
      <c r="ER542" s="471"/>
      <c r="ES542" s="450"/>
      <c r="ET542" s="471"/>
      <c r="EU542" s="450"/>
      <c r="EV542" s="471"/>
      <c r="EW542" s="628"/>
      <c r="EX542" s="471"/>
      <c r="EY542" s="450"/>
      <c r="EZ542" s="471"/>
      <c r="FA542" s="450"/>
      <c r="FB542" s="471"/>
      <c r="FC542" s="450"/>
      <c r="FD542" s="471"/>
      <c r="FE542" s="450"/>
      <c r="FF542" s="471"/>
      <c r="FG542" s="450"/>
      <c r="FH542" s="472"/>
      <c r="FI542" s="450"/>
      <c r="FJ542" s="468">
        <f t="shared" si="281"/>
        <v>0</v>
      </c>
      <c r="FK542" s="469">
        <f t="shared" si="282"/>
        <v>0</v>
      </c>
      <c r="FL542" s="472"/>
      <c r="FM542" s="450"/>
      <c r="FN542" s="460">
        <f t="shared" si="283"/>
        <v>1453</v>
      </c>
      <c r="FO542" s="469">
        <f t="shared" si="284"/>
        <v>1488</v>
      </c>
    </row>
    <row r="543" spans="1:171" x14ac:dyDescent="0.2">
      <c r="A543" s="543" t="s">
        <v>854</v>
      </c>
      <c r="B543" s="544" t="s">
        <v>869</v>
      </c>
      <c r="C543" s="545"/>
      <c r="D543" s="546">
        <v>227881</v>
      </c>
      <c r="E543" s="547">
        <v>3</v>
      </c>
      <c r="F543" s="532"/>
      <c r="G543" s="450"/>
      <c r="H543" s="457"/>
      <c r="I543" s="450"/>
      <c r="J543" s="457"/>
      <c r="K543" s="450"/>
      <c r="L543" s="458">
        <f t="shared" si="261"/>
        <v>0</v>
      </c>
      <c r="M543" s="449">
        <f t="shared" si="262"/>
        <v>0</v>
      </c>
      <c r="N543" s="459">
        <v>3013</v>
      </c>
      <c r="O543" s="459"/>
      <c r="P543" s="459"/>
      <c r="Q543" s="459"/>
      <c r="R543" s="460">
        <f t="shared" si="263"/>
        <v>0</v>
      </c>
      <c r="S543" s="650">
        <v>2978</v>
      </c>
      <c r="T543" s="461"/>
      <c r="U543" s="461"/>
      <c r="V543" s="461"/>
      <c r="W543" s="462">
        <f t="shared" si="264"/>
        <v>0</v>
      </c>
      <c r="X543" s="463"/>
      <c r="Y543" s="457"/>
      <c r="Z543" s="464"/>
      <c r="AA543" s="464"/>
      <c r="AB543" s="465"/>
      <c r="AC543" s="457"/>
      <c r="AD543" s="464"/>
      <c r="AE543" s="466"/>
      <c r="AF543" s="465"/>
      <c r="AG543" s="457"/>
      <c r="AH543" s="464"/>
      <c r="AI543" s="466"/>
      <c r="AJ543" s="465"/>
      <c r="AK543" s="457"/>
      <c r="AL543" s="464"/>
      <c r="AM543" s="466"/>
      <c r="AN543" s="465"/>
      <c r="AO543" s="457"/>
      <c r="AP543" s="464"/>
      <c r="AQ543" s="464"/>
      <c r="AR543" s="460">
        <f t="shared" si="265"/>
        <v>0</v>
      </c>
      <c r="AS543" s="467">
        <f t="shared" si="266"/>
        <v>0.76647163571610277</v>
      </c>
      <c r="AT543" s="447">
        <f t="shared" si="267"/>
        <v>0</v>
      </c>
      <c r="AU543" s="448">
        <f t="shared" si="268"/>
        <v>0.75872611464968154</v>
      </c>
      <c r="AV543" s="457"/>
      <c r="AW543" s="450"/>
      <c r="AX543" s="463">
        <v>13</v>
      </c>
      <c r="AY543" s="457">
        <v>291</v>
      </c>
      <c r="AZ543" s="464">
        <v>13</v>
      </c>
      <c r="BA543" s="464">
        <v>300</v>
      </c>
      <c r="BB543" s="465">
        <v>25</v>
      </c>
      <c r="BC543" s="457">
        <v>160</v>
      </c>
      <c r="BD543" s="464">
        <v>52</v>
      </c>
      <c r="BE543" s="466">
        <v>135</v>
      </c>
      <c r="BF543" s="465">
        <v>52</v>
      </c>
      <c r="BG543" s="457">
        <v>113</v>
      </c>
      <c r="BH543" s="464">
        <v>25</v>
      </c>
      <c r="BI543" s="466">
        <v>132</v>
      </c>
      <c r="BJ543" s="465">
        <v>50</v>
      </c>
      <c r="BK543" s="457">
        <v>82</v>
      </c>
      <c r="BL543" s="464">
        <v>43</v>
      </c>
      <c r="BM543" s="466">
        <v>124</v>
      </c>
      <c r="BN543" s="465">
        <v>43</v>
      </c>
      <c r="BO543" s="457">
        <v>79</v>
      </c>
      <c r="BP543" s="464">
        <v>50</v>
      </c>
      <c r="BQ543" s="466">
        <v>64</v>
      </c>
      <c r="BR543" s="465">
        <v>42</v>
      </c>
      <c r="BS543" s="457">
        <v>35</v>
      </c>
      <c r="BT543" s="771">
        <v>54</v>
      </c>
      <c r="BU543" s="772">
        <v>20</v>
      </c>
      <c r="BV543" s="465">
        <v>1</v>
      </c>
      <c r="BW543" s="457">
        <v>21</v>
      </c>
      <c r="BX543" s="464">
        <v>42</v>
      </c>
      <c r="BY543" s="466">
        <v>19</v>
      </c>
      <c r="BZ543" s="465">
        <v>11</v>
      </c>
      <c r="CA543" s="457">
        <v>21</v>
      </c>
      <c r="CB543" s="464">
        <v>11</v>
      </c>
      <c r="CC543" s="466">
        <v>16</v>
      </c>
      <c r="CD543" s="465">
        <v>54</v>
      </c>
      <c r="CE543" s="457">
        <v>21</v>
      </c>
      <c r="CF543" s="464">
        <v>1</v>
      </c>
      <c r="CG543" s="466">
        <v>14</v>
      </c>
      <c r="CH543" s="465">
        <v>23</v>
      </c>
      <c r="CI543" s="457">
        <v>11</v>
      </c>
      <c r="CJ543" s="464">
        <v>27</v>
      </c>
      <c r="CK543" s="466">
        <v>14</v>
      </c>
      <c r="CL543" s="459">
        <v>41</v>
      </c>
      <c r="CM543" s="624">
        <v>56</v>
      </c>
      <c r="CN543" s="468">
        <f t="shared" si="269"/>
        <v>875</v>
      </c>
      <c r="CO543" s="468">
        <f t="shared" si="270"/>
        <v>10</v>
      </c>
      <c r="CP543" s="469">
        <f t="shared" si="271"/>
        <v>894</v>
      </c>
      <c r="CQ543" s="469">
        <f t="shared" si="272"/>
        <v>10</v>
      </c>
      <c r="CR543" s="463">
        <v>13</v>
      </c>
      <c r="CS543" s="457">
        <v>24</v>
      </c>
      <c r="CT543" s="625">
        <v>13</v>
      </c>
      <c r="CU543" s="625">
        <v>32</v>
      </c>
      <c r="CV543" s="465">
        <v>43</v>
      </c>
      <c r="CW543" s="457">
        <v>15</v>
      </c>
      <c r="CX543" s="625">
        <v>43</v>
      </c>
      <c r="CY543" s="626">
        <v>15</v>
      </c>
      <c r="CZ543" s="465">
        <v>42</v>
      </c>
      <c r="DA543" s="457">
        <v>4</v>
      </c>
      <c r="DB543" s="625">
        <v>42</v>
      </c>
      <c r="DC543" s="626">
        <v>6</v>
      </c>
      <c r="DD543" s="465"/>
      <c r="DE543" s="457"/>
      <c r="DF543" s="464"/>
      <c r="DG543" s="466"/>
      <c r="DH543" s="465"/>
      <c r="DI543" s="457"/>
      <c r="DJ543" s="464"/>
      <c r="DK543" s="466"/>
      <c r="DL543" s="465"/>
      <c r="DM543" s="457"/>
      <c r="DN543" s="464"/>
      <c r="DO543" s="466"/>
      <c r="DP543" s="465"/>
      <c r="DQ543" s="457"/>
      <c r="DR543" s="464"/>
      <c r="DS543" s="466"/>
      <c r="DT543" s="465"/>
      <c r="DU543" s="457"/>
      <c r="DV543" s="464"/>
      <c r="DW543" s="466"/>
      <c r="DX543" s="465"/>
      <c r="DY543" s="457"/>
      <c r="DZ543" s="464"/>
      <c r="EA543" s="466"/>
      <c r="EB543" s="465"/>
      <c r="EC543" s="457"/>
      <c r="ED543" s="464"/>
      <c r="EE543" s="466"/>
      <c r="EF543" s="459"/>
      <c r="EG543" s="450"/>
      <c r="EH543" s="460">
        <f t="shared" si="273"/>
        <v>43</v>
      </c>
      <c r="EI543" s="460">
        <f t="shared" si="274"/>
        <v>3</v>
      </c>
      <c r="EJ543" s="458">
        <f t="shared" si="275"/>
        <v>0.55813953488372092</v>
      </c>
      <c r="EK543" s="470">
        <f t="shared" si="276"/>
        <v>53</v>
      </c>
      <c r="EL543" s="470">
        <f t="shared" si="277"/>
        <v>3</v>
      </c>
      <c r="EM543" s="449">
        <f t="shared" si="278"/>
        <v>0.60377358490566035</v>
      </c>
      <c r="EN543" s="460">
        <f t="shared" si="279"/>
        <v>918</v>
      </c>
      <c r="EO543" s="469">
        <f t="shared" si="280"/>
        <v>947</v>
      </c>
      <c r="EP543" s="471"/>
      <c r="EQ543" s="450"/>
      <c r="ER543" s="471"/>
      <c r="ES543" s="450"/>
      <c r="ET543" s="471"/>
      <c r="EU543" s="450"/>
      <c r="EV543" s="471"/>
      <c r="EW543" s="628"/>
      <c r="EX543" s="471"/>
      <c r="EY543" s="450"/>
      <c r="EZ543" s="471"/>
      <c r="FA543" s="450"/>
      <c r="FB543" s="471"/>
      <c r="FC543" s="450"/>
      <c r="FD543" s="471"/>
      <c r="FE543" s="450"/>
      <c r="FF543" s="471"/>
      <c r="FG543" s="450"/>
      <c r="FH543" s="472"/>
      <c r="FI543" s="450"/>
      <c r="FJ543" s="468">
        <f t="shared" si="281"/>
        <v>0</v>
      </c>
      <c r="FK543" s="469">
        <f t="shared" si="282"/>
        <v>0</v>
      </c>
      <c r="FL543" s="472"/>
      <c r="FM543" s="450"/>
      <c r="FN543" s="460">
        <f t="shared" si="283"/>
        <v>3931</v>
      </c>
      <c r="FO543" s="469">
        <f t="shared" si="284"/>
        <v>3925</v>
      </c>
    </row>
    <row r="544" spans="1:171" x14ac:dyDescent="0.2">
      <c r="A544" s="543" t="s">
        <v>854</v>
      </c>
      <c r="B544" s="544" t="s">
        <v>870</v>
      </c>
      <c r="C544" s="545"/>
      <c r="D544" s="546">
        <v>228431</v>
      </c>
      <c r="E544" s="547">
        <v>3</v>
      </c>
      <c r="F544" s="532"/>
      <c r="G544" s="450"/>
      <c r="H544" s="457"/>
      <c r="I544" s="450"/>
      <c r="J544" s="457"/>
      <c r="K544" s="450"/>
      <c r="L544" s="458">
        <f t="shared" si="261"/>
        <v>0</v>
      </c>
      <c r="M544" s="449">
        <f t="shared" si="262"/>
        <v>0</v>
      </c>
      <c r="N544" s="459">
        <v>1880</v>
      </c>
      <c r="O544" s="459"/>
      <c r="P544" s="459"/>
      <c r="Q544" s="459"/>
      <c r="R544" s="460">
        <f t="shared" si="263"/>
        <v>0</v>
      </c>
      <c r="S544" s="650">
        <v>2011</v>
      </c>
      <c r="T544" s="461"/>
      <c r="U544" s="461"/>
      <c r="V544" s="461"/>
      <c r="W544" s="462">
        <f t="shared" si="264"/>
        <v>0</v>
      </c>
      <c r="X544" s="463"/>
      <c r="Y544" s="457"/>
      <c r="Z544" s="464"/>
      <c r="AA544" s="464"/>
      <c r="AB544" s="465"/>
      <c r="AC544" s="457"/>
      <c r="AD544" s="464"/>
      <c r="AE544" s="466"/>
      <c r="AF544" s="465"/>
      <c r="AG544" s="457"/>
      <c r="AH544" s="464"/>
      <c r="AI544" s="466"/>
      <c r="AJ544" s="465"/>
      <c r="AK544" s="457"/>
      <c r="AL544" s="464"/>
      <c r="AM544" s="466"/>
      <c r="AN544" s="465"/>
      <c r="AO544" s="457"/>
      <c r="AP544" s="464"/>
      <c r="AQ544" s="464"/>
      <c r="AR544" s="460">
        <f t="shared" si="265"/>
        <v>0</v>
      </c>
      <c r="AS544" s="467">
        <f t="shared" si="266"/>
        <v>0.80756013745704469</v>
      </c>
      <c r="AT544" s="447">
        <f t="shared" si="267"/>
        <v>0</v>
      </c>
      <c r="AU544" s="448">
        <f t="shared" si="268"/>
        <v>0.81384055038445968</v>
      </c>
      <c r="AV544" s="457"/>
      <c r="AW544" s="450"/>
      <c r="AX544" s="463">
        <v>13</v>
      </c>
      <c r="AY544" s="457">
        <v>89</v>
      </c>
      <c r="AZ544" s="464">
        <v>13</v>
      </c>
      <c r="BA544" s="464">
        <v>117</v>
      </c>
      <c r="BB544" s="465">
        <v>52</v>
      </c>
      <c r="BC544" s="457">
        <v>65</v>
      </c>
      <c r="BD544" s="464">
        <v>44</v>
      </c>
      <c r="BE544" s="466">
        <v>64</v>
      </c>
      <c r="BF544" s="465">
        <v>44</v>
      </c>
      <c r="BG544" s="457">
        <v>56</v>
      </c>
      <c r="BH544" s="464">
        <v>52</v>
      </c>
      <c r="BI544" s="466">
        <v>58</v>
      </c>
      <c r="BJ544" s="465">
        <v>42</v>
      </c>
      <c r="BK544" s="457">
        <v>32</v>
      </c>
      <c r="BL544" s="464">
        <v>51</v>
      </c>
      <c r="BM544" s="466">
        <v>37</v>
      </c>
      <c r="BN544" s="465">
        <v>51</v>
      </c>
      <c r="BO544" s="457">
        <v>31</v>
      </c>
      <c r="BP544" s="464">
        <v>42</v>
      </c>
      <c r="BQ544" s="466">
        <v>26</v>
      </c>
      <c r="BR544" s="465">
        <v>26</v>
      </c>
      <c r="BS544" s="457">
        <v>24</v>
      </c>
      <c r="BT544" s="771">
        <v>50</v>
      </c>
      <c r="BU544" s="772">
        <v>23</v>
      </c>
      <c r="BV544" s="465">
        <v>30</v>
      </c>
      <c r="BW544" s="457">
        <v>24</v>
      </c>
      <c r="BX544" s="464">
        <v>30</v>
      </c>
      <c r="BY544" s="466">
        <v>21</v>
      </c>
      <c r="BZ544" s="465">
        <v>19</v>
      </c>
      <c r="CA544" s="457">
        <v>22</v>
      </c>
      <c r="CB544" s="464">
        <v>31</v>
      </c>
      <c r="CC544" s="466">
        <v>17</v>
      </c>
      <c r="CD544" s="465">
        <v>3</v>
      </c>
      <c r="CE544" s="457">
        <v>20</v>
      </c>
      <c r="CF544" s="464">
        <v>19</v>
      </c>
      <c r="CG544" s="466">
        <v>16</v>
      </c>
      <c r="CH544" s="465">
        <v>31</v>
      </c>
      <c r="CI544" s="457">
        <v>16</v>
      </c>
      <c r="CJ544" s="464">
        <v>26</v>
      </c>
      <c r="CK544" s="466">
        <v>15</v>
      </c>
      <c r="CL544" s="459">
        <v>56</v>
      </c>
      <c r="CM544" s="624">
        <v>51</v>
      </c>
      <c r="CN544" s="468">
        <f t="shared" si="269"/>
        <v>435</v>
      </c>
      <c r="CO544" s="468">
        <f t="shared" si="270"/>
        <v>10</v>
      </c>
      <c r="CP544" s="469">
        <f t="shared" si="271"/>
        <v>445</v>
      </c>
      <c r="CQ544" s="469">
        <f t="shared" si="272"/>
        <v>10</v>
      </c>
      <c r="CR544" s="463">
        <v>13</v>
      </c>
      <c r="CS544" s="457">
        <v>12</v>
      </c>
      <c r="CT544" s="625">
        <v>13</v>
      </c>
      <c r="CU544" s="625">
        <v>12</v>
      </c>
      <c r="CV544" s="465">
        <v>3</v>
      </c>
      <c r="CW544" s="457">
        <v>1</v>
      </c>
      <c r="CX544" s="781">
        <v>3</v>
      </c>
      <c r="CY544" s="747">
        <v>3</v>
      </c>
      <c r="CZ544" s="465"/>
      <c r="DA544" s="457"/>
      <c r="DB544" s="753"/>
      <c r="DC544" s="761"/>
      <c r="DD544" s="465"/>
      <c r="DE544" s="457"/>
      <c r="DF544" s="464"/>
      <c r="DG544" s="466"/>
      <c r="DH544" s="465"/>
      <c r="DI544" s="457"/>
      <c r="DJ544" s="464"/>
      <c r="DK544" s="466"/>
      <c r="DL544" s="465"/>
      <c r="DM544" s="457"/>
      <c r="DN544" s="464"/>
      <c r="DO544" s="466"/>
      <c r="DP544" s="465"/>
      <c r="DQ544" s="457"/>
      <c r="DR544" s="464"/>
      <c r="DS544" s="466"/>
      <c r="DT544" s="465"/>
      <c r="DU544" s="457"/>
      <c r="DV544" s="464"/>
      <c r="DW544" s="466"/>
      <c r="DX544" s="465"/>
      <c r="DY544" s="457"/>
      <c r="DZ544" s="464"/>
      <c r="EA544" s="466"/>
      <c r="EB544" s="465"/>
      <c r="EC544" s="457"/>
      <c r="ED544" s="464"/>
      <c r="EE544" s="466"/>
      <c r="EF544" s="459"/>
      <c r="EG544" s="450"/>
      <c r="EH544" s="460">
        <f t="shared" si="273"/>
        <v>13</v>
      </c>
      <c r="EI544" s="460">
        <f t="shared" si="274"/>
        <v>2</v>
      </c>
      <c r="EJ544" s="458">
        <f t="shared" si="275"/>
        <v>0.92307692307692313</v>
      </c>
      <c r="EK544" s="470">
        <f t="shared" si="276"/>
        <v>15</v>
      </c>
      <c r="EL544" s="470">
        <f t="shared" si="277"/>
        <v>2</v>
      </c>
      <c r="EM544" s="449">
        <f t="shared" si="278"/>
        <v>0.8</v>
      </c>
      <c r="EN544" s="460">
        <f t="shared" si="279"/>
        <v>448</v>
      </c>
      <c r="EO544" s="469">
        <f t="shared" si="280"/>
        <v>460</v>
      </c>
      <c r="EP544" s="471"/>
      <c r="EQ544" s="450"/>
      <c r="ER544" s="471"/>
      <c r="ES544" s="450"/>
      <c r="ET544" s="471"/>
      <c r="EU544" s="450"/>
      <c r="EV544" s="471"/>
      <c r="EW544" s="628"/>
      <c r="EX544" s="471"/>
      <c r="EY544" s="450"/>
      <c r="EZ544" s="471"/>
      <c r="FA544" s="450"/>
      <c r="FB544" s="471"/>
      <c r="FC544" s="450"/>
      <c r="FD544" s="471"/>
      <c r="FE544" s="450"/>
      <c r="FF544" s="471"/>
      <c r="FG544" s="450"/>
      <c r="FH544" s="472"/>
      <c r="FI544" s="450"/>
      <c r="FJ544" s="468">
        <f t="shared" si="281"/>
        <v>0</v>
      </c>
      <c r="FK544" s="469">
        <f t="shared" si="282"/>
        <v>0</v>
      </c>
      <c r="FL544" s="472"/>
      <c r="FM544" s="450"/>
      <c r="FN544" s="460">
        <f t="shared" si="283"/>
        <v>2328</v>
      </c>
      <c r="FO544" s="469">
        <f t="shared" si="284"/>
        <v>2471</v>
      </c>
    </row>
    <row r="545" spans="1:171" x14ac:dyDescent="0.2">
      <c r="A545" s="543" t="s">
        <v>854</v>
      </c>
      <c r="B545" s="544" t="s">
        <v>871</v>
      </c>
      <c r="C545" s="545"/>
      <c r="D545" s="631">
        <v>228501</v>
      </c>
      <c r="E545" s="632">
        <v>3</v>
      </c>
      <c r="F545" s="532"/>
      <c r="G545" s="450"/>
      <c r="H545" s="457"/>
      <c r="I545" s="450"/>
      <c r="J545" s="457">
        <v>19</v>
      </c>
      <c r="K545" s="627">
        <v>11</v>
      </c>
      <c r="L545" s="458">
        <f t="shared" si="261"/>
        <v>0.10160427807486631</v>
      </c>
      <c r="M545" s="449">
        <f t="shared" si="262"/>
        <v>5.7894736842105263E-2</v>
      </c>
      <c r="N545" s="459">
        <v>187</v>
      </c>
      <c r="O545" s="459"/>
      <c r="P545" s="459"/>
      <c r="Q545" s="459"/>
      <c r="R545" s="460">
        <f t="shared" si="263"/>
        <v>0</v>
      </c>
      <c r="S545" s="650">
        <v>190</v>
      </c>
      <c r="T545" s="461"/>
      <c r="U545" s="461"/>
      <c r="V545" s="461"/>
      <c r="W545" s="462">
        <f t="shared" si="264"/>
        <v>0</v>
      </c>
      <c r="X545" s="463"/>
      <c r="Y545" s="457"/>
      <c r="Z545" s="464"/>
      <c r="AA545" s="464"/>
      <c r="AB545" s="465"/>
      <c r="AC545" s="457"/>
      <c r="AD545" s="464"/>
      <c r="AE545" s="466"/>
      <c r="AF545" s="465"/>
      <c r="AG545" s="457"/>
      <c r="AH545" s="464"/>
      <c r="AI545" s="466"/>
      <c r="AJ545" s="465"/>
      <c r="AK545" s="457"/>
      <c r="AL545" s="464"/>
      <c r="AM545" s="466"/>
      <c r="AN545" s="465"/>
      <c r="AO545" s="457"/>
      <c r="AP545" s="464"/>
      <c r="AQ545" s="464"/>
      <c r="AR545" s="460">
        <f t="shared" si="265"/>
        <v>0</v>
      </c>
      <c r="AS545" s="467">
        <f t="shared" si="266"/>
        <v>0.49340369393139843</v>
      </c>
      <c r="AT545" s="447">
        <f t="shared" si="267"/>
        <v>0</v>
      </c>
      <c r="AU545" s="448">
        <f t="shared" si="268"/>
        <v>0.50264550264550267</v>
      </c>
      <c r="AV545" s="457"/>
      <c r="AW545" s="450"/>
      <c r="AX545" s="463">
        <v>13</v>
      </c>
      <c r="AY545" s="457">
        <v>104</v>
      </c>
      <c r="AZ545" s="464">
        <v>13</v>
      </c>
      <c r="BA545" s="464">
        <v>89</v>
      </c>
      <c r="BB545" s="465">
        <v>43</v>
      </c>
      <c r="BC545" s="457">
        <v>19</v>
      </c>
      <c r="BD545" s="464">
        <v>52</v>
      </c>
      <c r="BE545" s="466">
        <v>28</v>
      </c>
      <c r="BF545" s="465">
        <v>52</v>
      </c>
      <c r="BG545" s="457">
        <v>18</v>
      </c>
      <c r="BH545" s="464">
        <v>43</v>
      </c>
      <c r="BI545" s="466">
        <v>20</v>
      </c>
      <c r="BJ545" s="465">
        <v>1</v>
      </c>
      <c r="BK545" s="457">
        <v>6</v>
      </c>
      <c r="BL545" s="464">
        <v>54</v>
      </c>
      <c r="BM545" s="466">
        <v>10</v>
      </c>
      <c r="BN545" s="465">
        <v>44</v>
      </c>
      <c r="BO545" s="457">
        <v>6</v>
      </c>
      <c r="BP545" s="464">
        <v>23</v>
      </c>
      <c r="BQ545" s="466">
        <v>6</v>
      </c>
      <c r="BR545" s="465">
        <v>3</v>
      </c>
      <c r="BS545" s="457">
        <v>3</v>
      </c>
      <c r="BT545" s="771">
        <v>44</v>
      </c>
      <c r="BU545" s="772">
        <v>6</v>
      </c>
      <c r="BV545" s="465">
        <v>23</v>
      </c>
      <c r="BW545" s="457">
        <v>3</v>
      </c>
      <c r="BX545" s="464">
        <v>3</v>
      </c>
      <c r="BY545" s="466">
        <v>5</v>
      </c>
      <c r="BZ545" s="465">
        <v>45</v>
      </c>
      <c r="CA545" s="457">
        <v>3</v>
      </c>
      <c r="CB545" s="464">
        <v>26</v>
      </c>
      <c r="CC545" s="466">
        <v>5</v>
      </c>
      <c r="CD545" s="465">
        <v>54</v>
      </c>
      <c r="CE545" s="457">
        <v>3</v>
      </c>
      <c r="CF545" s="464">
        <v>1</v>
      </c>
      <c r="CG545" s="466">
        <v>3</v>
      </c>
      <c r="CH545" s="465">
        <v>24</v>
      </c>
      <c r="CI545" s="457">
        <v>2</v>
      </c>
      <c r="CJ545" s="464">
        <v>24</v>
      </c>
      <c r="CK545" s="466">
        <v>3</v>
      </c>
      <c r="CL545" s="459">
        <v>6</v>
      </c>
      <c r="CM545" s="624">
        <v>2</v>
      </c>
      <c r="CN545" s="468">
        <f t="shared" si="269"/>
        <v>173</v>
      </c>
      <c r="CO545" s="468">
        <f t="shared" si="270"/>
        <v>10</v>
      </c>
      <c r="CP545" s="469">
        <f t="shared" si="271"/>
        <v>177</v>
      </c>
      <c r="CQ545" s="469">
        <f t="shared" si="272"/>
        <v>10</v>
      </c>
      <c r="CR545" s="463"/>
      <c r="CS545" s="457"/>
      <c r="CT545" s="753"/>
      <c r="CU545" s="753"/>
      <c r="CV545" s="465"/>
      <c r="CW545" s="457"/>
      <c r="CX545" s="625"/>
      <c r="CY545" s="626"/>
      <c r="CZ545" s="465"/>
      <c r="DA545" s="457"/>
      <c r="DB545" s="625"/>
      <c r="DC545" s="626"/>
      <c r="DD545" s="465"/>
      <c r="DE545" s="457"/>
      <c r="DF545" s="464"/>
      <c r="DG545" s="466"/>
      <c r="DH545" s="465"/>
      <c r="DI545" s="457"/>
      <c r="DJ545" s="464"/>
      <c r="DK545" s="466"/>
      <c r="DL545" s="465"/>
      <c r="DM545" s="457"/>
      <c r="DN545" s="464"/>
      <c r="DO545" s="466"/>
      <c r="DP545" s="465"/>
      <c r="DQ545" s="457"/>
      <c r="DR545" s="464"/>
      <c r="DS545" s="466"/>
      <c r="DT545" s="465"/>
      <c r="DU545" s="457"/>
      <c r="DV545" s="464"/>
      <c r="DW545" s="466"/>
      <c r="DX545" s="465"/>
      <c r="DY545" s="457"/>
      <c r="DZ545" s="464"/>
      <c r="EA545" s="466"/>
      <c r="EB545" s="465"/>
      <c r="EC545" s="457"/>
      <c r="ED545" s="464"/>
      <c r="EE545" s="466"/>
      <c r="EF545" s="459"/>
      <c r="EG545" s="450"/>
      <c r="EH545" s="460">
        <f t="shared" si="273"/>
        <v>0</v>
      </c>
      <c r="EI545" s="460">
        <f t="shared" si="274"/>
        <v>0</v>
      </c>
      <c r="EJ545" s="458">
        <f t="shared" si="275"/>
        <v>0</v>
      </c>
      <c r="EK545" s="470">
        <f t="shared" si="276"/>
        <v>0</v>
      </c>
      <c r="EL545" s="470">
        <f t="shared" si="277"/>
        <v>0</v>
      </c>
      <c r="EM545" s="449">
        <f t="shared" si="278"/>
        <v>0</v>
      </c>
      <c r="EN545" s="460">
        <f t="shared" si="279"/>
        <v>173</v>
      </c>
      <c r="EO545" s="469">
        <f t="shared" si="280"/>
        <v>177</v>
      </c>
      <c r="EP545" s="471"/>
      <c r="EQ545" s="450"/>
      <c r="ER545" s="471"/>
      <c r="ES545" s="450"/>
      <c r="ET545" s="471"/>
      <c r="EU545" s="450"/>
      <c r="EV545" s="471"/>
      <c r="EW545" s="628"/>
      <c r="EX545" s="471"/>
      <c r="EY545" s="450"/>
      <c r="EZ545" s="471"/>
      <c r="FA545" s="450"/>
      <c r="FB545" s="471"/>
      <c r="FC545" s="450"/>
      <c r="FD545" s="471"/>
      <c r="FE545" s="450"/>
      <c r="FF545" s="471"/>
      <c r="FG545" s="450"/>
      <c r="FH545" s="472"/>
      <c r="FI545" s="450"/>
      <c r="FJ545" s="468">
        <f t="shared" si="281"/>
        <v>0</v>
      </c>
      <c r="FK545" s="469">
        <f t="shared" si="282"/>
        <v>0</v>
      </c>
      <c r="FL545" s="472"/>
      <c r="FM545" s="450"/>
      <c r="FN545" s="460">
        <f t="shared" si="283"/>
        <v>379</v>
      </c>
      <c r="FO545" s="469">
        <f t="shared" si="284"/>
        <v>378</v>
      </c>
    </row>
    <row r="546" spans="1:171" x14ac:dyDescent="0.2">
      <c r="A546" s="543" t="s">
        <v>854</v>
      </c>
      <c r="B546" s="544" t="s">
        <v>872</v>
      </c>
      <c r="C546" s="545"/>
      <c r="D546" s="631">
        <v>228529</v>
      </c>
      <c r="E546" s="632">
        <v>3</v>
      </c>
      <c r="F546" s="532"/>
      <c r="G546" s="450"/>
      <c r="H546" s="457"/>
      <c r="I546" s="450"/>
      <c r="J546" s="457">
        <v>27</v>
      </c>
      <c r="K546" s="627">
        <v>32</v>
      </c>
      <c r="L546" s="458">
        <f t="shared" si="261"/>
        <v>1.7704918032786884E-2</v>
      </c>
      <c r="M546" s="449">
        <f t="shared" si="262"/>
        <v>1.9631901840490799E-2</v>
      </c>
      <c r="N546" s="459">
        <v>1525</v>
      </c>
      <c r="O546" s="459"/>
      <c r="P546" s="459"/>
      <c r="Q546" s="459"/>
      <c r="R546" s="460">
        <f t="shared" si="263"/>
        <v>0</v>
      </c>
      <c r="S546" s="650">
        <v>1630</v>
      </c>
      <c r="T546" s="461"/>
      <c r="U546" s="461"/>
      <c r="V546" s="461"/>
      <c r="W546" s="462">
        <f t="shared" si="264"/>
        <v>0</v>
      </c>
      <c r="X546" s="463"/>
      <c r="Y546" s="457"/>
      <c r="Z546" s="464"/>
      <c r="AA546" s="464"/>
      <c r="AB546" s="465"/>
      <c r="AC546" s="457"/>
      <c r="AD546" s="464"/>
      <c r="AE546" s="466"/>
      <c r="AF546" s="465"/>
      <c r="AG546" s="457"/>
      <c r="AH546" s="464"/>
      <c r="AI546" s="466"/>
      <c r="AJ546" s="465"/>
      <c r="AK546" s="457"/>
      <c r="AL546" s="464"/>
      <c r="AM546" s="466"/>
      <c r="AN546" s="465"/>
      <c r="AO546" s="457"/>
      <c r="AP546" s="464"/>
      <c r="AQ546" s="464"/>
      <c r="AR546" s="460">
        <f t="shared" si="265"/>
        <v>0</v>
      </c>
      <c r="AS546" s="467">
        <f t="shared" si="266"/>
        <v>0.8124667021843367</v>
      </c>
      <c r="AT546" s="447">
        <f t="shared" si="267"/>
        <v>0</v>
      </c>
      <c r="AU546" s="448">
        <f t="shared" si="268"/>
        <v>0.77693040991420403</v>
      </c>
      <c r="AV546" s="457"/>
      <c r="AW546" s="450"/>
      <c r="AX546" s="463">
        <v>13</v>
      </c>
      <c r="AY546" s="457">
        <v>122</v>
      </c>
      <c r="AZ546" s="464">
        <v>13</v>
      </c>
      <c r="BA546" s="464">
        <v>156</v>
      </c>
      <c r="BB546" s="465">
        <v>52</v>
      </c>
      <c r="BC546" s="457">
        <v>68</v>
      </c>
      <c r="BD546" s="464">
        <v>52</v>
      </c>
      <c r="BE546" s="466">
        <v>106</v>
      </c>
      <c r="BF546" s="465">
        <v>11</v>
      </c>
      <c r="BG546" s="457">
        <v>31</v>
      </c>
      <c r="BH546" s="464">
        <v>1</v>
      </c>
      <c r="BI546" s="466">
        <v>36</v>
      </c>
      <c r="BJ546" s="465">
        <v>42</v>
      </c>
      <c r="BK546" s="457">
        <v>31</v>
      </c>
      <c r="BL546" s="464">
        <v>42</v>
      </c>
      <c r="BM546" s="466">
        <v>34</v>
      </c>
      <c r="BN546" s="465">
        <v>1</v>
      </c>
      <c r="BO546" s="457">
        <v>24</v>
      </c>
      <c r="BP546" s="464">
        <v>43</v>
      </c>
      <c r="BQ546" s="466">
        <v>28</v>
      </c>
      <c r="BR546" s="465">
        <v>43</v>
      </c>
      <c r="BS546" s="457">
        <v>10</v>
      </c>
      <c r="BT546" s="771">
        <v>11</v>
      </c>
      <c r="BU546" s="772">
        <v>21</v>
      </c>
      <c r="BV546" s="465">
        <v>23</v>
      </c>
      <c r="BW546" s="457">
        <v>6</v>
      </c>
      <c r="BX546" s="464">
        <v>31</v>
      </c>
      <c r="BY546" s="466">
        <v>18</v>
      </c>
      <c r="BZ546" s="465">
        <v>54</v>
      </c>
      <c r="CA546" s="457">
        <v>6</v>
      </c>
      <c r="CB546" s="464">
        <v>26</v>
      </c>
      <c r="CC546" s="466">
        <v>8</v>
      </c>
      <c r="CD546" s="465">
        <v>24</v>
      </c>
      <c r="CE546" s="457">
        <v>5</v>
      </c>
      <c r="CF546" s="464">
        <v>15</v>
      </c>
      <c r="CG546" s="466">
        <v>5</v>
      </c>
      <c r="CH546" s="465">
        <v>27</v>
      </c>
      <c r="CI546" s="457">
        <v>5</v>
      </c>
      <c r="CJ546" s="464">
        <v>23</v>
      </c>
      <c r="CK546" s="466">
        <v>4</v>
      </c>
      <c r="CL546" s="459">
        <v>5</v>
      </c>
      <c r="CM546" s="624">
        <v>12</v>
      </c>
      <c r="CN546" s="468">
        <f t="shared" si="269"/>
        <v>313</v>
      </c>
      <c r="CO546" s="468">
        <f t="shared" si="270"/>
        <v>10</v>
      </c>
      <c r="CP546" s="469">
        <f t="shared" si="271"/>
        <v>428</v>
      </c>
      <c r="CQ546" s="469">
        <f t="shared" si="272"/>
        <v>10</v>
      </c>
      <c r="CR546" s="463">
        <v>13</v>
      </c>
      <c r="CS546" s="457">
        <v>12</v>
      </c>
      <c r="CT546" s="779" t="s">
        <v>873</v>
      </c>
      <c r="CU546" s="781">
        <v>8</v>
      </c>
      <c r="CV546" s="465"/>
      <c r="CW546" s="457"/>
      <c r="CX546" s="625"/>
      <c r="CY546" s="626"/>
      <c r="CZ546" s="465"/>
      <c r="DA546" s="457"/>
      <c r="DB546" s="625"/>
      <c r="DC546" s="626"/>
      <c r="DD546" s="465"/>
      <c r="DE546" s="457"/>
      <c r="DF546" s="464"/>
      <c r="DG546" s="466"/>
      <c r="DH546" s="465"/>
      <c r="DI546" s="457"/>
      <c r="DJ546" s="464"/>
      <c r="DK546" s="466"/>
      <c r="DL546" s="465"/>
      <c r="DM546" s="457"/>
      <c r="DN546" s="464"/>
      <c r="DO546" s="466"/>
      <c r="DP546" s="465"/>
      <c r="DQ546" s="457"/>
      <c r="DR546" s="464"/>
      <c r="DS546" s="466"/>
      <c r="DT546" s="465"/>
      <c r="DU546" s="457"/>
      <c r="DV546" s="464"/>
      <c r="DW546" s="466"/>
      <c r="DX546" s="465"/>
      <c r="DY546" s="457"/>
      <c r="DZ546" s="464"/>
      <c r="EA546" s="466"/>
      <c r="EB546" s="465"/>
      <c r="EC546" s="457"/>
      <c r="ED546" s="464"/>
      <c r="EE546" s="466"/>
      <c r="EF546" s="459"/>
      <c r="EG546" s="450"/>
      <c r="EH546" s="460">
        <f t="shared" si="273"/>
        <v>12</v>
      </c>
      <c r="EI546" s="460">
        <f t="shared" si="274"/>
        <v>1</v>
      </c>
      <c r="EJ546" s="458">
        <f t="shared" si="275"/>
        <v>1</v>
      </c>
      <c r="EK546" s="470">
        <f t="shared" si="276"/>
        <v>8</v>
      </c>
      <c r="EL546" s="470">
        <f t="shared" si="277"/>
        <v>1</v>
      </c>
      <c r="EM546" s="449">
        <f t="shared" si="278"/>
        <v>1</v>
      </c>
      <c r="EN546" s="460">
        <f t="shared" si="279"/>
        <v>325</v>
      </c>
      <c r="EO546" s="469">
        <f t="shared" si="280"/>
        <v>436</v>
      </c>
      <c r="EP546" s="471"/>
      <c r="EQ546" s="450"/>
      <c r="ER546" s="471"/>
      <c r="ES546" s="450"/>
      <c r="ET546" s="471"/>
      <c r="EU546" s="450"/>
      <c r="EV546" s="471"/>
      <c r="EW546" s="628"/>
      <c r="EX546" s="471"/>
      <c r="EY546" s="450"/>
      <c r="EZ546" s="471"/>
      <c r="FA546" s="450"/>
      <c r="FB546" s="471"/>
      <c r="FC546" s="450"/>
      <c r="FD546" s="471"/>
      <c r="FE546" s="450"/>
      <c r="FF546" s="471"/>
      <c r="FG546" s="450"/>
      <c r="FH546" s="472"/>
      <c r="FI546" s="450"/>
      <c r="FJ546" s="468">
        <f t="shared" si="281"/>
        <v>0</v>
      </c>
      <c r="FK546" s="469">
        <f t="shared" si="282"/>
        <v>0</v>
      </c>
      <c r="FL546" s="472"/>
      <c r="FM546" s="450"/>
      <c r="FN546" s="460">
        <f t="shared" si="283"/>
        <v>1877</v>
      </c>
      <c r="FO546" s="469">
        <f t="shared" si="284"/>
        <v>2098</v>
      </c>
    </row>
    <row r="547" spans="1:171" x14ac:dyDescent="0.2">
      <c r="A547" s="543" t="s">
        <v>854</v>
      </c>
      <c r="B547" s="544" t="s">
        <v>874</v>
      </c>
      <c r="C547" s="545"/>
      <c r="D547" s="631">
        <v>226152</v>
      </c>
      <c r="E547" s="632">
        <v>3</v>
      </c>
      <c r="F547" s="532"/>
      <c r="G547" s="450"/>
      <c r="H547" s="457"/>
      <c r="I547" s="450"/>
      <c r="J547" s="457"/>
      <c r="K547" s="450"/>
      <c r="L547" s="458">
        <f t="shared" si="261"/>
        <v>0</v>
      </c>
      <c r="M547" s="449">
        <f t="shared" si="262"/>
        <v>0</v>
      </c>
      <c r="N547" s="459">
        <v>766</v>
      </c>
      <c r="O547" s="459"/>
      <c r="P547" s="459"/>
      <c r="Q547" s="459"/>
      <c r="R547" s="460">
        <f t="shared" si="263"/>
        <v>0</v>
      </c>
      <c r="S547" s="650">
        <v>805</v>
      </c>
      <c r="T547" s="461"/>
      <c r="U547" s="461"/>
      <c r="V547" s="461"/>
      <c r="W547" s="462">
        <f t="shared" si="264"/>
        <v>0</v>
      </c>
      <c r="X547" s="463"/>
      <c r="Y547" s="457"/>
      <c r="Z547" s="464"/>
      <c r="AA547" s="464"/>
      <c r="AB547" s="465"/>
      <c r="AC547" s="457"/>
      <c r="AD547" s="464"/>
      <c r="AE547" s="466"/>
      <c r="AF547" s="465"/>
      <c r="AG547" s="457"/>
      <c r="AH547" s="464"/>
      <c r="AI547" s="466"/>
      <c r="AJ547" s="465"/>
      <c r="AK547" s="457"/>
      <c r="AL547" s="464"/>
      <c r="AM547" s="466"/>
      <c r="AN547" s="465"/>
      <c r="AO547" s="457"/>
      <c r="AP547" s="464"/>
      <c r="AQ547" s="464"/>
      <c r="AR547" s="460">
        <f t="shared" si="265"/>
        <v>0</v>
      </c>
      <c r="AS547" s="467">
        <f t="shared" si="266"/>
        <v>0.74441205053449955</v>
      </c>
      <c r="AT547" s="447">
        <f t="shared" si="267"/>
        <v>0</v>
      </c>
      <c r="AU547" s="448">
        <f t="shared" si="268"/>
        <v>0.76086956521739135</v>
      </c>
      <c r="AV547" s="457"/>
      <c r="AW547" s="450"/>
      <c r="AX547" s="463">
        <v>52</v>
      </c>
      <c r="AY547" s="457">
        <v>133</v>
      </c>
      <c r="AZ547" s="464">
        <v>52</v>
      </c>
      <c r="BA547" s="464">
        <v>120</v>
      </c>
      <c r="BB547" s="465">
        <v>13</v>
      </c>
      <c r="BC547" s="457">
        <v>61</v>
      </c>
      <c r="BD547" s="464">
        <v>13</v>
      </c>
      <c r="BE547" s="466">
        <v>72</v>
      </c>
      <c r="BF547" s="465">
        <v>51</v>
      </c>
      <c r="BG547" s="457">
        <v>12</v>
      </c>
      <c r="BH547" s="464">
        <v>45</v>
      </c>
      <c r="BI547" s="466">
        <v>13</v>
      </c>
      <c r="BJ547" s="465">
        <v>44</v>
      </c>
      <c r="BK547" s="457">
        <v>11</v>
      </c>
      <c r="BL547" s="464">
        <v>44</v>
      </c>
      <c r="BM547" s="466">
        <v>10</v>
      </c>
      <c r="BN547" s="465">
        <v>23</v>
      </c>
      <c r="BO547" s="457">
        <v>10</v>
      </c>
      <c r="BP547" s="464">
        <v>43</v>
      </c>
      <c r="BQ547" s="466">
        <v>9</v>
      </c>
      <c r="BR547" s="465">
        <v>26</v>
      </c>
      <c r="BS547" s="457">
        <v>9</v>
      </c>
      <c r="BT547" s="771">
        <v>42</v>
      </c>
      <c r="BU547" s="772">
        <v>7</v>
      </c>
      <c r="BV547" s="465">
        <v>45</v>
      </c>
      <c r="BW547" s="457">
        <v>9</v>
      </c>
      <c r="BX547" s="464">
        <v>16</v>
      </c>
      <c r="BY547" s="466">
        <v>4</v>
      </c>
      <c r="BZ547" s="465">
        <v>42</v>
      </c>
      <c r="CA547" s="457">
        <v>6</v>
      </c>
      <c r="CB547" s="464">
        <v>23</v>
      </c>
      <c r="CC547" s="466">
        <v>4</v>
      </c>
      <c r="CD547" s="465">
        <v>43</v>
      </c>
      <c r="CE547" s="457">
        <v>5</v>
      </c>
      <c r="CF547" s="464">
        <v>26</v>
      </c>
      <c r="CG547" s="466">
        <v>4</v>
      </c>
      <c r="CH547" s="465">
        <v>16</v>
      </c>
      <c r="CI547" s="457">
        <v>3</v>
      </c>
      <c r="CJ547" s="464">
        <v>54</v>
      </c>
      <c r="CK547" s="466">
        <v>3</v>
      </c>
      <c r="CL547" s="459">
        <v>2</v>
      </c>
      <c r="CM547" s="624">
        <v>2</v>
      </c>
      <c r="CN547" s="468">
        <f t="shared" si="269"/>
        <v>261</v>
      </c>
      <c r="CO547" s="468">
        <f t="shared" si="270"/>
        <v>10</v>
      </c>
      <c r="CP547" s="469">
        <f t="shared" si="271"/>
        <v>248</v>
      </c>
      <c r="CQ547" s="469">
        <f t="shared" si="272"/>
        <v>10</v>
      </c>
      <c r="CR547" s="463">
        <v>52</v>
      </c>
      <c r="CS547" s="457">
        <v>2</v>
      </c>
      <c r="CT547" s="625">
        <v>52</v>
      </c>
      <c r="CU547" s="625">
        <v>5</v>
      </c>
      <c r="CV547" s="465"/>
      <c r="CW547" s="457"/>
      <c r="CX547" s="625"/>
      <c r="CY547" s="626"/>
      <c r="CZ547" s="465"/>
      <c r="DA547" s="457"/>
      <c r="DB547" s="625"/>
      <c r="DC547" s="626"/>
      <c r="DD547" s="465"/>
      <c r="DE547" s="457"/>
      <c r="DF547" s="464"/>
      <c r="DG547" s="466"/>
      <c r="DH547" s="465"/>
      <c r="DI547" s="457"/>
      <c r="DJ547" s="464"/>
      <c r="DK547" s="466"/>
      <c r="DL547" s="465"/>
      <c r="DM547" s="457"/>
      <c r="DN547" s="464"/>
      <c r="DO547" s="466"/>
      <c r="DP547" s="465"/>
      <c r="DQ547" s="457"/>
      <c r="DR547" s="464"/>
      <c r="DS547" s="466"/>
      <c r="DT547" s="465"/>
      <c r="DU547" s="457"/>
      <c r="DV547" s="464"/>
      <c r="DW547" s="466"/>
      <c r="DX547" s="465"/>
      <c r="DY547" s="457"/>
      <c r="DZ547" s="464"/>
      <c r="EA547" s="466"/>
      <c r="EB547" s="465"/>
      <c r="EC547" s="457"/>
      <c r="ED547" s="464"/>
      <c r="EE547" s="466"/>
      <c r="EF547" s="459"/>
      <c r="EG547" s="450"/>
      <c r="EH547" s="460">
        <f t="shared" si="273"/>
        <v>2</v>
      </c>
      <c r="EI547" s="460">
        <f t="shared" si="274"/>
        <v>1</v>
      </c>
      <c r="EJ547" s="458">
        <f t="shared" si="275"/>
        <v>1</v>
      </c>
      <c r="EK547" s="470">
        <f t="shared" si="276"/>
        <v>5</v>
      </c>
      <c r="EL547" s="470">
        <f t="shared" si="277"/>
        <v>1</v>
      </c>
      <c r="EM547" s="449">
        <f t="shared" si="278"/>
        <v>1</v>
      </c>
      <c r="EN547" s="460">
        <f t="shared" si="279"/>
        <v>263</v>
      </c>
      <c r="EO547" s="469">
        <f t="shared" si="280"/>
        <v>253</v>
      </c>
      <c r="EP547" s="471"/>
      <c r="EQ547" s="450"/>
      <c r="ER547" s="471"/>
      <c r="ES547" s="450"/>
      <c r="ET547" s="471"/>
      <c r="EU547" s="450"/>
      <c r="EV547" s="471"/>
      <c r="EW547" s="628"/>
      <c r="EX547" s="471"/>
      <c r="EY547" s="450"/>
      <c r="EZ547" s="471"/>
      <c r="FA547" s="450"/>
      <c r="FB547" s="471"/>
      <c r="FC547" s="450"/>
      <c r="FD547" s="471"/>
      <c r="FE547" s="450"/>
      <c r="FF547" s="471"/>
      <c r="FG547" s="450"/>
      <c r="FH547" s="472"/>
      <c r="FI547" s="450"/>
      <c r="FJ547" s="468">
        <f t="shared" si="281"/>
        <v>0</v>
      </c>
      <c r="FK547" s="469">
        <f t="shared" si="282"/>
        <v>0</v>
      </c>
      <c r="FL547" s="472"/>
      <c r="FM547" s="450"/>
      <c r="FN547" s="460">
        <f t="shared" si="283"/>
        <v>1029</v>
      </c>
      <c r="FO547" s="469">
        <f t="shared" si="284"/>
        <v>1058</v>
      </c>
    </row>
    <row r="548" spans="1:171" x14ac:dyDescent="0.2">
      <c r="A548" s="543" t="s">
        <v>854</v>
      </c>
      <c r="B548" s="544" t="s">
        <v>875</v>
      </c>
      <c r="C548" s="545"/>
      <c r="D548" s="631">
        <v>224554</v>
      </c>
      <c r="E548" s="632">
        <v>3</v>
      </c>
      <c r="F548" s="532"/>
      <c r="G548" s="450"/>
      <c r="H548" s="457"/>
      <c r="I548" s="450"/>
      <c r="J548" s="457"/>
      <c r="K548" s="450"/>
      <c r="L548" s="458">
        <f t="shared" si="261"/>
        <v>0</v>
      </c>
      <c r="M548" s="449">
        <f t="shared" si="262"/>
        <v>0</v>
      </c>
      <c r="N548" s="459">
        <v>1313</v>
      </c>
      <c r="O548" s="459"/>
      <c r="P548" s="459"/>
      <c r="Q548" s="459"/>
      <c r="R548" s="460">
        <f t="shared" si="263"/>
        <v>0</v>
      </c>
      <c r="S548" s="650">
        <v>1507</v>
      </c>
      <c r="T548" s="461"/>
      <c r="U548" s="461"/>
      <c r="V548" s="461"/>
      <c r="W548" s="462">
        <f t="shared" si="264"/>
        <v>0</v>
      </c>
      <c r="X548" s="463"/>
      <c r="Y548" s="457"/>
      <c r="Z548" s="464"/>
      <c r="AA548" s="464"/>
      <c r="AB548" s="465"/>
      <c r="AC548" s="457"/>
      <c r="AD548" s="464"/>
      <c r="AE548" s="466"/>
      <c r="AF548" s="465"/>
      <c r="AG548" s="457"/>
      <c r="AH548" s="464"/>
      <c r="AI548" s="466"/>
      <c r="AJ548" s="465"/>
      <c r="AK548" s="457"/>
      <c r="AL548" s="464"/>
      <c r="AM548" s="466"/>
      <c r="AN548" s="465"/>
      <c r="AO548" s="457"/>
      <c r="AP548" s="464"/>
      <c r="AQ548" s="464"/>
      <c r="AR548" s="460">
        <f t="shared" si="265"/>
        <v>0</v>
      </c>
      <c r="AS548" s="467">
        <f t="shared" si="266"/>
        <v>0.51289062500000004</v>
      </c>
      <c r="AT548" s="447">
        <f t="shared" si="267"/>
        <v>0</v>
      </c>
      <c r="AU548" s="448">
        <f t="shared" si="268"/>
        <v>0.51188858695652173</v>
      </c>
      <c r="AV548" s="457"/>
      <c r="AW548" s="450"/>
      <c r="AX548" s="463">
        <v>52</v>
      </c>
      <c r="AY548" s="457">
        <v>426</v>
      </c>
      <c r="AZ548" s="464">
        <v>52</v>
      </c>
      <c r="BA548" s="464">
        <v>607</v>
      </c>
      <c r="BB548" s="465">
        <v>13</v>
      </c>
      <c r="BC548" s="457">
        <v>397</v>
      </c>
      <c r="BD548" s="464">
        <v>13</v>
      </c>
      <c r="BE548" s="466">
        <v>405</v>
      </c>
      <c r="BF548" s="465">
        <v>11</v>
      </c>
      <c r="BG548" s="457">
        <v>138</v>
      </c>
      <c r="BH548" s="464">
        <v>11</v>
      </c>
      <c r="BI548" s="466">
        <v>121</v>
      </c>
      <c r="BJ548" s="465">
        <v>44</v>
      </c>
      <c r="BK548" s="457">
        <v>76</v>
      </c>
      <c r="BL548" s="464">
        <v>44</v>
      </c>
      <c r="BM548" s="466">
        <v>64</v>
      </c>
      <c r="BN548" s="465">
        <v>15</v>
      </c>
      <c r="BO548" s="457">
        <v>32</v>
      </c>
      <c r="BP548" s="464">
        <v>15</v>
      </c>
      <c r="BQ548" s="466">
        <v>53</v>
      </c>
      <c r="BR548" s="465">
        <v>31</v>
      </c>
      <c r="BS548" s="457">
        <v>21</v>
      </c>
      <c r="BT548" s="771">
        <v>23</v>
      </c>
      <c r="BU548" s="772">
        <v>24</v>
      </c>
      <c r="BV548" s="465">
        <v>50</v>
      </c>
      <c r="BW548" s="457">
        <v>19</v>
      </c>
      <c r="BX548" s="464">
        <v>42</v>
      </c>
      <c r="BY548" s="466">
        <v>20</v>
      </c>
      <c r="BZ548" s="465">
        <v>25</v>
      </c>
      <c r="CA548" s="457">
        <v>16</v>
      </c>
      <c r="CB548" s="464">
        <v>50</v>
      </c>
      <c r="CC548" s="466">
        <v>19</v>
      </c>
      <c r="CD548" s="465">
        <v>42</v>
      </c>
      <c r="CE548" s="457">
        <v>16</v>
      </c>
      <c r="CF548" s="464">
        <v>40</v>
      </c>
      <c r="CG548" s="466">
        <v>18</v>
      </c>
      <c r="CH548" s="465">
        <v>23</v>
      </c>
      <c r="CI548" s="457">
        <v>13</v>
      </c>
      <c r="CJ548" s="464">
        <v>31</v>
      </c>
      <c r="CK548" s="466">
        <v>15</v>
      </c>
      <c r="CL548" s="459">
        <v>42</v>
      </c>
      <c r="CM548" s="624">
        <v>57</v>
      </c>
      <c r="CN548" s="468">
        <f t="shared" si="269"/>
        <v>1196</v>
      </c>
      <c r="CO548" s="468">
        <f t="shared" si="270"/>
        <v>10</v>
      </c>
      <c r="CP548" s="469">
        <f t="shared" si="271"/>
        <v>1403</v>
      </c>
      <c r="CQ548" s="469">
        <f t="shared" si="272"/>
        <v>10</v>
      </c>
      <c r="CR548" s="463">
        <v>13</v>
      </c>
      <c r="CS548" s="457">
        <v>39</v>
      </c>
      <c r="CT548" s="625">
        <v>13</v>
      </c>
      <c r="CU548" s="625">
        <v>26</v>
      </c>
      <c r="CV548" s="465">
        <v>23</v>
      </c>
      <c r="CW548" s="457">
        <v>6</v>
      </c>
      <c r="CX548" s="625">
        <v>42</v>
      </c>
      <c r="CY548" s="626">
        <v>5</v>
      </c>
      <c r="CZ548" s="465">
        <v>42</v>
      </c>
      <c r="DA548" s="457">
        <v>6</v>
      </c>
      <c r="DB548" s="625">
        <v>23</v>
      </c>
      <c r="DC548" s="626">
        <v>3</v>
      </c>
      <c r="DD548" s="465"/>
      <c r="DE548" s="457"/>
      <c r="DF548" s="464"/>
      <c r="DG548" s="466"/>
      <c r="DH548" s="465"/>
      <c r="DI548" s="457"/>
      <c r="DJ548" s="464"/>
      <c r="DK548" s="466"/>
      <c r="DL548" s="465"/>
      <c r="DM548" s="457"/>
      <c r="DN548" s="464"/>
      <c r="DO548" s="466"/>
      <c r="DP548" s="465"/>
      <c r="DQ548" s="457"/>
      <c r="DR548" s="464"/>
      <c r="DS548" s="466"/>
      <c r="DT548" s="465"/>
      <c r="DU548" s="457"/>
      <c r="DV548" s="464"/>
      <c r="DW548" s="466"/>
      <c r="DX548" s="465"/>
      <c r="DY548" s="457"/>
      <c r="DZ548" s="464"/>
      <c r="EA548" s="466"/>
      <c r="EB548" s="465"/>
      <c r="EC548" s="457"/>
      <c r="ED548" s="464"/>
      <c r="EE548" s="466"/>
      <c r="EF548" s="459"/>
      <c r="EG548" s="450"/>
      <c r="EH548" s="460">
        <f t="shared" si="273"/>
        <v>51</v>
      </c>
      <c r="EI548" s="460">
        <f t="shared" si="274"/>
        <v>3</v>
      </c>
      <c r="EJ548" s="458">
        <f t="shared" si="275"/>
        <v>0.76470588235294112</v>
      </c>
      <c r="EK548" s="470">
        <f t="shared" si="276"/>
        <v>34</v>
      </c>
      <c r="EL548" s="470">
        <f t="shared" si="277"/>
        <v>3</v>
      </c>
      <c r="EM548" s="449">
        <f t="shared" si="278"/>
        <v>0.76470588235294112</v>
      </c>
      <c r="EN548" s="460">
        <f t="shared" si="279"/>
        <v>1247</v>
      </c>
      <c r="EO548" s="469">
        <f t="shared" si="280"/>
        <v>1437</v>
      </c>
      <c r="EP548" s="471"/>
      <c r="EQ548" s="450"/>
      <c r="ER548" s="471"/>
      <c r="ES548" s="450"/>
      <c r="ET548" s="471"/>
      <c r="EU548" s="450"/>
      <c r="EV548" s="471"/>
      <c r="EW548" s="628"/>
      <c r="EX548" s="471"/>
      <c r="EY548" s="450"/>
      <c r="EZ548" s="471"/>
      <c r="FA548" s="450"/>
      <c r="FB548" s="471"/>
      <c r="FC548" s="450"/>
      <c r="FD548" s="471"/>
      <c r="FE548" s="450"/>
      <c r="FF548" s="471"/>
      <c r="FG548" s="450"/>
      <c r="FH548" s="472"/>
      <c r="FI548" s="450"/>
      <c r="FJ548" s="468">
        <f t="shared" si="281"/>
        <v>0</v>
      </c>
      <c r="FK548" s="469">
        <f t="shared" si="282"/>
        <v>0</v>
      </c>
      <c r="FL548" s="472"/>
      <c r="FM548" s="450"/>
      <c r="FN548" s="460">
        <f t="shared" si="283"/>
        <v>2560</v>
      </c>
      <c r="FO548" s="469">
        <f t="shared" si="284"/>
        <v>2944</v>
      </c>
    </row>
    <row r="549" spans="1:171" x14ac:dyDescent="0.2">
      <c r="A549" s="543" t="s">
        <v>854</v>
      </c>
      <c r="B549" s="544" t="s">
        <v>876</v>
      </c>
      <c r="C549" s="545"/>
      <c r="D549" s="631">
        <v>224147</v>
      </c>
      <c r="E549" s="632">
        <v>3</v>
      </c>
      <c r="F549" s="532"/>
      <c r="G549" s="450"/>
      <c r="H549" s="457"/>
      <c r="I549" s="450"/>
      <c r="J549" s="457"/>
      <c r="K549" s="450"/>
      <c r="L549" s="458">
        <f t="shared" si="261"/>
        <v>0</v>
      </c>
      <c r="M549" s="449">
        <f t="shared" si="262"/>
        <v>0</v>
      </c>
      <c r="N549" s="459">
        <v>1315</v>
      </c>
      <c r="O549" s="459"/>
      <c r="P549" s="459"/>
      <c r="Q549" s="459"/>
      <c r="R549" s="460">
        <f t="shared" si="263"/>
        <v>0</v>
      </c>
      <c r="S549" s="650">
        <v>1515</v>
      </c>
      <c r="T549" s="461"/>
      <c r="U549" s="461"/>
      <c r="V549" s="461"/>
      <c r="W549" s="462">
        <f t="shared" si="264"/>
        <v>0</v>
      </c>
      <c r="X549" s="463"/>
      <c r="Y549" s="457"/>
      <c r="Z549" s="464"/>
      <c r="AA549" s="464"/>
      <c r="AB549" s="465"/>
      <c r="AC549" s="457"/>
      <c r="AD549" s="464"/>
      <c r="AE549" s="466"/>
      <c r="AF549" s="465"/>
      <c r="AG549" s="457"/>
      <c r="AH549" s="464"/>
      <c r="AI549" s="466"/>
      <c r="AJ549" s="465"/>
      <c r="AK549" s="457"/>
      <c r="AL549" s="464"/>
      <c r="AM549" s="466"/>
      <c r="AN549" s="465"/>
      <c r="AO549" s="457"/>
      <c r="AP549" s="464"/>
      <c r="AQ549" s="464"/>
      <c r="AR549" s="460">
        <f t="shared" si="265"/>
        <v>0</v>
      </c>
      <c r="AS549" s="467">
        <f t="shared" si="266"/>
        <v>0.70058604155567394</v>
      </c>
      <c r="AT549" s="447">
        <f t="shared" si="267"/>
        <v>0</v>
      </c>
      <c r="AU549" s="448">
        <f t="shared" si="268"/>
        <v>0.73153066151617574</v>
      </c>
      <c r="AV549" s="457"/>
      <c r="AW549" s="450"/>
      <c r="AX549" s="463">
        <v>13</v>
      </c>
      <c r="AY549" s="457">
        <v>186</v>
      </c>
      <c r="AZ549" s="464">
        <v>13</v>
      </c>
      <c r="BA549" s="464">
        <v>198</v>
      </c>
      <c r="BB549" s="465">
        <v>52</v>
      </c>
      <c r="BC549" s="457">
        <v>116</v>
      </c>
      <c r="BD549" s="464">
        <v>51</v>
      </c>
      <c r="BE549" s="466">
        <v>103</v>
      </c>
      <c r="BF549" s="465">
        <v>51</v>
      </c>
      <c r="BG549" s="457">
        <v>86</v>
      </c>
      <c r="BH549" s="464">
        <v>52</v>
      </c>
      <c r="BI549" s="466">
        <v>103</v>
      </c>
      <c r="BJ549" s="465">
        <v>11</v>
      </c>
      <c r="BK549" s="457">
        <v>37</v>
      </c>
      <c r="BL549" s="464">
        <v>11</v>
      </c>
      <c r="BM549" s="466">
        <v>36</v>
      </c>
      <c r="BN549" s="465">
        <v>9</v>
      </c>
      <c r="BO549" s="457">
        <v>18</v>
      </c>
      <c r="BP549" s="464">
        <v>44</v>
      </c>
      <c r="BQ549" s="466">
        <v>13</v>
      </c>
      <c r="BR549" s="465">
        <v>3</v>
      </c>
      <c r="BS549" s="457">
        <v>12</v>
      </c>
      <c r="BT549" s="771">
        <v>23</v>
      </c>
      <c r="BU549" s="772">
        <v>12</v>
      </c>
      <c r="BV549" s="465">
        <v>50</v>
      </c>
      <c r="BW549" s="457">
        <v>12</v>
      </c>
      <c r="BX549" s="464">
        <v>26</v>
      </c>
      <c r="BY549" s="466">
        <v>12</v>
      </c>
      <c r="BZ549" s="465">
        <v>42</v>
      </c>
      <c r="CA549" s="457">
        <v>11</v>
      </c>
      <c r="CB549" s="464">
        <v>3</v>
      </c>
      <c r="CC549" s="466">
        <v>11</v>
      </c>
      <c r="CD549" s="465">
        <v>44</v>
      </c>
      <c r="CE549" s="457">
        <v>11</v>
      </c>
      <c r="CF549" s="464">
        <v>42</v>
      </c>
      <c r="CG549" s="466">
        <v>9</v>
      </c>
      <c r="CH549" s="465">
        <v>26</v>
      </c>
      <c r="CI549" s="457">
        <v>10</v>
      </c>
      <c r="CJ549" s="464">
        <v>9</v>
      </c>
      <c r="CK549" s="466">
        <v>8</v>
      </c>
      <c r="CL549" s="459">
        <v>33</v>
      </c>
      <c r="CM549" s="624">
        <v>22</v>
      </c>
      <c r="CN549" s="468">
        <f t="shared" si="269"/>
        <v>532</v>
      </c>
      <c r="CO549" s="468">
        <f t="shared" si="270"/>
        <v>10</v>
      </c>
      <c r="CP549" s="469">
        <f t="shared" si="271"/>
        <v>527</v>
      </c>
      <c r="CQ549" s="469">
        <f t="shared" si="272"/>
        <v>10</v>
      </c>
      <c r="CR549" s="463">
        <v>13</v>
      </c>
      <c r="CS549" s="457">
        <v>28</v>
      </c>
      <c r="CT549" s="625">
        <v>13</v>
      </c>
      <c r="CU549" s="625">
        <v>25</v>
      </c>
      <c r="CV549" s="465">
        <v>3</v>
      </c>
      <c r="CW549" s="457">
        <v>1</v>
      </c>
      <c r="CX549" s="625">
        <v>3</v>
      </c>
      <c r="CY549" s="626">
        <v>4</v>
      </c>
      <c r="CZ549" s="465">
        <v>26</v>
      </c>
      <c r="DA549" s="457">
        <v>1</v>
      </c>
      <c r="DB549" s="625">
        <v>0</v>
      </c>
      <c r="DC549" s="626">
        <v>0</v>
      </c>
      <c r="DD549" s="465"/>
      <c r="DE549" s="457"/>
      <c r="DF549" s="464"/>
      <c r="DG549" s="466"/>
      <c r="DH549" s="465"/>
      <c r="DI549" s="457"/>
      <c r="DJ549" s="464"/>
      <c r="DK549" s="466"/>
      <c r="DL549" s="465"/>
      <c r="DM549" s="457"/>
      <c r="DN549" s="464"/>
      <c r="DO549" s="466"/>
      <c r="DP549" s="465"/>
      <c r="DQ549" s="457"/>
      <c r="DR549" s="464"/>
      <c r="DS549" s="466"/>
      <c r="DT549" s="465"/>
      <c r="DU549" s="457"/>
      <c r="DV549" s="464"/>
      <c r="DW549" s="466"/>
      <c r="DX549" s="465"/>
      <c r="DY549" s="457"/>
      <c r="DZ549" s="464"/>
      <c r="EA549" s="466"/>
      <c r="EB549" s="465"/>
      <c r="EC549" s="457"/>
      <c r="ED549" s="464"/>
      <c r="EE549" s="466"/>
      <c r="EF549" s="459"/>
      <c r="EG549" s="450"/>
      <c r="EH549" s="460">
        <f t="shared" si="273"/>
        <v>30</v>
      </c>
      <c r="EI549" s="460">
        <f t="shared" si="274"/>
        <v>3</v>
      </c>
      <c r="EJ549" s="458">
        <f t="shared" si="275"/>
        <v>0.93333333333333335</v>
      </c>
      <c r="EK549" s="470">
        <f t="shared" si="276"/>
        <v>29</v>
      </c>
      <c r="EL549" s="470">
        <f t="shared" si="277"/>
        <v>3</v>
      </c>
      <c r="EM549" s="449">
        <f t="shared" si="278"/>
        <v>0.86206896551724133</v>
      </c>
      <c r="EN549" s="460">
        <f t="shared" si="279"/>
        <v>562</v>
      </c>
      <c r="EO549" s="469">
        <f t="shared" si="280"/>
        <v>556</v>
      </c>
      <c r="EP549" s="471"/>
      <c r="EQ549" s="450"/>
      <c r="ER549" s="471"/>
      <c r="ES549" s="450"/>
      <c r="ET549" s="471"/>
      <c r="EU549" s="450"/>
      <c r="EV549" s="471"/>
      <c r="EW549" s="628"/>
      <c r="EX549" s="471"/>
      <c r="EY549" s="450"/>
      <c r="EZ549" s="471"/>
      <c r="FA549" s="450"/>
      <c r="FB549" s="471"/>
      <c r="FC549" s="450"/>
      <c r="FD549" s="471"/>
      <c r="FE549" s="450"/>
      <c r="FF549" s="471"/>
      <c r="FG549" s="450"/>
      <c r="FH549" s="472"/>
      <c r="FI549" s="450"/>
      <c r="FJ549" s="468">
        <f t="shared" si="281"/>
        <v>0</v>
      </c>
      <c r="FK549" s="469">
        <f t="shared" si="282"/>
        <v>0</v>
      </c>
      <c r="FL549" s="472"/>
      <c r="FM549" s="450"/>
      <c r="FN549" s="460">
        <f t="shared" si="283"/>
        <v>1877</v>
      </c>
      <c r="FO549" s="469">
        <f t="shared" si="284"/>
        <v>2071</v>
      </c>
    </row>
    <row r="550" spans="1:171" x14ac:dyDescent="0.2">
      <c r="A550" s="543" t="s">
        <v>854</v>
      </c>
      <c r="B550" s="544" t="s">
        <v>877</v>
      </c>
      <c r="C550" s="545"/>
      <c r="D550" s="631">
        <v>228705</v>
      </c>
      <c r="E550" s="632">
        <v>3</v>
      </c>
      <c r="F550" s="532"/>
      <c r="G550" s="450"/>
      <c r="H550" s="457"/>
      <c r="I550" s="450"/>
      <c r="J550" s="457"/>
      <c r="K550" s="450"/>
      <c r="L550" s="458">
        <f t="shared" si="261"/>
        <v>0</v>
      </c>
      <c r="M550" s="449">
        <f t="shared" si="262"/>
        <v>0</v>
      </c>
      <c r="N550" s="459">
        <v>738</v>
      </c>
      <c r="O550" s="459"/>
      <c r="P550" s="459"/>
      <c r="Q550" s="459"/>
      <c r="R550" s="460">
        <f t="shared" si="263"/>
        <v>0</v>
      </c>
      <c r="S550" s="650">
        <v>855</v>
      </c>
      <c r="T550" s="461"/>
      <c r="U550" s="461"/>
      <c r="V550" s="461"/>
      <c r="W550" s="462">
        <f t="shared" si="264"/>
        <v>0</v>
      </c>
      <c r="X550" s="463"/>
      <c r="Y550" s="457"/>
      <c r="Z550" s="464"/>
      <c r="AA550" s="464"/>
      <c r="AB550" s="465"/>
      <c r="AC550" s="457"/>
      <c r="AD550" s="464"/>
      <c r="AE550" s="466"/>
      <c r="AF550" s="465"/>
      <c r="AG550" s="457"/>
      <c r="AH550" s="464"/>
      <c r="AI550" s="466"/>
      <c r="AJ550" s="465"/>
      <c r="AK550" s="457"/>
      <c r="AL550" s="464"/>
      <c r="AM550" s="466"/>
      <c r="AN550" s="465"/>
      <c r="AO550" s="457"/>
      <c r="AP550" s="464"/>
      <c r="AQ550" s="464"/>
      <c r="AR550" s="460">
        <f t="shared" si="265"/>
        <v>0</v>
      </c>
      <c r="AS550" s="467">
        <f t="shared" si="266"/>
        <v>0.6029411764705882</v>
      </c>
      <c r="AT550" s="447">
        <f t="shared" si="267"/>
        <v>0</v>
      </c>
      <c r="AU550" s="448">
        <f t="shared" si="268"/>
        <v>0.666406858924396</v>
      </c>
      <c r="AV550" s="457"/>
      <c r="AW550" s="450"/>
      <c r="AX550" s="463">
        <v>14</v>
      </c>
      <c r="AY550" s="457">
        <v>168</v>
      </c>
      <c r="AZ550" s="464">
        <v>14</v>
      </c>
      <c r="BA550" s="464">
        <v>130</v>
      </c>
      <c r="BB550" s="465">
        <v>13</v>
      </c>
      <c r="BC550" s="457">
        <v>87</v>
      </c>
      <c r="BD550" s="464">
        <v>13</v>
      </c>
      <c r="BE550" s="466">
        <v>87</v>
      </c>
      <c r="BF550" s="465">
        <v>11</v>
      </c>
      <c r="BG550" s="457">
        <v>73</v>
      </c>
      <c r="BH550" s="464">
        <v>11</v>
      </c>
      <c r="BI550" s="466">
        <v>46</v>
      </c>
      <c r="BJ550" s="465">
        <v>51</v>
      </c>
      <c r="BK550" s="457">
        <v>28</v>
      </c>
      <c r="BL550" s="464">
        <v>1</v>
      </c>
      <c r="BM550" s="466">
        <v>28</v>
      </c>
      <c r="BN550" s="465">
        <v>1</v>
      </c>
      <c r="BO550" s="457">
        <v>27</v>
      </c>
      <c r="BP550" s="464">
        <v>51</v>
      </c>
      <c r="BQ550" s="466">
        <v>21</v>
      </c>
      <c r="BR550" s="465">
        <v>42</v>
      </c>
      <c r="BS550" s="457">
        <v>14</v>
      </c>
      <c r="BT550" s="771">
        <v>42</v>
      </c>
      <c r="BU550" s="772">
        <v>18</v>
      </c>
      <c r="BV550" s="465">
        <v>40</v>
      </c>
      <c r="BW550" s="457">
        <v>13</v>
      </c>
      <c r="BX550" s="464">
        <v>45</v>
      </c>
      <c r="BY550" s="466">
        <v>13</v>
      </c>
      <c r="BZ550" s="465">
        <v>52</v>
      </c>
      <c r="CA550" s="457">
        <v>12</v>
      </c>
      <c r="CB550" s="464">
        <v>19</v>
      </c>
      <c r="CC550" s="466">
        <v>11</v>
      </c>
      <c r="CD550" s="465">
        <v>3</v>
      </c>
      <c r="CE550" s="457">
        <v>10</v>
      </c>
      <c r="CF550" s="464">
        <v>26</v>
      </c>
      <c r="CG550" s="466">
        <v>9</v>
      </c>
      <c r="CH550" s="465">
        <v>15</v>
      </c>
      <c r="CI550" s="457">
        <v>6</v>
      </c>
      <c r="CJ550" s="464">
        <v>15</v>
      </c>
      <c r="CK550" s="466">
        <v>8</v>
      </c>
      <c r="CL550" s="459">
        <v>26</v>
      </c>
      <c r="CM550" s="624">
        <v>28</v>
      </c>
      <c r="CN550" s="468">
        <f t="shared" si="269"/>
        <v>464</v>
      </c>
      <c r="CO550" s="468">
        <f t="shared" si="270"/>
        <v>10</v>
      </c>
      <c r="CP550" s="469">
        <f t="shared" si="271"/>
        <v>399</v>
      </c>
      <c r="CQ550" s="469">
        <f t="shared" si="272"/>
        <v>10</v>
      </c>
      <c r="CR550" s="463">
        <v>13</v>
      </c>
      <c r="CS550" s="457">
        <v>16</v>
      </c>
      <c r="CT550" s="625">
        <v>13</v>
      </c>
      <c r="CU550" s="625">
        <v>18</v>
      </c>
      <c r="CV550" s="465">
        <v>3</v>
      </c>
      <c r="CW550" s="457">
        <v>5</v>
      </c>
      <c r="CX550" s="625">
        <v>3</v>
      </c>
      <c r="CY550" s="626">
        <v>6</v>
      </c>
      <c r="CZ550" s="465">
        <v>14</v>
      </c>
      <c r="DA550" s="457">
        <v>1</v>
      </c>
      <c r="DB550" s="625">
        <v>14</v>
      </c>
      <c r="DC550" s="626">
        <v>5</v>
      </c>
      <c r="DD550" s="465"/>
      <c r="DE550" s="457"/>
      <c r="DF550" s="464"/>
      <c r="DG550" s="466"/>
      <c r="DH550" s="465"/>
      <c r="DI550" s="457"/>
      <c r="DJ550" s="464"/>
      <c r="DK550" s="466"/>
      <c r="DL550" s="465"/>
      <c r="DM550" s="457"/>
      <c r="DN550" s="464"/>
      <c r="DO550" s="466"/>
      <c r="DP550" s="465"/>
      <c r="DQ550" s="457"/>
      <c r="DR550" s="464"/>
      <c r="DS550" s="466"/>
      <c r="DT550" s="465"/>
      <c r="DU550" s="457"/>
      <c r="DV550" s="464"/>
      <c r="DW550" s="466"/>
      <c r="DX550" s="465"/>
      <c r="DY550" s="457"/>
      <c r="DZ550" s="464"/>
      <c r="EA550" s="466"/>
      <c r="EB550" s="465"/>
      <c r="EC550" s="457"/>
      <c r="ED550" s="464"/>
      <c r="EE550" s="466"/>
      <c r="EF550" s="459"/>
      <c r="EG550" s="450"/>
      <c r="EH550" s="460">
        <f t="shared" si="273"/>
        <v>22</v>
      </c>
      <c r="EI550" s="460">
        <f t="shared" si="274"/>
        <v>3</v>
      </c>
      <c r="EJ550" s="458">
        <f t="shared" si="275"/>
        <v>0.72727272727272729</v>
      </c>
      <c r="EK550" s="470">
        <f t="shared" si="276"/>
        <v>29</v>
      </c>
      <c r="EL550" s="470">
        <f t="shared" si="277"/>
        <v>3</v>
      </c>
      <c r="EM550" s="449">
        <f t="shared" si="278"/>
        <v>0.62068965517241381</v>
      </c>
      <c r="EN550" s="460">
        <f t="shared" si="279"/>
        <v>486</v>
      </c>
      <c r="EO550" s="469">
        <f t="shared" si="280"/>
        <v>428</v>
      </c>
      <c r="EP550" s="471"/>
      <c r="EQ550" s="450"/>
      <c r="ER550" s="471"/>
      <c r="ES550" s="450"/>
      <c r="ET550" s="471"/>
      <c r="EU550" s="450"/>
      <c r="EV550" s="471"/>
      <c r="EW550" s="628"/>
      <c r="EX550" s="471"/>
      <c r="EY550" s="450"/>
      <c r="EZ550" s="471"/>
      <c r="FA550" s="450"/>
      <c r="FB550" s="471"/>
      <c r="FC550" s="450"/>
      <c r="FD550" s="471"/>
      <c r="FE550" s="450"/>
      <c r="FF550" s="471"/>
      <c r="FG550" s="450"/>
      <c r="FH550" s="472"/>
      <c r="FI550" s="450"/>
      <c r="FJ550" s="468">
        <f t="shared" si="281"/>
        <v>0</v>
      </c>
      <c r="FK550" s="469">
        <f t="shared" si="282"/>
        <v>0</v>
      </c>
      <c r="FL550" s="472"/>
      <c r="FM550" s="450"/>
      <c r="FN550" s="460">
        <f t="shared" si="283"/>
        <v>1224</v>
      </c>
      <c r="FO550" s="469">
        <f t="shared" si="284"/>
        <v>1283</v>
      </c>
    </row>
    <row r="551" spans="1:171" x14ac:dyDescent="0.2">
      <c r="A551" s="543" t="s">
        <v>854</v>
      </c>
      <c r="B551" s="544" t="s">
        <v>878</v>
      </c>
      <c r="C551" s="545"/>
      <c r="D551" s="631">
        <v>229063</v>
      </c>
      <c r="E551" s="632">
        <v>3</v>
      </c>
      <c r="F551" s="532"/>
      <c r="G551" s="450"/>
      <c r="H551" s="457"/>
      <c r="I551" s="450"/>
      <c r="J551" s="457"/>
      <c r="K551" s="450"/>
      <c r="L551" s="458">
        <f t="shared" si="261"/>
        <v>0</v>
      </c>
      <c r="M551" s="449">
        <f t="shared" si="262"/>
        <v>0</v>
      </c>
      <c r="N551" s="459">
        <v>721</v>
      </c>
      <c r="O551" s="459"/>
      <c r="P551" s="459"/>
      <c r="Q551" s="459"/>
      <c r="R551" s="460">
        <f t="shared" si="263"/>
        <v>0</v>
      </c>
      <c r="S551" s="650">
        <v>737</v>
      </c>
      <c r="T551" s="461"/>
      <c r="U551" s="461"/>
      <c r="V551" s="461"/>
      <c r="W551" s="462">
        <f t="shared" si="264"/>
        <v>0</v>
      </c>
      <c r="X551" s="463"/>
      <c r="Y551" s="457"/>
      <c r="Z551" s="464"/>
      <c r="AA551" s="464"/>
      <c r="AB551" s="465"/>
      <c r="AC551" s="457"/>
      <c r="AD551" s="464"/>
      <c r="AE551" s="466"/>
      <c r="AF551" s="465"/>
      <c r="AG551" s="457"/>
      <c r="AH551" s="464"/>
      <c r="AI551" s="466"/>
      <c r="AJ551" s="465"/>
      <c r="AK551" s="457"/>
      <c r="AL551" s="464"/>
      <c r="AM551" s="466"/>
      <c r="AN551" s="465"/>
      <c r="AO551" s="457"/>
      <c r="AP551" s="464"/>
      <c r="AQ551" s="464"/>
      <c r="AR551" s="460">
        <f t="shared" si="265"/>
        <v>0</v>
      </c>
      <c r="AS551" s="467">
        <f t="shared" si="266"/>
        <v>0.56460454189506659</v>
      </c>
      <c r="AT551" s="447">
        <f t="shared" si="267"/>
        <v>0</v>
      </c>
      <c r="AU551" s="448">
        <f t="shared" si="268"/>
        <v>0.55496987951807231</v>
      </c>
      <c r="AV551" s="457"/>
      <c r="AW551" s="450"/>
      <c r="AX551" s="463">
        <v>52</v>
      </c>
      <c r="AY551" s="457">
        <v>96</v>
      </c>
      <c r="AZ551" s="464">
        <v>44</v>
      </c>
      <c r="BA551" s="464">
        <v>84</v>
      </c>
      <c r="BB551" s="465">
        <v>13</v>
      </c>
      <c r="BC551" s="457">
        <v>51</v>
      </c>
      <c r="BD551" s="464">
        <v>52</v>
      </c>
      <c r="BE551" s="466">
        <v>64</v>
      </c>
      <c r="BF551" s="465">
        <v>44</v>
      </c>
      <c r="BG551" s="457">
        <v>41</v>
      </c>
      <c r="BH551" s="464">
        <v>13</v>
      </c>
      <c r="BI551" s="466">
        <v>43</v>
      </c>
      <c r="BJ551" s="465">
        <v>51</v>
      </c>
      <c r="BK551" s="457">
        <v>18</v>
      </c>
      <c r="BL551" s="464">
        <v>26</v>
      </c>
      <c r="BM551" s="466">
        <v>15</v>
      </c>
      <c r="BN551" s="465">
        <v>42</v>
      </c>
      <c r="BO551" s="457">
        <v>14</v>
      </c>
      <c r="BP551" s="464">
        <v>9</v>
      </c>
      <c r="BQ551" s="466">
        <v>14</v>
      </c>
      <c r="BR551" s="465">
        <v>4</v>
      </c>
      <c r="BS551" s="457">
        <v>9</v>
      </c>
      <c r="BT551" s="771">
        <v>45</v>
      </c>
      <c r="BU551" s="772">
        <v>10</v>
      </c>
      <c r="BV551" s="465">
        <v>19</v>
      </c>
      <c r="BW551" s="457">
        <v>6</v>
      </c>
      <c r="BX551" s="464">
        <v>42</v>
      </c>
      <c r="BY551" s="466">
        <v>8</v>
      </c>
      <c r="BZ551" s="465">
        <v>9</v>
      </c>
      <c r="CA551" s="457">
        <v>5</v>
      </c>
      <c r="CB551" s="464">
        <v>51</v>
      </c>
      <c r="CC551" s="466">
        <v>8</v>
      </c>
      <c r="CD551" s="465">
        <v>45</v>
      </c>
      <c r="CE551" s="457">
        <v>5</v>
      </c>
      <c r="CF551" s="464">
        <v>19</v>
      </c>
      <c r="CG551" s="466">
        <v>7</v>
      </c>
      <c r="CH551" s="465">
        <v>26</v>
      </c>
      <c r="CI551" s="457">
        <v>4</v>
      </c>
      <c r="CJ551" s="464">
        <v>4</v>
      </c>
      <c r="CK551" s="466">
        <v>6</v>
      </c>
      <c r="CL551" s="459">
        <v>12</v>
      </c>
      <c r="CM551" s="624">
        <v>21</v>
      </c>
      <c r="CN551" s="468">
        <f t="shared" si="269"/>
        <v>261</v>
      </c>
      <c r="CO551" s="468">
        <f t="shared" si="270"/>
        <v>10</v>
      </c>
      <c r="CP551" s="469">
        <f t="shared" si="271"/>
        <v>280</v>
      </c>
      <c r="CQ551" s="469">
        <f t="shared" si="272"/>
        <v>10</v>
      </c>
      <c r="CR551" s="463">
        <v>13</v>
      </c>
      <c r="CS551" s="457">
        <v>18</v>
      </c>
      <c r="CT551" s="625">
        <v>13</v>
      </c>
      <c r="CU551" s="625">
        <v>11</v>
      </c>
      <c r="CV551" s="465">
        <v>4</v>
      </c>
      <c r="CW551" s="457">
        <v>2</v>
      </c>
      <c r="CX551" s="625">
        <v>4</v>
      </c>
      <c r="CY551" s="626">
        <v>3</v>
      </c>
      <c r="CZ551" s="465">
        <v>26</v>
      </c>
      <c r="DA551" s="457">
        <v>2</v>
      </c>
      <c r="DB551" s="625">
        <v>51</v>
      </c>
      <c r="DC551" s="626">
        <v>3</v>
      </c>
      <c r="DD551" s="465"/>
      <c r="DE551" s="457"/>
      <c r="DF551" s="464">
        <v>26</v>
      </c>
      <c r="DG551" s="466">
        <v>2</v>
      </c>
      <c r="DH551" s="465"/>
      <c r="DI551" s="457"/>
      <c r="DJ551" s="464">
        <v>43</v>
      </c>
      <c r="DK551" s="466">
        <v>1</v>
      </c>
      <c r="DL551" s="465"/>
      <c r="DM551" s="457"/>
      <c r="DN551" s="464"/>
      <c r="DO551" s="466"/>
      <c r="DP551" s="465"/>
      <c r="DQ551" s="457"/>
      <c r="DR551" s="464"/>
      <c r="DS551" s="466"/>
      <c r="DT551" s="465"/>
      <c r="DU551" s="457"/>
      <c r="DV551" s="464"/>
      <c r="DW551" s="466"/>
      <c r="DX551" s="465"/>
      <c r="DY551" s="457"/>
      <c r="DZ551" s="464"/>
      <c r="EA551" s="466"/>
      <c r="EB551" s="465"/>
      <c r="EC551" s="457"/>
      <c r="ED551" s="464"/>
      <c r="EE551" s="466"/>
      <c r="EF551" s="459"/>
      <c r="EG551" s="450"/>
      <c r="EH551" s="460">
        <f t="shared" si="273"/>
        <v>22</v>
      </c>
      <c r="EI551" s="460">
        <f t="shared" si="274"/>
        <v>3</v>
      </c>
      <c r="EJ551" s="458">
        <f t="shared" si="275"/>
        <v>0.81818181818181823</v>
      </c>
      <c r="EK551" s="470">
        <f t="shared" si="276"/>
        <v>20</v>
      </c>
      <c r="EL551" s="470">
        <f t="shared" si="277"/>
        <v>5</v>
      </c>
      <c r="EM551" s="449">
        <f t="shared" si="278"/>
        <v>0.55000000000000004</v>
      </c>
      <c r="EN551" s="460">
        <f t="shared" si="279"/>
        <v>283</v>
      </c>
      <c r="EO551" s="469">
        <f t="shared" si="280"/>
        <v>300</v>
      </c>
      <c r="EP551" s="471">
        <v>161</v>
      </c>
      <c r="EQ551" s="450">
        <v>179</v>
      </c>
      <c r="ER551" s="471"/>
      <c r="ES551" s="450"/>
      <c r="ET551" s="471"/>
      <c r="EU551" s="450"/>
      <c r="EV551" s="471">
        <v>112</v>
      </c>
      <c r="EW551" s="628">
        <v>112</v>
      </c>
      <c r="EX551" s="471"/>
      <c r="EY551" s="450"/>
      <c r="EZ551" s="471"/>
      <c r="FA551" s="450"/>
      <c r="FB551" s="471"/>
      <c r="FC551" s="450"/>
      <c r="FD551" s="471"/>
      <c r="FE551" s="450"/>
      <c r="FF551" s="471"/>
      <c r="FG551" s="450"/>
      <c r="FH551" s="472"/>
      <c r="FI551" s="450"/>
      <c r="FJ551" s="468">
        <f t="shared" si="281"/>
        <v>273</v>
      </c>
      <c r="FK551" s="469">
        <f t="shared" si="282"/>
        <v>291</v>
      </c>
      <c r="FL551" s="472"/>
      <c r="FM551" s="450"/>
      <c r="FN551" s="460">
        <f t="shared" si="283"/>
        <v>1277</v>
      </c>
      <c r="FO551" s="469">
        <f t="shared" si="284"/>
        <v>1328</v>
      </c>
    </row>
    <row r="552" spans="1:171" x14ac:dyDescent="0.2">
      <c r="A552" s="543" t="s">
        <v>854</v>
      </c>
      <c r="B552" s="633" t="s">
        <v>879</v>
      </c>
      <c r="C552" s="634"/>
      <c r="D552" s="631">
        <v>228459</v>
      </c>
      <c r="E552" s="632">
        <v>3</v>
      </c>
      <c r="F552" s="532"/>
      <c r="G552" s="450"/>
      <c r="H552" s="457"/>
      <c r="I552" s="450"/>
      <c r="J552" s="457"/>
      <c r="K552" s="450"/>
      <c r="L552" s="458">
        <f t="shared" si="261"/>
        <v>0</v>
      </c>
      <c r="M552" s="449">
        <f t="shared" si="262"/>
        <v>0</v>
      </c>
      <c r="N552" s="459">
        <v>5349</v>
      </c>
      <c r="O552" s="459"/>
      <c r="P552" s="459"/>
      <c r="Q552" s="459"/>
      <c r="R552" s="460">
        <f t="shared" si="263"/>
        <v>0</v>
      </c>
      <c r="S552" s="650">
        <v>5435</v>
      </c>
      <c r="T552" s="461"/>
      <c r="U552" s="461"/>
      <c r="V552" s="461"/>
      <c r="W552" s="462">
        <f t="shared" si="264"/>
        <v>0</v>
      </c>
      <c r="X552" s="463"/>
      <c r="Y552" s="457"/>
      <c r="Z552" s="464"/>
      <c r="AA552" s="464"/>
      <c r="AB552" s="465"/>
      <c r="AC552" s="457"/>
      <c r="AD552" s="464"/>
      <c r="AE552" s="466"/>
      <c r="AF552" s="465"/>
      <c r="AG552" s="457"/>
      <c r="AH552" s="464"/>
      <c r="AI552" s="466"/>
      <c r="AJ552" s="465"/>
      <c r="AK552" s="457"/>
      <c r="AL552" s="464"/>
      <c r="AM552" s="466"/>
      <c r="AN552" s="465"/>
      <c r="AO552" s="457"/>
      <c r="AP552" s="464"/>
      <c r="AQ552" s="464"/>
      <c r="AR552" s="460">
        <f t="shared" si="265"/>
        <v>0</v>
      </c>
      <c r="AS552" s="467">
        <f t="shared" si="266"/>
        <v>0.79220971563981046</v>
      </c>
      <c r="AT552" s="447">
        <f t="shared" si="267"/>
        <v>0</v>
      </c>
      <c r="AU552" s="448">
        <f t="shared" si="268"/>
        <v>0.79343065693430659</v>
      </c>
      <c r="AV552" s="457"/>
      <c r="AW552" s="450"/>
      <c r="AX552" s="463">
        <v>13</v>
      </c>
      <c r="AY552" s="457">
        <v>481</v>
      </c>
      <c r="AZ552" s="464">
        <v>13</v>
      </c>
      <c r="BA552" s="464">
        <v>352</v>
      </c>
      <c r="BB552" s="465">
        <v>52</v>
      </c>
      <c r="BC552" s="457">
        <v>141</v>
      </c>
      <c r="BD552" s="464">
        <v>52</v>
      </c>
      <c r="BE552" s="466">
        <v>164</v>
      </c>
      <c r="BF552" s="465">
        <v>42</v>
      </c>
      <c r="BG552" s="457">
        <v>93</v>
      </c>
      <c r="BH552" s="464">
        <v>44</v>
      </c>
      <c r="BI552" s="466">
        <v>138</v>
      </c>
      <c r="BJ552" s="465">
        <v>44</v>
      </c>
      <c r="BK552" s="457">
        <v>93</v>
      </c>
      <c r="BL552" s="464">
        <v>51</v>
      </c>
      <c r="BM552" s="466">
        <v>90</v>
      </c>
      <c r="BN552" s="465">
        <v>51</v>
      </c>
      <c r="BO552" s="457">
        <v>71</v>
      </c>
      <c r="BP552" s="464">
        <v>23</v>
      </c>
      <c r="BQ552" s="466">
        <v>81</v>
      </c>
      <c r="BR552" s="465">
        <v>45</v>
      </c>
      <c r="BS552" s="457">
        <v>66</v>
      </c>
      <c r="BT552" s="771">
        <v>42</v>
      </c>
      <c r="BU552" s="772">
        <v>76</v>
      </c>
      <c r="BV552" s="465">
        <v>23</v>
      </c>
      <c r="BW552" s="457">
        <v>65</v>
      </c>
      <c r="BX552" s="464">
        <v>45</v>
      </c>
      <c r="BY552" s="466">
        <v>74</v>
      </c>
      <c r="BZ552" s="465">
        <v>26</v>
      </c>
      <c r="CA552" s="457">
        <v>43</v>
      </c>
      <c r="CB552" s="464">
        <v>11</v>
      </c>
      <c r="CC552" s="466">
        <v>51</v>
      </c>
      <c r="CD552" s="465">
        <v>22</v>
      </c>
      <c r="CE552" s="457">
        <v>32</v>
      </c>
      <c r="CF552" s="464">
        <v>30</v>
      </c>
      <c r="CG552" s="466">
        <v>50</v>
      </c>
      <c r="CH552" s="465">
        <v>50</v>
      </c>
      <c r="CI552" s="457">
        <v>32</v>
      </c>
      <c r="CJ552" s="464">
        <v>26</v>
      </c>
      <c r="CK552" s="466">
        <v>46</v>
      </c>
      <c r="CL552" s="459">
        <v>222</v>
      </c>
      <c r="CM552" s="624">
        <v>219</v>
      </c>
      <c r="CN552" s="468">
        <f t="shared" si="269"/>
        <v>1339</v>
      </c>
      <c r="CO552" s="468">
        <f t="shared" si="270"/>
        <v>10</v>
      </c>
      <c r="CP552" s="469">
        <f t="shared" si="271"/>
        <v>1341</v>
      </c>
      <c r="CQ552" s="469">
        <f t="shared" si="272"/>
        <v>10</v>
      </c>
      <c r="CR552" s="463">
        <v>45</v>
      </c>
      <c r="CS552" s="457">
        <v>11</v>
      </c>
      <c r="CT552" s="625">
        <v>13</v>
      </c>
      <c r="CU552" s="625">
        <v>20</v>
      </c>
      <c r="CV552" s="465">
        <v>13</v>
      </c>
      <c r="CW552" s="457">
        <v>9</v>
      </c>
      <c r="CX552" s="625">
        <v>45</v>
      </c>
      <c r="CY552" s="626">
        <v>8</v>
      </c>
      <c r="CZ552" s="465">
        <v>3</v>
      </c>
      <c r="DA552" s="457">
        <v>5</v>
      </c>
      <c r="DB552" s="625">
        <v>3</v>
      </c>
      <c r="DC552" s="626">
        <v>6</v>
      </c>
      <c r="DD552" s="465"/>
      <c r="DE552" s="457"/>
      <c r="DF552" s="464"/>
      <c r="DG552" s="466"/>
      <c r="DH552" s="465"/>
      <c r="DI552" s="457"/>
      <c r="DJ552" s="464"/>
      <c r="DK552" s="466"/>
      <c r="DL552" s="465"/>
      <c r="DM552" s="457"/>
      <c r="DN552" s="464"/>
      <c r="DO552" s="466"/>
      <c r="DP552" s="465"/>
      <c r="DQ552" s="457"/>
      <c r="DR552" s="464"/>
      <c r="DS552" s="466"/>
      <c r="DT552" s="465"/>
      <c r="DU552" s="457"/>
      <c r="DV552" s="464"/>
      <c r="DW552" s="466"/>
      <c r="DX552" s="465"/>
      <c r="DY552" s="457"/>
      <c r="DZ552" s="464"/>
      <c r="EA552" s="466"/>
      <c r="EB552" s="465"/>
      <c r="EC552" s="457"/>
      <c r="ED552" s="464"/>
      <c r="EE552" s="466"/>
      <c r="EF552" s="459"/>
      <c r="EG552" s="450"/>
      <c r="EH552" s="460">
        <f t="shared" si="273"/>
        <v>25</v>
      </c>
      <c r="EI552" s="460">
        <f t="shared" si="274"/>
        <v>3</v>
      </c>
      <c r="EJ552" s="458">
        <f t="shared" si="275"/>
        <v>0.44</v>
      </c>
      <c r="EK552" s="470">
        <f t="shared" si="276"/>
        <v>34</v>
      </c>
      <c r="EL552" s="470">
        <f t="shared" si="277"/>
        <v>3</v>
      </c>
      <c r="EM552" s="449">
        <f t="shared" si="278"/>
        <v>0.58823529411764708</v>
      </c>
      <c r="EN552" s="460">
        <f t="shared" si="279"/>
        <v>1364</v>
      </c>
      <c r="EO552" s="469">
        <f t="shared" si="280"/>
        <v>1375</v>
      </c>
      <c r="EP552" s="471"/>
      <c r="EQ552" s="450"/>
      <c r="ER552" s="471"/>
      <c r="ES552" s="450"/>
      <c r="ET552" s="471"/>
      <c r="EU552" s="450"/>
      <c r="EV552" s="471"/>
      <c r="EW552" s="450"/>
      <c r="EX552" s="471"/>
      <c r="EY552" s="450"/>
      <c r="EZ552" s="471"/>
      <c r="FA552" s="450"/>
      <c r="FB552" s="471"/>
      <c r="FC552" s="450"/>
      <c r="FD552" s="471"/>
      <c r="FE552" s="450"/>
      <c r="FF552" s="471"/>
      <c r="FG552" s="450"/>
      <c r="FH552" s="472">
        <v>39</v>
      </c>
      <c r="FI552" s="629">
        <v>40</v>
      </c>
      <c r="FJ552" s="468">
        <f t="shared" si="281"/>
        <v>39</v>
      </c>
      <c r="FK552" s="469">
        <f t="shared" si="282"/>
        <v>40</v>
      </c>
      <c r="FL552" s="472"/>
      <c r="FM552" s="450"/>
      <c r="FN552" s="460">
        <f t="shared" si="283"/>
        <v>6752</v>
      </c>
      <c r="FO552" s="469">
        <f t="shared" si="284"/>
        <v>6850</v>
      </c>
    </row>
    <row r="553" spans="1:171" x14ac:dyDescent="0.2">
      <c r="A553" s="543" t="s">
        <v>854</v>
      </c>
      <c r="B553" s="544" t="s">
        <v>880</v>
      </c>
      <c r="C553" s="545"/>
      <c r="D553" s="631">
        <v>225414</v>
      </c>
      <c r="E553" s="632">
        <v>3</v>
      </c>
      <c r="F553" s="532"/>
      <c r="G553" s="450"/>
      <c r="H553" s="457"/>
      <c r="I553" s="450"/>
      <c r="J553" s="457"/>
      <c r="K553" s="450"/>
      <c r="L553" s="458">
        <f t="shared" si="261"/>
        <v>0</v>
      </c>
      <c r="M553" s="449">
        <f t="shared" si="262"/>
        <v>0</v>
      </c>
      <c r="N553" s="459">
        <v>1197</v>
      </c>
      <c r="O553" s="459"/>
      <c r="P553" s="459"/>
      <c r="Q553" s="459"/>
      <c r="R553" s="460">
        <f t="shared" si="263"/>
        <v>0</v>
      </c>
      <c r="S553" s="650">
        <v>1251</v>
      </c>
      <c r="T553" s="461"/>
      <c r="U553" s="461"/>
      <c r="V553" s="461"/>
      <c r="W553" s="462">
        <f t="shared" si="264"/>
        <v>0</v>
      </c>
      <c r="X553" s="463"/>
      <c r="Y553" s="457"/>
      <c r="Z553" s="464"/>
      <c r="AA553" s="464"/>
      <c r="AB553" s="465"/>
      <c r="AC553" s="457"/>
      <c r="AD553" s="464"/>
      <c r="AE553" s="466"/>
      <c r="AF553" s="465"/>
      <c r="AG553" s="457"/>
      <c r="AH553" s="464"/>
      <c r="AI553" s="466"/>
      <c r="AJ553" s="465"/>
      <c r="AK553" s="457"/>
      <c r="AL553" s="464"/>
      <c r="AM553" s="466"/>
      <c r="AN553" s="465"/>
      <c r="AO553" s="457"/>
      <c r="AP553" s="464"/>
      <c r="AQ553" s="464"/>
      <c r="AR553" s="460">
        <f t="shared" si="265"/>
        <v>0</v>
      </c>
      <c r="AS553" s="467">
        <f t="shared" si="266"/>
        <v>0.51998262380538662</v>
      </c>
      <c r="AT553" s="447">
        <f t="shared" si="267"/>
        <v>0</v>
      </c>
      <c r="AU553" s="448">
        <f t="shared" si="268"/>
        <v>0.53806451612903228</v>
      </c>
      <c r="AV553" s="457"/>
      <c r="AW553" s="450"/>
      <c r="AX553" s="463">
        <v>52</v>
      </c>
      <c r="AY553" s="457">
        <v>239</v>
      </c>
      <c r="AZ553" s="464">
        <v>52</v>
      </c>
      <c r="BA553" s="464">
        <v>228</v>
      </c>
      <c r="BB553" s="465">
        <v>13</v>
      </c>
      <c r="BC553" s="457">
        <v>199</v>
      </c>
      <c r="BD553" s="464">
        <v>11</v>
      </c>
      <c r="BE553" s="466">
        <v>172</v>
      </c>
      <c r="BF553" s="465">
        <v>11</v>
      </c>
      <c r="BG553" s="457">
        <v>149</v>
      </c>
      <c r="BH553" s="464">
        <v>13</v>
      </c>
      <c r="BI553" s="466">
        <v>142</v>
      </c>
      <c r="BJ553" s="465">
        <v>26</v>
      </c>
      <c r="BK553" s="457">
        <v>74</v>
      </c>
      <c r="BL553" s="464">
        <v>51</v>
      </c>
      <c r="BM553" s="466">
        <v>98</v>
      </c>
      <c r="BN553" s="465">
        <v>51</v>
      </c>
      <c r="BO553" s="457">
        <v>68</v>
      </c>
      <c r="BP553" s="464">
        <v>42</v>
      </c>
      <c r="BQ553" s="466">
        <v>77</v>
      </c>
      <c r="BR553" s="465">
        <v>14</v>
      </c>
      <c r="BS553" s="457">
        <v>66</v>
      </c>
      <c r="BT553" s="771">
        <v>14</v>
      </c>
      <c r="BU553" s="772">
        <v>53</v>
      </c>
      <c r="BV553" s="465">
        <v>42</v>
      </c>
      <c r="BW553" s="457">
        <v>63</v>
      </c>
      <c r="BX553" s="464">
        <v>26</v>
      </c>
      <c r="BY553" s="466">
        <v>53</v>
      </c>
      <c r="BZ553" s="465">
        <v>25</v>
      </c>
      <c r="CA553" s="457">
        <v>42</v>
      </c>
      <c r="CB553" s="464">
        <v>45</v>
      </c>
      <c r="CC553" s="466">
        <v>33</v>
      </c>
      <c r="CD553" s="465">
        <v>30</v>
      </c>
      <c r="CE553" s="457">
        <v>41</v>
      </c>
      <c r="CF553" s="464">
        <v>25</v>
      </c>
      <c r="CG553" s="466">
        <v>30</v>
      </c>
      <c r="CH553" s="465">
        <v>23</v>
      </c>
      <c r="CI553" s="457">
        <v>32</v>
      </c>
      <c r="CJ553" s="464">
        <v>15</v>
      </c>
      <c r="CK553" s="466">
        <v>26</v>
      </c>
      <c r="CL553" s="459">
        <v>123</v>
      </c>
      <c r="CM553" s="624">
        <v>147</v>
      </c>
      <c r="CN553" s="468">
        <f t="shared" si="269"/>
        <v>1096</v>
      </c>
      <c r="CO553" s="468">
        <f t="shared" si="270"/>
        <v>10</v>
      </c>
      <c r="CP553" s="469">
        <f t="shared" si="271"/>
        <v>1059</v>
      </c>
      <c r="CQ553" s="469">
        <f t="shared" si="272"/>
        <v>10</v>
      </c>
      <c r="CR553" s="463">
        <v>13</v>
      </c>
      <c r="CS553" s="457">
        <v>9</v>
      </c>
      <c r="CT553" s="625">
        <v>13</v>
      </c>
      <c r="CU553" s="625">
        <v>15</v>
      </c>
      <c r="CV553" s="465"/>
      <c r="CW553" s="457"/>
      <c r="CX553" s="625"/>
      <c r="CY553" s="626"/>
      <c r="CZ553" s="465"/>
      <c r="DA553" s="457"/>
      <c r="DB553" s="625"/>
      <c r="DC553" s="626"/>
      <c r="DD553" s="465"/>
      <c r="DE553" s="457"/>
      <c r="DF553" s="464"/>
      <c r="DG553" s="466"/>
      <c r="DH553" s="465"/>
      <c r="DI553" s="457"/>
      <c r="DJ553" s="464"/>
      <c r="DK553" s="466"/>
      <c r="DL553" s="465"/>
      <c r="DM553" s="457"/>
      <c r="DN553" s="464"/>
      <c r="DO553" s="466"/>
      <c r="DP553" s="465"/>
      <c r="DQ553" s="457"/>
      <c r="DR553" s="464"/>
      <c r="DS553" s="466"/>
      <c r="DT553" s="465"/>
      <c r="DU553" s="457"/>
      <c r="DV553" s="464"/>
      <c r="DW553" s="466"/>
      <c r="DX553" s="465"/>
      <c r="DY553" s="457"/>
      <c r="DZ553" s="464"/>
      <c r="EA553" s="466"/>
      <c r="EB553" s="465"/>
      <c r="EC553" s="457"/>
      <c r="ED553" s="464"/>
      <c r="EE553" s="466"/>
      <c r="EF553" s="459"/>
      <c r="EG553" s="450"/>
      <c r="EH553" s="460">
        <f t="shared" si="273"/>
        <v>9</v>
      </c>
      <c r="EI553" s="460">
        <f t="shared" si="274"/>
        <v>1</v>
      </c>
      <c r="EJ553" s="458">
        <f t="shared" si="275"/>
        <v>1</v>
      </c>
      <c r="EK553" s="470">
        <f t="shared" si="276"/>
        <v>15</v>
      </c>
      <c r="EL553" s="470">
        <f t="shared" si="277"/>
        <v>1</v>
      </c>
      <c r="EM553" s="449">
        <f t="shared" si="278"/>
        <v>1</v>
      </c>
      <c r="EN553" s="460">
        <f t="shared" si="279"/>
        <v>1105</v>
      </c>
      <c r="EO553" s="469">
        <f t="shared" si="280"/>
        <v>1074</v>
      </c>
      <c r="EP553" s="471"/>
      <c r="EQ553" s="450"/>
      <c r="ER553" s="471"/>
      <c r="ES553" s="450"/>
      <c r="ET553" s="471"/>
      <c r="EU553" s="450"/>
      <c r="EV553" s="471"/>
      <c r="EW553" s="450"/>
      <c r="EX553" s="471"/>
      <c r="EY553" s="450"/>
      <c r="EZ553" s="471"/>
      <c r="FA553" s="450"/>
      <c r="FB553" s="471"/>
      <c r="FC553" s="450"/>
      <c r="FD553" s="471"/>
      <c r="FE553" s="450"/>
      <c r="FF553" s="471"/>
      <c r="FG553" s="450"/>
      <c r="FH553" s="472"/>
      <c r="FI553" s="450"/>
      <c r="FJ553" s="468">
        <f t="shared" si="281"/>
        <v>0</v>
      </c>
      <c r="FK553" s="469">
        <f t="shared" si="282"/>
        <v>0</v>
      </c>
      <c r="FL553" s="472"/>
      <c r="FM553" s="450"/>
      <c r="FN553" s="460">
        <f t="shared" si="283"/>
        <v>2302</v>
      </c>
      <c r="FO553" s="469">
        <f t="shared" si="284"/>
        <v>2325</v>
      </c>
    </row>
    <row r="554" spans="1:171" x14ac:dyDescent="0.2">
      <c r="A554" s="543" t="s">
        <v>854</v>
      </c>
      <c r="B554" s="544" t="s">
        <v>881</v>
      </c>
      <c r="C554" s="545"/>
      <c r="D554" s="631">
        <v>227377</v>
      </c>
      <c r="E554" s="635">
        <v>3</v>
      </c>
      <c r="F554" s="532"/>
      <c r="G554" s="450"/>
      <c r="H554" s="457"/>
      <c r="I554" s="450"/>
      <c r="J554" s="457"/>
      <c r="K554" s="450"/>
      <c r="L554" s="458">
        <f t="shared" si="261"/>
        <v>0</v>
      </c>
      <c r="M554" s="449">
        <f t="shared" si="262"/>
        <v>0</v>
      </c>
      <c r="N554" s="459">
        <v>1075</v>
      </c>
      <c r="O554" s="459"/>
      <c r="P554" s="459"/>
      <c r="Q554" s="459"/>
      <c r="R554" s="460">
        <f t="shared" si="263"/>
        <v>0</v>
      </c>
      <c r="S554" s="650">
        <v>1149</v>
      </c>
      <c r="T554" s="461"/>
      <c r="U554" s="461"/>
      <c r="V554" s="461"/>
      <c r="W554" s="462">
        <f t="shared" si="264"/>
        <v>0</v>
      </c>
      <c r="X554" s="463"/>
      <c r="Y554" s="457"/>
      <c r="Z554" s="464"/>
      <c r="AA554" s="464"/>
      <c r="AB554" s="465"/>
      <c r="AC554" s="457"/>
      <c r="AD554" s="464"/>
      <c r="AE554" s="466"/>
      <c r="AF554" s="465"/>
      <c r="AG554" s="457"/>
      <c r="AH554" s="464"/>
      <c r="AI554" s="466"/>
      <c r="AJ554" s="465"/>
      <c r="AK554" s="457"/>
      <c r="AL554" s="464"/>
      <c r="AM554" s="466"/>
      <c r="AN554" s="465"/>
      <c r="AO554" s="457"/>
      <c r="AP554" s="464"/>
      <c r="AQ554" s="464"/>
      <c r="AR554" s="460">
        <f t="shared" si="265"/>
        <v>0</v>
      </c>
      <c r="AS554" s="467">
        <f t="shared" si="266"/>
        <v>0.83592534992223955</v>
      </c>
      <c r="AT554" s="447">
        <f t="shared" si="267"/>
        <v>0</v>
      </c>
      <c r="AU554" s="448">
        <f t="shared" si="268"/>
        <v>0.82602444284687271</v>
      </c>
      <c r="AV554" s="457"/>
      <c r="AW554" s="450"/>
      <c r="AX554" s="463">
        <v>13</v>
      </c>
      <c r="AY554" s="457">
        <v>109</v>
      </c>
      <c r="AZ554" s="464">
        <v>13</v>
      </c>
      <c r="BA554" s="464">
        <v>143</v>
      </c>
      <c r="BB554" s="465">
        <v>52</v>
      </c>
      <c r="BC554" s="457">
        <v>27</v>
      </c>
      <c r="BD554" s="464">
        <v>52</v>
      </c>
      <c r="BE554" s="466">
        <v>26</v>
      </c>
      <c r="BF554" s="465">
        <v>27</v>
      </c>
      <c r="BG554" s="457">
        <v>13</v>
      </c>
      <c r="BH554" s="464">
        <v>51</v>
      </c>
      <c r="BI554" s="466">
        <v>16</v>
      </c>
      <c r="BJ554" s="465">
        <v>16</v>
      </c>
      <c r="BK554" s="457">
        <v>12</v>
      </c>
      <c r="BL554" s="464">
        <v>30</v>
      </c>
      <c r="BM554" s="466">
        <v>10</v>
      </c>
      <c r="BN554" s="465">
        <v>30</v>
      </c>
      <c r="BO554" s="457">
        <v>12</v>
      </c>
      <c r="BP554" s="464">
        <v>16</v>
      </c>
      <c r="BQ554" s="466">
        <v>9</v>
      </c>
      <c r="BR554" s="465">
        <v>23</v>
      </c>
      <c r="BS554" s="457">
        <v>9</v>
      </c>
      <c r="BT554" s="771">
        <v>44</v>
      </c>
      <c r="BU554" s="772">
        <v>8</v>
      </c>
      <c r="BV554" s="465">
        <v>51</v>
      </c>
      <c r="BW554" s="457">
        <v>6</v>
      </c>
      <c r="BX554" s="464">
        <v>27</v>
      </c>
      <c r="BY554" s="466">
        <v>6</v>
      </c>
      <c r="BZ554" s="465">
        <v>44</v>
      </c>
      <c r="CA554" s="457">
        <v>5</v>
      </c>
      <c r="CB554" s="464">
        <v>11</v>
      </c>
      <c r="CC554" s="466">
        <v>3</v>
      </c>
      <c r="CD554" s="465">
        <v>40</v>
      </c>
      <c r="CE554" s="457">
        <v>4</v>
      </c>
      <c r="CF554" s="464">
        <v>23</v>
      </c>
      <c r="CG554" s="466">
        <v>3</v>
      </c>
      <c r="CH554" s="465">
        <v>54</v>
      </c>
      <c r="CI554" s="457">
        <v>4</v>
      </c>
      <c r="CJ554" s="464">
        <v>40</v>
      </c>
      <c r="CK554" s="466">
        <v>3</v>
      </c>
      <c r="CL554" s="459">
        <v>4</v>
      </c>
      <c r="CM554" s="624">
        <v>7</v>
      </c>
      <c r="CN554" s="468">
        <f t="shared" si="269"/>
        <v>205</v>
      </c>
      <c r="CO554" s="468">
        <f t="shared" si="270"/>
        <v>10</v>
      </c>
      <c r="CP554" s="469">
        <f t="shared" si="271"/>
        <v>234</v>
      </c>
      <c r="CQ554" s="469">
        <f t="shared" si="272"/>
        <v>10</v>
      </c>
      <c r="CR554" s="463">
        <v>13</v>
      </c>
      <c r="CS554" s="457">
        <v>6</v>
      </c>
      <c r="CT554" s="625">
        <v>13</v>
      </c>
      <c r="CU554" s="625">
        <v>8</v>
      </c>
      <c r="CV554" s="465"/>
      <c r="CW554" s="457"/>
      <c r="CX554" s="625"/>
      <c r="CY554" s="626"/>
      <c r="CZ554" s="465"/>
      <c r="DA554" s="457"/>
      <c r="DB554" s="625"/>
      <c r="DC554" s="626"/>
      <c r="DD554" s="465"/>
      <c r="DE554" s="457"/>
      <c r="DF554" s="464"/>
      <c r="DG554" s="466"/>
      <c r="DH554" s="465"/>
      <c r="DI554" s="457"/>
      <c r="DJ554" s="464"/>
      <c r="DK554" s="466"/>
      <c r="DL554" s="465"/>
      <c r="DM554" s="457"/>
      <c r="DN554" s="464"/>
      <c r="DO554" s="466"/>
      <c r="DP554" s="465"/>
      <c r="DQ554" s="457"/>
      <c r="DR554" s="464"/>
      <c r="DS554" s="466"/>
      <c r="DT554" s="465"/>
      <c r="DU554" s="457"/>
      <c r="DV554" s="464"/>
      <c r="DW554" s="466"/>
      <c r="DX554" s="465"/>
      <c r="DY554" s="457"/>
      <c r="DZ554" s="464"/>
      <c r="EA554" s="466"/>
      <c r="EB554" s="465"/>
      <c r="EC554" s="457"/>
      <c r="ED554" s="464"/>
      <c r="EE554" s="466"/>
      <c r="EF554" s="459"/>
      <c r="EG554" s="450"/>
      <c r="EH554" s="460">
        <f t="shared" si="273"/>
        <v>6</v>
      </c>
      <c r="EI554" s="460">
        <f t="shared" si="274"/>
        <v>1</v>
      </c>
      <c r="EJ554" s="458">
        <f t="shared" si="275"/>
        <v>1</v>
      </c>
      <c r="EK554" s="470">
        <f t="shared" si="276"/>
        <v>8</v>
      </c>
      <c r="EL554" s="470">
        <f t="shared" si="277"/>
        <v>1</v>
      </c>
      <c r="EM554" s="449">
        <f t="shared" si="278"/>
        <v>1</v>
      </c>
      <c r="EN554" s="460">
        <f t="shared" si="279"/>
        <v>211</v>
      </c>
      <c r="EO554" s="469">
        <f t="shared" si="280"/>
        <v>242</v>
      </c>
      <c r="EP554" s="471"/>
      <c r="EQ554" s="450"/>
      <c r="ER554" s="471"/>
      <c r="ES554" s="450"/>
      <c r="ET554" s="471"/>
      <c r="EU554" s="450"/>
      <c r="EV554" s="471"/>
      <c r="EW554" s="450"/>
      <c r="EX554" s="471"/>
      <c r="EY554" s="450"/>
      <c r="EZ554" s="471"/>
      <c r="FA554" s="450"/>
      <c r="FB554" s="471"/>
      <c r="FC554" s="450"/>
      <c r="FD554" s="471"/>
      <c r="FE554" s="450"/>
      <c r="FF554" s="471"/>
      <c r="FG554" s="450"/>
      <c r="FH554" s="472"/>
      <c r="FI554" s="450"/>
      <c r="FJ554" s="468">
        <f t="shared" si="281"/>
        <v>0</v>
      </c>
      <c r="FK554" s="469">
        <f t="shared" si="282"/>
        <v>0</v>
      </c>
      <c r="FL554" s="472"/>
      <c r="FM554" s="450"/>
      <c r="FN554" s="460">
        <f t="shared" si="283"/>
        <v>1286</v>
      </c>
      <c r="FO554" s="469">
        <f t="shared" si="284"/>
        <v>1391</v>
      </c>
    </row>
    <row r="555" spans="1:171" x14ac:dyDescent="0.2">
      <c r="A555" s="543" t="s">
        <v>854</v>
      </c>
      <c r="B555" s="544" t="s">
        <v>882</v>
      </c>
      <c r="C555" s="545"/>
      <c r="D555" s="631">
        <v>228802</v>
      </c>
      <c r="E555" s="632">
        <v>3</v>
      </c>
      <c r="F555" s="532"/>
      <c r="G555" s="450"/>
      <c r="H555" s="457"/>
      <c r="I555" s="450"/>
      <c r="J555" s="457"/>
      <c r="K555" s="742"/>
      <c r="L555" s="458">
        <f t="shared" si="261"/>
        <v>0</v>
      </c>
      <c r="M555" s="449">
        <f t="shared" si="262"/>
        <v>0</v>
      </c>
      <c r="N555" s="459">
        <v>1188</v>
      </c>
      <c r="O555" s="459"/>
      <c r="P555" s="459"/>
      <c r="Q555" s="459"/>
      <c r="R555" s="460">
        <f t="shared" si="263"/>
        <v>0</v>
      </c>
      <c r="S555" s="650">
        <v>1144</v>
      </c>
      <c r="T555" s="461"/>
      <c r="U555" s="461"/>
      <c r="V555" s="461"/>
      <c r="W555" s="462">
        <f t="shared" si="264"/>
        <v>0</v>
      </c>
      <c r="X555" s="463"/>
      <c r="Y555" s="457"/>
      <c r="Z555" s="464"/>
      <c r="AA555" s="464"/>
      <c r="AB555" s="465"/>
      <c r="AC555" s="457"/>
      <c r="AD555" s="464"/>
      <c r="AE555" s="466"/>
      <c r="AF555" s="465"/>
      <c r="AG555" s="457"/>
      <c r="AH555" s="464"/>
      <c r="AI555" s="466"/>
      <c r="AJ555" s="465"/>
      <c r="AK555" s="457"/>
      <c r="AL555" s="464"/>
      <c r="AM555" s="466"/>
      <c r="AN555" s="465"/>
      <c r="AO555" s="457"/>
      <c r="AP555" s="464"/>
      <c r="AQ555" s="464"/>
      <c r="AR555" s="460">
        <f t="shared" si="265"/>
        <v>0</v>
      </c>
      <c r="AS555" s="467">
        <f t="shared" si="266"/>
        <v>0.724390243902439</v>
      </c>
      <c r="AT555" s="447">
        <f t="shared" si="267"/>
        <v>0</v>
      </c>
      <c r="AU555" s="448">
        <f t="shared" si="268"/>
        <v>0.70227133210558623</v>
      </c>
      <c r="AV555" s="457"/>
      <c r="AW555" s="450"/>
      <c r="AX555" s="463">
        <v>13</v>
      </c>
      <c r="AY555" s="457">
        <v>157</v>
      </c>
      <c r="AZ555" s="464">
        <v>13</v>
      </c>
      <c r="BA555" s="464">
        <v>143</v>
      </c>
      <c r="BB555" s="465">
        <v>52</v>
      </c>
      <c r="BC555" s="457">
        <v>125</v>
      </c>
      <c r="BD555" s="464">
        <v>52</v>
      </c>
      <c r="BE555" s="466">
        <v>102</v>
      </c>
      <c r="BF555" s="465">
        <v>51</v>
      </c>
      <c r="BG555" s="457">
        <v>59</v>
      </c>
      <c r="BH555" s="464">
        <v>51</v>
      </c>
      <c r="BI555" s="466">
        <v>64</v>
      </c>
      <c r="BJ555" s="465">
        <v>42</v>
      </c>
      <c r="BK555" s="457">
        <v>26</v>
      </c>
      <c r="BL555" s="464">
        <v>42</v>
      </c>
      <c r="BM555" s="466">
        <v>44</v>
      </c>
      <c r="BN555" s="465">
        <v>14</v>
      </c>
      <c r="BO555" s="457">
        <v>14</v>
      </c>
      <c r="BP555" s="464">
        <v>14</v>
      </c>
      <c r="BQ555" s="466">
        <v>23</v>
      </c>
      <c r="BR555" s="465">
        <v>31</v>
      </c>
      <c r="BS555" s="457">
        <v>11</v>
      </c>
      <c r="BT555" s="771">
        <v>31</v>
      </c>
      <c r="BU555" s="772">
        <v>17</v>
      </c>
      <c r="BV555" s="465">
        <v>23</v>
      </c>
      <c r="BW555" s="457">
        <v>10</v>
      </c>
      <c r="BX555" s="464">
        <v>11</v>
      </c>
      <c r="BY555" s="466">
        <v>15</v>
      </c>
      <c r="BZ555" s="465">
        <v>11</v>
      </c>
      <c r="CA555" s="457">
        <v>9</v>
      </c>
      <c r="CB555" s="464">
        <v>15</v>
      </c>
      <c r="CC555" s="466">
        <v>11</v>
      </c>
      <c r="CD555" s="465">
        <v>15</v>
      </c>
      <c r="CE555" s="457">
        <v>9</v>
      </c>
      <c r="CF555" s="464">
        <v>23</v>
      </c>
      <c r="CG555" s="466">
        <v>9</v>
      </c>
      <c r="CH555" s="465">
        <v>44</v>
      </c>
      <c r="CI555" s="457">
        <v>9</v>
      </c>
      <c r="CJ555" s="464">
        <v>44</v>
      </c>
      <c r="CK555" s="466">
        <v>9</v>
      </c>
      <c r="CL555" s="459">
        <v>19</v>
      </c>
      <c r="CM555" s="624">
        <v>32</v>
      </c>
      <c r="CN555" s="468">
        <f t="shared" si="269"/>
        <v>448</v>
      </c>
      <c r="CO555" s="468">
        <f t="shared" si="270"/>
        <v>10</v>
      </c>
      <c r="CP555" s="469">
        <f t="shared" si="271"/>
        <v>469</v>
      </c>
      <c r="CQ555" s="469">
        <f t="shared" si="272"/>
        <v>10</v>
      </c>
      <c r="CR555" s="463">
        <v>51</v>
      </c>
      <c r="CS555" s="457">
        <v>4</v>
      </c>
      <c r="CT555" s="625">
        <v>51</v>
      </c>
      <c r="CU555" s="625">
        <v>15</v>
      </c>
      <c r="CV555" s="465"/>
      <c r="CW555" s="457"/>
      <c r="CX555" s="625">
        <v>52</v>
      </c>
      <c r="CY555" s="626">
        <v>1</v>
      </c>
      <c r="CZ555" s="465"/>
      <c r="DA555" s="457"/>
      <c r="DB555" s="464"/>
      <c r="DC555" s="466"/>
      <c r="DD555" s="465"/>
      <c r="DE555" s="457"/>
      <c r="DF555" s="464"/>
      <c r="DG555" s="466"/>
      <c r="DH555" s="465"/>
      <c r="DI555" s="457"/>
      <c r="DJ555" s="464"/>
      <c r="DK555" s="466"/>
      <c r="DL555" s="465"/>
      <c r="DM555" s="457"/>
      <c r="DN555" s="464"/>
      <c r="DO555" s="466"/>
      <c r="DP555" s="465"/>
      <c r="DQ555" s="457"/>
      <c r="DR555" s="464"/>
      <c r="DS555" s="466"/>
      <c r="DT555" s="465"/>
      <c r="DU555" s="457"/>
      <c r="DV555" s="464"/>
      <c r="DW555" s="466"/>
      <c r="DX555" s="465"/>
      <c r="DY555" s="457"/>
      <c r="DZ555" s="464"/>
      <c r="EA555" s="466"/>
      <c r="EB555" s="465"/>
      <c r="EC555" s="457"/>
      <c r="ED555" s="464"/>
      <c r="EE555" s="466"/>
      <c r="EF555" s="459"/>
      <c r="EG555" s="450"/>
      <c r="EH555" s="460">
        <f t="shared" si="273"/>
        <v>4</v>
      </c>
      <c r="EI555" s="460">
        <f t="shared" si="274"/>
        <v>1</v>
      </c>
      <c r="EJ555" s="458">
        <f t="shared" si="275"/>
        <v>1</v>
      </c>
      <c r="EK555" s="470">
        <f t="shared" si="276"/>
        <v>16</v>
      </c>
      <c r="EL555" s="470">
        <f t="shared" si="277"/>
        <v>2</v>
      </c>
      <c r="EM555" s="449">
        <f t="shared" si="278"/>
        <v>0.9375</v>
      </c>
      <c r="EN555" s="460">
        <f t="shared" si="279"/>
        <v>452</v>
      </c>
      <c r="EO555" s="469">
        <f t="shared" si="280"/>
        <v>485</v>
      </c>
      <c r="EP555" s="471"/>
      <c r="EQ555" s="450"/>
      <c r="ER555" s="471"/>
      <c r="ES555" s="450"/>
      <c r="ET555" s="471"/>
      <c r="EU555" s="450"/>
      <c r="EV555" s="471"/>
      <c r="EW555" s="450"/>
      <c r="EX555" s="471"/>
      <c r="EY555" s="450"/>
      <c r="EZ555" s="471"/>
      <c r="FA555" s="450"/>
      <c r="FB555" s="471"/>
      <c r="FC555" s="450"/>
      <c r="FD555" s="471"/>
      <c r="FE555" s="450"/>
      <c r="FF555" s="471"/>
      <c r="FG555" s="450"/>
      <c r="FH555" s="472"/>
      <c r="FI555" s="450"/>
      <c r="FJ555" s="468">
        <f t="shared" si="281"/>
        <v>0</v>
      </c>
      <c r="FK555" s="469">
        <f t="shared" si="282"/>
        <v>0</v>
      </c>
      <c r="FL555" s="472"/>
      <c r="FM555" s="450"/>
      <c r="FN555" s="460">
        <f t="shared" si="283"/>
        <v>1640</v>
      </c>
      <c r="FO555" s="469">
        <f t="shared" si="284"/>
        <v>1629</v>
      </c>
    </row>
    <row r="556" spans="1:171" x14ac:dyDescent="0.2">
      <c r="A556" s="543" t="s">
        <v>854</v>
      </c>
      <c r="B556" s="544" t="s">
        <v>883</v>
      </c>
      <c r="C556" s="636"/>
      <c r="D556" s="631">
        <v>229018</v>
      </c>
      <c r="E556" s="635">
        <v>3</v>
      </c>
      <c r="F556" s="532"/>
      <c r="G556" s="450"/>
      <c r="H556" s="457"/>
      <c r="I556" s="450"/>
      <c r="J556" s="457"/>
      <c r="K556" s="742"/>
      <c r="L556" s="458">
        <f t="shared" si="261"/>
        <v>0</v>
      </c>
      <c r="M556" s="449">
        <f t="shared" si="262"/>
        <v>0</v>
      </c>
      <c r="N556" s="459">
        <v>541</v>
      </c>
      <c r="O556" s="459"/>
      <c r="P556" s="459"/>
      <c r="Q556" s="459"/>
      <c r="R556" s="460">
        <f t="shared" si="263"/>
        <v>0</v>
      </c>
      <c r="S556" s="650">
        <v>546</v>
      </c>
      <c r="T556" s="461"/>
      <c r="U556" s="461"/>
      <c r="V556" s="461"/>
      <c r="W556" s="462">
        <f t="shared" si="264"/>
        <v>0</v>
      </c>
      <c r="X556" s="463"/>
      <c r="Y556" s="457"/>
      <c r="Z556" s="464"/>
      <c r="AA556" s="464"/>
      <c r="AB556" s="465"/>
      <c r="AC556" s="457"/>
      <c r="AD556" s="464"/>
      <c r="AE556" s="466"/>
      <c r="AF556" s="465"/>
      <c r="AG556" s="457"/>
      <c r="AH556" s="464"/>
      <c r="AI556" s="466"/>
      <c r="AJ556" s="465"/>
      <c r="AK556" s="457"/>
      <c r="AL556" s="464"/>
      <c r="AM556" s="466"/>
      <c r="AN556" s="465"/>
      <c r="AO556" s="457"/>
      <c r="AP556" s="464"/>
      <c r="AQ556" s="464"/>
      <c r="AR556" s="460">
        <f t="shared" si="265"/>
        <v>0</v>
      </c>
      <c r="AS556" s="467">
        <f t="shared" si="266"/>
        <v>0.78179190751445082</v>
      </c>
      <c r="AT556" s="447">
        <f t="shared" si="267"/>
        <v>0</v>
      </c>
      <c r="AU556" s="448">
        <f t="shared" si="268"/>
        <v>0.7822349570200573</v>
      </c>
      <c r="AV556" s="457"/>
      <c r="AW556" s="450"/>
      <c r="AX556" s="463">
        <v>13</v>
      </c>
      <c r="AY556" s="457">
        <v>58</v>
      </c>
      <c r="AZ556" s="464">
        <v>13</v>
      </c>
      <c r="BA556" s="464">
        <v>67</v>
      </c>
      <c r="BB556" s="465">
        <v>52</v>
      </c>
      <c r="BC556" s="457">
        <v>40</v>
      </c>
      <c r="BD556" s="464">
        <v>52</v>
      </c>
      <c r="BE556" s="466">
        <v>29</v>
      </c>
      <c r="BF556" s="465">
        <v>42</v>
      </c>
      <c r="BG556" s="457">
        <v>10</v>
      </c>
      <c r="BH556" s="464">
        <v>31</v>
      </c>
      <c r="BI556" s="466">
        <v>10</v>
      </c>
      <c r="BJ556" s="465">
        <v>44</v>
      </c>
      <c r="BK556" s="457">
        <v>9</v>
      </c>
      <c r="BL556" s="464">
        <v>42</v>
      </c>
      <c r="BM556" s="466">
        <v>10</v>
      </c>
      <c r="BN556" s="465">
        <v>23</v>
      </c>
      <c r="BO556" s="457">
        <v>6</v>
      </c>
      <c r="BP556" s="464">
        <v>27</v>
      </c>
      <c r="BQ556" s="466">
        <v>9</v>
      </c>
      <c r="BR556" s="465">
        <v>26</v>
      </c>
      <c r="BS556" s="457">
        <v>6</v>
      </c>
      <c r="BT556" s="771">
        <v>40</v>
      </c>
      <c r="BU556" s="772">
        <v>7</v>
      </c>
      <c r="BV556" s="465">
        <v>40</v>
      </c>
      <c r="BW556" s="457">
        <v>6</v>
      </c>
      <c r="BX556" s="464">
        <v>26</v>
      </c>
      <c r="BY556" s="466">
        <v>4</v>
      </c>
      <c r="BZ556" s="465">
        <v>16</v>
      </c>
      <c r="CA556" s="457">
        <v>5</v>
      </c>
      <c r="CB556" s="464">
        <v>43</v>
      </c>
      <c r="CC556" s="466">
        <v>4</v>
      </c>
      <c r="CD556" s="465">
        <v>31</v>
      </c>
      <c r="CE556" s="457">
        <v>4</v>
      </c>
      <c r="CF556" s="464">
        <v>44</v>
      </c>
      <c r="CG556" s="466">
        <v>4</v>
      </c>
      <c r="CH556" s="465">
        <v>54</v>
      </c>
      <c r="CI556" s="457">
        <v>4</v>
      </c>
      <c r="CJ556" s="464">
        <v>54</v>
      </c>
      <c r="CK556" s="466">
        <v>4</v>
      </c>
      <c r="CL556" s="459">
        <v>3</v>
      </c>
      <c r="CM556" s="624">
        <v>4</v>
      </c>
      <c r="CN556" s="468">
        <f t="shared" si="269"/>
        <v>151</v>
      </c>
      <c r="CO556" s="468">
        <f t="shared" si="270"/>
        <v>10</v>
      </c>
      <c r="CP556" s="469">
        <f t="shared" si="271"/>
        <v>152</v>
      </c>
      <c r="CQ556" s="469">
        <f t="shared" si="272"/>
        <v>10</v>
      </c>
      <c r="CR556" s="463"/>
      <c r="CS556" s="457"/>
      <c r="CT556" s="392"/>
      <c r="CU556" s="392"/>
      <c r="CV556" s="465"/>
      <c r="CW556" s="457"/>
      <c r="CX556" s="464"/>
      <c r="CY556" s="466"/>
      <c r="CZ556" s="465"/>
      <c r="DA556" s="457"/>
      <c r="DB556" s="464"/>
      <c r="DC556" s="466"/>
      <c r="DD556" s="465"/>
      <c r="DE556" s="457"/>
      <c r="DF556" s="464"/>
      <c r="DG556" s="466"/>
      <c r="DH556" s="465"/>
      <c r="DI556" s="457"/>
      <c r="DJ556" s="464"/>
      <c r="DK556" s="466"/>
      <c r="DL556" s="465"/>
      <c r="DM556" s="457"/>
      <c r="DN556" s="464"/>
      <c r="DO556" s="466"/>
      <c r="DP556" s="465"/>
      <c r="DQ556" s="457"/>
      <c r="DR556" s="464"/>
      <c r="DS556" s="466"/>
      <c r="DT556" s="465"/>
      <c r="DU556" s="457"/>
      <c r="DV556" s="464"/>
      <c r="DW556" s="466"/>
      <c r="DX556" s="465"/>
      <c r="DY556" s="457"/>
      <c r="DZ556" s="464"/>
      <c r="EA556" s="466"/>
      <c r="EB556" s="465"/>
      <c r="EC556" s="457"/>
      <c r="ED556" s="464"/>
      <c r="EE556" s="466"/>
      <c r="EF556" s="459"/>
      <c r="EG556" s="450"/>
      <c r="EH556" s="460">
        <f t="shared" si="273"/>
        <v>0</v>
      </c>
      <c r="EI556" s="460">
        <f t="shared" si="274"/>
        <v>0</v>
      </c>
      <c r="EJ556" s="458">
        <f t="shared" si="275"/>
        <v>0</v>
      </c>
      <c r="EK556" s="470">
        <f t="shared" si="276"/>
        <v>0</v>
      </c>
      <c r="EL556" s="470">
        <f t="shared" si="277"/>
        <v>0</v>
      </c>
      <c r="EM556" s="449">
        <f t="shared" si="278"/>
        <v>0</v>
      </c>
      <c r="EN556" s="460">
        <f t="shared" si="279"/>
        <v>151</v>
      </c>
      <c r="EO556" s="469">
        <f t="shared" si="280"/>
        <v>152</v>
      </c>
      <c r="EP556" s="471"/>
      <c r="EQ556" s="450"/>
      <c r="ER556" s="471"/>
      <c r="ES556" s="450"/>
      <c r="ET556" s="471"/>
      <c r="EU556" s="450"/>
      <c r="EV556" s="471"/>
      <c r="EW556" s="450"/>
      <c r="EX556" s="471"/>
      <c r="EY556" s="450"/>
      <c r="EZ556" s="471"/>
      <c r="FA556" s="450"/>
      <c r="FB556" s="471"/>
      <c r="FC556" s="450"/>
      <c r="FD556" s="471"/>
      <c r="FE556" s="450"/>
      <c r="FF556" s="471"/>
      <c r="FG556" s="450"/>
      <c r="FH556" s="472"/>
      <c r="FI556" s="450"/>
      <c r="FJ556" s="468">
        <f t="shared" si="281"/>
        <v>0</v>
      </c>
      <c r="FK556" s="469">
        <f t="shared" si="282"/>
        <v>0</v>
      </c>
      <c r="FL556" s="472"/>
      <c r="FM556" s="450"/>
      <c r="FN556" s="460">
        <f t="shared" si="283"/>
        <v>692</v>
      </c>
      <c r="FO556" s="469">
        <f t="shared" si="284"/>
        <v>698</v>
      </c>
    </row>
    <row r="557" spans="1:171" x14ac:dyDescent="0.2">
      <c r="A557" s="543" t="s">
        <v>854</v>
      </c>
      <c r="B557" s="544" t="s">
        <v>884</v>
      </c>
      <c r="C557" s="545"/>
      <c r="D557" s="631">
        <v>227368</v>
      </c>
      <c r="E557" s="632">
        <v>3</v>
      </c>
      <c r="F557" s="532"/>
      <c r="G557" s="450"/>
      <c r="H557" s="457"/>
      <c r="I557" s="450"/>
      <c r="J557" s="457"/>
      <c r="K557" s="450"/>
      <c r="L557" s="458">
        <f t="shared" si="261"/>
        <v>0</v>
      </c>
      <c r="M557" s="449">
        <f t="shared" si="262"/>
        <v>0</v>
      </c>
      <c r="N557" s="459">
        <v>2658</v>
      </c>
      <c r="O557" s="459"/>
      <c r="P557" s="459"/>
      <c r="Q557" s="459"/>
      <c r="R557" s="460">
        <f t="shared" si="263"/>
        <v>0</v>
      </c>
      <c r="S557" s="650">
        <v>2462</v>
      </c>
      <c r="T557" s="461"/>
      <c r="U557" s="461"/>
      <c r="V557" s="461"/>
      <c r="W557" s="462">
        <f t="shared" si="264"/>
        <v>0</v>
      </c>
      <c r="X557" s="463"/>
      <c r="Y557" s="457"/>
      <c r="Z557" s="464"/>
      <c r="AA557" s="464"/>
      <c r="AB557" s="465"/>
      <c r="AC557" s="457"/>
      <c r="AD557" s="464"/>
      <c r="AE557" s="466"/>
      <c r="AF557" s="465"/>
      <c r="AG557" s="457"/>
      <c r="AH557" s="464"/>
      <c r="AI557" s="466"/>
      <c r="AJ557" s="465"/>
      <c r="AK557" s="457"/>
      <c r="AL557" s="464"/>
      <c r="AM557" s="466"/>
      <c r="AN557" s="465"/>
      <c r="AO557" s="457"/>
      <c r="AP557" s="464"/>
      <c r="AQ557" s="464"/>
      <c r="AR557" s="460">
        <f t="shared" si="265"/>
        <v>0</v>
      </c>
      <c r="AS557" s="467">
        <f t="shared" si="266"/>
        <v>0.76247848537005158</v>
      </c>
      <c r="AT557" s="447">
        <f t="shared" si="267"/>
        <v>0</v>
      </c>
      <c r="AU557" s="448">
        <f t="shared" si="268"/>
        <v>0.77788309636650865</v>
      </c>
      <c r="AV557" s="457"/>
      <c r="AW557" s="450"/>
      <c r="AX557" s="463">
        <v>13</v>
      </c>
      <c r="AY557" s="457">
        <v>237</v>
      </c>
      <c r="AZ557" s="392">
        <v>13</v>
      </c>
      <c r="BA557" s="392">
        <v>148</v>
      </c>
      <c r="BB557" s="465">
        <v>51</v>
      </c>
      <c r="BC557" s="457">
        <v>170</v>
      </c>
      <c r="BD557" s="392">
        <v>51</v>
      </c>
      <c r="BE557" s="392">
        <v>141</v>
      </c>
      <c r="BF557" s="465">
        <v>44</v>
      </c>
      <c r="BG557" s="457">
        <v>73</v>
      </c>
      <c r="BH557" s="392">
        <v>52</v>
      </c>
      <c r="BI557" s="392">
        <v>95</v>
      </c>
      <c r="BJ557" s="465">
        <v>52</v>
      </c>
      <c r="BK557" s="457">
        <v>64</v>
      </c>
      <c r="BL557" s="392">
        <v>44</v>
      </c>
      <c r="BM557" s="392">
        <v>63</v>
      </c>
      <c r="BN557" s="465">
        <v>14</v>
      </c>
      <c r="BO557" s="457">
        <v>40</v>
      </c>
      <c r="BP557" s="464">
        <v>30</v>
      </c>
      <c r="BQ557" s="466">
        <v>33</v>
      </c>
      <c r="BR557" s="465">
        <v>23</v>
      </c>
      <c r="BS557" s="457">
        <v>27</v>
      </c>
      <c r="BT557" s="624">
        <v>14</v>
      </c>
      <c r="BU557" s="624">
        <v>29</v>
      </c>
      <c r="BV557" s="465">
        <v>42</v>
      </c>
      <c r="BW557" s="457">
        <v>27</v>
      </c>
      <c r="BX557" s="464">
        <v>42</v>
      </c>
      <c r="BY557" s="466">
        <v>22</v>
      </c>
      <c r="BZ557" s="465">
        <v>27</v>
      </c>
      <c r="CA557" s="457">
        <v>24</v>
      </c>
      <c r="CB557" s="464">
        <v>23</v>
      </c>
      <c r="CC557" s="466">
        <v>21</v>
      </c>
      <c r="CD557" s="465">
        <v>30</v>
      </c>
      <c r="CE557" s="457">
        <v>24</v>
      </c>
      <c r="CF557" s="464">
        <v>11</v>
      </c>
      <c r="CG557" s="466">
        <v>18</v>
      </c>
      <c r="CH557" s="465">
        <v>11</v>
      </c>
      <c r="CI557" s="457">
        <v>19</v>
      </c>
      <c r="CJ557" s="464">
        <v>9</v>
      </c>
      <c r="CK557" s="466">
        <v>17</v>
      </c>
      <c r="CL557" s="459">
        <v>113</v>
      </c>
      <c r="CM557" s="624">
        <v>98</v>
      </c>
      <c r="CN557" s="468">
        <f t="shared" si="269"/>
        <v>818</v>
      </c>
      <c r="CO557" s="468">
        <f t="shared" si="270"/>
        <v>10</v>
      </c>
      <c r="CP557" s="469">
        <f t="shared" si="271"/>
        <v>685</v>
      </c>
      <c r="CQ557" s="469">
        <f t="shared" si="272"/>
        <v>10</v>
      </c>
      <c r="CR557" s="463">
        <v>52</v>
      </c>
      <c r="CS557" s="457">
        <v>6</v>
      </c>
      <c r="CT557" s="756">
        <v>52</v>
      </c>
      <c r="CU557" s="756">
        <v>11</v>
      </c>
      <c r="CV557" s="465">
        <v>13</v>
      </c>
      <c r="CW557" s="457">
        <v>4</v>
      </c>
      <c r="CX557" s="625">
        <v>13</v>
      </c>
      <c r="CY557" s="626">
        <v>7</v>
      </c>
      <c r="CZ557" s="465"/>
      <c r="DA557" s="457"/>
      <c r="DB557" s="464"/>
      <c r="DC557" s="466"/>
      <c r="DD557" s="465"/>
      <c r="DE557" s="457"/>
      <c r="DF557" s="464"/>
      <c r="DG557" s="466"/>
      <c r="DH557" s="465"/>
      <c r="DI557" s="457"/>
      <c r="DJ557" s="464"/>
      <c r="DK557" s="466"/>
      <c r="DL557" s="465"/>
      <c r="DM557" s="457"/>
      <c r="DN557" s="464"/>
      <c r="DO557" s="466"/>
      <c r="DP557" s="465"/>
      <c r="DQ557" s="457"/>
      <c r="DR557" s="464"/>
      <c r="DS557" s="466"/>
      <c r="DT557" s="465"/>
      <c r="DU557" s="457"/>
      <c r="DV557" s="464"/>
      <c r="DW557" s="466"/>
      <c r="DX557" s="465"/>
      <c r="DY557" s="457"/>
      <c r="DZ557" s="464"/>
      <c r="EA557" s="466"/>
      <c r="EB557" s="465"/>
      <c r="EC557" s="457"/>
      <c r="ED557" s="464"/>
      <c r="EE557" s="466"/>
      <c r="EF557" s="459"/>
      <c r="EG557" s="450"/>
      <c r="EH557" s="460">
        <f t="shared" si="273"/>
        <v>10</v>
      </c>
      <c r="EI557" s="460">
        <f t="shared" si="274"/>
        <v>2</v>
      </c>
      <c r="EJ557" s="458">
        <f t="shared" si="275"/>
        <v>0.6</v>
      </c>
      <c r="EK557" s="470">
        <f t="shared" si="276"/>
        <v>18</v>
      </c>
      <c r="EL557" s="470">
        <f t="shared" si="277"/>
        <v>2</v>
      </c>
      <c r="EM557" s="449">
        <f t="shared" si="278"/>
        <v>0.61111111111111116</v>
      </c>
      <c r="EN557" s="460">
        <f t="shared" si="279"/>
        <v>828</v>
      </c>
      <c r="EO557" s="469">
        <f t="shared" si="280"/>
        <v>703</v>
      </c>
      <c r="EP557" s="471"/>
      <c r="EQ557" s="450"/>
      <c r="ER557" s="471"/>
      <c r="ES557" s="450"/>
      <c r="ET557" s="471"/>
      <c r="EU557" s="450"/>
      <c r="EV557" s="471"/>
      <c r="EW557" s="450"/>
      <c r="EX557" s="471"/>
      <c r="EY557" s="450"/>
      <c r="EZ557" s="471"/>
      <c r="FA557" s="450"/>
      <c r="FB557" s="471"/>
      <c r="FC557" s="450"/>
      <c r="FD557" s="471"/>
      <c r="FE557" s="450"/>
      <c r="FF557" s="471"/>
      <c r="FG557" s="450"/>
      <c r="FH557" s="472"/>
      <c r="FI557" s="450"/>
      <c r="FJ557" s="468">
        <f t="shared" si="281"/>
        <v>0</v>
      </c>
      <c r="FK557" s="469">
        <f t="shared" si="282"/>
        <v>0</v>
      </c>
      <c r="FL557" s="472"/>
      <c r="FM557" s="450"/>
      <c r="FN557" s="460">
        <f t="shared" si="283"/>
        <v>3486</v>
      </c>
      <c r="FO557" s="469">
        <f t="shared" si="284"/>
        <v>3165</v>
      </c>
    </row>
    <row r="558" spans="1:171" x14ac:dyDescent="0.2">
      <c r="A558" s="543" t="s">
        <v>854</v>
      </c>
      <c r="B558" s="544" t="s">
        <v>885</v>
      </c>
      <c r="C558" s="545"/>
      <c r="D558" s="631">
        <v>229814</v>
      </c>
      <c r="E558" s="632">
        <v>3</v>
      </c>
      <c r="F558" s="532"/>
      <c r="G558" s="450"/>
      <c r="H558" s="457"/>
      <c r="I558" s="450"/>
      <c r="J558" s="457"/>
      <c r="K558" s="450"/>
      <c r="L558" s="458">
        <f t="shared" si="261"/>
        <v>0</v>
      </c>
      <c r="M558" s="449">
        <f t="shared" si="262"/>
        <v>0</v>
      </c>
      <c r="N558" s="459">
        <v>1294</v>
      </c>
      <c r="O558" s="459"/>
      <c r="P558" s="459"/>
      <c r="Q558" s="459"/>
      <c r="R558" s="460">
        <f t="shared" si="263"/>
        <v>0</v>
      </c>
      <c r="S558" s="650">
        <v>1253</v>
      </c>
      <c r="T558" s="461"/>
      <c r="U558" s="461"/>
      <c r="V558" s="461"/>
      <c r="W558" s="462">
        <f t="shared" si="264"/>
        <v>0</v>
      </c>
      <c r="X558" s="463"/>
      <c r="Y558" s="457"/>
      <c r="Z558" s="464"/>
      <c r="AA558" s="464"/>
      <c r="AB558" s="465"/>
      <c r="AC558" s="457"/>
      <c r="AD558" s="464"/>
      <c r="AE558" s="466"/>
      <c r="AF558" s="465"/>
      <c r="AG558" s="457"/>
      <c r="AH558" s="464"/>
      <c r="AI558" s="466"/>
      <c r="AJ558" s="465"/>
      <c r="AK558" s="457"/>
      <c r="AL558" s="464"/>
      <c r="AM558" s="466"/>
      <c r="AN558" s="465"/>
      <c r="AO558" s="457"/>
      <c r="AP558" s="464"/>
      <c r="AQ558" s="464"/>
      <c r="AR558" s="460">
        <f t="shared" si="265"/>
        <v>0</v>
      </c>
      <c r="AS558" s="467">
        <f t="shared" si="266"/>
        <v>0.80123839009287923</v>
      </c>
      <c r="AT558" s="447">
        <f t="shared" si="267"/>
        <v>0</v>
      </c>
      <c r="AU558" s="448">
        <f t="shared" si="268"/>
        <v>0.78263585259212987</v>
      </c>
      <c r="AV558" s="457"/>
      <c r="AW558" s="450"/>
      <c r="AX558" s="463">
        <v>52</v>
      </c>
      <c r="AY558" s="457">
        <v>89</v>
      </c>
      <c r="AZ558" s="392">
        <v>52</v>
      </c>
      <c r="BA558" s="392">
        <v>115</v>
      </c>
      <c r="BB558" s="465">
        <v>13</v>
      </c>
      <c r="BC558" s="457">
        <v>71</v>
      </c>
      <c r="BD558" s="464">
        <v>13</v>
      </c>
      <c r="BE558" s="466">
        <v>78</v>
      </c>
      <c r="BF558" s="465">
        <v>51</v>
      </c>
      <c r="BG558" s="457">
        <v>45</v>
      </c>
      <c r="BH558" s="392">
        <v>51</v>
      </c>
      <c r="BI558" s="392">
        <v>39</v>
      </c>
      <c r="BJ558" s="465">
        <v>9</v>
      </c>
      <c r="BK558" s="457">
        <v>15</v>
      </c>
      <c r="BL558" s="464">
        <v>44</v>
      </c>
      <c r="BM558" s="466">
        <v>19</v>
      </c>
      <c r="BN558" s="465">
        <v>31</v>
      </c>
      <c r="BO558" s="457">
        <v>15</v>
      </c>
      <c r="BP558" s="464">
        <v>1</v>
      </c>
      <c r="BQ558" s="466">
        <v>15</v>
      </c>
      <c r="BR558" s="465">
        <v>42</v>
      </c>
      <c r="BS558" s="457">
        <v>15</v>
      </c>
      <c r="BT558" s="771">
        <v>50</v>
      </c>
      <c r="BU558" s="772">
        <v>15</v>
      </c>
      <c r="BV558" s="465">
        <v>50</v>
      </c>
      <c r="BW558" s="457">
        <v>14</v>
      </c>
      <c r="BX558" s="464">
        <v>42</v>
      </c>
      <c r="BY558" s="466">
        <v>13</v>
      </c>
      <c r="BZ558" s="465">
        <v>1</v>
      </c>
      <c r="CA558" s="457">
        <v>12</v>
      </c>
      <c r="CB558" s="464">
        <v>31</v>
      </c>
      <c r="CC558" s="466">
        <v>8</v>
      </c>
      <c r="CD558" s="465">
        <v>15</v>
      </c>
      <c r="CE558" s="457">
        <v>8</v>
      </c>
      <c r="CF558" s="464">
        <v>15</v>
      </c>
      <c r="CG558" s="466">
        <v>7</v>
      </c>
      <c r="CH558" s="465">
        <v>26</v>
      </c>
      <c r="CI558" s="457">
        <v>8</v>
      </c>
      <c r="CJ558" s="464">
        <v>3</v>
      </c>
      <c r="CK558" s="466">
        <v>6</v>
      </c>
      <c r="CL558" s="459">
        <v>28</v>
      </c>
      <c r="CM558" s="624">
        <v>28</v>
      </c>
      <c r="CN558" s="468">
        <f t="shared" si="269"/>
        <v>320</v>
      </c>
      <c r="CO558" s="468">
        <f t="shared" si="270"/>
        <v>10</v>
      </c>
      <c r="CP558" s="469">
        <f t="shared" si="271"/>
        <v>343</v>
      </c>
      <c r="CQ558" s="469">
        <f t="shared" si="272"/>
        <v>10</v>
      </c>
      <c r="CR558" s="463">
        <v>1</v>
      </c>
      <c r="CS558" s="457">
        <v>1</v>
      </c>
      <c r="CT558" s="756">
        <v>1</v>
      </c>
      <c r="CU558" s="756">
        <v>5</v>
      </c>
      <c r="CV558" s="465"/>
      <c r="CW558" s="457"/>
      <c r="CX558" s="464"/>
      <c r="CY558" s="466"/>
      <c r="CZ558" s="465"/>
      <c r="DA558" s="457"/>
      <c r="DB558" s="464"/>
      <c r="DC558" s="466"/>
      <c r="DD558" s="465"/>
      <c r="DE558" s="457"/>
      <c r="DF558" s="464"/>
      <c r="DG558" s="466"/>
      <c r="DH558" s="465"/>
      <c r="DI558" s="457"/>
      <c r="DJ558" s="464"/>
      <c r="DK558" s="466"/>
      <c r="DL558" s="465"/>
      <c r="DM558" s="457"/>
      <c r="DN558" s="464"/>
      <c r="DO558" s="466"/>
      <c r="DP558" s="465"/>
      <c r="DQ558" s="457"/>
      <c r="DR558" s="464"/>
      <c r="DS558" s="466"/>
      <c r="DT558" s="465"/>
      <c r="DU558" s="457"/>
      <c r="DV558" s="464"/>
      <c r="DW558" s="466"/>
      <c r="DX558" s="465"/>
      <c r="DY558" s="457"/>
      <c r="DZ558" s="464"/>
      <c r="EA558" s="466"/>
      <c r="EB558" s="465"/>
      <c r="EC558" s="457"/>
      <c r="ED558" s="464"/>
      <c r="EE558" s="466"/>
      <c r="EF558" s="459"/>
      <c r="EG558" s="450"/>
      <c r="EH558" s="460">
        <f t="shared" si="273"/>
        <v>1</v>
      </c>
      <c r="EI558" s="460">
        <f t="shared" si="274"/>
        <v>1</v>
      </c>
      <c r="EJ558" s="458">
        <f t="shared" si="275"/>
        <v>1</v>
      </c>
      <c r="EK558" s="470">
        <f t="shared" si="276"/>
        <v>5</v>
      </c>
      <c r="EL558" s="470">
        <f t="shared" si="277"/>
        <v>1</v>
      </c>
      <c r="EM558" s="449">
        <f t="shared" si="278"/>
        <v>1</v>
      </c>
      <c r="EN558" s="460">
        <f t="shared" si="279"/>
        <v>321</v>
      </c>
      <c r="EO558" s="469">
        <f t="shared" si="280"/>
        <v>348</v>
      </c>
      <c r="EP558" s="471"/>
      <c r="EQ558" s="450"/>
      <c r="ER558" s="471"/>
      <c r="ES558" s="450"/>
      <c r="ET558" s="471"/>
      <c r="EU558" s="450"/>
      <c r="EV558" s="471"/>
      <c r="EW558" s="450"/>
      <c r="EX558" s="471"/>
      <c r="EY558" s="450"/>
      <c r="EZ558" s="471"/>
      <c r="FA558" s="450"/>
      <c r="FB558" s="471"/>
      <c r="FC558" s="450"/>
      <c r="FD558" s="471"/>
      <c r="FE558" s="450"/>
      <c r="FF558" s="471"/>
      <c r="FG558" s="450"/>
      <c r="FH558" s="472"/>
      <c r="FI558" s="450"/>
      <c r="FJ558" s="468">
        <f t="shared" si="281"/>
        <v>0</v>
      </c>
      <c r="FK558" s="469">
        <f t="shared" si="282"/>
        <v>0</v>
      </c>
      <c r="FL558" s="472"/>
      <c r="FM558" s="450"/>
      <c r="FN558" s="460">
        <f t="shared" si="283"/>
        <v>1615</v>
      </c>
      <c r="FO558" s="469">
        <f t="shared" si="284"/>
        <v>1601</v>
      </c>
    </row>
    <row r="559" spans="1:171" x14ac:dyDescent="0.2">
      <c r="A559" s="637" t="s">
        <v>854</v>
      </c>
      <c r="B559" s="544" t="s">
        <v>969</v>
      </c>
      <c r="C559" s="636" t="s">
        <v>975</v>
      </c>
      <c r="D559" s="649" t="s">
        <v>954</v>
      </c>
      <c r="E559" s="652">
        <v>4</v>
      </c>
      <c r="F559" s="532"/>
      <c r="G559" s="450"/>
      <c r="H559" s="457"/>
      <c r="I559" s="450"/>
      <c r="J559" s="457"/>
      <c r="K559" s="450"/>
      <c r="L559" s="458">
        <f t="shared" si="261"/>
        <v>0</v>
      </c>
      <c r="M559" s="449">
        <f t="shared" si="262"/>
        <v>0</v>
      </c>
      <c r="N559" s="459">
        <v>462</v>
      </c>
      <c r="O559" s="459"/>
      <c r="P559" s="459"/>
      <c r="Q559" s="459"/>
      <c r="R559" s="460">
        <f t="shared" si="263"/>
        <v>0</v>
      </c>
      <c r="S559" s="623">
        <v>469</v>
      </c>
      <c r="T559" s="461"/>
      <c r="U559" s="461"/>
      <c r="V559" s="461"/>
      <c r="W559" s="462">
        <f t="shared" si="264"/>
        <v>0</v>
      </c>
      <c r="X559" s="463"/>
      <c r="Y559" s="457"/>
      <c r="Z559" s="464"/>
      <c r="AA559" s="464"/>
      <c r="AB559" s="465"/>
      <c r="AC559" s="457"/>
      <c r="AD559" s="464"/>
      <c r="AE559" s="466"/>
      <c r="AF559" s="465"/>
      <c r="AG559" s="457"/>
      <c r="AH559" s="464"/>
      <c r="AI559" s="466"/>
      <c r="AJ559" s="465"/>
      <c r="AK559" s="457"/>
      <c r="AL559" s="464"/>
      <c r="AM559" s="466"/>
      <c r="AN559" s="465"/>
      <c r="AO559" s="457"/>
      <c r="AP559" s="464"/>
      <c r="AQ559" s="464"/>
      <c r="AR559" s="460">
        <f t="shared" si="265"/>
        <v>0</v>
      </c>
      <c r="AS559" s="467">
        <f t="shared" si="266"/>
        <v>0.67642752562225472</v>
      </c>
      <c r="AT559" s="447">
        <f t="shared" si="267"/>
        <v>0</v>
      </c>
      <c r="AU559" s="448">
        <f t="shared" si="268"/>
        <v>0.71603053435114505</v>
      </c>
      <c r="AV559" s="457"/>
      <c r="AW559" s="450"/>
      <c r="AX559" s="463">
        <v>52</v>
      </c>
      <c r="AY559" s="457">
        <v>61</v>
      </c>
      <c r="AZ559" s="625">
        <v>52</v>
      </c>
      <c r="BA559" s="625">
        <v>61</v>
      </c>
      <c r="BB559" s="465">
        <v>13</v>
      </c>
      <c r="BC559" s="457">
        <v>56</v>
      </c>
      <c r="BD559" s="625">
        <v>42</v>
      </c>
      <c r="BE559" s="626">
        <v>50</v>
      </c>
      <c r="BF559" s="465">
        <v>42</v>
      </c>
      <c r="BG559" s="457">
        <v>49</v>
      </c>
      <c r="BH559" s="756">
        <v>13</v>
      </c>
      <c r="BI559" s="756">
        <v>39</v>
      </c>
      <c r="BJ559" s="465">
        <v>11</v>
      </c>
      <c r="BK559" s="457">
        <v>37</v>
      </c>
      <c r="BL559" s="625">
        <v>11</v>
      </c>
      <c r="BM559" s="626">
        <v>19</v>
      </c>
      <c r="BN559" s="465">
        <v>43</v>
      </c>
      <c r="BO559" s="457">
        <v>7</v>
      </c>
      <c r="BP559" s="625">
        <v>54</v>
      </c>
      <c r="BQ559" s="626">
        <v>9</v>
      </c>
      <c r="BR559" s="465">
        <v>54</v>
      </c>
      <c r="BS559" s="457">
        <v>7</v>
      </c>
      <c r="BT559" s="464">
        <v>27</v>
      </c>
      <c r="BU559" s="466">
        <v>4</v>
      </c>
      <c r="BV559" s="465">
        <v>24</v>
      </c>
      <c r="BW559" s="457">
        <v>2</v>
      </c>
      <c r="BX559" s="625">
        <v>43</v>
      </c>
      <c r="BY559" s="626">
        <v>4</v>
      </c>
      <c r="BZ559" s="465">
        <v>27</v>
      </c>
      <c r="CA559" s="457">
        <v>1</v>
      </c>
      <c r="CB559" s="464"/>
      <c r="CC559" s="466"/>
      <c r="CD559" s="465">
        <v>45</v>
      </c>
      <c r="CE559" s="457">
        <v>1</v>
      </c>
      <c r="CF559" s="464"/>
      <c r="CG559" s="466"/>
      <c r="CH559" s="465"/>
      <c r="CI559" s="457"/>
      <c r="CJ559" s="464"/>
      <c r="CK559" s="466"/>
      <c r="CL559" s="459"/>
      <c r="CM559" s="450"/>
      <c r="CN559" s="468">
        <f t="shared" si="269"/>
        <v>221</v>
      </c>
      <c r="CO559" s="468">
        <f t="shared" si="270"/>
        <v>9</v>
      </c>
      <c r="CP559" s="469">
        <f t="shared" si="271"/>
        <v>186</v>
      </c>
      <c r="CQ559" s="469">
        <f t="shared" si="272"/>
        <v>7</v>
      </c>
      <c r="CR559" s="463"/>
      <c r="CS559" s="457"/>
      <c r="CT559" s="464"/>
      <c r="CU559" s="464"/>
      <c r="CV559" s="465"/>
      <c r="CW559" s="457"/>
      <c r="CX559" s="625"/>
      <c r="CY559" s="626"/>
      <c r="CZ559" s="465"/>
      <c r="DA559" s="457"/>
      <c r="DB559" s="625"/>
      <c r="DC559" s="626"/>
      <c r="DD559" s="465"/>
      <c r="DE559" s="457"/>
      <c r="DF559" s="464"/>
      <c r="DG559" s="466"/>
      <c r="DH559" s="465"/>
      <c r="DI559" s="457"/>
      <c r="DJ559" s="464"/>
      <c r="DK559" s="466"/>
      <c r="DL559" s="465"/>
      <c r="DM559" s="457"/>
      <c r="DN559" s="464"/>
      <c r="DO559" s="466"/>
      <c r="DP559" s="465"/>
      <c r="DQ559" s="457"/>
      <c r="DR559" s="464"/>
      <c r="DS559" s="466"/>
      <c r="DT559" s="465"/>
      <c r="DU559" s="457"/>
      <c r="DV559" s="464"/>
      <c r="DW559" s="466"/>
      <c r="DX559" s="465"/>
      <c r="DY559" s="457"/>
      <c r="DZ559" s="464"/>
      <c r="EA559" s="466"/>
      <c r="EB559" s="465"/>
      <c r="EC559" s="457"/>
      <c r="ED559" s="464"/>
      <c r="EE559" s="466"/>
      <c r="EF559" s="459"/>
      <c r="EG559" s="450"/>
      <c r="EH559" s="460">
        <f t="shared" si="273"/>
        <v>0</v>
      </c>
      <c r="EI559" s="460">
        <f t="shared" si="274"/>
        <v>0</v>
      </c>
      <c r="EJ559" s="458">
        <f t="shared" si="275"/>
        <v>0</v>
      </c>
      <c r="EK559" s="470">
        <f t="shared" si="276"/>
        <v>0</v>
      </c>
      <c r="EL559" s="470">
        <f t="shared" si="277"/>
        <v>0</v>
      </c>
      <c r="EM559" s="449">
        <f t="shared" si="278"/>
        <v>0</v>
      </c>
      <c r="EN559" s="460">
        <f t="shared" si="279"/>
        <v>221</v>
      </c>
      <c r="EO559" s="469">
        <f t="shared" si="280"/>
        <v>186</v>
      </c>
      <c r="EP559" s="471"/>
      <c r="EQ559" s="450"/>
      <c r="ER559" s="471"/>
      <c r="ES559" s="450"/>
      <c r="ET559" s="471"/>
      <c r="EU559" s="450"/>
      <c r="EV559" s="471"/>
      <c r="EW559" s="450"/>
      <c r="EX559" s="471"/>
      <c r="EY559" s="450"/>
      <c r="EZ559" s="471"/>
      <c r="FA559" s="450"/>
      <c r="FB559" s="471"/>
      <c r="FC559" s="450"/>
      <c r="FD559" s="471"/>
      <c r="FE559" s="450"/>
      <c r="FF559" s="471"/>
      <c r="FG559" s="450"/>
      <c r="FH559" s="472"/>
      <c r="FI559" s="450"/>
      <c r="FJ559" s="468">
        <f t="shared" si="281"/>
        <v>0</v>
      </c>
      <c r="FK559" s="469">
        <f t="shared" si="282"/>
        <v>0</v>
      </c>
      <c r="FL559" s="472"/>
      <c r="FM559" s="450"/>
      <c r="FN559" s="460">
        <f t="shared" si="283"/>
        <v>683</v>
      </c>
      <c r="FO559" s="469">
        <f t="shared" si="284"/>
        <v>655</v>
      </c>
    </row>
    <row r="560" spans="1:171" x14ac:dyDescent="0.2">
      <c r="A560" s="543" t="s">
        <v>854</v>
      </c>
      <c r="B560" s="544" t="s">
        <v>886</v>
      </c>
      <c r="C560" s="545"/>
      <c r="D560" s="631">
        <v>224545</v>
      </c>
      <c r="E560" s="632">
        <v>4</v>
      </c>
      <c r="F560" s="532"/>
      <c r="G560" s="450"/>
      <c r="H560" s="457"/>
      <c r="I560" s="450"/>
      <c r="J560" s="457"/>
      <c r="K560" s="450"/>
      <c r="L560" s="458">
        <f t="shared" si="261"/>
        <v>0</v>
      </c>
      <c r="M560" s="449">
        <f t="shared" si="262"/>
        <v>0</v>
      </c>
      <c r="N560" s="459">
        <v>335</v>
      </c>
      <c r="O560" s="459"/>
      <c r="P560" s="459"/>
      <c r="Q560" s="459"/>
      <c r="R560" s="460">
        <f t="shared" si="263"/>
        <v>0</v>
      </c>
      <c r="S560" s="650">
        <v>376</v>
      </c>
      <c r="T560" s="461"/>
      <c r="U560" s="461"/>
      <c r="V560" s="461"/>
      <c r="W560" s="462">
        <f t="shared" si="264"/>
        <v>0</v>
      </c>
      <c r="X560" s="463"/>
      <c r="Y560" s="457"/>
      <c r="Z560" s="464"/>
      <c r="AA560" s="464"/>
      <c r="AB560" s="465"/>
      <c r="AC560" s="457"/>
      <c r="AD560" s="464"/>
      <c r="AE560" s="466"/>
      <c r="AF560" s="465"/>
      <c r="AG560" s="457"/>
      <c r="AH560" s="464"/>
      <c r="AI560" s="466"/>
      <c r="AJ560" s="465"/>
      <c r="AK560" s="457"/>
      <c r="AL560" s="464"/>
      <c r="AM560" s="466"/>
      <c r="AN560" s="465"/>
      <c r="AO560" s="457"/>
      <c r="AP560" s="464"/>
      <c r="AQ560" s="464"/>
      <c r="AR560" s="460">
        <f t="shared" si="265"/>
        <v>0</v>
      </c>
      <c r="AS560" s="467">
        <f t="shared" si="266"/>
        <v>0.67134268537074149</v>
      </c>
      <c r="AT560" s="447">
        <f t="shared" si="267"/>
        <v>0</v>
      </c>
      <c r="AU560" s="448">
        <f t="shared" si="268"/>
        <v>0.75653923541247481</v>
      </c>
      <c r="AV560" s="457"/>
      <c r="AW560" s="450"/>
      <c r="AX560" s="463">
        <v>13</v>
      </c>
      <c r="AY560" s="457">
        <v>99</v>
      </c>
      <c r="AZ560" s="464">
        <v>13</v>
      </c>
      <c r="BA560" s="464">
        <v>64</v>
      </c>
      <c r="BB560" s="465">
        <v>52</v>
      </c>
      <c r="BC560" s="457">
        <v>32</v>
      </c>
      <c r="BD560" s="464">
        <v>52</v>
      </c>
      <c r="BE560" s="466">
        <v>30</v>
      </c>
      <c r="BF560" s="465">
        <v>30</v>
      </c>
      <c r="BG560" s="457">
        <v>14</v>
      </c>
      <c r="BH560" s="464">
        <v>30</v>
      </c>
      <c r="BI560" s="466">
        <v>11</v>
      </c>
      <c r="BJ560" s="465">
        <v>42</v>
      </c>
      <c r="BK560" s="457">
        <v>7</v>
      </c>
      <c r="BL560" s="464">
        <v>42</v>
      </c>
      <c r="BM560" s="466">
        <v>11</v>
      </c>
      <c r="BN560" s="465">
        <v>51</v>
      </c>
      <c r="BO560" s="457">
        <v>7</v>
      </c>
      <c r="BP560" s="464">
        <v>51</v>
      </c>
      <c r="BQ560" s="466">
        <v>3</v>
      </c>
      <c r="BR560" s="465">
        <v>23</v>
      </c>
      <c r="BS560" s="457">
        <v>4</v>
      </c>
      <c r="BT560" s="771">
        <v>23</v>
      </c>
      <c r="BU560" s="772">
        <v>2</v>
      </c>
      <c r="BV560" s="465">
        <v>54</v>
      </c>
      <c r="BW560" s="457">
        <v>1</v>
      </c>
      <c r="BX560" s="464">
        <v>0</v>
      </c>
      <c r="BY560" s="466">
        <v>0</v>
      </c>
      <c r="BZ560" s="465"/>
      <c r="CA560" s="457"/>
      <c r="CB560" s="464"/>
      <c r="CC560" s="466"/>
      <c r="CD560" s="465"/>
      <c r="CE560" s="457"/>
      <c r="CF560" s="464"/>
      <c r="CG560" s="466"/>
      <c r="CH560" s="465"/>
      <c r="CI560" s="457"/>
      <c r="CJ560" s="464"/>
      <c r="CK560" s="466"/>
      <c r="CL560" s="459"/>
      <c r="CM560" s="450"/>
      <c r="CN560" s="468">
        <f t="shared" si="269"/>
        <v>164</v>
      </c>
      <c r="CO560" s="468">
        <f t="shared" si="270"/>
        <v>7</v>
      </c>
      <c r="CP560" s="469">
        <f t="shared" si="271"/>
        <v>121</v>
      </c>
      <c r="CQ560" s="469">
        <f t="shared" si="272"/>
        <v>7</v>
      </c>
      <c r="CR560" s="463"/>
      <c r="CS560" s="457"/>
      <c r="CT560" s="625"/>
      <c r="CU560" s="625"/>
      <c r="CV560" s="465"/>
      <c r="CW560" s="457"/>
      <c r="CX560" s="464"/>
      <c r="CY560" s="466"/>
      <c r="CZ560" s="465"/>
      <c r="DA560" s="457"/>
      <c r="DB560" s="464"/>
      <c r="DC560" s="466"/>
      <c r="DD560" s="465"/>
      <c r="DE560" s="457"/>
      <c r="DF560" s="464"/>
      <c r="DG560" s="466"/>
      <c r="DH560" s="465"/>
      <c r="DI560" s="457"/>
      <c r="DJ560" s="464"/>
      <c r="DK560" s="466"/>
      <c r="DL560" s="465"/>
      <c r="DM560" s="457"/>
      <c r="DN560" s="464"/>
      <c r="DO560" s="466"/>
      <c r="DP560" s="465"/>
      <c r="DQ560" s="457"/>
      <c r="DR560" s="464"/>
      <c r="DS560" s="466"/>
      <c r="DT560" s="465"/>
      <c r="DU560" s="457"/>
      <c r="DV560" s="464"/>
      <c r="DW560" s="466"/>
      <c r="DX560" s="465"/>
      <c r="DY560" s="457"/>
      <c r="DZ560" s="464"/>
      <c r="EA560" s="466"/>
      <c r="EB560" s="465"/>
      <c r="EC560" s="457"/>
      <c r="ED560" s="464"/>
      <c r="EE560" s="466"/>
      <c r="EF560" s="459"/>
      <c r="EG560" s="450"/>
      <c r="EH560" s="460">
        <f t="shared" si="273"/>
        <v>0</v>
      </c>
      <c r="EI560" s="460">
        <f t="shared" si="274"/>
        <v>0</v>
      </c>
      <c r="EJ560" s="458">
        <f t="shared" si="275"/>
        <v>0</v>
      </c>
      <c r="EK560" s="470">
        <f t="shared" si="276"/>
        <v>0</v>
      </c>
      <c r="EL560" s="470">
        <f t="shared" si="277"/>
        <v>0</v>
      </c>
      <c r="EM560" s="449">
        <f t="shared" si="278"/>
        <v>0</v>
      </c>
      <c r="EN560" s="460">
        <f t="shared" si="279"/>
        <v>164</v>
      </c>
      <c r="EO560" s="469">
        <f t="shared" si="280"/>
        <v>121</v>
      </c>
      <c r="EP560" s="471"/>
      <c r="EQ560" s="450"/>
      <c r="ER560" s="471"/>
      <c r="ES560" s="450"/>
      <c r="ET560" s="471"/>
      <c r="EU560" s="450"/>
      <c r="EV560" s="471"/>
      <c r="EW560" s="450"/>
      <c r="EX560" s="471"/>
      <c r="EY560" s="450"/>
      <c r="EZ560" s="471"/>
      <c r="FA560" s="450"/>
      <c r="FB560" s="471"/>
      <c r="FC560" s="450"/>
      <c r="FD560" s="471"/>
      <c r="FE560" s="450"/>
      <c r="FF560" s="471"/>
      <c r="FG560" s="450"/>
      <c r="FH560" s="472"/>
      <c r="FI560" s="450"/>
      <c r="FJ560" s="468">
        <f t="shared" si="281"/>
        <v>0</v>
      </c>
      <c r="FK560" s="469">
        <f t="shared" si="282"/>
        <v>0</v>
      </c>
      <c r="FL560" s="472"/>
      <c r="FM560" s="450"/>
      <c r="FN560" s="460">
        <f t="shared" si="283"/>
        <v>499</v>
      </c>
      <c r="FO560" s="469">
        <f t="shared" si="284"/>
        <v>497</v>
      </c>
    </row>
    <row r="561" spans="1:171" x14ac:dyDescent="0.2">
      <c r="A561" s="543" t="s">
        <v>854</v>
      </c>
      <c r="B561" s="544" t="s">
        <v>887</v>
      </c>
      <c r="C561" s="545"/>
      <c r="D561" s="631">
        <v>225502</v>
      </c>
      <c r="E561" s="632">
        <v>4</v>
      </c>
      <c r="F561" s="532"/>
      <c r="G561" s="450"/>
      <c r="H561" s="457"/>
      <c r="I561" s="450"/>
      <c r="J561" s="457"/>
      <c r="K561" s="450"/>
      <c r="L561" s="458">
        <f t="shared" si="261"/>
        <v>0</v>
      </c>
      <c r="M561" s="449">
        <f t="shared" si="262"/>
        <v>0</v>
      </c>
      <c r="N561" s="459">
        <v>596</v>
      </c>
      <c r="O561" s="459"/>
      <c r="P561" s="459"/>
      <c r="Q561" s="459"/>
      <c r="R561" s="460">
        <f t="shared" si="263"/>
        <v>0</v>
      </c>
      <c r="S561" s="650">
        <v>619</v>
      </c>
      <c r="T561" s="461"/>
      <c r="U561" s="461"/>
      <c r="V561" s="461"/>
      <c r="W561" s="462">
        <f t="shared" si="264"/>
        <v>0</v>
      </c>
      <c r="X561" s="463"/>
      <c r="Y561" s="457"/>
      <c r="Z561" s="464"/>
      <c r="AA561" s="464"/>
      <c r="AB561" s="465"/>
      <c r="AC561" s="457"/>
      <c r="AD561" s="464"/>
      <c r="AE561" s="466"/>
      <c r="AF561" s="465"/>
      <c r="AG561" s="457"/>
      <c r="AH561" s="464"/>
      <c r="AI561" s="466"/>
      <c r="AJ561" s="465"/>
      <c r="AK561" s="457"/>
      <c r="AL561" s="464"/>
      <c r="AM561" s="466"/>
      <c r="AN561" s="465"/>
      <c r="AO561" s="457"/>
      <c r="AP561" s="464"/>
      <c r="AQ561" s="464"/>
      <c r="AR561" s="460">
        <f t="shared" si="265"/>
        <v>0</v>
      </c>
      <c r="AS561" s="467">
        <f t="shared" si="266"/>
        <v>0.5814634146341463</v>
      </c>
      <c r="AT561" s="447">
        <f t="shared" si="267"/>
        <v>0</v>
      </c>
      <c r="AU561" s="448">
        <f t="shared" si="268"/>
        <v>0.58896289248334921</v>
      </c>
      <c r="AV561" s="457"/>
      <c r="AW561" s="450"/>
      <c r="AX561" s="463">
        <v>52</v>
      </c>
      <c r="AY561" s="457">
        <v>208</v>
      </c>
      <c r="AZ561" s="464">
        <v>52</v>
      </c>
      <c r="BA561" s="464">
        <v>257</v>
      </c>
      <c r="BB561" s="465">
        <v>13</v>
      </c>
      <c r="BC561" s="457">
        <v>150</v>
      </c>
      <c r="BD561" s="464">
        <v>13</v>
      </c>
      <c r="BE561" s="466">
        <v>112</v>
      </c>
      <c r="BF561" s="465">
        <v>11</v>
      </c>
      <c r="BG561" s="457">
        <v>25</v>
      </c>
      <c r="BH561" s="464">
        <v>11</v>
      </c>
      <c r="BI561" s="466">
        <v>19</v>
      </c>
      <c r="BJ561" s="465">
        <v>30</v>
      </c>
      <c r="BK561" s="457">
        <v>21</v>
      </c>
      <c r="BL561" s="464">
        <v>51</v>
      </c>
      <c r="BM561" s="466">
        <v>18</v>
      </c>
      <c r="BN561" s="465">
        <v>42</v>
      </c>
      <c r="BO561" s="457">
        <v>14</v>
      </c>
      <c r="BP561" s="464">
        <v>42</v>
      </c>
      <c r="BQ561" s="466">
        <v>13</v>
      </c>
      <c r="BR561" s="465">
        <v>51</v>
      </c>
      <c r="BS561" s="457">
        <v>9</v>
      </c>
      <c r="BT561" s="771">
        <v>30</v>
      </c>
      <c r="BU561" s="772">
        <v>11</v>
      </c>
      <c r="BV561" s="465">
        <v>9</v>
      </c>
      <c r="BW561" s="457">
        <v>2</v>
      </c>
      <c r="BX561" s="464">
        <v>9</v>
      </c>
      <c r="BY561" s="466">
        <v>2</v>
      </c>
      <c r="BZ561" s="465"/>
      <c r="CA561" s="457"/>
      <c r="CB561" s="464"/>
      <c r="CC561" s="466"/>
      <c r="CD561" s="465"/>
      <c r="CE561" s="457"/>
      <c r="CF561" s="464"/>
      <c r="CG561" s="466"/>
      <c r="CH561" s="465"/>
      <c r="CI561" s="457"/>
      <c r="CJ561" s="464"/>
      <c r="CK561" s="466"/>
      <c r="CL561" s="459"/>
      <c r="CM561" s="450"/>
      <c r="CN561" s="468">
        <f t="shared" si="269"/>
        <v>429</v>
      </c>
      <c r="CO561" s="468">
        <f t="shared" si="270"/>
        <v>7</v>
      </c>
      <c r="CP561" s="469">
        <f t="shared" si="271"/>
        <v>432</v>
      </c>
      <c r="CQ561" s="469">
        <f t="shared" si="272"/>
        <v>7</v>
      </c>
      <c r="CR561" s="463"/>
      <c r="CS561" s="457"/>
      <c r="CT561" s="464"/>
      <c r="CU561" s="464"/>
      <c r="CV561" s="465"/>
      <c r="CW561" s="457"/>
      <c r="CX561" s="464"/>
      <c r="CY561" s="466"/>
      <c r="CZ561" s="465"/>
      <c r="DA561" s="457"/>
      <c r="DB561" s="464"/>
      <c r="DC561" s="466"/>
      <c r="DD561" s="465"/>
      <c r="DE561" s="457"/>
      <c r="DF561" s="464"/>
      <c r="DG561" s="466"/>
      <c r="DH561" s="465"/>
      <c r="DI561" s="457"/>
      <c r="DJ561" s="464"/>
      <c r="DK561" s="466"/>
      <c r="DL561" s="465"/>
      <c r="DM561" s="457"/>
      <c r="DN561" s="464"/>
      <c r="DO561" s="466"/>
      <c r="DP561" s="465"/>
      <c r="DQ561" s="457"/>
      <c r="DR561" s="464"/>
      <c r="DS561" s="466"/>
      <c r="DT561" s="465"/>
      <c r="DU561" s="457"/>
      <c r="DV561" s="464"/>
      <c r="DW561" s="466"/>
      <c r="DX561" s="465"/>
      <c r="DY561" s="457"/>
      <c r="DZ561" s="464"/>
      <c r="EA561" s="466"/>
      <c r="EB561" s="465"/>
      <c r="EC561" s="457"/>
      <c r="ED561" s="464"/>
      <c r="EE561" s="466"/>
      <c r="EF561" s="459"/>
      <c r="EG561" s="450"/>
      <c r="EH561" s="460">
        <f t="shared" si="273"/>
        <v>0</v>
      </c>
      <c r="EI561" s="460">
        <f t="shared" si="274"/>
        <v>0</v>
      </c>
      <c r="EJ561" s="458">
        <f t="shared" si="275"/>
        <v>0</v>
      </c>
      <c r="EK561" s="470">
        <f t="shared" si="276"/>
        <v>0</v>
      </c>
      <c r="EL561" s="470">
        <f t="shared" si="277"/>
        <v>0</v>
      </c>
      <c r="EM561" s="449">
        <f t="shared" si="278"/>
        <v>0</v>
      </c>
      <c r="EN561" s="460">
        <f t="shared" si="279"/>
        <v>429</v>
      </c>
      <c r="EO561" s="469">
        <f t="shared" si="280"/>
        <v>432</v>
      </c>
      <c r="EP561" s="471"/>
      <c r="EQ561" s="450"/>
      <c r="ER561" s="471"/>
      <c r="ES561" s="450"/>
      <c r="ET561" s="471"/>
      <c r="EU561" s="450"/>
      <c r="EV561" s="471"/>
      <c r="EW561" s="450"/>
      <c r="EX561" s="471"/>
      <c r="EY561" s="450"/>
      <c r="EZ561" s="471"/>
      <c r="FA561" s="450"/>
      <c r="FB561" s="471"/>
      <c r="FC561" s="450"/>
      <c r="FD561" s="471"/>
      <c r="FE561" s="450"/>
      <c r="FF561" s="471"/>
      <c r="FG561" s="450"/>
      <c r="FH561" s="472"/>
      <c r="FI561" s="450"/>
      <c r="FJ561" s="468">
        <f t="shared" si="281"/>
        <v>0</v>
      </c>
      <c r="FK561" s="469">
        <f t="shared" si="282"/>
        <v>0</v>
      </c>
      <c r="FL561" s="472"/>
      <c r="FM561" s="450"/>
      <c r="FN561" s="460">
        <f t="shared" si="283"/>
        <v>1025</v>
      </c>
      <c r="FO561" s="469">
        <f t="shared" si="284"/>
        <v>1051</v>
      </c>
    </row>
    <row r="562" spans="1:171" x14ac:dyDescent="0.2">
      <c r="A562" s="543" t="s">
        <v>854</v>
      </c>
      <c r="B562" s="544" t="s">
        <v>888</v>
      </c>
      <c r="C562" s="545"/>
      <c r="D562" s="631" t="s">
        <v>889</v>
      </c>
      <c r="E562" s="632">
        <v>5</v>
      </c>
      <c r="F562" s="532"/>
      <c r="G562" s="450"/>
      <c r="H562" s="457"/>
      <c r="I562" s="450"/>
      <c r="J562" s="457"/>
      <c r="K562" s="450"/>
      <c r="L562" s="458">
        <f t="shared" si="261"/>
        <v>0</v>
      </c>
      <c r="M562" s="449">
        <f t="shared" si="262"/>
        <v>0</v>
      </c>
      <c r="N562" s="459">
        <v>163</v>
      </c>
      <c r="O562" s="459"/>
      <c r="P562" s="459"/>
      <c r="Q562" s="459"/>
      <c r="R562" s="460">
        <f t="shared" si="263"/>
        <v>0</v>
      </c>
      <c r="S562" s="650">
        <v>154</v>
      </c>
      <c r="T562" s="461"/>
      <c r="U562" s="461"/>
      <c r="V562" s="461"/>
      <c r="W562" s="462">
        <f t="shared" si="264"/>
        <v>0</v>
      </c>
      <c r="X562" s="463"/>
      <c r="Y562" s="457"/>
      <c r="Z562" s="464"/>
      <c r="AA562" s="464"/>
      <c r="AB562" s="465"/>
      <c r="AC562" s="457"/>
      <c r="AD562" s="464"/>
      <c r="AE562" s="466"/>
      <c r="AF562" s="465"/>
      <c r="AG562" s="457"/>
      <c r="AH562" s="464"/>
      <c r="AI562" s="466"/>
      <c r="AJ562" s="465"/>
      <c r="AK562" s="457"/>
      <c r="AL562" s="464"/>
      <c r="AM562" s="466"/>
      <c r="AN562" s="465"/>
      <c r="AO562" s="457"/>
      <c r="AP562" s="464"/>
      <c r="AQ562" s="464"/>
      <c r="AR562" s="460">
        <f t="shared" si="265"/>
        <v>0</v>
      </c>
      <c r="AS562" s="467">
        <f t="shared" si="266"/>
        <v>0.81909547738693467</v>
      </c>
      <c r="AT562" s="447">
        <f t="shared" si="267"/>
        <v>0</v>
      </c>
      <c r="AU562" s="448">
        <f t="shared" si="268"/>
        <v>0.66666666666666663</v>
      </c>
      <c r="AV562" s="457"/>
      <c r="AW562" s="450"/>
      <c r="AX562" s="463">
        <v>13</v>
      </c>
      <c r="AY562" s="457">
        <v>35</v>
      </c>
      <c r="AZ562" s="464">
        <v>13</v>
      </c>
      <c r="BA562" s="464">
        <v>72</v>
      </c>
      <c r="BB562" s="465">
        <v>52</v>
      </c>
      <c r="BC562" s="457">
        <v>1</v>
      </c>
      <c r="BD562" s="464">
        <v>52</v>
      </c>
      <c r="BE562" s="466">
        <v>5</v>
      </c>
      <c r="BF562" s="465"/>
      <c r="BG562" s="457"/>
      <c r="BH562" s="464">
        <v>0</v>
      </c>
      <c r="BI562" s="466">
        <v>0</v>
      </c>
      <c r="BJ562" s="465"/>
      <c r="BK562" s="457"/>
      <c r="BL562" s="464"/>
      <c r="BM562" s="466"/>
      <c r="BN562" s="465"/>
      <c r="BO562" s="457"/>
      <c r="BP562" s="464"/>
      <c r="BQ562" s="466"/>
      <c r="BR562" s="465"/>
      <c r="BS562" s="457"/>
      <c r="BT562" s="464"/>
      <c r="BU562" s="772">
        <v>0</v>
      </c>
      <c r="BV562" s="465"/>
      <c r="BW562" s="457"/>
      <c r="BX562" s="464"/>
      <c r="BY562" s="466"/>
      <c r="BZ562" s="465"/>
      <c r="CA562" s="457"/>
      <c r="CB562" s="464"/>
      <c r="CC562" s="466"/>
      <c r="CD562" s="465"/>
      <c r="CE562" s="457"/>
      <c r="CF562" s="464"/>
      <c r="CG562" s="466"/>
      <c r="CH562" s="465"/>
      <c r="CI562" s="457"/>
      <c r="CJ562" s="464"/>
      <c r="CK562" s="466"/>
      <c r="CL562" s="459"/>
      <c r="CM562" s="450"/>
      <c r="CN562" s="468">
        <f t="shared" si="269"/>
        <v>36</v>
      </c>
      <c r="CO562" s="468">
        <f t="shared" si="270"/>
        <v>2</v>
      </c>
      <c r="CP562" s="469">
        <f t="shared" si="271"/>
        <v>77</v>
      </c>
      <c r="CQ562" s="469">
        <f t="shared" si="272"/>
        <v>3</v>
      </c>
      <c r="CR562" s="463"/>
      <c r="CS562" s="457"/>
      <c r="CT562" s="464"/>
      <c r="CU562" s="464"/>
      <c r="CV562" s="465"/>
      <c r="CW562" s="457"/>
      <c r="CX562" s="464"/>
      <c r="CY562" s="466"/>
      <c r="CZ562" s="465"/>
      <c r="DA562" s="457"/>
      <c r="DB562" s="464"/>
      <c r="DC562" s="466"/>
      <c r="DD562" s="465"/>
      <c r="DE562" s="457"/>
      <c r="DF562" s="464"/>
      <c r="DG562" s="466"/>
      <c r="DH562" s="465"/>
      <c r="DI562" s="457"/>
      <c r="DJ562" s="464"/>
      <c r="DK562" s="466"/>
      <c r="DL562" s="465"/>
      <c r="DM562" s="457"/>
      <c r="DN562" s="464"/>
      <c r="DO562" s="466"/>
      <c r="DP562" s="465"/>
      <c r="DQ562" s="457"/>
      <c r="DR562" s="464"/>
      <c r="DS562" s="466"/>
      <c r="DT562" s="465"/>
      <c r="DU562" s="457"/>
      <c r="DV562" s="464"/>
      <c r="DW562" s="466"/>
      <c r="DX562" s="465"/>
      <c r="DY562" s="457"/>
      <c r="DZ562" s="464"/>
      <c r="EA562" s="466"/>
      <c r="EB562" s="465"/>
      <c r="EC562" s="457"/>
      <c r="ED562" s="464"/>
      <c r="EE562" s="466"/>
      <c r="EF562" s="459"/>
      <c r="EG562" s="450"/>
      <c r="EH562" s="460">
        <f t="shared" si="273"/>
        <v>0</v>
      </c>
      <c r="EI562" s="460">
        <f t="shared" si="274"/>
        <v>0</v>
      </c>
      <c r="EJ562" s="458">
        <f t="shared" si="275"/>
        <v>0</v>
      </c>
      <c r="EK562" s="470">
        <f t="shared" si="276"/>
        <v>0</v>
      </c>
      <c r="EL562" s="470">
        <f t="shared" si="277"/>
        <v>0</v>
      </c>
      <c r="EM562" s="449">
        <f t="shared" si="278"/>
        <v>0</v>
      </c>
      <c r="EN562" s="460">
        <f t="shared" si="279"/>
        <v>36</v>
      </c>
      <c r="EO562" s="469">
        <f t="shared" si="280"/>
        <v>77</v>
      </c>
      <c r="EP562" s="471"/>
      <c r="EQ562" s="450"/>
      <c r="ER562" s="471"/>
      <c r="ES562" s="450"/>
      <c r="ET562" s="471"/>
      <c r="EU562" s="450"/>
      <c r="EV562" s="471"/>
      <c r="EW562" s="450"/>
      <c r="EX562" s="471"/>
      <c r="EY562" s="450"/>
      <c r="EZ562" s="471"/>
      <c r="FA562" s="450"/>
      <c r="FB562" s="471"/>
      <c r="FC562" s="450"/>
      <c r="FD562" s="471"/>
      <c r="FE562" s="450"/>
      <c r="FF562" s="471"/>
      <c r="FG562" s="450"/>
      <c r="FH562" s="472"/>
      <c r="FI562" s="450"/>
      <c r="FJ562" s="468">
        <f t="shared" si="281"/>
        <v>0</v>
      </c>
      <c r="FK562" s="469">
        <f t="shared" si="282"/>
        <v>0</v>
      </c>
      <c r="FL562" s="472"/>
      <c r="FM562" s="450"/>
      <c r="FN562" s="460">
        <f t="shared" si="283"/>
        <v>199</v>
      </c>
      <c r="FO562" s="469">
        <f t="shared" si="284"/>
        <v>231</v>
      </c>
    </row>
    <row r="563" spans="1:171" x14ac:dyDescent="0.2">
      <c r="A563" s="637" t="s">
        <v>854</v>
      </c>
      <c r="B563" s="544" t="s">
        <v>970</v>
      </c>
      <c r="C563" s="636" t="s">
        <v>976</v>
      </c>
      <c r="D563" s="546">
        <v>870501</v>
      </c>
      <c r="E563" s="652">
        <v>5</v>
      </c>
      <c r="F563" s="532"/>
      <c r="G563" s="450"/>
      <c r="H563" s="457"/>
      <c r="I563" s="450"/>
      <c r="J563" s="457"/>
      <c r="K563" s="450"/>
      <c r="L563" s="458">
        <f t="shared" si="261"/>
        <v>0</v>
      </c>
      <c r="M563" s="449">
        <f t="shared" si="262"/>
        <v>0</v>
      </c>
      <c r="N563" s="459">
        <v>620</v>
      </c>
      <c r="O563" s="459"/>
      <c r="P563" s="459"/>
      <c r="Q563" s="459"/>
      <c r="R563" s="460">
        <f t="shared" si="263"/>
        <v>0</v>
      </c>
      <c r="S563" s="650">
        <v>647</v>
      </c>
      <c r="T563" s="461"/>
      <c r="U563" s="461"/>
      <c r="V563" s="461"/>
      <c r="W563" s="462">
        <f t="shared" si="264"/>
        <v>0</v>
      </c>
      <c r="X563" s="463"/>
      <c r="Y563" s="457"/>
      <c r="Z563" s="464"/>
      <c r="AA563" s="464"/>
      <c r="AB563" s="465"/>
      <c r="AC563" s="457"/>
      <c r="AD563" s="464"/>
      <c r="AE563" s="466"/>
      <c r="AF563" s="465"/>
      <c r="AG563" s="457"/>
      <c r="AH563" s="464"/>
      <c r="AI563" s="466"/>
      <c r="AJ563" s="465"/>
      <c r="AK563" s="457"/>
      <c r="AL563" s="464"/>
      <c r="AM563" s="466"/>
      <c r="AN563" s="465"/>
      <c r="AO563" s="457"/>
      <c r="AP563" s="464"/>
      <c r="AQ563" s="464"/>
      <c r="AR563" s="460">
        <f t="shared" si="265"/>
        <v>0</v>
      </c>
      <c r="AS563" s="467">
        <f t="shared" si="266"/>
        <v>0.76827757125154894</v>
      </c>
      <c r="AT563" s="447">
        <f t="shared" si="267"/>
        <v>0</v>
      </c>
      <c r="AU563" s="448">
        <f t="shared" si="268"/>
        <v>0.72860360360360366</v>
      </c>
      <c r="AV563" s="457"/>
      <c r="AW563" s="450"/>
      <c r="AX563" s="463">
        <v>13</v>
      </c>
      <c r="AY563" s="457">
        <v>149</v>
      </c>
      <c r="AZ563" s="625">
        <v>13</v>
      </c>
      <c r="BA563" s="625">
        <v>159</v>
      </c>
      <c r="BB563" s="465">
        <v>52</v>
      </c>
      <c r="BC563" s="457">
        <v>36</v>
      </c>
      <c r="BD563" s="625">
        <v>52</v>
      </c>
      <c r="BE563" s="626">
        <v>76</v>
      </c>
      <c r="BF563" s="465">
        <v>31</v>
      </c>
      <c r="BG563" s="457">
        <v>2</v>
      </c>
      <c r="BH563" s="625">
        <v>23</v>
      </c>
      <c r="BI563" s="626">
        <v>3</v>
      </c>
      <c r="BJ563" s="465"/>
      <c r="BK563" s="457"/>
      <c r="BL563" s="625">
        <v>31</v>
      </c>
      <c r="BM563" s="626">
        <v>3</v>
      </c>
      <c r="BN563" s="465"/>
      <c r="BO563" s="457"/>
      <c r="BP563" s="625"/>
      <c r="BQ563" s="626"/>
      <c r="BR563" s="465"/>
      <c r="BS563" s="457"/>
      <c r="BT563" s="464"/>
      <c r="BU563" s="466"/>
      <c r="BV563" s="465"/>
      <c r="BW563" s="457"/>
      <c r="BX563" s="625"/>
      <c r="BY563" s="626"/>
      <c r="BZ563" s="465"/>
      <c r="CA563" s="457"/>
      <c r="CB563" s="464"/>
      <c r="CC563" s="466"/>
      <c r="CD563" s="465"/>
      <c r="CE563" s="457"/>
      <c r="CF563" s="464"/>
      <c r="CG563" s="466"/>
      <c r="CH563" s="465"/>
      <c r="CI563" s="457"/>
      <c r="CJ563" s="464"/>
      <c r="CK563" s="466"/>
      <c r="CL563" s="459"/>
      <c r="CM563" s="450"/>
      <c r="CN563" s="468">
        <f t="shared" si="269"/>
        <v>187</v>
      </c>
      <c r="CO563" s="468">
        <f t="shared" si="270"/>
        <v>3</v>
      </c>
      <c r="CP563" s="469">
        <f t="shared" si="271"/>
        <v>241</v>
      </c>
      <c r="CQ563" s="469">
        <f t="shared" si="272"/>
        <v>4</v>
      </c>
      <c r="CR563" s="463"/>
      <c r="CS563" s="457"/>
      <c r="CT563" s="464"/>
      <c r="CU563" s="464"/>
      <c r="CV563" s="465"/>
      <c r="CW563" s="457"/>
      <c r="CX563" s="625"/>
      <c r="CY563" s="626"/>
      <c r="CZ563" s="465"/>
      <c r="DA563" s="457"/>
      <c r="DB563" s="464"/>
      <c r="DC563" s="466"/>
      <c r="DD563" s="465"/>
      <c r="DE563" s="457"/>
      <c r="DF563" s="464"/>
      <c r="DG563" s="466"/>
      <c r="DH563" s="465"/>
      <c r="DI563" s="457"/>
      <c r="DJ563" s="464"/>
      <c r="DK563" s="466"/>
      <c r="DL563" s="465"/>
      <c r="DM563" s="457"/>
      <c r="DN563" s="464"/>
      <c r="DO563" s="466"/>
      <c r="DP563" s="465"/>
      <c r="DQ563" s="457"/>
      <c r="DR563" s="464"/>
      <c r="DS563" s="466"/>
      <c r="DT563" s="465"/>
      <c r="DU563" s="457"/>
      <c r="DV563" s="464"/>
      <c r="DW563" s="466"/>
      <c r="DX563" s="465"/>
      <c r="DY563" s="457"/>
      <c r="DZ563" s="464"/>
      <c r="EA563" s="466"/>
      <c r="EB563" s="465"/>
      <c r="EC563" s="457"/>
      <c r="ED563" s="464"/>
      <c r="EE563" s="466"/>
      <c r="EF563" s="459"/>
      <c r="EG563" s="450"/>
      <c r="EH563" s="460">
        <f t="shared" si="273"/>
        <v>0</v>
      </c>
      <c r="EI563" s="460">
        <f t="shared" si="274"/>
        <v>0</v>
      </c>
      <c r="EJ563" s="458">
        <f t="shared" si="275"/>
        <v>0</v>
      </c>
      <c r="EK563" s="470">
        <f t="shared" si="276"/>
        <v>0</v>
      </c>
      <c r="EL563" s="470">
        <f t="shared" si="277"/>
        <v>0</v>
      </c>
      <c r="EM563" s="449">
        <f t="shared" si="278"/>
        <v>0</v>
      </c>
      <c r="EN563" s="460">
        <f t="shared" si="279"/>
        <v>187</v>
      </c>
      <c r="EO563" s="469">
        <f t="shared" si="280"/>
        <v>241</v>
      </c>
      <c r="EP563" s="471"/>
      <c r="EQ563" s="450"/>
      <c r="ER563" s="471"/>
      <c r="ES563" s="450"/>
      <c r="ET563" s="471"/>
      <c r="EU563" s="450"/>
      <c r="EV563" s="471"/>
      <c r="EW563" s="450"/>
      <c r="EX563" s="471"/>
      <c r="EY563" s="450"/>
      <c r="EZ563" s="471"/>
      <c r="FA563" s="450"/>
      <c r="FB563" s="471"/>
      <c r="FC563" s="450"/>
      <c r="FD563" s="471"/>
      <c r="FE563" s="450"/>
      <c r="FF563" s="471"/>
      <c r="FG563" s="450"/>
      <c r="FH563" s="472"/>
      <c r="FI563" s="450"/>
      <c r="FJ563" s="468">
        <f t="shared" si="281"/>
        <v>0</v>
      </c>
      <c r="FK563" s="469">
        <f t="shared" si="282"/>
        <v>0</v>
      </c>
      <c r="FL563" s="472"/>
      <c r="FM563" s="450"/>
      <c r="FN563" s="460">
        <f t="shared" si="283"/>
        <v>807</v>
      </c>
      <c r="FO563" s="469">
        <f t="shared" si="284"/>
        <v>888</v>
      </c>
    </row>
    <row r="564" spans="1:171" x14ac:dyDescent="0.2">
      <c r="A564" s="543" t="s">
        <v>854</v>
      </c>
      <c r="B564" s="544" t="s">
        <v>890</v>
      </c>
      <c r="C564" s="545"/>
      <c r="D564" s="631">
        <v>225432</v>
      </c>
      <c r="E564" s="632">
        <v>5</v>
      </c>
      <c r="F564" s="532"/>
      <c r="G564" s="450"/>
      <c r="H564" s="457"/>
      <c r="I564" s="450"/>
      <c r="J564" s="457"/>
      <c r="K564" s="450"/>
      <c r="L564" s="458">
        <f t="shared" si="261"/>
        <v>0</v>
      </c>
      <c r="M564" s="449">
        <f t="shared" si="262"/>
        <v>0</v>
      </c>
      <c r="N564" s="459">
        <v>2437</v>
      </c>
      <c r="O564" s="459"/>
      <c r="P564" s="459"/>
      <c r="Q564" s="459"/>
      <c r="R564" s="460">
        <f t="shared" si="263"/>
        <v>0</v>
      </c>
      <c r="S564" s="650">
        <v>2351</v>
      </c>
      <c r="T564" s="461"/>
      <c r="U564" s="461"/>
      <c r="V564" s="461"/>
      <c r="W564" s="462">
        <f t="shared" si="264"/>
        <v>0</v>
      </c>
      <c r="X564" s="463"/>
      <c r="Y564" s="457"/>
      <c r="Z564" s="464"/>
      <c r="AA564" s="464"/>
      <c r="AB564" s="465"/>
      <c r="AC564" s="457"/>
      <c r="AD564" s="464"/>
      <c r="AE564" s="466"/>
      <c r="AF564" s="465"/>
      <c r="AG564" s="457"/>
      <c r="AH564" s="464"/>
      <c r="AI564" s="466"/>
      <c r="AJ564" s="465"/>
      <c r="AK564" s="457"/>
      <c r="AL564" s="464"/>
      <c r="AM564" s="466"/>
      <c r="AN564" s="465"/>
      <c r="AO564" s="457"/>
      <c r="AP564" s="464"/>
      <c r="AQ564" s="464"/>
      <c r="AR564" s="460">
        <f t="shared" si="265"/>
        <v>0</v>
      </c>
      <c r="AS564" s="467">
        <f t="shared" si="266"/>
        <v>0.98266129032258065</v>
      </c>
      <c r="AT564" s="447">
        <f t="shared" si="267"/>
        <v>0</v>
      </c>
      <c r="AU564" s="448">
        <f t="shared" si="268"/>
        <v>0.97673452430411301</v>
      </c>
      <c r="AV564" s="457"/>
      <c r="AW564" s="450"/>
      <c r="AX564" s="463">
        <v>43</v>
      </c>
      <c r="AY564" s="457">
        <v>21</v>
      </c>
      <c r="AZ564" s="464">
        <v>43</v>
      </c>
      <c r="BA564" s="464">
        <v>44</v>
      </c>
      <c r="BB564" s="465">
        <v>13</v>
      </c>
      <c r="BC564" s="457">
        <v>15</v>
      </c>
      <c r="BD564" s="464">
        <v>13</v>
      </c>
      <c r="BE564" s="466">
        <v>9</v>
      </c>
      <c r="BF564" s="465">
        <v>23</v>
      </c>
      <c r="BG564" s="457">
        <v>7</v>
      </c>
      <c r="BH564" s="464">
        <v>23</v>
      </c>
      <c r="BI564" s="466">
        <v>3</v>
      </c>
      <c r="BJ564" s="465"/>
      <c r="BK564" s="457"/>
      <c r="BL564" s="464"/>
      <c r="BM564" s="466"/>
      <c r="BN564" s="465"/>
      <c r="BO564" s="457"/>
      <c r="BP564" s="464"/>
      <c r="BQ564" s="466"/>
      <c r="BR564" s="465"/>
      <c r="BS564" s="457"/>
      <c r="BT564" s="464"/>
      <c r="BU564" s="772">
        <v>0</v>
      </c>
      <c r="BV564" s="465"/>
      <c r="BW564" s="457"/>
      <c r="BX564" s="464"/>
      <c r="BY564" s="466"/>
      <c r="BZ564" s="465"/>
      <c r="CA564" s="457"/>
      <c r="CB564" s="464"/>
      <c r="CC564" s="466"/>
      <c r="CD564" s="465"/>
      <c r="CE564" s="457"/>
      <c r="CF564" s="464"/>
      <c r="CG564" s="466"/>
      <c r="CH564" s="465"/>
      <c r="CI564" s="457"/>
      <c r="CJ564" s="464"/>
      <c r="CK564" s="466"/>
      <c r="CL564" s="459"/>
      <c r="CM564" s="450"/>
      <c r="CN564" s="468">
        <f t="shared" si="269"/>
        <v>43</v>
      </c>
      <c r="CO564" s="468">
        <f t="shared" si="270"/>
        <v>3</v>
      </c>
      <c r="CP564" s="469">
        <f t="shared" si="271"/>
        <v>56</v>
      </c>
      <c r="CQ564" s="469">
        <f t="shared" si="272"/>
        <v>3</v>
      </c>
      <c r="CR564" s="463"/>
      <c r="CS564" s="457"/>
      <c r="CT564" s="464"/>
      <c r="CU564" s="464"/>
      <c r="CV564" s="465"/>
      <c r="CW564" s="457"/>
      <c r="CX564" s="464"/>
      <c r="CY564" s="466"/>
      <c r="CZ564" s="465"/>
      <c r="DA564" s="457"/>
      <c r="DB564" s="464"/>
      <c r="DC564" s="466"/>
      <c r="DD564" s="465"/>
      <c r="DE564" s="457"/>
      <c r="DF564" s="464"/>
      <c r="DG564" s="466"/>
      <c r="DH564" s="465"/>
      <c r="DI564" s="457"/>
      <c r="DJ564" s="464"/>
      <c r="DK564" s="466"/>
      <c r="DL564" s="465"/>
      <c r="DM564" s="457"/>
      <c r="DN564" s="464"/>
      <c r="DO564" s="466"/>
      <c r="DP564" s="465"/>
      <c r="DQ564" s="457"/>
      <c r="DR564" s="464"/>
      <c r="DS564" s="466"/>
      <c r="DT564" s="465"/>
      <c r="DU564" s="457"/>
      <c r="DV564" s="464"/>
      <c r="DW564" s="466"/>
      <c r="DX564" s="465"/>
      <c r="DY564" s="457"/>
      <c r="DZ564" s="464"/>
      <c r="EA564" s="466"/>
      <c r="EB564" s="465"/>
      <c r="EC564" s="457"/>
      <c r="ED564" s="464"/>
      <c r="EE564" s="466"/>
      <c r="EF564" s="459"/>
      <c r="EG564" s="450"/>
      <c r="EH564" s="460">
        <f t="shared" si="273"/>
        <v>0</v>
      </c>
      <c r="EI564" s="460">
        <f t="shared" si="274"/>
        <v>0</v>
      </c>
      <c r="EJ564" s="458">
        <f t="shared" si="275"/>
        <v>0</v>
      </c>
      <c r="EK564" s="470">
        <f t="shared" si="276"/>
        <v>0</v>
      </c>
      <c r="EL564" s="470">
        <f t="shared" si="277"/>
        <v>0</v>
      </c>
      <c r="EM564" s="449">
        <f t="shared" si="278"/>
        <v>0</v>
      </c>
      <c r="EN564" s="460">
        <f t="shared" si="279"/>
        <v>43</v>
      </c>
      <c r="EO564" s="469">
        <f t="shared" si="280"/>
        <v>56</v>
      </c>
      <c r="EP564" s="471"/>
      <c r="EQ564" s="450"/>
      <c r="ER564" s="471"/>
      <c r="ES564" s="450"/>
      <c r="ET564" s="471"/>
      <c r="EU564" s="450"/>
      <c r="EV564" s="471"/>
      <c r="EW564" s="450"/>
      <c r="EX564" s="471"/>
      <c r="EY564" s="450"/>
      <c r="EZ564" s="471"/>
      <c r="FA564" s="450"/>
      <c r="FB564" s="471"/>
      <c r="FC564" s="450"/>
      <c r="FD564" s="471"/>
      <c r="FE564" s="450"/>
      <c r="FF564" s="471"/>
      <c r="FG564" s="450"/>
      <c r="FH564" s="472"/>
      <c r="FI564" s="450"/>
      <c r="FJ564" s="468">
        <f t="shared" si="281"/>
        <v>0</v>
      </c>
      <c r="FK564" s="469">
        <f t="shared" si="282"/>
        <v>0</v>
      </c>
      <c r="FL564" s="472"/>
      <c r="FM564" s="450"/>
      <c r="FN564" s="460">
        <f t="shared" si="283"/>
        <v>2480</v>
      </c>
      <c r="FO564" s="469">
        <f t="shared" si="284"/>
        <v>2407</v>
      </c>
    </row>
    <row r="565" spans="1:171" x14ac:dyDescent="0.2">
      <c r="A565" s="543" t="s">
        <v>854</v>
      </c>
      <c r="B565" s="544" t="s">
        <v>891</v>
      </c>
      <c r="C565" s="545"/>
      <c r="D565" s="631">
        <v>228714</v>
      </c>
      <c r="E565" s="632">
        <v>6</v>
      </c>
      <c r="F565" s="532"/>
      <c r="G565" s="450"/>
      <c r="H565" s="457"/>
      <c r="I565" s="450"/>
      <c r="J565" s="457"/>
      <c r="K565" s="450"/>
      <c r="L565" s="458">
        <f t="shared" si="261"/>
        <v>0</v>
      </c>
      <c r="M565" s="449">
        <f t="shared" si="262"/>
        <v>0</v>
      </c>
      <c r="N565" s="459">
        <v>250</v>
      </c>
      <c r="O565" s="459"/>
      <c r="P565" s="459"/>
      <c r="Q565" s="459"/>
      <c r="R565" s="460">
        <f t="shared" si="263"/>
        <v>0</v>
      </c>
      <c r="S565" s="650">
        <v>314</v>
      </c>
      <c r="T565" s="461"/>
      <c r="U565" s="461"/>
      <c r="V565" s="461"/>
      <c r="W565" s="462">
        <f t="shared" si="264"/>
        <v>0</v>
      </c>
      <c r="X565" s="463"/>
      <c r="Y565" s="457"/>
      <c r="Z565" s="464"/>
      <c r="AA565" s="464"/>
      <c r="AB565" s="465"/>
      <c r="AC565" s="457"/>
      <c r="AD565" s="464"/>
      <c r="AE565" s="466"/>
      <c r="AF565" s="465"/>
      <c r="AG565" s="457"/>
      <c r="AH565" s="464"/>
      <c r="AI565" s="466"/>
      <c r="AJ565" s="465"/>
      <c r="AK565" s="457"/>
      <c r="AL565" s="464"/>
      <c r="AM565" s="466"/>
      <c r="AN565" s="465"/>
      <c r="AO565" s="457"/>
      <c r="AP565" s="464"/>
      <c r="AQ565" s="464"/>
      <c r="AR565" s="460">
        <f t="shared" si="265"/>
        <v>0</v>
      </c>
      <c r="AS565" s="467">
        <f t="shared" si="266"/>
        <v>0.96525096525096521</v>
      </c>
      <c r="AT565" s="447">
        <f t="shared" si="267"/>
        <v>0</v>
      </c>
      <c r="AU565" s="448">
        <f t="shared" si="268"/>
        <v>0.95731707317073167</v>
      </c>
      <c r="AV565" s="457"/>
      <c r="AW565" s="450"/>
      <c r="AX565" s="463">
        <v>3</v>
      </c>
      <c r="AY565" s="457">
        <v>7</v>
      </c>
      <c r="AZ565" s="464">
        <v>3</v>
      </c>
      <c r="BA565" s="464">
        <v>11</v>
      </c>
      <c r="BB565" s="465">
        <v>26</v>
      </c>
      <c r="BC565" s="457">
        <v>2</v>
      </c>
      <c r="BD565" s="464">
        <v>26</v>
      </c>
      <c r="BE565" s="466">
        <v>1</v>
      </c>
      <c r="BF565" s="465"/>
      <c r="BG565" s="457"/>
      <c r="BH565" s="464"/>
      <c r="BI565" s="466"/>
      <c r="BJ565" s="465"/>
      <c r="BK565" s="457"/>
      <c r="BL565" s="464"/>
      <c r="BM565" s="466"/>
      <c r="BN565" s="465"/>
      <c r="BO565" s="457"/>
      <c r="BP565" s="464"/>
      <c r="BQ565" s="466"/>
      <c r="BR565" s="465"/>
      <c r="BS565" s="457"/>
      <c r="BT565" s="464"/>
      <c r="BU565" s="772">
        <v>0</v>
      </c>
      <c r="BV565" s="465"/>
      <c r="BW565" s="457"/>
      <c r="BX565" s="464"/>
      <c r="BY565" s="466"/>
      <c r="BZ565" s="465"/>
      <c r="CA565" s="457"/>
      <c r="CB565" s="464"/>
      <c r="CC565" s="466"/>
      <c r="CD565" s="465"/>
      <c r="CE565" s="457"/>
      <c r="CF565" s="464"/>
      <c r="CG565" s="466"/>
      <c r="CH565" s="465"/>
      <c r="CI565" s="457"/>
      <c r="CJ565" s="464"/>
      <c r="CK565" s="466"/>
      <c r="CL565" s="459"/>
      <c r="CM565" s="450"/>
      <c r="CN565" s="468">
        <f t="shared" si="269"/>
        <v>9</v>
      </c>
      <c r="CO565" s="468">
        <f t="shared" si="270"/>
        <v>2</v>
      </c>
      <c r="CP565" s="469">
        <f t="shared" si="271"/>
        <v>12</v>
      </c>
      <c r="CQ565" s="469">
        <f t="shared" si="272"/>
        <v>2</v>
      </c>
      <c r="CR565" s="463"/>
      <c r="CS565" s="457"/>
      <c r="CT565" s="464">
        <v>26</v>
      </c>
      <c r="CU565" s="464">
        <v>2</v>
      </c>
      <c r="CV565" s="465"/>
      <c r="CW565" s="457"/>
      <c r="CX565" s="464"/>
      <c r="CY565" s="466"/>
      <c r="CZ565" s="465"/>
      <c r="DA565" s="457"/>
      <c r="DB565" s="464"/>
      <c r="DC565" s="466"/>
      <c r="DD565" s="465"/>
      <c r="DE565" s="457"/>
      <c r="DF565" s="464"/>
      <c r="DG565" s="466"/>
      <c r="DH565" s="465"/>
      <c r="DI565" s="457"/>
      <c r="DJ565" s="464"/>
      <c r="DK565" s="466"/>
      <c r="DL565" s="465"/>
      <c r="DM565" s="457"/>
      <c r="DN565" s="464"/>
      <c r="DO565" s="466"/>
      <c r="DP565" s="465"/>
      <c r="DQ565" s="457"/>
      <c r="DR565" s="464"/>
      <c r="DS565" s="466"/>
      <c r="DT565" s="465"/>
      <c r="DU565" s="457"/>
      <c r="DV565" s="464"/>
      <c r="DW565" s="466"/>
      <c r="DX565" s="465"/>
      <c r="DY565" s="457"/>
      <c r="DZ565" s="464"/>
      <c r="EA565" s="466"/>
      <c r="EB565" s="465"/>
      <c r="EC565" s="457"/>
      <c r="ED565" s="464"/>
      <c r="EE565" s="466"/>
      <c r="EF565" s="459"/>
      <c r="EG565" s="450"/>
      <c r="EH565" s="460">
        <f t="shared" si="273"/>
        <v>0</v>
      </c>
      <c r="EI565" s="460">
        <f t="shared" si="274"/>
        <v>0</v>
      </c>
      <c r="EJ565" s="458">
        <f t="shared" si="275"/>
        <v>0</v>
      </c>
      <c r="EK565" s="470">
        <f t="shared" si="276"/>
        <v>2</v>
      </c>
      <c r="EL565" s="470">
        <f t="shared" si="277"/>
        <v>1</v>
      </c>
      <c r="EM565" s="449">
        <f t="shared" si="278"/>
        <v>1</v>
      </c>
      <c r="EN565" s="460">
        <f t="shared" si="279"/>
        <v>9</v>
      </c>
      <c r="EO565" s="469">
        <f t="shared" si="280"/>
        <v>14</v>
      </c>
      <c r="EP565" s="471"/>
      <c r="EQ565" s="450"/>
      <c r="ER565" s="471"/>
      <c r="ES565" s="450"/>
      <c r="ET565" s="471"/>
      <c r="EU565" s="450"/>
      <c r="EV565" s="471"/>
      <c r="EW565" s="450"/>
      <c r="EX565" s="471"/>
      <c r="EY565" s="450"/>
      <c r="EZ565" s="471"/>
      <c r="FA565" s="450"/>
      <c r="FB565" s="471"/>
      <c r="FC565" s="450"/>
      <c r="FD565" s="471"/>
      <c r="FE565" s="450"/>
      <c r="FF565" s="471"/>
      <c r="FG565" s="450"/>
      <c r="FH565" s="472"/>
      <c r="FI565" s="450"/>
      <c r="FJ565" s="468">
        <f t="shared" si="281"/>
        <v>0</v>
      </c>
      <c r="FK565" s="469">
        <f t="shared" si="282"/>
        <v>0</v>
      </c>
      <c r="FL565" s="472"/>
      <c r="FM565" s="450"/>
      <c r="FN565" s="460">
        <f t="shared" si="283"/>
        <v>259</v>
      </c>
      <c r="FO565" s="469">
        <f t="shared" si="284"/>
        <v>328</v>
      </c>
    </row>
    <row r="566" spans="1:171" x14ac:dyDescent="0.2">
      <c r="A566" s="637" t="s">
        <v>854</v>
      </c>
      <c r="B566" s="638" t="s">
        <v>892</v>
      </c>
      <c r="C566" s="639"/>
      <c r="D566" s="546">
        <v>223506</v>
      </c>
      <c r="E566" s="654">
        <v>7</v>
      </c>
      <c r="F566" s="532">
        <v>283</v>
      </c>
      <c r="G566" s="640">
        <v>217</v>
      </c>
      <c r="H566" s="457"/>
      <c r="I566" s="450"/>
      <c r="J566" s="457">
        <v>268</v>
      </c>
      <c r="K566" s="627">
        <v>420</v>
      </c>
      <c r="L566" s="458">
        <f t="shared" si="261"/>
        <v>14.105263157894736</v>
      </c>
      <c r="M566" s="449">
        <f t="shared" si="262"/>
        <v>28</v>
      </c>
      <c r="N566" s="459">
        <v>19</v>
      </c>
      <c r="O566" s="459"/>
      <c r="P566" s="459"/>
      <c r="Q566" s="459"/>
      <c r="R566" s="460">
        <f t="shared" si="263"/>
        <v>0</v>
      </c>
      <c r="S566" s="650">
        <v>15</v>
      </c>
      <c r="T566" s="461"/>
      <c r="U566" s="461"/>
      <c r="V566" s="461"/>
      <c r="W566" s="462">
        <f t="shared" si="264"/>
        <v>0</v>
      </c>
      <c r="X566" s="463">
        <v>52</v>
      </c>
      <c r="Y566" s="457">
        <v>19</v>
      </c>
      <c r="Z566" s="464">
        <v>52</v>
      </c>
      <c r="AA566" s="464">
        <v>15</v>
      </c>
      <c r="AB566" s="465"/>
      <c r="AC566" s="457"/>
      <c r="AD566" s="464"/>
      <c r="AE566" s="466"/>
      <c r="AF566" s="465"/>
      <c r="AG566" s="457"/>
      <c r="AH566" s="464"/>
      <c r="AI566" s="466"/>
      <c r="AJ566" s="465"/>
      <c r="AK566" s="457"/>
      <c r="AL566" s="464"/>
      <c r="AM566" s="466"/>
      <c r="AN566" s="465"/>
      <c r="AO566" s="457"/>
      <c r="AP566" s="464"/>
      <c r="AQ566" s="464"/>
      <c r="AR566" s="460">
        <f t="shared" si="265"/>
        <v>1</v>
      </c>
      <c r="AS566" s="467">
        <f t="shared" si="266"/>
        <v>3.3333333333333333E-2</v>
      </c>
      <c r="AT566" s="447">
        <f t="shared" si="267"/>
        <v>1</v>
      </c>
      <c r="AU566" s="448">
        <f t="shared" si="268"/>
        <v>2.3006134969325152E-2</v>
      </c>
      <c r="AV566" s="457"/>
      <c r="AW566" s="450"/>
      <c r="AX566" s="463"/>
      <c r="AY566" s="457"/>
      <c r="AZ566" s="464"/>
      <c r="BA566" s="464"/>
      <c r="BB566" s="465"/>
      <c r="BC566" s="457"/>
      <c r="BD566" s="464"/>
      <c r="BE566" s="466"/>
      <c r="BF566" s="465"/>
      <c r="BG566" s="457"/>
      <c r="BH566" s="464"/>
      <c r="BI566" s="466"/>
      <c r="BJ566" s="465"/>
      <c r="BK566" s="457"/>
      <c r="BL566" s="464"/>
      <c r="BM566" s="466"/>
      <c r="BN566" s="465"/>
      <c r="BO566" s="457"/>
      <c r="BP566" s="464"/>
      <c r="BQ566" s="466"/>
      <c r="BR566" s="465"/>
      <c r="BS566" s="457"/>
      <c r="BT566" s="464"/>
      <c r="BU566" s="772"/>
      <c r="BV566" s="465"/>
      <c r="BW566" s="457"/>
      <c r="BX566" s="464"/>
      <c r="BY566" s="466"/>
      <c r="BZ566" s="465"/>
      <c r="CA566" s="457"/>
      <c r="CB566" s="464"/>
      <c r="CC566" s="466"/>
      <c r="CD566" s="465"/>
      <c r="CE566" s="457"/>
      <c r="CF566" s="464"/>
      <c r="CG566" s="466"/>
      <c r="CH566" s="465"/>
      <c r="CI566" s="457"/>
      <c r="CJ566" s="464"/>
      <c r="CK566" s="466"/>
      <c r="CL566" s="459"/>
      <c r="CM566" s="450"/>
      <c r="CN566" s="468">
        <f t="shared" si="269"/>
        <v>0</v>
      </c>
      <c r="CO566" s="468">
        <f t="shared" si="270"/>
        <v>0</v>
      </c>
      <c r="CP566" s="469">
        <f t="shared" si="271"/>
        <v>0</v>
      </c>
      <c r="CQ566" s="469">
        <f t="shared" si="272"/>
        <v>0</v>
      </c>
      <c r="CR566" s="463"/>
      <c r="CS566" s="457"/>
      <c r="CT566" s="464"/>
      <c r="CU566" s="466"/>
      <c r="CV566" s="661"/>
      <c r="CW566" s="457"/>
      <c r="CX566" s="464"/>
      <c r="CY566" s="466"/>
      <c r="CZ566" s="465"/>
      <c r="DA566" s="457"/>
      <c r="DB566" s="464"/>
      <c r="DC566" s="466"/>
      <c r="DD566" s="465"/>
      <c r="DE566" s="457"/>
      <c r="DF566" s="464"/>
      <c r="DG566" s="466"/>
      <c r="DH566" s="465"/>
      <c r="DI566" s="457"/>
      <c r="DJ566" s="464"/>
      <c r="DK566" s="466"/>
      <c r="DL566" s="465"/>
      <c r="DM566" s="457"/>
      <c r="DN566" s="464"/>
      <c r="DO566" s="466"/>
      <c r="DP566" s="465"/>
      <c r="DQ566" s="457"/>
      <c r="DR566" s="464"/>
      <c r="DS566" s="466"/>
      <c r="DT566" s="465"/>
      <c r="DU566" s="457"/>
      <c r="DV566" s="464"/>
      <c r="DW566" s="466"/>
      <c r="DX566" s="465"/>
      <c r="DY566" s="457"/>
      <c r="DZ566" s="464"/>
      <c r="EA566" s="466"/>
      <c r="EB566" s="465"/>
      <c r="EC566" s="457"/>
      <c r="ED566" s="464"/>
      <c r="EE566" s="466"/>
      <c r="EF566" s="459"/>
      <c r="EG566" s="450"/>
      <c r="EH566" s="460">
        <f t="shared" si="273"/>
        <v>0</v>
      </c>
      <c r="EI566" s="460">
        <f t="shared" si="274"/>
        <v>0</v>
      </c>
      <c r="EJ566" s="458">
        <f t="shared" si="275"/>
        <v>0</v>
      </c>
      <c r="EK566" s="470">
        <f t="shared" si="276"/>
        <v>0</v>
      </c>
      <c r="EL566" s="470">
        <f t="shared" si="277"/>
        <v>0</v>
      </c>
      <c r="EM566" s="449">
        <f t="shared" si="278"/>
        <v>0</v>
      </c>
      <c r="EN566" s="460">
        <f t="shared" si="279"/>
        <v>0</v>
      </c>
      <c r="EO566" s="469">
        <f t="shared" si="280"/>
        <v>0</v>
      </c>
      <c r="EP566" s="471"/>
      <c r="EQ566" s="450"/>
      <c r="ER566" s="471"/>
      <c r="ES566" s="450"/>
      <c r="ET566" s="471"/>
      <c r="EU566" s="450"/>
      <c r="EV566" s="471"/>
      <c r="EW566" s="450"/>
      <c r="EX566" s="471"/>
      <c r="EY566" s="450"/>
      <c r="EZ566" s="471"/>
      <c r="FA566" s="450"/>
      <c r="FB566" s="471"/>
      <c r="FC566" s="450"/>
      <c r="FD566" s="471"/>
      <c r="FE566" s="450"/>
      <c r="FF566" s="471"/>
      <c r="FG566" s="450"/>
      <c r="FH566" s="472"/>
      <c r="FI566" s="450"/>
      <c r="FJ566" s="468">
        <f t="shared" si="281"/>
        <v>0</v>
      </c>
      <c r="FK566" s="469">
        <f t="shared" si="282"/>
        <v>0</v>
      </c>
      <c r="FL566" s="472"/>
      <c r="FM566" s="450"/>
      <c r="FN566" s="460">
        <f t="shared" si="283"/>
        <v>570</v>
      </c>
      <c r="FO566" s="469">
        <f t="shared" si="284"/>
        <v>652</v>
      </c>
    </row>
    <row r="567" spans="1:171" x14ac:dyDescent="0.2">
      <c r="A567" s="637" t="s">
        <v>854</v>
      </c>
      <c r="B567" s="638" t="s">
        <v>893</v>
      </c>
      <c r="C567" s="639"/>
      <c r="D567" s="546">
        <v>226806</v>
      </c>
      <c r="E567" s="654">
        <v>7</v>
      </c>
      <c r="F567" s="532">
        <v>241</v>
      </c>
      <c r="G567" s="640">
        <v>213</v>
      </c>
      <c r="H567" s="457"/>
      <c r="I567" s="450"/>
      <c r="J567" s="457">
        <v>445</v>
      </c>
      <c r="K567" s="627">
        <v>377</v>
      </c>
      <c r="L567" s="458">
        <f t="shared" si="261"/>
        <v>21.19047619047619</v>
      </c>
      <c r="M567" s="449">
        <f t="shared" si="262"/>
        <v>31.416666666666668</v>
      </c>
      <c r="N567" s="459">
        <v>21</v>
      </c>
      <c r="O567" s="459"/>
      <c r="P567" s="459"/>
      <c r="Q567" s="459"/>
      <c r="R567" s="460">
        <f t="shared" si="263"/>
        <v>0</v>
      </c>
      <c r="S567" s="651">
        <v>12</v>
      </c>
      <c r="T567" s="461"/>
      <c r="U567" s="461"/>
      <c r="V567" s="461"/>
      <c r="W567" s="462">
        <f t="shared" si="264"/>
        <v>0</v>
      </c>
      <c r="X567" s="463">
        <v>52</v>
      </c>
      <c r="Y567" s="457">
        <v>21</v>
      </c>
      <c r="Z567" s="464">
        <v>52</v>
      </c>
      <c r="AA567" s="464">
        <v>12</v>
      </c>
      <c r="AB567" s="465"/>
      <c r="AC567" s="457"/>
      <c r="AD567" s="464"/>
      <c r="AE567" s="466"/>
      <c r="AF567" s="465"/>
      <c r="AG567" s="457"/>
      <c r="AH567" s="464"/>
      <c r="AI567" s="466"/>
      <c r="AJ567" s="465"/>
      <c r="AK567" s="457"/>
      <c r="AL567" s="464"/>
      <c r="AM567" s="466"/>
      <c r="AN567" s="465"/>
      <c r="AO567" s="457"/>
      <c r="AP567" s="464"/>
      <c r="AQ567" s="464"/>
      <c r="AR567" s="460">
        <f t="shared" si="265"/>
        <v>1</v>
      </c>
      <c r="AS567" s="467">
        <f t="shared" si="266"/>
        <v>2.9702970297029702E-2</v>
      </c>
      <c r="AT567" s="447">
        <f t="shared" si="267"/>
        <v>1</v>
      </c>
      <c r="AU567" s="448">
        <f t="shared" si="268"/>
        <v>1.9933554817275746E-2</v>
      </c>
      <c r="AV567" s="457"/>
      <c r="AW567" s="450"/>
      <c r="AX567" s="463"/>
      <c r="AY567" s="457"/>
      <c r="AZ567" s="464"/>
      <c r="BA567" s="464"/>
      <c r="BB567" s="465"/>
      <c r="BC567" s="457"/>
      <c r="BD567" s="464"/>
      <c r="BE567" s="466"/>
      <c r="BF567" s="465"/>
      <c r="BG567" s="457"/>
      <c r="BH567" s="464"/>
      <c r="BI567" s="466"/>
      <c r="BJ567" s="465"/>
      <c r="BK567" s="457"/>
      <c r="BL567" s="464"/>
      <c r="BM567" s="466"/>
      <c r="BN567" s="465"/>
      <c r="BO567" s="457"/>
      <c r="BP567" s="464"/>
      <c r="BQ567" s="466"/>
      <c r="BR567" s="465"/>
      <c r="BS567" s="457"/>
      <c r="BT567" s="464"/>
      <c r="BU567" s="466"/>
      <c r="BV567" s="465"/>
      <c r="BW567" s="457"/>
      <c r="BX567" s="464"/>
      <c r="BY567" s="466"/>
      <c r="BZ567" s="465"/>
      <c r="CA567" s="457"/>
      <c r="CB567" s="464"/>
      <c r="CC567" s="466"/>
      <c r="CD567" s="465"/>
      <c r="CE567" s="457"/>
      <c r="CF567" s="464"/>
      <c r="CG567" s="466"/>
      <c r="CH567" s="465"/>
      <c r="CI567" s="457"/>
      <c r="CJ567" s="464"/>
      <c r="CK567" s="466"/>
      <c r="CL567" s="459"/>
      <c r="CM567" s="450"/>
      <c r="CN567" s="468">
        <f t="shared" si="269"/>
        <v>0</v>
      </c>
      <c r="CO567" s="468">
        <f t="shared" si="270"/>
        <v>0</v>
      </c>
      <c r="CP567" s="469">
        <f t="shared" si="271"/>
        <v>0</v>
      </c>
      <c r="CQ567" s="469">
        <f t="shared" si="272"/>
        <v>0</v>
      </c>
      <c r="CR567" s="463"/>
      <c r="CS567" s="457"/>
      <c r="CT567" s="464"/>
      <c r="CU567" s="464"/>
      <c r="CV567" s="465"/>
      <c r="CW567" s="457"/>
      <c r="CX567" s="464"/>
      <c r="CY567" s="466"/>
      <c r="CZ567" s="465"/>
      <c r="DA567" s="457"/>
      <c r="DB567" s="464"/>
      <c r="DC567" s="466"/>
      <c r="DD567" s="465"/>
      <c r="DE567" s="457"/>
      <c r="DF567" s="464"/>
      <c r="DG567" s="466"/>
      <c r="DH567" s="465"/>
      <c r="DI567" s="457"/>
      <c r="DJ567" s="464"/>
      <c r="DK567" s="466"/>
      <c r="DL567" s="465"/>
      <c r="DM567" s="457"/>
      <c r="DN567" s="464"/>
      <c r="DO567" s="466"/>
      <c r="DP567" s="465"/>
      <c r="DQ567" s="457"/>
      <c r="DR567" s="464"/>
      <c r="DS567" s="466"/>
      <c r="DT567" s="465"/>
      <c r="DU567" s="457"/>
      <c r="DV567" s="464"/>
      <c r="DW567" s="466"/>
      <c r="DX567" s="465"/>
      <c r="DY567" s="457"/>
      <c r="DZ567" s="464"/>
      <c r="EA567" s="466"/>
      <c r="EB567" s="465"/>
      <c r="EC567" s="457"/>
      <c r="ED567" s="464"/>
      <c r="EE567" s="466"/>
      <c r="EF567" s="459"/>
      <c r="EG567" s="450"/>
      <c r="EH567" s="460">
        <f t="shared" si="273"/>
        <v>0</v>
      </c>
      <c r="EI567" s="460">
        <f t="shared" si="274"/>
        <v>0</v>
      </c>
      <c r="EJ567" s="458">
        <f t="shared" si="275"/>
        <v>0</v>
      </c>
      <c r="EK567" s="470">
        <f t="shared" si="276"/>
        <v>0</v>
      </c>
      <c r="EL567" s="470">
        <f t="shared" si="277"/>
        <v>0</v>
      </c>
      <c r="EM567" s="449">
        <f t="shared" si="278"/>
        <v>0</v>
      </c>
      <c r="EN567" s="460">
        <f t="shared" si="279"/>
        <v>0</v>
      </c>
      <c r="EO567" s="469">
        <f t="shared" si="280"/>
        <v>0</v>
      </c>
      <c r="EP567" s="471"/>
      <c r="EQ567" s="450"/>
      <c r="ER567" s="471"/>
      <c r="ES567" s="450"/>
      <c r="ET567" s="471"/>
      <c r="EU567" s="450"/>
      <c r="EV567" s="471"/>
      <c r="EW567" s="450"/>
      <c r="EX567" s="471"/>
      <c r="EY567" s="450"/>
      <c r="EZ567" s="471"/>
      <c r="FA567" s="450"/>
      <c r="FB567" s="471"/>
      <c r="FC567" s="450"/>
      <c r="FD567" s="471"/>
      <c r="FE567" s="450"/>
      <c r="FF567" s="471"/>
      <c r="FG567" s="450"/>
      <c r="FH567" s="472"/>
      <c r="FI567" s="450"/>
      <c r="FJ567" s="468">
        <f t="shared" si="281"/>
        <v>0</v>
      </c>
      <c r="FK567" s="469">
        <f t="shared" si="282"/>
        <v>0</v>
      </c>
      <c r="FL567" s="472"/>
      <c r="FM567" s="450"/>
      <c r="FN567" s="460">
        <f t="shared" si="283"/>
        <v>707</v>
      </c>
      <c r="FO567" s="469">
        <f t="shared" si="284"/>
        <v>602</v>
      </c>
    </row>
    <row r="568" spans="1:171" x14ac:dyDescent="0.2">
      <c r="A568" s="641" t="s">
        <v>854</v>
      </c>
      <c r="B568" s="638" t="s">
        <v>894</v>
      </c>
      <c r="C568" s="639"/>
      <c r="D568" s="642">
        <v>409315</v>
      </c>
      <c r="E568" s="643">
        <v>7</v>
      </c>
      <c r="F568" s="532">
        <v>1258</v>
      </c>
      <c r="G568" s="640">
        <v>1544</v>
      </c>
      <c r="H568" s="457"/>
      <c r="I568" s="450"/>
      <c r="J568" s="457">
        <v>2054</v>
      </c>
      <c r="K568" s="627">
        <v>2312</v>
      </c>
      <c r="L568" s="458">
        <f t="shared" si="261"/>
        <v>17.406779661016948</v>
      </c>
      <c r="M568" s="449">
        <f t="shared" si="262"/>
        <v>20.828828828828829</v>
      </c>
      <c r="N568" s="459">
        <v>118</v>
      </c>
      <c r="O568" s="459"/>
      <c r="P568" s="459"/>
      <c r="Q568" s="459"/>
      <c r="R568" s="460">
        <f t="shared" si="263"/>
        <v>0</v>
      </c>
      <c r="S568" s="747">
        <v>111</v>
      </c>
      <c r="T568" s="461"/>
      <c r="U568" s="461"/>
      <c r="V568" s="461"/>
      <c r="W568" s="462">
        <f t="shared" si="264"/>
        <v>0</v>
      </c>
      <c r="X568" s="463">
        <v>52</v>
      </c>
      <c r="Y568" s="457">
        <v>69</v>
      </c>
      <c r="Z568" s="464">
        <v>52</v>
      </c>
      <c r="AA568" s="464">
        <v>75</v>
      </c>
      <c r="AB568" s="465">
        <v>11</v>
      </c>
      <c r="AC568" s="457">
        <v>49</v>
      </c>
      <c r="AD568" s="464">
        <v>11</v>
      </c>
      <c r="AE568" s="466">
        <v>36</v>
      </c>
      <c r="AF568" s="465"/>
      <c r="AG568" s="457"/>
      <c r="AH568" s="464"/>
      <c r="AI568" s="466"/>
      <c r="AJ568" s="465"/>
      <c r="AK568" s="457"/>
      <c r="AL568" s="464"/>
      <c r="AM568" s="466"/>
      <c r="AN568" s="465"/>
      <c r="AO568" s="457"/>
      <c r="AP568" s="464"/>
      <c r="AQ568" s="464"/>
      <c r="AR568" s="460">
        <f t="shared" si="265"/>
        <v>2</v>
      </c>
      <c r="AS568" s="467">
        <f t="shared" si="266"/>
        <v>3.4402332361516033E-2</v>
      </c>
      <c r="AT568" s="447">
        <f t="shared" si="267"/>
        <v>2</v>
      </c>
      <c r="AU568" s="448">
        <f t="shared" si="268"/>
        <v>2.7980841946054952E-2</v>
      </c>
      <c r="AV568" s="457"/>
      <c r="AW568" s="450"/>
      <c r="AX568" s="463"/>
      <c r="AY568" s="457"/>
      <c r="AZ568" s="464"/>
      <c r="BA568" s="464"/>
      <c r="BB568" s="465"/>
      <c r="BC568" s="457"/>
      <c r="BD568" s="464"/>
      <c r="BE568" s="466"/>
      <c r="BF568" s="465"/>
      <c r="BG568" s="457"/>
      <c r="BH568" s="464"/>
      <c r="BI568" s="466"/>
      <c r="BJ568" s="465"/>
      <c r="BK568" s="457"/>
      <c r="BL568" s="464"/>
      <c r="BM568" s="466"/>
      <c r="BN568" s="465"/>
      <c r="BO568" s="457"/>
      <c r="BP568" s="464"/>
      <c r="BQ568" s="466"/>
      <c r="BR568" s="465"/>
      <c r="BS568" s="457"/>
      <c r="BT568" s="464"/>
      <c r="BU568" s="466"/>
      <c r="BV568" s="465"/>
      <c r="BW568" s="457"/>
      <c r="BX568" s="464"/>
      <c r="BY568" s="466"/>
      <c r="BZ568" s="465"/>
      <c r="CA568" s="457"/>
      <c r="CB568" s="464"/>
      <c r="CC568" s="466"/>
      <c r="CD568" s="465"/>
      <c r="CE568" s="457"/>
      <c r="CF568" s="464"/>
      <c r="CG568" s="466"/>
      <c r="CH568" s="465"/>
      <c r="CI568" s="457"/>
      <c r="CJ568" s="464"/>
      <c r="CK568" s="466"/>
      <c r="CL568" s="459"/>
      <c r="CM568" s="450"/>
      <c r="CN568" s="468">
        <f t="shared" si="269"/>
        <v>0</v>
      </c>
      <c r="CO568" s="468">
        <f t="shared" si="270"/>
        <v>0</v>
      </c>
      <c r="CP568" s="469">
        <f t="shared" si="271"/>
        <v>0</v>
      </c>
      <c r="CQ568" s="469">
        <f t="shared" si="272"/>
        <v>0</v>
      </c>
      <c r="CR568" s="463"/>
      <c r="CS568" s="457"/>
      <c r="CT568" s="464"/>
      <c r="CU568" s="464"/>
      <c r="CV568" s="465"/>
      <c r="CW568" s="457"/>
      <c r="CX568" s="464"/>
      <c r="CY568" s="466"/>
      <c r="CZ568" s="465"/>
      <c r="DA568" s="457"/>
      <c r="DB568" s="464"/>
      <c r="DC568" s="466"/>
      <c r="DD568" s="465"/>
      <c r="DE568" s="457"/>
      <c r="DF568" s="464"/>
      <c r="DG568" s="466"/>
      <c r="DH568" s="465"/>
      <c r="DI568" s="457"/>
      <c r="DJ568" s="464"/>
      <c r="DK568" s="466"/>
      <c r="DL568" s="465"/>
      <c r="DM568" s="457"/>
      <c r="DN568" s="464"/>
      <c r="DO568" s="466"/>
      <c r="DP568" s="465"/>
      <c r="DQ568" s="457"/>
      <c r="DR568" s="464"/>
      <c r="DS568" s="466"/>
      <c r="DT568" s="465"/>
      <c r="DU568" s="457"/>
      <c r="DV568" s="464"/>
      <c r="DW568" s="466"/>
      <c r="DX568" s="465"/>
      <c r="DY568" s="457"/>
      <c r="DZ568" s="464"/>
      <c r="EA568" s="466"/>
      <c r="EB568" s="465"/>
      <c r="EC568" s="457"/>
      <c r="ED568" s="464"/>
      <c r="EE568" s="466"/>
      <c r="EF568" s="459"/>
      <c r="EG568" s="450"/>
      <c r="EH568" s="460">
        <f t="shared" si="273"/>
        <v>0</v>
      </c>
      <c r="EI568" s="460">
        <f t="shared" si="274"/>
        <v>0</v>
      </c>
      <c r="EJ568" s="458">
        <f t="shared" si="275"/>
        <v>0</v>
      </c>
      <c r="EK568" s="470">
        <f t="shared" si="276"/>
        <v>0</v>
      </c>
      <c r="EL568" s="470">
        <f t="shared" si="277"/>
        <v>0</v>
      </c>
      <c r="EM568" s="449">
        <f t="shared" si="278"/>
        <v>0</v>
      </c>
      <c r="EN568" s="460">
        <f t="shared" si="279"/>
        <v>0</v>
      </c>
      <c r="EO568" s="469">
        <f t="shared" si="280"/>
        <v>0</v>
      </c>
      <c r="EP568" s="471"/>
      <c r="EQ568" s="450"/>
      <c r="ER568" s="471"/>
      <c r="ES568" s="450"/>
      <c r="ET568" s="471"/>
      <c r="EU568" s="450"/>
      <c r="EV568" s="471"/>
      <c r="EW568" s="450"/>
      <c r="EX568" s="471"/>
      <c r="EY568" s="450"/>
      <c r="EZ568" s="471"/>
      <c r="FA568" s="450"/>
      <c r="FB568" s="471"/>
      <c r="FC568" s="450"/>
      <c r="FD568" s="471"/>
      <c r="FE568" s="450"/>
      <c r="FF568" s="471"/>
      <c r="FG568" s="450"/>
      <c r="FH568" s="472"/>
      <c r="FI568" s="450"/>
      <c r="FJ568" s="468">
        <f t="shared" si="281"/>
        <v>0</v>
      </c>
      <c r="FK568" s="469">
        <f t="shared" si="282"/>
        <v>0</v>
      </c>
      <c r="FL568" s="472"/>
      <c r="FM568" s="450"/>
      <c r="FN568" s="460">
        <f t="shared" si="283"/>
        <v>3430</v>
      </c>
      <c r="FO568" s="469">
        <f t="shared" si="284"/>
        <v>3967</v>
      </c>
    </row>
    <row r="569" spans="1:171" x14ac:dyDescent="0.2">
      <c r="A569" s="637" t="s">
        <v>854</v>
      </c>
      <c r="B569" s="644" t="s">
        <v>895</v>
      </c>
      <c r="C569" s="645"/>
      <c r="D569" s="546">
        <v>222576</v>
      </c>
      <c r="E569" s="654">
        <v>8</v>
      </c>
      <c r="F569" s="532">
        <v>693</v>
      </c>
      <c r="G569" s="640">
        <v>596</v>
      </c>
      <c r="H569" s="457"/>
      <c r="I569" s="450"/>
      <c r="J569" s="457">
        <v>984</v>
      </c>
      <c r="K569" s="627">
        <v>1102</v>
      </c>
      <c r="L569" s="458">
        <f t="shared" si="261"/>
        <v>0</v>
      </c>
      <c r="M569" s="449">
        <f t="shared" si="262"/>
        <v>0</v>
      </c>
      <c r="N569" s="459"/>
      <c r="O569" s="459"/>
      <c r="P569" s="459"/>
      <c r="Q569" s="459"/>
      <c r="R569" s="460">
        <f t="shared" si="263"/>
        <v>0</v>
      </c>
      <c r="S569" s="461"/>
      <c r="T569" s="461"/>
      <c r="U569" s="461"/>
      <c r="V569" s="461"/>
      <c r="W569" s="462">
        <f t="shared" si="264"/>
        <v>0</v>
      </c>
      <c r="X569" s="463"/>
      <c r="Y569" s="457"/>
      <c r="Z569" s="464"/>
      <c r="AA569" s="464"/>
      <c r="AB569" s="465"/>
      <c r="AC569" s="457"/>
      <c r="AD569" s="464"/>
      <c r="AE569" s="466"/>
      <c r="AF569" s="465"/>
      <c r="AG569" s="457"/>
      <c r="AH569" s="464"/>
      <c r="AI569" s="466"/>
      <c r="AJ569" s="465"/>
      <c r="AK569" s="457"/>
      <c r="AL569" s="464"/>
      <c r="AM569" s="466"/>
      <c r="AN569" s="465"/>
      <c r="AO569" s="457"/>
      <c r="AP569" s="464"/>
      <c r="AQ569" s="464"/>
      <c r="AR569" s="460">
        <f t="shared" si="265"/>
        <v>0</v>
      </c>
      <c r="AS569" s="467">
        <f t="shared" si="266"/>
        <v>0</v>
      </c>
      <c r="AT569" s="447">
        <f t="shared" si="267"/>
        <v>0</v>
      </c>
      <c r="AU569" s="448">
        <f t="shared" si="268"/>
        <v>0</v>
      </c>
      <c r="AV569" s="457"/>
      <c r="AW569" s="450"/>
      <c r="AX569" s="463"/>
      <c r="AY569" s="457"/>
      <c r="AZ569" s="464"/>
      <c r="BA569" s="464"/>
      <c r="BB569" s="465"/>
      <c r="BC569" s="457"/>
      <c r="BD569" s="464"/>
      <c r="BE569" s="466"/>
      <c r="BF569" s="465"/>
      <c r="BG569" s="457"/>
      <c r="BH569" s="464"/>
      <c r="BI569" s="466"/>
      <c r="BJ569" s="465"/>
      <c r="BK569" s="457"/>
      <c r="BL569" s="464"/>
      <c r="BM569" s="466"/>
      <c r="BN569" s="465"/>
      <c r="BO569" s="457"/>
      <c r="BP569" s="464"/>
      <c r="BQ569" s="466"/>
      <c r="BR569" s="465"/>
      <c r="BS569" s="457"/>
      <c r="BT569" s="464"/>
      <c r="BU569" s="466"/>
      <c r="BV569" s="465"/>
      <c r="BW569" s="457"/>
      <c r="BX569" s="464"/>
      <c r="BY569" s="466"/>
      <c r="BZ569" s="465"/>
      <c r="CA569" s="457"/>
      <c r="CB569" s="464"/>
      <c r="CC569" s="466"/>
      <c r="CD569" s="465"/>
      <c r="CE569" s="457"/>
      <c r="CF569" s="464"/>
      <c r="CG569" s="466"/>
      <c r="CH569" s="465"/>
      <c r="CI569" s="457"/>
      <c r="CJ569" s="464"/>
      <c r="CK569" s="466"/>
      <c r="CL569" s="459"/>
      <c r="CM569" s="450"/>
      <c r="CN569" s="468">
        <f t="shared" si="269"/>
        <v>0</v>
      </c>
      <c r="CO569" s="468">
        <f t="shared" si="270"/>
        <v>0</v>
      </c>
      <c r="CP569" s="469">
        <f t="shared" si="271"/>
        <v>0</v>
      </c>
      <c r="CQ569" s="469">
        <f t="shared" si="272"/>
        <v>0</v>
      </c>
      <c r="CR569" s="463"/>
      <c r="CS569" s="457"/>
      <c r="CT569" s="464"/>
      <c r="CU569" s="464"/>
      <c r="CV569" s="465"/>
      <c r="CW569" s="457"/>
      <c r="CX569" s="464"/>
      <c r="CY569" s="466"/>
      <c r="CZ569" s="465"/>
      <c r="DA569" s="457"/>
      <c r="DB569" s="464"/>
      <c r="DC569" s="466"/>
      <c r="DD569" s="465"/>
      <c r="DE569" s="457"/>
      <c r="DF569" s="464"/>
      <c r="DG569" s="466"/>
      <c r="DH569" s="465"/>
      <c r="DI569" s="457"/>
      <c r="DJ569" s="464"/>
      <c r="DK569" s="466"/>
      <c r="DL569" s="465"/>
      <c r="DM569" s="457"/>
      <c r="DN569" s="464"/>
      <c r="DO569" s="466"/>
      <c r="DP569" s="465"/>
      <c r="DQ569" s="457"/>
      <c r="DR569" s="464"/>
      <c r="DS569" s="466"/>
      <c r="DT569" s="465"/>
      <c r="DU569" s="457"/>
      <c r="DV569" s="464"/>
      <c r="DW569" s="466"/>
      <c r="DX569" s="465"/>
      <c r="DY569" s="457"/>
      <c r="DZ569" s="464"/>
      <c r="EA569" s="466"/>
      <c r="EB569" s="465"/>
      <c r="EC569" s="457"/>
      <c r="ED569" s="464"/>
      <c r="EE569" s="466"/>
      <c r="EF569" s="459"/>
      <c r="EG569" s="450"/>
      <c r="EH569" s="460">
        <f t="shared" si="273"/>
        <v>0</v>
      </c>
      <c r="EI569" s="460">
        <f t="shared" si="274"/>
        <v>0</v>
      </c>
      <c r="EJ569" s="458">
        <f t="shared" si="275"/>
        <v>0</v>
      </c>
      <c r="EK569" s="470">
        <f t="shared" si="276"/>
        <v>0</v>
      </c>
      <c r="EL569" s="470">
        <f t="shared" si="277"/>
        <v>0</v>
      </c>
      <c r="EM569" s="449">
        <f t="shared" si="278"/>
        <v>0</v>
      </c>
      <c r="EN569" s="460">
        <f t="shared" si="279"/>
        <v>0</v>
      </c>
      <c r="EO569" s="469">
        <f t="shared" si="280"/>
        <v>0</v>
      </c>
      <c r="EP569" s="471"/>
      <c r="EQ569" s="450"/>
      <c r="ER569" s="471"/>
      <c r="ES569" s="450"/>
      <c r="ET569" s="471"/>
      <c r="EU569" s="450"/>
      <c r="EV569" s="471"/>
      <c r="EW569" s="450"/>
      <c r="EX569" s="471"/>
      <c r="EY569" s="450"/>
      <c r="EZ569" s="471"/>
      <c r="FA569" s="450"/>
      <c r="FB569" s="471"/>
      <c r="FC569" s="450"/>
      <c r="FD569" s="471"/>
      <c r="FE569" s="450"/>
      <c r="FF569" s="471"/>
      <c r="FG569" s="450"/>
      <c r="FH569" s="472"/>
      <c r="FI569" s="450"/>
      <c r="FJ569" s="468">
        <f t="shared" si="281"/>
        <v>0</v>
      </c>
      <c r="FK569" s="469">
        <f t="shared" si="282"/>
        <v>0</v>
      </c>
      <c r="FL569" s="472"/>
      <c r="FM569" s="450"/>
      <c r="FN569" s="460">
        <f t="shared" si="283"/>
        <v>1677</v>
      </c>
      <c r="FO569" s="469">
        <f t="shared" si="284"/>
        <v>1698</v>
      </c>
    </row>
    <row r="570" spans="1:171" x14ac:dyDescent="0.2">
      <c r="A570" s="637" t="s">
        <v>854</v>
      </c>
      <c r="B570" s="644" t="s">
        <v>896</v>
      </c>
      <c r="C570" s="645"/>
      <c r="D570" s="546">
        <v>222992</v>
      </c>
      <c r="E570" s="654">
        <v>8</v>
      </c>
      <c r="F570" s="532">
        <v>810</v>
      </c>
      <c r="G570" s="640">
        <v>829</v>
      </c>
      <c r="H570" s="457"/>
      <c r="I570" s="450"/>
      <c r="J570" s="457">
        <v>1529</v>
      </c>
      <c r="K570" s="627">
        <v>1791</v>
      </c>
      <c r="L570" s="458">
        <f t="shared" si="261"/>
        <v>0</v>
      </c>
      <c r="M570" s="449">
        <f t="shared" si="262"/>
        <v>0</v>
      </c>
      <c r="N570" s="459"/>
      <c r="O570" s="459"/>
      <c r="P570" s="459"/>
      <c r="Q570" s="459"/>
      <c r="R570" s="460">
        <f t="shared" si="263"/>
        <v>0</v>
      </c>
      <c r="S570" s="461"/>
      <c r="T570" s="461"/>
      <c r="U570" s="461"/>
      <c r="V570" s="461"/>
      <c r="W570" s="462">
        <f t="shared" si="264"/>
        <v>0</v>
      </c>
      <c r="X570" s="463"/>
      <c r="Y570" s="457"/>
      <c r="Z570" s="464"/>
      <c r="AA570" s="464"/>
      <c r="AB570" s="465"/>
      <c r="AC570" s="457"/>
      <c r="AD570" s="464"/>
      <c r="AE570" s="466"/>
      <c r="AF570" s="465"/>
      <c r="AG570" s="457"/>
      <c r="AH570" s="464"/>
      <c r="AI570" s="466"/>
      <c r="AJ570" s="465"/>
      <c r="AK570" s="457"/>
      <c r="AL570" s="464"/>
      <c r="AM570" s="466"/>
      <c r="AN570" s="465"/>
      <c r="AO570" s="457"/>
      <c r="AP570" s="464"/>
      <c r="AQ570" s="464"/>
      <c r="AR570" s="460">
        <f t="shared" si="265"/>
        <v>0</v>
      </c>
      <c r="AS570" s="467">
        <f t="shared" si="266"/>
        <v>0</v>
      </c>
      <c r="AT570" s="447">
        <f t="shared" si="267"/>
        <v>0</v>
      </c>
      <c r="AU570" s="448">
        <f t="shared" si="268"/>
        <v>0</v>
      </c>
      <c r="AV570" s="457"/>
      <c r="AW570" s="450"/>
      <c r="AX570" s="463"/>
      <c r="AY570" s="457"/>
      <c r="AZ570" s="464"/>
      <c r="BA570" s="464"/>
      <c r="BB570" s="465"/>
      <c r="BC570" s="457"/>
      <c r="BD570" s="464"/>
      <c r="BE570" s="466"/>
      <c r="BF570" s="465"/>
      <c r="BG570" s="457"/>
      <c r="BH570" s="464"/>
      <c r="BI570" s="466"/>
      <c r="BJ570" s="465"/>
      <c r="BK570" s="457"/>
      <c r="BL570" s="464"/>
      <c r="BM570" s="466"/>
      <c r="BN570" s="465"/>
      <c r="BO570" s="457"/>
      <c r="BP570" s="464"/>
      <c r="BQ570" s="466"/>
      <c r="BR570" s="465"/>
      <c r="BS570" s="457"/>
      <c r="BT570" s="464"/>
      <c r="BU570" s="466"/>
      <c r="BV570" s="465"/>
      <c r="BW570" s="457"/>
      <c r="BX570" s="464"/>
      <c r="BY570" s="466"/>
      <c r="BZ570" s="465"/>
      <c r="CA570" s="457"/>
      <c r="CB570" s="464"/>
      <c r="CC570" s="466"/>
      <c r="CD570" s="465"/>
      <c r="CE570" s="457"/>
      <c r="CF570" s="464"/>
      <c r="CG570" s="466"/>
      <c r="CH570" s="465"/>
      <c r="CI570" s="457"/>
      <c r="CJ570" s="464"/>
      <c r="CK570" s="466"/>
      <c r="CL570" s="459"/>
      <c r="CM570" s="450"/>
      <c r="CN570" s="468">
        <f t="shared" si="269"/>
        <v>0</v>
      </c>
      <c r="CO570" s="468">
        <f t="shared" si="270"/>
        <v>0</v>
      </c>
      <c r="CP570" s="469">
        <f t="shared" si="271"/>
        <v>0</v>
      </c>
      <c r="CQ570" s="469">
        <f t="shared" si="272"/>
        <v>0</v>
      </c>
      <c r="CR570" s="463"/>
      <c r="CS570" s="457"/>
      <c r="CT570" s="464"/>
      <c r="CU570" s="464"/>
      <c r="CV570" s="465"/>
      <c r="CW570" s="457"/>
      <c r="CX570" s="464"/>
      <c r="CY570" s="466"/>
      <c r="CZ570" s="465"/>
      <c r="DA570" s="457"/>
      <c r="DB570" s="464"/>
      <c r="DC570" s="466"/>
      <c r="DD570" s="465"/>
      <c r="DE570" s="457"/>
      <c r="DF570" s="464"/>
      <c r="DG570" s="466"/>
      <c r="DH570" s="465"/>
      <c r="DI570" s="457"/>
      <c r="DJ570" s="464"/>
      <c r="DK570" s="466"/>
      <c r="DL570" s="465"/>
      <c r="DM570" s="457"/>
      <c r="DN570" s="464"/>
      <c r="DO570" s="466"/>
      <c r="DP570" s="465"/>
      <c r="DQ570" s="457"/>
      <c r="DR570" s="464"/>
      <c r="DS570" s="466"/>
      <c r="DT570" s="465"/>
      <c r="DU570" s="457"/>
      <c r="DV570" s="464"/>
      <c r="DW570" s="466"/>
      <c r="DX570" s="465"/>
      <c r="DY570" s="457"/>
      <c r="DZ570" s="464"/>
      <c r="EA570" s="466"/>
      <c r="EB570" s="465"/>
      <c r="EC570" s="457"/>
      <c r="ED570" s="464"/>
      <c r="EE570" s="466"/>
      <c r="EF570" s="459"/>
      <c r="EG570" s="450"/>
      <c r="EH570" s="460">
        <f t="shared" si="273"/>
        <v>0</v>
      </c>
      <c r="EI570" s="460">
        <f t="shared" si="274"/>
        <v>0</v>
      </c>
      <c r="EJ570" s="458">
        <f t="shared" si="275"/>
        <v>0</v>
      </c>
      <c r="EK570" s="470">
        <f t="shared" si="276"/>
        <v>0</v>
      </c>
      <c r="EL570" s="470">
        <f t="shared" si="277"/>
        <v>0</v>
      </c>
      <c r="EM570" s="449">
        <f t="shared" si="278"/>
        <v>0</v>
      </c>
      <c r="EN570" s="460">
        <f t="shared" si="279"/>
        <v>0</v>
      </c>
      <c r="EO570" s="469">
        <f t="shared" si="280"/>
        <v>0</v>
      </c>
      <c r="EP570" s="471"/>
      <c r="EQ570" s="450"/>
      <c r="ER570" s="471"/>
      <c r="ES570" s="450"/>
      <c r="ET570" s="471"/>
      <c r="EU570" s="450"/>
      <c r="EV570" s="471"/>
      <c r="EW570" s="450"/>
      <c r="EX570" s="471"/>
      <c r="EY570" s="450"/>
      <c r="EZ570" s="471"/>
      <c r="FA570" s="450"/>
      <c r="FB570" s="471"/>
      <c r="FC570" s="450"/>
      <c r="FD570" s="471"/>
      <c r="FE570" s="450"/>
      <c r="FF570" s="471"/>
      <c r="FG570" s="450"/>
      <c r="FH570" s="472"/>
      <c r="FI570" s="450"/>
      <c r="FJ570" s="468">
        <f t="shared" si="281"/>
        <v>0</v>
      </c>
      <c r="FK570" s="469">
        <f t="shared" si="282"/>
        <v>0</v>
      </c>
      <c r="FL570" s="472"/>
      <c r="FM570" s="450"/>
      <c r="FN570" s="460">
        <f t="shared" si="283"/>
        <v>2339</v>
      </c>
      <c r="FO570" s="469">
        <f t="shared" si="284"/>
        <v>2620</v>
      </c>
    </row>
    <row r="571" spans="1:171" x14ac:dyDescent="0.2">
      <c r="A571" s="637" t="s">
        <v>854</v>
      </c>
      <c r="B571" s="644" t="s">
        <v>897</v>
      </c>
      <c r="C571" s="645"/>
      <c r="D571" s="546">
        <v>223427</v>
      </c>
      <c r="E571" s="654">
        <v>8</v>
      </c>
      <c r="F571" s="532">
        <v>461</v>
      </c>
      <c r="G571" s="640">
        <v>375</v>
      </c>
      <c r="H571" s="457"/>
      <c r="I571" s="450"/>
      <c r="J571" s="457">
        <v>800</v>
      </c>
      <c r="K571" s="627">
        <v>820</v>
      </c>
      <c r="L571" s="458">
        <f t="shared" si="261"/>
        <v>0</v>
      </c>
      <c r="M571" s="449">
        <f t="shared" si="262"/>
        <v>0</v>
      </c>
      <c r="N571" s="459"/>
      <c r="O571" s="459"/>
      <c r="P571" s="459"/>
      <c r="Q571" s="459"/>
      <c r="R571" s="460">
        <f t="shared" si="263"/>
        <v>0</v>
      </c>
      <c r="S571" s="461"/>
      <c r="T571" s="461"/>
      <c r="U571" s="461"/>
      <c r="V571" s="461"/>
      <c r="W571" s="462">
        <f t="shared" si="264"/>
        <v>0</v>
      </c>
      <c r="X571" s="463"/>
      <c r="Y571" s="457"/>
      <c r="Z571" s="464"/>
      <c r="AA571" s="464"/>
      <c r="AB571" s="465"/>
      <c r="AC571" s="457"/>
      <c r="AD571" s="464"/>
      <c r="AE571" s="466"/>
      <c r="AF571" s="465"/>
      <c r="AG571" s="457"/>
      <c r="AH571" s="464"/>
      <c r="AI571" s="466"/>
      <c r="AJ571" s="465"/>
      <c r="AK571" s="457"/>
      <c r="AL571" s="464"/>
      <c r="AM571" s="466"/>
      <c r="AN571" s="465"/>
      <c r="AO571" s="457"/>
      <c r="AP571" s="464"/>
      <c r="AQ571" s="464"/>
      <c r="AR571" s="460">
        <f t="shared" si="265"/>
        <v>0</v>
      </c>
      <c r="AS571" s="467">
        <f t="shared" si="266"/>
        <v>0</v>
      </c>
      <c r="AT571" s="447">
        <f t="shared" si="267"/>
        <v>0</v>
      </c>
      <c r="AU571" s="448">
        <f t="shared" si="268"/>
        <v>0</v>
      </c>
      <c r="AV571" s="457"/>
      <c r="AW571" s="450"/>
      <c r="AX571" s="463"/>
      <c r="AY571" s="457"/>
      <c r="AZ571" s="464"/>
      <c r="BA571" s="464"/>
      <c r="BB571" s="465"/>
      <c r="BC571" s="457"/>
      <c r="BD571" s="464"/>
      <c r="BE571" s="466"/>
      <c r="BF571" s="465"/>
      <c r="BG571" s="457"/>
      <c r="BH571" s="464"/>
      <c r="BI571" s="466"/>
      <c r="BJ571" s="465"/>
      <c r="BK571" s="457"/>
      <c r="BL571" s="464"/>
      <c r="BM571" s="466"/>
      <c r="BN571" s="465"/>
      <c r="BO571" s="457"/>
      <c r="BP571" s="464"/>
      <c r="BQ571" s="466"/>
      <c r="BR571" s="465"/>
      <c r="BS571" s="457"/>
      <c r="BT571" s="464"/>
      <c r="BU571" s="466"/>
      <c r="BV571" s="465"/>
      <c r="BW571" s="457"/>
      <c r="BX571" s="464"/>
      <c r="BY571" s="466"/>
      <c r="BZ571" s="465"/>
      <c r="CA571" s="457"/>
      <c r="CB571" s="464"/>
      <c r="CC571" s="466"/>
      <c r="CD571" s="465"/>
      <c r="CE571" s="457"/>
      <c r="CF571" s="464"/>
      <c r="CG571" s="466"/>
      <c r="CH571" s="465"/>
      <c r="CI571" s="457"/>
      <c r="CJ571" s="464"/>
      <c r="CK571" s="466"/>
      <c r="CL571" s="459"/>
      <c r="CM571" s="450"/>
      <c r="CN571" s="468">
        <f t="shared" si="269"/>
        <v>0</v>
      </c>
      <c r="CO571" s="468">
        <f t="shared" si="270"/>
        <v>0</v>
      </c>
      <c r="CP571" s="469">
        <f t="shared" si="271"/>
        <v>0</v>
      </c>
      <c r="CQ571" s="469">
        <f t="shared" si="272"/>
        <v>0</v>
      </c>
      <c r="CR571" s="463"/>
      <c r="CS571" s="457"/>
      <c r="CT571" s="464"/>
      <c r="CU571" s="464"/>
      <c r="CV571" s="465"/>
      <c r="CW571" s="457"/>
      <c r="CX571" s="464"/>
      <c r="CY571" s="466"/>
      <c r="CZ571" s="465"/>
      <c r="DA571" s="457"/>
      <c r="DB571" s="464"/>
      <c r="DC571" s="466"/>
      <c r="DD571" s="465"/>
      <c r="DE571" s="457"/>
      <c r="DF571" s="464"/>
      <c r="DG571" s="466"/>
      <c r="DH571" s="465"/>
      <c r="DI571" s="457"/>
      <c r="DJ571" s="464"/>
      <c r="DK571" s="466"/>
      <c r="DL571" s="465"/>
      <c r="DM571" s="457"/>
      <c r="DN571" s="464"/>
      <c r="DO571" s="466"/>
      <c r="DP571" s="465"/>
      <c r="DQ571" s="457"/>
      <c r="DR571" s="464"/>
      <c r="DS571" s="466"/>
      <c r="DT571" s="465"/>
      <c r="DU571" s="457"/>
      <c r="DV571" s="464"/>
      <c r="DW571" s="466"/>
      <c r="DX571" s="465"/>
      <c r="DY571" s="457"/>
      <c r="DZ571" s="464"/>
      <c r="EA571" s="466"/>
      <c r="EB571" s="465"/>
      <c r="EC571" s="457"/>
      <c r="ED571" s="464"/>
      <c r="EE571" s="466"/>
      <c r="EF571" s="459"/>
      <c r="EG571" s="450"/>
      <c r="EH571" s="460">
        <f t="shared" si="273"/>
        <v>0</v>
      </c>
      <c r="EI571" s="460">
        <f t="shared" si="274"/>
        <v>0</v>
      </c>
      <c r="EJ571" s="458">
        <f t="shared" si="275"/>
        <v>0</v>
      </c>
      <c r="EK571" s="470">
        <f t="shared" si="276"/>
        <v>0</v>
      </c>
      <c r="EL571" s="470">
        <f t="shared" si="277"/>
        <v>0</v>
      </c>
      <c r="EM571" s="449">
        <f t="shared" si="278"/>
        <v>0</v>
      </c>
      <c r="EN571" s="460">
        <f t="shared" si="279"/>
        <v>0</v>
      </c>
      <c r="EO571" s="469">
        <f t="shared" si="280"/>
        <v>0</v>
      </c>
      <c r="EP571" s="471"/>
      <c r="EQ571" s="450"/>
      <c r="ER571" s="471"/>
      <c r="ES571" s="450"/>
      <c r="ET571" s="471"/>
      <c r="EU571" s="450"/>
      <c r="EV571" s="471"/>
      <c r="EW571" s="450"/>
      <c r="EX571" s="471"/>
      <c r="EY571" s="450"/>
      <c r="EZ571" s="471"/>
      <c r="FA571" s="450"/>
      <c r="FB571" s="471"/>
      <c r="FC571" s="450"/>
      <c r="FD571" s="471"/>
      <c r="FE571" s="450"/>
      <c r="FF571" s="471"/>
      <c r="FG571" s="450"/>
      <c r="FH571" s="472"/>
      <c r="FI571" s="450"/>
      <c r="FJ571" s="468">
        <f t="shared" si="281"/>
        <v>0</v>
      </c>
      <c r="FK571" s="469">
        <f t="shared" si="282"/>
        <v>0</v>
      </c>
      <c r="FL571" s="472"/>
      <c r="FM571" s="450"/>
      <c r="FN571" s="460">
        <f t="shared" si="283"/>
        <v>1261</v>
      </c>
      <c r="FO571" s="469">
        <f t="shared" si="284"/>
        <v>1195</v>
      </c>
    </row>
    <row r="572" spans="1:171" x14ac:dyDescent="0.2">
      <c r="A572" s="733" t="s">
        <v>854</v>
      </c>
      <c r="B572" s="644" t="s">
        <v>898</v>
      </c>
      <c r="C572" s="645"/>
      <c r="D572" s="546">
        <v>223524</v>
      </c>
      <c r="E572" s="654">
        <v>8</v>
      </c>
      <c r="F572" s="532">
        <v>187</v>
      </c>
      <c r="G572" s="640">
        <v>214</v>
      </c>
      <c r="H572" s="457"/>
      <c r="I572" s="450"/>
      <c r="J572" s="457">
        <v>682</v>
      </c>
      <c r="K572" s="744">
        <v>666</v>
      </c>
      <c r="L572" s="458">
        <f t="shared" si="261"/>
        <v>0</v>
      </c>
      <c r="M572" s="449">
        <f t="shared" si="262"/>
        <v>0</v>
      </c>
      <c r="N572" s="459"/>
      <c r="O572" s="459"/>
      <c r="P572" s="459"/>
      <c r="Q572" s="459"/>
      <c r="R572" s="460">
        <f t="shared" si="263"/>
        <v>0</v>
      </c>
      <c r="S572" s="461"/>
      <c r="T572" s="461"/>
      <c r="U572" s="461"/>
      <c r="V572" s="461"/>
      <c r="W572" s="462">
        <f t="shared" si="264"/>
        <v>0</v>
      </c>
      <c r="X572" s="463"/>
      <c r="Y572" s="457"/>
      <c r="Z572" s="464"/>
      <c r="AA572" s="464"/>
      <c r="AB572" s="465"/>
      <c r="AC572" s="457"/>
      <c r="AD572" s="464"/>
      <c r="AE572" s="466"/>
      <c r="AF572" s="465"/>
      <c r="AG572" s="457"/>
      <c r="AH572" s="464"/>
      <c r="AI572" s="466"/>
      <c r="AJ572" s="465"/>
      <c r="AK572" s="457"/>
      <c r="AL572" s="464"/>
      <c r="AM572" s="466"/>
      <c r="AN572" s="465"/>
      <c r="AO572" s="457"/>
      <c r="AP572" s="464"/>
      <c r="AQ572" s="464"/>
      <c r="AR572" s="460">
        <f t="shared" si="265"/>
        <v>0</v>
      </c>
      <c r="AS572" s="467">
        <f t="shared" si="266"/>
        <v>0</v>
      </c>
      <c r="AT572" s="447">
        <f t="shared" si="267"/>
        <v>0</v>
      </c>
      <c r="AU572" s="448">
        <f t="shared" si="268"/>
        <v>0</v>
      </c>
      <c r="AV572" s="457"/>
      <c r="AW572" s="450"/>
      <c r="AX572" s="463"/>
      <c r="AY572" s="457"/>
      <c r="AZ572" s="464"/>
      <c r="BA572" s="464"/>
      <c r="BB572" s="465"/>
      <c r="BC572" s="457"/>
      <c r="BD572" s="464"/>
      <c r="BE572" s="466"/>
      <c r="BF572" s="465"/>
      <c r="BG572" s="457"/>
      <c r="BH572" s="464"/>
      <c r="BI572" s="466"/>
      <c r="BJ572" s="465"/>
      <c r="BK572" s="457"/>
      <c r="BL572" s="464"/>
      <c r="BM572" s="466"/>
      <c r="BN572" s="465"/>
      <c r="BO572" s="457"/>
      <c r="BP572" s="464"/>
      <c r="BQ572" s="466"/>
      <c r="BR572" s="465"/>
      <c r="BS572" s="457"/>
      <c r="BT572" s="464"/>
      <c r="BU572" s="466"/>
      <c r="BV572" s="465"/>
      <c r="BW572" s="457"/>
      <c r="BX572" s="464"/>
      <c r="BY572" s="466"/>
      <c r="BZ572" s="465"/>
      <c r="CA572" s="457"/>
      <c r="CB572" s="464"/>
      <c r="CC572" s="466"/>
      <c r="CD572" s="465"/>
      <c r="CE572" s="457"/>
      <c r="CF572" s="464"/>
      <c r="CG572" s="466"/>
      <c r="CH572" s="465"/>
      <c r="CI572" s="457"/>
      <c r="CJ572" s="464"/>
      <c r="CK572" s="466"/>
      <c r="CL572" s="459"/>
      <c r="CM572" s="450"/>
      <c r="CN572" s="468">
        <f t="shared" si="269"/>
        <v>0</v>
      </c>
      <c r="CO572" s="468">
        <f t="shared" si="270"/>
        <v>0</v>
      </c>
      <c r="CP572" s="469">
        <f t="shared" si="271"/>
        <v>0</v>
      </c>
      <c r="CQ572" s="469">
        <f t="shared" si="272"/>
        <v>0</v>
      </c>
      <c r="CR572" s="463"/>
      <c r="CS572" s="457"/>
      <c r="CT572" s="464"/>
      <c r="CU572" s="464"/>
      <c r="CV572" s="465"/>
      <c r="CW572" s="457"/>
      <c r="CX572" s="464"/>
      <c r="CY572" s="466"/>
      <c r="CZ572" s="465"/>
      <c r="DA572" s="457"/>
      <c r="DB572" s="464"/>
      <c r="DC572" s="466"/>
      <c r="DD572" s="465"/>
      <c r="DE572" s="457"/>
      <c r="DF572" s="464"/>
      <c r="DG572" s="466"/>
      <c r="DH572" s="465"/>
      <c r="DI572" s="457"/>
      <c r="DJ572" s="464"/>
      <c r="DK572" s="466"/>
      <c r="DL572" s="465"/>
      <c r="DM572" s="457"/>
      <c r="DN572" s="464"/>
      <c r="DO572" s="466"/>
      <c r="DP572" s="465"/>
      <c r="DQ572" s="457"/>
      <c r="DR572" s="464"/>
      <c r="DS572" s="466"/>
      <c r="DT572" s="465"/>
      <c r="DU572" s="457"/>
      <c r="DV572" s="464"/>
      <c r="DW572" s="466"/>
      <c r="DX572" s="465"/>
      <c r="DY572" s="457"/>
      <c r="DZ572" s="464"/>
      <c r="EA572" s="466"/>
      <c r="EB572" s="465"/>
      <c r="EC572" s="457"/>
      <c r="ED572" s="464"/>
      <c r="EE572" s="466"/>
      <c r="EF572" s="459"/>
      <c r="EG572" s="450"/>
      <c r="EH572" s="460">
        <f t="shared" si="273"/>
        <v>0</v>
      </c>
      <c r="EI572" s="460">
        <f t="shared" si="274"/>
        <v>0</v>
      </c>
      <c r="EJ572" s="458">
        <f t="shared" si="275"/>
        <v>0</v>
      </c>
      <c r="EK572" s="470">
        <f t="shared" si="276"/>
        <v>0</v>
      </c>
      <c r="EL572" s="470">
        <f t="shared" si="277"/>
        <v>0</v>
      </c>
      <c r="EM572" s="449">
        <f t="shared" si="278"/>
        <v>0</v>
      </c>
      <c r="EN572" s="460">
        <f t="shared" si="279"/>
        <v>0</v>
      </c>
      <c r="EO572" s="469">
        <f t="shared" si="280"/>
        <v>0</v>
      </c>
      <c r="EP572" s="471"/>
      <c r="EQ572" s="742"/>
      <c r="ER572" s="471"/>
      <c r="ES572" s="450"/>
      <c r="ET572" s="471"/>
      <c r="EU572" s="450"/>
      <c r="EV572" s="471"/>
      <c r="EW572" s="450"/>
      <c r="EX572" s="471"/>
      <c r="EY572" s="450"/>
      <c r="EZ572" s="471"/>
      <c r="FA572" s="450"/>
      <c r="FB572" s="471"/>
      <c r="FC572" s="450"/>
      <c r="FD572" s="471"/>
      <c r="FE572" s="450"/>
      <c r="FF572" s="471"/>
      <c r="FG572" s="450"/>
      <c r="FH572" s="472"/>
      <c r="FI572" s="742"/>
      <c r="FJ572" s="468">
        <f t="shared" si="281"/>
        <v>0</v>
      </c>
      <c r="FK572" s="469">
        <f t="shared" si="282"/>
        <v>0</v>
      </c>
      <c r="FL572" s="472"/>
      <c r="FM572" s="450"/>
      <c r="FN572" s="460">
        <f t="shared" si="283"/>
        <v>869</v>
      </c>
      <c r="FO572" s="469">
        <f t="shared" si="284"/>
        <v>880</v>
      </c>
    </row>
    <row r="573" spans="1:171" x14ac:dyDescent="0.2">
      <c r="A573" s="733" t="s">
        <v>854</v>
      </c>
      <c r="B573" s="644" t="s">
        <v>899</v>
      </c>
      <c r="C573" s="645"/>
      <c r="D573" s="546">
        <v>223816</v>
      </c>
      <c r="E573" s="654">
        <v>8</v>
      </c>
      <c r="F573" s="532">
        <v>479</v>
      </c>
      <c r="G573" s="640">
        <v>547</v>
      </c>
      <c r="H573" s="457"/>
      <c r="I573" s="450"/>
      <c r="J573" s="457">
        <v>1447</v>
      </c>
      <c r="K573" s="744">
        <v>1514</v>
      </c>
      <c r="L573" s="458">
        <f t="shared" si="261"/>
        <v>0</v>
      </c>
      <c r="M573" s="449">
        <f t="shared" si="262"/>
        <v>0</v>
      </c>
      <c r="N573" s="459"/>
      <c r="O573" s="459"/>
      <c r="P573" s="459"/>
      <c r="Q573" s="459"/>
      <c r="R573" s="460">
        <f t="shared" si="263"/>
        <v>0</v>
      </c>
      <c r="S573" s="461"/>
      <c r="T573" s="461"/>
      <c r="U573" s="461"/>
      <c r="V573" s="461"/>
      <c r="W573" s="462">
        <f t="shared" si="264"/>
        <v>0</v>
      </c>
      <c r="X573" s="463"/>
      <c r="Y573" s="457"/>
      <c r="Z573" s="464"/>
      <c r="AA573" s="464"/>
      <c r="AB573" s="465"/>
      <c r="AC573" s="457"/>
      <c r="AD573" s="464"/>
      <c r="AE573" s="466"/>
      <c r="AF573" s="465"/>
      <c r="AG573" s="457"/>
      <c r="AH573" s="464"/>
      <c r="AI573" s="466"/>
      <c r="AJ573" s="465"/>
      <c r="AK573" s="457"/>
      <c r="AL573" s="464"/>
      <c r="AM573" s="466"/>
      <c r="AN573" s="465"/>
      <c r="AO573" s="457"/>
      <c r="AP573" s="464"/>
      <c r="AQ573" s="464"/>
      <c r="AR573" s="460">
        <f t="shared" si="265"/>
        <v>0</v>
      </c>
      <c r="AS573" s="467">
        <f t="shared" si="266"/>
        <v>0</v>
      </c>
      <c r="AT573" s="447">
        <f t="shared" si="267"/>
        <v>0</v>
      </c>
      <c r="AU573" s="448">
        <f t="shared" si="268"/>
        <v>0</v>
      </c>
      <c r="AV573" s="457"/>
      <c r="AW573" s="450"/>
      <c r="AX573" s="463"/>
      <c r="AY573" s="457"/>
      <c r="AZ573" s="464"/>
      <c r="BA573" s="464"/>
      <c r="BB573" s="465"/>
      <c r="BC573" s="457"/>
      <c r="BD573" s="464"/>
      <c r="BE573" s="466"/>
      <c r="BF573" s="465"/>
      <c r="BG573" s="457"/>
      <c r="BH573" s="464"/>
      <c r="BI573" s="466"/>
      <c r="BJ573" s="465"/>
      <c r="BK573" s="457"/>
      <c r="BL573" s="464"/>
      <c r="BM573" s="466"/>
      <c r="BN573" s="465"/>
      <c r="BO573" s="457"/>
      <c r="BP573" s="464"/>
      <c r="BQ573" s="466"/>
      <c r="BR573" s="465"/>
      <c r="BS573" s="457"/>
      <c r="BT573" s="464"/>
      <c r="BU573" s="466"/>
      <c r="BV573" s="465"/>
      <c r="BW573" s="457"/>
      <c r="BX573" s="464"/>
      <c r="BY573" s="466"/>
      <c r="BZ573" s="465"/>
      <c r="CA573" s="457"/>
      <c r="CB573" s="464"/>
      <c r="CC573" s="466"/>
      <c r="CD573" s="465"/>
      <c r="CE573" s="457"/>
      <c r="CF573" s="464"/>
      <c r="CG573" s="466"/>
      <c r="CH573" s="465"/>
      <c r="CI573" s="457"/>
      <c r="CJ573" s="464"/>
      <c r="CK573" s="466"/>
      <c r="CL573" s="459"/>
      <c r="CM573" s="450"/>
      <c r="CN573" s="468">
        <f t="shared" si="269"/>
        <v>0</v>
      </c>
      <c r="CO573" s="468">
        <f t="shared" si="270"/>
        <v>0</v>
      </c>
      <c r="CP573" s="469">
        <f t="shared" si="271"/>
        <v>0</v>
      </c>
      <c r="CQ573" s="469">
        <f t="shared" si="272"/>
        <v>0</v>
      </c>
      <c r="CR573" s="463"/>
      <c r="CS573" s="457"/>
      <c r="CT573" s="464"/>
      <c r="CU573" s="464"/>
      <c r="CV573" s="465"/>
      <c r="CW573" s="457"/>
      <c r="CX573" s="464"/>
      <c r="CY573" s="466"/>
      <c r="CZ573" s="465"/>
      <c r="DA573" s="457"/>
      <c r="DB573" s="464"/>
      <c r="DC573" s="466"/>
      <c r="DD573" s="465"/>
      <c r="DE573" s="457"/>
      <c r="DF573" s="464"/>
      <c r="DG573" s="466"/>
      <c r="DH573" s="465"/>
      <c r="DI573" s="457"/>
      <c r="DJ573" s="464"/>
      <c r="DK573" s="466"/>
      <c r="DL573" s="465"/>
      <c r="DM573" s="457"/>
      <c r="DN573" s="464"/>
      <c r="DO573" s="466"/>
      <c r="DP573" s="465"/>
      <c r="DQ573" s="457"/>
      <c r="DR573" s="464"/>
      <c r="DS573" s="466"/>
      <c r="DT573" s="465"/>
      <c r="DU573" s="457"/>
      <c r="DV573" s="464"/>
      <c r="DW573" s="466"/>
      <c r="DX573" s="465"/>
      <c r="DY573" s="457"/>
      <c r="DZ573" s="464"/>
      <c r="EA573" s="466"/>
      <c r="EB573" s="465"/>
      <c r="EC573" s="457"/>
      <c r="ED573" s="464"/>
      <c r="EE573" s="466"/>
      <c r="EF573" s="459"/>
      <c r="EG573" s="450"/>
      <c r="EH573" s="460">
        <f t="shared" si="273"/>
        <v>0</v>
      </c>
      <c r="EI573" s="460">
        <f t="shared" si="274"/>
        <v>0</v>
      </c>
      <c r="EJ573" s="458">
        <f t="shared" si="275"/>
        <v>0</v>
      </c>
      <c r="EK573" s="470">
        <f t="shared" si="276"/>
        <v>0</v>
      </c>
      <c r="EL573" s="470">
        <f t="shared" si="277"/>
        <v>0</v>
      </c>
      <c r="EM573" s="449">
        <f t="shared" si="278"/>
        <v>0</v>
      </c>
      <c r="EN573" s="460">
        <f t="shared" si="279"/>
        <v>0</v>
      </c>
      <c r="EO573" s="469">
        <f t="shared" si="280"/>
        <v>0</v>
      </c>
      <c r="EP573" s="471"/>
      <c r="EQ573" s="742"/>
      <c r="ER573" s="471"/>
      <c r="ES573" s="742"/>
      <c r="ET573" s="471"/>
      <c r="EU573" s="450"/>
      <c r="EV573" s="471"/>
      <c r="EW573" s="450"/>
      <c r="EX573" s="471"/>
      <c r="EY573" s="450"/>
      <c r="EZ573" s="471"/>
      <c r="FA573" s="450"/>
      <c r="FB573" s="471"/>
      <c r="FC573" s="450"/>
      <c r="FD573" s="471"/>
      <c r="FE573" s="450"/>
      <c r="FF573" s="471"/>
      <c r="FG573" s="450"/>
      <c r="FH573" s="472"/>
      <c r="FI573" s="742"/>
      <c r="FJ573" s="468">
        <f t="shared" si="281"/>
        <v>0</v>
      </c>
      <c r="FK573" s="469">
        <f t="shared" si="282"/>
        <v>0</v>
      </c>
      <c r="FL573" s="472"/>
      <c r="FM573" s="450"/>
      <c r="FN573" s="460">
        <f t="shared" si="283"/>
        <v>1926</v>
      </c>
      <c r="FO573" s="469">
        <f t="shared" si="284"/>
        <v>2061</v>
      </c>
    </row>
    <row r="574" spans="1:171" x14ac:dyDescent="0.2">
      <c r="A574" s="733" t="s">
        <v>854</v>
      </c>
      <c r="B574" s="644" t="s">
        <v>900</v>
      </c>
      <c r="C574" s="645"/>
      <c r="D574" s="546">
        <v>247834</v>
      </c>
      <c r="E574" s="654">
        <v>8</v>
      </c>
      <c r="F574" s="532">
        <v>552</v>
      </c>
      <c r="G574" s="640">
        <v>293</v>
      </c>
      <c r="H574" s="457"/>
      <c r="I574" s="450"/>
      <c r="J574" s="457">
        <v>1573</v>
      </c>
      <c r="K574" s="744">
        <v>1863</v>
      </c>
      <c r="L574" s="458">
        <f t="shared" si="261"/>
        <v>0</v>
      </c>
      <c r="M574" s="449">
        <f t="shared" si="262"/>
        <v>0</v>
      </c>
      <c r="N574" s="459"/>
      <c r="O574" s="459"/>
      <c r="P574" s="459"/>
      <c r="Q574" s="459"/>
      <c r="R574" s="460">
        <f t="shared" si="263"/>
        <v>0</v>
      </c>
      <c r="S574" s="461"/>
      <c r="T574" s="461"/>
      <c r="U574" s="461"/>
      <c r="V574" s="461"/>
      <c r="W574" s="462">
        <f t="shared" si="264"/>
        <v>0</v>
      </c>
      <c r="X574" s="463"/>
      <c r="Y574" s="457"/>
      <c r="Z574" s="464"/>
      <c r="AA574" s="464"/>
      <c r="AB574" s="465"/>
      <c r="AC574" s="457"/>
      <c r="AD574" s="464"/>
      <c r="AE574" s="466"/>
      <c r="AF574" s="465"/>
      <c r="AG574" s="457"/>
      <c r="AH574" s="464"/>
      <c r="AI574" s="466"/>
      <c r="AJ574" s="465"/>
      <c r="AK574" s="457"/>
      <c r="AL574" s="464"/>
      <c r="AM574" s="466"/>
      <c r="AN574" s="465"/>
      <c r="AO574" s="457"/>
      <c r="AP574" s="464"/>
      <c r="AQ574" s="464"/>
      <c r="AR574" s="460">
        <f t="shared" si="265"/>
        <v>0</v>
      </c>
      <c r="AS574" s="467">
        <f t="shared" si="266"/>
        <v>0</v>
      </c>
      <c r="AT574" s="447">
        <f t="shared" si="267"/>
        <v>0</v>
      </c>
      <c r="AU574" s="448">
        <f t="shared" si="268"/>
        <v>0</v>
      </c>
      <c r="AV574" s="457"/>
      <c r="AW574" s="450"/>
      <c r="AX574" s="463"/>
      <c r="AY574" s="457"/>
      <c r="AZ574" s="464"/>
      <c r="BA574" s="464"/>
      <c r="BB574" s="465"/>
      <c r="BC574" s="457"/>
      <c r="BD574" s="464"/>
      <c r="BE574" s="466"/>
      <c r="BF574" s="465"/>
      <c r="BG574" s="457"/>
      <c r="BH574" s="464"/>
      <c r="BI574" s="466"/>
      <c r="BJ574" s="465"/>
      <c r="BK574" s="457"/>
      <c r="BL574" s="464"/>
      <c r="BM574" s="466"/>
      <c r="BN574" s="465"/>
      <c r="BO574" s="457"/>
      <c r="BP574" s="464"/>
      <c r="BQ574" s="466"/>
      <c r="BR574" s="465"/>
      <c r="BS574" s="457"/>
      <c r="BT574" s="464"/>
      <c r="BU574" s="466"/>
      <c r="BV574" s="465"/>
      <c r="BW574" s="457"/>
      <c r="BX574" s="464"/>
      <c r="BY574" s="466"/>
      <c r="BZ574" s="465"/>
      <c r="CA574" s="457"/>
      <c r="CB574" s="464"/>
      <c r="CC574" s="466"/>
      <c r="CD574" s="465"/>
      <c r="CE574" s="457"/>
      <c r="CF574" s="464"/>
      <c r="CG574" s="466"/>
      <c r="CH574" s="465"/>
      <c r="CI574" s="457"/>
      <c r="CJ574" s="464"/>
      <c r="CK574" s="466"/>
      <c r="CL574" s="459"/>
      <c r="CM574" s="450"/>
      <c r="CN574" s="468">
        <f t="shared" si="269"/>
        <v>0</v>
      </c>
      <c r="CO574" s="468">
        <f t="shared" si="270"/>
        <v>0</v>
      </c>
      <c r="CP574" s="469">
        <f t="shared" si="271"/>
        <v>0</v>
      </c>
      <c r="CQ574" s="469">
        <f t="shared" si="272"/>
        <v>0</v>
      </c>
      <c r="CR574" s="463"/>
      <c r="CS574" s="457"/>
      <c r="CT574" s="464"/>
      <c r="CU574" s="464"/>
      <c r="CV574" s="465"/>
      <c r="CW574" s="457"/>
      <c r="CX574" s="464"/>
      <c r="CY574" s="466"/>
      <c r="CZ574" s="465"/>
      <c r="DA574" s="457"/>
      <c r="DB574" s="464"/>
      <c r="DC574" s="466"/>
      <c r="DD574" s="465"/>
      <c r="DE574" s="457"/>
      <c r="DF574" s="464"/>
      <c r="DG574" s="466"/>
      <c r="DH574" s="465"/>
      <c r="DI574" s="457"/>
      <c r="DJ574" s="464"/>
      <c r="DK574" s="466"/>
      <c r="DL574" s="465"/>
      <c r="DM574" s="457"/>
      <c r="DN574" s="464"/>
      <c r="DO574" s="466"/>
      <c r="DP574" s="465"/>
      <c r="DQ574" s="457"/>
      <c r="DR574" s="464"/>
      <c r="DS574" s="466"/>
      <c r="DT574" s="465"/>
      <c r="DU574" s="457"/>
      <c r="DV574" s="464"/>
      <c r="DW574" s="466"/>
      <c r="DX574" s="465"/>
      <c r="DY574" s="457"/>
      <c r="DZ574" s="464"/>
      <c r="EA574" s="466"/>
      <c r="EB574" s="465"/>
      <c r="EC574" s="457"/>
      <c r="ED574" s="464"/>
      <c r="EE574" s="466"/>
      <c r="EF574" s="459"/>
      <c r="EG574" s="450"/>
      <c r="EH574" s="460">
        <f t="shared" si="273"/>
        <v>0</v>
      </c>
      <c r="EI574" s="460">
        <f t="shared" si="274"/>
        <v>0</v>
      </c>
      <c r="EJ574" s="458">
        <f t="shared" si="275"/>
        <v>0</v>
      </c>
      <c r="EK574" s="470">
        <f t="shared" si="276"/>
        <v>0</v>
      </c>
      <c r="EL574" s="470">
        <f t="shared" si="277"/>
        <v>0</v>
      </c>
      <c r="EM574" s="449">
        <f t="shared" si="278"/>
        <v>0</v>
      </c>
      <c r="EN574" s="460">
        <f t="shared" si="279"/>
        <v>0</v>
      </c>
      <c r="EO574" s="469">
        <f t="shared" si="280"/>
        <v>0</v>
      </c>
      <c r="EP574" s="471"/>
      <c r="EQ574" s="742"/>
      <c r="ER574" s="471"/>
      <c r="ES574" s="742"/>
      <c r="ET574" s="471"/>
      <c r="EU574" s="450"/>
      <c r="EV574" s="471"/>
      <c r="EW574" s="450"/>
      <c r="EX574" s="471"/>
      <c r="EY574" s="450"/>
      <c r="EZ574" s="471"/>
      <c r="FA574" s="450"/>
      <c r="FB574" s="471"/>
      <c r="FC574" s="450"/>
      <c r="FD574" s="471"/>
      <c r="FE574" s="450"/>
      <c r="FF574" s="471"/>
      <c r="FG574" s="450"/>
      <c r="FH574" s="472"/>
      <c r="FI574" s="742"/>
      <c r="FJ574" s="468">
        <f t="shared" si="281"/>
        <v>0</v>
      </c>
      <c r="FK574" s="469">
        <f t="shared" si="282"/>
        <v>0</v>
      </c>
      <c r="FL574" s="472"/>
      <c r="FM574" s="450"/>
      <c r="FN574" s="460">
        <f t="shared" si="283"/>
        <v>2125</v>
      </c>
      <c r="FO574" s="469">
        <f t="shared" si="284"/>
        <v>2156</v>
      </c>
    </row>
    <row r="575" spans="1:171" x14ac:dyDescent="0.2">
      <c r="A575" s="733" t="s">
        <v>854</v>
      </c>
      <c r="B575" s="644" t="s">
        <v>901</v>
      </c>
      <c r="C575" s="645"/>
      <c r="D575" s="546">
        <v>224350</v>
      </c>
      <c r="E575" s="654">
        <v>8</v>
      </c>
      <c r="F575" s="532">
        <v>519</v>
      </c>
      <c r="G575" s="640">
        <v>490</v>
      </c>
      <c r="H575" s="457"/>
      <c r="I575" s="450"/>
      <c r="J575" s="457">
        <v>1053</v>
      </c>
      <c r="K575" s="744">
        <v>965</v>
      </c>
      <c r="L575" s="458">
        <f t="shared" si="261"/>
        <v>0</v>
      </c>
      <c r="M575" s="449">
        <f t="shared" si="262"/>
        <v>0</v>
      </c>
      <c r="N575" s="459"/>
      <c r="O575" s="459"/>
      <c r="P575" s="459"/>
      <c r="Q575" s="459"/>
      <c r="R575" s="460">
        <f t="shared" si="263"/>
        <v>0</v>
      </c>
      <c r="S575" s="461"/>
      <c r="T575" s="461"/>
      <c r="U575" s="461"/>
      <c r="V575" s="461"/>
      <c r="W575" s="462">
        <f t="shared" si="264"/>
        <v>0</v>
      </c>
      <c r="X575" s="463"/>
      <c r="Y575" s="457"/>
      <c r="Z575" s="464"/>
      <c r="AA575" s="464"/>
      <c r="AB575" s="465"/>
      <c r="AC575" s="457"/>
      <c r="AD575" s="464"/>
      <c r="AE575" s="466"/>
      <c r="AF575" s="465"/>
      <c r="AG575" s="457"/>
      <c r="AH575" s="464"/>
      <c r="AI575" s="466"/>
      <c r="AJ575" s="465"/>
      <c r="AK575" s="457"/>
      <c r="AL575" s="464"/>
      <c r="AM575" s="466"/>
      <c r="AN575" s="465"/>
      <c r="AO575" s="457"/>
      <c r="AP575" s="464"/>
      <c r="AQ575" s="464"/>
      <c r="AR575" s="460">
        <f t="shared" si="265"/>
        <v>0</v>
      </c>
      <c r="AS575" s="467">
        <f t="shared" si="266"/>
        <v>0</v>
      </c>
      <c r="AT575" s="447">
        <f t="shared" si="267"/>
        <v>0</v>
      </c>
      <c r="AU575" s="448">
        <f t="shared" si="268"/>
        <v>0</v>
      </c>
      <c r="AV575" s="457"/>
      <c r="AW575" s="450"/>
      <c r="AX575" s="463"/>
      <c r="AY575" s="457"/>
      <c r="AZ575" s="464"/>
      <c r="BA575" s="464"/>
      <c r="BB575" s="465"/>
      <c r="BC575" s="457"/>
      <c r="BD575" s="464"/>
      <c r="BE575" s="466"/>
      <c r="BF575" s="465"/>
      <c r="BG575" s="457"/>
      <c r="BH575" s="464"/>
      <c r="BI575" s="466"/>
      <c r="BJ575" s="465"/>
      <c r="BK575" s="457"/>
      <c r="BL575" s="464"/>
      <c r="BM575" s="466"/>
      <c r="BN575" s="465"/>
      <c r="BO575" s="457"/>
      <c r="BP575" s="464"/>
      <c r="BQ575" s="466"/>
      <c r="BR575" s="465"/>
      <c r="BS575" s="457"/>
      <c r="BT575" s="464"/>
      <c r="BU575" s="466"/>
      <c r="BV575" s="465"/>
      <c r="BW575" s="457"/>
      <c r="BX575" s="464"/>
      <c r="BY575" s="466"/>
      <c r="BZ575" s="465"/>
      <c r="CA575" s="457"/>
      <c r="CB575" s="464"/>
      <c r="CC575" s="466"/>
      <c r="CD575" s="465"/>
      <c r="CE575" s="457"/>
      <c r="CF575" s="464"/>
      <c r="CG575" s="466"/>
      <c r="CH575" s="465"/>
      <c r="CI575" s="457"/>
      <c r="CJ575" s="464"/>
      <c r="CK575" s="466"/>
      <c r="CL575" s="459"/>
      <c r="CM575" s="450"/>
      <c r="CN575" s="468">
        <f t="shared" si="269"/>
        <v>0</v>
      </c>
      <c r="CO575" s="468">
        <f t="shared" si="270"/>
        <v>0</v>
      </c>
      <c r="CP575" s="469">
        <f t="shared" si="271"/>
        <v>0</v>
      </c>
      <c r="CQ575" s="469">
        <f t="shared" si="272"/>
        <v>0</v>
      </c>
      <c r="CR575" s="463"/>
      <c r="CS575" s="457"/>
      <c r="CT575" s="464"/>
      <c r="CU575" s="464"/>
      <c r="CV575" s="465"/>
      <c r="CW575" s="457"/>
      <c r="CX575" s="464"/>
      <c r="CY575" s="466"/>
      <c r="CZ575" s="465"/>
      <c r="DA575" s="457"/>
      <c r="DB575" s="464"/>
      <c r="DC575" s="466"/>
      <c r="DD575" s="465"/>
      <c r="DE575" s="457"/>
      <c r="DF575" s="464"/>
      <c r="DG575" s="466"/>
      <c r="DH575" s="465"/>
      <c r="DI575" s="457"/>
      <c r="DJ575" s="464"/>
      <c r="DK575" s="466"/>
      <c r="DL575" s="465"/>
      <c r="DM575" s="457"/>
      <c r="DN575" s="464"/>
      <c r="DO575" s="466"/>
      <c r="DP575" s="465"/>
      <c r="DQ575" s="457"/>
      <c r="DR575" s="464"/>
      <c r="DS575" s="466"/>
      <c r="DT575" s="465"/>
      <c r="DU575" s="457"/>
      <c r="DV575" s="464"/>
      <c r="DW575" s="466"/>
      <c r="DX575" s="465"/>
      <c r="DY575" s="457"/>
      <c r="DZ575" s="464"/>
      <c r="EA575" s="466"/>
      <c r="EB575" s="465"/>
      <c r="EC575" s="457"/>
      <c r="ED575" s="464"/>
      <c r="EE575" s="466"/>
      <c r="EF575" s="459"/>
      <c r="EG575" s="450"/>
      <c r="EH575" s="460">
        <f t="shared" si="273"/>
        <v>0</v>
      </c>
      <c r="EI575" s="460">
        <f t="shared" si="274"/>
        <v>0</v>
      </c>
      <c r="EJ575" s="458">
        <f t="shared" si="275"/>
        <v>0</v>
      </c>
      <c r="EK575" s="470">
        <f t="shared" si="276"/>
        <v>0</v>
      </c>
      <c r="EL575" s="470">
        <f t="shared" si="277"/>
        <v>0</v>
      </c>
      <c r="EM575" s="449">
        <f t="shared" si="278"/>
        <v>0</v>
      </c>
      <c r="EN575" s="460">
        <f t="shared" si="279"/>
        <v>0</v>
      </c>
      <c r="EO575" s="469">
        <f t="shared" si="280"/>
        <v>0</v>
      </c>
      <c r="EP575" s="471"/>
      <c r="EQ575" s="742"/>
      <c r="ER575" s="471"/>
      <c r="ES575" s="742"/>
      <c r="ET575" s="471"/>
      <c r="EU575" s="450"/>
      <c r="EV575" s="471"/>
      <c r="EW575" s="450"/>
      <c r="EX575" s="471"/>
      <c r="EY575" s="450"/>
      <c r="EZ575" s="471"/>
      <c r="FA575" s="450"/>
      <c r="FB575" s="471"/>
      <c r="FC575" s="450"/>
      <c r="FD575" s="471"/>
      <c r="FE575" s="450"/>
      <c r="FF575" s="471"/>
      <c r="FG575" s="450"/>
      <c r="FH575" s="472"/>
      <c r="FI575" s="742"/>
      <c r="FJ575" s="468">
        <f t="shared" si="281"/>
        <v>0</v>
      </c>
      <c r="FK575" s="469">
        <f t="shared" si="282"/>
        <v>0</v>
      </c>
      <c r="FL575" s="472"/>
      <c r="FM575" s="450"/>
      <c r="FN575" s="460">
        <f t="shared" si="283"/>
        <v>1572</v>
      </c>
      <c r="FO575" s="469">
        <f t="shared" si="284"/>
        <v>1455</v>
      </c>
    </row>
    <row r="576" spans="1:171" x14ac:dyDescent="0.2">
      <c r="A576" s="733" t="s">
        <v>854</v>
      </c>
      <c r="B576" s="644" t="s">
        <v>902</v>
      </c>
      <c r="C576" s="645"/>
      <c r="D576" s="546">
        <v>224572</v>
      </c>
      <c r="E576" s="654">
        <v>8</v>
      </c>
      <c r="F576" s="532">
        <v>559</v>
      </c>
      <c r="G576" s="640">
        <v>458</v>
      </c>
      <c r="H576" s="457"/>
      <c r="I576" s="450"/>
      <c r="J576" s="457">
        <v>614</v>
      </c>
      <c r="K576" s="744">
        <v>711</v>
      </c>
      <c r="L576" s="458">
        <f t="shared" si="261"/>
        <v>0</v>
      </c>
      <c r="M576" s="449">
        <f t="shared" si="262"/>
        <v>0</v>
      </c>
      <c r="N576" s="459"/>
      <c r="O576" s="459"/>
      <c r="P576" s="459"/>
      <c r="Q576" s="459"/>
      <c r="R576" s="460">
        <f t="shared" si="263"/>
        <v>0</v>
      </c>
      <c r="S576" s="461"/>
      <c r="T576" s="461"/>
      <c r="U576" s="461"/>
      <c r="V576" s="461"/>
      <c r="W576" s="462">
        <f t="shared" si="264"/>
        <v>0</v>
      </c>
      <c r="X576" s="463"/>
      <c r="Y576" s="457"/>
      <c r="Z576" s="464"/>
      <c r="AA576" s="464"/>
      <c r="AB576" s="465"/>
      <c r="AC576" s="457"/>
      <c r="AD576" s="464"/>
      <c r="AE576" s="466"/>
      <c r="AF576" s="465"/>
      <c r="AG576" s="457"/>
      <c r="AH576" s="464"/>
      <c r="AI576" s="466"/>
      <c r="AJ576" s="465"/>
      <c r="AK576" s="457"/>
      <c r="AL576" s="464"/>
      <c r="AM576" s="466"/>
      <c r="AN576" s="465"/>
      <c r="AO576" s="457"/>
      <c r="AP576" s="464"/>
      <c r="AQ576" s="464"/>
      <c r="AR576" s="460">
        <f t="shared" si="265"/>
        <v>0</v>
      </c>
      <c r="AS576" s="467">
        <f t="shared" si="266"/>
        <v>0</v>
      </c>
      <c r="AT576" s="447">
        <f t="shared" si="267"/>
        <v>0</v>
      </c>
      <c r="AU576" s="448">
        <f t="shared" si="268"/>
        <v>0</v>
      </c>
      <c r="AV576" s="457"/>
      <c r="AW576" s="450"/>
      <c r="AX576" s="463"/>
      <c r="AY576" s="457"/>
      <c r="AZ576" s="464"/>
      <c r="BA576" s="464"/>
      <c r="BB576" s="465"/>
      <c r="BC576" s="457"/>
      <c r="BD576" s="464"/>
      <c r="BE576" s="466"/>
      <c r="BF576" s="465"/>
      <c r="BG576" s="457"/>
      <c r="BH576" s="464"/>
      <c r="BI576" s="466"/>
      <c r="BJ576" s="465"/>
      <c r="BK576" s="457"/>
      <c r="BL576" s="464"/>
      <c r="BM576" s="466"/>
      <c r="BN576" s="465"/>
      <c r="BO576" s="457"/>
      <c r="BP576" s="464"/>
      <c r="BQ576" s="466"/>
      <c r="BR576" s="465"/>
      <c r="BS576" s="457"/>
      <c r="BT576" s="464"/>
      <c r="BU576" s="466"/>
      <c r="BV576" s="465"/>
      <c r="BW576" s="457"/>
      <c r="BX576" s="464"/>
      <c r="BY576" s="466"/>
      <c r="BZ576" s="465"/>
      <c r="CA576" s="457"/>
      <c r="CB576" s="464"/>
      <c r="CC576" s="466"/>
      <c r="CD576" s="465"/>
      <c r="CE576" s="457"/>
      <c r="CF576" s="464"/>
      <c r="CG576" s="466"/>
      <c r="CH576" s="465"/>
      <c r="CI576" s="457"/>
      <c r="CJ576" s="464"/>
      <c r="CK576" s="466"/>
      <c r="CL576" s="459"/>
      <c r="CM576" s="450"/>
      <c r="CN576" s="468">
        <f t="shared" si="269"/>
        <v>0</v>
      </c>
      <c r="CO576" s="468">
        <f t="shared" si="270"/>
        <v>0</v>
      </c>
      <c r="CP576" s="469">
        <f t="shared" si="271"/>
        <v>0</v>
      </c>
      <c r="CQ576" s="469">
        <f t="shared" si="272"/>
        <v>0</v>
      </c>
      <c r="CR576" s="463"/>
      <c r="CS576" s="457"/>
      <c r="CT576" s="464"/>
      <c r="CU576" s="464"/>
      <c r="CV576" s="465"/>
      <c r="CW576" s="457"/>
      <c r="CX576" s="464"/>
      <c r="CY576" s="466"/>
      <c r="CZ576" s="465"/>
      <c r="DA576" s="457"/>
      <c r="DB576" s="464"/>
      <c r="DC576" s="466"/>
      <c r="DD576" s="465"/>
      <c r="DE576" s="457"/>
      <c r="DF576" s="464"/>
      <c r="DG576" s="466"/>
      <c r="DH576" s="465"/>
      <c r="DI576" s="457"/>
      <c r="DJ576" s="464"/>
      <c r="DK576" s="466"/>
      <c r="DL576" s="465"/>
      <c r="DM576" s="457"/>
      <c r="DN576" s="464"/>
      <c r="DO576" s="466"/>
      <c r="DP576" s="465"/>
      <c r="DQ576" s="457"/>
      <c r="DR576" s="464"/>
      <c r="DS576" s="466"/>
      <c r="DT576" s="465"/>
      <c r="DU576" s="457"/>
      <c r="DV576" s="464"/>
      <c r="DW576" s="466"/>
      <c r="DX576" s="465"/>
      <c r="DY576" s="457"/>
      <c r="DZ576" s="464"/>
      <c r="EA576" s="466"/>
      <c r="EB576" s="465"/>
      <c r="EC576" s="457"/>
      <c r="ED576" s="464"/>
      <c r="EE576" s="466"/>
      <c r="EF576" s="459"/>
      <c r="EG576" s="450"/>
      <c r="EH576" s="460">
        <f t="shared" si="273"/>
        <v>0</v>
      </c>
      <c r="EI576" s="460">
        <f t="shared" si="274"/>
        <v>0</v>
      </c>
      <c r="EJ576" s="458">
        <f t="shared" si="275"/>
        <v>0</v>
      </c>
      <c r="EK576" s="470">
        <f t="shared" si="276"/>
        <v>0</v>
      </c>
      <c r="EL576" s="470">
        <f t="shared" si="277"/>
        <v>0</v>
      </c>
      <c r="EM576" s="449">
        <f t="shared" si="278"/>
        <v>0</v>
      </c>
      <c r="EN576" s="460">
        <f t="shared" si="279"/>
        <v>0</v>
      </c>
      <c r="EO576" s="469">
        <f t="shared" si="280"/>
        <v>0</v>
      </c>
      <c r="EP576" s="471"/>
      <c r="EQ576" s="742"/>
      <c r="ER576" s="471"/>
      <c r="ES576" s="742"/>
      <c r="ET576" s="471"/>
      <c r="EU576" s="450"/>
      <c r="EV576" s="471"/>
      <c r="EW576" s="450"/>
      <c r="EX576" s="471"/>
      <c r="EY576" s="450"/>
      <c r="EZ576" s="471"/>
      <c r="FA576" s="450"/>
      <c r="FB576" s="471"/>
      <c r="FC576" s="450"/>
      <c r="FD576" s="471"/>
      <c r="FE576" s="450"/>
      <c r="FF576" s="471"/>
      <c r="FG576" s="450"/>
      <c r="FH576" s="472"/>
      <c r="FI576" s="742"/>
      <c r="FJ576" s="468">
        <f t="shared" si="281"/>
        <v>0</v>
      </c>
      <c r="FK576" s="469">
        <f t="shared" si="282"/>
        <v>0</v>
      </c>
      <c r="FL576" s="472"/>
      <c r="FM576" s="450"/>
      <c r="FN576" s="460">
        <f t="shared" si="283"/>
        <v>1173</v>
      </c>
      <c r="FO576" s="469">
        <f t="shared" si="284"/>
        <v>1169</v>
      </c>
    </row>
    <row r="577" spans="1:171" x14ac:dyDescent="0.2">
      <c r="A577" s="733" t="s">
        <v>854</v>
      </c>
      <c r="B577" s="638" t="s">
        <v>903</v>
      </c>
      <c r="C577" s="639"/>
      <c r="D577" s="631">
        <v>224615</v>
      </c>
      <c r="E577" s="635">
        <v>8</v>
      </c>
      <c r="F577" s="532">
        <v>676</v>
      </c>
      <c r="G577" s="640">
        <v>625</v>
      </c>
      <c r="H577" s="457"/>
      <c r="I577" s="450"/>
      <c r="J577" s="457">
        <v>666</v>
      </c>
      <c r="K577" s="744">
        <v>753</v>
      </c>
      <c r="L577" s="458">
        <f t="shared" si="261"/>
        <v>0</v>
      </c>
      <c r="M577" s="449">
        <f t="shared" si="262"/>
        <v>0</v>
      </c>
      <c r="N577" s="459"/>
      <c r="O577" s="459"/>
      <c r="P577" s="459"/>
      <c r="Q577" s="459"/>
      <c r="R577" s="460">
        <f t="shared" si="263"/>
        <v>0</v>
      </c>
      <c r="S577" s="461"/>
      <c r="T577" s="461"/>
      <c r="U577" s="461"/>
      <c r="V577" s="461"/>
      <c r="W577" s="462">
        <f t="shared" si="264"/>
        <v>0</v>
      </c>
      <c r="X577" s="463"/>
      <c r="Y577" s="457"/>
      <c r="Z577" s="464"/>
      <c r="AA577" s="464"/>
      <c r="AB577" s="465"/>
      <c r="AC577" s="457"/>
      <c r="AD577" s="464"/>
      <c r="AE577" s="466"/>
      <c r="AF577" s="465"/>
      <c r="AG577" s="457"/>
      <c r="AH577" s="464"/>
      <c r="AI577" s="466"/>
      <c r="AJ577" s="465"/>
      <c r="AK577" s="457"/>
      <c r="AL577" s="464"/>
      <c r="AM577" s="466"/>
      <c r="AN577" s="465"/>
      <c r="AO577" s="457"/>
      <c r="AP577" s="464"/>
      <c r="AQ577" s="464"/>
      <c r="AR577" s="460">
        <f t="shared" si="265"/>
        <v>0</v>
      </c>
      <c r="AS577" s="467">
        <f t="shared" si="266"/>
        <v>0</v>
      </c>
      <c r="AT577" s="447">
        <f t="shared" si="267"/>
        <v>0</v>
      </c>
      <c r="AU577" s="448">
        <f t="shared" si="268"/>
        <v>0</v>
      </c>
      <c r="AV577" s="457"/>
      <c r="AW577" s="450"/>
      <c r="AX577" s="463"/>
      <c r="AY577" s="457"/>
      <c r="AZ577" s="464"/>
      <c r="BA577" s="464"/>
      <c r="BB577" s="465"/>
      <c r="BC577" s="457"/>
      <c r="BD577" s="464"/>
      <c r="BE577" s="466"/>
      <c r="BF577" s="465"/>
      <c r="BG577" s="457"/>
      <c r="BH577" s="464"/>
      <c r="BI577" s="466"/>
      <c r="BJ577" s="465"/>
      <c r="BK577" s="457"/>
      <c r="BL577" s="464"/>
      <c r="BM577" s="466"/>
      <c r="BN577" s="465"/>
      <c r="BO577" s="457"/>
      <c r="BP577" s="464"/>
      <c r="BQ577" s="466"/>
      <c r="BR577" s="465"/>
      <c r="BS577" s="457"/>
      <c r="BT577" s="464"/>
      <c r="BU577" s="466"/>
      <c r="BV577" s="465"/>
      <c r="BW577" s="457"/>
      <c r="BX577" s="464"/>
      <c r="BY577" s="466"/>
      <c r="BZ577" s="465"/>
      <c r="CA577" s="457"/>
      <c r="CB577" s="464"/>
      <c r="CC577" s="466"/>
      <c r="CD577" s="465"/>
      <c r="CE577" s="457"/>
      <c r="CF577" s="464"/>
      <c r="CG577" s="466"/>
      <c r="CH577" s="465"/>
      <c r="CI577" s="457"/>
      <c r="CJ577" s="464"/>
      <c r="CK577" s="466"/>
      <c r="CL577" s="459"/>
      <c r="CM577" s="450"/>
      <c r="CN577" s="468">
        <f t="shared" si="269"/>
        <v>0</v>
      </c>
      <c r="CO577" s="468">
        <f t="shared" si="270"/>
        <v>0</v>
      </c>
      <c r="CP577" s="469">
        <f t="shared" si="271"/>
        <v>0</v>
      </c>
      <c r="CQ577" s="469">
        <f t="shared" si="272"/>
        <v>0</v>
      </c>
      <c r="CR577" s="463"/>
      <c r="CS577" s="457"/>
      <c r="CT577" s="464"/>
      <c r="CU577" s="464"/>
      <c r="CV577" s="465"/>
      <c r="CW577" s="457"/>
      <c r="CX577" s="464"/>
      <c r="CY577" s="466"/>
      <c r="CZ577" s="465"/>
      <c r="DA577" s="457"/>
      <c r="DB577" s="464"/>
      <c r="DC577" s="466"/>
      <c r="DD577" s="465"/>
      <c r="DE577" s="457"/>
      <c r="DF577" s="464"/>
      <c r="DG577" s="466"/>
      <c r="DH577" s="465"/>
      <c r="DI577" s="457"/>
      <c r="DJ577" s="464"/>
      <c r="DK577" s="466"/>
      <c r="DL577" s="465"/>
      <c r="DM577" s="457"/>
      <c r="DN577" s="464"/>
      <c r="DO577" s="466"/>
      <c r="DP577" s="465"/>
      <c r="DQ577" s="457"/>
      <c r="DR577" s="464"/>
      <c r="DS577" s="466"/>
      <c r="DT577" s="465"/>
      <c r="DU577" s="457"/>
      <c r="DV577" s="464"/>
      <c r="DW577" s="466"/>
      <c r="DX577" s="465"/>
      <c r="DY577" s="457"/>
      <c r="DZ577" s="464"/>
      <c r="EA577" s="466"/>
      <c r="EB577" s="465"/>
      <c r="EC577" s="457"/>
      <c r="ED577" s="464"/>
      <c r="EE577" s="466"/>
      <c r="EF577" s="459"/>
      <c r="EG577" s="450"/>
      <c r="EH577" s="460">
        <f t="shared" si="273"/>
        <v>0</v>
      </c>
      <c r="EI577" s="460">
        <f t="shared" si="274"/>
        <v>0</v>
      </c>
      <c r="EJ577" s="458">
        <f t="shared" si="275"/>
        <v>0</v>
      </c>
      <c r="EK577" s="470">
        <f t="shared" si="276"/>
        <v>0</v>
      </c>
      <c r="EL577" s="470">
        <f t="shared" si="277"/>
        <v>0</v>
      </c>
      <c r="EM577" s="449">
        <f t="shared" si="278"/>
        <v>0</v>
      </c>
      <c r="EN577" s="460">
        <f t="shared" si="279"/>
        <v>0</v>
      </c>
      <c r="EO577" s="469">
        <f t="shared" si="280"/>
        <v>0</v>
      </c>
      <c r="EP577" s="471"/>
      <c r="EQ577" s="742"/>
      <c r="ER577" s="471"/>
      <c r="ES577" s="450"/>
      <c r="ET577" s="471"/>
      <c r="EU577" s="450"/>
      <c r="EV577" s="471"/>
      <c r="EW577" s="450"/>
      <c r="EX577" s="471"/>
      <c r="EY577" s="450"/>
      <c r="EZ577" s="471"/>
      <c r="FA577" s="450"/>
      <c r="FB577" s="471"/>
      <c r="FC577" s="450"/>
      <c r="FD577" s="471"/>
      <c r="FE577" s="450"/>
      <c r="FF577" s="471"/>
      <c r="FG577" s="450"/>
      <c r="FH577" s="472"/>
      <c r="FI577" s="742"/>
      <c r="FJ577" s="468">
        <f t="shared" si="281"/>
        <v>0</v>
      </c>
      <c r="FK577" s="469">
        <f t="shared" si="282"/>
        <v>0</v>
      </c>
      <c r="FL577" s="472"/>
      <c r="FM577" s="450"/>
      <c r="FN577" s="460">
        <f t="shared" si="283"/>
        <v>1342</v>
      </c>
      <c r="FO577" s="469">
        <f t="shared" si="284"/>
        <v>1378</v>
      </c>
    </row>
    <row r="578" spans="1:171" x14ac:dyDescent="0.2">
      <c r="A578" s="733" t="s">
        <v>854</v>
      </c>
      <c r="B578" s="644" t="s">
        <v>904</v>
      </c>
      <c r="C578" s="645"/>
      <c r="D578" s="546">
        <v>224642</v>
      </c>
      <c r="E578" s="654">
        <v>8</v>
      </c>
      <c r="F578" s="532">
        <v>706</v>
      </c>
      <c r="G578" s="640">
        <v>611</v>
      </c>
      <c r="H578" s="457"/>
      <c r="I578" s="450"/>
      <c r="J578" s="457">
        <v>3023</v>
      </c>
      <c r="K578" s="744">
        <v>3859</v>
      </c>
      <c r="L578" s="458">
        <f t="shared" si="261"/>
        <v>0</v>
      </c>
      <c r="M578" s="449">
        <f t="shared" si="262"/>
        <v>0</v>
      </c>
      <c r="N578" s="459"/>
      <c r="O578" s="459"/>
      <c r="P578" s="459"/>
      <c r="Q578" s="459"/>
      <c r="R578" s="460">
        <f t="shared" si="263"/>
        <v>0</v>
      </c>
      <c r="S578" s="461"/>
      <c r="T578" s="461"/>
      <c r="U578" s="461"/>
      <c r="V578" s="461"/>
      <c r="W578" s="462">
        <f t="shared" si="264"/>
        <v>0</v>
      </c>
      <c r="X578" s="463"/>
      <c r="Y578" s="457"/>
      <c r="Z578" s="464"/>
      <c r="AA578" s="464"/>
      <c r="AB578" s="465"/>
      <c r="AC578" s="457"/>
      <c r="AD578" s="464"/>
      <c r="AE578" s="466"/>
      <c r="AF578" s="465"/>
      <c r="AG578" s="457"/>
      <c r="AH578" s="464"/>
      <c r="AI578" s="466"/>
      <c r="AJ578" s="465"/>
      <c r="AK578" s="457"/>
      <c r="AL578" s="464"/>
      <c r="AM578" s="466"/>
      <c r="AN578" s="465"/>
      <c r="AO578" s="457"/>
      <c r="AP578" s="464"/>
      <c r="AQ578" s="464"/>
      <c r="AR578" s="460">
        <f t="shared" si="265"/>
        <v>0</v>
      </c>
      <c r="AS578" s="467">
        <f t="shared" si="266"/>
        <v>0</v>
      </c>
      <c r="AT578" s="447">
        <f t="shared" si="267"/>
        <v>0</v>
      </c>
      <c r="AU578" s="448">
        <f t="shared" si="268"/>
        <v>0</v>
      </c>
      <c r="AV578" s="457"/>
      <c r="AW578" s="450"/>
      <c r="AX578" s="463"/>
      <c r="AY578" s="457"/>
      <c r="AZ578" s="464"/>
      <c r="BA578" s="464"/>
      <c r="BB578" s="465"/>
      <c r="BC578" s="457"/>
      <c r="BD578" s="464"/>
      <c r="BE578" s="466"/>
      <c r="BF578" s="465"/>
      <c r="BG578" s="457"/>
      <c r="BH578" s="464"/>
      <c r="BI578" s="466"/>
      <c r="BJ578" s="465"/>
      <c r="BK578" s="457"/>
      <c r="BL578" s="464"/>
      <c r="BM578" s="466"/>
      <c r="BN578" s="465"/>
      <c r="BO578" s="457"/>
      <c r="BP578" s="464"/>
      <c r="BQ578" s="466"/>
      <c r="BR578" s="465"/>
      <c r="BS578" s="457"/>
      <c r="BT578" s="464"/>
      <c r="BU578" s="466"/>
      <c r="BV578" s="465"/>
      <c r="BW578" s="457"/>
      <c r="BX578" s="464"/>
      <c r="BY578" s="466"/>
      <c r="BZ578" s="465"/>
      <c r="CA578" s="457"/>
      <c r="CB578" s="464"/>
      <c r="CC578" s="466"/>
      <c r="CD578" s="465"/>
      <c r="CE578" s="457"/>
      <c r="CF578" s="464"/>
      <c r="CG578" s="466"/>
      <c r="CH578" s="465"/>
      <c r="CI578" s="457"/>
      <c r="CJ578" s="464"/>
      <c r="CK578" s="466"/>
      <c r="CL578" s="459"/>
      <c r="CM578" s="450"/>
      <c r="CN578" s="468">
        <f t="shared" si="269"/>
        <v>0</v>
      </c>
      <c r="CO578" s="468">
        <f t="shared" si="270"/>
        <v>0</v>
      </c>
      <c r="CP578" s="469">
        <f t="shared" si="271"/>
        <v>0</v>
      </c>
      <c r="CQ578" s="469">
        <f t="shared" si="272"/>
        <v>0</v>
      </c>
      <c r="CR578" s="463"/>
      <c r="CS578" s="457"/>
      <c r="CT578" s="464"/>
      <c r="CU578" s="464"/>
      <c r="CV578" s="465"/>
      <c r="CW578" s="457"/>
      <c r="CX578" s="464"/>
      <c r="CY578" s="466"/>
      <c r="CZ578" s="465"/>
      <c r="DA578" s="457"/>
      <c r="DB578" s="464"/>
      <c r="DC578" s="466"/>
      <c r="DD578" s="465"/>
      <c r="DE578" s="457"/>
      <c r="DF578" s="464"/>
      <c r="DG578" s="466"/>
      <c r="DH578" s="465"/>
      <c r="DI578" s="457"/>
      <c r="DJ578" s="464"/>
      <c r="DK578" s="466"/>
      <c r="DL578" s="465"/>
      <c r="DM578" s="457"/>
      <c r="DN578" s="464"/>
      <c r="DO578" s="466"/>
      <c r="DP578" s="465"/>
      <c r="DQ578" s="457"/>
      <c r="DR578" s="464"/>
      <c r="DS578" s="466"/>
      <c r="DT578" s="465"/>
      <c r="DU578" s="457"/>
      <c r="DV578" s="464"/>
      <c r="DW578" s="466"/>
      <c r="DX578" s="465"/>
      <c r="DY578" s="457"/>
      <c r="DZ578" s="464"/>
      <c r="EA578" s="466"/>
      <c r="EB578" s="465"/>
      <c r="EC578" s="457"/>
      <c r="ED578" s="464"/>
      <c r="EE578" s="466"/>
      <c r="EF578" s="459"/>
      <c r="EG578" s="450"/>
      <c r="EH578" s="460">
        <f t="shared" si="273"/>
        <v>0</v>
      </c>
      <c r="EI578" s="460">
        <f t="shared" si="274"/>
        <v>0</v>
      </c>
      <c r="EJ578" s="458">
        <f t="shared" si="275"/>
        <v>0</v>
      </c>
      <c r="EK578" s="470">
        <f t="shared" si="276"/>
        <v>0</v>
      </c>
      <c r="EL578" s="470">
        <f t="shared" si="277"/>
        <v>0</v>
      </c>
      <c r="EM578" s="449">
        <f t="shared" si="278"/>
        <v>0</v>
      </c>
      <c r="EN578" s="460">
        <f t="shared" si="279"/>
        <v>0</v>
      </c>
      <c r="EO578" s="469">
        <f t="shared" si="280"/>
        <v>0</v>
      </c>
      <c r="EP578" s="471"/>
      <c r="EQ578" s="742"/>
      <c r="ER578" s="471"/>
      <c r="ES578" s="450"/>
      <c r="ET578" s="471"/>
      <c r="EU578" s="450"/>
      <c r="EV578" s="471"/>
      <c r="EW578" s="450"/>
      <c r="EX578" s="471"/>
      <c r="EY578" s="450"/>
      <c r="EZ578" s="471"/>
      <c r="FA578" s="450"/>
      <c r="FB578" s="471"/>
      <c r="FC578" s="450"/>
      <c r="FD578" s="471"/>
      <c r="FE578" s="450"/>
      <c r="FF578" s="471"/>
      <c r="FG578" s="450"/>
      <c r="FH578" s="472"/>
      <c r="FI578" s="742"/>
      <c r="FJ578" s="468">
        <f t="shared" si="281"/>
        <v>0</v>
      </c>
      <c r="FK578" s="469">
        <f t="shared" si="282"/>
        <v>0</v>
      </c>
      <c r="FL578" s="472"/>
      <c r="FM578" s="450"/>
      <c r="FN578" s="460">
        <f t="shared" si="283"/>
        <v>3729</v>
      </c>
      <c r="FO578" s="469">
        <f t="shared" si="284"/>
        <v>4470</v>
      </c>
    </row>
    <row r="579" spans="1:171" x14ac:dyDescent="0.2">
      <c r="A579" s="733" t="s">
        <v>854</v>
      </c>
      <c r="B579" s="644" t="s">
        <v>905</v>
      </c>
      <c r="C579" s="645"/>
      <c r="D579" s="546">
        <v>225423</v>
      </c>
      <c r="E579" s="654">
        <v>8</v>
      </c>
      <c r="F579" s="532">
        <v>1598</v>
      </c>
      <c r="G579" s="640">
        <v>1580</v>
      </c>
      <c r="H579" s="457"/>
      <c r="I579" s="450"/>
      <c r="J579" s="457">
        <v>3689</v>
      </c>
      <c r="K579" s="744">
        <v>4178</v>
      </c>
      <c r="L579" s="458">
        <f t="shared" si="261"/>
        <v>0</v>
      </c>
      <c r="M579" s="449">
        <f t="shared" si="262"/>
        <v>0</v>
      </c>
      <c r="N579" s="459"/>
      <c r="O579" s="459"/>
      <c r="P579" s="459"/>
      <c r="Q579" s="459"/>
      <c r="R579" s="460">
        <f t="shared" si="263"/>
        <v>0</v>
      </c>
      <c r="S579" s="461"/>
      <c r="T579" s="461"/>
      <c r="U579" s="461"/>
      <c r="V579" s="461"/>
      <c r="W579" s="462">
        <f t="shared" si="264"/>
        <v>0</v>
      </c>
      <c r="X579" s="463"/>
      <c r="Y579" s="457"/>
      <c r="Z579" s="464"/>
      <c r="AA579" s="464"/>
      <c r="AB579" s="465"/>
      <c r="AC579" s="457"/>
      <c r="AD579" s="464"/>
      <c r="AE579" s="466"/>
      <c r="AF579" s="465"/>
      <c r="AG579" s="457"/>
      <c r="AH579" s="464"/>
      <c r="AI579" s="466"/>
      <c r="AJ579" s="465"/>
      <c r="AK579" s="457"/>
      <c r="AL579" s="464"/>
      <c r="AM579" s="466"/>
      <c r="AN579" s="465"/>
      <c r="AO579" s="457"/>
      <c r="AP579" s="464"/>
      <c r="AQ579" s="464"/>
      <c r="AR579" s="460">
        <f t="shared" si="265"/>
        <v>0</v>
      </c>
      <c r="AS579" s="467">
        <f t="shared" si="266"/>
        <v>0</v>
      </c>
      <c r="AT579" s="447">
        <f t="shared" si="267"/>
        <v>0</v>
      </c>
      <c r="AU579" s="448">
        <f t="shared" si="268"/>
        <v>0</v>
      </c>
      <c r="AV579" s="457"/>
      <c r="AW579" s="450"/>
      <c r="AX579" s="463"/>
      <c r="AY579" s="457"/>
      <c r="AZ579" s="464"/>
      <c r="BA579" s="464"/>
      <c r="BB579" s="465"/>
      <c r="BC579" s="457"/>
      <c r="BD579" s="464"/>
      <c r="BE579" s="466"/>
      <c r="BF579" s="465"/>
      <c r="BG579" s="457"/>
      <c r="BH579" s="464"/>
      <c r="BI579" s="466"/>
      <c r="BJ579" s="465"/>
      <c r="BK579" s="457"/>
      <c r="BL579" s="464"/>
      <c r="BM579" s="466"/>
      <c r="BN579" s="465"/>
      <c r="BO579" s="457"/>
      <c r="BP579" s="464"/>
      <c r="BQ579" s="466"/>
      <c r="BR579" s="465"/>
      <c r="BS579" s="457"/>
      <c r="BT579" s="464"/>
      <c r="BU579" s="466"/>
      <c r="BV579" s="465"/>
      <c r="BW579" s="457"/>
      <c r="BX579" s="464"/>
      <c r="BY579" s="466"/>
      <c r="BZ579" s="465"/>
      <c r="CA579" s="457"/>
      <c r="CB579" s="464"/>
      <c r="CC579" s="466"/>
      <c r="CD579" s="465"/>
      <c r="CE579" s="457"/>
      <c r="CF579" s="464"/>
      <c r="CG579" s="466"/>
      <c r="CH579" s="465"/>
      <c r="CI579" s="457"/>
      <c r="CJ579" s="464"/>
      <c r="CK579" s="466"/>
      <c r="CL579" s="459"/>
      <c r="CM579" s="450"/>
      <c r="CN579" s="468">
        <f t="shared" si="269"/>
        <v>0</v>
      </c>
      <c r="CO579" s="468">
        <f t="shared" si="270"/>
        <v>0</v>
      </c>
      <c r="CP579" s="469">
        <f t="shared" si="271"/>
        <v>0</v>
      </c>
      <c r="CQ579" s="469">
        <f t="shared" si="272"/>
        <v>0</v>
      </c>
      <c r="CR579" s="463"/>
      <c r="CS579" s="457"/>
      <c r="CT579" s="464"/>
      <c r="CU579" s="464"/>
      <c r="CV579" s="465"/>
      <c r="CW579" s="457"/>
      <c r="CX579" s="464"/>
      <c r="CY579" s="466"/>
      <c r="CZ579" s="465"/>
      <c r="DA579" s="457"/>
      <c r="DB579" s="464"/>
      <c r="DC579" s="466"/>
      <c r="DD579" s="465"/>
      <c r="DE579" s="457"/>
      <c r="DF579" s="464"/>
      <c r="DG579" s="466"/>
      <c r="DH579" s="465"/>
      <c r="DI579" s="457"/>
      <c r="DJ579" s="464"/>
      <c r="DK579" s="466"/>
      <c r="DL579" s="465"/>
      <c r="DM579" s="457"/>
      <c r="DN579" s="464"/>
      <c r="DO579" s="466"/>
      <c r="DP579" s="465"/>
      <c r="DQ579" s="457"/>
      <c r="DR579" s="464"/>
      <c r="DS579" s="466"/>
      <c r="DT579" s="465"/>
      <c r="DU579" s="457"/>
      <c r="DV579" s="464"/>
      <c r="DW579" s="466"/>
      <c r="DX579" s="465"/>
      <c r="DY579" s="457"/>
      <c r="DZ579" s="464"/>
      <c r="EA579" s="466"/>
      <c r="EB579" s="465"/>
      <c r="EC579" s="457"/>
      <c r="ED579" s="464"/>
      <c r="EE579" s="466"/>
      <c r="EF579" s="459"/>
      <c r="EG579" s="450"/>
      <c r="EH579" s="460">
        <f t="shared" si="273"/>
        <v>0</v>
      </c>
      <c r="EI579" s="460">
        <f t="shared" si="274"/>
        <v>0</v>
      </c>
      <c r="EJ579" s="458">
        <f t="shared" si="275"/>
        <v>0</v>
      </c>
      <c r="EK579" s="470">
        <f t="shared" si="276"/>
        <v>0</v>
      </c>
      <c r="EL579" s="470">
        <f t="shared" si="277"/>
        <v>0</v>
      </c>
      <c r="EM579" s="449">
        <f t="shared" si="278"/>
        <v>0</v>
      </c>
      <c r="EN579" s="460">
        <f t="shared" si="279"/>
        <v>0</v>
      </c>
      <c r="EO579" s="469">
        <f t="shared" si="280"/>
        <v>0</v>
      </c>
      <c r="EP579" s="471"/>
      <c r="EQ579" s="742"/>
      <c r="ER579" s="471"/>
      <c r="ES579" s="450"/>
      <c r="ET579" s="471"/>
      <c r="EU579" s="450"/>
      <c r="EV579" s="471"/>
      <c r="EW579" s="450"/>
      <c r="EX579" s="471"/>
      <c r="EY579" s="450"/>
      <c r="EZ579" s="471"/>
      <c r="FA579" s="450"/>
      <c r="FB579" s="471"/>
      <c r="FC579" s="450"/>
      <c r="FD579" s="471"/>
      <c r="FE579" s="450"/>
      <c r="FF579" s="471"/>
      <c r="FG579" s="450"/>
      <c r="FH579" s="472"/>
      <c r="FI579" s="742"/>
      <c r="FJ579" s="468">
        <f t="shared" si="281"/>
        <v>0</v>
      </c>
      <c r="FK579" s="469">
        <f t="shared" si="282"/>
        <v>0</v>
      </c>
      <c r="FL579" s="472"/>
      <c r="FM579" s="450"/>
      <c r="FN579" s="460">
        <f t="shared" si="283"/>
        <v>5287</v>
      </c>
      <c r="FO579" s="469">
        <f t="shared" si="284"/>
        <v>5758</v>
      </c>
    </row>
    <row r="580" spans="1:171" x14ac:dyDescent="0.2">
      <c r="A580" s="733" t="s">
        <v>854</v>
      </c>
      <c r="B580" s="544" t="s">
        <v>906</v>
      </c>
      <c r="C580" s="636"/>
      <c r="D580" s="546">
        <v>226019</v>
      </c>
      <c r="E580" s="635">
        <v>8</v>
      </c>
      <c r="F580" s="532">
        <v>758</v>
      </c>
      <c r="G580" s="640">
        <v>727</v>
      </c>
      <c r="H580" s="457"/>
      <c r="I580" s="450"/>
      <c r="J580" s="457">
        <v>648</v>
      </c>
      <c r="K580" s="744">
        <v>746</v>
      </c>
      <c r="L580" s="458">
        <f t="shared" si="261"/>
        <v>0</v>
      </c>
      <c r="M580" s="449">
        <f t="shared" si="262"/>
        <v>0</v>
      </c>
      <c r="N580" s="459"/>
      <c r="O580" s="459"/>
      <c r="P580" s="459"/>
      <c r="Q580" s="459"/>
      <c r="R580" s="460">
        <f t="shared" si="263"/>
        <v>0</v>
      </c>
      <c r="S580" s="461"/>
      <c r="T580" s="461"/>
      <c r="U580" s="461"/>
      <c r="V580" s="461"/>
      <c r="W580" s="462">
        <f t="shared" si="264"/>
        <v>0</v>
      </c>
      <c r="X580" s="463"/>
      <c r="Y580" s="457"/>
      <c r="Z580" s="464"/>
      <c r="AA580" s="464"/>
      <c r="AB580" s="465"/>
      <c r="AC580" s="457"/>
      <c r="AD580" s="464"/>
      <c r="AE580" s="466"/>
      <c r="AF580" s="465"/>
      <c r="AG580" s="457"/>
      <c r="AH580" s="464"/>
      <c r="AI580" s="466"/>
      <c r="AJ580" s="465"/>
      <c r="AK580" s="457"/>
      <c r="AL580" s="464"/>
      <c r="AM580" s="466"/>
      <c r="AN580" s="465"/>
      <c r="AO580" s="457"/>
      <c r="AP580" s="464"/>
      <c r="AQ580" s="464"/>
      <c r="AR580" s="460">
        <f t="shared" si="265"/>
        <v>0</v>
      </c>
      <c r="AS580" s="467">
        <f t="shared" si="266"/>
        <v>0</v>
      </c>
      <c r="AT580" s="447">
        <f t="shared" si="267"/>
        <v>0</v>
      </c>
      <c r="AU580" s="448">
        <f t="shared" si="268"/>
        <v>0</v>
      </c>
      <c r="AV580" s="457"/>
      <c r="AW580" s="450"/>
      <c r="AX580" s="463"/>
      <c r="AY580" s="457"/>
      <c r="AZ580" s="464"/>
      <c r="BA580" s="464"/>
      <c r="BB580" s="465"/>
      <c r="BC580" s="457"/>
      <c r="BD580" s="464"/>
      <c r="BE580" s="466"/>
      <c r="BF580" s="465"/>
      <c r="BG580" s="457"/>
      <c r="BH580" s="464"/>
      <c r="BI580" s="466"/>
      <c r="BJ580" s="465"/>
      <c r="BK580" s="457"/>
      <c r="BL580" s="464"/>
      <c r="BM580" s="466"/>
      <c r="BN580" s="465"/>
      <c r="BO580" s="457"/>
      <c r="BP580" s="464"/>
      <c r="BQ580" s="466"/>
      <c r="BR580" s="465"/>
      <c r="BS580" s="457"/>
      <c r="BT580" s="464"/>
      <c r="BU580" s="466"/>
      <c r="BV580" s="465"/>
      <c r="BW580" s="457"/>
      <c r="BX580" s="464"/>
      <c r="BY580" s="466"/>
      <c r="BZ580" s="465"/>
      <c r="CA580" s="457"/>
      <c r="CB580" s="464"/>
      <c r="CC580" s="466"/>
      <c r="CD580" s="465"/>
      <c r="CE580" s="457"/>
      <c r="CF580" s="464"/>
      <c r="CG580" s="466"/>
      <c r="CH580" s="465"/>
      <c r="CI580" s="457"/>
      <c r="CJ580" s="464"/>
      <c r="CK580" s="466"/>
      <c r="CL580" s="459"/>
      <c r="CM580" s="450"/>
      <c r="CN580" s="468">
        <f t="shared" si="269"/>
        <v>0</v>
      </c>
      <c r="CO580" s="468">
        <f t="shared" si="270"/>
        <v>0</v>
      </c>
      <c r="CP580" s="469">
        <f t="shared" si="271"/>
        <v>0</v>
      </c>
      <c r="CQ580" s="469">
        <f t="shared" si="272"/>
        <v>0</v>
      </c>
      <c r="CR580" s="463"/>
      <c r="CS580" s="457"/>
      <c r="CT580" s="464"/>
      <c r="CU580" s="464"/>
      <c r="CV580" s="465"/>
      <c r="CW580" s="457"/>
      <c r="CX580" s="464"/>
      <c r="CY580" s="466"/>
      <c r="CZ580" s="465"/>
      <c r="DA580" s="457"/>
      <c r="DB580" s="464"/>
      <c r="DC580" s="466"/>
      <c r="DD580" s="465"/>
      <c r="DE580" s="457"/>
      <c r="DF580" s="464"/>
      <c r="DG580" s="466"/>
      <c r="DH580" s="465"/>
      <c r="DI580" s="457"/>
      <c r="DJ580" s="464"/>
      <c r="DK580" s="466"/>
      <c r="DL580" s="465"/>
      <c r="DM580" s="457"/>
      <c r="DN580" s="464"/>
      <c r="DO580" s="466"/>
      <c r="DP580" s="465"/>
      <c r="DQ580" s="457"/>
      <c r="DR580" s="464"/>
      <c r="DS580" s="466"/>
      <c r="DT580" s="465"/>
      <c r="DU580" s="457"/>
      <c r="DV580" s="464"/>
      <c r="DW580" s="466"/>
      <c r="DX580" s="465"/>
      <c r="DY580" s="457"/>
      <c r="DZ580" s="464"/>
      <c r="EA580" s="466"/>
      <c r="EB580" s="465"/>
      <c r="EC580" s="457"/>
      <c r="ED580" s="464"/>
      <c r="EE580" s="466"/>
      <c r="EF580" s="459"/>
      <c r="EG580" s="450"/>
      <c r="EH580" s="460">
        <f t="shared" si="273"/>
        <v>0</v>
      </c>
      <c r="EI580" s="460">
        <f t="shared" si="274"/>
        <v>0</v>
      </c>
      <c r="EJ580" s="458">
        <f t="shared" si="275"/>
        <v>0</v>
      </c>
      <c r="EK580" s="470">
        <f t="shared" si="276"/>
        <v>0</v>
      </c>
      <c r="EL580" s="470">
        <f t="shared" si="277"/>
        <v>0</v>
      </c>
      <c r="EM580" s="449">
        <f t="shared" si="278"/>
        <v>0</v>
      </c>
      <c r="EN580" s="460">
        <f t="shared" si="279"/>
        <v>0</v>
      </c>
      <c r="EO580" s="469">
        <f t="shared" si="280"/>
        <v>0</v>
      </c>
      <c r="EP580" s="471"/>
      <c r="EQ580" s="450"/>
      <c r="ER580" s="471"/>
      <c r="ES580" s="450"/>
      <c r="ET580" s="471"/>
      <c r="EU580" s="450"/>
      <c r="EV580" s="471"/>
      <c r="EW580" s="450"/>
      <c r="EX580" s="471"/>
      <c r="EY580" s="450"/>
      <c r="EZ580" s="471"/>
      <c r="FA580" s="450"/>
      <c r="FB580" s="471"/>
      <c r="FC580" s="450"/>
      <c r="FD580" s="471"/>
      <c r="FE580" s="450"/>
      <c r="FF580" s="471"/>
      <c r="FG580" s="450"/>
      <c r="FH580" s="472"/>
      <c r="FI580" s="742"/>
      <c r="FJ580" s="468">
        <f t="shared" si="281"/>
        <v>0</v>
      </c>
      <c r="FK580" s="469">
        <f t="shared" si="282"/>
        <v>0</v>
      </c>
      <c r="FL580" s="472"/>
      <c r="FM580" s="450"/>
      <c r="FN580" s="460">
        <f t="shared" si="283"/>
        <v>1406</v>
      </c>
      <c r="FO580" s="469">
        <f t="shared" si="284"/>
        <v>1473</v>
      </c>
    </row>
    <row r="581" spans="1:171" x14ac:dyDescent="0.2">
      <c r="A581" s="733" t="s">
        <v>854</v>
      </c>
      <c r="B581" s="644" t="s">
        <v>907</v>
      </c>
      <c r="C581" s="645"/>
      <c r="D581" s="546">
        <v>226134</v>
      </c>
      <c r="E581" s="654">
        <v>8</v>
      </c>
      <c r="F581" s="532">
        <v>418</v>
      </c>
      <c r="G581" s="640">
        <v>544</v>
      </c>
      <c r="H581" s="457"/>
      <c r="I581" s="450"/>
      <c r="J581" s="457">
        <v>742</v>
      </c>
      <c r="K581" s="744">
        <v>749</v>
      </c>
      <c r="L581" s="458">
        <f t="shared" si="261"/>
        <v>0</v>
      </c>
      <c r="M581" s="449">
        <f t="shared" si="262"/>
        <v>0</v>
      </c>
      <c r="N581" s="459"/>
      <c r="O581" s="459"/>
      <c r="P581" s="459"/>
      <c r="Q581" s="459"/>
      <c r="R581" s="460">
        <f t="shared" si="263"/>
        <v>0</v>
      </c>
      <c r="S581" s="461"/>
      <c r="T581" s="461"/>
      <c r="U581" s="461"/>
      <c r="V581" s="461"/>
      <c r="W581" s="462">
        <f t="shared" si="264"/>
        <v>0</v>
      </c>
      <c r="X581" s="463"/>
      <c r="Y581" s="457"/>
      <c r="Z581" s="464"/>
      <c r="AA581" s="464"/>
      <c r="AB581" s="465"/>
      <c r="AC581" s="457"/>
      <c r="AD581" s="464"/>
      <c r="AE581" s="466"/>
      <c r="AF581" s="465"/>
      <c r="AG581" s="457"/>
      <c r="AH581" s="464"/>
      <c r="AI581" s="466"/>
      <c r="AJ581" s="465"/>
      <c r="AK581" s="457"/>
      <c r="AL581" s="464"/>
      <c r="AM581" s="466"/>
      <c r="AN581" s="465"/>
      <c r="AO581" s="457"/>
      <c r="AP581" s="464"/>
      <c r="AQ581" s="464"/>
      <c r="AR581" s="460">
        <f t="shared" si="265"/>
        <v>0</v>
      </c>
      <c r="AS581" s="467">
        <f t="shared" si="266"/>
        <v>0</v>
      </c>
      <c r="AT581" s="447">
        <f t="shared" si="267"/>
        <v>0</v>
      </c>
      <c r="AU581" s="448">
        <f t="shared" si="268"/>
        <v>0</v>
      </c>
      <c r="AV581" s="457"/>
      <c r="AW581" s="450"/>
      <c r="AX581" s="463"/>
      <c r="AY581" s="457"/>
      <c r="AZ581" s="464"/>
      <c r="BA581" s="464"/>
      <c r="BB581" s="465"/>
      <c r="BC581" s="457"/>
      <c r="BD581" s="464"/>
      <c r="BE581" s="466"/>
      <c r="BF581" s="465"/>
      <c r="BG581" s="457"/>
      <c r="BH581" s="464"/>
      <c r="BI581" s="466"/>
      <c r="BJ581" s="465"/>
      <c r="BK581" s="457"/>
      <c r="BL581" s="464"/>
      <c r="BM581" s="466"/>
      <c r="BN581" s="465"/>
      <c r="BO581" s="457"/>
      <c r="BP581" s="464"/>
      <c r="BQ581" s="466"/>
      <c r="BR581" s="465"/>
      <c r="BS581" s="457"/>
      <c r="BT581" s="464"/>
      <c r="BU581" s="466"/>
      <c r="BV581" s="465"/>
      <c r="BW581" s="457"/>
      <c r="BX581" s="464"/>
      <c r="BY581" s="466"/>
      <c r="BZ581" s="465"/>
      <c r="CA581" s="457"/>
      <c r="CB581" s="464"/>
      <c r="CC581" s="466"/>
      <c r="CD581" s="465"/>
      <c r="CE581" s="457"/>
      <c r="CF581" s="464"/>
      <c r="CG581" s="466"/>
      <c r="CH581" s="465"/>
      <c r="CI581" s="457"/>
      <c r="CJ581" s="464"/>
      <c r="CK581" s="466"/>
      <c r="CL581" s="459"/>
      <c r="CM581" s="450"/>
      <c r="CN581" s="468">
        <f t="shared" si="269"/>
        <v>0</v>
      </c>
      <c r="CO581" s="468">
        <f t="shared" si="270"/>
        <v>0</v>
      </c>
      <c r="CP581" s="469">
        <f t="shared" si="271"/>
        <v>0</v>
      </c>
      <c r="CQ581" s="469">
        <f t="shared" si="272"/>
        <v>0</v>
      </c>
      <c r="CR581" s="463"/>
      <c r="CS581" s="457"/>
      <c r="CT581" s="464"/>
      <c r="CU581" s="464"/>
      <c r="CV581" s="465"/>
      <c r="CW581" s="457"/>
      <c r="CX581" s="464"/>
      <c r="CY581" s="466"/>
      <c r="CZ581" s="465"/>
      <c r="DA581" s="457"/>
      <c r="DB581" s="464"/>
      <c r="DC581" s="466"/>
      <c r="DD581" s="465"/>
      <c r="DE581" s="457"/>
      <c r="DF581" s="464"/>
      <c r="DG581" s="466"/>
      <c r="DH581" s="465"/>
      <c r="DI581" s="457"/>
      <c r="DJ581" s="464"/>
      <c r="DK581" s="466"/>
      <c r="DL581" s="465"/>
      <c r="DM581" s="457"/>
      <c r="DN581" s="464"/>
      <c r="DO581" s="466"/>
      <c r="DP581" s="465"/>
      <c r="DQ581" s="457"/>
      <c r="DR581" s="464"/>
      <c r="DS581" s="466"/>
      <c r="DT581" s="465"/>
      <c r="DU581" s="457"/>
      <c r="DV581" s="464"/>
      <c r="DW581" s="466"/>
      <c r="DX581" s="465"/>
      <c r="DY581" s="457"/>
      <c r="DZ581" s="464"/>
      <c r="EA581" s="466"/>
      <c r="EB581" s="465"/>
      <c r="EC581" s="457"/>
      <c r="ED581" s="464"/>
      <c r="EE581" s="466"/>
      <c r="EF581" s="459"/>
      <c r="EG581" s="450"/>
      <c r="EH581" s="460">
        <f t="shared" si="273"/>
        <v>0</v>
      </c>
      <c r="EI581" s="460">
        <f t="shared" si="274"/>
        <v>0</v>
      </c>
      <c r="EJ581" s="458">
        <f t="shared" si="275"/>
        <v>0</v>
      </c>
      <c r="EK581" s="470">
        <f t="shared" si="276"/>
        <v>0</v>
      </c>
      <c r="EL581" s="470">
        <f t="shared" si="277"/>
        <v>0</v>
      </c>
      <c r="EM581" s="449">
        <f t="shared" si="278"/>
        <v>0</v>
      </c>
      <c r="EN581" s="460">
        <f t="shared" si="279"/>
        <v>0</v>
      </c>
      <c r="EO581" s="469">
        <f t="shared" si="280"/>
        <v>0</v>
      </c>
      <c r="EP581" s="471"/>
      <c r="EQ581" s="450"/>
      <c r="ER581" s="471"/>
      <c r="ES581" s="450"/>
      <c r="ET581" s="471"/>
      <c r="EU581" s="450"/>
      <c r="EV581" s="471"/>
      <c r="EW581" s="450"/>
      <c r="EX581" s="471"/>
      <c r="EY581" s="450"/>
      <c r="EZ581" s="471"/>
      <c r="FA581" s="450"/>
      <c r="FB581" s="471"/>
      <c r="FC581" s="450"/>
      <c r="FD581" s="471"/>
      <c r="FE581" s="450"/>
      <c r="FF581" s="471"/>
      <c r="FG581" s="450"/>
      <c r="FH581" s="472"/>
      <c r="FI581" s="742"/>
      <c r="FJ581" s="468">
        <f t="shared" si="281"/>
        <v>0</v>
      </c>
      <c r="FK581" s="469">
        <f t="shared" si="282"/>
        <v>0</v>
      </c>
      <c r="FL581" s="472"/>
      <c r="FM581" s="450"/>
      <c r="FN581" s="460">
        <f t="shared" si="283"/>
        <v>1160</v>
      </c>
      <c r="FO581" s="469">
        <f t="shared" si="284"/>
        <v>1293</v>
      </c>
    </row>
    <row r="582" spans="1:171" x14ac:dyDescent="0.2">
      <c r="A582" s="733" t="s">
        <v>854</v>
      </c>
      <c r="B582" s="544" t="s">
        <v>908</v>
      </c>
      <c r="C582" s="545"/>
      <c r="D582" s="546">
        <v>227182</v>
      </c>
      <c r="E582" s="654">
        <v>8</v>
      </c>
      <c r="F582" s="532">
        <v>1304</v>
      </c>
      <c r="G582" s="640">
        <v>1355</v>
      </c>
      <c r="H582" s="457"/>
      <c r="I582" s="450"/>
      <c r="J582" s="457">
        <v>3299</v>
      </c>
      <c r="K582" s="627">
        <v>3857</v>
      </c>
      <c r="L582" s="458">
        <f t="shared" si="261"/>
        <v>0</v>
      </c>
      <c r="M582" s="449">
        <f t="shared" si="262"/>
        <v>0</v>
      </c>
      <c r="N582" s="459"/>
      <c r="O582" s="459"/>
      <c r="P582" s="459"/>
      <c r="Q582" s="459"/>
      <c r="R582" s="460">
        <f t="shared" si="263"/>
        <v>0</v>
      </c>
      <c r="S582" s="461"/>
      <c r="T582" s="461"/>
      <c r="U582" s="461"/>
      <c r="V582" s="461"/>
      <c r="W582" s="462">
        <f t="shared" si="264"/>
        <v>0</v>
      </c>
      <c r="X582" s="463"/>
      <c r="Y582" s="457"/>
      <c r="Z582" s="464"/>
      <c r="AA582" s="464"/>
      <c r="AB582" s="465"/>
      <c r="AC582" s="457"/>
      <c r="AD582" s="464"/>
      <c r="AE582" s="466"/>
      <c r="AF582" s="465"/>
      <c r="AG582" s="457"/>
      <c r="AH582" s="464"/>
      <c r="AI582" s="466"/>
      <c r="AJ582" s="465"/>
      <c r="AK582" s="457"/>
      <c r="AL582" s="464"/>
      <c r="AM582" s="466"/>
      <c r="AN582" s="465"/>
      <c r="AO582" s="457"/>
      <c r="AP582" s="464"/>
      <c r="AQ582" s="464"/>
      <c r="AR582" s="460">
        <f t="shared" si="265"/>
        <v>0</v>
      </c>
      <c r="AS582" s="467">
        <f t="shared" si="266"/>
        <v>0</v>
      </c>
      <c r="AT582" s="447">
        <f t="shared" si="267"/>
        <v>0</v>
      </c>
      <c r="AU582" s="448">
        <f t="shared" si="268"/>
        <v>0</v>
      </c>
      <c r="AV582" s="457"/>
      <c r="AW582" s="450"/>
      <c r="AX582" s="463"/>
      <c r="AY582" s="457"/>
      <c r="AZ582" s="464"/>
      <c r="BA582" s="464"/>
      <c r="BB582" s="465"/>
      <c r="BC582" s="457"/>
      <c r="BD582" s="464"/>
      <c r="BE582" s="466"/>
      <c r="BF582" s="465"/>
      <c r="BG582" s="457"/>
      <c r="BH582" s="464"/>
      <c r="BI582" s="466"/>
      <c r="BJ582" s="465"/>
      <c r="BK582" s="457"/>
      <c r="BL582" s="464"/>
      <c r="BM582" s="466"/>
      <c r="BN582" s="465"/>
      <c r="BO582" s="457"/>
      <c r="BP582" s="464"/>
      <c r="BQ582" s="466"/>
      <c r="BR582" s="465"/>
      <c r="BS582" s="457"/>
      <c r="BT582" s="464"/>
      <c r="BU582" s="466"/>
      <c r="BV582" s="465"/>
      <c r="BW582" s="457"/>
      <c r="BX582" s="464"/>
      <c r="BY582" s="466"/>
      <c r="BZ582" s="465"/>
      <c r="CA582" s="457"/>
      <c r="CB582" s="464"/>
      <c r="CC582" s="466"/>
      <c r="CD582" s="465"/>
      <c r="CE582" s="457"/>
      <c r="CF582" s="464"/>
      <c r="CG582" s="466"/>
      <c r="CH582" s="465"/>
      <c r="CI582" s="457"/>
      <c r="CJ582" s="464"/>
      <c r="CK582" s="466"/>
      <c r="CL582" s="459"/>
      <c r="CM582" s="450"/>
      <c r="CN582" s="468">
        <f t="shared" si="269"/>
        <v>0</v>
      </c>
      <c r="CO582" s="468">
        <f t="shared" si="270"/>
        <v>0</v>
      </c>
      <c r="CP582" s="469">
        <f t="shared" si="271"/>
        <v>0</v>
      </c>
      <c r="CQ582" s="469">
        <f t="shared" si="272"/>
        <v>0</v>
      </c>
      <c r="CR582" s="463"/>
      <c r="CS582" s="457"/>
      <c r="CT582" s="464"/>
      <c r="CU582" s="464"/>
      <c r="CV582" s="465"/>
      <c r="CW582" s="457"/>
      <c r="CX582" s="464"/>
      <c r="CY582" s="466"/>
      <c r="CZ582" s="465"/>
      <c r="DA582" s="457"/>
      <c r="DB582" s="464"/>
      <c r="DC582" s="466"/>
      <c r="DD582" s="465"/>
      <c r="DE582" s="457"/>
      <c r="DF582" s="464"/>
      <c r="DG582" s="466"/>
      <c r="DH582" s="465"/>
      <c r="DI582" s="457"/>
      <c r="DJ582" s="464"/>
      <c r="DK582" s="466"/>
      <c r="DL582" s="465"/>
      <c r="DM582" s="457"/>
      <c r="DN582" s="464"/>
      <c r="DO582" s="466"/>
      <c r="DP582" s="465"/>
      <c r="DQ582" s="457"/>
      <c r="DR582" s="464"/>
      <c r="DS582" s="466"/>
      <c r="DT582" s="465"/>
      <c r="DU582" s="457"/>
      <c r="DV582" s="464"/>
      <c r="DW582" s="466"/>
      <c r="DX582" s="465"/>
      <c r="DY582" s="457"/>
      <c r="DZ582" s="464"/>
      <c r="EA582" s="466"/>
      <c r="EB582" s="465"/>
      <c r="EC582" s="457"/>
      <c r="ED582" s="464"/>
      <c r="EE582" s="466"/>
      <c r="EF582" s="459"/>
      <c r="EG582" s="450"/>
      <c r="EH582" s="460">
        <f t="shared" si="273"/>
        <v>0</v>
      </c>
      <c r="EI582" s="460">
        <f t="shared" si="274"/>
        <v>0</v>
      </c>
      <c r="EJ582" s="458">
        <f t="shared" si="275"/>
        <v>0</v>
      </c>
      <c r="EK582" s="470">
        <f t="shared" si="276"/>
        <v>0</v>
      </c>
      <c r="EL582" s="470">
        <f t="shared" si="277"/>
        <v>0</v>
      </c>
      <c r="EM582" s="449">
        <f t="shared" si="278"/>
        <v>0</v>
      </c>
      <c r="EN582" s="460">
        <f t="shared" si="279"/>
        <v>0</v>
      </c>
      <c r="EO582" s="469">
        <f t="shared" si="280"/>
        <v>0</v>
      </c>
      <c r="EP582" s="471"/>
      <c r="EQ582" s="450"/>
      <c r="ER582" s="471"/>
      <c r="ES582" s="450"/>
      <c r="ET582" s="471"/>
      <c r="EU582" s="450"/>
      <c r="EV582" s="471"/>
      <c r="EW582" s="450"/>
      <c r="EX582" s="471"/>
      <c r="EY582" s="450"/>
      <c r="EZ582" s="471"/>
      <c r="FA582" s="450"/>
      <c r="FB582" s="471"/>
      <c r="FC582" s="450"/>
      <c r="FD582" s="471"/>
      <c r="FE582" s="450"/>
      <c r="FF582" s="471"/>
      <c r="FG582" s="450"/>
      <c r="FH582" s="472"/>
      <c r="FI582" s="450"/>
      <c r="FJ582" s="468">
        <f t="shared" si="281"/>
        <v>0</v>
      </c>
      <c r="FK582" s="469">
        <f t="shared" si="282"/>
        <v>0</v>
      </c>
      <c r="FL582" s="472"/>
      <c r="FM582" s="450"/>
      <c r="FN582" s="460">
        <f t="shared" si="283"/>
        <v>4603</v>
      </c>
      <c r="FO582" s="469">
        <f t="shared" si="284"/>
        <v>5212</v>
      </c>
    </row>
    <row r="583" spans="1:171" x14ac:dyDescent="0.2">
      <c r="A583" s="733" t="s">
        <v>854</v>
      </c>
      <c r="B583" s="644" t="s">
        <v>909</v>
      </c>
      <c r="C583" s="645"/>
      <c r="D583" s="546">
        <v>226578</v>
      </c>
      <c r="E583" s="654">
        <v>8</v>
      </c>
      <c r="F583" s="532">
        <v>341</v>
      </c>
      <c r="G583" s="640">
        <v>350</v>
      </c>
      <c r="H583" s="457"/>
      <c r="I583" s="450"/>
      <c r="J583" s="457">
        <v>794</v>
      </c>
      <c r="K583" s="627">
        <v>770</v>
      </c>
      <c r="L583" s="458">
        <f t="shared" si="261"/>
        <v>0</v>
      </c>
      <c r="M583" s="449">
        <f t="shared" si="262"/>
        <v>0</v>
      </c>
      <c r="N583" s="459"/>
      <c r="O583" s="459"/>
      <c r="P583" s="459"/>
      <c r="Q583" s="459"/>
      <c r="R583" s="460">
        <f t="shared" si="263"/>
        <v>0</v>
      </c>
      <c r="S583" s="461"/>
      <c r="T583" s="461"/>
      <c r="U583" s="461"/>
      <c r="V583" s="461"/>
      <c r="W583" s="462">
        <f t="shared" si="264"/>
        <v>0</v>
      </c>
      <c r="X583" s="463"/>
      <c r="Y583" s="457"/>
      <c r="Z583" s="464"/>
      <c r="AA583" s="464"/>
      <c r="AB583" s="465"/>
      <c r="AC583" s="457"/>
      <c r="AD583" s="464"/>
      <c r="AE583" s="466"/>
      <c r="AF583" s="465"/>
      <c r="AG583" s="457"/>
      <c r="AH583" s="464"/>
      <c r="AI583" s="466"/>
      <c r="AJ583" s="465"/>
      <c r="AK583" s="457"/>
      <c r="AL583" s="464"/>
      <c r="AM583" s="466"/>
      <c r="AN583" s="465"/>
      <c r="AO583" s="457"/>
      <c r="AP583" s="464"/>
      <c r="AQ583" s="464"/>
      <c r="AR583" s="460">
        <f t="shared" si="265"/>
        <v>0</v>
      </c>
      <c r="AS583" s="467">
        <f t="shared" si="266"/>
        <v>0</v>
      </c>
      <c r="AT583" s="447">
        <f t="shared" si="267"/>
        <v>0</v>
      </c>
      <c r="AU583" s="448">
        <f t="shared" si="268"/>
        <v>0</v>
      </c>
      <c r="AV583" s="457"/>
      <c r="AW583" s="450"/>
      <c r="AX583" s="463"/>
      <c r="AY583" s="457"/>
      <c r="AZ583" s="464"/>
      <c r="BA583" s="464"/>
      <c r="BB583" s="465"/>
      <c r="BC583" s="457"/>
      <c r="BD583" s="464"/>
      <c r="BE583" s="466"/>
      <c r="BF583" s="465"/>
      <c r="BG583" s="457"/>
      <c r="BH583" s="464"/>
      <c r="BI583" s="466"/>
      <c r="BJ583" s="465"/>
      <c r="BK583" s="457"/>
      <c r="BL583" s="464"/>
      <c r="BM583" s="466"/>
      <c r="BN583" s="465"/>
      <c r="BO583" s="457"/>
      <c r="BP583" s="464"/>
      <c r="BQ583" s="466"/>
      <c r="BR583" s="465"/>
      <c r="BS583" s="457"/>
      <c r="BT583" s="464"/>
      <c r="BU583" s="466"/>
      <c r="BV583" s="465"/>
      <c r="BW583" s="457"/>
      <c r="BX583" s="464"/>
      <c r="BY583" s="466"/>
      <c r="BZ583" s="465"/>
      <c r="CA583" s="457"/>
      <c r="CB583" s="464"/>
      <c r="CC583" s="466"/>
      <c r="CD583" s="465"/>
      <c r="CE583" s="457"/>
      <c r="CF583" s="464"/>
      <c r="CG583" s="466"/>
      <c r="CH583" s="465"/>
      <c r="CI583" s="457"/>
      <c r="CJ583" s="464"/>
      <c r="CK583" s="466"/>
      <c r="CL583" s="459"/>
      <c r="CM583" s="450"/>
      <c r="CN583" s="468">
        <f t="shared" si="269"/>
        <v>0</v>
      </c>
      <c r="CO583" s="468">
        <f t="shared" si="270"/>
        <v>0</v>
      </c>
      <c r="CP583" s="469">
        <f t="shared" si="271"/>
        <v>0</v>
      </c>
      <c r="CQ583" s="469">
        <f t="shared" si="272"/>
        <v>0</v>
      </c>
      <c r="CR583" s="463"/>
      <c r="CS583" s="457"/>
      <c r="CT583" s="464"/>
      <c r="CU583" s="464"/>
      <c r="CV583" s="465"/>
      <c r="CW583" s="457"/>
      <c r="CX583" s="464"/>
      <c r="CY583" s="466"/>
      <c r="CZ583" s="465"/>
      <c r="DA583" s="457"/>
      <c r="DB583" s="464"/>
      <c r="DC583" s="466"/>
      <c r="DD583" s="465"/>
      <c r="DE583" s="457"/>
      <c r="DF583" s="464"/>
      <c r="DG583" s="466"/>
      <c r="DH583" s="465"/>
      <c r="DI583" s="457"/>
      <c r="DJ583" s="464"/>
      <c r="DK583" s="466"/>
      <c r="DL583" s="465"/>
      <c r="DM583" s="457"/>
      <c r="DN583" s="464"/>
      <c r="DO583" s="466"/>
      <c r="DP583" s="465"/>
      <c r="DQ583" s="457"/>
      <c r="DR583" s="464"/>
      <c r="DS583" s="466"/>
      <c r="DT583" s="465"/>
      <c r="DU583" s="457"/>
      <c r="DV583" s="464"/>
      <c r="DW583" s="466"/>
      <c r="DX583" s="465"/>
      <c r="DY583" s="457"/>
      <c r="DZ583" s="464"/>
      <c r="EA583" s="466"/>
      <c r="EB583" s="465"/>
      <c r="EC583" s="457"/>
      <c r="ED583" s="464"/>
      <c r="EE583" s="466"/>
      <c r="EF583" s="459"/>
      <c r="EG583" s="450"/>
      <c r="EH583" s="460">
        <f t="shared" si="273"/>
        <v>0</v>
      </c>
      <c r="EI583" s="460">
        <f t="shared" si="274"/>
        <v>0</v>
      </c>
      <c r="EJ583" s="458">
        <f t="shared" si="275"/>
        <v>0</v>
      </c>
      <c r="EK583" s="470">
        <f t="shared" si="276"/>
        <v>0</v>
      </c>
      <c r="EL583" s="470">
        <f t="shared" si="277"/>
        <v>0</v>
      </c>
      <c r="EM583" s="449">
        <f t="shared" si="278"/>
        <v>0</v>
      </c>
      <c r="EN583" s="460">
        <f t="shared" si="279"/>
        <v>0</v>
      </c>
      <c r="EO583" s="469">
        <f t="shared" si="280"/>
        <v>0</v>
      </c>
      <c r="EP583" s="471"/>
      <c r="EQ583" s="450"/>
      <c r="ER583" s="471"/>
      <c r="ES583" s="450"/>
      <c r="ET583" s="471"/>
      <c r="EU583" s="450"/>
      <c r="EV583" s="471"/>
      <c r="EW583" s="450"/>
      <c r="EX583" s="471"/>
      <c r="EY583" s="450"/>
      <c r="EZ583" s="471"/>
      <c r="FA583" s="450"/>
      <c r="FB583" s="471"/>
      <c r="FC583" s="450"/>
      <c r="FD583" s="471"/>
      <c r="FE583" s="450"/>
      <c r="FF583" s="471"/>
      <c r="FG583" s="450"/>
      <c r="FH583" s="472"/>
      <c r="FI583" s="450"/>
      <c r="FJ583" s="468">
        <f t="shared" si="281"/>
        <v>0</v>
      </c>
      <c r="FK583" s="469">
        <f t="shared" si="282"/>
        <v>0</v>
      </c>
      <c r="FL583" s="472"/>
      <c r="FM583" s="450"/>
      <c r="FN583" s="460">
        <f t="shared" si="283"/>
        <v>1135</v>
      </c>
      <c r="FO583" s="469">
        <f t="shared" si="284"/>
        <v>1120</v>
      </c>
    </row>
    <row r="584" spans="1:171" x14ac:dyDescent="0.2">
      <c r="A584" s="738" t="s">
        <v>854</v>
      </c>
      <c r="B584" s="647" t="s">
        <v>910</v>
      </c>
      <c r="C584" s="648"/>
      <c r="D584" s="642">
        <v>227146</v>
      </c>
      <c r="E584" s="643">
        <v>8</v>
      </c>
      <c r="F584" s="532">
        <v>500</v>
      </c>
      <c r="G584" s="640">
        <v>519</v>
      </c>
      <c r="H584" s="457"/>
      <c r="I584" s="450"/>
      <c r="J584" s="457">
        <v>627</v>
      </c>
      <c r="K584" s="627">
        <v>786</v>
      </c>
      <c r="L584" s="458">
        <f t="shared" si="261"/>
        <v>0</v>
      </c>
      <c r="M584" s="449">
        <f t="shared" si="262"/>
        <v>0</v>
      </c>
      <c r="N584" s="459"/>
      <c r="O584" s="459"/>
      <c r="P584" s="459"/>
      <c r="Q584" s="459"/>
      <c r="R584" s="460">
        <f t="shared" si="263"/>
        <v>0</v>
      </c>
      <c r="S584" s="461"/>
      <c r="T584" s="461"/>
      <c r="U584" s="461"/>
      <c r="V584" s="461"/>
      <c r="W584" s="462">
        <f t="shared" si="264"/>
        <v>0</v>
      </c>
      <c r="X584" s="463"/>
      <c r="Y584" s="457"/>
      <c r="Z584" s="464"/>
      <c r="AA584" s="464"/>
      <c r="AB584" s="465"/>
      <c r="AC584" s="457"/>
      <c r="AD584" s="464"/>
      <c r="AE584" s="466"/>
      <c r="AF584" s="465"/>
      <c r="AG584" s="457"/>
      <c r="AH584" s="464"/>
      <c r="AI584" s="466"/>
      <c r="AJ584" s="465"/>
      <c r="AK584" s="457"/>
      <c r="AL584" s="464"/>
      <c r="AM584" s="466"/>
      <c r="AN584" s="465"/>
      <c r="AO584" s="457"/>
      <c r="AP584" s="464"/>
      <c r="AQ584" s="464"/>
      <c r="AR584" s="460">
        <f t="shared" si="265"/>
        <v>0</v>
      </c>
      <c r="AS584" s="467">
        <f t="shared" si="266"/>
        <v>0</v>
      </c>
      <c r="AT584" s="447">
        <f t="shared" si="267"/>
        <v>0</v>
      </c>
      <c r="AU584" s="448">
        <f t="shared" si="268"/>
        <v>0</v>
      </c>
      <c r="AV584" s="457"/>
      <c r="AW584" s="450"/>
      <c r="AX584" s="463"/>
      <c r="AY584" s="457"/>
      <c r="AZ584" s="464"/>
      <c r="BA584" s="464"/>
      <c r="BB584" s="465"/>
      <c r="BC584" s="457"/>
      <c r="BD584" s="464"/>
      <c r="BE584" s="466"/>
      <c r="BF584" s="465"/>
      <c r="BG584" s="457"/>
      <c r="BH584" s="464"/>
      <c r="BI584" s="466"/>
      <c r="BJ584" s="465"/>
      <c r="BK584" s="457"/>
      <c r="BL584" s="464"/>
      <c r="BM584" s="466"/>
      <c r="BN584" s="465"/>
      <c r="BO584" s="457"/>
      <c r="BP584" s="464"/>
      <c r="BQ584" s="466"/>
      <c r="BR584" s="465"/>
      <c r="BS584" s="457"/>
      <c r="BT584" s="464"/>
      <c r="BU584" s="466"/>
      <c r="BV584" s="465"/>
      <c r="BW584" s="457"/>
      <c r="BX584" s="464"/>
      <c r="BY584" s="466"/>
      <c r="BZ584" s="465"/>
      <c r="CA584" s="457"/>
      <c r="CB584" s="464"/>
      <c r="CC584" s="466"/>
      <c r="CD584" s="465"/>
      <c r="CE584" s="457"/>
      <c r="CF584" s="464"/>
      <c r="CG584" s="466"/>
      <c r="CH584" s="465"/>
      <c r="CI584" s="457"/>
      <c r="CJ584" s="464"/>
      <c r="CK584" s="466"/>
      <c r="CL584" s="459"/>
      <c r="CM584" s="450"/>
      <c r="CN584" s="468">
        <f t="shared" si="269"/>
        <v>0</v>
      </c>
      <c r="CO584" s="468">
        <f t="shared" si="270"/>
        <v>0</v>
      </c>
      <c r="CP584" s="469">
        <f t="shared" si="271"/>
        <v>0</v>
      </c>
      <c r="CQ584" s="469">
        <f t="shared" si="272"/>
        <v>0</v>
      </c>
      <c r="CR584" s="463"/>
      <c r="CS584" s="457"/>
      <c r="CT584" s="464"/>
      <c r="CU584" s="464"/>
      <c r="CV584" s="465"/>
      <c r="CW584" s="457"/>
      <c r="CX584" s="464"/>
      <c r="CY584" s="466"/>
      <c r="CZ584" s="465"/>
      <c r="DA584" s="457"/>
      <c r="DB584" s="464"/>
      <c r="DC584" s="466"/>
      <c r="DD584" s="465"/>
      <c r="DE584" s="457"/>
      <c r="DF584" s="464"/>
      <c r="DG584" s="466"/>
      <c r="DH584" s="465"/>
      <c r="DI584" s="457"/>
      <c r="DJ584" s="464"/>
      <c r="DK584" s="466"/>
      <c r="DL584" s="465"/>
      <c r="DM584" s="457"/>
      <c r="DN584" s="464"/>
      <c r="DO584" s="466"/>
      <c r="DP584" s="465"/>
      <c r="DQ584" s="457"/>
      <c r="DR584" s="464"/>
      <c r="DS584" s="466"/>
      <c r="DT584" s="465"/>
      <c r="DU584" s="457"/>
      <c r="DV584" s="464"/>
      <c r="DW584" s="466"/>
      <c r="DX584" s="465"/>
      <c r="DY584" s="457"/>
      <c r="DZ584" s="464"/>
      <c r="EA584" s="466"/>
      <c r="EB584" s="465"/>
      <c r="EC584" s="457"/>
      <c r="ED584" s="464"/>
      <c r="EE584" s="466"/>
      <c r="EF584" s="459"/>
      <c r="EG584" s="450"/>
      <c r="EH584" s="460">
        <f t="shared" si="273"/>
        <v>0</v>
      </c>
      <c r="EI584" s="460">
        <f t="shared" si="274"/>
        <v>0</v>
      </c>
      <c r="EJ584" s="458">
        <f t="shared" si="275"/>
        <v>0</v>
      </c>
      <c r="EK584" s="470">
        <f t="shared" si="276"/>
        <v>0</v>
      </c>
      <c r="EL584" s="470">
        <f t="shared" si="277"/>
        <v>0</v>
      </c>
      <c r="EM584" s="449">
        <f t="shared" si="278"/>
        <v>0</v>
      </c>
      <c r="EN584" s="460">
        <f t="shared" si="279"/>
        <v>0</v>
      </c>
      <c r="EO584" s="469">
        <f t="shared" si="280"/>
        <v>0</v>
      </c>
      <c r="EP584" s="471"/>
      <c r="EQ584" s="450"/>
      <c r="ER584" s="471"/>
      <c r="ES584" s="450"/>
      <c r="ET584" s="471"/>
      <c r="EU584" s="450"/>
      <c r="EV584" s="471"/>
      <c r="EW584" s="450"/>
      <c r="EX584" s="471"/>
      <c r="EY584" s="450"/>
      <c r="EZ584" s="471"/>
      <c r="FA584" s="450"/>
      <c r="FB584" s="471"/>
      <c r="FC584" s="450"/>
      <c r="FD584" s="471"/>
      <c r="FE584" s="450"/>
      <c r="FF584" s="471"/>
      <c r="FG584" s="450"/>
      <c r="FH584" s="472"/>
      <c r="FI584" s="450"/>
      <c r="FJ584" s="468">
        <f t="shared" si="281"/>
        <v>0</v>
      </c>
      <c r="FK584" s="469">
        <f t="shared" si="282"/>
        <v>0</v>
      </c>
      <c r="FL584" s="472"/>
      <c r="FM584" s="450"/>
      <c r="FN584" s="460">
        <f t="shared" si="283"/>
        <v>1127</v>
      </c>
      <c r="FO584" s="469">
        <f t="shared" si="284"/>
        <v>1305</v>
      </c>
    </row>
    <row r="585" spans="1:171" x14ac:dyDescent="0.2">
      <c r="A585" s="733" t="s">
        <v>854</v>
      </c>
      <c r="B585" s="638" t="s">
        <v>911</v>
      </c>
      <c r="C585" s="639"/>
      <c r="D585" s="631">
        <v>224110</v>
      </c>
      <c r="E585" s="635">
        <v>8</v>
      </c>
      <c r="F585" s="532">
        <v>208</v>
      </c>
      <c r="G585" s="640">
        <v>243</v>
      </c>
      <c r="H585" s="457"/>
      <c r="I585" s="450"/>
      <c r="J585" s="457">
        <v>574</v>
      </c>
      <c r="K585" s="627">
        <v>625</v>
      </c>
      <c r="L585" s="458">
        <f t="shared" si="261"/>
        <v>0</v>
      </c>
      <c r="M585" s="449">
        <f t="shared" si="262"/>
        <v>0</v>
      </c>
      <c r="N585" s="459"/>
      <c r="O585" s="459"/>
      <c r="P585" s="459"/>
      <c r="Q585" s="459"/>
      <c r="R585" s="460">
        <f t="shared" si="263"/>
        <v>0</v>
      </c>
      <c r="S585" s="461"/>
      <c r="T585" s="461"/>
      <c r="U585" s="461"/>
      <c r="V585" s="461"/>
      <c r="W585" s="462">
        <f t="shared" si="264"/>
        <v>0</v>
      </c>
      <c r="X585" s="463"/>
      <c r="Y585" s="457"/>
      <c r="Z585" s="464"/>
      <c r="AA585" s="464"/>
      <c r="AB585" s="465"/>
      <c r="AC585" s="457"/>
      <c r="AD585" s="464"/>
      <c r="AE585" s="466"/>
      <c r="AF585" s="465"/>
      <c r="AG585" s="457"/>
      <c r="AH585" s="464"/>
      <c r="AI585" s="466"/>
      <c r="AJ585" s="465"/>
      <c r="AK585" s="457"/>
      <c r="AL585" s="464"/>
      <c r="AM585" s="466"/>
      <c r="AN585" s="465"/>
      <c r="AO585" s="457"/>
      <c r="AP585" s="464"/>
      <c r="AQ585" s="464"/>
      <c r="AR585" s="460">
        <f t="shared" si="265"/>
        <v>0</v>
      </c>
      <c r="AS585" s="467">
        <f t="shared" si="266"/>
        <v>0</v>
      </c>
      <c r="AT585" s="447">
        <f t="shared" si="267"/>
        <v>0</v>
      </c>
      <c r="AU585" s="448">
        <f t="shared" si="268"/>
        <v>0</v>
      </c>
      <c r="AV585" s="457"/>
      <c r="AW585" s="450"/>
      <c r="AX585" s="463"/>
      <c r="AY585" s="457"/>
      <c r="AZ585" s="464"/>
      <c r="BA585" s="464"/>
      <c r="BB585" s="465"/>
      <c r="BC585" s="457"/>
      <c r="BD585" s="464"/>
      <c r="BE585" s="466"/>
      <c r="BF585" s="465"/>
      <c r="BG585" s="457"/>
      <c r="BH585" s="464"/>
      <c r="BI585" s="466"/>
      <c r="BJ585" s="465"/>
      <c r="BK585" s="457"/>
      <c r="BL585" s="464"/>
      <c r="BM585" s="466"/>
      <c r="BN585" s="465"/>
      <c r="BO585" s="457"/>
      <c r="BP585" s="464"/>
      <c r="BQ585" s="466"/>
      <c r="BR585" s="465"/>
      <c r="BS585" s="457"/>
      <c r="BT585" s="464"/>
      <c r="BU585" s="466"/>
      <c r="BV585" s="465"/>
      <c r="BW585" s="457"/>
      <c r="BX585" s="464"/>
      <c r="BY585" s="466"/>
      <c r="BZ585" s="465"/>
      <c r="CA585" s="457"/>
      <c r="CB585" s="464"/>
      <c r="CC585" s="466"/>
      <c r="CD585" s="465"/>
      <c r="CE585" s="457"/>
      <c r="CF585" s="464"/>
      <c r="CG585" s="466"/>
      <c r="CH585" s="465"/>
      <c r="CI585" s="457"/>
      <c r="CJ585" s="464"/>
      <c r="CK585" s="466"/>
      <c r="CL585" s="459"/>
      <c r="CM585" s="450"/>
      <c r="CN585" s="468">
        <f t="shared" si="269"/>
        <v>0</v>
      </c>
      <c r="CO585" s="468">
        <f t="shared" si="270"/>
        <v>0</v>
      </c>
      <c r="CP585" s="469">
        <f t="shared" si="271"/>
        <v>0</v>
      </c>
      <c r="CQ585" s="469">
        <f t="shared" si="272"/>
        <v>0</v>
      </c>
      <c r="CR585" s="463"/>
      <c r="CS585" s="457"/>
      <c r="CT585" s="464"/>
      <c r="CU585" s="464"/>
      <c r="CV585" s="465"/>
      <c r="CW585" s="457"/>
      <c r="CX585" s="464"/>
      <c r="CY585" s="466"/>
      <c r="CZ585" s="465"/>
      <c r="DA585" s="457"/>
      <c r="DB585" s="464"/>
      <c r="DC585" s="466"/>
      <c r="DD585" s="465"/>
      <c r="DE585" s="457"/>
      <c r="DF585" s="464"/>
      <c r="DG585" s="466"/>
      <c r="DH585" s="465"/>
      <c r="DI585" s="457"/>
      <c r="DJ585" s="464"/>
      <c r="DK585" s="466"/>
      <c r="DL585" s="465"/>
      <c r="DM585" s="457"/>
      <c r="DN585" s="464"/>
      <c r="DO585" s="466"/>
      <c r="DP585" s="465"/>
      <c r="DQ585" s="457"/>
      <c r="DR585" s="464"/>
      <c r="DS585" s="466"/>
      <c r="DT585" s="465"/>
      <c r="DU585" s="457"/>
      <c r="DV585" s="464"/>
      <c r="DW585" s="466"/>
      <c r="DX585" s="465"/>
      <c r="DY585" s="457"/>
      <c r="DZ585" s="464"/>
      <c r="EA585" s="466"/>
      <c r="EB585" s="465"/>
      <c r="EC585" s="457"/>
      <c r="ED585" s="464"/>
      <c r="EE585" s="466"/>
      <c r="EF585" s="459"/>
      <c r="EG585" s="450"/>
      <c r="EH585" s="460">
        <f t="shared" si="273"/>
        <v>0</v>
      </c>
      <c r="EI585" s="460">
        <f t="shared" si="274"/>
        <v>0</v>
      </c>
      <c r="EJ585" s="458">
        <f t="shared" si="275"/>
        <v>0</v>
      </c>
      <c r="EK585" s="470">
        <f t="shared" si="276"/>
        <v>0</v>
      </c>
      <c r="EL585" s="470">
        <f t="shared" si="277"/>
        <v>0</v>
      </c>
      <c r="EM585" s="449">
        <f t="shared" si="278"/>
        <v>0</v>
      </c>
      <c r="EN585" s="460">
        <f t="shared" si="279"/>
        <v>0</v>
      </c>
      <c r="EO585" s="469">
        <f t="shared" si="280"/>
        <v>0</v>
      </c>
      <c r="EP585" s="471"/>
      <c r="EQ585" s="450"/>
      <c r="ER585" s="471"/>
      <c r="ES585" s="450"/>
      <c r="ET585" s="471"/>
      <c r="EU585" s="450"/>
      <c r="EV585" s="471"/>
      <c r="EW585" s="450"/>
      <c r="EX585" s="471"/>
      <c r="EY585" s="450"/>
      <c r="EZ585" s="471"/>
      <c r="FA585" s="450"/>
      <c r="FB585" s="471"/>
      <c r="FC585" s="450"/>
      <c r="FD585" s="471"/>
      <c r="FE585" s="450"/>
      <c r="FF585" s="471"/>
      <c r="FG585" s="450"/>
      <c r="FH585" s="472"/>
      <c r="FI585" s="450"/>
      <c r="FJ585" s="468">
        <f t="shared" si="281"/>
        <v>0</v>
      </c>
      <c r="FK585" s="469">
        <f t="shared" si="282"/>
        <v>0</v>
      </c>
      <c r="FL585" s="472"/>
      <c r="FM585" s="450"/>
      <c r="FN585" s="460">
        <f t="shared" si="283"/>
        <v>782</v>
      </c>
      <c r="FO585" s="469">
        <f t="shared" si="284"/>
        <v>868</v>
      </c>
    </row>
    <row r="586" spans="1:171" x14ac:dyDescent="0.2">
      <c r="A586" s="733" t="s">
        <v>854</v>
      </c>
      <c r="B586" s="644" t="s">
        <v>912</v>
      </c>
      <c r="C586" s="645"/>
      <c r="D586" s="546">
        <v>227191</v>
      </c>
      <c r="E586" s="654">
        <v>8</v>
      </c>
      <c r="F586" s="532">
        <v>187</v>
      </c>
      <c r="G586" s="640">
        <v>244</v>
      </c>
      <c r="H586" s="457"/>
      <c r="I586" s="450"/>
      <c r="J586" s="457">
        <v>992</v>
      </c>
      <c r="K586" s="627">
        <v>1069</v>
      </c>
      <c r="L586" s="458">
        <f t="shared" ref="L586:L649" si="285">IF(N586&gt;0,J586/N586, )</f>
        <v>0</v>
      </c>
      <c r="M586" s="449">
        <f t="shared" ref="M586:M649" si="286">IF(S586&gt;0,K586/S586, )</f>
        <v>0</v>
      </c>
      <c r="N586" s="459"/>
      <c r="O586" s="459"/>
      <c r="P586" s="459"/>
      <c r="Q586" s="459"/>
      <c r="R586" s="460">
        <f t="shared" ref="R586:R649" si="287">SUM(O586:Q586)</f>
        <v>0</v>
      </c>
      <c r="S586" s="461"/>
      <c r="T586" s="461"/>
      <c r="U586" s="461"/>
      <c r="V586" s="461"/>
      <c r="W586" s="462">
        <f t="shared" ref="W586:W649" si="288">SUM(T586:V586)</f>
        <v>0</v>
      </c>
      <c r="X586" s="463"/>
      <c r="Y586" s="457"/>
      <c r="Z586" s="464"/>
      <c r="AA586" s="464"/>
      <c r="AB586" s="465"/>
      <c r="AC586" s="457"/>
      <c r="AD586" s="464"/>
      <c r="AE586" s="466"/>
      <c r="AF586" s="465"/>
      <c r="AG586" s="457"/>
      <c r="AH586" s="464"/>
      <c r="AI586" s="466"/>
      <c r="AJ586" s="465"/>
      <c r="AK586" s="457"/>
      <c r="AL586" s="464"/>
      <c r="AM586" s="466"/>
      <c r="AN586" s="465"/>
      <c r="AO586" s="457"/>
      <c r="AP586" s="464"/>
      <c r="AQ586" s="464"/>
      <c r="AR586" s="460">
        <f t="shared" ref="AR586:AR649" si="289">COUNTA(X586,AB586,AF586,AJ586,AN586)</f>
        <v>0</v>
      </c>
      <c r="AS586" s="467">
        <f t="shared" ref="AS586:AS649" si="290">IF(FN586&gt;0,N586/FN586,)</f>
        <v>0</v>
      </c>
      <c r="AT586" s="447">
        <f t="shared" ref="AT586:AT649" si="291">COUNTA(Z586,AD586,AH586,AL586,AP586)</f>
        <v>0</v>
      </c>
      <c r="AU586" s="448">
        <f t="shared" ref="AU586:AU649" si="292">IF(FO586&gt;0,S586/FO586,)</f>
        <v>0</v>
      </c>
      <c r="AV586" s="457"/>
      <c r="AW586" s="450"/>
      <c r="AX586" s="463"/>
      <c r="AY586" s="457"/>
      <c r="AZ586" s="464"/>
      <c r="BA586" s="464"/>
      <c r="BB586" s="465"/>
      <c r="BC586" s="457"/>
      <c r="BD586" s="464"/>
      <c r="BE586" s="466"/>
      <c r="BF586" s="465"/>
      <c r="BG586" s="457"/>
      <c r="BH586" s="464"/>
      <c r="BI586" s="466"/>
      <c r="BJ586" s="465"/>
      <c r="BK586" s="457"/>
      <c r="BL586" s="464"/>
      <c r="BM586" s="466"/>
      <c r="BN586" s="465"/>
      <c r="BO586" s="457"/>
      <c r="BP586" s="464"/>
      <c r="BQ586" s="466"/>
      <c r="BR586" s="465"/>
      <c r="BS586" s="457"/>
      <c r="BT586" s="464"/>
      <c r="BU586" s="466"/>
      <c r="BV586" s="465"/>
      <c r="BW586" s="457"/>
      <c r="BX586" s="464"/>
      <c r="BY586" s="466"/>
      <c r="BZ586" s="465"/>
      <c r="CA586" s="457"/>
      <c r="CB586" s="464"/>
      <c r="CC586" s="466"/>
      <c r="CD586" s="465"/>
      <c r="CE586" s="457"/>
      <c r="CF586" s="464"/>
      <c r="CG586" s="466"/>
      <c r="CH586" s="465"/>
      <c r="CI586" s="457"/>
      <c r="CJ586" s="464"/>
      <c r="CK586" s="466"/>
      <c r="CL586" s="459"/>
      <c r="CM586" s="450"/>
      <c r="CN586" s="468">
        <f t="shared" ref="CN586:CN649" si="293">AY586+BC586+BG586+BK586+BO586+BS586+BW586+CA586+CE586+CI586+CL586</f>
        <v>0</v>
      </c>
      <c r="CO586" s="468">
        <f t="shared" ref="CO586:CO649" si="294">COUNTA(AX586,BB586,BF586,BJ586,BN586,BR586,BV586,BZ586,CD586,CH586)</f>
        <v>0</v>
      </c>
      <c r="CP586" s="469">
        <f t="shared" ref="CP586:CP649" si="295">BA586+BE586+BI586+BM586+BQ586+BU586+BY586+CC586+CG586+CK586+CM586</f>
        <v>0</v>
      </c>
      <c r="CQ586" s="469">
        <f t="shared" ref="CQ586:CQ649" si="296">COUNTA(AZ586,BD586,BH586,BL586,BP586,BT586,BX586,CB586,CF586,CJ586)</f>
        <v>0</v>
      </c>
      <c r="CR586" s="463"/>
      <c r="CS586" s="457"/>
      <c r="CT586" s="464"/>
      <c r="CU586" s="464"/>
      <c r="CV586" s="465"/>
      <c r="CW586" s="457"/>
      <c r="CX586" s="464"/>
      <c r="CY586" s="466"/>
      <c r="CZ586" s="465"/>
      <c r="DA586" s="457"/>
      <c r="DB586" s="464"/>
      <c r="DC586" s="466"/>
      <c r="DD586" s="465"/>
      <c r="DE586" s="457"/>
      <c r="DF586" s="464"/>
      <c r="DG586" s="466"/>
      <c r="DH586" s="465"/>
      <c r="DI586" s="457"/>
      <c r="DJ586" s="464"/>
      <c r="DK586" s="466"/>
      <c r="DL586" s="465"/>
      <c r="DM586" s="457"/>
      <c r="DN586" s="464"/>
      <c r="DO586" s="466"/>
      <c r="DP586" s="465"/>
      <c r="DQ586" s="457"/>
      <c r="DR586" s="464"/>
      <c r="DS586" s="466"/>
      <c r="DT586" s="465"/>
      <c r="DU586" s="457"/>
      <c r="DV586" s="464"/>
      <c r="DW586" s="466"/>
      <c r="DX586" s="465"/>
      <c r="DY586" s="457"/>
      <c r="DZ586" s="464"/>
      <c r="EA586" s="466"/>
      <c r="EB586" s="465"/>
      <c r="EC586" s="457"/>
      <c r="ED586" s="464"/>
      <c r="EE586" s="466"/>
      <c r="EF586" s="459"/>
      <c r="EG586" s="450"/>
      <c r="EH586" s="460">
        <f t="shared" ref="EH586:EH649" si="297">CS586+CW586+DA586+DE586+DI586+DM586+DQ586+DU586+DY586+EC586+EF586</f>
        <v>0</v>
      </c>
      <c r="EI586" s="460">
        <f t="shared" ref="EI586:EI649" si="298">COUNTA(CR586,CV586,CZ586,DD586,DH586,DL586,DP586,DT586,DX586,EB586)</f>
        <v>0</v>
      </c>
      <c r="EJ586" s="458">
        <f t="shared" ref="EJ586:EJ649" si="299">IF(EH586&gt;0,CS586/EH586,)</f>
        <v>0</v>
      </c>
      <c r="EK586" s="470">
        <f t="shared" ref="EK586:EK649" si="300">CU586+CY586+DC586+DG586+DK586+DO586+DS586+DW586+EA586+EE586+EG586</f>
        <v>0</v>
      </c>
      <c r="EL586" s="470">
        <f t="shared" ref="EL586:EL649" si="301">COUNTA(CT586,CX586,DB586,DF586,DJ586,DN586,DR586,DV586,DZ586,ED586)</f>
        <v>0</v>
      </c>
      <c r="EM586" s="449">
        <f t="shared" ref="EM586:EM649" si="302">IF(EK586&gt;0,CU586/EK586,)</f>
        <v>0</v>
      </c>
      <c r="EN586" s="460">
        <f t="shared" ref="EN586:EN649" si="303">CN586+EH586</f>
        <v>0</v>
      </c>
      <c r="EO586" s="469">
        <f t="shared" ref="EO586:EO649" si="304">CP586+EK586</f>
        <v>0</v>
      </c>
      <c r="EP586" s="471"/>
      <c r="EQ586" s="450"/>
      <c r="ER586" s="471"/>
      <c r="ES586" s="450"/>
      <c r="ET586" s="471"/>
      <c r="EU586" s="450"/>
      <c r="EV586" s="471"/>
      <c r="EW586" s="450"/>
      <c r="EX586" s="471"/>
      <c r="EY586" s="450"/>
      <c r="EZ586" s="471"/>
      <c r="FA586" s="450"/>
      <c r="FB586" s="471"/>
      <c r="FC586" s="450"/>
      <c r="FD586" s="471"/>
      <c r="FE586" s="450"/>
      <c r="FF586" s="471"/>
      <c r="FG586" s="450"/>
      <c r="FH586" s="472"/>
      <c r="FI586" s="450"/>
      <c r="FJ586" s="468">
        <f t="shared" ref="FJ586:FJ649" si="305">EP586+ER586+ET586+EV586+EX586+EZ586+FB586+FD586+FF586+FH586</f>
        <v>0</v>
      </c>
      <c r="FK586" s="469">
        <f t="shared" ref="FK586:FK649" si="306">EQ586+ES586+EU586+EW586+EY586+FA586+FC586+FE586+FG586+FI586</f>
        <v>0</v>
      </c>
      <c r="FL586" s="472"/>
      <c r="FM586" s="450"/>
      <c r="FN586" s="460">
        <f t="shared" ref="FN586:FN649" si="307">F586+H586+J586+N586+AV586+EN586+FJ586+FL586</f>
        <v>1179</v>
      </c>
      <c r="FO586" s="469">
        <f t="shared" ref="FO586:FO649" si="308">G586+I586+K586+S586+AW586+EO586+FK586+FM586</f>
        <v>1313</v>
      </c>
    </row>
    <row r="587" spans="1:171" x14ac:dyDescent="0.2">
      <c r="A587" s="733" t="s">
        <v>854</v>
      </c>
      <c r="B587" s="644" t="s">
        <v>913</v>
      </c>
      <c r="C587" s="645"/>
      <c r="D587" s="546">
        <v>420398</v>
      </c>
      <c r="E587" s="654">
        <v>8</v>
      </c>
      <c r="F587" s="532">
        <v>194</v>
      </c>
      <c r="G587" s="640">
        <v>201</v>
      </c>
      <c r="H587" s="457"/>
      <c r="I587" s="450"/>
      <c r="J587" s="457">
        <v>941</v>
      </c>
      <c r="K587" s="627">
        <v>1151</v>
      </c>
      <c r="L587" s="458">
        <f t="shared" si="285"/>
        <v>0</v>
      </c>
      <c r="M587" s="449">
        <f t="shared" si="286"/>
        <v>0</v>
      </c>
      <c r="N587" s="459"/>
      <c r="O587" s="459"/>
      <c r="P587" s="459"/>
      <c r="Q587" s="459"/>
      <c r="R587" s="460">
        <f t="shared" si="287"/>
        <v>0</v>
      </c>
      <c r="S587" s="461"/>
      <c r="T587" s="461"/>
      <c r="U587" s="461"/>
      <c r="V587" s="461"/>
      <c r="W587" s="462">
        <f t="shared" si="288"/>
        <v>0</v>
      </c>
      <c r="X587" s="463"/>
      <c r="Y587" s="457"/>
      <c r="Z587" s="464"/>
      <c r="AA587" s="464"/>
      <c r="AB587" s="465"/>
      <c r="AC587" s="457"/>
      <c r="AD587" s="464"/>
      <c r="AE587" s="466"/>
      <c r="AF587" s="465"/>
      <c r="AG587" s="457"/>
      <c r="AH587" s="464"/>
      <c r="AI587" s="466"/>
      <c r="AJ587" s="465"/>
      <c r="AK587" s="457"/>
      <c r="AL587" s="464"/>
      <c r="AM587" s="466"/>
      <c r="AN587" s="465"/>
      <c r="AO587" s="457"/>
      <c r="AP587" s="464"/>
      <c r="AQ587" s="464"/>
      <c r="AR587" s="460">
        <f t="shared" si="289"/>
        <v>0</v>
      </c>
      <c r="AS587" s="467">
        <f t="shared" si="290"/>
        <v>0</v>
      </c>
      <c r="AT587" s="447">
        <f t="shared" si="291"/>
        <v>0</v>
      </c>
      <c r="AU587" s="448">
        <f t="shared" si="292"/>
        <v>0</v>
      </c>
      <c r="AV587" s="457"/>
      <c r="AW587" s="450"/>
      <c r="AX587" s="463"/>
      <c r="AY587" s="457"/>
      <c r="AZ587" s="464"/>
      <c r="BA587" s="464"/>
      <c r="BB587" s="465"/>
      <c r="BC587" s="457"/>
      <c r="BD587" s="464"/>
      <c r="BE587" s="466"/>
      <c r="BF587" s="465"/>
      <c r="BG587" s="457"/>
      <c r="BH587" s="464"/>
      <c r="BI587" s="466"/>
      <c r="BJ587" s="465"/>
      <c r="BK587" s="457"/>
      <c r="BL587" s="464"/>
      <c r="BM587" s="466"/>
      <c r="BN587" s="465"/>
      <c r="BO587" s="457"/>
      <c r="BP587" s="464"/>
      <c r="BQ587" s="466"/>
      <c r="BR587" s="465"/>
      <c r="BS587" s="457"/>
      <c r="BT587" s="464"/>
      <c r="BU587" s="466"/>
      <c r="BV587" s="465"/>
      <c r="BW587" s="457"/>
      <c r="BX587" s="464"/>
      <c r="BY587" s="466"/>
      <c r="BZ587" s="465"/>
      <c r="CA587" s="457"/>
      <c r="CB587" s="464"/>
      <c r="CC587" s="466"/>
      <c r="CD587" s="465"/>
      <c r="CE587" s="457"/>
      <c r="CF587" s="464"/>
      <c r="CG587" s="466"/>
      <c r="CH587" s="465"/>
      <c r="CI587" s="457"/>
      <c r="CJ587" s="464"/>
      <c r="CK587" s="466"/>
      <c r="CL587" s="459"/>
      <c r="CM587" s="450"/>
      <c r="CN587" s="468">
        <f t="shared" si="293"/>
        <v>0</v>
      </c>
      <c r="CO587" s="468">
        <f t="shared" si="294"/>
        <v>0</v>
      </c>
      <c r="CP587" s="469">
        <f t="shared" si="295"/>
        <v>0</v>
      </c>
      <c r="CQ587" s="469">
        <f t="shared" si="296"/>
        <v>0</v>
      </c>
      <c r="CR587" s="463"/>
      <c r="CS587" s="457"/>
      <c r="CT587" s="464"/>
      <c r="CU587" s="464"/>
      <c r="CV587" s="465"/>
      <c r="CW587" s="457"/>
      <c r="CX587" s="464"/>
      <c r="CY587" s="466"/>
      <c r="CZ587" s="465"/>
      <c r="DA587" s="457"/>
      <c r="DB587" s="464"/>
      <c r="DC587" s="466"/>
      <c r="DD587" s="465"/>
      <c r="DE587" s="457"/>
      <c r="DF587" s="464"/>
      <c r="DG587" s="466"/>
      <c r="DH587" s="465"/>
      <c r="DI587" s="457"/>
      <c r="DJ587" s="464"/>
      <c r="DK587" s="466"/>
      <c r="DL587" s="465"/>
      <c r="DM587" s="457"/>
      <c r="DN587" s="464"/>
      <c r="DO587" s="466"/>
      <c r="DP587" s="465"/>
      <c r="DQ587" s="457"/>
      <c r="DR587" s="464"/>
      <c r="DS587" s="466"/>
      <c r="DT587" s="465"/>
      <c r="DU587" s="457"/>
      <c r="DV587" s="464"/>
      <c r="DW587" s="466"/>
      <c r="DX587" s="465"/>
      <c r="DY587" s="457"/>
      <c r="DZ587" s="464"/>
      <c r="EA587" s="466"/>
      <c r="EB587" s="465"/>
      <c r="EC587" s="457"/>
      <c r="ED587" s="464"/>
      <c r="EE587" s="466"/>
      <c r="EF587" s="459"/>
      <c r="EG587" s="450"/>
      <c r="EH587" s="460">
        <f t="shared" si="297"/>
        <v>0</v>
      </c>
      <c r="EI587" s="460">
        <f t="shared" si="298"/>
        <v>0</v>
      </c>
      <c r="EJ587" s="458">
        <f t="shared" si="299"/>
        <v>0</v>
      </c>
      <c r="EK587" s="470">
        <f t="shared" si="300"/>
        <v>0</v>
      </c>
      <c r="EL587" s="470">
        <f t="shared" si="301"/>
        <v>0</v>
      </c>
      <c r="EM587" s="449">
        <f t="shared" si="302"/>
        <v>0</v>
      </c>
      <c r="EN587" s="460">
        <f t="shared" si="303"/>
        <v>0</v>
      </c>
      <c r="EO587" s="469">
        <f t="shared" si="304"/>
        <v>0</v>
      </c>
      <c r="EP587" s="471"/>
      <c r="EQ587" s="450"/>
      <c r="ER587" s="471"/>
      <c r="ES587" s="450"/>
      <c r="ET587" s="471"/>
      <c r="EU587" s="450"/>
      <c r="EV587" s="471"/>
      <c r="EW587" s="450"/>
      <c r="EX587" s="471"/>
      <c r="EY587" s="450"/>
      <c r="EZ587" s="471"/>
      <c r="FA587" s="450"/>
      <c r="FB587" s="471"/>
      <c r="FC587" s="450"/>
      <c r="FD587" s="471"/>
      <c r="FE587" s="450"/>
      <c r="FF587" s="471"/>
      <c r="FG587" s="450"/>
      <c r="FH587" s="472"/>
      <c r="FI587" s="450"/>
      <c r="FJ587" s="468">
        <f t="shared" si="305"/>
        <v>0</v>
      </c>
      <c r="FK587" s="469">
        <f t="shared" si="306"/>
        <v>0</v>
      </c>
      <c r="FL587" s="472"/>
      <c r="FM587" s="450"/>
      <c r="FN587" s="460">
        <f t="shared" si="307"/>
        <v>1135</v>
      </c>
      <c r="FO587" s="469">
        <f t="shared" si="308"/>
        <v>1352</v>
      </c>
    </row>
    <row r="588" spans="1:171" x14ac:dyDescent="0.2">
      <c r="A588" s="637" t="s">
        <v>854</v>
      </c>
      <c r="B588" s="644" t="s">
        <v>914</v>
      </c>
      <c r="C588" s="645"/>
      <c r="D588" s="546">
        <v>246354</v>
      </c>
      <c r="E588" s="654">
        <v>8</v>
      </c>
      <c r="F588" s="532">
        <v>202</v>
      </c>
      <c r="G588" s="640">
        <v>164</v>
      </c>
      <c r="H588" s="457"/>
      <c r="I588" s="450"/>
      <c r="J588" s="457">
        <v>861</v>
      </c>
      <c r="K588" s="627">
        <v>774</v>
      </c>
      <c r="L588" s="458">
        <f t="shared" si="285"/>
        <v>0</v>
      </c>
      <c r="M588" s="449">
        <f t="shared" si="286"/>
        <v>0</v>
      </c>
      <c r="N588" s="459"/>
      <c r="O588" s="459"/>
      <c r="P588" s="459"/>
      <c r="Q588" s="459"/>
      <c r="R588" s="460">
        <f t="shared" si="287"/>
        <v>0</v>
      </c>
      <c r="S588" s="461"/>
      <c r="T588" s="461"/>
      <c r="U588" s="461"/>
      <c r="V588" s="461"/>
      <c r="W588" s="462">
        <f t="shared" si="288"/>
        <v>0</v>
      </c>
      <c r="X588" s="463"/>
      <c r="Y588" s="457"/>
      <c r="Z588" s="464"/>
      <c r="AA588" s="464"/>
      <c r="AB588" s="465"/>
      <c r="AC588" s="457"/>
      <c r="AD588" s="464"/>
      <c r="AE588" s="466"/>
      <c r="AF588" s="465"/>
      <c r="AG588" s="457"/>
      <c r="AH588" s="464"/>
      <c r="AI588" s="466"/>
      <c r="AJ588" s="465"/>
      <c r="AK588" s="457"/>
      <c r="AL588" s="464"/>
      <c r="AM588" s="466"/>
      <c r="AN588" s="465"/>
      <c r="AO588" s="457"/>
      <c r="AP588" s="464"/>
      <c r="AQ588" s="464"/>
      <c r="AR588" s="460">
        <f t="shared" si="289"/>
        <v>0</v>
      </c>
      <c r="AS588" s="467">
        <f t="shared" si="290"/>
        <v>0</v>
      </c>
      <c r="AT588" s="447">
        <f t="shared" si="291"/>
        <v>0</v>
      </c>
      <c r="AU588" s="448">
        <f t="shared" si="292"/>
        <v>0</v>
      </c>
      <c r="AV588" s="457"/>
      <c r="AW588" s="450"/>
      <c r="AX588" s="463"/>
      <c r="AY588" s="457"/>
      <c r="AZ588" s="464"/>
      <c r="BA588" s="464"/>
      <c r="BB588" s="465"/>
      <c r="BC588" s="457"/>
      <c r="BD588" s="464"/>
      <c r="BE588" s="466"/>
      <c r="BF588" s="465"/>
      <c r="BG588" s="457"/>
      <c r="BH588" s="464"/>
      <c r="BI588" s="466"/>
      <c r="BJ588" s="465"/>
      <c r="BK588" s="457"/>
      <c r="BL588" s="464"/>
      <c r="BM588" s="466"/>
      <c r="BN588" s="465"/>
      <c r="BO588" s="457"/>
      <c r="BP588" s="464"/>
      <c r="BQ588" s="466"/>
      <c r="BR588" s="465"/>
      <c r="BS588" s="457"/>
      <c r="BT588" s="464"/>
      <c r="BU588" s="466"/>
      <c r="BV588" s="465"/>
      <c r="BW588" s="457"/>
      <c r="BX588" s="464"/>
      <c r="BY588" s="466"/>
      <c r="BZ588" s="465"/>
      <c r="CA588" s="457"/>
      <c r="CB588" s="464"/>
      <c r="CC588" s="466"/>
      <c r="CD588" s="465"/>
      <c r="CE588" s="457"/>
      <c r="CF588" s="464"/>
      <c r="CG588" s="466"/>
      <c r="CH588" s="465"/>
      <c r="CI588" s="457"/>
      <c r="CJ588" s="464"/>
      <c r="CK588" s="466"/>
      <c r="CL588" s="459"/>
      <c r="CM588" s="450"/>
      <c r="CN588" s="468">
        <f t="shared" si="293"/>
        <v>0</v>
      </c>
      <c r="CO588" s="468">
        <f t="shared" si="294"/>
        <v>0</v>
      </c>
      <c r="CP588" s="469">
        <f t="shared" si="295"/>
        <v>0</v>
      </c>
      <c r="CQ588" s="469">
        <f t="shared" si="296"/>
        <v>0</v>
      </c>
      <c r="CR588" s="463"/>
      <c r="CS588" s="457"/>
      <c r="CT588" s="464"/>
      <c r="CU588" s="464"/>
      <c r="CV588" s="465"/>
      <c r="CW588" s="457"/>
      <c r="CX588" s="464"/>
      <c r="CY588" s="466"/>
      <c r="CZ588" s="465"/>
      <c r="DA588" s="457"/>
      <c r="DB588" s="464"/>
      <c r="DC588" s="466"/>
      <c r="DD588" s="465"/>
      <c r="DE588" s="457"/>
      <c r="DF588" s="464"/>
      <c r="DG588" s="466"/>
      <c r="DH588" s="465"/>
      <c r="DI588" s="457"/>
      <c r="DJ588" s="464"/>
      <c r="DK588" s="466"/>
      <c r="DL588" s="465"/>
      <c r="DM588" s="457"/>
      <c r="DN588" s="464"/>
      <c r="DO588" s="466"/>
      <c r="DP588" s="465"/>
      <c r="DQ588" s="457"/>
      <c r="DR588" s="464"/>
      <c r="DS588" s="466"/>
      <c r="DT588" s="465"/>
      <c r="DU588" s="457"/>
      <c r="DV588" s="464"/>
      <c r="DW588" s="466"/>
      <c r="DX588" s="465"/>
      <c r="DY588" s="457"/>
      <c r="DZ588" s="464"/>
      <c r="EA588" s="466"/>
      <c r="EB588" s="465"/>
      <c r="EC588" s="457"/>
      <c r="ED588" s="464"/>
      <c r="EE588" s="466"/>
      <c r="EF588" s="459"/>
      <c r="EG588" s="450"/>
      <c r="EH588" s="460">
        <f t="shared" si="297"/>
        <v>0</v>
      </c>
      <c r="EI588" s="460">
        <f t="shared" si="298"/>
        <v>0</v>
      </c>
      <c r="EJ588" s="458">
        <f t="shared" si="299"/>
        <v>0</v>
      </c>
      <c r="EK588" s="470">
        <f t="shared" si="300"/>
        <v>0</v>
      </c>
      <c r="EL588" s="470">
        <f t="shared" si="301"/>
        <v>0</v>
      </c>
      <c r="EM588" s="449">
        <f t="shared" si="302"/>
        <v>0</v>
      </c>
      <c r="EN588" s="460">
        <f t="shared" si="303"/>
        <v>0</v>
      </c>
      <c r="EO588" s="469">
        <f t="shared" si="304"/>
        <v>0</v>
      </c>
      <c r="EP588" s="471"/>
      <c r="EQ588" s="450"/>
      <c r="ER588" s="471"/>
      <c r="ES588" s="450"/>
      <c r="ET588" s="471"/>
      <c r="EU588" s="450"/>
      <c r="EV588" s="471"/>
      <c r="EW588" s="450"/>
      <c r="EX588" s="471"/>
      <c r="EY588" s="450"/>
      <c r="EZ588" s="471"/>
      <c r="FA588" s="450"/>
      <c r="FB588" s="471"/>
      <c r="FC588" s="450"/>
      <c r="FD588" s="471"/>
      <c r="FE588" s="450"/>
      <c r="FF588" s="471"/>
      <c r="FG588" s="450"/>
      <c r="FH588" s="472"/>
      <c r="FI588" s="450"/>
      <c r="FJ588" s="468">
        <f t="shared" si="305"/>
        <v>0</v>
      </c>
      <c r="FK588" s="469">
        <f t="shared" si="306"/>
        <v>0</v>
      </c>
      <c r="FL588" s="472"/>
      <c r="FM588" s="450"/>
      <c r="FN588" s="460">
        <f t="shared" si="307"/>
        <v>1063</v>
      </c>
      <c r="FO588" s="469">
        <f t="shared" si="308"/>
        <v>938</v>
      </c>
    </row>
    <row r="589" spans="1:171" x14ac:dyDescent="0.2">
      <c r="A589" s="637" t="s">
        <v>854</v>
      </c>
      <c r="B589" s="644" t="s">
        <v>915</v>
      </c>
      <c r="C589" s="645"/>
      <c r="D589" s="546">
        <v>227766</v>
      </c>
      <c r="E589" s="654">
        <v>8</v>
      </c>
      <c r="F589" s="532">
        <v>187</v>
      </c>
      <c r="G589" s="640">
        <v>230</v>
      </c>
      <c r="H589" s="457"/>
      <c r="I589" s="450"/>
      <c r="J589" s="457">
        <v>1130</v>
      </c>
      <c r="K589" s="627">
        <v>1303</v>
      </c>
      <c r="L589" s="458">
        <f t="shared" si="285"/>
        <v>0</v>
      </c>
      <c r="M589" s="449">
        <f t="shared" si="286"/>
        <v>0</v>
      </c>
      <c r="N589" s="459"/>
      <c r="O589" s="459"/>
      <c r="P589" s="459"/>
      <c r="Q589" s="459"/>
      <c r="R589" s="460">
        <f t="shared" si="287"/>
        <v>0</v>
      </c>
      <c r="S589" s="461"/>
      <c r="T589" s="461"/>
      <c r="U589" s="461"/>
      <c r="V589" s="461"/>
      <c r="W589" s="462">
        <f t="shared" si="288"/>
        <v>0</v>
      </c>
      <c r="X589" s="463"/>
      <c r="Y589" s="457"/>
      <c r="Z589" s="464"/>
      <c r="AA589" s="464"/>
      <c r="AB589" s="465"/>
      <c r="AC589" s="457"/>
      <c r="AD589" s="464"/>
      <c r="AE589" s="466"/>
      <c r="AF589" s="465"/>
      <c r="AG589" s="457"/>
      <c r="AH589" s="464"/>
      <c r="AI589" s="466"/>
      <c r="AJ589" s="465"/>
      <c r="AK589" s="457"/>
      <c r="AL589" s="464"/>
      <c r="AM589" s="466"/>
      <c r="AN589" s="465"/>
      <c r="AO589" s="457"/>
      <c r="AP589" s="464"/>
      <c r="AQ589" s="464"/>
      <c r="AR589" s="460">
        <f t="shared" si="289"/>
        <v>0</v>
      </c>
      <c r="AS589" s="467">
        <f t="shared" si="290"/>
        <v>0</v>
      </c>
      <c r="AT589" s="447">
        <f t="shared" si="291"/>
        <v>0</v>
      </c>
      <c r="AU589" s="448">
        <f t="shared" si="292"/>
        <v>0</v>
      </c>
      <c r="AV589" s="457"/>
      <c r="AW589" s="450"/>
      <c r="AX589" s="463"/>
      <c r="AY589" s="457"/>
      <c r="AZ589" s="464"/>
      <c r="BA589" s="464"/>
      <c r="BB589" s="465"/>
      <c r="BC589" s="457"/>
      <c r="BD589" s="464"/>
      <c r="BE589" s="466"/>
      <c r="BF589" s="465"/>
      <c r="BG589" s="457"/>
      <c r="BH589" s="464"/>
      <c r="BI589" s="466"/>
      <c r="BJ589" s="465"/>
      <c r="BK589" s="457"/>
      <c r="BL589" s="464"/>
      <c r="BM589" s="466"/>
      <c r="BN589" s="465"/>
      <c r="BO589" s="457"/>
      <c r="BP589" s="464"/>
      <c r="BQ589" s="466"/>
      <c r="BR589" s="465"/>
      <c r="BS589" s="457"/>
      <c r="BT589" s="464"/>
      <c r="BU589" s="466"/>
      <c r="BV589" s="465"/>
      <c r="BW589" s="457"/>
      <c r="BX589" s="464"/>
      <c r="BY589" s="466"/>
      <c r="BZ589" s="465"/>
      <c r="CA589" s="457"/>
      <c r="CB589" s="464"/>
      <c r="CC589" s="466"/>
      <c r="CD589" s="465"/>
      <c r="CE589" s="457"/>
      <c r="CF589" s="464"/>
      <c r="CG589" s="466"/>
      <c r="CH589" s="465"/>
      <c r="CI589" s="457"/>
      <c r="CJ589" s="464"/>
      <c r="CK589" s="466"/>
      <c r="CL589" s="459"/>
      <c r="CM589" s="450"/>
      <c r="CN589" s="468">
        <f t="shared" si="293"/>
        <v>0</v>
      </c>
      <c r="CO589" s="468">
        <f t="shared" si="294"/>
        <v>0</v>
      </c>
      <c r="CP589" s="469">
        <f t="shared" si="295"/>
        <v>0</v>
      </c>
      <c r="CQ589" s="469">
        <f t="shared" si="296"/>
        <v>0</v>
      </c>
      <c r="CR589" s="463"/>
      <c r="CS589" s="457"/>
      <c r="CT589" s="464"/>
      <c r="CU589" s="464"/>
      <c r="CV589" s="465"/>
      <c r="CW589" s="457"/>
      <c r="CX589" s="464"/>
      <c r="CY589" s="466"/>
      <c r="CZ589" s="465"/>
      <c r="DA589" s="457"/>
      <c r="DB589" s="464"/>
      <c r="DC589" s="466"/>
      <c r="DD589" s="465"/>
      <c r="DE589" s="457"/>
      <c r="DF589" s="464"/>
      <c r="DG589" s="466"/>
      <c r="DH589" s="465"/>
      <c r="DI589" s="457"/>
      <c r="DJ589" s="464"/>
      <c r="DK589" s="466"/>
      <c r="DL589" s="465"/>
      <c r="DM589" s="457"/>
      <c r="DN589" s="464"/>
      <c r="DO589" s="466"/>
      <c r="DP589" s="465"/>
      <c r="DQ589" s="457"/>
      <c r="DR589" s="464"/>
      <c r="DS589" s="466"/>
      <c r="DT589" s="465"/>
      <c r="DU589" s="457"/>
      <c r="DV589" s="464"/>
      <c r="DW589" s="466"/>
      <c r="DX589" s="465"/>
      <c r="DY589" s="457"/>
      <c r="DZ589" s="464"/>
      <c r="EA589" s="466"/>
      <c r="EB589" s="465"/>
      <c r="EC589" s="457"/>
      <c r="ED589" s="464"/>
      <c r="EE589" s="466"/>
      <c r="EF589" s="459"/>
      <c r="EG589" s="450"/>
      <c r="EH589" s="460">
        <f t="shared" si="297"/>
        <v>0</v>
      </c>
      <c r="EI589" s="460">
        <f t="shared" si="298"/>
        <v>0</v>
      </c>
      <c r="EJ589" s="458">
        <f t="shared" si="299"/>
        <v>0</v>
      </c>
      <c r="EK589" s="470">
        <f t="shared" si="300"/>
        <v>0</v>
      </c>
      <c r="EL589" s="470">
        <f t="shared" si="301"/>
        <v>0</v>
      </c>
      <c r="EM589" s="449">
        <f t="shared" si="302"/>
        <v>0</v>
      </c>
      <c r="EN589" s="460">
        <f t="shared" si="303"/>
        <v>0</v>
      </c>
      <c r="EO589" s="469">
        <f t="shared" si="304"/>
        <v>0</v>
      </c>
      <c r="EP589" s="471"/>
      <c r="EQ589" s="450"/>
      <c r="ER589" s="471"/>
      <c r="ES589" s="450"/>
      <c r="ET589" s="471"/>
      <c r="EU589" s="450"/>
      <c r="EV589" s="471"/>
      <c r="EW589" s="450"/>
      <c r="EX589" s="471"/>
      <c r="EY589" s="450"/>
      <c r="EZ589" s="471"/>
      <c r="FA589" s="450"/>
      <c r="FB589" s="471"/>
      <c r="FC589" s="450"/>
      <c r="FD589" s="471"/>
      <c r="FE589" s="450"/>
      <c r="FF589" s="471"/>
      <c r="FG589" s="450"/>
      <c r="FH589" s="472"/>
      <c r="FI589" s="450"/>
      <c r="FJ589" s="468">
        <f t="shared" si="305"/>
        <v>0</v>
      </c>
      <c r="FK589" s="469">
        <f t="shared" si="306"/>
        <v>0</v>
      </c>
      <c r="FL589" s="472"/>
      <c r="FM589" s="450"/>
      <c r="FN589" s="460">
        <f t="shared" si="307"/>
        <v>1317</v>
      </c>
      <c r="FO589" s="469">
        <f t="shared" si="308"/>
        <v>1533</v>
      </c>
    </row>
    <row r="590" spans="1:171" x14ac:dyDescent="0.2">
      <c r="A590" s="637" t="s">
        <v>854</v>
      </c>
      <c r="B590" s="644" t="s">
        <v>916</v>
      </c>
      <c r="C590" s="645"/>
      <c r="D590" s="546">
        <v>227924</v>
      </c>
      <c r="E590" s="654">
        <v>8</v>
      </c>
      <c r="F590" s="532">
        <v>401</v>
      </c>
      <c r="G590" s="640">
        <v>575</v>
      </c>
      <c r="H590" s="457"/>
      <c r="I590" s="450"/>
      <c r="J590" s="457">
        <v>1470</v>
      </c>
      <c r="K590" s="627">
        <v>1958</v>
      </c>
      <c r="L590" s="458">
        <f t="shared" si="285"/>
        <v>0</v>
      </c>
      <c r="M590" s="449">
        <f t="shared" si="286"/>
        <v>0</v>
      </c>
      <c r="N590" s="459"/>
      <c r="O590" s="459"/>
      <c r="P590" s="459"/>
      <c r="Q590" s="459"/>
      <c r="R590" s="460">
        <f t="shared" si="287"/>
        <v>0</v>
      </c>
      <c r="S590" s="461"/>
      <c r="T590" s="461"/>
      <c r="U590" s="461"/>
      <c r="V590" s="461"/>
      <c r="W590" s="462">
        <f t="shared" si="288"/>
        <v>0</v>
      </c>
      <c r="X590" s="463"/>
      <c r="Y590" s="457"/>
      <c r="Z590" s="464"/>
      <c r="AA590" s="464"/>
      <c r="AB590" s="465"/>
      <c r="AC590" s="457"/>
      <c r="AD590" s="464"/>
      <c r="AE590" s="466"/>
      <c r="AF590" s="465"/>
      <c r="AG590" s="457"/>
      <c r="AH590" s="464"/>
      <c r="AI590" s="466"/>
      <c r="AJ590" s="465"/>
      <c r="AK590" s="457"/>
      <c r="AL590" s="464"/>
      <c r="AM590" s="466"/>
      <c r="AN590" s="465"/>
      <c r="AO590" s="457"/>
      <c r="AP590" s="464"/>
      <c r="AQ590" s="464"/>
      <c r="AR590" s="460">
        <f t="shared" si="289"/>
        <v>0</v>
      </c>
      <c r="AS590" s="467">
        <f t="shared" si="290"/>
        <v>0</v>
      </c>
      <c r="AT590" s="447">
        <f t="shared" si="291"/>
        <v>0</v>
      </c>
      <c r="AU590" s="448">
        <f t="shared" si="292"/>
        <v>0</v>
      </c>
      <c r="AV590" s="457"/>
      <c r="AW590" s="450"/>
      <c r="AX590" s="463"/>
      <c r="AY590" s="457"/>
      <c r="AZ590" s="464"/>
      <c r="BA590" s="464"/>
      <c r="BB590" s="465"/>
      <c r="BC590" s="457"/>
      <c r="BD590" s="464"/>
      <c r="BE590" s="466"/>
      <c r="BF590" s="465"/>
      <c r="BG590" s="457"/>
      <c r="BH590" s="464"/>
      <c r="BI590" s="466"/>
      <c r="BJ590" s="465"/>
      <c r="BK590" s="457"/>
      <c r="BL590" s="464"/>
      <c r="BM590" s="466"/>
      <c r="BN590" s="465"/>
      <c r="BO590" s="457"/>
      <c r="BP590" s="464"/>
      <c r="BQ590" s="466"/>
      <c r="BR590" s="465"/>
      <c r="BS590" s="457"/>
      <c r="BT590" s="464"/>
      <c r="BU590" s="466"/>
      <c r="BV590" s="465"/>
      <c r="BW590" s="457"/>
      <c r="BX590" s="464"/>
      <c r="BY590" s="466"/>
      <c r="BZ590" s="465"/>
      <c r="CA590" s="457"/>
      <c r="CB590" s="464"/>
      <c r="CC590" s="466"/>
      <c r="CD590" s="465"/>
      <c r="CE590" s="457"/>
      <c r="CF590" s="464"/>
      <c r="CG590" s="466"/>
      <c r="CH590" s="465"/>
      <c r="CI590" s="457"/>
      <c r="CJ590" s="464"/>
      <c r="CK590" s="466"/>
      <c r="CL590" s="459"/>
      <c r="CM590" s="450"/>
      <c r="CN590" s="468">
        <f t="shared" si="293"/>
        <v>0</v>
      </c>
      <c r="CO590" s="468">
        <f t="shared" si="294"/>
        <v>0</v>
      </c>
      <c r="CP590" s="469">
        <f t="shared" si="295"/>
        <v>0</v>
      </c>
      <c r="CQ590" s="469">
        <f t="shared" si="296"/>
        <v>0</v>
      </c>
      <c r="CR590" s="463"/>
      <c r="CS590" s="457"/>
      <c r="CT590" s="464"/>
      <c r="CU590" s="464"/>
      <c r="CV590" s="465"/>
      <c r="CW590" s="457"/>
      <c r="CX590" s="464"/>
      <c r="CY590" s="466"/>
      <c r="CZ590" s="465"/>
      <c r="DA590" s="457"/>
      <c r="DB590" s="464"/>
      <c r="DC590" s="466"/>
      <c r="DD590" s="465"/>
      <c r="DE590" s="457"/>
      <c r="DF590" s="464"/>
      <c r="DG590" s="466"/>
      <c r="DH590" s="465"/>
      <c r="DI590" s="457"/>
      <c r="DJ590" s="464"/>
      <c r="DK590" s="466"/>
      <c r="DL590" s="465"/>
      <c r="DM590" s="457"/>
      <c r="DN590" s="464"/>
      <c r="DO590" s="466"/>
      <c r="DP590" s="465"/>
      <c r="DQ590" s="457"/>
      <c r="DR590" s="464"/>
      <c r="DS590" s="466"/>
      <c r="DT590" s="465"/>
      <c r="DU590" s="457"/>
      <c r="DV590" s="464"/>
      <c r="DW590" s="466"/>
      <c r="DX590" s="465"/>
      <c r="DY590" s="457"/>
      <c r="DZ590" s="464"/>
      <c r="EA590" s="466"/>
      <c r="EB590" s="465"/>
      <c r="EC590" s="457"/>
      <c r="ED590" s="464"/>
      <c r="EE590" s="466"/>
      <c r="EF590" s="459"/>
      <c r="EG590" s="450"/>
      <c r="EH590" s="460">
        <f t="shared" si="297"/>
        <v>0</v>
      </c>
      <c r="EI590" s="460">
        <f t="shared" si="298"/>
        <v>0</v>
      </c>
      <c r="EJ590" s="458">
        <f t="shared" si="299"/>
        <v>0</v>
      </c>
      <c r="EK590" s="470">
        <f t="shared" si="300"/>
        <v>0</v>
      </c>
      <c r="EL590" s="470">
        <f t="shared" si="301"/>
        <v>0</v>
      </c>
      <c r="EM590" s="449">
        <f t="shared" si="302"/>
        <v>0</v>
      </c>
      <c r="EN590" s="460">
        <f t="shared" si="303"/>
        <v>0</v>
      </c>
      <c r="EO590" s="469">
        <f t="shared" si="304"/>
        <v>0</v>
      </c>
      <c r="EP590" s="471"/>
      <c r="EQ590" s="450"/>
      <c r="ER590" s="471"/>
      <c r="ES590" s="450"/>
      <c r="ET590" s="471"/>
      <c r="EU590" s="450"/>
      <c r="EV590" s="471"/>
      <c r="EW590" s="450"/>
      <c r="EX590" s="471"/>
      <c r="EY590" s="450"/>
      <c r="EZ590" s="471"/>
      <c r="FA590" s="450"/>
      <c r="FB590" s="471"/>
      <c r="FC590" s="450"/>
      <c r="FD590" s="471"/>
      <c r="FE590" s="450"/>
      <c r="FF590" s="471"/>
      <c r="FG590" s="450"/>
      <c r="FH590" s="472"/>
      <c r="FI590" s="450"/>
      <c r="FJ590" s="468">
        <f t="shared" si="305"/>
        <v>0</v>
      </c>
      <c r="FK590" s="469">
        <f t="shared" si="306"/>
        <v>0</v>
      </c>
      <c r="FL590" s="472"/>
      <c r="FM590" s="450"/>
      <c r="FN590" s="460">
        <f t="shared" si="307"/>
        <v>1871</v>
      </c>
      <c r="FO590" s="469">
        <f t="shared" si="308"/>
        <v>2533</v>
      </c>
    </row>
    <row r="591" spans="1:171" x14ac:dyDescent="0.2">
      <c r="A591" s="637" t="s">
        <v>854</v>
      </c>
      <c r="B591" s="644" t="s">
        <v>917</v>
      </c>
      <c r="C591" s="645"/>
      <c r="D591" s="546">
        <v>227979</v>
      </c>
      <c r="E591" s="654">
        <v>8</v>
      </c>
      <c r="F591" s="532">
        <v>1687</v>
      </c>
      <c r="G591" s="640">
        <v>1952</v>
      </c>
      <c r="H591" s="457"/>
      <c r="I591" s="450"/>
      <c r="J591" s="457">
        <v>2489</v>
      </c>
      <c r="K591" s="627">
        <v>2786</v>
      </c>
      <c r="L591" s="458">
        <f t="shared" si="285"/>
        <v>0</v>
      </c>
      <c r="M591" s="449">
        <f t="shared" si="286"/>
        <v>0</v>
      </c>
      <c r="N591" s="459"/>
      <c r="O591" s="459"/>
      <c r="P591" s="459"/>
      <c r="Q591" s="459"/>
      <c r="R591" s="460">
        <f t="shared" si="287"/>
        <v>0</v>
      </c>
      <c r="S591" s="461"/>
      <c r="T591" s="461"/>
      <c r="U591" s="461"/>
      <c r="V591" s="461"/>
      <c r="W591" s="462">
        <f t="shared" si="288"/>
        <v>0</v>
      </c>
      <c r="X591" s="463"/>
      <c r="Y591" s="457"/>
      <c r="Z591" s="464"/>
      <c r="AA591" s="464"/>
      <c r="AB591" s="465"/>
      <c r="AC591" s="457"/>
      <c r="AD591" s="464"/>
      <c r="AE591" s="466"/>
      <c r="AF591" s="465"/>
      <c r="AG591" s="457"/>
      <c r="AH591" s="464"/>
      <c r="AI591" s="466"/>
      <c r="AJ591" s="465"/>
      <c r="AK591" s="457"/>
      <c r="AL591" s="464"/>
      <c r="AM591" s="466"/>
      <c r="AN591" s="465"/>
      <c r="AO591" s="457"/>
      <c r="AP591" s="464"/>
      <c r="AQ591" s="464"/>
      <c r="AR591" s="460">
        <f t="shared" si="289"/>
        <v>0</v>
      </c>
      <c r="AS591" s="467">
        <f t="shared" si="290"/>
        <v>0</v>
      </c>
      <c r="AT591" s="447">
        <f t="shared" si="291"/>
        <v>0</v>
      </c>
      <c r="AU591" s="448">
        <f t="shared" si="292"/>
        <v>0</v>
      </c>
      <c r="AV591" s="457"/>
      <c r="AW591" s="450"/>
      <c r="AX591" s="463"/>
      <c r="AY591" s="457"/>
      <c r="AZ591" s="464"/>
      <c r="BA591" s="464"/>
      <c r="BB591" s="465"/>
      <c r="BC591" s="457"/>
      <c r="BD591" s="464"/>
      <c r="BE591" s="466"/>
      <c r="BF591" s="465"/>
      <c r="BG591" s="457"/>
      <c r="BH591" s="464"/>
      <c r="BI591" s="466"/>
      <c r="BJ591" s="465"/>
      <c r="BK591" s="457"/>
      <c r="BL591" s="464"/>
      <c r="BM591" s="466"/>
      <c r="BN591" s="465"/>
      <c r="BO591" s="457"/>
      <c r="BP591" s="464"/>
      <c r="BQ591" s="466"/>
      <c r="BR591" s="465"/>
      <c r="BS591" s="457"/>
      <c r="BT591" s="464"/>
      <c r="BU591" s="466"/>
      <c r="BV591" s="465"/>
      <c r="BW591" s="457"/>
      <c r="BX591" s="464"/>
      <c r="BY591" s="466"/>
      <c r="BZ591" s="465"/>
      <c r="CA591" s="457"/>
      <c r="CB591" s="464"/>
      <c r="CC591" s="466"/>
      <c r="CD591" s="465"/>
      <c r="CE591" s="457"/>
      <c r="CF591" s="464"/>
      <c r="CG591" s="466"/>
      <c r="CH591" s="465"/>
      <c r="CI591" s="457"/>
      <c r="CJ591" s="464"/>
      <c r="CK591" s="466"/>
      <c r="CL591" s="459"/>
      <c r="CM591" s="450"/>
      <c r="CN591" s="468">
        <f t="shared" si="293"/>
        <v>0</v>
      </c>
      <c r="CO591" s="468">
        <f t="shared" si="294"/>
        <v>0</v>
      </c>
      <c r="CP591" s="469">
        <f t="shared" si="295"/>
        <v>0</v>
      </c>
      <c r="CQ591" s="469">
        <f t="shared" si="296"/>
        <v>0</v>
      </c>
      <c r="CR591" s="463"/>
      <c r="CS591" s="457"/>
      <c r="CT591" s="464"/>
      <c r="CU591" s="464"/>
      <c r="CV591" s="465"/>
      <c r="CW591" s="457"/>
      <c r="CX591" s="464"/>
      <c r="CY591" s="466"/>
      <c r="CZ591" s="465"/>
      <c r="DA591" s="457"/>
      <c r="DB591" s="464"/>
      <c r="DC591" s="466"/>
      <c r="DD591" s="465"/>
      <c r="DE591" s="457"/>
      <c r="DF591" s="464"/>
      <c r="DG591" s="466"/>
      <c r="DH591" s="465"/>
      <c r="DI591" s="457"/>
      <c r="DJ591" s="464"/>
      <c r="DK591" s="466"/>
      <c r="DL591" s="465"/>
      <c r="DM591" s="457"/>
      <c r="DN591" s="464"/>
      <c r="DO591" s="466"/>
      <c r="DP591" s="465"/>
      <c r="DQ591" s="457"/>
      <c r="DR591" s="464"/>
      <c r="DS591" s="466"/>
      <c r="DT591" s="465"/>
      <c r="DU591" s="457"/>
      <c r="DV591" s="464"/>
      <c r="DW591" s="466"/>
      <c r="DX591" s="465"/>
      <c r="DY591" s="457"/>
      <c r="DZ591" s="464"/>
      <c r="EA591" s="466"/>
      <c r="EB591" s="465"/>
      <c r="EC591" s="457"/>
      <c r="ED591" s="464"/>
      <c r="EE591" s="466"/>
      <c r="EF591" s="459"/>
      <c r="EG591" s="450"/>
      <c r="EH591" s="460">
        <f t="shared" si="297"/>
        <v>0</v>
      </c>
      <c r="EI591" s="460">
        <f t="shared" si="298"/>
        <v>0</v>
      </c>
      <c r="EJ591" s="458">
        <f t="shared" si="299"/>
        <v>0</v>
      </c>
      <c r="EK591" s="470">
        <f t="shared" si="300"/>
        <v>0</v>
      </c>
      <c r="EL591" s="470">
        <f t="shared" si="301"/>
        <v>0</v>
      </c>
      <c r="EM591" s="449">
        <f t="shared" si="302"/>
        <v>0</v>
      </c>
      <c r="EN591" s="460">
        <f t="shared" si="303"/>
        <v>0</v>
      </c>
      <c r="EO591" s="469">
        <f t="shared" si="304"/>
        <v>0</v>
      </c>
      <c r="EP591" s="471"/>
      <c r="EQ591" s="450"/>
      <c r="ER591" s="471"/>
      <c r="ES591" s="450"/>
      <c r="ET591" s="471"/>
      <c r="EU591" s="450"/>
      <c r="EV591" s="471"/>
      <c r="EW591" s="450"/>
      <c r="EX591" s="471"/>
      <c r="EY591" s="450"/>
      <c r="EZ591" s="471"/>
      <c r="FA591" s="450"/>
      <c r="FB591" s="471"/>
      <c r="FC591" s="450"/>
      <c r="FD591" s="471"/>
      <c r="FE591" s="450"/>
      <c r="FF591" s="471"/>
      <c r="FG591" s="450"/>
      <c r="FH591" s="472"/>
      <c r="FI591" s="450"/>
      <c r="FJ591" s="468">
        <f t="shared" si="305"/>
        <v>0</v>
      </c>
      <c r="FK591" s="469">
        <f t="shared" si="306"/>
        <v>0</v>
      </c>
      <c r="FL591" s="472"/>
      <c r="FM591" s="450"/>
      <c r="FN591" s="460">
        <f t="shared" si="307"/>
        <v>4176</v>
      </c>
      <c r="FO591" s="469">
        <f t="shared" si="308"/>
        <v>4738</v>
      </c>
    </row>
    <row r="592" spans="1:171" x14ac:dyDescent="0.2">
      <c r="A592" s="637" t="s">
        <v>854</v>
      </c>
      <c r="B592" s="644" t="s">
        <v>918</v>
      </c>
      <c r="C592" s="645"/>
      <c r="D592" s="546">
        <v>228158</v>
      </c>
      <c r="E592" s="654">
        <v>8</v>
      </c>
      <c r="F592" s="532">
        <v>499</v>
      </c>
      <c r="G592" s="640">
        <v>633</v>
      </c>
      <c r="H592" s="457"/>
      <c r="I592" s="450"/>
      <c r="J592" s="457">
        <v>614</v>
      </c>
      <c r="K592" s="627">
        <v>664</v>
      </c>
      <c r="L592" s="458">
        <f t="shared" si="285"/>
        <v>0</v>
      </c>
      <c r="M592" s="449">
        <f t="shared" si="286"/>
        <v>0</v>
      </c>
      <c r="N592" s="459"/>
      <c r="O592" s="459"/>
      <c r="P592" s="459"/>
      <c r="Q592" s="459"/>
      <c r="R592" s="460">
        <f t="shared" si="287"/>
        <v>0</v>
      </c>
      <c r="S592" s="461"/>
      <c r="T592" s="461"/>
      <c r="U592" s="461"/>
      <c r="V592" s="461"/>
      <c r="W592" s="462">
        <f t="shared" si="288"/>
        <v>0</v>
      </c>
      <c r="X592" s="463"/>
      <c r="Y592" s="457"/>
      <c r="Z592" s="464"/>
      <c r="AA592" s="464"/>
      <c r="AB592" s="465"/>
      <c r="AC592" s="457"/>
      <c r="AD592" s="464"/>
      <c r="AE592" s="466"/>
      <c r="AF592" s="465"/>
      <c r="AG592" s="457"/>
      <c r="AH592" s="464"/>
      <c r="AI592" s="466"/>
      <c r="AJ592" s="465"/>
      <c r="AK592" s="457"/>
      <c r="AL592" s="464"/>
      <c r="AM592" s="466"/>
      <c r="AN592" s="465"/>
      <c r="AO592" s="457"/>
      <c r="AP592" s="464"/>
      <c r="AQ592" s="464"/>
      <c r="AR592" s="460">
        <f t="shared" si="289"/>
        <v>0</v>
      </c>
      <c r="AS592" s="467">
        <f t="shared" si="290"/>
        <v>0</v>
      </c>
      <c r="AT592" s="447">
        <f t="shared" si="291"/>
        <v>0</v>
      </c>
      <c r="AU592" s="448">
        <f t="shared" si="292"/>
        <v>0</v>
      </c>
      <c r="AV592" s="457"/>
      <c r="AW592" s="450"/>
      <c r="AX592" s="463"/>
      <c r="AY592" s="457"/>
      <c r="AZ592" s="464"/>
      <c r="BA592" s="464"/>
      <c r="BB592" s="465"/>
      <c r="BC592" s="457"/>
      <c r="BD592" s="464"/>
      <c r="BE592" s="466"/>
      <c r="BF592" s="465"/>
      <c r="BG592" s="457"/>
      <c r="BH592" s="464"/>
      <c r="BI592" s="466"/>
      <c r="BJ592" s="465"/>
      <c r="BK592" s="457"/>
      <c r="BL592" s="464"/>
      <c r="BM592" s="466"/>
      <c r="BN592" s="465"/>
      <c r="BO592" s="457"/>
      <c r="BP592" s="464"/>
      <c r="BQ592" s="466"/>
      <c r="BR592" s="465"/>
      <c r="BS592" s="457"/>
      <c r="BT592" s="464"/>
      <c r="BU592" s="466"/>
      <c r="BV592" s="465"/>
      <c r="BW592" s="457"/>
      <c r="BX592" s="464"/>
      <c r="BY592" s="466"/>
      <c r="BZ592" s="465"/>
      <c r="CA592" s="457"/>
      <c r="CB592" s="464"/>
      <c r="CC592" s="466"/>
      <c r="CD592" s="465"/>
      <c r="CE592" s="457"/>
      <c r="CF592" s="464"/>
      <c r="CG592" s="466"/>
      <c r="CH592" s="465"/>
      <c r="CI592" s="457"/>
      <c r="CJ592" s="464"/>
      <c r="CK592" s="466"/>
      <c r="CL592" s="459"/>
      <c r="CM592" s="450"/>
      <c r="CN592" s="468">
        <f t="shared" si="293"/>
        <v>0</v>
      </c>
      <c r="CO592" s="468">
        <f t="shared" si="294"/>
        <v>0</v>
      </c>
      <c r="CP592" s="469">
        <f t="shared" si="295"/>
        <v>0</v>
      </c>
      <c r="CQ592" s="469">
        <f t="shared" si="296"/>
        <v>0</v>
      </c>
      <c r="CR592" s="463"/>
      <c r="CS592" s="457"/>
      <c r="CT592" s="464"/>
      <c r="CU592" s="464"/>
      <c r="CV592" s="465"/>
      <c r="CW592" s="457"/>
      <c r="CX592" s="464"/>
      <c r="CY592" s="466"/>
      <c r="CZ592" s="465"/>
      <c r="DA592" s="457"/>
      <c r="DB592" s="464"/>
      <c r="DC592" s="466"/>
      <c r="DD592" s="465"/>
      <c r="DE592" s="457"/>
      <c r="DF592" s="464"/>
      <c r="DG592" s="466"/>
      <c r="DH592" s="465"/>
      <c r="DI592" s="457"/>
      <c r="DJ592" s="464"/>
      <c r="DK592" s="466"/>
      <c r="DL592" s="465"/>
      <c r="DM592" s="457"/>
      <c r="DN592" s="464"/>
      <c r="DO592" s="466"/>
      <c r="DP592" s="465"/>
      <c r="DQ592" s="457"/>
      <c r="DR592" s="464"/>
      <c r="DS592" s="466"/>
      <c r="DT592" s="465"/>
      <c r="DU592" s="457"/>
      <c r="DV592" s="464"/>
      <c r="DW592" s="466"/>
      <c r="DX592" s="465"/>
      <c r="DY592" s="457"/>
      <c r="DZ592" s="464"/>
      <c r="EA592" s="466"/>
      <c r="EB592" s="465"/>
      <c r="EC592" s="457"/>
      <c r="ED592" s="464"/>
      <c r="EE592" s="466"/>
      <c r="EF592" s="459"/>
      <c r="EG592" s="450"/>
      <c r="EH592" s="460">
        <f t="shared" si="297"/>
        <v>0</v>
      </c>
      <c r="EI592" s="460">
        <f t="shared" si="298"/>
        <v>0</v>
      </c>
      <c r="EJ592" s="458">
        <f t="shared" si="299"/>
        <v>0</v>
      </c>
      <c r="EK592" s="470">
        <f t="shared" si="300"/>
        <v>0</v>
      </c>
      <c r="EL592" s="470">
        <f t="shared" si="301"/>
        <v>0</v>
      </c>
      <c r="EM592" s="449">
        <f t="shared" si="302"/>
        <v>0</v>
      </c>
      <c r="EN592" s="460">
        <f t="shared" si="303"/>
        <v>0</v>
      </c>
      <c r="EO592" s="469">
        <f t="shared" si="304"/>
        <v>0</v>
      </c>
      <c r="EP592" s="471"/>
      <c r="EQ592" s="450"/>
      <c r="ER592" s="471"/>
      <c r="ES592" s="450"/>
      <c r="ET592" s="471"/>
      <c r="EU592" s="450"/>
      <c r="EV592" s="471"/>
      <c r="EW592" s="450"/>
      <c r="EX592" s="471"/>
      <c r="EY592" s="450"/>
      <c r="EZ592" s="471"/>
      <c r="FA592" s="450"/>
      <c r="FB592" s="471"/>
      <c r="FC592" s="450"/>
      <c r="FD592" s="471"/>
      <c r="FE592" s="450"/>
      <c r="FF592" s="471"/>
      <c r="FG592" s="450"/>
      <c r="FH592" s="472"/>
      <c r="FI592" s="450"/>
      <c r="FJ592" s="468">
        <f t="shared" si="305"/>
        <v>0</v>
      </c>
      <c r="FK592" s="469">
        <f t="shared" si="306"/>
        <v>0</v>
      </c>
      <c r="FL592" s="472"/>
      <c r="FM592" s="450"/>
      <c r="FN592" s="460">
        <f t="shared" si="307"/>
        <v>1113</v>
      </c>
      <c r="FO592" s="469">
        <f t="shared" si="308"/>
        <v>1297</v>
      </c>
    </row>
    <row r="593" spans="1:171" x14ac:dyDescent="0.2">
      <c r="A593" s="637" t="s">
        <v>854</v>
      </c>
      <c r="B593" s="644" t="s">
        <v>919</v>
      </c>
      <c r="C593" s="645"/>
      <c r="D593" s="546">
        <v>227854</v>
      </c>
      <c r="E593" s="654">
        <v>8</v>
      </c>
      <c r="F593" s="532">
        <v>715</v>
      </c>
      <c r="G593" s="640">
        <v>579</v>
      </c>
      <c r="H593" s="457"/>
      <c r="I593" s="450"/>
      <c r="J593" s="457">
        <v>718</v>
      </c>
      <c r="K593" s="627">
        <v>855</v>
      </c>
      <c r="L593" s="458">
        <f t="shared" si="285"/>
        <v>0</v>
      </c>
      <c r="M593" s="449">
        <f t="shared" si="286"/>
        <v>0</v>
      </c>
      <c r="N593" s="459"/>
      <c r="O593" s="459"/>
      <c r="P593" s="459"/>
      <c r="Q593" s="459"/>
      <c r="R593" s="460">
        <f t="shared" si="287"/>
        <v>0</v>
      </c>
      <c r="S593" s="461"/>
      <c r="T593" s="461"/>
      <c r="U593" s="461"/>
      <c r="V593" s="461"/>
      <c r="W593" s="462">
        <f t="shared" si="288"/>
        <v>0</v>
      </c>
      <c r="X593" s="463"/>
      <c r="Y593" s="457"/>
      <c r="Z593" s="464"/>
      <c r="AA593" s="464"/>
      <c r="AB593" s="465"/>
      <c r="AC593" s="457"/>
      <c r="AD593" s="464"/>
      <c r="AE593" s="466"/>
      <c r="AF593" s="465"/>
      <c r="AG593" s="457"/>
      <c r="AH593" s="464"/>
      <c r="AI593" s="466"/>
      <c r="AJ593" s="465"/>
      <c r="AK593" s="457"/>
      <c r="AL593" s="464"/>
      <c r="AM593" s="466"/>
      <c r="AN593" s="465"/>
      <c r="AO593" s="457"/>
      <c r="AP593" s="464"/>
      <c r="AQ593" s="464"/>
      <c r="AR593" s="460">
        <f t="shared" si="289"/>
        <v>0</v>
      </c>
      <c r="AS593" s="467">
        <f t="shared" si="290"/>
        <v>0</v>
      </c>
      <c r="AT593" s="447">
        <f t="shared" si="291"/>
        <v>0</v>
      </c>
      <c r="AU593" s="448">
        <f t="shared" si="292"/>
        <v>0</v>
      </c>
      <c r="AV593" s="457"/>
      <c r="AW593" s="450"/>
      <c r="AX593" s="463"/>
      <c r="AY593" s="457"/>
      <c r="AZ593" s="464"/>
      <c r="BA593" s="464"/>
      <c r="BB593" s="465"/>
      <c r="BC593" s="457"/>
      <c r="BD593" s="464"/>
      <c r="BE593" s="466"/>
      <c r="BF593" s="465"/>
      <c r="BG593" s="457"/>
      <c r="BH593" s="464"/>
      <c r="BI593" s="466"/>
      <c r="BJ593" s="465"/>
      <c r="BK593" s="457"/>
      <c r="BL593" s="464"/>
      <c r="BM593" s="466"/>
      <c r="BN593" s="465"/>
      <c r="BO593" s="457"/>
      <c r="BP593" s="464"/>
      <c r="BQ593" s="466"/>
      <c r="BR593" s="465"/>
      <c r="BS593" s="457"/>
      <c r="BT593" s="464"/>
      <c r="BU593" s="466"/>
      <c r="BV593" s="465"/>
      <c r="BW593" s="457"/>
      <c r="BX593" s="464"/>
      <c r="BY593" s="466"/>
      <c r="BZ593" s="465"/>
      <c r="CA593" s="457"/>
      <c r="CB593" s="464"/>
      <c r="CC593" s="466"/>
      <c r="CD593" s="465"/>
      <c r="CE593" s="457"/>
      <c r="CF593" s="464"/>
      <c r="CG593" s="466"/>
      <c r="CH593" s="465"/>
      <c r="CI593" s="457"/>
      <c r="CJ593" s="464"/>
      <c r="CK593" s="466"/>
      <c r="CL593" s="459"/>
      <c r="CM593" s="450"/>
      <c r="CN593" s="468">
        <f t="shared" si="293"/>
        <v>0</v>
      </c>
      <c r="CO593" s="468">
        <f t="shared" si="294"/>
        <v>0</v>
      </c>
      <c r="CP593" s="469">
        <f t="shared" si="295"/>
        <v>0</v>
      </c>
      <c r="CQ593" s="469">
        <f t="shared" si="296"/>
        <v>0</v>
      </c>
      <c r="CR593" s="463"/>
      <c r="CS593" s="457"/>
      <c r="CT593" s="464"/>
      <c r="CU593" s="464"/>
      <c r="CV593" s="465"/>
      <c r="CW593" s="457"/>
      <c r="CX593" s="464"/>
      <c r="CY593" s="466"/>
      <c r="CZ593" s="465"/>
      <c r="DA593" s="457"/>
      <c r="DB593" s="464"/>
      <c r="DC593" s="466"/>
      <c r="DD593" s="465"/>
      <c r="DE593" s="457"/>
      <c r="DF593" s="464"/>
      <c r="DG593" s="466"/>
      <c r="DH593" s="465"/>
      <c r="DI593" s="457"/>
      <c r="DJ593" s="464"/>
      <c r="DK593" s="466"/>
      <c r="DL593" s="465"/>
      <c r="DM593" s="457"/>
      <c r="DN593" s="464"/>
      <c r="DO593" s="466"/>
      <c r="DP593" s="465"/>
      <c r="DQ593" s="457"/>
      <c r="DR593" s="464"/>
      <c r="DS593" s="466"/>
      <c r="DT593" s="465"/>
      <c r="DU593" s="457"/>
      <c r="DV593" s="464"/>
      <c r="DW593" s="466"/>
      <c r="DX593" s="465"/>
      <c r="DY593" s="457"/>
      <c r="DZ593" s="464"/>
      <c r="EA593" s="466"/>
      <c r="EB593" s="465"/>
      <c r="EC593" s="457"/>
      <c r="ED593" s="464"/>
      <c r="EE593" s="466"/>
      <c r="EF593" s="459"/>
      <c r="EG593" s="450"/>
      <c r="EH593" s="460">
        <f t="shared" si="297"/>
        <v>0</v>
      </c>
      <c r="EI593" s="460">
        <f t="shared" si="298"/>
        <v>0</v>
      </c>
      <c r="EJ593" s="458">
        <f t="shared" si="299"/>
        <v>0</v>
      </c>
      <c r="EK593" s="470">
        <f t="shared" si="300"/>
        <v>0</v>
      </c>
      <c r="EL593" s="470">
        <f t="shared" si="301"/>
        <v>0</v>
      </c>
      <c r="EM593" s="449">
        <f t="shared" si="302"/>
        <v>0</v>
      </c>
      <c r="EN593" s="460">
        <f t="shared" si="303"/>
        <v>0</v>
      </c>
      <c r="EO593" s="469">
        <f t="shared" si="304"/>
        <v>0</v>
      </c>
      <c r="EP593" s="471"/>
      <c r="EQ593" s="450"/>
      <c r="ER593" s="471"/>
      <c r="ES593" s="450"/>
      <c r="ET593" s="471"/>
      <c r="EU593" s="450"/>
      <c r="EV593" s="471"/>
      <c r="EW593" s="450"/>
      <c r="EX593" s="471"/>
      <c r="EY593" s="450"/>
      <c r="EZ593" s="471"/>
      <c r="FA593" s="450"/>
      <c r="FB593" s="471"/>
      <c r="FC593" s="450"/>
      <c r="FD593" s="471"/>
      <c r="FE593" s="450"/>
      <c r="FF593" s="471"/>
      <c r="FG593" s="450"/>
      <c r="FH593" s="472"/>
      <c r="FI593" s="450"/>
      <c r="FJ593" s="468">
        <f t="shared" si="305"/>
        <v>0</v>
      </c>
      <c r="FK593" s="469">
        <f t="shared" si="306"/>
        <v>0</v>
      </c>
      <c r="FL593" s="472"/>
      <c r="FM593" s="450"/>
      <c r="FN593" s="460">
        <f t="shared" si="307"/>
        <v>1433</v>
      </c>
      <c r="FO593" s="469">
        <f t="shared" si="308"/>
        <v>1434</v>
      </c>
    </row>
    <row r="594" spans="1:171" x14ac:dyDescent="0.2">
      <c r="A594" s="637" t="s">
        <v>854</v>
      </c>
      <c r="B594" s="644" t="s">
        <v>920</v>
      </c>
      <c r="C594" s="645"/>
      <c r="D594" s="546">
        <v>228547</v>
      </c>
      <c r="E594" s="654">
        <v>8</v>
      </c>
      <c r="F594" s="532">
        <v>947</v>
      </c>
      <c r="G594" s="640">
        <v>1100</v>
      </c>
      <c r="H594" s="457"/>
      <c r="I594" s="450"/>
      <c r="J594" s="457">
        <v>3179</v>
      </c>
      <c r="K594" s="627">
        <v>3522</v>
      </c>
      <c r="L594" s="458">
        <f t="shared" si="285"/>
        <v>0</v>
      </c>
      <c r="M594" s="449">
        <f t="shared" si="286"/>
        <v>0</v>
      </c>
      <c r="N594" s="459"/>
      <c r="O594" s="459"/>
      <c r="P594" s="459"/>
      <c r="Q594" s="459"/>
      <c r="R594" s="460">
        <f t="shared" si="287"/>
        <v>0</v>
      </c>
      <c r="S594" s="461"/>
      <c r="T594" s="461"/>
      <c r="U594" s="461"/>
      <c r="V594" s="461"/>
      <c r="W594" s="462">
        <f t="shared" si="288"/>
        <v>0</v>
      </c>
      <c r="X594" s="463"/>
      <c r="Y594" s="457"/>
      <c r="Z594" s="464"/>
      <c r="AA594" s="464"/>
      <c r="AB594" s="465"/>
      <c r="AC594" s="457"/>
      <c r="AD594" s="464"/>
      <c r="AE594" s="466"/>
      <c r="AF594" s="465"/>
      <c r="AG594" s="457"/>
      <c r="AH594" s="464"/>
      <c r="AI594" s="466"/>
      <c r="AJ594" s="465"/>
      <c r="AK594" s="457"/>
      <c r="AL594" s="464"/>
      <c r="AM594" s="466"/>
      <c r="AN594" s="465"/>
      <c r="AO594" s="457"/>
      <c r="AP594" s="464"/>
      <c r="AQ594" s="464"/>
      <c r="AR594" s="460">
        <f t="shared" si="289"/>
        <v>0</v>
      </c>
      <c r="AS594" s="467">
        <f t="shared" si="290"/>
        <v>0</v>
      </c>
      <c r="AT594" s="447">
        <f t="shared" si="291"/>
        <v>0</v>
      </c>
      <c r="AU594" s="448">
        <f t="shared" si="292"/>
        <v>0</v>
      </c>
      <c r="AV594" s="457"/>
      <c r="AW594" s="450"/>
      <c r="AX594" s="463"/>
      <c r="AY594" s="457"/>
      <c r="AZ594" s="464"/>
      <c r="BA594" s="464"/>
      <c r="BB594" s="465"/>
      <c r="BC594" s="457"/>
      <c r="BD594" s="464"/>
      <c r="BE594" s="466"/>
      <c r="BF594" s="465"/>
      <c r="BG594" s="457"/>
      <c r="BH594" s="464"/>
      <c r="BI594" s="466"/>
      <c r="BJ594" s="465"/>
      <c r="BK594" s="457"/>
      <c r="BL594" s="464"/>
      <c r="BM594" s="466"/>
      <c r="BN594" s="465"/>
      <c r="BO594" s="457"/>
      <c r="BP594" s="464"/>
      <c r="BQ594" s="466"/>
      <c r="BR594" s="465"/>
      <c r="BS594" s="457"/>
      <c r="BT594" s="464"/>
      <c r="BU594" s="466"/>
      <c r="BV594" s="465"/>
      <c r="BW594" s="457"/>
      <c r="BX594" s="464"/>
      <c r="BY594" s="466"/>
      <c r="BZ594" s="465"/>
      <c r="CA594" s="457"/>
      <c r="CB594" s="464"/>
      <c r="CC594" s="466"/>
      <c r="CD594" s="465"/>
      <c r="CE594" s="457"/>
      <c r="CF594" s="464"/>
      <c r="CG594" s="466"/>
      <c r="CH594" s="465"/>
      <c r="CI594" s="457"/>
      <c r="CJ594" s="464"/>
      <c r="CK594" s="466"/>
      <c r="CL594" s="459"/>
      <c r="CM594" s="450"/>
      <c r="CN594" s="468">
        <f t="shared" si="293"/>
        <v>0</v>
      </c>
      <c r="CO594" s="468">
        <f t="shared" si="294"/>
        <v>0</v>
      </c>
      <c r="CP594" s="469">
        <f t="shared" si="295"/>
        <v>0</v>
      </c>
      <c r="CQ594" s="469">
        <f t="shared" si="296"/>
        <v>0</v>
      </c>
      <c r="CR594" s="463"/>
      <c r="CS594" s="457"/>
      <c r="CT594" s="464"/>
      <c r="CU594" s="464"/>
      <c r="CV594" s="465"/>
      <c r="CW594" s="457"/>
      <c r="CX594" s="464"/>
      <c r="CY594" s="466"/>
      <c r="CZ594" s="465"/>
      <c r="DA594" s="457"/>
      <c r="DB594" s="464"/>
      <c r="DC594" s="466"/>
      <c r="DD594" s="465"/>
      <c r="DE594" s="457"/>
      <c r="DF594" s="464"/>
      <c r="DG594" s="466"/>
      <c r="DH594" s="465"/>
      <c r="DI594" s="457"/>
      <c r="DJ594" s="464"/>
      <c r="DK594" s="466"/>
      <c r="DL594" s="465"/>
      <c r="DM594" s="457"/>
      <c r="DN594" s="464"/>
      <c r="DO594" s="466"/>
      <c r="DP594" s="465"/>
      <c r="DQ594" s="457"/>
      <c r="DR594" s="464"/>
      <c r="DS594" s="466"/>
      <c r="DT594" s="465"/>
      <c r="DU594" s="457"/>
      <c r="DV594" s="464"/>
      <c r="DW594" s="466"/>
      <c r="DX594" s="465"/>
      <c r="DY594" s="457"/>
      <c r="DZ594" s="464"/>
      <c r="EA594" s="466"/>
      <c r="EB594" s="465"/>
      <c r="EC594" s="457"/>
      <c r="ED594" s="464"/>
      <c r="EE594" s="466"/>
      <c r="EF594" s="459"/>
      <c r="EG594" s="450"/>
      <c r="EH594" s="460">
        <f t="shared" si="297"/>
        <v>0</v>
      </c>
      <c r="EI594" s="460">
        <f t="shared" si="298"/>
        <v>0</v>
      </c>
      <c r="EJ594" s="458">
        <f t="shared" si="299"/>
        <v>0</v>
      </c>
      <c r="EK594" s="470">
        <f t="shared" si="300"/>
        <v>0</v>
      </c>
      <c r="EL594" s="470">
        <f t="shared" si="301"/>
        <v>0</v>
      </c>
      <c r="EM594" s="449">
        <f t="shared" si="302"/>
        <v>0</v>
      </c>
      <c r="EN594" s="460">
        <f t="shared" si="303"/>
        <v>0</v>
      </c>
      <c r="EO594" s="469">
        <f t="shared" si="304"/>
        <v>0</v>
      </c>
      <c r="EP594" s="471"/>
      <c r="EQ594" s="450"/>
      <c r="ER594" s="471"/>
      <c r="ES594" s="450"/>
      <c r="ET594" s="471"/>
      <c r="EU594" s="450"/>
      <c r="EV594" s="471"/>
      <c r="EW594" s="450"/>
      <c r="EX594" s="471"/>
      <c r="EY594" s="450"/>
      <c r="EZ594" s="471"/>
      <c r="FA594" s="450"/>
      <c r="FB594" s="471"/>
      <c r="FC594" s="450"/>
      <c r="FD594" s="471"/>
      <c r="FE594" s="450"/>
      <c r="FF594" s="471"/>
      <c r="FG594" s="450"/>
      <c r="FH594" s="472"/>
      <c r="FI594" s="450"/>
      <c r="FJ594" s="468">
        <f t="shared" si="305"/>
        <v>0</v>
      </c>
      <c r="FK594" s="469">
        <f t="shared" si="306"/>
        <v>0</v>
      </c>
      <c r="FL594" s="472"/>
      <c r="FM594" s="450"/>
      <c r="FN594" s="460">
        <f t="shared" si="307"/>
        <v>4126</v>
      </c>
      <c r="FO594" s="469">
        <f t="shared" si="308"/>
        <v>4622</v>
      </c>
    </row>
    <row r="595" spans="1:171" x14ac:dyDescent="0.2">
      <c r="A595" s="637" t="s">
        <v>854</v>
      </c>
      <c r="B595" s="644" t="s">
        <v>921</v>
      </c>
      <c r="C595" s="645" t="s">
        <v>977</v>
      </c>
      <c r="D595" s="546">
        <v>229072</v>
      </c>
      <c r="E595" s="654">
        <v>8</v>
      </c>
      <c r="F595" s="532">
        <v>178</v>
      </c>
      <c r="G595" s="640">
        <v>222</v>
      </c>
      <c r="H595" s="457"/>
      <c r="I595" s="450"/>
      <c r="J595" s="457">
        <v>819</v>
      </c>
      <c r="K595" s="627">
        <v>937</v>
      </c>
      <c r="L595" s="458">
        <f t="shared" si="285"/>
        <v>0</v>
      </c>
      <c r="M595" s="449">
        <f t="shared" si="286"/>
        <v>0</v>
      </c>
      <c r="N595" s="459"/>
      <c r="O595" s="459"/>
      <c r="P595" s="459"/>
      <c r="Q595" s="459"/>
      <c r="R595" s="460">
        <f t="shared" si="287"/>
        <v>0</v>
      </c>
      <c r="S595" s="461"/>
      <c r="T595" s="461"/>
      <c r="U595" s="461"/>
      <c r="V595" s="461"/>
      <c r="W595" s="462">
        <f t="shared" si="288"/>
        <v>0</v>
      </c>
      <c r="X595" s="463"/>
      <c r="Y595" s="457"/>
      <c r="Z595" s="464"/>
      <c r="AA595" s="464"/>
      <c r="AB595" s="465"/>
      <c r="AC595" s="457"/>
      <c r="AD595" s="464"/>
      <c r="AE595" s="466"/>
      <c r="AF595" s="465"/>
      <c r="AG595" s="457"/>
      <c r="AH595" s="464"/>
      <c r="AI595" s="466"/>
      <c r="AJ595" s="465"/>
      <c r="AK595" s="457"/>
      <c r="AL595" s="464"/>
      <c r="AM595" s="466"/>
      <c r="AN595" s="465"/>
      <c r="AO595" s="457"/>
      <c r="AP595" s="464"/>
      <c r="AQ595" s="464"/>
      <c r="AR595" s="460">
        <f t="shared" si="289"/>
        <v>0</v>
      </c>
      <c r="AS595" s="467">
        <f t="shared" si="290"/>
        <v>0</v>
      </c>
      <c r="AT595" s="447">
        <f t="shared" si="291"/>
        <v>0</v>
      </c>
      <c r="AU595" s="448">
        <f t="shared" si="292"/>
        <v>0</v>
      </c>
      <c r="AV595" s="457"/>
      <c r="AW595" s="450"/>
      <c r="AX595" s="463"/>
      <c r="AY595" s="457"/>
      <c r="AZ595" s="464"/>
      <c r="BA595" s="464"/>
      <c r="BB595" s="465"/>
      <c r="BC595" s="457"/>
      <c r="BD595" s="464"/>
      <c r="BE595" s="466"/>
      <c r="BF595" s="465"/>
      <c r="BG595" s="457"/>
      <c r="BH595" s="464"/>
      <c r="BI595" s="466"/>
      <c r="BJ595" s="465"/>
      <c r="BK595" s="457"/>
      <c r="BL595" s="464"/>
      <c r="BM595" s="466"/>
      <c r="BN595" s="465"/>
      <c r="BO595" s="457"/>
      <c r="BP595" s="464"/>
      <c r="BQ595" s="466"/>
      <c r="BR595" s="465"/>
      <c r="BS595" s="457"/>
      <c r="BT595" s="464"/>
      <c r="BU595" s="466"/>
      <c r="BV595" s="465"/>
      <c r="BW595" s="457"/>
      <c r="BX595" s="464"/>
      <c r="BY595" s="466"/>
      <c r="BZ595" s="465"/>
      <c r="CA595" s="457"/>
      <c r="CB595" s="464"/>
      <c r="CC595" s="466"/>
      <c r="CD595" s="465"/>
      <c r="CE595" s="457"/>
      <c r="CF595" s="464"/>
      <c r="CG595" s="466"/>
      <c r="CH595" s="465"/>
      <c r="CI595" s="457"/>
      <c r="CJ595" s="464"/>
      <c r="CK595" s="466"/>
      <c r="CL595" s="459"/>
      <c r="CM595" s="450"/>
      <c r="CN595" s="468">
        <f t="shared" si="293"/>
        <v>0</v>
      </c>
      <c r="CO595" s="468">
        <f t="shared" si="294"/>
        <v>0</v>
      </c>
      <c r="CP595" s="469">
        <f t="shared" si="295"/>
        <v>0</v>
      </c>
      <c r="CQ595" s="469">
        <f t="shared" si="296"/>
        <v>0</v>
      </c>
      <c r="CR595" s="463"/>
      <c r="CS595" s="457"/>
      <c r="CT595" s="464"/>
      <c r="CU595" s="464"/>
      <c r="CV595" s="465"/>
      <c r="CW595" s="457"/>
      <c r="CX595" s="464"/>
      <c r="CY595" s="466"/>
      <c r="CZ595" s="465"/>
      <c r="DA595" s="457"/>
      <c r="DB595" s="464"/>
      <c r="DC595" s="466"/>
      <c r="DD595" s="465"/>
      <c r="DE595" s="457"/>
      <c r="DF595" s="464"/>
      <c r="DG595" s="466"/>
      <c r="DH595" s="465"/>
      <c r="DI595" s="457"/>
      <c r="DJ595" s="464"/>
      <c r="DK595" s="466"/>
      <c r="DL595" s="465"/>
      <c r="DM595" s="457"/>
      <c r="DN595" s="464"/>
      <c r="DO595" s="466"/>
      <c r="DP595" s="465"/>
      <c r="DQ595" s="457"/>
      <c r="DR595" s="464"/>
      <c r="DS595" s="466"/>
      <c r="DT595" s="465"/>
      <c r="DU595" s="457"/>
      <c r="DV595" s="464"/>
      <c r="DW595" s="466"/>
      <c r="DX595" s="465"/>
      <c r="DY595" s="457"/>
      <c r="DZ595" s="464"/>
      <c r="EA595" s="466"/>
      <c r="EB595" s="465"/>
      <c r="EC595" s="457"/>
      <c r="ED595" s="464"/>
      <c r="EE595" s="466"/>
      <c r="EF595" s="459"/>
      <c r="EG595" s="450"/>
      <c r="EH595" s="460">
        <f t="shared" si="297"/>
        <v>0</v>
      </c>
      <c r="EI595" s="460">
        <f t="shared" si="298"/>
        <v>0</v>
      </c>
      <c r="EJ595" s="458">
        <f t="shared" si="299"/>
        <v>0</v>
      </c>
      <c r="EK595" s="470">
        <f t="shared" si="300"/>
        <v>0</v>
      </c>
      <c r="EL595" s="470">
        <f t="shared" si="301"/>
        <v>0</v>
      </c>
      <c r="EM595" s="449">
        <f t="shared" si="302"/>
        <v>0</v>
      </c>
      <c r="EN595" s="460">
        <f t="shared" si="303"/>
        <v>0</v>
      </c>
      <c r="EO595" s="469">
        <f t="shared" si="304"/>
        <v>0</v>
      </c>
      <c r="EP595" s="471"/>
      <c r="EQ595" s="450"/>
      <c r="ER595" s="471"/>
      <c r="ES595" s="450"/>
      <c r="ET595" s="471"/>
      <c r="EU595" s="450"/>
      <c r="EV595" s="471"/>
      <c r="EW595" s="450"/>
      <c r="EX595" s="471"/>
      <c r="EY595" s="450"/>
      <c r="EZ595" s="471"/>
      <c r="FA595" s="450"/>
      <c r="FB595" s="471"/>
      <c r="FC595" s="450"/>
      <c r="FD595" s="471"/>
      <c r="FE595" s="450"/>
      <c r="FF595" s="471"/>
      <c r="FG595" s="450"/>
      <c r="FH595" s="472"/>
      <c r="FI595" s="450"/>
      <c r="FJ595" s="468">
        <f t="shared" si="305"/>
        <v>0</v>
      </c>
      <c r="FK595" s="469">
        <f t="shared" si="306"/>
        <v>0</v>
      </c>
      <c r="FL595" s="472"/>
      <c r="FM595" s="450"/>
      <c r="FN595" s="460">
        <f t="shared" si="307"/>
        <v>997</v>
      </c>
      <c r="FO595" s="469">
        <f t="shared" si="308"/>
        <v>1159</v>
      </c>
    </row>
    <row r="596" spans="1:171" x14ac:dyDescent="0.2">
      <c r="A596" s="637" t="s">
        <v>854</v>
      </c>
      <c r="B596" s="544" t="s">
        <v>922</v>
      </c>
      <c r="C596" s="645" t="s">
        <v>977</v>
      </c>
      <c r="D596" s="546">
        <v>228680</v>
      </c>
      <c r="E596" s="635">
        <v>8</v>
      </c>
      <c r="F596" s="532">
        <v>380</v>
      </c>
      <c r="G596" s="640">
        <v>342</v>
      </c>
      <c r="H596" s="457"/>
      <c r="I596" s="450"/>
      <c r="J596" s="457">
        <v>718</v>
      </c>
      <c r="K596" s="627">
        <v>924</v>
      </c>
      <c r="L596" s="458">
        <f t="shared" si="285"/>
        <v>0</v>
      </c>
      <c r="M596" s="449">
        <f t="shared" si="286"/>
        <v>0</v>
      </c>
      <c r="N596" s="459"/>
      <c r="O596" s="459"/>
      <c r="P596" s="459"/>
      <c r="Q596" s="459"/>
      <c r="R596" s="460">
        <f t="shared" si="287"/>
        <v>0</v>
      </c>
      <c r="S596" s="461"/>
      <c r="T596" s="461"/>
      <c r="U596" s="461"/>
      <c r="V596" s="461"/>
      <c r="W596" s="462">
        <f t="shared" si="288"/>
        <v>0</v>
      </c>
      <c r="X596" s="463"/>
      <c r="Y596" s="457"/>
      <c r="Z596" s="464"/>
      <c r="AA596" s="464"/>
      <c r="AB596" s="465"/>
      <c r="AC596" s="457"/>
      <c r="AD596" s="464"/>
      <c r="AE596" s="466"/>
      <c r="AF596" s="465"/>
      <c r="AG596" s="457"/>
      <c r="AH596" s="464"/>
      <c r="AI596" s="466"/>
      <c r="AJ596" s="465"/>
      <c r="AK596" s="457"/>
      <c r="AL596" s="464"/>
      <c r="AM596" s="466"/>
      <c r="AN596" s="465"/>
      <c r="AO596" s="457"/>
      <c r="AP596" s="464"/>
      <c r="AQ596" s="464"/>
      <c r="AR596" s="460">
        <f t="shared" si="289"/>
        <v>0</v>
      </c>
      <c r="AS596" s="467">
        <f t="shared" si="290"/>
        <v>0</v>
      </c>
      <c r="AT596" s="447">
        <f t="shared" si="291"/>
        <v>0</v>
      </c>
      <c r="AU596" s="448">
        <f t="shared" si="292"/>
        <v>0</v>
      </c>
      <c r="AV596" s="457"/>
      <c r="AW596" s="450"/>
      <c r="AX596" s="463"/>
      <c r="AY596" s="457"/>
      <c r="AZ596" s="464"/>
      <c r="BA596" s="464"/>
      <c r="BB596" s="465"/>
      <c r="BC596" s="457"/>
      <c r="BD596" s="464"/>
      <c r="BE596" s="466"/>
      <c r="BF596" s="465"/>
      <c r="BG596" s="457"/>
      <c r="BH596" s="464"/>
      <c r="BI596" s="466"/>
      <c r="BJ596" s="465"/>
      <c r="BK596" s="457"/>
      <c r="BL596" s="464"/>
      <c r="BM596" s="466"/>
      <c r="BN596" s="465"/>
      <c r="BO596" s="457"/>
      <c r="BP596" s="464"/>
      <c r="BQ596" s="466"/>
      <c r="BR596" s="465"/>
      <c r="BS596" s="457"/>
      <c r="BT596" s="464"/>
      <c r="BU596" s="466"/>
      <c r="BV596" s="465"/>
      <c r="BW596" s="457"/>
      <c r="BX596" s="464"/>
      <c r="BY596" s="466"/>
      <c r="BZ596" s="465"/>
      <c r="CA596" s="457"/>
      <c r="CB596" s="464"/>
      <c r="CC596" s="466"/>
      <c r="CD596" s="465"/>
      <c r="CE596" s="457"/>
      <c r="CF596" s="464"/>
      <c r="CG596" s="466"/>
      <c r="CH596" s="465"/>
      <c r="CI596" s="457"/>
      <c r="CJ596" s="464"/>
      <c r="CK596" s="466"/>
      <c r="CL596" s="459"/>
      <c r="CM596" s="450"/>
      <c r="CN596" s="468">
        <f t="shared" si="293"/>
        <v>0</v>
      </c>
      <c r="CO596" s="468">
        <f t="shared" si="294"/>
        <v>0</v>
      </c>
      <c r="CP596" s="469">
        <f t="shared" si="295"/>
        <v>0</v>
      </c>
      <c r="CQ596" s="469">
        <f t="shared" si="296"/>
        <v>0</v>
      </c>
      <c r="CR596" s="463"/>
      <c r="CS596" s="457"/>
      <c r="CT596" s="464"/>
      <c r="CU596" s="464"/>
      <c r="CV596" s="465"/>
      <c r="CW596" s="457"/>
      <c r="CX596" s="464"/>
      <c r="CY596" s="466"/>
      <c r="CZ596" s="465"/>
      <c r="DA596" s="457"/>
      <c r="DB596" s="464"/>
      <c r="DC596" s="466"/>
      <c r="DD596" s="465"/>
      <c r="DE596" s="457"/>
      <c r="DF596" s="464"/>
      <c r="DG596" s="466"/>
      <c r="DH596" s="465"/>
      <c r="DI596" s="457"/>
      <c r="DJ596" s="464"/>
      <c r="DK596" s="466"/>
      <c r="DL596" s="465"/>
      <c r="DM596" s="457"/>
      <c r="DN596" s="464"/>
      <c r="DO596" s="466"/>
      <c r="DP596" s="465"/>
      <c r="DQ596" s="457"/>
      <c r="DR596" s="464"/>
      <c r="DS596" s="466"/>
      <c r="DT596" s="465"/>
      <c r="DU596" s="457"/>
      <c r="DV596" s="464"/>
      <c r="DW596" s="466"/>
      <c r="DX596" s="465"/>
      <c r="DY596" s="457"/>
      <c r="DZ596" s="464"/>
      <c r="EA596" s="466"/>
      <c r="EB596" s="465"/>
      <c r="EC596" s="457"/>
      <c r="ED596" s="464"/>
      <c r="EE596" s="466"/>
      <c r="EF596" s="459"/>
      <c r="EG596" s="450"/>
      <c r="EH596" s="460">
        <f t="shared" si="297"/>
        <v>0</v>
      </c>
      <c r="EI596" s="460">
        <f t="shared" si="298"/>
        <v>0</v>
      </c>
      <c r="EJ596" s="458">
        <f t="shared" si="299"/>
        <v>0</v>
      </c>
      <c r="EK596" s="470">
        <f t="shared" si="300"/>
        <v>0</v>
      </c>
      <c r="EL596" s="470">
        <f t="shared" si="301"/>
        <v>0</v>
      </c>
      <c r="EM596" s="449">
        <f t="shared" si="302"/>
        <v>0</v>
      </c>
      <c r="EN596" s="460">
        <f t="shared" si="303"/>
        <v>0</v>
      </c>
      <c r="EO596" s="469">
        <f t="shared" si="304"/>
        <v>0</v>
      </c>
      <c r="EP596" s="471"/>
      <c r="EQ596" s="450"/>
      <c r="ER596" s="471"/>
      <c r="ES596" s="450"/>
      <c r="ET596" s="471"/>
      <c r="EU596" s="450"/>
      <c r="EV596" s="471"/>
      <c r="EW596" s="450"/>
      <c r="EX596" s="471"/>
      <c r="EY596" s="450"/>
      <c r="EZ596" s="471"/>
      <c r="FA596" s="450"/>
      <c r="FB596" s="471"/>
      <c r="FC596" s="450"/>
      <c r="FD596" s="471"/>
      <c r="FE596" s="450"/>
      <c r="FF596" s="471"/>
      <c r="FG596" s="450"/>
      <c r="FH596" s="472"/>
      <c r="FI596" s="450"/>
      <c r="FJ596" s="468">
        <f t="shared" si="305"/>
        <v>0</v>
      </c>
      <c r="FK596" s="469">
        <f t="shared" si="306"/>
        <v>0</v>
      </c>
      <c r="FL596" s="472"/>
      <c r="FM596" s="450"/>
      <c r="FN596" s="460">
        <f t="shared" si="307"/>
        <v>1098</v>
      </c>
      <c r="FO596" s="469">
        <f t="shared" si="308"/>
        <v>1266</v>
      </c>
    </row>
    <row r="597" spans="1:171" x14ac:dyDescent="0.2">
      <c r="A597" s="637" t="s">
        <v>854</v>
      </c>
      <c r="B597" s="544" t="s">
        <v>923</v>
      </c>
      <c r="C597" s="636"/>
      <c r="D597" s="546">
        <v>225308</v>
      </c>
      <c r="E597" s="635">
        <v>8</v>
      </c>
      <c r="F597" s="532">
        <v>818</v>
      </c>
      <c r="G597" s="640">
        <v>734</v>
      </c>
      <c r="H597" s="457"/>
      <c r="I597" s="450"/>
      <c r="J597" s="457">
        <v>716</v>
      </c>
      <c r="K597" s="627">
        <v>807</v>
      </c>
      <c r="L597" s="458">
        <f t="shared" si="285"/>
        <v>0</v>
      </c>
      <c r="M597" s="449">
        <f t="shared" si="286"/>
        <v>0</v>
      </c>
      <c r="N597" s="459"/>
      <c r="O597" s="459"/>
      <c r="P597" s="459"/>
      <c r="Q597" s="459"/>
      <c r="R597" s="460">
        <f t="shared" si="287"/>
        <v>0</v>
      </c>
      <c r="S597" s="461"/>
      <c r="T597" s="461"/>
      <c r="U597" s="461"/>
      <c r="V597" s="461"/>
      <c r="W597" s="462">
        <f t="shared" si="288"/>
        <v>0</v>
      </c>
      <c r="X597" s="463"/>
      <c r="Y597" s="457"/>
      <c r="Z597" s="464"/>
      <c r="AA597" s="464"/>
      <c r="AB597" s="465"/>
      <c r="AC597" s="457"/>
      <c r="AD597" s="464"/>
      <c r="AE597" s="466"/>
      <c r="AF597" s="465"/>
      <c r="AG597" s="457"/>
      <c r="AH597" s="464"/>
      <c r="AI597" s="466"/>
      <c r="AJ597" s="465"/>
      <c r="AK597" s="457"/>
      <c r="AL597" s="464"/>
      <c r="AM597" s="466"/>
      <c r="AN597" s="465"/>
      <c r="AO597" s="457"/>
      <c r="AP597" s="464"/>
      <c r="AQ597" s="464"/>
      <c r="AR597" s="460">
        <f t="shared" si="289"/>
        <v>0</v>
      </c>
      <c r="AS597" s="467">
        <f t="shared" si="290"/>
        <v>0</v>
      </c>
      <c r="AT597" s="447">
        <f t="shared" si="291"/>
        <v>0</v>
      </c>
      <c r="AU597" s="448">
        <f t="shared" si="292"/>
        <v>0</v>
      </c>
      <c r="AV597" s="457"/>
      <c r="AW597" s="450"/>
      <c r="AX597" s="463"/>
      <c r="AY597" s="457"/>
      <c r="AZ597" s="464"/>
      <c r="BA597" s="464"/>
      <c r="BB597" s="465"/>
      <c r="BC597" s="457"/>
      <c r="BD597" s="464"/>
      <c r="BE597" s="466"/>
      <c r="BF597" s="465"/>
      <c r="BG597" s="457"/>
      <c r="BH597" s="464"/>
      <c r="BI597" s="466"/>
      <c r="BJ597" s="465"/>
      <c r="BK597" s="457"/>
      <c r="BL597" s="464"/>
      <c r="BM597" s="466"/>
      <c r="BN597" s="465"/>
      <c r="BO597" s="457"/>
      <c r="BP597" s="464"/>
      <c r="BQ597" s="466"/>
      <c r="BR597" s="465"/>
      <c r="BS597" s="457"/>
      <c r="BT597" s="464"/>
      <c r="BU597" s="466"/>
      <c r="BV597" s="465"/>
      <c r="BW597" s="457"/>
      <c r="BX597" s="464"/>
      <c r="BY597" s="466"/>
      <c r="BZ597" s="465"/>
      <c r="CA597" s="457"/>
      <c r="CB597" s="464"/>
      <c r="CC597" s="466"/>
      <c r="CD597" s="465"/>
      <c r="CE597" s="457"/>
      <c r="CF597" s="464"/>
      <c r="CG597" s="466"/>
      <c r="CH597" s="465"/>
      <c r="CI597" s="457"/>
      <c r="CJ597" s="464"/>
      <c r="CK597" s="466"/>
      <c r="CL597" s="459"/>
      <c r="CM597" s="450"/>
      <c r="CN597" s="468">
        <f t="shared" si="293"/>
        <v>0</v>
      </c>
      <c r="CO597" s="468">
        <f t="shared" si="294"/>
        <v>0</v>
      </c>
      <c r="CP597" s="469">
        <f t="shared" si="295"/>
        <v>0</v>
      </c>
      <c r="CQ597" s="469">
        <f t="shared" si="296"/>
        <v>0</v>
      </c>
      <c r="CR597" s="463"/>
      <c r="CS597" s="457"/>
      <c r="CT597" s="464"/>
      <c r="CU597" s="464"/>
      <c r="CV597" s="465"/>
      <c r="CW597" s="457"/>
      <c r="CX597" s="464"/>
      <c r="CY597" s="466"/>
      <c r="CZ597" s="465"/>
      <c r="DA597" s="457"/>
      <c r="DB597" s="464"/>
      <c r="DC597" s="466"/>
      <c r="DD597" s="465"/>
      <c r="DE597" s="457"/>
      <c r="DF597" s="464"/>
      <c r="DG597" s="466"/>
      <c r="DH597" s="465"/>
      <c r="DI597" s="457"/>
      <c r="DJ597" s="464"/>
      <c r="DK597" s="466"/>
      <c r="DL597" s="465"/>
      <c r="DM597" s="457"/>
      <c r="DN597" s="464"/>
      <c r="DO597" s="466"/>
      <c r="DP597" s="465"/>
      <c r="DQ597" s="457"/>
      <c r="DR597" s="464"/>
      <c r="DS597" s="466"/>
      <c r="DT597" s="465"/>
      <c r="DU597" s="457"/>
      <c r="DV597" s="464"/>
      <c r="DW597" s="466"/>
      <c r="DX597" s="465"/>
      <c r="DY597" s="457"/>
      <c r="DZ597" s="464"/>
      <c r="EA597" s="466"/>
      <c r="EB597" s="465"/>
      <c r="EC597" s="457"/>
      <c r="ED597" s="464"/>
      <c r="EE597" s="466"/>
      <c r="EF597" s="459"/>
      <c r="EG597" s="450"/>
      <c r="EH597" s="460">
        <f t="shared" si="297"/>
        <v>0</v>
      </c>
      <c r="EI597" s="460">
        <f t="shared" si="298"/>
        <v>0</v>
      </c>
      <c r="EJ597" s="458">
        <f t="shared" si="299"/>
        <v>0</v>
      </c>
      <c r="EK597" s="470">
        <f t="shared" si="300"/>
        <v>0</v>
      </c>
      <c r="EL597" s="470">
        <f t="shared" si="301"/>
        <v>0</v>
      </c>
      <c r="EM597" s="449">
        <f t="shared" si="302"/>
        <v>0</v>
      </c>
      <c r="EN597" s="460">
        <f t="shared" si="303"/>
        <v>0</v>
      </c>
      <c r="EO597" s="469">
        <f t="shared" si="304"/>
        <v>0</v>
      </c>
      <c r="EP597" s="471"/>
      <c r="EQ597" s="450"/>
      <c r="ER597" s="471"/>
      <c r="ES597" s="450"/>
      <c r="ET597" s="471"/>
      <c r="EU597" s="450"/>
      <c r="EV597" s="471"/>
      <c r="EW597" s="450"/>
      <c r="EX597" s="471"/>
      <c r="EY597" s="450"/>
      <c r="EZ597" s="471"/>
      <c r="FA597" s="450"/>
      <c r="FB597" s="471"/>
      <c r="FC597" s="450"/>
      <c r="FD597" s="471"/>
      <c r="FE597" s="450"/>
      <c r="FF597" s="471"/>
      <c r="FG597" s="450"/>
      <c r="FH597" s="472"/>
      <c r="FI597" s="450"/>
      <c r="FJ597" s="468">
        <f t="shared" si="305"/>
        <v>0</v>
      </c>
      <c r="FK597" s="469">
        <f t="shared" si="306"/>
        <v>0</v>
      </c>
      <c r="FL597" s="472"/>
      <c r="FM597" s="450"/>
      <c r="FN597" s="460">
        <f t="shared" si="307"/>
        <v>1534</v>
      </c>
      <c r="FO597" s="469">
        <f t="shared" si="308"/>
        <v>1541</v>
      </c>
    </row>
    <row r="598" spans="1:171" x14ac:dyDescent="0.2">
      <c r="A598" s="637" t="s">
        <v>854</v>
      </c>
      <c r="B598" s="644" t="s">
        <v>924</v>
      </c>
      <c r="C598" s="645"/>
      <c r="D598" s="546">
        <v>229355</v>
      </c>
      <c r="E598" s="654">
        <v>8</v>
      </c>
      <c r="F598" s="532">
        <v>648</v>
      </c>
      <c r="G598" s="640">
        <v>766</v>
      </c>
      <c r="H598" s="457"/>
      <c r="I598" s="450"/>
      <c r="J598" s="457">
        <v>943</v>
      </c>
      <c r="K598" s="627">
        <v>1090</v>
      </c>
      <c r="L598" s="458">
        <f t="shared" si="285"/>
        <v>0</v>
      </c>
      <c r="M598" s="449">
        <f t="shared" si="286"/>
        <v>0</v>
      </c>
      <c r="N598" s="459"/>
      <c r="O598" s="459"/>
      <c r="P598" s="459"/>
      <c r="Q598" s="459"/>
      <c r="R598" s="460">
        <f t="shared" si="287"/>
        <v>0</v>
      </c>
      <c r="S598" s="461"/>
      <c r="T598" s="461"/>
      <c r="U598" s="461"/>
      <c r="V598" s="461"/>
      <c r="W598" s="462">
        <f t="shared" si="288"/>
        <v>0</v>
      </c>
      <c r="X598" s="463"/>
      <c r="Y598" s="457"/>
      <c r="Z598" s="464"/>
      <c r="AA598" s="464"/>
      <c r="AB598" s="465"/>
      <c r="AC598" s="457"/>
      <c r="AD598" s="464"/>
      <c r="AE598" s="466"/>
      <c r="AF598" s="465"/>
      <c r="AG598" s="457"/>
      <c r="AH598" s="464"/>
      <c r="AI598" s="466"/>
      <c r="AJ598" s="465"/>
      <c r="AK598" s="457"/>
      <c r="AL598" s="464"/>
      <c r="AM598" s="466"/>
      <c r="AN598" s="465"/>
      <c r="AO598" s="457"/>
      <c r="AP598" s="464"/>
      <c r="AQ598" s="464"/>
      <c r="AR598" s="460">
        <f t="shared" si="289"/>
        <v>0</v>
      </c>
      <c r="AS598" s="467">
        <f t="shared" si="290"/>
        <v>0</v>
      </c>
      <c r="AT598" s="447">
        <f t="shared" si="291"/>
        <v>0</v>
      </c>
      <c r="AU598" s="448">
        <f t="shared" si="292"/>
        <v>0</v>
      </c>
      <c r="AV598" s="457"/>
      <c r="AW598" s="450"/>
      <c r="AX598" s="463"/>
      <c r="AY598" s="457"/>
      <c r="AZ598" s="464"/>
      <c r="BA598" s="464"/>
      <c r="BB598" s="465"/>
      <c r="BC598" s="457"/>
      <c r="BD598" s="464"/>
      <c r="BE598" s="466"/>
      <c r="BF598" s="465"/>
      <c r="BG598" s="457"/>
      <c r="BH598" s="464"/>
      <c r="BI598" s="466"/>
      <c r="BJ598" s="465"/>
      <c r="BK598" s="457"/>
      <c r="BL598" s="464"/>
      <c r="BM598" s="466"/>
      <c r="BN598" s="465"/>
      <c r="BO598" s="457"/>
      <c r="BP598" s="464"/>
      <c r="BQ598" s="466"/>
      <c r="BR598" s="465"/>
      <c r="BS598" s="457"/>
      <c r="BT598" s="464"/>
      <c r="BU598" s="466"/>
      <c r="BV598" s="465"/>
      <c r="BW598" s="457"/>
      <c r="BX598" s="464"/>
      <c r="BY598" s="466"/>
      <c r="BZ598" s="465"/>
      <c r="CA598" s="457"/>
      <c r="CB598" s="464"/>
      <c r="CC598" s="466"/>
      <c r="CD598" s="465"/>
      <c r="CE598" s="457"/>
      <c r="CF598" s="464"/>
      <c r="CG598" s="466"/>
      <c r="CH598" s="465"/>
      <c r="CI598" s="457"/>
      <c r="CJ598" s="464"/>
      <c r="CK598" s="466"/>
      <c r="CL598" s="459"/>
      <c r="CM598" s="450"/>
      <c r="CN598" s="468">
        <f t="shared" si="293"/>
        <v>0</v>
      </c>
      <c r="CO598" s="468">
        <f t="shared" si="294"/>
        <v>0</v>
      </c>
      <c r="CP598" s="469">
        <f t="shared" si="295"/>
        <v>0</v>
      </c>
      <c r="CQ598" s="469">
        <f t="shared" si="296"/>
        <v>0</v>
      </c>
      <c r="CR598" s="463"/>
      <c r="CS598" s="457"/>
      <c r="CT598" s="464"/>
      <c r="CU598" s="464"/>
      <c r="CV598" s="465"/>
      <c r="CW598" s="457"/>
      <c r="CX598" s="464"/>
      <c r="CY598" s="466"/>
      <c r="CZ598" s="465"/>
      <c r="DA598" s="457"/>
      <c r="DB598" s="464"/>
      <c r="DC598" s="466"/>
      <c r="DD598" s="465"/>
      <c r="DE598" s="457"/>
      <c r="DF598" s="464"/>
      <c r="DG598" s="466"/>
      <c r="DH598" s="465"/>
      <c r="DI598" s="457"/>
      <c r="DJ598" s="464"/>
      <c r="DK598" s="466"/>
      <c r="DL598" s="465"/>
      <c r="DM598" s="457"/>
      <c r="DN598" s="464"/>
      <c r="DO598" s="466"/>
      <c r="DP598" s="465"/>
      <c r="DQ598" s="457"/>
      <c r="DR598" s="464"/>
      <c r="DS598" s="466"/>
      <c r="DT598" s="465"/>
      <c r="DU598" s="457"/>
      <c r="DV598" s="464"/>
      <c r="DW598" s="466"/>
      <c r="DX598" s="465"/>
      <c r="DY598" s="457"/>
      <c r="DZ598" s="464"/>
      <c r="EA598" s="466"/>
      <c r="EB598" s="465"/>
      <c r="EC598" s="457"/>
      <c r="ED598" s="464"/>
      <c r="EE598" s="466"/>
      <c r="EF598" s="459"/>
      <c r="EG598" s="450"/>
      <c r="EH598" s="460">
        <f t="shared" si="297"/>
        <v>0</v>
      </c>
      <c r="EI598" s="460">
        <f t="shared" si="298"/>
        <v>0</v>
      </c>
      <c r="EJ598" s="458">
        <f t="shared" si="299"/>
        <v>0</v>
      </c>
      <c r="EK598" s="470">
        <f t="shared" si="300"/>
        <v>0</v>
      </c>
      <c r="EL598" s="470">
        <f t="shared" si="301"/>
        <v>0</v>
      </c>
      <c r="EM598" s="449">
        <f t="shared" si="302"/>
        <v>0</v>
      </c>
      <c r="EN598" s="460">
        <f t="shared" si="303"/>
        <v>0</v>
      </c>
      <c r="EO598" s="469">
        <f t="shared" si="304"/>
        <v>0</v>
      </c>
      <c r="EP598" s="471"/>
      <c r="EQ598" s="450"/>
      <c r="ER598" s="471"/>
      <c r="ES598" s="450"/>
      <c r="ET598" s="471"/>
      <c r="EU598" s="450"/>
      <c r="EV598" s="471"/>
      <c r="EW598" s="450"/>
      <c r="EX598" s="471"/>
      <c r="EY598" s="450"/>
      <c r="EZ598" s="471"/>
      <c r="FA598" s="450"/>
      <c r="FB598" s="471"/>
      <c r="FC598" s="450"/>
      <c r="FD598" s="471"/>
      <c r="FE598" s="450"/>
      <c r="FF598" s="471"/>
      <c r="FG598" s="450"/>
      <c r="FH598" s="472"/>
      <c r="FI598" s="450"/>
      <c r="FJ598" s="468">
        <f t="shared" si="305"/>
        <v>0</v>
      </c>
      <c r="FK598" s="469">
        <f t="shared" si="306"/>
        <v>0</v>
      </c>
      <c r="FL598" s="472"/>
      <c r="FM598" s="450"/>
      <c r="FN598" s="460">
        <f t="shared" si="307"/>
        <v>1591</v>
      </c>
      <c r="FO598" s="469">
        <f t="shared" si="308"/>
        <v>1856</v>
      </c>
    </row>
    <row r="599" spans="1:171" x14ac:dyDescent="0.2">
      <c r="A599" s="637" t="s">
        <v>854</v>
      </c>
      <c r="B599" s="644" t="s">
        <v>925</v>
      </c>
      <c r="C599" s="645"/>
      <c r="D599" s="546">
        <v>222567</v>
      </c>
      <c r="E599" s="654">
        <v>9</v>
      </c>
      <c r="F599" s="532">
        <v>410</v>
      </c>
      <c r="G599" s="640">
        <v>363</v>
      </c>
      <c r="H599" s="457"/>
      <c r="I599" s="450"/>
      <c r="J599" s="457">
        <v>524</v>
      </c>
      <c r="K599" s="627">
        <v>552</v>
      </c>
      <c r="L599" s="458">
        <f t="shared" si="285"/>
        <v>0</v>
      </c>
      <c r="M599" s="449">
        <f t="shared" si="286"/>
        <v>0</v>
      </c>
      <c r="N599" s="459"/>
      <c r="O599" s="459"/>
      <c r="P599" s="459"/>
      <c r="Q599" s="459"/>
      <c r="R599" s="460">
        <f t="shared" si="287"/>
        <v>0</v>
      </c>
      <c r="S599" s="461"/>
      <c r="T599" s="461"/>
      <c r="U599" s="461"/>
      <c r="V599" s="461"/>
      <c r="W599" s="462">
        <f t="shared" si="288"/>
        <v>0</v>
      </c>
      <c r="X599" s="463"/>
      <c r="Y599" s="457"/>
      <c r="Z599" s="464"/>
      <c r="AA599" s="464"/>
      <c r="AB599" s="465"/>
      <c r="AC599" s="457"/>
      <c r="AD599" s="464"/>
      <c r="AE599" s="466"/>
      <c r="AF599" s="465"/>
      <c r="AG599" s="457"/>
      <c r="AH599" s="464"/>
      <c r="AI599" s="466"/>
      <c r="AJ599" s="465"/>
      <c r="AK599" s="457"/>
      <c r="AL599" s="464"/>
      <c r="AM599" s="466"/>
      <c r="AN599" s="465"/>
      <c r="AO599" s="457"/>
      <c r="AP599" s="464"/>
      <c r="AQ599" s="464"/>
      <c r="AR599" s="460">
        <f t="shared" si="289"/>
        <v>0</v>
      </c>
      <c r="AS599" s="467">
        <f t="shared" si="290"/>
        <v>0</v>
      </c>
      <c r="AT599" s="447">
        <f t="shared" si="291"/>
        <v>0</v>
      </c>
      <c r="AU599" s="448">
        <f t="shared" si="292"/>
        <v>0</v>
      </c>
      <c r="AV599" s="457"/>
      <c r="AW599" s="450"/>
      <c r="AX599" s="463"/>
      <c r="AY599" s="457"/>
      <c r="AZ599" s="464"/>
      <c r="BA599" s="464"/>
      <c r="BB599" s="465"/>
      <c r="BC599" s="457"/>
      <c r="BD599" s="464"/>
      <c r="BE599" s="466"/>
      <c r="BF599" s="465"/>
      <c r="BG599" s="457"/>
      <c r="BH599" s="464"/>
      <c r="BI599" s="466"/>
      <c r="BJ599" s="465"/>
      <c r="BK599" s="457"/>
      <c r="BL599" s="464"/>
      <c r="BM599" s="466"/>
      <c r="BN599" s="465"/>
      <c r="BO599" s="457"/>
      <c r="BP599" s="464"/>
      <c r="BQ599" s="466"/>
      <c r="BR599" s="465"/>
      <c r="BS599" s="457"/>
      <c r="BT599" s="464"/>
      <c r="BU599" s="466"/>
      <c r="BV599" s="465"/>
      <c r="BW599" s="457"/>
      <c r="BX599" s="464"/>
      <c r="BY599" s="466"/>
      <c r="BZ599" s="465"/>
      <c r="CA599" s="457"/>
      <c r="CB599" s="464"/>
      <c r="CC599" s="466"/>
      <c r="CD599" s="465"/>
      <c r="CE599" s="457"/>
      <c r="CF599" s="464"/>
      <c r="CG599" s="466"/>
      <c r="CH599" s="465"/>
      <c r="CI599" s="457"/>
      <c r="CJ599" s="464"/>
      <c r="CK599" s="466"/>
      <c r="CL599" s="459"/>
      <c r="CM599" s="450"/>
      <c r="CN599" s="468">
        <f t="shared" si="293"/>
        <v>0</v>
      </c>
      <c r="CO599" s="468">
        <f t="shared" si="294"/>
        <v>0</v>
      </c>
      <c r="CP599" s="469">
        <f t="shared" si="295"/>
        <v>0</v>
      </c>
      <c r="CQ599" s="469">
        <f t="shared" si="296"/>
        <v>0</v>
      </c>
      <c r="CR599" s="463"/>
      <c r="CS599" s="457"/>
      <c r="CT599" s="464"/>
      <c r="CU599" s="464"/>
      <c r="CV599" s="465"/>
      <c r="CW599" s="457"/>
      <c r="CX599" s="464"/>
      <c r="CY599" s="466"/>
      <c r="CZ599" s="465"/>
      <c r="DA599" s="457"/>
      <c r="DB599" s="464"/>
      <c r="DC599" s="466"/>
      <c r="DD599" s="465"/>
      <c r="DE599" s="457"/>
      <c r="DF599" s="464"/>
      <c r="DG599" s="466"/>
      <c r="DH599" s="465"/>
      <c r="DI599" s="457"/>
      <c r="DJ599" s="464"/>
      <c r="DK599" s="466"/>
      <c r="DL599" s="465"/>
      <c r="DM599" s="457"/>
      <c r="DN599" s="464"/>
      <c r="DO599" s="466"/>
      <c r="DP599" s="465"/>
      <c r="DQ599" s="457"/>
      <c r="DR599" s="464"/>
      <c r="DS599" s="466"/>
      <c r="DT599" s="465"/>
      <c r="DU599" s="457"/>
      <c r="DV599" s="464"/>
      <c r="DW599" s="466"/>
      <c r="DX599" s="465"/>
      <c r="DY599" s="457"/>
      <c r="DZ599" s="464"/>
      <c r="EA599" s="466"/>
      <c r="EB599" s="465"/>
      <c r="EC599" s="457"/>
      <c r="ED599" s="464"/>
      <c r="EE599" s="466"/>
      <c r="EF599" s="459"/>
      <c r="EG599" s="450"/>
      <c r="EH599" s="460">
        <f t="shared" si="297"/>
        <v>0</v>
      </c>
      <c r="EI599" s="460">
        <f t="shared" si="298"/>
        <v>0</v>
      </c>
      <c r="EJ599" s="458">
        <f t="shared" si="299"/>
        <v>0</v>
      </c>
      <c r="EK599" s="470">
        <f t="shared" si="300"/>
        <v>0</v>
      </c>
      <c r="EL599" s="470">
        <f t="shared" si="301"/>
        <v>0</v>
      </c>
      <c r="EM599" s="449">
        <f t="shared" si="302"/>
        <v>0</v>
      </c>
      <c r="EN599" s="460">
        <f t="shared" si="303"/>
        <v>0</v>
      </c>
      <c r="EO599" s="469">
        <f t="shared" si="304"/>
        <v>0</v>
      </c>
      <c r="EP599" s="471"/>
      <c r="EQ599" s="450"/>
      <c r="ER599" s="471"/>
      <c r="ES599" s="450"/>
      <c r="ET599" s="471"/>
      <c r="EU599" s="450"/>
      <c r="EV599" s="471"/>
      <c r="EW599" s="450"/>
      <c r="EX599" s="471"/>
      <c r="EY599" s="450"/>
      <c r="EZ599" s="471"/>
      <c r="FA599" s="450"/>
      <c r="FB599" s="471"/>
      <c r="FC599" s="450"/>
      <c r="FD599" s="471"/>
      <c r="FE599" s="450"/>
      <c r="FF599" s="471"/>
      <c r="FG599" s="450"/>
      <c r="FH599" s="472"/>
      <c r="FI599" s="450"/>
      <c r="FJ599" s="468">
        <f t="shared" si="305"/>
        <v>0</v>
      </c>
      <c r="FK599" s="469">
        <f t="shared" si="306"/>
        <v>0</v>
      </c>
      <c r="FL599" s="472"/>
      <c r="FM599" s="450"/>
      <c r="FN599" s="460">
        <f t="shared" si="307"/>
        <v>934</v>
      </c>
      <c r="FO599" s="469">
        <f t="shared" si="308"/>
        <v>915</v>
      </c>
    </row>
    <row r="600" spans="1:171" x14ac:dyDescent="0.2">
      <c r="A600" s="637" t="s">
        <v>854</v>
      </c>
      <c r="B600" s="644" t="s">
        <v>926</v>
      </c>
      <c r="C600" s="645"/>
      <c r="D600" s="546">
        <v>222822</v>
      </c>
      <c r="E600" s="654">
        <v>9</v>
      </c>
      <c r="F600" s="532">
        <v>410</v>
      </c>
      <c r="G600" s="640">
        <v>404</v>
      </c>
      <c r="H600" s="457"/>
      <c r="I600" s="450"/>
      <c r="J600" s="457">
        <v>342</v>
      </c>
      <c r="K600" s="627">
        <v>314</v>
      </c>
      <c r="L600" s="458">
        <f t="shared" si="285"/>
        <v>0</v>
      </c>
      <c r="M600" s="449">
        <f t="shared" si="286"/>
        <v>0</v>
      </c>
      <c r="N600" s="459"/>
      <c r="O600" s="459"/>
      <c r="P600" s="459"/>
      <c r="Q600" s="459"/>
      <c r="R600" s="460">
        <f t="shared" si="287"/>
        <v>0</v>
      </c>
      <c r="S600" s="461"/>
      <c r="T600" s="461"/>
      <c r="U600" s="461"/>
      <c r="V600" s="461"/>
      <c r="W600" s="462">
        <f t="shared" si="288"/>
        <v>0</v>
      </c>
      <c r="X600" s="463"/>
      <c r="Y600" s="457"/>
      <c r="Z600" s="464"/>
      <c r="AA600" s="464"/>
      <c r="AB600" s="465"/>
      <c r="AC600" s="457"/>
      <c r="AD600" s="464"/>
      <c r="AE600" s="466"/>
      <c r="AF600" s="465"/>
      <c r="AG600" s="457"/>
      <c r="AH600" s="464"/>
      <c r="AI600" s="466"/>
      <c r="AJ600" s="465"/>
      <c r="AK600" s="457"/>
      <c r="AL600" s="464"/>
      <c r="AM600" s="466"/>
      <c r="AN600" s="465"/>
      <c r="AO600" s="457"/>
      <c r="AP600" s="464"/>
      <c r="AQ600" s="464"/>
      <c r="AR600" s="460">
        <f t="shared" si="289"/>
        <v>0</v>
      </c>
      <c r="AS600" s="467">
        <f t="shared" si="290"/>
        <v>0</v>
      </c>
      <c r="AT600" s="447">
        <f t="shared" si="291"/>
        <v>0</v>
      </c>
      <c r="AU600" s="448">
        <f t="shared" si="292"/>
        <v>0</v>
      </c>
      <c r="AV600" s="457"/>
      <c r="AW600" s="450"/>
      <c r="AX600" s="463"/>
      <c r="AY600" s="457"/>
      <c r="AZ600" s="464"/>
      <c r="BA600" s="464"/>
      <c r="BB600" s="465"/>
      <c r="BC600" s="457"/>
      <c r="BD600" s="464"/>
      <c r="BE600" s="466"/>
      <c r="BF600" s="465"/>
      <c r="BG600" s="457"/>
      <c r="BH600" s="464"/>
      <c r="BI600" s="466"/>
      <c r="BJ600" s="465"/>
      <c r="BK600" s="457"/>
      <c r="BL600" s="464"/>
      <c r="BM600" s="466"/>
      <c r="BN600" s="465"/>
      <c r="BO600" s="457"/>
      <c r="BP600" s="464"/>
      <c r="BQ600" s="466"/>
      <c r="BR600" s="465"/>
      <c r="BS600" s="457"/>
      <c r="BT600" s="464"/>
      <c r="BU600" s="466"/>
      <c r="BV600" s="465"/>
      <c r="BW600" s="457"/>
      <c r="BX600" s="464"/>
      <c r="BY600" s="466"/>
      <c r="BZ600" s="465"/>
      <c r="CA600" s="457"/>
      <c r="CB600" s="464"/>
      <c r="CC600" s="466"/>
      <c r="CD600" s="465"/>
      <c r="CE600" s="457"/>
      <c r="CF600" s="464"/>
      <c r="CG600" s="466"/>
      <c r="CH600" s="465"/>
      <c r="CI600" s="457"/>
      <c r="CJ600" s="464"/>
      <c r="CK600" s="466"/>
      <c r="CL600" s="459"/>
      <c r="CM600" s="450"/>
      <c r="CN600" s="468">
        <f t="shared" si="293"/>
        <v>0</v>
      </c>
      <c r="CO600" s="468">
        <f t="shared" si="294"/>
        <v>0</v>
      </c>
      <c r="CP600" s="469">
        <f t="shared" si="295"/>
        <v>0</v>
      </c>
      <c r="CQ600" s="469">
        <f t="shared" si="296"/>
        <v>0</v>
      </c>
      <c r="CR600" s="463"/>
      <c r="CS600" s="457"/>
      <c r="CT600" s="464"/>
      <c r="CU600" s="464"/>
      <c r="CV600" s="465"/>
      <c r="CW600" s="457"/>
      <c r="CX600" s="464"/>
      <c r="CY600" s="466"/>
      <c r="CZ600" s="465"/>
      <c r="DA600" s="457"/>
      <c r="DB600" s="464"/>
      <c r="DC600" s="466"/>
      <c r="DD600" s="465"/>
      <c r="DE600" s="457"/>
      <c r="DF600" s="464"/>
      <c r="DG600" s="466"/>
      <c r="DH600" s="465"/>
      <c r="DI600" s="457"/>
      <c r="DJ600" s="464"/>
      <c r="DK600" s="466"/>
      <c r="DL600" s="465"/>
      <c r="DM600" s="457"/>
      <c r="DN600" s="464"/>
      <c r="DO600" s="466"/>
      <c r="DP600" s="465"/>
      <c r="DQ600" s="457"/>
      <c r="DR600" s="464"/>
      <c r="DS600" s="466"/>
      <c r="DT600" s="465"/>
      <c r="DU600" s="457"/>
      <c r="DV600" s="464"/>
      <c r="DW600" s="466"/>
      <c r="DX600" s="465"/>
      <c r="DY600" s="457"/>
      <c r="DZ600" s="464"/>
      <c r="EA600" s="466"/>
      <c r="EB600" s="465"/>
      <c r="EC600" s="457"/>
      <c r="ED600" s="464"/>
      <c r="EE600" s="466"/>
      <c r="EF600" s="459"/>
      <c r="EG600" s="450"/>
      <c r="EH600" s="460">
        <f t="shared" si="297"/>
        <v>0</v>
      </c>
      <c r="EI600" s="460">
        <f t="shared" si="298"/>
        <v>0</v>
      </c>
      <c r="EJ600" s="458">
        <f t="shared" si="299"/>
        <v>0</v>
      </c>
      <c r="EK600" s="470">
        <f t="shared" si="300"/>
        <v>0</v>
      </c>
      <c r="EL600" s="470">
        <f t="shared" si="301"/>
        <v>0</v>
      </c>
      <c r="EM600" s="449">
        <f t="shared" si="302"/>
        <v>0</v>
      </c>
      <c r="EN600" s="460">
        <f t="shared" si="303"/>
        <v>0</v>
      </c>
      <c r="EO600" s="469">
        <f t="shared" si="304"/>
        <v>0</v>
      </c>
      <c r="EP600" s="471"/>
      <c r="EQ600" s="450"/>
      <c r="ER600" s="471"/>
      <c r="ES600" s="450"/>
      <c r="ET600" s="471"/>
      <c r="EU600" s="450"/>
      <c r="EV600" s="471"/>
      <c r="EW600" s="450"/>
      <c r="EX600" s="471"/>
      <c r="EY600" s="450"/>
      <c r="EZ600" s="471"/>
      <c r="FA600" s="450"/>
      <c r="FB600" s="471"/>
      <c r="FC600" s="450"/>
      <c r="FD600" s="471"/>
      <c r="FE600" s="450"/>
      <c r="FF600" s="471"/>
      <c r="FG600" s="450"/>
      <c r="FH600" s="472"/>
      <c r="FI600" s="450"/>
      <c r="FJ600" s="468">
        <f t="shared" si="305"/>
        <v>0</v>
      </c>
      <c r="FK600" s="469">
        <f t="shared" si="306"/>
        <v>0</v>
      </c>
      <c r="FL600" s="472"/>
      <c r="FM600" s="450"/>
      <c r="FN600" s="460">
        <f t="shared" si="307"/>
        <v>752</v>
      </c>
      <c r="FO600" s="469">
        <f t="shared" si="308"/>
        <v>718</v>
      </c>
    </row>
    <row r="601" spans="1:171" x14ac:dyDescent="0.2">
      <c r="A601" s="637" t="s">
        <v>854</v>
      </c>
      <c r="B601" s="644" t="s">
        <v>927</v>
      </c>
      <c r="C601" s="645"/>
      <c r="D601" s="546">
        <v>223773</v>
      </c>
      <c r="E601" s="654">
        <v>9</v>
      </c>
      <c r="F601" s="532">
        <v>714</v>
      </c>
      <c r="G601" s="640">
        <v>533</v>
      </c>
      <c r="H601" s="457"/>
      <c r="I601" s="450"/>
      <c r="J601" s="457">
        <v>333</v>
      </c>
      <c r="K601" s="627">
        <v>420</v>
      </c>
      <c r="L601" s="458">
        <f t="shared" si="285"/>
        <v>0</v>
      </c>
      <c r="M601" s="449">
        <f t="shared" si="286"/>
        <v>0</v>
      </c>
      <c r="N601" s="459"/>
      <c r="O601" s="459"/>
      <c r="P601" s="459"/>
      <c r="Q601" s="459"/>
      <c r="R601" s="460">
        <f t="shared" si="287"/>
        <v>0</v>
      </c>
      <c r="S601" s="461"/>
      <c r="T601" s="461"/>
      <c r="U601" s="461"/>
      <c r="V601" s="461"/>
      <c r="W601" s="462">
        <f t="shared" si="288"/>
        <v>0</v>
      </c>
      <c r="X601" s="463"/>
      <c r="Y601" s="457"/>
      <c r="Z601" s="464"/>
      <c r="AA601" s="464"/>
      <c r="AB601" s="465"/>
      <c r="AC601" s="457"/>
      <c r="AD601" s="464"/>
      <c r="AE601" s="466"/>
      <c r="AF601" s="465"/>
      <c r="AG601" s="457"/>
      <c r="AH601" s="464"/>
      <c r="AI601" s="466"/>
      <c r="AJ601" s="465"/>
      <c r="AK601" s="457"/>
      <c r="AL601" s="464"/>
      <c r="AM601" s="466"/>
      <c r="AN601" s="465"/>
      <c r="AO601" s="457"/>
      <c r="AP601" s="464"/>
      <c r="AQ601" s="464"/>
      <c r="AR601" s="460">
        <f t="shared" si="289"/>
        <v>0</v>
      </c>
      <c r="AS601" s="467">
        <f t="shared" si="290"/>
        <v>0</v>
      </c>
      <c r="AT601" s="447">
        <f t="shared" si="291"/>
        <v>0</v>
      </c>
      <c r="AU601" s="448">
        <f t="shared" si="292"/>
        <v>0</v>
      </c>
      <c r="AV601" s="457"/>
      <c r="AW601" s="450"/>
      <c r="AX601" s="463"/>
      <c r="AY601" s="457"/>
      <c r="AZ601" s="464"/>
      <c r="BA601" s="464"/>
      <c r="BB601" s="465"/>
      <c r="BC601" s="457"/>
      <c r="BD601" s="464"/>
      <c r="BE601" s="466"/>
      <c r="BF601" s="465"/>
      <c r="BG601" s="457"/>
      <c r="BH601" s="464"/>
      <c r="BI601" s="466"/>
      <c r="BJ601" s="465"/>
      <c r="BK601" s="457"/>
      <c r="BL601" s="464"/>
      <c r="BM601" s="466"/>
      <c r="BN601" s="465"/>
      <c r="BO601" s="457"/>
      <c r="BP601" s="464"/>
      <c r="BQ601" s="466"/>
      <c r="BR601" s="465"/>
      <c r="BS601" s="457"/>
      <c r="BT601" s="464"/>
      <c r="BU601" s="466"/>
      <c r="BV601" s="465"/>
      <c r="BW601" s="457"/>
      <c r="BX601" s="464"/>
      <c r="BY601" s="466"/>
      <c r="BZ601" s="465"/>
      <c r="CA601" s="457"/>
      <c r="CB601" s="464"/>
      <c r="CC601" s="466"/>
      <c r="CD601" s="465"/>
      <c r="CE601" s="457"/>
      <c r="CF601" s="464"/>
      <c r="CG601" s="466"/>
      <c r="CH601" s="465"/>
      <c r="CI601" s="457"/>
      <c r="CJ601" s="464"/>
      <c r="CK601" s="466"/>
      <c r="CL601" s="459"/>
      <c r="CM601" s="450"/>
      <c r="CN601" s="468">
        <f t="shared" si="293"/>
        <v>0</v>
      </c>
      <c r="CO601" s="468">
        <f t="shared" si="294"/>
        <v>0</v>
      </c>
      <c r="CP601" s="469">
        <f t="shared" si="295"/>
        <v>0</v>
      </c>
      <c r="CQ601" s="469">
        <f t="shared" si="296"/>
        <v>0</v>
      </c>
      <c r="CR601" s="463"/>
      <c r="CS601" s="457"/>
      <c r="CT601" s="464"/>
      <c r="CU601" s="464"/>
      <c r="CV601" s="465"/>
      <c r="CW601" s="457"/>
      <c r="CX601" s="464"/>
      <c r="CY601" s="466"/>
      <c r="CZ601" s="465"/>
      <c r="DA601" s="457"/>
      <c r="DB601" s="464"/>
      <c r="DC601" s="466"/>
      <c r="DD601" s="465"/>
      <c r="DE601" s="457"/>
      <c r="DF601" s="464"/>
      <c r="DG601" s="466"/>
      <c r="DH601" s="465"/>
      <c r="DI601" s="457"/>
      <c r="DJ601" s="464"/>
      <c r="DK601" s="466"/>
      <c r="DL601" s="465"/>
      <c r="DM601" s="457"/>
      <c r="DN601" s="464"/>
      <c r="DO601" s="466"/>
      <c r="DP601" s="465"/>
      <c r="DQ601" s="457"/>
      <c r="DR601" s="464"/>
      <c r="DS601" s="466"/>
      <c r="DT601" s="465"/>
      <c r="DU601" s="457"/>
      <c r="DV601" s="464"/>
      <c r="DW601" s="466"/>
      <c r="DX601" s="465"/>
      <c r="DY601" s="457"/>
      <c r="DZ601" s="464"/>
      <c r="EA601" s="466"/>
      <c r="EB601" s="465"/>
      <c r="EC601" s="457"/>
      <c r="ED601" s="464"/>
      <c r="EE601" s="466"/>
      <c r="EF601" s="459"/>
      <c r="EG601" s="450"/>
      <c r="EH601" s="460">
        <f t="shared" si="297"/>
        <v>0</v>
      </c>
      <c r="EI601" s="460">
        <f t="shared" si="298"/>
        <v>0</v>
      </c>
      <c r="EJ601" s="458">
        <f t="shared" si="299"/>
        <v>0</v>
      </c>
      <c r="EK601" s="470">
        <f t="shared" si="300"/>
        <v>0</v>
      </c>
      <c r="EL601" s="470">
        <f t="shared" si="301"/>
        <v>0</v>
      </c>
      <c r="EM601" s="449">
        <f t="shared" si="302"/>
        <v>0</v>
      </c>
      <c r="EN601" s="460">
        <f t="shared" si="303"/>
        <v>0</v>
      </c>
      <c r="EO601" s="469">
        <f t="shared" si="304"/>
        <v>0</v>
      </c>
      <c r="EP601" s="471"/>
      <c r="EQ601" s="450"/>
      <c r="ER601" s="471"/>
      <c r="ES601" s="450"/>
      <c r="ET601" s="471"/>
      <c r="EU601" s="450"/>
      <c r="EV601" s="471"/>
      <c r="EW601" s="450"/>
      <c r="EX601" s="471"/>
      <c r="EY601" s="450"/>
      <c r="EZ601" s="471"/>
      <c r="FA601" s="450"/>
      <c r="FB601" s="471"/>
      <c r="FC601" s="450"/>
      <c r="FD601" s="471"/>
      <c r="FE601" s="450"/>
      <c r="FF601" s="471"/>
      <c r="FG601" s="450"/>
      <c r="FH601" s="472"/>
      <c r="FI601" s="450"/>
      <c r="FJ601" s="468">
        <f t="shared" si="305"/>
        <v>0</v>
      </c>
      <c r="FK601" s="469">
        <f t="shared" si="306"/>
        <v>0</v>
      </c>
      <c r="FL601" s="472"/>
      <c r="FM601" s="450"/>
      <c r="FN601" s="460">
        <f t="shared" si="307"/>
        <v>1047</v>
      </c>
      <c r="FO601" s="469">
        <f t="shared" si="308"/>
        <v>953</v>
      </c>
    </row>
    <row r="602" spans="1:171" x14ac:dyDescent="0.2">
      <c r="A602" s="637" t="s">
        <v>854</v>
      </c>
      <c r="B602" s="644" t="s">
        <v>928</v>
      </c>
      <c r="C602" s="645"/>
      <c r="D602" s="546">
        <v>223898</v>
      </c>
      <c r="E602" s="654">
        <v>9</v>
      </c>
      <c r="F602" s="532">
        <v>224</v>
      </c>
      <c r="G602" s="640">
        <v>310</v>
      </c>
      <c r="H602" s="457"/>
      <c r="I602" s="450"/>
      <c r="J602" s="457">
        <v>225</v>
      </c>
      <c r="K602" s="627">
        <v>317</v>
      </c>
      <c r="L602" s="458">
        <f t="shared" si="285"/>
        <v>0</v>
      </c>
      <c r="M602" s="449">
        <f t="shared" si="286"/>
        <v>0</v>
      </c>
      <c r="N602" s="459"/>
      <c r="O602" s="459"/>
      <c r="P602" s="459"/>
      <c r="Q602" s="459"/>
      <c r="R602" s="460">
        <f t="shared" si="287"/>
        <v>0</v>
      </c>
      <c r="S602" s="461"/>
      <c r="T602" s="461"/>
      <c r="U602" s="461"/>
      <c r="V602" s="461"/>
      <c r="W602" s="462">
        <f t="shared" si="288"/>
        <v>0</v>
      </c>
      <c r="X602" s="463"/>
      <c r="Y602" s="457"/>
      <c r="Z602" s="464"/>
      <c r="AA602" s="464"/>
      <c r="AB602" s="465"/>
      <c r="AC602" s="457"/>
      <c r="AD602" s="464"/>
      <c r="AE602" s="466"/>
      <c r="AF602" s="465"/>
      <c r="AG602" s="457"/>
      <c r="AH602" s="464"/>
      <c r="AI602" s="466"/>
      <c r="AJ602" s="465"/>
      <c r="AK602" s="457"/>
      <c r="AL602" s="464"/>
      <c r="AM602" s="466"/>
      <c r="AN602" s="465"/>
      <c r="AO602" s="457"/>
      <c r="AP602" s="464"/>
      <c r="AQ602" s="464"/>
      <c r="AR602" s="460">
        <f t="shared" si="289"/>
        <v>0</v>
      </c>
      <c r="AS602" s="467">
        <f t="shared" si="290"/>
        <v>0</v>
      </c>
      <c r="AT602" s="447">
        <f t="shared" si="291"/>
        <v>0</v>
      </c>
      <c r="AU602" s="448">
        <f t="shared" si="292"/>
        <v>0</v>
      </c>
      <c r="AV602" s="457"/>
      <c r="AW602" s="450"/>
      <c r="AX602" s="463"/>
      <c r="AY602" s="457"/>
      <c r="AZ602" s="464"/>
      <c r="BA602" s="464"/>
      <c r="BB602" s="465"/>
      <c r="BC602" s="457"/>
      <c r="BD602" s="464"/>
      <c r="BE602" s="466"/>
      <c r="BF602" s="465"/>
      <c r="BG602" s="457"/>
      <c r="BH602" s="464"/>
      <c r="BI602" s="466"/>
      <c r="BJ602" s="465"/>
      <c r="BK602" s="457"/>
      <c r="BL602" s="464"/>
      <c r="BM602" s="466"/>
      <c r="BN602" s="465"/>
      <c r="BO602" s="457"/>
      <c r="BP602" s="464"/>
      <c r="BQ602" s="466"/>
      <c r="BR602" s="465"/>
      <c r="BS602" s="457"/>
      <c r="BT602" s="464"/>
      <c r="BU602" s="466"/>
      <c r="BV602" s="465"/>
      <c r="BW602" s="457"/>
      <c r="BX602" s="464"/>
      <c r="BY602" s="466"/>
      <c r="BZ602" s="465"/>
      <c r="CA602" s="457"/>
      <c r="CB602" s="464"/>
      <c r="CC602" s="466"/>
      <c r="CD602" s="465"/>
      <c r="CE602" s="457"/>
      <c r="CF602" s="464"/>
      <c r="CG602" s="466"/>
      <c r="CH602" s="465"/>
      <c r="CI602" s="457"/>
      <c r="CJ602" s="464"/>
      <c r="CK602" s="466"/>
      <c r="CL602" s="459"/>
      <c r="CM602" s="450"/>
      <c r="CN602" s="468">
        <f t="shared" si="293"/>
        <v>0</v>
      </c>
      <c r="CO602" s="468">
        <f t="shared" si="294"/>
        <v>0</v>
      </c>
      <c r="CP602" s="469">
        <f t="shared" si="295"/>
        <v>0</v>
      </c>
      <c r="CQ602" s="469">
        <f t="shared" si="296"/>
        <v>0</v>
      </c>
      <c r="CR602" s="463"/>
      <c r="CS602" s="457"/>
      <c r="CT602" s="464"/>
      <c r="CU602" s="464"/>
      <c r="CV602" s="465"/>
      <c r="CW602" s="457"/>
      <c r="CX602" s="464"/>
      <c r="CY602" s="466"/>
      <c r="CZ602" s="465"/>
      <c r="DA602" s="457"/>
      <c r="DB602" s="464"/>
      <c r="DC602" s="466"/>
      <c r="DD602" s="465"/>
      <c r="DE602" s="457"/>
      <c r="DF602" s="464"/>
      <c r="DG602" s="466"/>
      <c r="DH602" s="465"/>
      <c r="DI602" s="457"/>
      <c r="DJ602" s="464"/>
      <c r="DK602" s="466"/>
      <c r="DL602" s="465"/>
      <c r="DM602" s="457"/>
      <c r="DN602" s="464"/>
      <c r="DO602" s="466"/>
      <c r="DP602" s="465"/>
      <c r="DQ602" s="457"/>
      <c r="DR602" s="464"/>
      <c r="DS602" s="466"/>
      <c r="DT602" s="465"/>
      <c r="DU602" s="457"/>
      <c r="DV602" s="464"/>
      <c r="DW602" s="466"/>
      <c r="DX602" s="465"/>
      <c r="DY602" s="457"/>
      <c r="DZ602" s="464"/>
      <c r="EA602" s="466"/>
      <c r="EB602" s="465"/>
      <c r="EC602" s="457"/>
      <c r="ED602" s="464"/>
      <c r="EE602" s="466"/>
      <c r="EF602" s="459"/>
      <c r="EG602" s="450"/>
      <c r="EH602" s="460">
        <f t="shared" si="297"/>
        <v>0</v>
      </c>
      <c r="EI602" s="460">
        <f t="shared" si="298"/>
        <v>0</v>
      </c>
      <c r="EJ602" s="458">
        <f t="shared" si="299"/>
        <v>0</v>
      </c>
      <c r="EK602" s="470">
        <f t="shared" si="300"/>
        <v>0</v>
      </c>
      <c r="EL602" s="470">
        <f t="shared" si="301"/>
        <v>0</v>
      </c>
      <c r="EM602" s="449">
        <f t="shared" si="302"/>
        <v>0</v>
      </c>
      <c r="EN602" s="460">
        <f t="shared" si="303"/>
        <v>0</v>
      </c>
      <c r="EO602" s="469">
        <f t="shared" si="304"/>
        <v>0</v>
      </c>
      <c r="EP602" s="471"/>
      <c r="EQ602" s="450"/>
      <c r="ER602" s="471"/>
      <c r="ES602" s="450"/>
      <c r="ET602" s="471"/>
      <c r="EU602" s="450"/>
      <c r="EV602" s="471"/>
      <c r="EW602" s="450"/>
      <c r="EX602" s="471"/>
      <c r="EY602" s="450"/>
      <c r="EZ602" s="471"/>
      <c r="FA602" s="450"/>
      <c r="FB602" s="471"/>
      <c r="FC602" s="450"/>
      <c r="FD602" s="471"/>
      <c r="FE602" s="450"/>
      <c r="FF602" s="471"/>
      <c r="FG602" s="450"/>
      <c r="FH602" s="472"/>
      <c r="FI602" s="450"/>
      <c r="FJ602" s="468">
        <f t="shared" si="305"/>
        <v>0</v>
      </c>
      <c r="FK602" s="469">
        <f t="shared" si="306"/>
        <v>0</v>
      </c>
      <c r="FL602" s="472"/>
      <c r="FM602" s="450"/>
      <c r="FN602" s="460">
        <f t="shared" si="307"/>
        <v>449</v>
      </c>
      <c r="FO602" s="469">
        <f t="shared" si="308"/>
        <v>627</v>
      </c>
    </row>
    <row r="603" spans="1:171" x14ac:dyDescent="0.2">
      <c r="A603" s="637" t="s">
        <v>854</v>
      </c>
      <c r="B603" s="644" t="s">
        <v>929</v>
      </c>
      <c r="C603" s="645"/>
      <c r="D603" s="546">
        <v>223320</v>
      </c>
      <c r="E603" s="654">
        <v>9</v>
      </c>
      <c r="F603" s="532">
        <v>456</v>
      </c>
      <c r="G603" s="640">
        <v>528</v>
      </c>
      <c r="H603" s="457"/>
      <c r="I603" s="450"/>
      <c r="J603" s="457">
        <v>280</v>
      </c>
      <c r="K603" s="627">
        <v>277</v>
      </c>
      <c r="L603" s="458">
        <f t="shared" si="285"/>
        <v>0</v>
      </c>
      <c r="M603" s="449">
        <f t="shared" si="286"/>
        <v>0</v>
      </c>
      <c r="N603" s="459"/>
      <c r="O603" s="459"/>
      <c r="P603" s="459"/>
      <c r="Q603" s="459"/>
      <c r="R603" s="460">
        <f t="shared" si="287"/>
        <v>0</v>
      </c>
      <c r="S603" s="461"/>
      <c r="T603" s="461"/>
      <c r="U603" s="461"/>
      <c r="V603" s="461"/>
      <c r="W603" s="462">
        <f t="shared" si="288"/>
        <v>0</v>
      </c>
      <c r="X603" s="463"/>
      <c r="Y603" s="457"/>
      <c r="Z603" s="464"/>
      <c r="AA603" s="464"/>
      <c r="AB603" s="465"/>
      <c r="AC603" s="457"/>
      <c r="AD603" s="464"/>
      <c r="AE603" s="466"/>
      <c r="AF603" s="465"/>
      <c r="AG603" s="457"/>
      <c r="AH603" s="464"/>
      <c r="AI603" s="466"/>
      <c r="AJ603" s="465"/>
      <c r="AK603" s="457"/>
      <c r="AL603" s="464"/>
      <c r="AM603" s="466"/>
      <c r="AN603" s="465"/>
      <c r="AO603" s="457"/>
      <c r="AP603" s="464"/>
      <c r="AQ603" s="464"/>
      <c r="AR603" s="460">
        <f t="shared" si="289"/>
        <v>0</v>
      </c>
      <c r="AS603" s="467">
        <f t="shared" si="290"/>
        <v>0</v>
      </c>
      <c r="AT603" s="447">
        <f t="shared" si="291"/>
        <v>0</v>
      </c>
      <c r="AU603" s="448">
        <f t="shared" si="292"/>
        <v>0</v>
      </c>
      <c r="AV603" s="457"/>
      <c r="AW603" s="450"/>
      <c r="AX603" s="463"/>
      <c r="AY603" s="457"/>
      <c r="AZ603" s="464"/>
      <c r="BA603" s="464"/>
      <c r="BB603" s="465"/>
      <c r="BC603" s="457"/>
      <c r="BD603" s="464"/>
      <c r="BE603" s="466"/>
      <c r="BF603" s="465"/>
      <c r="BG603" s="457"/>
      <c r="BH603" s="464"/>
      <c r="BI603" s="466"/>
      <c r="BJ603" s="465"/>
      <c r="BK603" s="457"/>
      <c r="BL603" s="464"/>
      <c r="BM603" s="466"/>
      <c r="BN603" s="465"/>
      <c r="BO603" s="457"/>
      <c r="BP603" s="464"/>
      <c r="BQ603" s="466"/>
      <c r="BR603" s="465"/>
      <c r="BS603" s="457"/>
      <c r="BT603" s="464"/>
      <c r="BU603" s="466"/>
      <c r="BV603" s="465"/>
      <c r="BW603" s="457"/>
      <c r="BX603" s="464"/>
      <c r="BY603" s="466"/>
      <c r="BZ603" s="465"/>
      <c r="CA603" s="457"/>
      <c r="CB603" s="464"/>
      <c r="CC603" s="466"/>
      <c r="CD603" s="465"/>
      <c r="CE603" s="457"/>
      <c r="CF603" s="464"/>
      <c r="CG603" s="466"/>
      <c r="CH603" s="465"/>
      <c r="CI603" s="457"/>
      <c r="CJ603" s="464"/>
      <c r="CK603" s="466"/>
      <c r="CL603" s="459"/>
      <c r="CM603" s="450"/>
      <c r="CN603" s="468">
        <f t="shared" si="293"/>
        <v>0</v>
      </c>
      <c r="CO603" s="468">
        <f t="shared" si="294"/>
        <v>0</v>
      </c>
      <c r="CP603" s="469">
        <f t="shared" si="295"/>
        <v>0</v>
      </c>
      <c r="CQ603" s="469">
        <f t="shared" si="296"/>
        <v>0</v>
      </c>
      <c r="CR603" s="463"/>
      <c r="CS603" s="457"/>
      <c r="CT603" s="464"/>
      <c r="CU603" s="464"/>
      <c r="CV603" s="465"/>
      <c r="CW603" s="457"/>
      <c r="CX603" s="464"/>
      <c r="CY603" s="466"/>
      <c r="CZ603" s="465"/>
      <c r="DA603" s="457"/>
      <c r="DB603" s="464"/>
      <c r="DC603" s="466"/>
      <c r="DD603" s="465"/>
      <c r="DE603" s="457"/>
      <c r="DF603" s="464"/>
      <c r="DG603" s="466"/>
      <c r="DH603" s="465"/>
      <c r="DI603" s="457"/>
      <c r="DJ603" s="464"/>
      <c r="DK603" s="466"/>
      <c r="DL603" s="465"/>
      <c r="DM603" s="457"/>
      <c r="DN603" s="464"/>
      <c r="DO603" s="466"/>
      <c r="DP603" s="465"/>
      <c r="DQ603" s="457"/>
      <c r="DR603" s="464"/>
      <c r="DS603" s="466"/>
      <c r="DT603" s="465"/>
      <c r="DU603" s="457"/>
      <c r="DV603" s="464"/>
      <c r="DW603" s="466"/>
      <c r="DX603" s="465"/>
      <c r="DY603" s="457"/>
      <c r="DZ603" s="464"/>
      <c r="EA603" s="466"/>
      <c r="EB603" s="465"/>
      <c r="EC603" s="457"/>
      <c r="ED603" s="464"/>
      <c r="EE603" s="466"/>
      <c r="EF603" s="459"/>
      <c r="EG603" s="450"/>
      <c r="EH603" s="460">
        <f t="shared" si="297"/>
        <v>0</v>
      </c>
      <c r="EI603" s="460">
        <f t="shared" si="298"/>
        <v>0</v>
      </c>
      <c r="EJ603" s="458">
        <f t="shared" si="299"/>
        <v>0</v>
      </c>
      <c r="EK603" s="470">
        <f t="shared" si="300"/>
        <v>0</v>
      </c>
      <c r="EL603" s="470">
        <f t="shared" si="301"/>
        <v>0</v>
      </c>
      <c r="EM603" s="449">
        <f t="shared" si="302"/>
        <v>0</v>
      </c>
      <c r="EN603" s="460">
        <f t="shared" si="303"/>
        <v>0</v>
      </c>
      <c r="EO603" s="469">
        <f t="shared" si="304"/>
        <v>0</v>
      </c>
      <c r="EP603" s="471"/>
      <c r="EQ603" s="450"/>
      <c r="ER603" s="471"/>
      <c r="ES603" s="450"/>
      <c r="ET603" s="471"/>
      <c r="EU603" s="450"/>
      <c r="EV603" s="471"/>
      <c r="EW603" s="450"/>
      <c r="EX603" s="471"/>
      <c r="EY603" s="450"/>
      <c r="EZ603" s="471"/>
      <c r="FA603" s="450"/>
      <c r="FB603" s="471"/>
      <c r="FC603" s="450"/>
      <c r="FD603" s="471"/>
      <c r="FE603" s="450"/>
      <c r="FF603" s="471"/>
      <c r="FG603" s="450"/>
      <c r="FH603" s="472"/>
      <c r="FI603" s="450"/>
      <c r="FJ603" s="468">
        <f t="shared" si="305"/>
        <v>0</v>
      </c>
      <c r="FK603" s="469">
        <f t="shared" si="306"/>
        <v>0</v>
      </c>
      <c r="FL603" s="472"/>
      <c r="FM603" s="450"/>
      <c r="FN603" s="460">
        <f t="shared" si="307"/>
        <v>736</v>
      </c>
      <c r="FO603" s="469">
        <f t="shared" si="308"/>
        <v>805</v>
      </c>
    </row>
    <row r="604" spans="1:171" x14ac:dyDescent="0.2">
      <c r="A604" s="637" t="s">
        <v>854</v>
      </c>
      <c r="B604" s="644" t="s">
        <v>930</v>
      </c>
      <c r="C604" s="645"/>
      <c r="D604" s="546">
        <v>226408</v>
      </c>
      <c r="E604" s="654">
        <v>9</v>
      </c>
      <c r="F604" s="532">
        <v>244</v>
      </c>
      <c r="G604" s="640">
        <v>212</v>
      </c>
      <c r="H604" s="457"/>
      <c r="I604" s="450"/>
      <c r="J604" s="457">
        <v>391</v>
      </c>
      <c r="K604" s="627">
        <v>390</v>
      </c>
      <c r="L604" s="458">
        <f t="shared" si="285"/>
        <v>0</v>
      </c>
      <c r="M604" s="449">
        <f t="shared" si="286"/>
        <v>0</v>
      </c>
      <c r="N604" s="459"/>
      <c r="O604" s="459"/>
      <c r="P604" s="459"/>
      <c r="Q604" s="459"/>
      <c r="R604" s="460">
        <f t="shared" si="287"/>
        <v>0</v>
      </c>
      <c r="S604" s="461"/>
      <c r="T604" s="461"/>
      <c r="U604" s="461"/>
      <c r="V604" s="461"/>
      <c r="W604" s="462">
        <f t="shared" si="288"/>
        <v>0</v>
      </c>
      <c r="X604" s="463"/>
      <c r="Y604" s="457"/>
      <c r="Z604" s="464"/>
      <c r="AA604" s="464"/>
      <c r="AB604" s="465"/>
      <c r="AC604" s="457"/>
      <c r="AD604" s="464"/>
      <c r="AE604" s="466"/>
      <c r="AF604" s="465"/>
      <c r="AG604" s="457"/>
      <c r="AH604" s="464"/>
      <c r="AI604" s="466"/>
      <c r="AJ604" s="465"/>
      <c r="AK604" s="457"/>
      <c r="AL604" s="464"/>
      <c r="AM604" s="466"/>
      <c r="AN604" s="465"/>
      <c r="AO604" s="457"/>
      <c r="AP604" s="464"/>
      <c r="AQ604" s="464"/>
      <c r="AR604" s="460">
        <f t="shared" si="289"/>
        <v>0</v>
      </c>
      <c r="AS604" s="467">
        <f t="shared" si="290"/>
        <v>0</v>
      </c>
      <c r="AT604" s="447">
        <f t="shared" si="291"/>
        <v>0</v>
      </c>
      <c r="AU604" s="448">
        <f t="shared" si="292"/>
        <v>0</v>
      </c>
      <c r="AV604" s="457"/>
      <c r="AW604" s="450"/>
      <c r="AX604" s="463"/>
      <c r="AY604" s="457"/>
      <c r="AZ604" s="464"/>
      <c r="BA604" s="464"/>
      <c r="BB604" s="465"/>
      <c r="BC604" s="457"/>
      <c r="BD604" s="464"/>
      <c r="BE604" s="466"/>
      <c r="BF604" s="465"/>
      <c r="BG604" s="457"/>
      <c r="BH604" s="464"/>
      <c r="BI604" s="466"/>
      <c r="BJ604" s="465"/>
      <c r="BK604" s="457"/>
      <c r="BL604" s="464"/>
      <c r="BM604" s="466"/>
      <c r="BN604" s="465"/>
      <c r="BO604" s="457"/>
      <c r="BP604" s="464"/>
      <c r="BQ604" s="466"/>
      <c r="BR604" s="465"/>
      <c r="BS604" s="457"/>
      <c r="BT604" s="464"/>
      <c r="BU604" s="466"/>
      <c r="BV604" s="465"/>
      <c r="BW604" s="457"/>
      <c r="BX604" s="464"/>
      <c r="BY604" s="466"/>
      <c r="BZ604" s="465"/>
      <c r="CA604" s="457"/>
      <c r="CB604" s="464"/>
      <c r="CC604" s="466"/>
      <c r="CD604" s="465"/>
      <c r="CE604" s="457"/>
      <c r="CF604" s="464"/>
      <c r="CG604" s="466"/>
      <c r="CH604" s="465"/>
      <c r="CI604" s="457"/>
      <c r="CJ604" s="464"/>
      <c r="CK604" s="466"/>
      <c r="CL604" s="459"/>
      <c r="CM604" s="450"/>
      <c r="CN604" s="468">
        <f t="shared" si="293"/>
        <v>0</v>
      </c>
      <c r="CO604" s="468">
        <f t="shared" si="294"/>
        <v>0</v>
      </c>
      <c r="CP604" s="469">
        <f t="shared" si="295"/>
        <v>0</v>
      </c>
      <c r="CQ604" s="469">
        <f t="shared" si="296"/>
        <v>0</v>
      </c>
      <c r="CR604" s="463"/>
      <c r="CS604" s="457"/>
      <c r="CT604" s="464"/>
      <c r="CU604" s="464"/>
      <c r="CV604" s="465"/>
      <c r="CW604" s="457"/>
      <c r="CX604" s="464"/>
      <c r="CY604" s="466"/>
      <c r="CZ604" s="465"/>
      <c r="DA604" s="457"/>
      <c r="DB604" s="464"/>
      <c r="DC604" s="466"/>
      <c r="DD604" s="465"/>
      <c r="DE604" s="457"/>
      <c r="DF604" s="464"/>
      <c r="DG604" s="466"/>
      <c r="DH604" s="465"/>
      <c r="DI604" s="457"/>
      <c r="DJ604" s="464"/>
      <c r="DK604" s="466"/>
      <c r="DL604" s="465"/>
      <c r="DM604" s="457"/>
      <c r="DN604" s="464"/>
      <c r="DO604" s="466"/>
      <c r="DP604" s="465"/>
      <c r="DQ604" s="457"/>
      <c r="DR604" s="464"/>
      <c r="DS604" s="466"/>
      <c r="DT604" s="465"/>
      <c r="DU604" s="457"/>
      <c r="DV604" s="464"/>
      <c r="DW604" s="466"/>
      <c r="DX604" s="465"/>
      <c r="DY604" s="457"/>
      <c r="DZ604" s="464"/>
      <c r="EA604" s="466"/>
      <c r="EB604" s="465"/>
      <c r="EC604" s="457"/>
      <c r="ED604" s="464"/>
      <c r="EE604" s="466"/>
      <c r="EF604" s="459"/>
      <c r="EG604" s="450"/>
      <c r="EH604" s="460">
        <f t="shared" si="297"/>
        <v>0</v>
      </c>
      <c r="EI604" s="460">
        <f t="shared" si="298"/>
        <v>0</v>
      </c>
      <c r="EJ604" s="458">
        <f t="shared" si="299"/>
        <v>0</v>
      </c>
      <c r="EK604" s="470">
        <f t="shared" si="300"/>
        <v>0</v>
      </c>
      <c r="EL604" s="470">
        <f t="shared" si="301"/>
        <v>0</v>
      </c>
      <c r="EM604" s="449">
        <f t="shared" si="302"/>
        <v>0</v>
      </c>
      <c r="EN604" s="460">
        <f t="shared" si="303"/>
        <v>0</v>
      </c>
      <c r="EO604" s="469">
        <f t="shared" si="304"/>
        <v>0</v>
      </c>
      <c r="EP604" s="471"/>
      <c r="EQ604" s="450"/>
      <c r="ER604" s="471"/>
      <c r="ES604" s="450"/>
      <c r="ET604" s="471"/>
      <c r="EU604" s="450"/>
      <c r="EV604" s="471"/>
      <c r="EW604" s="450"/>
      <c r="EX604" s="471"/>
      <c r="EY604" s="450"/>
      <c r="EZ604" s="471"/>
      <c r="FA604" s="450"/>
      <c r="FB604" s="471"/>
      <c r="FC604" s="450"/>
      <c r="FD604" s="471"/>
      <c r="FE604" s="450"/>
      <c r="FF604" s="471"/>
      <c r="FG604" s="450"/>
      <c r="FH604" s="472"/>
      <c r="FI604" s="450"/>
      <c r="FJ604" s="468">
        <f t="shared" si="305"/>
        <v>0</v>
      </c>
      <c r="FK604" s="469">
        <f t="shared" si="306"/>
        <v>0</v>
      </c>
      <c r="FL604" s="472"/>
      <c r="FM604" s="450"/>
      <c r="FN604" s="460">
        <f t="shared" si="307"/>
        <v>635</v>
      </c>
      <c r="FO604" s="469">
        <f t="shared" si="308"/>
        <v>602</v>
      </c>
    </row>
    <row r="605" spans="1:171" x14ac:dyDescent="0.2">
      <c r="A605" s="637" t="s">
        <v>854</v>
      </c>
      <c r="B605" s="644" t="s">
        <v>931</v>
      </c>
      <c r="C605" s="645"/>
      <c r="D605" s="546">
        <v>225070</v>
      </c>
      <c r="E605" s="654">
        <v>9</v>
      </c>
      <c r="F605" s="532">
        <v>421</v>
      </c>
      <c r="G605" s="640">
        <v>459</v>
      </c>
      <c r="H605" s="457"/>
      <c r="I605" s="450"/>
      <c r="J605" s="457">
        <v>521</v>
      </c>
      <c r="K605" s="627">
        <v>526</v>
      </c>
      <c r="L605" s="458">
        <f t="shared" si="285"/>
        <v>0</v>
      </c>
      <c r="M605" s="449">
        <f t="shared" si="286"/>
        <v>0</v>
      </c>
      <c r="N605" s="459"/>
      <c r="O605" s="459"/>
      <c r="P605" s="459"/>
      <c r="Q605" s="459"/>
      <c r="R605" s="460">
        <f t="shared" si="287"/>
        <v>0</v>
      </c>
      <c r="S605" s="461"/>
      <c r="T605" s="461"/>
      <c r="U605" s="461"/>
      <c r="V605" s="461"/>
      <c r="W605" s="462">
        <f t="shared" si="288"/>
        <v>0</v>
      </c>
      <c r="X605" s="463"/>
      <c r="Y605" s="457"/>
      <c r="Z605" s="464"/>
      <c r="AA605" s="464"/>
      <c r="AB605" s="465"/>
      <c r="AC605" s="457"/>
      <c r="AD605" s="464"/>
      <c r="AE605" s="466"/>
      <c r="AF605" s="465"/>
      <c r="AG605" s="457"/>
      <c r="AH605" s="464"/>
      <c r="AI605" s="466"/>
      <c r="AJ605" s="465"/>
      <c r="AK605" s="457"/>
      <c r="AL605" s="464"/>
      <c r="AM605" s="466"/>
      <c r="AN605" s="465"/>
      <c r="AO605" s="457"/>
      <c r="AP605" s="464"/>
      <c r="AQ605" s="464"/>
      <c r="AR605" s="460">
        <f t="shared" si="289"/>
        <v>0</v>
      </c>
      <c r="AS605" s="467">
        <f t="shared" si="290"/>
        <v>0</v>
      </c>
      <c r="AT605" s="447">
        <f t="shared" si="291"/>
        <v>0</v>
      </c>
      <c r="AU605" s="448">
        <f t="shared" si="292"/>
        <v>0</v>
      </c>
      <c r="AV605" s="457"/>
      <c r="AW605" s="450"/>
      <c r="AX605" s="463"/>
      <c r="AY605" s="457"/>
      <c r="AZ605" s="464"/>
      <c r="BA605" s="464"/>
      <c r="BB605" s="465"/>
      <c r="BC605" s="457"/>
      <c r="BD605" s="464"/>
      <c r="BE605" s="466"/>
      <c r="BF605" s="465"/>
      <c r="BG605" s="457"/>
      <c r="BH605" s="464"/>
      <c r="BI605" s="466"/>
      <c r="BJ605" s="465"/>
      <c r="BK605" s="457"/>
      <c r="BL605" s="464"/>
      <c r="BM605" s="466"/>
      <c r="BN605" s="465"/>
      <c r="BO605" s="457"/>
      <c r="BP605" s="464"/>
      <c r="BQ605" s="466"/>
      <c r="BR605" s="465"/>
      <c r="BS605" s="457"/>
      <c r="BT605" s="464"/>
      <c r="BU605" s="466"/>
      <c r="BV605" s="465"/>
      <c r="BW605" s="457"/>
      <c r="BX605" s="464"/>
      <c r="BY605" s="466"/>
      <c r="BZ605" s="465"/>
      <c r="CA605" s="457"/>
      <c r="CB605" s="464"/>
      <c r="CC605" s="466"/>
      <c r="CD605" s="465"/>
      <c r="CE605" s="457"/>
      <c r="CF605" s="464"/>
      <c r="CG605" s="466"/>
      <c r="CH605" s="465"/>
      <c r="CI605" s="457"/>
      <c r="CJ605" s="464"/>
      <c r="CK605" s="466"/>
      <c r="CL605" s="459"/>
      <c r="CM605" s="450"/>
      <c r="CN605" s="468">
        <f t="shared" si="293"/>
        <v>0</v>
      </c>
      <c r="CO605" s="468">
        <f t="shared" si="294"/>
        <v>0</v>
      </c>
      <c r="CP605" s="469">
        <f t="shared" si="295"/>
        <v>0</v>
      </c>
      <c r="CQ605" s="469">
        <f t="shared" si="296"/>
        <v>0</v>
      </c>
      <c r="CR605" s="463"/>
      <c r="CS605" s="457"/>
      <c r="CT605" s="464"/>
      <c r="CU605" s="464"/>
      <c r="CV605" s="465"/>
      <c r="CW605" s="457"/>
      <c r="CX605" s="464"/>
      <c r="CY605" s="466"/>
      <c r="CZ605" s="465"/>
      <c r="DA605" s="457"/>
      <c r="DB605" s="464"/>
      <c r="DC605" s="466"/>
      <c r="DD605" s="465"/>
      <c r="DE605" s="457"/>
      <c r="DF605" s="464"/>
      <c r="DG605" s="466"/>
      <c r="DH605" s="465"/>
      <c r="DI605" s="457"/>
      <c r="DJ605" s="464"/>
      <c r="DK605" s="466"/>
      <c r="DL605" s="465"/>
      <c r="DM605" s="457"/>
      <c r="DN605" s="464"/>
      <c r="DO605" s="466"/>
      <c r="DP605" s="465"/>
      <c r="DQ605" s="457"/>
      <c r="DR605" s="464"/>
      <c r="DS605" s="466"/>
      <c r="DT605" s="465"/>
      <c r="DU605" s="457"/>
      <c r="DV605" s="464"/>
      <c r="DW605" s="466"/>
      <c r="DX605" s="465"/>
      <c r="DY605" s="457"/>
      <c r="DZ605" s="464"/>
      <c r="EA605" s="466"/>
      <c r="EB605" s="465"/>
      <c r="EC605" s="457"/>
      <c r="ED605" s="464"/>
      <c r="EE605" s="466"/>
      <c r="EF605" s="459"/>
      <c r="EG605" s="450"/>
      <c r="EH605" s="460">
        <f t="shared" si="297"/>
        <v>0</v>
      </c>
      <c r="EI605" s="460">
        <f t="shared" si="298"/>
        <v>0</v>
      </c>
      <c r="EJ605" s="458">
        <f t="shared" si="299"/>
        <v>0</v>
      </c>
      <c r="EK605" s="470">
        <f t="shared" si="300"/>
        <v>0</v>
      </c>
      <c r="EL605" s="470">
        <f t="shared" si="301"/>
        <v>0</v>
      </c>
      <c r="EM605" s="449">
        <f t="shared" si="302"/>
        <v>0</v>
      </c>
      <c r="EN605" s="460">
        <f t="shared" si="303"/>
        <v>0</v>
      </c>
      <c r="EO605" s="469">
        <f t="shared" si="304"/>
        <v>0</v>
      </c>
      <c r="EP605" s="471"/>
      <c r="EQ605" s="450"/>
      <c r="ER605" s="471"/>
      <c r="ES605" s="450"/>
      <c r="ET605" s="471"/>
      <c r="EU605" s="450"/>
      <c r="EV605" s="471"/>
      <c r="EW605" s="450"/>
      <c r="EX605" s="471"/>
      <c r="EY605" s="450"/>
      <c r="EZ605" s="471"/>
      <c r="FA605" s="450"/>
      <c r="FB605" s="471"/>
      <c r="FC605" s="450"/>
      <c r="FD605" s="471"/>
      <c r="FE605" s="450"/>
      <c r="FF605" s="471"/>
      <c r="FG605" s="450"/>
      <c r="FH605" s="472"/>
      <c r="FI605" s="450"/>
      <c r="FJ605" s="468">
        <f t="shared" si="305"/>
        <v>0</v>
      </c>
      <c r="FK605" s="469">
        <f t="shared" si="306"/>
        <v>0</v>
      </c>
      <c r="FL605" s="472"/>
      <c r="FM605" s="450"/>
      <c r="FN605" s="460">
        <f t="shared" si="307"/>
        <v>942</v>
      </c>
      <c r="FO605" s="469">
        <f t="shared" si="308"/>
        <v>985</v>
      </c>
    </row>
    <row r="606" spans="1:171" x14ac:dyDescent="0.2">
      <c r="A606" s="637" t="s">
        <v>854</v>
      </c>
      <c r="B606" s="644" t="s">
        <v>932</v>
      </c>
      <c r="C606" s="645"/>
      <c r="D606" s="546">
        <v>225371</v>
      </c>
      <c r="E606" s="654">
        <v>9</v>
      </c>
      <c r="F606" s="532">
        <v>461</v>
      </c>
      <c r="G606" s="640">
        <v>626</v>
      </c>
      <c r="H606" s="457"/>
      <c r="I606" s="450"/>
      <c r="J606" s="457">
        <v>286</v>
      </c>
      <c r="K606" s="627">
        <v>369</v>
      </c>
      <c r="L606" s="458">
        <f t="shared" si="285"/>
        <v>0</v>
      </c>
      <c r="M606" s="449">
        <f t="shared" si="286"/>
        <v>0</v>
      </c>
      <c r="N606" s="459"/>
      <c r="O606" s="459"/>
      <c r="P606" s="459"/>
      <c r="Q606" s="459"/>
      <c r="R606" s="460">
        <f t="shared" si="287"/>
        <v>0</v>
      </c>
      <c r="S606" s="461"/>
      <c r="T606" s="461"/>
      <c r="U606" s="461"/>
      <c r="V606" s="461"/>
      <c r="W606" s="462">
        <f t="shared" si="288"/>
        <v>0</v>
      </c>
      <c r="X606" s="463"/>
      <c r="Y606" s="457"/>
      <c r="Z606" s="464"/>
      <c r="AA606" s="464"/>
      <c r="AB606" s="465"/>
      <c r="AC606" s="457"/>
      <c r="AD606" s="464"/>
      <c r="AE606" s="466"/>
      <c r="AF606" s="465"/>
      <c r="AG606" s="457"/>
      <c r="AH606" s="464"/>
      <c r="AI606" s="466"/>
      <c r="AJ606" s="465"/>
      <c r="AK606" s="457"/>
      <c r="AL606" s="464"/>
      <c r="AM606" s="466"/>
      <c r="AN606" s="465"/>
      <c r="AO606" s="457"/>
      <c r="AP606" s="464"/>
      <c r="AQ606" s="464"/>
      <c r="AR606" s="460">
        <f t="shared" si="289"/>
        <v>0</v>
      </c>
      <c r="AS606" s="467">
        <f t="shared" si="290"/>
        <v>0</v>
      </c>
      <c r="AT606" s="447">
        <f t="shared" si="291"/>
        <v>0</v>
      </c>
      <c r="AU606" s="448">
        <f t="shared" si="292"/>
        <v>0</v>
      </c>
      <c r="AV606" s="457"/>
      <c r="AW606" s="450"/>
      <c r="AX606" s="463"/>
      <c r="AY606" s="457"/>
      <c r="AZ606" s="464"/>
      <c r="BA606" s="464"/>
      <c r="BB606" s="465"/>
      <c r="BC606" s="457"/>
      <c r="BD606" s="464"/>
      <c r="BE606" s="466"/>
      <c r="BF606" s="465"/>
      <c r="BG606" s="457"/>
      <c r="BH606" s="464"/>
      <c r="BI606" s="466"/>
      <c r="BJ606" s="465"/>
      <c r="BK606" s="457"/>
      <c r="BL606" s="464"/>
      <c r="BM606" s="466"/>
      <c r="BN606" s="465"/>
      <c r="BO606" s="457"/>
      <c r="BP606" s="464"/>
      <c r="BQ606" s="466"/>
      <c r="BR606" s="465"/>
      <c r="BS606" s="457"/>
      <c r="BT606" s="464"/>
      <c r="BU606" s="466"/>
      <c r="BV606" s="465"/>
      <c r="BW606" s="457"/>
      <c r="BX606" s="464"/>
      <c r="BY606" s="466"/>
      <c r="BZ606" s="465"/>
      <c r="CA606" s="457"/>
      <c r="CB606" s="464"/>
      <c r="CC606" s="466"/>
      <c r="CD606" s="465"/>
      <c r="CE606" s="457"/>
      <c r="CF606" s="464"/>
      <c r="CG606" s="466"/>
      <c r="CH606" s="465"/>
      <c r="CI606" s="457"/>
      <c r="CJ606" s="464"/>
      <c r="CK606" s="466"/>
      <c r="CL606" s="459"/>
      <c r="CM606" s="450"/>
      <c r="CN606" s="468">
        <f t="shared" si="293"/>
        <v>0</v>
      </c>
      <c r="CO606" s="468">
        <f t="shared" si="294"/>
        <v>0</v>
      </c>
      <c r="CP606" s="469">
        <f t="shared" si="295"/>
        <v>0</v>
      </c>
      <c r="CQ606" s="469">
        <f t="shared" si="296"/>
        <v>0</v>
      </c>
      <c r="CR606" s="463"/>
      <c r="CS606" s="457"/>
      <c r="CT606" s="464"/>
      <c r="CU606" s="464"/>
      <c r="CV606" s="465"/>
      <c r="CW606" s="457"/>
      <c r="CX606" s="464"/>
      <c r="CY606" s="466"/>
      <c r="CZ606" s="465"/>
      <c r="DA606" s="457"/>
      <c r="DB606" s="464"/>
      <c r="DC606" s="466"/>
      <c r="DD606" s="465"/>
      <c r="DE606" s="457"/>
      <c r="DF606" s="464"/>
      <c r="DG606" s="466"/>
      <c r="DH606" s="465"/>
      <c r="DI606" s="457"/>
      <c r="DJ606" s="464"/>
      <c r="DK606" s="466"/>
      <c r="DL606" s="465"/>
      <c r="DM606" s="457"/>
      <c r="DN606" s="464"/>
      <c r="DO606" s="466"/>
      <c r="DP606" s="465"/>
      <c r="DQ606" s="457"/>
      <c r="DR606" s="464"/>
      <c r="DS606" s="466"/>
      <c r="DT606" s="465"/>
      <c r="DU606" s="457"/>
      <c r="DV606" s="464"/>
      <c r="DW606" s="466"/>
      <c r="DX606" s="465"/>
      <c r="DY606" s="457"/>
      <c r="DZ606" s="464"/>
      <c r="EA606" s="466"/>
      <c r="EB606" s="465"/>
      <c r="EC606" s="457"/>
      <c r="ED606" s="464"/>
      <c r="EE606" s="466"/>
      <c r="EF606" s="459"/>
      <c r="EG606" s="450"/>
      <c r="EH606" s="460">
        <f t="shared" si="297"/>
        <v>0</v>
      </c>
      <c r="EI606" s="460">
        <f t="shared" si="298"/>
        <v>0</v>
      </c>
      <c r="EJ606" s="458">
        <f t="shared" si="299"/>
        <v>0</v>
      </c>
      <c r="EK606" s="470">
        <f t="shared" si="300"/>
        <v>0</v>
      </c>
      <c r="EL606" s="470">
        <f t="shared" si="301"/>
        <v>0</v>
      </c>
      <c r="EM606" s="449">
        <f t="shared" si="302"/>
        <v>0</v>
      </c>
      <c r="EN606" s="460">
        <f t="shared" si="303"/>
        <v>0</v>
      </c>
      <c r="EO606" s="469">
        <f t="shared" si="304"/>
        <v>0</v>
      </c>
      <c r="EP606" s="471"/>
      <c r="EQ606" s="450"/>
      <c r="ER606" s="471"/>
      <c r="ES606" s="450"/>
      <c r="ET606" s="471"/>
      <c r="EU606" s="450"/>
      <c r="EV606" s="471"/>
      <c r="EW606" s="450"/>
      <c r="EX606" s="471"/>
      <c r="EY606" s="450"/>
      <c r="EZ606" s="471"/>
      <c r="FA606" s="450"/>
      <c r="FB606" s="471"/>
      <c r="FC606" s="450"/>
      <c r="FD606" s="471"/>
      <c r="FE606" s="450"/>
      <c r="FF606" s="471"/>
      <c r="FG606" s="450"/>
      <c r="FH606" s="472"/>
      <c r="FI606" s="450"/>
      <c r="FJ606" s="468">
        <f t="shared" si="305"/>
        <v>0</v>
      </c>
      <c r="FK606" s="469">
        <f t="shared" si="306"/>
        <v>0</v>
      </c>
      <c r="FL606" s="472"/>
      <c r="FM606" s="450"/>
      <c r="FN606" s="460">
        <f t="shared" si="307"/>
        <v>747</v>
      </c>
      <c r="FO606" s="469">
        <f t="shared" si="308"/>
        <v>995</v>
      </c>
    </row>
    <row r="607" spans="1:171" x14ac:dyDescent="0.2">
      <c r="A607" s="637" t="s">
        <v>854</v>
      </c>
      <c r="B607" s="644" t="s">
        <v>933</v>
      </c>
      <c r="C607" s="645"/>
      <c r="D607" s="546">
        <v>225520</v>
      </c>
      <c r="E607" s="654">
        <v>9</v>
      </c>
      <c r="F607" s="532">
        <v>195</v>
      </c>
      <c r="G607" s="640">
        <v>235</v>
      </c>
      <c r="H607" s="457"/>
      <c r="I607" s="450"/>
      <c r="J607" s="457">
        <v>293</v>
      </c>
      <c r="K607" s="627">
        <v>296</v>
      </c>
      <c r="L607" s="458">
        <f t="shared" si="285"/>
        <v>0</v>
      </c>
      <c r="M607" s="449">
        <f t="shared" si="286"/>
        <v>0</v>
      </c>
      <c r="N607" s="459"/>
      <c r="O607" s="459"/>
      <c r="P607" s="459"/>
      <c r="Q607" s="459"/>
      <c r="R607" s="460">
        <f t="shared" si="287"/>
        <v>0</v>
      </c>
      <c r="S607" s="461"/>
      <c r="T607" s="461"/>
      <c r="U607" s="461"/>
      <c r="V607" s="461"/>
      <c r="W607" s="462">
        <f t="shared" si="288"/>
        <v>0</v>
      </c>
      <c r="X607" s="463"/>
      <c r="Y607" s="457"/>
      <c r="Z607" s="464"/>
      <c r="AA607" s="464"/>
      <c r="AB607" s="465"/>
      <c r="AC607" s="457"/>
      <c r="AD607" s="464"/>
      <c r="AE607" s="466"/>
      <c r="AF607" s="465"/>
      <c r="AG607" s="457"/>
      <c r="AH607" s="464"/>
      <c r="AI607" s="466"/>
      <c r="AJ607" s="465"/>
      <c r="AK607" s="457"/>
      <c r="AL607" s="464"/>
      <c r="AM607" s="466"/>
      <c r="AN607" s="465"/>
      <c r="AO607" s="457"/>
      <c r="AP607" s="464"/>
      <c r="AQ607" s="464"/>
      <c r="AR607" s="460">
        <f t="shared" si="289"/>
        <v>0</v>
      </c>
      <c r="AS607" s="467">
        <f t="shared" si="290"/>
        <v>0</v>
      </c>
      <c r="AT607" s="447">
        <f t="shared" si="291"/>
        <v>0</v>
      </c>
      <c r="AU607" s="448">
        <f t="shared" si="292"/>
        <v>0</v>
      </c>
      <c r="AV607" s="457"/>
      <c r="AW607" s="450"/>
      <c r="AX607" s="463"/>
      <c r="AY607" s="457"/>
      <c r="AZ607" s="464"/>
      <c r="BA607" s="464"/>
      <c r="BB607" s="465"/>
      <c r="BC607" s="457"/>
      <c r="BD607" s="464"/>
      <c r="BE607" s="466"/>
      <c r="BF607" s="465"/>
      <c r="BG607" s="457"/>
      <c r="BH607" s="464"/>
      <c r="BI607" s="466"/>
      <c r="BJ607" s="465"/>
      <c r="BK607" s="457"/>
      <c r="BL607" s="464"/>
      <c r="BM607" s="466"/>
      <c r="BN607" s="465"/>
      <c r="BO607" s="457"/>
      <c r="BP607" s="464"/>
      <c r="BQ607" s="466"/>
      <c r="BR607" s="465"/>
      <c r="BS607" s="457"/>
      <c r="BT607" s="464"/>
      <c r="BU607" s="466"/>
      <c r="BV607" s="465"/>
      <c r="BW607" s="457"/>
      <c r="BX607" s="464"/>
      <c r="BY607" s="466"/>
      <c r="BZ607" s="465"/>
      <c r="CA607" s="457"/>
      <c r="CB607" s="464"/>
      <c r="CC607" s="466"/>
      <c r="CD607" s="465"/>
      <c r="CE607" s="457"/>
      <c r="CF607" s="464"/>
      <c r="CG607" s="466"/>
      <c r="CH607" s="465"/>
      <c r="CI607" s="457"/>
      <c r="CJ607" s="464"/>
      <c r="CK607" s="466"/>
      <c r="CL607" s="459"/>
      <c r="CM607" s="450"/>
      <c r="CN607" s="468">
        <f t="shared" si="293"/>
        <v>0</v>
      </c>
      <c r="CO607" s="468">
        <f t="shared" si="294"/>
        <v>0</v>
      </c>
      <c r="CP607" s="469">
        <f t="shared" si="295"/>
        <v>0</v>
      </c>
      <c r="CQ607" s="469">
        <f t="shared" si="296"/>
        <v>0</v>
      </c>
      <c r="CR607" s="463"/>
      <c r="CS607" s="457"/>
      <c r="CT607" s="464"/>
      <c r="CU607" s="464"/>
      <c r="CV607" s="465"/>
      <c r="CW607" s="457"/>
      <c r="CX607" s="464"/>
      <c r="CY607" s="466"/>
      <c r="CZ607" s="465"/>
      <c r="DA607" s="457"/>
      <c r="DB607" s="464"/>
      <c r="DC607" s="466"/>
      <c r="DD607" s="465"/>
      <c r="DE607" s="457"/>
      <c r="DF607" s="464"/>
      <c r="DG607" s="466"/>
      <c r="DH607" s="465"/>
      <c r="DI607" s="457"/>
      <c r="DJ607" s="464"/>
      <c r="DK607" s="466"/>
      <c r="DL607" s="465"/>
      <c r="DM607" s="457"/>
      <c r="DN607" s="464"/>
      <c r="DO607" s="466"/>
      <c r="DP607" s="465"/>
      <c r="DQ607" s="457"/>
      <c r="DR607" s="464"/>
      <c r="DS607" s="466"/>
      <c r="DT607" s="465"/>
      <c r="DU607" s="457"/>
      <c r="DV607" s="464"/>
      <c r="DW607" s="466"/>
      <c r="DX607" s="465"/>
      <c r="DY607" s="457"/>
      <c r="DZ607" s="464"/>
      <c r="EA607" s="466"/>
      <c r="EB607" s="465"/>
      <c r="EC607" s="457"/>
      <c r="ED607" s="464"/>
      <c r="EE607" s="466"/>
      <c r="EF607" s="459"/>
      <c r="EG607" s="450"/>
      <c r="EH607" s="460">
        <f t="shared" si="297"/>
        <v>0</v>
      </c>
      <c r="EI607" s="460">
        <f t="shared" si="298"/>
        <v>0</v>
      </c>
      <c r="EJ607" s="458">
        <f t="shared" si="299"/>
        <v>0</v>
      </c>
      <c r="EK607" s="470">
        <f t="shared" si="300"/>
        <v>0</v>
      </c>
      <c r="EL607" s="470">
        <f t="shared" si="301"/>
        <v>0</v>
      </c>
      <c r="EM607" s="449">
        <f t="shared" si="302"/>
        <v>0</v>
      </c>
      <c r="EN607" s="460">
        <f t="shared" si="303"/>
        <v>0</v>
      </c>
      <c r="EO607" s="469">
        <f t="shared" si="304"/>
        <v>0</v>
      </c>
      <c r="EP607" s="471"/>
      <c r="EQ607" s="450"/>
      <c r="ER607" s="471"/>
      <c r="ES607" s="450"/>
      <c r="ET607" s="471"/>
      <c r="EU607" s="450"/>
      <c r="EV607" s="471"/>
      <c r="EW607" s="450"/>
      <c r="EX607" s="471"/>
      <c r="EY607" s="450"/>
      <c r="EZ607" s="471"/>
      <c r="FA607" s="450"/>
      <c r="FB607" s="471"/>
      <c r="FC607" s="450"/>
      <c r="FD607" s="471"/>
      <c r="FE607" s="450"/>
      <c r="FF607" s="471"/>
      <c r="FG607" s="450"/>
      <c r="FH607" s="472"/>
      <c r="FI607" s="450"/>
      <c r="FJ607" s="468">
        <f t="shared" si="305"/>
        <v>0</v>
      </c>
      <c r="FK607" s="469">
        <f t="shared" si="306"/>
        <v>0</v>
      </c>
      <c r="FL607" s="472"/>
      <c r="FM607" s="450"/>
      <c r="FN607" s="460">
        <f t="shared" si="307"/>
        <v>488</v>
      </c>
      <c r="FO607" s="469">
        <f t="shared" si="308"/>
        <v>531</v>
      </c>
    </row>
    <row r="608" spans="1:171" x14ac:dyDescent="0.2">
      <c r="A608" s="641" t="s">
        <v>854</v>
      </c>
      <c r="B608" s="647" t="s">
        <v>934</v>
      </c>
      <c r="C608" s="648"/>
      <c r="D608" s="642">
        <v>441760</v>
      </c>
      <c r="E608" s="643">
        <v>9</v>
      </c>
      <c r="F608" s="532">
        <v>136</v>
      </c>
      <c r="G608" s="640">
        <v>183</v>
      </c>
      <c r="H608" s="457"/>
      <c r="I608" s="450"/>
      <c r="J608" s="457">
        <v>409</v>
      </c>
      <c r="K608" s="627">
        <v>351</v>
      </c>
      <c r="L608" s="458">
        <f t="shared" si="285"/>
        <v>0</v>
      </c>
      <c r="M608" s="449">
        <f t="shared" si="286"/>
        <v>0</v>
      </c>
      <c r="N608" s="459"/>
      <c r="O608" s="459"/>
      <c r="P608" s="459"/>
      <c r="Q608" s="459"/>
      <c r="R608" s="460">
        <f t="shared" si="287"/>
        <v>0</v>
      </c>
      <c r="S608" s="461"/>
      <c r="T608" s="461"/>
      <c r="U608" s="461"/>
      <c r="V608" s="461"/>
      <c r="W608" s="462">
        <f t="shared" si="288"/>
        <v>0</v>
      </c>
      <c r="X608" s="463"/>
      <c r="Y608" s="457"/>
      <c r="Z608" s="464"/>
      <c r="AA608" s="464"/>
      <c r="AB608" s="465"/>
      <c r="AC608" s="457"/>
      <c r="AD608" s="464"/>
      <c r="AE608" s="466"/>
      <c r="AF608" s="465"/>
      <c r="AG608" s="457"/>
      <c r="AH608" s="464"/>
      <c r="AI608" s="466"/>
      <c r="AJ608" s="465"/>
      <c r="AK608" s="457"/>
      <c r="AL608" s="464"/>
      <c r="AM608" s="466"/>
      <c r="AN608" s="465"/>
      <c r="AO608" s="457"/>
      <c r="AP608" s="464"/>
      <c r="AQ608" s="464"/>
      <c r="AR608" s="460">
        <f t="shared" si="289"/>
        <v>0</v>
      </c>
      <c r="AS608" s="467">
        <f t="shared" si="290"/>
        <v>0</v>
      </c>
      <c r="AT608" s="447">
        <f t="shared" si="291"/>
        <v>0</v>
      </c>
      <c r="AU608" s="448">
        <f t="shared" si="292"/>
        <v>0</v>
      </c>
      <c r="AV608" s="457"/>
      <c r="AW608" s="450"/>
      <c r="AX608" s="463"/>
      <c r="AY608" s="457"/>
      <c r="AZ608" s="464"/>
      <c r="BA608" s="464"/>
      <c r="BB608" s="465"/>
      <c r="BC608" s="457"/>
      <c r="BD608" s="464"/>
      <c r="BE608" s="466"/>
      <c r="BF608" s="465"/>
      <c r="BG608" s="457"/>
      <c r="BH608" s="464"/>
      <c r="BI608" s="466"/>
      <c r="BJ608" s="465"/>
      <c r="BK608" s="457"/>
      <c r="BL608" s="464"/>
      <c r="BM608" s="466"/>
      <c r="BN608" s="465"/>
      <c r="BO608" s="457"/>
      <c r="BP608" s="464"/>
      <c r="BQ608" s="466"/>
      <c r="BR608" s="465"/>
      <c r="BS608" s="457"/>
      <c r="BT608" s="464"/>
      <c r="BU608" s="466"/>
      <c r="BV608" s="465"/>
      <c r="BW608" s="457"/>
      <c r="BX608" s="464"/>
      <c r="BY608" s="466"/>
      <c r="BZ608" s="465"/>
      <c r="CA608" s="457"/>
      <c r="CB608" s="464"/>
      <c r="CC608" s="466"/>
      <c r="CD608" s="465"/>
      <c r="CE608" s="457"/>
      <c r="CF608" s="464"/>
      <c r="CG608" s="466"/>
      <c r="CH608" s="465"/>
      <c r="CI608" s="457"/>
      <c r="CJ608" s="464"/>
      <c r="CK608" s="466"/>
      <c r="CL608" s="459"/>
      <c r="CM608" s="450"/>
      <c r="CN608" s="468">
        <f t="shared" si="293"/>
        <v>0</v>
      </c>
      <c r="CO608" s="468">
        <f t="shared" si="294"/>
        <v>0</v>
      </c>
      <c r="CP608" s="469">
        <f t="shared" si="295"/>
        <v>0</v>
      </c>
      <c r="CQ608" s="469">
        <f t="shared" si="296"/>
        <v>0</v>
      </c>
      <c r="CR608" s="463"/>
      <c r="CS608" s="457"/>
      <c r="CT608" s="464"/>
      <c r="CU608" s="464"/>
      <c r="CV608" s="465"/>
      <c r="CW608" s="457"/>
      <c r="CX608" s="464"/>
      <c r="CY608" s="466"/>
      <c r="CZ608" s="465"/>
      <c r="DA608" s="457"/>
      <c r="DB608" s="464"/>
      <c r="DC608" s="466"/>
      <c r="DD608" s="465"/>
      <c r="DE608" s="457"/>
      <c r="DF608" s="464"/>
      <c r="DG608" s="466"/>
      <c r="DH608" s="465"/>
      <c r="DI608" s="457"/>
      <c r="DJ608" s="464"/>
      <c r="DK608" s="466"/>
      <c r="DL608" s="465"/>
      <c r="DM608" s="457"/>
      <c r="DN608" s="464"/>
      <c r="DO608" s="466"/>
      <c r="DP608" s="465"/>
      <c r="DQ608" s="457"/>
      <c r="DR608" s="464"/>
      <c r="DS608" s="466"/>
      <c r="DT608" s="465"/>
      <c r="DU608" s="457"/>
      <c r="DV608" s="464"/>
      <c r="DW608" s="466"/>
      <c r="DX608" s="465"/>
      <c r="DY608" s="457"/>
      <c r="DZ608" s="464"/>
      <c r="EA608" s="466"/>
      <c r="EB608" s="465"/>
      <c r="EC608" s="457"/>
      <c r="ED608" s="464"/>
      <c r="EE608" s="466"/>
      <c r="EF608" s="459"/>
      <c r="EG608" s="450"/>
      <c r="EH608" s="460">
        <f t="shared" si="297"/>
        <v>0</v>
      </c>
      <c r="EI608" s="460">
        <f t="shared" si="298"/>
        <v>0</v>
      </c>
      <c r="EJ608" s="458">
        <f t="shared" si="299"/>
        <v>0</v>
      </c>
      <c r="EK608" s="470">
        <f t="shared" si="300"/>
        <v>0</v>
      </c>
      <c r="EL608" s="470">
        <f t="shared" si="301"/>
        <v>0</v>
      </c>
      <c r="EM608" s="449">
        <f t="shared" si="302"/>
        <v>0</v>
      </c>
      <c r="EN608" s="460">
        <f t="shared" si="303"/>
        <v>0</v>
      </c>
      <c r="EO608" s="469">
        <f t="shared" si="304"/>
        <v>0</v>
      </c>
      <c r="EP608" s="471"/>
      <c r="EQ608" s="450"/>
      <c r="ER608" s="471"/>
      <c r="ES608" s="450"/>
      <c r="ET608" s="471"/>
      <c r="EU608" s="450"/>
      <c r="EV608" s="471"/>
      <c r="EW608" s="450"/>
      <c r="EX608" s="471"/>
      <c r="EY608" s="450"/>
      <c r="EZ608" s="471"/>
      <c r="FA608" s="450"/>
      <c r="FB608" s="471"/>
      <c r="FC608" s="450"/>
      <c r="FD608" s="471"/>
      <c r="FE608" s="450"/>
      <c r="FF608" s="471"/>
      <c r="FG608" s="450"/>
      <c r="FH608" s="472"/>
      <c r="FI608" s="450"/>
      <c r="FJ608" s="468">
        <f t="shared" si="305"/>
        <v>0</v>
      </c>
      <c r="FK608" s="469">
        <f t="shared" si="306"/>
        <v>0</v>
      </c>
      <c r="FL608" s="472"/>
      <c r="FM608" s="450"/>
      <c r="FN608" s="460">
        <f t="shared" si="307"/>
        <v>545</v>
      </c>
      <c r="FO608" s="469">
        <f t="shared" si="308"/>
        <v>534</v>
      </c>
    </row>
    <row r="609" spans="1:172" x14ac:dyDescent="0.2">
      <c r="A609" s="641" t="s">
        <v>854</v>
      </c>
      <c r="B609" s="647" t="s">
        <v>952</v>
      </c>
      <c r="C609" s="653" t="s">
        <v>978</v>
      </c>
      <c r="D609" s="642">
        <v>226116</v>
      </c>
      <c r="E609" s="655">
        <v>9</v>
      </c>
      <c r="F609" s="532">
        <v>205</v>
      </c>
      <c r="G609" s="640">
        <v>214</v>
      </c>
      <c r="H609" s="457"/>
      <c r="I609" s="450"/>
      <c r="J609" s="457">
        <v>222</v>
      </c>
      <c r="K609" s="627">
        <v>303</v>
      </c>
      <c r="L609" s="458">
        <f t="shared" si="285"/>
        <v>0</v>
      </c>
      <c r="M609" s="449">
        <f t="shared" si="286"/>
        <v>0</v>
      </c>
      <c r="N609" s="459"/>
      <c r="O609" s="459"/>
      <c r="P609" s="459"/>
      <c r="Q609" s="459"/>
      <c r="R609" s="460">
        <f t="shared" si="287"/>
        <v>0</v>
      </c>
      <c r="S609" s="461"/>
      <c r="T609" s="461"/>
      <c r="U609" s="461"/>
      <c r="V609" s="461"/>
      <c r="W609" s="462">
        <f t="shared" si="288"/>
        <v>0</v>
      </c>
      <c r="X609" s="463"/>
      <c r="Y609" s="457"/>
      <c r="Z609" s="464"/>
      <c r="AA609" s="464"/>
      <c r="AB609" s="465"/>
      <c r="AC609" s="457"/>
      <c r="AD609" s="464"/>
      <c r="AE609" s="466"/>
      <c r="AF609" s="465"/>
      <c r="AG609" s="457"/>
      <c r="AH609" s="464"/>
      <c r="AI609" s="466"/>
      <c r="AJ609" s="465"/>
      <c r="AK609" s="457"/>
      <c r="AL609" s="464"/>
      <c r="AM609" s="466"/>
      <c r="AN609" s="465"/>
      <c r="AO609" s="457"/>
      <c r="AP609" s="464"/>
      <c r="AQ609" s="464"/>
      <c r="AR609" s="460">
        <f t="shared" si="289"/>
        <v>0</v>
      </c>
      <c r="AS609" s="467">
        <f t="shared" si="290"/>
        <v>0</v>
      </c>
      <c r="AT609" s="447">
        <f t="shared" si="291"/>
        <v>0</v>
      </c>
      <c r="AU609" s="448">
        <f t="shared" si="292"/>
        <v>0</v>
      </c>
      <c r="AV609" s="457"/>
      <c r="AW609" s="450"/>
      <c r="AX609" s="463"/>
      <c r="AY609" s="457"/>
      <c r="AZ609" s="464"/>
      <c r="BA609" s="464"/>
      <c r="BB609" s="465"/>
      <c r="BC609" s="457"/>
      <c r="BD609" s="464"/>
      <c r="BE609" s="466"/>
      <c r="BF609" s="465"/>
      <c r="BG609" s="457"/>
      <c r="BH609" s="464"/>
      <c r="BI609" s="466"/>
      <c r="BJ609" s="465"/>
      <c r="BK609" s="457"/>
      <c r="BL609" s="464"/>
      <c r="BM609" s="466"/>
      <c r="BN609" s="465"/>
      <c r="BO609" s="457"/>
      <c r="BP609" s="464"/>
      <c r="BQ609" s="466"/>
      <c r="BR609" s="465"/>
      <c r="BS609" s="457"/>
      <c r="BT609" s="464"/>
      <c r="BU609" s="466"/>
      <c r="BV609" s="465"/>
      <c r="BW609" s="457"/>
      <c r="BX609" s="464"/>
      <c r="BY609" s="466"/>
      <c r="BZ609" s="465"/>
      <c r="CA609" s="457"/>
      <c r="CB609" s="464"/>
      <c r="CC609" s="466"/>
      <c r="CD609" s="465"/>
      <c r="CE609" s="457"/>
      <c r="CF609" s="464"/>
      <c r="CG609" s="466"/>
      <c r="CH609" s="465"/>
      <c r="CI609" s="457"/>
      <c r="CJ609" s="464"/>
      <c r="CK609" s="466"/>
      <c r="CL609" s="459"/>
      <c r="CM609" s="450"/>
      <c r="CN609" s="468">
        <f t="shared" si="293"/>
        <v>0</v>
      </c>
      <c r="CO609" s="468">
        <f t="shared" si="294"/>
        <v>0</v>
      </c>
      <c r="CP609" s="469">
        <f t="shared" si="295"/>
        <v>0</v>
      </c>
      <c r="CQ609" s="469">
        <f t="shared" si="296"/>
        <v>0</v>
      </c>
      <c r="CR609" s="463"/>
      <c r="CS609" s="457"/>
      <c r="CT609" s="464"/>
      <c r="CU609" s="464"/>
      <c r="CV609" s="465"/>
      <c r="CW609" s="457"/>
      <c r="CX609" s="464"/>
      <c r="CY609" s="466"/>
      <c r="CZ609" s="465"/>
      <c r="DA609" s="457"/>
      <c r="DB609" s="464"/>
      <c r="DC609" s="466"/>
      <c r="DD609" s="465"/>
      <c r="DE609" s="457"/>
      <c r="DF609" s="464"/>
      <c r="DG609" s="466"/>
      <c r="DH609" s="465"/>
      <c r="DI609" s="457"/>
      <c r="DJ609" s="464"/>
      <c r="DK609" s="466"/>
      <c r="DL609" s="465"/>
      <c r="DM609" s="457"/>
      <c r="DN609" s="464"/>
      <c r="DO609" s="466"/>
      <c r="DP609" s="465"/>
      <c r="DQ609" s="457"/>
      <c r="DR609" s="464"/>
      <c r="DS609" s="466"/>
      <c r="DT609" s="465"/>
      <c r="DU609" s="457"/>
      <c r="DV609" s="464"/>
      <c r="DW609" s="466"/>
      <c r="DX609" s="465"/>
      <c r="DY609" s="457"/>
      <c r="DZ609" s="464"/>
      <c r="EA609" s="466"/>
      <c r="EB609" s="465"/>
      <c r="EC609" s="457"/>
      <c r="ED609" s="464"/>
      <c r="EE609" s="466"/>
      <c r="EF609" s="459"/>
      <c r="EG609" s="450"/>
      <c r="EH609" s="460">
        <f t="shared" si="297"/>
        <v>0</v>
      </c>
      <c r="EI609" s="460">
        <f t="shared" si="298"/>
        <v>0</v>
      </c>
      <c r="EJ609" s="458">
        <f t="shared" si="299"/>
        <v>0</v>
      </c>
      <c r="EK609" s="470">
        <f t="shared" si="300"/>
        <v>0</v>
      </c>
      <c r="EL609" s="470">
        <f t="shared" si="301"/>
        <v>0</v>
      </c>
      <c r="EM609" s="449">
        <f t="shared" si="302"/>
        <v>0</v>
      </c>
      <c r="EN609" s="460">
        <f t="shared" si="303"/>
        <v>0</v>
      </c>
      <c r="EO609" s="469">
        <f t="shared" si="304"/>
        <v>0</v>
      </c>
      <c r="EP609" s="471"/>
      <c r="EQ609" s="450"/>
      <c r="ER609" s="471"/>
      <c r="ES609" s="450"/>
      <c r="ET609" s="471"/>
      <c r="EU609" s="450"/>
      <c r="EV609" s="471"/>
      <c r="EW609" s="450"/>
      <c r="EX609" s="471"/>
      <c r="EY609" s="450"/>
      <c r="EZ609" s="471"/>
      <c r="FA609" s="450"/>
      <c r="FB609" s="471"/>
      <c r="FC609" s="450"/>
      <c r="FD609" s="471"/>
      <c r="FE609" s="450"/>
      <c r="FF609" s="471"/>
      <c r="FG609" s="450"/>
      <c r="FH609" s="472"/>
      <c r="FI609" s="450"/>
      <c r="FJ609" s="468">
        <f t="shared" si="305"/>
        <v>0</v>
      </c>
      <c r="FK609" s="469">
        <f t="shared" si="306"/>
        <v>0</v>
      </c>
      <c r="FL609" s="472"/>
      <c r="FM609" s="450"/>
      <c r="FN609" s="460">
        <f t="shared" si="307"/>
        <v>427</v>
      </c>
      <c r="FO609" s="469">
        <f t="shared" si="308"/>
        <v>517</v>
      </c>
    </row>
    <row r="610" spans="1:172" x14ac:dyDescent="0.2">
      <c r="A610" s="637" t="s">
        <v>854</v>
      </c>
      <c r="B610" s="644" t="s">
        <v>935</v>
      </c>
      <c r="C610" s="645"/>
      <c r="D610" s="546">
        <v>226204</v>
      </c>
      <c r="E610" s="654">
        <v>9</v>
      </c>
      <c r="F610" s="532">
        <v>940</v>
      </c>
      <c r="G610" s="640">
        <v>646</v>
      </c>
      <c r="H610" s="457"/>
      <c r="I610" s="450"/>
      <c r="J610" s="457">
        <v>752</v>
      </c>
      <c r="K610" s="627">
        <v>678</v>
      </c>
      <c r="L610" s="458">
        <f t="shared" si="285"/>
        <v>0</v>
      </c>
      <c r="M610" s="449">
        <f t="shared" si="286"/>
        <v>0</v>
      </c>
      <c r="N610" s="459"/>
      <c r="O610" s="459"/>
      <c r="P610" s="459"/>
      <c r="Q610" s="459"/>
      <c r="R610" s="460">
        <f t="shared" si="287"/>
        <v>0</v>
      </c>
      <c r="S610" s="461"/>
      <c r="T610" s="461"/>
      <c r="U610" s="461"/>
      <c r="V610" s="461"/>
      <c r="W610" s="462">
        <f t="shared" si="288"/>
        <v>0</v>
      </c>
      <c r="X610" s="463"/>
      <c r="Y610" s="457"/>
      <c r="Z610" s="464"/>
      <c r="AA610" s="464"/>
      <c r="AB610" s="465"/>
      <c r="AC610" s="457"/>
      <c r="AD610" s="464"/>
      <c r="AE610" s="466"/>
      <c r="AF610" s="465"/>
      <c r="AG610" s="457"/>
      <c r="AH610" s="464"/>
      <c r="AI610" s="466"/>
      <c r="AJ610" s="465"/>
      <c r="AK610" s="457"/>
      <c r="AL610" s="464"/>
      <c r="AM610" s="466"/>
      <c r="AN610" s="465"/>
      <c r="AO610" s="457"/>
      <c r="AP610" s="464"/>
      <c r="AQ610" s="464"/>
      <c r="AR610" s="460">
        <f t="shared" si="289"/>
        <v>0</v>
      </c>
      <c r="AS610" s="467">
        <f t="shared" si="290"/>
        <v>0</v>
      </c>
      <c r="AT610" s="447">
        <f t="shared" si="291"/>
        <v>0</v>
      </c>
      <c r="AU610" s="448">
        <f t="shared" si="292"/>
        <v>0</v>
      </c>
      <c r="AV610" s="457"/>
      <c r="AW610" s="450"/>
      <c r="AX610" s="463"/>
      <c r="AY610" s="457"/>
      <c r="AZ610" s="464"/>
      <c r="BA610" s="464"/>
      <c r="BB610" s="465"/>
      <c r="BC610" s="457"/>
      <c r="BD610" s="464"/>
      <c r="BE610" s="466"/>
      <c r="BF610" s="465"/>
      <c r="BG610" s="457"/>
      <c r="BH610" s="464"/>
      <c r="BI610" s="466"/>
      <c r="BJ610" s="465"/>
      <c r="BK610" s="457"/>
      <c r="BL610" s="464"/>
      <c r="BM610" s="466"/>
      <c r="BN610" s="465"/>
      <c r="BO610" s="457"/>
      <c r="BP610" s="464"/>
      <c r="BQ610" s="466"/>
      <c r="BR610" s="465"/>
      <c r="BS610" s="457"/>
      <c r="BT610" s="464"/>
      <c r="BU610" s="466"/>
      <c r="BV610" s="465"/>
      <c r="BW610" s="457"/>
      <c r="BX610" s="464"/>
      <c r="BY610" s="466"/>
      <c r="BZ610" s="465"/>
      <c r="CA610" s="457"/>
      <c r="CB610" s="464"/>
      <c r="CC610" s="466"/>
      <c r="CD610" s="465"/>
      <c r="CE610" s="457"/>
      <c r="CF610" s="464"/>
      <c r="CG610" s="466"/>
      <c r="CH610" s="465"/>
      <c r="CI610" s="457"/>
      <c r="CJ610" s="464"/>
      <c r="CK610" s="466"/>
      <c r="CL610" s="459"/>
      <c r="CM610" s="450"/>
      <c r="CN610" s="468">
        <f t="shared" si="293"/>
        <v>0</v>
      </c>
      <c r="CO610" s="468">
        <f t="shared" si="294"/>
        <v>0</v>
      </c>
      <c r="CP610" s="469">
        <f t="shared" si="295"/>
        <v>0</v>
      </c>
      <c r="CQ610" s="469">
        <f t="shared" si="296"/>
        <v>0</v>
      </c>
      <c r="CR610" s="463"/>
      <c r="CS610" s="457"/>
      <c r="CT610" s="464"/>
      <c r="CU610" s="464"/>
      <c r="CV610" s="465"/>
      <c r="CW610" s="457"/>
      <c r="CX610" s="464"/>
      <c r="CY610" s="466"/>
      <c r="CZ610" s="465"/>
      <c r="DA610" s="457"/>
      <c r="DB610" s="464"/>
      <c r="DC610" s="466"/>
      <c r="DD610" s="465"/>
      <c r="DE610" s="457"/>
      <c r="DF610" s="464"/>
      <c r="DG610" s="466"/>
      <c r="DH610" s="465"/>
      <c r="DI610" s="457"/>
      <c r="DJ610" s="464"/>
      <c r="DK610" s="466"/>
      <c r="DL610" s="465"/>
      <c r="DM610" s="457"/>
      <c r="DN610" s="464"/>
      <c r="DO610" s="466"/>
      <c r="DP610" s="465"/>
      <c r="DQ610" s="457"/>
      <c r="DR610" s="464"/>
      <c r="DS610" s="466"/>
      <c r="DT610" s="465"/>
      <c r="DU610" s="457"/>
      <c r="DV610" s="464"/>
      <c r="DW610" s="466"/>
      <c r="DX610" s="465"/>
      <c r="DY610" s="457"/>
      <c r="DZ610" s="464"/>
      <c r="EA610" s="466"/>
      <c r="EB610" s="465"/>
      <c r="EC610" s="457"/>
      <c r="ED610" s="464"/>
      <c r="EE610" s="466"/>
      <c r="EF610" s="459"/>
      <c r="EG610" s="450"/>
      <c r="EH610" s="460">
        <f t="shared" si="297"/>
        <v>0</v>
      </c>
      <c r="EI610" s="460">
        <f t="shared" si="298"/>
        <v>0</v>
      </c>
      <c r="EJ610" s="458">
        <f t="shared" si="299"/>
        <v>0</v>
      </c>
      <c r="EK610" s="470">
        <f t="shared" si="300"/>
        <v>0</v>
      </c>
      <c r="EL610" s="470">
        <f t="shared" si="301"/>
        <v>0</v>
      </c>
      <c r="EM610" s="449">
        <f t="shared" si="302"/>
        <v>0</v>
      </c>
      <c r="EN610" s="460">
        <f t="shared" si="303"/>
        <v>0</v>
      </c>
      <c r="EO610" s="469">
        <f t="shared" si="304"/>
        <v>0</v>
      </c>
      <c r="EP610" s="471"/>
      <c r="EQ610" s="450"/>
      <c r="ER610" s="471"/>
      <c r="ES610" s="450"/>
      <c r="ET610" s="471"/>
      <c r="EU610" s="450"/>
      <c r="EV610" s="471"/>
      <c r="EW610" s="450"/>
      <c r="EX610" s="471"/>
      <c r="EY610" s="450"/>
      <c r="EZ610" s="471"/>
      <c r="FA610" s="450"/>
      <c r="FB610" s="471"/>
      <c r="FC610" s="450"/>
      <c r="FD610" s="471"/>
      <c r="FE610" s="450"/>
      <c r="FF610" s="471"/>
      <c r="FG610" s="450"/>
      <c r="FH610" s="472"/>
      <c r="FI610" s="450"/>
      <c r="FJ610" s="468">
        <f t="shared" si="305"/>
        <v>0</v>
      </c>
      <c r="FK610" s="469">
        <f t="shared" si="306"/>
        <v>0</v>
      </c>
      <c r="FL610" s="472"/>
      <c r="FM610" s="450"/>
      <c r="FN610" s="460">
        <f t="shared" si="307"/>
        <v>1692</v>
      </c>
      <c r="FO610" s="469">
        <f t="shared" si="308"/>
        <v>1324</v>
      </c>
    </row>
    <row r="611" spans="1:172" x14ac:dyDescent="0.2">
      <c r="A611" s="637" t="s">
        <v>854</v>
      </c>
      <c r="B611" s="638" t="s">
        <v>936</v>
      </c>
      <c r="C611" s="639"/>
      <c r="D611" s="546">
        <v>226930</v>
      </c>
      <c r="E611" s="654">
        <v>9</v>
      </c>
      <c r="F611" s="532">
        <v>235</v>
      </c>
      <c r="G611" s="640">
        <v>189</v>
      </c>
      <c r="H611" s="457"/>
      <c r="I611" s="450"/>
      <c r="J611" s="457">
        <v>613</v>
      </c>
      <c r="K611" s="627">
        <v>523</v>
      </c>
      <c r="L611" s="458">
        <f t="shared" si="285"/>
        <v>0</v>
      </c>
      <c r="M611" s="449">
        <f t="shared" si="286"/>
        <v>0</v>
      </c>
      <c r="N611" s="459"/>
      <c r="O611" s="459"/>
      <c r="P611" s="459"/>
      <c r="Q611" s="459"/>
      <c r="R611" s="460">
        <f t="shared" si="287"/>
        <v>0</v>
      </c>
      <c r="S611" s="461"/>
      <c r="T611" s="461"/>
      <c r="U611" s="461"/>
      <c r="V611" s="461"/>
      <c r="W611" s="462">
        <f t="shared" si="288"/>
        <v>0</v>
      </c>
      <c r="X611" s="463"/>
      <c r="Y611" s="457"/>
      <c r="Z611" s="464"/>
      <c r="AA611" s="464"/>
      <c r="AB611" s="465"/>
      <c r="AC611" s="457"/>
      <c r="AD611" s="464"/>
      <c r="AE611" s="466"/>
      <c r="AF611" s="465"/>
      <c r="AG611" s="457"/>
      <c r="AH611" s="464"/>
      <c r="AI611" s="466"/>
      <c r="AJ611" s="465"/>
      <c r="AK611" s="457"/>
      <c r="AL611" s="464"/>
      <c r="AM611" s="466"/>
      <c r="AN611" s="465"/>
      <c r="AO611" s="457"/>
      <c r="AP611" s="464"/>
      <c r="AQ611" s="464"/>
      <c r="AR611" s="460">
        <f t="shared" si="289"/>
        <v>0</v>
      </c>
      <c r="AS611" s="467">
        <f t="shared" si="290"/>
        <v>0</v>
      </c>
      <c r="AT611" s="447">
        <f t="shared" si="291"/>
        <v>0</v>
      </c>
      <c r="AU611" s="448">
        <f t="shared" si="292"/>
        <v>0</v>
      </c>
      <c r="AV611" s="457"/>
      <c r="AW611" s="450"/>
      <c r="AX611" s="463"/>
      <c r="AY611" s="457"/>
      <c r="AZ611" s="464"/>
      <c r="BA611" s="464"/>
      <c r="BB611" s="465"/>
      <c r="BC611" s="457"/>
      <c r="BD611" s="464"/>
      <c r="BE611" s="466"/>
      <c r="BF611" s="465"/>
      <c r="BG611" s="457"/>
      <c r="BH611" s="464"/>
      <c r="BI611" s="466"/>
      <c r="BJ611" s="465"/>
      <c r="BK611" s="457"/>
      <c r="BL611" s="464"/>
      <c r="BM611" s="466"/>
      <c r="BN611" s="465"/>
      <c r="BO611" s="457"/>
      <c r="BP611" s="464"/>
      <c r="BQ611" s="466"/>
      <c r="BR611" s="465"/>
      <c r="BS611" s="457"/>
      <c r="BT611" s="464"/>
      <c r="BU611" s="466"/>
      <c r="BV611" s="465"/>
      <c r="BW611" s="457"/>
      <c r="BX611" s="464"/>
      <c r="BY611" s="466"/>
      <c r="BZ611" s="465"/>
      <c r="CA611" s="457"/>
      <c r="CB611" s="464"/>
      <c r="CC611" s="466"/>
      <c r="CD611" s="465"/>
      <c r="CE611" s="457"/>
      <c r="CF611" s="464"/>
      <c r="CG611" s="466"/>
      <c r="CH611" s="465"/>
      <c r="CI611" s="457"/>
      <c r="CJ611" s="464"/>
      <c r="CK611" s="466"/>
      <c r="CL611" s="459"/>
      <c r="CM611" s="450"/>
      <c r="CN611" s="468">
        <f t="shared" si="293"/>
        <v>0</v>
      </c>
      <c r="CO611" s="468">
        <f t="shared" si="294"/>
        <v>0</v>
      </c>
      <c r="CP611" s="469">
        <f t="shared" si="295"/>
        <v>0</v>
      </c>
      <c r="CQ611" s="469">
        <f t="shared" si="296"/>
        <v>0</v>
      </c>
      <c r="CR611" s="463"/>
      <c r="CS611" s="457"/>
      <c r="CT611" s="464"/>
      <c r="CU611" s="464"/>
      <c r="CV611" s="465"/>
      <c r="CW611" s="457"/>
      <c r="CX611" s="464"/>
      <c r="CY611" s="466"/>
      <c r="CZ611" s="465"/>
      <c r="DA611" s="457"/>
      <c r="DB611" s="464"/>
      <c r="DC611" s="466"/>
      <c r="DD611" s="465"/>
      <c r="DE611" s="457"/>
      <c r="DF611" s="464"/>
      <c r="DG611" s="466"/>
      <c r="DH611" s="465"/>
      <c r="DI611" s="457"/>
      <c r="DJ611" s="464"/>
      <c r="DK611" s="466"/>
      <c r="DL611" s="465"/>
      <c r="DM611" s="457"/>
      <c r="DN611" s="464"/>
      <c r="DO611" s="466"/>
      <c r="DP611" s="465"/>
      <c r="DQ611" s="457"/>
      <c r="DR611" s="464"/>
      <c r="DS611" s="466"/>
      <c r="DT611" s="465"/>
      <c r="DU611" s="457"/>
      <c r="DV611" s="464"/>
      <c r="DW611" s="466"/>
      <c r="DX611" s="465"/>
      <c r="DY611" s="457"/>
      <c r="DZ611" s="464"/>
      <c r="EA611" s="466"/>
      <c r="EB611" s="465"/>
      <c r="EC611" s="457"/>
      <c r="ED611" s="464"/>
      <c r="EE611" s="466"/>
      <c r="EF611" s="459"/>
      <c r="EG611" s="450"/>
      <c r="EH611" s="460">
        <f t="shared" si="297"/>
        <v>0</v>
      </c>
      <c r="EI611" s="460">
        <f t="shared" si="298"/>
        <v>0</v>
      </c>
      <c r="EJ611" s="458">
        <f t="shared" si="299"/>
        <v>0</v>
      </c>
      <c r="EK611" s="470">
        <f t="shared" si="300"/>
        <v>0</v>
      </c>
      <c r="EL611" s="470">
        <f t="shared" si="301"/>
        <v>0</v>
      </c>
      <c r="EM611" s="449">
        <f t="shared" si="302"/>
        <v>0</v>
      </c>
      <c r="EN611" s="460">
        <f t="shared" si="303"/>
        <v>0</v>
      </c>
      <c r="EO611" s="469">
        <f t="shared" si="304"/>
        <v>0</v>
      </c>
      <c r="EP611" s="471"/>
      <c r="EQ611" s="450"/>
      <c r="ER611" s="471"/>
      <c r="ES611" s="450"/>
      <c r="ET611" s="471"/>
      <c r="EU611" s="450"/>
      <c r="EV611" s="471"/>
      <c r="EW611" s="450"/>
      <c r="EX611" s="471"/>
      <c r="EY611" s="450"/>
      <c r="EZ611" s="471"/>
      <c r="FA611" s="450"/>
      <c r="FB611" s="471"/>
      <c r="FC611" s="450"/>
      <c r="FD611" s="471"/>
      <c r="FE611" s="450"/>
      <c r="FF611" s="471"/>
      <c r="FG611" s="450"/>
      <c r="FH611" s="472"/>
      <c r="FI611" s="450"/>
      <c r="FJ611" s="468">
        <f t="shared" si="305"/>
        <v>0</v>
      </c>
      <c r="FK611" s="469">
        <f t="shared" si="306"/>
        <v>0</v>
      </c>
      <c r="FL611" s="472"/>
      <c r="FM611" s="450"/>
      <c r="FN611" s="460">
        <f t="shared" si="307"/>
        <v>848</v>
      </c>
      <c r="FO611" s="469">
        <f t="shared" si="308"/>
        <v>712</v>
      </c>
    </row>
    <row r="612" spans="1:172" x14ac:dyDescent="0.2">
      <c r="A612" s="637" t="s">
        <v>854</v>
      </c>
      <c r="B612" s="544" t="s">
        <v>937</v>
      </c>
      <c r="C612" s="636"/>
      <c r="D612" s="546">
        <v>227225</v>
      </c>
      <c r="E612" s="635">
        <v>9</v>
      </c>
      <c r="F612" s="532">
        <v>139</v>
      </c>
      <c r="G612" s="640">
        <v>169</v>
      </c>
      <c r="H612" s="457"/>
      <c r="I612" s="450"/>
      <c r="J612" s="457">
        <v>299</v>
      </c>
      <c r="K612" s="627">
        <v>342</v>
      </c>
      <c r="L612" s="458">
        <f t="shared" si="285"/>
        <v>0</v>
      </c>
      <c r="M612" s="449">
        <f t="shared" si="286"/>
        <v>0</v>
      </c>
      <c r="N612" s="459"/>
      <c r="O612" s="459"/>
      <c r="P612" s="459"/>
      <c r="Q612" s="459"/>
      <c r="R612" s="460">
        <f t="shared" si="287"/>
        <v>0</v>
      </c>
      <c r="S612" s="461"/>
      <c r="T612" s="461"/>
      <c r="U612" s="461"/>
      <c r="V612" s="461"/>
      <c r="W612" s="462">
        <f t="shared" si="288"/>
        <v>0</v>
      </c>
      <c r="X612" s="463"/>
      <c r="Y612" s="457"/>
      <c r="Z612" s="464"/>
      <c r="AA612" s="464"/>
      <c r="AB612" s="465"/>
      <c r="AC612" s="457"/>
      <c r="AD612" s="464"/>
      <c r="AE612" s="466"/>
      <c r="AF612" s="465"/>
      <c r="AG612" s="457"/>
      <c r="AH612" s="464"/>
      <c r="AI612" s="466"/>
      <c r="AJ612" s="465"/>
      <c r="AK612" s="457"/>
      <c r="AL612" s="464"/>
      <c r="AM612" s="466"/>
      <c r="AN612" s="465"/>
      <c r="AO612" s="457"/>
      <c r="AP612" s="464"/>
      <c r="AQ612" s="464"/>
      <c r="AR612" s="460">
        <f t="shared" si="289"/>
        <v>0</v>
      </c>
      <c r="AS612" s="467">
        <f t="shared" si="290"/>
        <v>0</v>
      </c>
      <c r="AT612" s="447">
        <f t="shared" si="291"/>
        <v>0</v>
      </c>
      <c r="AU612" s="448">
        <f t="shared" si="292"/>
        <v>0</v>
      </c>
      <c r="AV612" s="457"/>
      <c r="AW612" s="450"/>
      <c r="AX612" s="463"/>
      <c r="AY612" s="457"/>
      <c r="AZ612" s="464"/>
      <c r="BA612" s="464"/>
      <c r="BB612" s="465"/>
      <c r="BC612" s="457"/>
      <c r="BD612" s="464"/>
      <c r="BE612" s="466"/>
      <c r="BF612" s="465"/>
      <c r="BG612" s="457"/>
      <c r="BH612" s="464"/>
      <c r="BI612" s="466"/>
      <c r="BJ612" s="465"/>
      <c r="BK612" s="457"/>
      <c r="BL612" s="464"/>
      <c r="BM612" s="466"/>
      <c r="BN612" s="465"/>
      <c r="BO612" s="457"/>
      <c r="BP612" s="464"/>
      <c r="BQ612" s="466"/>
      <c r="BR612" s="465"/>
      <c r="BS612" s="457"/>
      <c r="BT612" s="464"/>
      <c r="BU612" s="466"/>
      <c r="BV612" s="465"/>
      <c r="BW612" s="457"/>
      <c r="BX612" s="464"/>
      <c r="BY612" s="466"/>
      <c r="BZ612" s="465"/>
      <c r="CA612" s="457"/>
      <c r="CB612" s="464"/>
      <c r="CC612" s="466"/>
      <c r="CD612" s="465"/>
      <c r="CE612" s="457"/>
      <c r="CF612" s="464"/>
      <c r="CG612" s="466"/>
      <c r="CH612" s="465"/>
      <c r="CI612" s="457"/>
      <c r="CJ612" s="464"/>
      <c r="CK612" s="466"/>
      <c r="CL612" s="459"/>
      <c r="CM612" s="450"/>
      <c r="CN612" s="468">
        <f t="shared" si="293"/>
        <v>0</v>
      </c>
      <c r="CO612" s="468">
        <f t="shared" si="294"/>
        <v>0</v>
      </c>
      <c r="CP612" s="469">
        <f t="shared" si="295"/>
        <v>0</v>
      </c>
      <c r="CQ612" s="469">
        <f t="shared" si="296"/>
        <v>0</v>
      </c>
      <c r="CR612" s="463"/>
      <c r="CS612" s="457"/>
      <c r="CT612" s="464"/>
      <c r="CU612" s="464"/>
      <c r="CV612" s="465"/>
      <c r="CW612" s="457"/>
      <c r="CX612" s="464"/>
      <c r="CY612" s="466"/>
      <c r="CZ612" s="465"/>
      <c r="DA612" s="457"/>
      <c r="DB612" s="464"/>
      <c r="DC612" s="466"/>
      <c r="DD612" s="465"/>
      <c r="DE612" s="457"/>
      <c r="DF612" s="464"/>
      <c r="DG612" s="466"/>
      <c r="DH612" s="465"/>
      <c r="DI612" s="457"/>
      <c r="DJ612" s="464"/>
      <c r="DK612" s="466"/>
      <c r="DL612" s="465"/>
      <c r="DM612" s="457"/>
      <c r="DN612" s="464"/>
      <c r="DO612" s="466"/>
      <c r="DP612" s="465"/>
      <c r="DQ612" s="457"/>
      <c r="DR612" s="464"/>
      <c r="DS612" s="466"/>
      <c r="DT612" s="465"/>
      <c r="DU612" s="457"/>
      <c r="DV612" s="464"/>
      <c r="DW612" s="466"/>
      <c r="DX612" s="465"/>
      <c r="DY612" s="457"/>
      <c r="DZ612" s="464"/>
      <c r="EA612" s="466"/>
      <c r="EB612" s="465"/>
      <c r="EC612" s="457"/>
      <c r="ED612" s="464"/>
      <c r="EE612" s="466"/>
      <c r="EF612" s="459"/>
      <c r="EG612" s="450"/>
      <c r="EH612" s="460">
        <f t="shared" si="297"/>
        <v>0</v>
      </c>
      <c r="EI612" s="460">
        <f t="shared" si="298"/>
        <v>0</v>
      </c>
      <c r="EJ612" s="458">
        <f t="shared" si="299"/>
        <v>0</v>
      </c>
      <c r="EK612" s="470">
        <f t="shared" si="300"/>
        <v>0</v>
      </c>
      <c r="EL612" s="470">
        <f t="shared" si="301"/>
        <v>0</v>
      </c>
      <c r="EM612" s="449">
        <f t="shared" si="302"/>
        <v>0</v>
      </c>
      <c r="EN612" s="460">
        <f t="shared" si="303"/>
        <v>0</v>
      </c>
      <c r="EO612" s="469">
        <f t="shared" si="304"/>
        <v>0</v>
      </c>
      <c r="EP612" s="471"/>
      <c r="EQ612" s="450"/>
      <c r="ER612" s="471"/>
      <c r="ES612" s="450"/>
      <c r="ET612" s="471"/>
      <c r="EU612" s="450"/>
      <c r="EV612" s="471"/>
      <c r="EW612" s="450"/>
      <c r="EX612" s="471"/>
      <c r="EY612" s="450"/>
      <c r="EZ612" s="471"/>
      <c r="FA612" s="450"/>
      <c r="FB612" s="471"/>
      <c r="FC612" s="450"/>
      <c r="FD612" s="471"/>
      <c r="FE612" s="450"/>
      <c r="FF612" s="471"/>
      <c r="FG612" s="450"/>
      <c r="FH612" s="472"/>
      <c r="FI612" s="450"/>
      <c r="FJ612" s="468">
        <f t="shared" si="305"/>
        <v>0</v>
      </c>
      <c r="FK612" s="469">
        <f t="shared" si="306"/>
        <v>0</v>
      </c>
      <c r="FL612" s="472"/>
      <c r="FM612" s="450"/>
      <c r="FN612" s="460">
        <f t="shared" si="307"/>
        <v>438</v>
      </c>
      <c r="FO612" s="469">
        <f t="shared" si="308"/>
        <v>511</v>
      </c>
    </row>
    <row r="613" spans="1:172" x14ac:dyDescent="0.2">
      <c r="A613" s="637" t="s">
        <v>854</v>
      </c>
      <c r="B613" s="644" t="s">
        <v>938</v>
      </c>
      <c r="C613" s="645"/>
      <c r="D613" s="546">
        <v>227304</v>
      </c>
      <c r="E613" s="654">
        <v>9</v>
      </c>
      <c r="F613" s="532">
        <v>269</v>
      </c>
      <c r="G613" s="640">
        <v>237</v>
      </c>
      <c r="H613" s="457"/>
      <c r="I613" s="450"/>
      <c r="J613" s="457">
        <v>343</v>
      </c>
      <c r="K613" s="627">
        <v>369</v>
      </c>
      <c r="L613" s="458">
        <f t="shared" si="285"/>
        <v>0</v>
      </c>
      <c r="M613" s="449">
        <f t="shared" si="286"/>
        <v>0</v>
      </c>
      <c r="N613" s="459"/>
      <c r="O613" s="459"/>
      <c r="P613" s="459"/>
      <c r="Q613" s="459"/>
      <c r="R613" s="460">
        <f t="shared" si="287"/>
        <v>0</v>
      </c>
      <c r="S613" s="461"/>
      <c r="T613" s="461"/>
      <c r="U613" s="461"/>
      <c r="V613" s="461"/>
      <c r="W613" s="462">
        <f t="shared" si="288"/>
        <v>0</v>
      </c>
      <c r="X613" s="463"/>
      <c r="Y613" s="457"/>
      <c r="Z613" s="464"/>
      <c r="AA613" s="464"/>
      <c r="AB613" s="465"/>
      <c r="AC613" s="457"/>
      <c r="AD613" s="464"/>
      <c r="AE613" s="466"/>
      <c r="AF613" s="465"/>
      <c r="AG613" s="457"/>
      <c r="AH613" s="464"/>
      <c r="AI613" s="466"/>
      <c r="AJ613" s="465"/>
      <c r="AK613" s="457"/>
      <c r="AL613" s="464"/>
      <c r="AM613" s="466"/>
      <c r="AN613" s="465"/>
      <c r="AO613" s="457"/>
      <c r="AP613" s="464"/>
      <c r="AQ613" s="464"/>
      <c r="AR613" s="460">
        <f t="shared" si="289"/>
        <v>0</v>
      </c>
      <c r="AS613" s="467">
        <f t="shared" si="290"/>
        <v>0</v>
      </c>
      <c r="AT613" s="447">
        <f t="shared" si="291"/>
        <v>0</v>
      </c>
      <c r="AU613" s="448">
        <f t="shared" si="292"/>
        <v>0</v>
      </c>
      <c r="AV613" s="457"/>
      <c r="AW613" s="450"/>
      <c r="AX613" s="463"/>
      <c r="AY613" s="457"/>
      <c r="AZ613" s="464"/>
      <c r="BA613" s="464"/>
      <c r="BB613" s="465"/>
      <c r="BC613" s="457"/>
      <c r="BD613" s="464"/>
      <c r="BE613" s="466"/>
      <c r="BF613" s="465"/>
      <c r="BG613" s="457"/>
      <c r="BH613" s="464"/>
      <c r="BI613" s="466"/>
      <c r="BJ613" s="465"/>
      <c r="BK613" s="457"/>
      <c r="BL613" s="464"/>
      <c r="BM613" s="466"/>
      <c r="BN613" s="465"/>
      <c r="BO613" s="457"/>
      <c r="BP613" s="464"/>
      <c r="BQ613" s="466"/>
      <c r="BR613" s="465"/>
      <c r="BS613" s="457"/>
      <c r="BT613" s="464"/>
      <c r="BU613" s="466"/>
      <c r="BV613" s="465"/>
      <c r="BW613" s="457"/>
      <c r="BX613" s="464"/>
      <c r="BY613" s="466"/>
      <c r="BZ613" s="465"/>
      <c r="CA613" s="457"/>
      <c r="CB613" s="464"/>
      <c r="CC613" s="466"/>
      <c r="CD613" s="465"/>
      <c r="CE613" s="457"/>
      <c r="CF613" s="464"/>
      <c r="CG613" s="466"/>
      <c r="CH613" s="465"/>
      <c r="CI613" s="457"/>
      <c r="CJ613" s="464"/>
      <c r="CK613" s="466"/>
      <c r="CL613" s="459"/>
      <c r="CM613" s="450"/>
      <c r="CN613" s="468">
        <f t="shared" si="293"/>
        <v>0</v>
      </c>
      <c r="CO613" s="468">
        <f t="shared" si="294"/>
        <v>0</v>
      </c>
      <c r="CP613" s="469">
        <f t="shared" si="295"/>
        <v>0</v>
      </c>
      <c r="CQ613" s="469">
        <f t="shared" si="296"/>
        <v>0</v>
      </c>
      <c r="CR613" s="463"/>
      <c r="CS613" s="457"/>
      <c r="CT613" s="464"/>
      <c r="CU613" s="464"/>
      <c r="CV613" s="465"/>
      <c r="CW613" s="457"/>
      <c r="CX613" s="464"/>
      <c r="CY613" s="466"/>
      <c r="CZ613" s="465"/>
      <c r="DA613" s="457"/>
      <c r="DB613" s="464"/>
      <c r="DC613" s="466"/>
      <c r="DD613" s="465"/>
      <c r="DE613" s="457"/>
      <c r="DF613" s="464"/>
      <c r="DG613" s="466"/>
      <c r="DH613" s="465"/>
      <c r="DI613" s="457"/>
      <c r="DJ613" s="464"/>
      <c r="DK613" s="466"/>
      <c r="DL613" s="465"/>
      <c r="DM613" s="457"/>
      <c r="DN613" s="464"/>
      <c r="DO613" s="466"/>
      <c r="DP613" s="465"/>
      <c r="DQ613" s="457"/>
      <c r="DR613" s="464"/>
      <c r="DS613" s="466"/>
      <c r="DT613" s="465"/>
      <c r="DU613" s="457"/>
      <c r="DV613" s="464"/>
      <c r="DW613" s="466"/>
      <c r="DX613" s="465"/>
      <c r="DY613" s="457"/>
      <c r="DZ613" s="464"/>
      <c r="EA613" s="466"/>
      <c r="EB613" s="465"/>
      <c r="EC613" s="457"/>
      <c r="ED613" s="464"/>
      <c r="EE613" s="466"/>
      <c r="EF613" s="459"/>
      <c r="EG613" s="450"/>
      <c r="EH613" s="460">
        <f t="shared" si="297"/>
        <v>0</v>
      </c>
      <c r="EI613" s="460">
        <f t="shared" si="298"/>
        <v>0</v>
      </c>
      <c r="EJ613" s="458">
        <f t="shared" si="299"/>
        <v>0</v>
      </c>
      <c r="EK613" s="470">
        <f t="shared" si="300"/>
        <v>0</v>
      </c>
      <c r="EL613" s="470">
        <f t="shared" si="301"/>
        <v>0</v>
      </c>
      <c r="EM613" s="449">
        <f t="shared" si="302"/>
        <v>0</v>
      </c>
      <c r="EN613" s="460">
        <f t="shared" si="303"/>
        <v>0</v>
      </c>
      <c r="EO613" s="469">
        <f t="shared" si="304"/>
        <v>0</v>
      </c>
      <c r="EP613" s="471"/>
      <c r="EQ613" s="450"/>
      <c r="ER613" s="471"/>
      <c r="ES613" s="450"/>
      <c r="ET613" s="471"/>
      <c r="EU613" s="450"/>
      <c r="EV613" s="471"/>
      <c r="EW613" s="450"/>
      <c r="EX613" s="471"/>
      <c r="EY613" s="450"/>
      <c r="EZ613" s="471"/>
      <c r="FA613" s="450"/>
      <c r="FB613" s="471"/>
      <c r="FC613" s="450"/>
      <c r="FD613" s="471"/>
      <c r="FE613" s="450"/>
      <c r="FF613" s="471"/>
      <c r="FG613" s="450"/>
      <c r="FH613" s="472"/>
      <c r="FI613" s="450"/>
      <c r="FJ613" s="468">
        <f t="shared" si="305"/>
        <v>0</v>
      </c>
      <c r="FK613" s="469">
        <f t="shared" si="306"/>
        <v>0</v>
      </c>
      <c r="FL613" s="472"/>
      <c r="FM613" s="450"/>
      <c r="FN613" s="460">
        <f t="shared" si="307"/>
        <v>612</v>
      </c>
      <c r="FO613" s="469">
        <f t="shared" si="308"/>
        <v>606</v>
      </c>
    </row>
    <row r="614" spans="1:172" x14ac:dyDescent="0.2">
      <c r="A614" s="637" t="s">
        <v>854</v>
      </c>
      <c r="B614" s="644" t="s">
        <v>939</v>
      </c>
      <c r="C614" s="645"/>
      <c r="D614" s="546">
        <v>227401</v>
      </c>
      <c r="E614" s="654">
        <v>9</v>
      </c>
      <c r="F614" s="532">
        <v>437</v>
      </c>
      <c r="G614" s="640">
        <v>414</v>
      </c>
      <c r="H614" s="457"/>
      <c r="I614" s="450"/>
      <c r="J614" s="457">
        <v>448</v>
      </c>
      <c r="K614" s="627">
        <v>479</v>
      </c>
      <c r="L614" s="458">
        <f t="shared" si="285"/>
        <v>0</v>
      </c>
      <c r="M614" s="449">
        <f t="shared" si="286"/>
        <v>0</v>
      </c>
      <c r="N614" s="459"/>
      <c r="O614" s="459"/>
      <c r="P614" s="459"/>
      <c r="Q614" s="459"/>
      <c r="R614" s="460">
        <f t="shared" si="287"/>
        <v>0</v>
      </c>
      <c r="S614" s="461"/>
      <c r="T614" s="461"/>
      <c r="U614" s="461"/>
      <c r="V614" s="461"/>
      <c r="W614" s="462">
        <f t="shared" si="288"/>
        <v>0</v>
      </c>
      <c r="X614" s="463"/>
      <c r="Y614" s="457"/>
      <c r="Z614" s="464"/>
      <c r="AA614" s="464"/>
      <c r="AB614" s="465"/>
      <c r="AC614" s="457"/>
      <c r="AD614" s="464"/>
      <c r="AE614" s="466"/>
      <c r="AF614" s="465"/>
      <c r="AG614" s="457"/>
      <c r="AH614" s="464"/>
      <c r="AI614" s="466"/>
      <c r="AJ614" s="465"/>
      <c r="AK614" s="457"/>
      <c r="AL614" s="464"/>
      <c r="AM614" s="466"/>
      <c r="AN614" s="465"/>
      <c r="AO614" s="457"/>
      <c r="AP614" s="464"/>
      <c r="AQ614" s="464"/>
      <c r="AR614" s="460">
        <f t="shared" si="289"/>
        <v>0</v>
      </c>
      <c r="AS614" s="467">
        <f t="shared" si="290"/>
        <v>0</v>
      </c>
      <c r="AT614" s="447">
        <f t="shared" si="291"/>
        <v>0</v>
      </c>
      <c r="AU614" s="448">
        <f t="shared" si="292"/>
        <v>0</v>
      </c>
      <c r="AV614" s="457"/>
      <c r="AW614" s="450"/>
      <c r="AX614" s="463"/>
      <c r="AY614" s="457"/>
      <c r="AZ614" s="464"/>
      <c r="BA614" s="464"/>
      <c r="BB614" s="465"/>
      <c r="BC614" s="457"/>
      <c r="BD614" s="464"/>
      <c r="BE614" s="466"/>
      <c r="BF614" s="465"/>
      <c r="BG614" s="457"/>
      <c r="BH614" s="464"/>
      <c r="BI614" s="466"/>
      <c r="BJ614" s="465"/>
      <c r="BK614" s="457"/>
      <c r="BL614" s="464"/>
      <c r="BM614" s="466"/>
      <c r="BN614" s="465"/>
      <c r="BO614" s="457"/>
      <c r="BP614" s="464"/>
      <c r="BQ614" s="466"/>
      <c r="BR614" s="465"/>
      <c r="BS614" s="457"/>
      <c r="BT614" s="464"/>
      <c r="BU614" s="466"/>
      <c r="BV614" s="465"/>
      <c r="BW614" s="457"/>
      <c r="BX614" s="464"/>
      <c r="BY614" s="466"/>
      <c r="BZ614" s="465"/>
      <c r="CA614" s="457"/>
      <c r="CB614" s="464"/>
      <c r="CC614" s="466"/>
      <c r="CD614" s="465"/>
      <c r="CE614" s="457"/>
      <c r="CF614" s="464"/>
      <c r="CG614" s="466"/>
      <c r="CH614" s="465"/>
      <c r="CI614" s="457"/>
      <c r="CJ614" s="464"/>
      <c r="CK614" s="466"/>
      <c r="CL614" s="459"/>
      <c r="CM614" s="450"/>
      <c r="CN614" s="468">
        <f t="shared" si="293"/>
        <v>0</v>
      </c>
      <c r="CO614" s="468">
        <f t="shared" si="294"/>
        <v>0</v>
      </c>
      <c r="CP614" s="469">
        <f t="shared" si="295"/>
        <v>0</v>
      </c>
      <c r="CQ614" s="469">
        <f t="shared" si="296"/>
        <v>0</v>
      </c>
      <c r="CR614" s="463"/>
      <c r="CS614" s="457"/>
      <c r="CT614" s="464"/>
      <c r="CU614" s="464"/>
      <c r="CV614" s="465"/>
      <c r="CW614" s="457"/>
      <c r="CX614" s="464"/>
      <c r="CY614" s="466"/>
      <c r="CZ614" s="465"/>
      <c r="DA614" s="457"/>
      <c r="DB614" s="464"/>
      <c r="DC614" s="466"/>
      <c r="DD614" s="465"/>
      <c r="DE614" s="457"/>
      <c r="DF614" s="464"/>
      <c r="DG614" s="466"/>
      <c r="DH614" s="465"/>
      <c r="DI614" s="457"/>
      <c r="DJ614" s="464"/>
      <c r="DK614" s="466"/>
      <c r="DL614" s="465"/>
      <c r="DM614" s="457"/>
      <c r="DN614" s="464"/>
      <c r="DO614" s="466"/>
      <c r="DP614" s="465"/>
      <c r="DQ614" s="457"/>
      <c r="DR614" s="464"/>
      <c r="DS614" s="466"/>
      <c r="DT614" s="465"/>
      <c r="DU614" s="457"/>
      <c r="DV614" s="464"/>
      <c r="DW614" s="466"/>
      <c r="DX614" s="465"/>
      <c r="DY614" s="457"/>
      <c r="DZ614" s="464"/>
      <c r="EA614" s="466"/>
      <c r="EB614" s="465"/>
      <c r="EC614" s="457"/>
      <c r="ED614" s="464"/>
      <c r="EE614" s="466"/>
      <c r="EF614" s="459"/>
      <c r="EG614" s="450"/>
      <c r="EH614" s="460">
        <f t="shared" si="297"/>
        <v>0</v>
      </c>
      <c r="EI614" s="460">
        <f t="shared" si="298"/>
        <v>0</v>
      </c>
      <c r="EJ614" s="458">
        <f t="shared" si="299"/>
        <v>0</v>
      </c>
      <c r="EK614" s="470">
        <f t="shared" si="300"/>
        <v>0</v>
      </c>
      <c r="EL614" s="470">
        <f t="shared" si="301"/>
        <v>0</v>
      </c>
      <c r="EM614" s="449">
        <f t="shared" si="302"/>
        <v>0</v>
      </c>
      <c r="EN614" s="460">
        <f t="shared" si="303"/>
        <v>0</v>
      </c>
      <c r="EO614" s="469">
        <f t="shared" si="304"/>
        <v>0</v>
      </c>
      <c r="EP614" s="471"/>
      <c r="EQ614" s="450"/>
      <c r="ER614" s="471"/>
      <c r="ES614" s="450"/>
      <c r="ET614" s="471"/>
      <c r="EU614" s="450"/>
      <c r="EV614" s="471"/>
      <c r="EW614" s="450"/>
      <c r="EX614" s="471"/>
      <c r="EY614" s="450"/>
      <c r="EZ614" s="471"/>
      <c r="FA614" s="450"/>
      <c r="FB614" s="471"/>
      <c r="FC614" s="450"/>
      <c r="FD614" s="471"/>
      <c r="FE614" s="450"/>
      <c r="FF614" s="471"/>
      <c r="FG614" s="450"/>
      <c r="FH614" s="472"/>
      <c r="FI614" s="450"/>
      <c r="FJ614" s="468">
        <f t="shared" si="305"/>
        <v>0</v>
      </c>
      <c r="FK614" s="469">
        <f t="shared" si="306"/>
        <v>0</v>
      </c>
      <c r="FL614" s="472"/>
      <c r="FM614" s="450"/>
      <c r="FN614" s="460">
        <f t="shared" si="307"/>
        <v>885</v>
      </c>
      <c r="FO614" s="469">
        <f t="shared" si="308"/>
        <v>893</v>
      </c>
    </row>
    <row r="615" spans="1:172" x14ac:dyDescent="0.2">
      <c r="A615" s="637" t="s">
        <v>854</v>
      </c>
      <c r="B615" s="644" t="s">
        <v>940</v>
      </c>
      <c r="C615" s="645"/>
      <c r="D615" s="546">
        <v>228316</v>
      </c>
      <c r="E615" s="654">
        <v>9</v>
      </c>
      <c r="F615" s="532">
        <v>301</v>
      </c>
      <c r="G615" s="640">
        <v>305</v>
      </c>
      <c r="H615" s="457"/>
      <c r="I615" s="450"/>
      <c r="J615" s="457">
        <v>473</v>
      </c>
      <c r="K615" s="627">
        <v>505</v>
      </c>
      <c r="L615" s="458">
        <f t="shared" si="285"/>
        <v>0</v>
      </c>
      <c r="M615" s="449">
        <f t="shared" si="286"/>
        <v>0</v>
      </c>
      <c r="N615" s="459"/>
      <c r="O615" s="459"/>
      <c r="P615" s="459"/>
      <c r="Q615" s="459"/>
      <c r="R615" s="460">
        <f t="shared" si="287"/>
        <v>0</v>
      </c>
      <c r="S615" s="461"/>
      <c r="T615" s="461"/>
      <c r="U615" s="461"/>
      <c r="V615" s="461"/>
      <c r="W615" s="462">
        <f t="shared" si="288"/>
        <v>0</v>
      </c>
      <c r="X615" s="463"/>
      <c r="Y615" s="457"/>
      <c r="Z615" s="464"/>
      <c r="AA615" s="464"/>
      <c r="AB615" s="465"/>
      <c r="AC615" s="457"/>
      <c r="AD615" s="464"/>
      <c r="AE615" s="466"/>
      <c r="AF615" s="465"/>
      <c r="AG615" s="457"/>
      <c r="AH615" s="464"/>
      <c r="AI615" s="466"/>
      <c r="AJ615" s="465"/>
      <c r="AK615" s="457"/>
      <c r="AL615" s="464"/>
      <c r="AM615" s="466"/>
      <c r="AN615" s="465"/>
      <c r="AO615" s="457"/>
      <c r="AP615" s="464"/>
      <c r="AQ615" s="464"/>
      <c r="AR615" s="460">
        <f t="shared" si="289"/>
        <v>0</v>
      </c>
      <c r="AS615" s="467">
        <f t="shared" si="290"/>
        <v>0</v>
      </c>
      <c r="AT615" s="447">
        <f t="shared" si="291"/>
        <v>0</v>
      </c>
      <c r="AU615" s="448">
        <f t="shared" si="292"/>
        <v>0</v>
      </c>
      <c r="AV615" s="457"/>
      <c r="AW615" s="450"/>
      <c r="AX615" s="463"/>
      <c r="AY615" s="457"/>
      <c r="AZ615" s="464"/>
      <c r="BA615" s="464"/>
      <c r="BB615" s="465"/>
      <c r="BC615" s="457"/>
      <c r="BD615" s="464"/>
      <c r="BE615" s="466"/>
      <c r="BF615" s="465"/>
      <c r="BG615" s="457"/>
      <c r="BH615" s="464"/>
      <c r="BI615" s="466"/>
      <c r="BJ615" s="465"/>
      <c r="BK615" s="457"/>
      <c r="BL615" s="464"/>
      <c r="BM615" s="466"/>
      <c r="BN615" s="465"/>
      <c r="BO615" s="457"/>
      <c r="BP615" s="464"/>
      <c r="BQ615" s="466"/>
      <c r="BR615" s="465"/>
      <c r="BS615" s="457"/>
      <c r="BT615" s="464"/>
      <c r="BU615" s="466"/>
      <c r="BV615" s="465"/>
      <c r="BW615" s="457"/>
      <c r="BX615" s="464"/>
      <c r="BY615" s="466"/>
      <c r="BZ615" s="465"/>
      <c r="CA615" s="457"/>
      <c r="CB615" s="464"/>
      <c r="CC615" s="466"/>
      <c r="CD615" s="465"/>
      <c r="CE615" s="457"/>
      <c r="CF615" s="464"/>
      <c r="CG615" s="466"/>
      <c r="CH615" s="465"/>
      <c r="CI615" s="457"/>
      <c r="CJ615" s="464"/>
      <c r="CK615" s="466"/>
      <c r="CL615" s="459"/>
      <c r="CM615" s="450"/>
      <c r="CN615" s="468">
        <f t="shared" si="293"/>
        <v>0</v>
      </c>
      <c r="CO615" s="468">
        <f t="shared" si="294"/>
        <v>0</v>
      </c>
      <c r="CP615" s="469">
        <f t="shared" si="295"/>
        <v>0</v>
      </c>
      <c r="CQ615" s="469">
        <f t="shared" si="296"/>
        <v>0</v>
      </c>
      <c r="CR615" s="463"/>
      <c r="CS615" s="457"/>
      <c r="CT615" s="464"/>
      <c r="CU615" s="464"/>
      <c r="CV615" s="465"/>
      <c r="CW615" s="457"/>
      <c r="CX615" s="464"/>
      <c r="CY615" s="466"/>
      <c r="CZ615" s="465"/>
      <c r="DA615" s="457"/>
      <c r="DB615" s="464"/>
      <c r="DC615" s="466"/>
      <c r="DD615" s="465"/>
      <c r="DE615" s="457"/>
      <c r="DF615" s="464"/>
      <c r="DG615" s="466"/>
      <c r="DH615" s="465"/>
      <c r="DI615" s="457"/>
      <c r="DJ615" s="464"/>
      <c r="DK615" s="466"/>
      <c r="DL615" s="465"/>
      <c r="DM615" s="457"/>
      <c r="DN615" s="464"/>
      <c r="DO615" s="466"/>
      <c r="DP615" s="465"/>
      <c r="DQ615" s="457"/>
      <c r="DR615" s="464"/>
      <c r="DS615" s="466"/>
      <c r="DT615" s="465"/>
      <c r="DU615" s="457"/>
      <c r="DV615" s="464"/>
      <c r="DW615" s="466"/>
      <c r="DX615" s="465"/>
      <c r="DY615" s="457"/>
      <c r="DZ615" s="464"/>
      <c r="EA615" s="466"/>
      <c r="EB615" s="465"/>
      <c r="EC615" s="457"/>
      <c r="ED615" s="464"/>
      <c r="EE615" s="466"/>
      <c r="EF615" s="459"/>
      <c r="EG615" s="450"/>
      <c r="EH615" s="460">
        <f t="shared" si="297"/>
        <v>0</v>
      </c>
      <c r="EI615" s="460">
        <f t="shared" si="298"/>
        <v>0</v>
      </c>
      <c r="EJ615" s="458">
        <f t="shared" si="299"/>
        <v>0</v>
      </c>
      <c r="EK615" s="470">
        <f t="shared" si="300"/>
        <v>0</v>
      </c>
      <c r="EL615" s="470">
        <f t="shared" si="301"/>
        <v>0</v>
      </c>
      <c r="EM615" s="449">
        <f t="shared" si="302"/>
        <v>0</v>
      </c>
      <c r="EN615" s="460">
        <f t="shared" si="303"/>
        <v>0</v>
      </c>
      <c r="EO615" s="469">
        <f t="shared" si="304"/>
        <v>0</v>
      </c>
      <c r="EP615" s="471"/>
      <c r="EQ615" s="450"/>
      <c r="ER615" s="471"/>
      <c r="ES615" s="450"/>
      <c r="ET615" s="471"/>
      <c r="EU615" s="450"/>
      <c r="EV615" s="471"/>
      <c r="EW615" s="450"/>
      <c r="EX615" s="471"/>
      <c r="EY615" s="450"/>
      <c r="EZ615" s="471"/>
      <c r="FA615" s="450"/>
      <c r="FB615" s="471"/>
      <c r="FC615" s="450"/>
      <c r="FD615" s="471"/>
      <c r="FE615" s="450"/>
      <c r="FF615" s="471"/>
      <c r="FG615" s="450"/>
      <c r="FH615" s="472"/>
      <c r="FI615" s="450"/>
      <c r="FJ615" s="468">
        <f t="shared" si="305"/>
        <v>0</v>
      </c>
      <c r="FK615" s="469">
        <f t="shared" si="306"/>
        <v>0</v>
      </c>
      <c r="FL615" s="472"/>
      <c r="FM615" s="450"/>
      <c r="FN615" s="460">
        <f t="shared" si="307"/>
        <v>774</v>
      </c>
      <c r="FO615" s="469">
        <f t="shared" si="308"/>
        <v>810</v>
      </c>
      <c r="FP615" s="476"/>
    </row>
    <row r="616" spans="1:172" x14ac:dyDescent="0.2">
      <c r="A616" s="637" t="s">
        <v>854</v>
      </c>
      <c r="B616" s="644" t="s">
        <v>941</v>
      </c>
      <c r="C616" s="645"/>
      <c r="D616" s="546">
        <v>228608</v>
      </c>
      <c r="E616" s="654">
        <v>9</v>
      </c>
      <c r="F616" s="532">
        <v>199</v>
      </c>
      <c r="G616" s="640">
        <v>192</v>
      </c>
      <c r="H616" s="457"/>
      <c r="I616" s="450"/>
      <c r="J616" s="457">
        <v>417</v>
      </c>
      <c r="K616" s="627">
        <v>512</v>
      </c>
      <c r="L616" s="458">
        <f t="shared" si="285"/>
        <v>0</v>
      </c>
      <c r="M616" s="449">
        <f t="shared" si="286"/>
        <v>0</v>
      </c>
      <c r="N616" s="459"/>
      <c r="O616" s="459"/>
      <c r="P616" s="459"/>
      <c r="Q616" s="459"/>
      <c r="R616" s="460">
        <f t="shared" si="287"/>
        <v>0</v>
      </c>
      <c r="S616" s="461"/>
      <c r="T616" s="461"/>
      <c r="U616" s="461"/>
      <c r="V616" s="461"/>
      <c r="W616" s="462">
        <f t="shared" si="288"/>
        <v>0</v>
      </c>
      <c r="X616" s="463"/>
      <c r="Y616" s="457"/>
      <c r="Z616" s="464"/>
      <c r="AA616" s="464"/>
      <c r="AB616" s="465"/>
      <c r="AC616" s="457"/>
      <c r="AD616" s="464"/>
      <c r="AE616" s="466"/>
      <c r="AF616" s="465"/>
      <c r="AG616" s="457"/>
      <c r="AH616" s="464"/>
      <c r="AI616" s="466"/>
      <c r="AJ616" s="465"/>
      <c r="AK616" s="457"/>
      <c r="AL616" s="464"/>
      <c r="AM616" s="466"/>
      <c r="AN616" s="465"/>
      <c r="AO616" s="457"/>
      <c r="AP616" s="464"/>
      <c r="AQ616" s="464"/>
      <c r="AR616" s="460">
        <f t="shared" si="289"/>
        <v>0</v>
      </c>
      <c r="AS616" s="467">
        <f t="shared" si="290"/>
        <v>0</v>
      </c>
      <c r="AT616" s="447">
        <f t="shared" si="291"/>
        <v>0</v>
      </c>
      <c r="AU616" s="448">
        <f t="shared" si="292"/>
        <v>0</v>
      </c>
      <c r="AV616" s="457"/>
      <c r="AW616" s="450"/>
      <c r="AX616" s="463"/>
      <c r="AY616" s="457"/>
      <c r="AZ616" s="464"/>
      <c r="BA616" s="464"/>
      <c r="BB616" s="465"/>
      <c r="BC616" s="457"/>
      <c r="BD616" s="464"/>
      <c r="BE616" s="466"/>
      <c r="BF616" s="465"/>
      <c r="BG616" s="457"/>
      <c r="BH616" s="464"/>
      <c r="BI616" s="466"/>
      <c r="BJ616" s="465"/>
      <c r="BK616" s="457"/>
      <c r="BL616" s="464"/>
      <c r="BM616" s="466"/>
      <c r="BN616" s="465"/>
      <c r="BO616" s="457"/>
      <c r="BP616" s="464"/>
      <c r="BQ616" s="466"/>
      <c r="BR616" s="465"/>
      <c r="BS616" s="457"/>
      <c r="BT616" s="464"/>
      <c r="BU616" s="466"/>
      <c r="BV616" s="465"/>
      <c r="BW616" s="457"/>
      <c r="BX616" s="464"/>
      <c r="BY616" s="466"/>
      <c r="BZ616" s="465"/>
      <c r="CA616" s="457"/>
      <c r="CB616" s="464"/>
      <c r="CC616" s="466"/>
      <c r="CD616" s="465"/>
      <c r="CE616" s="457"/>
      <c r="CF616" s="464"/>
      <c r="CG616" s="466"/>
      <c r="CH616" s="465"/>
      <c r="CI616" s="457"/>
      <c r="CJ616" s="464"/>
      <c r="CK616" s="466"/>
      <c r="CL616" s="459"/>
      <c r="CM616" s="450"/>
      <c r="CN616" s="468">
        <f t="shared" si="293"/>
        <v>0</v>
      </c>
      <c r="CO616" s="468">
        <f t="shared" si="294"/>
        <v>0</v>
      </c>
      <c r="CP616" s="469">
        <f t="shared" si="295"/>
        <v>0</v>
      </c>
      <c r="CQ616" s="469">
        <f t="shared" si="296"/>
        <v>0</v>
      </c>
      <c r="CR616" s="463"/>
      <c r="CS616" s="457"/>
      <c r="CT616" s="464"/>
      <c r="CU616" s="464"/>
      <c r="CV616" s="465"/>
      <c r="CW616" s="457"/>
      <c r="CX616" s="464"/>
      <c r="CY616" s="466"/>
      <c r="CZ616" s="465"/>
      <c r="DA616" s="457"/>
      <c r="DB616" s="464"/>
      <c r="DC616" s="466"/>
      <c r="DD616" s="465"/>
      <c r="DE616" s="457"/>
      <c r="DF616" s="464"/>
      <c r="DG616" s="466"/>
      <c r="DH616" s="465"/>
      <c r="DI616" s="457"/>
      <c r="DJ616" s="464"/>
      <c r="DK616" s="466"/>
      <c r="DL616" s="465"/>
      <c r="DM616" s="457"/>
      <c r="DN616" s="464"/>
      <c r="DO616" s="466"/>
      <c r="DP616" s="465"/>
      <c r="DQ616" s="457"/>
      <c r="DR616" s="464"/>
      <c r="DS616" s="466"/>
      <c r="DT616" s="465"/>
      <c r="DU616" s="457"/>
      <c r="DV616" s="464"/>
      <c r="DW616" s="466"/>
      <c r="DX616" s="465"/>
      <c r="DY616" s="457"/>
      <c r="DZ616" s="464"/>
      <c r="EA616" s="466"/>
      <c r="EB616" s="465"/>
      <c r="EC616" s="457"/>
      <c r="ED616" s="464"/>
      <c r="EE616" s="466"/>
      <c r="EF616" s="459"/>
      <c r="EG616" s="450"/>
      <c r="EH616" s="460">
        <f t="shared" si="297"/>
        <v>0</v>
      </c>
      <c r="EI616" s="460">
        <f t="shared" si="298"/>
        <v>0</v>
      </c>
      <c r="EJ616" s="458">
        <f t="shared" si="299"/>
        <v>0</v>
      </c>
      <c r="EK616" s="470">
        <f t="shared" si="300"/>
        <v>0</v>
      </c>
      <c r="EL616" s="470">
        <f t="shared" si="301"/>
        <v>0</v>
      </c>
      <c r="EM616" s="449">
        <f t="shared" si="302"/>
        <v>0</v>
      </c>
      <c r="EN616" s="460">
        <f t="shared" si="303"/>
        <v>0</v>
      </c>
      <c r="EO616" s="469">
        <f t="shared" si="304"/>
        <v>0</v>
      </c>
      <c r="EP616" s="471"/>
      <c r="EQ616" s="450"/>
      <c r="ER616" s="471"/>
      <c r="ES616" s="450"/>
      <c r="ET616" s="471"/>
      <c r="EU616" s="450"/>
      <c r="EV616" s="471"/>
      <c r="EW616" s="450"/>
      <c r="EX616" s="471"/>
      <c r="EY616" s="450"/>
      <c r="EZ616" s="471"/>
      <c r="FA616" s="450"/>
      <c r="FB616" s="471"/>
      <c r="FC616" s="450"/>
      <c r="FD616" s="471"/>
      <c r="FE616" s="450"/>
      <c r="FF616" s="471"/>
      <c r="FG616" s="450"/>
      <c r="FH616" s="472"/>
      <c r="FI616" s="450"/>
      <c r="FJ616" s="468">
        <f t="shared" si="305"/>
        <v>0</v>
      </c>
      <c r="FK616" s="469">
        <f t="shared" si="306"/>
        <v>0</v>
      </c>
      <c r="FL616" s="472"/>
      <c r="FM616" s="450"/>
      <c r="FN616" s="460">
        <f t="shared" si="307"/>
        <v>616</v>
      </c>
      <c r="FO616" s="469">
        <f t="shared" si="308"/>
        <v>704</v>
      </c>
    </row>
    <row r="617" spans="1:172" x14ac:dyDescent="0.2">
      <c r="A617" s="637" t="s">
        <v>854</v>
      </c>
      <c r="B617" s="644" t="s">
        <v>942</v>
      </c>
      <c r="C617" s="645"/>
      <c r="D617" s="546">
        <v>228699</v>
      </c>
      <c r="E617" s="654">
        <v>9</v>
      </c>
      <c r="F617" s="532">
        <v>421</v>
      </c>
      <c r="G617" s="640">
        <v>336</v>
      </c>
      <c r="H617" s="457"/>
      <c r="I617" s="450"/>
      <c r="J617" s="457">
        <v>313</v>
      </c>
      <c r="K617" s="627">
        <v>277</v>
      </c>
      <c r="L617" s="458">
        <f t="shared" si="285"/>
        <v>0</v>
      </c>
      <c r="M617" s="449">
        <f t="shared" si="286"/>
        <v>0</v>
      </c>
      <c r="N617" s="459"/>
      <c r="O617" s="459"/>
      <c r="P617" s="459"/>
      <c r="Q617" s="459"/>
      <c r="R617" s="460">
        <f t="shared" si="287"/>
        <v>0</v>
      </c>
      <c r="S617" s="461"/>
      <c r="T617" s="461"/>
      <c r="U617" s="461"/>
      <c r="V617" s="461"/>
      <c r="W617" s="462">
        <f t="shared" si="288"/>
        <v>0</v>
      </c>
      <c r="X617" s="463"/>
      <c r="Y617" s="457"/>
      <c r="Z617" s="464"/>
      <c r="AA617" s="464"/>
      <c r="AB617" s="465"/>
      <c r="AC617" s="457"/>
      <c r="AD617" s="464"/>
      <c r="AE617" s="466"/>
      <c r="AF617" s="465"/>
      <c r="AG617" s="457"/>
      <c r="AH617" s="464"/>
      <c r="AI617" s="466"/>
      <c r="AJ617" s="465"/>
      <c r="AK617" s="457"/>
      <c r="AL617" s="464"/>
      <c r="AM617" s="466"/>
      <c r="AN617" s="465"/>
      <c r="AO617" s="457"/>
      <c r="AP617" s="464"/>
      <c r="AQ617" s="464"/>
      <c r="AR617" s="460">
        <f t="shared" si="289"/>
        <v>0</v>
      </c>
      <c r="AS617" s="467">
        <f t="shared" si="290"/>
        <v>0</v>
      </c>
      <c r="AT617" s="447">
        <f t="shared" si="291"/>
        <v>0</v>
      </c>
      <c r="AU617" s="448">
        <f t="shared" si="292"/>
        <v>0</v>
      </c>
      <c r="AV617" s="457"/>
      <c r="AW617" s="450"/>
      <c r="AX617" s="463"/>
      <c r="AY617" s="457"/>
      <c r="AZ617" s="464"/>
      <c r="BA617" s="464"/>
      <c r="BB617" s="465"/>
      <c r="BC617" s="457"/>
      <c r="BD617" s="464"/>
      <c r="BE617" s="466"/>
      <c r="BF617" s="465"/>
      <c r="BG617" s="457"/>
      <c r="BH617" s="464"/>
      <c r="BI617" s="466"/>
      <c r="BJ617" s="465"/>
      <c r="BK617" s="457"/>
      <c r="BL617" s="464"/>
      <c r="BM617" s="466"/>
      <c r="BN617" s="465"/>
      <c r="BO617" s="457"/>
      <c r="BP617" s="464"/>
      <c r="BQ617" s="466"/>
      <c r="BR617" s="465"/>
      <c r="BS617" s="457"/>
      <c r="BT617" s="464"/>
      <c r="BU617" s="466"/>
      <c r="BV617" s="465"/>
      <c r="BW617" s="457"/>
      <c r="BX617" s="464"/>
      <c r="BY617" s="466"/>
      <c r="BZ617" s="465"/>
      <c r="CA617" s="457"/>
      <c r="CB617" s="464"/>
      <c r="CC617" s="466"/>
      <c r="CD617" s="465"/>
      <c r="CE617" s="457"/>
      <c r="CF617" s="464"/>
      <c r="CG617" s="466"/>
      <c r="CH617" s="465"/>
      <c r="CI617" s="457"/>
      <c r="CJ617" s="464"/>
      <c r="CK617" s="466"/>
      <c r="CL617" s="459"/>
      <c r="CM617" s="450"/>
      <c r="CN617" s="468">
        <f t="shared" si="293"/>
        <v>0</v>
      </c>
      <c r="CO617" s="468">
        <f t="shared" si="294"/>
        <v>0</v>
      </c>
      <c r="CP617" s="469">
        <f t="shared" si="295"/>
        <v>0</v>
      </c>
      <c r="CQ617" s="469">
        <f t="shared" si="296"/>
        <v>0</v>
      </c>
      <c r="CR617" s="463"/>
      <c r="CS617" s="457"/>
      <c r="CT617" s="464"/>
      <c r="CU617" s="464"/>
      <c r="CV617" s="465"/>
      <c r="CW617" s="457"/>
      <c r="CX617" s="464"/>
      <c r="CY617" s="466"/>
      <c r="CZ617" s="465"/>
      <c r="DA617" s="457"/>
      <c r="DB617" s="464"/>
      <c r="DC617" s="466"/>
      <c r="DD617" s="465"/>
      <c r="DE617" s="457"/>
      <c r="DF617" s="464"/>
      <c r="DG617" s="466"/>
      <c r="DH617" s="465"/>
      <c r="DI617" s="457"/>
      <c r="DJ617" s="464"/>
      <c r="DK617" s="466"/>
      <c r="DL617" s="465"/>
      <c r="DM617" s="457"/>
      <c r="DN617" s="464"/>
      <c r="DO617" s="466"/>
      <c r="DP617" s="465"/>
      <c r="DQ617" s="457"/>
      <c r="DR617" s="464"/>
      <c r="DS617" s="466"/>
      <c r="DT617" s="465"/>
      <c r="DU617" s="457"/>
      <c r="DV617" s="464"/>
      <c r="DW617" s="466"/>
      <c r="DX617" s="465"/>
      <c r="DY617" s="457"/>
      <c r="DZ617" s="464"/>
      <c r="EA617" s="466"/>
      <c r="EB617" s="465"/>
      <c r="EC617" s="457"/>
      <c r="ED617" s="464"/>
      <c r="EE617" s="466"/>
      <c r="EF617" s="459"/>
      <c r="EG617" s="450"/>
      <c r="EH617" s="460">
        <f t="shared" si="297"/>
        <v>0</v>
      </c>
      <c r="EI617" s="460">
        <f t="shared" si="298"/>
        <v>0</v>
      </c>
      <c r="EJ617" s="458">
        <f t="shared" si="299"/>
        <v>0</v>
      </c>
      <c r="EK617" s="470">
        <f t="shared" si="300"/>
        <v>0</v>
      </c>
      <c r="EL617" s="470">
        <f t="shared" si="301"/>
        <v>0</v>
      </c>
      <c r="EM617" s="449">
        <f t="shared" si="302"/>
        <v>0</v>
      </c>
      <c r="EN617" s="460">
        <f t="shared" si="303"/>
        <v>0</v>
      </c>
      <c r="EO617" s="469">
        <f t="shared" si="304"/>
        <v>0</v>
      </c>
      <c r="EP617" s="471"/>
      <c r="EQ617" s="450"/>
      <c r="ER617" s="471"/>
      <c r="ES617" s="450"/>
      <c r="ET617" s="471"/>
      <c r="EU617" s="450"/>
      <c r="EV617" s="471"/>
      <c r="EW617" s="450"/>
      <c r="EX617" s="471"/>
      <c r="EY617" s="450"/>
      <c r="EZ617" s="471"/>
      <c r="FA617" s="450"/>
      <c r="FB617" s="471"/>
      <c r="FC617" s="450"/>
      <c r="FD617" s="471"/>
      <c r="FE617" s="450"/>
      <c r="FF617" s="471"/>
      <c r="FG617" s="450"/>
      <c r="FH617" s="472"/>
      <c r="FI617" s="450"/>
      <c r="FJ617" s="468">
        <f t="shared" si="305"/>
        <v>0</v>
      </c>
      <c r="FK617" s="469">
        <f t="shared" si="306"/>
        <v>0</v>
      </c>
      <c r="FL617" s="472"/>
      <c r="FM617" s="450"/>
      <c r="FN617" s="460">
        <f t="shared" si="307"/>
        <v>734</v>
      </c>
      <c r="FO617" s="469">
        <f t="shared" si="308"/>
        <v>613</v>
      </c>
    </row>
    <row r="618" spans="1:172" x14ac:dyDescent="0.2">
      <c r="A618" s="637" t="s">
        <v>854</v>
      </c>
      <c r="B618" s="644" t="s">
        <v>943</v>
      </c>
      <c r="C618" s="636"/>
      <c r="D618" s="546">
        <v>229319</v>
      </c>
      <c r="E618" s="654">
        <v>9</v>
      </c>
      <c r="F618" s="532">
        <v>242</v>
      </c>
      <c r="G618" s="640">
        <v>252</v>
      </c>
      <c r="H618" s="457"/>
      <c r="I618" s="450"/>
      <c r="J618" s="457">
        <v>376</v>
      </c>
      <c r="K618" s="627">
        <v>427</v>
      </c>
      <c r="L618" s="458">
        <f t="shared" si="285"/>
        <v>0</v>
      </c>
      <c r="M618" s="449">
        <f t="shared" si="286"/>
        <v>0</v>
      </c>
      <c r="N618" s="459"/>
      <c r="O618" s="459"/>
      <c r="P618" s="459"/>
      <c r="Q618" s="459"/>
      <c r="R618" s="460">
        <f t="shared" si="287"/>
        <v>0</v>
      </c>
      <c r="S618" s="461"/>
      <c r="T618" s="461"/>
      <c r="U618" s="461"/>
      <c r="V618" s="461"/>
      <c r="W618" s="462">
        <f t="shared" si="288"/>
        <v>0</v>
      </c>
      <c r="X618" s="463"/>
      <c r="Y618" s="457"/>
      <c r="Z618" s="464"/>
      <c r="AA618" s="464"/>
      <c r="AB618" s="465"/>
      <c r="AC618" s="457"/>
      <c r="AD618" s="464"/>
      <c r="AE618" s="466"/>
      <c r="AF618" s="465"/>
      <c r="AG618" s="457"/>
      <c r="AH618" s="464"/>
      <c r="AI618" s="466"/>
      <c r="AJ618" s="465"/>
      <c r="AK618" s="457"/>
      <c r="AL618" s="464"/>
      <c r="AM618" s="466"/>
      <c r="AN618" s="465"/>
      <c r="AO618" s="457"/>
      <c r="AP618" s="464"/>
      <c r="AQ618" s="464"/>
      <c r="AR618" s="460">
        <f t="shared" si="289"/>
        <v>0</v>
      </c>
      <c r="AS618" s="467">
        <f t="shared" si="290"/>
        <v>0</v>
      </c>
      <c r="AT618" s="447">
        <f t="shared" si="291"/>
        <v>0</v>
      </c>
      <c r="AU618" s="448">
        <f t="shared" si="292"/>
        <v>0</v>
      </c>
      <c r="AV618" s="457"/>
      <c r="AW618" s="450"/>
      <c r="AX618" s="463"/>
      <c r="AY618" s="457"/>
      <c r="AZ618" s="464"/>
      <c r="BA618" s="464"/>
      <c r="BB618" s="465"/>
      <c r="BC618" s="457"/>
      <c r="BD618" s="464"/>
      <c r="BE618" s="466"/>
      <c r="BF618" s="465"/>
      <c r="BG618" s="457"/>
      <c r="BH618" s="464"/>
      <c r="BI618" s="466"/>
      <c r="BJ618" s="465"/>
      <c r="BK618" s="457"/>
      <c r="BL618" s="464"/>
      <c r="BM618" s="466"/>
      <c r="BN618" s="465"/>
      <c r="BO618" s="457"/>
      <c r="BP618" s="464"/>
      <c r="BQ618" s="466"/>
      <c r="BR618" s="465"/>
      <c r="BS618" s="457"/>
      <c r="BT618" s="464"/>
      <c r="BU618" s="466"/>
      <c r="BV618" s="465"/>
      <c r="BW618" s="457"/>
      <c r="BX618" s="464"/>
      <c r="BY618" s="466"/>
      <c r="BZ618" s="465"/>
      <c r="CA618" s="457"/>
      <c r="CB618" s="464"/>
      <c r="CC618" s="466"/>
      <c r="CD618" s="465"/>
      <c r="CE618" s="457"/>
      <c r="CF618" s="464"/>
      <c r="CG618" s="466"/>
      <c r="CH618" s="465"/>
      <c r="CI618" s="457"/>
      <c r="CJ618" s="464"/>
      <c r="CK618" s="466"/>
      <c r="CL618" s="459"/>
      <c r="CM618" s="450"/>
      <c r="CN618" s="468">
        <f t="shared" si="293"/>
        <v>0</v>
      </c>
      <c r="CO618" s="468">
        <f t="shared" si="294"/>
        <v>0</v>
      </c>
      <c r="CP618" s="469">
        <f t="shared" si="295"/>
        <v>0</v>
      </c>
      <c r="CQ618" s="469">
        <f t="shared" si="296"/>
        <v>0</v>
      </c>
      <c r="CR618" s="463"/>
      <c r="CS618" s="457"/>
      <c r="CT618" s="464"/>
      <c r="CU618" s="464"/>
      <c r="CV618" s="465"/>
      <c r="CW618" s="457"/>
      <c r="CX618" s="464"/>
      <c r="CY618" s="466"/>
      <c r="CZ618" s="465"/>
      <c r="DA618" s="457"/>
      <c r="DB618" s="464"/>
      <c r="DC618" s="466"/>
      <c r="DD618" s="465"/>
      <c r="DE618" s="457"/>
      <c r="DF618" s="464"/>
      <c r="DG618" s="466"/>
      <c r="DH618" s="465"/>
      <c r="DI618" s="457"/>
      <c r="DJ618" s="464"/>
      <c r="DK618" s="466"/>
      <c r="DL618" s="465"/>
      <c r="DM618" s="457"/>
      <c r="DN618" s="464"/>
      <c r="DO618" s="466"/>
      <c r="DP618" s="465"/>
      <c r="DQ618" s="457"/>
      <c r="DR618" s="464"/>
      <c r="DS618" s="466"/>
      <c r="DT618" s="465"/>
      <c r="DU618" s="457"/>
      <c r="DV618" s="464"/>
      <c r="DW618" s="466"/>
      <c r="DX618" s="465"/>
      <c r="DY618" s="457"/>
      <c r="DZ618" s="464"/>
      <c r="EA618" s="466"/>
      <c r="EB618" s="465"/>
      <c r="EC618" s="457"/>
      <c r="ED618" s="464"/>
      <c r="EE618" s="466"/>
      <c r="EF618" s="459"/>
      <c r="EG618" s="450"/>
      <c r="EH618" s="460">
        <f t="shared" si="297"/>
        <v>0</v>
      </c>
      <c r="EI618" s="460">
        <f t="shared" si="298"/>
        <v>0</v>
      </c>
      <c r="EJ618" s="458">
        <f t="shared" si="299"/>
        <v>0</v>
      </c>
      <c r="EK618" s="470">
        <f t="shared" si="300"/>
        <v>0</v>
      </c>
      <c r="EL618" s="470">
        <f t="shared" si="301"/>
        <v>0</v>
      </c>
      <c r="EM618" s="449">
        <f t="shared" si="302"/>
        <v>0</v>
      </c>
      <c r="EN618" s="460">
        <f t="shared" si="303"/>
        <v>0</v>
      </c>
      <c r="EO618" s="469">
        <f t="shared" si="304"/>
        <v>0</v>
      </c>
      <c r="EP618" s="471"/>
      <c r="EQ618" s="450"/>
      <c r="ER618" s="471"/>
      <c r="ES618" s="450"/>
      <c r="ET618" s="471"/>
      <c r="EU618" s="450"/>
      <c r="EV618" s="471"/>
      <c r="EW618" s="450"/>
      <c r="EX618" s="471"/>
      <c r="EY618" s="450"/>
      <c r="EZ618" s="471"/>
      <c r="FA618" s="450"/>
      <c r="FB618" s="471"/>
      <c r="FC618" s="450"/>
      <c r="FD618" s="471"/>
      <c r="FE618" s="450"/>
      <c r="FF618" s="471"/>
      <c r="FG618" s="450"/>
      <c r="FH618" s="472"/>
      <c r="FI618" s="450"/>
      <c r="FJ618" s="468">
        <f t="shared" si="305"/>
        <v>0</v>
      </c>
      <c r="FK618" s="469">
        <f t="shared" si="306"/>
        <v>0</v>
      </c>
      <c r="FL618" s="472"/>
      <c r="FM618" s="450"/>
      <c r="FN618" s="460">
        <f t="shared" si="307"/>
        <v>618</v>
      </c>
      <c r="FO618" s="469">
        <f t="shared" si="308"/>
        <v>679</v>
      </c>
    </row>
    <row r="619" spans="1:172" x14ac:dyDescent="0.2">
      <c r="A619" s="641" t="s">
        <v>854</v>
      </c>
      <c r="B619" s="647" t="s">
        <v>944</v>
      </c>
      <c r="C619" s="648"/>
      <c r="D619" s="642">
        <v>229504</v>
      </c>
      <c r="E619" s="643">
        <v>9</v>
      </c>
      <c r="F619" s="532">
        <v>308</v>
      </c>
      <c r="G619" s="640">
        <v>245</v>
      </c>
      <c r="H619" s="457"/>
      <c r="I619" s="450"/>
      <c r="J619" s="457">
        <v>238</v>
      </c>
      <c r="K619" s="627">
        <v>226</v>
      </c>
      <c r="L619" s="458">
        <f t="shared" si="285"/>
        <v>0</v>
      </c>
      <c r="M619" s="449">
        <f t="shared" si="286"/>
        <v>0</v>
      </c>
      <c r="N619" s="459"/>
      <c r="O619" s="459"/>
      <c r="P619" s="459"/>
      <c r="Q619" s="459"/>
      <c r="R619" s="460">
        <f t="shared" si="287"/>
        <v>0</v>
      </c>
      <c r="S619" s="461"/>
      <c r="T619" s="461"/>
      <c r="U619" s="461"/>
      <c r="V619" s="461"/>
      <c r="W619" s="462">
        <f t="shared" si="288"/>
        <v>0</v>
      </c>
      <c r="X619" s="463"/>
      <c r="Y619" s="457"/>
      <c r="Z619" s="464"/>
      <c r="AA619" s="464"/>
      <c r="AB619" s="465"/>
      <c r="AC619" s="457"/>
      <c r="AD619" s="464"/>
      <c r="AE619" s="466"/>
      <c r="AF619" s="465"/>
      <c r="AG619" s="457"/>
      <c r="AH619" s="464"/>
      <c r="AI619" s="466"/>
      <c r="AJ619" s="465"/>
      <c r="AK619" s="457"/>
      <c r="AL619" s="464"/>
      <c r="AM619" s="466"/>
      <c r="AN619" s="465"/>
      <c r="AO619" s="457"/>
      <c r="AP619" s="464"/>
      <c r="AQ619" s="464"/>
      <c r="AR619" s="460">
        <f t="shared" si="289"/>
        <v>0</v>
      </c>
      <c r="AS619" s="467">
        <f t="shared" si="290"/>
        <v>0</v>
      </c>
      <c r="AT619" s="447">
        <f t="shared" si="291"/>
        <v>0</v>
      </c>
      <c r="AU619" s="448">
        <f t="shared" si="292"/>
        <v>0</v>
      </c>
      <c r="AV619" s="457"/>
      <c r="AW619" s="450"/>
      <c r="AX619" s="463"/>
      <c r="AY619" s="457"/>
      <c r="AZ619" s="464"/>
      <c r="BA619" s="464"/>
      <c r="BB619" s="465"/>
      <c r="BC619" s="457"/>
      <c r="BD619" s="464"/>
      <c r="BE619" s="466"/>
      <c r="BF619" s="465"/>
      <c r="BG619" s="457"/>
      <c r="BH619" s="464"/>
      <c r="BI619" s="466"/>
      <c r="BJ619" s="465"/>
      <c r="BK619" s="457"/>
      <c r="BL619" s="464"/>
      <c r="BM619" s="466"/>
      <c r="BN619" s="465"/>
      <c r="BO619" s="457"/>
      <c r="BP619" s="464"/>
      <c r="BQ619" s="466"/>
      <c r="BR619" s="465"/>
      <c r="BS619" s="457"/>
      <c r="BT619" s="464"/>
      <c r="BU619" s="466"/>
      <c r="BV619" s="465"/>
      <c r="BW619" s="457"/>
      <c r="BX619" s="464"/>
      <c r="BY619" s="466"/>
      <c r="BZ619" s="465"/>
      <c r="CA619" s="457"/>
      <c r="CB619" s="464"/>
      <c r="CC619" s="466"/>
      <c r="CD619" s="465"/>
      <c r="CE619" s="457"/>
      <c r="CF619" s="464"/>
      <c r="CG619" s="466"/>
      <c r="CH619" s="465"/>
      <c r="CI619" s="457"/>
      <c r="CJ619" s="464"/>
      <c r="CK619" s="466"/>
      <c r="CL619" s="459"/>
      <c r="CM619" s="450"/>
      <c r="CN619" s="468">
        <f t="shared" si="293"/>
        <v>0</v>
      </c>
      <c r="CO619" s="468">
        <f t="shared" si="294"/>
        <v>0</v>
      </c>
      <c r="CP619" s="469">
        <f t="shared" si="295"/>
        <v>0</v>
      </c>
      <c r="CQ619" s="469">
        <f t="shared" si="296"/>
        <v>0</v>
      </c>
      <c r="CR619" s="463"/>
      <c r="CS619" s="457"/>
      <c r="CT619" s="464"/>
      <c r="CU619" s="464"/>
      <c r="CV619" s="465"/>
      <c r="CW619" s="457"/>
      <c r="CX619" s="464"/>
      <c r="CY619" s="466"/>
      <c r="CZ619" s="465"/>
      <c r="DA619" s="457"/>
      <c r="DB619" s="464"/>
      <c r="DC619" s="466"/>
      <c r="DD619" s="465"/>
      <c r="DE619" s="457"/>
      <c r="DF619" s="464"/>
      <c r="DG619" s="466"/>
      <c r="DH619" s="465"/>
      <c r="DI619" s="457"/>
      <c r="DJ619" s="464"/>
      <c r="DK619" s="466"/>
      <c r="DL619" s="465"/>
      <c r="DM619" s="457"/>
      <c r="DN619" s="464"/>
      <c r="DO619" s="466"/>
      <c r="DP619" s="465"/>
      <c r="DQ619" s="457"/>
      <c r="DR619" s="464"/>
      <c r="DS619" s="466"/>
      <c r="DT619" s="465"/>
      <c r="DU619" s="457"/>
      <c r="DV619" s="464"/>
      <c r="DW619" s="466"/>
      <c r="DX619" s="465"/>
      <c r="DY619" s="457"/>
      <c r="DZ619" s="464"/>
      <c r="EA619" s="466"/>
      <c r="EB619" s="465"/>
      <c r="EC619" s="457"/>
      <c r="ED619" s="464"/>
      <c r="EE619" s="466"/>
      <c r="EF619" s="459"/>
      <c r="EG619" s="450"/>
      <c r="EH619" s="460">
        <f t="shared" si="297"/>
        <v>0</v>
      </c>
      <c r="EI619" s="460">
        <f t="shared" si="298"/>
        <v>0</v>
      </c>
      <c r="EJ619" s="458">
        <f t="shared" si="299"/>
        <v>0</v>
      </c>
      <c r="EK619" s="470">
        <f t="shared" si="300"/>
        <v>0</v>
      </c>
      <c r="EL619" s="470">
        <f t="shared" si="301"/>
        <v>0</v>
      </c>
      <c r="EM619" s="449">
        <f t="shared" si="302"/>
        <v>0</v>
      </c>
      <c r="EN619" s="460">
        <f t="shared" si="303"/>
        <v>0</v>
      </c>
      <c r="EO619" s="469">
        <f t="shared" si="304"/>
        <v>0</v>
      </c>
      <c r="EP619" s="471"/>
      <c r="EQ619" s="450"/>
      <c r="ER619" s="471"/>
      <c r="ES619" s="450"/>
      <c r="ET619" s="471"/>
      <c r="EU619" s="450"/>
      <c r="EV619" s="471"/>
      <c r="EW619" s="450"/>
      <c r="EX619" s="471"/>
      <c r="EY619" s="450"/>
      <c r="EZ619" s="471"/>
      <c r="FA619" s="450"/>
      <c r="FB619" s="471"/>
      <c r="FC619" s="450"/>
      <c r="FD619" s="471"/>
      <c r="FE619" s="450"/>
      <c r="FF619" s="471"/>
      <c r="FG619" s="450"/>
      <c r="FH619" s="472"/>
      <c r="FI619" s="450"/>
      <c r="FJ619" s="468">
        <f t="shared" si="305"/>
        <v>0</v>
      </c>
      <c r="FK619" s="469">
        <f t="shared" si="306"/>
        <v>0</v>
      </c>
      <c r="FL619" s="472"/>
      <c r="FM619" s="450"/>
      <c r="FN619" s="460">
        <f t="shared" si="307"/>
        <v>546</v>
      </c>
      <c r="FO619" s="469">
        <f t="shared" si="308"/>
        <v>471</v>
      </c>
    </row>
    <row r="620" spans="1:172" x14ac:dyDescent="0.2">
      <c r="A620" s="637" t="s">
        <v>854</v>
      </c>
      <c r="B620" s="644" t="s">
        <v>945</v>
      </c>
      <c r="C620" s="645"/>
      <c r="D620" s="546">
        <v>229540</v>
      </c>
      <c r="E620" s="654">
        <v>9</v>
      </c>
      <c r="F620" s="532">
        <v>233</v>
      </c>
      <c r="G620" s="640">
        <v>206</v>
      </c>
      <c r="H620" s="457"/>
      <c r="I620" s="450"/>
      <c r="J620" s="457">
        <v>317</v>
      </c>
      <c r="K620" s="627">
        <v>325</v>
      </c>
      <c r="L620" s="458">
        <f t="shared" si="285"/>
        <v>0</v>
      </c>
      <c r="M620" s="449">
        <f t="shared" si="286"/>
        <v>0</v>
      </c>
      <c r="N620" s="459"/>
      <c r="O620" s="459"/>
      <c r="P620" s="459"/>
      <c r="Q620" s="459"/>
      <c r="R620" s="460">
        <f t="shared" si="287"/>
        <v>0</v>
      </c>
      <c r="S620" s="461"/>
      <c r="T620" s="461"/>
      <c r="U620" s="461"/>
      <c r="V620" s="461"/>
      <c r="W620" s="462">
        <f t="shared" si="288"/>
        <v>0</v>
      </c>
      <c r="X620" s="463"/>
      <c r="Y620" s="457"/>
      <c r="Z620" s="464"/>
      <c r="AA620" s="464"/>
      <c r="AB620" s="465"/>
      <c r="AC620" s="457"/>
      <c r="AD620" s="464"/>
      <c r="AE620" s="466"/>
      <c r="AF620" s="465"/>
      <c r="AG620" s="457"/>
      <c r="AH620" s="464"/>
      <c r="AI620" s="466"/>
      <c r="AJ620" s="465"/>
      <c r="AK620" s="457"/>
      <c r="AL620" s="464"/>
      <c r="AM620" s="466"/>
      <c r="AN620" s="465"/>
      <c r="AO620" s="457"/>
      <c r="AP620" s="464"/>
      <c r="AQ620" s="464"/>
      <c r="AR620" s="460">
        <f t="shared" si="289"/>
        <v>0</v>
      </c>
      <c r="AS620" s="467">
        <f t="shared" si="290"/>
        <v>0</v>
      </c>
      <c r="AT620" s="447">
        <f t="shared" si="291"/>
        <v>0</v>
      </c>
      <c r="AU620" s="448">
        <f t="shared" si="292"/>
        <v>0</v>
      </c>
      <c r="AV620" s="457"/>
      <c r="AW620" s="450"/>
      <c r="AX620" s="463"/>
      <c r="AY620" s="457"/>
      <c r="AZ620" s="464"/>
      <c r="BA620" s="464"/>
      <c r="BB620" s="465"/>
      <c r="BC620" s="457"/>
      <c r="BD620" s="464"/>
      <c r="BE620" s="466"/>
      <c r="BF620" s="465"/>
      <c r="BG620" s="457"/>
      <c r="BH620" s="464"/>
      <c r="BI620" s="466"/>
      <c r="BJ620" s="465"/>
      <c r="BK620" s="457"/>
      <c r="BL620" s="464"/>
      <c r="BM620" s="466"/>
      <c r="BN620" s="465"/>
      <c r="BO620" s="457"/>
      <c r="BP620" s="464"/>
      <c r="BQ620" s="466"/>
      <c r="BR620" s="465"/>
      <c r="BS620" s="457"/>
      <c r="BT620" s="464"/>
      <c r="BU620" s="466"/>
      <c r="BV620" s="465"/>
      <c r="BW620" s="457"/>
      <c r="BX620" s="464"/>
      <c r="BY620" s="466"/>
      <c r="BZ620" s="465"/>
      <c r="CA620" s="457"/>
      <c r="CB620" s="464"/>
      <c r="CC620" s="466"/>
      <c r="CD620" s="465"/>
      <c r="CE620" s="457"/>
      <c r="CF620" s="464"/>
      <c r="CG620" s="466"/>
      <c r="CH620" s="465"/>
      <c r="CI620" s="457"/>
      <c r="CJ620" s="464"/>
      <c r="CK620" s="466"/>
      <c r="CL620" s="459"/>
      <c r="CM620" s="450"/>
      <c r="CN620" s="468">
        <f t="shared" si="293"/>
        <v>0</v>
      </c>
      <c r="CO620" s="468">
        <f t="shared" si="294"/>
        <v>0</v>
      </c>
      <c r="CP620" s="469">
        <f t="shared" si="295"/>
        <v>0</v>
      </c>
      <c r="CQ620" s="469">
        <f t="shared" si="296"/>
        <v>0</v>
      </c>
      <c r="CR620" s="463"/>
      <c r="CS620" s="457"/>
      <c r="CT620" s="464"/>
      <c r="CU620" s="464"/>
      <c r="CV620" s="465"/>
      <c r="CW620" s="457"/>
      <c r="CX620" s="464"/>
      <c r="CY620" s="466"/>
      <c r="CZ620" s="465"/>
      <c r="DA620" s="457"/>
      <c r="DB620" s="464"/>
      <c r="DC620" s="466"/>
      <c r="DD620" s="465"/>
      <c r="DE620" s="457"/>
      <c r="DF620" s="464"/>
      <c r="DG620" s="466"/>
      <c r="DH620" s="465"/>
      <c r="DI620" s="457"/>
      <c r="DJ620" s="464"/>
      <c r="DK620" s="466"/>
      <c r="DL620" s="465"/>
      <c r="DM620" s="457"/>
      <c r="DN620" s="464"/>
      <c r="DO620" s="466"/>
      <c r="DP620" s="465"/>
      <c r="DQ620" s="457"/>
      <c r="DR620" s="464"/>
      <c r="DS620" s="466"/>
      <c r="DT620" s="465"/>
      <c r="DU620" s="457"/>
      <c r="DV620" s="464"/>
      <c r="DW620" s="466"/>
      <c r="DX620" s="465"/>
      <c r="DY620" s="457"/>
      <c r="DZ620" s="464"/>
      <c r="EA620" s="466"/>
      <c r="EB620" s="465"/>
      <c r="EC620" s="457"/>
      <c r="ED620" s="464"/>
      <c r="EE620" s="466"/>
      <c r="EF620" s="459"/>
      <c r="EG620" s="450"/>
      <c r="EH620" s="460">
        <f t="shared" si="297"/>
        <v>0</v>
      </c>
      <c r="EI620" s="460">
        <f t="shared" si="298"/>
        <v>0</v>
      </c>
      <c r="EJ620" s="458">
        <f t="shared" si="299"/>
        <v>0</v>
      </c>
      <c r="EK620" s="470">
        <f t="shared" si="300"/>
        <v>0</v>
      </c>
      <c r="EL620" s="470">
        <f t="shared" si="301"/>
        <v>0</v>
      </c>
      <c r="EM620" s="449">
        <f t="shared" si="302"/>
        <v>0</v>
      </c>
      <c r="EN620" s="460">
        <f t="shared" si="303"/>
        <v>0</v>
      </c>
      <c r="EO620" s="469">
        <f t="shared" si="304"/>
        <v>0</v>
      </c>
      <c r="EP620" s="471"/>
      <c r="EQ620" s="450"/>
      <c r="ER620" s="471"/>
      <c r="ES620" s="450"/>
      <c r="ET620" s="471"/>
      <c r="EU620" s="450"/>
      <c r="EV620" s="471"/>
      <c r="EW620" s="450"/>
      <c r="EX620" s="471"/>
      <c r="EY620" s="450"/>
      <c r="EZ620" s="471"/>
      <c r="FA620" s="450"/>
      <c r="FB620" s="471"/>
      <c r="FC620" s="450"/>
      <c r="FD620" s="471"/>
      <c r="FE620" s="450"/>
      <c r="FF620" s="471"/>
      <c r="FG620" s="450"/>
      <c r="FH620" s="472"/>
      <c r="FI620" s="450"/>
      <c r="FJ620" s="468">
        <f t="shared" si="305"/>
        <v>0</v>
      </c>
      <c r="FK620" s="469">
        <f t="shared" si="306"/>
        <v>0</v>
      </c>
      <c r="FL620" s="472"/>
      <c r="FM620" s="450"/>
      <c r="FN620" s="460">
        <f t="shared" si="307"/>
        <v>550</v>
      </c>
      <c r="FO620" s="469">
        <f t="shared" si="308"/>
        <v>531</v>
      </c>
    </row>
    <row r="621" spans="1:172" x14ac:dyDescent="0.2">
      <c r="A621" s="637" t="s">
        <v>854</v>
      </c>
      <c r="B621" s="644" t="s">
        <v>946</v>
      </c>
      <c r="C621" s="645"/>
      <c r="D621" s="546">
        <v>229799</v>
      </c>
      <c r="E621" s="654">
        <v>9</v>
      </c>
      <c r="F621" s="532">
        <v>217</v>
      </c>
      <c r="G621" s="640">
        <v>157</v>
      </c>
      <c r="H621" s="457"/>
      <c r="I621" s="450"/>
      <c r="J621" s="457">
        <v>631</v>
      </c>
      <c r="K621" s="627">
        <v>700</v>
      </c>
      <c r="L621" s="458">
        <f t="shared" si="285"/>
        <v>0</v>
      </c>
      <c r="M621" s="449">
        <f t="shared" si="286"/>
        <v>0</v>
      </c>
      <c r="N621" s="459"/>
      <c r="O621" s="459"/>
      <c r="P621" s="459"/>
      <c r="Q621" s="459"/>
      <c r="R621" s="460">
        <f t="shared" si="287"/>
        <v>0</v>
      </c>
      <c r="S621" s="461"/>
      <c r="T621" s="461"/>
      <c r="U621" s="461"/>
      <c r="V621" s="461"/>
      <c r="W621" s="462">
        <f t="shared" si="288"/>
        <v>0</v>
      </c>
      <c r="X621" s="463"/>
      <c r="Y621" s="457"/>
      <c r="Z621" s="464"/>
      <c r="AA621" s="464"/>
      <c r="AB621" s="465"/>
      <c r="AC621" s="457"/>
      <c r="AD621" s="464"/>
      <c r="AE621" s="466"/>
      <c r="AF621" s="465"/>
      <c r="AG621" s="457"/>
      <c r="AH621" s="464"/>
      <c r="AI621" s="466"/>
      <c r="AJ621" s="465"/>
      <c r="AK621" s="457"/>
      <c r="AL621" s="464"/>
      <c r="AM621" s="466"/>
      <c r="AN621" s="465"/>
      <c r="AO621" s="457"/>
      <c r="AP621" s="464"/>
      <c r="AQ621" s="464"/>
      <c r="AR621" s="460">
        <f t="shared" si="289"/>
        <v>0</v>
      </c>
      <c r="AS621" s="467">
        <f t="shared" si="290"/>
        <v>0</v>
      </c>
      <c r="AT621" s="447">
        <f t="shared" si="291"/>
        <v>0</v>
      </c>
      <c r="AU621" s="448">
        <f t="shared" si="292"/>
        <v>0</v>
      </c>
      <c r="AV621" s="457"/>
      <c r="AW621" s="450"/>
      <c r="AX621" s="463"/>
      <c r="AY621" s="457"/>
      <c r="AZ621" s="464"/>
      <c r="BA621" s="464"/>
      <c r="BB621" s="465"/>
      <c r="BC621" s="457"/>
      <c r="BD621" s="464"/>
      <c r="BE621" s="466"/>
      <c r="BF621" s="465"/>
      <c r="BG621" s="457"/>
      <c r="BH621" s="464"/>
      <c r="BI621" s="466"/>
      <c r="BJ621" s="465"/>
      <c r="BK621" s="457"/>
      <c r="BL621" s="464"/>
      <c r="BM621" s="466"/>
      <c r="BN621" s="465"/>
      <c r="BO621" s="457"/>
      <c r="BP621" s="464"/>
      <c r="BQ621" s="466"/>
      <c r="BR621" s="465"/>
      <c r="BS621" s="457"/>
      <c r="BT621" s="464"/>
      <c r="BU621" s="466"/>
      <c r="BV621" s="465"/>
      <c r="BW621" s="457"/>
      <c r="BX621" s="464"/>
      <c r="BY621" s="466"/>
      <c r="BZ621" s="465"/>
      <c r="CA621" s="457"/>
      <c r="CB621" s="464"/>
      <c r="CC621" s="466"/>
      <c r="CD621" s="465"/>
      <c r="CE621" s="457"/>
      <c r="CF621" s="464"/>
      <c r="CG621" s="466"/>
      <c r="CH621" s="465"/>
      <c r="CI621" s="457"/>
      <c r="CJ621" s="464"/>
      <c r="CK621" s="466"/>
      <c r="CL621" s="459"/>
      <c r="CM621" s="450"/>
      <c r="CN621" s="468">
        <f t="shared" si="293"/>
        <v>0</v>
      </c>
      <c r="CO621" s="468">
        <f t="shared" si="294"/>
        <v>0</v>
      </c>
      <c r="CP621" s="469">
        <f t="shared" si="295"/>
        <v>0</v>
      </c>
      <c r="CQ621" s="469">
        <f t="shared" si="296"/>
        <v>0</v>
      </c>
      <c r="CR621" s="463"/>
      <c r="CS621" s="457"/>
      <c r="CT621" s="464"/>
      <c r="CU621" s="464"/>
      <c r="CV621" s="465"/>
      <c r="CW621" s="457"/>
      <c r="CX621" s="464"/>
      <c r="CY621" s="466"/>
      <c r="CZ621" s="465"/>
      <c r="DA621" s="457"/>
      <c r="DB621" s="464"/>
      <c r="DC621" s="466"/>
      <c r="DD621" s="465"/>
      <c r="DE621" s="457"/>
      <c r="DF621" s="464"/>
      <c r="DG621" s="466"/>
      <c r="DH621" s="465"/>
      <c r="DI621" s="457"/>
      <c r="DJ621" s="464"/>
      <c r="DK621" s="466"/>
      <c r="DL621" s="465"/>
      <c r="DM621" s="457"/>
      <c r="DN621" s="464"/>
      <c r="DO621" s="466"/>
      <c r="DP621" s="465"/>
      <c r="DQ621" s="457"/>
      <c r="DR621" s="464"/>
      <c r="DS621" s="466"/>
      <c r="DT621" s="465"/>
      <c r="DU621" s="457"/>
      <c r="DV621" s="464"/>
      <c r="DW621" s="466"/>
      <c r="DX621" s="465"/>
      <c r="DY621" s="457"/>
      <c r="DZ621" s="464"/>
      <c r="EA621" s="466"/>
      <c r="EB621" s="465"/>
      <c r="EC621" s="457"/>
      <c r="ED621" s="464"/>
      <c r="EE621" s="466"/>
      <c r="EF621" s="459"/>
      <c r="EG621" s="450"/>
      <c r="EH621" s="460">
        <f t="shared" si="297"/>
        <v>0</v>
      </c>
      <c r="EI621" s="460">
        <f t="shared" si="298"/>
        <v>0</v>
      </c>
      <c r="EJ621" s="458">
        <f t="shared" si="299"/>
        <v>0</v>
      </c>
      <c r="EK621" s="470">
        <f t="shared" si="300"/>
        <v>0</v>
      </c>
      <c r="EL621" s="470">
        <f t="shared" si="301"/>
        <v>0</v>
      </c>
      <c r="EM621" s="449">
        <f t="shared" si="302"/>
        <v>0</v>
      </c>
      <c r="EN621" s="460">
        <f t="shared" si="303"/>
        <v>0</v>
      </c>
      <c r="EO621" s="469">
        <f t="shared" si="304"/>
        <v>0</v>
      </c>
      <c r="EP621" s="471"/>
      <c r="EQ621" s="450"/>
      <c r="ER621" s="471"/>
      <c r="ES621" s="450"/>
      <c r="ET621" s="471"/>
      <c r="EU621" s="450"/>
      <c r="EV621" s="471"/>
      <c r="EW621" s="450"/>
      <c r="EX621" s="471"/>
      <c r="EY621" s="450"/>
      <c r="EZ621" s="471"/>
      <c r="FA621" s="450"/>
      <c r="FB621" s="471"/>
      <c r="FC621" s="450"/>
      <c r="FD621" s="471"/>
      <c r="FE621" s="450"/>
      <c r="FF621" s="471"/>
      <c r="FG621" s="450"/>
      <c r="FH621" s="472"/>
      <c r="FI621" s="450"/>
      <c r="FJ621" s="468">
        <f t="shared" si="305"/>
        <v>0</v>
      </c>
      <c r="FK621" s="469">
        <f t="shared" si="306"/>
        <v>0</v>
      </c>
      <c r="FL621" s="472"/>
      <c r="FM621" s="450"/>
      <c r="FN621" s="460">
        <f t="shared" si="307"/>
        <v>848</v>
      </c>
      <c r="FO621" s="469">
        <f t="shared" si="308"/>
        <v>857</v>
      </c>
    </row>
    <row r="622" spans="1:172" x14ac:dyDescent="0.2">
      <c r="A622" s="637" t="s">
        <v>854</v>
      </c>
      <c r="B622" s="644" t="s">
        <v>947</v>
      </c>
      <c r="C622" s="645"/>
      <c r="D622" s="546">
        <v>229841</v>
      </c>
      <c r="E622" s="654">
        <v>9</v>
      </c>
      <c r="F622" s="532">
        <v>337</v>
      </c>
      <c r="G622" s="640">
        <v>306</v>
      </c>
      <c r="H622" s="457"/>
      <c r="I622" s="450"/>
      <c r="J622" s="457">
        <v>450</v>
      </c>
      <c r="K622" s="627">
        <v>559</v>
      </c>
      <c r="L622" s="458">
        <f t="shared" si="285"/>
        <v>0</v>
      </c>
      <c r="M622" s="449">
        <f t="shared" si="286"/>
        <v>0</v>
      </c>
      <c r="N622" s="459"/>
      <c r="O622" s="459"/>
      <c r="P622" s="459"/>
      <c r="Q622" s="459"/>
      <c r="R622" s="460">
        <f t="shared" si="287"/>
        <v>0</v>
      </c>
      <c r="S622" s="461"/>
      <c r="T622" s="461"/>
      <c r="U622" s="461"/>
      <c r="V622" s="461"/>
      <c r="W622" s="462">
        <f t="shared" si="288"/>
        <v>0</v>
      </c>
      <c r="X622" s="463"/>
      <c r="Y622" s="457"/>
      <c r="Z622" s="464"/>
      <c r="AA622" s="464"/>
      <c r="AB622" s="465"/>
      <c r="AC622" s="457"/>
      <c r="AD622" s="464"/>
      <c r="AE622" s="466"/>
      <c r="AF622" s="465"/>
      <c r="AG622" s="457"/>
      <c r="AH622" s="464"/>
      <c r="AI622" s="466"/>
      <c r="AJ622" s="465"/>
      <c r="AK622" s="457"/>
      <c r="AL622" s="464"/>
      <c r="AM622" s="466"/>
      <c r="AN622" s="465"/>
      <c r="AO622" s="457"/>
      <c r="AP622" s="464"/>
      <c r="AQ622" s="464"/>
      <c r="AR622" s="460">
        <f t="shared" si="289"/>
        <v>0</v>
      </c>
      <c r="AS622" s="467">
        <f t="shared" si="290"/>
        <v>0</v>
      </c>
      <c r="AT622" s="447">
        <f t="shared" si="291"/>
        <v>0</v>
      </c>
      <c r="AU622" s="448">
        <f t="shared" si="292"/>
        <v>0</v>
      </c>
      <c r="AV622" s="457"/>
      <c r="AW622" s="450"/>
      <c r="AX622" s="463"/>
      <c r="AY622" s="457"/>
      <c r="AZ622" s="464"/>
      <c r="BA622" s="464"/>
      <c r="BB622" s="465"/>
      <c r="BC622" s="457"/>
      <c r="BD622" s="464"/>
      <c r="BE622" s="466"/>
      <c r="BF622" s="465"/>
      <c r="BG622" s="457"/>
      <c r="BH622" s="464"/>
      <c r="BI622" s="466"/>
      <c r="BJ622" s="465"/>
      <c r="BK622" s="457"/>
      <c r="BL622" s="464"/>
      <c r="BM622" s="466"/>
      <c r="BN622" s="465"/>
      <c r="BO622" s="457"/>
      <c r="BP622" s="464"/>
      <c r="BQ622" s="466"/>
      <c r="BR622" s="465"/>
      <c r="BS622" s="457"/>
      <c r="BT622" s="464"/>
      <c r="BU622" s="466"/>
      <c r="BV622" s="465"/>
      <c r="BW622" s="457"/>
      <c r="BX622" s="464"/>
      <c r="BY622" s="466"/>
      <c r="BZ622" s="465"/>
      <c r="CA622" s="457"/>
      <c r="CB622" s="464"/>
      <c r="CC622" s="466"/>
      <c r="CD622" s="465"/>
      <c r="CE622" s="457"/>
      <c r="CF622" s="464"/>
      <c r="CG622" s="466"/>
      <c r="CH622" s="465"/>
      <c r="CI622" s="457"/>
      <c r="CJ622" s="464"/>
      <c r="CK622" s="466"/>
      <c r="CL622" s="459"/>
      <c r="CM622" s="450"/>
      <c r="CN622" s="468">
        <f t="shared" si="293"/>
        <v>0</v>
      </c>
      <c r="CO622" s="468">
        <f t="shared" si="294"/>
        <v>0</v>
      </c>
      <c r="CP622" s="469">
        <f t="shared" si="295"/>
        <v>0</v>
      </c>
      <c r="CQ622" s="469">
        <f t="shared" si="296"/>
        <v>0</v>
      </c>
      <c r="CR622" s="463"/>
      <c r="CS622" s="457"/>
      <c r="CT622" s="464"/>
      <c r="CU622" s="464"/>
      <c r="CV622" s="465"/>
      <c r="CW622" s="457"/>
      <c r="CX622" s="464"/>
      <c r="CY622" s="466"/>
      <c r="CZ622" s="465"/>
      <c r="DA622" s="457"/>
      <c r="DB622" s="464"/>
      <c r="DC622" s="466"/>
      <c r="DD622" s="465"/>
      <c r="DE622" s="457"/>
      <c r="DF622" s="464"/>
      <c r="DG622" s="466"/>
      <c r="DH622" s="465"/>
      <c r="DI622" s="457"/>
      <c r="DJ622" s="464"/>
      <c r="DK622" s="466"/>
      <c r="DL622" s="465"/>
      <c r="DM622" s="457"/>
      <c r="DN622" s="464"/>
      <c r="DO622" s="466"/>
      <c r="DP622" s="465"/>
      <c r="DQ622" s="457"/>
      <c r="DR622" s="464"/>
      <c r="DS622" s="466"/>
      <c r="DT622" s="465"/>
      <c r="DU622" s="457"/>
      <c r="DV622" s="464"/>
      <c r="DW622" s="466"/>
      <c r="DX622" s="465"/>
      <c r="DY622" s="457"/>
      <c r="DZ622" s="464"/>
      <c r="EA622" s="466"/>
      <c r="EB622" s="465"/>
      <c r="EC622" s="457"/>
      <c r="ED622" s="464"/>
      <c r="EE622" s="466"/>
      <c r="EF622" s="459"/>
      <c r="EG622" s="450"/>
      <c r="EH622" s="460">
        <f t="shared" si="297"/>
        <v>0</v>
      </c>
      <c r="EI622" s="460">
        <f t="shared" si="298"/>
        <v>0</v>
      </c>
      <c r="EJ622" s="458">
        <f t="shared" si="299"/>
        <v>0</v>
      </c>
      <c r="EK622" s="470">
        <f t="shared" si="300"/>
        <v>0</v>
      </c>
      <c r="EL622" s="470">
        <f t="shared" si="301"/>
        <v>0</v>
      </c>
      <c r="EM622" s="449">
        <f t="shared" si="302"/>
        <v>0</v>
      </c>
      <c r="EN622" s="460">
        <f t="shared" si="303"/>
        <v>0</v>
      </c>
      <c r="EO622" s="469">
        <f t="shared" si="304"/>
        <v>0</v>
      </c>
      <c r="EP622" s="471"/>
      <c r="EQ622" s="450"/>
      <c r="ER622" s="471"/>
      <c r="ES622" s="450"/>
      <c r="ET622" s="471"/>
      <c r="EU622" s="450"/>
      <c r="EV622" s="471"/>
      <c r="EW622" s="450"/>
      <c r="EX622" s="471"/>
      <c r="EY622" s="450"/>
      <c r="EZ622" s="471"/>
      <c r="FA622" s="450"/>
      <c r="FB622" s="471"/>
      <c r="FC622" s="450"/>
      <c r="FD622" s="471"/>
      <c r="FE622" s="450"/>
      <c r="FF622" s="471"/>
      <c r="FG622" s="450"/>
      <c r="FH622" s="472"/>
      <c r="FI622" s="450"/>
      <c r="FJ622" s="468">
        <f t="shared" si="305"/>
        <v>0</v>
      </c>
      <c r="FK622" s="469">
        <f t="shared" si="306"/>
        <v>0</v>
      </c>
      <c r="FL622" s="472"/>
      <c r="FM622" s="450"/>
      <c r="FN622" s="460">
        <f t="shared" si="307"/>
        <v>787</v>
      </c>
      <c r="FO622" s="469">
        <f t="shared" si="308"/>
        <v>865</v>
      </c>
    </row>
    <row r="623" spans="1:172" x14ac:dyDescent="0.2">
      <c r="A623" s="637" t="s">
        <v>854</v>
      </c>
      <c r="B623" s="644" t="s">
        <v>948</v>
      </c>
      <c r="C623" s="645"/>
      <c r="D623" s="546">
        <v>223922</v>
      </c>
      <c r="E623" s="654">
        <v>10</v>
      </c>
      <c r="F623" s="532">
        <v>98</v>
      </c>
      <c r="G623" s="640">
        <v>128</v>
      </c>
      <c r="H623" s="457"/>
      <c r="I623" s="450"/>
      <c r="J623" s="457">
        <v>125</v>
      </c>
      <c r="K623" s="627">
        <v>95</v>
      </c>
      <c r="L623" s="458">
        <f t="shared" si="285"/>
        <v>0</v>
      </c>
      <c r="M623" s="449">
        <f t="shared" si="286"/>
        <v>0</v>
      </c>
      <c r="N623" s="459"/>
      <c r="O623" s="459"/>
      <c r="P623" s="459"/>
      <c r="Q623" s="459"/>
      <c r="R623" s="460">
        <f t="shared" si="287"/>
        <v>0</v>
      </c>
      <c r="S623" s="461"/>
      <c r="T623" s="461"/>
      <c r="U623" s="461"/>
      <c r="V623" s="461"/>
      <c r="W623" s="462">
        <f t="shared" si="288"/>
        <v>0</v>
      </c>
      <c r="X623" s="463"/>
      <c r="Y623" s="457"/>
      <c r="Z623" s="464"/>
      <c r="AA623" s="464"/>
      <c r="AB623" s="465"/>
      <c r="AC623" s="457"/>
      <c r="AD623" s="464"/>
      <c r="AE623" s="466"/>
      <c r="AF623" s="465"/>
      <c r="AG623" s="457"/>
      <c r="AH623" s="464"/>
      <c r="AI623" s="466"/>
      <c r="AJ623" s="465"/>
      <c r="AK623" s="457"/>
      <c r="AL623" s="464"/>
      <c r="AM623" s="466"/>
      <c r="AN623" s="465"/>
      <c r="AO623" s="457"/>
      <c r="AP623" s="464"/>
      <c r="AQ623" s="464"/>
      <c r="AR623" s="460">
        <f t="shared" si="289"/>
        <v>0</v>
      </c>
      <c r="AS623" s="467">
        <f t="shared" si="290"/>
        <v>0</v>
      </c>
      <c r="AT623" s="447">
        <f t="shared" si="291"/>
        <v>0</v>
      </c>
      <c r="AU623" s="448">
        <f t="shared" si="292"/>
        <v>0</v>
      </c>
      <c r="AV623" s="457"/>
      <c r="AW623" s="450"/>
      <c r="AX623" s="463"/>
      <c r="AY623" s="457"/>
      <c r="AZ623" s="464"/>
      <c r="BA623" s="464"/>
      <c r="BB623" s="465"/>
      <c r="BC623" s="457"/>
      <c r="BD623" s="464"/>
      <c r="BE623" s="466"/>
      <c r="BF623" s="465"/>
      <c r="BG623" s="457"/>
      <c r="BH623" s="464"/>
      <c r="BI623" s="466"/>
      <c r="BJ623" s="465"/>
      <c r="BK623" s="457"/>
      <c r="BL623" s="464"/>
      <c r="BM623" s="466"/>
      <c r="BN623" s="465"/>
      <c r="BO623" s="457"/>
      <c r="BP623" s="464"/>
      <c r="BQ623" s="466"/>
      <c r="BR623" s="465"/>
      <c r="BS623" s="457"/>
      <c r="BT623" s="464"/>
      <c r="BU623" s="466"/>
      <c r="BV623" s="465"/>
      <c r="BW623" s="457"/>
      <c r="BX623" s="464"/>
      <c r="BY623" s="466"/>
      <c r="BZ623" s="465"/>
      <c r="CA623" s="457"/>
      <c r="CB623" s="464"/>
      <c r="CC623" s="466"/>
      <c r="CD623" s="465"/>
      <c r="CE623" s="457"/>
      <c r="CF623" s="464"/>
      <c r="CG623" s="466"/>
      <c r="CH623" s="465"/>
      <c r="CI623" s="457"/>
      <c r="CJ623" s="464"/>
      <c r="CK623" s="466"/>
      <c r="CL623" s="459"/>
      <c r="CM623" s="450"/>
      <c r="CN623" s="468">
        <f t="shared" si="293"/>
        <v>0</v>
      </c>
      <c r="CO623" s="468">
        <f t="shared" si="294"/>
        <v>0</v>
      </c>
      <c r="CP623" s="469">
        <f t="shared" si="295"/>
        <v>0</v>
      </c>
      <c r="CQ623" s="469">
        <f t="shared" si="296"/>
        <v>0</v>
      </c>
      <c r="CR623" s="463"/>
      <c r="CS623" s="457"/>
      <c r="CT623" s="464"/>
      <c r="CU623" s="464"/>
      <c r="CV623" s="465"/>
      <c r="CW623" s="457"/>
      <c r="CX623" s="464"/>
      <c r="CY623" s="466"/>
      <c r="CZ623" s="465"/>
      <c r="DA623" s="457"/>
      <c r="DB623" s="464"/>
      <c r="DC623" s="466"/>
      <c r="DD623" s="465"/>
      <c r="DE623" s="457"/>
      <c r="DF623" s="464"/>
      <c r="DG623" s="466"/>
      <c r="DH623" s="465"/>
      <c r="DI623" s="457"/>
      <c r="DJ623" s="464"/>
      <c r="DK623" s="466"/>
      <c r="DL623" s="465"/>
      <c r="DM623" s="457"/>
      <c r="DN623" s="464"/>
      <c r="DO623" s="466"/>
      <c r="DP623" s="465"/>
      <c r="DQ623" s="457"/>
      <c r="DR623" s="464"/>
      <c r="DS623" s="466"/>
      <c r="DT623" s="465"/>
      <c r="DU623" s="457"/>
      <c r="DV623" s="464"/>
      <c r="DW623" s="466"/>
      <c r="DX623" s="465"/>
      <c r="DY623" s="457"/>
      <c r="DZ623" s="464"/>
      <c r="EA623" s="466"/>
      <c r="EB623" s="465"/>
      <c r="EC623" s="457"/>
      <c r="ED623" s="464"/>
      <c r="EE623" s="466"/>
      <c r="EF623" s="459"/>
      <c r="EG623" s="450"/>
      <c r="EH623" s="460">
        <f t="shared" si="297"/>
        <v>0</v>
      </c>
      <c r="EI623" s="460">
        <f t="shared" si="298"/>
        <v>0</v>
      </c>
      <c r="EJ623" s="458">
        <f t="shared" si="299"/>
        <v>0</v>
      </c>
      <c r="EK623" s="470">
        <f t="shared" si="300"/>
        <v>0</v>
      </c>
      <c r="EL623" s="470">
        <f t="shared" si="301"/>
        <v>0</v>
      </c>
      <c r="EM623" s="449">
        <f t="shared" si="302"/>
        <v>0</v>
      </c>
      <c r="EN623" s="460">
        <f t="shared" si="303"/>
        <v>0</v>
      </c>
      <c r="EO623" s="469">
        <f t="shared" si="304"/>
        <v>0</v>
      </c>
      <c r="EP623" s="471"/>
      <c r="EQ623" s="450"/>
      <c r="ER623" s="471"/>
      <c r="ES623" s="450"/>
      <c r="ET623" s="471"/>
      <c r="EU623" s="450"/>
      <c r="EV623" s="471"/>
      <c r="EW623" s="450"/>
      <c r="EX623" s="471"/>
      <c r="EY623" s="450"/>
      <c r="EZ623" s="471"/>
      <c r="FA623" s="450"/>
      <c r="FB623" s="471"/>
      <c r="FC623" s="450"/>
      <c r="FD623" s="471"/>
      <c r="FE623" s="450"/>
      <c r="FF623" s="471"/>
      <c r="FG623" s="450"/>
      <c r="FH623" s="472"/>
      <c r="FI623" s="450"/>
      <c r="FJ623" s="468">
        <f t="shared" si="305"/>
        <v>0</v>
      </c>
      <c r="FK623" s="469">
        <f t="shared" si="306"/>
        <v>0</v>
      </c>
      <c r="FL623" s="472"/>
      <c r="FM623" s="450"/>
      <c r="FN623" s="460">
        <f t="shared" si="307"/>
        <v>223</v>
      </c>
      <c r="FO623" s="469">
        <f t="shared" si="308"/>
        <v>223</v>
      </c>
    </row>
    <row r="624" spans="1:172" x14ac:dyDescent="0.2">
      <c r="A624" s="637" t="s">
        <v>854</v>
      </c>
      <c r="B624" s="644" t="s">
        <v>949</v>
      </c>
      <c r="C624" s="645"/>
      <c r="D624" s="546">
        <v>224891</v>
      </c>
      <c r="E624" s="654">
        <v>10</v>
      </c>
      <c r="F624" s="532">
        <v>66</v>
      </c>
      <c r="G624" s="640">
        <v>79</v>
      </c>
      <c r="H624" s="457"/>
      <c r="I624" s="450"/>
      <c r="J624" s="457">
        <v>71</v>
      </c>
      <c r="K624" s="627">
        <v>56</v>
      </c>
      <c r="L624" s="458">
        <f t="shared" si="285"/>
        <v>0</v>
      </c>
      <c r="M624" s="449">
        <f t="shared" si="286"/>
        <v>0</v>
      </c>
      <c r="N624" s="459"/>
      <c r="O624" s="459"/>
      <c r="P624" s="459"/>
      <c r="Q624" s="459"/>
      <c r="R624" s="460">
        <f t="shared" si="287"/>
        <v>0</v>
      </c>
      <c r="S624" s="461"/>
      <c r="T624" s="461"/>
      <c r="U624" s="461"/>
      <c r="V624" s="461"/>
      <c r="W624" s="462">
        <f t="shared" si="288"/>
        <v>0</v>
      </c>
      <c r="X624" s="463"/>
      <c r="Y624" s="457"/>
      <c r="Z624" s="464"/>
      <c r="AA624" s="464"/>
      <c r="AB624" s="465"/>
      <c r="AC624" s="457"/>
      <c r="AD624" s="464"/>
      <c r="AE624" s="466"/>
      <c r="AF624" s="465"/>
      <c r="AG624" s="457"/>
      <c r="AH624" s="464"/>
      <c r="AI624" s="466"/>
      <c r="AJ624" s="465"/>
      <c r="AK624" s="457"/>
      <c r="AL624" s="464"/>
      <c r="AM624" s="466"/>
      <c r="AN624" s="465"/>
      <c r="AO624" s="457"/>
      <c r="AP624" s="464"/>
      <c r="AQ624" s="464"/>
      <c r="AR624" s="460">
        <f t="shared" si="289"/>
        <v>0</v>
      </c>
      <c r="AS624" s="467">
        <f t="shared" si="290"/>
        <v>0</v>
      </c>
      <c r="AT624" s="447">
        <f t="shared" si="291"/>
        <v>0</v>
      </c>
      <c r="AU624" s="448">
        <f t="shared" si="292"/>
        <v>0</v>
      </c>
      <c r="AV624" s="457"/>
      <c r="AW624" s="450"/>
      <c r="AX624" s="463"/>
      <c r="AY624" s="457"/>
      <c r="AZ624" s="464"/>
      <c r="BA624" s="464"/>
      <c r="BB624" s="465"/>
      <c r="BC624" s="457"/>
      <c r="BD624" s="464"/>
      <c r="BE624" s="466"/>
      <c r="BF624" s="465"/>
      <c r="BG624" s="457"/>
      <c r="BH624" s="464"/>
      <c r="BI624" s="466"/>
      <c r="BJ624" s="465"/>
      <c r="BK624" s="457"/>
      <c r="BL624" s="464"/>
      <c r="BM624" s="466"/>
      <c r="BN624" s="465"/>
      <c r="BO624" s="457"/>
      <c r="BP624" s="464"/>
      <c r="BQ624" s="466"/>
      <c r="BR624" s="465"/>
      <c r="BS624" s="457"/>
      <c r="BT624" s="464"/>
      <c r="BU624" s="466"/>
      <c r="BV624" s="465"/>
      <c r="BW624" s="457"/>
      <c r="BX624" s="464"/>
      <c r="BY624" s="466"/>
      <c r="BZ624" s="465"/>
      <c r="CA624" s="457"/>
      <c r="CB624" s="464"/>
      <c r="CC624" s="466"/>
      <c r="CD624" s="465"/>
      <c r="CE624" s="457"/>
      <c r="CF624" s="464"/>
      <c r="CG624" s="466"/>
      <c r="CH624" s="465"/>
      <c r="CI624" s="457"/>
      <c r="CJ624" s="464"/>
      <c r="CK624" s="466"/>
      <c r="CL624" s="459"/>
      <c r="CM624" s="450"/>
      <c r="CN624" s="468">
        <f t="shared" si="293"/>
        <v>0</v>
      </c>
      <c r="CO624" s="468">
        <f t="shared" si="294"/>
        <v>0</v>
      </c>
      <c r="CP624" s="469">
        <f t="shared" si="295"/>
        <v>0</v>
      </c>
      <c r="CQ624" s="469">
        <f t="shared" si="296"/>
        <v>0</v>
      </c>
      <c r="CR624" s="463"/>
      <c r="CS624" s="457"/>
      <c r="CT624" s="464"/>
      <c r="CU624" s="464"/>
      <c r="CV624" s="465"/>
      <c r="CW624" s="457"/>
      <c r="CX624" s="464"/>
      <c r="CY624" s="466"/>
      <c r="CZ624" s="465"/>
      <c r="DA624" s="457"/>
      <c r="DB624" s="464"/>
      <c r="DC624" s="466"/>
      <c r="DD624" s="465"/>
      <c r="DE624" s="457"/>
      <c r="DF624" s="464"/>
      <c r="DG624" s="466"/>
      <c r="DH624" s="465"/>
      <c r="DI624" s="457"/>
      <c r="DJ624" s="464"/>
      <c r="DK624" s="466"/>
      <c r="DL624" s="465"/>
      <c r="DM624" s="457"/>
      <c r="DN624" s="464"/>
      <c r="DO624" s="466"/>
      <c r="DP624" s="465"/>
      <c r="DQ624" s="457"/>
      <c r="DR624" s="464"/>
      <c r="DS624" s="466"/>
      <c r="DT624" s="465"/>
      <c r="DU624" s="457"/>
      <c r="DV624" s="464"/>
      <c r="DW624" s="466"/>
      <c r="DX624" s="465"/>
      <c r="DY624" s="457"/>
      <c r="DZ624" s="464"/>
      <c r="EA624" s="466"/>
      <c r="EB624" s="465"/>
      <c r="EC624" s="457"/>
      <c r="ED624" s="464"/>
      <c r="EE624" s="466"/>
      <c r="EF624" s="459"/>
      <c r="EG624" s="450"/>
      <c r="EH624" s="460">
        <f t="shared" si="297"/>
        <v>0</v>
      </c>
      <c r="EI624" s="460">
        <f t="shared" si="298"/>
        <v>0</v>
      </c>
      <c r="EJ624" s="458">
        <f t="shared" si="299"/>
        <v>0</v>
      </c>
      <c r="EK624" s="470">
        <f t="shared" si="300"/>
        <v>0</v>
      </c>
      <c r="EL624" s="470">
        <f t="shared" si="301"/>
        <v>0</v>
      </c>
      <c r="EM624" s="449">
        <f t="shared" si="302"/>
        <v>0</v>
      </c>
      <c r="EN624" s="460">
        <f t="shared" si="303"/>
        <v>0</v>
      </c>
      <c r="EO624" s="469">
        <f t="shared" si="304"/>
        <v>0</v>
      </c>
      <c r="EP624" s="471"/>
      <c r="EQ624" s="450"/>
      <c r="ER624" s="471"/>
      <c r="ES624" s="450"/>
      <c r="ET624" s="471"/>
      <c r="EU624" s="450"/>
      <c r="EV624" s="471"/>
      <c r="EW624" s="450"/>
      <c r="EX624" s="471"/>
      <c r="EY624" s="450"/>
      <c r="EZ624" s="471"/>
      <c r="FA624" s="450"/>
      <c r="FB624" s="471"/>
      <c r="FC624" s="450"/>
      <c r="FD624" s="471"/>
      <c r="FE624" s="450"/>
      <c r="FF624" s="471"/>
      <c r="FG624" s="450"/>
      <c r="FH624" s="472"/>
      <c r="FI624" s="450"/>
      <c r="FJ624" s="468">
        <f t="shared" si="305"/>
        <v>0</v>
      </c>
      <c r="FK624" s="469">
        <f t="shared" si="306"/>
        <v>0</v>
      </c>
      <c r="FL624" s="472"/>
      <c r="FM624" s="450"/>
      <c r="FN624" s="460">
        <f t="shared" si="307"/>
        <v>137</v>
      </c>
      <c r="FO624" s="469">
        <f t="shared" si="308"/>
        <v>135</v>
      </c>
    </row>
    <row r="625" spans="1:171" x14ac:dyDescent="0.2">
      <c r="A625" s="637" t="s">
        <v>854</v>
      </c>
      <c r="B625" s="644" t="s">
        <v>950</v>
      </c>
      <c r="C625" s="645"/>
      <c r="D625" s="546">
        <v>224961</v>
      </c>
      <c r="E625" s="654">
        <v>10</v>
      </c>
      <c r="F625" s="532">
        <v>246</v>
      </c>
      <c r="G625" s="640">
        <v>254</v>
      </c>
      <c r="H625" s="457"/>
      <c r="I625" s="450"/>
      <c r="J625" s="457">
        <v>203</v>
      </c>
      <c r="K625" s="627">
        <v>216</v>
      </c>
      <c r="L625" s="458">
        <f t="shared" si="285"/>
        <v>0</v>
      </c>
      <c r="M625" s="449">
        <f t="shared" si="286"/>
        <v>0</v>
      </c>
      <c r="N625" s="459"/>
      <c r="O625" s="459"/>
      <c r="P625" s="459"/>
      <c r="Q625" s="459"/>
      <c r="R625" s="460">
        <f t="shared" si="287"/>
        <v>0</v>
      </c>
      <c r="S625" s="461"/>
      <c r="T625" s="461"/>
      <c r="U625" s="461"/>
      <c r="V625" s="461"/>
      <c r="W625" s="462">
        <f t="shared" si="288"/>
        <v>0</v>
      </c>
      <c r="X625" s="463"/>
      <c r="Y625" s="457"/>
      <c r="Z625" s="464"/>
      <c r="AA625" s="464"/>
      <c r="AB625" s="465"/>
      <c r="AC625" s="457"/>
      <c r="AD625" s="464"/>
      <c r="AE625" s="466"/>
      <c r="AF625" s="465"/>
      <c r="AG625" s="457"/>
      <c r="AH625" s="464"/>
      <c r="AI625" s="466"/>
      <c r="AJ625" s="465"/>
      <c r="AK625" s="457"/>
      <c r="AL625" s="464"/>
      <c r="AM625" s="466"/>
      <c r="AN625" s="465"/>
      <c r="AO625" s="457"/>
      <c r="AP625" s="464"/>
      <c r="AQ625" s="464"/>
      <c r="AR625" s="460">
        <f t="shared" si="289"/>
        <v>0</v>
      </c>
      <c r="AS625" s="467">
        <f t="shared" si="290"/>
        <v>0</v>
      </c>
      <c r="AT625" s="447">
        <f t="shared" si="291"/>
        <v>0</v>
      </c>
      <c r="AU625" s="448">
        <f t="shared" si="292"/>
        <v>0</v>
      </c>
      <c r="AV625" s="457"/>
      <c r="AW625" s="450"/>
      <c r="AX625" s="463"/>
      <c r="AY625" s="457"/>
      <c r="AZ625" s="464"/>
      <c r="BA625" s="464"/>
      <c r="BB625" s="465"/>
      <c r="BC625" s="457"/>
      <c r="BD625" s="464"/>
      <c r="BE625" s="466"/>
      <c r="BF625" s="465"/>
      <c r="BG625" s="457"/>
      <c r="BH625" s="464"/>
      <c r="BI625" s="466"/>
      <c r="BJ625" s="465"/>
      <c r="BK625" s="457"/>
      <c r="BL625" s="464"/>
      <c r="BM625" s="466"/>
      <c r="BN625" s="465"/>
      <c r="BO625" s="457"/>
      <c r="BP625" s="464"/>
      <c r="BQ625" s="466"/>
      <c r="BR625" s="465"/>
      <c r="BS625" s="457"/>
      <c r="BT625" s="464"/>
      <c r="BU625" s="466"/>
      <c r="BV625" s="465"/>
      <c r="BW625" s="457"/>
      <c r="BX625" s="464"/>
      <c r="BY625" s="466"/>
      <c r="BZ625" s="465"/>
      <c r="CA625" s="457"/>
      <c r="CB625" s="464"/>
      <c r="CC625" s="466"/>
      <c r="CD625" s="465"/>
      <c r="CE625" s="457"/>
      <c r="CF625" s="464"/>
      <c r="CG625" s="466"/>
      <c r="CH625" s="465"/>
      <c r="CI625" s="457"/>
      <c r="CJ625" s="464"/>
      <c r="CK625" s="466"/>
      <c r="CL625" s="459"/>
      <c r="CM625" s="450"/>
      <c r="CN625" s="468">
        <f t="shared" si="293"/>
        <v>0</v>
      </c>
      <c r="CO625" s="468">
        <f t="shared" si="294"/>
        <v>0</v>
      </c>
      <c r="CP625" s="469">
        <f t="shared" si="295"/>
        <v>0</v>
      </c>
      <c r="CQ625" s="469">
        <f t="shared" si="296"/>
        <v>0</v>
      </c>
      <c r="CR625" s="463"/>
      <c r="CS625" s="457"/>
      <c r="CT625" s="464"/>
      <c r="CU625" s="464"/>
      <c r="CV625" s="465"/>
      <c r="CW625" s="457"/>
      <c r="CX625" s="464"/>
      <c r="CY625" s="466"/>
      <c r="CZ625" s="465"/>
      <c r="DA625" s="457"/>
      <c r="DB625" s="464"/>
      <c r="DC625" s="466"/>
      <c r="DD625" s="465"/>
      <c r="DE625" s="457"/>
      <c r="DF625" s="464"/>
      <c r="DG625" s="466"/>
      <c r="DH625" s="465"/>
      <c r="DI625" s="457"/>
      <c r="DJ625" s="464"/>
      <c r="DK625" s="466"/>
      <c r="DL625" s="465"/>
      <c r="DM625" s="457"/>
      <c r="DN625" s="464"/>
      <c r="DO625" s="466"/>
      <c r="DP625" s="465"/>
      <c r="DQ625" s="457"/>
      <c r="DR625" s="464"/>
      <c r="DS625" s="466"/>
      <c r="DT625" s="465"/>
      <c r="DU625" s="457"/>
      <c r="DV625" s="464"/>
      <c r="DW625" s="466"/>
      <c r="DX625" s="465"/>
      <c r="DY625" s="457"/>
      <c r="DZ625" s="464"/>
      <c r="EA625" s="466"/>
      <c r="EB625" s="465"/>
      <c r="EC625" s="457"/>
      <c r="ED625" s="464"/>
      <c r="EE625" s="466"/>
      <c r="EF625" s="459"/>
      <c r="EG625" s="450"/>
      <c r="EH625" s="460">
        <f t="shared" si="297"/>
        <v>0</v>
      </c>
      <c r="EI625" s="460">
        <f t="shared" si="298"/>
        <v>0</v>
      </c>
      <c r="EJ625" s="458">
        <f t="shared" si="299"/>
        <v>0</v>
      </c>
      <c r="EK625" s="470">
        <f t="shared" si="300"/>
        <v>0</v>
      </c>
      <c r="EL625" s="470">
        <f t="shared" si="301"/>
        <v>0</v>
      </c>
      <c r="EM625" s="449">
        <f t="shared" si="302"/>
        <v>0</v>
      </c>
      <c r="EN625" s="460">
        <f t="shared" si="303"/>
        <v>0</v>
      </c>
      <c r="EO625" s="469">
        <f t="shared" si="304"/>
        <v>0</v>
      </c>
      <c r="EP625" s="471"/>
      <c r="EQ625" s="450"/>
      <c r="ER625" s="471"/>
      <c r="ES625" s="450"/>
      <c r="ET625" s="471"/>
      <c r="EU625" s="450"/>
      <c r="EV625" s="471"/>
      <c r="EW625" s="450"/>
      <c r="EX625" s="471"/>
      <c r="EY625" s="450"/>
      <c r="EZ625" s="471"/>
      <c r="FA625" s="450"/>
      <c r="FB625" s="471"/>
      <c r="FC625" s="450"/>
      <c r="FD625" s="471"/>
      <c r="FE625" s="450"/>
      <c r="FF625" s="471"/>
      <c r="FG625" s="450"/>
      <c r="FH625" s="472"/>
      <c r="FI625" s="450"/>
      <c r="FJ625" s="468">
        <f t="shared" si="305"/>
        <v>0</v>
      </c>
      <c r="FK625" s="469">
        <f t="shared" si="306"/>
        <v>0</v>
      </c>
      <c r="FL625" s="472"/>
      <c r="FM625" s="450"/>
      <c r="FN625" s="460">
        <f t="shared" si="307"/>
        <v>449</v>
      </c>
      <c r="FO625" s="469">
        <f t="shared" si="308"/>
        <v>470</v>
      </c>
    </row>
    <row r="626" spans="1:171" x14ac:dyDescent="0.2">
      <c r="A626" s="641" t="s">
        <v>854</v>
      </c>
      <c r="B626" s="647" t="s">
        <v>951</v>
      </c>
      <c r="C626" s="648"/>
      <c r="D626" s="642">
        <v>226107</v>
      </c>
      <c r="E626" s="643">
        <v>10</v>
      </c>
      <c r="F626" s="532">
        <v>281</v>
      </c>
      <c r="G626" s="640">
        <v>278</v>
      </c>
      <c r="H626" s="457"/>
      <c r="I626" s="450"/>
      <c r="J626" s="457">
        <v>197</v>
      </c>
      <c r="K626" s="627">
        <v>187</v>
      </c>
      <c r="L626" s="458">
        <f t="shared" si="285"/>
        <v>0</v>
      </c>
      <c r="M626" s="449">
        <f t="shared" si="286"/>
        <v>0</v>
      </c>
      <c r="N626" s="459"/>
      <c r="O626" s="459"/>
      <c r="P626" s="459"/>
      <c r="Q626" s="459"/>
      <c r="R626" s="460">
        <f t="shared" si="287"/>
        <v>0</v>
      </c>
      <c r="S626" s="461"/>
      <c r="T626" s="461"/>
      <c r="U626" s="461"/>
      <c r="V626" s="461"/>
      <c r="W626" s="462">
        <f t="shared" si="288"/>
        <v>0</v>
      </c>
      <c r="X626" s="463"/>
      <c r="Y626" s="457"/>
      <c r="Z626" s="464"/>
      <c r="AA626" s="464"/>
      <c r="AB626" s="465"/>
      <c r="AC626" s="457"/>
      <c r="AD626" s="464"/>
      <c r="AE626" s="466"/>
      <c r="AF626" s="465"/>
      <c r="AG626" s="457"/>
      <c r="AH626" s="464"/>
      <c r="AI626" s="466"/>
      <c r="AJ626" s="465"/>
      <c r="AK626" s="457"/>
      <c r="AL626" s="464"/>
      <c r="AM626" s="466"/>
      <c r="AN626" s="465"/>
      <c r="AO626" s="457"/>
      <c r="AP626" s="464"/>
      <c r="AQ626" s="464"/>
      <c r="AR626" s="460">
        <f t="shared" si="289"/>
        <v>0</v>
      </c>
      <c r="AS626" s="467">
        <f t="shared" si="290"/>
        <v>0</v>
      </c>
      <c r="AT626" s="447">
        <f t="shared" si="291"/>
        <v>0</v>
      </c>
      <c r="AU626" s="448">
        <f t="shared" si="292"/>
        <v>0</v>
      </c>
      <c r="AV626" s="457"/>
      <c r="AW626" s="450"/>
      <c r="AX626" s="463"/>
      <c r="AY626" s="457"/>
      <c r="AZ626" s="464"/>
      <c r="BA626" s="464"/>
      <c r="BB626" s="465"/>
      <c r="BC626" s="457"/>
      <c r="BD626" s="464"/>
      <c r="BE626" s="466"/>
      <c r="BF626" s="465"/>
      <c r="BG626" s="457"/>
      <c r="BH626" s="464"/>
      <c r="BI626" s="466"/>
      <c r="BJ626" s="465"/>
      <c r="BK626" s="457"/>
      <c r="BL626" s="464"/>
      <c r="BM626" s="466"/>
      <c r="BN626" s="465"/>
      <c r="BO626" s="457"/>
      <c r="BP626" s="464"/>
      <c r="BQ626" s="466"/>
      <c r="BR626" s="465"/>
      <c r="BS626" s="457"/>
      <c r="BT626" s="464"/>
      <c r="BU626" s="466"/>
      <c r="BV626" s="465"/>
      <c r="BW626" s="457"/>
      <c r="BX626" s="464"/>
      <c r="BY626" s="466"/>
      <c r="BZ626" s="465"/>
      <c r="CA626" s="457"/>
      <c r="CB626" s="464"/>
      <c r="CC626" s="466"/>
      <c r="CD626" s="465"/>
      <c r="CE626" s="457"/>
      <c r="CF626" s="464"/>
      <c r="CG626" s="466"/>
      <c r="CH626" s="465"/>
      <c r="CI626" s="457"/>
      <c r="CJ626" s="464"/>
      <c r="CK626" s="466"/>
      <c r="CL626" s="459"/>
      <c r="CM626" s="450"/>
      <c r="CN626" s="468">
        <f t="shared" si="293"/>
        <v>0</v>
      </c>
      <c r="CO626" s="468">
        <f t="shared" si="294"/>
        <v>0</v>
      </c>
      <c r="CP626" s="469">
        <f t="shared" si="295"/>
        <v>0</v>
      </c>
      <c r="CQ626" s="469">
        <f t="shared" si="296"/>
        <v>0</v>
      </c>
      <c r="CR626" s="463"/>
      <c r="CS626" s="457"/>
      <c r="CT626" s="464"/>
      <c r="CU626" s="464"/>
      <c r="CV626" s="465"/>
      <c r="CW626" s="457"/>
      <c r="CX626" s="464"/>
      <c r="CY626" s="466"/>
      <c r="CZ626" s="465"/>
      <c r="DA626" s="457"/>
      <c r="DB626" s="464"/>
      <c r="DC626" s="466"/>
      <c r="DD626" s="465"/>
      <c r="DE626" s="457"/>
      <c r="DF626" s="464"/>
      <c r="DG626" s="466"/>
      <c r="DH626" s="465"/>
      <c r="DI626" s="457"/>
      <c r="DJ626" s="464"/>
      <c r="DK626" s="466"/>
      <c r="DL626" s="465"/>
      <c r="DM626" s="457"/>
      <c r="DN626" s="464"/>
      <c r="DO626" s="466"/>
      <c r="DP626" s="465"/>
      <c r="DQ626" s="457"/>
      <c r="DR626" s="464"/>
      <c r="DS626" s="466"/>
      <c r="DT626" s="465"/>
      <c r="DU626" s="457"/>
      <c r="DV626" s="464"/>
      <c r="DW626" s="466"/>
      <c r="DX626" s="465"/>
      <c r="DY626" s="457"/>
      <c r="DZ626" s="464"/>
      <c r="EA626" s="466"/>
      <c r="EB626" s="465"/>
      <c r="EC626" s="457"/>
      <c r="ED626" s="464"/>
      <c r="EE626" s="466"/>
      <c r="EF626" s="459"/>
      <c r="EG626" s="450"/>
      <c r="EH626" s="460">
        <f t="shared" si="297"/>
        <v>0</v>
      </c>
      <c r="EI626" s="460">
        <f t="shared" si="298"/>
        <v>0</v>
      </c>
      <c r="EJ626" s="458">
        <f t="shared" si="299"/>
        <v>0</v>
      </c>
      <c r="EK626" s="470">
        <f t="shared" si="300"/>
        <v>0</v>
      </c>
      <c r="EL626" s="470">
        <f t="shared" si="301"/>
        <v>0</v>
      </c>
      <c r="EM626" s="449">
        <f t="shared" si="302"/>
        <v>0</v>
      </c>
      <c r="EN626" s="460">
        <f t="shared" si="303"/>
        <v>0</v>
      </c>
      <c r="EO626" s="469">
        <f t="shared" si="304"/>
        <v>0</v>
      </c>
      <c r="EP626" s="471"/>
      <c r="EQ626" s="450"/>
      <c r="ER626" s="471"/>
      <c r="ES626" s="450"/>
      <c r="ET626" s="471"/>
      <c r="EU626" s="450"/>
      <c r="EV626" s="471"/>
      <c r="EW626" s="450"/>
      <c r="EX626" s="471"/>
      <c r="EY626" s="450"/>
      <c r="EZ626" s="471"/>
      <c r="FA626" s="450"/>
      <c r="FB626" s="471"/>
      <c r="FC626" s="450"/>
      <c r="FD626" s="471"/>
      <c r="FE626" s="450"/>
      <c r="FF626" s="471"/>
      <c r="FG626" s="450"/>
      <c r="FH626" s="472"/>
      <c r="FI626" s="450"/>
      <c r="FJ626" s="468">
        <f t="shared" si="305"/>
        <v>0</v>
      </c>
      <c r="FK626" s="469">
        <f t="shared" si="306"/>
        <v>0</v>
      </c>
      <c r="FL626" s="472"/>
      <c r="FM626" s="450"/>
      <c r="FN626" s="460">
        <f t="shared" si="307"/>
        <v>478</v>
      </c>
      <c r="FO626" s="469">
        <f t="shared" si="308"/>
        <v>465</v>
      </c>
    </row>
    <row r="627" spans="1:171" x14ac:dyDescent="0.2">
      <c r="A627" s="641" t="s">
        <v>854</v>
      </c>
      <c r="B627" s="647" t="s">
        <v>953</v>
      </c>
      <c r="C627" s="648"/>
      <c r="D627" s="649" t="s">
        <v>954</v>
      </c>
      <c r="E627" s="643">
        <v>10</v>
      </c>
      <c r="F627" s="532"/>
      <c r="G627" s="640"/>
      <c r="H627" s="457"/>
      <c r="I627" s="450"/>
      <c r="J627" s="457">
        <v>8</v>
      </c>
      <c r="K627" s="627">
        <v>14</v>
      </c>
      <c r="L627" s="458">
        <f t="shared" si="285"/>
        <v>0</v>
      </c>
      <c r="M627" s="449">
        <f t="shared" si="286"/>
        <v>0</v>
      </c>
      <c r="N627" s="459"/>
      <c r="O627" s="459"/>
      <c r="P627" s="459"/>
      <c r="Q627" s="459"/>
      <c r="R627" s="460">
        <f t="shared" si="287"/>
        <v>0</v>
      </c>
      <c r="S627" s="461"/>
      <c r="T627" s="461"/>
      <c r="U627" s="461"/>
      <c r="V627" s="461"/>
      <c r="W627" s="462">
        <f t="shared" si="288"/>
        <v>0</v>
      </c>
      <c r="X627" s="463"/>
      <c r="Y627" s="457"/>
      <c r="Z627" s="464"/>
      <c r="AA627" s="464"/>
      <c r="AB627" s="465"/>
      <c r="AC627" s="457"/>
      <c r="AD627" s="464"/>
      <c r="AE627" s="466"/>
      <c r="AF627" s="465"/>
      <c r="AG627" s="457"/>
      <c r="AH627" s="464"/>
      <c r="AI627" s="466"/>
      <c r="AJ627" s="465"/>
      <c r="AK627" s="457"/>
      <c r="AL627" s="464"/>
      <c r="AM627" s="466"/>
      <c r="AN627" s="465"/>
      <c r="AO627" s="457"/>
      <c r="AP627" s="464"/>
      <c r="AQ627" s="464"/>
      <c r="AR627" s="460">
        <f t="shared" si="289"/>
        <v>0</v>
      </c>
      <c r="AS627" s="467">
        <f t="shared" si="290"/>
        <v>0</v>
      </c>
      <c r="AT627" s="447">
        <f t="shared" si="291"/>
        <v>0</v>
      </c>
      <c r="AU627" s="448">
        <f t="shared" si="292"/>
        <v>0</v>
      </c>
      <c r="AV627" s="457"/>
      <c r="AW627" s="450"/>
      <c r="AX627" s="463"/>
      <c r="AY627" s="457"/>
      <c r="AZ627" s="464"/>
      <c r="BA627" s="464"/>
      <c r="BB627" s="465"/>
      <c r="BC627" s="457"/>
      <c r="BD627" s="464"/>
      <c r="BE627" s="466"/>
      <c r="BF627" s="465"/>
      <c r="BG627" s="457"/>
      <c r="BH627" s="464"/>
      <c r="BI627" s="466"/>
      <c r="BJ627" s="465"/>
      <c r="BK627" s="457"/>
      <c r="BL627" s="464"/>
      <c r="BM627" s="466"/>
      <c r="BN627" s="465"/>
      <c r="BO627" s="457"/>
      <c r="BP627" s="464"/>
      <c r="BQ627" s="466"/>
      <c r="BR627" s="465"/>
      <c r="BS627" s="457"/>
      <c r="BT627" s="464"/>
      <c r="BU627" s="466"/>
      <c r="BV627" s="465"/>
      <c r="BW627" s="457"/>
      <c r="BX627" s="464"/>
      <c r="BY627" s="466"/>
      <c r="BZ627" s="465"/>
      <c r="CA627" s="457"/>
      <c r="CB627" s="464"/>
      <c r="CC627" s="466"/>
      <c r="CD627" s="465"/>
      <c r="CE627" s="457"/>
      <c r="CF627" s="464"/>
      <c r="CG627" s="466"/>
      <c r="CH627" s="465"/>
      <c r="CI627" s="457"/>
      <c r="CJ627" s="464"/>
      <c r="CK627" s="466"/>
      <c r="CL627" s="459"/>
      <c r="CM627" s="450"/>
      <c r="CN627" s="468">
        <f t="shared" si="293"/>
        <v>0</v>
      </c>
      <c r="CO627" s="468">
        <f t="shared" si="294"/>
        <v>0</v>
      </c>
      <c r="CP627" s="469">
        <f t="shared" si="295"/>
        <v>0</v>
      </c>
      <c r="CQ627" s="469">
        <f t="shared" si="296"/>
        <v>0</v>
      </c>
      <c r="CR627" s="463"/>
      <c r="CS627" s="457"/>
      <c r="CT627" s="464"/>
      <c r="CU627" s="464"/>
      <c r="CV627" s="465"/>
      <c r="CW627" s="457"/>
      <c r="CX627" s="464"/>
      <c r="CY627" s="466"/>
      <c r="CZ627" s="465"/>
      <c r="DA627" s="457"/>
      <c r="DB627" s="464"/>
      <c r="DC627" s="466"/>
      <c r="DD627" s="465"/>
      <c r="DE627" s="457"/>
      <c r="DF627" s="464"/>
      <c r="DG627" s="466"/>
      <c r="DH627" s="465"/>
      <c r="DI627" s="457"/>
      <c r="DJ627" s="464"/>
      <c r="DK627" s="466"/>
      <c r="DL627" s="465"/>
      <c r="DM627" s="457"/>
      <c r="DN627" s="464"/>
      <c r="DO627" s="466"/>
      <c r="DP627" s="465"/>
      <c r="DQ627" s="457"/>
      <c r="DR627" s="464"/>
      <c r="DS627" s="466"/>
      <c r="DT627" s="465"/>
      <c r="DU627" s="457"/>
      <c r="DV627" s="464"/>
      <c r="DW627" s="466"/>
      <c r="DX627" s="465"/>
      <c r="DY627" s="457"/>
      <c r="DZ627" s="464"/>
      <c r="EA627" s="466"/>
      <c r="EB627" s="465"/>
      <c r="EC627" s="457"/>
      <c r="ED627" s="464"/>
      <c r="EE627" s="466"/>
      <c r="EF627" s="459"/>
      <c r="EG627" s="450"/>
      <c r="EH627" s="460">
        <f t="shared" si="297"/>
        <v>0</v>
      </c>
      <c r="EI627" s="460">
        <f t="shared" si="298"/>
        <v>0</v>
      </c>
      <c r="EJ627" s="458">
        <f t="shared" si="299"/>
        <v>0</v>
      </c>
      <c r="EK627" s="470">
        <f t="shared" si="300"/>
        <v>0</v>
      </c>
      <c r="EL627" s="470">
        <f t="shared" si="301"/>
        <v>0</v>
      </c>
      <c r="EM627" s="449">
        <f t="shared" si="302"/>
        <v>0</v>
      </c>
      <c r="EN627" s="460">
        <f t="shared" si="303"/>
        <v>0</v>
      </c>
      <c r="EO627" s="469">
        <f t="shared" si="304"/>
        <v>0</v>
      </c>
      <c r="EP627" s="471"/>
      <c r="EQ627" s="450"/>
      <c r="ER627" s="471"/>
      <c r="ES627" s="450"/>
      <c r="ET627" s="471"/>
      <c r="EU627" s="450"/>
      <c r="EV627" s="471"/>
      <c r="EW627" s="450"/>
      <c r="EX627" s="471"/>
      <c r="EY627" s="450"/>
      <c r="EZ627" s="471"/>
      <c r="FA627" s="450"/>
      <c r="FB627" s="471"/>
      <c r="FC627" s="450"/>
      <c r="FD627" s="471"/>
      <c r="FE627" s="450"/>
      <c r="FF627" s="471"/>
      <c r="FG627" s="450"/>
      <c r="FH627" s="472"/>
      <c r="FI627" s="450"/>
      <c r="FJ627" s="468">
        <f t="shared" si="305"/>
        <v>0</v>
      </c>
      <c r="FK627" s="469">
        <f t="shared" si="306"/>
        <v>0</v>
      </c>
      <c r="FL627" s="472"/>
      <c r="FM627" s="450"/>
      <c r="FN627" s="460">
        <f t="shared" si="307"/>
        <v>8</v>
      </c>
      <c r="FO627" s="469">
        <f t="shared" si="308"/>
        <v>14</v>
      </c>
    </row>
    <row r="628" spans="1:171" x14ac:dyDescent="0.2">
      <c r="A628" s="637" t="s">
        <v>854</v>
      </c>
      <c r="B628" s="644" t="s">
        <v>955</v>
      </c>
      <c r="C628" s="645"/>
      <c r="D628" s="546">
        <v>227386</v>
      </c>
      <c r="E628" s="654">
        <v>10</v>
      </c>
      <c r="F628" s="532">
        <v>167</v>
      </c>
      <c r="G628" s="640">
        <v>224</v>
      </c>
      <c r="H628" s="457"/>
      <c r="I628" s="450"/>
      <c r="J628" s="457">
        <v>231</v>
      </c>
      <c r="K628" s="627">
        <v>223</v>
      </c>
      <c r="L628" s="458">
        <f t="shared" si="285"/>
        <v>0</v>
      </c>
      <c r="M628" s="449">
        <f t="shared" si="286"/>
        <v>0</v>
      </c>
      <c r="N628" s="459"/>
      <c r="O628" s="459"/>
      <c r="P628" s="459"/>
      <c r="Q628" s="459"/>
      <c r="R628" s="460">
        <f t="shared" si="287"/>
        <v>0</v>
      </c>
      <c r="S628" s="461"/>
      <c r="T628" s="461"/>
      <c r="U628" s="461"/>
      <c r="V628" s="461"/>
      <c r="W628" s="462">
        <f t="shared" si="288"/>
        <v>0</v>
      </c>
      <c r="X628" s="463"/>
      <c r="Y628" s="457"/>
      <c r="Z628" s="464"/>
      <c r="AA628" s="464"/>
      <c r="AB628" s="465"/>
      <c r="AC628" s="457"/>
      <c r="AD628" s="464"/>
      <c r="AE628" s="466"/>
      <c r="AF628" s="465"/>
      <c r="AG628" s="457"/>
      <c r="AH628" s="464"/>
      <c r="AI628" s="466"/>
      <c r="AJ628" s="465"/>
      <c r="AK628" s="457"/>
      <c r="AL628" s="464"/>
      <c r="AM628" s="466"/>
      <c r="AN628" s="465"/>
      <c r="AO628" s="457"/>
      <c r="AP628" s="464"/>
      <c r="AQ628" s="464"/>
      <c r="AR628" s="460">
        <f t="shared" si="289"/>
        <v>0</v>
      </c>
      <c r="AS628" s="467">
        <f t="shared" si="290"/>
        <v>0</v>
      </c>
      <c r="AT628" s="447">
        <f t="shared" si="291"/>
        <v>0</v>
      </c>
      <c r="AU628" s="448">
        <f t="shared" si="292"/>
        <v>0</v>
      </c>
      <c r="AV628" s="457"/>
      <c r="AW628" s="450"/>
      <c r="AX628" s="463"/>
      <c r="AY628" s="457"/>
      <c r="AZ628" s="464"/>
      <c r="BA628" s="464"/>
      <c r="BB628" s="465"/>
      <c r="BC628" s="457"/>
      <c r="BD628" s="464"/>
      <c r="BE628" s="466"/>
      <c r="BF628" s="465"/>
      <c r="BG628" s="457"/>
      <c r="BH628" s="464"/>
      <c r="BI628" s="466"/>
      <c r="BJ628" s="465"/>
      <c r="BK628" s="457"/>
      <c r="BL628" s="464"/>
      <c r="BM628" s="466"/>
      <c r="BN628" s="465"/>
      <c r="BO628" s="457"/>
      <c r="BP628" s="464"/>
      <c r="BQ628" s="466"/>
      <c r="BR628" s="465"/>
      <c r="BS628" s="457"/>
      <c r="BT628" s="464"/>
      <c r="BU628" s="466"/>
      <c r="BV628" s="465"/>
      <c r="BW628" s="457"/>
      <c r="BX628" s="464"/>
      <c r="BY628" s="466"/>
      <c r="BZ628" s="465"/>
      <c r="CA628" s="457"/>
      <c r="CB628" s="464"/>
      <c r="CC628" s="466"/>
      <c r="CD628" s="465"/>
      <c r="CE628" s="457"/>
      <c r="CF628" s="464"/>
      <c r="CG628" s="466"/>
      <c r="CH628" s="465"/>
      <c r="CI628" s="457"/>
      <c r="CJ628" s="464"/>
      <c r="CK628" s="466"/>
      <c r="CL628" s="459"/>
      <c r="CM628" s="450"/>
      <c r="CN628" s="468">
        <f t="shared" si="293"/>
        <v>0</v>
      </c>
      <c r="CO628" s="468">
        <f t="shared" si="294"/>
        <v>0</v>
      </c>
      <c r="CP628" s="469">
        <f t="shared" si="295"/>
        <v>0</v>
      </c>
      <c r="CQ628" s="469">
        <f t="shared" si="296"/>
        <v>0</v>
      </c>
      <c r="CR628" s="463"/>
      <c r="CS628" s="457"/>
      <c r="CT628" s="464"/>
      <c r="CU628" s="464"/>
      <c r="CV628" s="465"/>
      <c r="CW628" s="457"/>
      <c r="CX628" s="464"/>
      <c r="CY628" s="466"/>
      <c r="CZ628" s="465"/>
      <c r="DA628" s="457"/>
      <c r="DB628" s="464"/>
      <c r="DC628" s="466"/>
      <c r="DD628" s="465"/>
      <c r="DE628" s="457"/>
      <c r="DF628" s="464"/>
      <c r="DG628" s="466"/>
      <c r="DH628" s="465"/>
      <c r="DI628" s="457"/>
      <c r="DJ628" s="464"/>
      <c r="DK628" s="466"/>
      <c r="DL628" s="465"/>
      <c r="DM628" s="457"/>
      <c r="DN628" s="464"/>
      <c r="DO628" s="466"/>
      <c r="DP628" s="465"/>
      <c r="DQ628" s="457"/>
      <c r="DR628" s="464"/>
      <c r="DS628" s="466"/>
      <c r="DT628" s="465"/>
      <c r="DU628" s="457"/>
      <c r="DV628" s="464"/>
      <c r="DW628" s="466"/>
      <c r="DX628" s="465"/>
      <c r="DY628" s="457"/>
      <c r="DZ628" s="464"/>
      <c r="EA628" s="466"/>
      <c r="EB628" s="465"/>
      <c r="EC628" s="457"/>
      <c r="ED628" s="464"/>
      <c r="EE628" s="466"/>
      <c r="EF628" s="459"/>
      <c r="EG628" s="450"/>
      <c r="EH628" s="460">
        <f t="shared" si="297"/>
        <v>0</v>
      </c>
      <c r="EI628" s="460">
        <f t="shared" si="298"/>
        <v>0</v>
      </c>
      <c r="EJ628" s="458">
        <f t="shared" si="299"/>
        <v>0</v>
      </c>
      <c r="EK628" s="470">
        <f t="shared" si="300"/>
        <v>0</v>
      </c>
      <c r="EL628" s="470">
        <f t="shared" si="301"/>
        <v>0</v>
      </c>
      <c r="EM628" s="449">
        <f t="shared" si="302"/>
        <v>0</v>
      </c>
      <c r="EN628" s="460">
        <f t="shared" si="303"/>
        <v>0</v>
      </c>
      <c r="EO628" s="469">
        <f t="shared" si="304"/>
        <v>0</v>
      </c>
      <c r="EP628" s="471"/>
      <c r="EQ628" s="450"/>
      <c r="ER628" s="471"/>
      <c r="ES628" s="450"/>
      <c r="ET628" s="471"/>
      <c r="EU628" s="450"/>
      <c r="EV628" s="471"/>
      <c r="EW628" s="450"/>
      <c r="EX628" s="471"/>
      <c r="EY628" s="450"/>
      <c r="EZ628" s="471"/>
      <c r="FA628" s="450"/>
      <c r="FB628" s="471"/>
      <c r="FC628" s="450"/>
      <c r="FD628" s="471"/>
      <c r="FE628" s="450"/>
      <c r="FF628" s="471"/>
      <c r="FG628" s="450"/>
      <c r="FH628" s="472"/>
      <c r="FI628" s="450"/>
      <c r="FJ628" s="468">
        <f t="shared" si="305"/>
        <v>0</v>
      </c>
      <c r="FK628" s="469">
        <f t="shared" si="306"/>
        <v>0</v>
      </c>
      <c r="FL628" s="472"/>
      <c r="FM628" s="450"/>
      <c r="FN628" s="460">
        <f t="shared" si="307"/>
        <v>398</v>
      </c>
      <c r="FO628" s="469">
        <f t="shared" si="308"/>
        <v>447</v>
      </c>
    </row>
    <row r="629" spans="1:171" x14ac:dyDescent="0.2">
      <c r="A629" s="637" t="s">
        <v>854</v>
      </c>
      <c r="B629" s="644" t="s">
        <v>956</v>
      </c>
      <c r="C629" s="645"/>
      <c r="D629" s="546">
        <v>227687</v>
      </c>
      <c r="E629" s="654">
        <v>10</v>
      </c>
      <c r="F629" s="532">
        <v>117</v>
      </c>
      <c r="G629" s="640">
        <v>115</v>
      </c>
      <c r="H629" s="457"/>
      <c r="I629" s="450"/>
      <c r="J629" s="457">
        <v>35</v>
      </c>
      <c r="K629" s="627">
        <v>36</v>
      </c>
      <c r="L629" s="458">
        <f t="shared" si="285"/>
        <v>0</v>
      </c>
      <c r="M629" s="449">
        <f t="shared" si="286"/>
        <v>0</v>
      </c>
      <c r="N629" s="459"/>
      <c r="O629" s="459"/>
      <c r="P629" s="459"/>
      <c r="Q629" s="459"/>
      <c r="R629" s="460">
        <f t="shared" si="287"/>
        <v>0</v>
      </c>
      <c r="S629" s="461"/>
      <c r="T629" s="461"/>
      <c r="U629" s="461"/>
      <c r="V629" s="461"/>
      <c r="W629" s="462">
        <f t="shared" si="288"/>
        <v>0</v>
      </c>
      <c r="X629" s="463"/>
      <c r="Y629" s="457"/>
      <c r="Z629" s="464"/>
      <c r="AA629" s="464"/>
      <c r="AB629" s="465"/>
      <c r="AC629" s="457"/>
      <c r="AD629" s="464"/>
      <c r="AE629" s="466"/>
      <c r="AF629" s="465"/>
      <c r="AG629" s="457"/>
      <c r="AH629" s="464"/>
      <c r="AI629" s="466"/>
      <c r="AJ629" s="465"/>
      <c r="AK629" s="457"/>
      <c r="AL629" s="464"/>
      <c r="AM629" s="466"/>
      <c r="AN629" s="465"/>
      <c r="AO629" s="457"/>
      <c r="AP629" s="464"/>
      <c r="AQ629" s="464"/>
      <c r="AR629" s="460">
        <f t="shared" si="289"/>
        <v>0</v>
      </c>
      <c r="AS629" s="467">
        <f t="shared" si="290"/>
        <v>0</v>
      </c>
      <c r="AT629" s="447">
        <f t="shared" si="291"/>
        <v>0</v>
      </c>
      <c r="AU629" s="448">
        <f t="shared" si="292"/>
        <v>0</v>
      </c>
      <c r="AV629" s="457"/>
      <c r="AW629" s="450"/>
      <c r="AX629" s="463"/>
      <c r="AY629" s="457"/>
      <c r="AZ629" s="464"/>
      <c r="BA629" s="464"/>
      <c r="BB629" s="465"/>
      <c r="BC629" s="457"/>
      <c r="BD629" s="464"/>
      <c r="BE629" s="466"/>
      <c r="BF629" s="465"/>
      <c r="BG629" s="457"/>
      <c r="BH629" s="464"/>
      <c r="BI629" s="466"/>
      <c r="BJ629" s="465"/>
      <c r="BK629" s="457"/>
      <c r="BL629" s="464"/>
      <c r="BM629" s="466"/>
      <c r="BN629" s="465"/>
      <c r="BO629" s="457"/>
      <c r="BP629" s="464"/>
      <c r="BQ629" s="466"/>
      <c r="BR629" s="465"/>
      <c r="BS629" s="457"/>
      <c r="BT629" s="464"/>
      <c r="BU629" s="466"/>
      <c r="BV629" s="465"/>
      <c r="BW629" s="457"/>
      <c r="BX629" s="464"/>
      <c r="BY629" s="466"/>
      <c r="BZ629" s="465"/>
      <c r="CA629" s="457"/>
      <c r="CB629" s="464"/>
      <c r="CC629" s="466"/>
      <c r="CD629" s="465"/>
      <c r="CE629" s="457"/>
      <c r="CF629" s="464"/>
      <c r="CG629" s="466"/>
      <c r="CH629" s="465"/>
      <c r="CI629" s="457"/>
      <c r="CJ629" s="464"/>
      <c r="CK629" s="466"/>
      <c r="CL629" s="459"/>
      <c r="CM629" s="450"/>
      <c r="CN629" s="468">
        <f t="shared" si="293"/>
        <v>0</v>
      </c>
      <c r="CO629" s="468">
        <f t="shared" si="294"/>
        <v>0</v>
      </c>
      <c r="CP629" s="469">
        <f t="shared" si="295"/>
        <v>0</v>
      </c>
      <c r="CQ629" s="469">
        <f t="shared" si="296"/>
        <v>0</v>
      </c>
      <c r="CR629" s="463"/>
      <c r="CS629" s="457"/>
      <c r="CT629" s="464"/>
      <c r="CU629" s="464"/>
      <c r="CV629" s="465"/>
      <c r="CW629" s="457"/>
      <c r="CX629" s="464"/>
      <c r="CY629" s="466"/>
      <c r="CZ629" s="465"/>
      <c r="DA629" s="457"/>
      <c r="DB629" s="464"/>
      <c r="DC629" s="466"/>
      <c r="DD629" s="465"/>
      <c r="DE629" s="457"/>
      <c r="DF629" s="464"/>
      <c r="DG629" s="466"/>
      <c r="DH629" s="465"/>
      <c r="DI629" s="457"/>
      <c r="DJ629" s="464"/>
      <c r="DK629" s="466"/>
      <c r="DL629" s="465"/>
      <c r="DM629" s="457"/>
      <c r="DN629" s="464"/>
      <c r="DO629" s="466"/>
      <c r="DP629" s="465"/>
      <c r="DQ629" s="457"/>
      <c r="DR629" s="464"/>
      <c r="DS629" s="466"/>
      <c r="DT629" s="465"/>
      <c r="DU629" s="457"/>
      <c r="DV629" s="464"/>
      <c r="DW629" s="466"/>
      <c r="DX629" s="465"/>
      <c r="DY629" s="457"/>
      <c r="DZ629" s="464"/>
      <c r="EA629" s="466"/>
      <c r="EB629" s="465"/>
      <c r="EC629" s="457"/>
      <c r="ED629" s="464"/>
      <c r="EE629" s="466"/>
      <c r="EF629" s="459"/>
      <c r="EG629" s="450"/>
      <c r="EH629" s="460">
        <f t="shared" si="297"/>
        <v>0</v>
      </c>
      <c r="EI629" s="460">
        <f t="shared" si="298"/>
        <v>0</v>
      </c>
      <c r="EJ629" s="458">
        <f t="shared" si="299"/>
        <v>0</v>
      </c>
      <c r="EK629" s="470">
        <f t="shared" si="300"/>
        <v>0</v>
      </c>
      <c r="EL629" s="470">
        <f t="shared" si="301"/>
        <v>0</v>
      </c>
      <c r="EM629" s="449">
        <f t="shared" si="302"/>
        <v>0</v>
      </c>
      <c r="EN629" s="460">
        <f t="shared" si="303"/>
        <v>0</v>
      </c>
      <c r="EO629" s="469">
        <f t="shared" si="304"/>
        <v>0</v>
      </c>
      <c r="EP629" s="471"/>
      <c r="EQ629" s="450"/>
      <c r="ER629" s="471"/>
      <c r="ES629" s="450"/>
      <c r="ET629" s="471"/>
      <c r="EU629" s="450"/>
      <c r="EV629" s="471"/>
      <c r="EW629" s="450"/>
      <c r="EX629" s="471"/>
      <c r="EY629" s="450"/>
      <c r="EZ629" s="471"/>
      <c r="FA629" s="450"/>
      <c r="FB629" s="471"/>
      <c r="FC629" s="450"/>
      <c r="FD629" s="471"/>
      <c r="FE629" s="450"/>
      <c r="FF629" s="471"/>
      <c r="FG629" s="450"/>
      <c r="FH629" s="472"/>
      <c r="FI629" s="450"/>
      <c r="FJ629" s="468">
        <f t="shared" si="305"/>
        <v>0</v>
      </c>
      <c r="FK629" s="469">
        <f t="shared" si="306"/>
        <v>0</v>
      </c>
      <c r="FL629" s="472"/>
      <c r="FM629" s="450"/>
      <c r="FN629" s="460">
        <f t="shared" si="307"/>
        <v>152</v>
      </c>
      <c r="FO629" s="469">
        <f t="shared" si="308"/>
        <v>151</v>
      </c>
    </row>
    <row r="630" spans="1:171" x14ac:dyDescent="0.2">
      <c r="A630" s="637" t="s">
        <v>854</v>
      </c>
      <c r="B630" s="644" t="s">
        <v>957</v>
      </c>
      <c r="C630" s="645"/>
      <c r="D630" s="546">
        <v>382911</v>
      </c>
      <c r="E630" s="654">
        <v>10</v>
      </c>
      <c r="F630" s="532">
        <v>12</v>
      </c>
      <c r="G630" s="640">
        <v>16</v>
      </c>
      <c r="H630" s="457"/>
      <c r="I630" s="450"/>
      <c r="J630" s="457">
        <v>11</v>
      </c>
      <c r="K630" s="627">
        <v>9</v>
      </c>
      <c r="L630" s="458">
        <f t="shared" si="285"/>
        <v>0</v>
      </c>
      <c r="M630" s="449">
        <f t="shared" si="286"/>
        <v>0</v>
      </c>
      <c r="N630" s="459"/>
      <c r="O630" s="459"/>
      <c r="P630" s="459"/>
      <c r="Q630" s="459"/>
      <c r="R630" s="460">
        <f t="shared" si="287"/>
        <v>0</v>
      </c>
      <c r="S630" s="461"/>
      <c r="T630" s="461"/>
      <c r="U630" s="461"/>
      <c r="V630" s="461"/>
      <c r="W630" s="462">
        <f t="shared" si="288"/>
        <v>0</v>
      </c>
      <c r="X630" s="463"/>
      <c r="Y630" s="457"/>
      <c r="Z630" s="464"/>
      <c r="AA630" s="464"/>
      <c r="AB630" s="465"/>
      <c r="AC630" s="457"/>
      <c r="AD630" s="464"/>
      <c r="AE630" s="466"/>
      <c r="AF630" s="465"/>
      <c r="AG630" s="457"/>
      <c r="AH630" s="464"/>
      <c r="AI630" s="466"/>
      <c r="AJ630" s="465"/>
      <c r="AK630" s="457"/>
      <c r="AL630" s="464"/>
      <c r="AM630" s="466"/>
      <c r="AN630" s="465"/>
      <c r="AO630" s="457"/>
      <c r="AP630" s="464"/>
      <c r="AQ630" s="464"/>
      <c r="AR630" s="460">
        <f t="shared" si="289"/>
        <v>0</v>
      </c>
      <c r="AS630" s="467">
        <f t="shared" si="290"/>
        <v>0</v>
      </c>
      <c r="AT630" s="447">
        <f t="shared" si="291"/>
        <v>0</v>
      </c>
      <c r="AU630" s="448">
        <f t="shared" si="292"/>
        <v>0</v>
      </c>
      <c r="AV630" s="457"/>
      <c r="AW630" s="450"/>
      <c r="AX630" s="463"/>
      <c r="AY630" s="457"/>
      <c r="AZ630" s="464"/>
      <c r="BA630" s="464"/>
      <c r="BB630" s="465"/>
      <c r="BC630" s="457"/>
      <c r="BD630" s="464"/>
      <c r="BE630" s="466"/>
      <c r="BF630" s="465"/>
      <c r="BG630" s="457"/>
      <c r="BH630" s="464"/>
      <c r="BI630" s="466"/>
      <c r="BJ630" s="465"/>
      <c r="BK630" s="457"/>
      <c r="BL630" s="464"/>
      <c r="BM630" s="466"/>
      <c r="BN630" s="465"/>
      <c r="BO630" s="457"/>
      <c r="BP630" s="464"/>
      <c r="BQ630" s="466"/>
      <c r="BR630" s="465"/>
      <c r="BS630" s="457"/>
      <c r="BT630" s="464"/>
      <c r="BU630" s="466"/>
      <c r="BV630" s="465"/>
      <c r="BW630" s="457"/>
      <c r="BX630" s="464"/>
      <c r="BY630" s="466"/>
      <c r="BZ630" s="465"/>
      <c r="CA630" s="457"/>
      <c r="CB630" s="464"/>
      <c r="CC630" s="466"/>
      <c r="CD630" s="465"/>
      <c r="CE630" s="457"/>
      <c r="CF630" s="464"/>
      <c r="CG630" s="466"/>
      <c r="CH630" s="465"/>
      <c r="CI630" s="457"/>
      <c r="CJ630" s="464"/>
      <c r="CK630" s="466"/>
      <c r="CL630" s="459"/>
      <c r="CM630" s="450"/>
      <c r="CN630" s="468">
        <f t="shared" si="293"/>
        <v>0</v>
      </c>
      <c r="CO630" s="468">
        <f t="shared" si="294"/>
        <v>0</v>
      </c>
      <c r="CP630" s="469">
        <f t="shared" si="295"/>
        <v>0</v>
      </c>
      <c r="CQ630" s="469">
        <f t="shared" si="296"/>
        <v>0</v>
      </c>
      <c r="CR630" s="463"/>
      <c r="CS630" s="457"/>
      <c r="CT630" s="464"/>
      <c r="CU630" s="464"/>
      <c r="CV630" s="465"/>
      <c r="CW630" s="457"/>
      <c r="CX630" s="464"/>
      <c r="CY630" s="466"/>
      <c r="CZ630" s="465"/>
      <c r="DA630" s="457"/>
      <c r="DB630" s="464"/>
      <c r="DC630" s="466"/>
      <c r="DD630" s="465"/>
      <c r="DE630" s="457"/>
      <c r="DF630" s="464"/>
      <c r="DG630" s="466"/>
      <c r="DH630" s="465"/>
      <c r="DI630" s="457"/>
      <c r="DJ630" s="464"/>
      <c r="DK630" s="466"/>
      <c r="DL630" s="465"/>
      <c r="DM630" s="457"/>
      <c r="DN630" s="464"/>
      <c r="DO630" s="466"/>
      <c r="DP630" s="465"/>
      <c r="DQ630" s="457"/>
      <c r="DR630" s="464"/>
      <c r="DS630" s="466"/>
      <c r="DT630" s="465"/>
      <c r="DU630" s="457"/>
      <c r="DV630" s="464"/>
      <c r="DW630" s="466"/>
      <c r="DX630" s="465"/>
      <c r="DY630" s="457"/>
      <c r="DZ630" s="464"/>
      <c r="EA630" s="466"/>
      <c r="EB630" s="465"/>
      <c r="EC630" s="457"/>
      <c r="ED630" s="464"/>
      <c r="EE630" s="466"/>
      <c r="EF630" s="459"/>
      <c r="EG630" s="450"/>
      <c r="EH630" s="460">
        <f t="shared" si="297"/>
        <v>0</v>
      </c>
      <c r="EI630" s="460">
        <f t="shared" si="298"/>
        <v>0</v>
      </c>
      <c r="EJ630" s="458">
        <f t="shared" si="299"/>
        <v>0</v>
      </c>
      <c r="EK630" s="470">
        <f t="shared" si="300"/>
        <v>0</v>
      </c>
      <c r="EL630" s="470">
        <f t="shared" si="301"/>
        <v>0</v>
      </c>
      <c r="EM630" s="449">
        <f t="shared" si="302"/>
        <v>0</v>
      </c>
      <c r="EN630" s="460">
        <f t="shared" si="303"/>
        <v>0</v>
      </c>
      <c r="EO630" s="469">
        <f t="shared" si="304"/>
        <v>0</v>
      </c>
      <c r="EP630" s="471"/>
      <c r="EQ630" s="450"/>
      <c r="ER630" s="471"/>
      <c r="ES630" s="450"/>
      <c r="ET630" s="471"/>
      <c r="EU630" s="450"/>
      <c r="EV630" s="471"/>
      <c r="EW630" s="450"/>
      <c r="EX630" s="471"/>
      <c r="EY630" s="450"/>
      <c r="EZ630" s="471"/>
      <c r="FA630" s="450"/>
      <c r="FB630" s="471"/>
      <c r="FC630" s="450"/>
      <c r="FD630" s="471"/>
      <c r="FE630" s="450"/>
      <c r="FF630" s="471"/>
      <c r="FG630" s="450"/>
      <c r="FH630" s="472"/>
      <c r="FI630" s="450"/>
      <c r="FJ630" s="468">
        <f t="shared" si="305"/>
        <v>0</v>
      </c>
      <c r="FK630" s="469">
        <f t="shared" si="306"/>
        <v>0</v>
      </c>
      <c r="FL630" s="472"/>
      <c r="FM630" s="450"/>
      <c r="FN630" s="460">
        <f t="shared" si="307"/>
        <v>23</v>
      </c>
      <c r="FO630" s="469">
        <f t="shared" si="308"/>
        <v>25</v>
      </c>
    </row>
    <row r="631" spans="1:171" x14ac:dyDescent="0.2">
      <c r="A631" s="637" t="s">
        <v>854</v>
      </c>
      <c r="B631" s="644" t="s">
        <v>958</v>
      </c>
      <c r="C631" s="645"/>
      <c r="D631" s="546">
        <v>408394</v>
      </c>
      <c r="E631" s="654">
        <v>10</v>
      </c>
      <c r="F631" s="532">
        <v>33</v>
      </c>
      <c r="G631" s="640">
        <v>46</v>
      </c>
      <c r="H631" s="457"/>
      <c r="I631" s="450"/>
      <c r="J631" s="457">
        <v>182</v>
      </c>
      <c r="K631" s="627">
        <v>155</v>
      </c>
      <c r="L631" s="458">
        <f t="shared" si="285"/>
        <v>0</v>
      </c>
      <c r="M631" s="449">
        <f t="shared" si="286"/>
        <v>0</v>
      </c>
      <c r="N631" s="459"/>
      <c r="O631" s="459"/>
      <c r="P631" s="459"/>
      <c r="Q631" s="459"/>
      <c r="R631" s="460">
        <f t="shared" si="287"/>
        <v>0</v>
      </c>
      <c r="S631" s="461"/>
      <c r="T631" s="461"/>
      <c r="U631" s="461"/>
      <c r="V631" s="461"/>
      <c r="W631" s="462">
        <f t="shared" si="288"/>
        <v>0</v>
      </c>
      <c r="X631" s="463"/>
      <c r="Y631" s="457"/>
      <c r="Z631" s="464"/>
      <c r="AA631" s="464"/>
      <c r="AB631" s="465"/>
      <c r="AC631" s="457"/>
      <c r="AD631" s="464"/>
      <c r="AE631" s="466"/>
      <c r="AF631" s="465"/>
      <c r="AG631" s="457"/>
      <c r="AH631" s="464"/>
      <c r="AI631" s="466"/>
      <c r="AJ631" s="465"/>
      <c r="AK631" s="457"/>
      <c r="AL631" s="464"/>
      <c r="AM631" s="466"/>
      <c r="AN631" s="465"/>
      <c r="AO631" s="457"/>
      <c r="AP631" s="464"/>
      <c r="AQ631" s="464"/>
      <c r="AR631" s="460">
        <f t="shared" si="289"/>
        <v>0</v>
      </c>
      <c r="AS631" s="467">
        <f t="shared" si="290"/>
        <v>0</v>
      </c>
      <c r="AT631" s="447">
        <f t="shared" si="291"/>
        <v>0</v>
      </c>
      <c r="AU631" s="448">
        <f t="shared" si="292"/>
        <v>0</v>
      </c>
      <c r="AV631" s="457"/>
      <c r="AW631" s="450"/>
      <c r="AX631" s="463"/>
      <c r="AY631" s="457"/>
      <c r="AZ631" s="464"/>
      <c r="BA631" s="464"/>
      <c r="BB631" s="465"/>
      <c r="BC631" s="457"/>
      <c r="BD631" s="464"/>
      <c r="BE631" s="466"/>
      <c r="BF631" s="465"/>
      <c r="BG631" s="457"/>
      <c r="BH631" s="464"/>
      <c r="BI631" s="466"/>
      <c r="BJ631" s="465"/>
      <c r="BK631" s="457"/>
      <c r="BL631" s="464"/>
      <c r="BM631" s="466"/>
      <c r="BN631" s="465"/>
      <c r="BO631" s="457"/>
      <c r="BP631" s="464"/>
      <c r="BQ631" s="466"/>
      <c r="BR631" s="465"/>
      <c r="BS631" s="457"/>
      <c r="BT631" s="464"/>
      <c r="BU631" s="466"/>
      <c r="BV631" s="465"/>
      <c r="BW631" s="457"/>
      <c r="BX631" s="464"/>
      <c r="BY631" s="466"/>
      <c r="BZ631" s="465"/>
      <c r="CA631" s="457"/>
      <c r="CB631" s="464"/>
      <c r="CC631" s="466"/>
      <c r="CD631" s="465"/>
      <c r="CE631" s="457"/>
      <c r="CF631" s="464"/>
      <c r="CG631" s="466"/>
      <c r="CH631" s="465"/>
      <c r="CI631" s="457"/>
      <c r="CJ631" s="464"/>
      <c r="CK631" s="466"/>
      <c r="CL631" s="459"/>
      <c r="CM631" s="450"/>
      <c r="CN631" s="468">
        <f t="shared" si="293"/>
        <v>0</v>
      </c>
      <c r="CO631" s="468">
        <f t="shared" si="294"/>
        <v>0</v>
      </c>
      <c r="CP631" s="469">
        <f t="shared" si="295"/>
        <v>0</v>
      </c>
      <c r="CQ631" s="469">
        <f t="shared" si="296"/>
        <v>0</v>
      </c>
      <c r="CR631" s="463"/>
      <c r="CS631" s="457"/>
      <c r="CT631" s="464"/>
      <c r="CU631" s="464"/>
      <c r="CV631" s="465"/>
      <c r="CW631" s="457"/>
      <c r="CX631" s="464"/>
      <c r="CY631" s="466"/>
      <c r="CZ631" s="465"/>
      <c r="DA631" s="457"/>
      <c r="DB631" s="464"/>
      <c r="DC631" s="466"/>
      <c r="DD631" s="465"/>
      <c r="DE631" s="457"/>
      <c r="DF631" s="464"/>
      <c r="DG631" s="466"/>
      <c r="DH631" s="465"/>
      <c r="DI631" s="457"/>
      <c r="DJ631" s="464"/>
      <c r="DK631" s="466"/>
      <c r="DL631" s="465"/>
      <c r="DM631" s="457"/>
      <c r="DN631" s="464"/>
      <c r="DO631" s="466"/>
      <c r="DP631" s="465"/>
      <c r="DQ631" s="457"/>
      <c r="DR631" s="464"/>
      <c r="DS631" s="466"/>
      <c r="DT631" s="465"/>
      <c r="DU631" s="457"/>
      <c r="DV631" s="464"/>
      <c r="DW631" s="466"/>
      <c r="DX631" s="465"/>
      <c r="DY631" s="457"/>
      <c r="DZ631" s="464"/>
      <c r="EA631" s="466"/>
      <c r="EB631" s="465"/>
      <c r="EC631" s="457"/>
      <c r="ED631" s="464"/>
      <c r="EE631" s="466"/>
      <c r="EF631" s="459"/>
      <c r="EG631" s="450"/>
      <c r="EH631" s="460">
        <f t="shared" si="297"/>
        <v>0</v>
      </c>
      <c r="EI631" s="460">
        <f t="shared" si="298"/>
        <v>0</v>
      </c>
      <c r="EJ631" s="458">
        <f t="shared" si="299"/>
        <v>0</v>
      </c>
      <c r="EK631" s="470">
        <f t="shared" si="300"/>
        <v>0</v>
      </c>
      <c r="EL631" s="470">
        <f t="shared" si="301"/>
        <v>0</v>
      </c>
      <c r="EM631" s="449">
        <f t="shared" si="302"/>
        <v>0</v>
      </c>
      <c r="EN631" s="460">
        <f t="shared" si="303"/>
        <v>0</v>
      </c>
      <c r="EO631" s="469">
        <f t="shared" si="304"/>
        <v>0</v>
      </c>
      <c r="EP631" s="471"/>
      <c r="EQ631" s="450"/>
      <c r="ER631" s="471"/>
      <c r="ES631" s="450"/>
      <c r="ET631" s="471"/>
      <c r="EU631" s="450"/>
      <c r="EV631" s="471"/>
      <c r="EW631" s="450"/>
      <c r="EX631" s="471"/>
      <c r="EY631" s="450"/>
      <c r="EZ631" s="471"/>
      <c r="FA631" s="450"/>
      <c r="FB631" s="471"/>
      <c r="FC631" s="450"/>
      <c r="FD631" s="471"/>
      <c r="FE631" s="450"/>
      <c r="FF631" s="471"/>
      <c r="FG631" s="450"/>
      <c r="FH631" s="472"/>
      <c r="FI631" s="450"/>
      <c r="FJ631" s="468">
        <f t="shared" si="305"/>
        <v>0</v>
      </c>
      <c r="FK631" s="469">
        <f t="shared" si="306"/>
        <v>0</v>
      </c>
      <c r="FL631" s="472"/>
      <c r="FM631" s="450"/>
      <c r="FN631" s="460">
        <f t="shared" si="307"/>
        <v>215</v>
      </c>
      <c r="FO631" s="469">
        <f t="shared" si="308"/>
        <v>201</v>
      </c>
    </row>
    <row r="632" spans="1:171" x14ac:dyDescent="0.2">
      <c r="A632" s="641" t="s">
        <v>854</v>
      </c>
      <c r="B632" s="647" t="s">
        <v>959</v>
      </c>
      <c r="C632" s="648"/>
      <c r="D632" s="642">
        <v>229328</v>
      </c>
      <c r="E632" s="643">
        <v>10</v>
      </c>
      <c r="F632" s="532">
        <v>93</v>
      </c>
      <c r="G632" s="640">
        <v>96</v>
      </c>
      <c r="H632" s="457"/>
      <c r="I632" s="450"/>
      <c r="J632" s="457">
        <v>261</v>
      </c>
      <c r="K632" s="627">
        <v>237</v>
      </c>
      <c r="L632" s="458">
        <f t="shared" si="285"/>
        <v>0</v>
      </c>
      <c r="M632" s="449">
        <f t="shared" si="286"/>
        <v>0</v>
      </c>
      <c r="N632" s="459"/>
      <c r="O632" s="459"/>
      <c r="P632" s="459"/>
      <c r="Q632" s="459"/>
      <c r="R632" s="460">
        <f t="shared" si="287"/>
        <v>0</v>
      </c>
      <c r="S632" s="461"/>
      <c r="T632" s="461"/>
      <c r="U632" s="461"/>
      <c r="V632" s="461"/>
      <c r="W632" s="462">
        <f t="shared" si="288"/>
        <v>0</v>
      </c>
      <c r="X632" s="463"/>
      <c r="Y632" s="457"/>
      <c r="Z632" s="464"/>
      <c r="AA632" s="464"/>
      <c r="AB632" s="465"/>
      <c r="AC632" s="457"/>
      <c r="AD632" s="464"/>
      <c r="AE632" s="466"/>
      <c r="AF632" s="465"/>
      <c r="AG632" s="457"/>
      <c r="AH632" s="464"/>
      <c r="AI632" s="466"/>
      <c r="AJ632" s="465"/>
      <c r="AK632" s="457"/>
      <c r="AL632" s="464"/>
      <c r="AM632" s="466"/>
      <c r="AN632" s="465"/>
      <c r="AO632" s="457"/>
      <c r="AP632" s="464"/>
      <c r="AQ632" s="464"/>
      <c r="AR632" s="460">
        <f t="shared" si="289"/>
        <v>0</v>
      </c>
      <c r="AS632" s="467">
        <f t="shared" si="290"/>
        <v>0</v>
      </c>
      <c r="AT632" s="447">
        <f t="shared" si="291"/>
        <v>0</v>
      </c>
      <c r="AU632" s="448">
        <f t="shared" si="292"/>
        <v>0</v>
      </c>
      <c r="AV632" s="457"/>
      <c r="AW632" s="450"/>
      <c r="AX632" s="463"/>
      <c r="AY632" s="457"/>
      <c r="AZ632" s="464"/>
      <c r="BA632" s="464"/>
      <c r="BB632" s="465"/>
      <c r="BC632" s="457"/>
      <c r="BD632" s="464"/>
      <c r="BE632" s="466"/>
      <c r="BF632" s="465"/>
      <c r="BG632" s="457"/>
      <c r="BH632" s="464"/>
      <c r="BI632" s="466"/>
      <c r="BJ632" s="465"/>
      <c r="BK632" s="457"/>
      <c r="BL632" s="464"/>
      <c r="BM632" s="466"/>
      <c r="BN632" s="465"/>
      <c r="BO632" s="457"/>
      <c r="BP632" s="464"/>
      <c r="BQ632" s="466"/>
      <c r="BR632" s="465"/>
      <c r="BS632" s="457"/>
      <c r="BT632" s="464"/>
      <c r="BU632" s="466"/>
      <c r="BV632" s="465"/>
      <c r="BW632" s="457"/>
      <c r="BX632" s="464"/>
      <c r="BY632" s="466"/>
      <c r="BZ632" s="465"/>
      <c r="CA632" s="457"/>
      <c r="CB632" s="464"/>
      <c r="CC632" s="466"/>
      <c r="CD632" s="465"/>
      <c r="CE632" s="457"/>
      <c r="CF632" s="464"/>
      <c r="CG632" s="466"/>
      <c r="CH632" s="465"/>
      <c r="CI632" s="457"/>
      <c r="CJ632" s="464"/>
      <c r="CK632" s="466"/>
      <c r="CL632" s="459"/>
      <c r="CM632" s="450"/>
      <c r="CN632" s="468">
        <f t="shared" si="293"/>
        <v>0</v>
      </c>
      <c r="CO632" s="468">
        <f t="shared" si="294"/>
        <v>0</v>
      </c>
      <c r="CP632" s="469">
        <f t="shared" si="295"/>
        <v>0</v>
      </c>
      <c r="CQ632" s="469">
        <f t="shared" si="296"/>
        <v>0</v>
      </c>
      <c r="CR632" s="463"/>
      <c r="CS632" s="457"/>
      <c r="CT632" s="464"/>
      <c r="CU632" s="464"/>
      <c r="CV632" s="465"/>
      <c r="CW632" s="457"/>
      <c r="CX632" s="464"/>
      <c r="CY632" s="466"/>
      <c r="CZ632" s="465"/>
      <c r="DA632" s="457"/>
      <c r="DB632" s="464"/>
      <c r="DC632" s="466"/>
      <c r="DD632" s="465"/>
      <c r="DE632" s="457"/>
      <c r="DF632" s="464"/>
      <c r="DG632" s="466"/>
      <c r="DH632" s="465"/>
      <c r="DI632" s="457"/>
      <c r="DJ632" s="464"/>
      <c r="DK632" s="466"/>
      <c r="DL632" s="465"/>
      <c r="DM632" s="457"/>
      <c r="DN632" s="464"/>
      <c r="DO632" s="466"/>
      <c r="DP632" s="465"/>
      <c r="DQ632" s="457"/>
      <c r="DR632" s="464"/>
      <c r="DS632" s="466"/>
      <c r="DT632" s="465"/>
      <c r="DU632" s="457"/>
      <c r="DV632" s="464"/>
      <c r="DW632" s="466"/>
      <c r="DX632" s="465"/>
      <c r="DY632" s="457"/>
      <c r="DZ632" s="464"/>
      <c r="EA632" s="466"/>
      <c r="EB632" s="465"/>
      <c r="EC632" s="457"/>
      <c r="ED632" s="464"/>
      <c r="EE632" s="466"/>
      <c r="EF632" s="459"/>
      <c r="EG632" s="450"/>
      <c r="EH632" s="460">
        <f t="shared" si="297"/>
        <v>0</v>
      </c>
      <c r="EI632" s="460">
        <f t="shared" si="298"/>
        <v>0</v>
      </c>
      <c r="EJ632" s="458">
        <f t="shared" si="299"/>
        <v>0</v>
      </c>
      <c r="EK632" s="470">
        <f t="shared" si="300"/>
        <v>0</v>
      </c>
      <c r="EL632" s="470">
        <f t="shared" si="301"/>
        <v>0</v>
      </c>
      <c r="EM632" s="449">
        <f t="shared" si="302"/>
        <v>0</v>
      </c>
      <c r="EN632" s="460">
        <f t="shared" si="303"/>
        <v>0</v>
      </c>
      <c r="EO632" s="469">
        <f t="shared" si="304"/>
        <v>0</v>
      </c>
      <c r="EP632" s="471"/>
      <c r="EQ632" s="450"/>
      <c r="ER632" s="471"/>
      <c r="ES632" s="450"/>
      <c r="ET632" s="471"/>
      <c r="EU632" s="450"/>
      <c r="EV632" s="471"/>
      <c r="EW632" s="450"/>
      <c r="EX632" s="471"/>
      <c r="EY632" s="450"/>
      <c r="EZ632" s="471"/>
      <c r="FA632" s="450"/>
      <c r="FB632" s="471"/>
      <c r="FC632" s="450"/>
      <c r="FD632" s="471"/>
      <c r="FE632" s="450"/>
      <c r="FF632" s="471"/>
      <c r="FG632" s="450"/>
      <c r="FH632" s="472"/>
      <c r="FI632" s="450"/>
      <c r="FJ632" s="468">
        <f t="shared" si="305"/>
        <v>0</v>
      </c>
      <c r="FK632" s="469">
        <f t="shared" si="306"/>
        <v>0</v>
      </c>
      <c r="FL632" s="472"/>
      <c r="FM632" s="450"/>
      <c r="FN632" s="460">
        <f t="shared" si="307"/>
        <v>354</v>
      </c>
      <c r="FO632" s="469">
        <f t="shared" si="308"/>
        <v>333</v>
      </c>
    </row>
    <row r="633" spans="1:171" x14ac:dyDescent="0.2">
      <c r="A633" s="637" t="s">
        <v>854</v>
      </c>
      <c r="B633" s="644" t="s">
        <v>960</v>
      </c>
      <c r="C633" s="645"/>
      <c r="D633" s="546">
        <v>229832</v>
      </c>
      <c r="E633" s="654">
        <v>10</v>
      </c>
      <c r="F633" s="532">
        <v>206</v>
      </c>
      <c r="G633" s="640">
        <v>220</v>
      </c>
      <c r="H633" s="457"/>
      <c r="I633" s="450"/>
      <c r="J633" s="457">
        <v>168</v>
      </c>
      <c r="K633" s="627">
        <v>183</v>
      </c>
      <c r="L633" s="458">
        <f t="shared" si="285"/>
        <v>0</v>
      </c>
      <c r="M633" s="449">
        <f t="shared" si="286"/>
        <v>0</v>
      </c>
      <c r="N633" s="459"/>
      <c r="O633" s="459"/>
      <c r="P633" s="459"/>
      <c r="Q633" s="459"/>
      <c r="R633" s="460">
        <f t="shared" si="287"/>
        <v>0</v>
      </c>
      <c r="S633" s="461"/>
      <c r="T633" s="461"/>
      <c r="U633" s="461"/>
      <c r="V633" s="461"/>
      <c r="W633" s="462">
        <f t="shared" si="288"/>
        <v>0</v>
      </c>
      <c r="X633" s="463"/>
      <c r="Y633" s="457"/>
      <c r="Z633" s="464"/>
      <c r="AA633" s="464"/>
      <c r="AB633" s="465"/>
      <c r="AC633" s="457"/>
      <c r="AD633" s="464"/>
      <c r="AE633" s="466"/>
      <c r="AF633" s="465"/>
      <c r="AG633" s="457"/>
      <c r="AH633" s="464"/>
      <c r="AI633" s="466"/>
      <c r="AJ633" s="465"/>
      <c r="AK633" s="457"/>
      <c r="AL633" s="464"/>
      <c r="AM633" s="466"/>
      <c r="AN633" s="465"/>
      <c r="AO633" s="457"/>
      <c r="AP633" s="464"/>
      <c r="AQ633" s="464"/>
      <c r="AR633" s="460">
        <f t="shared" si="289"/>
        <v>0</v>
      </c>
      <c r="AS633" s="467">
        <f t="shared" si="290"/>
        <v>0</v>
      </c>
      <c r="AT633" s="447">
        <f t="shared" si="291"/>
        <v>0</v>
      </c>
      <c r="AU633" s="448">
        <f t="shared" si="292"/>
        <v>0</v>
      </c>
      <c r="AV633" s="457"/>
      <c r="AW633" s="450"/>
      <c r="AX633" s="463"/>
      <c r="AY633" s="457"/>
      <c r="AZ633" s="625"/>
      <c r="BA633" s="625"/>
      <c r="BB633" s="465"/>
      <c r="BC633" s="457"/>
      <c r="BD633" s="625"/>
      <c r="BE633" s="626"/>
      <c r="BF633" s="465"/>
      <c r="BG633" s="457"/>
      <c r="BH633" s="464"/>
      <c r="BI633" s="466"/>
      <c r="BJ633" s="465"/>
      <c r="BK633" s="457"/>
      <c r="BL633" s="464"/>
      <c r="BM633" s="466"/>
      <c r="BN633" s="465"/>
      <c r="BO633" s="457"/>
      <c r="BP633" s="464"/>
      <c r="BQ633" s="466"/>
      <c r="BR633" s="465"/>
      <c r="BS633" s="457"/>
      <c r="BT633" s="464"/>
      <c r="BU633" s="466"/>
      <c r="BV633" s="465"/>
      <c r="BW633" s="457"/>
      <c r="BX633" s="464"/>
      <c r="BY633" s="466"/>
      <c r="BZ633" s="465"/>
      <c r="CA633" s="457"/>
      <c r="CB633" s="464"/>
      <c r="CC633" s="466"/>
      <c r="CD633" s="465"/>
      <c r="CE633" s="457"/>
      <c r="CF633" s="464"/>
      <c r="CG633" s="466"/>
      <c r="CH633" s="465"/>
      <c r="CI633" s="457"/>
      <c r="CJ633" s="464"/>
      <c r="CK633" s="466"/>
      <c r="CL633" s="459"/>
      <c r="CM633" s="450"/>
      <c r="CN633" s="468">
        <f t="shared" si="293"/>
        <v>0</v>
      </c>
      <c r="CO633" s="468">
        <f t="shared" si="294"/>
        <v>0</v>
      </c>
      <c r="CP633" s="469">
        <f t="shared" si="295"/>
        <v>0</v>
      </c>
      <c r="CQ633" s="469">
        <f t="shared" si="296"/>
        <v>0</v>
      </c>
      <c r="CR633" s="463"/>
      <c r="CS633" s="457"/>
      <c r="CT633" s="464"/>
      <c r="CU633" s="464"/>
      <c r="CV633" s="465"/>
      <c r="CW633" s="457"/>
      <c r="CX633" s="464"/>
      <c r="CY633" s="466"/>
      <c r="CZ633" s="465"/>
      <c r="DA633" s="457"/>
      <c r="DB633" s="464"/>
      <c r="DC633" s="466"/>
      <c r="DD633" s="465"/>
      <c r="DE633" s="457"/>
      <c r="DF633" s="464"/>
      <c r="DG633" s="466"/>
      <c r="DH633" s="465"/>
      <c r="DI633" s="457"/>
      <c r="DJ633" s="464"/>
      <c r="DK633" s="466"/>
      <c r="DL633" s="465"/>
      <c r="DM633" s="457"/>
      <c r="DN633" s="464"/>
      <c r="DO633" s="466"/>
      <c r="DP633" s="465"/>
      <c r="DQ633" s="457"/>
      <c r="DR633" s="464"/>
      <c r="DS633" s="466"/>
      <c r="DT633" s="465"/>
      <c r="DU633" s="457"/>
      <c r="DV633" s="464"/>
      <c r="DW633" s="466"/>
      <c r="DX633" s="465"/>
      <c r="DY633" s="457"/>
      <c r="DZ633" s="464"/>
      <c r="EA633" s="466"/>
      <c r="EB633" s="465"/>
      <c r="EC633" s="457"/>
      <c r="ED633" s="464"/>
      <c r="EE633" s="466"/>
      <c r="EF633" s="459"/>
      <c r="EG633" s="450"/>
      <c r="EH633" s="460">
        <f t="shared" si="297"/>
        <v>0</v>
      </c>
      <c r="EI633" s="460">
        <f t="shared" si="298"/>
        <v>0</v>
      </c>
      <c r="EJ633" s="458">
        <f t="shared" si="299"/>
        <v>0</v>
      </c>
      <c r="EK633" s="470">
        <f t="shared" si="300"/>
        <v>0</v>
      </c>
      <c r="EL633" s="470">
        <f t="shared" si="301"/>
        <v>0</v>
      </c>
      <c r="EM633" s="449">
        <f t="shared" si="302"/>
        <v>0</v>
      </c>
      <c r="EN633" s="460">
        <f t="shared" si="303"/>
        <v>0</v>
      </c>
      <c r="EO633" s="469">
        <f t="shared" si="304"/>
        <v>0</v>
      </c>
      <c r="EP633" s="471"/>
      <c r="EQ633" s="450"/>
      <c r="ER633" s="471"/>
      <c r="ES633" s="450"/>
      <c r="ET633" s="471"/>
      <c r="EU633" s="450"/>
      <c r="EV633" s="471"/>
      <c r="EW633" s="450"/>
      <c r="EX633" s="471"/>
      <c r="EY633" s="450"/>
      <c r="EZ633" s="471"/>
      <c r="FA633" s="450"/>
      <c r="FB633" s="471"/>
      <c r="FC633" s="450"/>
      <c r="FD633" s="471"/>
      <c r="FE633" s="450"/>
      <c r="FF633" s="471"/>
      <c r="FG633" s="450"/>
      <c r="FH633" s="472"/>
      <c r="FI633" s="450"/>
      <c r="FJ633" s="468">
        <f t="shared" si="305"/>
        <v>0</v>
      </c>
      <c r="FK633" s="469">
        <f t="shared" si="306"/>
        <v>0</v>
      </c>
      <c r="FL633" s="472"/>
      <c r="FM633" s="450"/>
      <c r="FN633" s="460">
        <f t="shared" si="307"/>
        <v>374</v>
      </c>
      <c r="FO633" s="469">
        <f t="shared" si="308"/>
        <v>403</v>
      </c>
    </row>
    <row r="634" spans="1:171" x14ac:dyDescent="0.2">
      <c r="A634" s="637" t="s">
        <v>854</v>
      </c>
      <c r="B634" s="544" t="s">
        <v>961</v>
      </c>
      <c r="C634" s="545"/>
      <c r="D634" s="546">
        <v>223214</v>
      </c>
      <c r="E634" s="547">
        <v>15</v>
      </c>
      <c r="F634" s="532"/>
      <c r="G634" s="450"/>
      <c r="H634" s="457"/>
      <c r="I634" s="450"/>
      <c r="J634" s="457"/>
      <c r="K634" s="450"/>
      <c r="L634" s="458">
        <f t="shared" si="285"/>
        <v>0</v>
      </c>
      <c r="M634" s="449">
        <f t="shared" si="286"/>
        <v>0</v>
      </c>
      <c r="N634" s="459">
        <v>108</v>
      </c>
      <c r="O634" s="459"/>
      <c r="P634" s="459"/>
      <c r="Q634" s="459"/>
      <c r="R634" s="460">
        <f t="shared" si="287"/>
        <v>0</v>
      </c>
      <c r="S634" s="650">
        <v>96</v>
      </c>
      <c r="T634" s="461"/>
      <c r="U634" s="461"/>
      <c r="V634" s="461"/>
      <c r="W634" s="462">
        <f t="shared" si="288"/>
        <v>0</v>
      </c>
      <c r="X634" s="463"/>
      <c r="Y634" s="457"/>
      <c r="Z634" s="464"/>
      <c r="AA634" s="464"/>
      <c r="AB634" s="465"/>
      <c r="AC634" s="457"/>
      <c r="AD634" s="464"/>
      <c r="AE634" s="466"/>
      <c r="AF634" s="465"/>
      <c r="AG634" s="457"/>
      <c r="AH634" s="464"/>
      <c r="AI634" s="466"/>
      <c r="AJ634" s="465"/>
      <c r="AK634" s="457"/>
      <c r="AL634" s="464"/>
      <c r="AM634" s="466"/>
      <c r="AN634" s="465"/>
      <c r="AO634" s="457"/>
      <c r="AP634" s="464"/>
      <c r="AQ634" s="464"/>
      <c r="AR634" s="460">
        <f t="shared" si="289"/>
        <v>0</v>
      </c>
      <c r="AS634" s="467">
        <f t="shared" si="290"/>
        <v>0.20074349442379183</v>
      </c>
      <c r="AT634" s="447">
        <f t="shared" si="291"/>
        <v>0</v>
      </c>
      <c r="AU634" s="448">
        <f t="shared" si="292"/>
        <v>0.16991150442477876</v>
      </c>
      <c r="AV634" s="457"/>
      <c r="AW634" s="450"/>
      <c r="AX634" s="463">
        <v>51</v>
      </c>
      <c r="AY634" s="457">
        <v>91</v>
      </c>
      <c r="AZ634" s="625">
        <v>51</v>
      </c>
      <c r="BA634" s="625">
        <v>86</v>
      </c>
      <c r="BB634" s="465">
        <v>26</v>
      </c>
      <c r="BC634" s="457">
        <v>24</v>
      </c>
      <c r="BD634" s="625">
        <v>26</v>
      </c>
      <c r="BE634" s="626">
        <v>32</v>
      </c>
      <c r="BF634" s="465"/>
      <c r="BG634" s="457"/>
      <c r="BH634" s="464"/>
      <c r="BI634" s="466"/>
      <c r="BJ634" s="465"/>
      <c r="BK634" s="457"/>
      <c r="BL634" s="464"/>
      <c r="BM634" s="466"/>
      <c r="BN634" s="465"/>
      <c r="BO634" s="457"/>
      <c r="BP634" s="464"/>
      <c r="BQ634" s="466"/>
      <c r="BR634" s="465"/>
      <c r="BS634" s="457"/>
      <c r="BT634" s="464"/>
      <c r="BU634" s="466"/>
      <c r="BV634" s="465"/>
      <c r="BW634" s="457"/>
      <c r="BX634" s="464"/>
      <c r="BY634" s="466"/>
      <c r="BZ634" s="465"/>
      <c r="CA634" s="457"/>
      <c r="CB634" s="464"/>
      <c r="CC634" s="466"/>
      <c r="CD634" s="465"/>
      <c r="CE634" s="457"/>
      <c r="CF634" s="464"/>
      <c r="CG634" s="466"/>
      <c r="CH634" s="465"/>
      <c r="CI634" s="457"/>
      <c r="CJ634" s="464"/>
      <c r="CK634" s="466"/>
      <c r="CL634" s="459">
        <v>27</v>
      </c>
      <c r="CM634" s="627">
        <v>35</v>
      </c>
      <c r="CN634" s="468">
        <f t="shared" si="293"/>
        <v>142</v>
      </c>
      <c r="CO634" s="468">
        <f t="shared" si="294"/>
        <v>2</v>
      </c>
      <c r="CP634" s="469">
        <f t="shared" si="295"/>
        <v>153</v>
      </c>
      <c r="CQ634" s="469">
        <f t="shared" si="296"/>
        <v>2</v>
      </c>
      <c r="CR634" s="463">
        <v>26</v>
      </c>
      <c r="CS634" s="457">
        <v>18</v>
      </c>
      <c r="CT634" s="625">
        <v>26</v>
      </c>
      <c r="CU634" s="625">
        <v>12</v>
      </c>
      <c r="CV634" s="465"/>
      <c r="CW634" s="457"/>
      <c r="CX634" s="464">
        <v>51</v>
      </c>
      <c r="CY634" s="466">
        <v>2</v>
      </c>
      <c r="CZ634" s="465"/>
      <c r="DA634" s="457"/>
      <c r="DB634" s="464"/>
      <c r="DC634" s="466"/>
      <c r="DD634" s="465"/>
      <c r="DE634" s="457"/>
      <c r="DF634" s="464"/>
      <c r="DG634" s="466"/>
      <c r="DH634" s="465"/>
      <c r="DI634" s="457"/>
      <c r="DJ634" s="464"/>
      <c r="DK634" s="466"/>
      <c r="DL634" s="465"/>
      <c r="DM634" s="457"/>
      <c r="DN634" s="464"/>
      <c r="DO634" s="466"/>
      <c r="DP634" s="465"/>
      <c r="DQ634" s="457"/>
      <c r="DR634" s="464"/>
      <c r="DS634" s="466"/>
      <c r="DT634" s="465"/>
      <c r="DU634" s="457"/>
      <c r="DV634" s="464"/>
      <c r="DW634" s="466"/>
      <c r="DX634" s="465"/>
      <c r="DY634" s="457"/>
      <c r="DZ634" s="464"/>
      <c r="EA634" s="466"/>
      <c r="EB634" s="465"/>
      <c r="EC634" s="457"/>
      <c r="ED634" s="464"/>
      <c r="EE634" s="466"/>
      <c r="EF634" s="459"/>
      <c r="EG634" s="450"/>
      <c r="EH634" s="460">
        <f t="shared" si="297"/>
        <v>18</v>
      </c>
      <c r="EI634" s="460">
        <f t="shared" si="298"/>
        <v>1</v>
      </c>
      <c r="EJ634" s="458">
        <f t="shared" si="299"/>
        <v>1</v>
      </c>
      <c r="EK634" s="470">
        <f t="shared" si="300"/>
        <v>14</v>
      </c>
      <c r="EL634" s="470">
        <f t="shared" si="301"/>
        <v>2</v>
      </c>
      <c r="EM634" s="449">
        <f t="shared" si="302"/>
        <v>0.8571428571428571</v>
      </c>
      <c r="EN634" s="460">
        <f t="shared" si="303"/>
        <v>160</v>
      </c>
      <c r="EO634" s="469">
        <f t="shared" si="304"/>
        <v>167</v>
      </c>
      <c r="EP634" s="471"/>
      <c r="EQ634" s="450"/>
      <c r="ER634" s="471">
        <v>100</v>
      </c>
      <c r="ES634" s="450">
        <v>117</v>
      </c>
      <c r="ET634" s="471">
        <v>101</v>
      </c>
      <c r="EU634" s="628">
        <v>97</v>
      </c>
      <c r="EV634" s="471">
        <v>69</v>
      </c>
      <c r="EW634" s="450">
        <v>88</v>
      </c>
      <c r="EX634" s="471"/>
      <c r="EY634" s="450"/>
      <c r="EZ634" s="471"/>
      <c r="FA634" s="450"/>
      <c r="FB634" s="471"/>
      <c r="FC634" s="450"/>
      <c r="FD634" s="471"/>
      <c r="FE634" s="450"/>
      <c r="FF634" s="471"/>
      <c r="FG634" s="450"/>
      <c r="FH634" s="472"/>
      <c r="FI634" s="450"/>
      <c r="FJ634" s="468">
        <f t="shared" si="305"/>
        <v>270</v>
      </c>
      <c r="FK634" s="469">
        <f t="shared" si="306"/>
        <v>302</v>
      </c>
      <c r="FL634" s="472"/>
      <c r="FM634" s="450"/>
      <c r="FN634" s="460">
        <f t="shared" si="307"/>
        <v>538</v>
      </c>
      <c r="FO634" s="469">
        <f t="shared" si="308"/>
        <v>565</v>
      </c>
    </row>
    <row r="635" spans="1:171" x14ac:dyDescent="0.2">
      <c r="A635" s="637" t="s">
        <v>854</v>
      </c>
      <c r="B635" s="544" t="s">
        <v>962</v>
      </c>
      <c r="C635" s="545"/>
      <c r="D635" s="546">
        <v>229337</v>
      </c>
      <c r="E635" s="547">
        <v>15</v>
      </c>
      <c r="F635" s="532"/>
      <c r="G635" s="450"/>
      <c r="H635" s="457"/>
      <c r="I635" s="450"/>
      <c r="J635" s="457"/>
      <c r="K635" s="450"/>
      <c r="L635" s="458">
        <f t="shared" si="285"/>
        <v>0</v>
      </c>
      <c r="M635" s="449">
        <f t="shared" si="286"/>
        <v>0</v>
      </c>
      <c r="N635" s="459">
        <v>680</v>
      </c>
      <c r="O635" s="459"/>
      <c r="P635" s="459"/>
      <c r="Q635" s="459"/>
      <c r="R635" s="460">
        <f t="shared" si="287"/>
        <v>0</v>
      </c>
      <c r="S635" s="650">
        <v>845</v>
      </c>
      <c r="T635" s="461"/>
      <c r="U635" s="461"/>
      <c r="V635" s="461"/>
      <c r="W635" s="462">
        <f t="shared" si="288"/>
        <v>0</v>
      </c>
      <c r="X635" s="463"/>
      <c r="Y635" s="457"/>
      <c r="Z635" s="464"/>
      <c r="AA635" s="464"/>
      <c r="AB635" s="465"/>
      <c r="AC635" s="457"/>
      <c r="AD635" s="464"/>
      <c r="AE635" s="466"/>
      <c r="AF635" s="465"/>
      <c r="AG635" s="457"/>
      <c r="AH635" s="464"/>
      <c r="AI635" s="466"/>
      <c r="AJ635" s="465"/>
      <c r="AK635" s="457"/>
      <c r="AL635" s="464"/>
      <c r="AM635" s="466"/>
      <c r="AN635" s="465"/>
      <c r="AO635" s="457"/>
      <c r="AP635" s="464"/>
      <c r="AQ635" s="464"/>
      <c r="AR635" s="460">
        <f t="shared" si="289"/>
        <v>0</v>
      </c>
      <c r="AS635" s="467">
        <f t="shared" si="290"/>
        <v>0.48885693745506831</v>
      </c>
      <c r="AT635" s="447">
        <f t="shared" si="291"/>
        <v>0</v>
      </c>
      <c r="AU635" s="448">
        <f t="shared" si="292"/>
        <v>0.52582451773490979</v>
      </c>
      <c r="AV635" s="457"/>
      <c r="AW635" s="450"/>
      <c r="AX635" s="463">
        <v>51</v>
      </c>
      <c r="AY635" s="457">
        <v>295</v>
      </c>
      <c r="AZ635" s="625">
        <v>51</v>
      </c>
      <c r="BA635" s="625">
        <v>350</v>
      </c>
      <c r="BB635" s="465">
        <v>26</v>
      </c>
      <c r="BC635" s="457">
        <v>30</v>
      </c>
      <c r="BD635" s="625">
        <v>26</v>
      </c>
      <c r="BE635" s="626">
        <v>22</v>
      </c>
      <c r="BF635" s="465"/>
      <c r="BG635" s="457"/>
      <c r="BH635" s="464"/>
      <c r="BI635" s="466"/>
      <c r="BJ635" s="465"/>
      <c r="BK635" s="457"/>
      <c r="BL635" s="464"/>
      <c r="BM635" s="466"/>
      <c r="BN635" s="465"/>
      <c r="BO635" s="457"/>
      <c r="BP635" s="625"/>
      <c r="BQ635" s="626"/>
      <c r="BR635" s="465"/>
      <c r="BS635" s="457"/>
      <c r="BT635" s="464"/>
      <c r="BU635" s="466"/>
      <c r="BV635" s="465"/>
      <c r="BW635" s="457"/>
      <c r="BX635" s="464"/>
      <c r="BY635" s="466"/>
      <c r="BZ635" s="465"/>
      <c r="CA635" s="457"/>
      <c r="CB635" s="464"/>
      <c r="CC635" s="466"/>
      <c r="CD635" s="465"/>
      <c r="CE635" s="457"/>
      <c r="CF635" s="464"/>
      <c r="CG635" s="466"/>
      <c r="CH635" s="465"/>
      <c r="CI635" s="457"/>
      <c r="CJ635" s="464"/>
      <c r="CK635" s="466"/>
      <c r="CL635" s="459"/>
      <c r="CM635" s="627"/>
      <c r="CN635" s="468">
        <f t="shared" si="293"/>
        <v>325</v>
      </c>
      <c r="CO635" s="468">
        <f t="shared" si="294"/>
        <v>2</v>
      </c>
      <c r="CP635" s="469">
        <f t="shared" si="295"/>
        <v>372</v>
      </c>
      <c r="CQ635" s="469">
        <f t="shared" si="296"/>
        <v>2</v>
      </c>
      <c r="CR635" s="463">
        <v>51</v>
      </c>
      <c r="CS635" s="457">
        <v>38</v>
      </c>
      <c r="CT635" s="625">
        <v>51</v>
      </c>
      <c r="CU635" s="625">
        <v>35</v>
      </c>
      <c r="CV635" s="465">
        <v>26</v>
      </c>
      <c r="CW635" s="457">
        <v>3</v>
      </c>
      <c r="CX635" s="625">
        <v>26</v>
      </c>
      <c r="CY635" s="626">
        <v>3</v>
      </c>
      <c r="CZ635" s="465"/>
      <c r="DA635" s="457"/>
      <c r="DB635" s="464"/>
      <c r="DC635" s="466"/>
      <c r="DD635" s="465"/>
      <c r="DE635" s="457"/>
      <c r="DF635" s="625"/>
      <c r="DG635" s="626"/>
      <c r="DH635" s="465"/>
      <c r="DI635" s="457"/>
      <c r="DJ635" s="625"/>
      <c r="DK635" s="626"/>
      <c r="DL635" s="465"/>
      <c r="DM635" s="457"/>
      <c r="DN635" s="464"/>
      <c r="DO635" s="466"/>
      <c r="DP635" s="465"/>
      <c r="DQ635" s="457"/>
      <c r="DR635" s="464"/>
      <c r="DS635" s="466"/>
      <c r="DT635" s="465"/>
      <c r="DU635" s="457"/>
      <c r="DV635" s="464"/>
      <c r="DW635" s="466"/>
      <c r="DX635" s="465"/>
      <c r="DY635" s="457"/>
      <c r="DZ635" s="464"/>
      <c r="EA635" s="466"/>
      <c r="EB635" s="465"/>
      <c r="EC635" s="457"/>
      <c r="ED635" s="464"/>
      <c r="EE635" s="466"/>
      <c r="EF635" s="459"/>
      <c r="EG635" s="450"/>
      <c r="EH635" s="460">
        <f t="shared" si="297"/>
        <v>41</v>
      </c>
      <c r="EI635" s="460">
        <f t="shared" si="298"/>
        <v>2</v>
      </c>
      <c r="EJ635" s="458">
        <f t="shared" si="299"/>
        <v>0.92682926829268297</v>
      </c>
      <c r="EK635" s="470">
        <f t="shared" si="300"/>
        <v>38</v>
      </c>
      <c r="EL635" s="470">
        <f t="shared" si="301"/>
        <v>2</v>
      </c>
      <c r="EM635" s="449">
        <f t="shared" si="302"/>
        <v>0.92105263157894735</v>
      </c>
      <c r="EN635" s="460">
        <f t="shared" si="303"/>
        <v>366</v>
      </c>
      <c r="EO635" s="469">
        <f t="shared" si="304"/>
        <v>410</v>
      </c>
      <c r="EP635" s="471"/>
      <c r="EQ635" s="450"/>
      <c r="ER635" s="471">
        <v>144</v>
      </c>
      <c r="ES635" s="628">
        <v>130</v>
      </c>
      <c r="ET635" s="471"/>
      <c r="EU635" s="628">
        <v>0</v>
      </c>
      <c r="EV635" s="471">
        <v>117</v>
      </c>
      <c r="EW635" s="450">
        <v>130</v>
      </c>
      <c r="EX635" s="471"/>
      <c r="EY635" s="450"/>
      <c r="EZ635" s="471"/>
      <c r="FA635" s="450"/>
      <c r="FB635" s="471"/>
      <c r="FC635" s="450"/>
      <c r="FD635" s="471"/>
      <c r="FE635" s="450"/>
      <c r="FF635" s="471"/>
      <c r="FG635" s="450"/>
      <c r="FH635" s="472">
        <v>84</v>
      </c>
      <c r="FI635" s="627">
        <v>92</v>
      </c>
      <c r="FJ635" s="468">
        <f t="shared" si="305"/>
        <v>345</v>
      </c>
      <c r="FK635" s="469">
        <f t="shared" si="306"/>
        <v>352</v>
      </c>
      <c r="FL635" s="472"/>
      <c r="FM635" s="450"/>
      <c r="FN635" s="460">
        <f t="shared" si="307"/>
        <v>1391</v>
      </c>
      <c r="FO635" s="469">
        <f t="shared" si="308"/>
        <v>1607</v>
      </c>
    </row>
    <row r="636" spans="1:171" x14ac:dyDescent="0.2">
      <c r="A636" s="637" t="s">
        <v>854</v>
      </c>
      <c r="B636" s="644" t="s">
        <v>963</v>
      </c>
      <c r="C636" s="645"/>
      <c r="D636" s="546">
        <v>228909</v>
      </c>
      <c r="E636" s="547">
        <v>15</v>
      </c>
      <c r="F636" s="532"/>
      <c r="G636" s="450"/>
      <c r="H636" s="457"/>
      <c r="I636" s="450"/>
      <c r="J636" s="457"/>
      <c r="K636" s="450"/>
      <c r="L636" s="458">
        <f t="shared" si="285"/>
        <v>0</v>
      </c>
      <c r="M636" s="449">
        <f t="shared" si="286"/>
        <v>0</v>
      </c>
      <c r="N636" s="459"/>
      <c r="O636" s="459"/>
      <c r="P636" s="459"/>
      <c r="Q636" s="459"/>
      <c r="R636" s="460">
        <f t="shared" si="287"/>
        <v>0</v>
      </c>
      <c r="S636" s="461"/>
      <c r="T636" s="461"/>
      <c r="U636" s="461"/>
      <c r="V636" s="461"/>
      <c r="W636" s="462">
        <f t="shared" si="288"/>
        <v>0</v>
      </c>
      <c r="X636" s="463"/>
      <c r="Y636" s="457"/>
      <c r="Z636" s="464"/>
      <c r="AA636" s="464"/>
      <c r="AB636" s="465"/>
      <c r="AC636" s="457"/>
      <c r="AD636" s="464"/>
      <c r="AE636" s="466"/>
      <c r="AF636" s="465"/>
      <c r="AG636" s="457"/>
      <c r="AH636" s="464"/>
      <c r="AI636" s="466"/>
      <c r="AJ636" s="465"/>
      <c r="AK636" s="457"/>
      <c r="AL636" s="464"/>
      <c r="AM636" s="466"/>
      <c r="AN636" s="465"/>
      <c r="AO636" s="457"/>
      <c r="AP636" s="464"/>
      <c r="AQ636" s="464"/>
      <c r="AR636" s="460">
        <f t="shared" si="289"/>
        <v>0</v>
      </c>
      <c r="AS636" s="467">
        <f t="shared" si="290"/>
        <v>0</v>
      </c>
      <c r="AT636" s="447">
        <f t="shared" si="291"/>
        <v>0</v>
      </c>
      <c r="AU636" s="448">
        <f t="shared" si="292"/>
        <v>0</v>
      </c>
      <c r="AV636" s="457"/>
      <c r="AW636" s="450"/>
      <c r="AX636" s="463">
        <v>26</v>
      </c>
      <c r="AY636" s="457">
        <v>165</v>
      </c>
      <c r="AZ636" s="625">
        <v>26</v>
      </c>
      <c r="BA636" s="625">
        <v>168</v>
      </c>
      <c r="BB636" s="465">
        <v>51</v>
      </c>
      <c r="BC636" s="457">
        <v>117</v>
      </c>
      <c r="BD636" s="625">
        <v>51</v>
      </c>
      <c r="BE636" s="626">
        <v>135</v>
      </c>
      <c r="BF636" s="465"/>
      <c r="BG636" s="457"/>
      <c r="BH636" s="625"/>
      <c r="BI636" s="626"/>
      <c r="BJ636" s="465"/>
      <c r="BK636" s="457"/>
      <c r="BL636" s="625"/>
      <c r="BM636" s="626"/>
      <c r="BN636" s="465"/>
      <c r="BO636" s="457"/>
      <c r="BP636" s="625"/>
      <c r="BQ636" s="626"/>
      <c r="BR636" s="465"/>
      <c r="BS636" s="457"/>
      <c r="BT636" s="464"/>
      <c r="BU636" s="466"/>
      <c r="BV636" s="465"/>
      <c r="BW636" s="457"/>
      <c r="BX636" s="464"/>
      <c r="BY636" s="466"/>
      <c r="BZ636" s="465"/>
      <c r="CA636" s="457"/>
      <c r="CB636" s="464"/>
      <c r="CC636" s="466"/>
      <c r="CD636" s="465"/>
      <c r="CE636" s="457"/>
      <c r="CF636" s="464"/>
      <c r="CG636" s="466"/>
      <c r="CH636" s="465"/>
      <c r="CI636" s="457"/>
      <c r="CJ636" s="464"/>
      <c r="CK636" s="466"/>
      <c r="CL636" s="459"/>
      <c r="CM636" s="627"/>
      <c r="CN636" s="468">
        <f t="shared" si="293"/>
        <v>282</v>
      </c>
      <c r="CO636" s="468">
        <f t="shared" si="294"/>
        <v>2</v>
      </c>
      <c r="CP636" s="469">
        <f t="shared" si="295"/>
        <v>303</v>
      </c>
      <c r="CQ636" s="469">
        <f t="shared" si="296"/>
        <v>2</v>
      </c>
      <c r="CR636" s="463">
        <v>26</v>
      </c>
      <c r="CS636" s="457">
        <v>12</v>
      </c>
      <c r="CT636" s="464">
        <v>51</v>
      </c>
      <c r="CU636" s="464">
        <v>18</v>
      </c>
      <c r="CV636" s="465">
        <v>51</v>
      </c>
      <c r="CW636" s="457">
        <v>5</v>
      </c>
      <c r="CX636" s="625">
        <v>26</v>
      </c>
      <c r="CY636" s="626">
        <v>17</v>
      </c>
      <c r="CZ636" s="465"/>
      <c r="DA636" s="457"/>
      <c r="DB636" s="625"/>
      <c r="DC636" s="626"/>
      <c r="DD636" s="465"/>
      <c r="DE636" s="457"/>
      <c r="DF636" s="625"/>
      <c r="DG636" s="626"/>
      <c r="DH636" s="465"/>
      <c r="DI636" s="457"/>
      <c r="DJ636" s="625"/>
      <c r="DK636" s="626"/>
      <c r="DL636" s="465"/>
      <c r="DM636" s="457"/>
      <c r="DN636" s="625"/>
      <c r="DO636" s="626"/>
      <c r="DP636" s="465"/>
      <c r="DQ636" s="457"/>
      <c r="DR636" s="464"/>
      <c r="DS636" s="466"/>
      <c r="DT636" s="465"/>
      <c r="DU636" s="457"/>
      <c r="DV636" s="464"/>
      <c r="DW636" s="466"/>
      <c r="DX636" s="465"/>
      <c r="DY636" s="457"/>
      <c r="DZ636" s="464"/>
      <c r="EA636" s="466"/>
      <c r="EB636" s="465"/>
      <c r="EC636" s="457"/>
      <c r="ED636" s="464"/>
      <c r="EE636" s="466"/>
      <c r="EF636" s="459"/>
      <c r="EG636" s="450"/>
      <c r="EH636" s="460">
        <f t="shared" si="297"/>
        <v>17</v>
      </c>
      <c r="EI636" s="460">
        <f t="shared" si="298"/>
        <v>2</v>
      </c>
      <c r="EJ636" s="458">
        <f t="shared" si="299"/>
        <v>0.70588235294117652</v>
      </c>
      <c r="EK636" s="470">
        <f t="shared" si="300"/>
        <v>35</v>
      </c>
      <c r="EL636" s="470">
        <f t="shared" si="301"/>
        <v>2</v>
      </c>
      <c r="EM636" s="449">
        <f t="shared" si="302"/>
        <v>0.51428571428571423</v>
      </c>
      <c r="EN636" s="460">
        <f t="shared" si="303"/>
        <v>299</v>
      </c>
      <c r="EO636" s="469">
        <f t="shared" si="304"/>
        <v>338</v>
      </c>
      <c r="EP636" s="471"/>
      <c r="EQ636" s="450"/>
      <c r="ER636" s="471"/>
      <c r="ES636" s="628">
        <v>0</v>
      </c>
      <c r="ET636" s="471"/>
      <c r="EU636" s="628"/>
      <c r="EV636" s="471"/>
      <c r="EW636" s="450"/>
      <c r="EX636" s="471"/>
      <c r="EY636" s="450"/>
      <c r="EZ636" s="471"/>
      <c r="FA636" s="450"/>
      <c r="FB636" s="471">
        <v>159</v>
      </c>
      <c r="FC636" s="628">
        <v>166</v>
      </c>
      <c r="FD636" s="471"/>
      <c r="FE636" s="450"/>
      <c r="FF636" s="471"/>
      <c r="FG636" s="450"/>
      <c r="FH636" s="472"/>
      <c r="FI636" s="627"/>
      <c r="FJ636" s="468">
        <f t="shared" si="305"/>
        <v>159</v>
      </c>
      <c r="FK636" s="469">
        <f t="shared" si="306"/>
        <v>166</v>
      </c>
      <c r="FL636" s="472"/>
      <c r="FM636" s="450"/>
      <c r="FN636" s="460">
        <f t="shared" si="307"/>
        <v>458</v>
      </c>
      <c r="FO636" s="469">
        <f t="shared" si="308"/>
        <v>504</v>
      </c>
    </row>
    <row r="637" spans="1:171" x14ac:dyDescent="0.2">
      <c r="A637" s="637" t="s">
        <v>854</v>
      </c>
      <c r="B637" s="644" t="s">
        <v>964</v>
      </c>
      <c r="C637" s="645"/>
      <c r="D637" s="546">
        <v>229300</v>
      </c>
      <c r="E637" s="547">
        <v>15</v>
      </c>
      <c r="F637" s="532"/>
      <c r="G637" s="450"/>
      <c r="H637" s="457"/>
      <c r="I637" s="450"/>
      <c r="J637" s="457">
        <v>2</v>
      </c>
      <c r="K637" s="627"/>
      <c r="L637" s="458">
        <f t="shared" si="285"/>
        <v>5.8997050147492625E-3</v>
      </c>
      <c r="M637" s="449">
        <f t="shared" si="286"/>
        <v>0</v>
      </c>
      <c r="N637" s="459">
        <v>339</v>
      </c>
      <c r="O637" s="459"/>
      <c r="P637" s="459"/>
      <c r="Q637" s="459"/>
      <c r="R637" s="460">
        <f t="shared" si="287"/>
        <v>0</v>
      </c>
      <c r="S637" s="651">
        <v>384</v>
      </c>
      <c r="T637" s="461"/>
      <c r="U637" s="461"/>
      <c r="V637" s="461"/>
      <c r="W637" s="462">
        <f t="shared" si="288"/>
        <v>0</v>
      </c>
      <c r="X637" s="463"/>
      <c r="Y637" s="457"/>
      <c r="Z637" s="464"/>
      <c r="AA637" s="464"/>
      <c r="AB637" s="465"/>
      <c r="AC637" s="457"/>
      <c r="AD637" s="464"/>
      <c r="AE637" s="466"/>
      <c r="AF637" s="465"/>
      <c r="AG637" s="457"/>
      <c r="AH637" s="464"/>
      <c r="AI637" s="466"/>
      <c r="AJ637" s="465"/>
      <c r="AK637" s="457"/>
      <c r="AL637" s="464"/>
      <c r="AM637" s="466"/>
      <c r="AN637" s="465"/>
      <c r="AO637" s="457"/>
      <c r="AP637" s="464"/>
      <c r="AQ637" s="464"/>
      <c r="AR637" s="460">
        <f t="shared" si="289"/>
        <v>0</v>
      </c>
      <c r="AS637" s="467">
        <f t="shared" si="290"/>
        <v>0.27294685990338163</v>
      </c>
      <c r="AT637" s="447">
        <f t="shared" si="291"/>
        <v>0</v>
      </c>
      <c r="AU637" s="448">
        <f t="shared" si="292"/>
        <v>0.2711864406779661</v>
      </c>
      <c r="AV637" s="457"/>
      <c r="AW637" s="450"/>
      <c r="AX637" s="463">
        <v>51</v>
      </c>
      <c r="AY637" s="457">
        <v>351</v>
      </c>
      <c r="AZ637" s="625">
        <v>51</v>
      </c>
      <c r="BA637" s="625">
        <v>450</v>
      </c>
      <c r="BB637" s="465">
        <v>26</v>
      </c>
      <c r="BC637" s="457">
        <v>93</v>
      </c>
      <c r="BD637" s="625">
        <v>26</v>
      </c>
      <c r="BE637" s="626">
        <v>118</v>
      </c>
      <c r="BF637" s="465">
        <v>14</v>
      </c>
      <c r="BG637" s="457">
        <v>9</v>
      </c>
      <c r="BH637" s="464">
        <v>14</v>
      </c>
      <c r="BI637" s="466">
        <v>4</v>
      </c>
      <c r="BJ637" s="465"/>
      <c r="BK637" s="457"/>
      <c r="BL637" s="464">
        <v>3</v>
      </c>
      <c r="BM637" s="466">
        <v>1</v>
      </c>
      <c r="BN637" s="465"/>
      <c r="BO637" s="457"/>
      <c r="BP637" s="625"/>
      <c r="BQ637" s="626"/>
      <c r="BR637" s="465"/>
      <c r="BS637" s="457"/>
      <c r="BT637" s="464"/>
      <c r="BU637" s="466"/>
      <c r="BV637" s="465"/>
      <c r="BW637" s="457"/>
      <c r="BX637" s="464"/>
      <c r="BY637" s="466"/>
      <c r="BZ637" s="465"/>
      <c r="CA637" s="457"/>
      <c r="CB637" s="464"/>
      <c r="CC637" s="466"/>
      <c r="CD637" s="465"/>
      <c r="CE637" s="457"/>
      <c r="CF637" s="464"/>
      <c r="CG637" s="466"/>
      <c r="CH637" s="465"/>
      <c r="CI637" s="457"/>
      <c r="CJ637" s="464"/>
      <c r="CK637" s="466"/>
      <c r="CL637" s="459"/>
      <c r="CM637" s="627">
        <v>24</v>
      </c>
      <c r="CN637" s="468">
        <f t="shared" si="293"/>
        <v>453</v>
      </c>
      <c r="CO637" s="468">
        <f t="shared" si="294"/>
        <v>3</v>
      </c>
      <c r="CP637" s="469">
        <f t="shared" si="295"/>
        <v>597</v>
      </c>
      <c r="CQ637" s="469">
        <f t="shared" si="296"/>
        <v>4</v>
      </c>
      <c r="CR637" s="463">
        <v>26</v>
      </c>
      <c r="CS637" s="457">
        <v>79</v>
      </c>
      <c r="CT637" s="625">
        <v>26</v>
      </c>
      <c r="CU637" s="625">
        <v>89</v>
      </c>
      <c r="CV637" s="465">
        <v>51</v>
      </c>
      <c r="CW637" s="457">
        <v>32</v>
      </c>
      <c r="CX637" s="464">
        <v>51</v>
      </c>
      <c r="CY637" s="466">
        <v>24</v>
      </c>
      <c r="CZ637" s="465">
        <v>30</v>
      </c>
      <c r="DA637" s="457">
        <v>6</v>
      </c>
      <c r="DB637" s="464">
        <v>44</v>
      </c>
      <c r="DC637" s="466">
        <v>12</v>
      </c>
      <c r="DD637" s="465">
        <v>44</v>
      </c>
      <c r="DE637" s="457">
        <v>5</v>
      </c>
      <c r="DF637" s="625">
        <v>14</v>
      </c>
      <c r="DG637" s="626">
        <v>8</v>
      </c>
      <c r="DH637" s="465">
        <v>3</v>
      </c>
      <c r="DI637" s="457">
        <v>3</v>
      </c>
      <c r="DJ637" s="625">
        <v>30</v>
      </c>
      <c r="DK637" s="626">
        <v>7</v>
      </c>
      <c r="DL637" s="465">
        <v>14</v>
      </c>
      <c r="DM637" s="457">
        <v>1</v>
      </c>
      <c r="DN637" s="625">
        <v>3</v>
      </c>
      <c r="DO637" s="626">
        <v>2</v>
      </c>
      <c r="DP637" s="465"/>
      <c r="DQ637" s="457"/>
      <c r="DR637" s="464"/>
      <c r="DS637" s="466"/>
      <c r="DT637" s="465"/>
      <c r="DU637" s="457"/>
      <c r="DV637" s="464"/>
      <c r="DW637" s="466"/>
      <c r="DX637" s="465"/>
      <c r="DY637" s="457"/>
      <c r="DZ637" s="464"/>
      <c r="EA637" s="466"/>
      <c r="EB637" s="465"/>
      <c r="EC637" s="457"/>
      <c r="ED637" s="464"/>
      <c r="EE637" s="466"/>
      <c r="EF637" s="459"/>
      <c r="EG637" s="450"/>
      <c r="EH637" s="460">
        <f t="shared" si="297"/>
        <v>126</v>
      </c>
      <c r="EI637" s="460">
        <f t="shared" si="298"/>
        <v>6</v>
      </c>
      <c r="EJ637" s="458">
        <f t="shared" si="299"/>
        <v>0.62698412698412698</v>
      </c>
      <c r="EK637" s="470">
        <f t="shared" si="300"/>
        <v>142</v>
      </c>
      <c r="EL637" s="470">
        <f t="shared" si="301"/>
        <v>6</v>
      </c>
      <c r="EM637" s="449">
        <f t="shared" si="302"/>
        <v>0.62676056338028174</v>
      </c>
      <c r="EN637" s="460">
        <f t="shared" si="303"/>
        <v>579</v>
      </c>
      <c r="EO637" s="469">
        <f t="shared" si="304"/>
        <v>739</v>
      </c>
      <c r="EP637" s="471"/>
      <c r="EQ637" s="450"/>
      <c r="ER637" s="471">
        <v>241</v>
      </c>
      <c r="ES637" s="628">
        <v>214</v>
      </c>
      <c r="ET637" s="471">
        <v>81</v>
      </c>
      <c r="EU637" s="628">
        <v>79</v>
      </c>
      <c r="EV637" s="471"/>
      <c r="EW637" s="450"/>
      <c r="EX637" s="471"/>
      <c r="EY637" s="450"/>
      <c r="EZ637" s="471"/>
      <c r="FA637" s="450"/>
      <c r="FB637" s="471"/>
      <c r="FC637" s="450"/>
      <c r="FD637" s="471"/>
      <c r="FE637" s="450"/>
      <c r="FF637" s="471"/>
      <c r="FG637" s="450"/>
      <c r="FH637" s="472"/>
      <c r="FI637" s="627"/>
      <c r="FJ637" s="468">
        <f t="shared" si="305"/>
        <v>322</v>
      </c>
      <c r="FK637" s="469">
        <f t="shared" si="306"/>
        <v>293</v>
      </c>
      <c r="FL637" s="472"/>
      <c r="FM637" s="450"/>
      <c r="FN637" s="460">
        <f t="shared" si="307"/>
        <v>1242</v>
      </c>
      <c r="FO637" s="469">
        <f t="shared" si="308"/>
        <v>1416</v>
      </c>
    </row>
    <row r="638" spans="1:171" x14ac:dyDescent="0.2">
      <c r="A638" s="637" t="s">
        <v>854</v>
      </c>
      <c r="B638" s="644" t="s">
        <v>965</v>
      </c>
      <c r="C638" s="645"/>
      <c r="D638" s="546">
        <v>228644</v>
      </c>
      <c r="E638" s="547">
        <v>15</v>
      </c>
      <c r="F638" s="532"/>
      <c r="G638" s="450"/>
      <c r="H638" s="457"/>
      <c r="I638" s="450"/>
      <c r="J638" s="457">
        <v>197</v>
      </c>
      <c r="K638" s="640">
        <v>133</v>
      </c>
      <c r="L638" s="458">
        <f t="shared" si="285"/>
        <v>0.43680709534368073</v>
      </c>
      <c r="M638" s="449">
        <f t="shared" si="286"/>
        <v>0.28059071729957807</v>
      </c>
      <c r="N638" s="459">
        <v>451</v>
      </c>
      <c r="O638" s="459"/>
      <c r="P638" s="459"/>
      <c r="Q638" s="459"/>
      <c r="R638" s="460">
        <f t="shared" si="287"/>
        <v>0</v>
      </c>
      <c r="S638" s="650">
        <v>474</v>
      </c>
      <c r="T638" s="461"/>
      <c r="U638" s="461"/>
      <c r="V638" s="461"/>
      <c r="W638" s="462">
        <f t="shared" si="288"/>
        <v>0</v>
      </c>
      <c r="X638" s="463"/>
      <c r="Y638" s="457"/>
      <c r="Z638" s="464"/>
      <c r="AA638" s="464"/>
      <c r="AB638" s="465"/>
      <c r="AC638" s="457"/>
      <c r="AD638" s="464"/>
      <c r="AE638" s="466"/>
      <c r="AF638" s="465"/>
      <c r="AG638" s="457"/>
      <c r="AH638" s="464"/>
      <c r="AI638" s="466"/>
      <c r="AJ638" s="465"/>
      <c r="AK638" s="457"/>
      <c r="AL638" s="464"/>
      <c r="AM638" s="466"/>
      <c r="AN638" s="465"/>
      <c r="AO638" s="457"/>
      <c r="AP638" s="464"/>
      <c r="AQ638" s="464"/>
      <c r="AR638" s="460">
        <f t="shared" si="289"/>
        <v>0</v>
      </c>
      <c r="AS638" s="467">
        <f t="shared" si="290"/>
        <v>0.35879077167859985</v>
      </c>
      <c r="AT638" s="447">
        <f t="shared" si="291"/>
        <v>0</v>
      </c>
      <c r="AU638" s="448">
        <f t="shared" si="292"/>
        <v>0.3882063882063882</v>
      </c>
      <c r="AV638" s="457"/>
      <c r="AW638" s="450"/>
      <c r="AX638" s="463">
        <v>51</v>
      </c>
      <c r="AY638" s="457">
        <v>157</v>
      </c>
      <c r="AZ638" s="625">
        <v>51</v>
      </c>
      <c r="BA638" s="625">
        <v>177</v>
      </c>
      <c r="BB638" s="465">
        <v>26</v>
      </c>
      <c r="BC638" s="457">
        <v>9</v>
      </c>
      <c r="BD638" s="625">
        <v>13</v>
      </c>
      <c r="BE638" s="626">
        <v>6</v>
      </c>
      <c r="BF638" s="465">
        <v>13</v>
      </c>
      <c r="BG638" s="457">
        <v>6</v>
      </c>
      <c r="BH638" s="625">
        <v>26</v>
      </c>
      <c r="BI638" s="626">
        <v>4</v>
      </c>
      <c r="BJ638" s="465">
        <v>40</v>
      </c>
      <c r="BK638" s="457">
        <v>2</v>
      </c>
      <c r="BL638" s="625">
        <v>14</v>
      </c>
      <c r="BM638" s="626">
        <v>1</v>
      </c>
      <c r="BN638" s="465"/>
      <c r="BO638" s="457"/>
      <c r="BP638" s="625"/>
      <c r="BQ638" s="626"/>
      <c r="BR638" s="465"/>
      <c r="BS638" s="457"/>
      <c r="BT638" s="464"/>
      <c r="BU638" s="466"/>
      <c r="BV638" s="465"/>
      <c r="BW638" s="457"/>
      <c r="BX638" s="464"/>
      <c r="BY638" s="466"/>
      <c r="BZ638" s="465"/>
      <c r="CA638" s="457"/>
      <c r="CB638" s="464"/>
      <c r="CC638" s="466"/>
      <c r="CD638" s="465"/>
      <c r="CE638" s="457"/>
      <c r="CF638" s="464"/>
      <c r="CG638" s="466"/>
      <c r="CH638" s="465"/>
      <c r="CI638" s="457"/>
      <c r="CJ638" s="464"/>
      <c r="CK638" s="466"/>
      <c r="CL638" s="459">
        <v>23</v>
      </c>
      <c r="CM638" s="627">
        <v>37</v>
      </c>
      <c r="CN638" s="468">
        <f t="shared" si="293"/>
        <v>197</v>
      </c>
      <c r="CO638" s="468">
        <f t="shared" si="294"/>
        <v>4</v>
      </c>
      <c r="CP638" s="469">
        <f t="shared" si="295"/>
        <v>225</v>
      </c>
      <c r="CQ638" s="469">
        <f t="shared" si="296"/>
        <v>4</v>
      </c>
      <c r="CR638" s="463">
        <v>26</v>
      </c>
      <c r="CS638" s="457">
        <v>35</v>
      </c>
      <c r="CT638" s="753">
        <v>26</v>
      </c>
      <c r="CU638" s="753">
        <v>42</v>
      </c>
      <c r="CV638" s="465">
        <v>40</v>
      </c>
      <c r="CW638" s="457">
        <v>7</v>
      </c>
      <c r="CX638" s="625">
        <v>51</v>
      </c>
      <c r="CY638" s="626">
        <v>8</v>
      </c>
      <c r="CZ638" s="465">
        <v>51</v>
      </c>
      <c r="DA638" s="457">
        <v>5</v>
      </c>
      <c r="DB638" s="625">
        <v>14</v>
      </c>
      <c r="DC638" s="626">
        <v>3</v>
      </c>
      <c r="DD638" s="465">
        <v>14</v>
      </c>
      <c r="DE638" s="457">
        <v>2</v>
      </c>
      <c r="DF638" s="625"/>
      <c r="DG638" s="626"/>
      <c r="DH638" s="465"/>
      <c r="DI638" s="457"/>
      <c r="DJ638" s="625"/>
      <c r="DK638" s="626"/>
      <c r="DL638" s="465"/>
      <c r="DM638" s="457"/>
      <c r="DN638" s="625"/>
      <c r="DO638" s="626"/>
      <c r="DP638" s="465"/>
      <c r="DQ638" s="457"/>
      <c r="DR638" s="464"/>
      <c r="DS638" s="466"/>
      <c r="DT638" s="465"/>
      <c r="DU638" s="457"/>
      <c r="DV638" s="464"/>
      <c r="DW638" s="466"/>
      <c r="DX638" s="465"/>
      <c r="DY638" s="457"/>
      <c r="DZ638" s="464"/>
      <c r="EA638" s="466"/>
      <c r="EB638" s="465"/>
      <c r="EC638" s="457"/>
      <c r="ED638" s="464"/>
      <c r="EE638" s="466"/>
      <c r="EF638" s="459"/>
      <c r="EG638" s="450"/>
      <c r="EH638" s="460">
        <f t="shared" si="297"/>
        <v>49</v>
      </c>
      <c r="EI638" s="460">
        <f t="shared" si="298"/>
        <v>4</v>
      </c>
      <c r="EJ638" s="458">
        <f t="shared" si="299"/>
        <v>0.7142857142857143</v>
      </c>
      <c r="EK638" s="470">
        <f t="shared" si="300"/>
        <v>53</v>
      </c>
      <c r="EL638" s="470">
        <f t="shared" si="301"/>
        <v>3</v>
      </c>
      <c r="EM638" s="449">
        <f t="shared" si="302"/>
        <v>0.79245283018867929</v>
      </c>
      <c r="EN638" s="460">
        <f t="shared" si="303"/>
        <v>246</v>
      </c>
      <c r="EO638" s="469">
        <f t="shared" si="304"/>
        <v>278</v>
      </c>
      <c r="EP638" s="471"/>
      <c r="EQ638" s="450"/>
      <c r="ER638" s="471">
        <v>216</v>
      </c>
      <c r="ES638" s="628">
        <v>207</v>
      </c>
      <c r="ET638" s="471">
        <v>107</v>
      </c>
      <c r="EU638" s="628">
        <v>92</v>
      </c>
      <c r="EV638" s="471"/>
      <c r="EW638" s="450"/>
      <c r="EX638" s="471"/>
      <c r="EY638" s="450"/>
      <c r="EZ638" s="471"/>
      <c r="FA638" s="450"/>
      <c r="FB638" s="471"/>
      <c r="FC638" s="450"/>
      <c r="FD638" s="471"/>
      <c r="FE638" s="450"/>
      <c r="FF638" s="471"/>
      <c r="FG638" s="450"/>
      <c r="FH638" s="472">
        <v>40</v>
      </c>
      <c r="FI638" s="627">
        <v>37</v>
      </c>
      <c r="FJ638" s="468">
        <f t="shared" si="305"/>
        <v>363</v>
      </c>
      <c r="FK638" s="469">
        <f t="shared" si="306"/>
        <v>336</v>
      </c>
      <c r="FL638" s="472"/>
      <c r="FM638" s="450"/>
      <c r="FN638" s="460">
        <f t="shared" si="307"/>
        <v>1257</v>
      </c>
      <c r="FO638" s="469">
        <f t="shared" si="308"/>
        <v>1221</v>
      </c>
    </row>
    <row r="639" spans="1:171" x14ac:dyDescent="0.2">
      <c r="A639" s="637" t="s">
        <v>854</v>
      </c>
      <c r="B639" s="644" t="s">
        <v>966</v>
      </c>
      <c r="C639" s="645"/>
      <c r="D639" s="546">
        <v>416801</v>
      </c>
      <c r="E639" s="547">
        <v>15</v>
      </c>
      <c r="F639" s="532"/>
      <c r="G639" s="450"/>
      <c r="H639" s="457"/>
      <c r="I639" s="450"/>
      <c r="J639" s="457"/>
      <c r="K639" s="450"/>
      <c r="L639" s="458">
        <f t="shared" si="285"/>
        <v>0</v>
      </c>
      <c r="M639" s="449">
        <f t="shared" si="286"/>
        <v>0</v>
      </c>
      <c r="N639" s="459">
        <v>109</v>
      </c>
      <c r="O639" s="459"/>
      <c r="P639" s="459"/>
      <c r="Q639" s="459"/>
      <c r="R639" s="460">
        <f t="shared" si="287"/>
        <v>0</v>
      </c>
      <c r="S639" s="650">
        <v>141</v>
      </c>
      <c r="T639" s="461"/>
      <c r="U639" s="461"/>
      <c r="V639" s="461"/>
      <c r="W639" s="462">
        <f t="shared" si="288"/>
        <v>0</v>
      </c>
      <c r="X639" s="463"/>
      <c r="Y639" s="457"/>
      <c r="Z639" s="464"/>
      <c r="AA639" s="464"/>
      <c r="AB639" s="465"/>
      <c r="AC639" s="457"/>
      <c r="AD639" s="464"/>
      <c r="AE639" s="466"/>
      <c r="AF639" s="465"/>
      <c r="AG639" s="457"/>
      <c r="AH639" s="464"/>
      <c r="AI639" s="466"/>
      <c r="AJ639" s="465"/>
      <c r="AK639" s="457"/>
      <c r="AL639" s="464"/>
      <c r="AM639" s="466"/>
      <c r="AN639" s="465"/>
      <c r="AO639" s="457"/>
      <c r="AP639" s="464"/>
      <c r="AQ639" s="464"/>
      <c r="AR639" s="460">
        <f t="shared" si="289"/>
        <v>0</v>
      </c>
      <c r="AS639" s="467">
        <f t="shared" si="290"/>
        <v>1</v>
      </c>
      <c r="AT639" s="447">
        <f t="shared" si="291"/>
        <v>0</v>
      </c>
      <c r="AU639" s="448">
        <f t="shared" si="292"/>
        <v>1</v>
      </c>
      <c r="AV639" s="457"/>
      <c r="AW639" s="450"/>
      <c r="AX639" s="463"/>
      <c r="AY639" s="457"/>
      <c r="AZ639" s="751"/>
      <c r="BA639" s="757"/>
      <c r="BB639" s="465"/>
      <c r="BC639" s="457"/>
      <c r="BD639" s="753"/>
      <c r="BE639" s="761"/>
      <c r="BF639" s="465"/>
      <c r="BG639" s="457"/>
      <c r="BH639" s="751"/>
      <c r="BI639" s="750"/>
      <c r="BJ639" s="465"/>
      <c r="BK639" s="457"/>
      <c r="BL639" s="753">
        <v>0</v>
      </c>
      <c r="BM639" s="761">
        <v>0</v>
      </c>
      <c r="BN639" s="465"/>
      <c r="BO639" s="457"/>
      <c r="BP639" s="625"/>
      <c r="BQ639" s="626"/>
      <c r="BR639" s="465"/>
      <c r="BS639" s="457"/>
      <c r="BT639" s="550"/>
      <c r="BU639" s="551"/>
      <c r="BV639" s="465"/>
      <c r="BW639" s="457"/>
      <c r="BX639" s="464"/>
      <c r="BY639" s="466"/>
      <c r="BZ639" s="465"/>
      <c r="CA639" s="457"/>
      <c r="CB639" s="464"/>
      <c r="CC639" s="466"/>
      <c r="CD639" s="465"/>
      <c r="CE639" s="457"/>
      <c r="CF639" s="464"/>
      <c r="CG639" s="466"/>
      <c r="CH639" s="465"/>
      <c r="CI639" s="457"/>
      <c r="CJ639" s="464"/>
      <c r="CK639" s="466"/>
      <c r="CL639" s="459"/>
      <c r="CM639" s="627"/>
      <c r="CN639" s="468">
        <f t="shared" si="293"/>
        <v>0</v>
      </c>
      <c r="CO639" s="468">
        <f t="shared" si="294"/>
        <v>0</v>
      </c>
      <c r="CP639" s="469">
        <f t="shared" si="295"/>
        <v>0</v>
      </c>
      <c r="CQ639" s="469">
        <f t="shared" si="296"/>
        <v>1</v>
      </c>
      <c r="CR639" s="463"/>
      <c r="CS639" s="457"/>
      <c r="CT639" s="779"/>
      <c r="CU639" s="781"/>
      <c r="CV639" s="465"/>
      <c r="CW639" s="457"/>
      <c r="CX639" s="625"/>
      <c r="CY639" s="626"/>
      <c r="CZ639" s="465"/>
      <c r="DA639" s="457"/>
      <c r="DB639" s="625">
        <v>0</v>
      </c>
      <c r="DC639" s="626">
        <v>0</v>
      </c>
      <c r="DD639" s="465"/>
      <c r="DE639" s="457"/>
      <c r="DF639" s="625"/>
      <c r="DG639" s="626"/>
      <c r="DH639" s="465"/>
      <c r="DI639" s="457"/>
      <c r="DJ639" s="464"/>
      <c r="DK639" s="466"/>
      <c r="DL639" s="465"/>
      <c r="DM639" s="457"/>
      <c r="DN639" s="625"/>
      <c r="DO639" s="626"/>
      <c r="DP639" s="465"/>
      <c r="DQ639" s="457"/>
      <c r="DR639" s="464"/>
      <c r="DS639" s="466"/>
      <c r="DT639" s="465"/>
      <c r="DU639" s="457"/>
      <c r="DV639" s="464"/>
      <c r="DW639" s="466"/>
      <c r="DX639" s="465"/>
      <c r="DY639" s="457"/>
      <c r="DZ639" s="464"/>
      <c r="EA639" s="466"/>
      <c r="EB639" s="465"/>
      <c r="EC639" s="457"/>
      <c r="ED639" s="464"/>
      <c r="EE639" s="466"/>
      <c r="EF639" s="459"/>
      <c r="EG639" s="450"/>
      <c r="EH639" s="460">
        <f t="shared" si="297"/>
        <v>0</v>
      </c>
      <c r="EI639" s="460">
        <f t="shared" si="298"/>
        <v>0</v>
      </c>
      <c r="EJ639" s="458">
        <f t="shared" si="299"/>
        <v>0</v>
      </c>
      <c r="EK639" s="470">
        <f t="shared" si="300"/>
        <v>0</v>
      </c>
      <c r="EL639" s="470">
        <f t="shared" si="301"/>
        <v>1</v>
      </c>
      <c r="EM639" s="449">
        <f t="shared" si="302"/>
        <v>0</v>
      </c>
      <c r="EN639" s="460">
        <f t="shared" si="303"/>
        <v>0</v>
      </c>
      <c r="EO639" s="469">
        <f t="shared" si="304"/>
        <v>0</v>
      </c>
      <c r="EP639" s="471"/>
      <c r="EQ639" s="450"/>
      <c r="ER639" s="471"/>
      <c r="ES639" s="450"/>
      <c r="ET639" s="471"/>
      <c r="EU639" s="450"/>
      <c r="EV639" s="471"/>
      <c r="EW639" s="450"/>
      <c r="EX639" s="471"/>
      <c r="EY639" s="450"/>
      <c r="EZ639" s="471"/>
      <c r="FA639" s="450"/>
      <c r="FB639" s="471"/>
      <c r="FC639" s="450"/>
      <c r="FD639" s="471"/>
      <c r="FE639" s="450"/>
      <c r="FF639" s="471"/>
      <c r="FG639" s="450"/>
      <c r="FH639" s="472"/>
      <c r="FI639" s="627"/>
      <c r="FJ639" s="468">
        <f t="shared" si="305"/>
        <v>0</v>
      </c>
      <c r="FK639" s="469">
        <f t="shared" si="306"/>
        <v>0</v>
      </c>
      <c r="FL639" s="472"/>
      <c r="FM639" s="450"/>
      <c r="FN639" s="460">
        <f t="shared" si="307"/>
        <v>109</v>
      </c>
      <c r="FO639" s="469">
        <f t="shared" si="308"/>
        <v>141</v>
      </c>
    </row>
    <row r="640" spans="1:171" x14ac:dyDescent="0.2">
      <c r="A640" s="637" t="s">
        <v>854</v>
      </c>
      <c r="B640" s="644" t="s">
        <v>967</v>
      </c>
      <c r="C640" s="645"/>
      <c r="D640" s="546">
        <v>228653</v>
      </c>
      <c r="E640" s="547">
        <v>15</v>
      </c>
      <c r="F640" s="532"/>
      <c r="G640" s="450"/>
      <c r="H640" s="457"/>
      <c r="I640" s="450"/>
      <c r="J640" s="457"/>
      <c r="K640" s="450"/>
      <c r="L640" s="458">
        <f t="shared" si="285"/>
        <v>0</v>
      </c>
      <c r="M640" s="449">
        <f t="shared" si="286"/>
        <v>0</v>
      </c>
      <c r="N640" s="459">
        <v>328</v>
      </c>
      <c r="O640" s="459"/>
      <c r="P640" s="459"/>
      <c r="Q640" s="459"/>
      <c r="R640" s="460">
        <f t="shared" si="287"/>
        <v>0</v>
      </c>
      <c r="S640" s="650">
        <v>390</v>
      </c>
      <c r="T640" s="461"/>
      <c r="U640" s="461"/>
      <c r="V640" s="461"/>
      <c r="W640" s="462">
        <f t="shared" si="288"/>
        <v>0</v>
      </c>
      <c r="X640" s="463"/>
      <c r="Y640" s="457"/>
      <c r="Z640" s="464"/>
      <c r="AA640" s="464"/>
      <c r="AB640" s="465"/>
      <c r="AC640" s="457"/>
      <c r="AD640" s="464"/>
      <c r="AE640" s="466"/>
      <c r="AF640" s="465"/>
      <c r="AG640" s="457"/>
      <c r="AH640" s="464"/>
      <c r="AI640" s="466"/>
      <c r="AJ640" s="465"/>
      <c r="AK640" s="457"/>
      <c r="AL640" s="464"/>
      <c r="AM640" s="466"/>
      <c r="AN640" s="465"/>
      <c r="AO640" s="457"/>
      <c r="AP640" s="464"/>
      <c r="AQ640" s="464"/>
      <c r="AR640" s="460">
        <f t="shared" si="289"/>
        <v>0</v>
      </c>
      <c r="AS640" s="467">
        <f t="shared" si="290"/>
        <v>0.39854191980558928</v>
      </c>
      <c r="AT640" s="447">
        <f t="shared" si="291"/>
        <v>0</v>
      </c>
      <c r="AU640" s="448">
        <f t="shared" si="292"/>
        <v>0.3651685393258427</v>
      </c>
      <c r="AV640" s="457"/>
      <c r="AW640" s="450"/>
      <c r="AX640" s="463">
        <v>51</v>
      </c>
      <c r="AY640" s="457">
        <v>173</v>
      </c>
      <c r="AZ640" s="753">
        <v>51</v>
      </c>
      <c r="BA640" s="753">
        <v>258</v>
      </c>
      <c r="BB640" s="465">
        <v>26</v>
      </c>
      <c r="BC640" s="457">
        <v>1</v>
      </c>
      <c r="BD640" s="625">
        <v>26</v>
      </c>
      <c r="BE640" s="626">
        <v>3</v>
      </c>
      <c r="BF640" s="465">
        <v>30</v>
      </c>
      <c r="BG640" s="457">
        <v>1</v>
      </c>
      <c r="BH640" s="753">
        <v>30</v>
      </c>
      <c r="BI640" s="761">
        <v>3</v>
      </c>
      <c r="BJ640" s="465"/>
      <c r="BK640" s="457"/>
      <c r="BL640" s="625">
        <v>0</v>
      </c>
      <c r="BM640" s="626">
        <v>0</v>
      </c>
      <c r="BN640" s="465"/>
      <c r="BO640" s="457"/>
      <c r="BP640" s="625"/>
      <c r="BQ640" s="626"/>
      <c r="BR640" s="465"/>
      <c r="BS640" s="457"/>
      <c r="BT640" s="464"/>
      <c r="BU640" s="466"/>
      <c r="BV640" s="465"/>
      <c r="BW640" s="457"/>
      <c r="BX640" s="625"/>
      <c r="BY640" s="626"/>
      <c r="BZ640" s="465"/>
      <c r="CA640" s="457"/>
      <c r="CB640" s="464"/>
      <c r="CC640" s="466"/>
      <c r="CD640" s="465"/>
      <c r="CE640" s="457"/>
      <c r="CF640" s="464"/>
      <c r="CG640" s="466"/>
      <c r="CH640" s="465"/>
      <c r="CI640" s="457"/>
      <c r="CJ640" s="464"/>
      <c r="CK640" s="466"/>
      <c r="CL640" s="459">
        <v>7</v>
      </c>
      <c r="CM640" s="627">
        <v>74</v>
      </c>
      <c r="CN640" s="468">
        <f t="shared" si="293"/>
        <v>182</v>
      </c>
      <c r="CO640" s="468">
        <f t="shared" si="294"/>
        <v>3</v>
      </c>
      <c r="CP640" s="469">
        <f t="shared" si="295"/>
        <v>338</v>
      </c>
      <c r="CQ640" s="469">
        <f t="shared" si="296"/>
        <v>4</v>
      </c>
      <c r="CR640" s="463">
        <v>26</v>
      </c>
      <c r="CS640" s="457">
        <v>34</v>
      </c>
      <c r="CT640" s="779">
        <v>26</v>
      </c>
      <c r="CU640" s="781">
        <v>32</v>
      </c>
      <c r="CV640" s="465">
        <v>51</v>
      </c>
      <c r="CW640" s="457">
        <v>11</v>
      </c>
      <c r="CX640" s="625">
        <v>51</v>
      </c>
      <c r="CY640" s="626">
        <v>8</v>
      </c>
      <c r="CZ640" s="465"/>
      <c r="DA640" s="457"/>
      <c r="DB640" s="625"/>
      <c r="DC640" s="626"/>
      <c r="DD640" s="465"/>
      <c r="DE640" s="457"/>
      <c r="DF640" s="625"/>
      <c r="DG640" s="626"/>
      <c r="DH640" s="465"/>
      <c r="DI640" s="457"/>
      <c r="DJ640" s="464"/>
      <c r="DK640" s="466"/>
      <c r="DL640" s="465"/>
      <c r="DM640" s="457"/>
      <c r="DN640" s="464"/>
      <c r="DO640" s="466"/>
      <c r="DP640" s="465"/>
      <c r="DQ640" s="457"/>
      <c r="DR640" s="464"/>
      <c r="DS640" s="466"/>
      <c r="DT640" s="465"/>
      <c r="DU640" s="457"/>
      <c r="DV640" s="464"/>
      <c r="DW640" s="466"/>
      <c r="DX640" s="465"/>
      <c r="DY640" s="457"/>
      <c r="DZ640" s="464"/>
      <c r="EA640" s="466"/>
      <c r="EB640" s="465"/>
      <c r="EC640" s="457"/>
      <c r="ED640" s="464"/>
      <c r="EE640" s="466"/>
      <c r="EF640" s="459"/>
      <c r="EG640" s="450"/>
      <c r="EH640" s="460">
        <f t="shared" si="297"/>
        <v>45</v>
      </c>
      <c r="EI640" s="460">
        <f t="shared" si="298"/>
        <v>2</v>
      </c>
      <c r="EJ640" s="458">
        <f t="shared" si="299"/>
        <v>0.75555555555555554</v>
      </c>
      <c r="EK640" s="470">
        <f t="shared" si="300"/>
        <v>40</v>
      </c>
      <c r="EL640" s="470">
        <f t="shared" si="301"/>
        <v>2</v>
      </c>
      <c r="EM640" s="449">
        <f t="shared" si="302"/>
        <v>0.8</v>
      </c>
      <c r="EN640" s="460">
        <f t="shared" si="303"/>
        <v>227</v>
      </c>
      <c r="EO640" s="469">
        <f t="shared" si="304"/>
        <v>378</v>
      </c>
      <c r="EP640" s="471"/>
      <c r="EQ640" s="450"/>
      <c r="ER640" s="471">
        <v>215</v>
      </c>
      <c r="ES640" s="450">
        <v>237</v>
      </c>
      <c r="ET640" s="471"/>
      <c r="EU640" s="450"/>
      <c r="EV640" s="471"/>
      <c r="EW640" s="450"/>
      <c r="EX640" s="471"/>
      <c r="EY640" s="450"/>
      <c r="EZ640" s="471"/>
      <c r="FA640" s="450"/>
      <c r="FB640" s="471"/>
      <c r="FC640" s="450"/>
      <c r="FD640" s="471"/>
      <c r="FE640" s="450"/>
      <c r="FF640" s="471"/>
      <c r="FG640" s="450"/>
      <c r="FH640" s="472">
        <v>53</v>
      </c>
      <c r="FI640" s="627">
        <v>63</v>
      </c>
      <c r="FJ640" s="468">
        <f t="shared" si="305"/>
        <v>268</v>
      </c>
      <c r="FK640" s="469">
        <f t="shared" si="306"/>
        <v>300</v>
      </c>
      <c r="FL640" s="472"/>
      <c r="FM640" s="450"/>
      <c r="FN640" s="460">
        <f t="shared" si="307"/>
        <v>823</v>
      </c>
      <c r="FO640" s="469">
        <f t="shared" si="308"/>
        <v>1068</v>
      </c>
    </row>
    <row r="641" spans="1:171" x14ac:dyDescent="0.2">
      <c r="A641" s="637" t="s">
        <v>854</v>
      </c>
      <c r="B641" s="644" t="s">
        <v>968</v>
      </c>
      <c r="C641" s="645"/>
      <c r="D641" s="546">
        <v>228635</v>
      </c>
      <c r="E641" s="547">
        <v>15</v>
      </c>
      <c r="F641" s="532"/>
      <c r="G641" s="450"/>
      <c r="H641" s="457"/>
      <c r="I641" s="450"/>
      <c r="J641" s="457"/>
      <c r="K641" s="450"/>
      <c r="L641" s="458">
        <f t="shared" si="285"/>
        <v>0</v>
      </c>
      <c r="M641" s="449">
        <f t="shared" si="286"/>
        <v>0</v>
      </c>
      <c r="N641" s="459">
        <v>33</v>
      </c>
      <c r="O641" s="459"/>
      <c r="P641" s="459"/>
      <c r="Q641" s="459"/>
      <c r="R641" s="460">
        <f t="shared" si="287"/>
        <v>0</v>
      </c>
      <c r="S641" s="747">
        <v>14</v>
      </c>
      <c r="T641" s="461"/>
      <c r="U641" s="461"/>
      <c r="V641" s="461"/>
      <c r="W641" s="462">
        <f t="shared" si="288"/>
        <v>0</v>
      </c>
      <c r="X641" s="463"/>
      <c r="Y641" s="457"/>
      <c r="Z641" s="464"/>
      <c r="AA641" s="464"/>
      <c r="AB641" s="465"/>
      <c r="AC641" s="457"/>
      <c r="AD641" s="464"/>
      <c r="AE641" s="466"/>
      <c r="AF641" s="465"/>
      <c r="AG641" s="457"/>
      <c r="AH641" s="464"/>
      <c r="AI641" s="466"/>
      <c r="AJ641" s="465"/>
      <c r="AK641" s="457"/>
      <c r="AL641" s="464"/>
      <c r="AM641" s="466"/>
      <c r="AN641" s="465"/>
      <c r="AO641" s="457"/>
      <c r="AP641" s="464"/>
      <c r="AQ641" s="464"/>
      <c r="AR641" s="460">
        <f t="shared" si="289"/>
        <v>0</v>
      </c>
      <c r="AS641" s="467">
        <f t="shared" si="290"/>
        <v>5.2380952380952382E-2</v>
      </c>
      <c r="AT641" s="447">
        <f t="shared" si="291"/>
        <v>0</v>
      </c>
      <c r="AU641" s="448">
        <f t="shared" si="292"/>
        <v>2.1052631578947368E-2</v>
      </c>
      <c r="AV641" s="457"/>
      <c r="AW641" s="450"/>
      <c r="AX641" s="463">
        <v>51</v>
      </c>
      <c r="AY641" s="457">
        <v>63</v>
      </c>
      <c r="AZ641" s="625">
        <v>51</v>
      </c>
      <c r="BA641" s="625">
        <v>85</v>
      </c>
      <c r="BB641" s="465">
        <v>26</v>
      </c>
      <c r="BC641" s="457">
        <v>5</v>
      </c>
      <c r="BD641" s="625">
        <v>26</v>
      </c>
      <c r="BE641" s="626">
        <v>9</v>
      </c>
      <c r="BF641" s="465"/>
      <c r="BG641" s="457"/>
      <c r="BH641" s="751"/>
      <c r="BI641" s="750"/>
      <c r="BJ641" s="465"/>
      <c r="BK641" s="457"/>
      <c r="BL641" s="625"/>
      <c r="BM641" s="626"/>
      <c r="BN641" s="465"/>
      <c r="BO641" s="457"/>
      <c r="BP641" s="625"/>
      <c r="BQ641" s="626"/>
      <c r="BR641" s="465"/>
      <c r="BS641" s="457"/>
      <c r="BT641" s="464"/>
      <c r="BU641" s="466"/>
      <c r="BV641" s="465"/>
      <c r="BW641" s="457"/>
      <c r="BX641" s="625"/>
      <c r="BY641" s="626"/>
      <c r="BZ641" s="465"/>
      <c r="CA641" s="457"/>
      <c r="CB641" s="464"/>
      <c r="CC641" s="466"/>
      <c r="CD641" s="465"/>
      <c r="CE641" s="457"/>
      <c r="CF641" s="464"/>
      <c r="CG641" s="466"/>
      <c r="CH641" s="465"/>
      <c r="CI641" s="457"/>
      <c r="CJ641" s="464"/>
      <c r="CK641" s="466"/>
      <c r="CL641" s="459">
        <v>209</v>
      </c>
      <c r="CM641" s="627">
        <v>185</v>
      </c>
      <c r="CN641" s="468">
        <f t="shared" si="293"/>
        <v>277</v>
      </c>
      <c r="CO641" s="468">
        <f t="shared" si="294"/>
        <v>2</v>
      </c>
      <c r="CP641" s="469">
        <f t="shared" si="295"/>
        <v>279</v>
      </c>
      <c r="CQ641" s="469">
        <f t="shared" si="296"/>
        <v>2</v>
      </c>
      <c r="CR641" s="463">
        <v>26</v>
      </c>
      <c r="CS641" s="457">
        <v>66</v>
      </c>
      <c r="CT641" s="625">
        <v>26</v>
      </c>
      <c r="CU641" s="625">
        <v>88</v>
      </c>
      <c r="CV641" s="465">
        <v>42</v>
      </c>
      <c r="CW641" s="457">
        <v>8</v>
      </c>
      <c r="CX641" s="625">
        <v>42</v>
      </c>
      <c r="CY641" s="626">
        <v>17</v>
      </c>
      <c r="CZ641" s="465">
        <v>14</v>
      </c>
      <c r="DA641" s="457">
        <v>1</v>
      </c>
      <c r="DB641" s="625">
        <v>14</v>
      </c>
      <c r="DC641" s="626">
        <v>5</v>
      </c>
      <c r="DD641" s="465"/>
      <c r="DE641" s="457"/>
      <c r="DF641" s="464"/>
      <c r="DG641" s="466"/>
      <c r="DH641" s="465"/>
      <c r="DI641" s="457"/>
      <c r="DJ641" s="464"/>
      <c r="DK641" s="466"/>
      <c r="DL641" s="465"/>
      <c r="DM641" s="457"/>
      <c r="DN641" s="464"/>
      <c r="DO641" s="466"/>
      <c r="DP641" s="465"/>
      <c r="DQ641" s="457"/>
      <c r="DR641" s="464"/>
      <c r="DS641" s="466"/>
      <c r="DT641" s="465"/>
      <c r="DU641" s="457"/>
      <c r="DV641" s="464"/>
      <c r="DW641" s="466"/>
      <c r="DX641" s="465"/>
      <c r="DY641" s="457"/>
      <c r="DZ641" s="464"/>
      <c r="EA641" s="466"/>
      <c r="EB641" s="465"/>
      <c r="EC641" s="457"/>
      <c r="ED641" s="464"/>
      <c r="EE641" s="466"/>
      <c r="EF641" s="459"/>
      <c r="EG641" s="450"/>
      <c r="EH641" s="460">
        <f t="shared" si="297"/>
        <v>75</v>
      </c>
      <c r="EI641" s="460">
        <f t="shared" si="298"/>
        <v>3</v>
      </c>
      <c r="EJ641" s="458">
        <f t="shared" si="299"/>
        <v>0.88</v>
      </c>
      <c r="EK641" s="470">
        <f t="shared" si="300"/>
        <v>110</v>
      </c>
      <c r="EL641" s="470">
        <f t="shared" si="301"/>
        <v>3</v>
      </c>
      <c r="EM641" s="449">
        <f t="shared" si="302"/>
        <v>0.8</v>
      </c>
      <c r="EN641" s="460">
        <f t="shared" si="303"/>
        <v>352</v>
      </c>
      <c r="EO641" s="469">
        <f t="shared" si="304"/>
        <v>389</v>
      </c>
      <c r="EP641" s="471"/>
      <c r="EQ641" s="450"/>
      <c r="ER641" s="471">
        <v>207</v>
      </c>
      <c r="ES641" s="450">
        <v>227</v>
      </c>
      <c r="ET641" s="471"/>
      <c r="EU641" s="450"/>
      <c r="EV641" s="471"/>
      <c r="EW641" s="450"/>
      <c r="EX641" s="471"/>
      <c r="EY641" s="450"/>
      <c r="EZ641" s="471"/>
      <c r="FA641" s="450"/>
      <c r="FB641" s="471"/>
      <c r="FC641" s="450"/>
      <c r="FD641" s="471"/>
      <c r="FE641" s="450"/>
      <c r="FF641" s="471"/>
      <c r="FG641" s="450"/>
      <c r="FH641" s="472">
        <v>38</v>
      </c>
      <c r="FI641" s="627">
        <v>35</v>
      </c>
      <c r="FJ641" s="468">
        <f t="shared" si="305"/>
        <v>245</v>
      </c>
      <c r="FK641" s="469">
        <f t="shared" si="306"/>
        <v>262</v>
      </c>
      <c r="FL641" s="472"/>
      <c r="FM641" s="450"/>
      <c r="FN641" s="460">
        <f t="shared" si="307"/>
        <v>630</v>
      </c>
      <c r="FO641" s="469">
        <f t="shared" si="308"/>
        <v>665</v>
      </c>
    </row>
    <row r="642" spans="1:171" x14ac:dyDescent="0.2">
      <c r="A642" s="637" t="s">
        <v>854</v>
      </c>
      <c r="B642" s="544" t="s">
        <v>971</v>
      </c>
      <c r="C642" s="545" t="s">
        <v>972</v>
      </c>
      <c r="D642" s="649" t="s">
        <v>954</v>
      </c>
      <c r="E642" s="547">
        <v>99</v>
      </c>
      <c r="F642" s="532"/>
      <c r="G642" s="450"/>
      <c r="H642" s="457"/>
      <c r="I642" s="450"/>
      <c r="J642" s="457"/>
      <c r="K642" s="450"/>
      <c r="L642" s="458">
        <f t="shared" si="285"/>
        <v>0</v>
      </c>
      <c r="M642" s="449">
        <f t="shared" si="286"/>
        <v>0</v>
      </c>
      <c r="N642" s="459"/>
      <c r="O642" s="459"/>
      <c r="P642" s="459"/>
      <c r="Q642" s="459"/>
      <c r="R642" s="460">
        <f t="shared" si="287"/>
        <v>0</v>
      </c>
      <c r="S642" s="461"/>
      <c r="T642" s="461"/>
      <c r="U642" s="461"/>
      <c r="V642" s="461"/>
      <c r="W642" s="462">
        <f t="shared" si="288"/>
        <v>0</v>
      </c>
      <c r="X642" s="463"/>
      <c r="Y642" s="457"/>
      <c r="Z642" s="464"/>
      <c r="AA642" s="464"/>
      <c r="AB642" s="465"/>
      <c r="AC642" s="457"/>
      <c r="AD642" s="464"/>
      <c r="AE642" s="466"/>
      <c r="AF642" s="465"/>
      <c r="AG642" s="457"/>
      <c r="AH642" s="464"/>
      <c r="AI642" s="466"/>
      <c r="AJ642" s="465"/>
      <c r="AK642" s="457"/>
      <c r="AL642" s="464"/>
      <c r="AM642" s="466"/>
      <c r="AN642" s="465"/>
      <c r="AO642" s="457"/>
      <c r="AP642" s="464"/>
      <c r="AQ642" s="464"/>
      <c r="AR642" s="460">
        <f t="shared" si="289"/>
        <v>0</v>
      </c>
      <c r="AS642" s="467">
        <f t="shared" si="290"/>
        <v>0</v>
      </c>
      <c r="AT642" s="447">
        <f t="shared" si="291"/>
        <v>0</v>
      </c>
      <c r="AU642" s="448">
        <f t="shared" si="292"/>
        <v>0</v>
      </c>
      <c r="AV642" s="457"/>
      <c r="AW642" s="450"/>
      <c r="AX642" s="463"/>
      <c r="AY642" s="457"/>
      <c r="AZ642" s="464"/>
      <c r="BA642" s="464"/>
      <c r="BB642" s="465"/>
      <c r="BC642" s="457"/>
      <c r="BD642" s="464"/>
      <c r="BE642" s="466"/>
      <c r="BF642" s="465"/>
      <c r="BG642" s="457"/>
      <c r="BH642" s="625"/>
      <c r="BI642" s="626"/>
      <c r="BJ642" s="465"/>
      <c r="BK642" s="457"/>
      <c r="BL642" s="625"/>
      <c r="BM642" s="626"/>
      <c r="BN642" s="465"/>
      <c r="BO642" s="457"/>
      <c r="BP642" s="464"/>
      <c r="BQ642" s="466"/>
      <c r="BR642" s="465"/>
      <c r="BS642" s="457"/>
      <c r="BT642" s="464"/>
      <c r="BU642" s="466"/>
      <c r="BV642" s="465"/>
      <c r="BW642" s="457"/>
      <c r="BX642" s="464"/>
      <c r="BY642" s="466"/>
      <c r="BZ642" s="465"/>
      <c r="CA642" s="457"/>
      <c r="CB642" s="464"/>
      <c r="CC642" s="466"/>
      <c r="CD642" s="465"/>
      <c r="CE642" s="457"/>
      <c r="CF642" s="464"/>
      <c r="CG642" s="466"/>
      <c r="CH642" s="465"/>
      <c r="CI642" s="457"/>
      <c r="CJ642" s="464"/>
      <c r="CK642" s="466"/>
      <c r="CL642" s="459"/>
      <c r="CM642" s="450"/>
      <c r="CN642" s="468">
        <f t="shared" si="293"/>
        <v>0</v>
      </c>
      <c r="CO642" s="468">
        <f t="shared" si="294"/>
        <v>0</v>
      </c>
      <c r="CP642" s="469">
        <f t="shared" si="295"/>
        <v>0</v>
      </c>
      <c r="CQ642" s="469">
        <f t="shared" si="296"/>
        <v>0</v>
      </c>
      <c r="CR642" s="463"/>
      <c r="CS642" s="457"/>
      <c r="CT642" s="464"/>
      <c r="CU642" s="464"/>
      <c r="CV642" s="465"/>
      <c r="CW642" s="457"/>
      <c r="CX642" s="464"/>
      <c r="CY642" s="466"/>
      <c r="CZ642" s="465"/>
      <c r="DA642" s="457"/>
      <c r="DB642" s="464"/>
      <c r="DC642" s="466"/>
      <c r="DD642" s="465"/>
      <c r="DE642" s="457"/>
      <c r="DF642" s="464"/>
      <c r="DG642" s="466"/>
      <c r="DH642" s="465"/>
      <c r="DI642" s="457"/>
      <c r="DJ642" s="464"/>
      <c r="DK642" s="466"/>
      <c r="DL642" s="465"/>
      <c r="DM642" s="457"/>
      <c r="DN642" s="464"/>
      <c r="DO642" s="466"/>
      <c r="DP642" s="465"/>
      <c r="DQ642" s="457"/>
      <c r="DR642" s="464"/>
      <c r="DS642" s="466"/>
      <c r="DT642" s="465"/>
      <c r="DU642" s="457"/>
      <c r="DV642" s="464"/>
      <c r="DW642" s="466"/>
      <c r="DX642" s="465"/>
      <c r="DY642" s="457"/>
      <c r="DZ642" s="464"/>
      <c r="EA642" s="466"/>
      <c r="EB642" s="465"/>
      <c r="EC642" s="457"/>
      <c r="ED642" s="464"/>
      <c r="EE642" s="466"/>
      <c r="EF642" s="459"/>
      <c r="EG642" s="450"/>
      <c r="EH642" s="460">
        <f t="shared" si="297"/>
        <v>0</v>
      </c>
      <c r="EI642" s="460">
        <f t="shared" si="298"/>
        <v>0</v>
      </c>
      <c r="EJ642" s="458">
        <f t="shared" si="299"/>
        <v>0</v>
      </c>
      <c r="EK642" s="470">
        <f t="shared" si="300"/>
        <v>0</v>
      </c>
      <c r="EL642" s="470">
        <f t="shared" si="301"/>
        <v>0</v>
      </c>
      <c r="EM642" s="449">
        <f t="shared" si="302"/>
        <v>0</v>
      </c>
      <c r="EN642" s="460">
        <f t="shared" si="303"/>
        <v>0</v>
      </c>
      <c r="EO642" s="469">
        <f t="shared" si="304"/>
        <v>0</v>
      </c>
      <c r="EP642" s="471"/>
      <c r="EQ642" s="450"/>
      <c r="ER642" s="471"/>
      <c r="ES642" s="450"/>
      <c r="ET642" s="471"/>
      <c r="EU642" s="450"/>
      <c r="EV642" s="471"/>
      <c r="EW642" s="450"/>
      <c r="EX642" s="471"/>
      <c r="EY642" s="450"/>
      <c r="EZ642" s="471"/>
      <c r="FA642" s="450"/>
      <c r="FB642" s="471"/>
      <c r="FC642" s="450"/>
      <c r="FD642" s="471"/>
      <c r="FE642" s="450"/>
      <c r="FF642" s="471"/>
      <c r="FG642" s="450"/>
      <c r="FH642" s="472"/>
      <c r="FI642" s="450"/>
      <c r="FJ642" s="468">
        <f t="shared" si="305"/>
        <v>0</v>
      </c>
      <c r="FK642" s="469">
        <f t="shared" si="306"/>
        <v>0</v>
      </c>
      <c r="FL642" s="472"/>
      <c r="FM642" s="450"/>
      <c r="FN642" s="460">
        <f t="shared" si="307"/>
        <v>0</v>
      </c>
      <c r="FO642" s="469">
        <f t="shared" si="308"/>
        <v>0</v>
      </c>
    </row>
    <row r="643" spans="1:171" ht="15.75" x14ac:dyDescent="0.25">
      <c r="A643" s="737" t="s">
        <v>1198</v>
      </c>
      <c r="B643" s="794" t="s">
        <v>1200</v>
      </c>
      <c r="C643" s="795"/>
      <c r="D643" s="717">
        <v>232186</v>
      </c>
      <c r="E643" s="718">
        <v>1</v>
      </c>
      <c r="F643" s="532">
        <v>0</v>
      </c>
      <c r="G643" s="796">
        <v>0</v>
      </c>
      <c r="H643" s="457"/>
      <c r="I643" s="450"/>
      <c r="J643" s="457">
        <v>0</v>
      </c>
      <c r="K643" s="797">
        <v>0</v>
      </c>
      <c r="L643" s="458">
        <f t="shared" si="285"/>
        <v>0</v>
      </c>
      <c r="M643" s="449">
        <f t="shared" si="286"/>
        <v>0</v>
      </c>
      <c r="N643" s="459">
        <v>4255</v>
      </c>
      <c r="O643" s="459"/>
      <c r="P643" s="459"/>
      <c r="Q643" s="459">
        <v>60</v>
      </c>
      <c r="R643" s="460">
        <f t="shared" si="287"/>
        <v>60</v>
      </c>
      <c r="S643" s="798">
        <v>4718</v>
      </c>
      <c r="T643" s="461"/>
      <c r="U643" s="461"/>
      <c r="V643" s="461">
        <v>60</v>
      </c>
      <c r="W643" s="462">
        <f t="shared" si="288"/>
        <v>60</v>
      </c>
      <c r="X643" s="463"/>
      <c r="Y643" s="457"/>
      <c r="Z643" s="464"/>
      <c r="AA643" s="464"/>
      <c r="AB643" s="465"/>
      <c r="AC643" s="457"/>
      <c r="AD643" s="464"/>
      <c r="AE643" s="466"/>
      <c r="AF643" s="465"/>
      <c r="AG643" s="457"/>
      <c r="AH643" s="464"/>
      <c r="AI643" s="466"/>
      <c r="AJ643" s="465"/>
      <c r="AK643" s="457"/>
      <c r="AL643" s="464"/>
      <c r="AM643" s="466"/>
      <c r="AN643" s="465"/>
      <c r="AO643" s="457"/>
      <c r="AP643" s="464"/>
      <c r="AQ643" s="464"/>
      <c r="AR643" s="460">
        <f t="shared" si="289"/>
        <v>0</v>
      </c>
      <c r="AS643" s="467">
        <f t="shared" si="290"/>
        <v>0.52511415525114158</v>
      </c>
      <c r="AT643" s="447">
        <f t="shared" si="291"/>
        <v>0</v>
      </c>
      <c r="AU643" s="448">
        <f t="shared" si="292"/>
        <v>0.54949918471931047</v>
      </c>
      <c r="AV643" s="457">
        <v>545</v>
      </c>
      <c r="AW643" s="450">
        <v>541</v>
      </c>
      <c r="AX643" s="463">
        <v>13</v>
      </c>
      <c r="AY643" s="457">
        <v>838</v>
      </c>
      <c r="AZ643" s="799">
        <v>13</v>
      </c>
      <c r="BA643" s="799">
        <v>752</v>
      </c>
      <c r="BB643" s="465">
        <v>52</v>
      </c>
      <c r="BC643" s="457">
        <v>312</v>
      </c>
      <c r="BD643" s="800">
        <v>44</v>
      </c>
      <c r="BE643" s="800">
        <v>305</v>
      </c>
      <c r="BF643" s="465">
        <v>44</v>
      </c>
      <c r="BG643" s="457">
        <v>302</v>
      </c>
      <c r="BH643" s="801">
        <v>11</v>
      </c>
      <c r="BI643" s="801">
        <v>262</v>
      </c>
      <c r="BJ643" s="465">
        <v>30</v>
      </c>
      <c r="BK643" s="457">
        <v>283</v>
      </c>
      <c r="BL643" s="802">
        <v>30</v>
      </c>
      <c r="BM643" s="802">
        <v>242</v>
      </c>
      <c r="BN643" s="465">
        <v>11</v>
      </c>
      <c r="BO643" s="457">
        <v>241</v>
      </c>
      <c r="BP643" s="803">
        <v>51</v>
      </c>
      <c r="BQ643" s="803">
        <v>239</v>
      </c>
      <c r="BR643" s="465">
        <v>45</v>
      </c>
      <c r="BS643" s="457">
        <v>213</v>
      </c>
      <c r="BT643" s="804">
        <v>52</v>
      </c>
      <c r="BU643" s="804">
        <v>233</v>
      </c>
      <c r="BV643" s="465">
        <v>51</v>
      </c>
      <c r="BW643" s="457">
        <v>185</v>
      </c>
      <c r="BX643" s="805">
        <v>45</v>
      </c>
      <c r="BY643" s="805">
        <v>202</v>
      </c>
      <c r="BZ643" s="465">
        <v>14</v>
      </c>
      <c r="CA643" s="457">
        <v>143</v>
      </c>
      <c r="CB643" s="806">
        <v>14</v>
      </c>
      <c r="CC643" s="806">
        <v>170</v>
      </c>
      <c r="CD643" s="465">
        <v>23</v>
      </c>
      <c r="CE643" s="457">
        <v>82</v>
      </c>
      <c r="CF643" s="807">
        <v>23</v>
      </c>
      <c r="CG643" s="807">
        <v>100</v>
      </c>
      <c r="CH643" s="465">
        <v>50</v>
      </c>
      <c r="CI643" s="457">
        <v>67</v>
      </c>
      <c r="CJ643" s="808">
        <v>42</v>
      </c>
      <c r="CK643" s="808">
        <v>84</v>
      </c>
      <c r="CL643" s="459">
        <v>275</v>
      </c>
      <c r="CM643" s="450">
        <v>310</v>
      </c>
      <c r="CN643" s="468">
        <f t="shared" si="293"/>
        <v>2941</v>
      </c>
      <c r="CO643" s="468">
        <f t="shared" si="294"/>
        <v>10</v>
      </c>
      <c r="CP643" s="469">
        <f t="shared" si="295"/>
        <v>2899</v>
      </c>
      <c r="CQ643" s="469">
        <f t="shared" si="296"/>
        <v>10</v>
      </c>
      <c r="CR643" s="463">
        <v>30</v>
      </c>
      <c r="CS643" s="457">
        <v>28</v>
      </c>
      <c r="CT643" s="809">
        <v>30</v>
      </c>
      <c r="CU643" s="809">
        <v>29</v>
      </c>
      <c r="CV643" s="465">
        <v>26</v>
      </c>
      <c r="CW643" s="457">
        <v>27</v>
      </c>
      <c r="CX643" s="810">
        <v>11</v>
      </c>
      <c r="CY643" s="810">
        <v>21</v>
      </c>
      <c r="CZ643" s="465">
        <v>42</v>
      </c>
      <c r="DA643" s="457">
        <v>24</v>
      </c>
      <c r="DB643" s="811">
        <v>42</v>
      </c>
      <c r="DC643" s="811">
        <v>20</v>
      </c>
      <c r="DD643" s="465">
        <v>13</v>
      </c>
      <c r="DE643" s="457">
        <v>21</v>
      </c>
      <c r="DF643" s="812">
        <v>13</v>
      </c>
      <c r="DG643" s="812">
        <v>18</v>
      </c>
      <c r="DH643" s="465">
        <v>45</v>
      </c>
      <c r="DI643" s="457">
        <v>21</v>
      </c>
      <c r="DJ643" s="813">
        <v>3</v>
      </c>
      <c r="DK643" s="813">
        <v>17</v>
      </c>
      <c r="DL643" s="465">
        <v>11</v>
      </c>
      <c r="DM643" s="457">
        <v>18</v>
      </c>
      <c r="DN643" s="814">
        <v>40</v>
      </c>
      <c r="DO643" s="814">
        <v>17</v>
      </c>
      <c r="DP643" s="465">
        <v>40</v>
      </c>
      <c r="DQ643" s="457">
        <v>16</v>
      </c>
      <c r="DR643" s="815">
        <v>51</v>
      </c>
      <c r="DS643" s="815">
        <v>17</v>
      </c>
      <c r="DT643" s="465">
        <v>44</v>
      </c>
      <c r="DU643" s="457">
        <v>12</v>
      </c>
      <c r="DV643" s="816">
        <v>44</v>
      </c>
      <c r="DW643" s="816">
        <v>13</v>
      </c>
      <c r="DX643" s="465">
        <v>14</v>
      </c>
      <c r="DY643" s="457">
        <v>7</v>
      </c>
      <c r="DZ643" s="817">
        <v>45</v>
      </c>
      <c r="EA643" s="817">
        <v>12</v>
      </c>
      <c r="EB643" s="465">
        <v>54</v>
      </c>
      <c r="EC643" s="457">
        <v>6</v>
      </c>
      <c r="ED643" s="817">
        <v>26</v>
      </c>
      <c r="EE643" s="817">
        <v>12</v>
      </c>
      <c r="EF643" s="459">
        <v>14</v>
      </c>
      <c r="EG643" s="450">
        <v>36</v>
      </c>
      <c r="EH643" s="460">
        <f t="shared" si="297"/>
        <v>194</v>
      </c>
      <c r="EI643" s="460">
        <f t="shared" si="298"/>
        <v>10</v>
      </c>
      <c r="EJ643" s="458">
        <f t="shared" si="299"/>
        <v>0.14432989690721648</v>
      </c>
      <c r="EK643" s="470">
        <f t="shared" si="300"/>
        <v>212</v>
      </c>
      <c r="EL643" s="470">
        <f t="shared" si="301"/>
        <v>10</v>
      </c>
      <c r="EM643" s="449">
        <f t="shared" si="302"/>
        <v>0.13679245283018868</v>
      </c>
      <c r="EN643" s="460">
        <f t="shared" si="303"/>
        <v>3135</v>
      </c>
      <c r="EO643" s="469">
        <f t="shared" si="304"/>
        <v>3111</v>
      </c>
      <c r="EP643" s="471">
        <v>168</v>
      </c>
      <c r="EQ643" s="817">
        <v>216</v>
      </c>
      <c r="ER643" s="471"/>
      <c r="ES643" s="818">
        <v>0</v>
      </c>
      <c r="ET643" s="471"/>
      <c r="EU643" s="818">
        <v>0</v>
      </c>
      <c r="EV643" s="471"/>
      <c r="EW643" s="818">
        <v>0</v>
      </c>
      <c r="EX643" s="471"/>
      <c r="EY643" s="450"/>
      <c r="EZ643" s="471"/>
      <c r="FA643" s="450"/>
      <c r="FB643" s="471"/>
      <c r="FC643" s="450"/>
      <c r="FD643" s="471"/>
      <c r="FE643" s="450"/>
      <c r="FF643" s="471"/>
      <c r="FG643" s="450"/>
      <c r="FH643" s="472"/>
      <c r="FI643" s="450"/>
      <c r="FJ643" s="468">
        <f t="shared" si="305"/>
        <v>168</v>
      </c>
      <c r="FK643" s="469">
        <f t="shared" si="306"/>
        <v>216</v>
      </c>
      <c r="FL643" s="472"/>
      <c r="FM643" s="450"/>
      <c r="FN643" s="460">
        <f t="shared" si="307"/>
        <v>8103</v>
      </c>
      <c r="FO643" s="469">
        <f t="shared" si="308"/>
        <v>8586</v>
      </c>
    </row>
    <row r="644" spans="1:171" ht="15.75" x14ac:dyDescent="0.25">
      <c r="A644" s="737" t="s">
        <v>1198</v>
      </c>
      <c r="B644" s="712" t="s">
        <v>1201</v>
      </c>
      <c r="C644" s="713"/>
      <c r="D644" s="717">
        <v>232982</v>
      </c>
      <c r="E644" s="718">
        <v>1</v>
      </c>
      <c r="F644" s="532">
        <v>0</v>
      </c>
      <c r="G644" s="796">
        <v>0</v>
      </c>
      <c r="H644" s="457"/>
      <c r="I644" s="450"/>
      <c r="J644" s="457">
        <v>0</v>
      </c>
      <c r="K644" s="797">
        <v>0</v>
      </c>
      <c r="L644" s="458">
        <f t="shared" si="285"/>
        <v>0</v>
      </c>
      <c r="M644" s="449">
        <f t="shared" si="286"/>
        <v>0</v>
      </c>
      <c r="N644" s="459">
        <v>3179</v>
      </c>
      <c r="O644" s="459"/>
      <c r="P644" s="459"/>
      <c r="Q644" s="459">
        <v>201</v>
      </c>
      <c r="R644" s="460">
        <f t="shared" si="287"/>
        <v>201</v>
      </c>
      <c r="S644" s="798">
        <v>3715</v>
      </c>
      <c r="T644" s="461"/>
      <c r="U644" s="461"/>
      <c r="V644" s="461">
        <v>277</v>
      </c>
      <c r="W644" s="462">
        <f t="shared" si="288"/>
        <v>277</v>
      </c>
      <c r="X644" s="463"/>
      <c r="Y644" s="457"/>
      <c r="Z644" s="464"/>
      <c r="AA644" s="464"/>
      <c r="AB644" s="465"/>
      <c r="AC644" s="457"/>
      <c r="AD644" s="464"/>
      <c r="AE644" s="466"/>
      <c r="AF644" s="465"/>
      <c r="AG644" s="457"/>
      <c r="AH644" s="464"/>
      <c r="AI644" s="466"/>
      <c r="AJ644" s="465"/>
      <c r="AK644" s="457"/>
      <c r="AL644" s="464"/>
      <c r="AM644" s="466"/>
      <c r="AN644" s="465"/>
      <c r="AO644" s="457"/>
      <c r="AP644" s="464"/>
      <c r="AQ644" s="464"/>
      <c r="AR644" s="460">
        <f t="shared" si="289"/>
        <v>0</v>
      </c>
      <c r="AS644" s="467">
        <f t="shared" si="290"/>
        <v>0.69033659066232356</v>
      </c>
      <c r="AT644" s="447">
        <f t="shared" si="291"/>
        <v>0</v>
      </c>
      <c r="AU644" s="448">
        <f t="shared" si="292"/>
        <v>0.73158723907050016</v>
      </c>
      <c r="AV644" s="457">
        <v>0</v>
      </c>
      <c r="AW644" s="819">
        <v>0</v>
      </c>
      <c r="AX644" s="463">
        <v>13</v>
      </c>
      <c r="AY644" s="457">
        <v>538</v>
      </c>
      <c r="AZ644" s="799">
        <v>13</v>
      </c>
      <c r="BA644" s="799">
        <v>501</v>
      </c>
      <c r="BB644" s="465">
        <v>14</v>
      </c>
      <c r="BC644" s="457">
        <v>179</v>
      </c>
      <c r="BD644" s="800">
        <v>14</v>
      </c>
      <c r="BE644" s="800">
        <v>166</v>
      </c>
      <c r="BF644" s="465">
        <v>51</v>
      </c>
      <c r="BG644" s="457">
        <v>136</v>
      </c>
      <c r="BH644" s="801">
        <v>51</v>
      </c>
      <c r="BI644" s="801">
        <v>148</v>
      </c>
      <c r="BJ644" s="465">
        <v>52</v>
      </c>
      <c r="BK644" s="457">
        <v>112</v>
      </c>
      <c r="BL644" s="802">
        <v>52</v>
      </c>
      <c r="BM644" s="802">
        <v>121</v>
      </c>
      <c r="BN644" s="465">
        <v>44</v>
      </c>
      <c r="BO644" s="457">
        <v>54</v>
      </c>
      <c r="BP644" s="803">
        <v>44</v>
      </c>
      <c r="BQ644" s="803">
        <v>49</v>
      </c>
      <c r="BR644" s="465">
        <v>23</v>
      </c>
      <c r="BS644" s="457">
        <v>44</v>
      </c>
      <c r="BT644" s="804">
        <v>45</v>
      </c>
      <c r="BU644" s="804">
        <v>38</v>
      </c>
      <c r="BV644" s="465">
        <v>11</v>
      </c>
      <c r="BW644" s="457">
        <v>44</v>
      </c>
      <c r="BX644" s="805">
        <v>23</v>
      </c>
      <c r="BY644" s="805">
        <v>35</v>
      </c>
      <c r="BZ644" s="465">
        <v>45</v>
      </c>
      <c r="CA644" s="457">
        <v>36</v>
      </c>
      <c r="CB644" s="806">
        <v>11</v>
      </c>
      <c r="CC644" s="806">
        <v>32</v>
      </c>
      <c r="CD644" s="465">
        <v>54</v>
      </c>
      <c r="CE644" s="457">
        <v>22</v>
      </c>
      <c r="CF644" s="807">
        <v>40</v>
      </c>
      <c r="CG644" s="807">
        <v>17</v>
      </c>
      <c r="CH644" s="465">
        <v>26</v>
      </c>
      <c r="CI644" s="457">
        <v>18</v>
      </c>
      <c r="CJ644" s="808">
        <v>26</v>
      </c>
      <c r="CK644" s="808">
        <v>15</v>
      </c>
      <c r="CL644" s="459">
        <v>43</v>
      </c>
      <c r="CM644" s="450">
        <v>33</v>
      </c>
      <c r="CN644" s="468">
        <f t="shared" si="293"/>
        <v>1226</v>
      </c>
      <c r="CO644" s="468">
        <f t="shared" si="294"/>
        <v>10</v>
      </c>
      <c r="CP644" s="469">
        <f t="shared" si="295"/>
        <v>1155</v>
      </c>
      <c r="CQ644" s="469">
        <f t="shared" si="296"/>
        <v>10</v>
      </c>
      <c r="CR644" s="463">
        <v>51</v>
      </c>
      <c r="CS644" s="457">
        <v>72</v>
      </c>
      <c r="CT644" s="809">
        <v>51</v>
      </c>
      <c r="CU644" s="809">
        <v>65</v>
      </c>
      <c r="CV644" s="465">
        <v>13</v>
      </c>
      <c r="CW644" s="457">
        <v>39</v>
      </c>
      <c r="CX644" s="810">
        <v>13</v>
      </c>
      <c r="CY644" s="810">
        <v>53</v>
      </c>
      <c r="CZ644" s="465">
        <v>14</v>
      </c>
      <c r="DA644" s="457">
        <v>38</v>
      </c>
      <c r="DB644" s="811">
        <v>14</v>
      </c>
      <c r="DC644" s="811">
        <v>42</v>
      </c>
      <c r="DD644" s="465">
        <v>40</v>
      </c>
      <c r="DE644" s="457">
        <v>14</v>
      </c>
      <c r="DF644" s="812">
        <v>40</v>
      </c>
      <c r="DG644" s="812">
        <v>10</v>
      </c>
      <c r="DH644" s="465">
        <v>27</v>
      </c>
      <c r="DI644" s="457">
        <v>10</v>
      </c>
      <c r="DJ644" s="813">
        <v>42</v>
      </c>
      <c r="DK644" s="813">
        <v>8</v>
      </c>
      <c r="DL644" s="465">
        <v>42</v>
      </c>
      <c r="DM644" s="457">
        <v>8</v>
      </c>
      <c r="DN644" s="814">
        <v>26</v>
      </c>
      <c r="DO644" s="814">
        <v>8</v>
      </c>
      <c r="DP644" s="465">
        <v>52</v>
      </c>
      <c r="DQ644" s="457">
        <v>7</v>
      </c>
      <c r="DR644" s="815">
        <v>52</v>
      </c>
      <c r="DS644" s="815">
        <v>6</v>
      </c>
      <c r="DT644" s="465">
        <v>23</v>
      </c>
      <c r="DU644" s="457">
        <v>3</v>
      </c>
      <c r="DV644" s="816">
        <v>23</v>
      </c>
      <c r="DW644" s="816">
        <v>5</v>
      </c>
      <c r="DX644" s="465">
        <v>11</v>
      </c>
      <c r="DY644" s="457">
        <v>3</v>
      </c>
      <c r="DZ644" s="817">
        <v>45</v>
      </c>
      <c r="EA644" s="817">
        <v>4</v>
      </c>
      <c r="EB644" s="465">
        <v>45</v>
      </c>
      <c r="EC644" s="457">
        <v>2</v>
      </c>
      <c r="ED644" s="817">
        <v>27</v>
      </c>
      <c r="EE644" s="817">
        <v>3</v>
      </c>
      <c r="EF644" s="459">
        <v>4</v>
      </c>
      <c r="EG644" s="450">
        <v>4</v>
      </c>
      <c r="EH644" s="460">
        <f t="shared" si="297"/>
        <v>200</v>
      </c>
      <c r="EI644" s="460">
        <f t="shared" si="298"/>
        <v>10</v>
      </c>
      <c r="EJ644" s="458">
        <f t="shared" si="299"/>
        <v>0.36</v>
      </c>
      <c r="EK644" s="470">
        <f t="shared" si="300"/>
        <v>208</v>
      </c>
      <c r="EL644" s="470">
        <f t="shared" si="301"/>
        <v>10</v>
      </c>
      <c r="EM644" s="449">
        <f t="shared" si="302"/>
        <v>0.3125</v>
      </c>
      <c r="EN644" s="460">
        <f t="shared" si="303"/>
        <v>1426</v>
      </c>
      <c r="EO644" s="469">
        <f t="shared" si="304"/>
        <v>1363</v>
      </c>
      <c r="EP644" s="471"/>
      <c r="EQ644" s="450"/>
      <c r="ER644" s="471"/>
      <c r="ES644" s="450"/>
      <c r="ET644" s="471"/>
      <c r="EU644" s="450"/>
      <c r="EV644" s="471"/>
      <c r="EW644" s="450"/>
      <c r="EX644" s="471"/>
      <c r="EY644" s="450"/>
      <c r="EZ644" s="471"/>
      <c r="FA644" s="450"/>
      <c r="FB644" s="471"/>
      <c r="FC644" s="450"/>
      <c r="FD644" s="471"/>
      <c r="FE644" s="450"/>
      <c r="FF644" s="471"/>
      <c r="FG644" s="450"/>
      <c r="FH644" s="472"/>
      <c r="FI644" s="450"/>
      <c r="FJ644" s="468">
        <f t="shared" si="305"/>
        <v>0</v>
      </c>
      <c r="FK644" s="469">
        <f t="shared" si="306"/>
        <v>0</v>
      </c>
      <c r="FL644" s="472"/>
      <c r="FM644" s="450"/>
      <c r="FN644" s="460">
        <f t="shared" si="307"/>
        <v>4605</v>
      </c>
      <c r="FO644" s="469">
        <f t="shared" si="308"/>
        <v>5078</v>
      </c>
    </row>
    <row r="645" spans="1:171" ht="15.75" x14ac:dyDescent="0.25">
      <c r="A645" s="737" t="s">
        <v>1198</v>
      </c>
      <c r="B645" s="712" t="s">
        <v>1202</v>
      </c>
      <c r="C645" s="713"/>
      <c r="D645" s="717">
        <v>234076</v>
      </c>
      <c r="E645" s="718">
        <v>1</v>
      </c>
      <c r="F645" s="532">
        <v>0</v>
      </c>
      <c r="G645" s="796">
        <v>0</v>
      </c>
      <c r="H645" s="457"/>
      <c r="I645" s="450"/>
      <c r="J645" s="457">
        <v>0</v>
      </c>
      <c r="K645" s="797">
        <v>0</v>
      </c>
      <c r="L645" s="458">
        <f t="shared" si="285"/>
        <v>0</v>
      </c>
      <c r="M645" s="449">
        <f t="shared" si="286"/>
        <v>0</v>
      </c>
      <c r="N645" s="459">
        <v>3637</v>
      </c>
      <c r="O645" s="459"/>
      <c r="P645" s="459"/>
      <c r="Q645" s="459">
        <v>10</v>
      </c>
      <c r="R645" s="460">
        <f t="shared" si="287"/>
        <v>10</v>
      </c>
      <c r="S645" s="798">
        <v>3726</v>
      </c>
      <c r="T645" s="461"/>
      <c r="U645" s="461"/>
      <c r="V645" s="461">
        <v>6</v>
      </c>
      <c r="W645" s="462">
        <f t="shared" si="288"/>
        <v>6</v>
      </c>
      <c r="X645" s="463"/>
      <c r="Y645" s="457"/>
      <c r="Z645" s="464"/>
      <c r="AA645" s="464"/>
      <c r="AB645" s="465"/>
      <c r="AC645" s="457"/>
      <c r="AD645" s="464"/>
      <c r="AE645" s="466"/>
      <c r="AF645" s="465"/>
      <c r="AG645" s="457"/>
      <c r="AH645" s="464"/>
      <c r="AI645" s="466"/>
      <c r="AJ645" s="465"/>
      <c r="AK645" s="457"/>
      <c r="AL645" s="464"/>
      <c r="AM645" s="466"/>
      <c r="AN645" s="465"/>
      <c r="AO645" s="457"/>
      <c r="AP645" s="464"/>
      <c r="AQ645" s="464"/>
      <c r="AR645" s="460">
        <f t="shared" si="289"/>
        <v>0</v>
      </c>
      <c r="AS645" s="467">
        <f t="shared" si="290"/>
        <v>0.58491476358957861</v>
      </c>
      <c r="AT645" s="447">
        <f t="shared" si="291"/>
        <v>0</v>
      </c>
      <c r="AU645" s="448">
        <f t="shared" si="292"/>
        <v>0.57794322940902743</v>
      </c>
      <c r="AV645" s="457">
        <v>0</v>
      </c>
      <c r="AW645" s="819">
        <v>42</v>
      </c>
      <c r="AX645" s="463">
        <v>52</v>
      </c>
      <c r="AY645" s="457">
        <v>629</v>
      </c>
      <c r="AZ645" s="799">
        <v>52</v>
      </c>
      <c r="BA645" s="799">
        <v>650</v>
      </c>
      <c r="BB645" s="465">
        <v>13</v>
      </c>
      <c r="BC645" s="457">
        <v>290</v>
      </c>
      <c r="BD645" s="800">
        <v>13</v>
      </c>
      <c r="BE645" s="800">
        <v>282</v>
      </c>
      <c r="BF645" s="465">
        <v>14</v>
      </c>
      <c r="BG645" s="457">
        <v>121</v>
      </c>
      <c r="BH645" s="801">
        <v>51</v>
      </c>
      <c r="BI645" s="801">
        <v>203</v>
      </c>
      <c r="BJ645" s="465">
        <v>51</v>
      </c>
      <c r="BK645" s="457">
        <v>119</v>
      </c>
      <c r="BL645" s="802">
        <v>14</v>
      </c>
      <c r="BM645" s="802">
        <v>117</v>
      </c>
      <c r="BN645" s="465">
        <v>4</v>
      </c>
      <c r="BO645" s="457">
        <v>78</v>
      </c>
      <c r="BP645" s="803">
        <v>4</v>
      </c>
      <c r="BQ645" s="803">
        <v>82</v>
      </c>
      <c r="BR645" s="465">
        <v>42</v>
      </c>
      <c r="BS645" s="457">
        <v>66</v>
      </c>
      <c r="BT645" s="804">
        <v>42</v>
      </c>
      <c r="BU645" s="804">
        <v>54</v>
      </c>
      <c r="BV645" s="465">
        <v>23</v>
      </c>
      <c r="BW645" s="457">
        <v>45</v>
      </c>
      <c r="BX645" s="805">
        <v>45</v>
      </c>
      <c r="BY645" s="805">
        <v>52</v>
      </c>
      <c r="BZ645" s="465">
        <v>45</v>
      </c>
      <c r="CA645" s="457">
        <v>42</v>
      </c>
      <c r="CB645" s="806">
        <v>40</v>
      </c>
      <c r="CC645" s="806">
        <v>45</v>
      </c>
      <c r="CD645" s="465">
        <v>31</v>
      </c>
      <c r="CE645" s="457">
        <v>36</v>
      </c>
      <c r="CF645" s="807">
        <v>23</v>
      </c>
      <c r="CG645" s="807">
        <v>37</v>
      </c>
      <c r="CH645" s="465">
        <v>40</v>
      </c>
      <c r="CI645" s="457">
        <v>30</v>
      </c>
      <c r="CJ645" s="808">
        <v>22</v>
      </c>
      <c r="CK645" s="808">
        <v>35</v>
      </c>
      <c r="CL645" s="459">
        <v>192</v>
      </c>
      <c r="CM645" s="450">
        <v>218</v>
      </c>
      <c r="CN645" s="468">
        <f t="shared" si="293"/>
        <v>1648</v>
      </c>
      <c r="CO645" s="468">
        <f t="shared" si="294"/>
        <v>10</v>
      </c>
      <c r="CP645" s="469">
        <f t="shared" si="295"/>
        <v>1775</v>
      </c>
      <c r="CQ645" s="469">
        <f t="shared" si="296"/>
        <v>10</v>
      </c>
      <c r="CR645" s="463">
        <v>14</v>
      </c>
      <c r="CS645" s="457">
        <v>84</v>
      </c>
      <c r="CT645" s="809">
        <v>14</v>
      </c>
      <c r="CU645" s="809">
        <v>67</v>
      </c>
      <c r="CV645" s="465">
        <v>13</v>
      </c>
      <c r="CW645" s="457">
        <v>83</v>
      </c>
      <c r="CX645" s="810">
        <v>26</v>
      </c>
      <c r="CY645" s="810">
        <v>55</v>
      </c>
      <c r="CZ645" s="465">
        <v>26</v>
      </c>
      <c r="DA645" s="457">
        <v>61</v>
      </c>
      <c r="DB645" s="811">
        <v>13</v>
      </c>
      <c r="DC645" s="811">
        <v>46</v>
      </c>
      <c r="DD645" s="465">
        <v>40</v>
      </c>
      <c r="DE645" s="457">
        <v>44</v>
      </c>
      <c r="DF645" s="812">
        <v>45</v>
      </c>
      <c r="DG645" s="812">
        <v>44</v>
      </c>
      <c r="DH645" s="465">
        <v>42</v>
      </c>
      <c r="DI645" s="457">
        <v>25</v>
      </c>
      <c r="DJ645" s="813">
        <v>40</v>
      </c>
      <c r="DK645" s="813">
        <v>32</v>
      </c>
      <c r="DL645" s="465">
        <v>45</v>
      </c>
      <c r="DM645" s="457">
        <v>24</v>
      </c>
      <c r="DN645" s="814">
        <v>51</v>
      </c>
      <c r="DO645" s="814">
        <v>23</v>
      </c>
      <c r="DP645" s="465">
        <v>51</v>
      </c>
      <c r="DQ645" s="457">
        <v>15</v>
      </c>
      <c r="DR645" s="815">
        <v>42</v>
      </c>
      <c r="DS645" s="815">
        <v>20</v>
      </c>
      <c r="DT645" s="465">
        <v>38</v>
      </c>
      <c r="DU645" s="457">
        <v>13</v>
      </c>
      <c r="DV645" s="816">
        <v>38</v>
      </c>
      <c r="DW645" s="816">
        <v>17</v>
      </c>
      <c r="DX645" s="465">
        <v>54</v>
      </c>
      <c r="DY645" s="457">
        <v>13</v>
      </c>
      <c r="DZ645" s="817">
        <v>11</v>
      </c>
      <c r="EA645" s="817">
        <v>17</v>
      </c>
      <c r="EB645" s="465">
        <v>23</v>
      </c>
      <c r="EC645" s="457">
        <v>12</v>
      </c>
      <c r="ED645" s="817">
        <v>23</v>
      </c>
      <c r="EE645" s="817">
        <v>15</v>
      </c>
      <c r="EF645" s="459">
        <v>47</v>
      </c>
      <c r="EG645" s="450">
        <v>57</v>
      </c>
      <c r="EH645" s="460">
        <f t="shared" si="297"/>
        <v>421</v>
      </c>
      <c r="EI645" s="460">
        <f t="shared" si="298"/>
        <v>10</v>
      </c>
      <c r="EJ645" s="458">
        <f t="shared" si="299"/>
        <v>0.1995249406175772</v>
      </c>
      <c r="EK645" s="470">
        <f t="shared" si="300"/>
        <v>393</v>
      </c>
      <c r="EL645" s="470">
        <f t="shared" si="301"/>
        <v>10</v>
      </c>
      <c r="EM645" s="449">
        <f t="shared" si="302"/>
        <v>0.17048346055979643</v>
      </c>
      <c r="EN645" s="460">
        <f t="shared" si="303"/>
        <v>2069</v>
      </c>
      <c r="EO645" s="469">
        <f t="shared" si="304"/>
        <v>2168</v>
      </c>
      <c r="EP645" s="471">
        <v>376</v>
      </c>
      <c r="EQ645" s="817">
        <v>361</v>
      </c>
      <c r="ER645" s="471">
        <v>136</v>
      </c>
      <c r="ES645" s="818">
        <v>150</v>
      </c>
      <c r="ET645" s="471"/>
      <c r="EU645" s="818">
        <v>0</v>
      </c>
      <c r="EV645" s="471"/>
      <c r="EW645" s="818">
        <v>0</v>
      </c>
      <c r="EX645" s="471"/>
      <c r="EY645" s="450"/>
      <c r="EZ645" s="471"/>
      <c r="FA645" s="450"/>
      <c r="FB645" s="471"/>
      <c r="FC645" s="450"/>
      <c r="FD645" s="471"/>
      <c r="FE645" s="450"/>
      <c r="FF645" s="471"/>
      <c r="FG645" s="450"/>
      <c r="FH645" s="472"/>
      <c r="FI645" s="450"/>
      <c r="FJ645" s="468">
        <f t="shared" si="305"/>
        <v>512</v>
      </c>
      <c r="FK645" s="469">
        <f t="shared" si="306"/>
        <v>511</v>
      </c>
      <c r="FL645" s="472"/>
      <c r="FM645" s="450"/>
      <c r="FN645" s="460">
        <f t="shared" si="307"/>
        <v>6218</v>
      </c>
      <c r="FO645" s="469">
        <f t="shared" si="308"/>
        <v>6447</v>
      </c>
    </row>
    <row r="646" spans="1:171" ht="15.75" x14ac:dyDescent="0.25">
      <c r="A646" s="737" t="s">
        <v>1198</v>
      </c>
      <c r="B646" s="712" t="s">
        <v>1203</v>
      </c>
      <c r="C646" s="713"/>
      <c r="D646" s="717">
        <v>233921</v>
      </c>
      <c r="E646" s="718">
        <v>1</v>
      </c>
      <c r="F646" s="532">
        <v>0</v>
      </c>
      <c r="G646" s="796">
        <v>0</v>
      </c>
      <c r="H646" s="457"/>
      <c r="I646" s="450"/>
      <c r="J646" s="457">
        <v>43</v>
      </c>
      <c r="K646" s="797">
        <v>50</v>
      </c>
      <c r="L646" s="458">
        <f t="shared" si="285"/>
        <v>7.5372480280455744E-3</v>
      </c>
      <c r="M646" s="449">
        <f t="shared" si="286"/>
        <v>8.5836909871244635E-3</v>
      </c>
      <c r="N646" s="459">
        <v>5705</v>
      </c>
      <c r="O646" s="459"/>
      <c r="P646" s="459"/>
      <c r="Q646" s="459">
        <v>0</v>
      </c>
      <c r="R646" s="460">
        <f t="shared" si="287"/>
        <v>0</v>
      </c>
      <c r="S646" s="798">
        <v>5825</v>
      </c>
      <c r="T646" s="461"/>
      <c r="U646" s="461"/>
      <c r="V646" s="461">
        <v>0</v>
      </c>
      <c r="W646" s="462">
        <f t="shared" si="288"/>
        <v>0</v>
      </c>
      <c r="X646" s="463"/>
      <c r="Y646" s="457"/>
      <c r="Z646" s="464"/>
      <c r="AA646" s="464"/>
      <c r="AB646" s="465"/>
      <c r="AC646" s="457"/>
      <c r="AD646" s="464"/>
      <c r="AE646" s="466"/>
      <c r="AF646" s="465"/>
      <c r="AG646" s="457"/>
      <c r="AH646" s="464"/>
      <c r="AI646" s="466"/>
      <c r="AJ646" s="465"/>
      <c r="AK646" s="457"/>
      <c r="AL646" s="464"/>
      <c r="AM646" s="466"/>
      <c r="AN646" s="465"/>
      <c r="AO646" s="457"/>
      <c r="AP646" s="464"/>
      <c r="AQ646" s="464"/>
      <c r="AR646" s="460">
        <f t="shared" si="289"/>
        <v>0</v>
      </c>
      <c r="AS646" s="467">
        <f t="shared" si="290"/>
        <v>0.73009982083439984</v>
      </c>
      <c r="AT646" s="447">
        <f t="shared" si="291"/>
        <v>0</v>
      </c>
      <c r="AU646" s="448">
        <f t="shared" si="292"/>
        <v>0.72198810114030743</v>
      </c>
      <c r="AV646" s="457">
        <v>0</v>
      </c>
      <c r="AW646" s="819">
        <v>0</v>
      </c>
      <c r="AX646" s="463">
        <v>14</v>
      </c>
      <c r="AY646" s="457">
        <v>410</v>
      </c>
      <c r="AZ646" s="799">
        <v>14</v>
      </c>
      <c r="BA646" s="799">
        <v>431</v>
      </c>
      <c r="BB646" s="465">
        <v>13</v>
      </c>
      <c r="BC646" s="457">
        <v>322</v>
      </c>
      <c r="BD646" s="800">
        <v>52</v>
      </c>
      <c r="BE646" s="800">
        <v>302</v>
      </c>
      <c r="BF646" s="465">
        <v>52</v>
      </c>
      <c r="BG646" s="457">
        <v>241</v>
      </c>
      <c r="BH646" s="801">
        <v>13</v>
      </c>
      <c r="BI646" s="801">
        <v>267</v>
      </c>
      <c r="BJ646" s="465">
        <v>11</v>
      </c>
      <c r="BK646" s="457">
        <v>123</v>
      </c>
      <c r="BL646" s="802">
        <v>4</v>
      </c>
      <c r="BM646" s="802">
        <v>126</v>
      </c>
      <c r="BN646" s="465">
        <v>4</v>
      </c>
      <c r="BO646" s="457">
        <v>115</v>
      </c>
      <c r="BP646" s="803">
        <v>11</v>
      </c>
      <c r="BQ646" s="803">
        <v>123</v>
      </c>
      <c r="BR646" s="465">
        <v>45</v>
      </c>
      <c r="BS646" s="457">
        <v>48</v>
      </c>
      <c r="BT646" s="804">
        <v>1</v>
      </c>
      <c r="BU646" s="804">
        <v>64</v>
      </c>
      <c r="BV646" s="465">
        <v>27</v>
      </c>
      <c r="BW646" s="457">
        <v>46</v>
      </c>
      <c r="BX646" s="805">
        <v>3</v>
      </c>
      <c r="BY646" s="805">
        <v>61</v>
      </c>
      <c r="BZ646" s="465">
        <v>3</v>
      </c>
      <c r="CA646" s="457">
        <v>37</v>
      </c>
      <c r="CB646" s="806">
        <v>45</v>
      </c>
      <c r="CC646" s="806">
        <v>43</v>
      </c>
      <c r="CD646" s="465">
        <v>40</v>
      </c>
      <c r="CE646" s="457">
        <v>34</v>
      </c>
      <c r="CF646" s="807">
        <v>51</v>
      </c>
      <c r="CG646" s="807">
        <v>29</v>
      </c>
      <c r="CH646" s="465">
        <v>1</v>
      </c>
      <c r="CI646" s="457">
        <v>33</v>
      </c>
      <c r="CJ646" s="808">
        <v>19</v>
      </c>
      <c r="CK646" s="808">
        <v>29</v>
      </c>
      <c r="CL646" s="459">
        <v>158</v>
      </c>
      <c r="CM646" s="450">
        <v>158</v>
      </c>
      <c r="CN646" s="468">
        <f t="shared" si="293"/>
        <v>1567</v>
      </c>
      <c r="CO646" s="468">
        <f t="shared" si="294"/>
        <v>10</v>
      </c>
      <c r="CP646" s="469">
        <f t="shared" si="295"/>
        <v>1633</v>
      </c>
      <c r="CQ646" s="469">
        <f t="shared" si="296"/>
        <v>10</v>
      </c>
      <c r="CR646" s="463">
        <v>14</v>
      </c>
      <c r="CS646" s="457">
        <v>145</v>
      </c>
      <c r="CT646" s="809">
        <v>14</v>
      </c>
      <c r="CU646" s="809">
        <v>163</v>
      </c>
      <c r="CV646" s="465">
        <v>13</v>
      </c>
      <c r="CW646" s="457">
        <v>57</v>
      </c>
      <c r="CX646" s="810">
        <v>13</v>
      </c>
      <c r="CY646" s="810">
        <v>56</v>
      </c>
      <c r="CZ646" s="465">
        <v>26</v>
      </c>
      <c r="DA646" s="457">
        <v>37</v>
      </c>
      <c r="DB646" s="811">
        <v>26</v>
      </c>
      <c r="DC646" s="811">
        <v>41</v>
      </c>
      <c r="DD646" s="465">
        <v>40</v>
      </c>
      <c r="DE646" s="457">
        <v>36</v>
      </c>
      <c r="DF646" s="812">
        <v>40</v>
      </c>
      <c r="DG646" s="812">
        <v>40</v>
      </c>
      <c r="DH646" s="465">
        <v>45</v>
      </c>
      <c r="DI646" s="457">
        <v>18</v>
      </c>
      <c r="DJ646" s="813">
        <v>45</v>
      </c>
      <c r="DK646" s="813">
        <v>25</v>
      </c>
      <c r="DL646" s="465">
        <v>3</v>
      </c>
      <c r="DM646" s="457">
        <v>17</v>
      </c>
      <c r="DN646" s="814">
        <v>27</v>
      </c>
      <c r="DO646" s="814">
        <v>21</v>
      </c>
      <c r="DP646" s="465">
        <v>11</v>
      </c>
      <c r="DQ646" s="457">
        <v>16</v>
      </c>
      <c r="DR646" s="815">
        <v>19</v>
      </c>
      <c r="DS646" s="815">
        <v>17</v>
      </c>
      <c r="DT646" s="465">
        <v>27</v>
      </c>
      <c r="DU646" s="457">
        <v>16</v>
      </c>
      <c r="DV646" s="816">
        <v>11</v>
      </c>
      <c r="DW646" s="816">
        <v>16</v>
      </c>
      <c r="DX646" s="465">
        <v>19</v>
      </c>
      <c r="DY646" s="457">
        <v>15</v>
      </c>
      <c r="DZ646" s="817">
        <v>1</v>
      </c>
      <c r="EA646" s="817">
        <v>16</v>
      </c>
      <c r="EB646" s="465">
        <v>1</v>
      </c>
      <c r="EC646" s="457">
        <v>13</v>
      </c>
      <c r="ED646" s="817">
        <v>52</v>
      </c>
      <c r="EE646" s="817">
        <v>16</v>
      </c>
      <c r="EF646" s="459">
        <v>44</v>
      </c>
      <c r="EG646" s="450">
        <v>58</v>
      </c>
      <c r="EH646" s="460">
        <f t="shared" si="297"/>
        <v>414</v>
      </c>
      <c r="EI646" s="460">
        <f t="shared" si="298"/>
        <v>10</v>
      </c>
      <c r="EJ646" s="458">
        <f t="shared" si="299"/>
        <v>0.35024154589371981</v>
      </c>
      <c r="EK646" s="470">
        <f t="shared" si="300"/>
        <v>469</v>
      </c>
      <c r="EL646" s="470">
        <f t="shared" si="301"/>
        <v>10</v>
      </c>
      <c r="EM646" s="449">
        <f t="shared" si="302"/>
        <v>0.34754797441364604</v>
      </c>
      <c r="EN646" s="460">
        <f t="shared" si="303"/>
        <v>1981</v>
      </c>
      <c r="EO646" s="469">
        <f t="shared" si="304"/>
        <v>2102</v>
      </c>
      <c r="EP646" s="471">
        <v>0</v>
      </c>
      <c r="EQ646" s="817">
        <v>0</v>
      </c>
      <c r="ER646" s="471"/>
      <c r="ES646" s="818">
        <v>0</v>
      </c>
      <c r="ET646" s="471"/>
      <c r="EU646" s="818">
        <v>0</v>
      </c>
      <c r="EV646" s="471"/>
      <c r="EW646" s="818">
        <v>0</v>
      </c>
      <c r="EX646" s="471"/>
      <c r="EY646" s="450"/>
      <c r="EZ646" s="471"/>
      <c r="FA646" s="450"/>
      <c r="FB646" s="471"/>
      <c r="FC646" s="450"/>
      <c r="FD646" s="471">
        <v>85</v>
      </c>
      <c r="FE646" s="450">
        <v>91</v>
      </c>
      <c r="FF646" s="471"/>
      <c r="FG646" s="450"/>
      <c r="FH646" s="472"/>
      <c r="FI646" s="450"/>
      <c r="FJ646" s="468">
        <f t="shared" si="305"/>
        <v>85</v>
      </c>
      <c r="FK646" s="469">
        <f t="shared" si="306"/>
        <v>91</v>
      </c>
      <c r="FL646" s="472"/>
      <c r="FM646" s="450"/>
      <c r="FN646" s="460">
        <f t="shared" si="307"/>
        <v>7814</v>
      </c>
      <c r="FO646" s="469">
        <f t="shared" si="308"/>
        <v>8068</v>
      </c>
    </row>
    <row r="647" spans="1:171" ht="15.75" x14ac:dyDescent="0.25">
      <c r="A647" s="737" t="s">
        <v>1198</v>
      </c>
      <c r="B647" s="712" t="s">
        <v>1204</v>
      </c>
      <c r="C647" s="713"/>
      <c r="D647" s="717">
        <v>231624</v>
      </c>
      <c r="E647" s="718">
        <v>2</v>
      </c>
      <c r="F647" s="532">
        <v>0</v>
      </c>
      <c r="G647" s="796">
        <v>0</v>
      </c>
      <c r="H647" s="457"/>
      <c r="I647" s="450"/>
      <c r="J647" s="457">
        <v>0</v>
      </c>
      <c r="K647" s="797">
        <v>0</v>
      </c>
      <c r="L647" s="458">
        <f t="shared" si="285"/>
        <v>0</v>
      </c>
      <c r="M647" s="449">
        <f t="shared" si="286"/>
        <v>0</v>
      </c>
      <c r="N647" s="459">
        <v>1497</v>
      </c>
      <c r="O647" s="459"/>
      <c r="P647" s="459"/>
      <c r="Q647" s="459">
        <v>32</v>
      </c>
      <c r="R647" s="460">
        <f t="shared" si="287"/>
        <v>32</v>
      </c>
      <c r="S647" s="798">
        <v>1460</v>
      </c>
      <c r="T647" s="461"/>
      <c r="U647" s="461"/>
      <c r="V647" s="461">
        <v>22</v>
      </c>
      <c r="W647" s="462">
        <f t="shared" si="288"/>
        <v>22</v>
      </c>
      <c r="X647" s="463"/>
      <c r="Y647" s="457"/>
      <c r="Z647" s="464"/>
      <c r="AA647" s="464"/>
      <c r="AB647" s="465"/>
      <c r="AC647" s="457"/>
      <c r="AD647" s="464"/>
      <c r="AE647" s="466"/>
      <c r="AF647" s="465"/>
      <c r="AG647" s="457"/>
      <c r="AH647" s="464"/>
      <c r="AI647" s="466"/>
      <c r="AJ647" s="465"/>
      <c r="AK647" s="457"/>
      <c r="AL647" s="464"/>
      <c r="AM647" s="466"/>
      <c r="AN647" s="465"/>
      <c r="AO647" s="457"/>
      <c r="AP647" s="464"/>
      <c r="AQ647" s="464"/>
      <c r="AR647" s="460">
        <f t="shared" si="289"/>
        <v>0</v>
      </c>
      <c r="AS647" s="467">
        <f t="shared" si="290"/>
        <v>0.64166309472781824</v>
      </c>
      <c r="AT647" s="447">
        <f t="shared" si="291"/>
        <v>0</v>
      </c>
      <c r="AU647" s="448">
        <f t="shared" si="292"/>
        <v>0.63258232235701906</v>
      </c>
      <c r="AV647" s="457">
        <v>0</v>
      </c>
      <c r="AW647" s="819">
        <v>0</v>
      </c>
      <c r="AX647" s="463">
        <v>52</v>
      </c>
      <c r="AY647" s="457">
        <v>283</v>
      </c>
      <c r="AZ647" s="799">
        <v>52</v>
      </c>
      <c r="BA647" s="799">
        <v>292</v>
      </c>
      <c r="BB647" s="465">
        <v>13</v>
      </c>
      <c r="BC647" s="457">
        <v>139</v>
      </c>
      <c r="BD647" s="800">
        <v>13</v>
      </c>
      <c r="BE647" s="800">
        <v>126</v>
      </c>
      <c r="BF647" s="465">
        <v>42</v>
      </c>
      <c r="BG647" s="457">
        <v>26</v>
      </c>
      <c r="BH647" s="801">
        <v>42</v>
      </c>
      <c r="BI647" s="801">
        <v>30</v>
      </c>
      <c r="BJ647" s="465">
        <v>54</v>
      </c>
      <c r="BK647" s="457">
        <v>22</v>
      </c>
      <c r="BL647" s="802">
        <v>22</v>
      </c>
      <c r="BM647" s="802">
        <v>28</v>
      </c>
      <c r="BN647" s="465">
        <v>44</v>
      </c>
      <c r="BO647" s="457">
        <v>19</v>
      </c>
      <c r="BP647" s="803">
        <v>11</v>
      </c>
      <c r="BQ647" s="803">
        <v>26</v>
      </c>
      <c r="BR647" s="465">
        <v>22</v>
      </c>
      <c r="BS647" s="457">
        <v>19</v>
      </c>
      <c r="BT647" s="804">
        <v>26</v>
      </c>
      <c r="BU647" s="804">
        <v>23</v>
      </c>
      <c r="BV647" s="465">
        <v>11</v>
      </c>
      <c r="BW647" s="457">
        <v>18</v>
      </c>
      <c r="BX647" s="805">
        <v>44</v>
      </c>
      <c r="BY647" s="805">
        <v>19</v>
      </c>
      <c r="BZ647" s="465">
        <v>40</v>
      </c>
      <c r="CA647" s="457">
        <v>17</v>
      </c>
      <c r="CB647" s="806">
        <v>40</v>
      </c>
      <c r="CC647" s="806">
        <v>16</v>
      </c>
      <c r="CD647" s="465">
        <v>26</v>
      </c>
      <c r="CE647" s="457">
        <v>17</v>
      </c>
      <c r="CF647" s="807">
        <v>54</v>
      </c>
      <c r="CG647" s="807">
        <v>15</v>
      </c>
      <c r="CH647" s="465">
        <v>5</v>
      </c>
      <c r="CI647" s="457">
        <v>9</v>
      </c>
      <c r="CJ647" s="808">
        <v>45</v>
      </c>
      <c r="CK647" s="808">
        <v>6</v>
      </c>
      <c r="CL647" s="459">
        <v>9</v>
      </c>
      <c r="CM647" s="450">
        <v>7</v>
      </c>
      <c r="CN647" s="468">
        <f t="shared" si="293"/>
        <v>578</v>
      </c>
      <c r="CO647" s="468">
        <f t="shared" si="294"/>
        <v>10</v>
      </c>
      <c r="CP647" s="469">
        <f t="shared" si="295"/>
        <v>588</v>
      </c>
      <c r="CQ647" s="469">
        <f t="shared" si="296"/>
        <v>10</v>
      </c>
      <c r="CR647" s="463">
        <v>13</v>
      </c>
      <c r="CS647" s="457">
        <v>15</v>
      </c>
      <c r="CT647" s="809">
        <v>13</v>
      </c>
      <c r="CU647" s="809">
        <v>24</v>
      </c>
      <c r="CV647" s="465">
        <v>40</v>
      </c>
      <c r="CW647" s="457">
        <v>12</v>
      </c>
      <c r="CX647" s="810">
        <v>54</v>
      </c>
      <c r="CY647" s="810">
        <v>7</v>
      </c>
      <c r="CZ647" s="465">
        <v>26</v>
      </c>
      <c r="DA647" s="457">
        <v>12</v>
      </c>
      <c r="DB647" s="811">
        <v>40</v>
      </c>
      <c r="DC647" s="811">
        <v>6</v>
      </c>
      <c r="DD647" s="465">
        <v>5</v>
      </c>
      <c r="DE647" s="457">
        <v>4</v>
      </c>
      <c r="DF647" s="812">
        <v>26</v>
      </c>
      <c r="DG647" s="812">
        <v>6</v>
      </c>
      <c r="DH647" s="465">
        <v>11</v>
      </c>
      <c r="DI647" s="457">
        <v>3</v>
      </c>
      <c r="DJ647" s="813">
        <v>11</v>
      </c>
      <c r="DK647" s="813">
        <v>6</v>
      </c>
      <c r="DL647" s="465">
        <v>54</v>
      </c>
      <c r="DM647" s="457">
        <v>3</v>
      </c>
      <c r="DN647" s="814">
        <v>5</v>
      </c>
      <c r="DO647" s="814">
        <v>4</v>
      </c>
      <c r="DP647" s="465">
        <v>42</v>
      </c>
      <c r="DQ647" s="457">
        <v>2</v>
      </c>
      <c r="DR647" s="815">
        <v>30</v>
      </c>
      <c r="DS647" s="815">
        <v>2</v>
      </c>
      <c r="DT647" s="465">
        <v>30</v>
      </c>
      <c r="DU647" s="457">
        <v>2</v>
      </c>
      <c r="DV647" s="816">
        <v>0</v>
      </c>
      <c r="DW647" s="816">
        <v>0</v>
      </c>
      <c r="DX647" s="465">
        <v>0</v>
      </c>
      <c r="DY647" s="457">
        <v>0</v>
      </c>
      <c r="DZ647" s="817">
        <v>0</v>
      </c>
      <c r="EA647" s="817">
        <v>0</v>
      </c>
      <c r="EB647" s="465">
        <v>0</v>
      </c>
      <c r="EC647" s="457">
        <v>0</v>
      </c>
      <c r="ED647" s="817">
        <v>0</v>
      </c>
      <c r="EE647" s="817">
        <v>0</v>
      </c>
      <c r="EF647" s="459">
        <v>0</v>
      </c>
      <c r="EG647" s="450">
        <v>0</v>
      </c>
      <c r="EH647" s="460">
        <f t="shared" si="297"/>
        <v>53</v>
      </c>
      <c r="EI647" s="460">
        <f t="shared" si="298"/>
        <v>10</v>
      </c>
      <c r="EJ647" s="458">
        <f t="shared" si="299"/>
        <v>0.28301886792452829</v>
      </c>
      <c r="EK647" s="470">
        <f t="shared" si="300"/>
        <v>55</v>
      </c>
      <c r="EL647" s="470">
        <f t="shared" si="301"/>
        <v>10</v>
      </c>
      <c r="EM647" s="449">
        <f t="shared" si="302"/>
        <v>0.43636363636363634</v>
      </c>
      <c r="EN647" s="460">
        <f t="shared" si="303"/>
        <v>631</v>
      </c>
      <c r="EO647" s="469">
        <f t="shared" si="304"/>
        <v>643</v>
      </c>
      <c r="EP647" s="471">
        <v>205</v>
      </c>
      <c r="EQ647" s="817">
        <v>205</v>
      </c>
      <c r="ER647" s="471"/>
      <c r="ES647" s="818">
        <v>0</v>
      </c>
      <c r="ET647" s="471"/>
      <c r="EU647" s="818">
        <v>0</v>
      </c>
      <c r="EV647" s="471"/>
      <c r="EW647" s="818">
        <v>0</v>
      </c>
      <c r="EX647" s="471"/>
      <c r="EY647" s="450"/>
      <c r="EZ647" s="471"/>
      <c r="FA647" s="450"/>
      <c r="FB647" s="471"/>
      <c r="FC647" s="450"/>
      <c r="FD647" s="471"/>
      <c r="FE647" s="450"/>
      <c r="FF647" s="471"/>
      <c r="FG647" s="450"/>
      <c r="FH647" s="472"/>
      <c r="FI647" s="450"/>
      <c r="FJ647" s="468">
        <f t="shared" si="305"/>
        <v>205</v>
      </c>
      <c r="FK647" s="469">
        <f t="shared" si="306"/>
        <v>205</v>
      </c>
      <c r="FL647" s="472"/>
      <c r="FM647" s="450"/>
      <c r="FN647" s="460">
        <f t="shared" si="307"/>
        <v>2333</v>
      </c>
      <c r="FO647" s="469">
        <f t="shared" si="308"/>
        <v>2308</v>
      </c>
    </row>
    <row r="648" spans="1:171" ht="15.75" x14ac:dyDescent="0.25">
      <c r="A648" s="737" t="s">
        <v>1198</v>
      </c>
      <c r="B648" s="712" t="s">
        <v>1205</v>
      </c>
      <c r="C648" s="713"/>
      <c r="D648" s="717">
        <v>234030</v>
      </c>
      <c r="E648" s="718">
        <v>2</v>
      </c>
      <c r="F648" s="532">
        <v>0</v>
      </c>
      <c r="G648" s="796">
        <v>0</v>
      </c>
      <c r="H648" s="457"/>
      <c r="I648" s="450"/>
      <c r="J648" s="457">
        <v>0</v>
      </c>
      <c r="K648" s="797">
        <v>0</v>
      </c>
      <c r="L648" s="458">
        <f t="shared" si="285"/>
        <v>0</v>
      </c>
      <c r="M648" s="449">
        <f t="shared" si="286"/>
        <v>0</v>
      </c>
      <c r="N648" s="459">
        <v>4374</v>
      </c>
      <c r="O648" s="459"/>
      <c r="P648" s="459"/>
      <c r="Q648" s="459">
        <v>172</v>
      </c>
      <c r="R648" s="460">
        <f t="shared" si="287"/>
        <v>172</v>
      </c>
      <c r="S648" s="798">
        <v>4658</v>
      </c>
      <c r="T648" s="461"/>
      <c r="U648" s="461"/>
      <c r="V648" s="461">
        <v>188</v>
      </c>
      <c r="W648" s="462">
        <f t="shared" si="288"/>
        <v>188</v>
      </c>
      <c r="X648" s="463"/>
      <c r="Y648" s="457"/>
      <c r="Z648" s="464"/>
      <c r="AA648" s="464"/>
      <c r="AB648" s="465"/>
      <c r="AC648" s="457"/>
      <c r="AD648" s="464"/>
      <c r="AE648" s="466"/>
      <c r="AF648" s="465"/>
      <c r="AG648" s="457"/>
      <c r="AH648" s="464"/>
      <c r="AI648" s="466"/>
      <c r="AJ648" s="465"/>
      <c r="AK648" s="457"/>
      <c r="AL648" s="464"/>
      <c r="AM648" s="466"/>
      <c r="AN648" s="465"/>
      <c r="AO648" s="457"/>
      <c r="AP648" s="464"/>
      <c r="AQ648" s="464"/>
      <c r="AR648" s="460">
        <f t="shared" si="289"/>
        <v>0</v>
      </c>
      <c r="AS648" s="467">
        <f t="shared" si="290"/>
        <v>0.60970170058544748</v>
      </c>
      <c r="AT648" s="447">
        <f t="shared" si="291"/>
        <v>0</v>
      </c>
      <c r="AU648" s="448">
        <f t="shared" si="292"/>
        <v>0.62658057573311809</v>
      </c>
      <c r="AV648" s="457">
        <v>212</v>
      </c>
      <c r="AW648" s="819">
        <v>224</v>
      </c>
      <c r="AX648" s="463">
        <v>13</v>
      </c>
      <c r="AY648" s="457">
        <v>450</v>
      </c>
      <c r="AZ648" s="799">
        <v>13</v>
      </c>
      <c r="BA648" s="799">
        <v>363</v>
      </c>
      <c r="BB648" s="465">
        <v>51</v>
      </c>
      <c r="BC648" s="457">
        <v>319</v>
      </c>
      <c r="BD648" s="800">
        <v>51</v>
      </c>
      <c r="BE648" s="800">
        <v>357</v>
      </c>
      <c r="BF648" s="465">
        <v>44</v>
      </c>
      <c r="BG648" s="457">
        <v>247</v>
      </c>
      <c r="BH648" s="801">
        <v>44</v>
      </c>
      <c r="BI648" s="801">
        <v>246</v>
      </c>
      <c r="BJ648" s="465">
        <v>52</v>
      </c>
      <c r="BK648" s="457">
        <v>208</v>
      </c>
      <c r="BL648" s="802">
        <v>52</v>
      </c>
      <c r="BM648" s="802">
        <v>237</v>
      </c>
      <c r="BN648" s="465">
        <v>9</v>
      </c>
      <c r="BO648" s="457">
        <v>127</v>
      </c>
      <c r="BP648" s="803">
        <v>9</v>
      </c>
      <c r="BQ648" s="803">
        <v>125</v>
      </c>
      <c r="BR648" s="465">
        <v>50</v>
      </c>
      <c r="BS648" s="457">
        <v>76</v>
      </c>
      <c r="BT648" s="804">
        <v>50</v>
      </c>
      <c r="BU648" s="804">
        <v>63</v>
      </c>
      <c r="BV648" s="465">
        <v>26</v>
      </c>
      <c r="BW648" s="457">
        <v>62</v>
      </c>
      <c r="BX648" s="805">
        <v>26</v>
      </c>
      <c r="BY648" s="805">
        <v>59</v>
      </c>
      <c r="BZ648" s="465">
        <v>43</v>
      </c>
      <c r="CA648" s="457">
        <v>61</v>
      </c>
      <c r="CB648" s="806">
        <v>11</v>
      </c>
      <c r="CC648" s="806">
        <v>53</v>
      </c>
      <c r="CD648" s="465">
        <v>31</v>
      </c>
      <c r="CE648" s="457">
        <v>45</v>
      </c>
      <c r="CF648" s="807">
        <v>43</v>
      </c>
      <c r="CG648" s="807">
        <v>53</v>
      </c>
      <c r="CH648" s="465">
        <v>14</v>
      </c>
      <c r="CI648" s="457">
        <v>43</v>
      </c>
      <c r="CJ648" s="808">
        <v>45</v>
      </c>
      <c r="CK648" s="808">
        <v>41</v>
      </c>
      <c r="CL648" s="459">
        <v>220</v>
      </c>
      <c r="CM648" s="450">
        <v>207</v>
      </c>
      <c r="CN648" s="468">
        <f t="shared" si="293"/>
        <v>1858</v>
      </c>
      <c r="CO648" s="468">
        <f t="shared" si="294"/>
        <v>10</v>
      </c>
      <c r="CP648" s="469">
        <f t="shared" si="295"/>
        <v>1804</v>
      </c>
      <c r="CQ648" s="469">
        <f t="shared" si="296"/>
        <v>10</v>
      </c>
      <c r="CR648" s="463">
        <v>51</v>
      </c>
      <c r="CS648" s="457">
        <v>160</v>
      </c>
      <c r="CT648" s="809">
        <v>51</v>
      </c>
      <c r="CU648" s="809">
        <v>174</v>
      </c>
      <c r="CV648" s="465">
        <v>26</v>
      </c>
      <c r="CW648" s="457">
        <v>47</v>
      </c>
      <c r="CX648" s="810">
        <v>26</v>
      </c>
      <c r="CY648" s="810">
        <v>48</v>
      </c>
      <c r="CZ648" s="465">
        <v>13</v>
      </c>
      <c r="DA648" s="457">
        <v>45</v>
      </c>
      <c r="DB648" s="811">
        <v>14</v>
      </c>
      <c r="DC648" s="811">
        <v>28</v>
      </c>
      <c r="DD648" s="465">
        <v>42</v>
      </c>
      <c r="DE648" s="457">
        <v>24</v>
      </c>
      <c r="DF648" s="812">
        <v>13</v>
      </c>
      <c r="DG648" s="812">
        <v>23</v>
      </c>
      <c r="DH648" s="465">
        <v>44</v>
      </c>
      <c r="DI648" s="457">
        <v>20</v>
      </c>
      <c r="DJ648" s="813">
        <v>42</v>
      </c>
      <c r="DK648" s="813">
        <v>16</v>
      </c>
      <c r="DL648" s="465">
        <v>14</v>
      </c>
      <c r="DM648" s="457">
        <v>14</v>
      </c>
      <c r="DN648" s="814">
        <v>44</v>
      </c>
      <c r="DO648" s="814">
        <v>15</v>
      </c>
      <c r="DP648" s="465">
        <v>40</v>
      </c>
      <c r="DQ648" s="457">
        <v>10</v>
      </c>
      <c r="DR648" s="815">
        <v>40</v>
      </c>
      <c r="DS648" s="815">
        <v>10</v>
      </c>
      <c r="DT648" s="465">
        <v>50</v>
      </c>
      <c r="DU648" s="457">
        <v>4</v>
      </c>
      <c r="DV648" s="816">
        <v>52</v>
      </c>
      <c r="DW648" s="816">
        <v>9</v>
      </c>
      <c r="DX648" s="465">
        <v>52</v>
      </c>
      <c r="DY648" s="457">
        <v>3</v>
      </c>
      <c r="DZ648" s="817">
        <v>30</v>
      </c>
      <c r="EA648" s="817">
        <v>8</v>
      </c>
      <c r="EB648" s="465">
        <v>30</v>
      </c>
      <c r="EC648" s="457">
        <v>2</v>
      </c>
      <c r="ED648" s="817">
        <v>15</v>
      </c>
      <c r="EE648" s="817">
        <v>1</v>
      </c>
      <c r="EF648" s="459">
        <v>0</v>
      </c>
      <c r="EG648" s="450">
        <v>1</v>
      </c>
      <c r="EH648" s="460">
        <f t="shared" si="297"/>
        <v>329</v>
      </c>
      <c r="EI648" s="460">
        <f t="shared" si="298"/>
        <v>10</v>
      </c>
      <c r="EJ648" s="458">
        <f t="shared" si="299"/>
        <v>0.48632218844984804</v>
      </c>
      <c r="EK648" s="470">
        <f t="shared" si="300"/>
        <v>333</v>
      </c>
      <c r="EL648" s="470">
        <f t="shared" si="301"/>
        <v>10</v>
      </c>
      <c r="EM648" s="449">
        <f t="shared" si="302"/>
        <v>0.52252252252252251</v>
      </c>
      <c r="EN648" s="460">
        <f t="shared" si="303"/>
        <v>2187</v>
      </c>
      <c r="EO648" s="469">
        <f t="shared" si="304"/>
        <v>2137</v>
      </c>
      <c r="EP648" s="471"/>
      <c r="EQ648" s="817">
        <v>0</v>
      </c>
      <c r="ER648" s="471">
        <v>176</v>
      </c>
      <c r="ES648" s="818">
        <v>187</v>
      </c>
      <c r="ET648" s="471">
        <v>89</v>
      </c>
      <c r="EU648" s="818">
        <v>104</v>
      </c>
      <c r="EV648" s="471">
        <v>136</v>
      </c>
      <c r="EW648" s="818">
        <v>124</v>
      </c>
      <c r="EX648" s="471"/>
      <c r="EY648" s="450"/>
      <c r="EZ648" s="471"/>
      <c r="FA648" s="450"/>
      <c r="FB648" s="471"/>
      <c r="FC648" s="450"/>
      <c r="FD648" s="471"/>
      <c r="FE648" s="450"/>
      <c r="FF648" s="471"/>
      <c r="FG648" s="450"/>
      <c r="FH648" s="472"/>
      <c r="FI648" s="450"/>
      <c r="FJ648" s="468">
        <f t="shared" si="305"/>
        <v>401</v>
      </c>
      <c r="FK648" s="469">
        <f t="shared" si="306"/>
        <v>415</v>
      </c>
      <c r="FL648" s="472"/>
      <c r="FM648" s="450"/>
      <c r="FN648" s="460">
        <f t="shared" si="307"/>
        <v>7174</v>
      </c>
      <c r="FO648" s="469">
        <f t="shared" si="308"/>
        <v>7434</v>
      </c>
    </row>
    <row r="649" spans="1:171" ht="15.75" x14ac:dyDescent="0.25">
      <c r="A649" s="737" t="s">
        <v>1198</v>
      </c>
      <c r="B649" s="712" t="s">
        <v>1206</v>
      </c>
      <c r="C649" s="713"/>
      <c r="D649" s="717">
        <v>232423</v>
      </c>
      <c r="E649" s="718">
        <v>3</v>
      </c>
      <c r="F649" s="532">
        <v>0</v>
      </c>
      <c r="G649" s="796">
        <v>0</v>
      </c>
      <c r="H649" s="457"/>
      <c r="I649" s="450"/>
      <c r="J649" s="457">
        <v>0</v>
      </c>
      <c r="K649" s="797">
        <v>0</v>
      </c>
      <c r="L649" s="458">
        <f t="shared" si="285"/>
        <v>0</v>
      </c>
      <c r="M649" s="449">
        <f t="shared" si="286"/>
        <v>0</v>
      </c>
      <c r="N649" s="459">
        <v>3877</v>
      </c>
      <c r="O649" s="459"/>
      <c r="P649" s="459"/>
      <c r="Q649" s="459">
        <v>396</v>
      </c>
      <c r="R649" s="460">
        <f t="shared" si="287"/>
        <v>396</v>
      </c>
      <c r="S649" s="798">
        <v>4096</v>
      </c>
      <c r="T649" s="461"/>
      <c r="U649" s="461"/>
      <c r="V649" s="461">
        <v>401</v>
      </c>
      <c r="W649" s="462">
        <f t="shared" si="288"/>
        <v>401</v>
      </c>
      <c r="X649" s="463"/>
      <c r="Y649" s="457"/>
      <c r="Z649" s="464"/>
      <c r="AA649" s="464"/>
      <c r="AB649" s="465"/>
      <c r="AC649" s="457"/>
      <c r="AD649" s="464"/>
      <c r="AE649" s="466"/>
      <c r="AF649" s="465"/>
      <c r="AG649" s="457"/>
      <c r="AH649" s="464"/>
      <c r="AI649" s="466"/>
      <c r="AJ649" s="465"/>
      <c r="AK649" s="457"/>
      <c r="AL649" s="464"/>
      <c r="AM649" s="466"/>
      <c r="AN649" s="465"/>
      <c r="AO649" s="457"/>
      <c r="AP649" s="464"/>
      <c r="AQ649" s="464"/>
      <c r="AR649" s="460">
        <f t="shared" si="289"/>
        <v>0</v>
      </c>
      <c r="AS649" s="467">
        <f t="shared" si="290"/>
        <v>0.84136284722222221</v>
      </c>
      <c r="AT649" s="447">
        <f t="shared" si="291"/>
        <v>0</v>
      </c>
      <c r="AU649" s="448">
        <f t="shared" si="292"/>
        <v>0.83455582722086386</v>
      </c>
      <c r="AV649" s="457">
        <v>0</v>
      </c>
      <c r="AW649" s="819">
        <v>0</v>
      </c>
      <c r="AX649" s="463">
        <v>13</v>
      </c>
      <c r="AY649" s="457">
        <v>343</v>
      </c>
      <c r="AZ649" s="799">
        <v>13</v>
      </c>
      <c r="BA649" s="799">
        <v>366</v>
      </c>
      <c r="BB649" s="465">
        <v>51</v>
      </c>
      <c r="BC649" s="457">
        <v>92</v>
      </c>
      <c r="BD649" s="800">
        <v>52</v>
      </c>
      <c r="BE649" s="800">
        <v>126</v>
      </c>
      <c r="BF649" s="465">
        <v>52</v>
      </c>
      <c r="BG649" s="457">
        <v>79</v>
      </c>
      <c r="BH649" s="801">
        <v>51</v>
      </c>
      <c r="BI649" s="801">
        <v>101</v>
      </c>
      <c r="BJ649" s="465">
        <v>31</v>
      </c>
      <c r="BK649" s="457">
        <v>42</v>
      </c>
      <c r="BL649" s="802">
        <v>31</v>
      </c>
      <c r="BM649" s="802">
        <v>56</v>
      </c>
      <c r="BN649" s="465">
        <v>30</v>
      </c>
      <c r="BO649" s="457">
        <v>26</v>
      </c>
      <c r="BP649" s="803">
        <v>42</v>
      </c>
      <c r="BQ649" s="803">
        <v>24</v>
      </c>
      <c r="BR649" s="465">
        <v>44</v>
      </c>
      <c r="BS649" s="457">
        <v>25</v>
      </c>
      <c r="BT649" s="804">
        <v>45</v>
      </c>
      <c r="BU649" s="804">
        <v>21</v>
      </c>
      <c r="BV649" s="465">
        <v>11</v>
      </c>
      <c r="BW649" s="457">
        <v>20</v>
      </c>
      <c r="BX649" s="805">
        <v>44</v>
      </c>
      <c r="BY649" s="805">
        <v>20</v>
      </c>
      <c r="BZ649" s="465">
        <v>42</v>
      </c>
      <c r="CA649" s="457">
        <v>17</v>
      </c>
      <c r="CB649" s="806">
        <v>11</v>
      </c>
      <c r="CC649" s="806">
        <v>17</v>
      </c>
      <c r="CD649" s="465">
        <v>23</v>
      </c>
      <c r="CE649" s="457">
        <v>17</v>
      </c>
      <c r="CF649" s="807">
        <v>30</v>
      </c>
      <c r="CG649" s="807">
        <v>17</v>
      </c>
      <c r="CH649" s="465">
        <v>45</v>
      </c>
      <c r="CI649" s="457">
        <v>16</v>
      </c>
      <c r="CJ649" s="808">
        <v>50</v>
      </c>
      <c r="CK649" s="808">
        <v>16</v>
      </c>
      <c r="CL649" s="459">
        <v>36</v>
      </c>
      <c r="CM649" s="450">
        <v>35</v>
      </c>
      <c r="CN649" s="468">
        <f t="shared" si="293"/>
        <v>713</v>
      </c>
      <c r="CO649" s="468">
        <f t="shared" si="294"/>
        <v>10</v>
      </c>
      <c r="CP649" s="469">
        <f t="shared" si="295"/>
        <v>799</v>
      </c>
      <c r="CQ649" s="469">
        <f t="shared" si="296"/>
        <v>10</v>
      </c>
      <c r="CR649" s="463">
        <v>42</v>
      </c>
      <c r="CS649" s="457">
        <v>9</v>
      </c>
      <c r="CT649" s="809">
        <v>51</v>
      </c>
      <c r="CU649" s="809">
        <v>6</v>
      </c>
      <c r="CV649" s="465">
        <v>50</v>
      </c>
      <c r="CW649" s="457">
        <v>6</v>
      </c>
      <c r="CX649" s="810">
        <v>50</v>
      </c>
      <c r="CY649" s="810">
        <v>4</v>
      </c>
      <c r="CZ649" s="465">
        <v>51</v>
      </c>
      <c r="DA649" s="457">
        <v>3</v>
      </c>
      <c r="DB649" s="811">
        <v>42</v>
      </c>
      <c r="DC649" s="811">
        <v>3</v>
      </c>
      <c r="DD649" s="465">
        <v>0</v>
      </c>
      <c r="DE649" s="457">
        <v>0</v>
      </c>
      <c r="DF649" s="812">
        <v>0</v>
      </c>
      <c r="DG649" s="812">
        <v>0</v>
      </c>
      <c r="DH649" s="465">
        <v>0</v>
      </c>
      <c r="DI649" s="457">
        <v>0</v>
      </c>
      <c r="DJ649" s="813">
        <v>0</v>
      </c>
      <c r="DK649" s="813">
        <v>0</v>
      </c>
      <c r="DL649" s="465">
        <v>0</v>
      </c>
      <c r="DM649" s="457">
        <v>0</v>
      </c>
      <c r="DN649" s="814">
        <v>0</v>
      </c>
      <c r="DO649" s="814">
        <v>0</v>
      </c>
      <c r="DP649" s="465">
        <v>0</v>
      </c>
      <c r="DQ649" s="457">
        <v>0</v>
      </c>
      <c r="DR649" s="815">
        <v>0</v>
      </c>
      <c r="DS649" s="815">
        <v>0</v>
      </c>
      <c r="DT649" s="465">
        <v>0</v>
      </c>
      <c r="DU649" s="457">
        <v>0</v>
      </c>
      <c r="DV649" s="816">
        <v>0</v>
      </c>
      <c r="DW649" s="816">
        <v>0</v>
      </c>
      <c r="DX649" s="465">
        <v>0</v>
      </c>
      <c r="DY649" s="457">
        <v>0</v>
      </c>
      <c r="DZ649" s="817">
        <v>0</v>
      </c>
      <c r="EA649" s="817">
        <v>0</v>
      </c>
      <c r="EB649" s="465">
        <v>0</v>
      </c>
      <c r="EC649" s="457">
        <v>0</v>
      </c>
      <c r="ED649" s="817">
        <v>0</v>
      </c>
      <c r="EE649" s="817">
        <v>0</v>
      </c>
      <c r="EF649" s="459">
        <v>0</v>
      </c>
      <c r="EG649" s="450"/>
      <c r="EH649" s="460">
        <f t="shared" si="297"/>
        <v>18</v>
      </c>
      <c r="EI649" s="460">
        <f t="shared" si="298"/>
        <v>10</v>
      </c>
      <c r="EJ649" s="458">
        <f t="shared" si="299"/>
        <v>0.5</v>
      </c>
      <c r="EK649" s="470">
        <f t="shared" si="300"/>
        <v>13</v>
      </c>
      <c r="EL649" s="470">
        <f t="shared" si="301"/>
        <v>10</v>
      </c>
      <c r="EM649" s="449">
        <f t="shared" si="302"/>
        <v>0.46153846153846156</v>
      </c>
      <c r="EN649" s="460">
        <f t="shared" si="303"/>
        <v>731</v>
      </c>
      <c r="EO649" s="469">
        <f t="shared" si="304"/>
        <v>812</v>
      </c>
      <c r="EP649" s="471"/>
      <c r="EQ649" s="450"/>
      <c r="ER649" s="471"/>
      <c r="ES649" s="450"/>
      <c r="ET649" s="471"/>
      <c r="EU649" s="450"/>
      <c r="EV649" s="471"/>
      <c r="EW649" s="450"/>
      <c r="EX649" s="471"/>
      <c r="EY649" s="450"/>
      <c r="EZ649" s="471"/>
      <c r="FA649" s="450"/>
      <c r="FB649" s="471"/>
      <c r="FC649" s="450"/>
      <c r="FD649" s="471"/>
      <c r="FE649" s="450"/>
      <c r="FF649" s="471"/>
      <c r="FG649" s="450"/>
      <c r="FH649" s="472"/>
      <c r="FI649" s="450"/>
      <c r="FJ649" s="468">
        <f t="shared" si="305"/>
        <v>0</v>
      </c>
      <c r="FK649" s="469">
        <f t="shared" si="306"/>
        <v>0</v>
      </c>
      <c r="FL649" s="472"/>
      <c r="FM649" s="450"/>
      <c r="FN649" s="460">
        <f t="shared" si="307"/>
        <v>4608</v>
      </c>
      <c r="FO649" s="469">
        <f t="shared" si="308"/>
        <v>4908</v>
      </c>
    </row>
    <row r="650" spans="1:171" ht="15.75" x14ac:dyDescent="0.25">
      <c r="A650" s="737" t="s">
        <v>1198</v>
      </c>
      <c r="B650" s="712" t="s">
        <v>1207</v>
      </c>
      <c r="C650" s="713"/>
      <c r="D650" s="717">
        <v>232937</v>
      </c>
      <c r="E650" s="718">
        <v>3</v>
      </c>
      <c r="F650" s="532">
        <v>0</v>
      </c>
      <c r="G650" s="796">
        <v>0</v>
      </c>
      <c r="H650" s="457"/>
      <c r="I650" s="450"/>
      <c r="J650" s="457">
        <v>79</v>
      </c>
      <c r="K650" s="797">
        <v>77</v>
      </c>
      <c r="L650" s="458">
        <f t="shared" ref="L650:L713" si="309">IF(N650&gt;0,J650/N650, )</f>
        <v>0.10851648351648352</v>
      </c>
      <c r="M650" s="449">
        <f t="shared" ref="M650:M713" si="310">IF(S650&gt;0,K650/S650, )</f>
        <v>9.4710947109471089E-2</v>
      </c>
      <c r="N650" s="459">
        <v>728</v>
      </c>
      <c r="O650" s="459"/>
      <c r="P650" s="459"/>
      <c r="Q650" s="459">
        <v>53</v>
      </c>
      <c r="R650" s="460">
        <f t="shared" ref="R650:R713" si="311">SUM(O650:Q650)</f>
        <v>53</v>
      </c>
      <c r="S650" s="798">
        <v>813</v>
      </c>
      <c r="T650" s="461"/>
      <c r="U650" s="461"/>
      <c r="V650" s="461">
        <v>67</v>
      </c>
      <c r="W650" s="462">
        <f t="shared" ref="W650:W713" si="312">SUM(T650:V650)</f>
        <v>67</v>
      </c>
      <c r="X650" s="463"/>
      <c r="Y650" s="457"/>
      <c r="Z650" s="464"/>
      <c r="AA650" s="464"/>
      <c r="AB650" s="465"/>
      <c r="AC650" s="457"/>
      <c r="AD650" s="464"/>
      <c r="AE650" s="466"/>
      <c r="AF650" s="465"/>
      <c r="AG650" s="457"/>
      <c r="AH650" s="464"/>
      <c r="AI650" s="466"/>
      <c r="AJ650" s="465"/>
      <c r="AK650" s="457"/>
      <c r="AL650" s="464"/>
      <c r="AM650" s="466"/>
      <c r="AN650" s="465"/>
      <c r="AO650" s="457"/>
      <c r="AP650" s="464"/>
      <c r="AQ650" s="464"/>
      <c r="AR650" s="460">
        <f t="shared" ref="AR650:AR713" si="313">COUNTA(X650,AB650,AF650,AJ650,AN650)</f>
        <v>0</v>
      </c>
      <c r="AS650" s="467">
        <f t="shared" ref="AS650:AS713" si="314">IF(FN650&gt;0,N650/FN650,)</f>
        <v>0.70817120622568097</v>
      </c>
      <c r="AT650" s="447">
        <f t="shared" ref="AT650:AT713" si="315">COUNTA(Z650,AD650,AH650,AL650,AP650)</f>
        <v>0</v>
      </c>
      <c r="AU650" s="448">
        <f t="shared" ref="AU650:AU713" si="316">IF(FO650&gt;0,S650/FO650,)</f>
        <v>0.70328719723183386</v>
      </c>
      <c r="AV650" s="457">
        <v>0</v>
      </c>
      <c r="AW650" s="819">
        <v>0</v>
      </c>
      <c r="AX650" s="463">
        <v>13</v>
      </c>
      <c r="AY650" s="457">
        <v>90</v>
      </c>
      <c r="AZ650" s="799">
        <v>13</v>
      </c>
      <c r="BA650" s="799">
        <v>95</v>
      </c>
      <c r="BB650" s="465">
        <v>44</v>
      </c>
      <c r="BC650" s="457">
        <v>53</v>
      </c>
      <c r="BD650" s="800">
        <v>44</v>
      </c>
      <c r="BE650" s="800">
        <v>68</v>
      </c>
      <c r="BF650" s="465">
        <v>9</v>
      </c>
      <c r="BG650" s="457">
        <v>19</v>
      </c>
      <c r="BH650" s="801">
        <v>42</v>
      </c>
      <c r="BI650" s="801">
        <v>21</v>
      </c>
      <c r="BJ650" s="465">
        <v>43</v>
      </c>
      <c r="BK650" s="457">
        <v>13</v>
      </c>
      <c r="BL650" s="802">
        <v>11</v>
      </c>
      <c r="BM650" s="802">
        <v>20</v>
      </c>
      <c r="BN650" s="465">
        <v>50</v>
      </c>
      <c r="BO650" s="457">
        <v>11</v>
      </c>
      <c r="BP650" s="803">
        <v>43</v>
      </c>
      <c r="BQ650" s="803">
        <v>15</v>
      </c>
      <c r="BR650" s="465">
        <v>14</v>
      </c>
      <c r="BS650" s="457">
        <v>11</v>
      </c>
      <c r="BT650" s="804">
        <v>14</v>
      </c>
      <c r="BU650" s="804">
        <v>12</v>
      </c>
      <c r="BV650" s="465">
        <v>11</v>
      </c>
      <c r="BW650" s="457">
        <v>10</v>
      </c>
      <c r="BX650" s="805">
        <v>45</v>
      </c>
      <c r="BY650" s="805">
        <v>11</v>
      </c>
      <c r="BZ650" s="465">
        <v>42</v>
      </c>
      <c r="CA650" s="457">
        <v>6</v>
      </c>
      <c r="CB650" s="806">
        <v>50</v>
      </c>
      <c r="CC650" s="806">
        <v>9</v>
      </c>
      <c r="CD650" s="465">
        <v>45</v>
      </c>
      <c r="CE650" s="457">
        <v>5</v>
      </c>
      <c r="CF650" s="807">
        <v>9</v>
      </c>
      <c r="CG650" s="807">
        <v>8</v>
      </c>
      <c r="CH650" s="465">
        <v>40</v>
      </c>
      <c r="CI650" s="457">
        <v>1</v>
      </c>
      <c r="CJ650" s="808">
        <v>40</v>
      </c>
      <c r="CK650" s="808">
        <v>2</v>
      </c>
      <c r="CL650" s="459">
        <v>0</v>
      </c>
      <c r="CM650" s="450"/>
      <c r="CN650" s="468">
        <f t="shared" ref="CN650:CN713" si="317">AY650+BC650+BG650+BK650+BO650+BS650+BW650+CA650+CE650+CI650+CL650</f>
        <v>219</v>
      </c>
      <c r="CO650" s="468">
        <f t="shared" ref="CO650:CO713" si="318">COUNTA(AX650,BB650,BF650,BJ650,BN650,BR650,BV650,BZ650,CD650,CH650)</f>
        <v>10</v>
      </c>
      <c r="CP650" s="469">
        <f t="shared" ref="CP650:CP713" si="319">BA650+BE650+BI650+BM650+BQ650+BU650+BY650+CC650+CG650+CK650+CM650</f>
        <v>261</v>
      </c>
      <c r="CQ650" s="469">
        <f t="shared" ref="CQ650:CQ713" si="320">COUNTA(AZ650,BD650,BH650,BL650,BP650,BT650,BX650,CB650,CF650,CJ650)</f>
        <v>10</v>
      </c>
      <c r="CR650" s="463">
        <v>44</v>
      </c>
      <c r="CS650" s="457">
        <v>2</v>
      </c>
      <c r="CT650" s="809">
        <v>40</v>
      </c>
      <c r="CU650" s="809">
        <v>4</v>
      </c>
      <c r="CV650" s="465">
        <v>0</v>
      </c>
      <c r="CW650" s="457">
        <v>0</v>
      </c>
      <c r="CX650" s="810">
        <v>44</v>
      </c>
      <c r="CY650" s="810">
        <v>1</v>
      </c>
      <c r="CZ650" s="465">
        <v>0</v>
      </c>
      <c r="DA650" s="457">
        <v>0</v>
      </c>
      <c r="DB650" s="811">
        <v>0</v>
      </c>
      <c r="DC650" s="811">
        <v>0</v>
      </c>
      <c r="DD650" s="465">
        <v>0</v>
      </c>
      <c r="DE650" s="457">
        <v>0</v>
      </c>
      <c r="DF650" s="812">
        <v>0</v>
      </c>
      <c r="DG650" s="812">
        <v>0</v>
      </c>
      <c r="DH650" s="465">
        <v>0</v>
      </c>
      <c r="DI650" s="457">
        <v>0</v>
      </c>
      <c r="DJ650" s="813">
        <v>0</v>
      </c>
      <c r="DK650" s="813">
        <v>0</v>
      </c>
      <c r="DL650" s="465">
        <v>0</v>
      </c>
      <c r="DM650" s="457">
        <v>0</v>
      </c>
      <c r="DN650" s="814">
        <v>0</v>
      </c>
      <c r="DO650" s="814">
        <v>0</v>
      </c>
      <c r="DP650" s="465">
        <v>0</v>
      </c>
      <c r="DQ650" s="457">
        <v>0</v>
      </c>
      <c r="DR650" s="815">
        <v>0</v>
      </c>
      <c r="DS650" s="815">
        <v>0</v>
      </c>
      <c r="DT650" s="465">
        <v>0</v>
      </c>
      <c r="DU650" s="457">
        <v>0</v>
      </c>
      <c r="DV650" s="816">
        <v>0</v>
      </c>
      <c r="DW650" s="816">
        <v>0</v>
      </c>
      <c r="DX650" s="465">
        <v>0</v>
      </c>
      <c r="DY650" s="457">
        <v>0</v>
      </c>
      <c r="DZ650" s="817">
        <v>0</v>
      </c>
      <c r="EA650" s="817">
        <v>0</v>
      </c>
      <c r="EB650" s="465">
        <v>0</v>
      </c>
      <c r="EC650" s="457">
        <v>0</v>
      </c>
      <c r="ED650" s="817">
        <v>0</v>
      </c>
      <c r="EE650" s="817">
        <v>0</v>
      </c>
      <c r="EF650" s="459">
        <v>0</v>
      </c>
      <c r="EG650" s="450"/>
      <c r="EH650" s="460">
        <f t="shared" ref="EH650:EH713" si="321">CS650+CW650+DA650+DE650+DI650+DM650+DQ650+DU650+DY650+EC650+EF650</f>
        <v>2</v>
      </c>
      <c r="EI650" s="460">
        <f t="shared" ref="EI650:EI713" si="322">COUNTA(CR650,CV650,CZ650,DD650,DH650,DL650,DP650,DT650,DX650,EB650)</f>
        <v>10</v>
      </c>
      <c r="EJ650" s="458">
        <f t="shared" ref="EJ650:EJ713" si="323">IF(EH650&gt;0,CS650/EH650,)</f>
        <v>1</v>
      </c>
      <c r="EK650" s="470">
        <f t="shared" ref="EK650:EK713" si="324">CU650+CY650+DC650+DG650+DK650+DO650+DS650+DW650+EA650+EE650+EG650</f>
        <v>5</v>
      </c>
      <c r="EL650" s="470">
        <f t="shared" ref="EL650:EL713" si="325">COUNTA(CT650,CX650,DB650,DF650,DJ650,DN650,DR650,DV650,DZ650,ED650)</f>
        <v>10</v>
      </c>
      <c r="EM650" s="449">
        <f t="shared" ref="EM650:EM713" si="326">IF(EK650&gt;0,CU650/EK650,)</f>
        <v>0.8</v>
      </c>
      <c r="EN650" s="460">
        <f t="shared" ref="EN650:EN713" si="327">CN650+EH650</f>
        <v>221</v>
      </c>
      <c r="EO650" s="469">
        <f t="shared" ref="EO650:EO713" si="328">CP650+EK650</f>
        <v>266</v>
      </c>
      <c r="EP650" s="471"/>
      <c r="EQ650" s="450"/>
      <c r="ER650" s="471"/>
      <c r="ES650" s="450"/>
      <c r="ET650" s="471"/>
      <c r="EU650" s="450"/>
      <c r="EV650" s="471"/>
      <c r="EW650" s="450"/>
      <c r="EX650" s="471"/>
      <c r="EY650" s="450"/>
      <c r="EZ650" s="471"/>
      <c r="FA650" s="450"/>
      <c r="FB650" s="471"/>
      <c r="FC650" s="450"/>
      <c r="FD650" s="471"/>
      <c r="FE650" s="450"/>
      <c r="FF650" s="471"/>
      <c r="FG650" s="450"/>
      <c r="FH650" s="472"/>
      <c r="FI650" s="450"/>
      <c r="FJ650" s="468">
        <f t="shared" ref="FJ650:FJ713" si="329">EP650+ER650+ET650+EV650+EX650+EZ650+FB650+FD650+FF650+FH650</f>
        <v>0</v>
      </c>
      <c r="FK650" s="469">
        <f t="shared" ref="FK650:FK713" si="330">EQ650+ES650+EU650+EW650+EY650+FA650+FC650+FE650+FG650+FI650</f>
        <v>0</v>
      </c>
      <c r="FL650" s="472"/>
      <c r="FM650" s="450"/>
      <c r="FN650" s="460">
        <f t="shared" ref="FN650:FN713" si="331">F650+H650+J650+N650+AV650+EN650+FJ650+FL650</f>
        <v>1028</v>
      </c>
      <c r="FO650" s="469">
        <f t="shared" ref="FO650:FO713" si="332">G650+I650+K650+S650+AW650+EO650+FK650+FM650</f>
        <v>1156</v>
      </c>
    </row>
    <row r="651" spans="1:171" ht="15.75" x14ac:dyDescent="0.25">
      <c r="A651" s="737" t="s">
        <v>1198</v>
      </c>
      <c r="B651" s="712" t="s">
        <v>1208</v>
      </c>
      <c r="C651" s="713" t="s">
        <v>738</v>
      </c>
      <c r="D651" s="820">
        <v>232566</v>
      </c>
      <c r="E651" s="827">
        <v>4</v>
      </c>
      <c r="F651" s="532">
        <v>1</v>
      </c>
      <c r="G651" s="796">
        <v>0</v>
      </c>
      <c r="H651" s="457"/>
      <c r="I651" s="450"/>
      <c r="J651" s="457">
        <v>0</v>
      </c>
      <c r="K651" s="797">
        <v>0</v>
      </c>
      <c r="L651" s="458">
        <f t="shared" si="309"/>
        <v>0</v>
      </c>
      <c r="M651" s="449">
        <f t="shared" si="310"/>
        <v>0</v>
      </c>
      <c r="N651" s="459">
        <v>820</v>
      </c>
      <c r="O651" s="459"/>
      <c r="P651" s="459"/>
      <c r="Q651" s="459">
        <v>174</v>
      </c>
      <c r="R651" s="460">
        <f t="shared" si="311"/>
        <v>174</v>
      </c>
      <c r="S651" s="798">
        <v>872</v>
      </c>
      <c r="T651" s="461"/>
      <c r="U651" s="461"/>
      <c r="V651" s="461">
        <v>195</v>
      </c>
      <c r="W651" s="462">
        <f t="shared" si="312"/>
        <v>195</v>
      </c>
      <c r="X651" s="463"/>
      <c r="Y651" s="457"/>
      <c r="Z651" s="464"/>
      <c r="AA651" s="464"/>
      <c r="AB651" s="465"/>
      <c r="AC651" s="457"/>
      <c r="AD651" s="464"/>
      <c r="AE651" s="466"/>
      <c r="AF651" s="465"/>
      <c r="AG651" s="457"/>
      <c r="AH651" s="464"/>
      <c r="AI651" s="466"/>
      <c r="AJ651" s="465"/>
      <c r="AK651" s="457"/>
      <c r="AL651" s="464"/>
      <c r="AM651" s="466"/>
      <c r="AN651" s="465"/>
      <c r="AO651" s="457"/>
      <c r="AP651" s="464"/>
      <c r="AQ651" s="464"/>
      <c r="AR651" s="460">
        <f t="shared" si="313"/>
        <v>0</v>
      </c>
      <c r="AS651" s="467">
        <f t="shared" si="314"/>
        <v>0.81754735792622135</v>
      </c>
      <c r="AT651" s="447">
        <f t="shared" si="315"/>
        <v>0</v>
      </c>
      <c r="AU651" s="448">
        <f t="shared" si="316"/>
        <v>0.83444976076555022</v>
      </c>
      <c r="AV651" s="457">
        <v>0</v>
      </c>
      <c r="AW651" s="819">
        <v>0</v>
      </c>
      <c r="AX651" s="463">
        <v>13</v>
      </c>
      <c r="AY651" s="457">
        <v>126</v>
      </c>
      <c r="AZ651" s="799">
        <v>13</v>
      </c>
      <c r="BA651" s="799">
        <v>120</v>
      </c>
      <c r="BB651" s="465">
        <v>51</v>
      </c>
      <c r="BC651" s="457">
        <v>20</v>
      </c>
      <c r="BD651" s="800">
        <v>91</v>
      </c>
      <c r="BE651" s="800">
        <v>17</v>
      </c>
      <c r="BF651" s="465">
        <v>91</v>
      </c>
      <c r="BG651" s="457">
        <v>14</v>
      </c>
      <c r="BH651" s="801">
        <v>51</v>
      </c>
      <c r="BI651" s="801">
        <v>15</v>
      </c>
      <c r="BJ651" s="465">
        <v>23</v>
      </c>
      <c r="BK651" s="457">
        <v>10</v>
      </c>
      <c r="BL651" s="802">
        <v>23</v>
      </c>
      <c r="BM651" s="802">
        <v>12</v>
      </c>
      <c r="BN651" s="465">
        <v>45</v>
      </c>
      <c r="BO651" s="457">
        <v>5</v>
      </c>
      <c r="BP651" s="803">
        <v>52</v>
      </c>
      <c r="BQ651" s="803">
        <v>3</v>
      </c>
      <c r="BR651" s="465">
        <v>52</v>
      </c>
      <c r="BS651" s="457">
        <v>1</v>
      </c>
      <c r="BT651" s="804">
        <v>45</v>
      </c>
      <c r="BU651" s="804">
        <v>1</v>
      </c>
      <c r="BV651" s="465">
        <v>0</v>
      </c>
      <c r="BW651" s="457">
        <v>0</v>
      </c>
      <c r="BX651" s="805">
        <v>0</v>
      </c>
      <c r="BY651" s="805">
        <v>0</v>
      </c>
      <c r="BZ651" s="465">
        <v>0</v>
      </c>
      <c r="CA651" s="457">
        <v>0</v>
      </c>
      <c r="CB651" s="806">
        <v>0</v>
      </c>
      <c r="CC651" s="806">
        <v>0</v>
      </c>
      <c r="CD651" s="465">
        <v>0</v>
      </c>
      <c r="CE651" s="457">
        <v>0</v>
      </c>
      <c r="CF651" s="807">
        <v>0</v>
      </c>
      <c r="CG651" s="807">
        <v>0</v>
      </c>
      <c r="CH651" s="465">
        <v>0</v>
      </c>
      <c r="CI651" s="457">
        <v>0</v>
      </c>
      <c r="CJ651" s="808">
        <v>0</v>
      </c>
      <c r="CK651" s="808">
        <v>0</v>
      </c>
      <c r="CL651" s="459">
        <v>0</v>
      </c>
      <c r="CM651" s="450"/>
      <c r="CN651" s="468">
        <f t="shared" si="317"/>
        <v>176</v>
      </c>
      <c r="CO651" s="468">
        <f t="shared" si="318"/>
        <v>10</v>
      </c>
      <c r="CP651" s="469">
        <f t="shared" si="319"/>
        <v>168</v>
      </c>
      <c r="CQ651" s="469">
        <f t="shared" si="320"/>
        <v>10</v>
      </c>
      <c r="CR651" s="463">
        <v>13</v>
      </c>
      <c r="CS651" s="457">
        <v>6</v>
      </c>
      <c r="CT651" s="809">
        <v>51</v>
      </c>
      <c r="CU651" s="809">
        <v>5</v>
      </c>
      <c r="CV651" s="465">
        <v>0</v>
      </c>
      <c r="CW651" s="457">
        <v>0</v>
      </c>
      <c r="CX651" s="810">
        <v>0</v>
      </c>
      <c r="CY651" s="810">
        <v>0</v>
      </c>
      <c r="CZ651" s="465">
        <v>0</v>
      </c>
      <c r="DA651" s="457">
        <v>0</v>
      </c>
      <c r="DB651" s="811">
        <v>0</v>
      </c>
      <c r="DC651" s="811">
        <v>0</v>
      </c>
      <c r="DD651" s="465">
        <v>0</v>
      </c>
      <c r="DE651" s="457">
        <v>0</v>
      </c>
      <c r="DF651" s="812">
        <v>0</v>
      </c>
      <c r="DG651" s="812">
        <v>0</v>
      </c>
      <c r="DH651" s="465">
        <v>0</v>
      </c>
      <c r="DI651" s="457">
        <v>0</v>
      </c>
      <c r="DJ651" s="813">
        <v>0</v>
      </c>
      <c r="DK651" s="813">
        <v>0</v>
      </c>
      <c r="DL651" s="465">
        <v>0</v>
      </c>
      <c r="DM651" s="457">
        <v>0</v>
      </c>
      <c r="DN651" s="814">
        <v>0</v>
      </c>
      <c r="DO651" s="814">
        <v>0</v>
      </c>
      <c r="DP651" s="465">
        <v>0</v>
      </c>
      <c r="DQ651" s="457">
        <v>0</v>
      </c>
      <c r="DR651" s="815">
        <v>0</v>
      </c>
      <c r="DS651" s="815">
        <v>0</v>
      </c>
      <c r="DT651" s="465">
        <v>0</v>
      </c>
      <c r="DU651" s="457">
        <v>0</v>
      </c>
      <c r="DV651" s="816">
        <v>0</v>
      </c>
      <c r="DW651" s="816">
        <v>0</v>
      </c>
      <c r="DX651" s="465">
        <v>0</v>
      </c>
      <c r="DY651" s="457">
        <v>0</v>
      </c>
      <c r="DZ651" s="817">
        <v>0</v>
      </c>
      <c r="EA651" s="817">
        <v>0</v>
      </c>
      <c r="EB651" s="465">
        <v>0</v>
      </c>
      <c r="EC651" s="457">
        <v>0</v>
      </c>
      <c r="ED651" s="817">
        <v>0</v>
      </c>
      <c r="EE651" s="817">
        <v>0</v>
      </c>
      <c r="EF651" s="459">
        <v>0</v>
      </c>
      <c r="EG651" s="450"/>
      <c r="EH651" s="460">
        <f t="shared" si="321"/>
        <v>6</v>
      </c>
      <c r="EI651" s="460">
        <f t="shared" si="322"/>
        <v>10</v>
      </c>
      <c r="EJ651" s="458">
        <f t="shared" si="323"/>
        <v>1</v>
      </c>
      <c r="EK651" s="470">
        <f t="shared" si="324"/>
        <v>5</v>
      </c>
      <c r="EL651" s="470">
        <f t="shared" si="325"/>
        <v>10</v>
      </c>
      <c r="EM651" s="449">
        <f t="shared" si="326"/>
        <v>1</v>
      </c>
      <c r="EN651" s="460">
        <f t="shared" si="327"/>
        <v>182</v>
      </c>
      <c r="EO651" s="469">
        <f t="shared" si="328"/>
        <v>173</v>
      </c>
      <c r="EP651" s="471"/>
      <c r="EQ651" s="450"/>
      <c r="ER651" s="471"/>
      <c r="ES651" s="450"/>
      <c r="ET651" s="471"/>
      <c r="EU651" s="450"/>
      <c r="EV651" s="471"/>
      <c r="EW651" s="450"/>
      <c r="EX651" s="471"/>
      <c r="EY651" s="450"/>
      <c r="EZ651" s="471"/>
      <c r="FA651" s="450"/>
      <c r="FB651" s="471"/>
      <c r="FC651" s="450"/>
      <c r="FD651" s="471"/>
      <c r="FE651" s="450"/>
      <c r="FF651" s="471"/>
      <c r="FG651" s="450"/>
      <c r="FH651" s="472"/>
      <c r="FI651" s="450"/>
      <c r="FJ651" s="468">
        <f t="shared" si="329"/>
        <v>0</v>
      </c>
      <c r="FK651" s="469">
        <f t="shared" si="330"/>
        <v>0</v>
      </c>
      <c r="FL651" s="472"/>
      <c r="FM651" s="450"/>
      <c r="FN651" s="460">
        <f t="shared" si="331"/>
        <v>1003</v>
      </c>
      <c r="FO651" s="469">
        <f t="shared" si="332"/>
        <v>1045</v>
      </c>
    </row>
    <row r="652" spans="1:171" ht="15.75" x14ac:dyDescent="0.25">
      <c r="A652" s="737" t="s">
        <v>1198</v>
      </c>
      <c r="B652" s="712" t="s">
        <v>1209</v>
      </c>
      <c r="C652" s="713" t="s">
        <v>738</v>
      </c>
      <c r="D652" s="717">
        <v>233277</v>
      </c>
      <c r="E652" s="718">
        <v>4</v>
      </c>
      <c r="F652" s="532">
        <v>0</v>
      </c>
      <c r="G652" s="796">
        <v>17</v>
      </c>
      <c r="H652" s="457"/>
      <c r="I652" s="450"/>
      <c r="J652" s="457">
        <v>11</v>
      </c>
      <c r="K652" s="797">
        <v>0</v>
      </c>
      <c r="L652" s="458">
        <f t="shared" si="309"/>
        <v>6.3768115942028983E-3</v>
      </c>
      <c r="M652" s="449">
        <f t="shared" si="310"/>
        <v>0</v>
      </c>
      <c r="N652" s="459">
        <v>1725</v>
      </c>
      <c r="O652" s="459"/>
      <c r="P652" s="459"/>
      <c r="Q652" s="459">
        <v>19</v>
      </c>
      <c r="R652" s="460">
        <f t="shared" si="311"/>
        <v>19</v>
      </c>
      <c r="S652" s="798">
        <v>1818</v>
      </c>
      <c r="T652" s="461"/>
      <c r="U652" s="461"/>
      <c r="V652" s="461">
        <v>181</v>
      </c>
      <c r="W652" s="462">
        <f t="shared" si="312"/>
        <v>181</v>
      </c>
      <c r="X652" s="463"/>
      <c r="Y652" s="457"/>
      <c r="Z652" s="464"/>
      <c r="AA652" s="464"/>
      <c r="AB652" s="465"/>
      <c r="AC652" s="457"/>
      <c r="AD652" s="464"/>
      <c r="AE652" s="466"/>
      <c r="AF652" s="465"/>
      <c r="AG652" s="457"/>
      <c r="AH652" s="464"/>
      <c r="AI652" s="466"/>
      <c r="AJ652" s="465"/>
      <c r="AK652" s="457"/>
      <c r="AL652" s="464"/>
      <c r="AM652" s="466"/>
      <c r="AN652" s="465"/>
      <c r="AO652" s="457"/>
      <c r="AP652" s="464"/>
      <c r="AQ652" s="464"/>
      <c r="AR652" s="460">
        <f t="shared" si="313"/>
        <v>0</v>
      </c>
      <c r="AS652" s="467">
        <f t="shared" si="314"/>
        <v>0.8110014104372355</v>
      </c>
      <c r="AT652" s="447">
        <f t="shared" si="315"/>
        <v>0</v>
      </c>
      <c r="AU652" s="448">
        <f t="shared" si="316"/>
        <v>0.78294573643410847</v>
      </c>
      <c r="AV652" s="457">
        <v>18</v>
      </c>
      <c r="AW652" s="819">
        <v>28</v>
      </c>
      <c r="AX652" s="463">
        <v>13</v>
      </c>
      <c r="AY652" s="457">
        <v>189</v>
      </c>
      <c r="AZ652" s="799">
        <v>13</v>
      </c>
      <c r="BA652" s="799">
        <v>223</v>
      </c>
      <c r="BB652" s="465">
        <v>44</v>
      </c>
      <c r="BC652" s="457">
        <v>37</v>
      </c>
      <c r="BD652" s="800">
        <v>44</v>
      </c>
      <c r="BE652" s="800">
        <v>53</v>
      </c>
      <c r="BF652" s="465">
        <v>51</v>
      </c>
      <c r="BG652" s="457">
        <v>37</v>
      </c>
      <c r="BH652" s="801">
        <v>42</v>
      </c>
      <c r="BI652" s="801">
        <v>46</v>
      </c>
      <c r="BJ652" s="465">
        <v>42</v>
      </c>
      <c r="BK652" s="457">
        <v>34</v>
      </c>
      <c r="BL652" s="802">
        <v>51</v>
      </c>
      <c r="BM652" s="802">
        <v>40</v>
      </c>
      <c r="BN652" s="465">
        <v>52</v>
      </c>
      <c r="BO652" s="457">
        <v>26</v>
      </c>
      <c r="BP652" s="803">
        <v>52</v>
      </c>
      <c r="BQ652" s="803">
        <v>36</v>
      </c>
      <c r="BR652" s="465">
        <v>23</v>
      </c>
      <c r="BS652" s="457">
        <v>15</v>
      </c>
      <c r="BT652" s="804">
        <v>43</v>
      </c>
      <c r="BU652" s="804">
        <v>23</v>
      </c>
      <c r="BV652" s="465">
        <v>9</v>
      </c>
      <c r="BW652" s="457">
        <v>14</v>
      </c>
      <c r="BX652" s="805">
        <v>50</v>
      </c>
      <c r="BY652" s="805">
        <v>15</v>
      </c>
      <c r="BZ652" s="465">
        <v>50</v>
      </c>
      <c r="CA652" s="457">
        <v>12</v>
      </c>
      <c r="CB652" s="806">
        <v>23</v>
      </c>
      <c r="CC652" s="806">
        <v>13</v>
      </c>
      <c r="CD652" s="465">
        <v>43</v>
      </c>
      <c r="CE652" s="457">
        <v>9</v>
      </c>
      <c r="CF652" s="807">
        <v>9</v>
      </c>
      <c r="CG652" s="807">
        <v>7</v>
      </c>
      <c r="CH652" s="465">
        <v>0</v>
      </c>
      <c r="CI652" s="457">
        <v>0</v>
      </c>
      <c r="CJ652" s="808">
        <v>0</v>
      </c>
      <c r="CK652" s="808">
        <v>0</v>
      </c>
      <c r="CL652" s="459">
        <v>0</v>
      </c>
      <c r="CM652" s="450"/>
      <c r="CN652" s="468">
        <f t="shared" si="317"/>
        <v>373</v>
      </c>
      <c r="CO652" s="468">
        <f t="shared" si="318"/>
        <v>10</v>
      </c>
      <c r="CP652" s="469">
        <f t="shared" si="319"/>
        <v>456</v>
      </c>
      <c r="CQ652" s="469">
        <f t="shared" si="320"/>
        <v>10</v>
      </c>
      <c r="CR652" s="463"/>
      <c r="CS652" s="457"/>
      <c r="CT652" s="809">
        <v>13</v>
      </c>
      <c r="CU652" s="809">
        <v>3</v>
      </c>
      <c r="CV652" s="465"/>
      <c r="CW652" s="457"/>
      <c r="CX652" s="810">
        <v>0</v>
      </c>
      <c r="CY652" s="810">
        <v>0</v>
      </c>
      <c r="CZ652" s="465"/>
      <c r="DA652" s="457"/>
      <c r="DB652" s="811">
        <v>0</v>
      </c>
      <c r="DC652" s="811">
        <v>0</v>
      </c>
      <c r="DD652" s="465"/>
      <c r="DE652" s="457"/>
      <c r="DF652" s="812">
        <v>0</v>
      </c>
      <c r="DG652" s="812">
        <v>0</v>
      </c>
      <c r="DH652" s="465"/>
      <c r="DI652" s="457"/>
      <c r="DJ652" s="813">
        <v>0</v>
      </c>
      <c r="DK652" s="813">
        <v>0</v>
      </c>
      <c r="DL652" s="465"/>
      <c r="DM652" s="457"/>
      <c r="DN652" s="814">
        <v>0</v>
      </c>
      <c r="DO652" s="814">
        <v>0</v>
      </c>
      <c r="DP652" s="465"/>
      <c r="DQ652" s="457"/>
      <c r="DR652" s="815">
        <v>0</v>
      </c>
      <c r="DS652" s="815">
        <v>0</v>
      </c>
      <c r="DT652" s="465"/>
      <c r="DU652" s="457"/>
      <c r="DV652" s="816">
        <v>0</v>
      </c>
      <c r="DW652" s="816">
        <v>0</v>
      </c>
      <c r="DX652" s="465"/>
      <c r="DY652" s="457"/>
      <c r="DZ652" s="817">
        <v>0</v>
      </c>
      <c r="EA652" s="817">
        <v>0</v>
      </c>
      <c r="EB652" s="465"/>
      <c r="EC652" s="457"/>
      <c r="ED652" s="817">
        <v>0</v>
      </c>
      <c r="EE652" s="817">
        <v>0</v>
      </c>
      <c r="EF652" s="459">
        <v>0</v>
      </c>
      <c r="EG652" s="450"/>
      <c r="EH652" s="460">
        <f t="shared" si="321"/>
        <v>0</v>
      </c>
      <c r="EI652" s="460">
        <f t="shared" si="322"/>
        <v>0</v>
      </c>
      <c r="EJ652" s="458">
        <f t="shared" si="323"/>
        <v>0</v>
      </c>
      <c r="EK652" s="470">
        <f t="shared" si="324"/>
        <v>3</v>
      </c>
      <c r="EL652" s="470">
        <f t="shared" si="325"/>
        <v>10</v>
      </c>
      <c r="EM652" s="449">
        <f t="shared" si="326"/>
        <v>1</v>
      </c>
      <c r="EN652" s="460">
        <f t="shared" si="327"/>
        <v>373</v>
      </c>
      <c r="EO652" s="469">
        <f t="shared" si="328"/>
        <v>459</v>
      </c>
      <c r="EP652" s="471"/>
      <c r="EQ652" s="450"/>
      <c r="ER652" s="471"/>
      <c r="ES652" s="450"/>
      <c r="ET652" s="471"/>
      <c r="EU652" s="450"/>
      <c r="EV652" s="471"/>
      <c r="EW652" s="450"/>
      <c r="EX652" s="471"/>
      <c r="EY652" s="450"/>
      <c r="EZ652" s="471"/>
      <c r="FA652" s="450"/>
      <c r="FB652" s="471"/>
      <c r="FC652" s="450"/>
      <c r="FD652" s="471"/>
      <c r="FE652" s="450"/>
      <c r="FF652" s="471"/>
      <c r="FG652" s="450"/>
      <c r="FH652" s="472"/>
      <c r="FI652" s="450"/>
      <c r="FJ652" s="468">
        <f t="shared" si="329"/>
        <v>0</v>
      </c>
      <c r="FK652" s="469">
        <f t="shared" si="330"/>
        <v>0</v>
      </c>
      <c r="FL652" s="472"/>
      <c r="FM652" s="450"/>
      <c r="FN652" s="460">
        <f t="shared" si="331"/>
        <v>2127</v>
      </c>
      <c r="FO652" s="469">
        <f t="shared" si="332"/>
        <v>2322</v>
      </c>
    </row>
    <row r="653" spans="1:171" ht="15.75" x14ac:dyDescent="0.25">
      <c r="A653" s="737" t="s">
        <v>1198</v>
      </c>
      <c r="B653" s="712" t="s">
        <v>1210</v>
      </c>
      <c r="C653" s="713" t="s">
        <v>738</v>
      </c>
      <c r="D653" s="717">
        <v>234155</v>
      </c>
      <c r="E653" s="718">
        <v>4</v>
      </c>
      <c r="F653" s="532">
        <v>0</v>
      </c>
      <c r="G653" s="796">
        <v>0</v>
      </c>
      <c r="H653" s="457"/>
      <c r="I653" s="450"/>
      <c r="J653" s="457">
        <v>0</v>
      </c>
      <c r="K653" s="797">
        <v>21</v>
      </c>
      <c r="L653" s="458">
        <f t="shared" si="309"/>
        <v>0</v>
      </c>
      <c r="M653" s="449">
        <f t="shared" si="310"/>
        <v>2.5119617224880382E-2</v>
      </c>
      <c r="N653" s="459">
        <v>712</v>
      </c>
      <c r="O653" s="459"/>
      <c r="P653" s="459"/>
      <c r="Q653" s="459">
        <v>0</v>
      </c>
      <c r="R653" s="460">
        <f t="shared" si="311"/>
        <v>0</v>
      </c>
      <c r="S653" s="798">
        <v>836</v>
      </c>
      <c r="T653" s="461"/>
      <c r="U653" s="461"/>
      <c r="V653" s="461">
        <v>14</v>
      </c>
      <c r="W653" s="462">
        <f t="shared" si="312"/>
        <v>14</v>
      </c>
      <c r="X653" s="463"/>
      <c r="Y653" s="457"/>
      <c r="Z653" s="464"/>
      <c r="AA653" s="464"/>
      <c r="AB653" s="465"/>
      <c r="AC653" s="457"/>
      <c r="AD653" s="464"/>
      <c r="AE653" s="466"/>
      <c r="AF653" s="465"/>
      <c r="AG653" s="457"/>
      <c r="AH653" s="464"/>
      <c r="AI653" s="466"/>
      <c r="AJ653" s="465"/>
      <c r="AK653" s="457"/>
      <c r="AL653" s="464"/>
      <c r="AM653" s="466"/>
      <c r="AN653" s="465"/>
      <c r="AO653" s="457"/>
      <c r="AP653" s="464"/>
      <c r="AQ653" s="464"/>
      <c r="AR653" s="460">
        <f t="shared" si="313"/>
        <v>0</v>
      </c>
      <c r="AS653" s="467">
        <f t="shared" si="314"/>
        <v>0.82694541231126595</v>
      </c>
      <c r="AT653" s="447">
        <f t="shared" si="315"/>
        <v>0</v>
      </c>
      <c r="AU653" s="448">
        <f t="shared" si="316"/>
        <v>0.83683683683683685</v>
      </c>
      <c r="AV653" s="457">
        <v>1</v>
      </c>
      <c r="AW653" s="819">
        <v>7</v>
      </c>
      <c r="AX653" s="463">
        <v>13</v>
      </c>
      <c r="AY653" s="457">
        <v>82</v>
      </c>
      <c r="AZ653" s="799">
        <v>13</v>
      </c>
      <c r="BA653" s="799">
        <v>75</v>
      </c>
      <c r="BB653" s="465">
        <v>31</v>
      </c>
      <c r="BC653" s="457">
        <v>19</v>
      </c>
      <c r="BD653" s="800">
        <v>31</v>
      </c>
      <c r="BE653" s="800">
        <v>19</v>
      </c>
      <c r="BF653" s="465">
        <v>42</v>
      </c>
      <c r="BG653" s="457">
        <v>13</v>
      </c>
      <c r="BH653" s="801">
        <v>43</v>
      </c>
      <c r="BI653" s="801">
        <v>8</v>
      </c>
      <c r="BJ653" s="465">
        <v>52</v>
      </c>
      <c r="BK653" s="457">
        <v>7</v>
      </c>
      <c r="BL653" s="802">
        <v>23</v>
      </c>
      <c r="BM653" s="802">
        <v>7</v>
      </c>
      <c r="BN653" s="465">
        <v>11</v>
      </c>
      <c r="BO653" s="457">
        <v>6</v>
      </c>
      <c r="BP653" s="803">
        <v>26</v>
      </c>
      <c r="BQ653" s="803">
        <v>7</v>
      </c>
      <c r="BR653" s="465">
        <v>26</v>
      </c>
      <c r="BS653" s="457">
        <v>6</v>
      </c>
      <c r="BT653" s="804">
        <v>52</v>
      </c>
      <c r="BU653" s="804">
        <v>6</v>
      </c>
      <c r="BV653" s="465">
        <v>43</v>
      </c>
      <c r="BW653" s="457">
        <v>5</v>
      </c>
      <c r="BX653" s="805">
        <v>11</v>
      </c>
      <c r="BY653" s="805">
        <v>4</v>
      </c>
      <c r="BZ653" s="465">
        <v>54</v>
      </c>
      <c r="CA653" s="457">
        <v>4</v>
      </c>
      <c r="CB653" s="806">
        <v>42</v>
      </c>
      <c r="CC653" s="806">
        <v>3</v>
      </c>
      <c r="CD653" s="465">
        <v>27</v>
      </c>
      <c r="CE653" s="457">
        <v>2</v>
      </c>
      <c r="CF653" s="807">
        <v>9</v>
      </c>
      <c r="CG653" s="807">
        <v>3</v>
      </c>
      <c r="CH653" s="465">
        <v>23</v>
      </c>
      <c r="CI653" s="457">
        <v>2</v>
      </c>
      <c r="CJ653" s="808">
        <v>27</v>
      </c>
      <c r="CK653" s="808">
        <v>2</v>
      </c>
      <c r="CL653" s="459">
        <v>2</v>
      </c>
      <c r="CM653" s="450">
        <v>1</v>
      </c>
      <c r="CN653" s="468">
        <f t="shared" si="317"/>
        <v>148</v>
      </c>
      <c r="CO653" s="468">
        <f t="shared" si="318"/>
        <v>10</v>
      </c>
      <c r="CP653" s="469">
        <f t="shared" si="319"/>
        <v>135</v>
      </c>
      <c r="CQ653" s="469">
        <f t="shared" si="320"/>
        <v>10</v>
      </c>
      <c r="CR653" s="463"/>
      <c r="CS653" s="457"/>
      <c r="CT653" s="464"/>
      <c r="CU653" s="464"/>
      <c r="CV653" s="465"/>
      <c r="CW653" s="457"/>
      <c r="CX653" s="464"/>
      <c r="CY653" s="466"/>
      <c r="CZ653" s="465"/>
      <c r="DA653" s="457"/>
      <c r="DB653" s="464"/>
      <c r="DC653" s="466"/>
      <c r="DD653" s="465"/>
      <c r="DE653" s="457"/>
      <c r="DF653" s="464"/>
      <c r="DG653" s="466"/>
      <c r="DH653" s="465"/>
      <c r="DI653" s="457"/>
      <c r="DJ653" s="464"/>
      <c r="DK653" s="466"/>
      <c r="DL653" s="465"/>
      <c r="DM653" s="457"/>
      <c r="DN653" s="464"/>
      <c r="DO653" s="466"/>
      <c r="DP653" s="465"/>
      <c r="DQ653" s="457"/>
      <c r="DR653" s="464"/>
      <c r="DS653" s="466"/>
      <c r="DT653" s="465"/>
      <c r="DU653" s="457"/>
      <c r="DV653" s="464"/>
      <c r="DW653" s="466"/>
      <c r="DX653" s="465"/>
      <c r="DY653" s="457"/>
      <c r="DZ653" s="464"/>
      <c r="EA653" s="466"/>
      <c r="EB653" s="465"/>
      <c r="EC653" s="457"/>
      <c r="ED653" s="464"/>
      <c r="EE653" s="466"/>
      <c r="EF653" s="459">
        <v>0</v>
      </c>
      <c r="EG653" s="450"/>
      <c r="EH653" s="460">
        <f t="shared" si="321"/>
        <v>0</v>
      </c>
      <c r="EI653" s="460">
        <f t="shared" si="322"/>
        <v>0</v>
      </c>
      <c r="EJ653" s="458">
        <f t="shared" si="323"/>
        <v>0</v>
      </c>
      <c r="EK653" s="470">
        <f t="shared" si="324"/>
        <v>0</v>
      </c>
      <c r="EL653" s="470">
        <f t="shared" si="325"/>
        <v>0</v>
      </c>
      <c r="EM653" s="449">
        <f t="shared" si="326"/>
        <v>0</v>
      </c>
      <c r="EN653" s="460">
        <f t="shared" si="327"/>
        <v>148</v>
      </c>
      <c r="EO653" s="469">
        <f t="shared" si="328"/>
        <v>135</v>
      </c>
      <c r="EP653" s="471"/>
      <c r="EQ653" s="450"/>
      <c r="ER653" s="471"/>
      <c r="ES653" s="450"/>
      <c r="ET653" s="471"/>
      <c r="EU653" s="450"/>
      <c r="EV653" s="471"/>
      <c r="EW653" s="450"/>
      <c r="EX653" s="471"/>
      <c r="EY653" s="450"/>
      <c r="EZ653" s="471"/>
      <c r="FA653" s="450"/>
      <c r="FB653" s="471"/>
      <c r="FC653" s="450"/>
      <c r="FD653" s="471"/>
      <c r="FE653" s="450"/>
      <c r="FF653" s="471"/>
      <c r="FG653" s="450"/>
      <c r="FH653" s="472"/>
      <c r="FI653" s="450"/>
      <c r="FJ653" s="468">
        <f t="shared" si="329"/>
        <v>0</v>
      </c>
      <c r="FK653" s="469">
        <f t="shared" si="330"/>
        <v>0</v>
      </c>
      <c r="FL653" s="472"/>
      <c r="FM653" s="450"/>
      <c r="FN653" s="460">
        <f t="shared" si="331"/>
        <v>861</v>
      </c>
      <c r="FO653" s="469">
        <f t="shared" si="332"/>
        <v>999</v>
      </c>
    </row>
    <row r="654" spans="1:171" ht="15.75" x14ac:dyDescent="0.25">
      <c r="A654" s="737" t="s">
        <v>1198</v>
      </c>
      <c r="B654" s="712" t="s">
        <v>1211</v>
      </c>
      <c r="C654" s="713" t="s">
        <v>1239</v>
      </c>
      <c r="D654" s="717">
        <v>231712</v>
      </c>
      <c r="E654" s="718">
        <v>5</v>
      </c>
      <c r="F654" s="532">
        <v>0</v>
      </c>
      <c r="G654" s="796">
        <v>0</v>
      </c>
      <c r="H654" s="457"/>
      <c r="I654" s="450"/>
      <c r="J654" s="457">
        <v>0</v>
      </c>
      <c r="K654" s="797">
        <v>0</v>
      </c>
      <c r="L654" s="458">
        <f t="shared" si="309"/>
        <v>0</v>
      </c>
      <c r="M654" s="449">
        <f t="shared" si="310"/>
        <v>0</v>
      </c>
      <c r="N654" s="459">
        <v>994</v>
      </c>
      <c r="O654" s="459"/>
      <c r="P654" s="459"/>
      <c r="Q654" s="459">
        <v>229</v>
      </c>
      <c r="R654" s="460">
        <f t="shared" si="311"/>
        <v>229</v>
      </c>
      <c r="S654" s="798">
        <v>1048</v>
      </c>
      <c r="T654" s="461"/>
      <c r="U654" s="461"/>
      <c r="V654" s="461">
        <v>0</v>
      </c>
      <c r="W654" s="462">
        <f t="shared" si="312"/>
        <v>0</v>
      </c>
      <c r="X654" s="463"/>
      <c r="Y654" s="457"/>
      <c r="Z654" s="464"/>
      <c r="AA654" s="464"/>
      <c r="AB654" s="465"/>
      <c r="AC654" s="457"/>
      <c r="AD654" s="464"/>
      <c r="AE654" s="466"/>
      <c r="AF654" s="465"/>
      <c r="AG654" s="457"/>
      <c r="AH654" s="464"/>
      <c r="AI654" s="466"/>
      <c r="AJ654" s="465"/>
      <c r="AK654" s="457"/>
      <c r="AL654" s="464"/>
      <c r="AM654" s="466"/>
      <c r="AN654" s="465"/>
      <c r="AO654" s="457"/>
      <c r="AP654" s="464"/>
      <c r="AQ654" s="464"/>
      <c r="AR654" s="460">
        <f t="shared" si="313"/>
        <v>0</v>
      </c>
      <c r="AS654" s="467">
        <f t="shared" si="314"/>
        <v>0.91025641025641024</v>
      </c>
      <c r="AT654" s="447">
        <f t="shared" si="315"/>
        <v>0</v>
      </c>
      <c r="AU654" s="448">
        <f t="shared" si="316"/>
        <v>0.91528384279475983</v>
      </c>
      <c r="AV654" s="457">
        <v>0</v>
      </c>
      <c r="AW654" s="819">
        <v>0</v>
      </c>
      <c r="AX654" s="463">
        <v>13</v>
      </c>
      <c r="AY654" s="457">
        <v>83</v>
      </c>
      <c r="AZ654" s="799">
        <v>13</v>
      </c>
      <c r="BA654" s="799">
        <v>80</v>
      </c>
      <c r="BB654" s="465">
        <v>40</v>
      </c>
      <c r="BC654" s="457">
        <v>9</v>
      </c>
      <c r="BD654" s="800">
        <v>3</v>
      </c>
      <c r="BE654" s="800">
        <v>13</v>
      </c>
      <c r="BF654" s="465">
        <v>3</v>
      </c>
      <c r="BG654" s="457">
        <v>6</v>
      </c>
      <c r="BH654" s="801">
        <v>40</v>
      </c>
      <c r="BI654" s="801">
        <v>4</v>
      </c>
      <c r="BJ654" s="465">
        <v>0</v>
      </c>
      <c r="BK654" s="457">
        <v>0</v>
      </c>
      <c r="BL654" s="802">
        <v>0</v>
      </c>
      <c r="BM654" s="802">
        <v>0</v>
      </c>
      <c r="BN654" s="465">
        <v>0</v>
      </c>
      <c r="BO654" s="457">
        <v>0</v>
      </c>
      <c r="BP654" s="803">
        <v>0</v>
      </c>
      <c r="BQ654" s="803">
        <v>0</v>
      </c>
      <c r="BR654" s="465">
        <v>0</v>
      </c>
      <c r="BS654" s="457">
        <v>0</v>
      </c>
      <c r="BT654" s="804">
        <v>0</v>
      </c>
      <c r="BU654" s="804">
        <v>0</v>
      </c>
      <c r="BV654" s="465">
        <v>0</v>
      </c>
      <c r="BW654" s="457">
        <v>0</v>
      </c>
      <c r="BX654" s="805">
        <v>0</v>
      </c>
      <c r="BY654" s="805">
        <v>0</v>
      </c>
      <c r="BZ654" s="465">
        <v>0</v>
      </c>
      <c r="CA654" s="457">
        <v>0</v>
      </c>
      <c r="CB654" s="806">
        <v>0</v>
      </c>
      <c r="CC654" s="806">
        <v>0</v>
      </c>
      <c r="CD654" s="465">
        <v>0</v>
      </c>
      <c r="CE654" s="457">
        <v>0</v>
      </c>
      <c r="CF654" s="807">
        <v>0</v>
      </c>
      <c r="CG654" s="807">
        <v>0</v>
      </c>
      <c r="CH654" s="465">
        <v>0</v>
      </c>
      <c r="CI654" s="457">
        <v>0</v>
      </c>
      <c r="CJ654" s="808">
        <v>0</v>
      </c>
      <c r="CK654" s="808">
        <v>0</v>
      </c>
      <c r="CL654" s="459">
        <v>0</v>
      </c>
      <c r="CM654" s="450"/>
      <c r="CN654" s="468">
        <f t="shared" si="317"/>
        <v>98</v>
      </c>
      <c r="CO654" s="468">
        <f t="shared" si="318"/>
        <v>10</v>
      </c>
      <c r="CP654" s="469">
        <f t="shared" si="319"/>
        <v>97</v>
      </c>
      <c r="CQ654" s="469">
        <f t="shared" si="320"/>
        <v>10</v>
      </c>
      <c r="CR654" s="463"/>
      <c r="CS654" s="457"/>
      <c r="CT654" s="464"/>
      <c r="CU654" s="464"/>
      <c r="CV654" s="465"/>
      <c r="CW654" s="457"/>
      <c r="CX654" s="464"/>
      <c r="CY654" s="466"/>
      <c r="CZ654" s="465"/>
      <c r="DA654" s="457"/>
      <c r="DB654" s="464"/>
      <c r="DC654" s="466"/>
      <c r="DD654" s="465"/>
      <c r="DE654" s="457"/>
      <c r="DF654" s="464"/>
      <c r="DG654" s="466"/>
      <c r="DH654" s="465"/>
      <c r="DI654" s="457"/>
      <c r="DJ654" s="464"/>
      <c r="DK654" s="466"/>
      <c r="DL654" s="465"/>
      <c r="DM654" s="457"/>
      <c r="DN654" s="464"/>
      <c r="DO654" s="466"/>
      <c r="DP654" s="465"/>
      <c r="DQ654" s="457"/>
      <c r="DR654" s="464"/>
      <c r="DS654" s="466"/>
      <c r="DT654" s="465"/>
      <c r="DU654" s="457"/>
      <c r="DV654" s="464"/>
      <c r="DW654" s="466"/>
      <c r="DX654" s="465"/>
      <c r="DY654" s="457"/>
      <c r="DZ654" s="464"/>
      <c r="EA654" s="466"/>
      <c r="EB654" s="465"/>
      <c r="EC654" s="457"/>
      <c r="ED654" s="464"/>
      <c r="EE654" s="466"/>
      <c r="EF654" s="459"/>
      <c r="EG654" s="450"/>
      <c r="EH654" s="460">
        <f t="shared" si="321"/>
        <v>0</v>
      </c>
      <c r="EI654" s="460">
        <f t="shared" si="322"/>
        <v>0</v>
      </c>
      <c r="EJ654" s="458">
        <f t="shared" si="323"/>
        <v>0</v>
      </c>
      <c r="EK654" s="470">
        <f t="shared" si="324"/>
        <v>0</v>
      </c>
      <c r="EL654" s="470">
        <f t="shared" si="325"/>
        <v>0</v>
      </c>
      <c r="EM654" s="449">
        <f t="shared" si="326"/>
        <v>0</v>
      </c>
      <c r="EN654" s="460">
        <f t="shared" si="327"/>
        <v>98</v>
      </c>
      <c r="EO654" s="469">
        <f t="shared" si="328"/>
        <v>97</v>
      </c>
      <c r="EP654" s="471"/>
      <c r="EQ654" s="450"/>
      <c r="ER654" s="471"/>
      <c r="ES654" s="450"/>
      <c r="ET654" s="471"/>
      <c r="EU654" s="450"/>
      <c r="EV654" s="471"/>
      <c r="EW654" s="450"/>
      <c r="EX654" s="471"/>
      <c r="EY654" s="450"/>
      <c r="EZ654" s="471"/>
      <c r="FA654" s="450"/>
      <c r="FB654" s="471"/>
      <c r="FC654" s="450"/>
      <c r="FD654" s="471"/>
      <c r="FE654" s="450"/>
      <c r="FF654" s="471"/>
      <c r="FG654" s="450"/>
      <c r="FH654" s="472"/>
      <c r="FI654" s="450"/>
      <c r="FJ654" s="468">
        <f t="shared" si="329"/>
        <v>0</v>
      </c>
      <c r="FK654" s="469">
        <f t="shared" si="330"/>
        <v>0</v>
      </c>
      <c r="FL654" s="472"/>
      <c r="FM654" s="450"/>
      <c r="FN654" s="460">
        <f t="shared" si="331"/>
        <v>1092</v>
      </c>
      <c r="FO654" s="469">
        <f t="shared" si="332"/>
        <v>1145</v>
      </c>
    </row>
    <row r="655" spans="1:171" ht="15.75" x14ac:dyDescent="0.25">
      <c r="A655" s="737" t="s">
        <v>1198</v>
      </c>
      <c r="B655" s="794" t="s">
        <v>1212</v>
      </c>
      <c r="C655" s="713" t="s">
        <v>738</v>
      </c>
      <c r="D655" s="717">
        <v>232681</v>
      </c>
      <c r="E655" s="718">
        <v>5</v>
      </c>
      <c r="F655" s="532">
        <v>12</v>
      </c>
      <c r="G655" s="796">
        <v>14</v>
      </c>
      <c r="H655" s="457"/>
      <c r="I655" s="450"/>
      <c r="J655" s="457">
        <v>0</v>
      </c>
      <c r="K655" s="797">
        <v>0</v>
      </c>
      <c r="L655" s="458">
        <f t="shared" si="309"/>
        <v>0</v>
      </c>
      <c r="M655" s="449">
        <f t="shared" si="310"/>
        <v>0</v>
      </c>
      <c r="N655" s="459">
        <v>1046</v>
      </c>
      <c r="O655" s="459"/>
      <c r="P655" s="459"/>
      <c r="Q655" s="459">
        <v>71</v>
      </c>
      <c r="R655" s="460">
        <f t="shared" si="311"/>
        <v>71</v>
      </c>
      <c r="S655" s="798">
        <v>963</v>
      </c>
      <c r="T655" s="461"/>
      <c r="U655" s="461"/>
      <c r="V655" s="461">
        <v>86</v>
      </c>
      <c r="W655" s="462">
        <f t="shared" si="312"/>
        <v>86</v>
      </c>
      <c r="X655" s="463"/>
      <c r="Y655" s="457"/>
      <c r="Z655" s="464"/>
      <c r="AA655" s="464"/>
      <c r="AB655" s="465"/>
      <c r="AC655" s="457"/>
      <c r="AD655" s="464"/>
      <c r="AE655" s="466"/>
      <c r="AF655" s="465"/>
      <c r="AG655" s="457"/>
      <c r="AH655" s="464"/>
      <c r="AI655" s="466"/>
      <c r="AJ655" s="465"/>
      <c r="AK655" s="457"/>
      <c r="AL655" s="464"/>
      <c r="AM655" s="466"/>
      <c r="AN655" s="465"/>
      <c r="AO655" s="457"/>
      <c r="AP655" s="464"/>
      <c r="AQ655" s="464"/>
      <c r="AR655" s="460">
        <f t="shared" si="313"/>
        <v>0</v>
      </c>
      <c r="AS655" s="467">
        <f t="shared" si="314"/>
        <v>0.78234854151084521</v>
      </c>
      <c r="AT655" s="447">
        <f t="shared" si="315"/>
        <v>0</v>
      </c>
      <c r="AU655" s="448">
        <f t="shared" si="316"/>
        <v>0.78934426229508192</v>
      </c>
      <c r="AV655" s="457">
        <v>24</v>
      </c>
      <c r="AW655" s="819">
        <v>11</v>
      </c>
      <c r="AX655" s="463">
        <v>13</v>
      </c>
      <c r="AY655" s="457">
        <v>169</v>
      </c>
      <c r="AZ655" s="799">
        <v>13</v>
      </c>
      <c r="BA655" s="799">
        <v>130</v>
      </c>
      <c r="BB655" s="465">
        <v>52</v>
      </c>
      <c r="BC655" s="457">
        <v>86</v>
      </c>
      <c r="BD655" s="800">
        <v>52</v>
      </c>
      <c r="BE655" s="800">
        <v>102</v>
      </c>
      <c r="BF655" s="465">
        <v>0</v>
      </c>
      <c r="BG655" s="457">
        <v>0</v>
      </c>
      <c r="BH655" s="801">
        <v>0</v>
      </c>
      <c r="BI655" s="801">
        <v>0</v>
      </c>
      <c r="BJ655" s="465">
        <v>0</v>
      </c>
      <c r="BK655" s="457">
        <v>0</v>
      </c>
      <c r="BL655" s="802">
        <v>0</v>
      </c>
      <c r="BM655" s="802">
        <v>0</v>
      </c>
      <c r="BN655" s="465">
        <v>0</v>
      </c>
      <c r="BO655" s="457">
        <v>0</v>
      </c>
      <c r="BP655" s="803">
        <v>0</v>
      </c>
      <c r="BQ655" s="803">
        <v>0</v>
      </c>
      <c r="BR655" s="465">
        <v>0</v>
      </c>
      <c r="BS655" s="457">
        <v>0</v>
      </c>
      <c r="BT655" s="804">
        <v>0</v>
      </c>
      <c r="BU655" s="804">
        <v>0</v>
      </c>
      <c r="BV655" s="465">
        <v>0</v>
      </c>
      <c r="BW655" s="457">
        <v>0</v>
      </c>
      <c r="BX655" s="805">
        <v>0</v>
      </c>
      <c r="BY655" s="805">
        <v>0</v>
      </c>
      <c r="BZ655" s="465">
        <v>0</v>
      </c>
      <c r="CA655" s="457">
        <v>0</v>
      </c>
      <c r="CB655" s="806">
        <v>0</v>
      </c>
      <c r="CC655" s="806">
        <v>0</v>
      </c>
      <c r="CD655" s="465">
        <v>0</v>
      </c>
      <c r="CE655" s="457">
        <v>0</v>
      </c>
      <c r="CF655" s="807">
        <v>0</v>
      </c>
      <c r="CG655" s="807">
        <v>0</v>
      </c>
      <c r="CH655" s="465">
        <v>0</v>
      </c>
      <c r="CI655" s="457">
        <v>0</v>
      </c>
      <c r="CJ655" s="808">
        <v>0</v>
      </c>
      <c r="CK655" s="808">
        <v>0</v>
      </c>
      <c r="CL655" s="459">
        <v>0</v>
      </c>
      <c r="CM655" s="450"/>
      <c r="CN655" s="468">
        <f t="shared" si="317"/>
        <v>255</v>
      </c>
      <c r="CO655" s="468">
        <f t="shared" si="318"/>
        <v>10</v>
      </c>
      <c r="CP655" s="469">
        <f t="shared" si="319"/>
        <v>232</v>
      </c>
      <c r="CQ655" s="469">
        <f t="shared" si="320"/>
        <v>10</v>
      </c>
      <c r="CR655" s="463"/>
      <c r="CS655" s="457"/>
      <c r="CT655" s="464"/>
      <c r="CU655" s="464"/>
      <c r="CV655" s="465"/>
      <c r="CW655" s="457"/>
      <c r="CX655" s="464"/>
      <c r="CY655" s="466"/>
      <c r="CZ655" s="465"/>
      <c r="DA655" s="457"/>
      <c r="DB655" s="464"/>
      <c r="DC655" s="466"/>
      <c r="DD655" s="465"/>
      <c r="DE655" s="457"/>
      <c r="DF655" s="464"/>
      <c r="DG655" s="466"/>
      <c r="DH655" s="465"/>
      <c r="DI655" s="457"/>
      <c r="DJ655" s="464"/>
      <c r="DK655" s="466"/>
      <c r="DL655" s="465"/>
      <c r="DM655" s="457"/>
      <c r="DN655" s="464"/>
      <c r="DO655" s="466"/>
      <c r="DP655" s="465"/>
      <c r="DQ655" s="457"/>
      <c r="DR655" s="464"/>
      <c r="DS655" s="466"/>
      <c r="DT655" s="465"/>
      <c r="DU655" s="457"/>
      <c r="DV655" s="464"/>
      <c r="DW655" s="466"/>
      <c r="DX655" s="465"/>
      <c r="DY655" s="457"/>
      <c r="DZ655" s="464"/>
      <c r="EA655" s="466"/>
      <c r="EB655" s="465"/>
      <c r="EC655" s="457"/>
      <c r="ED655" s="464"/>
      <c r="EE655" s="466"/>
      <c r="EF655" s="459"/>
      <c r="EG655" s="450"/>
      <c r="EH655" s="460">
        <f t="shared" si="321"/>
        <v>0</v>
      </c>
      <c r="EI655" s="460">
        <f t="shared" si="322"/>
        <v>0</v>
      </c>
      <c r="EJ655" s="458">
        <f t="shared" si="323"/>
        <v>0</v>
      </c>
      <c r="EK655" s="470">
        <f t="shared" si="324"/>
        <v>0</v>
      </c>
      <c r="EL655" s="470">
        <f t="shared" si="325"/>
        <v>0</v>
      </c>
      <c r="EM655" s="449">
        <f t="shared" si="326"/>
        <v>0</v>
      </c>
      <c r="EN655" s="460">
        <f t="shared" si="327"/>
        <v>255</v>
      </c>
      <c r="EO655" s="469">
        <f t="shared" si="328"/>
        <v>232</v>
      </c>
      <c r="EP655" s="471"/>
      <c r="EQ655" s="450"/>
      <c r="ER655" s="471"/>
      <c r="ES655" s="450"/>
      <c r="ET655" s="471"/>
      <c r="EU655" s="450"/>
      <c r="EV655" s="471"/>
      <c r="EW655" s="450"/>
      <c r="EX655" s="471"/>
      <c r="EY655" s="450"/>
      <c r="EZ655" s="471"/>
      <c r="FA655" s="450"/>
      <c r="FB655" s="471"/>
      <c r="FC655" s="450"/>
      <c r="FD655" s="471"/>
      <c r="FE655" s="450"/>
      <c r="FF655" s="471"/>
      <c r="FG655" s="450"/>
      <c r="FH655" s="472"/>
      <c r="FI655" s="450"/>
      <c r="FJ655" s="468">
        <f t="shared" si="329"/>
        <v>0</v>
      </c>
      <c r="FK655" s="469">
        <f t="shared" si="330"/>
        <v>0</v>
      </c>
      <c r="FL655" s="472"/>
      <c r="FM655" s="450"/>
      <c r="FN655" s="460">
        <f t="shared" si="331"/>
        <v>1337</v>
      </c>
      <c r="FO655" s="469">
        <f t="shared" si="332"/>
        <v>1220</v>
      </c>
    </row>
    <row r="656" spans="1:171" ht="15.75" x14ac:dyDescent="0.25">
      <c r="A656" s="737" t="s">
        <v>1198</v>
      </c>
      <c r="B656" s="794" t="s">
        <v>1213</v>
      </c>
      <c r="C656" s="795"/>
      <c r="D656" s="717">
        <v>233897</v>
      </c>
      <c r="E656" s="718">
        <v>6</v>
      </c>
      <c r="F656" s="532">
        <v>0</v>
      </c>
      <c r="G656" s="796">
        <v>0</v>
      </c>
      <c r="H656" s="457"/>
      <c r="I656" s="450"/>
      <c r="J656" s="457">
        <v>0</v>
      </c>
      <c r="K656" s="797">
        <v>0</v>
      </c>
      <c r="L656" s="458">
        <f t="shared" si="309"/>
        <v>0</v>
      </c>
      <c r="M656" s="449">
        <f t="shared" si="310"/>
        <v>0</v>
      </c>
      <c r="N656" s="459">
        <v>259</v>
      </c>
      <c r="O656" s="459"/>
      <c r="P656" s="459"/>
      <c r="Q656" s="459">
        <v>0</v>
      </c>
      <c r="R656" s="460">
        <f t="shared" si="311"/>
        <v>0</v>
      </c>
      <c r="S656" s="798">
        <v>279</v>
      </c>
      <c r="T656" s="461"/>
      <c r="U656" s="461"/>
      <c r="V656" s="461"/>
      <c r="W656" s="462">
        <f t="shared" si="312"/>
        <v>0</v>
      </c>
      <c r="X656" s="463"/>
      <c r="Y656" s="457"/>
      <c r="Z656" s="464"/>
      <c r="AA656" s="464"/>
      <c r="AB656" s="465"/>
      <c r="AC656" s="457"/>
      <c r="AD656" s="464"/>
      <c r="AE656" s="466"/>
      <c r="AF656" s="465"/>
      <c r="AG656" s="457"/>
      <c r="AH656" s="464"/>
      <c r="AI656" s="466"/>
      <c r="AJ656" s="465"/>
      <c r="AK656" s="457"/>
      <c r="AL656" s="464"/>
      <c r="AM656" s="466"/>
      <c r="AN656" s="465"/>
      <c r="AO656" s="457"/>
      <c r="AP656" s="464"/>
      <c r="AQ656" s="464"/>
      <c r="AR656" s="460">
        <f t="shared" si="313"/>
        <v>0</v>
      </c>
      <c r="AS656" s="467">
        <f t="shared" si="314"/>
        <v>1</v>
      </c>
      <c r="AT656" s="447">
        <f t="shared" si="315"/>
        <v>0</v>
      </c>
      <c r="AU656" s="448">
        <f t="shared" si="316"/>
        <v>1</v>
      </c>
      <c r="AV656" s="457">
        <v>0</v>
      </c>
      <c r="AW656" s="819">
        <v>0</v>
      </c>
      <c r="AX656" s="463"/>
      <c r="AY656" s="457"/>
      <c r="AZ656" s="464"/>
      <c r="BA656" s="464"/>
      <c r="BB656" s="465"/>
      <c r="BC656" s="457"/>
      <c r="BD656" s="464"/>
      <c r="BE656" s="466"/>
      <c r="BF656" s="465"/>
      <c r="BG656" s="457"/>
      <c r="BH656" s="464"/>
      <c r="BI656" s="466"/>
      <c r="BJ656" s="465"/>
      <c r="BK656" s="457"/>
      <c r="BL656" s="464"/>
      <c r="BM656" s="466"/>
      <c r="BN656" s="465"/>
      <c r="BO656" s="457"/>
      <c r="BP656" s="464"/>
      <c r="BQ656" s="466"/>
      <c r="BR656" s="465"/>
      <c r="BS656" s="457"/>
      <c r="BT656" s="464"/>
      <c r="BU656" s="466"/>
      <c r="BV656" s="465"/>
      <c r="BW656" s="457"/>
      <c r="BX656" s="464"/>
      <c r="BY656" s="466"/>
      <c r="BZ656" s="465"/>
      <c r="CA656" s="457"/>
      <c r="CB656" s="464"/>
      <c r="CC656" s="466"/>
      <c r="CD656" s="465"/>
      <c r="CE656" s="457"/>
      <c r="CF656" s="464"/>
      <c r="CG656" s="466"/>
      <c r="CH656" s="465"/>
      <c r="CI656" s="457"/>
      <c r="CJ656" s="464"/>
      <c r="CK656" s="466"/>
      <c r="CL656" s="459"/>
      <c r="CM656" s="450"/>
      <c r="CN656" s="468">
        <f t="shared" si="317"/>
        <v>0</v>
      </c>
      <c r="CO656" s="468">
        <f t="shared" si="318"/>
        <v>0</v>
      </c>
      <c r="CP656" s="469">
        <f t="shared" si="319"/>
        <v>0</v>
      </c>
      <c r="CQ656" s="469">
        <f t="shared" si="320"/>
        <v>0</v>
      </c>
      <c r="CR656" s="463"/>
      <c r="CS656" s="457"/>
      <c r="CT656" s="464"/>
      <c r="CU656" s="464"/>
      <c r="CV656" s="465"/>
      <c r="CW656" s="457"/>
      <c r="CX656" s="464"/>
      <c r="CY656" s="466"/>
      <c r="CZ656" s="465"/>
      <c r="DA656" s="457"/>
      <c r="DB656" s="464"/>
      <c r="DC656" s="466"/>
      <c r="DD656" s="465"/>
      <c r="DE656" s="457"/>
      <c r="DF656" s="464"/>
      <c r="DG656" s="466"/>
      <c r="DH656" s="465"/>
      <c r="DI656" s="457"/>
      <c r="DJ656" s="464"/>
      <c r="DK656" s="466"/>
      <c r="DL656" s="465"/>
      <c r="DM656" s="457"/>
      <c r="DN656" s="464"/>
      <c r="DO656" s="466"/>
      <c r="DP656" s="465"/>
      <c r="DQ656" s="457"/>
      <c r="DR656" s="464"/>
      <c r="DS656" s="466"/>
      <c r="DT656" s="465"/>
      <c r="DU656" s="457"/>
      <c r="DV656" s="464"/>
      <c r="DW656" s="466"/>
      <c r="DX656" s="465"/>
      <c r="DY656" s="457"/>
      <c r="DZ656" s="464"/>
      <c r="EA656" s="466"/>
      <c r="EB656" s="465"/>
      <c r="EC656" s="457"/>
      <c r="ED656" s="464"/>
      <c r="EE656" s="466"/>
      <c r="EF656" s="459"/>
      <c r="EG656" s="450"/>
      <c r="EH656" s="460">
        <f t="shared" si="321"/>
        <v>0</v>
      </c>
      <c r="EI656" s="460">
        <f t="shared" si="322"/>
        <v>0</v>
      </c>
      <c r="EJ656" s="458">
        <f t="shared" si="323"/>
        <v>0</v>
      </c>
      <c r="EK656" s="470">
        <f t="shared" si="324"/>
        <v>0</v>
      </c>
      <c r="EL656" s="470">
        <f t="shared" si="325"/>
        <v>0</v>
      </c>
      <c r="EM656" s="449">
        <f t="shared" si="326"/>
        <v>0</v>
      </c>
      <c r="EN656" s="460">
        <f t="shared" si="327"/>
        <v>0</v>
      </c>
      <c r="EO656" s="469">
        <f t="shared" si="328"/>
        <v>0</v>
      </c>
      <c r="EP656" s="471"/>
      <c r="EQ656" s="450"/>
      <c r="ER656" s="471"/>
      <c r="ES656" s="450"/>
      <c r="ET656" s="471"/>
      <c r="EU656" s="450"/>
      <c r="EV656" s="471"/>
      <c r="EW656" s="450"/>
      <c r="EX656" s="471"/>
      <c r="EY656" s="450"/>
      <c r="EZ656" s="471"/>
      <c r="FA656" s="450"/>
      <c r="FB656" s="471"/>
      <c r="FC656" s="450"/>
      <c r="FD656" s="471"/>
      <c r="FE656" s="450"/>
      <c r="FF656" s="471"/>
      <c r="FG656" s="450"/>
      <c r="FH656" s="472"/>
      <c r="FI656" s="450"/>
      <c r="FJ656" s="468">
        <f t="shared" si="329"/>
        <v>0</v>
      </c>
      <c r="FK656" s="469">
        <f t="shared" si="330"/>
        <v>0</v>
      </c>
      <c r="FL656" s="472"/>
      <c r="FM656" s="450"/>
      <c r="FN656" s="460">
        <f t="shared" si="331"/>
        <v>259</v>
      </c>
      <c r="FO656" s="469">
        <f t="shared" si="332"/>
        <v>279</v>
      </c>
    </row>
    <row r="657" spans="1:171" ht="15.75" x14ac:dyDescent="0.25">
      <c r="A657" s="737" t="s">
        <v>1198</v>
      </c>
      <c r="B657" s="794" t="s">
        <v>1214</v>
      </c>
      <c r="C657" s="795"/>
      <c r="D657" s="717">
        <v>232414</v>
      </c>
      <c r="E657" s="821">
        <v>8</v>
      </c>
      <c r="F657" s="532">
        <v>712</v>
      </c>
      <c r="G657" s="796">
        <v>892</v>
      </c>
      <c r="H657" s="457"/>
      <c r="I657" s="450"/>
      <c r="J657" s="457">
        <v>788</v>
      </c>
      <c r="K657" s="797">
        <v>859</v>
      </c>
      <c r="L657" s="458">
        <f t="shared" si="309"/>
        <v>0</v>
      </c>
      <c r="M657" s="449">
        <f t="shared" si="310"/>
        <v>0</v>
      </c>
      <c r="N657" s="459">
        <v>0</v>
      </c>
      <c r="O657" s="459"/>
      <c r="P657" s="459"/>
      <c r="Q657" s="459">
        <v>0</v>
      </c>
      <c r="R657" s="460">
        <f t="shared" si="311"/>
        <v>0</v>
      </c>
      <c r="S657" s="822"/>
      <c r="T657" s="461"/>
      <c r="U657" s="461"/>
      <c r="V657" s="461"/>
      <c r="W657" s="462">
        <f t="shared" si="312"/>
        <v>0</v>
      </c>
      <c r="X657" s="463"/>
      <c r="Y657" s="457"/>
      <c r="Z657" s="464"/>
      <c r="AA657" s="464"/>
      <c r="AB657" s="465"/>
      <c r="AC657" s="457"/>
      <c r="AD657" s="464"/>
      <c r="AE657" s="466"/>
      <c r="AF657" s="465"/>
      <c r="AG657" s="457"/>
      <c r="AH657" s="464"/>
      <c r="AI657" s="466"/>
      <c r="AJ657" s="465"/>
      <c r="AK657" s="457"/>
      <c r="AL657" s="464"/>
      <c r="AM657" s="466"/>
      <c r="AN657" s="465"/>
      <c r="AO657" s="457"/>
      <c r="AP657" s="464"/>
      <c r="AQ657" s="464"/>
      <c r="AR657" s="460">
        <f t="shared" si="313"/>
        <v>0</v>
      </c>
      <c r="AS657" s="467">
        <f t="shared" si="314"/>
        <v>0</v>
      </c>
      <c r="AT657" s="447">
        <f t="shared" si="315"/>
        <v>0</v>
      </c>
      <c r="AU657" s="448">
        <f t="shared" si="316"/>
        <v>0</v>
      </c>
      <c r="AV657" s="457">
        <v>0</v>
      </c>
      <c r="AW657" s="819">
        <v>0</v>
      </c>
      <c r="AX657" s="463"/>
      <c r="AY657" s="457"/>
      <c r="AZ657" s="464"/>
      <c r="BA657" s="464"/>
      <c r="BB657" s="465"/>
      <c r="BC657" s="457"/>
      <c r="BD657" s="464"/>
      <c r="BE657" s="466"/>
      <c r="BF657" s="465"/>
      <c r="BG657" s="457"/>
      <c r="BH657" s="464"/>
      <c r="BI657" s="466"/>
      <c r="BJ657" s="465"/>
      <c r="BK657" s="457"/>
      <c r="BL657" s="464"/>
      <c r="BM657" s="466"/>
      <c r="BN657" s="465"/>
      <c r="BO657" s="457"/>
      <c r="BP657" s="464"/>
      <c r="BQ657" s="466"/>
      <c r="BR657" s="465"/>
      <c r="BS657" s="457"/>
      <c r="BT657" s="464"/>
      <c r="BU657" s="466"/>
      <c r="BV657" s="465"/>
      <c r="BW657" s="457"/>
      <c r="BX657" s="464"/>
      <c r="BY657" s="466"/>
      <c r="BZ657" s="465"/>
      <c r="CA657" s="457"/>
      <c r="CB657" s="464"/>
      <c r="CC657" s="466"/>
      <c r="CD657" s="465"/>
      <c r="CE657" s="457"/>
      <c r="CF657" s="464"/>
      <c r="CG657" s="466"/>
      <c r="CH657" s="465"/>
      <c r="CI657" s="457"/>
      <c r="CJ657" s="464"/>
      <c r="CK657" s="466"/>
      <c r="CL657" s="459"/>
      <c r="CM657" s="450"/>
      <c r="CN657" s="468">
        <f t="shared" si="317"/>
        <v>0</v>
      </c>
      <c r="CO657" s="468">
        <f t="shared" si="318"/>
        <v>0</v>
      </c>
      <c r="CP657" s="469">
        <f t="shared" si="319"/>
        <v>0</v>
      </c>
      <c r="CQ657" s="469">
        <f t="shared" si="320"/>
        <v>0</v>
      </c>
      <c r="CR657" s="463"/>
      <c r="CS657" s="457"/>
      <c r="CT657" s="464"/>
      <c r="CU657" s="464"/>
      <c r="CV657" s="465"/>
      <c r="CW657" s="457"/>
      <c r="CX657" s="464"/>
      <c r="CY657" s="466"/>
      <c r="CZ657" s="465"/>
      <c r="DA657" s="457"/>
      <c r="DB657" s="464"/>
      <c r="DC657" s="466"/>
      <c r="DD657" s="465"/>
      <c r="DE657" s="457"/>
      <c r="DF657" s="464"/>
      <c r="DG657" s="466"/>
      <c r="DH657" s="465"/>
      <c r="DI657" s="457"/>
      <c r="DJ657" s="464"/>
      <c r="DK657" s="466"/>
      <c r="DL657" s="465"/>
      <c r="DM657" s="457"/>
      <c r="DN657" s="464"/>
      <c r="DO657" s="466"/>
      <c r="DP657" s="465"/>
      <c r="DQ657" s="457"/>
      <c r="DR657" s="464"/>
      <c r="DS657" s="466"/>
      <c r="DT657" s="465"/>
      <c r="DU657" s="457"/>
      <c r="DV657" s="464"/>
      <c r="DW657" s="466"/>
      <c r="DX657" s="465"/>
      <c r="DY657" s="457"/>
      <c r="DZ657" s="464"/>
      <c r="EA657" s="466"/>
      <c r="EB657" s="465"/>
      <c r="EC657" s="457"/>
      <c r="ED657" s="464"/>
      <c r="EE657" s="466"/>
      <c r="EF657" s="459"/>
      <c r="EG657" s="450"/>
      <c r="EH657" s="460">
        <f t="shared" si="321"/>
        <v>0</v>
      </c>
      <c r="EI657" s="460">
        <f t="shared" si="322"/>
        <v>0</v>
      </c>
      <c r="EJ657" s="458">
        <f t="shared" si="323"/>
        <v>0</v>
      </c>
      <c r="EK657" s="470">
        <f t="shared" si="324"/>
        <v>0</v>
      </c>
      <c r="EL657" s="470">
        <f t="shared" si="325"/>
        <v>0</v>
      </c>
      <c r="EM657" s="449">
        <f t="shared" si="326"/>
        <v>0</v>
      </c>
      <c r="EN657" s="460">
        <f t="shared" si="327"/>
        <v>0</v>
      </c>
      <c r="EO657" s="469">
        <f t="shared" si="328"/>
        <v>0</v>
      </c>
      <c r="EP657" s="471"/>
      <c r="EQ657" s="450"/>
      <c r="ER657" s="471"/>
      <c r="ES657" s="450"/>
      <c r="ET657" s="471"/>
      <c r="EU657" s="450"/>
      <c r="EV657" s="471"/>
      <c r="EW657" s="450"/>
      <c r="EX657" s="471"/>
      <c r="EY657" s="450"/>
      <c r="EZ657" s="471"/>
      <c r="FA657" s="450"/>
      <c r="FB657" s="471"/>
      <c r="FC657" s="450"/>
      <c r="FD657" s="471"/>
      <c r="FE657" s="450"/>
      <c r="FF657" s="471"/>
      <c r="FG657" s="450"/>
      <c r="FH657" s="472"/>
      <c r="FI657" s="450"/>
      <c r="FJ657" s="468">
        <f t="shared" si="329"/>
        <v>0</v>
      </c>
      <c r="FK657" s="469">
        <f t="shared" si="330"/>
        <v>0</v>
      </c>
      <c r="FL657" s="472"/>
      <c r="FM657" s="450"/>
      <c r="FN657" s="460">
        <f t="shared" si="331"/>
        <v>1500</v>
      </c>
      <c r="FO657" s="469">
        <f t="shared" si="332"/>
        <v>1751</v>
      </c>
    </row>
    <row r="658" spans="1:171" ht="15.75" x14ac:dyDescent="0.25">
      <c r="A658" s="737" t="s">
        <v>1198</v>
      </c>
      <c r="B658" s="794" t="s">
        <v>1215</v>
      </c>
      <c r="C658" s="795"/>
      <c r="D658" s="717">
        <v>232946</v>
      </c>
      <c r="E658" s="821">
        <v>8</v>
      </c>
      <c r="F658" s="532">
        <v>1730</v>
      </c>
      <c r="G658" s="796">
        <v>2524</v>
      </c>
      <c r="H658" s="457"/>
      <c r="I658" s="450"/>
      <c r="J658" s="457">
        <v>4671</v>
      </c>
      <c r="K658" s="797">
        <v>5421</v>
      </c>
      <c r="L658" s="458">
        <f t="shared" si="309"/>
        <v>0</v>
      </c>
      <c r="M658" s="449">
        <f t="shared" si="310"/>
        <v>0</v>
      </c>
      <c r="N658" s="459">
        <v>0</v>
      </c>
      <c r="O658" s="459"/>
      <c r="P658" s="459"/>
      <c r="Q658" s="459">
        <v>0</v>
      </c>
      <c r="R658" s="460">
        <f t="shared" si="311"/>
        <v>0</v>
      </c>
      <c r="S658" s="822"/>
      <c r="T658" s="461"/>
      <c r="U658" s="461"/>
      <c r="V658" s="461"/>
      <c r="W658" s="462">
        <f t="shared" si="312"/>
        <v>0</v>
      </c>
      <c r="X658" s="463"/>
      <c r="Y658" s="457"/>
      <c r="Z658" s="464"/>
      <c r="AA658" s="464"/>
      <c r="AB658" s="465"/>
      <c r="AC658" s="457"/>
      <c r="AD658" s="464"/>
      <c r="AE658" s="466"/>
      <c r="AF658" s="465"/>
      <c r="AG658" s="457"/>
      <c r="AH658" s="464"/>
      <c r="AI658" s="466"/>
      <c r="AJ658" s="465"/>
      <c r="AK658" s="457"/>
      <c r="AL658" s="464"/>
      <c r="AM658" s="466"/>
      <c r="AN658" s="465"/>
      <c r="AO658" s="457"/>
      <c r="AP658" s="464"/>
      <c r="AQ658" s="464"/>
      <c r="AR658" s="460">
        <f t="shared" si="313"/>
        <v>0</v>
      </c>
      <c r="AS658" s="467">
        <f t="shared" si="314"/>
        <v>0</v>
      </c>
      <c r="AT658" s="447">
        <f t="shared" si="315"/>
        <v>0</v>
      </c>
      <c r="AU658" s="448">
        <f t="shared" si="316"/>
        <v>0</v>
      </c>
      <c r="AV658" s="457">
        <v>0</v>
      </c>
      <c r="AW658" s="450"/>
      <c r="AX658" s="463"/>
      <c r="AY658" s="457"/>
      <c r="AZ658" s="464"/>
      <c r="BA658" s="464"/>
      <c r="BB658" s="465"/>
      <c r="BC658" s="457"/>
      <c r="BD658" s="464"/>
      <c r="BE658" s="466"/>
      <c r="BF658" s="465"/>
      <c r="BG658" s="457"/>
      <c r="BH658" s="464"/>
      <c r="BI658" s="466"/>
      <c r="BJ658" s="465"/>
      <c r="BK658" s="457"/>
      <c r="BL658" s="464"/>
      <c r="BM658" s="466"/>
      <c r="BN658" s="465"/>
      <c r="BO658" s="457"/>
      <c r="BP658" s="464"/>
      <c r="BQ658" s="466"/>
      <c r="BR658" s="465"/>
      <c r="BS658" s="457"/>
      <c r="BT658" s="464"/>
      <c r="BU658" s="466"/>
      <c r="BV658" s="465"/>
      <c r="BW658" s="457"/>
      <c r="BX658" s="464"/>
      <c r="BY658" s="466"/>
      <c r="BZ658" s="465"/>
      <c r="CA658" s="457"/>
      <c r="CB658" s="464"/>
      <c r="CC658" s="466"/>
      <c r="CD658" s="465"/>
      <c r="CE658" s="457"/>
      <c r="CF658" s="464"/>
      <c r="CG658" s="466"/>
      <c r="CH658" s="465"/>
      <c r="CI658" s="457"/>
      <c r="CJ658" s="464"/>
      <c r="CK658" s="466"/>
      <c r="CL658" s="459"/>
      <c r="CM658" s="450"/>
      <c r="CN658" s="468">
        <f t="shared" si="317"/>
        <v>0</v>
      </c>
      <c r="CO658" s="468">
        <f t="shared" si="318"/>
        <v>0</v>
      </c>
      <c r="CP658" s="469">
        <f t="shared" si="319"/>
        <v>0</v>
      </c>
      <c r="CQ658" s="469">
        <f t="shared" si="320"/>
        <v>0</v>
      </c>
      <c r="CR658" s="463"/>
      <c r="CS658" s="457"/>
      <c r="CT658" s="464"/>
      <c r="CU658" s="464"/>
      <c r="CV658" s="465"/>
      <c r="CW658" s="457"/>
      <c r="CX658" s="464"/>
      <c r="CY658" s="466"/>
      <c r="CZ658" s="465"/>
      <c r="DA658" s="457"/>
      <c r="DB658" s="464"/>
      <c r="DC658" s="466"/>
      <c r="DD658" s="465"/>
      <c r="DE658" s="457"/>
      <c r="DF658" s="464"/>
      <c r="DG658" s="466"/>
      <c r="DH658" s="465"/>
      <c r="DI658" s="457"/>
      <c r="DJ658" s="464"/>
      <c r="DK658" s="466"/>
      <c r="DL658" s="465"/>
      <c r="DM658" s="457"/>
      <c r="DN658" s="464"/>
      <c r="DO658" s="466"/>
      <c r="DP658" s="465"/>
      <c r="DQ658" s="457"/>
      <c r="DR658" s="464"/>
      <c r="DS658" s="466"/>
      <c r="DT658" s="465"/>
      <c r="DU658" s="457"/>
      <c r="DV658" s="464"/>
      <c r="DW658" s="466"/>
      <c r="DX658" s="465"/>
      <c r="DY658" s="457"/>
      <c r="DZ658" s="464"/>
      <c r="EA658" s="466"/>
      <c r="EB658" s="465"/>
      <c r="EC658" s="457"/>
      <c r="ED658" s="464"/>
      <c r="EE658" s="466"/>
      <c r="EF658" s="459"/>
      <c r="EG658" s="450"/>
      <c r="EH658" s="460">
        <f t="shared" si="321"/>
        <v>0</v>
      </c>
      <c r="EI658" s="460">
        <f t="shared" si="322"/>
        <v>0</v>
      </c>
      <c r="EJ658" s="458">
        <f t="shared" si="323"/>
        <v>0</v>
      </c>
      <c r="EK658" s="470">
        <f t="shared" si="324"/>
        <v>0</v>
      </c>
      <c r="EL658" s="470">
        <f t="shared" si="325"/>
        <v>0</v>
      </c>
      <c r="EM658" s="449">
        <f t="shared" si="326"/>
        <v>0</v>
      </c>
      <c r="EN658" s="460">
        <f t="shared" si="327"/>
        <v>0</v>
      </c>
      <c r="EO658" s="469">
        <f t="shared" si="328"/>
        <v>0</v>
      </c>
      <c r="EP658" s="471"/>
      <c r="EQ658" s="450"/>
      <c r="ER658" s="471"/>
      <c r="ES658" s="450"/>
      <c r="ET658" s="471"/>
      <c r="EU658" s="450"/>
      <c r="EV658" s="471"/>
      <c r="EW658" s="450"/>
      <c r="EX658" s="471"/>
      <c r="EY658" s="450"/>
      <c r="EZ658" s="471"/>
      <c r="FA658" s="450"/>
      <c r="FB658" s="471"/>
      <c r="FC658" s="450"/>
      <c r="FD658" s="471"/>
      <c r="FE658" s="450"/>
      <c r="FF658" s="471"/>
      <c r="FG658" s="450"/>
      <c r="FH658" s="472"/>
      <c r="FI658" s="450"/>
      <c r="FJ658" s="468">
        <f t="shared" si="329"/>
        <v>0</v>
      </c>
      <c r="FK658" s="469">
        <f t="shared" si="330"/>
        <v>0</v>
      </c>
      <c r="FL658" s="472"/>
      <c r="FM658" s="450"/>
      <c r="FN658" s="460">
        <f t="shared" si="331"/>
        <v>6401</v>
      </c>
      <c r="FO658" s="469">
        <f t="shared" si="332"/>
        <v>7945</v>
      </c>
    </row>
    <row r="659" spans="1:171" ht="15.75" x14ac:dyDescent="0.25">
      <c r="A659" s="737" t="s">
        <v>1198</v>
      </c>
      <c r="B659" s="794" t="s">
        <v>1216</v>
      </c>
      <c r="C659" s="795"/>
      <c r="D659" s="717">
        <v>233754</v>
      </c>
      <c r="E659" s="821">
        <v>8</v>
      </c>
      <c r="F659" s="532">
        <v>665</v>
      </c>
      <c r="G659" s="796">
        <v>931</v>
      </c>
      <c r="H659" s="457"/>
      <c r="I659" s="450"/>
      <c r="J659" s="457">
        <v>741</v>
      </c>
      <c r="K659" s="797">
        <v>877</v>
      </c>
      <c r="L659" s="458">
        <f t="shared" si="309"/>
        <v>0</v>
      </c>
      <c r="M659" s="449">
        <f t="shared" si="310"/>
        <v>0</v>
      </c>
      <c r="N659" s="459">
        <v>0</v>
      </c>
      <c r="O659" s="459"/>
      <c r="P659" s="459"/>
      <c r="Q659" s="459">
        <v>0</v>
      </c>
      <c r="R659" s="460">
        <f t="shared" si="311"/>
        <v>0</v>
      </c>
      <c r="S659" s="822"/>
      <c r="T659" s="461"/>
      <c r="U659" s="461"/>
      <c r="V659" s="461"/>
      <c r="W659" s="462">
        <f t="shared" si="312"/>
        <v>0</v>
      </c>
      <c r="X659" s="463"/>
      <c r="Y659" s="457"/>
      <c r="Z659" s="464"/>
      <c r="AA659" s="464"/>
      <c r="AB659" s="465"/>
      <c r="AC659" s="457"/>
      <c r="AD659" s="464"/>
      <c r="AE659" s="466"/>
      <c r="AF659" s="465"/>
      <c r="AG659" s="457"/>
      <c r="AH659" s="464"/>
      <c r="AI659" s="466"/>
      <c r="AJ659" s="465"/>
      <c r="AK659" s="457"/>
      <c r="AL659" s="464"/>
      <c r="AM659" s="466"/>
      <c r="AN659" s="465"/>
      <c r="AO659" s="457"/>
      <c r="AP659" s="464"/>
      <c r="AQ659" s="464"/>
      <c r="AR659" s="460">
        <f t="shared" si="313"/>
        <v>0</v>
      </c>
      <c r="AS659" s="467">
        <f t="shared" si="314"/>
        <v>0</v>
      </c>
      <c r="AT659" s="447">
        <f t="shared" si="315"/>
        <v>0</v>
      </c>
      <c r="AU659" s="448">
        <f t="shared" si="316"/>
        <v>0</v>
      </c>
      <c r="AV659" s="457">
        <v>0</v>
      </c>
      <c r="AW659" s="450"/>
      <c r="AX659" s="463"/>
      <c r="AY659" s="457"/>
      <c r="AZ659" s="464"/>
      <c r="BA659" s="464"/>
      <c r="BB659" s="465"/>
      <c r="BC659" s="457"/>
      <c r="BD659" s="464"/>
      <c r="BE659" s="466"/>
      <c r="BF659" s="465"/>
      <c r="BG659" s="457"/>
      <c r="BH659" s="464"/>
      <c r="BI659" s="466"/>
      <c r="BJ659" s="465"/>
      <c r="BK659" s="457"/>
      <c r="BL659" s="464"/>
      <c r="BM659" s="466"/>
      <c r="BN659" s="465"/>
      <c r="BO659" s="457"/>
      <c r="BP659" s="464"/>
      <c r="BQ659" s="466"/>
      <c r="BR659" s="465"/>
      <c r="BS659" s="457"/>
      <c r="BT659" s="464"/>
      <c r="BU659" s="466"/>
      <c r="BV659" s="465"/>
      <c r="BW659" s="457"/>
      <c r="BX659" s="464"/>
      <c r="BY659" s="466"/>
      <c r="BZ659" s="465"/>
      <c r="CA659" s="457"/>
      <c r="CB659" s="464"/>
      <c r="CC659" s="466"/>
      <c r="CD659" s="465"/>
      <c r="CE659" s="457"/>
      <c r="CF659" s="464"/>
      <c r="CG659" s="466"/>
      <c r="CH659" s="465"/>
      <c r="CI659" s="457"/>
      <c r="CJ659" s="464"/>
      <c r="CK659" s="466"/>
      <c r="CL659" s="459"/>
      <c r="CM659" s="450"/>
      <c r="CN659" s="468">
        <f t="shared" si="317"/>
        <v>0</v>
      </c>
      <c r="CO659" s="468">
        <f t="shared" si="318"/>
        <v>0</v>
      </c>
      <c r="CP659" s="469">
        <f t="shared" si="319"/>
        <v>0</v>
      </c>
      <c r="CQ659" s="469">
        <f t="shared" si="320"/>
        <v>0</v>
      </c>
      <c r="CR659" s="463"/>
      <c r="CS659" s="457"/>
      <c r="CT659" s="464"/>
      <c r="CU659" s="464"/>
      <c r="CV659" s="465"/>
      <c r="CW659" s="457"/>
      <c r="CX659" s="464"/>
      <c r="CY659" s="466"/>
      <c r="CZ659" s="465"/>
      <c r="DA659" s="457"/>
      <c r="DB659" s="464"/>
      <c r="DC659" s="466"/>
      <c r="DD659" s="465"/>
      <c r="DE659" s="457"/>
      <c r="DF659" s="464"/>
      <c r="DG659" s="466"/>
      <c r="DH659" s="465"/>
      <c r="DI659" s="457"/>
      <c r="DJ659" s="464"/>
      <c r="DK659" s="466"/>
      <c r="DL659" s="465"/>
      <c r="DM659" s="457"/>
      <c r="DN659" s="464"/>
      <c r="DO659" s="466"/>
      <c r="DP659" s="465"/>
      <c r="DQ659" s="457"/>
      <c r="DR659" s="464"/>
      <c r="DS659" s="466"/>
      <c r="DT659" s="465"/>
      <c r="DU659" s="457"/>
      <c r="DV659" s="464"/>
      <c r="DW659" s="466"/>
      <c r="DX659" s="465"/>
      <c r="DY659" s="457"/>
      <c r="DZ659" s="464"/>
      <c r="EA659" s="466"/>
      <c r="EB659" s="465"/>
      <c r="EC659" s="457"/>
      <c r="ED659" s="464"/>
      <c r="EE659" s="466"/>
      <c r="EF659" s="459"/>
      <c r="EG659" s="450"/>
      <c r="EH659" s="460">
        <f t="shared" si="321"/>
        <v>0</v>
      </c>
      <c r="EI659" s="460">
        <f t="shared" si="322"/>
        <v>0</v>
      </c>
      <c r="EJ659" s="458">
        <f t="shared" si="323"/>
        <v>0</v>
      </c>
      <c r="EK659" s="470">
        <f t="shared" si="324"/>
        <v>0</v>
      </c>
      <c r="EL659" s="470">
        <f t="shared" si="325"/>
        <v>0</v>
      </c>
      <c r="EM659" s="449">
        <f t="shared" si="326"/>
        <v>0</v>
      </c>
      <c r="EN659" s="460">
        <f t="shared" si="327"/>
        <v>0</v>
      </c>
      <c r="EO659" s="469">
        <f t="shared" si="328"/>
        <v>0</v>
      </c>
      <c r="EP659" s="471"/>
      <c r="EQ659" s="450"/>
      <c r="ER659" s="471"/>
      <c r="ES659" s="450"/>
      <c r="ET659" s="471"/>
      <c r="EU659" s="450"/>
      <c r="EV659" s="471"/>
      <c r="EW659" s="450"/>
      <c r="EX659" s="471"/>
      <c r="EY659" s="450"/>
      <c r="EZ659" s="471"/>
      <c r="FA659" s="450"/>
      <c r="FB659" s="471"/>
      <c r="FC659" s="450"/>
      <c r="FD659" s="471"/>
      <c r="FE659" s="450"/>
      <c r="FF659" s="471"/>
      <c r="FG659" s="450"/>
      <c r="FH659" s="472"/>
      <c r="FI659" s="450"/>
      <c r="FJ659" s="468">
        <f t="shared" si="329"/>
        <v>0</v>
      </c>
      <c r="FK659" s="469">
        <f t="shared" si="330"/>
        <v>0</v>
      </c>
      <c r="FL659" s="472"/>
      <c r="FM659" s="450"/>
      <c r="FN659" s="460">
        <f t="shared" si="331"/>
        <v>1406</v>
      </c>
      <c r="FO659" s="469">
        <f t="shared" si="332"/>
        <v>1808</v>
      </c>
    </row>
    <row r="660" spans="1:171" ht="15.75" x14ac:dyDescent="0.25">
      <c r="A660" s="737" t="s">
        <v>1198</v>
      </c>
      <c r="B660" s="794" t="s">
        <v>1217</v>
      </c>
      <c r="C660" s="795"/>
      <c r="D660" s="717">
        <v>233772</v>
      </c>
      <c r="E660" s="821">
        <v>8</v>
      </c>
      <c r="F660" s="532">
        <v>930</v>
      </c>
      <c r="G660" s="796">
        <v>992</v>
      </c>
      <c r="H660" s="457"/>
      <c r="I660" s="450"/>
      <c r="J660" s="457">
        <v>2650</v>
      </c>
      <c r="K660" s="797">
        <v>2914</v>
      </c>
      <c r="L660" s="458">
        <f t="shared" si="309"/>
        <v>0</v>
      </c>
      <c r="M660" s="449">
        <f t="shared" si="310"/>
        <v>0</v>
      </c>
      <c r="N660" s="459">
        <v>0</v>
      </c>
      <c r="O660" s="459"/>
      <c r="P660" s="459"/>
      <c r="Q660" s="459">
        <v>0</v>
      </c>
      <c r="R660" s="460">
        <f t="shared" si="311"/>
        <v>0</v>
      </c>
      <c r="S660" s="822"/>
      <c r="T660" s="461"/>
      <c r="U660" s="461"/>
      <c r="V660" s="461"/>
      <c r="W660" s="462">
        <f t="shared" si="312"/>
        <v>0</v>
      </c>
      <c r="X660" s="463"/>
      <c r="Y660" s="457"/>
      <c r="Z660" s="464"/>
      <c r="AA660" s="464"/>
      <c r="AB660" s="465"/>
      <c r="AC660" s="457"/>
      <c r="AD660" s="464"/>
      <c r="AE660" s="466"/>
      <c r="AF660" s="465"/>
      <c r="AG660" s="457"/>
      <c r="AH660" s="464"/>
      <c r="AI660" s="466"/>
      <c r="AJ660" s="465"/>
      <c r="AK660" s="457"/>
      <c r="AL660" s="464"/>
      <c r="AM660" s="466"/>
      <c r="AN660" s="465"/>
      <c r="AO660" s="457"/>
      <c r="AP660" s="464"/>
      <c r="AQ660" s="464"/>
      <c r="AR660" s="460">
        <f t="shared" si="313"/>
        <v>0</v>
      </c>
      <c r="AS660" s="467">
        <f t="shared" si="314"/>
        <v>0</v>
      </c>
      <c r="AT660" s="447">
        <f t="shared" si="315"/>
        <v>0</v>
      </c>
      <c r="AU660" s="448">
        <f t="shared" si="316"/>
        <v>0</v>
      </c>
      <c r="AV660" s="457">
        <v>0</v>
      </c>
      <c r="AW660" s="450"/>
      <c r="AX660" s="463"/>
      <c r="AY660" s="457"/>
      <c r="AZ660" s="464"/>
      <c r="BA660" s="464"/>
      <c r="BB660" s="465"/>
      <c r="BC660" s="457"/>
      <c r="BD660" s="464"/>
      <c r="BE660" s="466"/>
      <c r="BF660" s="465"/>
      <c r="BG660" s="457"/>
      <c r="BH660" s="464"/>
      <c r="BI660" s="466"/>
      <c r="BJ660" s="465"/>
      <c r="BK660" s="457"/>
      <c r="BL660" s="464"/>
      <c r="BM660" s="466"/>
      <c r="BN660" s="465"/>
      <c r="BO660" s="457"/>
      <c r="BP660" s="464"/>
      <c r="BQ660" s="466"/>
      <c r="BR660" s="465"/>
      <c r="BS660" s="457"/>
      <c r="BT660" s="464"/>
      <c r="BU660" s="466"/>
      <c r="BV660" s="465"/>
      <c r="BW660" s="457"/>
      <c r="BX660" s="464"/>
      <c r="BY660" s="466"/>
      <c r="BZ660" s="465"/>
      <c r="CA660" s="457"/>
      <c r="CB660" s="464"/>
      <c r="CC660" s="466"/>
      <c r="CD660" s="465"/>
      <c r="CE660" s="457"/>
      <c r="CF660" s="464"/>
      <c r="CG660" s="466"/>
      <c r="CH660" s="465"/>
      <c r="CI660" s="457"/>
      <c r="CJ660" s="464"/>
      <c r="CK660" s="466"/>
      <c r="CL660" s="459"/>
      <c r="CM660" s="450"/>
      <c r="CN660" s="468">
        <f t="shared" si="317"/>
        <v>0</v>
      </c>
      <c r="CO660" s="468">
        <f t="shared" si="318"/>
        <v>0</v>
      </c>
      <c r="CP660" s="469">
        <f t="shared" si="319"/>
        <v>0</v>
      </c>
      <c r="CQ660" s="469">
        <f t="shared" si="320"/>
        <v>0</v>
      </c>
      <c r="CR660" s="463"/>
      <c r="CS660" s="457"/>
      <c r="CT660" s="464"/>
      <c r="CU660" s="464"/>
      <c r="CV660" s="465"/>
      <c r="CW660" s="457"/>
      <c r="CX660" s="464"/>
      <c r="CY660" s="466"/>
      <c r="CZ660" s="465"/>
      <c r="DA660" s="457"/>
      <c r="DB660" s="464"/>
      <c r="DC660" s="466"/>
      <c r="DD660" s="465"/>
      <c r="DE660" s="457"/>
      <c r="DF660" s="464"/>
      <c r="DG660" s="466"/>
      <c r="DH660" s="465"/>
      <c r="DI660" s="457"/>
      <c r="DJ660" s="464"/>
      <c r="DK660" s="466"/>
      <c r="DL660" s="465"/>
      <c r="DM660" s="457"/>
      <c r="DN660" s="464"/>
      <c r="DO660" s="466"/>
      <c r="DP660" s="465"/>
      <c r="DQ660" s="457"/>
      <c r="DR660" s="464"/>
      <c r="DS660" s="466"/>
      <c r="DT660" s="465"/>
      <c r="DU660" s="457"/>
      <c r="DV660" s="464"/>
      <c r="DW660" s="466"/>
      <c r="DX660" s="465"/>
      <c r="DY660" s="457"/>
      <c r="DZ660" s="464"/>
      <c r="EA660" s="466"/>
      <c r="EB660" s="465"/>
      <c r="EC660" s="457"/>
      <c r="ED660" s="464"/>
      <c r="EE660" s="466"/>
      <c r="EF660" s="459"/>
      <c r="EG660" s="450"/>
      <c r="EH660" s="460">
        <f t="shared" si="321"/>
        <v>0</v>
      </c>
      <c r="EI660" s="460">
        <f t="shared" si="322"/>
        <v>0</v>
      </c>
      <c r="EJ660" s="458">
        <f t="shared" si="323"/>
        <v>0</v>
      </c>
      <c r="EK660" s="470">
        <f t="shared" si="324"/>
        <v>0</v>
      </c>
      <c r="EL660" s="470">
        <f t="shared" si="325"/>
        <v>0</v>
      </c>
      <c r="EM660" s="449">
        <f t="shared" si="326"/>
        <v>0</v>
      </c>
      <c r="EN660" s="460">
        <f t="shared" si="327"/>
        <v>0</v>
      </c>
      <c r="EO660" s="469">
        <f t="shared" si="328"/>
        <v>0</v>
      </c>
      <c r="EP660" s="471"/>
      <c r="EQ660" s="450"/>
      <c r="ER660" s="471"/>
      <c r="ES660" s="450"/>
      <c r="ET660" s="471"/>
      <c r="EU660" s="450"/>
      <c r="EV660" s="471"/>
      <c r="EW660" s="450"/>
      <c r="EX660" s="471"/>
      <c r="EY660" s="450"/>
      <c r="EZ660" s="471"/>
      <c r="FA660" s="450"/>
      <c r="FB660" s="471"/>
      <c r="FC660" s="450"/>
      <c r="FD660" s="471"/>
      <c r="FE660" s="450"/>
      <c r="FF660" s="471"/>
      <c r="FG660" s="450"/>
      <c r="FH660" s="472"/>
      <c r="FI660" s="450"/>
      <c r="FJ660" s="468">
        <f t="shared" si="329"/>
        <v>0</v>
      </c>
      <c r="FK660" s="469">
        <f t="shared" si="330"/>
        <v>0</v>
      </c>
      <c r="FL660" s="472"/>
      <c r="FM660" s="450"/>
      <c r="FN660" s="460">
        <f t="shared" si="331"/>
        <v>3580</v>
      </c>
      <c r="FO660" s="469">
        <f t="shared" si="332"/>
        <v>3906</v>
      </c>
    </row>
    <row r="661" spans="1:171" ht="15.75" x14ac:dyDescent="0.25">
      <c r="A661" s="737" t="s">
        <v>1198</v>
      </c>
      <c r="B661" s="794" t="s">
        <v>1218</v>
      </c>
      <c r="C661" s="795"/>
      <c r="D661" s="717">
        <v>231536</v>
      </c>
      <c r="E661" s="821">
        <v>9</v>
      </c>
      <c r="F661" s="532">
        <v>332</v>
      </c>
      <c r="G661" s="796">
        <v>430</v>
      </c>
      <c r="H661" s="457"/>
      <c r="I661" s="450"/>
      <c r="J661" s="457">
        <v>556</v>
      </c>
      <c r="K661" s="797">
        <v>555</v>
      </c>
      <c r="L661" s="458">
        <f t="shared" si="309"/>
        <v>0</v>
      </c>
      <c r="M661" s="449">
        <f t="shared" si="310"/>
        <v>0</v>
      </c>
      <c r="N661" s="459">
        <v>0</v>
      </c>
      <c r="O661" s="459"/>
      <c r="P661" s="459"/>
      <c r="Q661" s="459">
        <v>0</v>
      </c>
      <c r="R661" s="460">
        <f t="shared" si="311"/>
        <v>0</v>
      </c>
      <c r="S661" s="822"/>
      <c r="T661" s="461"/>
      <c r="U661" s="461"/>
      <c r="V661" s="461"/>
      <c r="W661" s="462">
        <f t="shared" si="312"/>
        <v>0</v>
      </c>
      <c r="X661" s="463"/>
      <c r="Y661" s="457"/>
      <c r="Z661" s="464"/>
      <c r="AA661" s="464"/>
      <c r="AB661" s="465"/>
      <c r="AC661" s="457"/>
      <c r="AD661" s="464"/>
      <c r="AE661" s="466"/>
      <c r="AF661" s="465"/>
      <c r="AG661" s="457"/>
      <c r="AH661" s="464"/>
      <c r="AI661" s="466"/>
      <c r="AJ661" s="465"/>
      <c r="AK661" s="457"/>
      <c r="AL661" s="464"/>
      <c r="AM661" s="466"/>
      <c r="AN661" s="465"/>
      <c r="AO661" s="457"/>
      <c r="AP661" s="464"/>
      <c r="AQ661" s="464"/>
      <c r="AR661" s="460">
        <f t="shared" si="313"/>
        <v>0</v>
      </c>
      <c r="AS661" s="467">
        <f t="shared" si="314"/>
        <v>0</v>
      </c>
      <c r="AT661" s="447">
        <f t="shared" si="315"/>
        <v>0</v>
      </c>
      <c r="AU661" s="448">
        <f t="shared" si="316"/>
        <v>0</v>
      </c>
      <c r="AV661" s="457">
        <v>0</v>
      </c>
      <c r="AW661" s="450"/>
      <c r="AX661" s="463"/>
      <c r="AY661" s="457"/>
      <c r="AZ661" s="464"/>
      <c r="BA661" s="464"/>
      <c r="BB661" s="465"/>
      <c r="BC661" s="457"/>
      <c r="BD661" s="464"/>
      <c r="BE661" s="466"/>
      <c r="BF661" s="465"/>
      <c r="BG661" s="457"/>
      <c r="BH661" s="464"/>
      <c r="BI661" s="466"/>
      <c r="BJ661" s="465"/>
      <c r="BK661" s="457"/>
      <c r="BL661" s="464"/>
      <c r="BM661" s="466"/>
      <c r="BN661" s="465"/>
      <c r="BO661" s="457"/>
      <c r="BP661" s="464"/>
      <c r="BQ661" s="466"/>
      <c r="BR661" s="465"/>
      <c r="BS661" s="457"/>
      <c r="BT661" s="464"/>
      <c r="BU661" s="466"/>
      <c r="BV661" s="465"/>
      <c r="BW661" s="457"/>
      <c r="BX661" s="464"/>
      <c r="BY661" s="466"/>
      <c r="BZ661" s="465"/>
      <c r="CA661" s="457"/>
      <c r="CB661" s="464"/>
      <c r="CC661" s="466"/>
      <c r="CD661" s="465"/>
      <c r="CE661" s="457"/>
      <c r="CF661" s="464"/>
      <c r="CG661" s="466"/>
      <c r="CH661" s="465"/>
      <c r="CI661" s="457"/>
      <c r="CJ661" s="464"/>
      <c r="CK661" s="466"/>
      <c r="CL661" s="459"/>
      <c r="CM661" s="450"/>
      <c r="CN661" s="468">
        <f t="shared" si="317"/>
        <v>0</v>
      </c>
      <c r="CO661" s="468">
        <f t="shared" si="318"/>
        <v>0</v>
      </c>
      <c r="CP661" s="469">
        <f t="shared" si="319"/>
        <v>0</v>
      </c>
      <c r="CQ661" s="469">
        <f t="shared" si="320"/>
        <v>0</v>
      </c>
      <c r="CR661" s="463"/>
      <c r="CS661" s="457"/>
      <c r="CT661" s="464"/>
      <c r="CU661" s="464"/>
      <c r="CV661" s="465"/>
      <c r="CW661" s="457"/>
      <c r="CX661" s="464"/>
      <c r="CY661" s="466"/>
      <c r="CZ661" s="465"/>
      <c r="DA661" s="457"/>
      <c r="DB661" s="464"/>
      <c r="DC661" s="466"/>
      <c r="DD661" s="465"/>
      <c r="DE661" s="457"/>
      <c r="DF661" s="464"/>
      <c r="DG661" s="466"/>
      <c r="DH661" s="465"/>
      <c r="DI661" s="457"/>
      <c r="DJ661" s="464"/>
      <c r="DK661" s="466"/>
      <c r="DL661" s="465"/>
      <c r="DM661" s="457"/>
      <c r="DN661" s="464"/>
      <c r="DO661" s="466"/>
      <c r="DP661" s="465"/>
      <c r="DQ661" s="457"/>
      <c r="DR661" s="464"/>
      <c r="DS661" s="466"/>
      <c r="DT661" s="465"/>
      <c r="DU661" s="457"/>
      <c r="DV661" s="464"/>
      <c r="DW661" s="466"/>
      <c r="DX661" s="465"/>
      <c r="DY661" s="457"/>
      <c r="DZ661" s="464"/>
      <c r="EA661" s="466"/>
      <c r="EB661" s="465"/>
      <c r="EC661" s="457"/>
      <c r="ED661" s="464"/>
      <c r="EE661" s="466"/>
      <c r="EF661" s="459"/>
      <c r="EG661" s="450"/>
      <c r="EH661" s="460">
        <f t="shared" si="321"/>
        <v>0</v>
      </c>
      <c r="EI661" s="460">
        <f t="shared" si="322"/>
        <v>0</v>
      </c>
      <c r="EJ661" s="458">
        <f t="shared" si="323"/>
        <v>0</v>
      </c>
      <c r="EK661" s="470">
        <f t="shared" si="324"/>
        <v>0</v>
      </c>
      <c r="EL661" s="470">
        <f t="shared" si="325"/>
        <v>0</v>
      </c>
      <c r="EM661" s="449">
        <f t="shared" si="326"/>
        <v>0</v>
      </c>
      <c r="EN661" s="460">
        <f t="shared" si="327"/>
        <v>0</v>
      </c>
      <c r="EO661" s="469">
        <f t="shared" si="328"/>
        <v>0</v>
      </c>
      <c r="EP661" s="471"/>
      <c r="EQ661" s="450"/>
      <c r="ER661" s="471"/>
      <c r="ES661" s="450"/>
      <c r="ET661" s="471"/>
      <c r="EU661" s="450"/>
      <c r="EV661" s="471"/>
      <c r="EW661" s="450"/>
      <c r="EX661" s="471"/>
      <c r="EY661" s="450"/>
      <c r="EZ661" s="471"/>
      <c r="FA661" s="450"/>
      <c r="FB661" s="471"/>
      <c r="FC661" s="450"/>
      <c r="FD661" s="471"/>
      <c r="FE661" s="450"/>
      <c r="FF661" s="471"/>
      <c r="FG661" s="450"/>
      <c r="FH661" s="472"/>
      <c r="FI661" s="450"/>
      <c r="FJ661" s="468">
        <f t="shared" si="329"/>
        <v>0</v>
      </c>
      <c r="FK661" s="469">
        <f t="shared" si="330"/>
        <v>0</v>
      </c>
      <c r="FL661" s="472"/>
      <c r="FM661" s="450"/>
      <c r="FN661" s="460">
        <f t="shared" si="331"/>
        <v>888</v>
      </c>
      <c r="FO661" s="469">
        <f t="shared" si="332"/>
        <v>985</v>
      </c>
    </row>
    <row r="662" spans="1:171" ht="15.75" x14ac:dyDescent="0.25">
      <c r="A662" s="737" t="s">
        <v>1198</v>
      </c>
      <c r="B662" s="794" t="s">
        <v>1219</v>
      </c>
      <c r="C662" s="795"/>
      <c r="D662" s="717">
        <v>231697</v>
      </c>
      <c r="E662" s="821">
        <v>9</v>
      </c>
      <c r="F662" s="532">
        <v>458</v>
      </c>
      <c r="G662" s="796">
        <v>572</v>
      </c>
      <c r="H662" s="457"/>
      <c r="I662" s="450"/>
      <c r="J662" s="457">
        <v>363</v>
      </c>
      <c r="K662" s="797">
        <v>387</v>
      </c>
      <c r="L662" s="458">
        <f t="shared" si="309"/>
        <v>0</v>
      </c>
      <c r="M662" s="449">
        <f t="shared" si="310"/>
        <v>0</v>
      </c>
      <c r="N662" s="459">
        <v>0</v>
      </c>
      <c r="O662" s="459"/>
      <c r="P662" s="459"/>
      <c r="Q662" s="459">
        <v>0</v>
      </c>
      <c r="R662" s="460">
        <f t="shared" si="311"/>
        <v>0</v>
      </c>
      <c r="S662" s="822"/>
      <c r="T662" s="461"/>
      <c r="U662" s="461"/>
      <c r="V662" s="461"/>
      <c r="W662" s="462">
        <f t="shared" si="312"/>
        <v>0</v>
      </c>
      <c r="X662" s="463"/>
      <c r="Y662" s="457"/>
      <c r="Z662" s="464"/>
      <c r="AA662" s="464"/>
      <c r="AB662" s="465"/>
      <c r="AC662" s="457"/>
      <c r="AD662" s="464"/>
      <c r="AE662" s="466"/>
      <c r="AF662" s="465"/>
      <c r="AG662" s="457"/>
      <c r="AH662" s="464"/>
      <c r="AI662" s="466"/>
      <c r="AJ662" s="465"/>
      <c r="AK662" s="457"/>
      <c r="AL662" s="464"/>
      <c r="AM662" s="466"/>
      <c r="AN662" s="465"/>
      <c r="AO662" s="457"/>
      <c r="AP662" s="464"/>
      <c r="AQ662" s="464"/>
      <c r="AR662" s="460">
        <f t="shared" si="313"/>
        <v>0</v>
      </c>
      <c r="AS662" s="467">
        <f t="shared" si="314"/>
        <v>0</v>
      </c>
      <c r="AT662" s="447">
        <f t="shared" si="315"/>
        <v>0</v>
      </c>
      <c r="AU662" s="448">
        <f t="shared" si="316"/>
        <v>0</v>
      </c>
      <c r="AV662" s="457">
        <v>0</v>
      </c>
      <c r="AW662" s="450"/>
      <c r="AX662" s="463"/>
      <c r="AY662" s="457"/>
      <c r="AZ662" s="464"/>
      <c r="BA662" s="464"/>
      <c r="BB662" s="465"/>
      <c r="BC662" s="457"/>
      <c r="BD662" s="464"/>
      <c r="BE662" s="466"/>
      <c r="BF662" s="465"/>
      <c r="BG662" s="457"/>
      <c r="BH662" s="464"/>
      <c r="BI662" s="466"/>
      <c r="BJ662" s="465"/>
      <c r="BK662" s="457"/>
      <c r="BL662" s="464"/>
      <c r="BM662" s="466"/>
      <c r="BN662" s="465"/>
      <c r="BO662" s="457"/>
      <c r="BP662" s="464"/>
      <c r="BQ662" s="466"/>
      <c r="BR662" s="465"/>
      <c r="BS662" s="457"/>
      <c r="BT662" s="464"/>
      <c r="BU662" s="466"/>
      <c r="BV662" s="465"/>
      <c r="BW662" s="457"/>
      <c r="BX662" s="464"/>
      <c r="BY662" s="466"/>
      <c r="BZ662" s="465"/>
      <c r="CA662" s="457"/>
      <c r="CB662" s="464"/>
      <c r="CC662" s="466"/>
      <c r="CD662" s="465"/>
      <c r="CE662" s="457"/>
      <c r="CF662" s="464"/>
      <c r="CG662" s="466"/>
      <c r="CH662" s="465"/>
      <c r="CI662" s="457"/>
      <c r="CJ662" s="464"/>
      <c r="CK662" s="466"/>
      <c r="CL662" s="459"/>
      <c r="CM662" s="450"/>
      <c r="CN662" s="468">
        <f t="shared" si="317"/>
        <v>0</v>
      </c>
      <c r="CO662" s="468">
        <f t="shared" si="318"/>
        <v>0</v>
      </c>
      <c r="CP662" s="469">
        <f t="shared" si="319"/>
        <v>0</v>
      </c>
      <c r="CQ662" s="469">
        <f t="shared" si="320"/>
        <v>0</v>
      </c>
      <c r="CR662" s="463"/>
      <c r="CS662" s="457"/>
      <c r="CT662" s="464"/>
      <c r="CU662" s="464"/>
      <c r="CV662" s="465"/>
      <c r="CW662" s="457"/>
      <c r="CX662" s="464"/>
      <c r="CY662" s="466"/>
      <c r="CZ662" s="465"/>
      <c r="DA662" s="457"/>
      <c r="DB662" s="464"/>
      <c r="DC662" s="466"/>
      <c r="DD662" s="465"/>
      <c r="DE662" s="457"/>
      <c r="DF662" s="464"/>
      <c r="DG662" s="466"/>
      <c r="DH662" s="465"/>
      <c r="DI662" s="457"/>
      <c r="DJ662" s="464"/>
      <c r="DK662" s="466"/>
      <c r="DL662" s="465"/>
      <c r="DM662" s="457"/>
      <c r="DN662" s="464"/>
      <c r="DO662" s="466"/>
      <c r="DP662" s="465"/>
      <c r="DQ662" s="457"/>
      <c r="DR662" s="464"/>
      <c r="DS662" s="466"/>
      <c r="DT662" s="465"/>
      <c r="DU662" s="457"/>
      <c r="DV662" s="464"/>
      <c r="DW662" s="466"/>
      <c r="DX662" s="465"/>
      <c r="DY662" s="457"/>
      <c r="DZ662" s="464"/>
      <c r="EA662" s="466"/>
      <c r="EB662" s="465"/>
      <c r="EC662" s="457"/>
      <c r="ED662" s="464"/>
      <c r="EE662" s="466"/>
      <c r="EF662" s="459"/>
      <c r="EG662" s="450"/>
      <c r="EH662" s="460">
        <f t="shared" si="321"/>
        <v>0</v>
      </c>
      <c r="EI662" s="460">
        <f t="shared" si="322"/>
        <v>0</v>
      </c>
      <c r="EJ662" s="458">
        <f t="shared" si="323"/>
        <v>0</v>
      </c>
      <c r="EK662" s="470">
        <f t="shared" si="324"/>
        <v>0</v>
      </c>
      <c r="EL662" s="470">
        <f t="shared" si="325"/>
        <v>0</v>
      </c>
      <c r="EM662" s="449">
        <f t="shared" si="326"/>
        <v>0</v>
      </c>
      <c r="EN662" s="460">
        <f t="shared" si="327"/>
        <v>0</v>
      </c>
      <c r="EO662" s="469">
        <f t="shared" si="328"/>
        <v>0</v>
      </c>
      <c r="EP662" s="471"/>
      <c r="EQ662" s="450"/>
      <c r="ER662" s="471"/>
      <c r="ES662" s="450"/>
      <c r="ET662" s="471"/>
      <c r="EU662" s="450"/>
      <c r="EV662" s="471"/>
      <c r="EW662" s="450"/>
      <c r="EX662" s="471"/>
      <c r="EY662" s="450"/>
      <c r="EZ662" s="471"/>
      <c r="FA662" s="450"/>
      <c r="FB662" s="471"/>
      <c r="FC662" s="450"/>
      <c r="FD662" s="471"/>
      <c r="FE662" s="450"/>
      <c r="FF662" s="471"/>
      <c r="FG662" s="450"/>
      <c r="FH662" s="472"/>
      <c r="FI662" s="450"/>
      <c r="FJ662" s="468">
        <f t="shared" si="329"/>
        <v>0</v>
      </c>
      <c r="FK662" s="469">
        <f t="shared" si="330"/>
        <v>0</v>
      </c>
      <c r="FL662" s="472"/>
      <c r="FM662" s="450"/>
      <c r="FN662" s="460">
        <f t="shared" si="331"/>
        <v>821</v>
      </c>
      <c r="FO662" s="469">
        <f t="shared" si="332"/>
        <v>959</v>
      </c>
    </row>
    <row r="663" spans="1:171" ht="15.75" x14ac:dyDescent="0.25">
      <c r="A663" s="737" t="s">
        <v>1198</v>
      </c>
      <c r="B663" s="794" t="s">
        <v>1220</v>
      </c>
      <c r="C663" s="795"/>
      <c r="D663" s="717">
        <v>231882</v>
      </c>
      <c r="E663" s="821">
        <v>9</v>
      </c>
      <c r="F663" s="532">
        <v>492</v>
      </c>
      <c r="G663" s="796">
        <v>613</v>
      </c>
      <c r="H663" s="457"/>
      <c r="I663" s="450"/>
      <c r="J663" s="457">
        <v>216</v>
      </c>
      <c r="K663" s="797">
        <v>261</v>
      </c>
      <c r="L663" s="458">
        <f t="shared" si="309"/>
        <v>0</v>
      </c>
      <c r="M663" s="449">
        <f t="shared" si="310"/>
        <v>0</v>
      </c>
      <c r="N663" s="459">
        <v>0</v>
      </c>
      <c r="O663" s="459"/>
      <c r="P663" s="459"/>
      <c r="Q663" s="459">
        <v>0</v>
      </c>
      <c r="R663" s="460">
        <f t="shared" si="311"/>
        <v>0</v>
      </c>
      <c r="S663" s="822"/>
      <c r="T663" s="461"/>
      <c r="U663" s="461"/>
      <c r="V663" s="461"/>
      <c r="W663" s="462">
        <f t="shared" si="312"/>
        <v>0</v>
      </c>
      <c r="X663" s="463"/>
      <c r="Y663" s="457"/>
      <c r="Z663" s="464"/>
      <c r="AA663" s="464"/>
      <c r="AB663" s="465"/>
      <c r="AC663" s="457"/>
      <c r="AD663" s="464"/>
      <c r="AE663" s="466"/>
      <c r="AF663" s="465"/>
      <c r="AG663" s="457"/>
      <c r="AH663" s="464"/>
      <c r="AI663" s="466"/>
      <c r="AJ663" s="465"/>
      <c r="AK663" s="457"/>
      <c r="AL663" s="464"/>
      <c r="AM663" s="466"/>
      <c r="AN663" s="465"/>
      <c r="AO663" s="457"/>
      <c r="AP663" s="464"/>
      <c r="AQ663" s="464"/>
      <c r="AR663" s="460">
        <f t="shared" si="313"/>
        <v>0</v>
      </c>
      <c r="AS663" s="467">
        <f t="shared" si="314"/>
        <v>0</v>
      </c>
      <c r="AT663" s="447">
        <f t="shared" si="315"/>
        <v>0</v>
      </c>
      <c r="AU663" s="448">
        <f t="shared" si="316"/>
        <v>0</v>
      </c>
      <c r="AV663" s="457">
        <v>0</v>
      </c>
      <c r="AW663" s="450"/>
      <c r="AX663" s="463"/>
      <c r="AY663" s="457"/>
      <c r="AZ663" s="464"/>
      <c r="BA663" s="464"/>
      <c r="BB663" s="465"/>
      <c r="BC663" s="457"/>
      <c r="BD663" s="464"/>
      <c r="BE663" s="466"/>
      <c r="BF663" s="465"/>
      <c r="BG663" s="457"/>
      <c r="BH663" s="464"/>
      <c r="BI663" s="466"/>
      <c r="BJ663" s="465"/>
      <c r="BK663" s="457"/>
      <c r="BL663" s="464"/>
      <c r="BM663" s="466"/>
      <c r="BN663" s="465"/>
      <c r="BO663" s="457"/>
      <c r="BP663" s="464"/>
      <c r="BQ663" s="466"/>
      <c r="BR663" s="465"/>
      <c r="BS663" s="457"/>
      <c r="BT663" s="464"/>
      <c r="BU663" s="466"/>
      <c r="BV663" s="465"/>
      <c r="BW663" s="457"/>
      <c r="BX663" s="464"/>
      <c r="BY663" s="466"/>
      <c r="BZ663" s="465"/>
      <c r="CA663" s="457"/>
      <c r="CB663" s="464"/>
      <c r="CC663" s="466"/>
      <c r="CD663" s="465"/>
      <c r="CE663" s="457"/>
      <c r="CF663" s="464"/>
      <c r="CG663" s="466"/>
      <c r="CH663" s="465"/>
      <c r="CI663" s="457"/>
      <c r="CJ663" s="464"/>
      <c r="CK663" s="466"/>
      <c r="CL663" s="459"/>
      <c r="CM663" s="450"/>
      <c r="CN663" s="468">
        <f t="shared" si="317"/>
        <v>0</v>
      </c>
      <c r="CO663" s="468">
        <f t="shared" si="318"/>
        <v>0</v>
      </c>
      <c r="CP663" s="469">
        <f t="shared" si="319"/>
        <v>0</v>
      </c>
      <c r="CQ663" s="469">
        <f t="shared" si="320"/>
        <v>0</v>
      </c>
      <c r="CR663" s="463"/>
      <c r="CS663" s="457"/>
      <c r="CT663" s="464"/>
      <c r="CU663" s="464"/>
      <c r="CV663" s="465"/>
      <c r="CW663" s="457"/>
      <c r="CX663" s="464"/>
      <c r="CY663" s="466"/>
      <c r="CZ663" s="465"/>
      <c r="DA663" s="457"/>
      <c r="DB663" s="464"/>
      <c r="DC663" s="466"/>
      <c r="DD663" s="465"/>
      <c r="DE663" s="457"/>
      <c r="DF663" s="464"/>
      <c r="DG663" s="466"/>
      <c r="DH663" s="465"/>
      <c r="DI663" s="457"/>
      <c r="DJ663" s="464"/>
      <c r="DK663" s="466"/>
      <c r="DL663" s="465"/>
      <c r="DM663" s="457"/>
      <c r="DN663" s="464"/>
      <c r="DO663" s="466"/>
      <c r="DP663" s="465"/>
      <c r="DQ663" s="457"/>
      <c r="DR663" s="464"/>
      <c r="DS663" s="466"/>
      <c r="DT663" s="465"/>
      <c r="DU663" s="457"/>
      <c r="DV663" s="464"/>
      <c r="DW663" s="466"/>
      <c r="DX663" s="465"/>
      <c r="DY663" s="457"/>
      <c r="DZ663" s="464"/>
      <c r="EA663" s="466"/>
      <c r="EB663" s="465"/>
      <c r="EC663" s="457"/>
      <c r="ED663" s="464"/>
      <c r="EE663" s="466"/>
      <c r="EF663" s="459"/>
      <c r="EG663" s="450"/>
      <c r="EH663" s="460">
        <f t="shared" si="321"/>
        <v>0</v>
      </c>
      <c r="EI663" s="460">
        <f t="shared" si="322"/>
        <v>0</v>
      </c>
      <c r="EJ663" s="458">
        <f t="shared" si="323"/>
        <v>0</v>
      </c>
      <c r="EK663" s="470">
        <f t="shared" si="324"/>
        <v>0</v>
      </c>
      <c r="EL663" s="470">
        <f t="shared" si="325"/>
        <v>0</v>
      </c>
      <c r="EM663" s="449">
        <f t="shared" si="326"/>
        <v>0</v>
      </c>
      <c r="EN663" s="460">
        <f t="shared" si="327"/>
        <v>0</v>
      </c>
      <c r="EO663" s="469">
        <f t="shared" si="328"/>
        <v>0</v>
      </c>
      <c r="EP663" s="471"/>
      <c r="EQ663" s="450"/>
      <c r="ER663" s="471"/>
      <c r="ES663" s="450"/>
      <c r="ET663" s="471"/>
      <c r="EU663" s="450"/>
      <c r="EV663" s="471"/>
      <c r="EW663" s="450"/>
      <c r="EX663" s="471"/>
      <c r="EY663" s="450"/>
      <c r="EZ663" s="471"/>
      <c r="FA663" s="450"/>
      <c r="FB663" s="471"/>
      <c r="FC663" s="450"/>
      <c r="FD663" s="471"/>
      <c r="FE663" s="450"/>
      <c r="FF663" s="471"/>
      <c r="FG663" s="450"/>
      <c r="FH663" s="472"/>
      <c r="FI663" s="450"/>
      <c r="FJ663" s="468">
        <f t="shared" si="329"/>
        <v>0</v>
      </c>
      <c r="FK663" s="469">
        <f t="shared" si="330"/>
        <v>0</v>
      </c>
      <c r="FL663" s="472"/>
      <c r="FM663" s="450"/>
      <c r="FN663" s="460">
        <f t="shared" si="331"/>
        <v>708</v>
      </c>
      <c r="FO663" s="469">
        <f t="shared" si="332"/>
        <v>874</v>
      </c>
    </row>
    <row r="664" spans="1:171" ht="15.75" x14ac:dyDescent="0.25">
      <c r="A664" s="737" t="s">
        <v>1198</v>
      </c>
      <c r="B664" s="794" t="s">
        <v>1221</v>
      </c>
      <c r="C664" s="795"/>
      <c r="D664" s="717">
        <v>232195</v>
      </c>
      <c r="E664" s="821">
        <v>9</v>
      </c>
      <c r="F664" s="532">
        <v>780</v>
      </c>
      <c r="G664" s="796">
        <v>823</v>
      </c>
      <c r="H664" s="457"/>
      <c r="I664" s="450"/>
      <c r="J664" s="457">
        <v>616</v>
      </c>
      <c r="K664" s="797">
        <v>655</v>
      </c>
      <c r="L664" s="458">
        <f t="shared" si="309"/>
        <v>0</v>
      </c>
      <c r="M664" s="449">
        <f t="shared" si="310"/>
        <v>0</v>
      </c>
      <c r="N664" s="459">
        <v>0</v>
      </c>
      <c r="O664" s="459"/>
      <c r="P664" s="459"/>
      <c r="Q664" s="459">
        <v>0</v>
      </c>
      <c r="R664" s="460">
        <f t="shared" si="311"/>
        <v>0</v>
      </c>
      <c r="S664" s="822"/>
      <c r="T664" s="461"/>
      <c r="U664" s="461"/>
      <c r="V664" s="461"/>
      <c r="W664" s="462">
        <f t="shared" si="312"/>
        <v>0</v>
      </c>
      <c r="X664" s="463"/>
      <c r="Y664" s="457"/>
      <c r="Z664" s="464"/>
      <c r="AA664" s="464"/>
      <c r="AB664" s="465"/>
      <c r="AC664" s="457"/>
      <c r="AD664" s="464"/>
      <c r="AE664" s="466"/>
      <c r="AF664" s="465"/>
      <c r="AG664" s="457"/>
      <c r="AH664" s="464"/>
      <c r="AI664" s="466"/>
      <c r="AJ664" s="465"/>
      <c r="AK664" s="457"/>
      <c r="AL664" s="464"/>
      <c r="AM664" s="466"/>
      <c r="AN664" s="465"/>
      <c r="AO664" s="457"/>
      <c r="AP664" s="464"/>
      <c r="AQ664" s="464"/>
      <c r="AR664" s="460">
        <f t="shared" si="313"/>
        <v>0</v>
      </c>
      <c r="AS664" s="467">
        <f t="shared" si="314"/>
        <v>0</v>
      </c>
      <c r="AT664" s="447">
        <f t="shared" si="315"/>
        <v>0</v>
      </c>
      <c r="AU664" s="448">
        <f t="shared" si="316"/>
        <v>0</v>
      </c>
      <c r="AV664" s="457">
        <v>0</v>
      </c>
      <c r="AW664" s="450"/>
      <c r="AX664" s="463"/>
      <c r="AY664" s="457"/>
      <c r="AZ664" s="464"/>
      <c r="BA664" s="464"/>
      <c r="BB664" s="465"/>
      <c r="BC664" s="457"/>
      <c r="BD664" s="464"/>
      <c r="BE664" s="466"/>
      <c r="BF664" s="465"/>
      <c r="BG664" s="457"/>
      <c r="BH664" s="464"/>
      <c r="BI664" s="466"/>
      <c r="BJ664" s="465"/>
      <c r="BK664" s="457"/>
      <c r="BL664" s="464"/>
      <c r="BM664" s="466"/>
      <c r="BN664" s="465"/>
      <c r="BO664" s="457"/>
      <c r="BP664" s="464"/>
      <c r="BQ664" s="466"/>
      <c r="BR664" s="465"/>
      <c r="BS664" s="457"/>
      <c r="BT664" s="464"/>
      <c r="BU664" s="466"/>
      <c r="BV664" s="465"/>
      <c r="BW664" s="457"/>
      <c r="BX664" s="464"/>
      <c r="BY664" s="466"/>
      <c r="BZ664" s="465"/>
      <c r="CA664" s="457"/>
      <c r="CB664" s="464"/>
      <c r="CC664" s="466"/>
      <c r="CD664" s="465"/>
      <c r="CE664" s="457"/>
      <c r="CF664" s="464"/>
      <c r="CG664" s="466"/>
      <c r="CH664" s="465"/>
      <c r="CI664" s="457"/>
      <c r="CJ664" s="464"/>
      <c r="CK664" s="466"/>
      <c r="CL664" s="459"/>
      <c r="CM664" s="450"/>
      <c r="CN664" s="468">
        <f t="shared" si="317"/>
        <v>0</v>
      </c>
      <c r="CO664" s="468">
        <f t="shared" si="318"/>
        <v>0</v>
      </c>
      <c r="CP664" s="469">
        <f t="shared" si="319"/>
        <v>0</v>
      </c>
      <c r="CQ664" s="469">
        <f t="shared" si="320"/>
        <v>0</v>
      </c>
      <c r="CR664" s="463"/>
      <c r="CS664" s="457"/>
      <c r="CT664" s="464"/>
      <c r="CU664" s="464"/>
      <c r="CV664" s="465"/>
      <c r="CW664" s="457"/>
      <c r="CX664" s="464"/>
      <c r="CY664" s="466"/>
      <c r="CZ664" s="465"/>
      <c r="DA664" s="457"/>
      <c r="DB664" s="464"/>
      <c r="DC664" s="466"/>
      <c r="DD664" s="465"/>
      <c r="DE664" s="457"/>
      <c r="DF664" s="464"/>
      <c r="DG664" s="466"/>
      <c r="DH664" s="465"/>
      <c r="DI664" s="457"/>
      <c r="DJ664" s="464"/>
      <c r="DK664" s="466"/>
      <c r="DL664" s="465"/>
      <c r="DM664" s="457"/>
      <c r="DN664" s="464"/>
      <c r="DO664" s="466"/>
      <c r="DP664" s="465"/>
      <c r="DQ664" s="457"/>
      <c r="DR664" s="464"/>
      <c r="DS664" s="466"/>
      <c r="DT664" s="465"/>
      <c r="DU664" s="457"/>
      <c r="DV664" s="464"/>
      <c r="DW664" s="466"/>
      <c r="DX664" s="465"/>
      <c r="DY664" s="457"/>
      <c r="DZ664" s="464"/>
      <c r="EA664" s="466"/>
      <c r="EB664" s="465"/>
      <c r="EC664" s="457"/>
      <c r="ED664" s="464"/>
      <c r="EE664" s="466"/>
      <c r="EF664" s="459"/>
      <c r="EG664" s="450"/>
      <c r="EH664" s="460">
        <f t="shared" si="321"/>
        <v>0</v>
      </c>
      <c r="EI664" s="460">
        <f t="shared" si="322"/>
        <v>0</v>
      </c>
      <c r="EJ664" s="458">
        <f t="shared" si="323"/>
        <v>0</v>
      </c>
      <c r="EK664" s="470">
        <f t="shared" si="324"/>
        <v>0</v>
      </c>
      <c r="EL664" s="470">
        <f t="shared" si="325"/>
        <v>0</v>
      </c>
      <c r="EM664" s="449">
        <f t="shared" si="326"/>
        <v>0</v>
      </c>
      <c r="EN664" s="460">
        <f t="shared" si="327"/>
        <v>0</v>
      </c>
      <c r="EO664" s="469">
        <f t="shared" si="328"/>
        <v>0</v>
      </c>
      <c r="EP664" s="471"/>
      <c r="EQ664" s="450"/>
      <c r="ER664" s="471"/>
      <c r="ES664" s="450"/>
      <c r="ET664" s="471"/>
      <c r="EU664" s="450"/>
      <c r="EV664" s="471"/>
      <c r="EW664" s="450"/>
      <c r="EX664" s="471"/>
      <c r="EY664" s="450"/>
      <c r="EZ664" s="471"/>
      <c r="FA664" s="450"/>
      <c r="FB664" s="471"/>
      <c r="FC664" s="450"/>
      <c r="FD664" s="471"/>
      <c r="FE664" s="450"/>
      <c r="FF664" s="471"/>
      <c r="FG664" s="450"/>
      <c r="FH664" s="472"/>
      <c r="FI664" s="450"/>
      <c r="FJ664" s="468">
        <f t="shared" si="329"/>
        <v>0</v>
      </c>
      <c r="FK664" s="469">
        <f t="shared" si="330"/>
        <v>0</v>
      </c>
      <c r="FL664" s="472"/>
      <c r="FM664" s="450"/>
      <c r="FN664" s="460">
        <f t="shared" si="331"/>
        <v>1396</v>
      </c>
      <c r="FO664" s="469">
        <f t="shared" si="332"/>
        <v>1478</v>
      </c>
    </row>
    <row r="665" spans="1:171" ht="15.75" x14ac:dyDescent="0.25">
      <c r="A665" s="737" t="s">
        <v>1198</v>
      </c>
      <c r="B665" s="794" t="s">
        <v>1222</v>
      </c>
      <c r="C665" s="795" t="s">
        <v>1279</v>
      </c>
      <c r="D665" s="717">
        <v>232450</v>
      </c>
      <c r="E665" s="821">
        <v>9</v>
      </c>
      <c r="F665" s="532">
        <v>556</v>
      </c>
      <c r="G665" s="796">
        <v>578</v>
      </c>
      <c r="H665" s="457"/>
      <c r="I665" s="450"/>
      <c r="J665" s="457">
        <v>599</v>
      </c>
      <c r="K665" s="797">
        <v>668</v>
      </c>
      <c r="L665" s="458">
        <f t="shared" si="309"/>
        <v>0</v>
      </c>
      <c r="M665" s="449">
        <f t="shared" si="310"/>
        <v>0</v>
      </c>
      <c r="N665" s="459">
        <v>0</v>
      </c>
      <c r="O665" s="459"/>
      <c r="P665" s="459"/>
      <c r="Q665" s="459">
        <v>0</v>
      </c>
      <c r="R665" s="460">
        <f t="shared" si="311"/>
        <v>0</v>
      </c>
      <c r="S665" s="822"/>
      <c r="T665" s="461"/>
      <c r="U665" s="461"/>
      <c r="V665" s="461"/>
      <c r="W665" s="462">
        <f t="shared" si="312"/>
        <v>0</v>
      </c>
      <c r="X665" s="463"/>
      <c r="Y665" s="457"/>
      <c r="Z665" s="464"/>
      <c r="AA665" s="464"/>
      <c r="AB665" s="465"/>
      <c r="AC665" s="457"/>
      <c r="AD665" s="464"/>
      <c r="AE665" s="466"/>
      <c r="AF665" s="465"/>
      <c r="AG665" s="457"/>
      <c r="AH665" s="464"/>
      <c r="AI665" s="466"/>
      <c r="AJ665" s="465"/>
      <c r="AK665" s="457"/>
      <c r="AL665" s="464"/>
      <c r="AM665" s="466"/>
      <c r="AN665" s="465"/>
      <c r="AO665" s="457"/>
      <c r="AP665" s="464"/>
      <c r="AQ665" s="464"/>
      <c r="AR665" s="460">
        <f t="shared" si="313"/>
        <v>0</v>
      </c>
      <c r="AS665" s="467">
        <f t="shared" si="314"/>
        <v>0</v>
      </c>
      <c r="AT665" s="447">
        <f t="shared" si="315"/>
        <v>0</v>
      </c>
      <c r="AU665" s="448">
        <f t="shared" si="316"/>
        <v>0</v>
      </c>
      <c r="AV665" s="457">
        <v>0</v>
      </c>
      <c r="AW665" s="450"/>
      <c r="AX665" s="463"/>
      <c r="AY665" s="457"/>
      <c r="AZ665" s="464"/>
      <c r="BA665" s="464"/>
      <c r="BB665" s="465"/>
      <c r="BC665" s="457"/>
      <c r="BD665" s="464"/>
      <c r="BE665" s="466"/>
      <c r="BF665" s="465"/>
      <c r="BG665" s="457"/>
      <c r="BH665" s="464"/>
      <c r="BI665" s="466"/>
      <c r="BJ665" s="465"/>
      <c r="BK665" s="457"/>
      <c r="BL665" s="464"/>
      <c r="BM665" s="466"/>
      <c r="BN665" s="465"/>
      <c r="BO665" s="457"/>
      <c r="BP665" s="464"/>
      <c r="BQ665" s="466"/>
      <c r="BR665" s="465"/>
      <c r="BS665" s="457"/>
      <c r="BT665" s="464"/>
      <c r="BU665" s="466"/>
      <c r="BV665" s="465"/>
      <c r="BW665" s="457"/>
      <c r="BX665" s="464"/>
      <c r="BY665" s="466"/>
      <c r="BZ665" s="465"/>
      <c r="CA665" s="457"/>
      <c r="CB665" s="464"/>
      <c r="CC665" s="466"/>
      <c r="CD665" s="465"/>
      <c r="CE665" s="457"/>
      <c r="CF665" s="464"/>
      <c r="CG665" s="466"/>
      <c r="CH665" s="465"/>
      <c r="CI665" s="457"/>
      <c r="CJ665" s="464"/>
      <c r="CK665" s="466"/>
      <c r="CL665" s="459"/>
      <c r="CM665" s="450"/>
      <c r="CN665" s="468">
        <f t="shared" si="317"/>
        <v>0</v>
      </c>
      <c r="CO665" s="468">
        <f t="shared" si="318"/>
        <v>0</v>
      </c>
      <c r="CP665" s="469">
        <f t="shared" si="319"/>
        <v>0</v>
      </c>
      <c r="CQ665" s="469">
        <f t="shared" si="320"/>
        <v>0</v>
      </c>
      <c r="CR665" s="463"/>
      <c r="CS665" s="457"/>
      <c r="CT665" s="464"/>
      <c r="CU665" s="464"/>
      <c r="CV665" s="465"/>
      <c r="CW665" s="457"/>
      <c r="CX665" s="464"/>
      <c r="CY665" s="466"/>
      <c r="CZ665" s="465"/>
      <c r="DA665" s="457"/>
      <c r="DB665" s="464"/>
      <c r="DC665" s="466"/>
      <c r="DD665" s="465"/>
      <c r="DE665" s="457"/>
      <c r="DF665" s="464"/>
      <c r="DG665" s="466"/>
      <c r="DH665" s="465"/>
      <c r="DI665" s="457"/>
      <c r="DJ665" s="464"/>
      <c r="DK665" s="466"/>
      <c r="DL665" s="465"/>
      <c r="DM665" s="457"/>
      <c r="DN665" s="464"/>
      <c r="DO665" s="466"/>
      <c r="DP665" s="465"/>
      <c r="DQ665" s="457"/>
      <c r="DR665" s="464"/>
      <c r="DS665" s="466"/>
      <c r="DT665" s="465"/>
      <c r="DU665" s="457"/>
      <c r="DV665" s="464"/>
      <c r="DW665" s="466"/>
      <c r="DX665" s="465"/>
      <c r="DY665" s="457"/>
      <c r="DZ665" s="464"/>
      <c r="EA665" s="466"/>
      <c r="EB665" s="465"/>
      <c r="EC665" s="457"/>
      <c r="ED665" s="464"/>
      <c r="EE665" s="466"/>
      <c r="EF665" s="459"/>
      <c r="EG665" s="450"/>
      <c r="EH665" s="460">
        <f t="shared" si="321"/>
        <v>0</v>
      </c>
      <c r="EI665" s="460">
        <f t="shared" si="322"/>
        <v>0</v>
      </c>
      <c r="EJ665" s="458">
        <f t="shared" si="323"/>
        <v>0</v>
      </c>
      <c r="EK665" s="470">
        <f t="shared" si="324"/>
        <v>0</v>
      </c>
      <c r="EL665" s="470">
        <f t="shared" si="325"/>
        <v>0</v>
      </c>
      <c r="EM665" s="449">
        <f t="shared" si="326"/>
        <v>0</v>
      </c>
      <c r="EN665" s="460">
        <f t="shared" si="327"/>
        <v>0</v>
      </c>
      <c r="EO665" s="469">
        <f t="shared" si="328"/>
        <v>0</v>
      </c>
      <c r="EP665" s="471"/>
      <c r="EQ665" s="450"/>
      <c r="ER665" s="471"/>
      <c r="ES665" s="450"/>
      <c r="ET665" s="471"/>
      <c r="EU665" s="450"/>
      <c r="EV665" s="471"/>
      <c r="EW665" s="450"/>
      <c r="EX665" s="471"/>
      <c r="EY665" s="450"/>
      <c r="EZ665" s="471"/>
      <c r="FA665" s="450"/>
      <c r="FB665" s="471"/>
      <c r="FC665" s="450"/>
      <c r="FD665" s="471"/>
      <c r="FE665" s="450"/>
      <c r="FF665" s="471"/>
      <c r="FG665" s="450"/>
      <c r="FH665" s="472"/>
      <c r="FI665" s="450"/>
      <c r="FJ665" s="468">
        <f t="shared" si="329"/>
        <v>0</v>
      </c>
      <c r="FK665" s="469">
        <f t="shared" si="330"/>
        <v>0</v>
      </c>
      <c r="FL665" s="472"/>
      <c r="FM665" s="450"/>
      <c r="FN665" s="460">
        <f t="shared" si="331"/>
        <v>1155</v>
      </c>
      <c r="FO665" s="469">
        <f t="shared" si="332"/>
        <v>1246</v>
      </c>
    </row>
    <row r="666" spans="1:171" ht="15.75" x14ac:dyDescent="0.25">
      <c r="A666" s="737" t="s">
        <v>1198</v>
      </c>
      <c r="B666" s="794" t="s">
        <v>1223</v>
      </c>
      <c r="C666" s="795"/>
      <c r="D666" s="717">
        <v>232575</v>
      </c>
      <c r="E666" s="821">
        <v>9</v>
      </c>
      <c r="F666" s="532">
        <v>546</v>
      </c>
      <c r="G666" s="796">
        <v>644</v>
      </c>
      <c r="H666" s="457"/>
      <c r="I666" s="450"/>
      <c r="J666" s="457">
        <v>510</v>
      </c>
      <c r="K666" s="797">
        <v>613</v>
      </c>
      <c r="L666" s="458">
        <f t="shared" si="309"/>
        <v>0</v>
      </c>
      <c r="M666" s="449">
        <f t="shared" si="310"/>
        <v>0</v>
      </c>
      <c r="N666" s="459">
        <v>0</v>
      </c>
      <c r="O666" s="459"/>
      <c r="P666" s="459"/>
      <c r="Q666" s="459">
        <v>0</v>
      </c>
      <c r="R666" s="460">
        <f t="shared" si="311"/>
        <v>0</v>
      </c>
      <c r="S666" s="822"/>
      <c r="T666" s="461"/>
      <c r="U666" s="461"/>
      <c r="V666" s="461"/>
      <c r="W666" s="462">
        <f t="shared" si="312"/>
        <v>0</v>
      </c>
      <c r="X666" s="463"/>
      <c r="Y666" s="457"/>
      <c r="Z666" s="464"/>
      <c r="AA666" s="464"/>
      <c r="AB666" s="465"/>
      <c r="AC666" s="457"/>
      <c r="AD666" s="464"/>
      <c r="AE666" s="466"/>
      <c r="AF666" s="465"/>
      <c r="AG666" s="457"/>
      <c r="AH666" s="464"/>
      <c r="AI666" s="466"/>
      <c r="AJ666" s="465"/>
      <c r="AK666" s="457"/>
      <c r="AL666" s="464"/>
      <c r="AM666" s="466"/>
      <c r="AN666" s="465"/>
      <c r="AO666" s="457"/>
      <c r="AP666" s="464"/>
      <c r="AQ666" s="464"/>
      <c r="AR666" s="460">
        <f t="shared" si="313"/>
        <v>0</v>
      </c>
      <c r="AS666" s="467">
        <f t="shared" si="314"/>
        <v>0</v>
      </c>
      <c r="AT666" s="447">
        <f t="shared" si="315"/>
        <v>0</v>
      </c>
      <c r="AU666" s="448">
        <f t="shared" si="316"/>
        <v>0</v>
      </c>
      <c r="AV666" s="457">
        <v>0</v>
      </c>
      <c r="AW666" s="450"/>
      <c r="AX666" s="463"/>
      <c r="AY666" s="457"/>
      <c r="AZ666" s="464"/>
      <c r="BA666" s="464"/>
      <c r="BB666" s="465"/>
      <c r="BC666" s="457"/>
      <c r="BD666" s="464"/>
      <c r="BE666" s="466"/>
      <c r="BF666" s="465"/>
      <c r="BG666" s="457"/>
      <c r="BH666" s="464"/>
      <c r="BI666" s="466"/>
      <c r="BJ666" s="465"/>
      <c r="BK666" s="457"/>
      <c r="BL666" s="464"/>
      <c r="BM666" s="466"/>
      <c r="BN666" s="465"/>
      <c r="BO666" s="457"/>
      <c r="BP666" s="464"/>
      <c r="BQ666" s="466"/>
      <c r="BR666" s="465"/>
      <c r="BS666" s="457"/>
      <c r="BT666" s="464"/>
      <c r="BU666" s="466"/>
      <c r="BV666" s="465"/>
      <c r="BW666" s="457"/>
      <c r="BX666" s="464"/>
      <c r="BY666" s="466"/>
      <c r="BZ666" s="465"/>
      <c r="CA666" s="457"/>
      <c r="CB666" s="464"/>
      <c r="CC666" s="466"/>
      <c r="CD666" s="465"/>
      <c r="CE666" s="457"/>
      <c r="CF666" s="464"/>
      <c r="CG666" s="466"/>
      <c r="CH666" s="465"/>
      <c r="CI666" s="457"/>
      <c r="CJ666" s="464"/>
      <c r="CK666" s="466"/>
      <c r="CL666" s="459"/>
      <c r="CM666" s="450"/>
      <c r="CN666" s="468">
        <f t="shared" si="317"/>
        <v>0</v>
      </c>
      <c r="CO666" s="468">
        <f t="shared" si="318"/>
        <v>0</v>
      </c>
      <c r="CP666" s="469">
        <f t="shared" si="319"/>
        <v>0</v>
      </c>
      <c r="CQ666" s="469">
        <f t="shared" si="320"/>
        <v>0</v>
      </c>
      <c r="CR666" s="463"/>
      <c r="CS666" s="457"/>
      <c r="CT666" s="464"/>
      <c r="CU666" s="464"/>
      <c r="CV666" s="465"/>
      <c r="CW666" s="457"/>
      <c r="CX666" s="464"/>
      <c r="CY666" s="466"/>
      <c r="CZ666" s="465"/>
      <c r="DA666" s="457"/>
      <c r="DB666" s="464"/>
      <c r="DC666" s="466"/>
      <c r="DD666" s="465"/>
      <c r="DE666" s="457"/>
      <c r="DF666" s="464"/>
      <c r="DG666" s="466"/>
      <c r="DH666" s="465"/>
      <c r="DI666" s="457"/>
      <c r="DJ666" s="464"/>
      <c r="DK666" s="466"/>
      <c r="DL666" s="465"/>
      <c r="DM666" s="457"/>
      <c r="DN666" s="464"/>
      <c r="DO666" s="466"/>
      <c r="DP666" s="465"/>
      <c r="DQ666" s="457"/>
      <c r="DR666" s="464"/>
      <c r="DS666" s="466"/>
      <c r="DT666" s="465"/>
      <c r="DU666" s="457"/>
      <c r="DV666" s="464"/>
      <c r="DW666" s="466"/>
      <c r="DX666" s="465"/>
      <c r="DY666" s="457"/>
      <c r="DZ666" s="464"/>
      <c r="EA666" s="466"/>
      <c r="EB666" s="465"/>
      <c r="EC666" s="457"/>
      <c r="ED666" s="464"/>
      <c r="EE666" s="466"/>
      <c r="EF666" s="459"/>
      <c r="EG666" s="450"/>
      <c r="EH666" s="460">
        <f t="shared" si="321"/>
        <v>0</v>
      </c>
      <c r="EI666" s="460">
        <f t="shared" si="322"/>
        <v>0</v>
      </c>
      <c r="EJ666" s="458">
        <f t="shared" si="323"/>
        <v>0</v>
      </c>
      <c r="EK666" s="470">
        <f t="shared" si="324"/>
        <v>0</v>
      </c>
      <c r="EL666" s="470">
        <f t="shared" si="325"/>
        <v>0</v>
      </c>
      <c r="EM666" s="449">
        <f t="shared" si="326"/>
        <v>0</v>
      </c>
      <c r="EN666" s="460">
        <f t="shared" si="327"/>
        <v>0</v>
      </c>
      <c r="EO666" s="469">
        <f t="shared" si="328"/>
        <v>0</v>
      </c>
      <c r="EP666" s="471"/>
      <c r="EQ666" s="450"/>
      <c r="ER666" s="471"/>
      <c r="ES666" s="450"/>
      <c r="ET666" s="471"/>
      <c r="EU666" s="450"/>
      <c r="EV666" s="471"/>
      <c r="EW666" s="450"/>
      <c r="EX666" s="471"/>
      <c r="EY666" s="450"/>
      <c r="EZ666" s="471"/>
      <c r="FA666" s="450"/>
      <c r="FB666" s="471"/>
      <c r="FC666" s="450"/>
      <c r="FD666" s="471"/>
      <c r="FE666" s="450"/>
      <c r="FF666" s="471"/>
      <c r="FG666" s="450"/>
      <c r="FH666" s="472"/>
      <c r="FI666" s="450"/>
      <c r="FJ666" s="468">
        <f t="shared" si="329"/>
        <v>0</v>
      </c>
      <c r="FK666" s="469">
        <f t="shared" si="330"/>
        <v>0</v>
      </c>
      <c r="FL666" s="472"/>
      <c r="FM666" s="450"/>
      <c r="FN666" s="460">
        <f t="shared" si="331"/>
        <v>1056</v>
      </c>
      <c r="FO666" s="469">
        <f t="shared" si="332"/>
        <v>1257</v>
      </c>
    </row>
    <row r="667" spans="1:171" ht="15.75" x14ac:dyDescent="0.25">
      <c r="A667" s="737" t="s">
        <v>1198</v>
      </c>
      <c r="B667" s="712" t="s">
        <v>1233</v>
      </c>
      <c r="C667" s="849" t="s">
        <v>978</v>
      </c>
      <c r="D667" s="717">
        <v>232788</v>
      </c>
      <c r="E667" s="825">
        <v>9</v>
      </c>
      <c r="F667" s="532">
        <v>82</v>
      </c>
      <c r="G667" s="796">
        <v>455</v>
      </c>
      <c r="H667" s="457"/>
      <c r="I667" s="450"/>
      <c r="J667" s="457">
        <v>75</v>
      </c>
      <c r="K667" s="797">
        <v>230</v>
      </c>
      <c r="L667" s="458">
        <f t="shared" si="309"/>
        <v>0</v>
      </c>
      <c r="M667" s="449">
        <f t="shared" si="310"/>
        <v>0</v>
      </c>
      <c r="N667" s="459">
        <v>0</v>
      </c>
      <c r="O667" s="459"/>
      <c r="P667" s="459"/>
      <c r="Q667" s="459">
        <v>0</v>
      </c>
      <c r="R667" s="460">
        <f t="shared" si="311"/>
        <v>0</v>
      </c>
      <c r="S667" s="822"/>
      <c r="T667" s="461"/>
      <c r="U667" s="461"/>
      <c r="V667" s="461"/>
      <c r="W667" s="462">
        <f t="shared" si="312"/>
        <v>0</v>
      </c>
      <c r="X667" s="463"/>
      <c r="Y667" s="457"/>
      <c r="Z667" s="464"/>
      <c r="AA667" s="464"/>
      <c r="AB667" s="465"/>
      <c r="AC667" s="457"/>
      <c r="AD667" s="464"/>
      <c r="AE667" s="466"/>
      <c r="AF667" s="465"/>
      <c r="AG667" s="457"/>
      <c r="AH667" s="464"/>
      <c r="AI667" s="466"/>
      <c r="AJ667" s="465"/>
      <c r="AK667" s="457"/>
      <c r="AL667" s="464"/>
      <c r="AM667" s="466"/>
      <c r="AN667" s="465"/>
      <c r="AO667" s="457"/>
      <c r="AP667" s="464"/>
      <c r="AQ667" s="464"/>
      <c r="AR667" s="460">
        <f t="shared" si="313"/>
        <v>0</v>
      </c>
      <c r="AS667" s="467">
        <f t="shared" si="314"/>
        <v>0</v>
      </c>
      <c r="AT667" s="447">
        <f t="shared" si="315"/>
        <v>0</v>
      </c>
      <c r="AU667" s="448">
        <f t="shared" si="316"/>
        <v>0</v>
      </c>
      <c r="AV667" s="457">
        <v>0</v>
      </c>
      <c r="AW667" s="450"/>
      <c r="AX667" s="463"/>
      <c r="AY667" s="457"/>
      <c r="AZ667" s="464"/>
      <c r="BA667" s="464"/>
      <c r="BB667" s="465"/>
      <c r="BC667" s="457"/>
      <c r="BD667" s="464"/>
      <c r="BE667" s="466"/>
      <c r="BF667" s="465"/>
      <c r="BG667" s="457"/>
      <c r="BH667" s="464"/>
      <c r="BI667" s="466"/>
      <c r="BJ667" s="465"/>
      <c r="BK667" s="457"/>
      <c r="BL667" s="464"/>
      <c r="BM667" s="466"/>
      <c r="BN667" s="465"/>
      <c r="BO667" s="457"/>
      <c r="BP667" s="464"/>
      <c r="BQ667" s="466"/>
      <c r="BR667" s="465"/>
      <c r="BS667" s="457"/>
      <c r="BT667" s="464"/>
      <c r="BU667" s="466"/>
      <c r="BV667" s="465"/>
      <c r="BW667" s="457"/>
      <c r="BX667" s="464"/>
      <c r="BY667" s="466"/>
      <c r="BZ667" s="465"/>
      <c r="CA667" s="457"/>
      <c r="CB667" s="464"/>
      <c r="CC667" s="466"/>
      <c r="CD667" s="465"/>
      <c r="CE667" s="457"/>
      <c r="CF667" s="464"/>
      <c r="CG667" s="466"/>
      <c r="CH667" s="465"/>
      <c r="CI667" s="457"/>
      <c r="CJ667" s="464"/>
      <c r="CK667" s="466"/>
      <c r="CL667" s="459"/>
      <c r="CM667" s="450"/>
      <c r="CN667" s="468">
        <f t="shared" si="317"/>
        <v>0</v>
      </c>
      <c r="CO667" s="468">
        <f t="shared" si="318"/>
        <v>0</v>
      </c>
      <c r="CP667" s="469">
        <f t="shared" si="319"/>
        <v>0</v>
      </c>
      <c r="CQ667" s="469">
        <f t="shared" si="320"/>
        <v>0</v>
      </c>
      <c r="CR667" s="463"/>
      <c r="CS667" s="457"/>
      <c r="CT667" s="464"/>
      <c r="CU667" s="464"/>
      <c r="CV667" s="465"/>
      <c r="CW667" s="457"/>
      <c r="CX667" s="464"/>
      <c r="CY667" s="466"/>
      <c r="CZ667" s="465"/>
      <c r="DA667" s="457"/>
      <c r="DB667" s="464"/>
      <c r="DC667" s="466"/>
      <c r="DD667" s="465"/>
      <c r="DE667" s="457"/>
      <c r="DF667" s="464"/>
      <c r="DG667" s="466"/>
      <c r="DH667" s="465"/>
      <c r="DI667" s="457"/>
      <c r="DJ667" s="464"/>
      <c r="DK667" s="466"/>
      <c r="DL667" s="465"/>
      <c r="DM667" s="457"/>
      <c r="DN667" s="464"/>
      <c r="DO667" s="466"/>
      <c r="DP667" s="465"/>
      <c r="DQ667" s="457"/>
      <c r="DR667" s="464"/>
      <c r="DS667" s="466"/>
      <c r="DT667" s="465"/>
      <c r="DU667" s="457"/>
      <c r="DV667" s="464"/>
      <c r="DW667" s="466"/>
      <c r="DX667" s="465"/>
      <c r="DY667" s="457"/>
      <c r="DZ667" s="464"/>
      <c r="EA667" s="466"/>
      <c r="EB667" s="465"/>
      <c r="EC667" s="457"/>
      <c r="ED667" s="464"/>
      <c r="EE667" s="466"/>
      <c r="EF667" s="459"/>
      <c r="EG667" s="450"/>
      <c r="EH667" s="460">
        <f t="shared" si="321"/>
        <v>0</v>
      </c>
      <c r="EI667" s="460">
        <f t="shared" si="322"/>
        <v>0</v>
      </c>
      <c r="EJ667" s="458">
        <f t="shared" si="323"/>
        <v>0</v>
      </c>
      <c r="EK667" s="470">
        <f t="shared" si="324"/>
        <v>0</v>
      </c>
      <c r="EL667" s="470">
        <f t="shared" si="325"/>
        <v>0</v>
      </c>
      <c r="EM667" s="449">
        <f t="shared" si="326"/>
        <v>0</v>
      </c>
      <c r="EN667" s="460">
        <f t="shared" si="327"/>
        <v>0</v>
      </c>
      <c r="EO667" s="469">
        <f t="shared" si="328"/>
        <v>0</v>
      </c>
      <c r="EP667" s="471"/>
      <c r="EQ667" s="450"/>
      <c r="ER667" s="471"/>
      <c r="ES667" s="450"/>
      <c r="ET667" s="471"/>
      <c r="EU667" s="450"/>
      <c r="EV667" s="471"/>
      <c r="EW667" s="450"/>
      <c r="EX667" s="471"/>
      <c r="EY667" s="450"/>
      <c r="EZ667" s="471"/>
      <c r="FA667" s="450"/>
      <c r="FB667" s="471"/>
      <c r="FC667" s="450"/>
      <c r="FD667" s="471"/>
      <c r="FE667" s="450"/>
      <c r="FF667" s="471"/>
      <c r="FG667" s="450"/>
      <c r="FH667" s="472"/>
      <c r="FI667" s="450"/>
      <c r="FJ667" s="468">
        <f t="shared" si="329"/>
        <v>0</v>
      </c>
      <c r="FK667" s="469">
        <f t="shared" si="330"/>
        <v>0</v>
      </c>
      <c r="FL667" s="472"/>
      <c r="FM667" s="450"/>
      <c r="FN667" s="460">
        <f t="shared" si="331"/>
        <v>157</v>
      </c>
      <c r="FO667" s="469">
        <f t="shared" si="332"/>
        <v>685</v>
      </c>
    </row>
    <row r="668" spans="1:171" ht="15.75" x14ac:dyDescent="0.25">
      <c r="A668" s="737" t="s">
        <v>1198</v>
      </c>
      <c r="B668" s="794" t="s">
        <v>1224</v>
      </c>
      <c r="C668" s="795"/>
      <c r="D668" s="717">
        <v>232867</v>
      </c>
      <c r="E668" s="821">
        <v>9</v>
      </c>
      <c r="F668" s="532">
        <v>178</v>
      </c>
      <c r="G668" s="796">
        <v>246</v>
      </c>
      <c r="H668" s="457"/>
      <c r="I668" s="450"/>
      <c r="J668" s="457">
        <v>438</v>
      </c>
      <c r="K668" s="797">
        <v>469</v>
      </c>
      <c r="L668" s="458">
        <f t="shared" si="309"/>
        <v>0</v>
      </c>
      <c r="M668" s="449">
        <f t="shared" si="310"/>
        <v>0</v>
      </c>
      <c r="N668" s="459">
        <v>0</v>
      </c>
      <c r="O668" s="459"/>
      <c r="P668" s="459"/>
      <c r="Q668" s="459">
        <v>0</v>
      </c>
      <c r="R668" s="460">
        <f t="shared" si="311"/>
        <v>0</v>
      </c>
      <c r="S668" s="822"/>
      <c r="T668" s="461"/>
      <c r="U668" s="461"/>
      <c r="V668" s="461"/>
      <c r="W668" s="462">
        <f t="shared" si="312"/>
        <v>0</v>
      </c>
      <c r="X668" s="463"/>
      <c r="Y668" s="457"/>
      <c r="Z668" s="464"/>
      <c r="AA668" s="464"/>
      <c r="AB668" s="465"/>
      <c r="AC668" s="457"/>
      <c r="AD668" s="464"/>
      <c r="AE668" s="466"/>
      <c r="AF668" s="465"/>
      <c r="AG668" s="457"/>
      <c r="AH668" s="464"/>
      <c r="AI668" s="466"/>
      <c r="AJ668" s="465"/>
      <c r="AK668" s="457"/>
      <c r="AL668" s="464"/>
      <c r="AM668" s="466"/>
      <c r="AN668" s="465"/>
      <c r="AO668" s="457"/>
      <c r="AP668" s="464"/>
      <c r="AQ668" s="464"/>
      <c r="AR668" s="460">
        <f t="shared" si="313"/>
        <v>0</v>
      </c>
      <c r="AS668" s="467">
        <f t="shared" si="314"/>
        <v>0</v>
      </c>
      <c r="AT668" s="447">
        <f t="shared" si="315"/>
        <v>0</v>
      </c>
      <c r="AU668" s="448">
        <f t="shared" si="316"/>
        <v>0</v>
      </c>
      <c r="AV668" s="457">
        <v>0</v>
      </c>
      <c r="AW668" s="450"/>
      <c r="AX668" s="463"/>
      <c r="AY668" s="457"/>
      <c r="AZ668" s="464"/>
      <c r="BA668" s="464"/>
      <c r="BB668" s="465"/>
      <c r="BC668" s="457"/>
      <c r="BD668" s="464"/>
      <c r="BE668" s="466"/>
      <c r="BF668" s="465"/>
      <c r="BG668" s="457"/>
      <c r="BH668" s="464"/>
      <c r="BI668" s="466"/>
      <c r="BJ668" s="465"/>
      <c r="BK668" s="457"/>
      <c r="BL668" s="464"/>
      <c r="BM668" s="466"/>
      <c r="BN668" s="465"/>
      <c r="BO668" s="457"/>
      <c r="BP668" s="464"/>
      <c r="BQ668" s="466"/>
      <c r="BR668" s="465"/>
      <c r="BS668" s="457"/>
      <c r="BT668" s="464"/>
      <c r="BU668" s="466"/>
      <c r="BV668" s="465"/>
      <c r="BW668" s="457"/>
      <c r="BX668" s="464"/>
      <c r="BY668" s="466"/>
      <c r="BZ668" s="465"/>
      <c r="CA668" s="457"/>
      <c r="CB668" s="464"/>
      <c r="CC668" s="466"/>
      <c r="CD668" s="465"/>
      <c r="CE668" s="457"/>
      <c r="CF668" s="464"/>
      <c r="CG668" s="466"/>
      <c r="CH668" s="465"/>
      <c r="CI668" s="457"/>
      <c r="CJ668" s="464"/>
      <c r="CK668" s="466"/>
      <c r="CL668" s="459"/>
      <c r="CM668" s="450"/>
      <c r="CN668" s="468">
        <f t="shared" si="317"/>
        <v>0</v>
      </c>
      <c r="CO668" s="468">
        <f t="shared" si="318"/>
        <v>0</v>
      </c>
      <c r="CP668" s="469">
        <f t="shared" si="319"/>
        <v>0</v>
      </c>
      <c r="CQ668" s="469">
        <f t="shared" si="320"/>
        <v>0</v>
      </c>
      <c r="CR668" s="463"/>
      <c r="CS668" s="457"/>
      <c r="CT668" s="464"/>
      <c r="CU668" s="464"/>
      <c r="CV668" s="465"/>
      <c r="CW668" s="457"/>
      <c r="CX668" s="464"/>
      <c r="CY668" s="466"/>
      <c r="CZ668" s="465"/>
      <c r="DA668" s="457"/>
      <c r="DB668" s="464"/>
      <c r="DC668" s="466"/>
      <c r="DD668" s="465"/>
      <c r="DE668" s="457"/>
      <c r="DF668" s="464"/>
      <c r="DG668" s="466"/>
      <c r="DH668" s="465"/>
      <c r="DI668" s="457"/>
      <c r="DJ668" s="464"/>
      <c r="DK668" s="466"/>
      <c r="DL668" s="465"/>
      <c r="DM668" s="457"/>
      <c r="DN668" s="464"/>
      <c r="DO668" s="466"/>
      <c r="DP668" s="465"/>
      <c r="DQ668" s="457"/>
      <c r="DR668" s="464"/>
      <c r="DS668" s="466"/>
      <c r="DT668" s="465"/>
      <c r="DU668" s="457"/>
      <c r="DV668" s="464"/>
      <c r="DW668" s="466"/>
      <c r="DX668" s="465"/>
      <c r="DY668" s="457"/>
      <c r="DZ668" s="464"/>
      <c r="EA668" s="466"/>
      <c r="EB668" s="465"/>
      <c r="EC668" s="457"/>
      <c r="ED668" s="464"/>
      <c r="EE668" s="466"/>
      <c r="EF668" s="459"/>
      <c r="EG668" s="450"/>
      <c r="EH668" s="460">
        <f t="shared" si="321"/>
        <v>0</v>
      </c>
      <c r="EI668" s="460">
        <f t="shared" si="322"/>
        <v>0</v>
      </c>
      <c r="EJ668" s="458">
        <f t="shared" si="323"/>
        <v>0</v>
      </c>
      <c r="EK668" s="470">
        <f t="shared" si="324"/>
        <v>0</v>
      </c>
      <c r="EL668" s="470">
        <f t="shared" si="325"/>
        <v>0</v>
      </c>
      <c r="EM668" s="449">
        <f t="shared" si="326"/>
        <v>0</v>
      </c>
      <c r="EN668" s="460">
        <f t="shared" si="327"/>
        <v>0</v>
      </c>
      <c r="EO668" s="469">
        <f t="shared" si="328"/>
        <v>0</v>
      </c>
      <c r="EP668" s="471"/>
      <c r="EQ668" s="450"/>
      <c r="ER668" s="471"/>
      <c r="ES668" s="450"/>
      <c r="ET668" s="471"/>
      <c r="EU668" s="450"/>
      <c r="EV668" s="471"/>
      <c r="EW668" s="450"/>
      <c r="EX668" s="471"/>
      <c r="EY668" s="450"/>
      <c r="EZ668" s="471"/>
      <c r="FA668" s="450"/>
      <c r="FB668" s="471"/>
      <c r="FC668" s="450"/>
      <c r="FD668" s="471"/>
      <c r="FE668" s="450"/>
      <c r="FF668" s="471"/>
      <c r="FG668" s="450"/>
      <c r="FH668" s="472"/>
      <c r="FI668" s="450"/>
      <c r="FJ668" s="468">
        <f t="shared" si="329"/>
        <v>0</v>
      </c>
      <c r="FK668" s="469">
        <f t="shared" si="330"/>
        <v>0</v>
      </c>
      <c r="FL668" s="472"/>
      <c r="FM668" s="450"/>
      <c r="FN668" s="460">
        <f t="shared" si="331"/>
        <v>616</v>
      </c>
      <c r="FO668" s="469">
        <f t="shared" si="332"/>
        <v>715</v>
      </c>
    </row>
    <row r="669" spans="1:171" ht="15.75" x14ac:dyDescent="0.25">
      <c r="A669" s="737" t="s">
        <v>1198</v>
      </c>
      <c r="B669" s="823" t="s">
        <v>1225</v>
      </c>
      <c r="C669" s="824"/>
      <c r="D669" s="717">
        <v>233019</v>
      </c>
      <c r="E669" s="848">
        <v>9</v>
      </c>
      <c r="F669" s="532">
        <v>436</v>
      </c>
      <c r="G669" s="796">
        <v>385</v>
      </c>
      <c r="H669" s="457"/>
      <c r="I669" s="450"/>
      <c r="J669" s="457">
        <v>246</v>
      </c>
      <c r="K669" s="797">
        <v>427</v>
      </c>
      <c r="L669" s="458">
        <f t="shared" si="309"/>
        <v>0</v>
      </c>
      <c r="M669" s="449">
        <f t="shared" si="310"/>
        <v>0</v>
      </c>
      <c r="N669" s="459">
        <v>0</v>
      </c>
      <c r="O669" s="459"/>
      <c r="P669" s="459"/>
      <c r="Q669" s="459">
        <v>0</v>
      </c>
      <c r="R669" s="460">
        <f t="shared" si="311"/>
        <v>0</v>
      </c>
      <c r="S669" s="822"/>
      <c r="T669" s="461"/>
      <c r="U669" s="461"/>
      <c r="V669" s="461"/>
      <c r="W669" s="462">
        <f t="shared" si="312"/>
        <v>0</v>
      </c>
      <c r="X669" s="463"/>
      <c r="Y669" s="457"/>
      <c r="Z669" s="464"/>
      <c r="AA669" s="464"/>
      <c r="AB669" s="465"/>
      <c r="AC669" s="457"/>
      <c r="AD669" s="464"/>
      <c r="AE669" s="466"/>
      <c r="AF669" s="465"/>
      <c r="AG669" s="457"/>
      <c r="AH669" s="464"/>
      <c r="AI669" s="466"/>
      <c r="AJ669" s="465"/>
      <c r="AK669" s="457"/>
      <c r="AL669" s="464"/>
      <c r="AM669" s="466"/>
      <c r="AN669" s="465"/>
      <c r="AO669" s="457"/>
      <c r="AP669" s="464"/>
      <c r="AQ669" s="464"/>
      <c r="AR669" s="460">
        <f t="shared" si="313"/>
        <v>0</v>
      </c>
      <c r="AS669" s="467">
        <f t="shared" si="314"/>
        <v>0</v>
      </c>
      <c r="AT669" s="447">
        <f t="shared" si="315"/>
        <v>0</v>
      </c>
      <c r="AU669" s="448">
        <f t="shared" si="316"/>
        <v>0</v>
      </c>
      <c r="AV669" s="457">
        <v>0</v>
      </c>
      <c r="AW669" s="450"/>
      <c r="AX669" s="463"/>
      <c r="AY669" s="457"/>
      <c r="AZ669" s="464"/>
      <c r="BA669" s="464"/>
      <c r="BB669" s="465"/>
      <c r="BC669" s="457"/>
      <c r="BD669" s="464"/>
      <c r="BE669" s="466"/>
      <c r="BF669" s="465"/>
      <c r="BG669" s="457"/>
      <c r="BH669" s="464"/>
      <c r="BI669" s="466"/>
      <c r="BJ669" s="465"/>
      <c r="BK669" s="457"/>
      <c r="BL669" s="464"/>
      <c r="BM669" s="466"/>
      <c r="BN669" s="465"/>
      <c r="BO669" s="457"/>
      <c r="BP669" s="464"/>
      <c r="BQ669" s="466"/>
      <c r="BR669" s="465"/>
      <c r="BS669" s="457"/>
      <c r="BT669" s="464"/>
      <c r="BU669" s="466"/>
      <c r="BV669" s="465"/>
      <c r="BW669" s="457"/>
      <c r="BX669" s="464"/>
      <c r="BY669" s="466"/>
      <c r="BZ669" s="465"/>
      <c r="CA669" s="457"/>
      <c r="CB669" s="464"/>
      <c r="CC669" s="466"/>
      <c r="CD669" s="465"/>
      <c r="CE669" s="457"/>
      <c r="CF669" s="464"/>
      <c r="CG669" s="466"/>
      <c r="CH669" s="465"/>
      <c r="CI669" s="457"/>
      <c r="CJ669" s="464"/>
      <c r="CK669" s="466"/>
      <c r="CL669" s="459"/>
      <c r="CM669" s="450"/>
      <c r="CN669" s="468">
        <f t="shared" si="317"/>
        <v>0</v>
      </c>
      <c r="CO669" s="468">
        <f t="shared" si="318"/>
        <v>0</v>
      </c>
      <c r="CP669" s="469">
        <f t="shared" si="319"/>
        <v>0</v>
      </c>
      <c r="CQ669" s="469">
        <f t="shared" si="320"/>
        <v>0</v>
      </c>
      <c r="CR669" s="463"/>
      <c r="CS669" s="457"/>
      <c r="CT669" s="464"/>
      <c r="CU669" s="464"/>
      <c r="CV669" s="465"/>
      <c r="CW669" s="457"/>
      <c r="CX669" s="464"/>
      <c r="CY669" s="466"/>
      <c r="CZ669" s="465"/>
      <c r="DA669" s="457"/>
      <c r="DB669" s="464"/>
      <c r="DC669" s="466"/>
      <c r="DD669" s="465"/>
      <c r="DE669" s="457"/>
      <c r="DF669" s="464"/>
      <c r="DG669" s="466"/>
      <c r="DH669" s="465"/>
      <c r="DI669" s="457"/>
      <c r="DJ669" s="464"/>
      <c r="DK669" s="466"/>
      <c r="DL669" s="465"/>
      <c r="DM669" s="457"/>
      <c r="DN669" s="464"/>
      <c r="DO669" s="466"/>
      <c r="DP669" s="465"/>
      <c r="DQ669" s="457"/>
      <c r="DR669" s="464"/>
      <c r="DS669" s="466"/>
      <c r="DT669" s="465"/>
      <c r="DU669" s="457"/>
      <c r="DV669" s="464"/>
      <c r="DW669" s="466"/>
      <c r="DX669" s="465"/>
      <c r="DY669" s="457"/>
      <c r="DZ669" s="464"/>
      <c r="EA669" s="466"/>
      <c r="EB669" s="465"/>
      <c r="EC669" s="457"/>
      <c r="ED669" s="464"/>
      <c r="EE669" s="466"/>
      <c r="EF669" s="459"/>
      <c r="EG669" s="450"/>
      <c r="EH669" s="460">
        <f t="shared" si="321"/>
        <v>0</v>
      </c>
      <c r="EI669" s="460">
        <f t="shared" si="322"/>
        <v>0</v>
      </c>
      <c r="EJ669" s="458">
        <f t="shared" si="323"/>
        <v>0</v>
      </c>
      <c r="EK669" s="470">
        <f t="shared" si="324"/>
        <v>0</v>
      </c>
      <c r="EL669" s="470">
        <f t="shared" si="325"/>
        <v>0</v>
      </c>
      <c r="EM669" s="449">
        <f t="shared" si="326"/>
        <v>0</v>
      </c>
      <c r="EN669" s="460">
        <f t="shared" si="327"/>
        <v>0</v>
      </c>
      <c r="EO669" s="469">
        <f t="shared" si="328"/>
        <v>0</v>
      </c>
      <c r="EP669" s="471"/>
      <c r="EQ669" s="450"/>
      <c r="ER669" s="471"/>
      <c r="ES669" s="450"/>
      <c r="ET669" s="471"/>
      <c r="EU669" s="450"/>
      <c r="EV669" s="471"/>
      <c r="EW669" s="450"/>
      <c r="EX669" s="471"/>
      <c r="EY669" s="450"/>
      <c r="EZ669" s="471"/>
      <c r="FA669" s="450"/>
      <c r="FB669" s="471"/>
      <c r="FC669" s="450"/>
      <c r="FD669" s="471"/>
      <c r="FE669" s="450"/>
      <c r="FF669" s="471"/>
      <c r="FG669" s="450"/>
      <c r="FH669" s="472"/>
      <c r="FI669" s="450"/>
      <c r="FJ669" s="468">
        <f t="shared" si="329"/>
        <v>0</v>
      </c>
      <c r="FK669" s="469">
        <f t="shared" si="330"/>
        <v>0</v>
      </c>
      <c r="FL669" s="472"/>
      <c r="FM669" s="450"/>
      <c r="FN669" s="460">
        <f t="shared" si="331"/>
        <v>682</v>
      </c>
      <c r="FO669" s="469">
        <f t="shared" si="332"/>
        <v>812</v>
      </c>
    </row>
    <row r="670" spans="1:171" ht="15.75" x14ac:dyDescent="0.25">
      <c r="A670" s="737" t="s">
        <v>1198</v>
      </c>
      <c r="B670" s="794" t="s">
        <v>1226</v>
      </c>
      <c r="C670" s="795"/>
      <c r="D670" s="717">
        <v>233116</v>
      </c>
      <c r="E670" s="821">
        <v>9</v>
      </c>
      <c r="F670" s="532">
        <v>330</v>
      </c>
      <c r="G670" s="796">
        <v>220</v>
      </c>
      <c r="H670" s="457"/>
      <c r="I670" s="450"/>
      <c r="J670" s="457">
        <v>454</v>
      </c>
      <c r="K670" s="797">
        <v>426</v>
      </c>
      <c r="L670" s="458">
        <f t="shared" si="309"/>
        <v>0</v>
      </c>
      <c r="M670" s="449">
        <f t="shared" si="310"/>
        <v>0</v>
      </c>
      <c r="N670" s="459">
        <v>0</v>
      </c>
      <c r="O670" s="459"/>
      <c r="P670" s="459"/>
      <c r="Q670" s="459">
        <v>0</v>
      </c>
      <c r="R670" s="460">
        <f t="shared" si="311"/>
        <v>0</v>
      </c>
      <c r="S670" s="822"/>
      <c r="T670" s="461"/>
      <c r="U670" s="461"/>
      <c r="V670" s="461"/>
      <c r="W670" s="462">
        <f t="shared" si="312"/>
        <v>0</v>
      </c>
      <c r="X670" s="463"/>
      <c r="Y670" s="457"/>
      <c r="Z670" s="464"/>
      <c r="AA670" s="464"/>
      <c r="AB670" s="465"/>
      <c r="AC670" s="457"/>
      <c r="AD670" s="464"/>
      <c r="AE670" s="466"/>
      <c r="AF670" s="465"/>
      <c r="AG670" s="457"/>
      <c r="AH670" s="464"/>
      <c r="AI670" s="466"/>
      <c r="AJ670" s="465"/>
      <c r="AK670" s="457"/>
      <c r="AL670" s="464"/>
      <c r="AM670" s="466"/>
      <c r="AN670" s="465"/>
      <c r="AO670" s="457"/>
      <c r="AP670" s="464"/>
      <c r="AQ670" s="464"/>
      <c r="AR670" s="460">
        <f t="shared" si="313"/>
        <v>0</v>
      </c>
      <c r="AS670" s="467">
        <f t="shared" si="314"/>
        <v>0</v>
      </c>
      <c r="AT670" s="447">
        <f t="shared" si="315"/>
        <v>0</v>
      </c>
      <c r="AU670" s="448">
        <f t="shared" si="316"/>
        <v>0</v>
      </c>
      <c r="AV670" s="457">
        <v>0</v>
      </c>
      <c r="AW670" s="450"/>
      <c r="AX670" s="463"/>
      <c r="AY670" s="457"/>
      <c r="AZ670" s="464"/>
      <c r="BA670" s="464"/>
      <c r="BB670" s="465"/>
      <c r="BC670" s="457"/>
      <c r="BD670" s="464"/>
      <c r="BE670" s="466"/>
      <c r="BF670" s="465"/>
      <c r="BG670" s="457"/>
      <c r="BH670" s="464"/>
      <c r="BI670" s="466"/>
      <c r="BJ670" s="465"/>
      <c r="BK670" s="457"/>
      <c r="BL670" s="464"/>
      <c r="BM670" s="466"/>
      <c r="BN670" s="465"/>
      <c r="BO670" s="457"/>
      <c r="BP670" s="464"/>
      <c r="BQ670" s="466"/>
      <c r="BR670" s="465"/>
      <c r="BS670" s="457"/>
      <c r="BT670" s="464"/>
      <c r="BU670" s="466"/>
      <c r="BV670" s="465"/>
      <c r="BW670" s="457"/>
      <c r="BX670" s="464"/>
      <c r="BY670" s="466"/>
      <c r="BZ670" s="465"/>
      <c r="CA670" s="457"/>
      <c r="CB670" s="464"/>
      <c r="CC670" s="466"/>
      <c r="CD670" s="465"/>
      <c r="CE670" s="457"/>
      <c r="CF670" s="464"/>
      <c r="CG670" s="466"/>
      <c r="CH670" s="465"/>
      <c r="CI670" s="457"/>
      <c r="CJ670" s="464"/>
      <c r="CK670" s="466"/>
      <c r="CL670" s="459"/>
      <c r="CM670" s="450"/>
      <c r="CN670" s="468">
        <f t="shared" si="317"/>
        <v>0</v>
      </c>
      <c r="CO670" s="468">
        <f t="shared" si="318"/>
        <v>0</v>
      </c>
      <c r="CP670" s="469">
        <f t="shared" si="319"/>
        <v>0</v>
      </c>
      <c r="CQ670" s="469">
        <f t="shared" si="320"/>
        <v>0</v>
      </c>
      <c r="CR670" s="463"/>
      <c r="CS670" s="457"/>
      <c r="CT670" s="464"/>
      <c r="CU670" s="464"/>
      <c r="CV670" s="465"/>
      <c r="CW670" s="457"/>
      <c r="CX670" s="464"/>
      <c r="CY670" s="466"/>
      <c r="CZ670" s="465"/>
      <c r="DA670" s="457"/>
      <c r="DB670" s="464"/>
      <c r="DC670" s="466"/>
      <c r="DD670" s="465"/>
      <c r="DE670" s="457"/>
      <c r="DF670" s="464"/>
      <c r="DG670" s="466"/>
      <c r="DH670" s="465"/>
      <c r="DI670" s="457"/>
      <c r="DJ670" s="464"/>
      <c r="DK670" s="466"/>
      <c r="DL670" s="465"/>
      <c r="DM670" s="457"/>
      <c r="DN670" s="464"/>
      <c r="DO670" s="466"/>
      <c r="DP670" s="465"/>
      <c r="DQ670" s="457"/>
      <c r="DR670" s="464"/>
      <c r="DS670" s="466"/>
      <c r="DT670" s="465"/>
      <c r="DU670" s="457"/>
      <c r="DV670" s="464"/>
      <c r="DW670" s="466"/>
      <c r="DX670" s="465"/>
      <c r="DY670" s="457"/>
      <c r="DZ670" s="464"/>
      <c r="EA670" s="466"/>
      <c r="EB670" s="465"/>
      <c r="EC670" s="457"/>
      <c r="ED670" s="464"/>
      <c r="EE670" s="466"/>
      <c r="EF670" s="459"/>
      <c r="EG670" s="450"/>
      <c r="EH670" s="460">
        <f t="shared" si="321"/>
        <v>0</v>
      </c>
      <c r="EI670" s="460">
        <f t="shared" si="322"/>
        <v>0</v>
      </c>
      <c r="EJ670" s="458">
        <f t="shared" si="323"/>
        <v>0</v>
      </c>
      <c r="EK670" s="470">
        <f t="shared" si="324"/>
        <v>0</v>
      </c>
      <c r="EL670" s="470">
        <f t="shared" si="325"/>
        <v>0</v>
      </c>
      <c r="EM670" s="449">
        <f t="shared" si="326"/>
        <v>0</v>
      </c>
      <c r="EN670" s="460">
        <f t="shared" si="327"/>
        <v>0</v>
      </c>
      <c r="EO670" s="469">
        <f t="shared" si="328"/>
        <v>0</v>
      </c>
      <c r="EP670" s="471"/>
      <c r="EQ670" s="450"/>
      <c r="ER670" s="471"/>
      <c r="ES670" s="450"/>
      <c r="ET670" s="471"/>
      <c r="EU670" s="450"/>
      <c r="EV670" s="471"/>
      <c r="EW670" s="450"/>
      <c r="EX670" s="471"/>
      <c r="EY670" s="450"/>
      <c r="EZ670" s="471"/>
      <c r="FA670" s="450"/>
      <c r="FB670" s="471"/>
      <c r="FC670" s="450"/>
      <c r="FD670" s="471"/>
      <c r="FE670" s="450"/>
      <c r="FF670" s="471"/>
      <c r="FG670" s="450"/>
      <c r="FH670" s="472"/>
      <c r="FI670" s="450"/>
      <c r="FJ670" s="468">
        <f t="shared" si="329"/>
        <v>0</v>
      </c>
      <c r="FK670" s="469">
        <f t="shared" si="330"/>
        <v>0</v>
      </c>
      <c r="FL670" s="472"/>
      <c r="FM670" s="450"/>
      <c r="FN670" s="460">
        <f t="shared" si="331"/>
        <v>784</v>
      </c>
      <c r="FO670" s="469">
        <f t="shared" si="332"/>
        <v>646</v>
      </c>
    </row>
    <row r="671" spans="1:171" ht="15.75" x14ac:dyDescent="0.25">
      <c r="A671" s="737" t="s">
        <v>1198</v>
      </c>
      <c r="B671" s="794" t="s">
        <v>1227</v>
      </c>
      <c r="C671" s="795"/>
      <c r="D671" s="717">
        <v>233639</v>
      </c>
      <c r="E671" s="821">
        <v>9</v>
      </c>
      <c r="F671" s="532">
        <v>152</v>
      </c>
      <c r="G671" s="796">
        <v>685</v>
      </c>
      <c r="H671" s="457"/>
      <c r="I671" s="450"/>
      <c r="J671" s="457">
        <v>387</v>
      </c>
      <c r="K671" s="797">
        <v>580</v>
      </c>
      <c r="L671" s="458">
        <f t="shared" si="309"/>
        <v>0</v>
      </c>
      <c r="M671" s="449">
        <f t="shared" si="310"/>
        <v>0</v>
      </c>
      <c r="N671" s="459">
        <v>0</v>
      </c>
      <c r="O671" s="459"/>
      <c r="P671" s="459"/>
      <c r="Q671" s="459">
        <v>0</v>
      </c>
      <c r="R671" s="460">
        <f t="shared" si="311"/>
        <v>0</v>
      </c>
      <c r="S671" s="822"/>
      <c r="T671" s="461"/>
      <c r="U671" s="461"/>
      <c r="V671" s="461"/>
      <c r="W671" s="462">
        <f t="shared" si="312"/>
        <v>0</v>
      </c>
      <c r="X671" s="463"/>
      <c r="Y671" s="457"/>
      <c r="Z671" s="464"/>
      <c r="AA671" s="464"/>
      <c r="AB671" s="465"/>
      <c r="AC671" s="457"/>
      <c r="AD671" s="464"/>
      <c r="AE671" s="466"/>
      <c r="AF671" s="465"/>
      <c r="AG671" s="457"/>
      <c r="AH671" s="464"/>
      <c r="AI671" s="466"/>
      <c r="AJ671" s="465"/>
      <c r="AK671" s="457"/>
      <c r="AL671" s="464"/>
      <c r="AM671" s="466"/>
      <c r="AN671" s="465"/>
      <c r="AO671" s="457"/>
      <c r="AP671" s="464"/>
      <c r="AQ671" s="464"/>
      <c r="AR671" s="460">
        <f t="shared" si="313"/>
        <v>0</v>
      </c>
      <c r="AS671" s="467">
        <f t="shared" si="314"/>
        <v>0</v>
      </c>
      <c r="AT671" s="447">
        <f t="shared" si="315"/>
        <v>0</v>
      </c>
      <c r="AU671" s="448">
        <f t="shared" si="316"/>
        <v>0</v>
      </c>
      <c r="AV671" s="457">
        <v>0</v>
      </c>
      <c r="AW671" s="450"/>
      <c r="AX671" s="463"/>
      <c r="AY671" s="457"/>
      <c r="AZ671" s="464"/>
      <c r="BA671" s="464"/>
      <c r="BB671" s="465"/>
      <c r="BC671" s="457"/>
      <c r="BD671" s="464"/>
      <c r="BE671" s="466"/>
      <c r="BF671" s="465"/>
      <c r="BG671" s="457"/>
      <c r="BH671" s="464"/>
      <c r="BI671" s="466"/>
      <c r="BJ671" s="465"/>
      <c r="BK671" s="457"/>
      <c r="BL671" s="464"/>
      <c r="BM671" s="466"/>
      <c r="BN671" s="465"/>
      <c r="BO671" s="457"/>
      <c r="BP671" s="464"/>
      <c r="BQ671" s="466"/>
      <c r="BR671" s="465"/>
      <c r="BS671" s="457"/>
      <c r="BT671" s="464"/>
      <c r="BU671" s="466"/>
      <c r="BV671" s="465"/>
      <c r="BW671" s="457"/>
      <c r="BX671" s="464"/>
      <c r="BY671" s="466"/>
      <c r="BZ671" s="465"/>
      <c r="CA671" s="457"/>
      <c r="CB671" s="464"/>
      <c r="CC671" s="466"/>
      <c r="CD671" s="465"/>
      <c r="CE671" s="457"/>
      <c r="CF671" s="464"/>
      <c r="CG671" s="466"/>
      <c r="CH671" s="465"/>
      <c r="CI671" s="457"/>
      <c r="CJ671" s="464"/>
      <c r="CK671" s="466"/>
      <c r="CL671" s="459"/>
      <c r="CM671" s="450"/>
      <c r="CN671" s="468">
        <f t="shared" si="317"/>
        <v>0</v>
      </c>
      <c r="CO671" s="468">
        <f t="shared" si="318"/>
        <v>0</v>
      </c>
      <c r="CP671" s="469">
        <f t="shared" si="319"/>
        <v>0</v>
      </c>
      <c r="CQ671" s="469">
        <f t="shared" si="320"/>
        <v>0</v>
      </c>
      <c r="CR671" s="463"/>
      <c r="CS671" s="457"/>
      <c r="CT671" s="464"/>
      <c r="CU671" s="464"/>
      <c r="CV671" s="465"/>
      <c r="CW671" s="457"/>
      <c r="CX671" s="464"/>
      <c r="CY671" s="466"/>
      <c r="CZ671" s="465"/>
      <c r="DA671" s="457"/>
      <c r="DB671" s="464"/>
      <c r="DC671" s="466"/>
      <c r="DD671" s="465"/>
      <c r="DE671" s="457"/>
      <c r="DF671" s="464"/>
      <c r="DG671" s="466"/>
      <c r="DH671" s="465"/>
      <c r="DI671" s="457"/>
      <c r="DJ671" s="464"/>
      <c r="DK671" s="466"/>
      <c r="DL671" s="465"/>
      <c r="DM671" s="457"/>
      <c r="DN671" s="464"/>
      <c r="DO671" s="466"/>
      <c r="DP671" s="465"/>
      <c r="DQ671" s="457"/>
      <c r="DR671" s="464"/>
      <c r="DS671" s="466"/>
      <c r="DT671" s="465"/>
      <c r="DU671" s="457"/>
      <c r="DV671" s="464"/>
      <c r="DW671" s="466"/>
      <c r="DX671" s="465"/>
      <c r="DY671" s="457"/>
      <c r="DZ671" s="464"/>
      <c r="EA671" s="466"/>
      <c r="EB671" s="465"/>
      <c r="EC671" s="457"/>
      <c r="ED671" s="464"/>
      <c r="EE671" s="466"/>
      <c r="EF671" s="459"/>
      <c r="EG671" s="450"/>
      <c r="EH671" s="460">
        <f t="shared" si="321"/>
        <v>0</v>
      </c>
      <c r="EI671" s="460">
        <f t="shared" si="322"/>
        <v>0</v>
      </c>
      <c r="EJ671" s="458">
        <f t="shared" si="323"/>
        <v>0</v>
      </c>
      <c r="EK671" s="470">
        <f t="shared" si="324"/>
        <v>0</v>
      </c>
      <c r="EL671" s="470">
        <f t="shared" si="325"/>
        <v>0</v>
      </c>
      <c r="EM671" s="449">
        <f t="shared" si="326"/>
        <v>0</v>
      </c>
      <c r="EN671" s="460">
        <f t="shared" si="327"/>
        <v>0</v>
      </c>
      <c r="EO671" s="469">
        <f t="shared" si="328"/>
        <v>0</v>
      </c>
      <c r="EP671" s="471"/>
      <c r="EQ671" s="450"/>
      <c r="ER671" s="471"/>
      <c r="ES671" s="450"/>
      <c r="ET671" s="471"/>
      <c r="EU671" s="450"/>
      <c r="EV671" s="471"/>
      <c r="EW671" s="450"/>
      <c r="EX671" s="471"/>
      <c r="EY671" s="450"/>
      <c r="EZ671" s="471"/>
      <c r="FA671" s="450"/>
      <c r="FB671" s="471"/>
      <c r="FC671" s="450"/>
      <c r="FD671" s="471"/>
      <c r="FE671" s="450"/>
      <c r="FF671" s="471"/>
      <c r="FG671" s="450"/>
      <c r="FH671" s="472"/>
      <c r="FI671" s="450"/>
      <c r="FJ671" s="468">
        <f t="shared" si="329"/>
        <v>0</v>
      </c>
      <c r="FK671" s="469">
        <f t="shared" si="330"/>
        <v>0</v>
      </c>
      <c r="FL671" s="472"/>
      <c r="FM671" s="450"/>
      <c r="FN671" s="460">
        <f t="shared" si="331"/>
        <v>539</v>
      </c>
      <c r="FO671" s="469">
        <f t="shared" si="332"/>
        <v>1265</v>
      </c>
    </row>
    <row r="672" spans="1:171" ht="15.75" x14ac:dyDescent="0.25">
      <c r="A672" s="737" t="s">
        <v>1198</v>
      </c>
      <c r="B672" s="794" t="s">
        <v>1228</v>
      </c>
      <c r="C672" s="795" t="s">
        <v>600</v>
      </c>
      <c r="D672" s="717">
        <v>233648</v>
      </c>
      <c r="E672" s="821">
        <v>9</v>
      </c>
      <c r="F672" s="532">
        <v>516</v>
      </c>
      <c r="G672" s="796">
        <v>412</v>
      </c>
      <c r="H672" s="457"/>
      <c r="I672" s="450"/>
      <c r="J672" s="457">
        <v>454</v>
      </c>
      <c r="K672" s="797">
        <v>343</v>
      </c>
      <c r="L672" s="458">
        <f t="shared" si="309"/>
        <v>0</v>
      </c>
      <c r="M672" s="449">
        <f t="shared" si="310"/>
        <v>0</v>
      </c>
      <c r="N672" s="459">
        <v>0</v>
      </c>
      <c r="O672" s="459"/>
      <c r="P672" s="459"/>
      <c r="Q672" s="459">
        <v>0</v>
      </c>
      <c r="R672" s="460">
        <f t="shared" si="311"/>
        <v>0</v>
      </c>
      <c r="S672" s="822"/>
      <c r="T672" s="461"/>
      <c r="U672" s="461"/>
      <c r="V672" s="461"/>
      <c r="W672" s="462">
        <f t="shared" si="312"/>
        <v>0</v>
      </c>
      <c r="X672" s="463"/>
      <c r="Y672" s="457"/>
      <c r="Z672" s="464"/>
      <c r="AA672" s="464"/>
      <c r="AB672" s="465"/>
      <c r="AC672" s="457"/>
      <c r="AD672" s="464"/>
      <c r="AE672" s="466"/>
      <c r="AF672" s="465"/>
      <c r="AG672" s="457"/>
      <c r="AH672" s="464"/>
      <c r="AI672" s="466"/>
      <c r="AJ672" s="465"/>
      <c r="AK672" s="457"/>
      <c r="AL672" s="464"/>
      <c r="AM672" s="466"/>
      <c r="AN672" s="465"/>
      <c r="AO672" s="457"/>
      <c r="AP672" s="464"/>
      <c r="AQ672" s="464"/>
      <c r="AR672" s="460">
        <f t="shared" si="313"/>
        <v>0</v>
      </c>
      <c r="AS672" s="467">
        <f t="shared" si="314"/>
        <v>0</v>
      </c>
      <c r="AT672" s="447">
        <f t="shared" si="315"/>
        <v>0</v>
      </c>
      <c r="AU672" s="448">
        <f t="shared" si="316"/>
        <v>0</v>
      </c>
      <c r="AV672" s="457">
        <v>0</v>
      </c>
      <c r="AW672" s="450"/>
      <c r="AX672" s="463"/>
      <c r="AY672" s="457"/>
      <c r="AZ672" s="464"/>
      <c r="BA672" s="464"/>
      <c r="BB672" s="465"/>
      <c r="BC672" s="457"/>
      <c r="BD672" s="464"/>
      <c r="BE672" s="466"/>
      <c r="BF672" s="465"/>
      <c r="BG672" s="457"/>
      <c r="BH672" s="464"/>
      <c r="BI672" s="466"/>
      <c r="BJ672" s="465"/>
      <c r="BK672" s="457"/>
      <c r="BL672" s="464"/>
      <c r="BM672" s="466"/>
      <c r="BN672" s="465"/>
      <c r="BO672" s="457"/>
      <c r="BP672" s="464"/>
      <c r="BQ672" s="466"/>
      <c r="BR672" s="465"/>
      <c r="BS672" s="457"/>
      <c r="BT672" s="464"/>
      <c r="BU672" s="466"/>
      <c r="BV672" s="465"/>
      <c r="BW672" s="457"/>
      <c r="BX672" s="464"/>
      <c r="BY672" s="466"/>
      <c r="BZ672" s="465"/>
      <c r="CA672" s="457"/>
      <c r="CB672" s="464"/>
      <c r="CC672" s="466"/>
      <c r="CD672" s="465"/>
      <c r="CE672" s="457"/>
      <c r="CF672" s="464"/>
      <c r="CG672" s="466"/>
      <c r="CH672" s="465"/>
      <c r="CI672" s="457"/>
      <c r="CJ672" s="464"/>
      <c r="CK672" s="466"/>
      <c r="CL672" s="459"/>
      <c r="CM672" s="450"/>
      <c r="CN672" s="468">
        <f t="shared" si="317"/>
        <v>0</v>
      </c>
      <c r="CO672" s="468">
        <f t="shared" si="318"/>
        <v>0</v>
      </c>
      <c r="CP672" s="469">
        <f t="shared" si="319"/>
        <v>0</v>
      </c>
      <c r="CQ672" s="469">
        <f t="shared" si="320"/>
        <v>0</v>
      </c>
      <c r="CR672" s="463"/>
      <c r="CS672" s="457"/>
      <c r="CT672" s="464"/>
      <c r="CU672" s="464"/>
      <c r="CV672" s="465"/>
      <c r="CW672" s="457"/>
      <c r="CX672" s="464"/>
      <c r="CY672" s="466"/>
      <c r="CZ672" s="465"/>
      <c r="DA672" s="457"/>
      <c r="DB672" s="464"/>
      <c r="DC672" s="466"/>
      <c r="DD672" s="465"/>
      <c r="DE672" s="457"/>
      <c r="DF672" s="464"/>
      <c r="DG672" s="466"/>
      <c r="DH672" s="465"/>
      <c r="DI672" s="457"/>
      <c r="DJ672" s="464"/>
      <c r="DK672" s="466"/>
      <c r="DL672" s="465"/>
      <c r="DM672" s="457"/>
      <c r="DN672" s="464"/>
      <c r="DO672" s="466"/>
      <c r="DP672" s="465"/>
      <c r="DQ672" s="457"/>
      <c r="DR672" s="464"/>
      <c r="DS672" s="466"/>
      <c r="DT672" s="465"/>
      <c r="DU672" s="457"/>
      <c r="DV672" s="464"/>
      <c r="DW672" s="466"/>
      <c r="DX672" s="465"/>
      <c r="DY672" s="457"/>
      <c r="DZ672" s="464"/>
      <c r="EA672" s="466"/>
      <c r="EB672" s="465"/>
      <c r="EC672" s="457"/>
      <c r="ED672" s="464"/>
      <c r="EE672" s="466"/>
      <c r="EF672" s="459"/>
      <c r="EG672" s="450"/>
      <c r="EH672" s="460">
        <f t="shared" si="321"/>
        <v>0</v>
      </c>
      <c r="EI672" s="460">
        <f t="shared" si="322"/>
        <v>0</v>
      </c>
      <c r="EJ672" s="458">
        <f t="shared" si="323"/>
        <v>0</v>
      </c>
      <c r="EK672" s="470">
        <f t="shared" si="324"/>
        <v>0</v>
      </c>
      <c r="EL672" s="470">
        <f t="shared" si="325"/>
        <v>0</v>
      </c>
      <c r="EM672" s="449">
        <f t="shared" si="326"/>
        <v>0</v>
      </c>
      <c r="EN672" s="460">
        <f t="shared" si="327"/>
        <v>0</v>
      </c>
      <c r="EO672" s="469">
        <f t="shared" si="328"/>
        <v>0</v>
      </c>
      <c r="EP672" s="471"/>
      <c r="EQ672" s="450"/>
      <c r="ER672" s="471"/>
      <c r="ES672" s="450"/>
      <c r="ET672" s="471"/>
      <c r="EU672" s="450"/>
      <c r="EV672" s="471"/>
      <c r="EW672" s="450"/>
      <c r="EX672" s="471"/>
      <c r="EY672" s="450"/>
      <c r="EZ672" s="471"/>
      <c r="FA672" s="450"/>
      <c r="FB672" s="471"/>
      <c r="FC672" s="450"/>
      <c r="FD672" s="471"/>
      <c r="FE672" s="450"/>
      <c r="FF672" s="471"/>
      <c r="FG672" s="450"/>
      <c r="FH672" s="472"/>
      <c r="FI672" s="450"/>
      <c r="FJ672" s="468">
        <f t="shared" si="329"/>
        <v>0</v>
      </c>
      <c r="FK672" s="469">
        <f t="shared" si="330"/>
        <v>0</v>
      </c>
      <c r="FL672" s="472"/>
      <c r="FM672" s="450"/>
      <c r="FN672" s="460">
        <f t="shared" si="331"/>
        <v>970</v>
      </c>
      <c r="FO672" s="469">
        <f t="shared" si="332"/>
        <v>755</v>
      </c>
    </row>
    <row r="673" spans="1:171" ht="15.75" x14ac:dyDescent="0.25">
      <c r="A673" s="737" t="s">
        <v>1198</v>
      </c>
      <c r="B673" s="712" t="s">
        <v>1229</v>
      </c>
      <c r="C673" s="713"/>
      <c r="D673" s="717">
        <v>233949</v>
      </c>
      <c r="E673" s="821">
        <v>9</v>
      </c>
      <c r="F673" s="532">
        <v>379</v>
      </c>
      <c r="G673" s="796">
        <v>473</v>
      </c>
      <c r="H673" s="457"/>
      <c r="I673" s="450"/>
      <c r="J673" s="457">
        <v>284</v>
      </c>
      <c r="K673" s="797">
        <v>670</v>
      </c>
      <c r="L673" s="458">
        <f t="shared" si="309"/>
        <v>0</v>
      </c>
      <c r="M673" s="449">
        <f t="shared" si="310"/>
        <v>0</v>
      </c>
      <c r="N673" s="459">
        <v>0</v>
      </c>
      <c r="O673" s="459"/>
      <c r="P673" s="459"/>
      <c r="Q673" s="459">
        <v>0</v>
      </c>
      <c r="R673" s="460">
        <f t="shared" si="311"/>
        <v>0</v>
      </c>
      <c r="S673" s="822"/>
      <c r="T673" s="461"/>
      <c r="U673" s="461"/>
      <c r="V673" s="461"/>
      <c r="W673" s="462">
        <f t="shared" si="312"/>
        <v>0</v>
      </c>
      <c r="X673" s="463"/>
      <c r="Y673" s="457"/>
      <c r="Z673" s="464"/>
      <c r="AA673" s="464"/>
      <c r="AB673" s="465"/>
      <c r="AC673" s="457"/>
      <c r="AD673" s="464"/>
      <c r="AE673" s="466"/>
      <c r="AF673" s="465"/>
      <c r="AG673" s="457"/>
      <c r="AH673" s="464"/>
      <c r="AI673" s="466"/>
      <c r="AJ673" s="465"/>
      <c r="AK673" s="457"/>
      <c r="AL673" s="464"/>
      <c r="AM673" s="466"/>
      <c r="AN673" s="465"/>
      <c r="AO673" s="457"/>
      <c r="AP673" s="464"/>
      <c r="AQ673" s="464"/>
      <c r="AR673" s="460">
        <f t="shared" si="313"/>
        <v>0</v>
      </c>
      <c r="AS673" s="467">
        <f t="shared" si="314"/>
        <v>0</v>
      </c>
      <c r="AT673" s="447">
        <f t="shared" si="315"/>
        <v>0</v>
      </c>
      <c r="AU673" s="448">
        <f t="shared" si="316"/>
        <v>0</v>
      </c>
      <c r="AV673" s="457">
        <v>0</v>
      </c>
      <c r="AW673" s="450"/>
      <c r="AX673" s="463"/>
      <c r="AY673" s="457"/>
      <c r="AZ673" s="464"/>
      <c r="BA673" s="464"/>
      <c r="BB673" s="465"/>
      <c r="BC673" s="457"/>
      <c r="BD673" s="464"/>
      <c r="BE673" s="466"/>
      <c r="BF673" s="465"/>
      <c r="BG673" s="457"/>
      <c r="BH673" s="464"/>
      <c r="BI673" s="466"/>
      <c r="BJ673" s="465"/>
      <c r="BK673" s="457"/>
      <c r="BL673" s="464"/>
      <c r="BM673" s="466"/>
      <c r="BN673" s="465"/>
      <c r="BO673" s="457"/>
      <c r="BP673" s="464"/>
      <c r="BQ673" s="466"/>
      <c r="BR673" s="465"/>
      <c r="BS673" s="457"/>
      <c r="BT673" s="464"/>
      <c r="BU673" s="466"/>
      <c r="BV673" s="465"/>
      <c r="BW673" s="457"/>
      <c r="BX673" s="464"/>
      <c r="BY673" s="466"/>
      <c r="BZ673" s="465"/>
      <c r="CA673" s="457"/>
      <c r="CB673" s="464"/>
      <c r="CC673" s="466"/>
      <c r="CD673" s="465"/>
      <c r="CE673" s="457"/>
      <c r="CF673" s="464"/>
      <c r="CG673" s="466"/>
      <c r="CH673" s="465"/>
      <c r="CI673" s="457"/>
      <c r="CJ673" s="464"/>
      <c r="CK673" s="466"/>
      <c r="CL673" s="459"/>
      <c r="CM673" s="450"/>
      <c r="CN673" s="468">
        <f t="shared" si="317"/>
        <v>0</v>
      </c>
      <c r="CO673" s="468">
        <f t="shared" si="318"/>
        <v>0</v>
      </c>
      <c r="CP673" s="469">
        <f t="shared" si="319"/>
        <v>0</v>
      </c>
      <c r="CQ673" s="469">
        <f t="shared" si="320"/>
        <v>0</v>
      </c>
      <c r="CR673" s="463"/>
      <c r="CS673" s="457"/>
      <c r="CT673" s="464"/>
      <c r="CU673" s="464"/>
      <c r="CV673" s="465"/>
      <c r="CW673" s="457"/>
      <c r="CX673" s="464"/>
      <c r="CY673" s="466"/>
      <c r="CZ673" s="465"/>
      <c r="DA673" s="457"/>
      <c r="DB673" s="464"/>
      <c r="DC673" s="466"/>
      <c r="DD673" s="465"/>
      <c r="DE673" s="457"/>
      <c r="DF673" s="464"/>
      <c r="DG673" s="466"/>
      <c r="DH673" s="465"/>
      <c r="DI673" s="457"/>
      <c r="DJ673" s="464"/>
      <c r="DK673" s="466"/>
      <c r="DL673" s="465"/>
      <c r="DM673" s="457"/>
      <c r="DN673" s="464"/>
      <c r="DO673" s="466"/>
      <c r="DP673" s="465"/>
      <c r="DQ673" s="457"/>
      <c r="DR673" s="464"/>
      <c r="DS673" s="466"/>
      <c r="DT673" s="465"/>
      <c r="DU673" s="457"/>
      <c r="DV673" s="464"/>
      <c r="DW673" s="466"/>
      <c r="DX673" s="465"/>
      <c r="DY673" s="457"/>
      <c r="DZ673" s="464"/>
      <c r="EA673" s="466"/>
      <c r="EB673" s="465"/>
      <c r="EC673" s="457"/>
      <c r="ED673" s="464"/>
      <c r="EE673" s="466"/>
      <c r="EF673" s="459"/>
      <c r="EG673" s="450"/>
      <c r="EH673" s="460">
        <f t="shared" si="321"/>
        <v>0</v>
      </c>
      <c r="EI673" s="460">
        <f t="shared" si="322"/>
        <v>0</v>
      </c>
      <c r="EJ673" s="458">
        <f t="shared" si="323"/>
        <v>0</v>
      </c>
      <c r="EK673" s="470">
        <f t="shared" si="324"/>
        <v>0</v>
      </c>
      <c r="EL673" s="470">
        <f t="shared" si="325"/>
        <v>0</v>
      </c>
      <c r="EM673" s="449">
        <f t="shared" si="326"/>
        <v>0</v>
      </c>
      <c r="EN673" s="460">
        <f t="shared" si="327"/>
        <v>0</v>
      </c>
      <c r="EO673" s="469">
        <f t="shared" si="328"/>
        <v>0</v>
      </c>
      <c r="EP673" s="471"/>
      <c r="EQ673" s="450"/>
      <c r="ER673" s="471"/>
      <c r="ES673" s="450"/>
      <c r="ET673" s="471"/>
      <c r="EU673" s="450"/>
      <c r="EV673" s="471"/>
      <c r="EW673" s="450"/>
      <c r="EX673" s="471"/>
      <c r="EY673" s="450"/>
      <c r="EZ673" s="471"/>
      <c r="FA673" s="450"/>
      <c r="FB673" s="471"/>
      <c r="FC673" s="450"/>
      <c r="FD673" s="471"/>
      <c r="FE673" s="450"/>
      <c r="FF673" s="471"/>
      <c r="FG673" s="450"/>
      <c r="FH673" s="472"/>
      <c r="FI673" s="450"/>
      <c r="FJ673" s="468">
        <f t="shared" si="329"/>
        <v>0</v>
      </c>
      <c r="FK673" s="469">
        <f t="shared" si="330"/>
        <v>0</v>
      </c>
      <c r="FL673" s="472"/>
      <c r="FM673" s="450"/>
      <c r="FN673" s="460">
        <f t="shared" si="331"/>
        <v>663</v>
      </c>
      <c r="FO673" s="469">
        <f t="shared" si="332"/>
        <v>1143</v>
      </c>
    </row>
    <row r="674" spans="1:171" ht="15.75" x14ac:dyDescent="0.25">
      <c r="A674" s="737" t="s">
        <v>1198</v>
      </c>
      <c r="B674" s="712" t="s">
        <v>1230</v>
      </c>
      <c r="C674" s="824"/>
      <c r="D674" s="717">
        <v>234377</v>
      </c>
      <c r="E674" s="848">
        <v>9</v>
      </c>
      <c r="F674" s="532">
        <v>596</v>
      </c>
      <c r="G674" s="796">
        <v>774</v>
      </c>
      <c r="H674" s="457"/>
      <c r="I674" s="450"/>
      <c r="J674" s="457">
        <v>319</v>
      </c>
      <c r="K674" s="797">
        <v>340</v>
      </c>
      <c r="L674" s="458">
        <f t="shared" si="309"/>
        <v>0</v>
      </c>
      <c r="M674" s="449">
        <f t="shared" si="310"/>
        <v>0</v>
      </c>
      <c r="N674" s="459">
        <v>0</v>
      </c>
      <c r="O674" s="459"/>
      <c r="P674" s="459"/>
      <c r="Q674" s="459">
        <v>0</v>
      </c>
      <c r="R674" s="460">
        <f t="shared" si="311"/>
        <v>0</v>
      </c>
      <c r="S674" s="822"/>
      <c r="T674" s="461"/>
      <c r="U674" s="461"/>
      <c r="V674" s="461"/>
      <c r="W674" s="462">
        <f t="shared" si="312"/>
        <v>0</v>
      </c>
      <c r="X674" s="463"/>
      <c r="Y674" s="457"/>
      <c r="Z674" s="464"/>
      <c r="AA674" s="464"/>
      <c r="AB674" s="465"/>
      <c r="AC674" s="457"/>
      <c r="AD674" s="464"/>
      <c r="AE674" s="466"/>
      <c r="AF674" s="465"/>
      <c r="AG674" s="457"/>
      <c r="AH674" s="464"/>
      <c r="AI674" s="466"/>
      <c r="AJ674" s="465"/>
      <c r="AK674" s="457"/>
      <c r="AL674" s="464"/>
      <c r="AM674" s="466"/>
      <c r="AN674" s="465"/>
      <c r="AO674" s="457"/>
      <c r="AP674" s="464"/>
      <c r="AQ674" s="464"/>
      <c r="AR674" s="460">
        <f t="shared" si="313"/>
        <v>0</v>
      </c>
      <c r="AS674" s="467">
        <f t="shared" si="314"/>
        <v>0</v>
      </c>
      <c r="AT674" s="447">
        <f t="shared" si="315"/>
        <v>0</v>
      </c>
      <c r="AU674" s="448">
        <f t="shared" si="316"/>
        <v>0</v>
      </c>
      <c r="AV674" s="457">
        <v>0</v>
      </c>
      <c r="AW674" s="450"/>
      <c r="AX674" s="463"/>
      <c r="AY674" s="457"/>
      <c r="AZ674" s="464"/>
      <c r="BA674" s="464"/>
      <c r="BB674" s="465"/>
      <c r="BC674" s="457"/>
      <c r="BD674" s="464"/>
      <c r="BE674" s="466"/>
      <c r="BF674" s="465"/>
      <c r="BG674" s="457"/>
      <c r="BH674" s="464"/>
      <c r="BI674" s="466"/>
      <c r="BJ674" s="465"/>
      <c r="BK674" s="457"/>
      <c r="BL674" s="464"/>
      <c r="BM674" s="466"/>
      <c r="BN674" s="465"/>
      <c r="BO674" s="457"/>
      <c r="BP674" s="464"/>
      <c r="BQ674" s="466"/>
      <c r="BR674" s="465"/>
      <c r="BS674" s="457"/>
      <c r="BT674" s="464"/>
      <c r="BU674" s="466"/>
      <c r="BV674" s="465"/>
      <c r="BW674" s="457"/>
      <c r="BX674" s="464"/>
      <c r="BY674" s="466"/>
      <c r="BZ674" s="465"/>
      <c r="CA674" s="457"/>
      <c r="CB674" s="464"/>
      <c r="CC674" s="466"/>
      <c r="CD674" s="465"/>
      <c r="CE674" s="457"/>
      <c r="CF674" s="464"/>
      <c r="CG674" s="466"/>
      <c r="CH674" s="465"/>
      <c r="CI674" s="457"/>
      <c r="CJ674" s="464"/>
      <c r="CK674" s="466"/>
      <c r="CL674" s="459"/>
      <c r="CM674" s="450"/>
      <c r="CN674" s="468">
        <f t="shared" si="317"/>
        <v>0</v>
      </c>
      <c r="CO674" s="468">
        <f t="shared" si="318"/>
        <v>0</v>
      </c>
      <c r="CP674" s="469">
        <f t="shared" si="319"/>
        <v>0</v>
      </c>
      <c r="CQ674" s="469">
        <f t="shared" si="320"/>
        <v>0</v>
      </c>
      <c r="CR674" s="463"/>
      <c r="CS674" s="457"/>
      <c r="CT674" s="464"/>
      <c r="CU674" s="464"/>
      <c r="CV674" s="465"/>
      <c r="CW674" s="457"/>
      <c r="CX674" s="464"/>
      <c r="CY674" s="466"/>
      <c r="CZ674" s="465"/>
      <c r="DA674" s="457"/>
      <c r="DB674" s="464"/>
      <c r="DC674" s="466"/>
      <c r="DD674" s="465"/>
      <c r="DE674" s="457"/>
      <c r="DF674" s="464"/>
      <c r="DG674" s="466"/>
      <c r="DH674" s="465"/>
      <c r="DI674" s="457"/>
      <c r="DJ674" s="464"/>
      <c r="DK674" s="466"/>
      <c r="DL674" s="465"/>
      <c r="DM674" s="457"/>
      <c r="DN674" s="464"/>
      <c r="DO674" s="466"/>
      <c r="DP674" s="465"/>
      <c r="DQ674" s="457"/>
      <c r="DR674" s="464"/>
      <c r="DS674" s="466"/>
      <c r="DT674" s="465"/>
      <c r="DU674" s="457"/>
      <c r="DV674" s="464"/>
      <c r="DW674" s="466"/>
      <c r="DX674" s="465"/>
      <c r="DY674" s="457"/>
      <c r="DZ674" s="464"/>
      <c r="EA674" s="466"/>
      <c r="EB674" s="465"/>
      <c r="EC674" s="457"/>
      <c r="ED674" s="464"/>
      <c r="EE674" s="466"/>
      <c r="EF674" s="459"/>
      <c r="EG674" s="450"/>
      <c r="EH674" s="460">
        <f t="shared" si="321"/>
        <v>0</v>
      </c>
      <c r="EI674" s="460">
        <f t="shared" si="322"/>
        <v>0</v>
      </c>
      <c r="EJ674" s="458">
        <f t="shared" si="323"/>
        <v>0</v>
      </c>
      <c r="EK674" s="470">
        <f t="shared" si="324"/>
        <v>0</v>
      </c>
      <c r="EL674" s="470">
        <f t="shared" si="325"/>
        <v>0</v>
      </c>
      <c r="EM674" s="449">
        <f t="shared" si="326"/>
        <v>0</v>
      </c>
      <c r="EN674" s="460">
        <f t="shared" si="327"/>
        <v>0</v>
      </c>
      <c r="EO674" s="469">
        <f t="shared" si="328"/>
        <v>0</v>
      </c>
      <c r="EP674" s="471"/>
      <c r="EQ674" s="450"/>
      <c r="ER674" s="471"/>
      <c r="ES674" s="450"/>
      <c r="ET674" s="471"/>
      <c r="EU674" s="450"/>
      <c r="EV674" s="471"/>
      <c r="EW674" s="450"/>
      <c r="EX674" s="471"/>
      <c r="EY674" s="450"/>
      <c r="EZ674" s="471"/>
      <c r="FA674" s="450"/>
      <c r="FB674" s="471"/>
      <c r="FC674" s="450"/>
      <c r="FD674" s="471"/>
      <c r="FE674" s="450"/>
      <c r="FF674" s="471"/>
      <c r="FG674" s="450"/>
      <c r="FH674" s="472"/>
      <c r="FI674" s="450"/>
      <c r="FJ674" s="468">
        <f t="shared" si="329"/>
        <v>0</v>
      </c>
      <c r="FK674" s="469">
        <f t="shared" si="330"/>
        <v>0</v>
      </c>
      <c r="FL674" s="472"/>
      <c r="FM674" s="450"/>
      <c r="FN674" s="460">
        <f t="shared" si="331"/>
        <v>915</v>
      </c>
      <c r="FO674" s="469">
        <f t="shared" si="332"/>
        <v>1114</v>
      </c>
    </row>
    <row r="675" spans="1:171" ht="15.75" x14ac:dyDescent="0.25">
      <c r="A675" s="737" t="s">
        <v>1198</v>
      </c>
      <c r="B675" s="712" t="s">
        <v>1231</v>
      </c>
      <c r="C675" s="713"/>
      <c r="D675" s="717">
        <v>231873</v>
      </c>
      <c r="E675" s="821">
        <v>10</v>
      </c>
      <c r="F675" s="532">
        <v>424</v>
      </c>
      <c r="G675" s="796">
        <v>132</v>
      </c>
      <c r="H675" s="457"/>
      <c r="I675" s="450"/>
      <c r="J675" s="457">
        <v>561</v>
      </c>
      <c r="K675" s="797">
        <v>119</v>
      </c>
      <c r="L675" s="458">
        <f t="shared" si="309"/>
        <v>0</v>
      </c>
      <c r="M675" s="449">
        <f t="shared" si="310"/>
        <v>0</v>
      </c>
      <c r="N675" s="459">
        <v>0</v>
      </c>
      <c r="O675" s="459"/>
      <c r="P675" s="459"/>
      <c r="Q675" s="459">
        <v>0</v>
      </c>
      <c r="R675" s="460">
        <f t="shared" si="311"/>
        <v>0</v>
      </c>
      <c r="S675" s="822"/>
      <c r="T675" s="461"/>
      <c r="U675" s="461"/>
      <c r="V675" s="461"/>
      <c r="W675" s="462">
        <f t="shared" si="312"/>
        <v>0</v>
      </c>
      <c r="X675" s="463"/>
      <c r="Y675" s="457"/>
      <c r="Z675" s="464"/>
      <c r="AA675" s="464"/>
      <c r="AB675" s="465"/>
      <c r="AC675" s="457"/>
      <c r="AD675" s="464"/>
      <c r="AE675" s="466"/>
      <c r="AF675" s="465"/>
      <c r="AG675" s="457"/>
      <c r="AH675" s="464"/>
      <c r="AI675" s="466"/>
      <c r="AJ675" s="465"/>
      <c r="AK675" s="457"/>
      <c r="AL675" s="464"/>
      <c r="AM675" s="466"/>
      <c r="AN675" s="465"/>
      <c r="AO675" s="457"/>
      <c r="AP675" s="464"/>
      <c r="AQ675" s="464"/>
      <c r="AR675" s="460">
        <f t="shared" si="313"/>
        <v>0</v>
      </c>
      <c r="AS675" s="467">
        <f t="shared" si="314"/>
        <v>0</v>
      </c>
      <c r="AT675" s="447">
        <f t="shared" si="315"/>
        <v>0</v>
      </c>
      <c r="AU675" s="448">
        <f t="shared" si="316"/>
        <v>0</v>
      </c>
      <c r="AV675" s="457">
        <v>0</v>
      </c>
      <c r="AW675" s="450"/>
      <c r="AX675" s="463"/>
      <c r="AY675" s="457"/>
      <c r="AZ675" s="464"/>
      <c r="BA675" s="464"/>
      <c r="BB675" s="465"/>
      <c r="BC675" s="457"/>
      <c r="BD675" s="464"/>
      <c r="BE675" s="466"/>
      <c r="BF675" s="465"/>
      <c r="BG675" s="457"/>
      <c r="BH675" s="464"/>
      <c r="BI675" s="466"/>
      <c r="BJ675" s="465"/>
      <c r="BK675" s="457"/>
      <c r="BL675" s="464"/>
      <c r="BM675" s="466"/>
      <c r="BN675" s="465"/>
      <c r="BO675" s="457"/>
      <c r="BP675" s="464"/>
      <c r="BQ675" s="466"/>
      <c r="BR675" s="465"/>
      <c r="BS675" s="457"/>
      <c r="BT675" s="464"/>
      <c r="BU675" s="466"/>
      <c r="BV675" s="465"/>
      <c r="BW675" s="457"/>
      <c r="BX675" s="464"/>
      <c r="BY675" s="466"/>
      <c r="BZ675" s="465"/>
      <c r="CA675" s="457"/>
      <c r="CB675" s="464"/>
      <c r="CC675" s="466"/>
      <c r="CD675" s="465"/>
      <c r="CE675" s="457"/>
      <c r="CF675" s="464"/>
      <c r="CG675" s="466"/>
      <c r="CH675" s="465"/>
      <c r="CI675" s="457"/>
      <c r="CJ675" s="464"/>
      <c r="CK675" s="466"/>
      <c r="CL675" s="459"/>
      <c r="CM675" s="450"/>
      <c r="CN675" s="468">
        <f t="shared" si="317"/>
        <v>0</v>
      </c>
      <c r="CO675" s="468">
        <f t="shared" si="318"/>
        <v>0</v>
      </c>
      <c r="CP675" s="469">
        <f t="shared" si="319"/>
        <v>0</v>
      </c>
      <c r="CQ675" s="469">
        <f t="shared" si="320"/>
        <v>0</v>
      </c>
      <c r="CR675" s="463"/>
      <c r="CS675" s="457"/>
      <c r="CT675" s="464"/>
      <c r="CU675" s="464"/>
      <c r="CV675" s="465"/>
      <c r="CW675" s="457"/>
      <c r="CX675" s="464"/>
      <c r="CY675" s="466"/>
      <c r="CZ675" s="465"/>
      <c r="DA675" s="457"/>
      <c r="DB675" s="464"/>
      <c r="DC675" s="466"/>
      <c r="DD675" s="465"/>
      <c r="DE675" s="457"/>
      <c r="DF675" s="464"/>
      <c r="DG675" s="466"/>
      <c r="DH675" s="465"/>
      <c r="DI675" s="457"/>
      <c r="DJ675" s="464"/>
      <c r="DK675" s="466"/>
      <c r="DL675" s="465"/>
      <c r="DM675" s="457"/>
      <c r="DN675" s="464"/>
      <c r="DO675" s="466"/>
      <c r="DP675" s="465"/>
      <c r="DQ675" s="457"/>
      <c r="DR675" s="464"/>
      <c r="DS675" s="466"/>
      <c r="DT675" s="465"/>
      <c r="DU675" s="457"/>
      <c r="DV675" s="464"/>
      <c r="DW675" s="466"/>
      <c r="DX675" s="465"/>
      <c r="DY675" s="457"/>
      <c r="DZ675" s="464"/>
      <c r="EA675" s="466"/>
      <c r="EB675" s="465"/>
      <c r="EC675" s="457"/>
      <c r="ED675" s="464"/>
      <c r="EE675" s="466"/>
      <c r="EF675" s="459"/>
      <c r="EG675" s="450"/>
      <c r="EH675" s="460">
        <f t="shared" si="321"/>
        <v>0</v>
      </c>
      <c r="EI675" s="460">
        <f t="shared" si="322"/>
        <v>0</v>
      </c>
      <c r="EJ675" s="458">
        <f t="shared" si="323"/>
        <v>0</v>
      </c>
      <c r="EK675" s="470">
        <f t="shared" si="324"/>
        <v>0</v>
      </c>
      <c r="EL675" s="470">
        <f t="shared" si="325"/>
        <v>0</v>
      </c>
      <c r="EM675" s="449">
        <f t="shared" si="326"/>
        <v>0</v>
      </c>
      <c r="EN675" s="460">
        <f t="shared" si="327"/>
        <v>0</v>
      </c>
      <c r="EO675" s="469">
        <f t="shared" si="328"/>
        <v>0</v>
      </c>
      <c r="EP675" s="471"/>
      <c r="EQ675" s="450"/>
      <c r="ER675" s="471"/>
      <c r="ES675" s="450"/>
      <c r="ET675" s="471"/>
      <c r="EU675" s="450"/>
      <c r="EV675" s="471"/>
      <c r="EW675" s="450"/>
      <c r="EX675" s="471"/>
      <c r="EY675" s="450"/>
      <c r="EZ675" s="471"/>
      <c r="FA675" s="450"/>
      <c r="FB675" s="471"/>
      <c r="FC675" s="450"/>
      <c r="FD675" s="471"/>
      <c r="FE675" s="450"/>
      <c r="FF675" s="471"/>
      <c r="FG675" s="450"/>
      <c r="FH675" s="472"/>
      <c r="FI675" s="450"/>
      <c r="FJ675" s="468">
        <f t="shared" si="329"/>
        <v>0</v>
      </c>
      <c r="FK675" s="469">
        <f t="shared" si="330"/>
        <v>0</v>
      </c>
      <c r="FL675" s="472"/>
      <c r="FM675" s="450"/>
      <c r="FN675" s="460">
        <f t="shared" si="331"/>
        <v>985</v>
      </c>
      <c r="FO675" s="469">
        <f t="shared" si="332"/>
        <v>251</v>
      </c>
    </row>
    <row r="676" spans="1:171" ht="15.75" x14ac:dyDescent="0.25">
      <c r="A676" s="737" t="s">
        <v>1198</v>
      </c>
      <c r="B676" s="712" t="s">
        <v>1232</v>
      </c>
      <c r="C676" s="713"/>
      <c r="D676" s="717">
        <v>232052</v>
      </c>
      <c r="E676" s="821">
        <v>10</v>
      </c>
      <c r="F676" s="532">
        <v>140</v>
      </c>
      <c r="G676" s="796">
        <v>132</v>
      </c>
      <c r="H676" s="457"/>
      <c r="I676" s="450"/>
      <c r="J676" s="457">
        <v>88</v>
      </c>
      <c r="K676" s="797">
        <v>71</v>
      </c>
      <c r="L676" s="458">
        <f t="shared" si="309"/>
        <v>0</v>
      </c>
      <c r="M676" s="449">
        <f t="shared" si="310"/>
        <v>0</v>
      </c>
      <c r="N676" s="459">
        <v>0</v>
      </c>
      <c r="O676" s="459"/>
      <c r="P676" s="459"/>
      <c r="Q676" s="459">
        <v>0</v>
      </c>
      <c r="R676" s="460">
        <f t="shared" si="311"/>
        <v>0</v>
      </c>
      <c r="S676" s="822"/>
      <c r="T676" s="461"/>
      <c r="U676" s="461"/>
      <c r="V676" s="461"/>
      <c r="W676" s="462">
        <f t="shared" si="312"/>
        <v>0</v>
      </c>
      <c r="X676" s="463"/>
      <c r="Y676" s="457"/>
      <c r="Z676" s="464"/>
      <c r="AA676" s="464"/>
      <c r="AB676" s="465"/>
      <c r="AC676" s="457"/>
      <c r="AD676" s="464"/>
      <c r="AE676" s="466"/>
      <c r="AF676" s="465"/>
      <c r="AG676" s="457"/>
      <c r="AH676" s="464"/>
      <c r="AI676" s="466"/>
      <c r="AJ676" s="465"/>
      <c r="AK676" s="457"/>
      <c r="AL676" s="464"/>
      <c r="AM676" s="466"/>
      <c r="AN676" s="465"/>
      <c r="AO676" s="457"/>
      <c r="AP676" s="464"/>
      <c r="AQ676" s="464"/>
      <c r="AR676" s="460">
        <f t="shared" si="313"/>
        <v>0</v>
      </c>
      <c r="AS676" s="467">
        <f t="shared" si="314"/>
        <v>0</v>
      </c>
      <c r="AT676" s="447">
        <f t="shared" si="315"/>
        <v>0</v>
      </c>
      <c r="AU676" s="448">
        <f t="shared" si="316"/>
        <v>0</v>
      </c>
      <c r="AV676" s="457">
        <v>0</v>
      </c>
      <c r="AW676" s="450"/>
      <c r="AX676" s="463"/>
      <c r="AY676" s="457"/>
      <c r="AZ676" s="464"/>
      <c r="BA676" s="464"/>
      <c r="BB676" s="465"/>
      <c r="BC676" s="457"/>
      <c r="BD676" s="464"/>
      <c r="BE676" s="466"/>
      <c r="BF676" s="465"/>
      <c r="BG676" s="457"/>
      <c r="BH676" s="464"/>
      <c r="BI676" s="466"/>
      <c r="BJ676" s="465"/>
      <c r="BK676" s="457"/>
      <c r="BL676" s="464"/>
      <c r="BM676" s="466"/>
      <c r="BN676" s="465"/>
      <c r="BO676" s="457"/>
      <c r="BP676" s="464"/>
      <c r="BQ676" s="466"/>
      <c r="BR676" s="465"/>
      <c r="BS676" s="457"/>
      <c r="BT676" s="464"/>
      <c r="BU676" s="466"/>
      <c r="BV676" s="465"/>
      <c r="BW676" s="457"/>
      <c r="BX676" s="464"/>
      <c r="BY676" s="466"/>
      <c r="BZ676" s="465"/>
      <c r="CA676" s="457"/>
      <c r="CB676" s="464"/>
      <c r="CC676" s="466"/>
      <c r="CD676" s="465"/>
      <c r="CE676" s="457"/>
      <c r="CF676" s="464"/>
      <c r="CG676" s="466"/>
      <c r="CH676" s="465"/>
      <c r="CI676" s="457"/>
      <c r="CJ676" s="464"/>
      <c r="CK676" s="466"/>
      <c r="CL676" s="459"/>
      <c r="CM676" s="450"/>
      <c r="CN676" s="468">
        <f t="shared" si="317"/>
        <v>0</v>
      </c>
      <c r="CO676" s="468">
        <f t="shared" si="318"/>
        <v>0</v>
      </c>
      <c r="CP676" s="469">
        <f t="shared" si="319"/>
        <v>0</v>
      </c>
      <c r="CQ676" s="469">
        <f t="shared" si="320"/>
        <v>0</v>
      </c>
      <c r="CR676" s="463"/>
      <c r="CS676" s="457"/>
      <c r="CT676" s="464"/>
      <c r="CU676" s="464"/>
      <c r="CV676" s="465"/>
      <c r="CW676" s="457"/>
      <c r="CX676" s="464"/>
      <c r="CY676" s="466"/>
      <c r="CZ676" s="465"/>
      <c r="DA676" s="457"/>
      <c r="DB676" s="464"/>
      <c r="DC676" s="466"/>
      <c r="DD676" s="465"/>
      <c r="DE676" s="457"/>
      <c r="DF676" s="464"/>
      <c r="DG676" s="466"/>
      <c r="DH676" s="465"/>
      <c r="DI676" s="457"/>
      <c r="DJ676" s="464"/>
      <c r="DK676" s="466"/>
      <c r="DL676" s="465"/>
      <c r="DM676" s="457"/>
      <c r="DN676" s="464"/>
      <c r="DO676" s="466"/>
      <c r="DP676" s="465"/>
      <c r="DQ676" s="457"/>
      <c r="DR676" s="464"/>
      <c r="DS676" s="466"/>
      <c r="DT676" s="465"/>
      <c r="DU676" s="457"/>
      <c r="DV676" s="464"/>
      <c r="DW676" s="466"/>
      <c r="DX676" s="465"/>
      <c r="DY676" s="457"/>
      <c r="DZ676" s="464"/>
      <c r="EA676" s="466"/>
      <c r="EB676" s="465"/>
      <c r="EC676" s="457"/>
      <c r="ED676" s="464"/>
      <c r="EE676" s="466"/>
      <c r="EF676" s="459"/>
      <c r="EG676" s="450"/>
      <c r="EH676" s="460">
        <f t="shared" si="321"/>
        <v>0</v>
      </c>
      <c r="EI676" s="460">
        <f t="shared" si="322"/>
        <v>0</v>
      </c>
      <c r="EJ676" s="458">
        <f t="shared" si="323"/>
        <v>0</v>
      </c>
      <c r="EK676" s="470">
        <f t="shared" si="324"/>
        <v>0</v>
      </c>
      <c r="EL676" s="470">
        <f t="shared" si="325"/>
        <v>0</v>
      </c>
      <c r="EM676" s="449">
        <f t="shared" si="326"/>
        <v>0</v>
      </c>
      <c r="EN676" s="460">
        <f t="shared" si="327"/>
        <v>0</v>
      </c>
      <c r="EO676" s="469">
        <f t="shared" si="328"/>
        <v>0</v>
      </c>
      <c r="EP676" s="471"/>
      <c r="EQ676" s="450"/>
      <c r="ER676" s="471"/>
      <c r="ES676" s="450"/>
      <c r="ET676" s="471"/>
      <c r="EU676" s="450"/>
      <c r="EV676" s="471"/>
      <c r="EW676" s="450"/>
      <c r="EX676" s="471"/>
      <c r="EY676" s="450"/>
      <c r="EZ676" s="471"/>
      <c r="FA676" s="450"/>
      <c r="FB676" s="471"/>
      <c r="FC676" s="450"/>
      <c r="FD676" s="471"/>
      <c r="FE676" s="450"/>
      <c r="FF676" s="471"/>
      <c r="FG676" s="450"/>
      <c r="FH676" s="472"/>
      <c r="FI676" s="450"/>
      <c r="FJ676" s="468">
        <f t="shared" si="329"/>
        <v>0</v>
      </c>
      <c r="FK676" s="469">
        <f t="shared" si="330"/>
        <v>0</v>
      </c>
      <c r="FL676" s="472"/>
      <c r="FM676" s="450"/>
      <c r="FN676" s="460">
        <f t="shared" si="331"/>
        <v>228</v>
      </c>
      <c r="FO676" s="469">
        <f t="shared" si="332"/>
        <v>203</v>
      </c>
    </row>
    <row r="677" spans="1:171" ht="15.75" x14ac:dyDescent="0.25">
      <c r="A677" s="737" t="s">
        <v>1198</v>
      </c>
      <c r="B677" s="712" t="s">
        <v>1234</v>
      </c>
      <c r="C677" s="713"/>
      <c r="D677" s="717">
        <v>233037</v>
      </c>
      <c r="E677" s="821">
        <v>10</v>
      </c>
      <c r="F677" s="532">
        <v>89</v>
      </c>
      <c r="G677" s="796">
        <v>154</v>
      </c>
      <c r="H677" s="457"/>
      <c r="I677" s="450"/>
      <c r="J677" s="457">
        <v>137</v>
      </c>
      <c r="K677" s="797">
        <v>152</v>
      </c>
      <c r="L677" s="458">
        <f t="shared" si="309"/>
        <v>0</v>
      </c>
      <c r="M677" s="449">
        <f t="shared" si="310"/>
        <v>0</v>
      </c>
      <c r="N677" s="459">
        <v>0</v>
      </c>
      <c r="O677" s="459"/>
      <c r="P677" s="459"/>
      <c r="Q677" s="459">
        <v>0</v>
      </c>
      <c r="R677" s="460">
        <f t="shared" si="311"/>
        <v>0</v>
      </c>
      <c r="S677" s="822"/>
      <c r="T677" s="461"/>
      <c r="U677" s="461"/>
      <c r="V677" s="461"/>
      <c r="W677" s="462">
        <f t="shared" si="312"/>
        <v>0</v>
      </c>
      <c r="X677" s="463"/>
      <c r="Y677" s="457"/>
      <c r="Z677" s="464"/>
      <c r="AA677" s="464"/>
      <c r="AB677" s="465"/>
      <c r="AC677" s="457"/>
      <c r="AD677" s="464"/>
      <c r="AE677" s="466"/>
      <c r="AF677" s="465"/>
      <c r="AG677" s="457"/>
      <c r="AH677" s="464"/>
      <c r="AI677" s="466"/>
      <c r="AJ677" s="465"/>
      <c r="AK677" s="457"/>
      <c r="AL677" s="464"/>
      <c r="AM677" s="466"/>
      <c r="AN677" s="465"/>
      <c r="AO677" s="457"/>
      <c r="AP677" s="464"/>
      <c r="AQ677" s="464"/>
      <c r="AR677" s="460">
        <f t="shared" si="313"/>
        <v>0</v>
      </c>
      <c r="AS677" s="467">
        <f t="shared" si="314"/>
        <v>0</v>
      </c>
      <c r="AT677" s="447">
        <f t="shared" si="315"/>
        <v>0</v>
      </c>
      <c r="AU677" s="448">
        <f t="shared" si="316"/>
        <v>0</v>
      </c>
      <c r="AV677" s="457">
        <v>0</v>
      </c>
      <c r="AW677" s="450"/>
      <c r="AX677" s="463"/>
      <c r="AY677" s="457"/>
      <c r="AZ677" s="464"/>
      <c r="BA677" s="464"/>
      <c r="BB677" s="465"/>
      <c r="BC677" s="457"/>
      <c r="BD677" s="464"/>
      <c r="BE677" s="466"/>
      <c r="BF677" s="465"/>
      <c r="BG677" s="457"/>
      <c r="BH677" s="464"/>
      <c r="BI677" s="466"/>
      <c r="BJ677" s="465"/>
      <c r="BK677" s="457"/>
      <c r="BL677" s="464"/>
      <c r="BM677" s="466"/>
      <c r="BN677" s="465"/>
      <c r="BO677" s="457"/>
      <c r="BP677" s="464"/>
      <c r="BQ677" s="466"/>
      <c r="BR677" s="465"/>
      <c r="BS677" s="457"/>
      <c r="BT677" s="464"/>
      <c r="BU677" s="466"/>
      <c r="BV677" s="465"/>
      <c r="BW677" s="457"/>
      <c r="BX677" s="464"/>
      <c r="BY677" s="466"/>
      <c r="BZ677" s="465"/>
      <c r="CA677" s="457"/>
      <c r="CB677" s="464"/>
      <c r="CC677" s="466"/>
      <c r="CD677" s="465"/>
      <c r="CE677" s="457"/>
      <c r="CF677" s="464"/>
      <c r="CG677" s="466"/>
      <c r="CH677" s="465"/>
      <c r="CI677" s="457"/>
      <c r="CJ677" s="464"/>
      <c r="CK677" s="466"/>
      <c r="CL677" s="459"/>
      <c r="CM677" s="450"/>
      <c r="CN677" s="468">
        <f t="shared" si="317"/>
        <v>0</v>
      </c>
      <c r="CO677" s="468">
        <f t="shared" si="318"/>
        <v>0</v>
      </c>
      <c r="CP677" s="469">
        <f t="shared" si="319"/>
        <v>0</v>
      </c>
      <c r="CQ677" s="469">
        <f t="shared" si="320"/>
        <v>0</v>
      </c>
      <c r="CR677" s="463"/>
      <c r="CS677" s="457"/>
      <c r="CT677" s="464"/>
      <c r="CU677" s="464"/>
      <c r="CV677" s="465"/>
      <c r="CW677" s="457"/>
      <c r="CX677" s="464"/>
      <c r="CY677" s="466"/>
      <c r="CZ677" s="465"/>
      <c r="DA677" s="457"/>
      <c r="DB677" s="464"/>
      <c r="DC677" s="466"/>
      <c r="DD677" s="465"/>
      <c r="DE677" s="457"/>
      <c r="DF677" s="464"/>
      <c r="DG677" s="466"/>
      <c r="DH677" s="465"/>
      <c r="DI677" s="457"/>
      <c r="DJ677" s="464"/>
      <c r="DK677" s="466"/>
      <c r="DL677" s="465"/>
      <c r="DM677" s="457"/>
      <c r="DN677" s="464"/>
      <c r="DO677" s="466"/>
      <c r="DP677" s="465"/>
      <c r="DQ677" s="457"/>
      <c r="DR677" s="464"/>
      <c r="DS677" s="466"/>
      <c r="DT677" s="465"/>
      <c r="DU677" s="457"/>
      <c r="DV677" s="464"/>
      <c r="DW677" s="466"/>
      <c r="DX677" s="465"/>
      <c r="DY677" s="457"/>
      <c r="DZ677" s="464"/>
      <c r="EA677" s="466"/>
      <c r="EB677" s="465"/>
      <c r="EC677" s="457"/>
      <c r="ED677" s="464"/>
      <c r="EE677" s="466"/>
      <c r="EF677" s="459"/>
      <c r="EG677" s="450"/>
      <c r="EH677" s="460">
        <f t="shared" si="321"/>
        <v>0</v>
      </c>
      <c r="EI677" s="460">
        <f t="shared" si="322"/>
        <v>0</v>
      </c>
      <c r="EJ677" s="458">
        <f t="shared" si="323"/>
        <v>0</v>
      </c>
      <c r="EK677" s="470">
        <f t="shared" si="324"/>
        <v>0</v>
      </c>
      <c r="EL677" s="470">
        <f t="shared" si="325"/>
        <v>0</v>
      </c>
      <c r="EM677" s="449">
        <f t="shared" si="326"/>
        <v>0</v>
      </c>
      <c r="EN677" s="460">
        <f t="shared" si="327"/>
        <v>0</v>
      </c>
      <c r="EO677" s="469">
        <f t="shared" si="328"/>
        <v>0</v>
      </c>
      <c r="EP677" s="471"/>
      <c r="EQ677" s="450"/>
      <c r="ER677" s="471"/>
      <c r="ES677" s="450"/>
      <c r="ET677" s="471"/>
      <c r="EU677" s="450"/>
      <c r="EV677" s="471"/>
      <c r="EW677" s="450"/>
      <c r="EX677" s="471"/>
      <c r="EY677" s="450"/>
      <c r="EZ677" s="471"/>
      <c r="FA677" s="450"/>
      <c r="FB677" s="471"/>
      <c r="FC677" s="450"/>
      <c r="FD677" s="471"/>
      <c r="FE677" s="450"/>
      <c r="FF677" s="471"/>
      <c r="FG677" s="450"/>
      <c r="FH677" s="472"/>
      <c r="FI677" s="450"/>
      <c r="FJ677" s="468">
        <f t="shared" si="329"/>
        <v>0</v>
      </c>
      <c r="FK677" s="469">
        <f t="shared" si="330"/>
        <v>0</v>
      </c>
      <c r="FL677" s="472"/>
      <c r="FM677" s="450"/>
      <c r="FN677" s="460">
        <f t="shared" si="331"/>
        <v>226</v>
      </c>
      <c r="FO677" s="469">
        <f t="shared" si="332"/>
        <v>306</v>
      </c>
    </row>
    <row r="678" spans="1:171" ht="15.75" x14ac:dyDescent="0.25">
      <c r="A678" s="737" t="s">
        <v>1198</v>
      </c>
      <c r="B678" s="712" t="s">
        <v>1235</v>
      </c>
      <c r="C678" s="713" t="s">
        <v>643</v>
      </c>
      <c r="D678" s="717">
        <v>233310</v>
      </c>
      <c r="E678" s="821">
        <v>10</v>
      </c>
      <c r="F678" s="532">
        <v>341</v>
      </c>
      <c r="G678" s="796">
        <v>362</v>
      </c>
      <c r="H678" s="457"/>
      <c r="I678" s="450"/>
      <c r="J678" s="457">
        <v>197</v>
      </c>
      <c r="K678" s="797">
        <v>211</v>
      </c>
      <c r="L678" s="458">
        <f t="shared" si="309"/>
        <v>0</v>
      </c>
      <c r="M678" s="449">
        <f t="shared" si="310"/>
        <v>0</v>
      </c>
      <c r="N678" s="459">
        <v>0</v>
      </c>
      <c r="O678" s="459"/>
      <c r="P678" s="459"/>
      <c r="Q678" s="459">
        <v>0</v>
      </c>
      <c r="R678" s="460">
        <f t="shared" si="311"/>
        <v>0</v>
      </c>
      <c r="S678" s="822"/>
      <c r="T678" s="461"/>
      <c r="U678" s="461"/>
      <c r="V678" s="461"/>
      <c r="W678" s="462">
        <f t="shared" si="312"/>
        <v>0</v>
      </c>
      <c r="X678" s="463"/>
      <c r="Y678" s="457"/>
      <c r="Z678" s="464"/>
      <c r="AA678" s="464"/>
      <c r="AB678" s="465"/>
      <c r="AC678" s="457"/>
      <c r="AD678" s="464"/>
      <c r="AE678" s="466"/>
      <c r="AF678" s="465"/>
      <c r="AG678" s="457"/>
      <c r="AH678" s="464"/>
      <c r="AI678" s="466"/>
      <c r="AJ678" s="465"/>
      <c r="AK678" s="457"/>
      <c r="AL678" s="464"/>
      <c r="AM678" s="466"/>
      <c r="AN678" s="465"/>
      <c r="AO678" s="457"/>
      <c r="AP678" s="464"/>
      <c r="AQ678" s="464"/>
      <c r="AR678" s="460">
        <f t="shared" si="313"/>
        <v>0</v>
      </c>
      <c r="AS678" s="467">
        <f t="shared" si="314"/>
        <v>0</v>
      </c>
      <c r="AT678" s="447">
        <f t="shared" si="315"/>
        <v>0</v>
      </c>
      <c r="AU678" s="448">
        <f t="shared" si="316"/>
        <v>0</v>
      </c>
      <c r="AV678" s="457">
        <v>0</v>
      </c>
      <c r="AW678" s="450"/>
      <c r="AX678" s="463"/>
      <c r="AY678" s="457"/>
      <c r="AZ678" s="464"/>
      <c r="BA678" s="464"/>
      <c r="BB678" s="465"/>
      <c r="BC678" s="457"/>
      <c r="BD678" s="464"/>
      <c r="BE678" s="466"/>
      <c r="BF678" s="465"/>
      <c r="BG678" s="457"/>
      <c r="BH678" s="464"/>
      <c r="BI678" s="466"/>
      <c r="BJ678" s="465"/>
      <c r="BK678" s="457"/>
      <c r="BL678" s="464"/>
      <c r="BM678" s="466"/>
      <c r="BN678" s="465"/>
      <c r="BO678" s="457"/>
      <c r="BP678" s="464"/>
      <c r="BQ678" s="466"/>
      <c r="BR678" s="465"/>
      <c r="BS678" s="457"/>
      <c r="BT678" s="464"/>
      <c r="BU678" s="466"/>
      <c r="BV678" s="465"/>
      <c r="BW678" s="457"/>
      <c r="BX678" s="464"/>
      <c r="BY678" s="466"/>
      <c r="BZ678" s="465"/>
      <c r="CA678" s="457"/>
      <c r="CB678" s="464"/>
      <c r="CC678" s="466"/>
      <c r="CD678" s="465"/>
      <c r="CE678" s="457"/>
      <c r="CF678" s="464"/>
      <c r="CG678" s="466"/>
      <c r="CH678" s="465"/>
      <c r="CI678" s="457"/>
      <c r="CJ678" s="464"/>
      <c r="CK678" s="466"/>
      <c r="CL678" s="459"/>
      <c r="CM678" s="450"/>
      <c r="CN678" s="468">
        <f t="shared" si="317"/>
        <v>0</v>
      </c>
      <c r="CO678" s="468">
        <f t="shared" si="318"/>
        <v>0</v>
      </c>
      <c r="CP678" s="469">
        <f t="shared" si="319"/>
        <v>0</v>
      </c>
      <c r="CQ678" s="469">
        <f t="shared" si="320"/>
        <v>0</v>
      </c>
      <c r="CR678" s="463"/>
      <c r="CS678" s="457"/>
      <c r="CT678" s="464"/>
      <c r="CU678" s="464"/>
      <c r="CV678" s="465"/>
      <c r="CW678" s="457"/>
      <c r="CX678" s="464"/>
      <c r="CY678" s="466"/>
      <c r="CZ678" s="465"/>
      <c r="DA678" s="457"/>
      <c r="DB678" s="464"/>
      <c r="DC678" s="466"/>
      <c r="DD678" s="465"/>
      <c r="DE678" s="457"/>
      <c r="DF678" s="464"/>
      <c r="DG678" s="466"/>
      <c r="DH678" s="465"/>
      <c r="DI678" s="457"/>
      <c r="DJ678" s="464"/>
      <c r="DK678" s="466"/>
      <c r="DL678" s="465"/>
      <c r="DM678" s="457"/>
      <c r="DN678" s="464"/>
      <c r="DO678" s="466"/>
      <c r="DP678" s="465"/>
      <c r="DQ678" s="457"/>
      <c r="DR678" s="464"/>
      <c r="DS678" s="466"/>
      <c r="DT678" s="465"/>
      <c r="DU678" s="457"/>
      <c r="DV678" s="464"/>
      <c r="DW678" s="466"/>
      <c r="DX678" s="465"/>
      <c r="DY678" s="457"/>
      <c r="DZ678" s="464"/>
      <c r="EA678" s="466"/>
      <c r="EB678" s="465"/>
      <c r="EC678" s="457"/>
      <c r="ED678" s="464"/>
      <c r="EE678" s="466"/>
      <c r="EF678" s="459"/>
      <c r="EG678" s="450"/>
      <c r="EH678" s="460">
        <f t="shared" si="321"/>
        <v>0</v>
      </c>
      <c r="EI678" s="460">
        <f t="shared" si="322"/>
        <v>0</v>
      </c>
      <c r="EJ678" s="458">
        <f t="shared" si="323"/>
        <v>0</v>
      </c>
      <c r="EK678" s="470">
        <f t="shared" si="324"/>
        <v>0</v>
      </c>
      <c r="EL678" s="470">
        <f t="shared" si="325"/>
        <v>0</v>
      </c>
      <c r="EM678" s="449">
        <f t="shared" si="326"/>
        <v>0</v>
      </c>
      <c r="EN678" s="460">
        <f t="shared" si="327"/>
        <v>0</v>
      </c>
      <c r="EO678" s="469">
        <f t="shared" si="328"/>
        <v>0</v>
      </c>
      <c r="EP678" s="471"/>
      <c r="EQ678" s="450"/>
      <c r="ER678" s="471"/>
      <c r="ES678" s="450"/>
      <c r="ET678" s="471"/>
      <c r="EU678" s="450"/>
      <c r="EV678" s="471"/>
      <c r="EW678" s="450"/>
      <c r="EX678" s="471"/>
      <c r="EY678" s="450"/>
      <c r="EZ678" s="471"/>
      <c r="FA678" s="450"/>
      <c r="FB678" s="471"/>
      <c r="FC678" s="450"/>
      <c r="FD678" s="471"/>
      <c r="FE678" s="450"/>
      <c r="FF678" s="471"/>
      <c r="FG678" s="450"/>
      <c r="FH678" s="472"/>
      <c r="FI678" s="450"/>
      <c r="FJ678" s="468">
        <f t="shared" si="329"/>
        <v>0</v>
      </c>
      <c r="FK678" s="469">
        <f t="shared" si="330"/>
        <v>0</v>
      </c>
      <c r="FL678" s="472"/>
      <c r="FM678" s="450"/>
      <c r="FN678" s="460">
        <f t="shared" si="331"/>
        <v>538</v>
      </c>
      <c r="FO678" s="469">
        <f t="shared" si="332"/>
        <v>573</v>
      </c>
    </row>
    <row r="679" spans="1:171" ht="15.75" x14ac:dyDescent="0.25">
      <c r="A679" s="737" t="s">
        <v>1198</v>
      </c>
      <c r="B679" s="712" t="s">
        <v>1236</v>
      </c>
      <c r="C679" s="713"/>
      <c r="D679" s="717">
        <v>233338</v>
      </c>
      <c r="E679" s="821">
        <v>10</v>
      </c>
      <c r="F679" s="532">
        <v>0</v>
      </c>
      <c r="G679" s="796">
        <v>0</v>
      </c>
      <c r="H679" s="457"/>
      <c r="I679" s="450"/>
      <c r="J679" s="457">
        <v>211</v>
      </c>
      <c r="K679" s="797">
        <v>224</v>
      </c>
      <c r="L679" s="458">
        <f t="shared" si="309"/>
        <v>0</v>
      </c>
      <c r="M679" s="449">
        <f t="shared" si="310"/>
        <v>0</v>
      </c>
      <c r="N679" s="459">
        <v>0</v>
      </c>
      <c r="O679" s="459"/>
      <c r="P679" s="459"/>
      <c r="Q679" s="459">
        <v>0</v>
      </c>
      <c r="R679" s="460">
        <f t="shared" si="311"/>
        <v>0</v>
      </c>
      <c r="S679" s="822"/>
      <c r="T679" s="461"/>
      <c r="U679" s="461"/>
      <c r="V679" s="461"/>
      <c r="W679" s="462">
        <f t="shared" si="312"/>
        <v>0</v>
      </c>
      <c r="X679" s="463"/>
      <c r="Y679" s="457"/>
      <c r="Z679" s="464"/>
      <c r="AA679" s="464"/>
      <c r="AB679" s="465"/>
      <c r="AC679" s="457"/>
      <c r="AD679" s="464"/>
      <c r="AE679" s="466"/>
      <c r="AF679" s="465"/>
      <c r="AG679" s="457"/>
      <c r="AH679" s="464"/>
      <c r="AI679" s="466"/>
      <c r="AJ679" s="465"/>
      <c r="AK679" s="457"/>
      <c r="AL679" s="464"/>
      <c r="AM679" s="466"/>
      <c r="AN679" s="465"/>
      <c r="AO679" s="457"/>
      <c r="AP679" s="464"/>
      <c r="AQ679" s="464"/>
      <c r="AR679" s="460">
        <f t="shared" si="313"/>
        <v>0</v>
      </c>
      <c r="AS679" s="467">
        <f t="shared" si="314"/>
        <v>0</v>
      </c>
      <c r="AT679" s="447">
        <f t="shared" si="315"/>
        <v>0</v>
      </c>
      <c r="AU679" s="448">
        <f t="shared" si="316"/>
        <v>0</v>
      </c>
      <c r="AV679" s="457">
        <v>0</v>
      </c>
      <c r="AW679" s="450"/>
      <c r="AX679" s="463"/>
      <c r="AY679" s="457"/>
      <c r="AZ679" s="464"/>
      <c r="BA679" s="464"/>
      <c r="BB679" s="465"/>
      <c r="BC679" s="457"/>
      <c r="BD679" s="464"/>
      <c r="BE679" s="466"/>
      <c r="BF679" s="465"/>
      <c r="BG679" s="457"/>
      <c r="BH679" s="464"/>
      <c r="BI679" s="466"/>
      <c r="BJ679" s="465"/>
      <c r="BK679" s="457"/>
      <c r="BL679" s="464"/>
      <c r="BM679" s="466"/>
      <c r="BN679" s="465"/>
      <c r="BO679" s="457"/>
      <c r="BP679" s="464"/>
      <c r="BQ679" s="466"/>
      <c r="BR679" s="465"/>
      <c r="BS679" s="457"/>
      <c r="BT679" s="464"/>
      <c r="BU679" s="466"/>
      <c r="BV679" s="465"/>
      <c r="BW679" s="457"/>
      <c r="BX679" s="464"/>
      <c r="BY679" s="466"/>
      <c r="BZ679" s="465"/>
      <c r="CA679" s="457"/>
      <c r="CB679" s="464"/>
      <c r="CC679" s="466"/>
      <c r="CD679" s="465"/>
      <c r="CE679" s="457"/>
      <c r="CF679" s="464"/>
      <c r="CG679" s="466"/>
      <c r="CH679" s="465"/>
      <c r="CI679" s="457"/>
      <c r="CJ679" s="464"/>
      <c r="CK679" s="466"/>
      <c r="CL679" s="459"/>
      <c r="CM679" s="450"/>
      <c r="CN679" s="468">
        <f t="shared" si="317"/>
        <v>0</v>
      </c>
      <c r="CO679" s="468">
        <f t="shared" si="318"/>
        <v>0</v>
      </c>
      <c r="CP679" s="469">
        <f t="shared" si="319"/>
        <v>0</v>
      </c>
      <c r="CQ679" s="469">
        <f t="shared" si="320"/>
        <v>0</v>
      </c>
      <c r="CR679" s="463"/>
      <c r="CS679" s="457"/>
      <c r="CT679" s="464"/>
      <c r="CU679" s="464"/>
      <c r="CV679" s="465"/>
      <c r="CW679" s="457"/>
      <c r="CX679" s="464"/>
      <c r="CY679" s="466"/>
      <c r="CZ679" s="465"/>
      <c r="DA679" s="457"/>
      <c r="DB679" s="464"/>
      <c r="DC679" s="466"/>
      <c r="DD679" s="465"/>
      <c r="DE679" s="457"/>
      <c r="DF679" s="464"/>
      <c r="DG679" s="466"/>
      <c r="DH679" s="465"/>
      <c r="DI679" s="457"/>
      <c r="DJ679" s="464"/>
      <c r="DK679" s="466"/>
      <c r="DL679" s="465"/>
      <c r="DM679" s="457"/>
      <c r="DN679" s="464"/>
      <c r="DO679" s="466"/>
      <c r="DP679" s="465"/>
      <c r="DQ679" s="457"/>
      <c r="DR679" s="464"/>
      <c r="DS679" s="466"/>
      <c r="DT679" s="465"/>
      <c r="DU679" s="457"/>
      <c r="DV679" s="464"/>
      <c r="DW679" s="466"/>
      <c r="DX679" s="465"/>
      <c r="DY679" s="457"/>
      <c r="DZ679" s="464"/>
      <c r="EA679" s="466"/>
      <c r="EB679" s="465"/>
      <c r="EC679" s="457"/>
      <c r="ED679" s="464"/>
      <c r="EE679" s="466"/>
      <c r="EF679" s="459"/>
      <c r="EG679" s="450"/>
      <c r="EH679" s="460">
        <f t="shared" si="321"/>
        <v>0</v>
      </c>
      <c r="EI679" s="460">
        <f t="shared" si="322"/>
        <v>0</v>
      </c>
      <c r="EJ679" s="458">
        <f t="shared" si="323"/>
        <v>0</v>
      </c>
      <c r="EK679" s="470">
        <f t="shared" si="324"/>
        <v>0</v>
      </c>
      <c r="EL679" s="470">
        <f t="shared" si="325"/>
        <v>0</v>
      </c>
      <c r="EM679" s="449">
        <f t="shared" si="326"/>
        <v>0</v>
      </c>
      <c r="EN679" s="460">
        <f t="shared" si="327"/>
        <v>0</v>
      </c>
      <c r="EO679" s="469">
        <f t="shared" si="328"/>
        <v>0</v>
      </c>
      <c r="EP679" s="471"/>
      <c r="EQ679" s="450"/>
      <c r="ER679" s="471"/>
      <c r="ES679" s="450"/>
      <c r="ET679" s="471"/>
      <c r="EU679" s="450"/>
      <c r="EV679" s="471"/>
      <c r="EW679" s="450"/>
      <c r="EX679" s="471"/>
      <c r="EY679" s="450"/>
      <c r="EZ679" s="471"/>
      <c r="FA679" s="450"/>
      <c r="FB679" s="471"/>
      <c r="FC679" s="450"/>
      <c r="FD679" s="471"/>
      <c r="FE679" s="450"/>
      <c r="FF679" s="471"/>
      <c r="FG679" s="450"/>
      <c r="FH679" s="472"/>
      <c r="FI679" s="450"/>
      <c r="FJ679" s="468">
        <f t="shared" si="329"/>
        <v>0</v>
      </c>
      <c r="FK679" s="469">
        <f t="shared" si="330"/>
        <v>0</v>
      </c>
      <c r="FL679" s="472"/>
      <c r="FM679" s="450"/>
      <c r="FN679" s="460">
        <f t="shared" si="331"/>
        <v>211</v>
      </c>
      <c r="FO679" s="469">
        <f t="shared" si="332"/>
        <v>224</v>
      </c>
    </row>
    <row r="680" spans="1:171" ht="15.75" x14ac:dyDescent="0.25">
      <c r="A680" s="737" t="s">
        <v>1198</v>
      </c>
      <c r="B680" s="712" t="s">
        <v>1237</v>
      </c>
      <c r="C680" s="713"/>
      <c r="D680" s="717">
        <v>233903</v>
      </c>
      <c r="E680" s="821">
        <v>10</v>
      </c>
      <c r="F680" s="532">
        <v>281</v>
      </c>
      <c r="G680" s="796">
        <v>425</v>
      </c>
      <c r="H680" s="457"/>
      <c r="I680" s="450"/>
      <c r="J680" s="457">
        <v>231</v>
      </c>
      <c r="K680" s="797">
        <v>279</v>
      </c>
      <c r="L680" s="458">
        <f t="shared" si="309"/>
        <v>0</v>
      </c>
      <c r="M680" s="449">
        <f t="shared" si="310"/>
        <v>0</v>
      </c>
      <c r="N680" s="459">
        <v>0</v>
      </c>
      <c r="O680" s="459"/>
      <c r="P680" s="459"/>
      <c r="Q680" s="459">
        <v>0</v>
      </c>
      <c r="R680" s="460">
        <f t="shared" si="311"/>
        <v>0</v>
      </c>
      <c r="S680" s="822"/>
      <c r="T680" s="461"/>
      <c r="U680" s="461"/>
      <c r="V680" s="461"/>
      <c r="W680" s="462">
        <f t="shared" si="312"/>
        <v>0</v>
      </c>
      <c r="X680" s="463"/>
      <c r="Y680" s="457"/>
      <c r="Z680" s="464"/>
      <c r="AA680" s="464"/>
      <c r="AB680" s="465"/>
      <c r="AC680" s="457"/>
      <c r="AD680" s="464"/>
      <c r="AE680" s="466"/>
      <c r="AF680" s="465"/>
      <c r="AG680" s="457"/>
      <c r="AH680" s="464"/>
      <c r="AI680" s="466"/>
      <c r="AJ680" s="465"/>
      <c r="AK680" s="457"/>
      <c r="AL680" s="464"/>
      <c r="AM680" s="466"/>
      <c r="AN680" s="465"/>
      <c r="AO680" s="457"/>
      <c r="AP680" s="464"/>
      <c r="AQ680" s="464"/>
      <c r="AR680" s="460">
        <f t="shared" si="313"/>
        <v>0</v>
      </c>
      <c r="AS680" s="467">
        <f t="shared" si="314"/>
        <v>0</v>
      </c>
      <c r="AT680" s="447">
        <f t="shared" si="315"/>
        <v>0</v>
      </c>
      <c r="AU680" s="448">
        <f t="shared" si="316"/>
        <v>0</v>
      </c>
      <c r="AV680" s="457">
        <v>0</v>
      </c>
      <c r="AW680" s="450"/>
      <c r="AX680" s="463"/>
      <c r="AY680" s="457"/>
      <c r="AZ680" s="464"/>
      <c r="BA680" s="464"/>
      <c r="BB680" s="465"/>
      <c r="BC680" s="457"/>
      <c r="BD680" s="464"/>
      <c r="BE680" s="466"/>
      <c r="BF680" s="465"/>
      <c r="BG680" s="457"/>
      <c r="BH680" s="464"/>
      <c r="BI680" s="466"/>
      <c r="BJ680" s="465"/>
      <c r="BK680" s="457"/>
      <c r="BL680" s="464"/>
      <c r="BM680" s="466"/>
      <c r="BN680" s="465"/>
      <c r="BO680" s="457"/>
      <c r="BP680" s="464"/>
      <c r="BQ680" s="466"/>
      <c r="BR680" s="465"/>
      <c r="BS680" s="457"/>
      <c r="BT680" s="464"/>
      <c r="BU680" s="466"/>
      <c r="BV680" s="465"/>
      <c r="BW680" s="457"/>
      <c r="BX680" s="464"/>
      <c r="BY680" s="466"/>
      <c r="BZ680" s="465"/>
      <c r="CA680" s="457"/>
      <c r="CB680" s="464"/>
      <c r="CC680" s="466"/>
      <c r="CD680" s="465"/>
      <c r="CE680" s="457"/>
      <c r="CF680" s="464"/>
      <c r="CG680" s="466"/>
      <c r="CH680" s="465"/>
      <c r="CI680" s="457"/>
      <c r="CJ680" s="464"/>
      <c r="CK680" s="466"/>
      <c r="CL680" s="459"/>
      <c r="CM680" s="450"/>
      <c r="CN680" s="468">
        <f t="shared" si="317"/>
        <v>0</v>
      </c>
      <c r="CO680" s="468">
        <f t="shared" si="318"/>
        <v>0</v>
      </c>
      <c r="CP680" s="469">
        <f t="shared" si="319"/>
        <v>0</v>
      </c>
      <c r="CQ680" s="469">
        <f t="shared" si="320"/>
        <v>0</v>
      </c>
      <c r="CR680" s="463"/>
      <c r="CS680" s="457"/>
      <c r="CT680" s="464"/>
      <c r="CU680" s="464"/>
      <c r="CV680" s="465"/>
      <c r="CW680" s="457"/>
      <c r="CX680" s="464"/>
      <c r="CY680" s="466"/>
      <c r="CZ680" s="465"/>
      <c r="DA680" s="457"/>
      <c r="DB680" s="464"/>
      <c r="DC680" s="466"/>
      <c r="DD680" s="465"/>
      <c r="DE680" s="457"/>
      <c r="DF680" s="464"/>
      <c r="DG680" s="466"/>
      <c r="DH680" s="465"/>
      <c r="DI680" s="457"/>
      <c r="DJ680" s="464"/>
      <c r="DK680" s="466"/>
      <c r="DL680" s="465"/>
      <c r="DM680" s="457"/>
      <c r="DN680" s="464"/>
      <c r="DO680" s="466"/>
      <c r="DP680" s="465"/>
      <c r="DQ680" s="457"/>
      <c r="DR680" s="464"/>
      <c r="DS680" s="466"/>
      <c r="DT680" s="465"/>
      <c r="DU680" s="457"/>
      <c r="DV680" s="464"/>
      <c r="DW680" s="466"/>
      <c r="DX680" s="465"/>
      <c r="DY680" s="457"/>
      <c r="DZ680" s="464"/>
      <c r="EA680" s="466"/>
      <c r="EB680" s="465"/>
      <c r="EC680" s="457"/>
      <c r="ED680" s="464"/>
      <c r="EE680" s="466"/>
      <c r="EF680" s="459"/>
      <c r="EG680" s="450"/>
      <c r="EH680" s="460">
        <f t="shared" si="321"/>
        <v>0</v>
      </c>
      <c r="EI680" s="460">
        <f t="shared" si="322"/>
        <v>0</v>
      </c>
      <c r="EJ680" s="458">
        <f t="shared" si="323"/>
        <v>0</v>
      </c>
      <c r="EK680" s="470">
        <f t="shared" si="324"/>
        <v>0</v>
      </c>
      <c r="EL680" s="470">
        <f t="shared" si="325"/>
        <v>0</v>
      </c>
      <c r="EM680" s="449">
        <f t="shared" si="326"/>
        <v>0</v>
      </c>
      <c r="EN680" s="460">
        <f t="shared" si="327"/>
        <v>0</v>
      </c>
      <c r="EO680" s="469">
        <f t="shared" si="328"/>
        <v>0</v>
      </c>
      <c r="EP680" s="471"/>
      <c r="EQ680" s="450"/>
      <c r="ER680" s="471"/>
      <c r="ES680" s="450"/>
      <c r="ET680" s="471"/>
      <c r="EU680" s="450"/>
      <c r="EV680" s="471"/>
      <c r="EW680" s="450"/>
      <c r="EX680" s="471"/>
      <c r="EY680" s="450"/>
      <c r="EZ680" s="471"/>
      <c r="FA680" s="450"/>
      <c r="FB680" s="471"/>
      <c r="FC680" s="450"/>
      <c r="FD680" s="471"/>
      <c r="FE680" s="450"/>
      <c r="FF680" s="471"/>
      <c r="FG680" s="450"/>
      <c r="FH680" s="472"/>
      <c r="FI680" s="450"/>
      <c r="FJ680" s="468">
        <f t="shared" si="329"/>
        <v>0</v>
      </c>
      <c r="FK680" s="469">
        <f t="shared" si="330"/>
        <v>0</v>
      </c>
      <c r="FL680" s="472"/>
      <c r="FM680" s="450"/>
      <c r="FN680" s="460">
        <f t="shared" si="331"/>
        <v>512</v>
      </c>
      <c r="FO680" s="469">
        <f t="shared" si="332"/>
        <v>704</v>
      </c>
    </row>
    <row r="681" spans="1:171" ht="15.75" x14ac:dyDescent="0.25">
      <c r="A681" s="737" t="s">
        <v>1198</v>
      </c>
      <c r="B681" s="794" t="s">
        <v>1238</v>
      </c>
      <c r="C681" s="826"/>
      <c r="D681" s="717">
        <v>234085</v>
      </c>
      <c r="E681" s="718">
        <v>15</v>
      </c>
      <c r="F681" s="532">
        <v>0</v>
      </c>
      <c r="G681" s="796">
        <v>0</v>
      </c>
      <c r="H681" s="457"/>
      <c r="I681" s="450"/>
      <c r="J681" s="457">
        <v>0</v>
      </c>
      <c r="K681" s="797">
        <v>0</v>
      </c>
      <c r="L681" s="458">
        <f t="shared" si="309"/>
        <v>0</v>
      </c>
      <c r="M681" s="449">
        <f t="shared" si="310"/>
        <v>0</v>
      </c>
      <c r="N681" s="459">
        <v>324</v>
      </c>
      <c r="O681" s="459"/>
      <c r="P681" s="459"/>
      <c r="Q681" s="459">
        <v>0</v>
      </c>
      <c r="R681" s="460">
        <f t="shared" si="311"/>
        <v>0</v>
      </c>
      <c r="S681" s="822">
        <v>305</v>
      </c>
      <c r="T681" s="461"/>
      <c r="U681" s="461"/>
      <c r="V681" s="461">
        <v>0</v>
      </c>
      <c r="W681" s="462">
        <f t="shared" si="312"/>
        <v>0</v>
      </c>
      <c r="X681" s="463"/>
      <c r="Y681" s="457"/>
      <c r="Z681" s="464"/>
      <c r="AA681" s="464"/>
      <c r="AB681" s="465"/>
      <c r="AC681" s="457"/>
      <c r="AD681" s="464"/>
      <c r="AE681" s="466"/>
      <c r="AF681" s="465"/>
      <c r="AG681" s="457"/>
      <c r="AH681" s="464"/>
      <c r="AI681" s="466"/>
      <c r="AJ681" s="465"/>
      <c r="AK681" s="457"/>
      <c r="AL681" s="464"/>
      <c r="AM681" s="466"/>
      <c r="AN681" s="465"/>
      <c r="AO681" s="457"/>
      <c r="AP681" s="464"/>
      <c r="AQ681" s="464"/>
      <c r="AR681" s="460">
        <f t="shared" si="313"/>
        <v>0</v>
      </c>
      <c r="AS681" s="467">
        <f t="shared" si="314"/>
        <v>1</v>
      </c>
      <c r="AT681" s="447">
        <f t="shared" si="315"/>
        <v>0</v>
      </c>
      <c r="AU681" s="448">
        <f t="shared" si="316"/>
        <v>1</v>
      </c>
      <c r="AV681" s="457">
        <v>0</v>
      </c>
      <c r="AW681" s="450"/>
      <c r="AX681" s="463"/>
      <c r="AY681" s="457"/>
      <c r="AZ681" s="464"/>
      <c r="BA681" s="464"/>
      <c r="BB681" s="465"/>
      <c r="BC681" s="457"/>
      <c r="BD681" s="464"/>
      <c r="BE681" s="466"/>
      <c r="BF681" s="465"/>
      <c r="BG681" s="457"/>
      <c r="BH681" s="464"/>
      <c r="BI681" s="466"/>
      <c r="BJ681" s="465"/>
      <c r="BK681" s="457"/>
      <c r="BL681" s="464"/>
      <c r="BM681" s="466"/>
      <c r="BN681" s="465"/>
      <c r="BO681" s="457"/>
      <c r="BP681" s="464"/>
      <c r="BQ681" s="466"/>
      <c r="BR681" s="465"/>
      <c r="BS681" s="457"/>
      <c r="BT681" s="464"/>
      <c r="BU681" s="466"/>
      <c r="BV681" s="465"/>
      <c r="BW681" s="457"/>
      <c r="BX681" s="464"/>
      <c r="BY681" s="466"/>
      <c r="BZ681" s="465"/>
      <c r="CA681" s="457"/>
      <c r="CB681" s="464"/>
      <c r="CC681" s="466"/>
      <c r="CD681" s="465"/>
      <c r="CE681" s="457"/>
      <c r="CF681" s="464"/>
      <c r="CG681" s="466"/>
      <c r="CH681" s="465"/>
      <c r="CI681" s="457"/>
      <c r="CJ681" s="464"/>
      <c r="CK681" s="466"/>
      <c r="CL681" s="459"/>
      <c r="CM681" s="450"/>
      <c r="CN681" s="468">
        <f t="shared" si="317"/>
        <v>0</v>
      </c>
      <c r="CO681" s="468">
        <f t="shared" si="318"/>
        <v>0</v>
      </c>
      <c r="CP681" s="469">
        <f t="shared" si="319"/>
        <v>0</v>
      </c>
      <c r="CQ681" s="469">
        <f t="shared" si="320"/>
        <v>0</v>
      </c>
      <c r="CR681" s="463"/>
      <c r="CS681" s="457"/>
      <c r="CT681" s="464"/>
      <c r="CU681" s="464"/>
      <c r="CV681" s="465"/>
      <c r="CW681" s="457"/>
      <c r="CX681" s="464"/>
      <c r="CY681" s="466"/>
      <c r="CZ681" s="465"/>
      <c r="DA681" s="457"/>
      <c r="DB681" s="464"/>
      <c r="DC681" s="466"/>
      <c r="DD681" s="465"/>
      <c r="DE681" s="457"/>
      <c r="DF681" s="464"/>
      <c r="DG681" s="466"/>
      <c r="DH681" s="465"/>
      <c r="DI681" s="457"/>
      <c r="DJ681" s="464"/>
      <c r="DK681" s="466"/>
      <c r="DL681" s="465"/>
      <c r="DM681" s="457"/>
      <c r="DN681" s="464"/>
      <c r="DO681" s="466"/>
      <c r="DP681" s="465"/>
      <c r="DQ681" s="457"/>
      <c r="DR681" s="464"/>
      <c r="DS681" s="466"/>
      <c r="DT681" s="465"/>
      <c r="DU681" s="457"/>
      <c r="DV681" s="464"/>
      <c r="DW681" s="466"/>
      <c r="DX681" s="465"/>
      <c r="DY681" s="457"/>
      <c r="DZ681" s="464"/>
      <c r="EA681" s="466"/>
      <c r="EB681" s="465"/>
      <c r="EC681" s="457"/>
      <c r="ED681" s="464"/>
      <c r="EE681" s="466"/>
      <c r="EF681" s="459"/>
      <c r="EG681" s="450"/>
      <c r="EH681" s="460">
        <f t="shared" si="321"/>
        <v>0</v>
      </c>
      <c r="EI681" s="460">
        <f t="shared" si="322"/>
        <v>0</v>
      </c>
      <c r="EJ681" s="458">
        <f t="shared" si="323"/>
        <v>0</v>
      </c>
      <c r="EK681" s="470">
        <f t="shared" si="324"/>
        <v>0</v>
      </c>
      <c r="EL681" s="470">
        <f t="shared" si="325"/>
        <v>0</v>
      </c>
      <c r="EM681" s="449">
        <f t="shared" si="326"/>
        <v>0</v>
      </c>
      <c r="EN681" s="460">
        <f t="shared" si="327"/>
        <v>0</v>
      </c>
      <c r="EO681" s="469">
        <f t="shared" si="328"/>
        <v>0</v>
      </c>
      <c r="EP681" s="471"/>
      <c r="EQ681" s="450"/>
      <c r="ER681" s="471"/>
      <c r="ES681" s="450"/>
      <c r="ET681" s="471"/>
      <c r="EU681" s="450"/>
      <c r="EV681" s="471"/>
      <c r="EW681" s="450"/>
      <c r="EX681" s="471"/>
      <c r="EY681" s="450"/>
      <c r="EZ681" s="471"/>
      <c r="FA681" s="450"/>
      <c r="FB681" s="471"/>
      <c r="FC681" s="450"/>
      <c r="FD681" s="471"/>
      <c r="FE681" s="450"/>
      <c r="FF681" s="471"/>
      <c r="FG681" s="450"/>
      <c r="FH681" s="472"/>
      <c r="FI681" s="450"/>
      <c r="FJ681" s="468">
        <f t="shared" si="329"/>
        <v>0</v>
      </c>
      <c r="FK681" s="469">
        <f t="shared" si="330"/>
        <v>0</v>
      </c>
      <c r="FL681" s="472"/>
      <c r="FM681" s="450"/>
      <c r="FN681" s="460">
        <f t="shared" si="331"/>
        <v>324</v>
      </c>
      <c r="FO681" s="469">
        <f t="shared" si="332"/>
        <v>305</v>
      </c>
    </row>
    <row r="682" spans="1:171" x14ac:dyDescent="0.2">
      <c r="A682" s="585" t="s">
        <v>743</v>
      </c>
      <c r="B682" s="569" t="s">
        <v>744</v>
      </c>
      <c r="C682" s="570"/>
      <c r="D682" s="487">
        <v>238032</v>
      </c>
      <c r="E682" s="484">
        <v>1</v>
      </c>
      <c r="F682" s="532"/>
      <c r="G682" s="450"/>
      <c r="H682" s="457"/>
      <c r="I682" s="450"/>
      <c r="J682" s="457"/>
      <c r="K682" s="571"/>
      <c r="L682" s="458">
        <f t="shared" si="309"/>
        <v>0</v>
      </c>
      <c r="M682" s="449">
        <f t="shared" si="310"/>
        <v>0</v>
      </c>
      <c r="N682" s="459">
        <v>4060</v>
      </c>
      <c r="O682" s="459"/>
      <c r="P682" s="459"/>
      <c r="Q682" s="459">
        <v>205</v>
      </c>
      <c r="R682" s="460">
        <f t="shared" si="311"/>
        <v>205</v>
      </c>
      <c r="S682" s="461">
        <v>4204</v>
      </c>
      <c r="T682" s="461"/>
      <c r="U682" s="461"/>
      <c r="V682" s="461">
        <f>109+22+65</f>
        <v>196</v>
      </c>
      <c r="W682" s="462">
        <f t="shared" si="312"/>
        <v>196</v>
      </c>
      <c r="X682" s="463"/>
      <c r="Y682" s="457"/>
      <c r="Z682" s="464"/>
      <c r="AA682" s="464"/>
      <c r="AB682" s="465"/>
      <c r="AC682" s="457"/>
      <c r="AD682" s="464"/>
      <c r="AE682" s="466"/>
      <c r="AF682" s="465"/>
      <c r="AG682" s="457"/>
      <c r="AH682" s="464"/>
      <c r="AI682" s="466"/>
      <c r="AJ682" s="465"/>
      <c r="AK682" s="457"/>
      <c r="AL682" s="464"/>
      <c r="AM682" s="466"/>
      <c r="AN682" s="465"/>
      <c r="AO682" s="457"/>
      <c r="AP682" s="464"/>
      <c r="AQ682" s="464"/>
      <c r="AR682" s="460">
        <f t="shared" si="313"/>
        <v>0</v>
      </c>
      <c r="AS682" s="467">
        <f t="shared" si="314"/>
        <v>0.64557163301001752</v>
      </c>
      <c r="AT682" s="447">
        <f t="shared" si="315"/>
        <v>0</v>
      </c>
      <c r="AU682" s="448">
        <f t="shared" si="316"/>
        <v>0.65208624166278895</v>
      </c>
      <c r="AV682" s="457"/>
      <c r="AW682" s="450"/>
      <c r="AX682" s="572">
        <v>13</v>
      </c>
      <c r="AY682" s="573">
        <v>439</v>
      </c>
      <c r="AZ682" s="574">
        <v>13</v>
      </c>
      <c r="BA682" s="574">
        <v>476</v>
      </c>
      <c r="BB682" s="575">
        <v>52</v>
      </c>
      <c r="BC682" s="573">
        <v>253</v>
      </c>
      <c r="BD682" s="574">
        <v>52</v>
      </c>
      <c r="BE682" s="576">
        <v>226</v>
      </c>
      <c r="BF682" s="575">
        <v>51</v>
      </c>
      <c r="BG682" s="573">
        <v>180</v>
      </c>
      <c r="BH682" s="574">
        <v>51</v>
      </c>
      <c r="BI682" s="576">
        <v>181</v>
      </c>
      <c r="BJ682" s="575">
        <v>44</v>
      </c>
      <c r="BK682" s="573">
        <v>168</v>
      </c>
      <c r="BL682" s="577">
        <v>44</v>
      </c>
      <c r="BM682" s="576">
        <v>162</v>
      </c>
      <c r="BN682" s="575">
        <v>14</v>
      </c>
      <c r="BO682" s="573">
        <v>145</v>
      </c>
      <c r="BP682" s="578" t="s">
        <v>745</v>
      </c>
      <c r="BQ682" s="576">
        <v>140</v>
      </c>
      <c r="BR682" s="575" t="s">
        <v>745</v>
      </c>
      <c r="BS682" s="573">
        <v>129</v>
      </c>
      <c r="BT682" s="577">
        <v>14</v>
      </c>
      <c r="BU682" s="576">
        <v>116</v>
      </c>
      <c r="BV682" s="575" t="s">
        <v>746</v>
      </c>
      <c r="BW682" s="573">
        <v>45</v>
      </c>
      <c r="BX682" s="578" t="s">
        <v>746</v>
      </c>
      <c r="BY682" s="576">
        <v>46</v>
      </c>
      <c r="BZ682" s="575">
        <v>16</v>
      </c>
      <c r="CA682" s="573">
        <v>36</v>
      </c>
      <c r="CB682" s="577">
        <v>16</v>
      </c>
      <c r="CC682" s="466">
        <v>35</v>
      </c>
      <c r="CD682" s="465">
        <v>45</v>
      </c>
      <c r="CE682" s="457">
        <v>31</v>
      </c>
      <c r="CF682" s="464">
        <v>27</v>
      </c>
      <c r="CG682" s="466">
        <v>31</v>
      </c>
      <c r="CH682" s="465">
        <v>50</v>
      </c>
      <c r="CI682" s="457">
        <v>30</v>
      </c>
      <c r="CJ682" s="464">
        <v>42</v>
      </c>
      <c r="CK682" s="466">
        <v>31</v>
      </c>
      <c r="CL682" s="459">
        <v>173</v>
      </c>
      <c r="CM682" s="571">
        <v>198</v>
      </c>
      <c r="CN682" s="468">
        <f t="shared" si="317"/>
        <v>1629</v>
      </c>
      <c r="CO682" s="468">
        <f t="shared" si="318"/>
        <v>10</v>
      </c>
      <c r="CP682" s="469">
        <f t="shared" si="319"/>
        <v>1642</v>
      </c>
      <c r="CQ682" s="469">
        <f t="shared" si="320"/>
        <v>10</v>
      </c>
      <c r="CR682" s="463">
        <v>14</v>
      </c>
      <c r="CS682" s="457">
        <v>36</v>
      </c>
      <c r="CT682" s="464">
        <v>14</v>
      </c>
      <c r="CU682" s="464">
        <v>26</v>
      </c>
      <c r="CV682" s="465">
        <v>42</v>
      </c>
      <c r="CW682" s="457">
        <v>17</v>
      </c>
      <c r="CX682" s="464">
        <v>26</v>
      </c>
      <c r="CY682" s="466">
        <v>22</v>
      </c>
      <c r="CZ682" s="465">
        <v>26</v>
      </c>
      <c r="DA682" s="457">
        <v>16</v>
      </c>
      <c r="DB682" s="464">
        <v>42</v>
      </c>
      <c r="DC682" s="466">
        <v>17</v>
      </c>
      <c r="DD682" s="465">
        <v>40</v>
      </c>
      <c r="DE682" s="457">
        <v>14</v>
      </c>
      <c r="DF682" s="464">
        <v>51</v>
      </c>
      <c r="DG682" s="466">
        <v>16</v>
      </c>
      <c r="DH682" s="465">
        <v>45</v>
      </c>
      <c r="DI682" s="457">
        <v>13</v>
      </c>
      <c r="DJ682" s="579" t="s">
        <v>747</v>
      </c>
      <c r="DK682" s="466">
        <v>15</v>
      </c>
      <c r="DL682" s="465">
        <v>51</v>
      </c>
      <c r="DM682" s="457">
        <v>13</v>
      </c>
      <c r="DN682" s="464">
        <v>40</v>
      </c>
      <c r="DO682" s="466">
        <v>12</v>
      </c>
      <c r="DP682" s="465" t="s">
        <v>747</v>
      </c>
      <c r="DQ682" s="457">
        <v>11</v>
      </c>
      <c r="DR682" s="580">
        <v>45</v>
      </c>
      <c r="DS682" s="466">
        <v>9</v>
      </c>
      <c r="DT682" s="465">
        <v>52</v>
      </c>
      <c r="DU682" s="457">
        <v>9</v>
      </c>
      <c r="DV682" s="464">
        <v>52</v>
      </c>
      <c r="DW682" s="466">
        <v>8</v>
      </c>
      <c r="DX682" s="465" t="s">
        <v>746</v>
      </c>
      <c r="DY682" s="457">
        <v>8</v>
      </c>
      <c r="DZ682" s="580">
        <v>50</v>
      </c>
      <c r="EA682" s="466">
        <v>6</v>
      </c>
      <c r="EB682" s="465">
        <v>50</v>
      </c>
      <c r="EC682" s="457">
        <v>8</v>
      </c>
      <c r="ED682" s="579" t="s">
        <v>746</v>
      </c>
      <c r="EE682" s="466">
        <v>5</v>
      </c>
      <c r="EF682" s="459">
        <v>21</v>
      </c>
      <c r="EG682" s="571">
        <v>26</v>
      </c>
      <c r="EH682" s="460">
        <f t="shared" si="321"/>
        <v>166</v>
      </c>
      <c r="EI682" s="460">
        <f t="shared" si="322"/>
        <v>10</v>
      </c>
      <c r="EJ682" s="458">
        <f t="shared" si="323"/>
        <v>0.21686746987951808</v>
      </c>
      <c r="EK682" s="470">
        <f t="shared" si="324"/>
        <v>162</v>
      </c>
      <c r="EL682" s="470">
        <f t="shared" si="325"/>
        <v>10</v>
      </c>
      <c r="EM682" s="449">
        <f t="shared" si="326"/>
        <v>0.16049382716049382</v>
      </c>
      <c r="EN682" s="460">
        <f t="shared" si="327"/>
        <v>1795</v>
      </c>
      <c r="EO682" s="469">
        <f t="shared" si="328"/>
        <v>1804</v>
      </c>
      <c r="EP682" s="471">
        <v>124</v>
      </c>
      <c r="EQ682" s="571">
        <v>142</v>
      </c>
      <c r="ER682" s="471">
        <v>95</v>
      </c>
      <c r="ES682" s="571">
        <v>99</v>
      </c>
      <c r="ET682" s="471">
        <v>48</v>
      </c>
      <c r="EU682" s="571">
        <v>43</v>
      </c>
      <c r="EV682" s="471">
        <v>87</v>
      </c>
      <c r="EW682" s="571">
        <v>81</v>
      </c>
      <c r="EX682" s="471"/>
      <c r="EY682" s="450"/>
      <c r="EZ682" s="471"/>
      <c r="FA682" s="450"/>
      <c r="FB682" s="471"/>
      <c r="FC682" s="450"/>
      <c r="FD682" s="471"/>
      <c r="FE682" s="450"/>
      <c r="FF682" s="471"/>
      <c r="FG682" s="450"/>
      <c r="FH682" s="472">
        <v>80</v>
      </c>
      <c r="FI682" s="571">
        <f>26+1+8+31+8</f>
        <v>74</v>
      </c>
      <c r="FJ682" s="468">
        <f t="shared" si="329"/>
        <v>434</v>
      </c>
      <c r="FK682" s="469">
        <f t="shared" si="330"/>
        <v>439</v>
      </c>
      <c r="FL682" s="472"/>
      <c r="FM682" s="450">
        <v>0</v>
      </c>
      <c r="FN682" s="460">
        <f t="shared" si="331"/>
        <v>6289</v>
      </c>
      <c r="FO682" s="469">
        <f t="shared" si="332"/>
        <v>6447</v>
      </c>
    </row>
    <row r="683" spans="1:171" x14ac:dyDescent="0.2">
      <c r="A683" s="585" t="s">
        <v>743</v>
      </c>
      <c r="B683" s="569" t="s">
        <v>748</v>
      </c>
      <c r="C683" s="570"/>
      <c r="D683" s="487">
        <v>237525</v>
      </c>
      <c r="E683" s="484">
        <v>3</v>
      </c>
      <c r="F683" s="532"/>
      <c r="G683" s="450"/>
      <c r="H683" s="457"/>
      <c r="I683" s="450"/>
      <c r="J683" s="457">
        <v>91</v>
      </c>
      <c r="K683" s="571">
        <v>111</v>
      </c>
      <c r="L683" s="458">
        <f t="shared" si="309"/>
        <v>6.5326633165829151E-2</v>
      </c>
      <c r="M683" s="449">
        <f t="shared" si="310"/>
        <v>7.175177763413057E-2</v>
      </c>
      <c r="N683" s="459">
        <v>1393</v>
      </c>
      <c r="O683" s="459">
        <v>137</v>
      </c>
      <c r="P683" s="459"/>
      <c r="Q683" s="459"/>
      <c r="R683" s="460">
        <f t="shared" si="311"/>
        <v>137</v>
      </c>
      <c r="S683" s="461">
        <v>1547</v>
      </c>
      <c r="T683" s="461">
        <f>73+62+2</f>
        <v>137</v>
      </c>
      <c r="U683" s="461"/>
      <c r="V683" s="461"/>
      <c r="W683" s="462">
        <f t="shared" si="312"/>
        <v>137</v>
      </c>
      <c r="X683" s="463"/>
      <c r="Y683" s="457"/>
      <c r="Z683" s="464"/>
      <c r="AA683" s="464"/>
      <c r="AB683" s="465"/>
      <c r="AC683" s="457"/>
      <c r="AD683" s="464"/>
      <c r="AE683" s="466"/>
      <c r="AF683" s="465"/>
      <c r="AG683" s="457"/>
      <c r="AH683" s="464"/>
      <c r="AI683" s="466"/>
      <c r="AJ683" s="465"/>
      <c r="AK683" s="457"/>
      <c r="AL683" s="464"/>
      <c r="AM683" s="466"/>
      <c r="AN683" s="465"/>
      <c r="AO683" s="457"/>
      <c r="AP683" s="464"/>
      <c r="AQ683" s="464"/>
      <c r="AR683" s="460">
        <f t="shared" si="313"/>
        <v>0</v>
      </c>
      <c r="AS683" s="467">
        <f t="shared" si="314"/>
        <v>0.56146715034260375</v>
      </c>
      <c r="AT683" s="447">
        <f t="shared" si="315"/>
        <v>0</v>
      </c>
      <c r="AU683" s="448">
        <f t="shared" si="316"/>
        <v>0.58598484848484844</v>
      </c>
      <c r="AV683" s="457"/>
      <c r="AW683" s="450"/>
      <c r="AX683" s="463">
        <v>13</v>
      </c>
      <c r="AY683" s="457">
        <v>383</v>
      </c>
      <c r="AZ683" s="464">
        <v>13</v>
      </c>
      <c r="BA683" s="464">
        <v>354</v>
      </c>
      <c r="BB683" s="465">
        <v>52</v>
      </c>
      <c r="BC683" s="457">
        <v>190</v>
      </c>
      <c r="BD683" s="464">
        <v>51</v>
      </c>
      <c r="BE683" s="466">
        <v>115</v>
      </c>
      <c r="BF683" s="465">
        <v>51</v>
      </c>
      <c r="BG683" s="457">
        <v>83</v>
      </c>
      <c r="BH683" s="464">
        <v>52</v>
      </c>
      <c r="BI683" s="466">
        <v>115</v>
      </c>
      <c r="BJ683" s="465">
        <v>42</v>
      </c>
      <c r="BK683" s="457">
        <v>39</v>
      </c>
      <c r="BL683" s="464">
        <v>42</v>
      </c>
      <c r="BM683" s="466">
        <v>37</v>
      </c>
      <c r="BN683" s="465">
        <v>11</v>
      </c>
      <c r="BO683" s="457">
        <v>26</v>
      </c>
      <c r="BP683" s="464">
        <v>11</v>
      </c>
      <c r="BQ683" s="466">
        <v>31</v>
      </c>
      <c r="BR683" s="465">
        <v>23</v>
      </c>
      <c r="BS683" s="457">
        <v>25</v>
      </c>
      <c r="BT683" s="464">
        <v>23</v>
      </c>
      <c r="BU683" s="466">
        <v>31</v>
      </c>
      <c r="BV683" s="465">
        <v>26</v>
      </c>
      <c r="BW683" s="457">
        <v>25</v>
      </c>
      <c r="BX683" s="464">
        <v>43</v>
      </c>
      <c r="BY683" s="466">
        <v>25</v>
      </c>
      <c r="BZ683" s="465">
        <v>43</v>
      </c>
      <c r="CA683" s="457">
        <v>24</v>
      </c>
      <c r="CB683" s="464">
        <v>26</v>
      </c>
      <c r="CC683" s="466">
        <v>23</v>
      </c>
      <c r="CD683" s="465">
        <v>31</v>
      </c>
      <c r="CE683" s="457">
        <v>14</v>
      </c>
      <c r="CF683" s="464">
        <v>31</v>
      </c>
      <c r="CG683" s="466">
        <v>18</v>
      </c>
      <c r="CH683" s="465">
        <v>45</v>
      </c>
      <c r="CI683" s="457">
        <v>14</v>
      </c>
      <c r="CJ683" s="579" t="s">
        <v>745</v>
      </c>
      <c r="CK683" s="466">
        <v>16</v>
      </c>
      <c r="CL683" s="459">
        <v>79</v>
      </c>
      <c r="CM683" s="571">
        <v>99</v>
      </c>
      <c r="CN683" s="468">
        <f t="shared" si="317"/>
        <v>902</v>
      </c>
      <c r="CO683" s="468">
        <f t="shared" si="318"/>
        <v>10</v>
      </c>
      <c r="CP683" s="469">
        <f t="shared" si="319"/>
        <v>864</v>
      </c>
      <c r="CQ683" s="469">
        <f t="shared" si="320"/>
        <v>10</v>
      </c>
      <c r="CR683" s="463">
        <v>13</v>
      </c>
      <c r="CS683" s="457">
        <v>8</v>
      </c>
      <c r="CT683" s="464">
        <v>13</v>
      </c>
      <c r="CU683" s="464">
        <v>12</v>
      </c>
      <c r="CV683" s="465">
        <v>26</v>
      </c>
      <c r="CW683" s="457">
        <v>4</v>
      </c>
      <c r="CX683" s="464">
        <v>26</v>
      </c>
      <c r="CY683" s="466">
        <v>4</v>
      </c>
      <c r="CZ683" s="465"/>
      <c r="DA683" s="457"/>
      <c r="DB683" s="464"/>
      <c r="DC683" s="466"/>
      <c r="DD683" s="465"/>
      <c r="DE683" s="457"/>
      <c r="DF683" s="464"/>
      <c r="DG683" s="466"/>
      <c r="DH683" s="465"/>
      <c r="DI683" s="457"/>
      <c r="DJ683" s="464"/>
      <c r="DK683" s="466"/>
      <c r="DL683" s="465"/>
      <c r="DM683" s="457"/>
      <c r="DN683" s="464"/>
      <c r="DO683" s="466"/>
      <c r="DP683" s="465"/>
      <c r="DQ683" s="457"/>
      <c r="DR683" s="464"/>
      <c r="DS683" s="466"/>
      <c r="DT683" s="465"/>
      <c r="DU683" s="457"/>
      <c r="DV683" s="464"/>
      <c r="DW683" s="466"/>
      <c r="DX683" s="465"/>
      <c r="DY683" s="457"/>
      <c r="DZ683" s="464"/>
      <c r="EA683" s="466"/>
      <c r="EB683" s="465"/>
      <c r="EC683" s="457"/>
      <c r="ED683" s="464"/>
      <c r="EE683" s="466"/>
      <c r="EF683" s="459">
        <v>0</v>
      </c>
      <c r="EG683" s="450">
        <v>0</v>
      </c>
      <c r="EH683" s="460">
        <f t="shared" si="321"/>
        <v>12</v>
      </c>
      <c r="EI683" s="460">
        <f t="shared" si="322"/>
        <v>2</v>
      </c>
      <c r="EJ683" s="458">
        <f t="shared" si="323"/>
        <v>0.66666666666666663</v>
      </c>
      <c r="EK683" s="470">
        <f t="shared" si="324"/>
        <v>16</v>
      </c>
      <c r="EL683" s="470">
        <f t="shared" si="325"/>
        <v>2</v>
      </c>
      <c r="EM683" s="449">
        <f t="shared" si="326"/>
        <v>0.75</v>
      </c>
      <c r="EN683" s="460">
        <f t="shared" si="327"/>
        <v>914</v>
      </c>
      <c r="EO683" s="469">
        <f t="shared" si="328"/>
        <v>880</v>
      </c>
      <c r="EP683" s="471"/>
      <c r="EQ683" s="450"/>
      <c r="ER683" s="471">
        <v>72</v>
      </c>
      <c r="ES683" s="571">
        <v>63</v>
      </c>
      <c r="ET683" s="471"/>
      <c r="EU683" s="450"/>
      <c r="EV683" s="471"/>
      <c r="EW683" s="450"/>
      <c r="EX683" s="471"/>
      <c r="EY683" s="450"/>
      <c r="EZ683" s="471"/>
      <c r="FA683" s="450"/>
      <c r="FB683" s="471"/>
      <c r="FC683" s="450"/>
      <c r="FD683" s="471"/>
      <c r="FE683" s="450"/>
      <c r="FF683" s="471"/>
      <c r="FG683" s="450"/>
      <c r="FH683" s="472">
        <v>11</v>
      </c>
      <c r="FI683" s="571">
        <f>10+29</f>
        <v>39</v>
      </c>
      <c r="FJ683" s="468">
        <f t="shared" si="329"/>
        <v>83</v>
      </c>
      <c r="FK683" s="469">
        <f t="shared" si="330"/>
        <v>102</v>
      </c>
      <c r="FL683" s="472"/>
      <c r="FM683" s="450"/>
      <c r="FN683" s="460">
        <f t="shared" si="331"/>
        <v>2481</v>
      </c>
      <c r="FO683" s="469">
        <f t="shared" si="332"/>
        <v>2640</v>
      </c>
    </row>
    <row r="684" spans="1:171" x14ac:dyDescent="0.2">
      <c r="A684" s="585" t="s">
        <v>743</v>
      </c>
      <c r="B684" s="400" t="s">
        <v>749</v>
      </c>
      <c r="C684" s="401"/>
      <c r="D684" s="487">
        <v>237367</v>
      </c>
      <c r="E684" s="484">
        <v>5</v>
      </c>
      <c r="F684" s="532"/>
      <c r="G684" s="450"/>
      <c r="H684" s="457"/>
      <c r="I684" s="450"/>
      <c r="J684" s="457">
        <v>113</v>
      </c>
      <c r="K684" s="571">
        <v>71</v>
      </c>
      <c r="L684" s="458">
        <f t="shared" si="309"/>
        <v>0.20214669051878353</v>
      </c>
      <c r="M684" s="449">
        <f t="shared" si="310"/>
        <v>0.11024844720496894</v>
      </c>
      <c r="N684" s="459">
        <v>559</v>
      </c>
      <c r="O684" s="459">
        <v>57</v>
      </c>
      <c r="P684" s="459"/>
      <c r="Q684" s="459"/>
      <c r="R684" s="460">
        <f t="shared" si="311"/>
        <v>57</v>
      </c>
      <c r="S684" s="461">
        <v>644</v>
      </c>
      <c r="T684" s="461">
        <v>58</v>
      </c>
      <c r="U684" s="461"/>
      <c r="V684" s="461"/>
      <c r="W684" s="462">
        <f t="shared" si="312"/>
        <v>58</v>
      </c>
      <c r="X684" s="463"/>
      <c r="Y684" s="457"/>
      <c r="Z684" s="464"/>
      <c r="AA684" s="464"/>
      <c r="AB684" s="465"/>
      <c r="AC684" s="457"/>
      <c r="AD684" s="464"/>
      <c r="AE684" s="466"/>
      <c r="AF684" s="465"/>
      <c r="AG684" s="457"/>
      <c r="AH684" s="464"/>
      <c r="AI684" s="466"/>
      <c r="AJ684" s="465"/>
      <c r="AK684" s="457"/>
      <c r="AL684" s="464"/>
      <c r="AM684" s="466"/>
      <c r="AN684" s="465"/>
      <c r="AO684" s="457"/>
      <c r="AP684" s="464"/>
      <c r="AQ684" s="464"/>
      <c r="AR684" s="460">
        <f t="shared" si="313"/>
        <v>0</v>
      </c>
      <c r="AS684" s="467">
        <f t="shared" si="314"/>
        <v>0.73844121532364593</v>
      </c>
      <c r="AT684" s="447">
        <f t="shared" si="315"/>
        <v>0</v>
      </c>
      <c r="AU684" s="448">
        <f t="shared" si="316"/>
        <v>0.80099502487562191</v>
      </c>
      <c r="AV684" s="457"/>
      <c r="AW684" s="450"/>
      <c r="AX684" s="463">
        <v>13</v>
      </c>
      <c r="AY684" s="457">
        <v>61</v>
      </c>
      <c r="AZ684" s="464">
        <v>13</v>
      </c>
      <c r="BA684" s="464">
        <v>70</v>
      </c>
      <c r="BB684" s="465">
        <v>52</v>
      </c>
      <c r="BC684" s="457">
        <v>20</v>
      </c>
      <c r="BD684" s="464">
        <v>52</v>
      </c>
      <c r="BE684" s="466">
        <v>16</v>
      </c>
      <c r="BF684" s="465">
        <v>43</v>
      </c>
      <c r="BG684" s="457">
        <v>4</v>
      </c>
      <c r="BH684" s="464">
        <v>43</v>
      </c>
      <c r="BI684" s="466">
        <v>3</v>
      </c>
      <c r="BJ684" s="465"/>
      <c r="BK684" s="457"/>
      <c r="BL684" s="464"/>
      <c r="BM684" s="466"/>
      <c r="BN684" s="465"/>
      <c r="BO684" s="457"/>
      <c r="BP684" s="464"/>
      <c r="BQ684" s="466"/>
      <c r="BR684" s="465"/>
      <c r="BS684" s="457"/>
      <c r="BT684" s="464"/>
      <c r="BU684" s="466"/>
      <c r="BV684" s="465"/>
      <c r="BW684" s="457"/>
      <c r="BX684" s="464"/>
      <c r="BY684" s="466"/>
      <c r="BZ684" s="465"/>
      <c r="CA684" s="457"/>
      <c r="CB684" s="464"/>
      <c r="CC684" s="466"/>
      <c r="CD684" s="465"/>
      <c r="CE684" s="457"/>
      <c r="CF684" s="464"/>
      <c r="CG684" s="466"/>
      <c r="CH684" s="465"/>
      <c r="CI684" s="457"/>
      <c r="CJ684" s="464"/>
      <c r="CK684" s="466"/>
      <c r="CL684" s="459">
        <v>0</v>
      </c>
      <c r="CM684" s="571"/>
      <c r="CN684" s="468">
        <f t="shared" si="317"/>
        <v>85</v>
      </c>
      <c r="CO684" s="468">
        <f t="shared" si="318"/>
        <v>3</v>
      </c>
      <c r="CP684" s="469">
        <f t="shared" si="319"/>
        <v>89</v>
      </c>
      <c r="CQ684" s="469">
        <f t="shared" si="320"/>
        <v>3</v>
      </c>
      <c r="CR684" s="463"/>
      <c r="CS684" s="457"/>
      <c r="CT684" s="464"/>
      <c r="CU684" s="464"/>
      <c r="CV684" s="465"/>
      <c r="CW684" s="457"/>
      <c r="CX684" s="464"/>
      <c r="CY684" s="466"/>
      <c r="CZ684" s="465"/>
      <c r="DA684" s="457"/>
      <c r="DB684" s="464"/>
      <c r="DC684" s="466"/>
      <c r="DD684" s="465"/>
      <c r="DE684" s="457"/>
      <c r="DF684" s="464"/>
      <c r="DG684" s="466"/>
      <c r="DH684" s="465"/>
      <c r="DI684" s="457"/>
      <c r="DJ684" s="464"/>
      <c r="DK684" s="466"/>
      <c r="DL684" s="465"/>
      <c r="DM684" s="457"/>
      <c r="DN684" s="464"/>
      <c r="DO684" s="466"/>
      <c r="DP684" s="465"/>
      <c r="DQ684" s="457"/>
      <c r="DR684" s="464"/>
      <c r="DS684" s="466"/>
      <c r="DT684" s="465"/>
      <c r="DU684" s="457"/>
      <c r="DV684" s="464"/>
      <c r="DW684" s="466"/>
      <c r="DX684" s="465"/>
      <c r="DY684" s="457"/>
      <c r="DZ684" s="464"/>
      <c r="EA684" s="466"/>
      <c r="EB684" s="465"/>
      <c r="EC684" s="457"/>
      <c r="ED684" s="464"/>
      <c r="EE684" s="466"/>
      <c r="EF684" s="459"/>
      <c r="EG684" s="450"/>
      <c r="EH684" s="460">
        <f t="shared" si="321"/>
        <v>0</v>
      </c>
      <c r="EI684" s="460">
        <f t="shared" si="322"/>
        <v>0</v>
      </c>
      <c r="EJ684" s="458">
        <f t="shared" si="323"/>
        <v>0</v>
      </c>
      <c r="EK684" s="470">
        <f t="shared" si="324"/>
        <v>0</v>
      </c>
      <c r="EL684" s="470">
        <f t="shared" si="325"/>
        <v>0</v>
      </c>
      <c r="EM684" s="449">
        <f t="shared" si="326"/>
        <v>0</v>
      </c>
      <c r="EN684" s="460">
        <f t="shared" si="327"/>
        <v>85</v>
      </c>
      <c r="EO684" s="469">
        <f t="shared" si="328"/>
        <v>89</v>
      </c>
      <c r="EP684" s="471"/>
      <c r="EQ684" s="450"/>
      <c r="ER684" s="471"/>
      <c r="ES684" s="450"/>
      <c r="ET684" s="471"/>
      <c r="EU684" s="450"/>
      <c r="EV684" s="471"/>
      <c r="EW684" s="450"/>
      <c r="EX684" s="471"/>
      <c r="EY684" s="450"/>
      <c r="EZ684" s="471"/>
      <c r="FA684" s="450"/>
      <c r="FB684" s="471"/>
      <c r="FC684" s="450"/>
      <c r="FD684" s="471"/>
      <c r="FE684" s="450"/>
      <c r="FF684" s="471"/>
      <c r="FG684" s="450"/>
      <c r="FH684" s="472"/>
      <c r="FI684" s="450"/>
      <c r="FJ684" s="468">
        <f t="shared" si="329"/>
        <v>0</v>
      </c>
      <c r="FK684" s="469">
        <f t="shared" si="330"/>
        <v>0</v>
      </c>
      <c r="FL684" s="472"/>
      <c r="FM684" s="450"/>
      <c r="FN684" s="460">
        <f t="shared" si="331"/>
        <v>757</v>
      </c>
      <c r="FO684" s="469">
        <f t="shared" si="332"/>
        <v>804</v>
      </c>
    </row>
    <row r="685" spans="1:171" x14ac:dyDescent="0.2">
      <c r="A685" s="585" t="s">
        <v>743</v>
      </c>
      <c r="B685" s="400" t="s">
        <v>750</v>
      </c>
      <c r="C685" s="401"/>
      <c r="D685" s="581">
        <v>237792</v>
      </c>
      <c r="E685" s="582">
        <v>5</v>
      </c>
      <c r="F685" s="532"/>
      <c r="G685" s="450"/>
      <c r="H685" s="457"/>
      <c r="I685" s="450"/>
      <c r="J685" s="457"/>
      <c r="K685" s="571"/>
      <c r="L685" s="458">
        <f t="shared" si="309"/>
        <v>0</v>
      </c>
      <c r="M685" s="449">
        <f t="shared" si="310"/>
        <v>0</v>
      </c>
      <c r="N685" s="459">
        <v>648</v>
      </c>
      <c r="O685" s="459">
        <v>87</v>
      </c>
      <c r="P685" s="459"/>
      <c r="Q685" s="459"/>
      <c r="R685" s="460">
        <f t="shared" si="311"/>
        <v>87</v>
      </c>
      <c r="S685" s="461">
        <v>675</v>
      </c>
      <c r="T685" s="461">
        <f>34+34</f>
        <v>68</v>
      </c>
      <c r="U685" s="461"/>
      <c r="V685" s="461"/>
      <c r="W685" s="462">
        <f t="shared" si="312"/>
        <v>68</v>
      </c>
      <c r="X685" s="463"/>
      <c r="Y685" s="457"/>
      <c r="Z685" s="464"/>
      <c r="AA685" s="464"/>
      <c r="AB685" s="465"/>
      <c r="AC685" s="457"/>
      <c r="AD685" s="464"/>
      <c r="AE685" s="466"/>
      <c r="AF685" s="465"/>
      <c r="AG685" s="457"/>
      <c r="AH685" s="464"/>
      <c r="AI685" s="466"/>
      <c r="AJ685" s="465"/>
      <c r="AK685" s="457"/>
      <c r="AL685" s="464"/>
      <c r="AM685" s="466"/>
      <c r="AN685" s="465"/>
      <c r="AO685" s="457"/>
      <c r="AP685" s="464"/>
      <c r="AQ685" s="464"/>
      <c r="AR685" s="460">
        <f t="shared" si="313"/>
        <v>0</v>
      </c>
      <c r="AS685" s="467">
        <f t="shared" si="314"/>
        <v>0.95014662756598245</v>
      </c>
      <c r="AT685" s="447">
        <f t="shared" si="315"/>
        <v>0</v>
      </c>
      <c r="AU685" s="448">
        <f t="shared" si="316"/>
        <v>0.91463414634146345</v>
      </c>
      <c r="AV685" s="457"/>
      <c r="AW685" s="450"/>
      <c r="AX685" s="463">
        <v>52</v>
      </c>
      <c r="AY685" s="457">
        <v>21</v>
      </c>
      <c r="AZ685" s="464">
        <v>13</v>
      </c>
      <c r="BA685" s="464">
        <v>44</v>
      </c>
      <c r="BB685" s="465">
        <v>13</v>
      </c>
      <c r="BC685" s="457">
        <v>13</v>
      </c>
      <c r="BD685" s="464">
        <v>52</v>
      </c>
      <c r="BE685" s="466">
        <v>19</v>
      </c>
      <c r="BF685" s="465"/>
      <c r="BG685" s="457"/>
      <c r="BH685" s="464"/>
      <c r="BI685" s="466"/>
      <c r="BJ685" s="465"/>
      <c r="BK685" s="457"/>
      <c r="BL685" s="464"/>
      <c r="BM685" s="466"/>
      <c r="BN685" s="465"/>
      <c r="BO685" s="457"/>
      <c r="BP685" s="464"/>
      <c r="BQ685" s="466"/>
      <c r="BR685" s="465"/>
      <c r="BS685" s="457"/>
      <c r="BT685" s="464"/>
      <c r="BU685" s="466"/>
      <c r="BV685" s="465"/>
      <c r="BW685" s="457"/>
      <c r="BX685" s="464"/>
      <c r="BY685" s="466"/>
      <c r="BZ685" s="465"/>
      <c r="CA685" s="457"/>
      <c r="CB685" s="464"/>
      <c r="CC685" s="466"/>
      <c r="CD685" s="465"/>
      <c r="CE685" s="457"/>
      <c r="CF685" s="464"/>
      <c r="CG685" s="466"/>
      <c r="CH685" s="465"/>
      <c r="CI685" s="457"/>
      <c r="CJ685" s="464"/>
      <c r="CK685" s="466"/>
      <c r="CL685" s="459">
        <v>0</v>
      </c>
      <c r="CM685" s="571"/>
      <c r="CN685" s="468">
        <f t="shared" si="317"/>
        <v>34</v>
      </c>
      <c r="CO685" s="468">
        <f t="shared" si="318"/>
        <v>2</v>
      </c>
      <c r="CP685" s="469">
        <f t="shared" si="319"/>
        <v>63</v>
      </c>
      <c r="CQ685" s="469">
        <f t="shared" si="320"/>
        <v>2</v>
      </c>
      <c r="CR685" s="463"/>
      <c r="CS685" s="457"/>
      <c r="CT685" s="464"/>
      <c r="CU685" s="464"/>
      <c r="CV685" s="465"/>
      <c r="CW685" s="457"/>
      <c r="CX685" s="464"/>
      <c r="CY685" s="466"/>
      <c r="CZ685" s="465"/>
      <c r="DA685" s="457"/>
      <c r="DB685" s="464"/>
      <c r="DC685" s="466"/>
      <c r="DD685" s="465"/>
      <c r="DE685" s="457"/>
      <c r="DF685" s="464"/>
      <c r="DG685" s="466"/>
      <c r="DH685" s="465"/>
      <c r="DI685" s="457"/>
      <c r="DJ685" s="464"/>
      <c r="DK685" s="466"/>
      <c r="DL685" s="465"/>
      <c r="DM685" s="457"/>
      <c r="DN685" s="464"/>
      <c r="DO685" s="466"/>
      <c r="DP685" s="465"/>
      <c r="DQ685" s="457"/>
      <c r="DR685" s="464"/>
      <c r="DS685" s="466"/>
      <c r="DT685" s="465"/>
      <c r="DU685" s="457"/>
      <c r="DV685" s="464"/>
      <c r="DW685" s="466"/>
      <c r="DX685" s="465"/>
      <c r="DY685" s="457"/>
      <c r="DZ685" s="464"/>
      <c r="EA685" s="466"/>
      <c r="EB685" s="465"/>
      <c r="EC685" s="457"/>
      <c r="ED685" s="464"/>
      <c r="EE685" s="466"/>
      <c r="EF685" s="459"/>
      <c r="EG685" s="450"/>
      <c r="EH685" s="460">
        <f t="shared" si="321"/>
        <v>0</v>
      </c>
      <c r="EI685" s="460">
        <f t="shared" si="322"/>
        <v>0</v>
      </c>
      <c r="EJ685" s="458">
        <f t="shared" si="323"/>
        <v>0</v>
      </c>
      <c r="EK685" s="470">
        <f t="shared" si="324"/>
        <v>0</v>
      </c>
      <c r="EL685" s="470">
        <f t="shared" si="325"/>
        <v>0</v>
      </c>
      <c r="EM685" s="449">
        <f t="shared" si="326"/>
        <v>0</v>
      </c>
      <c r="EN685" s="460">
        <f t="shared" si="327"/>
        <v>34</v>
      </c>
      <c r="EO685" s="469">
        <f t="shared" si="328"/>
        <v>63</v>
      </c>
      <c r="EP685" s="471"/>
      <c r="EQ685" s="450"/>
      <c r="ER685" s="471"/>
      <c r="ES685" s="450"/>
      <c r="ET685" s="471"/>
      <c r="EU685" s="450"/>
      <c r="EV685" s="471"/>
      <c r="EW685" s="450"/>
      <c r="EX685" s="471"/>
      <c r="EY685" s="450"/>
      <c r="EZ685" s="471"/>
      <c r="FA685" s="450"/>
      <c r="FB685" s="471"/>
      <c r="FC685" s="450"/>
      <c r="FD685" s="471"/>
      <c r="FE685" s="450"/>
      <c r="FF685" s="471"/>
      <c r="FG685" s="450"/>
      <c r="FH685" s="472"/>
      <c r="FI685" s="450"/>
      <c r="FJ685" s="468">
        <f t="shared" si="329"/>
        <v>0</v>
      </c>
      <c r="FK685" s="469">
        <f t="shared" si="330"/>
        <v>0</v>
      </c>
      <c r="FL685" s="472"/>
      <c r="FM685" s="450"/>
      <c r="FN685" s="460">
        <f t="shared" si="331"/>
        <v>682</v>
      </c>
      <c r="FO685" s="469">
        <f t="shared" si="332"/>
        <v>738</v>
      </c>
    </row>
    <row r="686" spans="1:171" x14ac:dyDescent="0.2">
      <c r="A686" s="585" t="s">
        <v>743</v>
      </c>
      <c r="B686" s="569" t="s">
        <v>751</v>
      </c>
      <c r="C686" s="570"/>
      <c r="D686" s="487">
        <v>237215</v>
      </c>
      <c r="E686" s="484">
        <v>6</v>
      </c>
      <c r="F686" s="532"/>
      <c r="G686" s="450"/>
      <c r="H686" s="457"/>
      <c r="I686" s="450"/>
      <c r="J686" s="457">
        <v>60</v>
      </c>
      <c r="K686" s="571">
        <v>92</v>
      </c>
      <c r="L686" s="458">
        <f t="shared" si="309"/>
        <v>0.25531914893617019</v>
      </c>
      <c r="M686" s="449">
        <f t="shared" si="310"/>
        <v>0.38333333333333336</v>
      </c>
      <c r="N686" s="459">
        <v>235</v>
      </c>
      <c r="O686" s="459">
        <v>29</v>
      </c>
      <c r="P686" s="459"/>
      <c r="Q686" s="459"/>
      <c r="R686" s="460">
        <f t="shared" si="311"/>
        <v>29</v>
      </c>
      <c r="S686" s="461">
        <v>240</v>
      </c>
      <c r="T686" s="461">
        <v>26</v>
      </c>
      <c r="U686" s="461"/>
      <c r="V686" s="461"/>
      <c r="W686" s="462">
        <f t="shared" si="312"/>
        <v>26</v>
      </c>
      <c r="X686" s="463"/>
      <c r="Y686" s="457"/>
      <c r="Z686" s="464"/>
      <c r="AA686" s="464"/>
      <c r="AB686" s="465"/>
      <c r="AC686" s="457"/>
      <c r="AD686" s="464"/>
      <c r="AE686" s="466"/>
      <c r="AF686" s="465"/>
      <c r="AG686" s="457"/>
      <c r="AH686" s="464"/>
      <c r="AI686" s="466"/>
      <c r="AJ686" s="465"/>
      <c r="AK686" s="457"/>
      <c r="AL686" s="464"/>
      <c r="AM686" s="466"/>
      <c r="AN686" s="465"/>
      <c r="AO686" s="457"/>
      <c r="AP686" s="464"/>
      <c r="AQ686" s="464"/>
      <c r="AR686" s="460">
        <f t="shared" si="313"/>
        <v>0</v>
      </c>
      <c r="AS686" s="467">
        <f t="shared" si="314"/>
        <v>0.79661016949152541</v>
      </c>
      <c r="AT686" s="447">
        <f t="shared" si="315"/>
        <v>0</v>
      </c>
      <c r="AU686" s="448">
        <f t="shared" si="316"/>
        <v>0.72289156626506024</v>
      </c>
      <c r="AV686" s="457"/>
      <c r="AW686" s="450"/>
      <c r="AX686" s="463"/>
      <c r="AY686" s="457"/>
      <c r="AZ686" s="464"/>
      <c r="BA686" s="464"/>
      <c r="BB686" s="465"/>
      <c r="BC686" s="457"/>
      <c r="BD686" s="464"/>
      <c r="BE686" s="466"/>
      <c r="BF686" s="465"/>
      <c r="BG686" s="457"/>
      <c r="BH686" s="464"/>
      <c r="BI686" s="466"/>
      <c r="BJ686" s="465"/>
      <c r="BK686" s="457"/>
      <c r="BL686" s="464"/>
      <c r="BM686" s="466"/>
      <c r="BN686" s="465"/>
      <c r="BO686" s="457"/>
      <c r="BP686" s="464"/>
      <c r="BQ686" s="466"/>
      <c r="BR686" s="465"/>
      <c r="BS686" s="457"/>
      <c r="BT686" s="464"/>
      <c r="BU686" s="466"/>
      <c r="BV686" s="465"/>
      <c r="BW686" s="457"/>
      <c r="BX686" s="464"/>
      <c r="BY686" s="466"/>
      <c r="BZ686" s="465"/>
      <c r="CA686" s="457"/>
      <c r="CB686" s="464"/>
      <c r="CC686" s="466"/>
      <c r="CD686" s="465"/>
      <c r="CE686" s="457"/>
      <c r="CF686" s="464"/>
      <c r="CG686" s="466"/>
      <c r="CH686" s="465"/>
      <c r="CI686" s="457"/>
      <c r="CJ686" s="464"/>
      <c r="CK686" s="466"/>
      <c r="CL686" s="459"/>
      <c r="CM686" s="571"/>
      <c r="CN686" s="468">
        <f t="shared" si="317"/>
        <v>0</v>
      </c>
      <c r="CO686" s="468">
        <f t="shared" si="318"/>
        <v>0</v>
      </c>
      <c r="CP686" s="469">
        <f t="shared" si="319"/>
        <v>0</v>
      </c>
      <c r="CQ686" s="469">
        <f t="shared" si="320"/>
        <v>0</v>
      </c>
      <c r="CR686" s="463"/>
      <c r="CS686" s="457"/>
      <c r="CT686" s="464"/>
      <c r="CU686" s="464"/>
      <c r="CV686" s="465"/>
      <c r="CW686" s="457"/>
      <c r="CX686" s="464"/>
      <c r="CY686" s="466"/>
      <c r="CZ686" s="465"/>
      <c r="DA686" s="457"/>
      <c r="DB686" s="464"/>
      <c r="DC686" s="466"/>
      <c r="DD686" s="465"/>
      <c r="DE686" s="457"/>
      <c r="DF686" s="464"/>
      <c r="DG686" s="466"/>
      <c r="DH686" s="465"/>
      <c r="DI686" s="457"/>
      <c r="DJ686" s="464"/>
      <c r="DK686" s="466"/>
      <c r="DL686" s="465"/>
      <c r="DM686" s="457"/>
      <c r="DN686" s="464"/>
      <c r="DO686" s="466"/>
      <c r="DP686" s="465"/>
      <c r="DQ686" s="457"/>
      <c r="DR686" s="464"/>
      <c r="DS686" s="466"/>
      <c r="DT686" s="465"/>
      <c r="DU686" s="457"/>
      <c r="DV686" s="464"/>
      <c r="DW686" s="466"/>
      <c r="DX686" s="465"/>
      <c r="DY686" s="457"/>
      <c r="DZ686" s="464"/>
      <c r="EA686" s="466"/>
      <c r="EB686" s="465"/>
      <c r="EC686" s="457"/>
      <c r="ED686" s="464"/>
      <c r="EE686" s="466"/>
      <c r="EF686" s="459"/>
      <c r="EG686" s="450"/>
      <c r="EH686" s="460">
        <f t="shared" si="321"/>
        <v>0</v>
      </c>
      <c r="EI686" s="460">
        <f t="shared" si="322"/>
        <v>0</v>
      </c>
      <c r="EJ686" s="458">
        <f t="shared" si="323"/>
        <v>0</v>
      </c>
      <c r="EK686" s="470">
        <f t="shared" si="324"/>
        <v>0</v>
      </c>
      <c r="EL686" s="470">
        <f t="shared" si="325"/>
        <v>0</v>
      </c>
      <c r="EM686" s="449">
        <f t="shared" si="326"/>
        <v>0</v>
      </c>
      <c r="EN686" s="460">
        <f t="shared" si="327"/>
        <v>0</v>
      </c>
      <c r="EO686" s="469">
        <f t="shared" si="328"/>
        <v>0</v>
      </c>
      <c r="EP686" s="471"/>
      <c r="EQ686" s="450"/>
      <c r="ER686" s="471"/>
      <c r="ES686" s="450"/>
      <c r="ET686" s="471"/>
      <c r="EU686" s="450"/>
      <c r="EV686" s="471"/>
      <c r="EW686" s="450"/>
      <c r="EX686" s="471"/>
      <c r="EY686" s="450"/>
      <c r="EZ686" s="471"/>
      <c r="FA686" s="450"/>
      <c r="FB686" s="471"/>
      <c r="FC686" s="450"/>
      <c r="FD686" s="471"/>
      <c r="FE686" s="450"/>
      <c r="FF686" s="471"/>
      <c r="FG686" s="450"/>
      <c r="FH686" s="472"/>
      <c r="FI686" s="450"/>
      <c r="FJ686" s="468">
        <f t="shared" si="329"/>
        <v>0</v>
      </c>
      <c r="FK686" s="469">
        <f t="shared" si="330"/>
        <v>0</v>
      </c>
      <c r="FL686" s="472"/>
      <c r="FM686" s="450"/>
      <c r="FN686" s="460">
        <f t="shared" si="331"/>
        <v>295</v>
      </c>
      <c r="FO686" s="469">
        <f t="shared" si="332"/>
        <v>332</v>
      </c>
    </row>
    <row r="687" spans="1:171" x14ac:dyDescent="0.2">
      <c r="A687" s="585" t="s">
        <v>743</v>
      </c>
      <c r="B687" s="569" t="s">
        <v>752</v>
      </c>
      <c r="C687" s="570"/>
      <c r="D687" s="487">
        <v>237330</v>
      </c>
      <c r="E687" s="484">
        <v>6</v>
      </c>
      <c r="F687" s="532"/>
      <c r="G687" s="450"/>
      <c r="H687" s="457"/>
      <c r="I687" s="450"/>
      <c r="J687" s="457"/>
      <c r="K687" s="571"/>
      <c r="L687" s="458">
        <f t="shared" si="309"/>
        <v>0</v>
      </c>
      <c r="M687" s="449">
        <f t="shared" si="310"/>
        <v>0</v>
      </c>
      <c r="N687" s="459">
        <v>401</v>
      </c>
      <c r="O687" s="459">
        <v>75</v>
      </c>
      <c r="P687" s="459"/>
      <c r="Q687" s="459"/>
      <c r="R687" s="460">
        <f t="shared" si="311"/>
        <v>75</v>
      </c>
      <c r="S687" s="461">
        <v>432</v>
      </c>
      <c r="T687" s="461">
        <f>1+44+56</f>
        <v>101</v>
      </c>
      <c r="U687" s="461"/>
      <c r="V687" s="461"/>
      <c r="W687" s="462">
        <f t="shared" si="312"/>
        <v>101</v>
      </c>
      <c r="X687" s="463"/>
      <c r="Y687" s="457"/>
      <c r="Z687" s="464"/>
      <c r="AA687" s="464"/>
      <c r="AB687" s="465"/>
      <c r="AC687" s="457"/>
      <c r="AD687" s="464"/>
      <c r="AE687" s="466"/>
      <c r="AF687" s="465"/>
      <c r="AG687" s="457"/>
      <c r="AH687" s="464"/>
      <c r="AI687" s="466"/>
      <c r="AJ687" s="465"/>
      <c r="AK687" s="457"/>
      <c r="AL687" s="464"/>
      <c r="AM687" s="466"/>
      <c r="AN687" s="465"/>
      <c r="AO687" s="457"/>
      <c r="AP687" s="464"/>
      <c r="AQ687" s="464"/>
      <c r="AR687" s="460">
        <f t="shared" si="313"/>
        <v>0</v>
      </c>
      <c r="AS687" s="467">
        <f t="shared" si="314"/>
        <v>0.93691588785046731</v>
      </c>
      <c r="AT687" s="447">
        <f t="shared" si="315"/>
        <v>0</v>
      </c>
      <c r="AU687" s="448">
        <f t="shared" si="316"/>
        <v>0.94736842105263153</v>
      </c>
      <c r="AV687" s="457"/>
      <c r="AW687" s="450"/>
      <c r="AX687" s="463">
        <v>13</v>
      </c>
      <c r="AY687" s="457">
        <v>27</v>
      </c>
      <c r="AZ687" s="464">
        <v>13</v>
      </c>
      <c r="BA687" s="464">
        <v>24</v>
      </c>
      <c r="BB687" s="465"/>
      <c r="BC687" s="457"/>
      <c r="BD687" s="464"/>
      <c r="BE687" s="466"/>
      <c r="BF687" s="465"/>
      <c r="BG687" s="457"/>
      <c r="BH687" s="464"/>
      <c r="BI687" s="466"/>
      <c r="BJ687" s="465"/>
      <c r="BK687" s="457"/>
      <c r="BL687" s="464"/>
      <c r="BM687" s="466"/>
      <c r="BN687" s="465"/>
      <c r="BO687" s="457"/>
      <c r="BP687" s="464"/>
      <c r="BQ687" s="466"/>
      <c r="BR687" s="465"/>
      <c r="BS687" s="457"/>
      <c r="BT687" s="464"/>
      <c r="BU687" s="466"/>
      <c r="BV687" s="465"/>
      <c r="BW687" s="457"/>
      <c r="BX687" s="464"/>
      <c r="BY687" s="466"/>
      <c r="BZ687" s="465"/>
      <c r="CA687" s="457"/>
      <c r="CB687" s="464"/>
      <c r="CC687" s="466"/>
      <c r="CD687" s="465"/>
      <c r="CE687" s="457"/>
      <c r="CF687" s="464"/>
      <c r="CG687" s="466"/>
      <c r="CH687" s="465"/>
      <c r="CI687" s="457"/>
      <c r="CJ687" s="464"/>
      <c r="CK687" s="466"/>
      <c r="CL687" s="459">
        <v>0</v>
      </c>
      <c r="CM687" s="571"/>
      <c r="CN687" s="468">
        <f t="shared" si="317"/>
        <v>27</v>
      </c>
      <c r="CO687" s="468">
        <f t="shared" si="318"/>
        <v>1</v>
      </c>
      <c r="CP687" s="469">
        <f t="shared" si="319"/>
        <v>24</v>
      </c>
      <c r="CQ687" s="469">
        <f t="shared" si="320"/>
        <v>1</v>
      </c>
      <c r="CR687" s="463"/>
      <c r="CS687" s="457"/>
      <c r="CT687" s="464"/>
      <c r="CU687" s="464"/>
      <c r="CV687" s="465"/>
      <c r="CW687" s="457"/>
      <c r="CX687" s="464"/>
      <c r="CY687" s="466"/>
      <c r="CZ687" s="465"/>
      <c r="DA687" s="457"/>
      <c r="DB687" s="464"/>
      <c r="DC687" s="466"/>
      <c r="DD687" s="465"/>
      <c r="DE687" s="457"/>
      <c r="DF687" s="464"/>
      <c r="DG687" s="466"/>
      <c r="DH687" s="465"/>
      <c r="DI687" s="457"/>
      <c r="DJ687" s="464"/>
      <c r="DK687" s="466"/>
      <c r="DL687" s="465"/>
      <c r="DM687" s="457"/>
      <c r="DN687" s="464"/>
      <c r="DO687" s="466"/>
      <c r="DP687" s="465"/>
      <c r="DQ687" s="457"/>
      <c r="DR687" s="464"/>
      <c r="DS687" s="466"/>
      <c r="DT687" s="465"/>
      <c r="DU687" s="457"/>
      <c r="DV687" s="464"/>
      <c r="DW687" s="466"/>
      <c r="DX687" s="465"/>
      <c r="DY687" s="457"/>
      <c r="DZ687" s="464"/>
      <c r="EA687" s="466"/>
      <c r="EB687" s="465"/>
      <c r="EC687" s="457"/>
      <c r="ED687" s="464"/>
      <c r="EE687" s="466"/>
      <c r="EF687" s="459"/>
      <c r="EG687" s="450"/>
      <c r="EH687" s="460">
        <f t="shared" si="321"/>
        <v>0</v>
      </c>
      <c r="EI687" s="460">
        <f t="shared" si="322"/>
        <v>0</v>
      </c>
      <c r="EJ687" s="458">
        <f t="shared" si="323"/>
        <v>0</v>
      </c>
      <c r="EK687" s="470">
        <f t="shared" si="324"/>
        <v>0</v>
      </c>
      <c r="EL687" s="470">
        <f t="shared" si="325"/>
        <v>0</v>
      </c>
      <c r="EM687" s="449">
        <f t="shared" si="326"/>
        <v>0</v>
      </c>
      <c r="EN687" s="460">
        <f t="shared" si="327"/>
        <v>27</v>
      </c>
      <c r="EO687" s="469">
        <f t="shared" si="328"/>
        <v>24</v>
      </c>
      <c r="EP687" s="471"/>
      <c r="EQ687" s="450"/>
      <c r="ER687" s="471"/>
      <c r="ES687" s="450"/>
      <c r="ET687" s="471"/>
      <c r="EU687" s="450"/>
      <c r="EV687" s="471"/>
      <c r="EW687" s="450"/>
      <c r="EX687" s="471"/>
      <c r="EY687" s="450"/>
      <c r="EZ687" s="471"/>
      <c r="FA687" s="450"/>
      <c r="FB687" s="471"/>
      <c r="FC687" s="450"/>
      <c r="FD687" s="471"/>
      <c r="FE687" s="450"/>
      <c r="FF687" s="471"/>
      <c r="FG687" s="450"/>
      <c r="FH687" s="472"/>
      <c r="FI687" s="450"/>
      <c r="FJ687" s="468">
        <f t="shared" si="329"/>
        <v>0</v>
      </c>
      <c r="FK687" s="469">
        <f t="shared" si="330"/>
        <v>0</v>
      </c>
      <c r="FL687" s="472"/>
      <c r="FM687" s="450"/>
      <c r="FN687" s="460">
        <f t="shared" si="331"/>
        <v>428</v>
      </c>
      <c r="FO687" s="469">
        <f t="shared" si="332"/>
        <v>456</v>
      </c>
    </row>
    <row r="688" spans="1:171" x14ac:dyDescent="0.2">
      <c r="A688" s="585" t="s">
        <v>743</v>
      </c>
      <c r="B688" s="569" t="s">
        <v>753</v>
      </c>
      <c r="C688" s="570"/>
      <c r="D688" s="487">
        <v>237385</v>
      </c>
      <c r="E688" s="484">
        <v>6</v>
      </c>
      <c r="F688" s="532"/>
      <c r="G688" s="450"/>
      <c r="H688" s="457"/>
      <c r="I688" s="450"/>
      <c r="J688" s="457">
        <v>36</v>
      </c>
      <c r="K688" s="571">
        <v>57</v>
      </c>
      <c r="L688" s="458">
        <f t="shared" si="309"/>
        <v>0.2236024844720497</v>
      </c>
      <c r="M688" s="449">
        <f t="shared" si="310"/>
        <v>0.38</v>
      </c>
      <c r="N688" s="459">
        <v>161</v>
      </c>
      <c r="O688" s="459">
        <v>58</v>
      </c>
      <c r="P688" s="459"/>
      <c r="Q688" s="459"/>
      <c r="R688" s="460">
        <f t="shared" si="311"/>
        <v>58</v>
      </c>
      <c r="S688" s="461">
        <v>150</v>
      </c>
      <c r="T688" s="461">
        <f>2+19+18</f>
        <v>39</v>
      </c>
      <c r="U688" s="461"/>
      <c r="V688" s="461"/>
      <c r="W688" s="462">
        <f t="shared" si="312"/>
        <v>39</v>
      </c>
      <c r="X688" s="463"/>
      <c r="Y688" s="457"/>
      <c r="Z688" s="464"/>
      <c r="AA688" s="464"/>
      <c r="AB688" s="465"/>
      <c r="AC688" s="457"/>
      <c r="AD688" s="464"/>
      <c r="AE688" s="466"/>
      <c r="AF688" s="465"/>
      <c r="AG688" s="457"/>
      <c r="AH688" s="464"/>
      <c r="AI688" s="466"/>
      <c r="AJ688" s="465"/>
      <c r="AK688" s="457"/>
      <c r="AL688" s="464"/>
      <c r="AM688" s="466"/>
      <c r="AN688" s="465"/>
      <c r="AO688" s="457"/>
      <c r="AP688" s="464"/>
      <c r="AQ688" s="464"/>
      <c r="AR688" s="460">
        <f t="shared" si="313"/>
        <v>0</v>
      </c>
      <c r="AS688" s="467">
        <f t="shared" si="314"/>
        <v>0.81725888324873097</v>
      </c>
      <c r="AT688" s="447">
        <f t="shared" si="315"/>
        <v>0</v>
      </c>
      <c r="AU688" s="448">
        <f t="shared" si="316"/>
        <v>0.72463768115942029</v>
      </c>
      <c r="AV688" s="457"/>
      <c r="AW688" s="450"/>
      <c r="AX688" s="463"/>
      <c r="AY688" s="457"/>
      <c r="AZ688" s="464"/>
      <c r="BA688" s="464"/>
      <c r="BB688" s="465"/>
      <c r="BC688" s="457"/>
      <c r="BD688" s="464"/>
      <c r="BE688" s="466"/>
      <c r="BF688" s="465"/>
      <c r="BG688" s="457"/>
      <c r="BH688" s="464"/>
      <c r="BI688" s="466"/>
      <c r="BJ688" s="465"/>
      <c r="BK688" s="457"/>
      <c r="BL688" s="464"/>
      <c r="BM688" s="466"/>
      <c r="BN688" s="465"/>
      <c r="BO688" s="457"/>
      <c r="BP688" s="464"/>
      <c r="BQ688" s="466"/>
      <c r="BR688" s="465"/>
      <c r="BS688" s="457"/>
      <c r="BT688" s="464"/>
      <c r="BU688" s="466"/>
      <c r="BV688" s="465"/>
      <c r="BW688" s="457"/>
      <c r="BX688" s="464"/>
      <c r="BY688" s="466"/>
      <c r="BZ688" s="465"/>
      <c r="CA688" s="457"/>
      <c r="CB688" s="464"/>
      <c r="CC688" s="466"/>
      <c r="CD688" s="465"/>
      <c r="CE688" s="457"/>
      <c r="CF688" s="464"/>
      <c r="CG688" s="466"/>
      <c r="CH688" s="465"/>
      <c r="CI688" s="457"/>
      <c r="CJ688" s="464"/>
      <c r="CK688" s="466"/>
      <c r="CL688" s="459"/>
      <c r="CM688" s="571"/>
      <c r="CN688" s="468">
        <f t="shared" si="317"/>
        <v>0</v>
      </c>
      <c r="CO688" s="468">
        <f t="shared" si="318"/>
        <v>0</v>
      </c>
      <c r="CP688" s="469">
        <f t="shared" si="319"/>
        <v>0</v>
      </c>
      <c r="CQ688" s="469">
        <f t="shared" si="320"/>
        <v>0</v>
      </c>
      <c r="CR688" s="463"/>
      <c r="CS688" s="457"/>
      <c r="CT688" s="464"/>
      <c r="CU688" s="464"/>
      <c r="CV688" s="465"/>
      <c r="CW688" s="457"/>
      <c r="CX688" s="464"/>
      <c r="CY688" s="466"/>
      <c r="CZ688" s="465"/>
      <c r="DA688" s="457"/>
      <c r="DB688" s="464"/>
      <c r="DC688" s="466"/>
      <c r="DD688" s="465"/>
      <c r="DE688" s="457"/>
      <c r="DF688" s="464"/>
      <c r="DG688" s="466"/>
      <c r="DH688" s="465"/>
      <c r="DI688" s="457"/>
      <c r="DJ688" s="464"/>
      <c r="DK688" s="466"/>
      <c r="DL688" s="465"/>
      <c r="DM688" s="457"/>
      <c r="DN688" s="464"/>
      <c r="DO688" s="466"/>
      <c r="DP688" s="465"/>
      <c r="DQ688" s="457"/>
      <c r="DR688" s="464"/>
      <c r="DS688" s="466"/>
      <c r="DT688" s="465"/>
      <c r="DU688" s="457"/>
      <c r="DV688" s="464"/>
      <c r="DW688" s="466"/>
      <c r="DX688" s="465"/>
      <c r="DY688" s="457"/>
      <c r="DZ688" s="464"/>
      <c r="EA688" s="466"/>
      <c r="EB688" s="465"/>
      <c r="EC688" s="457"/>
      <c r="ED688" s="464"/>
      <c r="EE688" s="466"/>
      <c r="EF688" s="459"/>
      <c r="EG688" s="450"/>
      <c r="EH688" s="460">
        <f t="shared" si="321"/>
        <v>0</v>
      </c>
      <c r="EI688" s="460">
        <f t="shared" si="322"/>
        <v>0</v>
      </c>
      <c r="EJ688" s="458">
        <f t="shared" si="323"/>
        <v>0</v>
      </c>
      <c r="EK688" s="470">
        <f t="shared" si="324"/>
        <v>0</v>
      </c>
      <c r="EL688" s="470">
        <f t="shared" si="325"/>
        <v>0</v>
      </c>
      <c r="EM688" s="449">
        <f t="shared" si="326"/>
        <v>0</v>
      </c>
      <c r="EN688" s="460">
        <f t="shared" si="327"/>
        <v>0</v>
      </c>
      <c r="EO688" s="469">
        <f t="shared" si="328"/>
        <v>0</v>
      </c>
      <c r="EP688" s="471"/>
      <c r="EQ688" s="450"/>
      <c r="ER688" s="471"/>
      <c r="ES688" s="450"/>
      <c r="ET688" s="471"/>
      <c r="EU688" s="450"/>
      <c r="EV688" s="471"/>
      <c r="EW688" s="450"/>
      <c r="EX688" s="471"/>
      <c r="EY688" s="450"/>
      <c r="EZ688" s="471"/>
      <c r="FA688" s="450"/>
      <c r="FB688" s="471"/>
      <c r="FC688" s="450"/>
      <c r="FD688" s="471"/>
      <c r="FE688" s="450"/>
      <c r="FF688" s="471"/>
      <c r="FG688" s="450"/>
      <c r="FH688" s="472"/>
      <c r="FI688" s="450"/>
      <c r="FJ688" s="468">
        <f t="shared" si="329"/>
        <v>0</v>
      </c>
      <c r="FK688" s="469">
        <f t="shared" si="330"/>
        <v>0</v>
      </c>
      <c r="FL688" s="472"/>
      <c r="FM688" s="450"/>
      <c r="FN688" s="460">
        <f t="shared" si="331"/>
        <v>197</v>
      </c>
      <c r="FO688" s="469">
        <f t="shared" si="332"/>
        <v>207</v>
      </c>
    </row>
    <row r="689" spans="1:171" x14ac:dyDescent="0.2">
      <c r="A689" s="585" t="s">
        <v>743</v>
      </c>
      <c r="B689" s="583" t="s">
        <v>754</v>
      </c>
      <c r="C689" s="584"/>
      <c r="D689" s="487">
        <v>237932</v>
      </c>
      <c r="E689" s="484">
        <v>6</v>
      </c>
      <c r="F689" s="532"/>
      <c r="G689" s="450"/>
      <c r="H689" s="457"/>
      <c r="I689" s="450"/>
      <c r="J689" s="457">
        <v>34</v>
      </c>
      <c r="K689" s="571">
        <v>31</v>
      </c>
      <c r="L689" s="458">
        <f t="shared" si="309"/>
        <v>8.2926829268292687E-2</v>
      </c>
      <c r="M689" s="449">
        <f t="shared" si="310"/>
        <v>7.7306733167082295E-2</v>
      </c>
      <c r="N689" s="459">
        <v>410</v>
      </c>
      <c r="O689" s="459">
        <v>80</v>
      </c>
      <c r="P689" s="459"/>
      <c r="Q689" s="459"/>
      <c r="R689" s="460">
        <f t="shared" si="311"/>
        <v>80</v>
      </c>
      <c r="S689" s="461">
        <v>401</v>
      </c>
      <c r="T689" s="461">
        <f>30+34</f>
        <v>64</v>
      </c>
      <c r="U689" s="461"/>
      <c r="V689" s="461"/>
      <c r="W689" s="462">
        <f t="shared" si="312"/>
        <v>64</v>
      </c>
      <c r="X689" s="463"/>
      <c r="Y689" s="457"/>
      <c r="Z689" s="464"/>
      <c r="AA689" s="464"/>
      <c r="AB689" s="465"/>
      <c r="AC689" s="457"/>
      <c r="AD689" s="464"/>
      <c r="AE689" s="466"/>
      <c r="AF689" s="465"/>
      <c r="AG689" s="457"/>
      <c r="AH689" s="464"/>
      <c r="AI689" s="466"/>
      <c r="AJ689" s="465"/>
      <c r="AK689" s="457"/>
      <c r="AL689" s="464"/>
      <c r="AM689" s="466"/>
      <c r="AN689" s="465"/>
      <c r="AO689" s="457"/>
      <c r="AP689" s="464"/>
      <c r="AQ689" s="464"/>
      <c r="AR689" s="460">
        <f t="shared" si="313"/>
        <v>0</v>
      </c>
      <c r="AS689" s="467">
        <f t="shared" si="314"/>
        <v>0.87234042553191493</v>
      </c>
      <c r="AT689" s="447">
        <f t="shared" si="315"/>
        <v>0</v>
      </c>
      <c r="AU689" s="448">
        <f t="shared" si="316"/>
        <v>0.88913525498891355</v>
      </c>
      <c r="AV689" s="457"/>
      <c r="AW689" s="450"/>
      <c r="AX689" s="463">
        <v>13</v>
      </c>
      <c r="AY689" s="457">
        <v>26</v>
      </c>
      <c r="AZ689" s="464">
        <v>13</v>
      </c>
      <c r="BA689" s="464">
        <v>19</v>
      </c>
      <c r="BB689" s="465"/>
      <c r="BC689" s="457"/>
      <c r="BD689" s="464"/>
      <c r="BE689" s="466"/>
      <c r="BF689" s="465"/>
      <c r="BG689" s="457"/>
      <c r="BH689" s="464"/>
      <c r="BI689" s="466"/>
      <c r="BJ689" s="465"/>
      <c r="BK689" s="457"/>
      <c r="BL689" s="464"/>
      <c r="BM689" s="466"/>
      <c r="BN689" s="465"/>
      <c r="BO689" s="457"/>
      <c r="BP689" s="464"/>
      <c r="BQ689" s="466"/>
      <c r="BR689" s="465"/>
      <c r="BS689" s="457"/>
      <c r="BT689" s="464"/>
      <c r="BU689" s="466"/>
      <c r="BV689" s="465"/>
      <c r="BW689" s="457"/>
      <c r="BX689" s="464"/>
      <c r="BY689" s="466"/>
      <c r="BZ689" s="465"/>
      <c r="CA689" s="457"/>
      <c r="CB689" s="464"/>
      <c r="CC689" s="466"/>
      <c r="CD689" s="465"/>
      <c r="CE689" s="457"/>
      <c r="CF689" s="464"/>
      <c r="CG689" s="466"/>
      <c r="CH689" s="465"/>
      <c r="CI689" s="457"/>
      <c r="CJ689" s="464"/>
      <c r="CK689" s="466"/>
      <c r="CL689" s="459"/>
      <c r="CM689" s="571"/>
      <c r="CN689" s="468">
        <f t="shared" si="317"/>
        <v>26</v>
      </c>
      <c r="CO689" s="468">
        <f t="shared" si="318"/>
        <v>1</v>
      </c>
      <c r="CP689" s="469">
        <f t="shared" si="319"/>
        <v>19</v>
      </c>
      <c r="CQ689" s="469">
        <f t="shared" si="320"/>
        <v>1</v>
      </c>
      <c r="CR689" s="463"/>
      <c r="CS689" s="457"/>
      <c r="CT689" s="464"/>
      <c r="CU689" s="464"/>
      <c r="CV689" s="465"/>
      <c r="CW689" s="457"/>
      <c r="CX689" s="464"/>
      <c r="CY689" s="466"/>
      <c r="CZ689" s="465"/>
      <c r="DA689" s="457"/>
      <c r="DB689" s="464"/>
      <c r="DC689" s="466"/>
      <c r="DD689" s="465"/>
      <c r="DE689" s="457"/>
      <c r="DF689" s="464"/>
      <c r="DG689" s="466"/>
      <c r="DH689" s="465"/>
      <c r="DI689" s="457"/>
      <c r="DJ689" s="464"/>
      <c r="DK689" s="466"/>
      <c r="DL689" s="465"/>
      <c r="DM689" s="457"/>
      <c r="DN689" s="464"/>
      <c r="DO689" s="466"/>
      <c r="DP689" s="465"/>
      <c r="DQ689" s="457"/>
      <c r="DR689" s="464"/>
      <c r="DS689" s="466"/>
      <c r="DT689" s="465"/>
      <c r="DU689" s="457"/>
      <c r="DV689" s="464"/>
      <c r="DW689" s="466"/>
      <c r="DX689" s="465"/>
      <c r="DY689" s="457"/>
      <c r="DZ689" s="464"/>
      <c r="EA689" s="466"/>
      <c r="EB689" s="465"/>
      <c r="EC689" s="457"/>
      <c r="ED689" s="464"/>
      <c r="EE689" s="466"/>
      <c r="EF689" s="459"/>
      <c r="EG689" s="450"/>
      <c r="EH689" s="460">
        <f t="shared" si="321"/>
        <v>0</v>
      </c>
      <c r="EI689" s="460">
        <f t="shared" si="322"/>
        <v>0</v>
      </c>
      <c r="EJ689" s="458">
        <f t="shared" si="323"/>
        <v>0</v>
      </c>
      <c r="EK689" s="470">
        <f t="shared" si="324"/>
        <v>0</v>
      </c>
      <c r="EL689" s="470">
        <f t="shared" si="325"/>
        <v>0</v>
      </c>
      <c r="EM689" s="449">
        <f t="shared" si="326"/>
        <v>0</v>
      </c>
      <c r="EN689" s="460">
        <f t="shared" si="327"/>
        <v>26</v>
      </c>
      <c r="EO689" s="469">
        <f t="shared" si="328"/>
        <v>19</v>
      </c>
      <c r="EP689" s="471"/>
      <c r="EQ689" s="450"/>
      <c r="ER689" s="471"/>
      <c r="ES689" s="450"/>
      <c r="ET689" s="471"/>
      <c r="EU689" s="450"/>
      <c r="EV689" s="471"/>
      <c r="EW689" s="450"/>
      <c r="EX689" s="471"/>
      <c r="EY689" s="450"/>
      <c r="EZ689" s="471"/>
      <c r="FA689" s="450"/>
      <c r="FB689" s="471"/>
      <c r="FC689" s="450"/>
      <c r="FD689" s="471"/>
      <c r="FE689" s="450"/>
      <c r="FF689" s="471"/>
      <c r="FG689" s="450"/>
      <c r="FH689" s="472"/>
      <c r="FI689" s="450"/>
      <c r="FJ689" s="468">
        <f t="shared" si="329"/>
        <v>0</v>
      </c>
      <c r="FK689" s="469">
        <f t="shared" si="330"/>
        <v>0</v>
      </c>
      <c r="FL689" s="472"/>
      <c r="FM689" s="450"/>
      <c r="FN689" s="460">
        <f t="shared" si="331"/>
        <v>470</v>
      </c>
      <c r="FO689" s="469">
        <f t="shared" si="332"/>
        <v>451</v>
      </c>
    </row>
    <row r="690" spans="1:171" x14ac:dyDescent="0.2">
      <c r="A690" s="585" t="s">
        <v>743</v>
      </c>
      <c r="B690" s="569" t="s">
        <v>755</v>
      </c>
      <c r="C690" s="570"/>
      <c r="D690" s="487">
        <v>237899</v>
      </c>
      <c r="E690" s="484">
        <v>6</v>
      </c>
      <c r="F690" s="532"/>
      <c r="G690" s="450"/>
      <c r="H690" s="457"/>
      <c r="I690" s="450"/>
      <c r="J690" s="457"/>
      <c r="K690" s="571"/>
      <c r="L690" s="458">
        <f t="shared" si="309"/>
        <v>0</v>
      </c>
      <c r="M690" s="449">
        <f t="shared" si="310"/>
        <v>0</v>
      </c>
      <c r="N690" s="459">
        <v>378</v>
      </c>
      <c r="O690" s="459">
        <v>39</v>
      </c>
      <c r="P690" s="459"/>
      <c r="Q690" s="459"/>
      <c r="R690" s="460">
        <f t="shared" si="311"/>
        <v>39</v>
      </c>
      <c r="S690" s="461">
        <v>414</v>
      </c>
      <c r="T690" s="461">
        <f>30+38</f>
        <v>68</v>
      </c>
      <c r="U690" s="461"/>
      <c r="V690" s="461"/>
      <c r="W690" s="462">
        <f t="shared" si="312"/>
        <v>68</v>
      </c>
      <c r="X690" s="463"/>
      <c r="Y690" s="457"/>
      <c r="Z690" s="464"/>
      <c r="AA690" s="464"/>
      <c r="AB690" s="465"/>
      <c r="AC690" s="457"/>
      <c r="AD690" s="464"/>
      <c r="AE690" s="466"/>
      <c r="AF690" s="465"/>
      <c r="AG690" s="457"/>
      <c r="AH690" s="464"/>
      <c r="AI690" s="466"/>
      <c r="AJ690" s="465"/>
      <c r="AK690" s="457"/>
      <c r="AL690" s="464"/>
      <c r="AM690" s="466"/>
      <c r="AN690" s="465"/>
      <c r="AO690" s="457"/>
      <c r="AP690" s="464"/>
      <c r="AQ690" s="464"/>
      <c r="AR690" s="460">
        <f t="shared" si="313"/>
        <v>0</v>
      </c>
      <c r="AS690" s="467">
        <f t="shared" si="314"/>
        <v>0.96923076923076923</v>
      </c>
      <c r="AT690" s="447">
        <f t="shared" si="315"/>
        <v>0</v>
      </c>
      <c r="AU690" s="448">
        <f t="shared" si="316"/>
        <v>0.97411764705882353</v>
      </c>
      <c r="AV690" s="457"/>
      <c r="AW690" s="450"/>
      <c r="AX690" s="463" t="s">
        <v>745</v>
      </c>
      <c r="AY690" s="457">
        <v>6</v>
      </c>
      <c r="AZ690" s="579">
        <v>26</v>
      </c>
      <c r="BA690" s="464">
        <v>6</v>
      </c>
      <c r="BB690" s="465">
        <v>26</v>
      </c>
      <c r="BC690" s="457">
        <v>6</v>
      </c>
      <c r="BD690" s="579" t="s">
        <v>745</v>
      </c>
      <c r="BE690" s="466">
        <v>5</v>
      </c>
      <c r="BF690" s="465"/>
      <c r="BG690" s="457"/>
      <c r="BH690" s="464"/>
      <c r="BI690" s="466"/>
      <c r="BJ690" s="465"/>
      <c r="BK690" s="457"/>
      <c r="BL690" s="464"/>
      <c r="BM690" s="466"/>
      <c r="BN690" s="465"/>
      <c r="BO690" s="457"/>
      <c r="BP690" s="464"/>
      <c r="BQ690" s="466"/>
      <c r="BR690" s="465"/>
      <c r="BS690" s="457"/>
      <c r="BT690" s="464"/>
      <c r="BU690" s="466"/>
      <c r="BV690" s="465"/>
      <c r="BW690" s="457"/>
      <c r="BX690" s="464"/>
      <c r="BY690" s="466"/>
      <c r="BZ690" s="465"/>
      <c r="CA690" s="457"/>
      <c r="CB690" s="464"/>
      <c r="CC690" s="466"/>
      <c r="CD690" s="465"/>
      <c r="CE690" s="457"/>
      <c r="CF690" s="464"/>
      <c r="CG690" s="466"/>
      <c r="CH690" s="465"/>
      <c r="CI690" s="457"/>
      <c r="CJ690" s="464"/>
      <c r="CK690" s="466"/>
      <c r="CL690" s="459">
        <v>0</v>
      </c>
      <c r="CM690" s="571"/>
      <c r="CN690" s="468">
        <f t="shared" si="317"/>
        <v>12</v>
      </c>
      <c r="CO690" s="468">
        <f t="shared" si="318"/>
        <v>2</v>
      </c>
      <c r="CP690" s="469">
        <f t="shared" si="319"/>
        <v>11</v>
      </c>
      <c r="CQ690" s="469">
        <f t="shared" si="320"/>
        <v>2</v>
      </c>
      <c r="CR690" s="463"/>
      <c r="CS690" s="457"/>
      <c r="CT690" s="464"/>
      <c r="CU690" s="464"/>
      <c r="CV690" s="465"/>
      <c r="CW690" s="457"/>
      <c r="CX690" s="464"/>
      <c r="CY690" s="466"/>
      <c r="CZ690" s="465"/>
      <c r="DA690" s="457"/>
      <c r="DB690" s="464"/>
      <c r="DC690" s="466"/>
      <c r="DD690" s="465"/>
      <c r="DE690" s="457"/>
      <c r="DF690" s="464"/>
      <c r="DG690" s="466"/>
      <c r="DH690" s="465"/>
      <c r="DI690" s="457"/>
      <c r="DJ690" s="464"/>
      <c r="DK690" s="466"/>
      <c r="DL690" s="465"/>
      <c r="DM690" s="457"/>
      <c r="DN690" s="464"/>
      <c r="DO690" s="466"/>
      <c r="DP690" s="465"/>
      <c r="DQ690" s="457"/>
      <c r="DR690" s="464"/>
      <c r="DS690" s="466"/>
      <c r="DT690" s="465"/>
      <c r="DU690" s="457"/>
      <c r="DV690" s="464"/>
      <c r="DW690" s="466"/>
      <c r="DX690" s="465"/>
      <c r="DY690" s="457"/>
      <c r="DZ690" s="464"/>
      <c r="EA690" s="466"/>
      <c r="EB690" s="465"/>
      <c r="EC690" s="457"/>
      <c r="ED690" s="464"/>
      <c r="EE690" s="466"/>
      <c r="EF690" s="459"/>
      <c r="EG690" s="450"/>
      <c r="EH690" s="460">
        <f t="shared" si="321"/>
        <v>0</v>
      </c>
      <c r="EI690" s="460">
        <f t="shared" si="322"/>
        <v>0</v>
      </c>
      <c r="EJ690" s="458">
        <f t="shared" si="323"/>
        <v>0</v>
      </c>
      <c r="EK690" s="470">
        <f t="shared" si="324"/>
        <v>0</v>
      </c>
      <c r="EL690" s="470">
        <f t="shared" si="325"/>
        <v>0</v>
      </c>
      <c r="EM690" s="449">
        <f t="shared" si="326"/>
        <v>0</v>
      </c>
      <c r="EN690" s="460">
        <f t="shared" si="327"/>
        <v>12</v>
      </c>
      <c r="EO690" s="469">
        <f t="shared" si="328"/>
        <v>11</v>
      </c>
      <c r="EP690" s="471"/>
      <c r="EQ690" s="450"/>
      <c r="ER690" s="471"/>
      <c r="ES690" s="450"/>
      <c r="ET690" s="471"/>
      <c r="EU690" s="450"/>
      <c r="EV690" s="471"/>
      <c r="EW690" s="450"/>
      <c r="EX690" s="471"/>
      <c r="EY690" s="450"/>
      <c r="EZ690" s="471"/>
      <c r="FA690" s="450"/>
      <c r="FB690" s="471"/>
      <c r="FC690" s="450"/>
      <c r="FD690" s="471"/>
      <c r="FE690" s="450"/>
      <c r="FF690" s="471"/>
      <c r="FG690" s="450"/>
      <c r="FH690" s="472"/>
      <c r="FI690" s="450"/>
      <c r="FJ690" s="468">
        <f t="shared" si="329"/>
        <v>0</v>
      </c>
      <c r="FK690" s="469">
        <f t="shared" si="330"/>
        <v>0</v>
      </c>
      <c r="FL690" s="472"/>
      <c r="FM690" s="450"/>
      <c r="FN690" s="460">
        <f t="shared" si="331"/>
        <v>390</v>
      </c>
      <c r="FO690" s="469">
        <f t="shared" si="332"/>
        <v>425</v>
      </c>
    </row>
    <row r="691" spans="1:171" x14ac:dyDescent="0.2">
      <c r="A691" s="585" t="s">
        <v>743</v>
      </c>
      <c r="B691" s="569" t="s">
        <v>756</v>
      </c>
      <c r="C691" s="570"/>
      <c r="D691" s="487">
        <v>237950</v>
      </c>
      <c r="E691" s="484">
        <v>6</v>
      </c>
      <c r="F691" s="532"/>
      <c r="G691" s="450"/>
      <c r="H691" s="457"/>
      <c r="I691" s="450"/>
      <c r="J691" s="457"/>
      <c r="K691" s="571"/>
      <c r="L691" s="458">
        <f t="shared" si="309"/>
        <v>0</v>
      </c>
      <c r="M691" s="449">
        <f t="shared" si="310"/>
        <v>0</v>
      </c>
      <c r="N691" s="459">
        <v>143</v>
      </c>
      <c r="O691" s="459"/>
      <c r="P691" s="459"/>
      <c r="Q691" s="459"/>
      <c r="R691" s="460">
        <f t="shared" si="311"/>
        <v>0</v>
      </c>
      <c r="S691" s="461">
        <v>161</v>
      </c>
      <c r="T691" s="461">
        <v>3</v>
      </c>
      <c r="U691" s="461"/>
      <c r="V691" s="461"/>
      <c r="W691" s="462">
        <f t="shared" si="312"/>
        <v>3</v>
      </c>
      <c r="X691" s="463"/>
      <c r="Y691" s="457"/>
      <c r="Z691" s="464"/>
      <c r="AA691" s="464"/>
      <c r="AB691" s="465"/>
      <c r="AC691" s="457"/>
      <c r="AD691" s="464"/>
      <c r="AE691" s="466"/>
      <c r="AF691" s="465"/>
      <c r="AG691" s="457"/>
      <c r="AH691" s="464"/>
      <c r="AI691" s="466"/>
      <c r="AJ691" s="465"/>
      <c r="AK691" s="457"/>
      <c r="AL691" s="464"/>
      <c r="AM691" s="466"/>
      <c r="AN691" s="465"/>
      <c r="AO691" s="457"/>
      <c r="AP691" s="464"/>
      <c r="AQ691" s="464"/>
      <c r="AR691" s="460">
        <f t="shared" si="313"/>
        <v>0</v>
      </c>
      <c r="AS691" s="467">
        <f t="shared" si="314"/>
        <v>1</v>
      </c>
      <c r="AT691" s="447">
        <f t="shared" si="315"/>
        <v>0</v>
      </c>
      <c r="AU691" s="448">
        <f t="shared" si="316"/>
        <v>1</v>
      </c>
      <c r="AV691" s="457"/>
      <c r="AW691" s="450"/>
      <c r="AX691" s="463"/>
      <c r="AY691" s="457"/>
      <c r="AZ691" s="464"/>
      <c r="BA691" s="464"/>
      <c r="BB691" s="465"/>
      <c r="BC691" s="457"/>
      <c r="BD691" s="464"/>
      <c r="BE691" s="466"/>
      <c r="BF691" s="465"/>
      <c r="BG691" s="457"/>
      <c r="BH691" s="464"/>
      <c r="BI691" s="466"/>
      <c r="BJ691" s="465"/>
      <c r="BK691" s="457"/>
      <c r="BL691" s="464"/>
      <c r="BM691" s="466"/>
      <c r="BN691" s="465"/>
      <c r="BO691" s="457"/>
      <c r="BP691" s="464"/>
      <c r="BQ691" s="466"/>
      <c r="BR691" s="465"/>
      <c r="BS691" s="457"/>
      <c r="BT691" s="464"/>
      <c r="BU691" s="466"/>
      <c r="BV691" s="465"/>
      <c r="BW691" s="457"/>
      <c r="BX691" s="464"/>
      <c r="BY691" s="466"/>
      <c r="BZ691" s="465"/>
      <c r="CA691" s="457"/>
      <c r="CB691" s="464"/>
      <c r="CC691" s="466"/>
      <c r="CD691" s="465"/>
      <c r="CE691" s="457"/>
      <c r="CF691" s="464"/>
      <c r="CG691" s="466"/>
      <c r="CH691" s="465"/>
      <c r="CI691" s="457"/>
      <c r="CJ691" s="464"/>
      <c r="CK691" s="466"/>
      <c r="CL691" s="459"/>
      <c r="CM691" s="571"/>
      <c r="CN691" s="468">
        <f t="shared" si="317"/>
        <v>0</v>
      </c>
      <c r="CO691" s="468">
        <f t="shared" si="318"/>
        <v>0</v>
      </c>
      <c r="CP691" s="469">
        <f t="shared" si="319"/>
        <v>0</v>
      </c>
      <c r="CQ691" s="469">
        <f t="shared" si="320"/>
        <v>0</v>
      </c>
      <c r="CR691" s="463"/>
      <c r="CS691" s="457"/>
      <c r="CT691" s="464"/>
      <c r="CU691" s="464"/>
      <c r="CV691" s="465"/>
      <c r="CW691" s="457"/>
      <c r="CX691" s="464"/>
      <c r="CY691" s="466"/>
      <c r="CZ691" s="465"/>
      <c r="DA691" s="457"/>
      <c r="DB691" s="464"/>
      <c r="DC691" s="466"/>
      <c r="DD691" s="465"/>
      <c r="DE691" s="457"/>
      <c r="DF691" s="464"/>
      <c r="DG691" s="466"/>
      <c r="DH691" s="465"/>
      <c r="DI691" s="457"/>
      <c r="DJ691" s="464"/>
      <c r="DK691" s="466"/>
      <c r="DL691" s="465"/>
      <c r="DM691" s="457"/>
      <c r="DN691" s="464"/>
      <c r="DO691" s="466"/>
      <c r="DP691" s="465"/>
      <c r="DQ691" s="457"/>
      <c r="DR691" s="464"/>
      <c r="DS691" s="466"/>
      <c r="DT691" s="465"/>
      <c r="DU691" s="457"/>
      <c r="DV691" s="464"/>
      <c r="DW691" s="466"/>
      <c r="DX691" s="465"/>
      <c r="DY691" s="457"/>
      <c r="DZ691" s="464"/>
      <c r="EA691" s="466"/>
      <c r="EB691" s="465"/>
      <c r="EC691" s="457"/>
      <c r="ED691" s="464"/>
      <c r="EE691" s="466"/>
      <c r="EF691" s="459"/>
      <c r="EG691" s="450"/>
      <c r="EH691" s="460">
        <f t="shared" si="321"/>
        <v>0</v>
      </c>
      <c r="EI691" s="460">
        <f t="shared" si="322"/>
        <v>0</v>
      </c>
      <c r="EJ691" s="458">
        <f t="shared" si="323"/>
        <v>0</v>
      </c>
      <c r="EK691" s="470">
        <f t="shared" si="324"/>
        <v>0</v>
      </c>
      <c r="EL691" s="470">
        <f t="shared" si="325"/>
        <v>0</v>
      </c>
      <c r="EM691" s="449">
        <f t="shared" si="326"/>
        <v>0</v>
      </c>
      <c r="EN691" s="460">
        <f t="shared" si="327"/>
        <v>0</v>
      </c>
      <c r="EO691" s="469">
        <f t="shared" si="328"/>
        <v>0</v>
      </c>
      <c r="EP691" s="471"/>
      <c r="EQ691" s="450"/>
      <c r="ER691" s="471"/>
      <c r="ES691" s="450"/>
      <c r="ET691" s="471"/>
      <c r="EU691" s="450"/>
      <c r="EV691" s="471"/>
      <c r="EW691" s="450"/>
      <c r="EX691" s="471"/>
      <c r="EY691" s="450"/>
      <c r="EZ691" s="471"/>
      <c r="FA691" s="450"/>
      <c r="FB691" s="471"/>
      <c r="FC691" s="450"/>
      <c r="FD691" s="471"/>
      <c r="FE691" s="450"/>
      <c r="FF691" s="471"/>
      <c r="FG691" s="450"/>
      <c r="FH691" s="472"/>
      <c r="FI691" s="450"/>
      <c r="FJ691" s="468">
        <f t="shared" si="329"/>
        <v>0</v>
      </c>
      <c r="FK691" s="469">
        <f t="shared" si="330"/>
        <v>0</v>
      </c>
      <c r="FL691" s="472"/>
      <c r="FM691" s="450"/>
      <c r="FN691" s="460">
        <f t="shared" si="331"/>
        <v>143</v>
      </c>
      <c r="FO691" s="469">
        <f t="shared" si="332"/>
        <v>161</v>
      </c>
    </row>
    <row r="692" spans="1:171" x14ac:dyDescent="0.2">
      <c r="A692" s="585" t="s">
        <v>743</v>
      </c>
      <c r="B692" s="586" t="s">
        <v>757</v>
      </c>
      <c r="C692" s="587"/>
      <c r="D692" s="487">
        <v>237701</v>
      </c>
      <c r="E692" s="590">
        <v>7</v>
      </c>
      <c r="F692" s="532">
        <v>2</v>
      </c>
      <c r="G692" s="571">
        <v>0</v>
      </c>
      <c r="H692" s="457"/>
      <c r="I692" s="450"/>
      <c r="J692" s="457">
        <v>192</v>
      </c>
      <c r="K692" s="571">
        <v>172</v>
      </c>
      <c r="L692" s="458">
        <f t="shared" si="309"/>
        <v>10.105263157894736</v>
      </c>
      <c r="M692" s="449">
        <f t="shared" si="310"/>
        <v>9.5555555555555554</v>
      </c>
      <c r="N692" s="459">
        <v>19</v>
      </c>
      <c r="O692" s="459"/>
      <c r="P692" s="459"/>
      <c r="Q692" s="459"/>
      <c r="R692" s="460">
        <f t="shared" si="311"/>
        <v>0</v>
      </c>
      <c r="S692" s="461">
        <v>18</v>
      </c>
      <c r="T692" s="461"/>
      <c r="U692" s="461"/>
      <c r="V692" s="461"/>
      <c r="W692" s="462">
        <f t="shared" si="312"/>
        <v>0</v>
      </c>
      <c r="X692" s="463">
        <v>24</v>
      </c>
      <c r="Y692" s="457">
        <v>19</v>
      </c>
      <c r="Z692" s="464">
        <v>24</v>
      </c>
      <c r="AA692" s="464">
        <v>18</v>
      </c>
      <c r="AB692" s="465"/>
      <c r="AC692" s="457"/>
      <c r="AD692" s="464"/>
      <c r="AE692" s="466"/>
      <c r="AF692" s="465"/>
      <c r="AG692" s="457"/>
      <c r="AH692" s="464"/>
      <c r="AI692" s="466"/>
      <c r="AJ692" s="465"/>
      <c r="AK692" s="457"/>
      <c r="AL692" s="464"/>
      <c r="AM692" s="466"/>
      <c r="AN692" s="465"/>
      <c r="AO692" s="457"/>
      <c r="AP692" s="464"/>
      <c r="AQ692" s="464"/>
      <c r="AR692" s="460">
        <f t="shared" si="313"/>
        <v>1</v>
      </c>
      <c r="AS692" s="467">
        <f t="shared" si="314"/>
        <v>8.9201877934272297E-2</v>
      </c>
      <c r="AT692" s="447">
        <f t="shared" si="315"/>
        <v>1</v>
      </c>
      <c r="AU692" s="448">
        <f t="shared" si="316"/>
        <v>9.4736842105263161E-2</v>
      </c>
      <c r="AV692" s="457"/>
      <c r="AW692" s="450"/>
      <c r="AX692" s="463"/>
      <c r="AY692" s="457"/>
      <c r="AZ692" s="464"/>
      <c r="BA692" s="464"/>
      <c r="BB692" s="465"/>
      <c r="BC692" s="457"/>
      <c r="BD692" s="464"/>
      <c r="BE692" s="466"/>
      <c r="BF692" s="465"/>
      <c r="BG692" s="457"/>
      <c r="BH692" s="464"/>
      <c r="BI692" s="466"/>
      <c r="BJ692" s="465"/>
      <c r="BK692" s="457"/>
      <c r="BL692" s="464"/>
      <c r="BM692" s="466"/>
      <c r="BN692" s="465"/>
      <c r="BO692" s="457"/>
      <c r="BP692" s="464"/>
      <c r="BQ692" s="466"/>
      <c r="BR692" s="465"/>
      <c r="BS692" s="457"/>
      <c r="BT692" s="464"/>
      <c r="BU692" s="466"/>
      <c r="BV692" s="465"/>
      <c r="BW692" s="457"/>
      <c r="BX692" s="464"/>
      <c r="BY692" s="466"/>
      <c r="BZ692" s="465"/>
      <c r="CA692" s="457"/>
      <c r="CB692" s="464"/>
      <c r="CC692" s="466"/>
      <c r="CD692" s="465"/>
      <c r="CE692" s="457"/>
      <c r="CF692" s="464"/>
      <c r="CG692" s="466"/>
      <c r="CH692" s="465"/>
      <c r="CI692" s="457"/>
      <c r="CJ692" s="464"/>
      <c r="CK692" s="466"/>
      <c r="CL692" s="459"/>
      <c r="CM692" s="450"/>
      <c r="CN692" s="468">
        <f t="shared" si="317"/>
        <v>0</v>
      </c>
      <c r="CO692" s="468">
        <f t="shared" si="318"/>
        <v>0</v>
      </c>
      <c r="CP692" s="469">
        <f t="shared" si="319"/>
        <v>0</v>
      </c>
      <c r="CQ692" s="469">
        <f t="shared" si="320"/>
        <v>0</v>
      </c>
      <c r="CR692" s="463"/>
      <c r="CS692" s="457"/>
      <c r="CT692" s="464"/>
      <c r="CU692" s="464"/>
      <c r="CV692" s="465"/>
      <c r="CW692" s="457"/>
      <c r="CX692" s="464"/>
      <c r="CY692" s="466"/>
      <c r="CZ692" s="465"/>
      <c r="DA692" s="457"/>
      <c r="DB692" s="464"/>
      <c r="DC692" s="466"/>
      <c r="DD692" s="465"/>
      <c r="DE692" s="457"/>
      <c r="DF692" s="464"/>
      <c r="DG692" s="466"/>
      <c r="DH692" s="465"/>
      <c r="DI692" s="457"/>
      <c r="DJ692" s="464"/>
      <c r="DK692" s="466"/>
      <c r="DL692" s="465"/>
      <c r="DM692" s="457"/>
      <c r="DN692" s="464"/>
      <c r="DO692" s="466"/>
      <c r="DP692" s="465"/>
      <c r="DQ692" s="457"/>
      <c r="DR692" s="464"/>
      <c r="DS692" s="466"/>
      <c r="DT692" s="465"/>
      <c r="DU692" s="457"/>
      <c r="DV692" s="464"/>
      <c r="DW692" s="466"/>
      <c r="DX692" s="465"/>
      <c r="DY692" s="457"/>
      <c r="DZ692" s="464"/>
      <c r="EA692" s="466"/>
      <c r="EB692" s="465"/>
      <c r="EC692" s="457"/>
      <c r="ED692" s="464"/>
      <c r="EE692" s="466"/>
      <c r="EF692" s="459"/>
      <c r="EG692" s="450"/>
      <c r="EH692" s="460">
        <f t="shared" si="321"/>
        <v>0</v>
      </c>
      <c r="EI692" s="460">
        <f t="shared" si="322"/>
        <v>0</v>
      </c>
      <c r="EJ692" s="458">
        <f t="shared" si="323"/>
        <v>0</v>
      </c>
      <c r="EK692" s="470">
        <f t="shared" si="324"/>
        <v>0</v>
      </c>
      <c r="EL692" s="470">
        <f t="shared" si="325"/>
        <v>0</v>
      </c>
      <c r="EM692" s="449">
        <f t="shared" si="326"/>
        <v>0</v>
      </c>
      <c r="EN692" s="460">
        <f t="shared" si="327"/>
        <v>0</v>
      </c>
      <c r="EO692" s="469">
        <f t="shared" si="328"/>
        <v>0</v>
      </c>
      <c r="EP692" s="471"/>
      <c r="EQ692" s="450"/>
      <c r="ER692" s="471"/>
      <c r="ES692" s="450"/>
      <c r="ET692" s="471"/>
      <c r="EU692" s="450"/>
      <c r="EV692" s="471"/>
      <c r="EW692" s="450"/>
      <c r="EX692" s="471"/>
      <c r="EY692" s="450"/>
      <c r="EZ692" s="471"/>
      <c r="FA692" s="450"/>
      <c r="FB692" s="471"/>
      <c r="FC692" s="450"/>
      <c r="FD692" s="471"/>
      <c r="FE692" s="450"/>
      <c r="FF692" s="471"/>
      <c r="FG692" s="450"/>
      <c r="FH692" s="472"/>
      <c r="FI692" s="450"/>
      <c r="FJ692" s="468">
        <f t="shared" si="329"/>
        <v>0</v>
      </c>
      <c r="FK692" s="469">
        <f t="shared" si="330"/>
        <v>0</v>
      </c>
      <c r="FL692" s="472"/>
      <c r="FM692" s="450"/>
      <c r="FN692" s="460">
        <f t="shared" si="331"/>
        <v>213</v>
      </c>
      <c r="FO692" s="469">
        <f t="shared" si="332"/>
        <v>190</v>
      </c>
    </row>
    <row r="693" spans="1:171" x14ac:dyDescent="0.2">
      <c r="A693" s="585" t="s">
        <v>743</v>
      </c>
      <c r="B693" s="569" t="s">
        <v>758</v>
      </c>
      <c r="C693" s="570"/>
      <c r="D693" s="487">
        <v>237686</v>
      </c>
      <c r="E693" s="590">
        <v>7</v>
      </c>
      <c r="F693" s="532">
        <v>98</v>
      </c>
      <c r="G693" s="571">
        <v>123</v>
      </c>
      <c r="H693" s="457"/>
      <c r="I693" s="450"/>
      <c r="J693" s="457">
        <v>560</v>
      </c>
      <c r="K693" s="571">
        <v>387</v>
      </c>
      <c r="L693" s="458">
        <f t="shared" si="309"/>
        <v>3.1818181818181817</v>
      </c>
      <c r="M693" s="449">
        <f t="shared" si="310"/>
        <v>1.6681034482758621</v>
      </c>
      <c r="N693" s="459">
        <v>176</v>
      </c>
      <c r="O693" s="459">
        <v>29</v>
      </c>
      <c r="P693" s="459"/>
      <c r="Q693" s="459"/>
      <c r="R693" s="460">
        <f t="shared" si="311"/>
        <v>29</v>
      </c>
      <c r="S693" s="461">
        <v>232</v>
      </c>
      <c r="T693" s="461">
        <v>29</v>
      </c>
      <c r="U693" s="461"/>
      <c r="V693" s="461"/>
      <c r="W693" s="462">
        <f t="shared" si="312"/>
        <v>29</v>
      </c>
      <c r="X693" s="463">
        <v>24</v>
      </c>
      <c r="Y693" s="457">
        <v>98</v>
      </c>
      <c r="Z693" s="464">
        <v>24</v>
      </c>
      <c r="AA693" s="464">
        <v>155</v>
      </c>
      <c r="AB693" s="465">
        <v>13</v>
      </c>
      <c r="AC693" s="457">
        <v>29</v>
      </c>
      <c r="AD693" s="464">
        <v>13</v>
      </c>
      <c r="AE693" s="466">
        <v>29</v>
      </c>
      <c r="AF693" s="465">
        <v>52</v>
      </c>
      <c r="AG693" s="457">
        <v>29</v>
      </c>
      <c r="AH693" s="464">
        <v>52</v>
      </c>
      <c r="AI693" s="466">
        <v>29</v>
      </c>
      <c r="AJ693" s="465">
        <v>15</v>
      </c>
      <c r="AK693" s="457">
        <v>19</v>
      </c>
      <c r="AL693" s="464">
        <v>15</v>
      </c>
      <c r="AM693" s="466">
        <v>19</v>
      </c>
      <c r="AN693" s="465">
        <v>30</v>
      </c>
      <c r="AO693" s="457">
        <v>1</v>
      </c>
      <c r="AP693" s="464"/>
      <c r="AQ693" s="464"/>
      <c r="AR693" s="460">
        <f t="shared" si="313"/>
        <v>5</v>
      </c>
      <c r="AS693" s="467">
        <f t="shared" si="314"/>
        <v>0.21103117505995203</v>
      </c>
      <c r="AT693" s="447">
        <f t="shared" si="315"/>
        <v>4</v>
      </c>
      <c r="AU693" s="448">
        <f t="shared" si="316"/>
        <v>0.31266846361185985</v>
      </c>
      <c r="AV693" s="457"/>
      <c r="AW693" s="450"/>
      <c r="AX693" s="463"/>
      <c r="AY693" s="457"/>
      <c r="AZ693" s="464"/>
      <c r="BA693" s="464"/>
      <c r="BB693" s="465"/>
      <c r="BC693" s="457"/>
      <c r="BD693" s="464"/>
      <c r="BE693" s="466"/>
      <c r="BF693" s="465"/>
      <c r="BG693" s="457"/>
      <c r="BH693" s="464"/>
      <c r="BI693" s="466"/>
      <c r="BJ693" s="465"/>
      <c r="BK693" s="457"/>
      <c r="BL693" s="464"/>
      <c r="BM693" s="466"/>
      <c r="BN693" s="465"/>
      <c r="BO693" s="457"/>
      <c r="BP693" s="464"/>
      <c r="BQ693" s="466"/>
      <c r="BR693" s="465"/>
      <c r="BS693" s="457"/>
      <c r="BT693" s="464"/>
      <c r="BU693" s="466"/>
      <c r="BV693" s="465"/>
      <c r="BW693" s="457"/>
      <c r="BX693" s="464"/>
      <c r="BY693" s="466"/>
      <c r="BZ693" s="465"/>
      <c r="CA693" s="457"/>
      <c r="CB693" s="464"/>
      <c r="CC693" s="466"/>
      <c r="CD693" s="465"/>
      <c r="CE693" s="457"/>
      <c r="CF693" s="464"/>
      <c r="CG693" s="466"/>
      <c r="CH693" s="465"/>
      <c r="CI693" s="457"/>
      <c r="CJ693" s="464"/>
      <c r="CK693" s="466"/>
      <c r="CL693" s="459"/>
      <c r="CM693" s="450"/>
      <c r="CN693" s="468">
        <f t="shared" si="317"/>
        <v>0</v>
      </c>
      <c r="CO693" s="468">
        <f t="shared" si="318"/>
        <v>0</v>
      </c>
      <c r="CP693" s="469">
        <f t="shared" si="319"/>
        <v>0</v>
      </c>
      <c r="CQ693" s="469">
        <f t="shared" si="320"/>
        <v>0</v>
      </c>
      <c r="CR693" s="463"/>
      <c r="CS693" s="457"/>
      <c r="CT693" s="464"/>
      <c r="CU693" s="464"/>
      <c r="CV693" s="465"/>
      <c r="CW693" s="457"/>
      <c r="CX693" s="464"/>
      <c r="CY693" s="466"/>
      <c r="CZ693" s="465"/>
      <c r="DA693" s="457"/>
      <c r="DB693" s="464"/>
      <c r="DC693" s="466"/>
      <c r="DD693" s="465"/>
      <c r="DE693" s="457"/>
      <c r="DF693" s="464"/>
      <c r="DG693" s="466"/>
      <c r="DH693" s="465"/>
      <c r="DI693" s="457"/>
      <c r="DJ693" s="464"/>
      <c r="DK693" s="466"/>
      <c r="DL693" s="465"/>
      <c r="DM693" s="457"/>
      <c r="DN693" s="464"/>
      <c r="DO693" s="466"/>
      <c r="DP693" s="465"/>
      <c r="DQ693" s="457"/>
      <c r="DR693" s="464"/>
      <c r="DS693" s="466"/>
      <c r="DT693" s="465"/>
      <c r="DU693" s="457"/>
      <c r="DV693" s="464"/>
      <c r="DW693" s="466"/>
      <c r="DX693" s="465"/>
      <c r="DY693" s="457"/>
      <c r="DZ693" s="464"/>
      <c r="EA693" s="466"/>
      <c r="EB693" s="465"/>
      <c r="EC693" s="457"/>
      <c r="ED693" s="464"/>
      <c r="EE693" s="466"/>
      <c r="EF693" s="459"/>
      <c r="EG693" s="450"/>
      <c r="EH693" s="460">
        <f t="shared" si="321"/>
        <v>0</v>
      </c>
      <c r="EI693" s="460">
        <f t="shared" si="322"/>
        <v>0</v>
      </c>
      <c r="EJ693" s="458">
        <f t="shared" si="323"/>
        <v>0</v>
      </c>
      <c r="EK693" s="470">
        <f t="shared" si="324"/>
        <v>0</v>
      </c>
      <c r="EL693" s="470">
        <f t="shared" si="325"/>
        <v>0</v>
      </c>
      <c r="EM693" s="449">
        <f t="shared" si="326"/>
        <v>0</v>
      </c>
      <c r="EN693" s="460">
        <f t="shared" si="327"/>
        <v>0</v>
      </c>
      <c r="EO693" s="469">
        <f t="shared" si="328"/>
        <v>0</v>
      </c>
      <c r="EP693" s="471"/>
      <c r="EQ693" s="450"/>
      <c r="ER693" s="471"/>
      <c r="ES693" s="450"/>
      <c r="ET693" s="471"/>
      <c r="EU693" s="450"/>
      <c r="EV693" s="471"/>
      <c r="EW693" s="450"/>
      <c r="EX693" s="471"/>
      <c r="EY693" s="450"/>
      <c r="EZ693" s="471"/>
      <c r="FA693" s="450"/>
      <c r="FB693" s="471"/>
      <c r="FC693" s="450"/>
      <c r="FD693" s="471"/>
      <c r="FE693" s="450"/>
      <c r="FF693" s="471"/>
      <c r="FG693" s="450"/>
      <c r="FH693" s="472"/>
      <c r="FI693" s="450"/>
      <c r="FJ693" s="468">
        <f t="shared" si="329"/>
        <v>0</v>
      </c>
      <c r="FK693" s="469">
        <f t="shared" si="330"/>
        <v>0</v>
      </c>
      <c r="FL693" s="472"/>
      <c r="FM693" s="450"/>
      <c r="FN693" s="460">
        <f t="shared" si="331"/>
        <v>834</v>
      </c>
      <c r="FO693" s="469">
        <f t="shared" si="332"/>
        <v>742</v>
      </c>
    </row>
    <row r="694" spans="1:171" x14ac:dyDescent="0.2">
      <c r="A694" s="585" t="s">
        <v>743</v>
      </c>
      <c r="B694" s="400" t="s">
        <v>765</v>
      </c>
      <c r="C694" s="588" t="s">
        <v>769</v>
      </c>
      <c r="D694" s="487">
        <v>447582</v>
      </c>
      <c r="E694" s="589">
        <v>9</v>
      </c>
      <c r="F694" s="532">
        <v>27</v>
      </c>
      <c r="G694" s="571">
        <v>71</v>
      </c>
      <c r="H694" s="457"/>
      <c r="I694" s="450"/>
      <c r="J694" s="457">
        <v>113</v>
      </c>
      <c r="K694" s="571">
        <v>118</v>
      </c>
      <c r="L694" s="458">
        <f t="shared" si="309"/>
        <v>0</v>
      </c>
      <c r="M694" s="449">
        <f t="shared" si="310"/>
        <v>0</v>
      </c>
      <c r="N694" s="459"/>
      <c r="O694" s="459"/>
      <c r="P694" s="459"/>
      <c r="Q694" s="459"/>
      <c r="R694" s="460">
        <f t="shared" si="311"/>
        <v>0</v>
      </c>
      <c r="S694" s="461"/>
      <c r="T694" s="461"/>
      <c r="U694" s="461"/>
      <c r="V694" s="461"/>
      <c r="W694" s="462">
        <f t="shared" si="312"/>
        <v>0</v>
      </c>
      <c r="X694" s="463"/>
      <c r="Y694" s="457"/>
      <c r="Z694" s="464"/>
      <c r="AA694" s="464"/>
      <c r="AB694" s="465"/>
      <c r="AC694" s="457"/>
      <c r="AD694" s="464"/>
      <c r="AE694" s="466"/>
      <c r="AF694" s="465"/>
      <c r="AG694" s="457"/>
      <c r="AH694" s="464"/>
      <c r="AI694" s="466"/>
      <c r="AJ694" s="465"/>
      <c r="AK694" s="457"/>
      <c r="AL694" s="464"/>
      <c r="AM694" s="466"/>
      <c r="AN694" s="465"/>
      <c r="AO694" s="457"/>
      <c r="AP694" s="464"/>
      <c r="AQ694" s="464"/>
      <c r="AR694" s="460">
        <f t="shared" si="313"/>
        <v>0</v>
      </c>
      <c r="AS694" s="467">
        <f t="shared" si="314"/>
        <v>0</v>
      </c>
      <c r="AT694" s="447">
        <f t="shared" si="315"/>
        <v>0</v>
      </c>
      <c r="AU694" s="448">
        <f t="shared" si="316"/>
        <v>0</v>
      </c>
      <c r="AV694" s="457"/>
      <c r="AW694" s="450"/>
      <c r="AX694" s="463"/>
      <c r="AY694" s="457"/>
      <c r="AZ694" s="464"/>
      <c r="BA694" s="464"/>
      <c r="BB694" s="465"/>
      <c r="BC694" s="457"/>
      <c r="BD694" s="464"/>
      <c r="BE694" s="466"/>
      <c r="BF694" s="465"/>
      <c r="BG694" s="457"/>
      <c r="BH694" s="464"/>
      <c r="BI694" s="466"/>
      <c r="BJ694" s="465"/>
      <c r="BK694" s="457"/>
      <c r="BL694" s="464"/>
      <c r="BM694" s="466"/>
      <c r="BN694" s="465"/>
      <c r="BO694" s="457"/>
      <c r="BP694" s="464"/>
      <c r="BQ694" s="466"/>
      <c r="BR694" s="465"/>
      <c r="BS694" s="457"/>
      <c r="BT694" s="464"/>
      <c r="BU694" s="466"/>
      <c r="BV694" s="465"/>
      <c r="BW694" s="457"/>
      <c r="BX694" s="464"/>
      <c r="BY694" s="466"/>
      <c r="BZ694" s="465"/>
      <c r="CA694" s="457"/>
      <c r="CB694" s="464"/>
      <c r="CC694" s="466"/>
      <c r="CD694" s="465"/>
      <c r="CE694" s="457"/>
      <c r="CF694" s="464"/>
      <c r="CG694" s="466"/>
      <c r="CH694" s="465"/>
      <c r="CI694" s="457"/>
      <c r="CJ694" s="464"/>
      <c r="CK694" s="466"/>
      <c r="CL694" s="459"/>
      <c r="CM694" s="450"/>
      <c r="CN694" s="468">
        <f t="shared" si="317"/>
        <v>0</v>
      </c>
      <c r="CO694" s="468">
        <f t="shared" si="318"/>
        <v>0</v>
      </c>
      <c r="CP694" s="469">
        <f t="shared" si="319"/>
        <v>0</v>
      </c>
      <c r="CQ694" s="469">
        <f t="shared" si="320"/>
        <v>0</v>
      </c>
      <c r="CR694" s="463"/>
      <c r="CS694" s="457"/>
      <c r="CT694" s="464"/>
      <c r="CU694" s="464"/>
      <c r="CV694" s="465"/>
      <c r="CW694" s="457"/>
      <c r="CX694" s="464"/>
      <c r="CY694" s="466"/>
      <c r="CZ694" s="465"/>
      <c r="DA694" s="457"/>
      <c r="DB694" s="464"/>
      <c r="DC694" s="466"/>
      <c r="DD694" s="465"/>
      <c r="DE694" s="457"/>
      <c r="DF694" s="464"/>
      <c r="DG694" s="466"/>
      <c r="DH694" s="465"/>
      <c r="DI694" s="457"/>
      <c r="DJ694" s="464"/>
      <c r="DK694" s="466"/>
      <c r="DL694" s="465"/>
      <c r="DM694" s="457"/>
      <c r="DN694" s="464"/>
      <c r="DO694" s="466"/>
      <c r="DP694" s="465"/>
      <c r="DQ694" s="457"/>
      <c r="DR694" s="464"/>
      <c r="DS694" s="466"/>
      <c r="DT694" s="465"/>
      <c r="DU694" s="457"/>
      <c r="DV694" s="464"/>
      <c r="DW694" s="466"/>
      <c r="DX694" s="465"/>
      <c r="DY694" s="457"/>
      <c r="DZ694" s="464"/>
      <c r="EA694" s="466"/>
      <c r="EB694" s="465"/>
      <c r="EC694" s="457"/>
      <c r="ED694" s="464"/>
      <c r="EE694" s="466"/>
      <c r="EF694" s="459"/>
      <c r="EG694" s="450"/>
      <c r="EH694" s="460">
        <f t="shared" si="321"/>
        <v>0</v>
      </c>
      <c r="EI694" s="460">
        <f t="shared" si="322"/>
        <v>0</v>
      </c>
      <c r="EJ694" s="458">
        <f t="shared" si="323"/>
        <v>0</v>
      </c>
      <c r="EK694" s="470">
        <f t="shared" si="324"/>
        <v>0</v>
      </c>
      <c r="EL694" s="470">
        <f t="shared" si="325"/>
        <v>0</v>
      </c>
      <c r="EM694" s="449">
        <f t="shared" si="326"/>
        <v>0</v>
      </c>
      <c r="EN694" s="460">
        <f t="shared" si="327"/>
        <v>0</v>
      </c>
      <c r="EO694" s="469">
        <f t="shared" si="328"/>
        <v>0</v>
      </c>
      <c r="EP694" s="471"/>
      <c r="EQ694" s="450"/>
      <c r="ER694" s="471"/>
      <c r="ES694" s="450"/>
      <c r="ET694" s="471"/>
      <c r="EU694" s="450"/>
      <c r="EV694" s="471"/>
      <c r="EW694" s="450"/>
      <c r="EX694" s="471"/>
      <c r="EY694" s="450"/>
      <c r="EZ694" s="471"/>
      <c r="FA694" s="450"/>
      <c r="FB694" s="471"/>
      <c r="FC694" s="450"/>
      <c r="FD694" s="471"/>
      <c r="FE694" s="450"/>
      <c r="FF694" s="471"/>
      <c r="FG694" s="450"/>
      <c r="FH694" s="472"/>
      <c r="FI694" s="450"/>
      <c r="FJ694" s="468">
        <f t="shared" si="329"/>
        <v>0</v>
      </c>
      <c r="FK694" s="469">
        <f t="shared" si="330"/>
        <v>0</v>
      </c>
      <c r="FL694" s="472"/>
      <c r="FM694" s="450"/>
      <c r="FN694" s="460">
        <f t="shared" si="331"/>
        <v>140</v>
      </c>
      <c r="FO694" s="469">
        <f t="shared" si="332"/>
        <v>189</v>
      </c>
    </row>
    <row r="695" spans="1:171" x14ac:dyDescent="0.2">
      <c r="A695" s="585" t="s">
        <v>743</v>
      </c>
      <c r="B695" s="586" t="s">
        <v>766</v>
      </c>
      <c r="C695" s="588" t="s">
        <v>769</v>
      </c>
      <c r="D695" s="487">
        <v>443492</v>
      </c>
      <c r="E695" s="589">
        <v>9</v>
      </c>
      <c r="F695" s="532">
        <v>63</v>
      </c>
      <c r="G695" s="571">
        <v>47</v>
      </c>
      <c r="H695" s="457"/>
      <c r="I695" s="450"/>
      <c r="J695" s="457">
        <v>252</v>
      </c>
      <c r="K695" s="571">
        <v>333</v>
      </c>
      <c r="L695" s="458">
        <f t="shared" si="309"/>
        <v>0</v>
      </c>
      <c r="M695" s="449">
        <f t="shared" si="310"/>
        <v>0</v>
      </c>
      <c r="N695" s="459"/>
      <c r="O695" s="459"/>
      <c r="P695" s="459"/>
      <c r="Q695" s="459"/>
      <c r="R695" s="460">
        <f t="shared" si="311"/>
        <v>0</v>
      </c>
      <c r="S695" s="461"/>
      <c r="T695" s="461"/>
      <c r="U695" s="461"/>
      <c r="V695" s="461"/>
      <c r="W695" s="462">
        <f t="shared" si="312"/>
        <v>0</v>
      </c>
      <c r="X695" s="463"/>
      <c r="Y695" s="457"/>
      <c r="Z695" s="464"/>
      <c r="AA695" s="464"/>
      <c r="AB695" s="465"/>
      <c r="AC695" s="457"/>
      <c r="AD695" s="464"/>
      <c r="AE695" s="466"/>
      <c r="AF695" s="465"/>
      <c r="AG695" s="457"/>
      <c r="AH695" s="464"/>
      <c r="AI695" s="466"/>
      <c r="AJ695" s="465"/>
      <c r="AK695" s="457"/>
      <c r="AL695" s="464"/>
      <c r="AM695" s="466"/>
      <c r="AN695" s="465"/>
      <c r="AO695" s="457"/>
      <c r="AP695" s="464"/>
      <c r="AQ695" s="464"/>
      <c r="AR695" s="460">
        <f t="shared" si="313"/>
        <v>0</v>
      </c>
      <c r="AS695" s="467">
        <f t="shared" si="314"/>
        <v>0</v>
      </c>
      <c r="AT695" s="447">
        <f t="shared" si="315"/>
        <v>0</v>
      </c>
      <c r="AU695" s="448">
        <f t="shared" si="316"/>
        <v>0</v>
      </c>
      <c r="AV695" s="457"/>
      <c r="AW695" s="450"/>
      <c r="AX695" s="463"/>
      <c r="AY695" s="457"/>
      <c r="AZ695" s="464"/>
      <c r="BA695" s="464"/>
      <c r="BB695" s="465"/>
      <c r="BC695" s="457"/>
      <c r="BD695" s="464"/>
      <c r="BE695" s="466"/>
      <c r="BF695" s="465"/>
      <c r="BG695" s="457"/>
      <c r="BH695" s="464"/>
      <c r="BI695" s="466"/>
      <c r="BJ695" s="465"/>
      <c r="BK695" s="457"/>
      <c r="BL695" s="464"/>
      <c r="BM695" s="466"/>
      <c r="BN695" s="465"/>
      <c r="BO695" s="457"/>
      <c r="BP695" s="464"/>
      <c r="BQ695" s="466"/>
      <c r="BR695" s="465"/>
      <c r="BS695" s="457"/>
      <c r="BT695" s="464"/>
      <c r="BU695" s="466"/>
      <c r="BV695" s="465"/>
      <c r="BW695" s="457"/>
      <c r="BX695" s="464"/>
      <c r="BY695" s="466"/>
      <c r="BZ695" s="465"/>
      <c r="CA695" s="457"/>
      <c r="CB695" s="464"/>
      <c r="CC695" s="466"/>
      <c r="CD695" s="465"/>
      <c r="CE695" s="457"/>
      <c r="CF695" s="464"/>
      <c r="CG695" s="466"/>
      <c r="CH695" s="465"/>
      <c r="CI695" s="457"/>
      <c r="CJ695" s="464"/>
      <c r="CK695" s="466"/>
      <c r="CL695" s="459"/>
      <c r="CM695" s="450"/>
      <c r="CN695" s="468">
        <f t="shared" si="317"/>
        <v>0</v>
      </c>
      <c r="CO695" s="468">
        <f t="shared" si="318"/>
        <v>0</v>
      </c>
      <c r="CP695" s="469">
        <f t="shared" si="319"/>
        <v>0</v>
      </c>
      <c r="CQ695" s="469">
        <f t="shared" si="320"/>
        <v>0</v>
      </c>
      <c r="CR695" s="463"/>
      <c r="CS695" s="457"/>
      <c r="CT695" s="464"/>
      <c r="CU695" s="464"/>
      <c r="CV695" s="465"/>
      <c r="CW695" s="457"/>
      <c r="CX695" s="464"/>
      <c r="CY695" s="466"/>
      <c r="CZ695" s="465"/>
      <c r="DA695" s="457"/>
      <c r="DB695" s="464"/>
      <c r="DC695" s="466"/>
      <c r="DD695" s="465"/>
      <c r="DE695" s="457"/>
      <c r="DF695" s="464"/>
      <c r="DG695" s="466"/>
      <c r="DH695" s="465"/>
      <c r="DI695" s="457"/>
      <c r="DJ695" s="464"/>
      <c r="DK695" s="466"/>
      <c r="DL695" s="465"/>
      <c r="DM695" s="457"/>
      <c r="DN695" s="464"/>
      <c r="DO695" s="466"/>
      <c r="DP695" s="465"/>
      <c r="DQ695" s="457"/>
      <c r="DR695" s="464"/>
      <c r="DS695" s="466"/>
      <c r="DT695" s="465"/>
      <c r="DU695" s="457"/>
      <c r="DV695" s="464"/>
      <c r="DW695" s="466"/>
      <c r="DX695" s="465"/>
      <c r="DY695" s="457"/>
      <c r="DZ695" s="464"/>
      <c r="EA695" s="466"/>
      <c r="EB695" s="465"/>
      <c r="EC695" s="457"/>
      <c r="ED695" s="464"/>
      <c r="EE695" s="466"/>
      <c r="EF695" s="459"/>
      <c r="EG695" s="450"/>
      <c r="EH695" s="460">
        <f t="shared" si="321"/>
        <v>0</v>
      </c>
      <c r="EI695" s="460">
        <f t="shared" si="322"/>
        <v>0</v>
      </c>
      <c r="EJ695" s="458">
        <f t="shared" si="323"/>
        <v>0</v>
      </c>
      <c r="EK695" s="470">
        <f t="shared" si="324"/>
        <v>0</v>
      </c>
      <c r="EL695" s="470">
        <f t="shared" si="325"/>
        <v>0</v>
      </c>
      <c r="EM695" s="449">
        <f t="shared" si="326"/>
        <v>0</v>
      </c>
      <c r="EN695" s="460">
        <f t="shared" si="327"/>
        <v>0</v>
      </c>
      <c r="EO695" s="469">
        <f t="shared" si="328"/>
        <v>0</v>
      </c>
      <c r="EP695" s="471"/>
      <c r="EQ695" s="450"/>
      <c r="ER695" s="471"/>
      <c r="ES695" s="450"/>
      <c r="ET695" s="471"/>
      <c r="EU695" s="450"/>
      <c r="EV695" s="471"/>
      <c r="EW695" s="450"/>
      <c r="EX695" s="471"/>
      <c r="EY695" s="450"/>
      <c r="EZ695" s="471"/>
      <c r="FA695" s="450"/>
      <c r="FB695" s="471"/>
      <c r="FC695" s="450"/>
      <c r="FD695" s="471"/>
      <c r="FE695" s="450"/>
      <c r="FF695" s="471"/>
      <c r="FG695" s="450"/>
      <c r="FH695" s="472"/>
      <c r="FI695" s="450"/>
      <c r="FJ695" s="468">
        <f t="shared" si="329"/>
        <v>0</v>
      </c>
      <c r="FK695" s="469">
        <f t="shared" si="330"/>
        <v>0</v>
      </c>
      <c r="FL695" s="472"/>
      <c r="FM695" s="450"/>
      <c r="FN695" s="460">
        <f t="shared" si="331"/>
        <v>315</v>
      </c>
      <c r="FO695" s="469">
        <f t="shared" si="332"/>
        <v>380</v>
      </c>
    </row>
    <row r="696" spans="1:171" x14ac:dyDescent="0.2">
      <c r="A696" s="585" t="s">
        <v>743</v>
      </c>
      <c r="B696" s="400" t="s">
        <v>759</v>
      </c>
      <c r="C696" s="401" t="s">
        <v>600</v>
      </c>
      <c r="D696" s="487">
        <v>238014</v>
      </c>
      <c r="E696" s="591">
        <v>9</v>
      </c>
      <c r="F696" s="532">
        <v>110</v>
      </c>
      <c r="G696" s="571">
        <v>131</v>
      </c>
      <c r="H696" s="457"/>
      <c r="I696" s="450"/>
      <c r="J696" s="457">
        <v>309</v>
      </c>
      <c r="K696" s="571">
        <v>292</v>
      </c>
      <c r="L696" s="458">
        <f t="shared" si="309"/>
        <v>0</v>
      </c>
      <c r="M696" s="449">
        <f t="shared" si="310"/>
        <v>0</v>
      </c>
      <c r="N696" s="459"/>
      <c r="O696" s="459"/>
      <c r="P696" s="459"/>
      <c r="Q696" s="459"/>
      <c r="R696" s="460">
        <f t="shared" si="311"/>
        <v>0</v>
      </c>
      <c r="S696" s="461"/>
      <c r="T696" s="461"/>
      <c r="U696" s="461"/>
      <c r="V696" s="461"/>
      <c r="W696" s="462">
        <f t="shared" si="312"/>
        <v>0</v>
      </c>
      <c r="X696" s="463"/>
      <c r="Y696" s="457"/>
      <c r="Z696" s="464"/>
      <c r="AA696" s="464"/>
      <c r="AB696" s="465"/>
      <c r="AC696" s="457"/>
      <c r="AD696" s="464"/>
      <c r="AE696" s="466"/>
      <c r="AF696" s="465"/>
      <c r="AG696" s="457"/>
      <c r="AH696" s="464"/>
      <c r="AI696" s="466"/>
      <c r="AJ696" s="465"/>
      <c r="AK696" s="457"/>
      <c r="AL696" s="464"/>
      <c r="AM696" s="466"/>
      <c r="AN696" s="465"/>
      <c r="AO696" s="457"/>
      <c r="AP696" s="464"/>
      <c r="AQ696" s="464"/>
      <c r="AR696" s="460">
        <f t="shared" si="313"/>
        <v>0</v>
      </c>
      <c r="AS696" s="467">
        <f t="shared" si="314"/>
        <v>0</v>
      </c>
      <c r="AT696" s="447">
        <f t="shared" si="315"/>
        <v>0</v>
      </c>
      <c r="AU696" s="448">
        <f t="shared" si="316"/>
        <v>0</v>
      </c>
      <c r="AV696" s="457"/>
      <c r="AW696" s="450"/>
      <c r="AX696" s="463"/>
      <c r="AY696" s="457"/>
      <c r="AZ696" s="464"/>
      <c r="BA696" s="464"/>
      <c r="BB696" s="465"/>
      <c r="BC696" s="457"/>
      <c r="BD696" s="464"/>
      <c r="BE696" s="466"/>
      <c r="BF696" s="465"/>
      <c r="BG696" s="457"/>
      <c r="BH696" s="464"/>
      <c r="BI696" s="466"/>
      <c r="BJ696" s="465"/>
      <c r="BK696" s="457"/>
      <c r="BL696" s="464"/>
      <c r="BM696" s="466"/>
      <c r="BN696" s="465"/>
      <c r="BO696" s="457"/>
      <c r="BP696" s="464"/>
      <c r="BQ696" s="466"/>
      <c r="BR696" s="465"/>
      <c r="BS696" s="457"/>
      <c r="BT696" s="464"/>
      <c r="BU696" s="466"/>
      <c r="BV696" s="465"/>
      <c r="BW696" s="457"/>
      <c r="BX696" s="464"/>
      <c r="BY696" s="466"/>
      <c r="BZ696" s="465"/>
      <c r="CA696" s="457"/>
      <c r="CB696" s="464"/>
      <c r="CC696" s="466"/>
      <c r="CD696" s="465"/>
      <c r="CE696" s="457"/>
      <c r="CF696" s="464"/>
      <c r="CG696" s="466"/>
      <c r="CH696" s="465"/>
      <c r="CI696" s="457"/>
      <c r="CJ696" s="464"/>
      <c r="CK696" s="466"/>
      <c r="CL696" s="459"/>
      <c r="CM696" s="450"/>
      <c r="CN696" s="468">
        <f t="shared" si="317"/>
        <v>0</v>
      </c>
      <c r="CO696" s="468">
        <f t="shared" si="318"/>
        <v>0</v>
      </c>
      <c r="CP696" s="469">
        <f t="shared" si="319"/>
        <v>0</v>
      </c>
      <c r="CQ696" s="469">
        <f t="shared" si="320"/>
        <v>0</v>
      </c>
      <c r="CR696" s="463"/>
      <c r="CS696" s="457"/>
      <c r="CT696" s="464"/>
      <c r="CU696" s="464"/>
      <c r="CV696" s="465"/>
      <c r="CW696" s="457"/>
      <c r="CX696" s="464"/>
      <c r="CY696" s="466"/>
      <c r="CZ696" s="465"/>
      <c r="DA696" s="457"/>
      <c r="DB696" s="464"/>
      <c r="DC696" s="466"/>
      <c r="DD696" s="465"/>
      <c r="DE696" s="457"/>
      <c r="DF696" s="464"/>
      <c r="DG696" s="466"/>
      <c r="DH696" s="465"/>
      <c r="DI696" s="457"/>
      <c r="DJ696" s="464"/>
      <c r="DK696" s="466"/>
      <c r="DL696" s="465"/>
      <c r="DM696" s="457"/>
      <c r="DN696" s="464"/>
      <c r="DO696" s="466"/>
      <c r="DP696" s="465"/>
      <c r="DQ696" s="457"/>
      <c r="DR696" s="464"/>
      <c r="DS696" s="466"/>
      <c r="DT696" s="465"/>
      <c r="DU696" s="457"/>
      <c r="DV696" s="464"/>
      <c r="DW696" s="466"/>
      <c r="DX696" s="465"/>
      <c r="DY696" s="457"/>
      <c r="DZ696" s="464"/>
      <c r="EA696" s="466"/>
      <c r="EB696" s="465"/>
      <c r="EC696" s="457"/>
      <c r="ED696" s="464"/>
      <c r="EE696" s="466"/>
      <c r="EF696" s="459"/>
      <c r="EG696" s="450"/>
      <c r="EH696" s="460">
        <f t="shared" si="321"/>
        <v>0</v>
      </c>
      <c r="EI696" s="460">
        <f t="shared" si="322"/>
        <v>0</v>
      </c>
      <c r="EJ696" s="458">
        <f t="shared" si="323"/>
        <v>0</v>
      </c>
      <c r="EK696" s="470">
        <f t="shared" si="324"/>
        <v>0</v>
      </c>
      <c r="EL696" s="470">
        <f t="shared" si="325"/>
        <v>0</v>
      </c>
      <c r="EM696" s="449">
        <f t="shared" si="326"/>
        <v>0</v>
      </c>
      <c r="EN696" s="460">
        <f t="shared" si="327"/>
        <v>0</v>
      </c>
      <c r="EO696" s="469">
        <f t="shared" si="328"/>
        <v>0</v>
      </c>
      <c r="EP696" s="471"/>
      <c r="EQ696" s="450"/>
      <c r="ER696" s="471"/>
      <c r="ES696" s="450"/>
      <c r="ET696" s="471"/>
      <c r="EU696" s="450"/>
      <c r="EV696" s="471"/>
      <c r="EW696" s="450"/>
      <c r="EX696" s="471"/>
      <c r="EY696" s="450"/>
      <c r="EZ696" s="471"/>
      <c r="FA696" s="450"/>
      <c r="FB696" s="471"/>
      <c r="FC696" s="450"/>
      <c r="FD696" s="471"/>
      <c r="FE696" s="450"/>
      <c r="FF696" s="471"/>
      <c r="FG696" s="450"/>
      <c r="FH696" s="472"/>
      <c r="FI696" s="450"/>
      <c r="FJ696" s="468">
        <f t="shared" si="329"/>
        <v>0</v>
      </c>
      <c r="FK696" s="469">
        <f t="shared" si="330"/>
        <v>0</v>
      </c>
      <c r="FL696" s="472"/>
      <c r="FM696" s="450"/>
      <c r="FN696" s="460">
        <f t="shared" si="331"/>
        <v>419</v>
      </c>
      <c r="FO696" s="469">
        <f t="shared" si="332"/>
        <v>423</v>
      </c>
    </row>
    <row r="697" spans="1:171" x14ac:dyDescent="0.2">
      <c r="A697" s="585" t="s">
        <v>743</v>
      </c>
      <c r="B697" s="569" t="s">
        <v>760</v>
      </c>
      <c r="C697" s="570"/>
      <c r="D697" s="487">
        <v>446774</v>
      </c>
      <c r="E697" s="590">
        <v>10</v>
      </c>
      <c r="F697" s="532">
        <v>147</v>
      </c>
      <c r="G697" s="571">
        <v>211</v>
      </c>
      <c r="H697" s="457"/>
      <c r="I697" s="450"/>
      <c r="J697" s="457">
        <v>229</v>
      </c>
      <c r="K697" s="571">
        <v>376</v>
      </c>
      <c r="L697" s="458">
        <f t="shared" si="309"/>
        <v>0</v>
      </c>
      <c r="M697" s="449">
        <f t="shared" si="310"/>
        <v>0</v>
      </c>
      <c r="N697" s="459"/>
      <c r="O697" s="459"/>
      <c r="P697" s="459"/>
      <c r="Q697" s="459"/>
      <c r="R697" s="460">
        <f t="shared" si="311"/>
        <v>0</v>
      </c>
      <c r="S697" s="461"/>
      <c r="T697" s="461"/>
      <c r="U697" s="461"/>
      <c r="V697" s="461"/>
      <c r="W697" s="462">
        <f t="shared" si="312"/>
        <v>0</v>
      </c>
      <c r="X697" s="463"/>
      <c r="Y697" s="457"/>
      <c r="Z697" s="464"/>
      <c r="AA697" s="464"/>
      <c r="AB697" s="465"/>
      <c r="AC697" s="457"/>
      <c r="AD697" s="464"/>
      <c r="AE697" s="466"/>
      <c r="AF697" s="465"/>
      <c r="AG697" s="457"/>
      <c r="AH697" s="464"/>
      <c r="AI697" s="466"/>
      <c r="AJ697" s="465"/>
      <c r="AK697" s="457"/>
      <c r="AL697" s="464"/>
      <c r="AM697" s="466"/>
      <c r="AN697" s="465"/>
      <c r="AO697" s="457"/>
      <c r="AP697" s="464"/>
      <c r="AQ697" s="464"/>
      <c r="AR697" s="460">
        <f t="shared" si="313"/>
        <v>0</v>
      </c>
      <c r="AS697" s="467">
        <f t="shared" si="314"/>
        <v>0</v>
      </c>
      <c r="AT697" s="447">
        <f t="shared" si="315"/>
        <v>0</v>
      </c>
      <c r="AU697" s="448">
        <f t="shared" si="316"/>
        <v>0</v>
      </c>
      <c r="AV697" s="457"/>
      <c r="AW697" s="450"/>
      <c r="AX697" s="463"/>
      <c r="AY697" s="457"/>
      <c r="AZ697" s="464"/>
      <c r="BA697" s="464"/>
      <c r="BB697" s="465"/>
      <c r="BC697" s="457"/>
      <c r="BD697" s="464"/>
      <c r="BE697" s="466"/>
      <c r="BF697" s="465"/>
      <c r="BG697" s="457"/>
      <c r="BH697" s="464"/>
      <c r="BI697" s="466"/>
      <c r="BJ697" s="465"/>
      <c r="BK697" s="457"/>
      <c r="BL697" s="464"/>
      <c r="BM697" s="466"/>
      <c r="BN697" s="465"/>
      <c r="BO697" s="457"/>
      <c r="BP697" s="464"/>
      <c r="BQ697" s="466"/>
      <c r="BR697" s="465"/>
      <c r="BS697" s="457"/>
      <c r="BT697" s="464"/>
      <c r="BU697" s="466"/>
      <c r="BV697" s="465"/>
      <c r="BW697" s="457"/>
      <c r="BX697" s="464"/>
      <c r="BY697" s="466"/>
      <c r="BZ697" s="465"/>
      <c r="CA697" s="457"/>
      <c r="CB697" s="464"/>
      <c r="CC697" s="466"/>
      <c r="CD697" s="465"/>
      <c r="CE697" s="457"/>
      <c r="CF697" s="464"/>
      <c r="CG697" s="466"/>
      <c r="CH697" s="465"/>
      <c r="CI697" s="457"/>
      <c r="CJ697" s="464"/>
      <c r="CK697" s="466"/>
      <c r="CL697" s="459"/>
      <c r="CM697" s="450"/>
      <c r="CN697" s="468">
        <f t="shared" si="317"/>
        <v>0</v>
      </c>
      <c r="CO697" s="468">
        <f t="shared" si="318"/>
        <v>0</v>
      </c>
      <c r="CP697" s="469">
        <f t="shared" si="319"/>
        <v>0</v>
      </c>
      <c r="CQ697" s="469">
        <f t="shared" si="320"/>
        <v>0</v>
      </c>
      <c r="CR697" s="463"/>
      <c r="CS697" s="457"/>
      <c r="CT697" s="464"/>
      <c r="CU697" s="464"/>
      <c r="CV697" s="465"/>
      <c r="CW697" s="457"/>
      <c r="CX697" s="464"/>
      <c r="CY697" s="466"/>
      <c r="CZ697" s="465"/>
      <c r="DA697" s="457"/>
      <c r="DB697" s="464"/>
      <c r="DC697" s="466"/>
      <c r="DD697" s="465"/>
      <c r="DE697" s="457"/>
      <c r="DF697" s="464"/>
      <c r="DG697" s="466"/>
      <c r="DH697" s="465"/>
      <c r="DI697" s="457"/>
      <c r="DJ697" s="464"/>
      <c r="DK697" s="466"/>
      <c r="DL697" s="465"/>
      <c r="DM697" s="457"/>
      <c r="DN697" s="464"/>
      <c r="DO697" s="466"/>
      <c r="DP697" s="465"/>
      <c r="DQ697" s="457"/>
      <c r="DR697" s="464"/>
      <c r="DS697" s="466"/>
      <c r="DT697" s="465"/>
      <c r="DU697" s="457"/>
      <c r="DV697" s="464"/>
      <c r="DW697" s="466"/>
      <c r="DX697" s="465"/>
      <c r="DY697" s="457"/>
      <c r="DZ697" s="464"/>
      <c r="EA697" s="466"/>
      <c r="EB697" s="465"/>
      <c r="EC697" s="457"/>
      <c r="ED697" s="464"/>
      <c r="EE697" s="466"/>
      <c r="EF697" s="459"/>
      <c r="EG697" s="450"/>
      <c r="EH697" s="460">
        <f t="shared" si="321"/>
        <v>0</v>
      </c>
      <c r="EI697" s="460">
        <f t="shared" si="322"/>
        <v>0</v>
      </c>
      <c r="EJ697" s="458">
        <f t="shared" si="323"/>
        <v>0</v>
      </c>
      <c r="EK697" s="470">
        <f t="shared" si="324"/>
        <v>0</v>
      </c>
      <c r="EL697" s="470">
        <f t="shared" si="325"/>
        <v>0</v>
      </c>
      <c r="EM697" s="449">
        <f t="shared" si="326"/>
        <v>0</v>
      </c>
      <c r="EN697" s="460">
        <f t="shared" si="327"/>
        <v>0</v>
      </c>
      <c r="EO697" s="469">
        <f t="shared" si="328"/>
        <v>0</v>
      </c>
      <c r="EP697" s="471"/>
      <c r="EQ697" s="450"/>
      <c r="ER697" s="471"/>
      <c r="ES697" s="450"/>
      <c r="ET697" s="471"/>
      <c r="EU697" s="450"/>
      <c r="EV697" s="471"/>
      <c r="EW697" s="450"/>
      <c r="EX697" s="471"/>
      <c r="EY697" s="450"/>
      <c r="EZ697" s="471"/>
      <c r="FA697" s="450"/>
      <c r="FB697" s="471"/>
      <c r="FC697" s="450"/>
      <c r="FD697" s="471"/>
      <c r="FE697" s="450"/>
      <c r="FF697" s="471"/>
      <c r="FG697" s="450"/>
      <c r="FH697" s="472"/>
      <c r="FI697" s="450"/>
      <c r="FJ697" s="468">
        <f t="shared" si="329"/>
        <v>0</v>
      </c>
      <c r="FK697" s="469">
        <f t="shared" si="330"/>
        <v>0</v>
      </c>
      <c r="FL697" s="472"/>
      <c r="FM697" s="450"/>
      <c r="FN697" s="460">
        <f t="shared" si="331"/>
        <v>376</v>
      </c>
      <c r="FO697" s="469">
        <f t="shared" si="332"/>
        <v>587</v>
      </c>
    </row>
    <row r="698" spans="1:171" x14ac:dyDescent="0.2">
      <c r="A698" s="585" t="s">
        <v>743</v>
      </c>
      <c r="B698" s="569" t="s">
        <v>761</v>
      </c>
      <c r="C698" s="570"/>
      <c r="D698" s="487">
        <v>445674</v>
      </c>
      <c r="E698" s="590">
        <v>10</v>
      </c>
      <c r="F698" s="532">
        <v>9</v>
      </c>
      <c r="G698" s="571">
        <v>8</v>
      </c>
      <c r="H698" s="457"/>
      <c r="I698" s="450"/>
      <c r="J698" s="457">
        <v>147</v>
      </c>
      <c r="K698" s="571">
        <v>108</v>
      </c>
      <c r="L698" s="458">
        <f t="shared" si="309"/>
        <v>0</v>
      </c>
      <c r="M698" s="449">
        <f t="shared" si="310"/>
        <v>0</v>
      </c>
      <c r="N698" s="459"/>
      <c r="O698" s="459"/>
      <c r="P698" s="459"/>
      <c r="Q698" s="459"/>
      <c r="R698" s="460">
        <f t="shared" si="311"/>
        <v>0</v>
      </c>
      <c r="S698" s="461"/>
      <c r="T698" s="461"/>
      <c r="U698" s="461"/>
      <c r="V698" s="461"/>
      <c r="W698" s="462">
        <f t="shared" si="312"/>
        <v>0</v>
      </c>
      <c r="X698" s="463"/>
      <c r="Y698" s="457"/>
      <c r="Z698" s="464"/>
      <c r="AA698" s="464"/>
      <c r="AB698" s="465"/>
      <c r="AC698" s="457"/>
      <c r="AD698" s="464"/>
      <c r="AE698" s="466"/>
      <c r="AF698" s="465"/>
      <c r="AG698" s="457"/>
      <c r="AH698" s="464"/>
      <c r="AI698" s="466"/>
      <c r="AJ698" s="465"/>
      <c r="AK698" s="457"/>
      <c r="AL698" s="464"/>
      <c r="AM698" s="466"/>
      <c r="AN698" s="465"/>
      <c r="AO698" s="457"/>
      <c r="AP698" s="464"/>
      <c r="AQ698" s="464"/>
      <c r="AR698" s="460">
        <f t="shared" si="313"/>
        <v>0</v>
      </c>
      <c r="AS698" s="467">
        <f t="shared" si="314"/>
        <v>0</v>
      </c>
      <c r="AT698" s="447">
        <f t="shared" si="315"/>
        <v>0</v>
      </c>
      <c r="AU698" s="448">
        <f t="shared" si="316"/>
        <v>0</v>
      </c>
      <c r="AV698" s="457"/>
      <c r="AW698" s="450"/>
      <c r="AX698" s="463"/>
      <c r="AY698" s="457"/>
      <c r="AZ698" s="464"/>
      <c r="BA698" s="464"/>
      <c r="BB698" s="465"/>
      <c r="BC698" s="457"/>
      <c r="BD698" s="464"/>
      <c r="BE698" s="466"/>
      <c r="BF698" s="465"/>
      <c r="BG698" s="457"/>
      <c r="BH698" s="464"/>
      <c r="BI698" s="466"/>
      <c r="BJ698" s="465"/>
      <c r="BK698" s="457"/>
      <c r="BL698" s="464"/>
      <c r="BM698" s="466"/>
      <c r="BN698" s="465"/>
      <c r="BO698" s="457"/>
      <c r="BP698" s="464"/>
      <c r="BQ698" s="466"/>
      <c r="BR698" s="465"/>
      <c r="BS698" s="457"/>
      <c r="BT698" s="464"/>
      <c r="BU698" s="466"/>
      <c r="BV698" s="465"/>
      <c r="BW698" s="457"/>
      <c r="BX698" s="464"/>
      <c r="BY698" s="466"/>
      <c r="BZ698" s="465"/>
      <c r="CA698" s="457"/>
      <c r="CB698" s="464"/>
      <c r="CC698" s="466"/>
      <c r="CD698" s="465"/>
      <c r="CE698" s="457"/>
      <c r="CF698" s="464"/>
      <c r="CG698" s="466"/>
      <c r="CH698" s="465"/>
      <c r="CI698" s="457"/>
      <c r="CJ698" s="464"/>
      <c r="CK698" s="466"/>
      <c r="CL698" s="459"/>
      <c r="CM698" s="450"/>
      <c r="CN698" s="468">
        <f t="shared" si="317"/>
        <v>0</v>
      </c>
      <c r="CO698" s="468">
        <f t="shared" si="318"/>
        <v>0</v>
      </c>
      <c r="CP698" s="469">
        <f t="shared" si="319"/>
        <v>0</v>
      </c>
      <c r="CQ698" s="469">
        <f t="shared" si="320"/>
        <v>0</v>
      </c>
      <c r="CR698" s="463"/>
      <c r="CS698" s="457"/>
      <c r="CT698" s="464"/>
      <c r="CU698" s="464"/>
      <c r="CV698" s="465"/>
      <c r="CW698" s="457"/>
      <c r="CX698" s="464"/>
      <c r="CY698" s="466"/>
      <c r="CZ698" s="465"/>
      <c r="DA698" s="457"/>
      <c r="DB698" s="464"/>
      <c r="DC698" s="466"/>
      <c r="DD698" s="465"/>
      <c r="DE698" s="457"/>
      <c r="DF698" s="464"/>
      <c r="DG698" s="466"/>
      <c r="DH698" s="465"/>
      <c r="DI698" s="457"/>
      <c r="DJ698" s="464"/>
      <c r="DK698" s="466"/>
      <c r="DL698" s="465"/>
      <c r="DM698" s="457"/>
      <c r="DN698" s="464"/>
      <c r="DO698" s="466"/>
      <c r="DP698" s="465"/>
      <c r="DQ698" s="457"/>
      <c r="DR698" s="464"/>
      <c r="DS698" s="466"/>
      <c r="DT698" s="465"/>
      <c r="DU698" s="457"/>
      <c r="DV698" s="464"/>
      <c r="DW698" s="466"/>
      <c r="DX698" s="465"/>
      <c r="DY698" s="457"/>
      <c r="DZ698" s="464"/>
      <c r="EA698" s="466"/>
      <c r="EB698" s="465"/>
      <c r="EC698" s="457"/>
      <c r="ED698" s="464"/>
      <c r="EE698" s="466"/>
      <c r="EF698" s="459"/>
      <c r="EG698" s="450"/>
      <c r="EH698" s="460">
        <f t="shared" si="321"/>
        <v>0</v>
      </c>
      <c r="EI698" s="460">
        <f t="shared" si="322"/>
        <v>0</v>
      </c>
      <c r="EJ698" s="458">
        <f t="shared" si="323"/>
        <v>0</v>
      </c>
      <c r="EK698" s="470">
        <f t="shared" si="324"/>
        <v>0</v>
      </c>
      <c r="EL698" s="470">
        <f t="shared" si="325"/>
        <v>0</v>
      </c>
      <c r="EM698" s="449">
        <f t="shared" si="326"/>
        <v>0</v>
      </c>
      <c r="EN698" s="460">
        <f t="shared" si="327"/>
        <v>0</v>
      </c>
      <c r="EO698" s="469">
        <f t="shared" si="328"/>
        <v>0</v>
      </c>
      <c r="EP698" s="471"/>
      <c r="EQ698" s="450"/>
      <c r="ER698" s="471"/>
      <c r="ES698" s="450"/>
      <c r="ET698" s="471"/>
      <c r="EU698" s="450"/>
      <c r="EV698" s="471"/>
      <c r="EW698" s="450"/>
      <c r="EX698" s="471"/>
      <c r="EY698" s="450"/>
      <c r="EZ698" s="471"/>
      <c r="FA698" s="450"/>
      <c r="FB698" s="471"/>
      <c r="FC698" s="450"/>
      <c r="FD698" s="471"/>
      <c r="FE698" s="450"/>
      <c r="FF698" s="471"/>
      <c r="FG698" s="450"/>
      <c r="FH698" s="472"/>
      <c r="FI698" s="450"/>
      <c r="FJ698" s="468">
        <f t="shared" si="329"/>
        <v>0</v>
      </c>
      <c r="FK698" s="469">
        <f t="shared" si="330"/>
        <v>0</v>
      </c>
      <c r="FL698" s="472"/>
      <c r="FM698" s="450"/>
      <c r="FN698" s="460">
        <f t="shared" si="331"/>
        <v>156</v>
      </c>
      <c r="FO698" s="469">
        <f t="shared" si="332"/>
        <v>116</v>
      </c>
    </row>
    <row r="699" spans="1:171" x14ac:dyDescent="0.2">
      <c r="A699" s="585" t="s">
        <v>743</v>
      </c>
      <c r="B699" s="569" t="s">
        <v>762</v>
      </c>
      <c r="C699" s="570"/>
      <c r="D699" s="487">
        <v>438708</v>
      </c>
      <c r="E699" s="590">
        <v>10</v>
      </c>
      <c r="F699" s="532">
        <v>11</v>
      </c>
      <c r="G699" s="571">
        <v>16</v>
      </c>
      <c r="H699" s="457"/>
      <c r="I699" s="450"/>
      <c r="J699" s="457">
        <v>51</v>
      </c>
      <c r="K699" s="571">
        <v>75</v>
      </c>
      <c r="L699" s="458">
        <f t="shared" si="309"/>
        <v>0</v>
      </c>
      <c r="M699" s="449">
        <f t="shared" si="310"/>
        <v>0</v>
      </c>
      <c r="N699" s="459"/>
      <c r="O699" s="459"/>
      <c r="P699" s="459"/>
      <c r="Q699" s="459"/>
      <c r="R699" s="460">
        <f t="shared" si="311"/>
        <v>0</v>
      </c>
      <c r="S699" s="461"/>
      <c r="T699" s="461"/>
      <c r="U699" s="461"/>
      <c r="V699" s="461"/>
      <c r="W699" s="462">
        <f t="shared" si="312"/>
        <v>0</v>
      </c>
      <c r="X699" s="463"/>
      <c r="Y699" s="457"/>
      <c r="Z699" s="464"/>
      <c r="AA699" s="464"/>
      <c r="AB699" s="465"/>
      <c r="AC699" s="457"/>
      <c r="AD699" s="464"/>
      <c r="AE699" s="466"/>
      <c r="AF699" s="465"/>
      <c r="AG699" s="457"/>
      <c r="AH699" s="464"/>
      <c r="AI699" s="466"/>
      <c r="AJ699" s="465"/>
      <c r="AK699" s="457"/>
      <c r="AL699" s="464"/>
      <c r="AM699" s="466"/>
      <c r="AN699" s="465"/>
      <c r="AO699" s="457"/>
      <c r="AP699" s="464"/>
      <c r="AQ699" s="464"/>
      <c r="AR699" s="460">
        <f t="shared" si="313"/>
        <v>0</v>
      </c>
      <c r="AS699" s="467">
        <f t="shared" si="314"/>
        <v>0</v>
      </c>
      <c r="AT699" s="447">
        <f t="shared" si="315"/>
        <v>0</v>
      </c>
      <c r="AU699" s="448">
        <f t="shared" si="316"/>
        <v>0</v>
      </c>
      <c r="AV699" s="457"/>
      <c r="AW699" s="450"/>
      <c r="AX699" s="463"/>
      <c r="AY699" s="457"/>
      <c r="AZ699" s="464"/>
      <c r="BA699" s="464"/>
      <c r="BB699" s="465"/>
      <c r="BC699" s="457"/>
      <c r="BD699" s="464"/>
      <c r="BE699" s="466"/>
      <c r="BF699" s="465"/>
      <c r="BG699" s="457"/>
      <c r="BH699" s="464"/>
      <c r="BI699" s="466"/>
      <c r="BJ699" s="465"/>
      <c r="BK699" s="457"/>
      <c r="BL699" s="464"/>
      <c r="BM699" s="466"/>
      <c r="BN699" s="465"/>
      <c r="BO699" s="457"/>
      <c r="BP699" s="464"/>
      <c r="BQ699" s="466"/>
      <c r="BR699" s="465"/>
      <c r="BS699" s="457"/>
      <c r="BT699" s="464"/>
      <c r="BU699" s="466"/>
      <c r="BV699" s="465"/>
      <c r="BW699" s="457"/>
      <c r="BX699" s="464"/>
      <c r="BY699" s="466"/>
      <c r="BZ699" s="465"/>
      <c r="CA699" s="457"/>
      <c r="CB699" s="464"/>
      <c r="CC699" s="466"/>
      <c r="CD699" s="465"/>
      <c r="CE699" s="457"/>
      <c r="CF699" s="464"/>
      <c r="CG699" s="466"/>
      <c r="CH699" s="465"/>
      <c r="CI699" s="457"/>
      <c r="CJ699" s="464"/>
      <c r="CK699" s="466"/>
      <c r="CL699" s="459"/>
      <c r="CM699" s="450"/>
      <c r="CN699" s="468">
        <f t="shared" si="317"/>
        <v>0</v>
      </c>
      <c r="CO699" s="468">
        <f t="shared" si="318"/>
        <v>0</v>
      </c>
      <c r="CP699" s="469">
        <f t="shared" si="319"/>
        <v>0</v>
      </c>
      <c r="CQ699" s="469">
        <f t="shared" si="320"/>
        <v>0</v>
      </c>
      <c r="CR699" s="463"/>
      <c r="CS699" s="457"/>
      <c r="CT699" s="464"/>
      <c r="CU699" s="464"/>
      <c r="CV699" s="465"/>
      <c r="CW699" s="457"/>
      <c r="CX699" s="464"/>
      <c r="CY699" s="466"/>
      <c r="CZ699" s="465"/>
      <c r="DA699" s="457"/>
      <c r="DB699" s="464"/>
      <c r="DC699" s="466"/>
      <c r="DD699" s="465"/>
      <c r="DE699" s="457"/>
      <c r="DF699" s="464"/>
      <c r="DG699" s="466"/>
      <c r="DH699" s="465"/>
      <c r="DI699" s="457"/>
      <c r="DJ699" s="464"/>
      <c r="DK699" s="466"/>
      <c r="DL699" s="465"/>
      <c r="DM699" s="457"/>
      <c r="DN699" s="464"/>
      <c r="DO699" s="466"/>
      <c r="DP699" s="465"/>
      <c r="DQ699" s="457"/>
      <c r="DR699" s="464"/>
      <c r="DS699" s="466"/>
      <c r="DT699" s="465"/>
      <c r="DU699" s="457"/>
      <c r="DV699" s="464"/>
      <c r="DW699" s="466"/>
      <c r="DX699" s="465"/>
      <c r="DY699" s="457"/>
      <c r="DZ699" s="464"/>
      <c r="EA699" s="466"/>
      <c r="EB699" s="465"/>
      <c r="EC699" s="457"/>
      <c r="ED699" s="464"/>
      <c r="EE699" s="466"/>
      <c r="EF699" s="459"/>
      <c r="EG699" s="450"/>
      <c r="EH699" s="460">
        <f t="shared" si="321"/>
        <v>0</v>
      </c>
      <c r="EI699" s="460">
        <f t="shared" si="322"/>
        <v>0</v>
      </c>
      <c r="EJ699" s="458">
        <f t="shared" si="323"/>
        <v>0</v>
      </c>
      <c r="EK699" s="470">
        <f t="shared" si="324"/>
        <v>0</v>
      </c>
      <c r="EL699" s="470">
        <f t="shared" si="325"/>
        <v>0</v>
      </c>
      <c r="EM699" s="449">
        <f t="shared" si="326"/>
        <v>0</v>
      </c>
      <c r="EN699" s="460">
        <f t="shared" si="327"/>
        <v>0</v>
      </c>
      <c r="EO699" s="469">
        <f t="shared" si="328"/>
        <v>0</v>
      </c>
      <c r="EP699" s="471"/>
      <c r="EQ699" s="450"/>
      <c r="ER699" s="471"/>
      <c r="ES699" s="450"/>
      <c r="ET699" s="471"/>
      <c r="EU699" s="450"/>
      <c r="EV699" s="471"/>
      <c r="EW699" s="450"/>
      <c r="EX699" s="471"/>
      <c r="EY699" s="450"/>
      <c r="EZ699" s="471"/>
      <c r="FA699" s="450"/>
      <c r="FB699" s="471"/>
      <c r="FC699" s="450"/>
      <c r="FD699" s="471"/>
      <c r="FE699" s="450"/>
      <c r="FF699" s="471"/>
      <c r="FG699" s="450"/>
      <c r="FH699" s="472"/>
      <c r="FI699" s="450"/>
      <c r="FJ699" s="468">
        <f t="shared" si="329"/>
        <v>0</v>
      </c>
      <c r="FK699" s="469">
        <f t="shared" si="330"/>
        <v>0</v>
      </c>
      <c r="FL699" s="472"/>
      <c r="FM699" s="450"/>
      <c r="FN699" s="460">
        <f t="shared" si="331"/>
        <v>62</v>
      </c>
      <c r="FO699" s="469">
        <f t="shared" si="332"/>
        <v>91</v>
      </c>
    </row>
    <row r="700" spans="1:171" x14ac:dyDescent="0.2">
      <c r="A700" s="585" t="s">
        <v>743</v>
      </c>
      <c r="B700" s="400" t="s">
        <v>763</v>
      </c>
      <c r="C700" s="401"/>
      <c r="D700" s="487">
        <v>445018</v>
      </c>
      <c r="E700" s="590">
        <v>10</v>
      </c>
      <c r="F700" s="532">
        <v>25</v>
      </c>
      <c r="G700" s="571">
        <v>44</v>
      </c>
      <c r="H700" s="457"/>
      <c r="I700" s="450"/>
      <c r="J700" s="457">
        <v>252</v>
      </c>
      <c r="K700" s="571">
        <v>282</v>
      </c>
      <c r="L700" s="458">
        <f t="shared" si="309"/>
        <v>0</v>
      </c>
      <c r="M700" s="449">
        <f t="shared" si="310"/>
        <v>0</v>
      </c>
      <c r="N700" s="459"/>
      <c r="O700" s="459"/>
      <c r="P700" s="459"/>
      <c r="Q700" s="459"/>
      <c r="R700" s="460">
        <f t="shared" si="311"/>
        <v>0</v>
      </c>
      <c r="S700" s="461"/>
      <c r="T700" s="461"/>
      <c r="U700" s="461"/>
      <c r="V700" s="461"/>
      <c r="W700" s="462">
        <f t="shared" si="312"/>
        <v>0</v>
      </c>
      <c r="X700" s="463"/>
      <c r="Y700" s="457"/>
      <c r="Z700" s="464"/>
      <c r="AA700" s="464"/>
      <c r="AB700" s="465"/>
      <c r="AC700" s="457"/>
      <c r="AD700" s="464"/>
      <c r="AE700" s="466"/>
      <c r="AF700" s="465"/>
      <c r="AG700" s="457"/>
      <c r="AH700" s="464"/>
      <c r="AI700" s="466"/>
      <c r="AJ700" s="465"/>
      <c r="AK700" s="457"/>
      <c r="AL700" s="464"/>
      <c r="AM700" s="466"/>
      <c r="AN700" s="465"/>
      <c r="AO700" s="457"/>
      <c r="AP700" s="464"/>
      <c r="AQ700" s="464"/>
      <c r="AR700" s="460">
        <f t="shared" si="313"/>
        <v>0</v>
      </c>
      <c r="AS700" s="467">
        <f t="shared" si="314"/>
        <v>0</v>
      </c>
      <c r="AT700" s="447">
        <f t="shared" si="315"/>
        <v>0</v>
      </c>
      <c r="AU700" s="448">
        <f t="shared" si="316"/>
        <v>0</v>
      </c>
      <c r="AV700" s="457"/>
      <c r="AW700" s="450"/>
      <c r="AX700" s="463"/>
      <c r="AY700" s="457"/>
      <c r="AZ700" s="464"/>
      <c r="BA700" s="464"/>
      <c r="BB700" s="465"/>
      <c r="BC700" s="457"/>
      <c r="BD700" s="464"/>
      <c r="BE700" s="466"/>
      <c r="BF700" s="465"/>
      <c r="BG700" s="457"/>
      <c r="BH700" s="464"/>
      <c r="BI700" s="466"/>
      <c r="BJ700" s="465"/>
      <c r="BK700" s="457"/>
      <c r="BL700" s="464"/>
      <c r="BM700" s="466"/>
      <c r="BN700" s="465"/>
      <c r="BO700" s="457"/>
      <c r="BP700" s="464"/>
      <c r="BQ700" s="466"/>
      <c r="BR700" s="465"/>
      <c r="BS700" s="457"/>
      <c r="BT700" s="464"/>
      <c r="BU700" s="466"/>
      <c r="BV700" s="465"/>
      <c r="BW700" s="457"/>
      <c r="BX700" s="464"/>
      <c r="BY700" s="466"/>
      <c r="BZ700" s="465"/>
      <c r="CA700" s="457"/>
      <c r="CB700" s="464"/>
      <c r="CC700" s="466"/>
      <c r="CD700" s="465"/>
      <c r="CE700" s="457"/>
      <c r="CF700" s="464"/>
      <c r="CG700" s="466"/>
      <c r="CH700" s="465"/>
      <c r="CI700" s="457"/>
      <c r="CJ700" s="464"/>
      <c r="CK700" s="466"/>
      <c r="CL700" s="459"/>
      <c r="CM700" s="450"/>
      <c r="CN700" s="468">
        <f t="shared" si="317"/>
        <v>0</v>
      </c>
      <c r="CO700" s="468">
        <f t="shared" si="318"/>
        <v>0</v>
      </c>
      <c r="CP700" s="469">
        <f t="shared" si="319"/>
        <v>0</v>
      </c>
      <c r="CQ700" s="469">
        <f t="shared" si="320"/>
        <v>0</v>
      </c>
      <c r="CR700" s="463"/>
      <c r="CS700" s="457"/>
      <c r="CT700" s="464"/>
      <c r="CU700" s="464"/>
      <c r="CV700" s="465"/>
      <c r="CW700" s="457"/>
      <c r="CX700" s="464"/>
      <c r="CY700" s="466"/>
      <c r="CZ700" s="465"/>
      <c r="DA700" s="457"/>
      <c r="DB700" s="464"/>
      <c r="DC700" s="466"/>
      <c r="DD700" s="465"/>
      <c r="DE700" s="457"/>
      <c r="DF700" s="464"/>
      <c r="DG700" s="466"/>
      <c r="DH700" s="465"/>
      <c r="DI700" s="457"/>
      <c r="DJ700" s="464"/>
      <c r="DK700" s="466"/>
      <c r="DL700" s="465"/>
      <c r="DM700" s="457"/>
      <c r="DN700" s="464"/>
      <c r="DO700" s="466"/>
      <c r="DP700" s="465"/>
      <c r="DQ700" s="457"/>
      <c r="DR700" s="464"/>
      <c r="DS700" s="466"/>
      <c r="DT700" s="465"/>
      <c r="DU700" s="457"/>
      <c r="DV700" s="464"/>
      <c r="DW700" s="466"/>
      <c r="DX700" s="465"/>
      <c r="DY700" s="457"/>
      <c r="DZ700" s="464"/>
      <c r="EA700" s="466"/>
      <c r="EB700" s="465"/>
      <c r="EC700" s="457"/>
      <c r="ED700" s="464"/>
      <c r="EE700" s="466"/>
      <c r="EF700" s="459"/>
      <c r="EG700" s="450"/>
      <c r="EH700" s="460">
        <f t="shared" si="321"/>
        <v>0</v>
      </c>
      <c r="EI700" s="460">
        <f t="shared" si="322"/>
        <v>0</v>
      </c>
      <c r="EJ700" s="458">
        <f t="shared" si="323"/>
        <v>0</v>
      </c>
      <c r="EK700" s="470">
        <f t="shared" si="324"/>
        <v>0</v>
      </c>
      <c r="EL700" s="470">
        <f t="shared" si="325"/>
        <v>0</v>
      </c>
      <c r="EM700" s="449">
        <f t="shared" si="326"/>
        <v>0</v>
      </c>
      <c r="EN700" s="460">
        <f t="shared" si="327"/>
        <v>0</v>
      </c>
      <c r="EO700" s="469">
        <f t="shared" si="328"/>
        <v>0</v>
      </c>
      <c r="EP700" s="471"/>
      <c r="EQ700" s="450"/>
      <c r="ER700" s="471"/>
      <c r="ES700" s="450"/>
      <c r="ET700" s="471"/>
      <c r="EU700" s="450"/>
      <c r="EV700" s="471"/>
      <c r="EW700" s="450"/>
      <c r="EX700" s="471"/>
      <c r="EY700" s="450"/>
      <c r="EZ700" s="471"/>
      <c r="FA700" s="450"/>
      <c r="FB700" s="471"/>
      <c r="FC700" s="450"/>
      <c r="FD700" s="471"/>
      <c r="FE700" s="450"/>
      <c r="FF700" s="471"/>
      <c r="FG700" s="450"/>
      <c r="FH700" s="472"/>
      <c r="FI700" s="450"/>
      <c r="FJ700" s="468">
        <f t="shared" si="329"/>
        <v>0</v>
      </c>
      <c r="FK700" s="469">
        <f t="shared" si="330"/>
        <v>0</v>
      </c>
      <c r="FL700" s="472"/>
      <c r="FM700" s="450"/>
      <c r="FN700" s="460">
        <f t="shared" si="331"/>
        <v>277</v>
      </c>
      <c r="FO700" s="469">
        <f t="shared" si="332"/>
        <v>326</v>
      </c>
    </row>
    <row r="701" spans="1:171" x14ac:dyDescent="0.2">
      <c r="A701" s="585" t="s">
        <v>743</v>
      </c>
      <c r="B701" s="400" t="s">
        <v>764</v>
      </c>
      <c r="C701" s="401"/>
      <c r="D701" s="581">
        <v>444954</v>
      </c>
      <c r="E701" s="590">
        <v>10</v>
      </c>
      <c r="F701" s="532">
        <v>69</v>
      </c>
      <c r="G701" s="571">
        <v>76</v>
      </c>
      <c r="H701" s="457"/>
      <c r="I701" s="450"/>
      <c r="J701" s="457">
        <v>307</v>
      </c>
      <c r="K701" s="571">
        <v>331</v>
      </c>
      <c r="L701" s="458">
        <f t="shared" si="309"/>
        <v>0</v>
      </c>
      <c r="M701" s="449">
        <f t="shared" si="310"/>
        <v>0</v>
      </c>
      <c r="N701" s="459"/>
      <c r="O701" s="459"/>
      <c r="P701" s="459"/>
      <c r="Q701" s="459"/>
      <c r="R701" s="460">
        <f t="shared" si="311"/>
        <v>0</v>
      </c>
      <c r="S701" s="461"/>
      <c r="T701" s="461"/>
      <c r="U701" s="461"/>
      <c r="V701" s="461"/>
      <c r="W701" s="462">
        <f t="shared" si="312"/>
        <v>0</v>
      </c>
      <c r="X701" s="463"/>
      <c r="Y701" s="457"/>
      <c r="Z701" s="464"/>
      <c r="AA701" s="464"/>
      <c r="AB701" s="465"/>
      <c r="AC701" s="457"/>
      <c r="AD701" s="464"/>
      <c r="AE701" s="466"/>
      <c r="AF701" s="465"/>
      <c r="AG701" s="457"/>
      <c r="AH701" s="464"/>
      <c r="AI701" s="466"/>
      <c r="AJ701" s="465"/>
      <c r="AK701" s="457"/>
      <c r="AL701" s="464"/>
      <c r="AM701" s="466"/>
      <c r="AN701" s="465"/>
      <c r="AO701" s="457"/>
      <c r="AP701" s="464"/>
      <c r="AQ701" s="464"/>
      <c r="AR701" s="460">
        <f t="shared" si="313"/>
        <v>0</v>
      </c>
      <c r="AS701" s="467">
        <f t="shared" si="314"/>
        <v>0</v>
      </c>
      <c r="AT701" s="447">
        <f t="shared" si="315"/>
        <v>0</v>
      </c>
      <c r="AU701" s="448">
        <f t="shared" si="316"/>
        <v>0</v>
      </c>
      <c r="AV701" s="457"/>
      <c r="AW701" s="450"/>
      <c r="AX701" s="463"/>
      <c r="AY701" s="457"/>
      <c r="AZ701" s="464"/>
      <c r="BA701" s="464"/>
      <c r="BB701" s="465"/>
      <c r="BC701" s="457"/>
      <c r="BD701" s="464"/>
      <c r="BE701" s="466"/>
      <c r="BF701" s="465"/>
      <c r="BG701" s="457"/>
      <c r="BH701" s="464"/>
      <c r="BI701" s="466"/>
      <c r="BJ701" s="465"/>
      <c r="BK701" s="457"/>
      <c r="BL701" s="464"/>
      <c r="BM701" s="466"/>
      <c r="BN701" s="465"/>
      <c r="BO701" s="457"/>
      <c r="BP701" s="464"/>
      <c r="BQ701" s="466"/>
      <c r="BR701" s="465"/>
      <c r="BS701" s="457"/>
      <c r="BT701" s="464"/>
      <c r="BU701" s="466"/>
      <c r="BV701" s="465"/>
      <c r="BW701" s="457"/>
      <c r="BX701" s="464"/>
      <c r="BY701" s="466"/>
      <c r="BZ701" s="465"/>
      <c r="CA701" s="457"/>
      <c r="CB701" s="464"/>
      <c r="CC701" s="466"/>
      <c r="CD701" s="465"/>
      <c r="CE701" s="457"/>
      <c r="CF701" s="464"/>
      <c r="CG701" s="466"/>
      <c r="CH701" s="465"/>
      <c r="CI701" s="457"/>
      <c r="CJ701" s="464"/>
      <c r="CK701" s="466"/>
      <c r="CL701" s="459"/>
      <c r="CM701" s="450"/>
      <c r="CN701" s="468">
        <f t="shared" si="317"/>
        <v>0</v>
      </c>
      <c r="CO701" s="468">
        <f t="shared" si="318"/>
        <v>0</v>
      </c>
      <c r="CP701" s="469">
        <f t="shared" si="319"/>
        <v>0</v>
      </c>
      <c r="CQ701" s="469">
        <f t="shared" si="320"/>
        <v>0</v>
      </c>
      <c r="CR701" s="463"/>
      <c r="CS701" s="457"/>
      <c r="CT701" s="464"/>
      <c r="CU701" s="464"/>
      <c r="CV701" s="465"/>
      <c r="CW701" s="457"/>
      <c r="CX701" s="464"/>
      <c r="CY701" s="466"/>
      <c r="CZ701" s="465"/>
      <c r="DA701" s="457"/>
      <c r="DB701" s="464"/>
      <c r="DC701" s="466"/>
      <c r="DD701" s="465"/>
      <c r="DE701" s="457"/>
      <c r="DF701" s="464"/>
      <c r="DG701" s="466"/>
      <c r="DH701" s="465"/>
      <c r="DI701" s="457"/>
      <c r="DJ701" s="464"/>
      <c r="DK701" s="466"/>
      <c r="DL701" s="465"/>
      <c r="DM701" s="457"/>
      <c r="DN701" s="464"/>
      <c r="DO701" s="466"/>
      <c r="DP701" s="465"/>
      <c r="DQ701" s="457"/>
      <c r="DR701" s="464"/>
      <c r="DS701" s="466"/>
      <c r="DT701" s="465"/>
      <c r="DU701" s="457"/>
      <c r="DV701" s="464"/>
      <c r="DW701" s="466"/>
      <c r="DX701" s="465"/>
      <c r="DY701" s="457"/>
      <c r="DZ701" s="464"/>
      <c r="EA701" s="466"/>
      <c r="EB701" s="465"/>
      <c r="EC701" s="457"/>
      <c r="ED701" s="464"/>
      <c r="EE701" s="466"/>
      <c r="EF701" s="459"/>
      <c r="EG701" s="450"/>
      <c r="EH701" s="460">
        <f t="shared" si="321"/>
        <v>0</v>
      </c>
      <c r="EI701" s="460">
        <f t="shared" si="322"/>
        <v>0</v>
      </c>
      <c r="EJ701" s="458">
        <f t="shared" si="323"/>
        <v>0</v>
      </c>
      <c r="EK701" s="470">
        <f t="shared" si="324"/>
        <v>0</v>
      </c>
      <c r="EL701" s="470">
        <f t="shared" si="325"/>
        <v>0</v>
      </c>
      <c r="EM701" s="449">
        <f t="shared" si="326"/>
        <v>0</v>
      </c>
      <c r="EN701" s="460">
        <f t="shared" si="327"/>
        <v>0</v>
      </c>
      <c r="EO701" s="469">
        <f t="shared" si="328"/>
        <v>0</v>
      </c>
      <c r="EP701" s="471"/>
      <c r="EQ701" s="450"/>
      <c r="ER701" s="471"/>
      <c r="ES701" s="450"/>
      <c r="ET701" s="471"/>
      <c r="EU701" s="450"/>
      <c r="EV701" s="471"/>
      <c r="EW701" s="450"/>
      <c r="EX701" s="471"/>
      <c r="EY701" s="450"/>
      <c r="EZ701" s="471"/>
      <c r="FA701" s="450"/>
      <c r="FB701" s="471"/>
      <c r="FC701" s="450"/>
      <c r="FD701" s="471"/>
      <c r="FE701" s="450"/>
      <c r="FF701" s="471"/>
      <c r="FG701" s="450"/>
      <c r="FH701" s="472"/>
      <c r="FI701" s="450"/>
      <c r="FJ701" s="468">
        <f t="shared" si="329"/>
        <v>0</v>
      </c>
      <c r="FK701" s="469">
        <f t="shared" si="330"/>
        <v>0</v>
      </c>
      <c r="FL701" s="472"/>
      <c r="FM701" s="450"/>
      <c r="FN701" s="460">
        <f t="shared" si="331"/>
        <v>376</v>
      </c>
      <c r="FO701" s="469">
        <f t="shared" si="332"/>
        <v>407</v>
      </c>
    </row>
    <row r="702" spans="1:171" x14ac:dyDescent="0.2">
      <c r="A702" s="585" t="s">
        <v>743</v>
      </c>
      <c r="B702" s="569" t="s">
        <v>767</v>
      </c>
      <c r="C702" s="570"/>
      <c r="D702" s="487">
        <v>237817</v>
      </c>
      <c r="E702" s="590">
        <v>10</v>
      </c>
      <c r="F702" s="532">
        <v>32</v>
      </c>
      <c r="G702" s="571">
        <v>37</v>
      </c>
      <c r="H702" s="457"/>
      <c r="I702" s="450"/>
      <c r="J702" s="457">
        <v>203</v>
      </c>
      <c r="K702" s="571">
        <v>206</v>
      </c>
      <c r="L702" s="458">
        <f t="shared" si="309"/>
        <v>0</v>
      </c>
      <c r="M702" s="449">
        <f t="shared" si="310"/>
        <v>0</v>
      </c>
      <c r="N702" s="459"/>
      <c r="O702" s="459"/>
      <c r="P702" s="459"/>
      <c r="Q702" s="459"/>
      <c r="R702" s="460">
        <f t="shared" si="311"/>
        <v>0</v>
      </c>
      <c r="S702" s="461"/>
      <c r="T702" s="461"/>
      <c r="U702" s="461"/>
      <c r="V702" s="461"/>
      <c r="W702" s="462">
        <f t="shared" si="312"/>
        <v>0</v>
      </c>
      <c r="X702" s="463"/>
      <c r="Y702" s="457"/>
      <c r="Z702" s="464"/>
      <c r="AA702" s="464"/>
      <c r="AB702" s="465"/>
      <c r="AC702" s="457"/>
      <c r="AD702" s="464"/>
      <c r="AE702" s="466"/>
      <c r="AF702" s="465"/>
      <c r="AG702" s="457"/>
      <c r="AH702" s="464"/>
      <c r="AI702" s="466"/>
      <c r="AJ702" s="465"/>
      <c r="AK702" s="457"/>
      <c r="AL702" s="464"/>
      <c r="AM702" s="466"/>
      <c r="AN702" s="465"/>
      <c r="AO702" s="457"/>
      <c r="AP702" s="464"/>
      <c r="AQ702" s="464"/>
      <c r="AR702" s="460">
        <f t="shared" si="313"/>
        <v>0</v>
      </c>
      <c r="AS702" s="467">
        <f t="shared" si="314"/>
        <v>0</v>
      </c>
      <c r="AT702" s="447">
        <f t="shared" si="315"/>
        <v>0</v>
      </c>
      <c r="AU702" s="448">
        <f t="shared" si="316"/>
        <v>0</v>
      </c>
      <c r="AV702" s="457"/>
      <c r="AW702" s="450"/>
      <c r="AX702" s="463"/>
      <c r="AY702" s="457"/>
      <c r="AZ702" s="464"/>
      <c r="BA702" s="464"/>
      <c r="BB702" s="465"/>
      <c r="BC702" s="457"/>
      <c r="BD702" s="464"/>
      <c r="BE702" s="466"/>
      <c r="BF702" s="465"/>
      <c r="BG702" s="457"/>
      <c r="BH702" s="464"/>
      <c r="BI702" s="466"/>
      <c r="BJ702" s="465"/>
      <c r="BK702" s="457"/>
      <c r="BL702" s="464"/>
      <c r="BM702" s="466"/>
      <c r="BN702" s="465"/>
      <c r="BO702" s="457"/>
      <c r="BP702" s="464"/>
      <c r="BQ702" s="466"/>
      <c r="BR702" s="465"/>
      <c r="BS702" s="457"/>
      <c r="BT702" s="464"/>
      <c r="BU702" s="466"/>
      <c r="BV702" s="465"/>
      <c r="BW702" s="457"/>
      <c r="BX702" s="464"/>
      <c r="BY702" s="466"/>
      <c r="BZ702" s="465"/>
      <c r="CA702" s="457"/>
      <c r="CB702" s="464"/>
      <c r="CC702" s="466"/>
      <c r="CD702" s="465"/>
      <c r="CE702" s="457"/>
      <c r="CF702" s="464"/>
      <c r="CG702" s="466"/>
      <c r="CH702" s="465"/>
      <c r="CI702" s="457"/>
      <c r="CJ702" s="464"/>
      <c r="CK702" s="466"/>
      <c r="CL702" s="459"/>
      <c r="CM702" s="450"/>
      <c r="CN702" s="468">
        <f t="shared" si="317"/>
        <v>0</v>
      </c>
      <c r="CO702" s="468">
        <f t="shared" si="318"/>
        <v>0</v>
      </c>
      <c r="CP702" s="469">
        <f t="shared" si="319"/>
        <v>0</v>
      </c>
      <c r="CQ702" s="469">
        <f t="shared" si="320"/>
        <v>0</v>
      </c>
      <c r="CR702" s="463"/>
      <c r="CS702" s="457"/>
      <c r="CT702" s="464"/>
      <c r="CU702" s="464"/>
      <c r="CV702" s="465"/>
      <c r="CW702" s="457"/>
      <c r="CX702" s="464"/>
      <c r="CY702" s="466"/>
      <c r="CZ702" s="465"/>
      <c r="DA702" s="457"/>
      <c r="DB702" s="464"/>
      <c r="DC702" s="466"/>
      <c r="DD702" s="465"/>
      <c r="DE702" s="457"/>
      <c r="DF702" s="464"/>
      <c r="DG702" s="466"/>
      <c r="DH702" s="465"/>
      <c r="DI702" s="457"/>
      <c r="DJ702" s="464"/>
      <c r="DK702" s="466"/>
      <c r="DL702" s="465"/>
      <c r="DM702" s="457"/>
      <c r="DN702" s="464"/>
      <c r="DO702" s="466"/>
      <c r="DP702" s="465"/>
      <c r="DQ702" s="457"/>
      <c r="DR702" s="464"/>
      <c r="DS702" s="466"/>
      <c r="DT702" s="465"/>
      <c r="DU702" s="457"/>
      <c r="DV702" s="464"/>
      <c r="DW702" s="466"/>
      <c r="DX702" s="465"/>
      <c r="DY702" s="457"/>
      <c r="DZ702" s="464"/>
      <c r="EA702" s="466"/>
      <c r="EB702" s="465"/>
      <c r="EC702" s="457"/>
      <c r="ED702" s="464"/>
      <c r="EE702" s="466"/>
      <c r="EF702" s="459"/>
      <c r="EG702" s="450"/>
      <c r="EH702" s="460">
        <f t="shared" si="321"/>
        <v>0</v>
      </c>
      <c r="EI702" s="460">
        <f t="shared" si="322"/>
        <v>0</v>
      </c>
      <c r="EJ702" s="458">
        <f t="shared" si="323"/>
        <v>0</v>
      </c>
      <c r="EK702" s="470">
        <f t="shared" si="324"/>
        <v>0</v>
      </c>
      <c r="EL702" s="470">
        <f t="shared" si="325"/>
        <v>0</v>
      </c>
      <c r="EM702" s="449">
        <f t="shared" si="326"/>
        <v>0</v>
      </c>
      <c r="EN702" s="460">
        <f t="shared" si="327"/>
        <v>0</v>
      </c>
      <c r="EO702" s="469">
        <f t="shared" si="328"/>
        <v>0</v>
      </c>
      <c r="EP702" s="471"/>
      <c r="EQ702" s="450"/>
      <c r="ER702" s="471"/>
      <c r="ES702" s="450"/>
      <c r="ET702" s="471"/>
      <c r="EU702" s="450"/>
      <c r="EV702" s="471"/>
      <c r="EW702" s="450"/>
      <c r="EX702" s="471"/>
      <c r="EY702" s="450"/>
      <c r="EZ702" s="471"/>
      <c r="FA702" s="450"/>
      <c r="FB702" s="471"/>
      <c r="FC702" s="450"/>
      <c r="FD702" s="471"/>
      <c r="FE702" s="450"/>
      <c r="FF702" s="471"/>
      <c r="FG702" s="450"/>
      <c r="FH702" s="472"/>
      <c r="FI702" s="450"/>
      <c r="FJ702" s="468">
        <f t="shared" si="329"/>
        <v>0</v>
      </c>
      <c r="FK702" s="469">
        <f t="shared" si="330"/>
        <v>0</v>
      </c>
      <c r="FL702" s="472"/>
      <c r="FM702" s="450"/>
      <c r="FN702" s="460">
        <f t="shared" si="331"/>
        <v>235</v>
      </c>
      <c r="FO702" s="469">
        <f t="shared" si="332"/>
        <v>243</v>
      </c>
    </row>
    <row r="703" spans="1:171" x14ac:dyDescent="0.2">
      <c r="A703" s="850" t="s">
        <v>743</v>
      </c>
      <c r="B703" s="569" t="s">
        <v>768</v>
      </c>
      <c r="C703" s="570"/>
      <c r="D703" s="487">
        <v>237880</v>
      </c>
      <c r="E703" s="484">
        <v>15</v>
      </c>
      <c r="F703" s="532"/>
      <c r="G703" s="571"/>
      <c r="H703" s="457"/>
      <c r="I703" s="450"/>
      <c r="J703" s="457"/>
      <c r="K703" s="571"/>
      <c r="L703" s="458">
        <f t="shared" si="309"/>
        <v>0</v>
      </c>
      <c r="M703" s="449">
        <f t="shared" si="310"/>
        <v>0</v>
      </c>
      <c r="N703" s="459"/>
      <c r="O703" s="459"/>
      <c r="P703" s="459"/>
      <c r="Q703" s="459"/>
      <c r="R703" s="460">
        <f t="shared" si="311"/>
        <v>0</v>
      </c>
      <c r="S703" s="461"/>
      <c r="T703" s="461"/>
      <c r="U703" s="461"/>
      <c r="V703" s="461"/>
      <c r="W703" s="462">
        <f t="shared" si="312"/>
        <v>0</v>
      </c>
      <c r="X703" s="463"/>
      <c r="Y703" s="457"/>
      <c r="Z703" s="464"/>
      <c r="AA703" s="464"/>
      <c r="AB703" s="465"/>
      <c r="AC703" s="457"/>
      <c r="AD703" s="464"/>
      <c r="AE703" s="466"/>
      <c r="AF703" s="465"/>
      <c r="AG703" s="457"/>
      <c r="AH703" s="464"/>
      <c r="AI703" s="466"/>
      <c r="AJ703" s="465"/>
      <c r="AK703" s="457"/>
      <c r="AL703" s="464"/>
      <c r="AM703" s="466"/>
      <c r="AN703" s="465"/>
      <c r="AO703" s="457"/>
      <c r="AP703" s="464"/>
      <c r="AQ703" s="464"/>
      <c r="AR703" s="460">
        <f t="shared" si="313"/>
        <v>0</v>
      </c>
      <c r="AS703" s="467">
        <f t="shared" si="314"/>
        <v>0</v>
      </c>
      <c r="AT703" s="447">
        <f t="shared" si="315"/>
        <v>0</v>
      </c>
      <c r="AU703" s="448">
        <f t="shared" si="316"/>
        <v>0</v>
      </c>
      <c r="AV703" s="457"/>
      <c r="AW703" s="450"/>
      <c r="AX703" s="463"/>
      <c r="AY703" s="457"/>
      <c r="AZ703" s="464"/>
      <c r="BA703" s="464"/>
      <c r="BB703" s="465"/>
      <c r="BC703" s="457"/>
      <c r="BD703" s="464"/>
      <c r="BE703" s="466"/>
      <c r="BF703" s="465"/>
      <c r="BG703" s="457"/>
      <c r="BH703" s="464"/>
      <c r="BI703" s="466"/>
      <c r="BJ703" s="465"/>
      <c r="BK703" s="457"/>
      <c r="BL703" s="464"/>
      <c r="BM703" s="466"/>
      <c r="BN703" s="465"/>
      <c r="BO703" s="457"/>
      <c r="BP703" s="464"/>
      <c r="BQ703" s="466"/>
      <c r="BR703" s="465"/>
      <c r="BS703" s="457"/>
      <c r="BT703" s="464"/>
      <c r="BU703" s="466"/>
      <c r="BV703" s="465"/>
      <c r="BW703" s="457"/>
      <c r="BX703" s="464"/>
      <c r="BY703" s="466"/>
      <c r="BZ703" s="465"/>
      <c r="CA703" s="457"/>
      <c r="CB703" s="464"/>
      <c r="CC703" s="466"/>
      <c r="CD703" s="465"/>
      <c r="CE703" s="457"/>
      <c r="CF703" s="464"/>
      <c r="CG703" s="466"/>
      <c r="CH703" s="465"/>
      <c r="CI703" s="457"/>
      <c r="CJ703" s="464"/>
      <c r="CK703" s="466"/>
      <c r="CL703" s="459"/>
      <c r="CM703" s="450"/>
      <c r="CN703" s="468">
        <f t="shared" si="317"/>
        <v>0</v>
      </c>
      <c r="CO703" s="468">
        <f t="shared" si="318"/>
        <v>0</v>
      </c>
      <c r="CP703" s="469">
        <f t="shared" si="319"/>
        <v>0</v>
      </c>
      <c r="CQ703" s="469">
        <f t="shared" si="320"/>
        <v>0</v>
      </c>
      <c r="CR703" s="463"/>
      <c r="CS703" s="457"/>
      <c r="CT703" s="464"/>
      <c r="CU703" s="464"/>
      <c r="CV703" s="465"/>
      <c r="CW703" s="457"/>
      <c r="CX703" s="464"/>
      <c r="CY703" s="466"/>
      <c r="CZ703" s="465"/>
      <c r="DA703" s="457"/>
      <c r="DB703" s="464"/>
      <c r="DC703" s="466"/>
      <c r="DD703" s="465"/>
      <c r="DE703" s="457"/>
      <c r="DF703" s="464"/>
      <c r="DG703" s="466"/>
      <c r="DH703" s="465"/>
      <c r="DI703" s="457"/>
      <c r="DJ703" s="464"/>
      <c r="DK703" s="466"/>
      <c r="DL703" s="465"/>
      <c r="DM703" s="457"/>
      <c r="DN703" s="464"/>
      <c r="DO703" s="466"/>
      <c r="DP703" s="465"/>
      <c r="DQ703" s="457"/>
      <c r="DR703" s="464"/>
      <c r="DS703" s="466"/>
      <c r="DT703" s="465"/>
      <c r="DU703" s="457"/>
      <c r="DV703" s="464"/>
      <c r="DW703" s="466"/>
      <c r="DX703" s="465"/>
      <c r="DY703" s="457"/>
      <c r="DZ703" s="464"/>
      <c r="EA703" s="466"/>
      <c r="EB703" s="465"/>
      <c r="EC703" s="457"/>
      <c r="ED703" s="464"/>
      <c r="EE703" s="466"/>
      <c r="EF703" s="459"/>
      <c r="EG703" s="450"/>
      <c r="EH703" s="460">
        <f t="shared" si="321"/>
        <v>0</v>
      </c>
      <c r="EI703" s="460">
        <f t="shared" si="322"/>
        <v>0</v>
      </c>
      <c r="EJ703" s="458">
        <f t="shared" si="323"/>
        <v>0</v>
      </c>
      <c r="EK703" s="470">
        <f t="shared" si="324"/>
        <v>0</v>
      </c>
      <c r="EL703" s="470">
        <f t="shared" si="325"/>
        <v>0</v>
      </c>
      <c r="EM703" s="449">
        <f t="shared" si="326"/>
        <v>0</v>
      </c>
      <c r="EN703" s="460">
        <f t="shared" si="327"/>
        <v>0</v>
      </c>
      <c r="EO703" s="469">
        <f t="shared" si="328"/>
        <v>0</v>
      </c>
      <c r="EP703" s="471"/>
      <c r="EQ703" s="450"/>
      <c r="ER703" s="471"/>
      <c r="ES703" s="450"/>
      <c r="ET703" s="471"/>
      <c r="EU703" s="450"/>
      <c r="EV703" s="471"/>
      <c r="EW703" s="450"/>
      <c r="EX703" s="471"/>
      <c r="EY703" s="450"/>
      <c r="EZ703" s="471"/>
      <c r="FA703" s="450"/>
      <c r="FB703" s="471">
        <v>198</v>
      </c>
      <c r="FC703" s="571">
        <v>157</v>
      </c>
      <c r="FD703" s="471"/>
      <c r="FE703" s="450"/>
      <c r="FF703" s="471"/>
      <c r="FG703" s="450"/>
      <c r="FH703" s="472">
        <v>0</v>
      </c>
      <c r="FI703" s="450"/>
      <c r="FJ703" s="468">
        <f t="shared" si="329"/>
        <v>198</v>
      </c>
      <c r="FK703" s="469">
        <f t="shared" si="330"/>
        <v>157</v>
      </c>
      <c r="FL703" s="472"/>
      <c r="FM703" s="450"/>
      <c r="FN703" s="460">
        <f t="shared" si="331"/>
        <v>198</v>
      </c>
      <c r="FO703" s="469">
        <f t="shared" si="332"/>
        <v>157</v>
      </c>
    </row>
    <row r="704" spans="1:171" x14ac:dyDescent="0.2">
      <c r="A704" s="722" t="s">
        <v>743</v>
      </c>
      <c r="B704" s="672" t="s">
        <v>1174</v>
      </c>
      <c r="C704" s="721"/>
      <c r="D704" s="674">
        <v>237172</v>
      </c>
      <c r="E704" s="561">
        <v>14</v>
      </c>
      <c r="F704" s="532"/>
      <c r="G704" s="627">
        <v>106</v>
      </c>
      <c r="H704" s="457"/>
      <c r="I704" s="450"/>
      <c r="J704" s="457"/>
      <c r="K704" s="450"/>
      <c r="L704" s="458">
        <f t="shared" si="309"/>
        <v>0</v>
      </c>
      <c r="M704" s="449">
        <f t="shared" si="310"/>
        <v>0</v>
      </c>
      <c r="N704" s="459"/>
      <c r="O704" s="459"/>
      <c r="P704" s="459"/>
      <c r="Q704" s="459"/>
      <c r="R704" s="460">
        <f t="shared" si="311"/>
        <v>0</v>
      </c>
      <c r="S704" s="461"/>
      <c r="T704" s="461"/>
      <c r="U704" s="461"/>
      <c r="V704" s="461"/>
      <c r="W704" s="462">
        <f t="shared" si="312"/>
        <v>0</v>
      </c>
      <c r="X704" s="463"/>
      <c r="Y704" s="457"/>
      <c r="Z704" s="464"/>
      <c r="AA704" s="464"/>
      <c r="AB704" s="465"/>
      <c r="AC704" s="457"/>
      <c r="AD704" s="464"/>
      <c r="AE704" s="466"/>
      <c r="AF704" s="465"/>
      <c r="AG704" s="457"/>
      <c r="AH704" s="464"/>
      <c r="AI704" s="466"/>
      <c r="AJ704" s="465"/>
      <c r="AK704" s="457"/>
      <c r="AL704" s="464"/>
      <c r="AM704" s="466"/>
      <c r="AN704" s="465"/>
      <c r="AO704" s="457"/>
      <c r="AP704" s="464"/>
      <c r="AQ704" s="464"/>
      <c r="AR704" s="460">
        <f t="shared" si="313"/>
        <v>0</v>
      </c>
      <c r="AS704" s="467">
        <f t="shared" si="314"/>
        <v>0</v>
      </c>
      <c r="AT704" s="447">
        <f t="shared" si="315"/>
        <v>0</v>
      </c>
      <c r="AU704" s="448">
        <f t="shared" si="316"/>
        <v>0</v>
      </c>
      <c r="AV704" s="457"/>
      <c r="AW704" s="450"/>
      <c r="AX704" s="463"/>
      <c r="AY704" s="457"/>
      <c r="AZ704" s="464"/>
      <c r="BA704" s="464"/>
      <c r="BB704" s="465"/>
      <c r="BC704" s="457"/>
      <c r="BD704" s="464"/>
      <c r="BE704" s="466"/>
      <c r="BF704" s="465"/>
      <c r="BG704" s="457"/>
      <c r="BH704" s="464"/>
      <c r="BI704" s="466"/>
      <c r="BJ704" s="465"/>
      <c r="BK704" s="457"/>
      <c r="BL704" s="464"/>
      <c r="BM704" s="466"/>
      <c r="BN704" s="465"/>
      <c r="BO704" s="457"/>
      <c r="BP704" s="464"/>
      <c r="BQ704" s="466"/>
      <c r="BR704" s="465"/>
      <c r="BS704" s="457"/>
      <c r="BT704" s="464"/>
      <c r="BU704" s="466"/>
      <c r="BV704" s="465"/>
      <c r="BW704" s="457"/>
      <c r="BX704" s="464"/>
      <c r="BY704" s="466"/>
      <c r="BZ704" s="465"/>
      <c r="CA704" s="457"/>
      <c r="CB704" s="464"/>
      <c r="CC704" s="466"/>
      <c r="CD704" s="465"/>
      <c r="CE704" s="457"/>
      <c r="CF704" s="464"/>
      <c r="CG704" s="466"/>
      <c r="CH704" s="465"/>
      <c r="CI704" s="457"/>
      <c r="CJ704" s="464"/>
      <c r="CK704" s="466"/>
      <c r="CL704" s="459"/>
      <c r="CM704" s="450"/>
      <c r="CN704" s="468">
        <f t="shared" si="317"/>
        <v>0</v>
      </c>
      <c r="CO704" s="468">
        <f t="shared" si="318"/>
        <v>0</v>
      </c>
      <c r="CP704" s="469">
        <f t="shared" si="319"/>
        <v>0</v>
      </c>
      <c r="CQ704" s="469">
        <f t="shared" si="320"/>
        <v>0</v>
      </c>
      <c r="CR704" s="463"/>
      <c r="CS704" s="457"/>
      <c r="CT704" s="464"/>
      <c r="CU704" s="464"/>
      <c r="CV704" s="465"/>
      <c r="CW704" s="457"/>
      <c r="CX704" s="464"/>
      <c r="CY704" s="466"/>
      <c r="CZ704" s="465"/>
      <c r="DA704" s="457"/>
      <c r="DB704" s="464"/>
      <c r="DC704" s="466"/>
      <c r="DD704" s="465"/>
      <c r="DE704" s="457"/>
      <c r="DF704" s="464"/>
      <c r="DG704" s="466"/>
      <c r="DH704" s="465"/>
      <c r="DI704" s="457"/>
      <c r="DJ704" s="464"/>
      <c r="DK704" s="466"/>
      <c r="DL704" s="465"/>
      <c r="DM704" s="457"/>
      <c r="DN704" s="464"/>
      <c r="DO704" s="466"/>
      <c r="DP704" s="465"/>
      <c r="DQ704" s="457"/>
      <c r="DR704" s="464"/>
      <c r="DS704" s="466"/>
      <c r="DT704" s="465"/>
      <c r="DU704" s="457"/>
      <c r="DV704" s="464"/>
      <c r="DW704" s="466"/>
      <c r="DX704" s="465"/>
      <c r="DY704" s="457"/>
      <c r="DZ704" s="464"/>
      <c r="EA704" s="466"/>
      <c r="EB704" s="465"/>
      <c r="EC704" s="457"/>
      <c r="ED704" s="464"/>
      <c r="EE704" s="466"/>
      <c r="EF704" s="459"/>
      <c r="EG704" s="450"/>
      <c r="EH704" s="460">
        <f t="shared" si="321"/>
        <v>0</v>
      </c>
      <c r="EI704" s="460">
        <f t="shared" si="322"/>
        <v>0</v>
      </c>
      <c r="EJ704" s="458">
        <f t="shared" si="323"/>
        <v>0</v>
      </c>
      <c r="EK704" s="470">
        <f t="shared" si="324"/>
        <v>0</v>
      </c>
      <c r="EL704" s="470">
        <f t="shared" si="325"/>
        <v>0</v>
      </c>
      <c r="EM704" s="449">
        <f t="shared" si="326"/>
        <v>0</v>
      </c>
      <c r="EN704" s="460">
        <f t="shared" si="327"/>
        <v>0</v>
      </c>
      <c r="EO704" s="469">
        <f t="shared" si="328"/>
        <v>0</v>
      </c>
      <c r="EP704" s="471"/>
      <c r="EQ704" s="450"/>
      <c r="ER704" s="471"/>
      <c r="ES704" s="450"/>
      <c r="ET704" s="471"/>
      <c r="EU704" s="450"/>
      <c r="EV704" s="471"/>
      <c r="EW704" s="450"/>
      <c r="EX704" s="471"/>
      <c r="EY704" s="450"/>
      <c r="EZ704" s="471"/>
      <c r="FA704" s="450"/>
      <c r="FB704" s="471"/>
      <c r="FC704" s="450"/>
      <c r="FD704" s="471"/>
      <c r="FE704" s="450"/>
      <c r="FF704" s="471"/>
      <c r="FG704" s="450"/>
      <c r="FH704" s="472"/>
      <c r="FI704" s="450"/>
      <c r="FJ704" s="468">
        <f t="shared" si="329"/>
        <v>0</v>
      </c>
      <c r="FK704" s="469">
        <f t="shared" si="330"/>
        <v>0</v>
      </c>
      <c r="FL704" s="472"/>
      <c r="FM704" s="450"/>
      <c r="FN704" s="460">
        <f t="shared" si="331"/>
        <v>0</v>
      </c>
      <c r="FO704" s="469">
        <f t="shared" si="332"/>
        <v>106</v>
      </c>
    </row>
    <row r="705" spans="1:171" x14ac:dyDescent="0.2">
      <c r="A705" s="722" t="s">
        <v>743</v>
      </c>
      <c r="B705" s="672" t="s">
        <v>1175</v>
      </c>
      <c r="C705" s="721"/>
      <c r="D705" s="674">
        <v>237224</v>
      </c>
      <c r="E705" s="561">
        <v>14</v>
      </c>
      <c r="F705" s="532"/>
      <c r="G705" s="627">
        <v>0</v>
      </c>
      <c r="H705" s="457"/>
      <c r="I705" s="450"/>
      <c r="J705" s="457"/>
      <c r="K705" s="450"/>
      <c r="L705" s="458">
        <f t="shared" si="309"/>
        <v>0</v>
      </c>
      <c r="M705" s="449">
        <f t="shared" si="310"/>
        <v>0</v>
      </c>
      <c r="N705" s="459"/>
      <c r="O705" s="459"/>
      <c r="P705" s="459"/>
      <c r="Q705" s="459"/>
      <c r="R705" s="460">
        <f t="shared" si="311"/>
        <v>0</v>
      </c>
      <c r="S705" s="461"/>
      <c r="T705" s="461"/>
      <c r="U705" s="461"/>
      <c r="V705" s="461"/>
      <c r="W705" s="462">
        <f t="shared" si="312"/>
        <v>0</v>
      </c>
      <c r="X705" s="463"/>
      <c r="Y705" s="457"/>
      <c r="Z705" s="464"/>
      <c r="AA705" s="464"/>
      <c r="AB705" s="465"/>
      <c r="AC705" s="457"/>
      <c r="AD705" s="464"/>
      <c r="AE705" s="466"/>
      <c r="AF705" s="465"/>
      <c r="AG705" s="457"/>
      <c r="AH705" s="464"/>
      <c r="AI705" s="466"/>
      <c r="AJ705" s="465"/>
      <c r="AK705" s="457"/>
      <c r="AL705" s="464"/>
      <c r="AM705" s="466"/>
      <c r="AN705" s="465"/>
      <c r="AO705" s="457"/>
      <c r="AP705" s="464"/>
      <c r="AQ705" s="464"/>
      <c r="AR705" s="460">
        <f t="shared" si="313"/>
        <v>0</v>
      </c>
      <c r="AS705" s="467">
        <f t="shared" si="314"/>
        <v>0</v>
      </c>
      <c r="AT705" s="447">
        <f t="shared" si="315"/>
        <v>0</v>
      </c>
      <c r="AU705" s="448">
        <f t="shared" si="316"/>
        <v>0</v>
      </c>
      <c r="AV705" s="457"/>
      <c r="AW705" s="450"/>
      <c r="AX705" s="463"/>
      <c r="AY705" s="457"/>
      <c r="AZ705" s="464"/>
      <c r="BA705" s="464"/>
      <c r="BB705" s="465"/>
      <c r="BC705" s="457"/>
      <c r="BD705" s="464"/>
      <c r="BE705" s="466"/>
      <c r="BF705" s="465"/>
      <c r="BG705" s="457"/>
      <c r="BH705" s="464"/>
      <c r="BI705" s="466"/>
      <c r="BJ705" s="465"/>
      <c r="BK705" s="457"/>
      <c r="BL705" s="464"/>
      <c r="BM705" s="466"/>
      <c r="BN705" s="465"/>
      <c r="BO705" s="457"/>
      <c r="BP705" s="464"/>
      <c r="BQ705" s="466"/>
      <c r="BR705" s="465"/>
      <c r="BS705" s="457"/>
      <c r="BT705" s="464"/>
      <c r="BU705" s="466"/>
      <c r="BV705" s="465"/>
      <c r="BW705" s="457"/>
      <c r="BX705" s="464"/>
      <c r="BY705" s="466"/>
      <c r="BZ705" s="465"/>
      <c r="CA705" s="457"/>
      <c r="CB705" s="464"/>
      <c r="CC705" s="466"/>
      <c r="CD705" s="465"/>
      <c r="CE705" s="457"/>
      <c r="CF705" s="464"/>
      <c r="CG705" s="466"/>
      <c r="CH705" s="465"/>
      <c r="CI705" s="457"/>
      <c r="CJ705" s="464"/>
      <c r="CK705" s="466"/>
      <c r="CL705" s="459"/>
      <c r="CM705" s="450"/>
      <c r="CN705" s="468">
        <f t="shared" si="317"/>
        <v>0</v>
      </c>
      <c r="CO705" s="468">
        <f t="shared" si="318"/>
        <v>0</v>
      </c>
      <c r="CP705" s="469">
        <f t="shared" si="319"/>
        <v>0</v>
      </c>
      <c r="CQ705" s="469">
        <f t="shared" si="320"/>
        <v>0</v>
      </c>
      <c r="CR705" s="463"/>
      <c r="CS705" s="457"/>
      <c r="CT705" s="464"/>
      <c r="CU705" s="464"/>
      <c r="CV705" s="465"/>
      <c r="CW705" s="457"/>
      <c r="CX705" s="464"/>
      <c r="CY705" s="466"/>
      <c r="CZ705" s="465"/>
      <c r="DA705" s="457"/>
      <c r="DB705" s="464"/>
      <c r="DC705" s="466"/>
      <c r="DD705" s="465"/>
      <c r="DE705" s="457"/>
      <c r="DF705" s="464"/>
      <c r="DG705" s="466"/>
      <c r="DH705" s="465"/>
      <c r="DI705" s="457"/>
      <c r="DJ705" s="464"/>
      <c r="DK705" s="466"/>
      <c r="DL705" s="465"/>
      <c r="DM705" s="457"/>
      <c r="DN705" s="464"/>
      <c r="DO705" s="466"/>
      <c r="DP705" s="465"/>
      <c r="DQ705" s="457"/>
      <c r="DR705" s="464"/>
      <c r="DS705" s="466"/>
      <c r="DT705" s="465"/>
      <c r="DU705" s="457"/>
      <c r="DV705" s="464"/>
      <c r="DW705" s="466"/>
      <c r="DX705" s="465"/>
      <c r="DY705" s="457"/>
      <c r="DZ705" s="464"/>
      <c r="EA705" s="466"/>
      <c r="EB705" s="465"/>
      <c r="EC705" s="457"/>
      <c r="ED705" s="464"/>
      <c r="EE705" s="466"/>
      <c r="EF705" s="459"/>
      <c r="EG705" s="450"/>
      <c r="EH705" s="460">
        <f t="shared" si="321"/>
        <v>0</v>
      </c>
      <c r="EI705" s="460">
        <f t="shared" si="322"/>
        <v>0</v>
      </c>
      <c r="EJ705" s="458">
        <f t="shared" si="323"/>
        <v>0</v>
      </c>
      <c r="EK705" s="470">
        <f t="shared" si="324"/>
        <v>0</v>
      </c>
      <c r="EL705" s="470">
        <f t="shared" si="325"/>
        <v>0</v>
      </c>
      <c r="EM705" s="449">
        <f t="shared" si="326"/>
        <v>0</v>
      </c>
      <c r="EN705" s="460">
        <f t="shared" si="327"/>
        <v>0</v>
      </c>
      <c r="EO705" s="469">
        <f t="shared" si="328"/>
        <v>0</v>
      </c>
      <c r="EP705" s="471"/>
      <c r="EQ705" s="450"/>
      <c r="ER705" s="471"/>
      <c r="ES705" s="450"/>
      <c r="ET705" s="471"/>
      <c r="EU705" s="450"/>
      <c r="EV705" s="471"/>
      <c r="EW705" s="450"/>
      <c r="EX705" s="471"/>
      <c r="EY705" s="450"/>
      <c r="EZ705" s="471"/>
      <c r="FA705" s="450"/>
      <c r="FB705" s="471"/>
      <c r="FC705" s="450"/>
      <c r="FD705" s="471"/>
      <c r="FE705" s="450"/>
      <c r="FF705" s="471"/>
      <c r="FG705" s="450"/>
      <c r="FH705" s="472"/>
      <c r="FI705" s="450"/>
      <c r="FJ705" s="468">
        <f t="shared" si="329"/>
        <v>0</v>
      </c>
      <c r="FK705" s="469">
        <f t="shared" si="330"/>
        <v>0</v>
      </c>
      <c r="FL705" s="472"/>
      <c r="FM705" s="450"/>
      <c r="FN705" s="460">
        <f t="shared" si="331"/>
        <v>0</v>
      </c>
      <c r="FO705" s="469">
        <f t="shared" si="332"/>
        <v>0</v>
      </c>
    </row>
    <row r="706" spans="1:171" x14ac:dyDescent="0.2">
      <c r="A706" s="720" t="s">
        <v>743</v>
      </c>
      <c r="B706" s="672" t="s">
        <v>1176</v>
      </c>
      <c r="C706" s="721"/>
      <c r="D706" s="674">
        <v>237242</v>
      </c>
      <c r="E706" s="561">
        <v>14</v>
      </c>
      <c r="F706" s="532">
        <v>71</v>
      </c>
      <c r="G706" s="627">
        <v>53</v>
      </c>
      <c r="H706" s="457"/>
      <c r="I706" s="450"/>
      <c r="J706" s="457"/>
      <c r="K706" s="450"/>
      <c r="L706" s="458">
        <f t="shared" si="309"/>
        <v>0</v>
      </c>
      <c r="M706" s="449">
        <f t="shared" si="310"/>
        <v>0</v>
      </c>
      <c r="N706" s="459"/>
      <c r="O706" s="459"/>
      <c r="P706" s="459"/>
      <c r="Q706" s="459"/>
      <c r="R706" s="460">
        <f t="shared" si="311"/>
        <v>0</v>
      </c>
      <c r="S706" s="461"/>
      <c r="T706" s="461"/>
      <c r="U706" s="461"/>
      <c r="V706" s="461"/>
      <c r="W706" s="462">
        <f t="shared" si="312"/>
        <v>0</v>
      </c>
      <c r="X706" s="463"/>
      <c r="Y706" s="457"/>
      <c r="Z706" s="464"/>
      <c r="AA706" s="464"/>
      <c r="AB706" s="465"/>
      <c r="AC706" s="457"/>
      <c r="AD706" s="464"/>
      <c r="AE706" s="466"/>
      <c r="AF706" s="465"/>
      <c r="AG706" s="457"/>
      <c r="AH706" s="464"/>
      <c r="AI706" s="466"/>
      <c r="AJ706" s="465"/>
      <c r="AK706" s="457"/>
      <c r="AL706" s="464"/>
      <c r="AM706" s="466"/>
      <c r="AN706" s="465"/>
      <c r="AO706" s="457"/>
      <c r="AP706" s="464"/>
      <c r="AQ706" s="464"/>
      <c r="AR706" s="460">
        <f t="shared" si="313"/>
        <v>0</v>
      </c>
      <c r="AS706" s="467">
        <f t="shared" si="314"/>
        <v>0</v>
      </c>
      <c r="AT706" s="447">
        <f t="shared" si="315"/>
        <v>0</v>
      </c>
      <c r="AU706" s="448">
        <f t="shared" si="316"/>
        <v>0</v>
      </c>
      <c r="AV706" s="457"/>
      <c r="AW706" s="450"/>
      <c r="AX706" s="463"/>
      <c r="AY706" s="457"/>
      <c r="AZ706" s="464"/>
      <c r="BA706" s="464"/>
      <c r="BB706" s="465"/>
      <c r="BC706" s="457"/>
      <c r="BD706" s="464"/>
      <c r="BE706" s="466"/>
      <c r="BF706" s="465"/>
      <c r="BG706" s="457"/>
      <c r="BH706" s="464"/>
      <c r="BI706" s="466"/>
      <c r="BJ706" s="465"/>
      <c r="BK706" s="457"/>
      <c r="BL706" s="464"/>
      <c r="BM706" s="466"/>
      <c r="BN706" s="465"/>
      <c r="BO706" s="457"/>
      <c r="BP706" s="464"/>
      <c r="BQ706" s="466"/>
      <c r="BR706" s="465"/>
      <c r="BS706" s="457"/>
      <c r="BT706" s="464"/>
      <c r="BU706" s="466"/>
      <c r="BV706" s="465"/>
      <c r="BW706" s="457"/>
      <c r="BX706" s="464"/>
      <c r="BY706" s="466"/>
      <c r="BZ706" s="465"/>
      <c r="CA706" s="457"/>
      <c r="CB706" s="464"/>
      <c r="CC706" s="466"/>
      <c r="CD706" s="465"/>
      <c r="CE706" s="457"/>
      <c r="CF706" s="464"/>
      <c r="CG706" s="466"/>
      <c r="CH706" s="465"/>
      <c r="CI706" s="457"/>
      <c r="CJ706" s="464"/>
      <c r="CK706" s="466"/>
      <c r="CL706" s="459"/>
      <c r="CM706" s="450"/>
      <c r="CN706" s="468">
        <f t="shared" si="317"/>
        <v>0</v>
      </c>
      <c r="CO706" s="468">
        <f t="shared" si="318"/>
        <v>0</v>
      </c>
      <c r="CP706" s="469">
        <f t="shared" si="319"/>
        <v>0</v>
      </c>
      <c r="CQ706" s="469">
        <f t="shared" si="320"/>
        <v>0</v>
      </c>
      <c r="CR706" s="463"/>
      <c r="CS706" s="457"/>
      <c r="CT706" s="464"/>
      <c r="CU706" s="464"/>
      <c r="CV706" s="465"/>
      <c r="CW706" s="457"/>
      <c r="CX706" s="464"/>
      <c r="CY706" s="466"/>
      <c r="CZ706" s="465"/>
      <c r="DA706" s="457"/>
      <c r="DB706" s="464"/>
      <c r="DC706" s="466"/>
      <c r="DD706" s="465"/>
      <c r="DE706" s="457"/>
      <c r="DF706" s="464"/>
      <c r="DG706" s="466"/>
      <c r="DH706" s="465"/>
      <c r="DI706" s="457"/>
      <c r="DJ706" s="464"/>
      <c r="DK706" s="466"/>
      <c r="DL706" s="465"/>
      <c r="DM706" s="457"/>
      <c r="DN706" s="464"/>
      <c r="DO706" s="466"/>
      <c r="DP706" s="465"/>
      <c r="DQ706" s="457"/>
      <c r="DR706" s="464"/>
      <c r="DS706" s="466"/>
      <c r="DT706" s="465"/>
      <c r="DU706" s="457"/>
      <c r="DV706" s="464"/>
      <c r="DW706" s="466"/>
      <c r="DX706" s="465"/>
      <c r="DY706" s="457"/>
      <c r="DZ706" s="464"/>
      <c r="EA706" s="466"/>
      <c r="EB706" s="465"/>
      <c r="EC706" s="457"/>
      <c r="ED706" s="464"/>
      <c r="EE706" s="466"/>
      <c r="EF706" s="459"/>
      <c r="EG706" s="450"/>
      <c r="EH706" s="460">
        <f t="shared" si="321"/>
        <v>0</v>
      </c>
      <c r="EI706" s="460">
        <f t="shared" si="322"/>
        <v>0</v>
      </c>
      <c r="EJ706" s="458">
        <f t="shared" si="323"/>
        <v>0</v>
      </c>
      <c r="EK706" s="470">
        <f t="shared" si="324"/>
        <v>0</v>
      </c>
      <c r="EL706" s="470">
        <f t="shared" si="325"/>
        <v>0</v>
      </c>
      <c r="EM706" s="449">
        <f t="shared" si="326"/>
        <v>0</v>
      </c>
      <c r="EN706" s="460">
        <f t="shared" si="327"/>
        <v>0</v>
      </c>
      <c r="EO706" s="469">
        <f t="shared" si="328"/>
        <v>0</v>
      </c>
      <c r="EP706" s="471"/>
      <c r="EQ706" s="450"/>
      <c r="ER706" s="471"/>
      <c r="ES706" s="450"/>
      <c r="ET706" s="471"/>
      <c r="EU706" s="450"/>
      <c r="EV706" s="471"/>
      <c r="EW706" s="450"/>
      <c r="EX706" s="471"/>
      <c r="EY706" s="450"/>
      <c r="EZ706" s="471"/>
      <c r="FA706" s="450"/>
      <c r="FB706" s="471"/>
      <c r="FC706" s="450"/>
      <c r="FD706" s="471"/>
      <c r="FE706" s="450"/>
      <c r="FF706" s="471"/>
      <c r="FG706" s="450"/>
      <c r="FH706" s="472"/>
      <c r="FI706" s="450"/>
      <c r="FJ706" s="468">
        <f t="shared" si="329"/>
        <v>0</v>
      </c>
      <c r="FK706" s="469">
        <f t="shared" si="330"/>
        <v>0</v>
      </c>
      <c r="FL706" s="472"/>
      <c r="FM706" s="450"/>
      <c r="FN706" s="460">
        <f t="shared" si="331"/>
        <v>71</v>
      </c>
      <c r="FO706" s="469">
        <f t="shared" si="332"/>
        <v>53</v>
      </c>
    </row>
    <row r="707" spans="1:171" x14ac:dyDescent="0.2">
      <c r="A707" s="720" t="s">
        <v>743</v>
      </c>
      <c r="B707" s="672" t="s">
        <v>1177</v>
      </c>
      <c r="C707" s="721"/>
      <c r="D707" s="674">
        <v>430795</v>
      </c>
      <c r="E707" s="561">
        <v>14</v>
      </c>
      <c r="F707" s="532">
        <f>SUM(86+26+17+1)</f>
        <v>130</v>
      </c>
      <c r="G707" s="627">
        <v>118</v>
      </c>
      <c r="H707" s="457"/>
      <c r="I707" s="450"/>
      <c r="J707" s="457"/>
      <c r="K707" s="450"/>
      <c r="L707" s="458">
        <f t="shared" si="309"/>
        <v>0</v>
      </c>
      <c r="M707" s="449">
        <f t="shared" si="310"/>
        <v>0</v>
      </c>
      <c r="N707" s="459"/>
      <c r="O707" s="459"/>
      <c r="P707" s="459"/>
      <c r="Q707" s="459"/>
      <c r="R707" s="460">
        <f t="shared" si="311"/>
        <v>0</v>
      </c>
      <c r="S707" s="461"/>
      <c r="T707" s="461"/>
      <c r="U707" s="461"/>
      <c r="V707" s="461"/>
      <c r="W707" s="462">
        <f t="shared" si="312"/>
        <v>0</v>
      </c>
      <c r="X707" s="463"/>
      <c r="Y707" s="457"/>
      <c r="Z707" s="464"/>
      <c r="AA707" s="464"/>
      <c r="AB707" s="465"/>
      <c r="AC707" s="457"/>
      <c r="AD707" s="464"/>
      <c r="AE707" s="466"/>
      <c r="AF707" s="465"/>
      <c r="AG707" s="457"/>
      <c r="AH707" s="464"/>
      <c r="AI707" s="466"/>
      <c r="AJ707" s="465"/>
      <c r="AK707" s="457"/>
      <c r="AL707" s="464"/>
      <c r="AM707" s="466"/>
      <c r="AN707" s="465"/>
      <c r="AO707" s="457"/>
      <c r="AP707" s="464"/>
      <c r="AQ707" s="464"/>
      <c r="AR707" s="460">
        <f t="shared" si="313"/>
        <v>0</v>
      </c>
      <c r="AS707" s="467">
        <f t="shared" si="314"/>
        <v>0</v>
      </c>
      <c r="AT707" s="447">
        <f t="shared" si="315"/>
        <v>0</v>
      </c>
      <c r="AU707" s="448">
        <f t="shared" si="316"/>
        <v>0</v>
      </c>
      <c r="AV707" s="457"/>
      <c r="AW707" s="450"/>
      <c r="AX707" s="463"/>
      <c r="AY707" s="457"/>
      <c r="AZ707" s="464"/>
      <c r="BA707" s="464"/>
      <c r="BB707" s="465"/>
      <c r="BC707" s="457"/>
      <c r="BD707" s="464"/>
      <c r="BE707" s="466"/>
      <c r="BF707" s="465"/>
      <c r="BG707" s="457"/>
      <c r="BH707" s="464"/>
      <c r="BI707" s="466"/>
      <c r="BJ707" s="465"/>
      <c r="BK707" s="457"/>
      <c r="BL707" s="464"/>
      <c r="BM707" s="466"/>
      <c r="BN707" s="465"/>
      <c r="BO707" s="457"/>
      <c r="BP707" s="464"/>
      <c r="BQ707" s="466"/>
      <c r="BR707" s="465"/>
      <c r="BS707" s="457"/>
      <c r="BT707" s="464"/>
      <c r="BU707" s="466"/>
      <c r="BV707" s="465"/>
      <c r="BW707" s="457"/>
      <c r="BX707" s="464"/>
      <c r="BY707" s="466"/>
      <c r="BZ707" s="465"/>
      <c r="CA707" s="457"/>
      <c r="CB707" s="464"/>
      <c r="CC707" s="466"/>
      <c r="CD707" s="465"/>
      <c r="CE707" s="457"/>
      <c r="CF707" s="464"/>
      <c r="CG707" s="466"/>
      <c r="CH707" s="465"/>
      <c r="CI707" s="457"/>
      <c r="CJ707" s="464"/>
      <c r="CK707" s="466"/>
      <c r="CL707" s="459"/>
      <c r="CM707" s="450"/>
      <c r="CN707" s="468">
        <f t="shared" si="317"/>
        <v>0</v>
      </c>
      <c r="CO707" s="468">
        <f t="shared" si="318"/>
        <v>0</v>
      </c>
      <c r="CP707" s="469">
        <f t="shared" si="319"/>
        <v>0</v>
      </c>
      <c r="CQ707" s="469">
        <f t="shared" si="320"/>
        <v>0</v>
      </c>
      <c r="CR707" s="463"/>
      <c r="CS707" s="457"/>
      <c r="CT707" s="464"/>
      <c r="CU707" s="464"/>
      <c r="CV707" s="465"/>
      <c r="CW707" s="457"/>
      <c r="CX707" s="464"/>
      <c r="CY707" s="466"/>
      <c r="CZ707" s="465"/>
      <c r="DA707" s="457"/>
      <c r="DB707" s="464"/>
      <c r="DC707" s="466"/>
      <c r="DD707" s="465"/>
      <c r="DE707" s="457"/>
      <c r="DF707" s="464"/>
      <c r="DG707" s="466"/>
      <c r="DH707" s="465"/>
      <c r="DI707" s="457"/>
      <c r="DJ707" s="464"/>
      <c r="DK707" s="466"/>
      <c r="DL707" s="465"/>
      <c r="DM707" s="457"/>
      <c r="DN707" s="464"/>
      <c r="DO707" s="466"/>
      <c r="DP707" s="465"/>
      <c r="DQ707" s="457"/>
      <c r="DR707" s="464"/>
      <c r="DS707" s="466"/>
      <c r="DT707" s="465"/>
      <c r="DU707" s="457"/>
      <c r="DV707" s="464"/>
      <c r="DW707" s="466"/>
      <c r="DX707" s="465"/>
      <c r="DY707" s="457"/>
      <c r="DZ707" s="464"/>
      <c r="EA707" s="466"/>
      <c r="EB707" s="465"/>
      <c r="EC707" s="457"/>
      <c r="ED707" s="464"/>
      <c r="EE707" s="466"/>
      <c r="EF707" s="459"/>
      <c r="EG707" s="450"/>
      <c r="EH707" s="460">
        <f t="shared" si="321"/>
        <v>0</v>
      </c>
      <c r="EI707" s="460">
        <f t="shared" si="322"/>
        <v>0</v>
      </c>
      <c r="EJ707" s="458">
        <f t="shared" si="323"/>
        <v>0</v>
      </c>
      <c r="EK707" s="470">
        <f t="shared" si="324"/>
        <v>0</v>
      </c>
      <c r="EL707" s="470">
        <f t="shared" si="325"/>
        <v>0</v>
      </c>
      <c r="EM707" s="449">
        <f t="shared" si="326"/>
        <v>0</v>
      </c>
      <c r="EN707" s="460">
        <f t="shared" si="327"/>
        <v>0</v>
      </c>
      <c r="EO707" s="469">
        <f t="shared" si="328"/>
        <v>0</v>
      </c>
      <c r="EP707" s="471"/>
      <c r="EQ707" s="450"/>
      <c r="ER707" s="471"/>
      <c r="ES707" s="450"/>
      <c r="ET707" s="471"/>
      <c r="EU707" s="450"/>
      <c r="EV707" s="471"/>
      <c r="EW707" s="450"/>
      <c r="EX707" s="471"/>
      <c r="EY707" s="450"/>
      <c r="EZ707" s="471"/>
      <c r="FA707" s="450"/>
      <c r="FB707" s="471"/>
      <c r="FC707" s="450"/>
      <c r="FD707" s="471"/>
      <c r="FE707" s="450"/>
      <c r="FF707" s="471"/>
      <c r="FG707" s="450"/>
      <c r="FH707" s="472"/>
      <c r="FI707" s="450"/>
      <c r="FJ707" s="468">
        <f t="shared" si="329"/>
        <v>0</v>
      </c>
      <c r="FK707" s="469">
        <f t="shared" si="330"/>
        <v>0</v>
      </c>
      <c r="FL707" s="472"/>
      <c r="FM707" s="450"/>
      <c r="FN707" s="460">
        <f t="shared" si="331"/>
        <v>130</v>
      </c>
      <c r="FO707" s="469">
        <f t="shared" si="332"/>
        <v>118</v>
      </c>
    </row>
    <row r="708" spans="1:171" x14ac:dyDescent="0.2">
      <c r="A708" s="722" t="s">
        <v>743</v>
      </c>
      <c r="B708" s="672" t="s">
        <v>1178</v>
      </c>
      <c r="C708" s="721"/>
      <c r="D708" s="674">
        <v>413176</v>
      </c>
      <c r="E708" s="561">
        <v>14</v>
      </c>
      <c r="F708" s="532">
        <v>32</v>
      </c>
      <c r="G708" s="627">
        <v>29</v>
      </c>
      <c r="H708" s="457"/>
      <c r="I708" s="450"/>
      <c r="J708" s="457"/>
      <c r="K708" s="450"/>
      <c r="L708" s="458">
        <f t="shared" si="309"/>
        <v>0</v>
      </c>
      <c r="M708" s="449">
        <f t="shared" si="310"/>
        <v>0</v>
      </c>
      <c r="N708" s="459"/>
      <c r="O708" s="459"/>
      <c r="P708" s="459"/>
      <c r="Q708" s="459"/>
      <c r="R708" s="460">
        <f t="shared" si="311"/>
        <v>0</v>
      </c>
      <c r="S708" s="461"/>
      <c r="T708" s="461"/>
      <c r="U708" s="461"/>
      <c r="V708" s="461"/>
      <c r="W708" s="462">
        <f t="shared" si="312"/>
        <v>0</v>
      </c>
      <c r="X708" s="463"/>
      <c r="Y708" s="457"/>
      <c r="Z708" s="464"/>
      <c r="AA708" s="464"/>
      <c r="AB708" s="465"/>
      <c r="AC708" s="457"/>
      <c r="AD708" s="464"/>
      <c r="AE708" s="466"/>
      <c r="AF708" s="465"/>
      <c r="AG708" s="457"/>
      <c r="AH708" s="464"/>
      <c r="AI708" s="466"/>
      <c r="AJ708" s="465"/>
      <c r="AK708" s="457"/>
      <c r="AL708" s="464"/>
      <c r="AM708" s="466"/>
      <c r="AN708" s="465"/>
      <c r="AO708" s="457"/>
      <c r="AP708" s="464"/>
      <c r="AQ708" s="464"/>
      <c r="AR708" s="460">
        <f t="shared" si="313"/>
        <v>0</v>
      </c>
      <c r="AS708" s="467">
        <f t="shared" si="314"/>
        <v>0</v>
      </c>
      <c r="AT708" s="447">
        <f t="shared" si="315"/>
        <v>0</v>
      </c>
      <c r="AU708" s="448">
        <f t="shared" si="316"/>
        <v>0</v>
      </c>
      <c r="AV708" s="457"/>
      <c r="AW708" s="450"/>
      <c r="AX708" s="463"/>
      <c r="AY708" s="457"/>
      <c r="AZ708" s="464"/>
      <c r="BA708" s="464"/>
      <c r="BB708" s="465"/>
      <c r="BC708" s="457"/>
      <c r="BD708" s="464"/>
      <c r="BE708" s="466"/>
      <c r="BF708" s="465"/>
      <c r="BG708" s="457"/>
      <c r="BH708" s="464"/>
      <c r="BI708" s="466"/>
      <c r="BJ708" s="465"/>
      <c r="BK708" s="457"/>
      <c r="BL708" s="464"/>
      <c r="BM708" s="466"/>
      <c r="BN708" s="465"/>
      <c r="BO708" s="457"/>
      <c r="BP708" s="464"/>
      <c r="BQ708" s="466"/>
      <c r="BR708" s="465"/>
      <c r="BS708" s="457"/>
      <c r="BT708" s="464"/>
      <c r="BU708" s="466"/>
      <c r="BV708" s="465"/>
      <c r="BW708" s="457"/>
      <c r="BX708" s="464"/>
      <c r="BY708" s="466"/>
      <c r="BZ708" s="465"/>
      <c r="CA708" s="457"/>
      <c r="CB708" s="464"/>
      <c r="CC708" s="466"/>
      <c r="CD708" s="465"/>
      <c r="CE708" s="457"/>
      <c r="CF708" s="464"/>
      <c r="CG708" s="466"/>
      <c r="CH708" s="465"/>
      <c r="CI708" s="457"/>
      <c r="CJ708" s="464"/>
      <c r="CK708" s="466"/>
      <c r="CL708" s="459"/>
      <c r="CM708" s="450"/>
      <c r="CN708" s="468">
        <f t="shared" si="317"/>
        <v>0</v>
      </c>
      <c r="CO708" s="468">
        <f t="shared" si="318"/>
        <v>0</v>
      </c>
      <c r="CP708" s="469">
        <f t="shared" si="319"/>
        <v>0</v>
      </c>
      <c r="CQ708" s="469">
        <f t="shared" si="320"/>
        <v>0</v>
      </c>
      <c r="CR708" s="463"/>
      <c r="CS708" s="457"/>
      <c r="CT708" s="464"/>
      <c r="CU708" s="464"/>
      <c r="CV708" s="465"/>
      <c r="CW708" s="457"/>
      <c r="CX708" s="464"/>
      <c r="CY708" s="466"/>
      <c r="CZ708" s="465"/>
      <c r="DA708" s="457"/>
      <c r="DB708" s="464"/>
      <c r="DC708" s="466"/>
      <c r="DD708" s="465"/>
      <c r="DE708" s="457"/>
      <c r="DF708" s="464"/>
      <c r="DG708" s="466"/>
      <c r="DH708" s="465"/>
      <c r="DI708" s="457"/>
      <c r="DJ708" s="464"/>
      <c r="DK708" s="466"/>
      <c r="DL708" s="465"/>
      <c r="DM708" s="457"/>
      <c r="DN708" s="464"/>
      <c r="DO708" s="466"/>
      <c r="DP708" s="465"/>
      <c r="DQ708" s="457"/>
      <c r="DR708" s="464"/>
      <c r="DS708" s="466"/>
      <c r="DT708" s="465"/>
      <c r="DU708" s="457"/>
      <c r="DV708" s="464"/>
      <c r="DW708" s="466"/>
      <c r="DX708" s="465"/>
      <c r="DY708" s="457"/>
      <c r="DZ708" s="464"/>
      <c r="EA708" s="466"/>
      <c r="EB708" s="465"/>
      <c r="EC708" s="457"/>
      <c r="ED708" s="464"/>
      <c r="EE708" s="466"/>
      <c r="EF708" s="459"/>
      <c r="EG708" s="450"/>
      <c r="EH708" s="460">
        <f t="shared" si="321"/>
        <v>0</v>
      </c>
      <c r="EI708" s="460">
        <f t="shared" si="322"/>
        <v>0</v>
      </c>
      <c r="EJ708" s="458">
        <f t="shared" si="323"/>
        <v>0</v>
      </c>
      <c r="EK708" s="470">
        <f t="shared" si="324"/>
        <v>0</v>
      </c>
      <c r="EL708" s="470">
        <f t="shared" si="325"/>
        <v>0</v>
      </c>
      <c r="EM708" s="449">
        <f t="shared" si="326"/>
        <v>0</v>
      </c>
      <c r="EN708" s="460">
        <f t="shared" si="327"/>
        <v>0</v>
      </c>
      <c r="EO708" s="469">
        <f t="shared" si="328"/>
        <v>0</v>
      </c>
      <c r="EP708" s="471"/>
      <c r="EQ708" s="450"/>
      <c r="ER708" s="471"/>
      <c r="ES708" s="450"/>
      <c r="ET708" s="471"/>
      <c r="EU708" s="450"/>
      <c r="EV708" s="471"/>
      <c r="EW708" s="450"/>
      <c r="EX708" s="471"/>
      <c r="EY708" s="450"/>
      <c r="EZ708" s="471"/>
      <c r="FA708" s="450"/>
      <c r="FB708" s="471"/>
      <c r="FC708" s="450"/>
      <c r="FD708" s="471"/>
      <c r="FE708" s="450"/>
      <c r="FF708" s="471"/>
      <c r="FG708" s="450"/>
      <c r="FH708" s="472"/>
      <c r="FI708" s="450"/>
      <c r="FJ708" s="468">
        <f t="shared" si="329"/>
        <v>0</v>
      </c>
      <c r="FK708" s="469">
        <f t="shared" si="330"/>
        <v>0</v>
      </c>
      <c r="FL708" s="472"/>
      <c r="FM708" s="450"/>
      <c r="FN708" s="460">
        <f t="shared" si="331"/>
        <v>32</v>
      </c>
      <c r="FO708" s="469">
        <f t="shared" si="332"/>
        <v>29</v>
      </c>
    </row>
    <row r="709" spans="1:171" x14ac:dyDescent="0.2">
      <c r="A709" s="722" t="s">
        <v>743</v>
      </c>
      <c r="B709" s="672" t="s">
        <v>1179</v>
      </c>
      <c r="C709" s="721"/>
      <c r="D709" s="674">
        <v>237844</v>
      </c>
      <c r="E709" s="561">
        <v>14</v>
      </c>
      <c r="F709" s="532">
        <v>156</v>
      </c>
      <c r="G709" s="627">
        <v>145</v>
      </c>
      <c r="H709" s="457"/>
      <c r="I709" s="450"/>
      <c r="J709" s="457"/>
      <c r="K709" s="450"/>
      <c r="L709" s="458">
        <f t="shared" si="309"/>
        <v>0</v>
      </c>
      <c r="M709" s="449">
        <f t="shared" si="310"/>
        <v>0</v>
      </c>
      <c r="N709" s="459"/>
      <c r="O709" s="459"/>
      <c r="P709" s="459"/>
      <c r="Q709" s="459"/>
      <c r="R709" s="460">
        <f t="shared" si="311"/>
        <v>0</v>
      </c>
      <c r="S709" s="461"/>
      <c r="T709" s="461"/>
      <c r="U709" s="461"/>
      <c r="V709" s="461"/>
      <c r="W709" s="462">
        <f t="shared" si="312"/>
        <v>0</v>
      </c>
      <c r="X709" s="463"/>
      <c r="Y709" s="457"/>
      <c r="Z709" s="464"/>
      <c r="AA709" s="464"/>
      <c r="AB709" s="465"/>
      <c r="AC709" s="457"/>
      <c r="AD709" s="464"/>
      <c r="AE709" s="466"/>
      <c r="AF709" s="465"/>
      <c r="AG709" s="457"/>
      <c r="AH709" s="464"/>
      <c r="AI709" s="466"/>
      <c r="AJ709" s="465"/>
      <c r="AK709" s="457"/>
      <c r="AL709" s="464"/>
      <c r="AM709" s="466"/>
      <c r="AN709" s="465"/>
      <c r="AO709" s="457"/>
      <c r="AP709" s="464"/>
      <c r="AQ709" s="464"/>
      <c r="AR709" s="460">
        <f t="shared" si="313"/>
        <v>0</v>
      </c>
      <c r="AS709" s="467">
        <f t="shared" si="314"/>
        <v>0</v>
      </c>
      <c r="AT709" s="447">
        <f t="shared" si="315"/>
        <v>0</v>
      </c>
      <c r="AU709" s="448">
        <f t="shared" si="316"/>
        <v>0</v>
      </c>
      <c r="AV709" s="457"/>
      <c r="AW709" s="450"/>
      <c r="AX709" s="463"/>
      <c r="AY709" s="457"/>
      <c r="AZ709" s="464"/>
      <c r="BA709" s="464"/>
      <c r="BB709" s="465"/>
      <c r="BC709" s="457"/>
      <c r="BD709" s="464"/>
      <c r="BE709" s="466"/>
      <c r="BF709" s="465"/>
      <c r="BG709" s="457"/>
      <c r="BH709" s="464"/>
      <c r="BI709" s="466"/>
      <c r="BJ709" s="465"/>
      <c r="BK709" s="457"/>
      <c r="BL709" s="464"/>
      <c r="BM709" s="466"/>
      <c r="BN709" s="465"/>
      <c r="BO709" s="457"/>
      <c r="BP709" s="464"/>
      <c r="BQ709" s="466"/>
      <c r="BR709" s="465"/>
      <c r="BS709" s="457"/>
      <c r="BT709" s="464"/>
      <c r="BU709" s="466"/>
      <c r="BV709" s="465"/>
      <c r="BW709" s="457"/>
      <c r="BX709" s="464"/>
      <c r="BY709" s="466"/>
      <c r="BZ709" s="465"/>
      <c r="CA709" s="457"/>
      <c r="CB709" s="464"/>
      <c r="CC709" s="466"/>
      <c r="CD709" s="465"/>
      <c r="CE709" s="457"/>
      <c r="CF709" s="464"/>
      <c r="CG709" s="466"/>
      <c r="CH709" s="465"/>
      <c r="CI709" s="457"/>
      <c r="CJ709" s="464"/>
      <c r="CK709" s="466"/>
      <c r="CL709" s="459"/>
      <c r="CM709" s="450"/>
      <c r="CN709" s="468">
        <f t="shared" si="317"/>
        <v>0</v>
      </c>
      <c r="CO709" s="468">
        <f t="shared" si="318"/>
        <v>0</v>
      </c>
      <c r="CP709" s="469">
        <f t="shared" si="319"/>
        <v>0</v>
      </c>
      <c r="CQ709" s="469">
        <f t="shared" si="320"/>
        <v>0</v>
      </c>
      <c r="CR709" s="463"/>
      <c r="CS709" s="457"/>
      <c r="CT709" s="464"/>
      <c r="CU709" s="464"/>
      <c r="CV709" s="465"/>
      <c r="CW709" s="457"/>
      <c r="CX709" s="464"/>
      <c r="CY709" s="466"/>
      <c r="CZ709" s="465"/>
      <c r="DA709" s="457"/>
      <c r="DB709" s="464"/>
      <c r="DC709" s="466"/>
      <c r="DD709" s="465"/>
      <c r="DE709" s="457"/>
      <c r="DF709" s="464"/>
      <c r="DG709" s="466"/>
      <c r="DH709" s="465"/>
      <c r="DI709" s="457"/>
      <c r="DJ709" s="464"/>
      <c r="DK709" s="466"/>
      <c r="DL709" s="465"/>
      <c r="DM709" s="457"/>
      <c r="DN709" s="464"/>
      <c r="DO709" s="466"/>
      <c r="DP709" s="465"/>
      <c r="DQ709" s="457"/>
      <c r="DR709" s="464"/>
      <c r="DS709" s="466"/>
      <c r="DT709" s="465"/>
      <c r="DU709" s="457"/>
      <c r="DV709" s="464"/>
      <c r="DW709" s="466"/>
      <c r="DX709" s="465"/>
      <c r="DY709" s="457"/>
      <c r="DZ709" s="464"/>
      <c r="EA709" s="466"/>
      <c r="EB709" s="465"/>
      <c r="EC709" s="457"/>
      <c r="ED709" s="464"/>
      <c r="EE709" s="466"/>
      <c r="EF709" s="459"/>
      <c r="EG709" s="450"/>
      <c r="EH709" s="460">
        <f t="shared" si="321"/>
        <v>0</v>
      </c>
      <c r="EI709" s="460">
        <f t="shared" si="322"/>
        <v>0</v>
      </c>
      <c r="EJ709" s="458">
        <f t="shared" si="323"/>
        <v>0</v>
      </c>
      <c r="EK709" s="470">
        <f t="shared" si="324"/>
        <v>0</v>
      </c>
      <c r="EL709" s="470">
        <f t="shared" si="325"/>
        <v>0</v>
      </c>
      <c r="EM709" s="449">
        <f t="shared" si="326"/>
        <v>0</v>
      </c>
      <c r="EN709" s="460">
        <f t="shared" si="327"/>
        <v>0</v>
      </c>
      <c r="EO709" s="469">
        <f t="shared" si="328"/>
        <v>0</v>
      </c>
      <c r="EP709" s="471"/>
      <c r="EQ709" s="450"/>
      <c r="ER709" s="471"/>
      <c r="ES709" s="450"/>
      <c r="ET709" s="471"/>
      <c r="EU709" s="450"/>
      <c r="EV709" s="471"/>
      <c r="EW709" s="450"/>
      <c r="EX709" s="471"/>
      <c r="EY709" s="450"/>
      <c r="EZ709" s="471"/>
      <c r="FA709" s="450"/>
      <c r="FB709" s="471"/>
      <c r="FC709" s="450"/>
      <c r="FD709" s="471"/>
      <c r="FE709" s="450"/>
      <c r="FF709" s="471"/>
      <c r="FG709" s="450"/>
      <c r="FH709" s="472"/>
      <c r="FI709" s="450"/>
      <c r="FJ709" s="468">
        <f t="shared" si="329"/>
        <v>0</v>
      </c>
      <c r="FK709" s="469">
        <f t="shared" si="330"/>
        <v>0</v>
      </c>
      <c r="FL709" s="472"/>
      <c r="FM709" s="450"/>
      <c r="FN709" s="460">
        <f t="shared" si="331"/>
        <v>156</v>
      </c>
      <c r="FO709" s="469">
        <f t="shared" si="332"/>
        <v>145</v>
      </c>
    </row>
    <row r="710" spans="1:171" x14ac:dyDescent="0.2">
      <c r="A710" s="720" t="s">
        <v>743</v>
      </c>
      <c r="B710" s="672" t="s">
        <v>1180</v>
      </c>
      <c r="C710" s="721"/>
      <c r="D710" s="674">
        <v>431169</v>
      </c>
      <c r="E710" s="561">
        <v>14</v>
      </c>
      <c r="F710" s="532">
        <v>90</v>
      </c>
      <c r="G710" s="627">
        <v>89</v>
      </c>
      <c r="H710" s="457"/>
      <c r="I710" s="450"/>
      <c r="J710" s="457"/>
      <c r="K710" s="450"/>
      <c r="L710" s="458">
        <f t="shared" si="309"/>
        <v>0</v>
      </c>
      <c r="M710" s="449">
        <f t="shared" si="310"/>
        <v>0</v>
      </c>
      <c r="N710" s="459"/>
      <c r="O710" s="459"/>
      <c r="P710" s="459"/>
      <c r="Q710" s="459"/>
      <c r="R710" s="460">
        <f t="shared" si="311"/>
        <v>0</v>
      </c>
      <c r="S710" s="461"/>
      <c r="T710" s="461"/>
      <c r="U710" s="461"/>
      <c r="V710" s="461"/>
      <c r="W710" s="462">
        <f t="shared" si="312"/>
        <v>0</v>
      </c>
      <c r="X710" s="463"/>
      <c r="Y710" s="457"/>
      <c r="Z710" s="464"/>
      <c r="AA710" s="464"/>
      <c r="AB710" s="465"/>
      <c r="AC710" s="457"/>
      <c r="AD710" s="464"/>
      <c r="AE710" s="466"/>
      <c r="AF710" s="465"/>
      <c r="AG710" s="457"/>
      <c r="AH710" s="464"/>
      <c r="AI710" s="466"/>
      <c r="AJ710" s="465"/>
      <c r="AK710" s="457"/>
      <c r="AL710" s="464"/>
      <c r="AM710" s="466"/>
      <c r="AN710" s="465"/>
      <c r="AO710" s="457"/>
      <c r="AP710" s="464"/>
      <c r="AQ710" s="464"/>
      <c r="AR710" s="460">
        <f t="shared" si="313"/>
        <v>0</v>
      </c>
      <c r="AS710" s="467">
        <f t="shared" si="314"/>
        <v>0</v>
      </c>
      <c r="AT710" s="447">
        <f t="shared" si="315"/>
        <v>0</v>
      </c>
      <c r="AU710" s="448">
        <f t="shared" si="316"/>
        <v>0</v>
      </c>
      <c r="AV710" s="457"/>
      <c r="AW710" s="450"/>
      <c r="AX710" s="463"/>
      <c r="AY710" s="457"/>
      <c r="AZ710" s="464"/>
      <c r="BA710" s="464"/>
      <c r="BB710" s="465"/>
      <c r="BC710" s="457"/>
      <c r="BD710" s="464"/>
      <c r="BE710" s="466"/>
      <c r="BF710" s="465"/>
      <c r="BG710" s="457"/>
      <c r="BH710" s="464"/>
      <c r="BI710" s="466"/>
      <c r="BJ710" s="465"/>
      <c r="BK710" s="457"/>
      <c r="BL710" s="464"/>
      <c r="BM710" s="466"/>
      <c r="BN710" s="465"/>
      <c r="BO710" s="457"/>
      <c r="BP710" s="464"/>
      <c r="BQ710" s="466"/>
      <c r="BR710" s="465"/>
      <c r="BS710" s="457"/>
      <c r="BT710" s="464"/>
      <c r="BU710" s="466"/>
      <c r="BV710" s="465"/>
      <c r="BW710" s="457"/>
      <c r="BX710" s="464"/>
      <c r="BY710" s="466"/>
      <c r="BZ710" s="465"/>
      <c r="CA710" s="457"/>
      <c r="CB710" s="464"/>
      <c r="CC710" s="466"/>
      <c r="CD710" s="465"/>
      <c r="CE710" s="457"/>
      <c r="CF710" s="464"/>
      <c r="CG710" s="466"/>
      <c r="CH710" s="465"/>
      <c r="CI710" s="457"/>
      <c r="CJ710" s="464"/>
      <c r="CK710" s="466"/>
      <c r="CL710" s="459"/>
      <c r="CM710" s="450"/>
      <c r="CN710" s="468">
        <f t="shared" si="317"/>
        <v>0</v>
      </c>
      <c r="CO710" s="468">
        <f t="shared" si="318"/>
        <v>0</v>
      </c>
      <c r="CP710" s="469">
        <f t="shared" si="319"/>
        <v>0</v>
      </c>
      <c r="CQ710" s="469">
        <f t="shared" si="320"/>
        <v>0</v>
      </c>
      <c r="CR710" s="463"/>
      <c r="CS710" s="457"/>
      <c r="CT710" s="464"/>
      <c r="CU710" s="464"/>
      <c r="CV710" s="465"/>
      <c r="CW710" s="457"/>
      <c r="CX710" s="464"/>
      <c r="CY710" s="466"/>
      <c r="CZ710" s="465"/>
      <c r="DA710" s="457"/>
      <c r="DB710" s="464"/>
      <c r="DC710" s="466"/>
      <c r="DD710" s="465"/>
      <c r="DE710" s="457"/>
      <c r="DF710" s="464"/>
      <c r="DG710" s="466"/>
      <c r="DH710" s="465"/>
      <c r="DI710" s="457"/>
      <c r="DJ710" s="464"/>
      <c r="DK710" s="466"/>
      <c r="DL710" s="465"/>
      <c r="DM710" s="457"/>
      <c r="DN710" s="464"/>
      <c r="DO710" s="466"/>
      <c r="DP710" s="465"/>
      <c r="DQ710" s="457"/>
      <c r="DR710" s="464"/>
      <c r="DS710" s="466"/>
      <c r="DT710" s="465"/>
      <c r="DU710" s="457"/>
      <c r="DV710" s="464"/>
      <c r="DW710" s="466"/>
      <c r="DX710" s="465"/>
      <c r="DY710" s="457"/>
      <c r="DZ710" s="464"/>
      <c r="EA710" s="466"/>
      <c r="EB710" s="465"/>
      <c r="EC710" s="457"/>
      <c r="ED710" s="464"/>
      <c r="EE710" s="466"/>
      <c r="EF710" s="459"/>
      <c r="EG710" s="450"/>
      <c r="EH710" s="460">
        <f t="shared" si="321"/>
        <v>0</v>
      </c>
      <c r="EI710" s="460">
        <f t="shared" si="322"/>
        <v>0</v>
      </c>
      <c r="EJ710" s="458">
        <f t="shared" si="323"/>
        <v>0</v>
      </c>
      <c r="EK710" s="470">
        <f t="shared" si="324"/>
        <v>0</v>
      </c>
      <c r="EL710" s="470">
        <f t="shared" si="325"/>
        <v>0</v>
      </c>
      <c r="EM710" s="449">
        <f t="shared" si="326"/>
        <v>0</v>
      </c>
      <c r="EN710" s="460">
        <f t="shared" si="327"/>
        <v>0</v>
      </c>
      <c r="EO710" s="469">
        <f t="shared" si="328"/>
        <v>0</v>
      </c>
      <c r="EP710" s="471"/>
      <c r="EQ710" s="450"/>
      <c r="ER710" s="471"/>
      <c r="ES710" s="450"/>
      <c r="ET710" s="471"/>
      <c r="EU710" s="450"/>
      <c r="EV710" s="471"/>
      <c r="EW710" s="450"/>
      <c r="EX710" s="471"/>
      <c r="EY710" s="450"/>
      <c r="EZ710" s="471"/>
      <c r="FA710" s="450"/>
      <c r="FB710" s="471"/>
      <c r="FC710" s="450"/>
      <c r="FD710" s="471"/>
      <c r="FE710" s="450"/>
      <c r="FF710" s="471"/>
      <c r="FG710" s="450"/>
      <c r="FH710" s="472"/>
      <c r="FI710" s="450"/>
      <c r="FJ710" s="468">
        <f t="shared" si="329"/>
        <v>0</v>
      </c>
      <c r="FK710" s="469">
        <f t="shared" si="330"/>
        <v>0</v>
      </c>
      <c r="FL710" s="472"/>
      <c r="FM710" s="450"/>
      <c r="FN710" s="460">
        <f t="shared" si="331"/>
        <v>90</v>
      </c>
      <c r="FO710" s="469">
        <f t="shared" si="332"/>
        <v>89</v>
      </c>
    </row>
    <row r="711" spans="1:171" x14ac:dyDescent="0.2">
      <c r="A711" s="722" t="s">
        <v>743</v>
      </c>
      <c r="B711" s="672" t="s">
        <v>1181</v>
      </c>
      <c r="C711" s="721"/>
      <c r="D711" s="674">
        <v>237473</v>
      </c>
      <c r="E711" s="561">
        <v>14</v>
      </c>
      <c r="F711" s="532">
        <v>133</v>
      </c>
      <c r="G711" s="627">
        <v>121</v>
      </c>
      <c r="H711" s="457"/>
      <c r="I711" s="450"/>
      <c r="J711" s="457"/>
      <c r="K711" s="450"/>
      <c r="L711" s="458">
        <f t="shared" si="309"/>
        <v>0</v>
      </c>
      <c r="M711" s="449">
        <f t="shared" si="310"/>
        <v>0</v>
      </c>
      <c r="N711" s="459"/>
      <c r="O711" s="459"/>
      <c r="P711" s="459"/>
      <c r="Q711" s="459"/>
      <c r="R711" s="460">
        <f t="shared" si="311"/>
        <v>0</v>
      </c>
      <c r="S711" s="461"/>
      <c r="T711" s="461"/>
      <c r="U711" s="461"/>
      <c r="V711" s="461"/>
      <c r="W711" s="462">
        <f t="shared" si="312"/>
        <v>0</v>
      </c>
      <c r="X711" s="463"/>
      <c r="Y711" s="457"/>
      <c r="Z711" s="464"/>
      <c r="AA711" s="464"/>
      <c r="AB711" s="465"/>
      <c r="AC711" s="457"/>
      <c r="AD711" s="464"/>
      <c r="AE711" s="466"/>
      <c r="AF711" s="465"/>
      <c r="AG711" s="457"/>
      <c r="AH711" s="464"/>
      <c r="AI711" s="466"/>
      <c r="AJ711" s="465"/>
      <c r="AK711" s="457"/>
      <c r="AL711" s="464"/>
      <c r="AM711" s="466"/>
      <c r="AN711" s="465"/>
      <c r="AO711" s="457"/>
      <c r="AP711" s="464"/>
      <c r="AQ711" s="464"/>
      <c r="AR711" s="460">
        <f t="shared" si="313"/>
        <v>0</v>
      </c>
      <c r="AS711" s="467">
        <f t="shared" si="314"/>
        <v>0</v>
      </c>
      <c r="AT711" s="447">
        <f t="shared" si="315"/>
        <v>0</v>
      </c>
      <c r="AU711" s="448">
        <f t="shared" si="316"/>
        <v>0</v>
      </c>
      <c r="AV711" s="457"/>
      <c r="AW711" s="450"/>
      <c r="AX711" s="463"/>
      <c r="AY711" s="457"/>
      <c r="AZ711" s="464"/>
      <c r="BA711" s="464"/>
      <c r="BB711" s="465"/>
      <c r="BC711" s="457"/>
      <c r="BD711" s="464"/>
      <c r="BE711" s="466"/>
      <c r="BF711" s="465"/>
      <c r="BG711" s="457"/>
      <c r="BH711" s="464"/>
      <c r="BI711" s="466"/>
      <c r="BJ711" s="465"/>
      <c r="BK711" s="457"/>
      <c r="BL711" s="464"/>
      <c r="BM711" s="466"/>
      <c r="BN711" s="465"/>
      <c r="BO711" s="457"/>
      <c r="BP711" s="464"/>
      <c r="BQ711" s="466"/>
      <c r="BR711" s="465"/>
      <c r="BS711" s="457"/>
      <c r="BT711" s="464"/>
      <c r="BU711" s="466"/>
      <c r="BV711" s="465"/>
      <c r="BW711" s="457"/>
      <c r="BX711" s="464"/>
      <c r="BY711" s="466"/>
      <c r="BZ711" s="465"/>
      <c r="CA711" s="457"/>
      <c r="CB711" s="464"/>
      <c r="CC711" s="466"/>
      <c r="CD711" s="465"/>
      <c r="CE711" s="457"/>
      <c r="CF711" s="464"/>
      <c r="CG711" s="466"/>
      <c r="CH711" s="465"/>
      <c r="CI711" s="457"/>
      <c r="CJ711" s="464"/>
      <c r="CK711" s="466"/>
      <c r="CL711" s="459"/>
      <c r="CM711" s="450"/>
      <c r="CN711" s="468">
        <f t="shared" si="317"/>
        <v>0</v>
      </c>
      <c r="CO711" s="468">
        <f t="shared" si="318"/>
        <v>0</v>
      </c>
      <c r="CP711" s="469">
        <f t="shared" si="319"/>
        <v>0</v>
      </c>
      <c r="CQ711" s="469">
        <f t="shared" si="320"/>
        <v>0</v>
      </c>
      <c r="CR711" s="463"/>
      <c r="CS711" s="457"/>
      <c r="CT711" s="464"/>
      <c r="CU711" s="464"/>
      <c r="CV711" s="465"/>
      <c r="CW711" s="457"/>
      <c r="CX711" s="464"/>
      <c r="CY711" s="466"/>
      <c r="CZ711" s="465"/>
      <c r="DA711" s="457"/>
      <c r="DB711" s="464"/>
      <c r="DC711" s="466"/>
      <c r="DD711" s="465"/>
      <c r="DE711" s="457"/>
      <c r="DF711" s="464"/>
      <c r="DG711" s="466"/>
      <c r="DH711" s="465"/>
      <c r="DI711" s="457"/>
      <c r="DJ711" s="464"/>
      <c r="DK711" s="466"/>
      <c r="DL711" s="465"/>
      <c r="DM711" s="457"/>
      <c r="DN711" s="464"/>
      <c r="DO711" s="466"/>
      <c r="DP711" s="465"/>
      <c r="DQ711" s="457"/>
      <c r="DR711" s="464"/>
      <c r="DS711" s="466"/>
      <c r="DT711" s="465"/>
      <c r="DU711" s="457"/>
      <c r="DV711" s="464"/>
      <c r="DW711" s="466"/>
      <c r="DX711" s="465"/>
      <c r="DY711" s="457"/>
      <c r="DZ711" s="464"/>
      <c r="EA711" s="466"/>
      <c r="EB711" s="465"/>
      <c r="EC711" s="457"/>
      <c r="ED711" s="464"/>
      <c r="EE711" s="466"/>
      <c r="EF711" s="459"/>
      <c r="EG711" s="450"/>
      <c r="EH711" s="460">
        <f t="shared" si="321"/>
        <v>0</v>
      </c>
      <c r="EI711" s="460">
        <f t="shared" si="322"/>
        <v>0</v>
      </c>
      <c r="EJ711" s="458">
        <f t="shared" si="323"/>
        <v>0</v>
      </c>
      <c r="EK711" s="470">
        <f t="shared" si="324"/>
        <v>0</v>
      </c>
      <c r="EL711" s="470">
        <f t="shared" si="325"/>
        <v>0</v>
      </c>
      <c r="EM711" s="449">
        <f t="shared" si="326"/>
        <v>0</v>
      </c>
      <c r="EN711" s="460">
        <f t="shared" si="327"/>
        <v>0</v>
      </c>
      <c r="EO711" s="469">
        <f t="shared" si="328"/>
        <v>0</v>
      </c>
      <c r="EP711" s="471"/>
      <c r="EQ711" s="450"/>
      <c r="ER711" s="471"/>
      <c r="ES711" s="450"/>
      <c r="ET711" s="471"/>
      <c r="EU711" s="450"/>
      <c r="EV711" s="471"/>
      <c r="EW711" s="450"/>
      <c r="EX711" s="471"/>
      <c r="EY711" s="450"/>
      <c r="EZ711" s="471"/>
      <c r="FA711" s="450"/>
      <c r="FB711" s="471"/>
      <c r="FC711" s="450"/>
      <c r="FD711" s="471"/>
      <c r="FE711" s="450"/>
      <c r="FF711" s="471"/>
      <c r="FG711" s="450"/>
      <c r="FH711" s="472"/>
      <c r="FI711" s="450"/>
      <c r="FJ711" s="468">
        <f t="shared" si="329"/>
        <v>0</v>
      </c>
      <c r="FK711" s="469">
        <f t="shared" si="330"/>
        <v>0</v>
      </c>
      <c r="FL711" s="472"/>
      <c r="FM711" s="450"/>
      <c r="FN711" s="460">
        <f t="shared" si="331"/>
        <v>133</v>
      </c>
      <c r="FO711" s="469">
        <f t="shared" si="332"/>
        <v>121</v>
      </c>
    </row>
    <row r="712" spans="1:171" x14ac:dyDescent="0.2">
      <c r="A712" s="722" t="s">
        <v>743</v>
      </c>
      <c r="B712" s="672" t="s">
        <v>1182</v>
      </c>
      <c r="C712" s="721"/>
      <c r="D712" s="674">
        <v>446349</v>
      </c>
      <c r="E712" s="561">
        <v>14</v>
      </c>
      <c r="F712" s="532">
        <v>27</v>
      </c>
      <c r="G712" s="627">
        <v>23</v>
      </c>
      <c r="H712" s="457"/>
      <c r="I712" s="450"/>
      <c r="J712" s="457"/>
      <c r="K712" s="450"/>
      <c r="L712" s="458">
        <f t="shared" si="309"/>
        <v>0</v>
      </c>
      <c r="M712" s="449">
        <f t="shared" si="310"/>
        <v>0</v>
      </c>
      <c r="N712" s="459"/>
      <c r="O712" s="459"/>
      <c r="P712" s="459"/>
      <c r="Q712" s="459"/>
      <c r="R712" s="460">
        <f t="shared" si="311"/>
        <v>0</v>
      </c>
      <c r="S712" s="461"/>
      <c r="T712" s="461"/>
      <c r="U712" s="461"/>
      <c r="V712" s="461"/>
      <c r="W712" s="462">
        <f t="shared" si="312"/>
        <v>0</v>
      </c>
      <c r="X712" s="463"/>
      <c r="Y712" s="457"/>
      <c r="Z712" s="464"/>
      <c r="AA712" s="464"/>
      <c r="AB712" s="465"/>
      <c r="AC712" s="457"/>
      <c r="AD712" s="464"/>
      <c r="AE712" s="466"/>
      <c r="AF712" s="465"/>
      <c r="AG712" s="457"/>
      <c r="AH712" s="464"/>
      <c r="AI712" s="466"/>
      <c r="AJ712" s="465"/>
      <c r="AK712" s="457"/>
      <c r="AL712" s="464"/>
      <c r="AM712" s="466"/>
      <c r="AN712" s="465"/>
      <c r="AO712" s="457"/>
      <c r="AP712" s="464"/>
      <c r="AQ712" s="464"/>
      <c r="AR712" s="460">
        <f t="shared" si="313"/>
        <v>0</v>
      </c>
      <c r="AS712" s="467">
        <f t="shared" si="314"/>
        <v>0</v>
      </c>
      <c r="AT712" s="447">
        <f t="shared" si="315"/>
        <v>0</v>
      </c>
      <c r="AU712" s="448">
        <f t="shared" si="316"/>
        <v>0</v>
      </c>
      <c r="AV712" s="457"/>
      <c r="AW712" s="450"/>
      <c r="AX712" s="463"/>
      <c r="AY712" s="457"/>
      <c r="AZ712" s="464"/>
      <c r="BA712" s="464"/>
      <c r="BB712" s="465"/>
      <c r="BC712" s="457"/>
      <c r="BD712" s="464"/>
      <c r="BE712" s="466"/>
      <c r="BF712" s="465"/>
      <c r="BG712" s="457"/>
      <c r="BH712" s="464"/>
      <c r="BI712" s="466"/>
      <c r="BJ712" s="465"/>
      <c r="BK712" s="457"/>
      <c r="BL712" s="464"/>
      <c r="BM712" s="466"/>
      <c r="BN712" s="465"/>
      <c r="BO712" s="457"/>
      <c r="BP712" s="464"/>
      <c r="BQ712" s="466"/>
      <c r="BR712" s="465"/>
      <c r="BS712" s="457"/>
      <c r="BT712" s="464"/>
      <c r="BU712" s="466"/>
      <c r="BV712" s="465"/>
      <c r="BW712" s="457"/>
      <c r="BX712" s="464"/>
      <c r="BY712" s="466"/>
      <c r="BZ712" s="465"/>
      <c r="CA712" s="457"/>
      <c r="CB712" s="464"/>
      <c r="CC712" s="466"/>
      <c r="CD712" s="465"/>
      <c r="CE712" s="457"/>
      <c r="CF712" s="464"/>
      <c r="CG712" s="466"/>
      <c r="CH712" s="465"/>
      <c r="CI712" s="457"/>
      <c r="CJ712" s="464"/>
      <c r="CK712" s="466"/>
      <c r="CL712" s="459"/>
      <c r="CM712" s="450"/>
      <c r="CN712" s="468">
        <f t="shared" si="317"/>
        <v>0</v>
      </c>
      <c r="CO712" s="468">
        <f t="shared" si="318"/>
        <v>0</v>
      </c>
      <c r="CP712" s="469">
        <f t="shared" si="319"/>
        <v>0</v>
      </c>
      <c r="CQ712" s="469">
        <f t="shared" si="320"/>
        <v>0</v>
      </c>
      <c r="CR712" s="463"/>
      <c r="CS712" s="457"/>
      <c r="CT712" s="464"/>
      <c r="CU712" s="464"/>
      <c r="CV712" s="465"/>
      <c r="CW712" s="457"/>
      <c r="CX712" s="464"/>
      <c r="CY712" s="466"/>
      <c r="CZ712" s="465"/>
      <c r="DA712" s="457"/>
      <c r="DB712" s="464"/>
      <c r="DC712" s="466"/>
      <c r="DD712" s="465"/>
      <c r="DE712" s="457"/>
      <c r="DF712" s="464"/>
      <c r="DG712" s="466"/>
      <c r="DH712" s="465"/>
      <c r="DI712" s="457"/>
      <c r="DJ712" s="464"/>
      <c r="DK712" s="466"/>
      <c r="DL712" s="465"/>
      <c r="DM712" s="457"/>
      <c r="DN712" s="464"/>
      <c r="DO712" s="466"/>
      <c r="DP712" s="465"/>
      <c r="DQ712" s="457"/>
      <c r="DR712" s="464"/>
      <c r="DS712" s="466"/>
      <c r="DT712" s="465"/>
      <c r="DU712" s="457"/>
      <c r="DV712" s="464"/>
      <c r="DW712" s="466"/>
      <c r="DX712" s="465"/>
      <c r="DY712" s="457"/>
      <c r="DZ712" s="464"/>
      <c r="EA712" s="466"/>
      <c r="EB712" s="465"/>
      <c r="EC712" s="457"/>
      <c r="ED712" s="464"/>
      <c r="EE712" s="466"/>
      <c r="EF712" s="459"/>
      <c r="EG712" s="450"/>
      <c r="EH712" s="460">
        <f t="shared" si="321"/>
        <v>0</v>
      </c>
      <c r="EI712" s="460">
        <f t="shared" si="322"/>
        <v>0</v>
      </c>
      <c r="EJ712" s="458">
        <f t="shared" si="323"/>
        <v>0</v>
      </c>
      <c r="EK712" s="470">
        <f t="shared" si="324"/>
        <v>0</v>
      </c>
      <c r="EL712" s="470">
        <f t="shared" si="325"/>
        <v>0</v>
      </c>
      <c r="EM712" s="449">
        <f t="shared" si="326"/>
        <v>0</v>
      </c>
      <c r="EN712" s="460">
        <f t="shared" si="327"/>
        <v>0</v>
      </c>
      <c r="EO712" s="469">
        <f t="shared" si="328"/>
        <v>0</v>
      </c>
      <c r="EP712" s="471"/>
      <c r="EQ712" s="450"/>
      <c r="ER712" s="471"/>
      <c r="ES712" s="450"/>
      <c r="ET712" s="471"/>
      <c r="EU712" s="450"/>
      <c r="EV712" s="471"/>
      <c r="EW712" s="450"/>
      <c r="EX712" s="471"/>
      <c r="EY712" s="450"/>
      <c r="EZ712" s="471"/>
      <c r="FA712" s="450"/>
      <c r="FB712" s="471"/>
      <c r="FC712" s="450"/>
      <c r="FD712" s="471"/>
      <c r="FE712" s="450"/>
      <c r="FF712" s="471"/>
      <c r="FG712" s="450"/>
      <c r="FH712" s="472"/>
      <c r="FI712" s="450"/>
      <c r="FJ712" s="468">
        <f t="shared" si="329"/>
        <v>0</v>
      </c>
      <c r="FK712" s="469">
        <f t="shared" si="330"/>
        <v>0</v>
      </c>
      <c r="FL712" s="472"/>
      <c r="FM712" s="450"/>
      <c r="FN712" s="460">
        <f t="shared" si="331"/>
        <v>27</v>
      </c>
      <c r="FO712" s="469">
        <f t="shared" si="332"/>
        <v>23</v>
      </c>
    </row>
    <row r="713" spans="1:171" x14ac:dyDescent="0.2">
      <c r="A713" s="722" t="s">
        <v>743</v>
      </c>
      <c r="B713" s="672" t="s">
        <v>1183</v>
      </c>
      <c r="C713" s="721"/>
      <c r="D713" s="674">
        <v>237516</v>
      </c>
      <c r="E713" s="561">
        <v>14</v>
      </c>
      <c r="F713" s="532">
        <v>7</v>
      </c>
      <c r="G713" s="627">
        <v>6</v>
      </c>
      <c r="H713" s="457"/>
      <c r="I713" s="450"/>
      <c r="J713" s="457"/>
      <c r="K713" s="450"/>
      <c r="L713" s="458">
        <f t="shared" si="309"/>
        <v>0</v>
      </c>
      <c r="M713" s="449">
        <f t="shared" si="310"/>
        <v>0</v>
      </c>
      <c r="N713" s="459"/>
      <c r="O713" s="459"/>
      <c r="P713" s="459"/>
      <c r="Q713" s="459"/>
      <c r="R713" s="460">
        <f t="shared" si="311"/>
        <v>0</v>
      </c>
      <c r="S713" s="461"/>
      <c r="T713" s="461"/>
      <c r="U713" s="461"/>
      <c r="V713" s="461"/>
      <c r="W713" s="462">
        <f t="shared" si="312"/>
        <v>0</v>
      </c>
      <c r="X713" s="463"/>
      <c r="Y713" s="457"/>
      <c r="Z713" s="464"/>
      <c r="AA713" s="464"/>
      <c r="AB713" s="465"/>
      <c r="AC713" s="457"/>
      <c r="AD713" s="464"/>
      <c r="AE713" s="466"/>
      <c r="AF713" s="465"/>
      <c r="AG713" s="457"/>
      <c r="AH713" s="464"/>
      <c r="AI713" s="466"/>
      <c r="AJ713" s="465"/>
      <c r="AK713" s="457"/>
      <c r="AL713" s="464"/>
      <c r="AM713" s="466"/>
      <c r="AN713" s="465"/>
      <c r="AO713" s="457"/>
      <c r="AP713" s="464"/>
      <c r="AQ713" s="464"/>
      <c r="AR713" s="460">
        <f t="shared" si="313"/>
        <v>0</v>
      </c>
      <c r="AS713" s="467">
        <f t="shared" si="314"/>
        <v>0</v>
      </c>
      <c r="AT713" s="447">
        <f t="shared" si="315"/>
        <v>0</v>
      </c>
      <c r="AU713" s="448">
        <f t="shared" si="316"/>
        <v>0</v>
      </c>
      <c r="AV713" s="457"/>
      <c r="AW713" s="450"/>
      <c r="AX713" s="463"/>
      <c r="AY713" s="457"/>
      <c r="AZ713" s="464"/>
      <c r="BA713" s="464"/>
      <c r="BB713" s="465"/>
      <c r="BC713" s="457"/>
      <c r="BD713" s="464"/>
      <c r="BE713" s="466"/>
      <c r="BF713" s="465"/>
      <c r="BG713" s="457"/>
      <c r="BH713" s="464"/>
      <c r="BI713" s="466"/>
      <c r="BJ713" s="465"/>
      <c r="BK713" s="457"/>
      <c r="BL713" s="464"/>
      <c r="BM713" s="466"/>
      <c r="BN713" s="465"/>
      <c r="BO713" s="457"/>
      <c r="BP713" s="464"/>
      <c r="BQ713" s="466"/>
      <c r="BR713" s="465"/>
      <c r="BS713" s="457"/>
      <c r="BT713" s="464"/>
      <c r="BU713" s="466"/>
      <c r="BV713" s="465"/>
      <c r="BW713" s="457"/>
      <c r="BX713" s="464"/>
      <c r="BY713" s="466"/>
      <c r="BZ713" s="465"/>
      <c r="CA713" s="457"/>
      <c r="CB713" s="464"/>
      <c r="CC713" s="466"/>
      <c r="CD713" s="465"/>
      <c r="CE713" s="457"/>
      <c r="CF713" s="464"/>
      <c r="CG713" s="466"/>
      <c r="CH713" s="465"/>
      <c r="CI713" s="457"/>
      <c r="CJ713" s="464"/>
      <c r="CK713" s="466"/>
      <c r="CL713" s="459"/>
      <c r="CM713" s="450"/>
      <c r="CN713" s="468">
        <f t="shared" si="317"/>
        <v>0</v>
      </c>
      <c r="CO713" s="468">
        <f t="shared" si="318"/>
        <v>0</v>
      </c>
      <c r="CP713" s="469">
        <f t="shared" si="319"/>
        <v>0</v>
      </c>
      <c r="CQ713" s="469">
        <f t="shared" si="320"/>
        <v>0</v>
      </c>
      <c r="CR713" s="463"/>
      <c r="CS713" s="457"/>
      <c r="CT713" s="464"/>
      <c r="CU713" s="464"/>
      <c r="CV713" s="465"/>
      <c r="CW713" s="457"/>
      <c r="CX713" s="464"/>
      <c r="CY713" s="466"/>
      <c r="CZ713" s="465"/>
      <c r="DA713" s="457"/>
      <c r="DB713" s="464"/>
      <c r="DC713" s="466"/>
      <c r="DD713" s="465"/>
      <c r="DE713" s="457"/>
      <c r="DF713" s="464"/>
      <c r="DG713" s="466"/>
      <c r="DH713" s="465"/>
      <c r="DI713" s="457"/>
      <c r="DJ713" s="464"/>
      <c r="DK713" s="466"/>
      <c r="DL713" s="465"/>
      <c r="DM713" s="457"/>
      <c r="DN713" s="464"/>
      <c r="DO713" s="466"/>
      <c r="DP713" s="465"/>
      <c r="DQ713" s="457"/>
      <c r="DR713" s="464"/>
      <c r="DS713" s="466"/>
      <c r="DT713" s="465"/>
      <c r="DU713" s="457"/>
      <c r="DV713" s="464"/>
      <c r="DW713" s="466"/>
      <c r="DX713" s="465"/>
      <c r="DY713" s="457"/>
      <c r="DZ713" s="464"/>
      <c r="EA713" s="466"/>
      <c r="EB713" s="465"/>
      <c r="EC713" s="457"/>
      <c r="ED713" s="464"/>
      <c r="EE713" s="466"/>
      <c r="EF713" s="459"/>
      <c r="EG713" s="450"/>
      <c r="EH713" s="460">
        <f t="shared" si="321"/>
        <v>0</v>
      </c>
      <c r="EI713" s="460">
        <f t="shared" si="322"/>
        <v>0</v>
      </c>
      <c r="EJ713" s="458">
        <f t="shared" si="323"/>
        <v>0</v>
      </c>
      <c r="EK713" s="470">
        <f t="shared" si="324"/>
        <v>0</v>
      </c>
      <c r="EL713" s="470">
        <f t="shared" si="325"/>
        <v>0</v>
      </c>
      <c r="EM713" s="449">
        <f t="shared" si="326"/>
        <v>0</v>
      </c>
      <c r="EN713" s="460">
        <f t="shared" si="327"/>
        <v>0</v>
      </c>
      <c r="EO713" s="469">
        <f t="shared" si="328"/>
        <v>0</v>
      </c>
      <c r="EP713" s="471"/>
      <c r="EQ713" s="450"/>
      <c r="ER713" s="471"/>
      <c r="ES713" s="450"/>
      <c r="ET713" s="471"/>
      <c r="EU713" s="450"/>
      <c r="EV713" s="471"/>
      <c r="EW713" s="450"/>
      <c r="EX713" s="471"/>
      <c r="EY713" s="450"/>
      <c r="EZ713" s="471"/>
      <c r="FA713" s="450"/>
      <c r="FB713" s="471"/>
      <c r="FC713" s="450"/>
      <c r="FD713" s="471"/>
      <c r="FE713" s="450"/>
      <c r="FF713" s="471"/>
      <c r="FG713" s="450"/>
      <c r="FH713" s="472"/>
      <c r="FI713" s="450"/>
      <c r="FJ713" s="468">
        <f t="shared" si="329"/>
        <v>0</v>
      </c>
      <c r="FK713" s="469">
        <f t="shared" si="330"/>
        <v>0</v>
      </c>
      <c r="FL713" s="472"/>
      <c r="FM713" s="450"/>
      <c r="FN713" s="460">
        <f t="shared" si="331"/>
        <v>7</v>
      </c>
      <c r="FO713" s="469">
        <f t="shared" si="332"/>
        <v>6</v>
      </c>
    </row>
    <row r="714" spans="1:171" x14ac:dyDescent="0.2">
      <c r="A714" s="720" t="s">
        <v>743</v>
      </c>
      <c r="B714" s="672" t="s">
        <v>1184</v>
      </c>
      <c r="C714" s="721"/>
      <c r="D714" s="674">
        <v>237534</v>
      </c>
      <c r="E714" s="561">
        <v>14</v>
      </c>
      <c r="F714" s="532">
        <v>19</v>
      </c>
      <c r="G714" s="627">
        <v>20</v>
      </c>
      <c r="H714" s="457"/>
      <c r="I714" s="450"/>
      <c r="J714" s="457"/>
      <c r="K714" s="450"/>
      <c r="L714" s="458">
        <f t="shared" ref="L714:L727" si="333">IF(N714&gt;0,J714/N714, )</f>
        <v>0</v>
      </c>
      <c r="M714" s="449">
        <f t="shared" ref="M714:M727" si="334">IF(S714&gt;0,K714/S714, )</f>
        <v>0</v>
      </c>
      <c r="N714" s="459"/>
      <c r="O714" s="459"/>
      <c r="P714" s="459"/>
      <c r="Q714" s="459"/>
      <c r="R714" s="460">
        <f t="shared" ref="R714:R727" si="335">SUM(O714:Q714)</f>
        <v>0</v>
      </c>
      <c r="S714" s="461"/>
      <c r="T714" s="461"/>
      <c r="U714" s="461"/>
      <c r="V714" s="461"/>
      <c r="W714" s="462">
        <f t="shared" ref="W714:W727" si="336">SUM(T714:V714)</f>
        <v>0</v>
      </c>
      <c r="X714" s="463"/>
      <c r="Y714" s="457"/>
      <c r="Z714" s="464"/>
      <c r="AA714" s="464"/>
      <c r="AB714" s="465"/>
      <c r="AC714" s="457"/>
      <c r="AD714" s="464"/>
      <c r="AE714" s="466"/>
      <c r="AF714" s="465"/>
      <c r="AG714" s="457"/>
      <c r="AH714" s="464"/>
      <c r="AI714" s="466"/>
      <c r="AJ714" s="465"/>
      <c r="AK714" s="457"/>
      <c r="AL714" s="464"/>
      <c r="AM714" s="466"/>
      <c r="AN714" s="465"/>
      <c r="AO714" s="457"/>
      <c r="AP714" s="464"/>
      <c r="AQ714" s="464"/>
      <c r="AR714" s="460">
        <f t="shared" ref="AR714:AR727" si="337">COUNTA(X714,AB714,AF714,AJ714,AN714)</f>
        <v>0</v>
      </c>
      <c r="AS714" s="467">
        <f t="shared" ref="AS714:AS727" si="338">IF(FN714&gt;0,N714/FN714,)</f>
        <v>0</v>
      </c>
      <c r="AT714" s="447">
        <f t="shared" ref="AT714:AT727" si="339">COUNTA(Z714,AD714,AH714,AL714,AP714)</f>
        <v>0</v>
      </c>
      <c r="AU714" s="448">
        <f t="shared" ref="AU714:AU727" si="340">IF(FO714&gt;0,S714/FO714,)</f>
        <v>0</v>
      </c>
      <c r="AV714" s="457"/>
      <c r="AW714" s="450"/>
      <c r="AX714" s="463"/>
      <c r="AY714" s="457"/>
      <c r="AZ714" s="464"/>
      <c r="BA714" s="464"/>
      <c r="BB714" s="465"/>
      <c r="BC714" s="457"/>
      <c r="BD714" s="464"/>
      <c r="BE714" s="466"/>
      <c r="BF714" s="465"/>
      <c r="BG714" s="457"/>
      <c r="BH714" s="464"/>
      <c r="BI714" s="466"/>
      <c r="BJ714" s="465"/>
      <c r="BK714" s="457"/>
      <c r="BL714" s="464"/>
      <c r="BM714" s="466"/>
      <c r="BN714" s="465"/>
      <c r="BO714" s="457"/>
      <c r="BP714" s="464"/>
      <c r="BQ714" s="466"/>
      <c r="BR714" s="465"/>
      <c r="BS714" s="457"/>
      <c r="BT714" s="464"/>
      <c r="BU714" s="466"/>
      <c r="BV714" s="465"/>
      <c r="BW714" s="457"/>
      <c r="BX714" s="464"/>
      <c r="BY714" s="466"/>
      <c r="BZ714" s="465"/>
      <c r="CA714" s="457"/>
      <c r="CB714" s="464"/>
      <c r="CC714" s="466"/>
      <c r="CD714" s="465"/>
      <c r="CE714" s="457"/>
      <c r="CF714" s="464"/>
      <c r="CG714" s="466"/>
      <c r="CH714" s="465"/>
      <c r="CI714" s="457"/>
      <c r="CJ714" s="464"/>
      <c r="CK714" s="466"/>
      <c r="CL714" s="459"/>
      <c r="CM714" s="450"/>
      <c r="CN714" s="468">
        <f t="shared" ref="CN714:CN727" si="341">AY714+BC714+BG714+BK714+BO714+BS714+BW714+CA714+CE714+CI714+CL714</f>
        <v>0</v>
      </c>
      <c r="CO714" s="468">
        <f t="shared" ref="CO714:CO727" si="342">COUNTA(AX714,BB714,BF714,BJ714,BN714,BR714,BV714,BZ714,CD714,CH714)</f>
        <v>0</v>
      </c>
      <c r="CP714" s="469">
        <f t="shared" ref="CP714:CP727" si="343">BA714+BE714+BI714+BM714+BQ714+BU714+BY714+CC714+CG714+CK714+CM714</f>
        <v>0</v>
      </c>
      <c r="CQ714" s="469">
        <f t="shared" ref="CQ714:CQ727" si="344">COUNTA(AZ714,BD714,BH714,BL714,BP714,BT714,BX714,CB714,CF714,CJ714)</f>
        <v>0</v>
      </c>
      <c r="CR714" s="463"/>
      <c r="CS714" s="457"/>
      <c r="CT714" s="464"/>
      <c r="CU714" s="464"/>
      <c r="CV714" s="465"/>
      <c r="CW714" s="457"/>
      <c r="CX714" s="464"/>
      <c r="CY714" s="466"/>
      <c r="CZ714" s="465"/>
      <c r="DA714" s="457"/>
      <c r="DB714" s="464"/>
      <c r="DC714" s="466"/>
      <c r="DD714" s="465"/>
      <c r="DE714" s="457"/>
      <c r="DF714" s="464"/>
      <c r="DG714" s="466"/>
      <c r="DH714" s="465"/>
      <c r="DI714" s="457"/>
      <c r="DJ714" s="464"/>
      <c r="DK714" s="466"/>
      <c r="DL714" s="465"/>
      <c r="DM714" s="457"/>
      <c r="DN714" s="464"/>
      <c r="DO714" s="466"/>
      <c r="DP714" s="465"/>
      <c r="DQ714" s="457"/>
      <c r="DR714" s="464"/>
      <c r="DS714" s="466"/>
      <c r="DT714" s="465"/>
      <c r="DU714" s="457"/>
      <c r="DV714" s="464"/>
      <c r="DW714" s="466"/>
      <c r="DX714" s="465"/>
      <c r="DY714" s="457"/>
      <c r="DZ714" s="464"/>
      <c r="EA714" s="466"/>
      <c r="EB714" s="465"/>
      <c r="EC714" s="457"/>
      <c r="ED714" s="464"/>
      <c r="EE714" s="466"/>
      <c r="EF714" s="459"/>
      <c r="EG714" s="450"/>
      <c r="EH714" s="460">
        <f t="shared" ref="EH714:EH727" si="345">CS714+CW714+DA714+DE714+DI714+DM714+DQ714+DU714+DY714+EC714+EF714</f>
        <v>0</v>
      </c>
      <c r="EI714" s="460">
        <f t="shared" ref="EI714:EI727" si="346">COUNTA(CR714,CV714,CZ714,DD714,DH714,DL714,DP714,DT714,DX714,EB714)</f>
        <v>0</v>
      </c>
      <c r="EJ714" s="458">
        <f t="shared" ref="EJ714:EJ727" si="347">IF(EH714&gt;0,CS714/EH714,)</f>
        <v>0</v>
      </c>
      <c r="EK714" s="470">
        <f t="shared" ref="EK714:EK727" si="348">CU714+CY714+DC714+DG714+DK714+DO714+DS714+DW714+EA714+EE714+EG714</f>
        <v>0</v>
      </c>
      <c r="EL714" s="470">
        <f t="shared" ref="EL714:EL727" si="349">COUNTA(CT714,CX714,DB714,DF714,DJ714,DN714,DR714,DV714,DZ714,ED714)</f>
        <v>0</v>
      </c>
      <c r="EM714" s="449">
        <f t="shared" ref="EM714:EM727" si="350">IF(EK714&gt;0,CU714/EK714,)</f>
        <v>0</v>
      </c>
      <c r="EN714" s="460">
        <f t="shared" ref="EN714:EN727" si="351">CN714+EH714</f>
        <v>0</v>
      </c>
      <c r="EO714" s="469">
        <f t="shared" ref="EO714:EO727" si="352">CP714+EK714</f>
        <v>0</v>
      </c>
      <c r="EP714" s="471"/>
      <c r="EQ714" s="450"/>
      <c r="ER714" s="471"/>
      <c r="ES714" s="450"/>
      <c r="ET714" s="471"/>
      <c r="EU714" s="450"/>
      <c r="EV714" s="471"/>
      <c r="EW714" s="450"/>
      <c r="EX714" s="471"/>
      <c r="EY714" s="450"/>
      <c r="EZ714" s="471"/>
      <c r="FA714" s="450"/>
      <c r="FB714" s="471"/>
      <c r="FC714" s="450"/>
      <c r="FD714" s="471"/>
      <c r="FE714" s="450"/>
      <c r="FF714" s="471"/>
      <c r="FG714" s="450"/>
      <c r="FH714" s="472"/>
      <c r="FI714" s="450"/>
      <c r="FJ714" s="468">
        <f t="shared" ref="FJ714:FJ727" si="353">EP714+ER714+ET714+EV714+EX714+EZ714+FB714+FD714+FF714+FH714</f>
        <v>0</v>
      </c>
      <c r="FK714" s="469">
        <f t="shared" ref="FK714:FK727" si="354">EQ714+ES714+EU714+EW714+EY714+FA714+FC714+FE714+FG714+FI714</f>
        <v>0</v>
      </c>
      <c r="FL714" s="472"/>
      <c r="FM714" s="450"/>
      <c r="FN714" s="460">
        <f t="shared" ref="FN714:FN727" si="355">F714+H714+J714+N714+AV714+EN714+FJ714+FL714</f>
        <v>19</v>
      </c>
      <c r="FO714" s="469">
        <f t="shared" ref="FO714:FO727" si="356">G714+I714+K714+S714+AW714+EO714+FK714+FM714</f>
        <v>20</v>
      </c>
    </row>
    <row r="715" spans="1:171" x14ac:dyDescent="0.2">
      <c r="A715" s="722" t="s">
        <v>743</v>
      </c>
      <c r="B715" s="672" t="s">
        <v>1185</v>
      </c>
      <c r="C715" s="721"/>
      <c r="D715" s="674">
        <v>237543</v>
      </c>
      <c r="E715" s="561">
        <v>14</v>
      </c>
      <c r="F715" s="532">
        <v>237</v>
      </c>
      <c r="G715" s="627">
        <v>253</v>
      </c>
      <c r="H715" s="457"/>
      <c r="I715" s="450"/>
      <c r="J715" s="457"/>
      <c r="K715" s="450"/>
      <c r="L715" s="458">
        <f t="shared" si="333"/>
        <v>0</v>
      </c>
      <c r="M715" s="449">
        <f t="shared" si="334"/>
        <v>0</v>
      </c>
      <c r="N715" s="459"/>
      <c r="O715" s="459"/>
      <c r="P715" s="459"/>
      <c r="Q715" s="459"/>
      <c r="R715" s="460">
        <f t="shared" si="335"/>
        <v>0</v>
      </c>
      <c r="S715" s="461"/>
      <c r="T715" s="461"/>
      <c r="U715" s="461"/>
      <c r="V715" s="461"/>
      <c r="W715" s="462">
        <f t="shared" si="336"/>
        <v>0</v>
      </c>
      <c r="X715" s="463"/>
      <c r="Y715" s="457"/>
      <c r="Z715" s="464"/>
      <c r="AA715" s="464"/>
      <c r="AB715" s="465"/>
      <c r="AC715" s="457"/>
      <c r="AD715" s="464"/>
      <c r="AE715" s="466"/>
      <c r="AF715" s="465"/>
      <c r="AG715" s="457"/>
      <c r="AH715" s="464"/>
      <c r="AI715" s="466"/>
      <c r="AJ715" s="465"/>
      <c r="AK715" s="457"/>
      <c r="AL715" s="464"/>
      <c r="AM715" s="466"/>
      <c r="AN715" s="465"/>
      <c r="AO715" s="457"/>
      <c r="AP715" s="464"/>
      <c r="AQ715" s="464"/>
      <c r="AR715" s="460">
        <f t="shared" si="337"/>
        <v>0</v>
      </c>
      <c r="AS715" s="467">
        <f t="shared" si="338"/>
        <v>0</v>
      </c>
      <c r="AT715" s="447">
        <f t="shared" si="339"/>
        <v>0</v>
      </c>
      <c r="AU715" s="448">
        <f t="shared" si="340"/>
        <v>0</v>
      </c>
      <c r="AV715" s="457"/>
      <c r="AW715" s="450"/>
      <c r="AX715" s="463"/>
      <c r="AY715" s="457"/>
      <c r="AZ715" s="464"/>
      <c r="BA715" s="464"/>
      <c r="BB715" s="465"/>
      <c r="BC715" s="457"/>
      <c r="BD715" s="464"/>
      <c r="BE715" s="466"/>
      <c r="BF715" s="465"/>
      <c r="BG715" s="457"/>
      <c r="BH715" s="464"/>
      <c r="BI715" s="466"/>
      <c r="BJ715" s="465"/>
      <c r="BK715" s="457"/>
      <c r="BL715" s="464"/>
      <c r="BM715" s="466"/>
      <c r="BN715" s="465"/>
      <c r="BO715" s="457"/>
      <c r="BP715" s="464"/>
      <c r="BQ715" s="466"/>
      <c r="BR715" s="465"/>
      <c r="BS715" s="457"/>
      <c r="BT715" s="464"/>
      <c r="BU715" s="466"/>
      <c r="BV715" s="465"/>
      <c r="BW715" s="457"/>
      <c r="BX715" s="464"/>
      <c r="BY715" s="466"/>
      <c r="BZ715" s="465"/>
      <c r="CA715" s="457"/>
      <c r="CB715" s="464"/>
      <c r="CC715" s="466"/>
      <c r="CD715" s="465"/>
      <c r="CE715" s="457"/>
      <c r="CF715" s="464"/>
      <c r="CG715" s="466"/>
      <c r="CH715" s="465"/>
      <c r="CI715" s="457"/>
      <c r="CJ715" s="464"/>
      <c r="CK715" s="466"/>
      <c r="CL715" s="459"/>
      <c r="CM715" s="450"/>
      <c r="CN715" s="468">
        <f t="shared" si="341"/>
        <v>0</v>
      </c>
      <c r="CO715" s="468">
        <f t="shared" si="342"/>
        <v>0</v>
      </c>
      <c r="CP715" s="469">
        <f t="shared" si="343"/>
        <v>0</v>
      </c>
      <c r="CQ715" s="469">
        <f t="shared" si="344"/>
        <v>0</v>
      </c>
      <c r="CR715" s="463"/>
      <c r="CS715" s="457"/>
      <c r="CT715" s="464"/>
      <c r="CU715" s="464"/>
      <c r="CV715" s="465"/>
      <c r="CW715" s="457"/>
      <c r="CX715" s="464"/>
      <c r="CY715" s="466"/>
      <c r="CZ715" s="465"/>
      <c r="DA715" s="457"/>
      <c r="DB715" s="464"/>
      <c r="DC715" s="466"/>
      <c r="DD715" s="465"/>
      <c r="DE715" s="457"/>
      <c r="DF715" s="464"/>
      <c r="DG715" s="466"/>
      <c r="DH715" s="465"/>
      <c r="DI715" s="457"/>
      <c r="DJ715" s="464"/>
      <c r="DK715" s="466"/>
      <c r="DL715" s="465"/>
      <c r="DM715" s="457"/>
      <c r="DN715" s="464"/>
      <c r="DO715" s="466"/>
      <c r="DP715" s="465"/>
      <c r="DQ715" s="457"/>
      <c r="DR715" s="464"/>
      <c r="DS715" s="466"/>
      <c r="DT715" s="465"/>
      <c r="DU715" s="457"/>
      <c r="DV715" s="464"/>
      <c r="DW715" s="466"/>
      <c r="DX715" s="465"/>
      <c r="DY715" s="457"/>
      <c r="DZ715" s="464"/>
      <c r="EA715" s="466"/>
      <c r="EB715" s="465"/>
      <c r="EC715" s="457"/>
      <c r="ED715" s="464"/>
      <c r="EE715" s="466"/>
      <c r="EF715" s="459"/>
      <c r="EG715" s="450"/>
      <c r="EH715" s="460">
        <f t="shared" si="345"/>
        <v>0</v>
      </c>
      <c r="EI715" s="460">
        <f t="shared" si="346"/>
        <v>0</v>
      </c>
      <c r="EJ715" s="458">
        <f t="shared" si="347"/>
        <v>0</v>
      </c>
      <c r="EK715" s="470">
        <f t="shared" si="348"/>
        <v>0</v>
      </c>
      <c r="EL715" s="470">
        <f t="shared" si="349"/>
        <v>0</v>
      </c>
      <c r="EM715" s="449">
        <f t="shared" si="350"/>
        <v>0</v>
      </c>
      <c r="EN715" s="460">
        <f t="shared" si="351"/>
        <v>0</v>
      </c>
      <c r="EO715" s="469">
        <f t="shared" si="352"/>
        <v>0</v>
      </c>
      <c r="EP715" s="471"/>
      <c r="EQ715" s="450"/>
      <c r="ER715" s="471"/>
      <c r="ES715" s="450"/>
      <c r="ET715" s="471"/>
      <c r="EU715" s="450"/>
      <c r="EV715" s="471"/>
      <c r="EW715" s="450"/>
      <c r="EX715" s="471"/>
      <c r="EY715" s="450"/>
      <c r="EZ715" s="471"/>
      <c r="FA715" s="450"/>
      <c r="FB715" s="471"/>
      <c r="FC715" s="450"/>
      <c r="FD715" s="471"/>
      <c r="FE715" s="450"/>
      <c r="FF715" s="471"/>
      <c r="FG715" s="450"/>
      <c r="FH715" s="472"/>
      <c r="FI715" s="450"/>
      <c r="FJ715" s="468">
        <f t="shared" si="353"/>
        <v>0</v>
      </c>
      <c r="FK715" s="469">
        <f t="shared" si="354"/>
        <v>0</v>
      </c>
      <c r="FL715" s="472"/>
      <c r="FM715" s="450"/>
      <c r="FN715" s="460">
        <f t="shared" si="355"/>
        <v>237</v>
      </c>
      <c r="FO715" s="469">
        <f t="shared" si="356"/>
        <v>253</v>
      </c>
    </row>
    <row r="716" spans="1:171" x14ac:dyDescent="0.2">
      <c r="A716" s="722" t="s">
        <v>743</v>
      </c>
      <c r="B716" s="672" t="s">
        <v>1186</v>
      </c>
      <c r="C716" s="721"/>
      <c r="D716" s="674">
        <v>368647</v>
      </c>
      <c r="E716" s="561">
        <v>14</v>
      </c>
      <c r="F716" s="532">
        <v>42</v>
      </c>
      <c r="G716" s="627">
        <v>18</v>
      </c>
      <c r="H716" s="457"/>
      <c r="I716" s="450"/>
      <c r="J716" s="457"/>
      <c r="K716" s="450"/>
      <c r="L716" s="458">
        <f t="shared" si="333"/>
        <v>0</v>
      </c>
      <c r="M716" s="449">
        <f t="shared" si="334"/>
        <v>0</v>
      </c>
      <c r="N716" s="459"/>
      <c r="O716" s="459"/>
      <c r="P716" s="459"/>
      <c r="Q716" s="459"/>
      <c r="R716" s="460">
        <f t="shared" si="335"/>
        <v>0</v>
      </c>
      <c r="S716" s="461"/>
      <c r="T716" s="461"/>
      <c r="U716" s="461"/>
      <c r="V716" s="461"/>
      <c r="W716" s="462">
        <f t="shared" si="336"/>
        <v>0</v>
      </c>
      <c r="X716" s="463"/>
      <c r="Y716" s="457"/>
      <c r="Z716" s="464"/>
      <c r="AA716" s="464"/>
      <c r="AB716" s="465"/>
      <c r="AC716" s="457"/>
      <c r="AD716" s="464"/>
      <c r="AE716" s="466"/>
      <c r="AF716" s="465"/>
      <c r="AG716" s="457"/>
      <c r="AH716" s="464"/>
      <c r="AI716" s="466"/>
      <c r="AJ716" s="465"/>
      <c r="AK716" s="457"/>
      <c r="AL716" s="464"/>
      <c r="AM716" s="466"/>
      <c r="AN716" s="465"/>
      <c r="AO716" s="457"/>
      <c r="AP716" s="464"/>
      <c r="AQ716" s="464"/>
      <c r="AR716" s="460">
        <f t="shared" si="337"/>
        <v>0</v>
      </c>
      <c r="AS716" s="467">
        <f t="shared" si="338"/>
        <v>0</v>
      </c>
      <c r="AT716" s="447">
        <f t="shared" si="339"/>
        <v>0</v>
      </c>
      <c r="AU716" s="448">
        <f t="shared" si="340"/>
        <v>0</v>
      </c>
      <c r="AV716" s="457"/>
      <c r="AW716" s="450"/>
      <c r="AX716" s="463"/>
      <c r="AY716" s="457"/>
      <c r="AZ716" s="464"/>
      <c r="BA716" s="464"/>
      <c r="BB716" s="465"/>
      <c r="BC716" s="457"/>
      <c r="BD716" s="464"/>
      <c r="BE716" s="466"/>
      <c r="BF716" s="465"/>
      <c r="BG716" s="457"/>
      <c r="BH716" s="464"/>
      <c r="BI716" s="466"/>
      <c r="BJ716" s="465"/>
      <c r="BK716" s="457"/>
      <c r="BL716" s="464"/>
      <c r="BM716" s="466"/>
      <c r="BN716" s="465"/>
      <c r="BO716" s="457"/>
      <c r="BP716" s="464"/>
      <c r="BQ716" s="466"/>
      <c r="BR716" s="465"/>
      <c r="BS716" s="457"/>
      <c r="BT716" s="464"/>
      <c r="BU716" s="466"/>
      <c r="BV716" s="465"/>
      <c r="BW716" s="457"/>
      <c r="BX716" s="464"/>
      <c r="BY716" s="466"/>
      <c r="BZ716" s="465"/>
      <c r="CA716" s="457"/>
      <c r="CB716" s="464"/>
      <c r="CC716" s="466"/>
      <c r="CD716" s="465"/>
      <c r="CE716" s="457"/>
      <c r="CF716" s="464"/>
      <c r="CG716" s="466"/>
      <c r="CH716" s="465"/>
      <c r="CI716" s="457"/>
      <c r="CJ716" s="464"/>
      <c r="CK716" s="466"/>
      <c r="CL716" s="459"/>
      <c r="CM716" s="450"/>
      <c r="CN716" s="468">
        <f t="shared" si="341"/>
        <v>0</v>
      </c>
      <c r="CO716" s="468">
        <f t="shared" si="342"/>
        <v>0</v>
      </c>
      <c r="CP716" s="469">
        <f t="shared" si="343"/>
        <v>0</v>
      </c>
      <c r="CQ716" s="469">
        <f t="shared" si="344"/>
        <v>0</v>
      </c>
      <c r="CR716" s="463"/>
      <c r="CS716" s="457"/>
      <c r="CT716" s="464"/>
      <c r="CU716" s="464"/>
      <c r="CV716" s="465"/>
      <c r="CW716" s="457"/>
      <c r="CX716" s="464"/>
      <c r="CY716" s="466"/>
      <c r="CZ716" s="465"/>
      <c r="DA716" s="457"/>
      <c r="DB716" s="464"/>
      <c r="DC716" s="466"/>
      <c r="DD716" s="465"/>
      <c r="DE716" s="457"/>
      <c r="DF716" s="464"/>
      <c r="DG716" s="466"/>
      <c r="DH716" s="465"/>
      <c r="DI716" s="457"/>
      <c r="DJ716" s="464"/>
      <c r="DK716" s="466"/>
      <c r="DL716" s="465"/>
      <c r="DM716" s="457"/>
      <c r="DN716" s="464"/>
      <c r="DO716" s="466"/>
      <c r="DP716" s="465"/>
      <c r="DQ716" s="457"/>
      <c r="DR716" s="464"/>
      <c r="DS716" s="466"/>
      <c r="DT716" s="465"/>
      <c r="DU716" s="457"/>
      <c r="DV716" s="464"/>
      <c r="DW716" s="466"/>
      <c r="DX716" s="465"/>
      <c r="DY716" s="457"/>
      <c r="DZ716" s="464"/>
      <c r="EA716" s="466"/>
      <c r="EB716" s="465"/>
      <c r="EC716" s="457"/>
      <c r="ED716" s="464"/>
      <c r="EE716" s="466"/>
      <c r="EF716" s="459"/>
      <c r="EG716" s="450"/>
      <c r="EH716" s="460">
        <f t="shared" si="345"/>
        <v>0</v>
      </c>
      <c r="EI716" s="460">
        <f t="shared" si="346"/>
        <v>0</v>
      </c>
      <c r="EJ716" s="458">
        <f t="shared" si="347"/>
        <v>0</v>
      </c>
      <c r="EK716" s="470">
        <f t="shared" si="348"/>
        <v>0</v>
      </c>
      <c r="EL716" s="470">
        <f t="shared" si="349"/>
        <v>0</v>
      </c>
      <c r="EM716" s="449">
        <f t="shared" si="350"/>
        <v>0</v>
      </c>
      <c r="EN716" s="460">
        <f t="shared" si="351"/>
        <v>0</v>
      </c>
      <c r="EO716" s="469">
        <f t="shared" si="352"/>
        <v>0</v>
      </c>
      <c r="EP716" s="471"/>
      <c r="EQ716" s="450"/>
      <c r="ER716" s="471"/>
      <c r="ES716" s="450"/>
      <c r="ET716" s="471"/>
      <c r="EU716" s="450"/>
      <c r="EV716" s="471"/>
      <c r="EW716" s="450"/>
      <c r="EX716" s="471"/>
      <c r="EY716" s="450"/>
      <c r="EZ716" s="471"/>
      <c r="FA716" s="450"/>
      <c r="FB716" s="471"/>
      <c r="FC716" s="450"/>
      <c r="FD716" s="471"/>
      <c r="FE716" s="450"/>
      <c r="FF716" s="471"/>
      <c r="FG716" s="450"/>
      <c r="FH716" s="472"/>
      <c r="FI716" s="450"/>
      <c r="FJ716" s="468">
        <f t="shared" si="353"/>
        <v>0</v>
      </c>
      <c r="FK716" s="469">
        <f t="shared" si="354"/>
        <v>0</v>
      </c>
      <c r="FL716" s="472"/>
      <c r="FM716" s="450"/>
      <c r="FN716" s="460">
        <f t="shared" si="355"/>
        <v>42</v>
      </c>
      <c r="FO716" s="469">
        <f t="shared" si="356"/>
        <v>18</v>
      </c>
    </row>
    <row r="717" spans="1:171" x14ac:dyDescent="0.2">
      <c r="A717" s="722" t="s">
        <v>743</v>
      </c>
      <c r="B717" s="672" t="s">
        <v>1187</v>
      </c>
      <c r="C717" s="721"/>
      <c r="D717" s="674">
        <v>237561</v>
      </c>
      <c r="E717" s="561">
        <v>14</v>
      </c>
      <c r="F717" s="532">
        <v>97</v>
      </c>
      <c r="G717" s="627">
        <v>78</v>
      </c>
      <c r="H717" s="457"/>
      <c r="I717" s="450"/>
      <c r="J717" s="457"/>
      <c r="K717" s="450"/>
      <c r="L717" s="458">
        <f t="shared" si="333"/>
        <v>0</v>
      </c>
      <c r="M717" s="449">
        <f t="shared" si="334"/>
        <v>0</v>
      </c>
      <c r="N717" s="459"/>
      <c r="O717" s="459"/>
      <c r="P717" s="459"/>
      <c r="Q717" s="459"/>
      <c r="R717" s="460">
        <f t="shared" si="335"/>
        <v>0</v>
      </c>
      <c r="S717" s="461"/>
      <c r="T717" s="461"/>
      <c r="U717" s="461"/>
      <c r="V717" s="461"/>
      <c r="W717" s="462">
        <f t="shared" si="336"/>
        <v>0</v>
      </c>
      <c r="X717" s="463"/>
      <c r="Y717" s="457"/>
      <c r="Z717" s="464"/>
      <c r="AA717" s="464"/>
      <c r="AB717" s="465"/>
      <c r="AC717" s="457"/>
      <c r="AD717" s="464"/>
      <c r="AE717" s="466"/>
      <c r="AF717" s="465"/>
      <c r="AG717" s="457"/>
      <c r="AH717" s="464"/>
      <c r="AI717" s="466"/>
      <c r="AJ717" s="465"/>
      <c r="AK717" s="457"/>
      <c r="AL717" s="464"/>
      <c r="AM717" s="466"/>
      <c r="AN717" s="465"/>
      <c r="AO717" s="457"/>
      <c r="AP717" s="464"/>
      <c r="AQ717" s="464"/>
      <c r="AR717" s="460">
        <f t="shared" si="337"/>
        <v>0</v>
      </c>
      <c r="AS717" s="467">
        <f t="shared" si="338"/>
        <v>0</v>
      </c>
      <c r="AT717" s="447">
        <f t="shared" si="339"/>
        <v>0</v>
      </c>
      <c r="AU717" s="448">
        <f t="shared" si="340"/>
        <v>0</v>
      </c>
      <c r="AV717" s="457"/>
      <c r="AW717" s="450"/>
      <c r="AX717" s="463"/>
      <c r="AY717" s="457"/>
      <c r="AZ717" s="464"/>
      <c r="BA717" s="464"/>
      <c r="BB717" s="465"/>
      <c r="BC717" s="457"/>
      <c r="BD717" s="464"/>
      <c r="BE717" s="466"/>
      <c r="BF717" s="465"/>
      <c r="BG717" s="457"/>
      <c r="BH717" s="464"/>
      <c r="BI717" s="466"/>
      <c r="BJ717" s="465"/>
      <c r="BK717" s="457"/>
      <c r="BL717" s="464"/>
      <c r="BM717" s="466"/>
      <c r="BN717" s="465"/>
      <c r="BO717" s="457"/>
      <c r="BP717" s="464"/>
      <c r="BQ717" s="466"/>
      <c r="BR717" s="465"/>
      <c r="BS717" s="457"/>
      <c r="BT717" s="464"/>
      <c r="BU717" s="466"/>
      <c r="BV717" s="465"/>
      <c r="BW717" s="457"/>
      <c r="BX717" s="464"/>
      <c r="BY717" s="466"/>
      <c r="BZ717" s="465"/>
      <c r="CA717" s="457"/>
      <c r="CB717" s="464"/>
      <c r="CC717" s="466"/>
      <c r="CD717" s="465"/>
      <c r="CE717" s="457"/>
      <c r="CF717" s="464"/>
      <c r="CG717" s="466"/>
      <c r="CH717" s="465"/>
      <c r="CI717" s="457"/>
      <c r="CJ717" s="464"/>
      <c r="CK717" s="466"/>
      <c r="CL717" s="459"/>
      <c r="CM717" s="450"/>
      <c r="CN717" s="468">
        <f t="shared" si="341"/>
        <v>0</v>
      </c>
      <c r="CO717" s="468">
        <f t="shared" si="342"/>
        <v>0</v>
      </c>
      <c r="CP717" s="469">
        <f t="shared" si="343"/>
        <v>0</v>
      </c>
      <c r="CQ717" s="469">
        <f t="shared" si="344"/>
        <v>0</v>
      </c>
      <c r="CR717" s="463"/>
      <c r="CS717" s="457"/>
      <c r="CT717" s="464"/>
      <c r="CU717" s="464"/>
      <c r="CV717" s="465"/>
      <c r="CW717" s="457"/>
      <c r="CX717" s="464"/>
      <c r="CY717" s="466"/>
      <c r="CZ717" s="465"/>
      <c r="DA717" s="457"/>
      <c r="DB717" s="464"/>
      <c r="DC717" s="466"/>
      <c r="DD717" s="465"/>
      <c r="DE717" s="457"/>
      <c r="DF717" s="464"/>
      <c r="DG717" s="466"/>
      <c r="DH717" s="465"/>
      <c r="DI717" s="457"/>
      <c r="DJ717" s="464"/>
      <c r="DK717" s="466"/>
      <c r="DL717" s="465"/>
      <c r="DM717" s="457"/>
      <c r="DN717" s="464"/>
      <c r="DO717" s="466"/>
      <c r="DP717" s="465"/>
      <c r="DQ717" s="457"/>
      <c r="DR717" s="464"/>
      <c r="DS717" s="466"/>
      <c r="DT717" s="465"/>
      <c r="DU717" s="457"/>
      <c r="DV717" s="464"/>
      <c r="DW717" s="466"/>
      <c r="DX717" s="465"/>
      <c r="DY717" s="457"/>
      <c r="DZ717" s="464"/>
      <c r="EA717" s="466"/>
      <c r="EB717" s="465"/>
      <c r="EC717" s="457"/>
      <c r="ED717" s="464"/>
      <c r="EE717" s="466"/>
      <c r="EF717" s="459"/>
      <c r="EG717" s="450"/>
      <c r="EH717" s="460">
        <f t="shared" si="345"/>
        <v>0</v>
      </c>
      <c r="EI717" s="460">
        <f t="shared" si="346"/>
        <v>0</v>
      </c>
      <c r="EJ717" s="458">
        <f t="shared" si="347"/>
        <v>0</v>
      </c>
      <c r="EK717" s="470">
        <f t="shared" si="348"/>
        <v>0</v>
      </c>
      <c r="EL717" s="470">
        <f t="shared" si="349"/>
        <v>0</v>
      </c>
      <c r="EM717" s="449">
        <f t="shared" si="350"/>
        <v>0</v>
      </c>
      <c r="EN717" s="460">
        <f t="shared" si="351"/>
        <v>0</v>
      </c>
      <c r="EO717" s="469">
        <f t="shared" si="352"/>
        <v>0</v>
      </c>
      <c r="EP717" s="471"/>
      <c r="EQ717" s="450"/>
      <c r="ER717" s="471"/>
      <c r="ES717" s="450"/>
      <c r="ET717" s="471"/>
      <c r="EU717" s="450"/>
      <c r="EV717" s="471"/>
      <c r="EW717" s="450"/>
      <c r="EX717" s="471"/>
      <c r="EY717" s="450"/>
      <c r="EZ717" s="471"/>
      <c r="FA717" s="450"/>
      <c r="FB717" s="471"/>
      <c r="FC717" s="450"/>
      <c r="FD717" s="471"/>
      <c r="FE717" s="450"/>
      <c r="FF717" s="471"/>
      <c r="FG717" s="450"/>
      <c r="FH717" s="472"/>
      <c r="FI717" s="450"/>
      <c r="FJ717" s="468">
        <f t="shared" si="353"/>
        <v>0</v>
      </c>
      <c r="FK717" s="469">
        <f t="shared" si="354"/>
        <v>0</v>
      </c>
      <c r="FL717" s="472"/>
      <c r="FM717" s="450"/>
      <c r="FN717" s="460">
        <f t="shared" si="355"/>
        <v>97</v>
      </c>
      <c r="FO717" s="469">
        <f t="shared" si="356"/>
        <v>78</v>
      </c>
    </row>
    <row r="718" spans="1:171" x14ac:dyDescent="0.2">
      <c r="A718" s="722" t="s">
        <v>743</v>
      </c>
      <c r="B718" s="672" t="s">
        <v>1188</v>
      </c>
      <c r="C718" s="721"/>
      <c r="D718" s="674">
        <v>419420</v>
      </c>
      <c r="E718" s="561">
        <v>14</v>
      </c>
      <c r="F718" s="532">
        <v>147</v>
      </c>
      <c r="G718" s="627">
        <v>70</v>
      </c>
      <c r="H718" s="457"/>
      <c r="I718" s="450"/>
      <c r="J718" s="457"/>
      <c r="K718" s="450"/>
      <c r="L718" s="458">
        <f t="shared" si="333"/>
        <v>0</v>
      </c>
      <c r="M718" s="449">
        <f t="shared" si="334"/>
        <v>0</v>
      </c>
      <c r="N718" s="459"/>
      <c r="O718" s="459"/>
      <c r="P718" s="459"/>
      <c r="Q718" s="459"/>
      <c r="R718" s="460">
        <f t="shared" si="335"/>
        <v>0</v>
      </c>
      <c r="S718" s="461"/>
      <c r="T718" s="461"/>
      <c r="U718" s="461"/>
      <c r="V718" s="461"/>
      <c r="W718" s="462">
        <f t="shared" si="336"/>
        <v>0</v>
      </c>
      <c r="X718" s="463"/>
      <c r="Y718" s="457"/>
      <c r="Z718" s="464"/>
      <c r="AA718" s="464"/>
      <c r="AB718" s="465"/>
      <c r="AC718" s="457"/>
      <c r="AD718" s="464"/>
      <c r="AE718" s="466"/>
      <c r="AF718" s="465"/>
      <c r="AG718" s="457"/>
      <c r="AH718" s="464"/>
      <c r="AI718" s="466"/>
      <c r="AJ718" s="465"/>
      <c r="AK718" s="457"/>
      <c r="AL718" s="464"/>
      <c r="AM718" s="466"/>
      <c r="AN718" s="465"/>
      <c r="AO718" s="457"/>
      <c r="AP718" s="464"/>
      <c r="AQ718" s="464"/>
      <c r="AR718" s="460">
        <f t="shared" si="337"/>
        <v>0</v>
      </c>
      <c r="AS718" s="467">
        <f t="shared" si="338"/>
        <v>0</v>
      </c>
      <c r="AT718" s="447">
        <f t="shared" si="339"/>
        <v>0</v>
      </c>
      <c r="AU718" s="448">
        <f t="shared" si="340"/>
        <v>0</v>
      </c>
      <c r="AV718" s="457"/>
      <c r="AW718" s="450"/>
      <c r="AX718" s="463"/>
      <c r="AY718" s="457"/>
      <c r="AZ718" s="464"/>
      <c r="BA718" s="464"/>
      <c r="BB718" s="465"/>
      <c r="BC718" s="457"/>
      <c r="BD718" s="464"/>
      <c r="BE718" s="466"/>
      <c r="BF718" s="465"/>
      <c r="BG718" s="457"/>
      <c r="BH718" s="464"/>
      <c r="BI718" s="466"/>
      <c r="BJ718" s="465"/>
      <c r="BK718" s="457"/>
      <c r="BL718" s="464"/>
      <c r="BM718" s="466"/>
      <c r="BN718" s="465"/>
      <c r="BO718" s="457"/>
      <c r="BP718" s="464"/>
      <c r="BQ718" s="466"/>
      <c r="BR718" s="465"/>
      <c r="BS718" s="457"/>
      <c r="BT718" s="464"/>
      <c r="BU718" s="466"/>
      <c r="BV718" s="465"/>
      <c r="BW718" s="457"/>
      <c r="BX718" s="464"/>
      <c r="BY718" s="466"/>
      <c r="BZ718" s="465"/>
      <c r="CA718" s="457"/>
      <c r="CB718" s="464"/>
      <c r="CC718" s="466"/>
      <c r="CD718" s="465"/>
      <c r="CE718" s="457"/>
      <c r="CF718" s="464"/>
      <c r="CG718" s="466"/>
      <c r="CH718" s="465"/>
      <c r="CI718" s="457"/>
      <c r="CJ718" s="464"/>
      <c r="CK718" s="466"/>
      <c r="CL718" s="459"/>
      <c r="CM718" s="450"/>
      <c r="CN718" s="468">
        <f t="shared" si="341"/>
        <v>0</v>
      </c>
      <c r="CO718" s="468">
        <f t="shared" si="342"/>
        <v>0</v>
      </c>
      <c r="CP718" s="469">
        <f t="shared" si="343"/>
        <v>0</v>
      </c>
      <c r="CQ718" s="469">
        <f t="shared" si="344"/>
        <v>0</v>
      </c>
      <c r="CR718" s="463"/>
      <c r="CS718" s="457"/>
      <c r="CT718" s="464"/>
      <c r="CU718" s="464"/>
      <c r="CV718" s="465"/>
      <c r="CW718" s="457"/>
      <c r="CX718" s="464"/>
      <c r="CY718" s="466"/>
      <c r="CZ718" s="465"/>
      <c r="DA718" s="457"/>
      <c r="DB718" s="464"/>
      <c r="DC718" s="466"/>
      <c r="DD718" s="465"/>
      <c r="DE718" s="457"/>
      <c r="DF718" s="464"/>
      <c r="DG718" s="466"/>
      <c r="DH718" s="465"/>
      <c r="DI718" s="457"/>
      <c r="DJ718" s="464"/>
      <c r="DK718" s="466"/>
      <c r="DL718" s="465"/>
      <c r="DM718" s="457"/>
      <c r="DN718" s="464"/>
      <c r="DO718" s="466"/>
      <c r="DP718" s="465"/>
      <c r="DQ718" s="457"/>
      <c r="DR718" s="464"/>
      <c r="DS718" s="466"/>
      <c r="DT718" s="465"/>
      <c r="DU718" s="457"/>
      <c r="DV718" s="464"/>
      <c r="DW718" s="466"/>
      <c r="DX718" s="465"/>
      <c r="DY718" s="457"/>
      <c r="DZ718" s="464"/>
      <c r="EA718" s="466"/>
      <c r="EB718" s="465"/>
      <c r="EC718" s="457"/>
      <c r="ED718" s="464"/>
      <c r="EE718" s="466"/>
      <c r="EF718" s="459"/>
      <c r="EG718" s="450"/>
      <c r="EH718" s="460">
        <f t="shared" si="345"/>
        <v>0</v>
      </c>
      <c r="EI718" s="460">
        <f t="shared" si="346"/>
        <v>0</v>
      </c>
      <c r="EJ718" s="458">
        <f t="shared" si="347"/>
        <v>0</v>
      </c>
      <c r="EK718" s="470">
        <f t="shared" si="348"/>
        <v>0</v>
      </c>
      <c r="EL718" s="470">
        <f t="shared" si="349"/>
        <v>0</v>
      </c>
      <c r="EM718" s="449">
        <f t="shared" si="350"/>
        <v>0</v>
      </c>
      <c r="EN718" s="460">
        <f t="shared" si="351"/>
        <v>0</v>
      </c>
      <c r="EO718" s="469">
        <f t="shared" si="352"/>
        <v>0</v>
      </c>
      <c r="EP718" s="471"/>
      <c r="EQ718" s="450"/>
      <c r="ER718" s="471"/>
      <c r="ES718" s="450"/>
      <c r="ET718" s="471"/>
      <c r="EU718" s="450"/>
      <c r="EV718" s="471"/>
      <c r="EW718" s="450"/>
      <c r="EX718" s="471"/>
      <c r="EY718" s="450"/>
      <c r="EZ718" s="471"/>
      <c r="FA718" s="450"/>
      <c r="FB718" s="471"/>
      <c r="FC718" s="450"/>
      <c r="FD718" s="471"/>
      <c r="FE718" s="450"/>
      <c r="FF718" s="471"/>
      <c r="FG718" s="450"/>
      <c r="FH718" s="472"/>
      <c r="FI718" s="450"/>
      <c r="FJ718" s="468">
        <f t="shared" si="353"/>
        <v>0</v>
      </c>
      <c r="FK718" s="469">
        <f t="shared" si="354"/>
        <v>0</v>
      </c>
      <c r="FL718" s="472"/>
      <c r="FM718" s="450"/>
      <c r="FN718" s="460">
        <f t="shared" si="355"/>
        <v>147</v>
      </c>
      <c r="FO718" s="469">
        <f t="shared" si="356"/>
        <v>70</v>
      </c>
    </row>
    <row r="719" spans="1:171" x14ac:dyDescent="0.2">
      <c r="A719" s="722" t="s">
        <v>743</v>
      </c>
      <c r="B719" s="672" t="s">
        <v>1189</v>
      </c>
      <c r="C719" s="721"/>
      <c r="D719" s="674">
        <v>237729</v>
      </c>
      <c r="E719" s="561">
        <v>14</v>
      </c>
      <c r="F719" s="532">
        <v>103</v>
      </c>
      <c r="G719" s="627">
        <v>81</v>
      </c>
      <c r="H719" s="457"/>
      <c r="I719" s="450"/>
      <c r="J719" s="457"/>
      <c r="K719" s="450"/>
      <c r="L719" s="458">
        <f t="shared" si="333"/>
        <v>0</v>
      </c>
      <c r="M719" s="449">
        <f t="shared" si="334"/>
        <v>0</v>
      </c>
      <c r="N719" s="459"/>
      <c r="O719" s="459"/>
      <c r="P719" s="459"/>
      <c r="Q719" s="459"/>
      <c r="R719" s="460">
        <f t="shared" si="335"/>
        <v>0</v>
      </c>
      <c r="S719" s="461"/>
      <c r="T719" s="461"/>
      <c r="U719" s="461"/>
      <c r="V719" s="461"/>
      <c r="W719" s="462">
        <f t="shared" si="336"/>
        <v>0</v>
      </c>
      <c r="X719" s="463"/>
      <c r="Y719" s="457"/>
      <c r="Z719" s="464"/>
      <c r="AA719" s="464"/>
      <c r="AB719" s="465"/>
      <c r="AC719" s="457"/>
      <c r="AD719" s="464"/>
      <c r="AE719" s="466"/>
      <c r="AF719" s="465"/>
      <c r="AG719" s="457"/>
      <c r="AH719" s="464"/>
      <c r="AI719" s="466"/>
      <c r="AJ719" s="465"/>
      <c r="AK719" s="457"/>
      <c r="AL719" s="464"/>
      <c r="AM719" s="466"/>
      <c r="AN719" s="465"/>
      <c r="AO719" s="457"/>
      <c r="AP719" s="464"/>
      <c r="AQ719" s="464"/>
      <c r="AR719" s="460">
        <f t="shared" si="337"/>
        <v>0</v>
      </c>
      <c r="AS719" s="467">
        <f t="shared" si="338"/>
        <v>0</v>
      </c>
      <c r="AT719" s="447">
        <f t="shared" si="339"/>
        <v>0</v>
      </c>
      <c r="AU719" s="448">
        <f t="shared" si="340"/>
        <v>0</v>
      </c>
      <c r="AV719" s="457"/>
      <c r="AW719" s="450"/>
      <c r="AX719" s="463"/>
      <c r="AY719" s="457"/>
      <c r="AZ719" s="464"/>
      <c r="BA719" s="464"/>
      <c r="BB719" s="465"/>
      <c r="BC719" s="457"/>
      <c r="BD719" s="464"/>
      <c r="BE719" s="466"/>
      <c r="BF719" s="465"/>
      <c r="BG719" s="457"/>
      <c r="BH719" s="464"/>
      <c r="BI719" s="466"/>
      <c r="BJ719" s="465"/>
      <c r="BK719" s="457"/>
      <c r="BL719" s="464"/>
      <c r="BM719" s="466"/>
      <c r="BN719" s="465"/>
      <c r="BO719" s="457"/>
      <c r="BP719" s="464"/>
      <c r="BQ719" s="466"/>
      <c r="BR719" s="465"/>
      <c r="BS719" s="457"/>
      <c r="BT719" s="464"/>
      <c r="BU719" s="466"/>
      <c r="BV719" s="465"/>
      <c r="BW719" s="457"/>
      <c r="BX719" s="464"/>
      <c r="BY719" s="466"/>
      <c r="BZ719" s="465"/>
      <c r="CA719" s="457"/>
      <c r="CB719" s="464"/>
      <c r="CC719" s="466"/>
      <c r="CD719" s="465"/>
      <c r="CE719" s="457"/>
      <c r="CF719" s="464"/>
      <c r="CG719" s="466"/>
      <c r="CH719" s="465"/>
      <c r="CI719" s="457"/>
      <c r="CJ719" s="464"/>
      <c r="CK719" s="466"/>
      <c r="CL719" s="459"/>
      <c r="CM719" s="450"/>
      <c r="CN719" s="468">
        <f t="shared" si="341"/>
        <v>0</v>
      </c>
      <c r="CO719" s="468">
        <f t="shared" si="342"/>
        <v>0</v>
      </c>
      <c r="CP719" s="469">
        <f t="shared" si="343"/>
        <v>0</v>
      </c>
      <c r="CQ719" s="469">
        <f t="shared" si="344"/>
        <v>0</v>
      </c>
      <c r="CR719" s="463"/>
      <c r="CS719" s="457"/>
      <c r="CT719" s="464"/>
      <c r="CU719" s="464"/>
      <c r="CV719" s="465"/>
      <c r="CW719" s="457"/>
      <c r="CX719" s="464"/>
      <c r="CY719" s="466"/>
      <c r="CZ719" s="465"/>
      <c r="DA719" s="457"/>
      <c r="DB719" s="464"/>
      <c r="DC719" s="466"/>
      <c r="DD719" s="465"/>
      <c r="DE719" s="457"/>
      <c r="DF719" s="464"/>
      <c r="DG719" s="466"/>
      <c r="DH719" s="465"/>
      <c r="DI719" s="457"/>
      <c r="DJ719" s="464"/>
      <c r="DK719" s="466"/>
      <c r="DL719" s="465"/>
      <c r="DM719" s="457"/>
      <c r="DN719" s="464"/>
      <c r="DO719" s="466"/>
      <c r="DP719" s="465"/>
      <c r="DQ719" s="457"/>
      <c r="DR719" s="464"/>
      <c r="DS719" s="466"/>
      <c r="DT719" s="465"/>
      <c r="DU719" s="457"/>
      <c r="DV719" s="464"/>
      <c r="DW719" s="466"/>
      <c r="DX719" s="465"/>
      <c r="DY719" s="457"/>
      <c r="DZ719" s="464"/>
      <c r="EA719" s="466"/>
      <c r="EB719" s="465"/>
      <c r="EC719" s="457"/>
      <c r="ED719" s="464"/>
      <c r="EE719" s="466"/>
      <c r="EF719" s="459"/>
      <c r="EG719" s="450"/>
      <c r="EH719" s="460">
        <f t="shared" si="345"/>
        <v>0</v>
      </c>
      <c r="EI719" s="460">
        <f t="shared" si="346"/>
        <v>0</v>
      </c>
      <c r="EJ719" s="458">
        <f t="shared" si="347"/>
        <v>0</v>
      </c>
      <c r="EK719" s="470">
        <f t="shared" si="348"/>
        <v>0</v>
      </c>
      <c r="EL719" s="470">
        <f t="shared" si="349"/>
        <v>0</v>
      </c>
      <c r="EM719" s="449">
        <f t="shared" si="350"/>
        <v>0</v>
      </c>
      <c r="EN719" s="460">
        <f t="shared" si="351"/>
        <v>0</v>
      </c>
      <c r="EO719" s="469">
        <f t="shared" si="352"/>
        <v>0</v>
      </c>
      <c r="EP719" s="471"/>
      <c r="EQ719" s="450"/>
      <c r="ER719" s="471"/>
      <c r="ES719" s="450"/>
      <c r="ET719" s="471"/>
      <c r="EU719" s="450"/>
      <c r="EV719" s="471"/>
      <c r="EW719" s="450"/>
      <c r="EX719" s="471"/>
      <c r="EY719" s="450"/>
      <c r="EZ719" s="471"/>
      <c r="FA719" s="450"/>
      <c r="FB719" s="471"/>
      <c r="FC719" s="450"/>
      <c r="FD719" s="471"/>
      <c r="FE719" s="450"/>
      <c r="FF719" s="471"/>
      <c r="FG719" s="450"/>
      <c r="FH719" s="472"/>
      <c r="FI719" s="450"/>
      <c r="FJ719" s="468">
        <f t="shared" si="353"/>
        <v>0</v>
      </c>
      <c r="FK719" s="469">
        <f t="shared" si="354"/>
        <v>0</v>
      </c>
      <c r="FL719" s="472"/>
      <c r="FM719" s="450"/>
      <c r="FN719" s="460">
        <f t="shared" si="355"/>
        <v>103</v>
      </c>
      <c r="FO719" s="469">
        <f t="shared" si="356"/>
        <v>81</v>
      </c>
    </row>
    <row r="720" spans="1:171" x14ac:dyDescent="0.2">
      <c r="A720" s="722" t="s">
        <v>743</v>
      </c>
      <c r="B720" s="672" t="s">
        <v>1190</v>
      </c>
      <c r="C720" s="721"/>
      <c r="D720" s="674">
        <v>237491</v>
      </c>
      <c r="E720" s="561">
        <v>14</v>
      </c>
      <c r="F720" s="532">
        <v>22</v>
      </c>
      <c r="G720" s="627">
        <v>15</v>
      </c>
      <c r="H720" s="457"/>
      <c r="I720" s="450"/>
      <c r="J720" s="457"/>
      <c r="K720" s="450"/>
      <c r="L720" s="458">
        <f t="shared" si="333"/>
        <v>0</v>
      </c>
      <c r="M720" s="449">
        <f t="shared" si="334"/>
        <v>0</v>
      </c>
      <c r="N720" s="459"/>
      <c r="O720" s="459"/>
      <c r="P720" s="459"/>
      <c r="Q720" s="459"/>
      <c r="R720" s="460">
        <f t="shared" si="335"/>
        <v>0</v>
      </c>
      <c r="S720" s="461"/>
      <c r="T720" s="461"/>
      <c r="U720" s="461"/>
      <c r="V720" s="461"/>
      <c r="W720" s="462">
        <f t="shared" si="336"/>
        <v>0</v>
      </c>
      <c r="X720" s="463"/>
      <c r="Y720" s="457"/>
      <c r="Z720" s="464"/>
      <c r="AA720" s="464"/>
      <c r="AB720" s="465"/>
      <c r="AC720" s="457"/>
      <c r="AD720" s="464"/>
      <c r="AE720" s="466"/>
      <c r="AF720" s="465"/>
      <c r="AG720" s="457"/>
      <c r="AH720" s="464"/>
      <c r="AI720" s="466"/>
      <c r="AJ720" s="465"/>
      <c r="AK720" s="457"/>
      <c r="AL720" s="464"/>
      <c r="AM720" s="466"/>
      <c r="AN720" s="465"/>
      <c r="AO720" s="457"/>
      <c r="AP720" s="464"/>
      <c r="AQ720" s="464"/>
      <c r="AR720" s="460">
        <f t="shared" si="337"/>
        <v>0</v>
      </c>
      <c r="AS720" s="467">
        <f t="shared" si="338"/>
        <v>0</v>
      </c>
      <c r="AT720" s="447">
        <f t="shared" si="339"/>
        <v>0</v>
      </c>
      <c r="AU720" s="448">
        <f t="shared" si="340"/>
        <v>0</v>
      </c>
      <c r="AV720" s="457"/>
      <c r="AW720" s="450"/>
      <c r="AX720" s="463"/>
      <c r="AY720" s="457"/>
      <c r="AZ720" s="464"/>
      <c r="BA720" s="464"/>
      <c r="BB720" s="465"/>
      <c r="BC720" s="457"/>
      <c r="BD720" s="464"/>
      <c r="BE720" s="466"/>
      <c r="BF720" s="465"/>
      <c r="BG720" s="457"/>
      <c r="BH720" s="464"/>
      <c r="BI720" s="466"/>
      <c r="BJ720" s="465"/>
      <c r="BK720" s="457"/>
      <c r="BL720" s="464"/>
      <c r="BM720" s="466"/>
      <c r="BN720" s="465"/>
      <c r="BO720" s="457"/>
      <c r="BP720" s="464"/>
      <c r="BQ720" s="466"/>
      <c r="BR720" s="465"/>
      <c r="BS720" s="457"/>
      <c r="BT720" s="464"/>
      <c r="BU720" s="466"/>
      <c r="BV720" s="465"/>
      <c r="BW720" s="457"/>
      <c r="BX720" s="464"/>
      <c r="BY720" s="466"/>
      <c r="BZ720" s="465"/>
      <c r="CA720" s="457"/>
      <c r="CB720" s="464"/>
      <c r="CC720" s="466"/>
      <c r="CD720" s="465"/>
      <c r="CE720" s="457"/>
      <c r="CF720" s="464"/>
      <c r="CG720" s="466"/>
      <c r="CH720" s="465"/>
      <c r="CI720" s="457"/>
      <c r="CJ720" s="464"/>
      <c r="CK720" s="466"/>
      <c r="CL720" s="459"/>
      <c r="CM720" s="450"/>
      <c r="CN720" s="468">
        <f t="shared" si="341"/>
        <v>0</v>
      </c>
      <c r="CO720" s="468">
        <f t="shared" si="342"/>
        <v>0</v>
      </c>
      <c r="CP720" s="469">
        <f t="shared" si="343"/>
        <v>0</v>
      </c>
      <c r="CQ720" s="469">
        <f t="shared" si="344"/>
        <v>0</v>
      </c>
      <c r="CR720" s="463"/>
      <c r="CS720" s="457"/>
      <c r="CT720" s="464"/>
      <c r="CU720" s="464"/>
      <c r="CV720" s="465"/>
      <c r="CW720" s="457"/>
      <c r="CX720" s="464"/>
      <c r="CY720" s="466"/>
      <c r="CZ720" s="465"/>
      <c r="DA720" s="457"/>
      <c r="DB720" s="464"/>
      <c r="DC720" s="466"/>
      <c r="DD720" s="465"/>
      <c r="DE720" s="457"/>
      <c r="DF720" s="464"/>
      <c r="DG720" s="466"/>
      <c r="DH720" s="465"/>
      <c r="DI720" s="457"/>
      <c r="DJ720" s="464"/>
      <c r="DK720" s="466"/>
      <c r="DL720" s="465"/>
      <c r="DM720" s="457"/>
      <c r="DN720" s="464"/>
      <c r="DO720" s="466"/>
      <c r="DP720" s="465"/>
      <c r="DQ720" s="457"/>
      <c r="DR720" s="464"/>
      <c r="DS720" s="466"/>
      <c r="DT720" s="465"/>
      <c r="DU720" s="457"/>
      <c r="DV720" s="464"/>
      <c r="DW720" s="466"/>
      <c r="DX720" s="465"/>
      <c r="DY720" s="457"/>
      <c r="DZ720" s="464"/>
      <c r="EA720" s="466"/>
      <c r="EB720" s="465"/>
      <c r="EC720" s="457"/>
      <c r="ED720" s="464"/>
      <c r="EE720" s="466"/>
      <c r="EF720" s="459"/>
      <c r="EG720" s="450"/>
      <c r="EH720" s="460">
        <f t="shared" si="345"/>
        <v>0</v>
      </c>
      <c r="EI720" s="460">
        <f t="shared" si="346"/>
        <v>0</v>
      </c>
      <c r="EJ720" s="458">
        <f t="shared" si="347"/>
        <v>0</v>
      </c>
      <c r="EK720" s="470">
        <f t="shared" si="348"/>
        <v>0</v>
      </c>
      <c r="EL720" s="470">
        <f t="shared" si="349"/>
        <v>0</v>
      </c>
      <c r="EM720" s="449">
        <f t="shared" si="350"/>
        <v>0</v>
      </c>
      <c r="EN720" s="460">
        <f t="shared" si="351"/>
        <v>0</v>
      </c>
      <c r="EO720" s="469">
        <f t="shared" si="352"/>
        <v>0</v>
      </c>
      <c r="EP720" s="471"/>
      <c r="EQ720" s="450"/>
      <c r="ER720" s="471"/>
      <c r="ES720" s="450"/>
      <c r="ET720" s="471"/>
      <c r="EU720" s="450"/>
      <c r="EV720" s="471"/>
      <c r="EW720" s="450"/>
      <c r="EX720" s="471"/>
      <c r="EY720" s="450"/>
      <c r="EZ720" s="471"/>
      <c r="FA720" s="450"/>
      <c r="FB720" s="471"/>
      <c r="FC720" s="450"/>
      <c r="FD720" s="471"/>
      <c r="FE720" s="450"/>
      <c r="FF720" s="471"/>
      <c r="FG720" s="450"/>
      <c r="FH720" s="472"/>
      <c r="FI720" s="450"/>
      <c r="FJ720" s="468">
        <f t="shared" si="353"/>
        <v>0</v>
      </c>
      <c r="FK720" s="469">
        <f t="shared" si="354"/>
        <v>0</v>
      </c>
      <c r="FL720" s="472"/>
      <c r="FM720" s="450"/>
      <c r="FN720" s="460">
        <f t="shared" si="355"/>
        <v>22</v>
      </c>
      <c r="FO720" s="469">
        <f t="shared" si="356"/>
        <v>15</v>
      </c>
    </row>
    <row r="721" spans="1:171" x14ac:dyDescent="0.2">
      <c r="A721" s="722" t="s">
        <v>743</v>
      </c>
      <c r="B721" s="672" t="s">
        <v>1191</v>
      </c>
      <c r="C721" s="721"/>
      <c r="D721" s="674">
        <v>364575</v>
      </c>
      <c r="E721" s="561">
        <v>14</v>
      </c>
      <c r="F721" s="532">
        <v>31</v>
      </c>
      <c r="G721" s="627">
        <v>24</v>
      </c>
      <c r="H721" s="457"/>
      <c r="I721" s="450"/>
      <c r="J721" s="457"/>
      <c r="K721" s="450"/>
      <c r="L721" s="458">
        <f t="shared" si="333"/>
        <v>0</v>
      </c>
      <c r="M721" s="449">
        <f t="shared" si="334"/>
        <v>0</v>
      </c>
      <c r="N721" s="459"/>
      <c r="O721" s="459"/>
      <c r="P721" s="459"/>
      <c r="Q721" s="459"/>
      <c r="R721" s="460">
        <f t="shared" si="335"/>
        <v>0</v>
      </c>
      <c r="S721" s="461"/>
      <c r="T721" s="461"/>
      <c r="U721" s="461"/>
      <c r="V721" s="461"/>
      <c r="W721" s="462">
        <f t="shared" si="336"/>
        <v>0</v>
      </c>
      <c r="X721" s="463"/>
      <c r="Y721" s="457"/>
      <c r="Z721" s="464"/>
      <c r="AA721" s="464"/>
      <c r="AB721" s="465"/>
      <c r="AC721" s="457"/>
      <c r="AD721" s="464"/>
      <c r="AE721" s="466"/>
      <c r="AF721" s="465"/>
      <c r="AG721" s="457"/>
      <c r="AH721" s="464"/>
      <c r="AI721" s="466"/>
      <c r="AJ721" s="465"/>
      <c r="AK721" s="457"/>
      <c r="AL721" s="464"/>
      <c r="AM721" s="466"/>
      <c r="AN721" s="465"/>
      <c r="AO721" s="457"/>
      <c r="AP721" s="464"/>
      <c r="AQ721" s="464"/>
      <c r="AR721" s="460">
        <f t="shared" si="337"/>
        <v>0</v>
      </c>
      <c r="AS721" s="467">
        <f t="shared" si="338"/>
        <v>0</v>
      </c>
      <c r="AT721" s="447">
        <f t="shared" si="339"/>
        <v>0</v>
      </c>
      <c r="AU721" s="448">
        <f t="shared" si="340"/>
        <v>0</v>
      </c>
      <c r="AV721" s="457"/>
      <c r="AW721" s="450"/>
      <c r="AX721" s="463"/>
      <c r="AY721" s="457"/>
      <c r="AZ721" s="464"/>
      <c r="BA721" s="464"/>
      <c r="BB721" s="465"/>
      <c r="BC721" s="457"/>
      <c r="BD721" s="464"/>
      <c r="BE721" s="466"/>
      <c r="BF721" s="465"/>
      <c r="BG721" s="457"/>
      <c r="BH721" s="464"/>
      <c r="BI721" s="466"/>
      <c r="BJ721" s="465"/>
      <c r="BK721" s="457"/>
      <c r="BL721" s="464"/>
      <c r="BM721" s="466"/>
      <c r="BN721" s="465"/>
      <c r="BO721" s="457"/>
      <c r="BP721" s="464"/>
      <c r="BQ721" s="466"/>
      <c r="BR721" s="465"/>
      <c r="BS721" s="457"/>
      <c r="BT721" s="464"/>
      <c r="BU721" s="466"/>
      <c r="BV721" s="465"/>
      <c r="BW721" s="457"/>
      <c r="BX721" s="464"/>
      <c r="BY721" s="466"/>
      <c r="BZ721" s="465"/>
      <c r="CA721" s="457"/>
      <c r="CB721" s="464"/>
      <c r="CC721" s="466"/>
      <c r="CD721" s="465"/>
      <c r="CE721" s="457"/>
      <c r="CF721" s="464"/>
      <c r="CG721" s="466"/>
      <c r="CH721" s="465"/>
      <c r="CI721" s="457"/>
      <c r="CJ721" s="464"/>
      <c r="CK721" s="466"/>
      <c r="CL721" s="459"/>
      <c r="CM721" s="450"/>
      <c r="CN721" s="468">
        <f t="shared" si="341"/>
        <v>0</v>
      </c>
      <c r="CO721" s="468">
        <f t="shared" si="342"/>
        <v>0</v>
      </c>
      <c r="CP721" s="469">
        <f t="shared" si="343"/>
        <v>0</v>
      </c>
      <c r="CQ721" s="469">
        <f t="shared" si="344"/>
        <v>0</v>
      </c>
      <c r="CR721" s="463"/>
      <c r="CS721" s="457"/>
      <c r="CT721" s="464"/>
      <c r="CU721" s="464"/>
      <c r="CV721" s="465"/>
      <c r="CW721" s="457"/>
      <c r="CX721" s="464"/>
      <c r="CY721" s="466"/>
      <c r="CZ721" s="465"/>
      <c r="DA721" s="457"/>
      <c r="DB721" s="464"/>
      <c r="DC721" s="466"/>
      <c r="DD721" s="465"/>
      <c r="DE721" s="457"/>
      <c r="DF721" s="464"/>
      <c r="DG721" s="466"/>
      <c r="DH721" s="465"/>
      <c r="DI721" s="457"/>
      <c r="DJ721" s="464"/>
      <c r="DK721" s="466"/>
      <c r="DL721" s="465"/>
      <c r="DM721" s="457"/>
      <c r="DN721" s="464"/>
      <c r="DO721" s="466"/>
      <c r="DP721" s="465"/>
      <c r="DQ721" s="457"/>
      <c r="DR721" s="464"/>
      <c r="DS721" s="466"/>
      <c r="DT721" s="465"/>
      <c r="DU721" s="457"/>
      <c r="DV721" s="464"/>
      <c r="DW721" s="466"/>
      <c r="DX721" s="465"/>
      <c r="DY721" s="457"/>
      <c r="DZ721" s="464"/>
      <c r="EA721" s="466"/>
      <c r="EB721" s="465"/>
      <c r="EC721" s="457"/>
      <c r="ED721" s="464"/>
      <c r="EE721" s="466"/>
      <c r="EF721" s="459"/>
      <c r="EG721" s="450"/>
      <c r="EH721" s="460">
        <f t="shared" si="345"/>
        <v>0</v>
      </c>
      <c r="EI721" s="460">
        <f t="shared" si="346"/>
        <v>0</v>
      </c>
      <c r="EJ721" s="458">
        <f t="shared" si="347"/>
        <v>0</v>
      </c>
      <c r="EK721" s="470">
        <f t="shared" si="348"/>
        <v>0</v>
      </c>
      <c r="EL721" s="470">
        <f t="shared" si="349"/>
        <v>0</v>
      </c>
      <c r="EM721" s="449">
        <f t="shared" si="350"/>
        <v>0</v>
      </c>
      <c r="EN721" s="460">
        <f t="shared" si="351"/>
        <v>0</v>
      </c>
      <c r="EO721" s="469">
        <f t="shared" si="352"/>
        <v>0</v>
      </c>
      <c r="EP721" s="471"/>
      <c r="EQ721" s="450"/>
      <c r="ER721" s="471"/>
      <c r="ES721" s="450"/>
      <c r="ET721" s="471"/>
      <c r="EU721" s="450"/>
      <c r="EV721" s="471"/>
      <c r="EW721" s="450"/>
      <c r="EX721" s="471"/>
      <c r="EY721" s="450"/>
      <c r="EZ721" s="471"/>
      <c r="FA721" s="450"/>
      <c r="FB721" s="471"/>
      <c r="FC721" s="450"/>
      <c r="FD721" s="471"/>
      <c r="FE721" s="450"/>
      <c r="FF721" s="471"/>
      <c r="FG721" s="450"/>
      <c r="FH721" s="472"/>
      <c r="FI721" s="450"/>
      <c r="FJ721" s="468">
        <f t="shared" si="353"/>
        <v>0</v>
      </c>
      <c r="FK721" s="469">
        <f t="shared" si="354"/>
        <v>0</v>
      </c>
      <c r="FL721" s="472"/>
      <c r="FM721" s="450"/>
      <c r="FN721" s="460">
        <f t="shared" si="355"/>
        <v>31</v>
      </c>
      <c r="FO721" s="469">
        <f t="shared" si="356"/>
        <v>24</v>
      </c>
    </row>
    <row r="722" spans="1:171" x14ac:dyDescent="0.2">
      <c r="A722" s="722" t="s">
        <v>743</v>
      </c>
      <c r="B722" s="672" t="s">
        <v>1192</v>
      </c>
      <c r="C722" s="721"/>
      <c r="D722" s="674">
        <v>441894</v>
      </c>
      <c r="E722" s="561">
        <v>14</v>
      </c>
      <c r="F722" s="532">
        <v>47</v>
      </c>
      <c r="G722" s="627">
        <v>48</v>
      </c>
      <c r="H722" s="457"/>
      <c r="I722" s="450"/>
      <c r="J722" s="457"/>
      <c r="K722" s="450"/>
      <c r="L722" s="458">
        <f t="shared" si="333"/>
        <v>0</v>
      </c>
      <c r="M722" s="449">
        <f t="shared" si="334"/>
        <v>0</v>
      </c>
      <c r="N722" s="459"/>
      <c r="O722" s="459"/>
      <c r="P722" s="459"/>
      <c r="Q722" s="459"/>
      <c r="R722" s="460">
        <f t="shared" si="335"/>
        <v>0</v>
      </c>
      <c r="S722" s="461"/>
      <c r="T722" s="461"/>
      <c r="U722" s="461"/>
      <c r="V722" s="461"/>
      <c r="W722" s="462">
        <f t="shared" si="336"/>
        <v>0</v>
      </c>
      <c r="X722" s="463"/>
      <c r="Y722" s="457"/>
      <c r="Z722" s="464"/>
      <c r="AA722" s="464"/>
      <c r="AB722" s="465"/>
      <c r="AC722" s="457"/>
      <c r="AD722" s="464"/>
      <c r="AE722" s="466"/>
      <c r="AF722" s="465"/>
      <c r="AG722" s="457"/>
      <c r="AH722" s="464"/>
      <c r="AI722" s="466"/>
      <c r="AJ722" s="465"/>
      <c r="AK722" s="457"/>
      <c r="AL722" s="464"/>
      <c r="AM722" s="466"/>
      <c r="AN722" s="465"/>
      <c r="AO722" s="457"/>
      <c r="AP722" s="464"/>
      <c r="AQ722" s="464"/>
      <c r="AR722" s="460">
        <f t="shared" si="337"/>
        <v>0</v>
      </c>
      <c r="AS722" s="467">
        <f t="shared" si="338"/>
        <v>0</v>
      </c>
      <c r="AT722" s="447">
        <f t="shared" si="339"/>
        <v>0</v>
      </c>
      <c r="AU722" s="448">
        <f t="shared" si="340"/>
        <v>0</v>
      </c>
      <c r="AV722" s="457"/>
      <c r="AW722" s="450"/>
      <c r="AX722" s="463"/>
      <c r="AY722" s="457"/>
      <c r="AZ722" s="464"/>
      <c r="BA722" s="464"/>
      <c r="BB722" s="465"/>
      <c r="BC722" s="457"/>
      <c r="BD722" s="464"/>
      <c r="BE722" s="466"/>
      <c r="BF722" s="465"/>
      <c r="BG722" s="457"/>
      <c r="BH722" s="464"/>
      <c r="BI722" s="466"/>
      <c r="BJ722" s="465"/>
      <c r="BK722" s="457"/>
      <c r="BL722" s="464"/>
      <c r="BM722" s="466"/>
      <c r="BN722" s="465"/>
      <c r="BO722" s="457"/>
      <c r="BP722" s="464"/>
      <c r="BQ722" s="466"/>
      <c r="BR722" s="465"/>
      <c r="BS722" s="457"/>
      <c r="BT722" s="464"/>
      <c r="BU722" s="466"/>
      <c r="BV722" s="465"/>
      <c r="BW722" s="457"/>
      <c r="BX722" s="464"/>
      <c r="BY722" s="466"/>
      <c r="BZ722" s="465"/>
      <c r="CA722" s="457"/>
      <c r="CB722" s="464"/>
      <c r="CC722" s="466"/>
      <c r="CD722" s="465"/>
      <c r="CE722" s="457"/>
      <c r="CF722" s="464"/>
      <c r="CG722" s="466"/>
      <c r="CH722" s="465"/>
      <c r="CI722" s="457"/>
      <c r="CJ722" s="464"/>
      <c r="CK722" s="466"/>
      <c r="CL722" s="459"/>
      <c r="CM722" s="450"/>
      <c r="CN722" s="468">
        <f t="shared" si="341"/>
        <v>0</v>
      </c>
      <c r="CO722" s="468">
        <f t="shared" si="342"/>
        <v>0</v>
      </c>
      <c r="CP722" s="469">
        <f t="shared" si="343"/>
        <v>0</v>
      </c>
      <c r="CQ722" s="469">
        <f t="shared" si="344"/>
        <v>0</v>
      </c>
      <c r="CR722" s="463"/>
      <c r="CS722" s="457"/>
      <c r="CT722" s="464"/>
      <c r="CU722" s="464"/>
      <c r="CV722" s="465"/>
      <c r="CW722" s="457"/>
      <c r="CX722" s="464"/>
      <c r="CY722" s="466"/>
      <c r="CZ722" s="465"/>
      <c r="DA722" s="457"/>
      <c r="DB722" s="464"/>
      <c r="DC722" s="466"/>
      <c r="DD722" s="465"/>
      <c r="DE722" s="457"/>
      <c r="DF722" s="464"/>
      <c r="DG722" s="466"/>
      <c r="DH722" s="465"/>
      <c r="DI722" s="457"/>
      <c r="DJ722" s="464"/>
      <c r="DK722" s="466"/>
      <c r="DL722" s="465"/>
      <c r="DM722" s="457"/>
      <c r="DN722" s="464"/>
      <c r="DO722" s="466"/>
      <c r="DP722" s="465"/>
      <c r="DQ722" s="457"/>
      <c r="DR722" s="464"/>
      <c r="DS722" s="466"/>
      <c r="DT722" s="465"/>
      <c r="DU722" s="457"/>
      <c r="DV722" s="464"/>
      <c r="DW722" s="466"/>
      <c r="DX722" s="465"/>
      <c r="DY722" s="457"/>
      <c r="DZ722" s="464"/>
      <c r="EA722" s="466"/>
      <c r="EB722" s="465"/>
      <c r="EC722" s="457"/>
      <c r="ED722" s="464"/>
      <c r="EE722" s="466"/>
      <c r="EF722" s="459"/>
      <c r="EG722" s="450"/>
      <c r="EH722" s="460">
        <f t="shared" si="345"/>
        <v>0</v>
      </c>
      <c r="EI722" s="460">
        <f t="shared" si="346"/>
        <v>0</v>
      </c>
      <c r="EJ722" s="458">
        <f t="shared" si="347"/>
        <v>0</v>
      </c>
      <c r="EK722" s="470">
        <f t="shared" si="348"/>
        <v>0</v>
      </c>
      <c r="EL722" s="470">
        <f t="shared" si="349"/>
        <v>0</v>
      </c>
      <c r="EM722" s="449">
        <f t="shared" si="350"/>
        <v>0</v>
      </c>
      <c r="EN722" s="460">
        <f t="shared" si="351"/>
        <v>0</v>
      </c>
      <c r="EO722" s="469">
        <f t="shared" si="352"/>
        <v>0</v>
      </c>
      <c r="EP722" s="471"/>
      <c r="EQ722" s="450"/>
      <c r="ER722" s="471"/>
      <c r="ES722" s="450"/>
      <c r="ET722" s="471"/>
      <c r="EU722" s="450"/>
      <c r="EV722" s="471"/>
      <c r="EW722" s="450"/>
      <c r="EX722" s="471"/>
      <c r="EY722" s="450"/>
      <c r="EZ722" s="471"/>
      <c r="FA722" s="450"/>
      <c r="FB722" s="471"/>
      <c r="FC722" s="450"/>
      <c r="FD722" s="471"/>
      <c r="FE722" s="450"/>
      <c r="FF722" s="471"/>
      <c r="FG722" s="450"/>
      <c r="FH722" s="472"/>
      <c r="FI722" s="450"/>
      <c r="FJ722" s="468">
        <f t="shared" si="353"/>
        <v>0</v>
      </c>
      <c r="FK722" s="469">
        <f t="shared" si="354"/>
        <v>0</v>
      </c>
      <c r="FL722" s="472"/>
      <c r="FM722" s="450"/>
      <c r="FN722" s="460">
        <f t="shared" si="355"/>
        <v>47</v>
      </c>
      <c r="FO722" s="469">
        <f t="shared" si="356"/>
        <v>48</v>
      </c>
    </row>
    <row r="723" spans="1:171" x14ac:dyDescent="0.2">
      <c r="A723" s="722" t="s">
        <v>743</v>
      </c>
      <c r="B723" s="672" t="s">
        <v>1193</v>
      </c>
      <c r="C723" s="721"/>
      <c r="D723" s="674">
        <v>419031</v>
      </c>
      <c r="E723" s="561">
        <v>14</v>
      </c>
      <c r="F723" s="532">
        <v>24</v>
      </c>
      <c r="G723" s="627">
        <v>18</v>
      </c>
      <c r="H723" s="457"/>
      <c r="I723" s="450"/>
      <c r="J723" s="457"/>
      <c r="K723" s="450"/>
      <c r="L723" s="458">
        <f t="shared" si="333"/>
        <v>0</v>
      </c>
      <c r="M723" s="449">
        <f t="shared" si="334"/>
        <v>0</v>
      </c>
      <c r="N723" s="459"/>
      <c r="O723" s="459"/>
      <c r="P723" s="459"/>
      <c r="Q723" s="459"/>
      <c r="R723" s="460">
        <f t="shared" si="335"/>
        <v>0</v>
      </c>
      <c r="S723" s="461"/>
      <c r="T723" s="461"/>
      <c r="U723" s="461"/>
      <c r="V723" s="461"/>
      <c r="W723" s="462">
        <f t="shared" si="336"/>
        <v>0</v>
      </c>
      <c r="X723" s="463"/>
      <c r="Y723" s="457"/>
      <c r="Z723" s="464"/>
      <c r="AA723" s="464"/>
      <c r="AB723" s="465"/>
      <c r="AC723" s="457"/>
      <c r="AD723" s="464"/>
      <c r="AE723" s="466"/>
      <c r="AF723" s="465"/>
      <c r="AG723" s="457"/>
      <c r="AH723" s="464"/>
      <c r="AI723" s="466"/>
      <c r="AJ723" s="465"/>
      <c r="AK723" s="457"/>
      <c r="AL723" s="464"/>
      <c r="AM723" s="466"/>
      <c r="AN723" s="465"/>
      <c r="AO723" s="457"/>
      <c r="AP723" s="464"/>
      <c r="AQ723" s="464"/>
      <c r="AR723" s="460">
        <f t="shared" si="337"/>
        <v>0</v>
      </c>
      <c r="AS723" s="467">
        <f t="shared" si="338"/>
        <v>0</v>
      </c>
      <c r="AT723" s="447">
        <f t="shared" si="339"/>
        <v>0</v>
      </c>
      <c r="AU723" s="448">
        <f t="shared" si="340"/>
        <v>0</v>
      </c>
      <c r="AV723" s="457"/>
      <c r="AW723" s="450"/>
      <c r="AX723" s="463"/>
      <c r="AY723" s="457"/>
      <c r="AZ723" s="464"/>
      <c r="BA723" s="464"/>
      <c r="BB723" s="465"/>
      <c r="BC723" s="457"/>
      <c r="BD723" s="464"/>
      <c r="BE723" s="466"/>
      <c r="BF723" s="465"/>
      <c r="BG723" s="457"/>
      <c r="BH723" s="464"/>
      <c r="BI723" s="466"/>
      <c r="BJ723" s="465"/>
      <c r="BK723" s="457"/>
      <c r="BL723" s="464"/>
      <c r="BM723" s="466"/>
      <c r="BN723" s="465"/>
      <c r="BO723" s="457"/>
      <c r="BP723" s="464"/>
      <c r="BQ723" s="466"/>
      <c r="BR723" s="465"/>
      <c r="BS723" s="457"/>
      <c r="BT723" s="464"/>
      <c r="BU723" s="466"/>
      <c r="BV723" s="465"/>
      <c r="BW723" s="457"/>
      <c r="BX723" s="464"/>
      <c r="BY723" s="466"/>
      <c r="BZ723" s="465"/>
      <c r="CA723" s="457"/>
      <c r="CB723" s="464"/>
      <c r="CC723" s="466"/>
      <c r="CD723" s="465"/>
      <c r="CE723" s="457"/>
      <c r="CF723" s="464"/>
      <c r="CG723" s="466"/>
      <c r="CH723" s="465"/>
      <c r="CI723" s="457"/>
      <c r="CJ723" s="464"/>
      <c r="CK723" s="466"/>
      <c r="CL723" s="459"/>
      <c r="CM723" s="450"/>
      <c r="CN723" s="468">
        <f t="shared" si="341"/>
        <v>0</v>
      </c>
      <c r="CO723" s="468">
        <f t="shared" si="342"/>
        <v>0</v>
      </c>
      <c r="CP723" s="469">
        <f t="shared" si="343"/>
        <v>0</v>
      </c>
      <c r="CQ723" s="469">
        <f t="shared" si="344"/>
        <v>0</v>
      </c>
      <c r="CR723" s="463"/>
      <c r="CS723" s="457"/>
      <c r="CT723" s="464"/>
      <c r="CU723" s="464"/>
      <c r="CV723" s="465"/>
      <c r="CW723" s="457"/>
      <c r="CX723" s="464"/>
      <c r="CY723" s="466"/>
      <c r="CZ723" s="465"/>
      <c r="DA723" s="457"/>
      <c r="DB723" s="464"/>
      <c r="DC723" s="466"/>
      <c r="DD723" s="465"/>
      <c r="DE723" s="457"/>
      <c r="DF723" s="464"/>
      <c r="DG723" s="466"/>
      <c r="DH723" s="465"/>
      <c r="DI723" s="457"/>
      <c r="DJ723" s="464"/>
      <c r="DK723" s="466"/>
      <c r="DL723" s="465"/>
      <c r="DM723" s="457"/>
      <c r="DN723" s="464"/>
      <c r="DO723" s="466"/>
      <c r="DP723" s="465"/>
      <c r="DQ723" s="457"/>
      <c r="DR723" s="464"/>
      <c r="DS723" s="466"/>
      <c r="DT723" s="465"/>
      <c r="DU723" s="457"/>
      <c r="DV723" s="464"/>
      <c r="DW723" s="466"/>
      <c r="DX723" s="465"/>
      <c r="DY723" s="457"/>
      <c r="DZ723" s="464"/>
      <c r="EA723" s="466"/>
      <c r="EB723" s="465"/>
      <c r="EC723" s="457"/>
      <c r="ED723" s="464"/>
      <c r="EE723" s="466"/>
      <c r="EF723" s="459"/>
      <c r="EG723" s="450"/>
      <c r="EH723" s="460">
        <f t="shared" si="345"/>
        <v>0</v>
      </c>
      <c r="EI723" s="460">
        <f t="shared" si="346"/>
        <v>0</v>
      </c>
      <c r="EJ723" s="458">
        <f t="shared" si="347"/>
        <v>0</v>
      </c>
      <c r="EK723" s="470">
        <f t="shared" si="348"/>
        <v>0</v>
      </c>
      <c r="EL723" s="470">
        <f t="shared" si="349"/>
        <v>0</v>
      </c>
      <c r="EM723" s="449">
        <f t="shared" si="350"/>
        <v>0</v>
      </c>
      <c r="EN723" s="460">
        <f t="shared" si="351"/>
        <v>0</v>
      </c>
      <c r="EO723" s="469">
        <f t="shared" si="352"/>
        <v>0</v>
      </c>
      <c r="EP723" s="471"/>
      <c r="EQ723" s="450"/>
      <c r="ER723" s="471"/>
      <c r="ES723" s="450"/>
      <c r="ET723" s="471"/>
      <c r="EU723" s="450"/>
      <c r="EV723" s="471"/>
      <c r="EW723" s="450"/>
      <c r="EX723" s="471"/>
      <c r="EY723" s="450"/>
      <c r="EZ723" s="471"/>
      <c r="FA723" s="450"/>
      <c r="FB723" s="471"/>
      <c r="FC723" s="450"/>
      <c r="FD723" s="471"/>
      <c r="FE723" s="450"/>
      <c r="FF723" s="471"/>
      <c r="FG723" s="450"/>
      <c r="FH723" s="472"/>
      <c r="FI723" s="450"/>
      <c r="FJ723" s="468">
        <f t="shared" si="353"/>
        <v>0</v>
      </c>
      <c r="FK723" s="469">
        <f t="shared" si="354"/>
        <v>0</v>
      </c>
      <c r="FL723" s="472"/>
      <c r="FM723" s="450"/>
      <c r="FN723" s="460">
        <f t="shared" si="355"/>
        <v>24</v>
      </c>
      <c r="FO723" s="469">
        <f t="shared" si="356"/>
        <v>18</v>
      </c>
    </row>
    <row r="724" spans="1:171" x14ac:dyDescent="0.2">
      <c r="A724" s="720" t="s">
        <v>743</v>
      </c>
      <c r="B724" s="672" t="s">
        <v>1195</v>
      </c>
      <c r="C724" s="721"/>
      <c r="D724" s="783" t="s">
        <v>954</v>
      </c>
      <c r="E724" s="561">
        <v>15</v>
      </c>
      <c r="F724" s="532">
        <f>SUM(25-13)</f>
        <v>12</v>
      </c>
      <c r="G724" s="627">
        <v>8</v>
      </c>
      <c r="H724" s="457"/>
      <c r="I724" s="450"/>
      <c r="J724" s="457"/>
      <c r="K724" s="450"/>
      <c r="L724" s="458">
        <f t="shared" si="333"/>
        <v>0</v>
      </c>
      <c r="M724" s="449">
        <f t="shared" si="334"/>
        <v>0</v>
      </c>
      <c r="N724" s="459"/>
      <c r="O724" s="459"/>
      <c r="P724" s="459"/>
      <c r="Q724" s="459"/>
      <c r="R724" s="460">
        <f t="shared" si="335"/>
        <v>0</v>
      </c>
      <c r="S724" s="461"/>
      <c r="T724" s="461"/>
      <c r="U724" s="461"/>
      <c r="V724" s="461"/>
      <c r="W724" s="462">
        <f t="shared" si="336"/>
        <v>0</v>
      </c>
      <c r="X724" s="463"/>
      <c r="Y724" s="457"/>
      <c r="Z724" s="464"/>
      <c r="AA724" s="464"/>
      <c r="AB724" s="465"/>
      <c r="AC724" s="457"/>
      <c r="AD724" s="464"/>
      <c r="AE724" s="466"/>
      <c r="AF724" s="465"/>
      <c r="AG724" s="457"/>
      <c r="AH724" s="464"/>
      <c r="AI724" s="466"/>
      <c r="AJ724" s="465"/>
      <c r="AK724" s="457"/>
      <c r="AL724" s="464"/>
      <c r="AM724" s="466"/>
      <c r="AN724" s="465"/>
      <c r="AO724" s="457"/>
      <c r="AP724" s="464"/>
      <c r="AQ724" s="464"/>
      <c r="AR724" s="460">
        <f t="shared" si="337"/>
        <v>0</v>
      </c>
      <c r="AS724" s="467">
        <f t="shared" si="338"/>
        <v>0</v>
      </c>
      <c r="AT724" s="447">
        <f t="shared" si="339"/>
        <v>0</v>
      </c>
      <c r="AU724" s="448">
        <f t="shared" si="340"/>
        <v>0</v>
      </c>
      <c r="AV724" s="457"/>
      <c r="AW724" s="450"/>
      <c r="AX724" s="463"/>
      <c r="AY724" s="457"/>
      <c r="AZ724" s="464"/>
      <c r="BA724" s="464"/>
      <c r="BB724" s="465"/>
      <c r="BC724" s="457"/>
      <c r="BD724" s="464"/>
      <c r="BE724" s="466"/>
      <c r="BF724" s="465"/>
      <c r="BG724" s="457"/>
      <c r="BH724" s="464"/>
      <c r="BI724" s="466"/>
      <c r="BJ724" s="465"/>
      <c r="BK724" s="457"/>
      <c r="BL724" s="464"/>
      <c r="BM724" s="466"/>
      <c r="BN724" s="465"/>
      <c r="BO724" s="457"/>
      <c r="BP724" s="464"/>
      <c r="BQ724" s="466"/>
      <c r="BR724" s="465"/>
      <c r="BS724" s="457"/>
      <c r="BT724" s="464"/>
      <c r="BU724" s="466"/>
      <c r="BV724" s="465"/>
      <c r="BW724" s="457"/>
      <c r="BX724" s="464"/>
      <c r="BY724" s="466"/>
      <c r="BZ724" s="465"/>
      <c r="CA724" s="457"/>
      <c r="CB724" s="464"/>
      <c r="CC724" s="466"/>
      <c r="CD724" s="465"/>
      <c r="CE724" s="457"/>
      <c r="CF724" s="464"/>
      <c r="CG724" s="466"/>
      <c r="CH724" s="465"/>
      <c r="CI724" s="457"/>
      <c r="CJ724" s="464"/>
      <c r="CK724" s="466"/>
      <c r="CL724" s="459"/>
      <c r="CM724" s="450"/>
      <c r="CN724" s="468">
        <f t="shared" si="341"/>
        <v>0</v>
      </c>
      <c r="CO724" s="468">
        <f t="shared" si="342"/>
        <v>0</v>
      </c>
      <c r="CP724" s="469">
        <f t="shared" si="343"/>
        <v>0</v>
      </c>
      <c r="CQ724" s="469">
        <f t="shared" si="344"/>
        <v>0</v>
      </c>
      <c r="CR724" s="463"/>
      <c r="CS724" s="457"/>
      <c r="CT724" s="464"/>
      <c r="CU724" s="464"/>
      <c r="CV724" s="465"/>
      <c r="CW724" s="457"/>
      <c r="CX724" s="464"/>
      <c r="CY724" s="466"/>
      <c r="CZ724" s="465"/>
      <c r="DA724" s="457"/>
      <c r="DB724" s="464"/>
      <c r="DC724" s="466"/>
      <c r="DD724" s="465"/>
      <c r="DE724" s="457"/>
      <c r="DF724" s="464"/>
      <c r="DG724" s="466"/>
      <c r="DH724" s="465"/>
      <c r="DI724" s="457"/>
      <c r="DJ724" s="464"/>
      <c r="DK724" s="466"/>
      <c r="DL724" s="465"/>
      <c r="DM724" s="457"/>
      <c r="DN724" s="464"/>
      <c r="DO724" s="466"/>
      <c r="DP724" s="465"/>
      <c r="DQ724" s="457"/>
      <c r="DR724" s="464"/>
      <c r="DS724" s="466"/>
      <c r="DT724" s="465"/>
      <c r="DU724" s="457"/>
      <c r="DV724" s="464"/>
      <c r="DW724" s="466"/>
      <c r="DX724" s="465"/>
      <c r="DY724" s="457"/>
      <c r="DZ724" s="464"/>
      <c r="EA724" s="466"/>
      <c r="EB724" s="465"/>
      <c r="EC724" s="457"/>
      <c r="ED724" s="464"/>
      <c r="EE724" s="466"/>
      <c r="EF724" s="459"/>
      <c r="EG724" s="450"/>
      <c r="EH724" s="460">
        <f t="shared" si="345"/>
        <v>0</v>
      </c>
      <c r="EI724" s="460">
        <f t="shared" si="346"/>
        <v>0</v>
      </c>
      <c r="EJ724" s="458">
        <f t="shared" si="347"/>
        <v>0</v>
      </c>
      <c r="EK724" s="470">
        <f t="shared" si="348"/>
        <v>0</v>
      </c>
      <c r="EL724" s="470">
        <f t="shared" si="349"/>
        <v>0</v>
      </c>
      <c r="EM724" s="449">
        <f t="shared" si="350"/>
        <v>0</v>
      </c>
      <c r="EN724" s="460">
        <f t="shared" si="351"/>
        <v>0</v>
      </c>
      <c r="EO724" s="469">
        <f t="shared" si="352"/>
        <v>0</v>
      </c>
      <c r="EP724" s="471"/>
      <c r="EQ724" s="450"/>
      <c r="ER724" s="471"/>
      <c r="ES724" s="450"/>
      <c r="ET724" s="471"/>
      <c r="EU724" s="450"/>
      <c r="EV724" s="471"/>
      <c r="EW724" s="450"/>
      <c r="EX724" s="471"/>
      <c r="EY724" s="450"/>
      <c r="EZ724" s="471"/>
      <c r="FA724" s="450"/>
      <c r="FB724" s="471"/>
      <c r="FC724" s="450"/>
      <c r="FD724" s="471"/>
      <c r="FE724" s="450"/>
      <c r="FF724" s="471"/>
      <c r="FG724" s="450"/>
      <c r="FH724" s="472"/>
      <c r="FI724" s="450"/>
      <c r="FJ724" s="468">
        <f t="shared" si="353"/>
        <v>0</v>
      </c>
      <c r="FK724" s="469">
        <f t="shared" si="354"/>
        <v>0</v>
      </c>
      <c r="FL724" s="472"/>
      <c r="FM724" s="450"/>
      <c r="FN724" s="460">
        <f t="shared" si="355"/>
        <v>12</v>
      </c>
      <c r="FO724" s="469">
        <f t="shared" si="356"/>
        <v>8</v>
      </c>
    </row>
    <row r="725" spans="1:171" x14ac:dyDescent="0.2">
      <c r="A725" s="720" t="s">
        <v>743</v>
      </c>
      <c r="B725" s="672" t="s">
        <v>1196</v>
      </c>
      <c r="C725" s="721"/>
      <c r="D725" s="783" t="s">
        <v>954</v>
      </c>
      <c r="E725" s="561">
        <v>15</v>
      </c>
      <c r="F725" s="532">
        <v>9</v>
      </c>
      <c r="G725" s="627">
        <v>16</v>
      </c>
      <c r="H725" s="457"/>
      <c r="I725" s="450"/>
      <c r="J725" s="457"/>
      <c r="K725" s="450"/>
      <c r="L725" s="458">
        <f t="shared" si="333"/>
        <v>0</v>
      </c>
      <c r="M725" s="449">
        <f t="shared" si="334"/>
        <v>0</v>
      </c>
      <c r="N725" s="459"/>
      <c r="O725" s="459"/>
      <c r="P725" s="459"/>
      <c r="Q725" s="459"/>
      <c r="R725" s="460">
        <f t="shared" si="335"/>
        <v>0</v>
      </c>
      <c r="S725" s="461"/>
      <c r="T725" s="461"/>
      <c r="U725" s="461"/>
      <c r="V725" s="461"/>
      <c r="W725" s="462">
        <f t="shared" si="336"/>
        <v>0</v>
      </c>
      <c r="X725" s="463"/>
      <c r="Y725" s="457"/>
      <c r="Z725" s="464"/>
      <c r="AA725" s="464"/>
      <c r="AB725" s="465"/>
      <c r="AC725" s="457"/>
      <c r="AD725" s="464"/>
      <c r="AE725" s="466"/>
      <c r="AF725" s="465"/>
      <c r="AG725" s="457"/>
      <c r="AH725" s="464"/>
      <c r="AI725" s="466"/>
      <c r="AJ725" s="465"/>
      <c r="AK725" s="457"/>
      <c r="AL725" s="464"/>
      <c r="AM725" s="466"/>
      <c r="AN725" s="465"/>
      <c r="AO725" s="457"/>
      <c r="AP725" s="464"/>
      <c r="AQ725" s="464"/>
      <c r="AR725" s="460">
        <f t="shared" si="337"/>
        <v>0</v>
      </c>
      <c r="AS725" s="467">
        <f t="shared" si="338"/>
        <v>0</v>
      </c>
      <c r="AT725" s="447">
        <f t="shared" si="339"/>
        <v>0</v>
      </c>
      <c r="AU725" s="448">
        <f t="shared" si="340"/>
        <v>0</v>
      </c>
      <c r="AV725" s="457"/>
      <c r="AW725" s="450"/>
      <c r="AX725" s="463"/>
      <c r="AY725" s="457"/>
      <c r="AZ725" s="464"/>
      <c r="BA725" s="464"/>
      <c r="BB725" s="465"/>
      <c r="BC725" s="457"/>
      <c r="BD725" s="464"/>
      <c r="BE725" s="466"/>
      <c r="BF725" s="465"/>
      <c r="BG725" s="457"/>
      <c r="BH725" s="464"/>
      <c r="BI725" s="466"/>
      <c r="BJ725" s="465"/>
      <c r="BK725" s="457"/>
      <c r="BL725" s="464"/>
      <c r="BM725" s="466"/>
      <c r="BN725" s="465"/>
      <c r="BO725" s="457"/>
      <c r="BP725" s="464"/>
      <c r="BQ725" s="466"/>
      <c r="BR725" s="465"/>
      <c r="BS725" s="457"/>
      <c r="BT725" s="464"/>
      <c r="BU725" s="466"/>
      <c r="BV725" s="465"/>
      <c r="BW725" s="457"/>
      <c r="BX725" s="464"/>
      <c r="BY725" s="466"/>
      <c r="BZ725" s="465"/>
      <c r="CA725" s="457"/>
      <c r="CB725" s="464"/>
      <c r="CC725" s="466"/>
      <c r="CD725" s="465"/>
      <c r="CE725" s="457"/>
      <c r="CF725" s="464"/>
      <c r="CG725" s="466"/>
      <c r="CH725" s="465"/>
      <c r="CI725" s="457"/>
      <c r="CJ725" s="464"/>
      <c r="CK725" s="466"/>
      <c r="CL725" s="459"/>
      <c r="CM725" s="450"/>
      <c r="CN725" s="468">
        <f t="shared" si="341"/>
        <v>0</v>
      </c>
      <c r="CO725" s="468">
        <f t="shared" si="342"/>
        <v>0</v>
      </c>
      <c r="CP725" s="469">
        <f t="shared" si="343"/>
        <v>0</v>
      </c>
      <c r="CQ725" s="469">
        <f t="shared" si="344"/>
        <v>0</v>
      </c>
      <c r="CR725" s="463"/>
      <c r="CS725" s="457"/>
      <c r="CT725" s="464"/>
      <c r="CU725" s="464"/>
      <c r="CV725" s="465"/>
      <c r="CW725" s="457"/>
      <c r="CX725" s="464"/>
      <c r="CY725" s="466"/>
      <c r="CZ725" s="465"/>
      <c r="DA725" s="457"/>
      <c r="DB725" s="464"/>
      <c r="DC725" s="466"/>
      <c r="DD725" s="465"/>
      <c r="DE725" s="457"/>
      <c r="DF725" s="464"/>
      <c r="DG725" s="466"/>
      <c r="DH725" s="465"/>
      <c r="DI725" s="457"/>
      <c r="DJ725" s="464"/>
      <c r="DK725" s="466"/>
      <c r="DL725" s="465"/>
      <c r="DM725" s="457"/>
      <c r="DN725" s="464"/>
      <c r="DO725" s="466"/>
      <c r="DP725" s="465"/>
      <c r="DQ725" s="457"/>
      <c r="DR725" s="464"/>
      <c r="DS725" s="466"/>
      <c r="DT725" s="465"/>
      <c r="DU725" s="457"/>
      <c r="DV725" s="464"/>
      <c r="DW725" s="466"/>
      <c r="DX725" s="465"/>
      <c r="DY725" s="457"/>
      <c r="DZ725" s="464"/>
      <c r="EA725" s="466"/>
      <c r="EB725" s="465"/>
      <c r="EC725" s="457"/>
      <c r="ED725" s="464"/>
      <c r="EE725" s="466"/>
      <c r="EF725" s="459"/>
      <c r="EG725" s="450"/>
      <c r="EH725" s="460">
        <f t="shared" si="345"/>
        <v>0</v>
      </c>
      <c r="EI725" s="460">
        <f t="shared" si="346"/>
        <v>0</v>
      </c>
      <c r="EJ725" s="458">
        <f t="shared" si="347"/>
        <v>0</v>
      </c>
      <c r="EK725" s="470">
        <f t="shared" si="348"/>
        <v>0</v>
      </c>
      <c r="EL725" s="470">
        <f t="shared" si="349"/>
        <v>0</v>
      </c>
      <c r="EM725" s="449">
        <f t="shared" si="350"/>
        <v>0</v>
      </c>
      <c r="EN725" s="460">
        <f t="shared" si="351"/>
        <v>0</v>
      </c>
      <c r="EO725" s="469">
        <f t="shared" si="352"/>
        <v>0</v>
      </c>
      <c r="EP725" s="471"/>
      <c r="EQ725" s="450"/>
      <c r="ER725" s="471"/>
      <c r="ES725" s="450"/>
      <c r="ET725" s="471"/>
      <c r="EU725" s="450"/>
      <c r="EV725" s="471"/>
      <c r="EW725" s="450"/>
      <c r="EX725" s="471"/>
      <c r="EY725" s="450"/>
      <c r="EZ725" s="471"/>
      <c r="FA725" s="450"/>
      <c r="FB725" s="471"/>
      <c r="FC725" s="450"/>
      <c r="FD725" s="471"/>
      <c r="FE725" s="450"/>
      <c r="FF725" s="471"/>
      <c r="FG725" s="450"/>
      <c r="FH725" s="472"/>
      <c r="FI725" s="450"/>
      <c r="FJ725" s="468">
        <f t="shared" si="353"/>
        <v>0</v>
      </c>
      <c r="FK725" s="469">
        <f t="shared" si="354"/>
        <v>0</v>
      </c>
      <c r="FL725" s="472"/>
      <c r="FM725" s="450"/>
      <c r="FN725" s="460">
        <f t="shared" si="355"/>
        <v>9</v>
      </c>
      <c r="FO725" s="469">
        <f t="shared" si="356"/>
        <v>16</v>
      </c>
    </row>
    <row r="726" spans="1:171" x14ac:dyDescent="0.2">
      <c r="A726" s="720" t="s">
        <v>743</v>
      </c>
      <c r="B726" s="672" t="s">
        <v>1194</v>
      </c>
      <c r="C726" s="721"/>
      <c r="D726" s="674">
        <v>238096</v>
      </c>
      <c r="E726" s="561">
        <v>15</v>
      </c>
      <c r="F726" s="532">
        <v>22</v>
      </c>
      <c r="G726" s="627">
        <v>21</v>
      </c>
      <c r="H726" s="457"/>
      <c r="I726" s="450"/>
      <c r="J726" s="457"/>
      <c r="K726" s="450"/>
      <c r="L726" s="458">
        <f t="shared" si="333"/>
        <v>0</v>
      </c>
      <c r="M726" s="449">
        <f t="shared" si="334"/>
        <v>0</v>
      </c>
      <c r="N726" s="459"/>
      <c r="O726" s="459"/>
      <c r="P726" s="459"/>
      <c r="Q726" s="459"/>
      <c r="R726" s="460">
        <f t="shared" si="335"/>
        <v>0</v>
      </c>
      <c r="S726" s="461"/>
      <c r="T726" s="461"/>
      <c r="U726" s="461"/>
      <c r="V726" s="461"/>
      <c r="W726" s="462">
        <f t="shared" si="336"/>
        <v>0</v>
      </c>
      <c r="X726" s="463"/>
      <c r="Y726" s="457"/>
      <c r="Z726" s="464"/>
      <c r="AA726" s="464"/>
      <c r="AB726" s="465"/>
      <c r="AC726" s="457"/>
      <c r="AD726" s="464"/>
      <c r="AE726" s="466"/>
      <c r="AF726" s="465"/>
      <c r="AG726" s="457"/>
      <c r="AH726" s="464"/>
      <c r="AI726" s="466"/>
      <c r="AJ726" s="465"/>
      <c r="AK726" s="457"/>
      <c r="AL726" s="464"/>
      <c r="AM726" s="466"/>
      <c r="AN726" s="465"/>
      <c r="AO726" s="457"/>
      <c r="AP726" s="464"/>
      <c r="AQ726" s="464"/>
      <c r="AR726" s="460">
        <f t="shared" si="337"/>
        <v>0</v>
      </c>
      <c r="AS726" s="467">
        <f t="shared" si="338"/>
        <v>0</v>
      </c>
      <c r="AT726" s="447">
        <f t="shared" si="339"/>
        <v>0</v>
      </c>
      <c r="AU726" s="448">
        <f t="shared" si="340"/>
        <v>0</v>
      </c>
      <c r="AV726" s="457"/>
      <c r="AW726" s="450"/>
      <c r="AX726" s="463"/>
      <c r="AY726" s="457"/>
      <c r="AZ726" s="464"/>
      <c r="BA726" s="464"/>
      <c r="BB726" s="465"/>
      <c r="BC726" s="457"/>
      <c r="BD726" s="464"/>
      <c r="BE726" s="466"/>
      <c r="BF726" s="465"/>
      <c r="BG726" s="457"/>
      <c r="BH726" s="464"/>
      <c r="BI726" s="466"/>
      <c r="BJ726" s="465"/>
      <c r="BK726" s="457"/>
      <c r="BL726" s="464"/>
      <c r="BM726" s="466"/>
      <c r="BN726" s="465"/>
      <c r="BO726" s="457"/>
      <c r="BP726" s="464"/>
      <c r="BQ726" s="466"/>
      <c r="BR726" s="465"/>
      <c r="BS726" s="457"/>
      <c r="BT726" s="464"/>
      <c r="BU726" s="466"/>
      <c r="BV726" s="465"/>
      <c r="BW726" s="457"/>
      <c r="BX726" s="464"/>
      <c r="BY726" s="466"/>
      <c r="BZ726" s="465"/>
      <c r="CA726" s="457"/>
      <c r="CB726" s="464"/>
      <c r="CC726" s="466"/>
      <c r="CD726" s="465"/>
      <c r="CE726" s="457"/>
      <c r="CF726" s="464"/>
      <c r="CG726" s="466"/>
      <c r="CH726" s="465"/>
      <c r="CI726" s="457"/>
      <c r="CJ726" s="464"/>
      <c r="CK726" s="466"/>
      <c r="CL726" s="459"/>
      <c r="CM726" s="450"/>
      <c r="CN726" s="468">
        <f t="shared" si="341"/>
        <v>0</v>
      </c>
      <c r="CO726" s="468">
        <f t="shared" si="342"/>
        <v>0</v>
      </c>
      <c r="CP726" s="469">
        <f t="shared" si="343"/>
        <v>0</v>
      </c>
      <c r="CQ726" s="469">
        <f t="shared" si="344"/>
        <v>0</v>
      </c>
      <c r="CR726" s="463"/>
      <c r="CS726" s="457"/>
      <c r="CT726" s="464"/>
      <c r="CU726" s="464"/>
      <c r="CV726" s="465"/>
      <c r="CW726" s="457"/>
      <c r="CX726" s="464"/>
      <c r="CY726" s="466"/>
      <c r="CZ726" s="465"/>
      <c r="DA726" s="457"/>
      <c r="DB726" s="464"/>
      <c r="DC726" s="466"/>
      <c r="DD726" s="465"/>
      <c r="DE726" s="457"/>
      <c r="DF726" s="464"/>
      <c r="DG726" s="466"/>
      <c r="DH726" s="465"/>
      <c r="DI726" s="457"/>
      <c r="DJ726" s="464"/>
      <c r="DK726" s="466"/>
      <c r="DL726" s="465"/>
      <c r="DM726" s="457"/>
      <c r="DN726" s="464"/>
      <c r="DO726" s="466"/>
      <c r="DP726" s="465"/>
      <c r="DQ726" s="457"/>
      <c r="DR726" s="464"/>
      <c r="DS726" s="466"/>
      <c r="DT726" s="465"/>
      <c r="DU726" s="457"/>
      <c r="DV726" s="464"/>
      <c r="DW726" s="466"/>
      <c r="DX726" s="465"/>
      <c r="DY726" s="457"/>
      <c r="DZ726" s="464"/>
      <c r="EA726" s="466"/>
      <c r="EB726" s="465"/>
      <c r="EC726" s="457"/>
      <c r="ED726" s="464"/>
      <c r="EE726" s="466"/>
      <c r="EF726" s="459"/>
      <c r="EG726" s="450"/>
      <c r="EH726" s="460">
        <f t="shared" si="345"/>
        <v>0</v>
      </c>
      <c r="EI726" s="460">
        <f t="shared" si="346"/>
        <v>0</v>
      </c>
      <c r="EJ726" s="458">
        <f t="shared" si="347"/>
        <v>0</v>
      </c>
      <c r="EK726" s="470">
        <f t="shared" si="348"/>
        <v>0</v>
      </c>
      <c r="EL726" s="470">
        <f t="shared" si="349"/>
        <v>0</v>
      </c>
      <c r="EM726" s="449">
        <f t="shared" si="350"/>
        <v>0</v>
      </c>
      <c r="EN726" s="460">
        <f t="shared" si="351"/>
        <v>0</v>
      </c>
      <c r="EO726" s="469">
        <f t="shared" si="352"/>
        <v>0</v>
      </c>
      <c r="EP726" s="471"/>
      <c r="EQ726" s="450"/>
      <c r="ER726" s="471"/>
      <c r="ES726" s="450"/>
      <c r="ET726" s="471"/>
      <c r="EU726" s="450"/>
      <c r="EV726" s="471"/>
      <c r="EW726" s="450"/>
      <c r="EX726" s="471"/>
      <c r="EY726" s="450"/>
      <c r="EZ726" s="471"/>
      <c r="FA726" s="450"/>
      <c r="FB726" s="471"/>
      <c r="FC726" s="450"/>
      <c r="FD726" s="471"/>
      <c r="FE726" s="450"/>
      <c r="FF726" s="471"/>
      <c r="FG726" s="450"/>
      <c r="FH726" s="472"/>
      <c r="FI726" s="450"/>
      <c r="FJ726" s="468">
        <f t="shared" si="353"/>
        <v>0</v>
      </c>
      <c r="FK726" s="469">
        <f t="shared" si="354"/>
        <v>0</v>
      </c>
      <c r="FL726" s="472"/>
      <c r="FM726" s="450"/>
      <c r="FN726" s="460">
        <f t="shared" si="355"/>
        <v>22</v>
      </c>
      <c r="FO726" s="469">
        <f t="shared" si="356"/>
        <v>21</v>
      </c>
    </row>
    <row r="727" spans="1:171" x14ac:dyDescent="0.2">
      <c r="A727" s="720" t="s">
        <v>743</v>
      </c>
      <c r="B727" s="672" t="s">
        <v>1197</v>
      </c>
      <c r="C727" s="721"/>
      <c r="D727" s="783" t="s">
        <v>954</v>
      </c>
      <c r="E727" s="784" t="s">
        <v>954</v>
      </c>
      <c r="F727" s="532">
        <v>18</v>
      </c>
      <c r="G727" s="627">
        <v>18</v>
      </c>
      <c r="H727" s="457"/>
      <c r="I727" s="450"/>
      <c r="J727" s="457"/>
      <c r="K727" s="450"/>
      <c r="L727" s="458">
        <f t="shared" si="333"/>
        <v>0</v>
      </c>
      <c r="M727" s="449">
        <f t="shared" si="334"/>
        <v>0</v>
      </c>
      <c r="N727" s="459"/>
      <c r="O727" s="459"/>
      <c r="P727" s="459"/>
      <c r="Q727" s="459"/>
      <c r="R727" s="460">
        <f t="shared" si="335"/>
        <v>0</v>
      </c>
      <c r="S727" s="461"/>
      <c r="T727" s="461"/>
      <c r="U727" s="461"/>
      <c r="V727" s="461"/>
      <c r="W727" s="462">
        <f t="shared" si="336"/>
        <v>0</v>
      </c>
      <c r="X727" s="463"/>
      <c r="Y727" s="457"/>
      <c r="Z727" s="464"/>
      <c r="AA727" s="464"/>
      <c r="AB727" s="465"/>
      <c r="AC727" s="457"/>
      <c r="AD727" s="464"/>
      <c r="AE727" s="466"/>
      <c r="AF727" s="465"/>
      <c r="AG727" s="457"/>
      <c r="AH727" s="464"/>
      <c r="AI727" s="466"/>
      <c r="AJ727" s="465"/>
      <c r="AK727" s="457"/>
      <c r="AL727" s="464"/>
      <c r="AM727" s="466"/>
      <c r="AN727" s="465"/>
      <c r="AO727" s="457"/>
      <c r="AP727" s="464"/>
      <c r="AQ727" s="464"/>
      <c r="AR727" s="460">
        <f t="shared" si="337"/>
        <v>0</v>
      </c>
      <c r="AS727" s="467">
        <f t="shared" si="338"/>
        <v>0</v>
      </c>
      <c r="AT727" s="447">
        <f t="shared" si="339"/>
        <v>0</v>
      </c>
      <c r="AU727" s="448">
        <f t="shared" si="340"/>
        <v>0</v>
      </c>
      <c r="AV727" s="457"/>
      <c r="AW727" s="450"/>
      <c r="AX727" s="463"/>
      <c r="AY727" s="457"/>
      <c r="AZ727" s="464"/>
      <c r="BA727" s="464"/>
      <c r="BB727" s="465"/>
      <c r="BC727" s="457"/>
      <c r="BD727" s="464"/>
      <c r="BE727" s="466"/>
      <c r="BF727" s="465"/>
      <c r="BG727" s="457"/>
      <c r="BH727" s="464"/>
      <c r="BI727" s="466"/>
      <c r="BJ727" s="465"/>
      <c r="BK727" s="457"/>
      <c r="BL727" s="464"/>
      <c r="BM727" s="466"/>
      <c r="BN727" s="465"/>
      <c r="BO727" s="457"/>
      <c r="BP727" s="464"/>
      <c r="BQ727" s="466"/>
      <c r="BR727" s="465"/>
      <c r="BS727" s="457"/>
      <c r="BT727" s="464"/>
      <c r="BU727" s="466"/>
      <c r="BV727" s="465"/>
      <c r="BW727" s="457"/>
      <c r="BX727" s="464"/>
      <c r="BY727" s="466"/>
      <c r="BZ727" s="465"/>
      <c r="CA727" s="457"/>
      <c r="CB727" s="464"/>
      <c r="CC727" s="466"/>
      <c r="CD727" s="465"/>
      <c r="CE727" s="457"/>
      <c r="CF727" s="464"/>
      <c r="CG727" s="466"/>
      <c r="CH727" s="465"/>
      <c r="CI727" s="457"/>
      <c r="CJ727" s="464"/>
      <c r="CK727" s="466"/>
      <c r="CL727" s="459"/>
      <c r="CM727" s="450"/>
      <c r="CN727" s="468">
        <f t="shared" si="341"/>
        <v>0</v>
      </c>
      <c r="CO727" s="468">
        <f t="shared" si="342"/>
        <v>0</v>
      </c>
      <c r="CP727" s="469">
        <f t="shared" si="343"/>
        <v>0</v>
      </c>
      <c r="CQ727" s="469">
        <f t="shared" si="344"/>
        <v>0</v>
      </c>
      <c r="CR727" s="463"/>
      <c r="CS727" s="457"/>
      <c r="CT727" s="464"/>
      <c r="CU727" s="464"/>
      <c r="CV727" s="465"/>
      <c r="CW727" s="457"/>
      <c r="CX727" s="464"/>
      <c r="CY727" s="466"/>
      <c r="CZ727" s="465"/>
      <c r="DA727" s="457"/>
      <c r="DB727" s="464"/>
      <c r="DC727" s="466"/>
      <c r="DD727" s="465"/>
      <c r="DE727" s="457"/>
      <c r="DF727" s="464"/>
      <c r="DG727" s="466"/>
      <c r="DH727" s="465"/>
      <c r="DI727" s="457"/>
      <c r="DJ727" s="464"/>
      <c r="DK727" s="466"/>
      <c r="DL727" s="465"/>
      <c r="DM727" s="457"/>
      <c r="DN727" s="464"/>
      <c r="DO727" s="466"/>
      <c r="DP727" s="465"/>
      <c r="DQ727" s="457"/>
      <c r="DR727" s="464"/>
      <c r="DS727" s="466"/>
      <c r="DT727" s="465"/>
      <c r="DU727" s="457"/>
      <c r="DV727" s="464"/>
      <c r="DW727" s="466"/>
      <c r="DX727" s="465"/>
      <c r="DY727" s="457"/>
      <c r="DZ727" s="464"/>
      <c r="EA727" s="466"/>
      <c r="EB727" s="465"/>
      <c r="EC727" s="457"/>
      <c r="ED727" s="464"/>
      <c r="EE727" s="466"/>
      <c r="EF727" s="459"/>
      <c r="EG727" s="450"/>
      <c r="EH727" s="460">
        <f t="shared" si="345"/>
        <v>0</v>
      </c>
      <c r="EI727" s="460">
        <f t="shared" si="346"/>
        <v>0</v>
      </c>
      <c r="EJ727" s="458">
        <f t="shared" si="347"/>
        <v>0</v>
      </c>
      <c r="EK727" s="470">
        <f t="shared" si="348"/>
        <v>0</v>
      </c>
      <c r="EL727" s="470">
        <f t="shared" si="349"/>
        <v>0</v>
      </c>
      <c r="EM727" s="449">
        <f t="shared" si="350"/>
        <v>0</v>
      </c>
      <c r="EN727" s="460">
        <f t="shared" si="351"/>
        <v>0</v>
      </c>
      <c r="EO727" s="469">
        <f t="shared" si="352"/>
        <v>0</v>
      </c>
      <c r="EP727" s="471"/>
      <c r="EQ727" s="450"/>
      <c r="ER727" s="471"/>
      <c r="ES727" s="450"/>
      <c r="ET727" s="471"/>
      <c r="EU727" s="450"/>
      <c r="EV727" s="471"/>
      <c r="EW727" s="450"/>
      <c r="EX727" s="471"/>
      <c r="EY727" s="450"/>
      <c r="EZ727" s="471"/>
      <c r="FA727" s="450"/>
      <c r="FB727" s="471"/>
      <c r="FC727" s="450"/>
      <c r="FD727" s="471"/>
      <c r="FE727" s="450"/>
      <c r="FF727" s="471"/>
      <c r="FG727" s="450"/>
      <c r="FH727" s="472"/>
      <c r="FI727" s="450"/>
      <c r="FJ727" s="468">
        <f t="shared" si="353"/>
        <v>0</v>
      </c>
      <c r="FK727" s="469">
        <f t="shared" si="354"/>
        <v>0</v>
      </c>
      <c r="FL727" s="472"/>
      <c r="FM727" s="450"/>
      <c r="FN727" s="460">
        <f t="shared" si="355"/>
        <v>18</v>
      </c>
      <c r="FO727" s="469">
        <f t="shared" si="356"/>
        <v>18</v>
      </c>
    </row>
  </sheetData>
  <sortState ref="A10:FO727">
    <sortCondition ref="A10:A727"/>
    <sortCondition ref="E10:E727"/>
    <sortCondition ref="B10:B727"/>
  </sortState>
  <mergeCells count="48">
    <mergeCell ref="EV7:EW7"/>
    <mergeCell ref="A2:E2"/>
    <mergeCell ref="F2:G6"/>
    <mergeCell ref="H2:I6"/>
    <mergeCell ref="J2:K6"/>
    <mergeCell ref="L2:M7"/>
    <mergeCell ref="A4:E4"/>
    <mergeCell ref="A5:E5"/>
    <mergeCell ref="F7:G7"/>
    <mergeCell ref="H7:I7"/>
    <mergeCell ref="J7:K7"/>
    <mergeCell ref="N2:R2"/>
    <mergeCell ref="S2:W2"/>
    <mergeCell ref="EF2:EG6"/>
    <mergeCell ref="EP2:FG2"/>
    <mergeCell ref="X5:AQ5"/>
    <mergeCell ref="X2:AQ2"/>
    <mergeCell ref="EV6:EW6"/>
    <mergeCell ref="EX6:EY6"/>
    <mergeCell ref="EZ6:FA6"/>
    <mergeCell ref="FB6:FC6"/>
    <mergeCell ref="AV7:AW7"/>
    <mergeCell ref="EF7:EG7"/>
    <mergeCell ref="EP7:EQ7"/>
    <mergeCell ref="ER7:ES7"/>
    <mergeCell ref="AV2:AW6"/>
    <mergeCell ref="AX2:CK2"/>
    <mergeCell ref="CL2:CM5"/>
    <mergeCell ref="CR2:EE2"/>
    <mergeCell ref="ET7:EU7"/>
    <mergeCell ref="CL6:CM7"/>
    <mergeCell ref="EP6:EQ6"/>
    <mergeCell ref="ER6:ES6"/>
    <mergeCell ref="ET6:EU6"/>
    <mergeCell ref="FL2:FM5"/>
    <mergeCell ref="FL6:FM7"/>
    <mergeCell ref="EX7:EY7"/>
    <mergeCell ref="EZ7:FA7"/>
    <mergeCell ref="FB7:FC7"/>
    <mergeCell ref="FD7:FE7"/>
    <mergeCell ref="FF7:FG7"/>
    <mergeCell ref="FB5:FC5"/>
    <mergeCell ref="FD5:FE5"/>
    <mergeCell ref="FF5:FG5"/>
    <mergeCell ref="FH6:FI7"/>
    <mergeCell ref="EX5:EY5"/>
    <mergeCell ref="FF6:FG6"/>
    <mergeCell ref="FD6:FE6"/>
  </mergeCells>
  <phoneticPr fontId="21" type="noConversion"/>
  <conditionalFormatting sqref="I10 G10 K10 AW10 CM10 EG10 EQ10 ES10 EU10 EW10 EY10 FA10 FC10 FE10 FG10 FI10 FM10 CM315:CM318 I617:I642 G617:G642 K617:K642 AW617:AW642 CM617:CM642 EG617:EG642 EQ617:EQ642 ES617:ES642 EU617:EU642 EW617:EW642 EY617:EY642 FA617:FA642 FC617:FC642 FE617:FE642 FG617:FG642 FI617:FI642 FM617:FM642 FM682:FM688 FI682:FI688 FG682:FG688 FE682:FE688 FC682:FC688 FA682:FA688 EY682:EY688 EW682:EW688 EU682:EU688 ES682:ES688 EQ682:EQ688 EG682:EG688 CM682:CM688 AW682:AW688 K682:K688 G682:G688 I682:I688 I91:I98 G91:G98 K91:K98 AW91:AW98 CM91:CM98 EG91:EG98 EQ91:EQ98 ES91:ES98 EU91:EU98 EW91:EW98 EY91:EY98 FA91:FA98 FC91:FC98 FE91:FE98 FG91:FG98 FI91:FI98 FM91:FM98 FM127:FM142 FI127:FI142 FG127:FG142 FE127:FE142 FC127:FC142 FA127:FA142 EY127:EY142 EW127:EW142 EU127:EU142 ES127:ES142 EQ127:EQ142 EG127:EG142 CM127:CM142 AW127:AW142 K127:K142 G127:G142 I127:I142 I369:I480 G369:G401 K369:K376 AW369:AW480 ES369:ES469 EU369:EU469 EY369:EY480 FC369:FC471 FE370:FE480 FG369:FG480 FM369:FM480 EG369:EG373 FA372:FA480 EQ370:EQ389 EW371:EW389 CM292:CM312 CM283 FI292:FI318 FI283 I292:I318 I283 G292:G318 G283 K292:K318 K283 AW292:AW318 AW283 ES292:ES318 ES283 EU292:EU318 EU283 EY292:EY318 EY283 FC292:FC318 FC283 FE292:FE318 FE283 FG292:FG318 FG283 FM292:FM318 FM283 EG292:EG318 EG283 FA292:FA318 FA283 EQ292:EQ318 EQ283 EW292:EW318 EW283 I181:I186 I160:I163 G181:G186 G160:G163 K181:K186 K160:K163 AW181:AW186 AW160:AW163 CM181:CM186 CM160:CM163 EG181:EG186 EG160:EG163 EQ181:EQ186 EQ160:EQ163 ES181:ES186 ES160:ES163 EU181:EU186 EU160:EU163 EW181:EW186 EW160:EW163 EY181:EY186 EY160:EY163 FA181:FA186 FA160:FA163 FC181:FC186 FC160:FC163 FE181:FE186 FE160:FE163 FG181:FG186 FG160:FG163 FI181:FI186 FI160:FI163 FM181:FM186 FM160:FM163 FM211:FM223 FI211:FI223 FG211:FG223 FE211:FE223 FC211:FC223 FA211:FA223 EY211:EY223 EW211:EW223 EU211:EU223 ES211:ES223 EQ211:EQ223 EG211:EG223 CM211:CM223 AW211:AW223 K211:K223 G211:G223 I211:I223">
    <cfRule type="expression" dxfId="169" priority="186">
      <formula>((G10-F10)/F10)&gt;0.05</formula>
    </cfRule>
  </conditionalFormatting>
  <conditionalFormatting sqref="I10 G10 K10 AW10 CM10 EG10 EQ10 ES10 EU10 EW10 EY10 FA10 FC10 FE10 FG10 FI10 FM10 CM315:CM318 I617:I642 G617:G642 K617:K642 AW617:AW642 CM617:CM642 EG617:EG642 EQ617:EQ642 ES617:ES642 EU617:EU642 EW617:EW642 EY617:EY642 FA617:FA642 FC617:FC642 FE617:FE642 FG617:FG642 FI617:FI642 FM617:FM642 FM682:FM688 FI682:FI688 FG682:FG688 FE682:FE688 FC682:FC688 FA682:FA688 EY682:EY688 EW682:EW688 EU682:EU688 ES682:ES688 EQ682:EQ688 EG682:EG688 CM682:CM688 AW682:AW688 K682:K688 G682:G688 I682:I688 I91:I98 G91:G98 K91:K98 AW91:AW98 CM91:CM98 EG91:EG98 EQ91:EQ98 ES91:ES98 EU91:EU98 EW91:EW98 EY91:EY98 FA91:FA98 FC91:FC98 FE91:FE98 FG91:FG98 FI91:FI98 FM91:FM98 FM127:FM142 FI127:FI142 FG127:FG142 FE127:FE142 FC127:FC142 FA127:FA142 EY127:EY142 EW127:EW142 EU127:EU142 ES127:ES142 EQ127:EQ142 EG127:EG142 CM127:CM142 AW127:AW142 K127:K142 G127:G142 I127:I142 I369:I480 G369:G401 K369:K376 AW369:AW480 ES369:ES469 EU369:EU469 EY369:EY480 FC369:FC471 FE370:FE480 FG369:FG480 FM369:FM480 EG369:EG373 FA372:FA480 EQ370:EQ389 EW371:EW389 CM292:CM312 CM283 FI292:FI318 FI283 I292:I318 I283 G292:G318 G283 K292:K318 K283 AW292:AW318 AW283 ES292:ES318 ES283 EU292:EU318 EU283 EY292:EY318 EY283 FC292:FC318 FC283 FE292:FE318 FE283 FG292:FG318 FG283 FM292:FM318 FM283 EG292:EG318 EG283 FA292:FA318 FA283 EQ292:EQ318 EQ283 EW292:EW318 EW283 I181:I186 I160:I163 G181:G186 G160:G163 K181:K186 K160:K163 AW181:AW186 AW160:AW163 CM181:CM186 CM160:CM163 EG181:EG186 EG160:EG163 EQ181:EQ186 EQ160:EQ163 ES181:ES186 ES160:ES163 EU181:EU186 EU160:EU163 EW181:EW186 EW160:EW163 EY181:EY186 EY160:EY163 FA181:FA186 FA160:FA163 FC181:FC186 FC160:FC163 FE181:FE186 FE160:FE163 FG181:FG186 FG160:FG163 FI181:FI186 FI160:FI163 FM181:FM186 FM160:FM163 FM211:FM223 FI211:FI223 FG211:FG223 FE211:FE223 FC211:FC223 FA211:FA223 EY211:EY223 EW211:EW223 EU211:EU223 ES211:ES223 EQ211:EQ223 EG211:EG223 CM211:CM223 AW211:AW223 K211:K223 G211:G223 I211:I223">
    <cfRule type="expression" dxfId="168" priority="185">
      <formula>AND(F10=0,(G10&gt;0))</formula>
    </cfRule>
  </conditionalFormatting>
  <conditionalFormatting sqref="I11:I90 G11:G90 K11:K90 AW11:AW90 CM11:CM90 EG11:EG90 EQ11:EQ90 ES11:ES90 EU11:EU90 EW11:EW90 EY11:EY90 FA11:FA90 FC11:FC90 FE11:FE90 FG11:FG90 FI11:FI90 FM11:FM90">
    <cfRule type="expression" dxfId="167" priority="180">
      <formula>((G11-F11)/F11)&gt;0.05</formula>
    </cfRule>
  </conditionalFormatting>
  <conditionalFormatting sqref="I11:I90 G11:G90 K11:K90 AW11:AW90 CM11:CM90 EG11:EG90 EQ11:EQ90 ES11:ES90 EU11:EU90 EW11:EW90 EY11:EY90 FA11:FA90 FC11:FC90 FE11:FE90 FG11:FG90 FI11:FI90 FM11:FM90">
    <cfRule type="expression" dxfId="166" priority="179">
      <formula>AND(F11=0,(G11&gt;0))</formula>
    </cfRule>
  </conditionalFormatting>
  <conditionalFormatting sqref="I143:I159 G143:G159 K143:K159 AW143:AW159 CM143:CM159 EG143:EG159 EQ143:EQ159 ES143:ES159 EU143:EU159 EW143:EW159 EY143:EY159 FA143:FA159 FC143:FC159 FE143:FE159 FG143:FG159 FI143:FI159 FM143:FM159">
    <cfRule type="expression" dxfId="165" priority="176">
      <formula>((G143-F143)/F143)&gt;0.05</formula>
    </cfRule>
  </conditionalFormatting>
  <conditionalFormatting sqref="I143:I159 G143:G159 K143:K159 AW143:AW159 CM143:CM159 EG143:EG159 EQ143:EQ159 ES143:ES159 EU143:EU159 EW143:EW159 EY143:EY159 FA143:FA159 FC143:FC159 FE143:FE159 FG143:FG159 FI143:FI159 FM143:FM159">
    <cfRule type="expression" dxfId="164" priority="175">
      <formula>AND(F143=0,(G143&gt;0))</formula>
    </cfRule>
  </conditionalFormatting>
  <conditionalFormatting sqref="I164:I175 G164:G175 K164:K175 AW164:AW175 CM164:CM175 EG164:EG175 EQ164:EQ175 ES164:ES175 EU164:EU175 EW164:EW175 EY164:EY175 FA164:FA175 FC164:FC175 FE164:FE175 FG164:FG175 FI164:FI175 FM164:FM175">
    <cfRule type="expression" dxfId="163" priority="174">
      <formula>((G164-F164)/F164)&gt;0.05</formula>
    </cfRule>
  </conditionalFormatting>
  <conditionalFormatting sqref="I164:I175 G164:G175 K164:K175 AW164:AW175 CM164:CM175 EG164:EG175 EQ164:EQ175 ES164:ES175 EU164:EU175 EW164:EW175 EY164:EY175 FA164:FA175 FC164:FC175 FE164:FE175 FG164:FG175 FI164:FI175 FM164:FM175">
    <cfRule type="expression" dxfId="162" priority="173">
      <formula>AND(F164=0,(G164&gt;0))</formula>
    </cfRule>
  </conditionalFormatting>
  <conditionalFormatting sqref="I176:I180 G176:G180 K176:K180 AW176:AW180 CM176:CM180 EG176:EG180 EQ176:EQ180 ES176:ES180 EU176:EU180 EW176:EW180 EY176:EY180 FA176:FA180 FC176:FC180 FE176:FE180 FG176:FG180 FI176:FI180 FM176:FM180">
    <cfRule type="expression" dxfId="161" priority="172">
      <formula>((G176-F176)/F176)&gt;0.05</formula>
    </cfRule>
  </conditionalFormatting>
  <conditionalFormatting sqref="I176:I180 G176:G180 K176:K180 AW176:AW180 CM176:CM180 EG176:EG180 EQ176:EQ180 ES176:ES180 EU176:EU180 EW176:EW180 EY176:EY180 FA176:FA180 FC176:FC180 FE176:FE180 FG176:FG180 FI176:FI180 FM176:FM180">
    <cfRule type="expression" dxfId="160" priority="171">
      <formula>AND(F176=0,(G176&gt;0))</formula>
    </cfRule>
  </conditionalFormatting>
  <conditionalFormatting sqref="I224:I232 G224:G232 K224:K232 AW224:AW232 CM224:CM232 EG224:EG232 EQ224:EQ232 ES224:ES232 EU224:EU232 EW224:EW232 EY224:EY232 FA224:FA232 FC224:FC232 FE224:FE232 FG224:FG232 FI224:FI232 FM224:FM232">
    <cfRule type="expression" dxfId="159" priority="168">
      <formula>((G224-F224)/F224)&gt;0.05</formula>
    </cfRule>
  </conditionalFormatting>
  <conditionalFormatting sqref="I224:I232 G224:G232 K224:K232 AW224:AW232 CM224:CM232 EG224:EG232 EQ224:EQ232 ES224:ES232 EU224:EU232 EW224:EW232 EY224:EY232 FA224:FA232 FC224:FC232 FE224:FE232 FG224:FG232 FI224:FI232 FM224:FM232">
    <cfRule type="expression" dxfId="158" priority="167">
      <formula>AND(F224=0,(G224&gt;0))</formula>
    </cfRule>
  </conditionalFormatting>
  <conditionalFormatting sqref="I233:I267 G233:G267 K233:K267 AW233:AW267 CM233:CM267 EG233:EG267 EQ233:EQ267 ES233:ES267 EU233:EU267 EW233:EW267 EY233:EY267 FA233:FA267 FC233:FC267 FE233:FE267 FG233:FG267 FI233:FI267 FM233:FM267">
    <cfRule type="expression" dxfId="157" priority="166">
      <formula>((G233-F233)/F233)&gt;0.05</formula>
    </cfRule>
  </conditionalFormatting>
  <conditionalFormatting sqref="I233:I267 G233:G267 K233:K267 AW233:AW267 CM233:CM267 EG233:EG267 EQ233:EQ267 ES233:ES267 EU233:EU267 EW233:EW267 EY233:EY267 FA233:FA267 FC233:FC267 FE233:FE267 FG233:FG267 FI233:FI267 FM233:FM267">
    <cfRule type="expression" dxfId="156" priority="165">
      <formula>AND(F233=0,(G233&gt;0))</formula>
    </cfRule>
  </conditionalFormatting>
  <conditionalFormatting sqref="I268:I281 G268:G281 K268:K281 AW268:AW281 CM268:CM281 EG268:EG281 EQ268:EQ281 ES268:ES281 EU268:EU281 EW268:EW281 EY268:EY281 FA268:FA281 FC268:FC281 FE268:FE281 FG268:FG281 FI268:FI281 FM268:FM281 FM284:FM291 FI284:FI291 FG284:FG291 FE284:FE291 FC284:FC291 FA284:FA291 EY284:EY291 EW284:EW291 EU284:EU291 ES284:ES291 EQ284:EQ291 EG284:EG291 CM284:CM291 AW284:AW291 K284:K291 G284:G291 I284:I291">
    <cfRule type="expression" dxfId="155" priority="164">
      <formula>((G268-F268)/F268)&gt;0.05</formula>
    </cfRule>
  </conditionalFormatting>
  <conditionalFormatting sqref="I268:I281 G268:G281 K268:K281 AW268:AW281 CM268:CM281 EG268:EG281 EQ268:EQ281 ES268:ES281 EU268:EU281 EW268:EW281 EY268:EY281 FA268:FA281 FC268:FC281 FE268:FE281 FG268:FG281 FI268:FI281 FM268:FM281 FM284:FM291 FI284:FI291 FG284:FG291 FE284:FE291 FC284:FC291 FA284:FA291 EY284:EY291 EW284:EW291 EU284:EU291 ES284:ES291 EQ284:EQ291 EG284:EG291 CM284:CM291 AW284:AW291 K284:K291 G284:G291 I284:I291">
    <cfRule type="expression" dxfId="154" priority="163">
      <formula>AND(F268=0,(G268&gt;0))</formula>
    </cfRule>
  </conditionalFormatting>
  <conditionalFormatting sqref="I319:I348 G319:G368 K319:K368 AW319:AW368 CM319:CM368 EG319:EG368 EQ319:EQ368 ES319:ES368 EU319:EU368 EW319:EW368 EY319:EY368 FA319:FA368 FC319:FC368 FE319:FE368 FG319:FG368 FI319:FI368 FM319:FM368 I350:I368">
    <cfRule type="expression" dxfId="153" priority="160">
      <formula>((G319-F319)/F319)&gt;0.05</formula>
    </cfRule>
  </conditionalFormatting>
  <conditionalFormatting sqref="I319:I348 G319:G368 K319:K368 AW319:AW368 CM319:CM368 EG319:EG368 EQ319:EQ368 ES319:ES368 EU319:EU368 EW319:EW368 EY319:EY368 FA319:FA368 FC319:FC368 FE319:FE368 FG319:FG368 FI319:FI368 FM319:FM368 I350:I368">
    <cfRule type="expression" dxfId="152" priority="159">
      <formula>AND(F319=0,(G319&gt;0))</formula>
    </cfRule>
  </conditionalFormatting>
  <conditionalFormatting sqref="CM397:CM469 EG376:EG480 EQ369 EW369:EW370 FA369:FA370 FI369:FI371 K380:K382 K385:K401 K470:K472 G470:G480 K475:K480 CM478:CM480 EQ390:EQ480 ES478:ES480 EU475:EU480 EW472:EW480 EW390:EW469 FC473:FC480 FI378:FI389 FI391:FI470 FI478:FI480">
    <cfRule type="expression" dxfId="151" priority="156">
      <formula>((G369-F369)/F369)&gt;0.05</formula>
    </cfRule>
  </conditionalFormatting>
  <conditionalFormatting sqref="CM397:CM469 EG376:EG480 EQ369 EW369:EW370 FA369:FA370 FI369:FI371 K380:K382 K385:K401 K470:K472 G470:G480 K475:K480 CM478:CM480 EQ390:EQ480 ES478:ES480 EU475:EU480 EW472:EW480 EW390:EW469 FC473:FC480 FI378:FI389 FI391:FI470 FI478:FI480">
    <cfRule type="expression" dxfId="150" priority="155">
      <formula>AND(F369=0,(G369&gt;0))</formula>
    </cfRule>
  </conditionalFormatting>
  <conditionalFormatting sqref="K377:K379">
    <cfRule type="expression" dxfId="149" priority="154">
      <formula>((K377-J377)/J377)&gt;0.05</formula>
    </cfRule>
  </conditionalFormatting>
  <conditionalFormatting sqref="K377:K379">
    <cfRule type="expression" dxfId="148" priority="153">
      <formula>AND(J377=0,(K377&gt;0))</formula>
    </cfRule>
  </conditionalFormatting>
  <conditionalFormatting sqref="K383:K384">
    <cfRule type="expression" dxfId="147" priority="152">
      <formula>((K383-J383)/J383)&gt;0.05</formula>
    </cfRule>
  </conditionalFormatting>
  <conditionalFormatting sqref="K383:K384">
    <cfRule type="expression" dxfId="146" priority="151">
      <formula>AND(J383=0,(K383&gt;0))</formula>
    </cfRule>
  </conditionalFormatting>
  <conditionalFormatting sqref="K402:K469">
    <cfRule type="expression" dxfId="145" priority="150">
      <formula>((K402-J402)/J402)&gt;0.05</formula>
    </cfRule>
  </conditionalFormatting>
  <conditionalFormatting sqref="K402:K469">
    <cfRule type="expression" dxfId="144" priority="149">
      <formula>AND(J402=0,(K402&gt;0))</formula>
    </cfRule>
  </conditionalFormatting>
  <conditionalFormatting sqref="G402:G469">
    <cfRule type="expression" dxfId="143" priority="148">
      <formula>((G402-F402)/F402)&gt;0.05</formula>
    </cfRule>
  </conditionalFormatting>
  <conditionalFormatting sqref="G402:G469">
    <cfRule type="expression" dxfId="142" priority="147">
      <formula>AND(F402=0,(G402&gt;0))</formula>
    </cfRule>
  </conditionalFormatting>
  <conditionalFormatting sqref="K474">
    <cfRule type="expression" dxfId="141" priority="145">
      <formula>((K474-J470)/J470)&gt;0.05</formula>
    </cfRule>
  </conditionalFormatting>
  <conditionalFormatting sqref="K474">
    <cfRule type="expression" dxfId="140" priority="146">
      <formula>AND(J470=0,(K474&gt;0))</formula>
    </cfRule>
  </conditionalFormatting>
  <conditionalFormatting sqref="K473">
    <cfRule type="expression" dxfId="139" priority="144">
      <formula>((K473-J473)/J473)&gt;0.05</formula>
    </cfRule>
  </conditionalFormatting>
  <conditionalFormatting sqref="K473">
    <cfRule type="expression" dxfId="138" priority="143">
      <formula>AND(J473=0,(K473&gt;0))</formula>
    </cfRule>
  </conditionalFormatting>
  <conditionalFormatting sqref="CM369">
    <cfRule type="expression" dxfId="137" priority="140">
      <formula>((CM369-CL369)/CL369)&gt;0.05</formula>
    </cfRule>
  </conditionalFormatting>
  <conditionalFormatting sqref="CM369">
    <cfRule type="expression" dxfId="136" priority="139">
      <formula>AND(CL369=0,(CM369&gt;0))</formula>
    </cfRule>
  </conditionalFormatting>
  <conditionalFormatting sqref="CM370:CM396">
    <cfRule type="expression" dxfId="135" priority="141">
      <formula>((CM370-CL371)/CL371)&gt;0.05</formula>
    </cfRule>
  </conditionalFormatting>
  <conditionalFormatting sqref="CM370:CM396">
    <cfRule type="expression" dxfId="134" priority="142">
      <formula>AND(CL371=0,(CM370&gt;0))</formula>
    </cfRule>
  </conditionalFormatting>
  <conditionalFormatting sqref="CM474:CM477 CM470:CM472">
    <cfRule type="expression" dxfId="133" priority="138">
      <formula>((CM470-CL470)/CL470)&gt;0.05</formula>
    </cfRule>
  </conditionalFormatting>
  <conditionalFormatting sqref="CM474:CM477 CM470:CM472">
    <cfRule type="expression" dxfId="132" priority="137">
      <formula>AND(CL470=0,(CM470&gt;0))</formula>
    </cfRule>
  </conditionalFormatting>
  <conditionalFormatting sqref="CM473">
    <cfRule type="expression" dxfId="131" priority="136">
      <formula>((CM473-CL473)/CL473)&gt;0.05</formula>
    </cfRule>
  </conditionalFormatting>
  <conditionalFormatting sqref="CM473">
    <cfRule type="expression" dxfId="130" priority="135">
      <formula>AND(CL473=0,(CM473&gt;0))</formula>
    </cfRule>
  </conditionalFormatting>
  <conditionalFormatting sqref="EG375">
    <cfRule type="expression" dxfId="129" priority="157">
      <formula>AND(EF374=0,(EG375&gt;0))</formula>
    </cfRule>
  </conditionalFormatting>
  <conditionalFormatting sqref="EG375">
    <cfRule type="expression" dxfId="128" priority="158">
      <formula>((EG375-EF374)/EF374)&gt;0.05</formula>
    </cfRule>
  </conditionalFormatting>
  <conditionalFormatting sqref="ES474:ES477 ES470:ES472">
    <cfRule type="expression" dxfId="127" priority="132">
      <formula>((ES470-ER470)/ER470)&gt;0.05</formula>
    </cfRule>
  </conditionalFormatting>
  <conditionalFormatting sqref="ES474:ES477 ES470:ES472">
    <cfRule type="expression" dxfId="126" priority="131">
      <formula>AND(ER470=0,(ES470&gt;0))</formula>
    </cfRule>
  </conditionalFormatting>
  <conditionalFormatting sqref="ES473">
    <cfRule type="expression" dxfId="125" priority="130">
      <formula>((ES473-ER473)/ER473)&gt;0.05</formula>
    </cfRule>
  </conditionalFormatting>
  <conditionalFormatting sqref="ES473">
    <cfRule type="expression" dxfId="124" priority="129">
      <formula>AND(ER473=0,(ES473&gt;0))</formula>
    </cfRule>
  </conditionalFormatting>
  <conditionalFormatting sqref="EU474 EU470:EU472">
    <cfRule type="expression" dxfId="123" priority="128">
      <formula>((EU470-ET470)/ET470)&gt;0.05</formula>
    </cfRule>
  </conditionalFormatting>
  <conditionalFormatting sqref="EU474 EU470:EU472">
    <cfRule type="expression" dxfId="122" priority="127">
      <formula>AND(ET470=0,(EU470&gt;0))</formula>
    </cfRule>
  </conditionalFormatting>
  <conditionalFormatting sqref="EU473">
    <cfRule type="expression" dxfId="121" priority="126">
      <formula>((EU473-ET473)/ET473)&gt;0.05</formula>
    </cfRule>
  </conditionalFormatting>
  <conditionalFormatting sqref="EU473">
    <cfRule type="expression" dxfId="120" priority="125">
      <formula>AND(ET473=0,(EU473&gt;0))</formula>
    </cfRule>
  </conditionalFormatting>
  <conditionalFormatting sqref="EW470:EW471">
    <cfRule type="expression" dxfId="119" priority="124">
      <formula>((EW470-EV470)/EV470)&gt;0.05</formula>
    </cfRule>
  </conditionalFormatting>
  <conditionalFormatting sqref="EW470:EW471">
    <cfRule type="expression" dxfId="118" priority="123">
      <formula>AND(EV470=0,(EW470&gt;0))</formula>
    </cfRule>
  </conditionalFormatting>
  <conditionalFormatting sqref="FA371">
    <cfRule type="expression" dxfId="117" priority="120">
      <formula>((FA371-EZ371)/EZ371)&gt;0.05</formula>
    </cfRule>
  </conditionalFormatting>
  <conditionalFormatting sqref="FA371">
    <cfRule type="expression" dxfId="116" priority="119">
      <formula>AND(EZ371=0,(FA371&gt;0))</formula>
    </cfRule>
  </conditionalFormatting>
  <conditionalFormatting sqref="FC472">
    <cfRule type="expression" dxfId="115" priority="118">
      <formula>((FC472-FB472)/FB472)&gt;0.05</formula>
    </cfRule>
  </conditionalFormatting>
  <conditionalFormatting sqref="FC472">
    <cfRule type="expression" dxfId="114" priority="117">
      <formula>AND(FB472=0,(FC472&gt;0))</formula>
    </cfRule>
  </conditionalFormatting>
  <conditionalFormatting sqref="FE369">
    <cfRule type="expression" dxfId="113" priority="116">
      <formula>((FE369-FD369)/FD369)&gt;0.05</formula>
    </cfRule>
  </conditionalFormatting>
  <conditionalFormatting sqref="FE369">
    <cfRule type="expression" dxfId="112" priority="115">
      <formula>AND(FD369=0,(FE369&gt;0))</formula>
    </cfRule>
  </conditionalFormatting>
  <conditionalFormatting sqref="FI373:FI375">
    <cfRule type="expression" dxfId="111" priority="111">
      <formula>((FI373-FH372)/FH372)&gt;0.05</formula>
    </cfRule>
  </conditionalFormatting>
  <conditionalFormatting sqref="FI373:FI375">
    <cfRule type="expression" dxfId="110" priority="112">
      <formula>AND(FH372=0,(FI373&gt;0))</formula>
    </cfRule>
  </conditionalFormatting>
  <conditionalFormatting sqref="FI377">
    <cfRule type="expression" dxfId="109" priority="113">
      <formula>((FI377-FH375)/FH375)&gt;0.05</formula>
    </cfRule>
  </conditionalFormatting>
  <conditionalFormatting sqref="FI377">
    <cfRule type="expression" dxfId="108" priority="114">
      <formula>AND(FH375=0,(FI377&gt;0))</formula>
    </cfRule>
  </conditionalFormatting>
  <conditionalFormatting sqref="FI390">
    <cfRule type="expression" dxfId="107" priority="108">
      <formula>((FI390-FH390)/FH390)&gt;0.05</formula>
    </cfRule>
  </conditionalFormatting>
  <conditionalFormatting sqref="FI390">
    <cfRule type="expression" dxfId="106" priority="107">
      <formula>AND(FH390=0,(FI390&gt;0))</formula>
    </cfRule>
  </conditionalFormatting>
  <conditionalFormatting sqref="FI474:FI477 FI471:FI472">
    <cfRule type="expression" dxfId="105" priority="106">
      <formula>((FI471-FH471)/FH471)&gt;0.05</formula>
    </cfRule>
  </conditionalFormatting>
  <conditionalFormatting sqref="FI474:FI477 FI471:FI472">
    <cfRule type="expression" dxfId="104" priority="105">
      <formula>AND(FH471=0,(FI471&gt;0))</formula>
    </cfRule>
  </conditionalFormatting>
  <conditionalFormatting sqref="FI473">
    <cfRule type="expression" dxfId="103" priority="104">
      <formula>((FI473-FH473)/FH473)&gt;0.05</formula>
    </cfRule>
  </conditionalFormatting>
  <conditionalFormatting sqref="FI473">
    <cfRule type="expression" dxfId="102" priority="103">
      <formula>AND(FH473=0,(FI473&gt;0))</formula>
    </cfRule>
  </conditionalFormatting>
  <conditionalFormatting sqref="I481:I513 G481:G513 AW481:AW513 CM481:CM513 EG481:EG513 EQ481:EQ513 ES481:ES513 EU481:EU513 EW481:EW513 EY481:EY513 FA481:FA513 FC481:FC513 FE481:FE513 FG481:FG513 FI481:FI513 FM481:FM513 K481:K513">
    <cfRule type="expression" dxfId="101" priority="102">
      <formula>((G481-F481)/F481)&gt;0.05</formula>
    </cfRule>
  </conditionalFormatting>
  <conditionalFormatting sqref="I481:I513 G481:G513 AW481:AW513 CM481:CM513 EG481:EG513 EQ481:EQ513 ES481:ES513 EU481:EU513 EW481:EW513 EY481:EY513 FA481:FA513 FC481:FC513 FE481:FE513 FG481:FG513 FI481:FI513 FM481:FM513 K481:K513">
    <cfRule type="expression" dxfId="100" priority="101">
      <formula>AND(F481=0,(G481&gt;0))</formula>
    </cfRule>
  </conditionalFormatting>
  <conditionalFormatting sqref="I514:I521 AW514:AW521 EG514:EG521 EY514:EY521 FE514:FE521 FG514:FG521 FM514:FM521 G514:G521 K516:K521 CM519:CM521 EQ514:EQ521 ES519:ES521 EU516:EU521 EW514:EW521 FA514:FA521 FC514:FC521 FI519:FI521">
    <cfRule type="expression" dxfId="99" priority="98">
      <formula>((G514-F514)/F514)&gt;0.05</formula>
    </cfRule>
  </conditionalFormatting>
  <conditionalFormatting sqref="I514:I521 AW514:AW521 EG514:EG521 EY514:EY521 FE514:FE521 FG514:FG521 FM514:FM521 G514:G521 K516:K521 CM519:CM521 EQ514:EQ521 ES519:ES521 EU516:EU521 EW514:EW521 FA514:FA521 FC514:FC521 FI519:FI521">
    <cfRule type="expression" dxfId="98" priority="97">
      <formula>AND(F514=0,(G514&gt;0))</formula>
    </cfRule>
  </conditionalFormatting>
  <conditionalFormatting sqref="K515">
    <cfRule type="expression" dxfId="97" priority="95">
      <formula>((K515-J511)/J511)&gt;0.05</formula>
    </cfRule>
  </conditionalFormatting>
  <conditionalFormatting sqref="K515">
    <cfRule type="expression" dxfId="96" priority="96">
      <formula>AND(J511=0,(K515&gt;0))</formula>
    </cfRule>
  </conditionalFormatting>
  <conditionalFormatting sqref="K514">
    <cfRule type="expression" dxfId="95" priority="94">
      <formula>((K514-J514)/J514)&gt;0.05</formula>
    </cfRule>
  </conditionalFormatting>
  <conditionalFormatting sqref="K514">
    <cfRule type="expression" dxfId="94" priority="93">
      <formula>AND(J514=0,(K514&gt;0))</formula>
    </cfRule>
  </conditionalFormatting>
  <conditionalFormatting sqref="CM515:CM518">
    <cfRule type="expression" dxfId="93" priority="92">
      <formula>((CM515-CL515)/CL515)&gt;0.05</formula>
    </cfRule>
  </conditionalFormatting>
  <conditionalFormatting sqref="CM515:CM518">
    <cfRule type="expression" dxfId="92" priority="91">
      <formula>AND(CL515=0,(CM515&gt;0))</formula>
    </cfRule>
  </conditionalFormatting>
  <conditionalFormatting sqref="CM514">
    <cfRule type="expression" dxfId="91" priority="90">
      <formula>((CM514-CL514)/CL514)&gt;0.05</formula>
    </cfRule>
  </conditionalFormatting>
  <conditionalFormatting sqref="CM514">
    <cfRule type="expression" dxfId="90" priority="89">
      <formula>AND(CL514=0,(CM514&gt;0))</formula>
    </cfRule>
  </conditionalFormatting>
  <conditionalFormatting sqref="ES515:ES518">
    <cfRule type="expression" dxfId="89" priority="88">
      <formula>((ES515-ER515)/ER515)&gt;0.05</formula>
    </cfRule>
  </conditionalFormatting>
  <conditionalFormatting sqref="ES515:ES518">
    <cfRule type="expression" dxfId="88" priority="87">
      <formula>AND(ER515=0,(ES515&gt;0))</formula>
    </cfRule>
  </conditionalFormatting>
  <conditionalFormatting sqref="ES514">
    <cfRule type="expression" dxfId="87" priority="86">
      <formula>((ES514-ER514)/ER514)&gt;0.05</formula>
    </cfRule>
  </conditionalFormatting>
  <conditionalFormatting sqref="ES514">
    <cfRule type="expression" dxfId="86" priority="85">
      <formula>AND(ER514=0,(ES514&gt;0))</formula>
    </cfRule>
  </conditionalFormatting>
  <conditionalFormatting sqref="EU515">
    <cfRule type="expression" dxfId="85" priority="84">
      <formula>((EU515-ET515)/ET515)&gt;0.05</formula>
    </cfRule>
  </conditionalFormatting>
  <conditionalFormatting sqref="EU515">
    <cfRule type="expression" dxfId="84" priority="83">
      <formula>AND(ET515=0,(EU515&gt;0))</formula>
    </cfRule>
  </conditionalFormatting>
  <conditionalFormatting sqref="EU514">
    <cfRule type="expression" dxfId="83" priority="82">
      <formula>((EU514-ET514)/ET514)&gt;0.05</formula>
    </cfRule>
  </conditionalFormatting>
  <conditionalFormatting sqref="EU514">
    <cfRule type="expression" dxfId="82" priority="81">
      <formula>AND(ET514=0,(EU514&gt;0))</formula>
    </cfRule>
  </conditionalFormatting>
  <conditionalFormatting sqref="FI515:FI518">
    <cfRule type="expression" dxfId="81" priority="80">
      <formula>((FI515-FH515)/FH515)&gt;0.05</formula>
    </cfRule>
  </conditionalFormatting>
  <conditionalFormatting sqref="FI515:FI518">
    <cfRule type="expression" dxfId="80" priority="79">
      <formula>AND(FH515=0,(FI515&gt;0))</formula>
    </cfRule>
  </conditionalFormatting>
  <conditionalFormatting sqref="FI514">
    <cfRule type="expression" dxfId="79" priority="78">
      <formula>((FI514-FH514)/FH514)&gt;0.05</formula>
    </cfRule>
  </conditionalFormatting>
  <conditionalFormatting sqref="FI514">
    <cfRule type="expression" dxfId="78" priority="77">
      <formula>AND(FH514=0,(FI514&gt;0))</formula>
    </cfRule>
  </conditionalFormatting>
  <conditionalFormatting sqref="I522:I554 G522:G554 AW522:AW554 CM522:CM554 EG522:EG554 EQ522:EQ554 ES522:ES554 EU522:EU554 EW522:EW554 EY522:EY554 FA522:FA554 FC522:FC554 FE522:FE554 FG522:FG554 FI522:FI554 FM522:FM554 K522:K554">
    <cfRule type="expression" dxfId="77" priority="76">
      <formula>((G522-F522)/F522)&gt;0.05</formula>
    </cfRule>
  </conditionalFormatting>
  <conditionalFormatting sqref="I522:I554 G522:G554 AW522:AW554 CM522:CM554 EG522:EG554 EQ522:EQ554 ES522:ES554 EU522:EU554 EW522:EW554 EY522:EY554 FA522:FA554 FC522:FC554 FE522:FE554 FG522:FG554 FI522:FI554 FM522:FM554 K522:K554">
    <cfRule type="expression" dxfId="76" priority="75">
      <formula>AND(F522=0,(G522&gt;0))</formula>
    </cfRule>
  </conditionalFormatting>
  <conditionalFormatting sqref="I555:I562 AW555:AW562 EG555:EG562 EY555:EY562 FE555:FE562 FG555:FG562 FM555:FM562 G555:G562 K557:K562 CM560:CM562 EQ555:EQ562 ES560:ES562 EU557:EU562 EW555:EW562 FA555:FA562 FC555:FC562 FI560:FI562">
    <cfRule type="expression" dxfId="75" priority="74">
      <formula>((G555-F555)/F555)&gt;0.05</formula>
    </cfRule>
  </conditionalFormatting>
  <conditionalFormatting sqref="I555:I562 AW555:AW562 EG555:EG562 EY555:EY562 FE555:FE562 FG555:FG562 FM555:FM562 G555:G562 K557:K562 CM560:CM562 EQ555:EQ562 ES560:ES562 EU557:EU562 EW555:EW562 FA555:FA562 FC555:FC562 FI560:FI562">
    <cfRule type="expression" dxfId="74" priority="73">
      <formula>AND(F555=0,(G555&gt;0))</formula>
    </cfRule>
  </conditionalFormatting>
  <conditionalFormatting sqref="K556">
    <cfRule type="expression" dxfId="73" priority="71">
      <formula>((K556-J552)/J552)&gt;0.05</formula>
    </cfRule>
  </conditionalFormatting>
  <conditionalFormatting sqref="K556">
    <cfRule type="expression" dxfId="72" priority="72">
      <formula>AND(J552=0,(K556&gt;0))</formula>
    </cfRule>
  </conditionalFormatting>
  <conditionalFormatting sqref="K555">
    <cfRule type="expression" dxfId="71" priority="70">
      <formula>((K555-J555)/J555)&gt;0.05</formula>
    </cfRule>
  </conditionalFormatting>
  <conditionalFormatting sqref="K555">
    <cfRule type="expression" dxfId="70" priority="69">
      <formula>AND(J555=0,(K555&gt;0))</formula>
    </cfRule>
  </conditionalFormatting>
  <conditionalFormatting sqref="CM556:CM559">
    <cfRule type="expression" dxfId="69" priority="68">
      <formula>((CM556-CL556)/CL556)&gt;0.05</formula>
    </cfRule>
  </conditionalFormatting>
  <conditionalFormatting sqref="CM556:CM559">
    <cfRule type="expression" dxfId="68" priority="67">
      <formula>AND(CL556=0,(CM556&gt;0))</formula>
    </cfRule>
  </conditionalFormatting>
  <conditionalFormatting sqref="CM555">
    <cfRule type="expression" dxfId="67" priority="66">
      <formula>((CM555-CL555)/CL555)&gt;0.05</formula>
    </cfRule>
  </conditionalFormatting>
  <conditionalFormatting sqref="CM555">
    <cfRule type="expression" dxfId="66" priority="65">
      <formula>AND(CL555=0,(CM555&gt;0))</formula>
    </cfRule>
  </conditionalFormatting>
  <conditionalFormatting sqref="ES556:ES559">
    <cfRule type="expression" dxfId="65" priority="64">
      <formula>((ES556-ER556)/ER556)&gt;0.05</formula>
    </cfRule>
  </conditionalFormatting>
  <conditionalFormatting sqref="ES556:ES559">
    <cfRule type="expression" dxfId="64" priority="63">
      <formula>AND(ER556=0,(ES556&gt;0))</formula>
    </cfRule>
  </conditionalFormatting>
  <conditionalFormatting sqref="ES555">
    <cfRule type="expression" dxfId="63" priority="62">
      <formula>((ES555-ER555)/ER555)&gt;0.05</formula>
    </cfRule>
  </conditionalFormatting>
  <conditionalFormatting sqref="ES555">
    <cfRule type="expression" dxfId="62" priority="61">
      <formula>AND(ER555=0,(ES555&gt;0))</formula>
    </cfRule>
  </conditionalFormatting>
  <conditionalFormatting sqref="EU556">
    <cfRule type="expression" dxfId="61" priority="60">
      <formula>((EU556-ET556)/ET556)&gt;0.05</formula>
    </cfRule>
  </conditionalFormatting>
  <conditionalFormatting sqref="EU556">
    <cfRule type="expression" dxfId="60" priority="59">
      <formula>AND(ET556=0,(EU556&gt;0))</formula>
    </cfRule>
  </conditionalFormatting>
  <conditionalFormatting sqref="EU555">
    <cfRule type="expression" dxfId="59" priority="58">
      <formula>((EU555-ET555)/ET555)&gt;0.05</formula>
    </cfRule>
  </conditionalFormatting>
  <conditionalFormatting sqref="EU555">
    <cfRule type="expression" dxfId="58" priority="57">
      <formula>AND(ET555=0,(EU555&gt;0))</formula>
    </cfRule>
  </conditionalFormatting>
  <conditionalFormatting sqref="FI556:FI559">
    <cfRule type="expression" dxfId="57" priority="56">
      <formula>((FI556-FH556)/FH556)&gt;0.05</formula>
    </cfRule>
  </conditionalFormatting>
  <conditionalFormatting sqref="FI556:FI559">
    <cfRule type="expression" dxfId="56" priority="55">
      <formula>AND(FH556=0,(FI556&gt;0))</formula>
    </cfRule>
  </conditionalFormatting>
  <conditionalFormatting sqref="FI555">
    <cfRule type="expression" dxfId="55" priority="54">
      <formula>((FI555-FH555)/FH555)&gt;0.05</formula>
    </cfRule>
  </conditionalFormatting>
  <conditionalFormatting sqref="FI555">
    <cfRule type="expression" dxfId="54" priority="53">
      <formula>AND(FH555=0,(FI555&gt;0))</formula>
    </cfRule>
  </conditionalFormatting>
  <conditionalFormatting sqref="I563:I571 G563:G571 AW563:AW571 CM563:CM571 EG563:EG571 EQ563:EQ571 ES563:ES571 EU563:EU571 EW563:EW571 EY563:EY571 FA563:FA571 FC563:FC571 FE563:FE571 FG563:FG571 FI563:FI571 FM563:FM571 K563:K571">
    <cfRule type="expression" dxfId="53" priority="52">
      <formula>((G563-F563)/F563)&gt;0.05</formula>
    </cfRule>
  </conditionalFormatting>
  <conditionalFormatting sqref="I563:I571 G563:G571 AW563:AW571 CM563:CM571 EG563:EG571 EQ563:EQ571 ES563:ES571 EU563:EU571 EW563:EW571 EY563:EY571 FA563:FA571 FC563:FC571 FE563:FE571 FG563:FG571 FI563:FI571 FM563:FM571 K563:K571">
    <cfRule type="expression" dxfId="52" priority="51">
      <formula>AND(F563=0,(G563&gt;0))</formula>
    </cfRule>
  </conditionalFormatting>
  <conditionalFormatting sqref="I572:I582 G572:G582 K572:K582 AW572:AW582 CM572:CM582 EG572:EG582 EQ572:EQ582 ES572:ES582 EU572:EU582 EW572:EW582 EY572:EY582 FA572:FA582 FC572:FC582 FE572:FE582 FG572:FG582 FI572:FI582 FM572:FM582">
    <cfRule type="expression" dxfId="51" priority="50">
      <formula>((G572-F572)/F572)&gt;0.05</formula>
    </cfRule>
  </conditionalFormatting>
  <conditionalFormatting sqref="I572:I582 G572:G582 K572:K582 AW572:AW582 CM572:CM582 EG572:EG582 EQ572:EQ582 ES572:ES582 EU572:EU582 EW572:EW582 EY572:EY582 FA572:FA582 FC572:FC582 FE572:FE582 FG572:FG582 FI572:FI582 FM572:FM582">
    <cfRule type="expression" dxfId="50" priority="49">
      <formula>AND(F572=0,(G572&gt;0))</formula>
    </cfRule>
  </conditionalFormatting>
  <conditionalFormatting sqref="I583:I587 G583:G587 K583:K587 AW583:AW587 CM583:CM587 EG583:EG587 EQ583:EQ587 ES583:ES587 EU583:EU587 EW583:EW587 EY583:EY587 FA583:FA587 FC583:FC587 FE583:FE587 FG583:FG587 FI583:FI587 FM583:FM587">
    <cfRule type="expression" dxfId="49" priority="48">
      <formula>((G583-F583)/F583)&gt;0.05</formula>
    </cfRule>
  </conditionalFormatting>
  <conditionalFormatting sqref="I583:I587 G583:G587 K583:K587 AW583:AW587 CM583:CM587 EG583:EG587 EQ583:EQ587 ES583:ES587 EU583:EU587 EW583:EW587 EY583:EY587 FA583:FA587 FC583:FC587 FE583:FE587 FG583:FG587 FI583:FI587 FM583:FM587">
    <cfRule type="expression" dxfId="48" priority="47">
      <formula>AND(F583=0,(G583&gt;0))</formula>
    </cfRule>
  </conditionalFormatting>
  <conditionalFormatting sqref="I588:I616 G588:G616 K588:K616 AW588:AW616 CM588:CM616 EG588:EG616 EQ588:EQ616 ES588:ES616 EU588:EU616 EW588:EW616 EY588:EY616 FA588:FA616 FC588:FC616 FE588:FE616 FG588:FG616 FI588:FI616 FM588:FM616">
    <cfRule type="expression" dxfId="47" priority="46">
      <formula>((G588-F588)/F588)&gt;0.05</formula>
    </cfRule>
  </conditionalFormatting>
  <conditionalFormatting sqref="I588:I616 G588:G616 K588:K616 AW588:AW616 CM588:CM616 EG588:EG616 EQ588:EQ616 ES588:ES616 EU588:EU616 EW588:EW616 EY588:EY616 FA588:FA616 FC588:FC616 FE588:FE616 FG588:FG616 FI588:FI616 FM588:FM616">
    <cfRule type="expression" dxfId="46" priority="45">
      <formula>AND(F588=0,(G588&gt;0))</formula>
    </cfRule>
  </conditionalFormatting>
  <conditionalFormatting sqref="I689:I702 G689:G702 K689:K702 AW689:AW702 CM689:CM702 EG689:EG702 EQ689:EQ702 ES689:ES702 EU689:EU702 EW689:EW702 EY689:EY702 FA689:FA702 FC689:FC702 FE689:FE702 FG689:FG702 FI689:FI702 FM689:FM702 FM705 FI705 FG705 FE705 FC705 FA705 EY705 EW705 EU705 ES705 EQ705 EG705 CM705 AW705 K705 G705 I705">
    <cfRule type="expression" dxfId="45" priority="42">
      <formula>((G689-F689)/F689)&gt;0.05</formula>
    </cfRule>
  </conditionalFormatting>
  <conditionalFormatting sqref="I689:I702 G689:G702 K689:K702 AW689:AW702 CM689:CM702 EG689:EG702 EQ689:EQ702 ES689:ES702 EU689:EU702 EW689:EW702 EY689:EY702 FA689:FA702 FC689:FC702 FE689:FE702 FG689:FG702 FI689:FI702 FM689:FM702 FM705 FI705 FG705 FE705 FC705 FA705 EY705 EW705 EU705 ES705 EQ705 EG705 CM705 AW705 K705 G705 I705">
    <cfRule type="expression" dxfId="44" priority="41">
      <formula>AND(F689=0,(G689&gt;0))</formula>
    </cfRule>
  </conditionalFormatting>
  <conditionalFormatting sqref="G706:G709 G711:G713 G715:G723 G704">
    <cfRule type="expression" dxfId="43" priority="40">
      <formula>((G704-F704)/F704)&gt;0.05</formula>
    </cfRule>
  </conditionalFormatting>
  <conditionalFormatting sqref="G706:G709 G711:G713 G715:G723 G704">
    <cfRule type="expression" dxfId="42" priority="39">
      <formula>AND(F704=0,(G704&gt;0))</formula>
    </cfRule>
  </conditionalFormatting>
  <conditionalFormatting sqref="I706:I709 K706:K709 AW706:AW709 CM706:CM709 EG706:EG709 EQ706:EQ709 ES706:ES709 EU706:EU709 EW706:EW709 EY706:EY709 FA706:FA709 FC706:FC709 FE706:FE709 FG706:FG709 FI706:FI709 FM706:FM709 FM711:FM713 FI711:FI713 FG711:FG713 FE711:FE713 FC711:FC713 FA711:FA713 EY711:EY713 EW711:EW713 EU711:EU713 ES711:ES713 EQ711:EQ713 EG711:EG713 CM711:CM713 AW711:AW713 K711:K713 I711:I713 I715:I723 K715:K723 AW715:AW723 CM715:CM723 EG715:EG723 EQ715:EQ723 ES715:ES723 EU715:EU723 EW715:EW723 EY715:EY723 FA715:FA723 FC715:FC723 FE715:FE723 FG715:FG723 FI715:FI723 FM715:FM723 FM704 FI704 FG704 FE704 FC704 FA704 EY704 EW704 EU704 ES704 EQ704 EG704 CM704 AW704 K704 I704">
    <cfRule type="expression" dxfId="41" priority="38">
      <formula>((I704-H704)/H704)&gt;0.05</formula>
    </cfRule>
  </conditionalFormatting>
  <conditionalFormatting sqref="I706:I709 K706:K709 AW706:AW709 CM706:CM709 EG706:EG709 EQ706:EQ709 ES706:ES709 EU706:EU709 EW706:EW709 EY706:EY709 FA706:FA709 FC706:FC709 FE706:FE709 FG706:FG709 FI706:FI709 FM706:FM709 FM711:FM713 FI711:FI713 FG711:FG713 FE711:FE713 FC711:FC713 FA711:FA713 EY711:EY713 EW711:EW713 EU711:EU713 ES711:ES713 EQ711:EQ713 EG711:EG713 CM711:CM713 AW711:AW713 K711:K713 I711:I713 I715:I723 K715:K723 AW715:AW723 CM715:CM723 EG715:EG723 EQ715:EQ723 ES715:ES723 EU715:EU723 EW715:EW723 EY715:EY723 FA715:FA723 FC715:FC723 FE715:FE723 FG715:FG723 FI715:FI723 FM715:FM723 FM704 FI704 FG704 FE704 FC704 FA704 EY704 EW704 EU704 ES704 EQ704 EG704 CM704 AW704 K704 I704">
    <cfRule type="expression" dxfId="40" priority="37">
      <formula>AND(H704=0,(I704&gt;0))</formula>
    </cfRule>
  </conditionalFormatting>
  <conditionalFormatting sqref="G710">
    <cfRule type="expression" dxfId="39" priority="36">
      <formula>((G710-F710)/F710)&gt;0.05</formula>
    </cfRule>
  </conditionalFormatting>
  <conditionalFormatting sqref="G710">
    <cfRule type="expression" dxfId="38" priority="35">
      <formula>AND(F710=0,(G710&gt;0))</formula>
    </cfRule>
  </conditionalFormatting>
  <conditionalFormatting sqref="I710 K710 AW710 CM710 EG710 EQ710 ES710 EU710 EW710 EY710 FA710 FC710 FE710 FG710 FI710 FM710">
    <cfRule type="expression" dxfId="37" priority="34">
      <formula>((I710-H710)/H710)&gt;0.05</formula>
    </cfRule>
  </conditionalFormatting>
  <conditionalFormatting sqref="I710 K710 AW710 CM710 EG710 EQ710 ES710 EU710 EW710 EY710 FA710 FC710 FE710 FG710 FI710 FM710">
    <cfRule type="expression" dxfId="36" priority="33">
      <formula>AND(H710=0,(I710&gt;0))</formula>
    </cfRule>
  </conditionalFormatting>
  <conditionalFormatting sqref="G714">
    <cfRule type="expression" dxfId="35" priority="32">
      <formula>((G714-F714)/F714)&gt;0.05</formula>
    </cfRule>
  </conditionalFormatting>
  <conditionalFormatting sqref="G714">
    <cfRule type="expression" dxfId="34" priority="31">
      <formula>AND(F714=0,(G714&gt;0))</formula>
    </cfRule>
  </conditionalFormatting>
  <conditionalFormatting sqref="I714 K714 AW714 CM714 EG714 EQ714 ES714 EU714 EW714 EY714 FA714 FC714 FE714 FG714 FI714 FM714">
    <cfRule type="expression" dxfId="33" priority="30">
      <formula>((I714-H714)/H714)&gt;0.05</formula>
    </cfRule>
  </conditionalFormatting>
  <conditionalFormatting sqref="I714 K714 AW714 CM714 EG714 EQ714 ES714 EU714 EW714 EY714 FA714 FC714 FE714 FG714 FI714 FM714">
    <cfRule type="expression" dxfId="32" priority="29">
      <formula>AND(H714=0,(I714&gt;0))</formula>
    </cfRule>
  </conditionalFormatting>
  <conditionalFormatting sqref="G725">
    <cfRule type="expression" dxfId="31" priority="28">
      <formula>((G725-F725)/F725)&gt;0.05</formula>
    </cfRule>
  </conditionalFormatting>
  <conditionalFormatting sqref="G725">
    <cfRule type="expression" dxfId="30" priority="27">
      <formula>AND(F725=0,(G725&gt;0))</formula>
    </cfRule>
  </conditionalFormatting>
  <conditionalFormatting sqref="I725 K725 AW725 CM725 EG725 EQ725 ES725 EU725 EW725 EY725 FA725 FC725 FE725 FG725 FI725 FM725">
    <cfRule type="expression" dxfId="29" priority="26">
      <formula>((I725-H725)/H725)&gt;0.05</formula>
    </cfRule>
  </conditionalFormatting>
  <conditionalFormatting sqref="I725 K725 AW725 CM725 EG725 EQ725 ES725 EU725 EW725 EY725 FA725 FC725 FE725 FG725 FI725 FM725">
    <cfRule type="expression" dxfId="28" priority="25">
      <formula>AND(H725=0,(I725&gt;0))</formula>
    </cfRule>
  </conditionalFormatting>
  <conditionalFormatting sqref="G703">
    <cfRule type="expression" dxfId="27" priority="24">
      <formula>((G703-F703)/F703)&gt;0.05</formula>
    </cfRule>
  </conditionalFormatting>
  <conditionalFormatting sqref="G703">
    <cfRule type="expression" dxfId="26" priority="23">
      <formula>AND(F703=0,(G703&gt;0))</formula>
    </cfRule>
  </conditionalFormatting>
  <conditionalFormatting sqref="I703 K703 AW703 CM703 EG703 EQ703 ES703 EU703 EW703 EY703 FA703 FC703 FE703 FG703 FI703 FM703">
    <cfRule type="expression" dxfId="25" priority="22">
      <formula>((I703-H703)/H703)&gt;0.05</formula>
    </cfRule>
  </conditionalFormatting>
  <conditionalFormatting sqref="I703 K703 AW703 CM703 EG703 EQ703 ES703 EU703 EW703 EY703 FA703 FC703 FE703 FG703 FI703 FM703">
    <cfRule type="expression" dxfId="24" priority="21">
      <formula>AND(H703=0,(I703&gt;0))</formula>
    </cfRule>
  </conditionalFormatting>
  <conditionalFormatting sqref="G726">
    <cfRule type="expression" dxfId="23" priority="20">
      <formula>((G726-F726)/F726)&gt;0.05</formula>
    </cfRule>
  </conditionalFormatting>
  <conditionalFormatting sqref="G726">
    <cfRule type="expression" dxfId="22" priority="19">
      <formula>AND(F726=0,(G726&gt;0))</formula>
    </cfRule>
  </conditionalFormatting>
  <conditionalFormatting sqref="I726 K726 AW726 CM726 EG726 EQ726 ES726 EU726 EW726 EY726 FA726 FC726 FE726 FG726 FI726 FM726">
    <cfRule type="expression" dxfId="21" priority="18">
      <formula>((I726-H726)/H726)&gt;0.05</formula>
    </cfRule>
  </conditionalFormatting>
  <conditionalFormatting sqref="I726 K726 AW726 CM726 EG726 EQ726 ES726 EU726 EW726 EY726 FA726 FC726 FE726 FG726 FI726 FM726">
    <cfRule type="expression" dxfId="20" priority="17">
      <formula>AND(H726=0,(I726&gt;0))</formula>
    </cfRule>
  </conditionalFormatting>
  <conditionalFormatting sqref="G727">
    <cfRule type="expression" dxfId="19" priority="16">
      <formula>((G727-F727)/F727)&gt;0.05</formula>
    </cfRule>
  </conditionalFormatting>
  <conditionalFormatting sqref="G727">
    <cfRule type="expression" dxfId="18" priority="15">
      <formula>AND(F727=0,(G727&gt;0))</formula>
    </cfRule>
  </conditionalFormatting>
  <conditionalFormatting sqref="I727 K727 AW727 CM727 EG727 EQ727 ES727 EU727 EW727 EY727 FA727 FC727 FE727 FG727 FI727 FM727">
    <cfRule type="expression" dxfId="17" priority="14">
      <formula>((I727-H727)/H727)&gt;0.05</formula>
    </cfRule>
  </conditionalFormatting>
  <conditionalFormatting sqref="I727 K727 AW727 CM727 EG727 EQ727 ES727 EU727 EW727 EY727 FA727 FC727 FE727 FG727 FI727 FM727">
    <cfRule type="expression" dxfId="16" priority="13">
      <formula>AND(H727=0,(I727&gt;0))</formula>
    </cfRule>
  </conditionalFormatting>
  <conditionalFormatting sqref="G724">
    <cfRule type="expression" dxfId="15" priority="12">
      <formula>((G724-F724)/F724)&gt;0.05</formula>
    </cfRule>
  </conditionalFormatting>
  <conditionalFormatting sqref="G724">
    <cfRule type="expression" dxfId="14" priority="11">
      <formula>AND(F724=0,(G724&gt;0))</formula>
    </cfRule>
  </conditionalFormatting>
  <conditionalFormatting sqref="I724 K724 AW724 CM724 EG724 EQ724 ES724 EU724 EW724 EY724 FA724 FC724 FE724 FG724 FI724 FM724">
    <cfRule type="expression" dxfId="13" priority="10">
      <formula>((I724-H724)/H724)&gt;0.05</formula>
    </cfRule>
  </conditionalFormatting>
  <conditionalFormatting sqref="I724 K724 AW724 CM724 EG724 EQ724 ES724 EU724 EW724 EY724 FA724 FC724 FE724 FG724 FI724 FM724">
    <cfRule type="expression" dxfId="12" priority="9">
      <formula>AND(H724=0,(I724&gt;0))</formula>
    </cfRule>
  </conditionalFormatting>
  <conditionalFormatting sqref="CM314">
    <cfRule type="expression" dxfId="11" priority="242">
      <formula>((CM314-CL372)/CL372)&gt;0.05</formula>
    </cfRule>
  </conditionalFormatting>
  <conditionalFormatting sqref="CM314">
    <cfRule type="expression" dxfId="10" priority="244">
      <formula>AND(CL372=0,(CM314&gt;0))</formula>
    </cfRule>
  </conditionalFormatting>
  <conditionalFormatting sqref="I643:I681 G643:G681 K643:K681 AW643:AW681 CM643:CM681 EG643:EG681 EQ643:EQ681 ES643:ES681 EU643:EU681 EW643:EW681 EY643:EY681 FA643:FA681 FC643:FC681 FE643:FE681 FG643:FG681 FI643:FI681 FM643:FM681">
    <cfRule type="expression" dxfId="9" priority="8">
      <formula>((G643-F643)/F643)&gt;0.05</formula>
    </cfRule>
  </conditionalFormatting>
  <conditionalFormatting sqref="I643:I681 G643:G681 K643:K681 AW643:AW681 CM643:CM681 EG643:EG681 EQ643:EQ681 ES643:ES681 EU643:EU681 EW643:EW681 EY643:EY681 FA643:FA681 FC643:FC681 FE643:FE681 FG643:FG681 FI643:FI681 FM643:FM681">
    <cfRule type="expression" dxfId="8" priority="7">
      <formula>AND(F643=0,(G643&gt;0))</formula>
    </cfRule>
  </conditionalFormatting>
  <conditionalFormatting sqref="I99:I126 G99:G126 K99:K126 AW99:AW126 CM99:CM126 EG99:EG126 EQ99:EQ126 ES99:ES126 EU99:EU126 EW99:EW126 EY99:EY126 FA99:FA126 FC99:FC126 FE99:FE126 FG99:FG126 FI99:FI126 FM99:FM126">
    <cfRule type="expression" dxfId="7" priority="6">
      <formula>((G99-F99)/F99)&gt;0.05</formula>
    </cfRule>
  </conditionalFormatting>
  <conditionalFormatting sqref="I99:I126 G99:G126 K99:K126 AW99:AW126 CM99:CM126 EG99:EG126 EQ99:EQ126 ES99:ES126 EU99:EU126 EW99:EW126 EY99:EY126 FA99:FA126 FC99:FC126 FE99:FE126 FG99:FG126 FI99:FI126 FM99:FM126">
    <cfRule type="expression" dxfId="6" priority="5">
      <formula>AND(F99=0,(G99&gt;0))</formula>
    </cfRule>
  </conditionalFormatting>
  <conditionalFormatting sqref="CM313">
    <cfRule type="expression" dxfId="5" priority="308">
      <formula>((CM313-CL372)/CL372)&gt;0.05</formula>
    </cfRule>
  </conditionalFormatting>
  <conditionalFormatting sqref="CM313">
    <cfRule type="expression" dxfId="4" priority="310">
      <formula>AND(CL372=0,(CM313&gt;0))</formula>
    </cfRule>
  </conditionalFormatting>
  <conditionalFormatting sqref="I282 G282 K282 AW282 CM282 EG282 EQ282 ES282 EU282 EW282 EY282 FA282 FC282 FE282 FG282 FI282 FM282">
    <cfRule type="expression" dxfId="3" priority="4">
      <formula>((G282-F282)/F282)&gt;0.05</formula>
    </cfRule>
  </conditionalFormatting>
  <conditionalFormatting sqref="I282 G282 K282 AW282 CM282 EG282 EQ282 ES282 EU282 EW282 EY282 FA282 FC282 FE282 FG282 FI282 FM282">
    <cfRule type="expression" dxfId="2" priority="3">
      <formula>AND(F282=0,(G282&gt;0))</formula>
    </cfRule>
  </conditionalFormatting>
  <conditionalFormatting sqref="I187:I210 G187:G210 K187:K210 AW187:AW210 CM187:CM210 EG187:EG210 EQ187:EQ210 ES187:ES210 EU187:EU210 EW187:EW210 EY187:EY210 FA187:FA210 FC187:FC210 FE187:FE210 FG187:FG210 FI187:FI210 FM187:FM210">
    <cfRule type="expression" dxfId="1" priority="2">
      <formula>((G187-F187)/F187)&gt;0.05</formula>
    </cfRule>
  </conditionalFormatting>
  <conditionalFormatting sqref="I187:I210 G187:G210 K187:K210 AW187:AW210 CM187:CM210 EG187:EG210 EQ187:EQ210 ES187:ES210 EU187:EU210 EW187:EW210 EY187:EY210 FA187:FA210 FC187:FC210 FE187:FE210 FG187:FG210 FI187:FI210 FM187:FM210">
    <cfRule type="expression" dxfId="0" priority="1">
      <formula>AND(F187=0,(G187&gt;0))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906"/>
  <sheetViews>
    <sheetView workbookViewId="0">
      <selection sqref="A1:XFD1048576"/>
    </sheetView>
  </sheetViews>
  <sheetFormatPr defaultColWidth="6" defaultRowHeight="12.75" x14ac:dyDescent="0.2"/>
  <cols>
    <col min="1" max="1" width="6" style="295"/>
    <col min="2" max="2" width="33" style="298" customWidth="1"/>
    <col min="3" max="3" width="9.25" style="511" customWidth="1"/>
    <col min="4" max="4" width="9.25" style="162" customWidth="1"/>
    <col min="5" max="7" width="9.25" style="511" customWidth="1"/>
    <col min="8" max="8" width="9.25" style="476" customWidth="1"/>
    <col min="9" max="12" width="9.25" style="511" customWidth="1"/>
    <col min="13" max="13" width="9.25" style="476" customWidth="1"/>
    <col min="14" max="15" width="9.25" style="511" customWidth="1"/>
    <col min="16" max="16" width="9.25" style="476" customWidth="1"/>
    <col min="17" max="22" width="9.25" style="511" customWidth="1"/>
    <col min="23" max="23" width="12.25" style="511" customWidth="1"/>
    <col min="24" max="24" width="12.25" style="511" bestFit="1" customWidth="1"/>
    <col min="25" max="25" width="9.75" style="511" customWidth="1"/>
    <col min="26" max="26" width="6" style="511"/>
    <col min="27" max="27" width="10.875" style="511" bestFit="1" customWidth="1"/>
    <col min="28" max="16384" width="6" style="511"/>
  </cols>
  <sheetData>
    <row r="1" spans="1:24" x14ac:dyDescent="0.2">
      <c r="B1" s="307"/>
    </row>
    <row r="3" spans="1:24" ht="15.75" x14ac:dyDescent="0.25">
      <c r="A3" s="140"/>
      <c r="B3" s="140"/>
      <c r="D3" s="511"/>
      <c r="I3" s="496"/>
      <c r="N3" s="496"/>
      <c r="Q3" s="496"/>
      <c r="S3" s="496"/>
      <c r="U3" s="496"/>
      <c r="W3" s="296"/>
      <c r="X3" s="296"/>
    </row>
    <row r="4" spans="1:24" ht="15.75" x14ac:dyDescent="0.25">
      <c r="A4" s="140"/>
      <c r="B4" s="140"/>
      <c r="D4" s="511"/>
      <c r="I4" s="124"/>
      <c r="N4" s="124"/>
      <c r="Q4" s="124"/>
      <c r="S4" s="124"/>
      <c r="U4" s="496"/>
      <c r="V4" s="297"/>
      <c r="W4" s="296"/>
      <c r="X4" s="296"/>
    </row>
    <row r="5" spans="1:24" ht="15.75" x14ac:dyDescent="0.25">
      <c r="A5" s="140"/>
      <c r="B5" s="146"/>
      <c r="D5" s="511"/>
      <c r="I5" s="124"/>
      <c r="N5" s="124"/>
      <c r="Q5" s="124"/>
      <c r="S5" s="124"/>
      <c r="U5" s="496"/>
      <c r="V5" s="297"/>
      <c r="W5" s="296"/>
      <c r="X5" s="296"/>
    </row>
    <row r="6" spans="1:24" ht="15.75" x14ac:dyDescent="0.25">
      <c r="A6" s="141"/>
      <c r="B6" s="143"/>
      <c r="C6" s="299"/>
      <c r="D6" s="300"/>
      <c r="E6" s="300"/>
      <c r="F6" s="300"/>
      <c r="G6" s="300"/>
      <c r="H6" s="301"/>
      <c r="I6" s="133"/>
      <c r="J6" s="299"/>
      <c r="K6" s="300"/>
      <c r="L6" s="300"/>
      <c r="M6" s="301"/>
      <c r="N6" s="133"/>
      <c r="O6" s="299"/>
      <c r="P6" s="301"/>
      <c r="Q6" s="134"/>
      <c r="R6" s="301"/>
      <c r="S6" s="133"/>
      <c r="T6" s="299"/>
      <c r="U6" s="309"/>
      <c r="V6" s="301"/>
      <c r="W6" s="296"/>
      <c r="X6" s="296"/>
    </row>
    <row r="7" spans="1:24" ht="16.5" thickBot="1" x14ac:dyDescent="0.3">
      <c r="A7" s="142"/>
      <c r="B7" s="144"/>
      <c r="C7" s="302"/>
      <c r="D7" s="303"/>
      <c r="E7" s="786"/>
      <c r="F7" s="303"/>
      <c r="G7" s="303"/>
      <c r="H7" s="173"/>
      <c r="I7" s="118"/>
      <c r="J7" s="302"/>
      <c r="K7" s="303"/>
      <c r="L7" s="303"/>
      <c r="M7" s="173"/>
      <c r="N7" s="118"/>
      <c r="O7" s="302"/>
      <c r="P7" s="173"/>
      <c r="Q7" s="119"/>
      <c r="R7" s="173"/>
      <c r="S7" s="118"/>
      <c r="T7" s="302"/>
      <c r="U7" s="310"/>
      <c r="V7" s="173"/>
      <c r="W7" s="296"/>
      <c r="X7" s="296"/>
    </row>
    <row r="8" spans="1:24" s="306" customFormat="1" ht="16.5" thickBot="1" x14ac:dyDescent="0.3">
      <c r="A8" s="142"/>
      <c r="B8" s="145"/>
      <c r="C8" s="304"/>
      <c r="D8" s="788"/>
      <c r="E8" s="787"/>
      <c r="F8" s="305"/>
      <c r="G8" s="305"/>
      <c r="H8" s="253"/>
      <c r="I8" s="121"/>
      <c r="J8" s="304"/>
      <c r="K8" s="305"/>
      <c r="L8" s="305"/>
      <c r="M8" s="253"/>
      <c r="N8" s="121"/>
      <c r="O8" s="304"/>
      <c r="P8" s="253"/>
      <c r="Q8" s="122"/>
      <c r="R8" s="305"/>
      <c r="S8" s="724"/>
      <c r="T8" s="304"/>
      <c r="U8" s="139"/>
      <c r="V8" s="253"/>
      <c r="W8" s="296"/>
      <c r="X8" s="296"/>
    </row>
    <row r="9" spans="1:24" ht="15.75" x14ac:dyDescent="0.25">
      <c r="A9" s="142"/>
      <c r="B9" s="143"/>
      <c r="C9" s="299"/>
      <c r="D9" s="300"/>
      <c r="E9" s="303"/>
      <c r="F9" s="300"/>
      <c r="G9" s="300"/>
      <c r="H9" s="301"/>
      <c r="I9" s="133"/>
      <c r="J9" s="299"/>
      <c r="K9" s="300"/>
      <c r="L9" s="303"/>
      <c r="M9" s="301"/>
      <c r="N9" s="133"/>
      <c r="O9" s="299"/>
      <c r="P9" s="301"/>
      <c r="Q9" s="134"/>
      <c r="R9" s="301"/>
      <c r="S9" s="133"/>
      <c r="T9" s="299"/>
      <c r="U9" s="309"/>
      <c r="V9" s="301"/>
      <c r="W9" s="296"/>
      <c r="X9" s="296"/>
    </row>
    <row r="10" spans="1:24" ht="15.75" x14ac:dyDescent="0.25">
      <c r="A10" s="142"/>
      <c r="B10" s="144"/>
      <c r="C10" s="302"/>
      <c r="D10" s="303"/>
      <c r="E10" s="303"/>
      <c r="F10" s="303"/>
      <c r="G10" s="303"/>
      <c r="H10" s="173"/>
      <c r="I10" s="118"/>
      <c r="J10" s="302"/>
      <c r="K10" s="303"/>
      <c r="L10" s="303"/>
      <c r="M10" s="173"/>
      <c r="N10" s="118"/>
      <c r="O10" s="302"/>
      <c r="P10" s="173"/>
      <c r="Q10" s="119"/>
      <c r="R10" s="173"/>
      <c r="S10" s="118"/>
      <c r="T10" s="302"/>
      <c r="U10" s="310"/>
      <c r="V10" s="173"/>
      <c r="W10" s="296"/>
      <c r="X10" s="296"/>
    </row>
    <row r="11" spans="1:24" s="306" customFormat="1" ht="15.75" x14ac:dyDescent="0.25">
      <c r="A11" s="142"/>
      <c r="B11" s="145"/>
      <c r="C11" s="304"/>
      <c r="D11" s="305"/>
      <c r="E11" s="305"/>
      <c r="F11" s="305"/>
      <c r="G11" s="305"/>
      <c r="H11" s="253"/>
      <c r="I11" s="121"/>
      <c r="J11" s="304"/>
      <c r="K11" s="305"/>
      <c r="L11" s="305"/>
      <c r="M11" s="253"/>
      <c r="N11" s="121"/>
      <c r="O11" s="304"/>
      <c r="P11" s="253"/>
      <c r="Q11" s="122"/>
      <c r="R11" s="253"/>
      <c r="S11" s="121"/>
      <c r="T11" s="304"/>
      <c r="U11" s="139"/>
      <c r="V11" s="253"/>
      <c r="W11" s="296"/>
      <c r="X11" s="296"/>
    </row>
    <row r="12" spans="1:24" ht="15.75" x14ac:dyDescent="0.25">
      <c r="A12" s="142"/>
      <c r="B12" s="143"/>
      <c r="C12" s="299"/>
      <c r="D12" s="300"/>
      <c r="E12" s="300"/>
      <c r="F12" s="300"/>
      <c r="G12" s="300"/>
      <c r="H12" s="301"/>
      <c r="I12" s="133"/>
      <c r="J12" s="299"/>
      <c r="K12" s="300"/>
      <c r="L12" s="300"/>
      <c r="M12" s="301"/>
      <c r="N12" s="133"/>
      <c r="O12" s="299"/>
      <c r="P12" s="301"/>
      <c r="Q12" s="134"/>
      <c r="R12" s="301"/>
      <c r="S12" s="133"/>
      <c r="T12" s="299"/>
      <c r="U12" s="309"/>
      <c r="V12" s="301"/>
      <c r="W12" s="296"/>
      <c r="X12" s="296"/>
    </row>
    <row r="13" spans="1:24" ht="15.75" x14ac:dyDescent="0.25">
      <c r="A13" s="142"/>
      <c r="B13" s="144"/>
      <c r="C13" s="302"/>
      <c r="D13" s="303"/>
      <c r="E13" s="303"/>
      <c r="F13" s="303"/>
      <c r="G13" s="303"/>
      <c r="H13" s="173"/>
      <c r="I13" s="118"/>
      <c r="J13" s="302"/>
      <c r="K13" s="303"/>
      <c r="L13" s="303"/>
      <c r="M13" s="173"/>
      <c r="N13" s="118"/>
      <c r="O13" s="302"/>
      <c r="P13" s="173"/>
      <c r="Q13" s="119"/>
      <c r="R13" s="173"/>
      <c r="S13" s="118"/>
      <c r="T13" s="302"/>
      <c r="U13" s="310"/>
      <c r="V13" s="173"/>
      <c r="W13" s="296"/>
      <c r="X13" s="296"/>
    </row>
    <row r="14" spans="1:24" s="306" customFormat="1" ht="15.75" x14ac:dyDescent="0.25">
      <c r="A14" s="142"/>
      <c r="B14" s="145"/>
      <c r="C14" s="304"/>
      <c r="D14" s="305"/>
      <c r="E14" s="305"/>
      <c r="F14" s="305"/>
      <c r="G14" s="305"/>
      <c r="H14" s="253"/>
      <c r="I14" s="121"/>
      <c r="J14" s="304"/>
      <c r="K14" s="305"/>
      <c r="L14" s="305"/>
      <c r="M14" s="253"/>
      <c r="N14" s="121"/>
      <c r="O14" s="304"/>
      <c r="P14" s="253"/>
      <c r="Q14" s="122"/>
      <c r="R14" s="253"/>
      <c r="S14" s="121"/>
      <c r="T14" s="304"/>
      <c r="U14" s="139"/>
      <c r="V14" s="253"/>
      <c r="W14" s="296"/>
      <c r="X14" s="296"/>
    </row>
    <row r="15" spans="1:24" ht="15.75" x14ac:dyDescent="0.25">
      <c r="A15" s="142"/>
      <c r="B15" s="143"/>
      <c r="C15" s="299"/>
      <c r="D15" s="300"/>
      <c r="E15" s="300"/>
      <c r="F15" s="300"/>
      <c r="G15" s="300"/>
      <c r="H15" s="301"/>
      <c r="I15" s="133"/>
      <c r="J15" s="299"/>
      <c r="K15" s="300"/>
      <c r="L15" s="300"/>
      <c r="M15" s="301"/>
      <c r="N15" s="133"/>
      <c r="O15" s="299"/>
      <c r="P15" s="301"/>
      <c r="Q15" s="134"/>
      <c r="R15" s="301"/>
      <c r="S15" s="133"/>
      <c r="T15" s="299"/>
      <c r="U15" s="309"/>
      <c r="V15" s="301"/>
      <c r="W15" s="296"/>
      <c r="X15" s="296"/>
    </row>
    <row r="16" spans="1:24" ht="15.75" x14ac:dyDescent="0.25">
      <c r="A16" s="142"/>
      <c r="B16" s="144"/>
      <c r="C16" s="302"/>
      <c r="D16" s="303"/>
      <c r="E16" s="303"/>
      <c r="F16" s="303"/>
      <c r="G16" s="303"/>
      <c r="H16" s="173"/>
      <c r="I16" s="118"/>
      <c r="J16" s="302"/>
      <c r="K16" s="303"/>
      <c r="L16" s="303"/>
      <c r="M16" s="173"/>
      <c r="N16" s="118"/>
      <c r="O16" s="302"/>
      <c r="P16" s="173"/>
      <c r="Q16" s="119"/>
      <c r="R16" s="173"/>
      <c r="S16" s="118"/>
      <c r="T16" s="302"/>
      <c r="U16" s="310"/>
      <c r="V16" s="173"/>
      <c r="W16" s="296"/>
      <c r="X16" s="296"/>
    </row>
    <row r="17" spans="1:24" s="306" customFormat="1" ht="15.75" x14ac:dyDescent="0.25">
      <c r="A17" s="142"/>
      <c r="B17" s="145"/>
      <c r="C17" s="304"/>
      <c r="D17" s="305"/>
      <c r="E17" s="305"/>
      <c r="F17" s="305"/>
      <c r="G17" s="305"/>
      <c r="H17" s="253"/>
      <c r="I17" s="121"/>
      <c r="J17" s="304"/>
      <c r="K17" s="305"/>
      <c r="L17" s="305"/>
      <c r="M17" s="253"/>
      <c r="N17" s="121"/>
      <c r="O17" s="304"/>
      <c r="P17" s="253"/>
      <c r="Q17" s="122"/>
      <c r="R17" s="253"/>
      <c r="S17" s="121"/>
      <c r="T17" s="304"/>
      <c r="U17" s="139"/>
      <c r="V17" s="253"/>
      <c r="W17" s="296"/>
      <c r="X17" s="296"/>
    </row>
    <row r="18" spans="1:24" ht="15.75" x14ac:dyDescent="0.25">
      <c r="A18" s="142"/>
      <c r="B18" s="143"/>
      <c r="C18" s="299"/>
      <c r="D18" s="300"/>
      <c r="E18" s="300"/>
      <c r="F18" s="300"/>
      <c r="G18" s="300"/>
      <c r="H18" s="301"/>
      <c r="I18" s="133"/>
      <c r="J18" s="299"/>
      <c r="K18" s="300"/>
      <c r="L18" s="300"/>
      <c r="M18" s="301"/>
      <c r="N18" s="133"/>
      <c r="O18" s="299"/>
      <c r="P18" s="301"/>
      <c r="Q18" s="134"/>
      <c r="R18" s="301"/>
      <c r="S18" s="133"/>
      <c r="T18" s="299"/>
      <c r="U18" s="309"/>
      <c r="V18" s="301"/>
      <c r="W18" s="296"/>
      <c r="X18" s="296"/>
    </row>
    <row r="19" spans="1:24" ht="16.5" thickBot="1" x14ac:dyDescent="0.3">
      <c r="A19" s="142"/>
      <c r="B19" s="144"/>
      <c r="C19" s="302"/>
      <c r="D19" s="303"/>
      <c r="E19" s="303"/>
      <c r="F19" s="303"/>
      <c r="G19" s="303"/>
      <c r="H19" s="173"/>
      <c r="I19" s="118"/>
      <c r="J19" s="302"/>
      <c r="K19" s="303"/>
      <c r="L19" s="303"/>
      <c r="M19" s="173"/>
      <c r="N19" s="118"/>
      <c r="O19" s="302"/>
      <c r="P19" s="173"/>
      <c r="Q19" s="119"/>
      <c r="R19" s="173"/>
      <c r="S19" s="118"/>
      <c r="T19" s="302"/>
      <c r="U19" s="310"/>
      <c r="V19" s="173"/>
      <c r="W19" s="296"/>
      <c r="X19" s="296"/>
    </row>
    <row r="20" spans="1:24" s="306" customFormat="1" ht="16.5" thickBot="1" x14ac:dyDescent="0.3">
      <c r="A20" s="142"/>
      <c r="B20" s="145"/>
      <c r="C20" s="724"/>
      <c r="D20" s="787"/>
      <c r="E20" s="305"/>
      <c r="F20" s="305"/>
      <c r="G20" s="305"/>
      <c r="H20" s="253"/>
      <c r="I20" s="121"/>
      <c r="J20" s="304"/>
      <c r="K20" s="305"/>
      <c r="L20" s="305"/>
      <c r="M20" s="253"/>
      <c r="N20" s="121"/>
      <c r="O20" s="304"/>
      <c r="P20" s="253"/>
      <c r="Q20" s="122"/>
      <c r="R20" s="253"/>
      <c r="S20" s="121"/>
      <c r="T20" s="304"/>
      <c r="U20" s="139"/>
      <c r="V20" s="253"/>
      <c r="W20" s="296"/>
      <c r="X20" s="296"/>
    </row>
    <row r="21" spans="1:24" ht="15.75" x14ac:dyDescent="0.25">
      <c r="A21" s="142"/>
      <c r="B21" s="143"/>
      <c r="C21" s="302"/>
      <c r="D21" s="303"/>
      <c r="E21" s="300"/>
      <c r="F21" s="300"/>
      <c r="G21" s="300"/>
      <c r="H21" s="301"/>
      <c r="I21" s="133"/>
      <c r="J21" s="299"/>
      <c r="K21" s="300"/>
      <c r="L21" s="300"/>
      <c r="M21" s="301"/>
      <c r="N21" s="133"/>
      <c r="O21" s="299"/>
      <c r="P21" s="301"/>
      <c r="Q21" s="134"/>
      <c r="R21" s="301"/>
      <c r="S21" s="133"/>
      <c r="T21" s="299"/>
      <c r="U21" s="309"/>
      <c r="V21" s="301"/>
      <c r="W21" s="296"/>
      <c r="X21" s="296"/>
    </row>
    <row r="22" spans="1:24" ht="15.75" x14ac:dyDescent="0.25">
      <c r="A22" s="142"/>
      <c r="B22" s="144"/>
      <c r="C22" s="302"/>
      <c r="D22" s="303"/>
      <c r="E22" s="303"/>
      <c r="F22" s="303"/>
      <c r="G22" s="303"/>
      <c r="H22" s="173"/>
      <c r="I22" s="118"/>
      <c r="J22" s="302"/>
      <c r="K22" s="303"/>
      <c r="L22" s="303"/>
      <c r="M22" s="173"/>
      <c r="N22" s="118"/>
      <c r="O22" s="302"/>
      <c r="P22" s="173"/>
      <c r="Q22" s="119"/>
      <c r="R22" s="173"/>
      <c r="S22" s="118"/>
      <c r="T22" s="302"/>
      <c r="U22" s="310"/>
      <c r="V22" s="173"/>
      <c r="W22" s="296"/>
      <c r="X22" s="296"/>
    </row>
    <row r="23" spans="1:24" s="306" customFormat="1" ht="15.75" x14ac:dyDescent="0.25">
      <c r="A23" s="142"/>
      <c r="B23" s="145"/>
      <c r="C23" s="304"/>
      <c r="D23" s="305"/>
      <c r="E23" s="305"/>
      <c r="F23" s="305"/>
      <c r="G23" s="305"/>
      <c r="H23" s="253"/>
      <c r="I23" s="121"/>
      <c r="J23" s="304"/>
      <c r="K23" s="305"/>
      <c r="L23" s="305"/>
      <c r="M23" s="253"/>
      <c r="N23" s="121"/>
      <c r="O23" s="304"/>
      <c r="P23" s="253"/>
      <c r="Q23" s="122"/>
      <c r="R23" s="253"/>
      <c r="S23" s="121"/>
      <c r="T23" s="304"/>
      <c r="U23" s="139"/>
      <c r="V23" s="253"/>
      <c r="W23" s="296"/>
      <c r="X23" s="296"/>
    </row>
    <row r="24" spans="1:24" ht="15.75" x14ac:dyDescent="0.25">
      <c r="A24" s="142"/>
      <c r="B24" s="143"/>
      <c r="C24" s="299"/>
      <c r="D24" s="300"/>
      <c r="E24" s="300"/>
      <c r="F24" s="300"/>
      <c r="G24" s="300"/>
      <c r="H24" s="301"/>
      <c r="I24" s="133"/>
      <c r="J24" s="299"/>
      <c r="K24" s="300"/>
      <c r="L24" s="300"/>
      <c r="M24" s="301"/>
      <c r="N24" s="133"/>
      <c r="O24" s="299"/>
      <c r="P24" s="301"/>
      <c r="Q24" s="134"/>
      <c r="R24" s="301"/>
      <c r="S24" s="133"/>
      <c r="T24" s="299"/>
      <c r="U24" s="309"/>
      <c r="V24" s="301"/>
      <c r="W24" s="296"/>
      <c r="X24" s="296"/>
    </row>
    <row r="25" spans="1:24" ht="15.75" x14ac:dyDescent="0.25">
      <c r="A25" s="142"/>
      <c r="B25" s="144"/>
      <c r="C25" s="302"/>
      <c r="D25" s="303"/>
      <c r="E25" s="303"/>
      <c r="F25" s="303"/>
      <c r="G25" s="303"/>
      <c r="H25" s="173"/>
      <c r="I25" s="118"/>
      <c r="J25" s="302"/>
      <c r="K25" s="303"/>
      <c r="L25" s="303"/>
      <c r="M25" s="173"/>
      <c r="N25" s="118"/>
      <c r="O25" s="302"/>
      <c r="P25" s="173"/>
      <c r="Q25" s="119"/>
      <c r="R25" s="173"/>
      <c r="S25" s="118"/>
      <c r="T25" s="302"/>
      <c r="U25" s="310"/>
      <c r="V25" s="173"/>
      <c r="W25" s="296"/>
      <c r="X25" s="296"/>
    </row>
    <row r="26" spans="1:24" s="306" customFormat="1" ht="15.75" x14ac:dyDescent="0.25">
      <c r="A26" s="142"/>
      <c r="B26" s="145"/>
      <c r="C26" s="304"/>
      <c r="D26" s="305"/>
      <c r="E26" s="305"/>
      <c r="F26" s="305"/>
      <c r="G26" s="305"/>
      <c r="H26" s="253"/>
      <c r="I26" s="121"/>
      <c r="J26" s="304"/>
      <c r="K26" s="305"/>
      <c r="L26" s="305"/>
      <c r="M26" s="253"/>
      <c r="N26" s="121"/>
      <c r="O26" s="304"/>
      <c r="P26" s="253"/>
      <c r="Q26" s="122"/>
      <c r="R26" s="253"/>
      <c r="S26" s="121"/>
      <c r="T26" s="304"/>
      <c r="U26" s="139"/>
      <c r="V26" s="253"/>
      <c r="W26" s="296"/>
      <c r="X26" s="296"/>
    </row>
    <row r="27" spans="1:24" ht="15.75" x14ac:dyDescent="0.25">
      <c r="A27" s="142"/>
      <c r="B27" s="143"/>
      <c r="C27" s="299"/>
      <c r="D27" s="300"/>
      <c r="E27" s="300"/>
      <c r="F27" s="300"/>
      <c r="G27" s="300"/>
      <c r="H27" s="301"/>
      <c r="I27" s="133"/>
      <c r="J27" s="299"/>
      <c r="K27" s="300"/>
      <c r="L27" s="300"/>
      <c r="M27" s="301"/>
      <c r="N27" s="133"/>
      <c r="O27" s="299"/>
      <c r="P27" s="301"/>
      <c r="Q27" s="134"/>
      <c r="R27" s="301"/>
      <c r="S27" s="133"/>
      <c r="T27" s="299"/>
      <c r="U27" s="309"/>
      <c r="V27" s="301"/>
      <c r="W27" s="296"/>
      <c r="X27" s="296"/>
    </row>
    <row r="28" spans="1:24" ht="15.75" x14ac:dyDescent="0.25">
      <c r="A28" s="142"/>
      <c r="B28" s="144"/>
      <c r="C28" s="302"/>
      <c r="D28" s="303"/>
      <c r="E28" s="303"/>
      <c r="F28" s="303"/>
      <c r="G28" s="303"/>
      <c r="H28" s="173"/>
      <c r="I28" s="118"/>
      <c r="J28" s="302"/>
      <c r="K28" s="303"/>
      <c r="L28" s="303"/>
      <c r="M28" s="173"/>
      <c r="N28" s="118"/>
      <c r="O28" s="302"/>
      <c r="P28" s="173"/>
      <c r="Q28" s="119"/>
      <c r="R28" s="173"/>
      <c r="S28" s="118"/>
      <c r="T28" s="302"/>
      <c r="U28" s="310"/>
      <c r="V28" s="173"/>
      <c r="W28" s="296"/>
      <c r="X28" s="296"/>
    </row>
    <row r="29" spans="1:24" s="306" customFormat="1" ht="15.75" x14ac:dyDescent="0.25">
      <c r="A29" s="142"/>
      <c r="B29" s="145"/>
      <c r="C29" s="304"/>
      <c r="D29" s="305"/>
      <c r="E29" s="305"/>
      <c r="F29" s="305"/>
      <c r="G29" s="305"/>
      <c r="H29" s="253"/>
      <c r="I29" s="121"/>
      <c r="J29" s="304"/>
      <c r="K29" s="305"/>
      <c r="L29" s="305"/>
      <c r="M29" s="253"/>
      <c r="N29" s="121"/>
      <c r="O29" s="304"/>
      <c r="P29" s="253"/>
      <c r="Q29" s="122"/>
      <c r="R29" s="253"/>
      <c r="S29" s="121"/>
      <c r="T29" s="304"/>
      <c r="U29" s="139"/>
      <c r="V29" s="253"/>
      <c r="W29" s="296"/>
      <c r="X29" s="296"/>
    </row>
    <row r="30" spans="1:24" ht="15.75" x14ac:dyDescent="0.25">
      <c r="A30" s="142"/>
      <c r="B30" s="143"/>
      <c r="C30" s="299"/>
      <c r="D30" s="300"/>
      <c r="E30" s="300"/>
      <c r="F30" s="300"/>
      <c r="G30" s="300"/>
      <c r="H30" s="301"/>
      <c r="I30" s="133"/>
      <c r="J30" s="299"/>
      <c r="K30" s="300"/>
      <c r="L30" s="300"/>
      <c r="M30" s="301"/>
      <c r="N30" s="133"/>
      <c r="O30" s="299"/>
      <c r="P30" s="301"/>
      <c r="Q30" s="134"/>
      <c r="R30" s="301"/>
      <c r="S30" s="133"/>
      <c r="T30" s="299"/>
      <c r="U30" s="309"/>
      <c r="V30" s="301"/>
      <c r="W30" s="296"/>
      <c r="X30" s="296"/>
    </row>
    <row r="31" spans="1:24" ht="15.75" x14ac:dyDescent="0.25">
      <c r="A31" s="142"/>
      <c r="B31" s="144"/>
      <c r="C31" s="302"/>
      <c r="D31" s="303"/>
      <c r="E31" s="303"/>
      <c r="F31" s="303"/>
      <c r="G31" s="303"/>
      <c r="H31" s="173"/>
      <c r="I31" s="118"/>
      <c r="J31" s="302"/>
      <c r="K31" s="303"/>
      <c r="L31" s="303"/>
      <c r="M31" s="173"/>
      <c r="N31" s="118"/>
      <c r="O31" s="302"/>
      <c r="P31" s="173"/>
      <c r="Q31" s="119"/>
      <c r="R31" s="173"/>
      <c r="S31" s="118"/>
      <c r="T31" s="302"/>
      <c r="U31" s="310"/>
      <c r="V31" s="173"/>
      <c r="W31" s="296"/>
      <c r="X31" s="296"/>
    </row>
    <row r="32" spans="1:24" s="306" customFormat="1" ht="15.75" x14ac:dyDescent="0.25">
      <c r="A32" s="142"/>
      <c r="B32" s="145"/>
      <c r="C32" s="304"/>
      <c r="D32" s="305"/>
      <c r="E32" s="305"/>
      <c r="F32" s="305"/>
      <c r="G32" s="305"/>
      <c r="H32" s="253"/>
      <c r="I32" s="121"/>
      <c r="J32" s="304"/>
      <c r="K32" s="305"/>
      <c r="L32" s="305"/>
      <c r="M32" s="253"/>
      <c r="N32" s="121"/>
      <c r="O32" s="304"/>
      <c r="P32" s="253"/>
      <c r="Q32" s="122"/>
      <c r="R32" s="253"/>
      <c r="S32" s="121"/>
      <c r="T32" s="304"/>
      <c r="U32" s="139"/>
      <c r="V32" s="253"/>
      <c r="W32" s="296"/>
      <c r="X32" s="296"/>
    </row>
    <row r="33" spans="1:24" ht="15.75" x14ac:dyDescent="0.25">
      <c r="A33" s="142"/>
      <c r="B33" s="143"/>
      <c r="C33" s="299"/>
      <c r="D33" s="300"/>
      <c r="E33" s="300"/>
      <c r="F33" s="300"/>
      <c r="G33" s="300"/>
      <c r="H33" s="301"/>
      <c r="I33" s="133"/>
      <c r="J33" s="299"/>
      <c r="K33" s="300"/>
      <c r="L33" s="300"/>
      <c r="M33" s="301"/>
      <c r="N33" s="133"/>
      <c r="O33" s="299"/>
      <c r="P33" s="301"/>
      <c r="Q33" s="134"/>
      <c r="R33" s="301"/>
      <c r="S33" s="133"/>
      <c r="T33" s="299"/>
      <c r="U33" s="309"/>
      <c r="V33" s="301"/>
      <c r="W33" s="296"/>
      <c r="X33" s="296"/>
    </row>
    <row r="34" spans="1:24" ht="15.75" x14ac:dyDescent="0.25">
      <c r="A34" s="142"/>
      <c r="B34" s="144"/>
      <c r="C34" s="302"/>
      <c r="D34" s="303"/>
      <c r="E34" s="303"/>
      <c r="F34" s="303"/>
      <c r="G34" s="303"/>
      <c r="H34" s="173"/>
      <c r="I34" s="118"/>
      <c r="J34" s="302"/>
      <c r="K34" s="303"/>
      <c r="L34" s="303"/>
      <c r="M34" s="173"/>
      <c r="N34" s="118"/>
      <c r="O34" s="302"/>
      <c r="P34" s="173"/>
      <c r="Q34" s="119"/>
      <c r="R34" s="173"/>
      <c r="S34" s="118"/>
      <c r="T34" s="302"/>
      <c r="U34" s="310"/>
      <c r="V34" s="173"/>
      <c r="W34" s="296"/>
      <c r="X34" s="296"/>
    </row>
    <row r="35" spans="1:24" s="306" customFormat="1" ht="15.75" x14ac:dyDescent="0.25">
      <c r="A35" s="142"/>
      <c r="B35" s="145"/>
      <c r="C35" s="304"/>
      <c r="D35" s="305"/>
      <c r="E35" s="305"/>
      <c r="F35" s="305"/>
      <c r="G35" s="305"/>
      <c r="H35" s="253"/>
      <c r="I35" s="121"/>
      <c r="J35" s="304"/>
      <c r="K35" s="305"/>
      <c r="L35" s="305"/>
      <c r="M35" s="253"/>
      <c r="N35" s="121"/>
      <c r="O35" s="304"/>
      <c r="P35" s="253"/>
      <c r="Q35" s="122"/>
      <c r="R35" s="253"/>
      <c r="S35" s="121"/>
      <c r="T35" s="304"/>
      <c r="U35" s="139"/>
      <c r="V35" s="253"/>
      <c r="W35" s="296"/>
      <c r="X35" s="296"/>
    </row>
    <row r="36" spans="1:24" ht="15.75" x14ac:dyDescent="0.25">
      <c r="A36" s="142"/>
      <c r="B36" s="143"/>
      <c r="C36" s="299"/>
      <c r="D36" s="300"/>
      <c r="E36" s="300"/>
      <c r="F36" s="300"/>
      <c r="G36" s="300"/>
      <c r="H36" s="301"/>
      <c r="I36" s="133"/>
      <c r="J36" s="299"/>
      <c r="K36" s="300"/>
      <c r="L36" s="300"/>
      <c r="M36" s="301"/>
      <c r="N36" s="133"/>
      <c r="O36" s="299"/>
      <c r="P36" s="301"/>
      <c r="Q36" s="134"/>
      <c r="R36" s="301"/>
      <c r="S36" s="133"/>
      <c r="T36" s="299"/>
      <c r="U36" s="309"/>
      <c r="V36" s="301"/>
      <c r="W36" s="296"/>
      <c r="X36" s="296"/>
    </row>
    <row r="37" spans="1:24" ht="15.75" x14ac:dyDescent="0.25">
      <c r="A37" s="142"/>
      <c r="B37" s="144"/>
      <c r="C37" s="302"/>
      <c r="D37" s="303"/>
      <c r="E37" s="303"/>
      <c r="F37" s="303"/>
      <c r="G37" s="303"/>
      <c r="H37" s="173"/>
      <c r="I37" s="118"/>
      <c r="J37" s="302"/>
      <c r="K37" s="303"/>
      <c r="L37" s="303"/>
      <c r="M37" s="173"/>
      <c r="N37" s="118"/>
      <c r="O37" s="302"/>
      <c r="P37" s="173"/>
      <c r="Q37" s="119"/>
      <c r="R37" s="173"/>
      <c r="S37" s="118"/>
      <c r="T37" s="302"/>
      <c r="U37" s="310"/>
      <c r="V37" s="173"/>
      <c r="W37" s="296"/>
      <c r="X37" s="296"/>
    </row>
    <row r="38" spans="1:24" s="306" customFormat="1" ht="15.75" x14ac:dyDescent="0.25">
      <c r="A38" s="142"/>
      <c r="B38" s="145"/>
      <c r="C38" s="304"/>
      <c r="D38" s="305"/>
      <c r="E38" s="305"/>
      <c r="F38" s="305"/>
      <c r="G38" s="305"/>
      <c r="H38" s="253"/>
      <c r="I38" s="121"/>
      <c r="J38" s="304"/>
      <c r="K38" s="305"/>
      <c r="L38" s="305"/>
      <c r="M38" s="253"/>
      <c r="N38" s="121"/>
      <c r="O38" s="304"/>
      <c r="P38" s="253"/>
      <c r="Q38" s="122"/>
      <c r="R38" s="253"/>
      <c r="S38" s="121"/>
      <c r="T38" s="304"/>
      <c r="U38" s="139"/>
      <c r="V38" s="253"/>
      <c r="W38" s="296"/>
      <c r="X38" s="296"/>
    </row>
    <row r="39" spans="1:24" ht="15.75" x14ac:dyDescent="0.25">
      <c r="A39" s="142"/>
      <c r="B39" s="143"/>
      <c r="C39" s="299"/>
      <c r="D39" s="300"/>
      <c r="E39" s="300"/>
      <c r="F39" s="300"/>
      <c r="G39" s="300"/>
      <c r="H39" s="301"/>
      <c r="I39" s="133"/>
      <c r="J39" s="299"/>
      <c r="K39" s="300"/>
      <c r="L39" s="300"/>
      <c r="M39" s="301"/>
      <c r="N39" s="133"/>
      <c r="O39" s="299"/>
      <c r="P39" s="301"/>
      <c r="Q39" s="134"/>
      <c r="R39" s="301"/>
      <c r="S39" s="133"/>
      <c r="T39" s="299"/>
      <c r="U39" s="309"/>
      <c r="V39" s="301"/>
      <c r="W39" s="296"/>
      <c r="X39" s="296"/>
    </row>
    <row r="40" spans="1:24" ht="15.75" x14ac:dyDescent="0.25">
      <c r="A40" s="142"/>
      <c r="B40" s="144"/>
      <c r="C40" s="302"/>
      <c r="D40" s="303"/>
      <c r="E40" s="303"/>
      <c r="F40" s="303"/>
      <c r="G40" s="303"/>
      <c r="H40" s="173"/>
      <c r="I40" s="118"/>
      <c r="J40" s="302"/>
      <c r="K40" s="303"/>
      <c r="L40" s="303"/>
      <c r="M40" s="173"/>
      <c r="N40" s="118"/>
      <c r="O40" s="302"/>
      <c r="P40" s="173"/>
      <c r="Q40" s="119"/>
      <c r="R40" s="173"/>
      <c r="S40" s="118"/>
      <c r="T40" s="302"/>
      <c r="U40" s="310"/>
      <c r="V40" s="173"/>
      <c r="W40" s="296"/>
      <c r="X40" s="296"/>
    </row>
    <row r="41" spans="1:24" s="306" customFormat="1" ht="15.75" x14ac:dyDescent="0.25">
      <c r="A41" s="142"/>
      <c r="B41" s="145"/>
      <c r="C41" s="304"/>
      <c r="D41" s="305"/>
      <c r="E41" s="305"/>
      <c r="F41" s="305"/>
      <c r="G41" s="305"/>
      <c r="H41" s="253"/>
      <c r="I41" s="121"/>
      <c r="J41" s="304"/>
      <c r="K41" s="305"/>
      <c r="L41" s="305"/>
      <c r="M41" s="253"/>
      <c r="N41" s="121"/>
      <c r="O41" s="304"/>
      <c r="P41" s="253"/>
      <c r="Q41" s="122"/>
      <c r="R41" s="253"/>
      <c r="S41" s="121"/>
      <c r="T41" s="304"/>
      <c r="U41" s="139"/>
      <c r="V41" s="253"/>
      <c r="W41" s="296"/>
      <c r="X41" s="296"/>
    </row>
    <row r="42" spans="1:24" ht="15.75" x14ac:dyDescent="0.25">
      <c r="A42" s="142"/>
      <c r="B42" s="143"/>
      <c r="C42" s="299"/>
      <c r="D42" s="300"/>
      <c r="E42" s="300"/>
      <c r="F42" s="300"/>
      <c r="G42" s="300"/>
      <c r="H42" s="301"/>
      <c r="I42" s="133"/>
      <c r="J42" s="299"/>
      <c r="K42" s="300"/>
      <c r="L42" s="300"/>
      <c r="M42" s="301"/>
      <c r="N42" s="133"/>
      <c r="O42" s="299"/>
      <c r="P42" s="301"/>
      <c r="Q42" s="134"/>
      <c r="R42" s="301"/>
      <c r="S42" s="133"/>
      <c r="T42" s="299"/>
      <c r="U42" s="309"/>
      <c r="V42" s="301"/>
      <c r="W42" s="296"/>
      <c r="X42" s="296"/>
    </row>
    <row r="43" spans="1:24" ht="15.75" x14ac:dyDescent="0.25">
      <c r="A43" s="142"/>
      <c r="B43" s="144"/>
      <c r="C43" s="302"/>
      <c r="D43" s="303"/>
      <c r="E43" s="303"/>
      <c r="F43" s="303"/>
      <c r="G43" s="303"/>
      <c r="H43" s="173"/>
      <c r="I43" s="118"/>
      <c r="J43" s="302"/>
      <c r="K43" s="303"/>
      <c r="L43" s="303"/>
      <c r="M43" s="173"/>
      <c r="N43" s="118"/>
      <c r="O43" s="302"/>
      <c r="P43" s="173"/>
      <c r="Q43" s="119"/>
      <c r="R43" s="173"/>
      <c r="S43" s="118"/>
      <c r="T43" s="302"/>
      <c r="U43" s="310"/>
      <c r="V43" s="173"/>
      <c r="W43" s="296"/>
      <c r="X43" s="296"/>
    </row>
    <row r="44" spans="1:24" s="306" customFormat="1" ht="15.75" x14ac:dyDescent="0.25">
      <c r="A44" s="142"/>
      <c r="B44" s="145"/>
      <c r="C44" s="304"/>
      <c r="D44" s="305"/>
      <c r="E44" s="305"/>
      <c r="F44" s="305"/>
      <c r="G44" s="305"/>
      <c r="H44" s="253"/>
      <c r="I44" s="121"/>
      <c r="J44" s="304"/>
      <c r="K44" s="305"/>
      <c r="L44" s="305"/>
      <c r="M44" s="253"/>
      <c r="N44" s="121"/>
      <c r="O44" s="304"/>
      <c r="P44" s="253"/>
      <c r="Q44" s="122"/>
      <c r="R44" s="253"/>
      <c r="S44" s="121"/>
      <c r="T44" s="304"/>
      <c r="U44" s="139"/>
      <c r="V44" s="253"/>
      <c r="W44" s="296"/>
      <c r="X44" s="296"/>
    </row>
    <row r="45" spans="1:24" ht="15.75" x14ac:dyDescent="0.25">
      <c r="A45" s="142"/>
      <c r="B45" s="143"/>
      <c r="C45" s="299"/>
      <c r="D45" s="300"/>
      <c r="E45" s="300"/>
      <c r="F45" s="300"/>
      <c r="G45" s="300"/>
      <c r="H45" s="301"/>
      <c r="I45" s="133"/>
      <c r="J45" s="299"/>
      <c r="K45" s="300"/>
      <c r="L45" s="300"/>
      <c r="M45" s="301"/>
      <c r="N45" s="133"/>
      <c r="O45" s="299"/>
      <c r="P45" s="301"/>
      <c r="Q45" s="134"/>
      <c r="R45" s="301"/>
      <c r="S45" s="133"/>
      <c r="T45" s="299"/>
      <c r="U45" s="309"/>
      <c r="V45" s="301"/>
      <c r="W45" s="296"/>
      <c r="X45" s="296"/>
    </row>
    <row r="46" spans="1:24" ht="15.75" x14ac:dyDescent="0.25">
      <c r="A46" s="142"/>
      <c r="B46" s="144"/>
      <c r="C46" s="302"/>
      <c r="D46" s="303"/>
      <c r="E46" s="303"/>
      <c r="F46" s="303"/>
      <c r="G46" s="303"/>
      <c r="H46" s="173"/>
      <c r="I46" s="118"/>
      <c r="J46" s="302"/>
      <c r="K46" s="303"/>
      <c r="L46" s="303"/>
      <c r="M46" s="173"/>
      <c r="N46" s="118"/>
      <c r="O46" s="302"/>
      <c r="P46" s="173"/>
      <c r="Q46" s="119"/>
      <c r="R46" s="173"/>
      <c r="S46" s="118"/>
      <c r="T46" s="302"/>
      <c r="U46" s="310"/>
      <c r="V46" s="173"/>
      <c r="W46" s="296"/>
      <c r="X46" s="296"/>
    </row>
    <row r="47" spans="1:24" s="306" customFormat="1" ht="15.75" x14ac:dyDescent="0.25">
      <c r="A47" s="142"/>
      <c r="B47" s="145"/>
      <c r="C47" s="304"/>
      <c r="D47" s="305"/>
      <c r="E47" s="305"/>
      <c r="F47" s="305"/>
      <c r="G47" s="305"/>
      <c r="H47" s="253"/>
      <c r="I47" s="121"/>
      <c r="J47" s="304"/>
      <c r="K47" s="305"/>
      <c r="L47" s="305"/>
      <c r="M47" s="253"/>
      <c r="N47" s="121"/>
      <c r="O47" s="304"/>
      <c r="P47" s="253"/>
      <c r="Q47" s="122"/>
      <c r="R47" s="253"/>
      <c r="S47" s="121"/>
      <c r="T47" s="304"/>
      <c r="U47" s="139"/>
      <c r="V47" s="253"/>
      <c r="W47" s="296"/>
      <c r="X47" s="296"/>
    </row>
    <row r="48" spans="1:24" ht="15.75" x14ac:dyDescent="0.25">
      <c r="A48" s="142"/>
      <c r="B48" s="143"/>
      <c r="C48" s="299"/>
      <c r="D48" s="300"/>
      <c r="E48" s="300"/>
      <c r="F48" s="300"/>
      <c r="G48" s="300"/>
      <c r="H48" s="301"/>
      <c r="I48" s="133"/>
      <c r="J48" s="299"/>
      <c r="K48" s="300"/>
      <c r="L48" s="300"/>
      <c r="M48" s="301"/>
      <c r="N48" s="133"/>
      <c r="O48" s="299"/>
      <c r="P48" s="301"/>
      <c r="Q48" s="134"/>
      <c r="R48" s="301"/>
      <c r="S48" s="133"/>
      <c r="T48" s="299"/>
      <c r="U48" s="309"/>
      <c r="V48" s="301"/>
      <c r="W48" s="296"/>
      <c r="X48" s="296"/>
    </row>
    <row r="49" spans="1:24" ht="15.75" x14ac:dyDescent="0.25">
      <c r="A49" s="142"/>
      <c r="B49" s="144"/>
      <c r="C49" s="302"/>
      <c r="D49" s="303"/>
      <c r="E49" s="303"/>
      <c r="F49" s="303"/>
      <c r="G49" s="303"/>
      <c r="H49" s="173"/>
      <c r="I49" s="118"/>
      <c r="J49" s="302"/>
      <c r="K49" s="303"/>
      <c r="L49" s="303"/>
      <c r="M49" s="173"/>
      <c r="N49" s="118"/>
      <c r="O49" s="302"/>
      <c r="P49" s="173"/>
      <c r="Q49" s="119"/>
      <c r="R49" s="173"/>
      <c r="S49" s="118"/>
      <c r="T49" s="302"/>
      <c r="U49" s="310"/>
      <c r="V49" s="173"/>
      <c r="W49" s="296"/>
      <c r="X49" s="296"/>
    </row>
    <row r="50" spans="1:24" s="306" customFormat="1" ht="15.75" x14ac:dyDescent="0.25">
      <c r="A50" s="142"/>
      <c r="B50" s="145"/>
      <c r="C50" s="304"/>
      <c r="D50" s="305"/>
      <c r="E50" s="305"/>
      <c r="F50" s="305"/>
      <c r="G50" s="305"/>
      <c r="H50" s="253"/>
      <c r="I50" s="121"/>
      <c r="J50" s="304"/>
      <c r="K50" s="305"/>
      <c r="L50" s="305"/>
      <c r="M50" s="253"/>
      <c r="N50" s="121"/>
      <c r="O50" s="304"/>
      <c r="P50" s="253"/>
      <c r="Q50" s="122"/>
      <c r="R50" s="253"/>
      <c r="S50" s="121"/>
      <c r="T50" s="304"/>
      <c r="U50" s="139"/>
      <c r="V50" s="253"/>
      <c r="W50" s="296"/>
      <c r="X50" s="296"/>
    </row>
    <row r="51" spans="1:24" ht="15.75" x14ac:dyDescent="0.25">
      <c r="A51" s="142"/>
      <c r="B51" s="143"/>
      <c r="C51" s="299"/>
      <c r="D51" s="300"/>
      <c r="E51" s="300"/>
      <c r="F51" s="300"/>
      <c r="G51" s="300"/>
      <c r="H51" s="301"/>
      <c r="I51" s="133"/>
      <c r="J51" s="299"/>
      <c r="K51" s="300"/>
      <c r="L51" s="300"/>
      <c r="M51" s="301"/>
      <c r="N51" s="133"/>
      <c r="O51" s="299"/>
      <c r="P51" s="301"/>
      <c r="Q51" s="134"/>
      <c r="R51" s="301"/>
      <c r="S51" s="133"/>
      <c r="T51" s="299"/>
      <c r="U51" s="309"/>
      <c r="V51" s="301"/>
      <c r="W51" s="296"/>
      <c r="X51" s="296"/>
    </row>
    <row r="52" spans="1:24" ht="15.75" x14ac:dyDescent="0.25">
      <c r="A52" s="142"/>
      <c r="B52" s="144"/>
      <c r="C52" s="302"/>
      <c r="D52" s="303"/>
      <c r="E52" s="303"/>
      <c r="F52" s="303"/>
      <c r="G52" s="303"/>
      <c r="H52" s="173"/>
      <c r="I52" s="118"/>
      <c r="J52" s="302"/>
      <c r="K52" s="303"/>
      <c r="L52" s="303"/>
      <c r="M52" s="173"/>
      <c r="N52" s="118"/>
      <c r="O52" s="302"/>
      <c r="P52" s="173"/>
      <c r="Q52" s="119"/>
      <c r="R52" s="173"/>
      <c r="S52" s="118"/>
      <c r="T52" s="302"/>
      <c r="U52" s="310"/>
      <c r="V52" s="173"/>
      <c r="W52" s="296"/>
      <c r="X52" s="296"/>
    </row>
    <row r="53" spans="1:24" s="306" customFormat="1" ht="15.75" x14ac:dyDescent="0.25">
      <c r="A53" s="142"/>
      <c r="B53" s="145"/>
      <c r="C53" s="304"/>
      <c r="D53" s="305"/>
      <c r="E53" s="305"/>
      <c r="F53" s="305"/>
      <c r="G53" s="305"/>
      <c r="H53" s="253"/>
      <c r="I53" s="121"/>
      <c r="J53" s="304"/>
      <c r="K53" s="305"/>
      <c r="L53" s="305"/>
      <c r="M53" s="253"/>
      <c r="N53" s="121"/>
      <c r="O53" s="304"/>
      <c r="P53" s="253"/>
      <c r="Q53" s="122"/>
      <c r="R53" s="253"/>
      <c r="S53" s="121"/>
      <c r="T53" s="304"/>
      <c r="U53" s="139"/>
      <c r="V53" s="253"/>
      <c r="W53" s="296"/>
      <c r="X53" s="296"/>
    </row>
    <row r="54" spans="1:24" ht="15.75" x14ac:dyDescent="0.25">
      <c r="A54" s="142"/>
      <c r="B54" s="143"/>
      <c r="C54" s="299"/>
      <c r="D54" s="300"/>
      <c r="E54" s="300"/>
      <c r="F54" s="300"/>
      <c r="G54" s="300"/>
      <c r="H54" s="301"/>
      <c r="I54" s="133"/>
      <c r="J54" s="299"/>
      <c r="K54" s="300"/>
      <c r="L54" s="300"/>
      <c r="M54" s="301"/>
      <c r="N54" s="133"/>
      <c r="O54" s="299"/>
      <c r="P54" s="301"/>
      <c r="Q54" s="134"/>
      <c r="R54" s="301"/>
      <c r="S54" s="133"/>
      <c r="T54" s="299"/>
      <c r="U54" s="309"/>
      <c r="V54" s="301"/>
      <c r="W54" s="296"/>
      <c r="X54" s="296"/>
    </row>
    <row r="55" spans="1:24" ht="16.5" thickBot="1" x14ac:dyDescent="0.3">
      <c r="A55" s="142"/>
      <c r="B55" s="144"/>
      <c r="C55" s="302"/>
      <c r="D55" s="303"/>
      <c r="E55" s="303"/>
      <c r="F55" s="303"/>
      <c r="G55" s="303"/>
      <c r="H55" s="173"/>
      <c r="I55" s="118"/>
      <c r="J55" s="302"/>
      <c r="K55" s="303"/>
      <c r="L55" s="303"/>
      <c r="M55" s="173"/>
      <c r="N55" s="118"/>
      <c r="O55" s="302"/>
      <c r="P55" s="173"/>
      <c r="Q55" s="119"/>
      <c r="R55" s="173"/>
      <c r="S55" s="118"/>
      <c r="T55" s="302"/>
      <c r="U55" s="310"/>
      <c r="V55" s="173"/>
      <c r="W55" s="296"/>
      <c r="X55" s="296"/>
    </row>
    <row r="56" spans="1:24" s="306" customFormat="1" ht="16.5" thickBot="1" x14ac:dyDescent="0.3">
      <c r="A56" s="142"/>
      <c r="B56" s="145"/>
      <c r="C56" s="724"/>
      <c r="D56" s="305"/>
      <c r="E56" s="724"/>
      <c r="F56" s="305"/>
      <c r="G56" s="305"/>
      <c r="H56" s="253"/>
      <c r="I56" s="121"/>
      <c r="J56" s="304"/>
      <c r="K56" s="305"/>
      <c r="L56" s="305"/>
      <c r="M56" s="253"/>
      <c r="N56" s="121"/>
      <c r="O56" s="304"/>
      <c r="P56" s="253"/>
      <c r="Q56" s="122"/>
      <c r="R56" s="253"/>
      <c r="S56" s="121"/>
      <c r="T56" s="304"/>
      <c r="U56" s="139"/>
      <c r="V56" s="253"/>
      <c r="W56" s="296"/>
      <c r="X56" s="296"/>
    </row>
    <row r="57" spans="1:24" ht="15.75" x14ac:dyDescent="0.25">
      <c r="A57" s="142"/>
      <c r="B57" s="143"/>
      <c r="C57" s="299"/>
      <c r="D57" s="300"/>
      <c r="E57" s="300"/>
      <c r="F57" s="300"/>
      <c r="G57" s="300"/>
      <c r="H57" s="301"/>
      <c r="I57" s="133"/>
      <c r="J57" s="299"/>
      <c r="K57" s="300"/>
      <c r="L57" s="300"/>
      <c r="M57" s="301"/>
      <c r="N57" s="133"/>
      <c r="O57" s="299"/>
      <c r="P57" s="301"/>
      <c r="Q57" s="134"/>
      <c r="R57" s="301"/>
      <c r="S57" s="133"/>
      <c r="T57" s="299"/>
      <c r="U57" s="309"/>
      <c r="V57" s="301"/>
      <c r="W57" s="296"/>
      <c r="X57" s="296"/>
    </row>
    <row r="58" spans="1:24" s="306" customFormat="1" ht="15.75" x14ac:dyDescent="0.25">
      <c r="A58" s="294"/>
      <c r="B58" s="144"/>
      <c r="C58" s="302"/>
      <c r="D58" s="303"/>
      <c r="E58" s="303"/>
      <c r="F58" s="303"/>
      <c r="G58" s="303"/>
      <c r="H58" s="173"/>
      <c r="I58" s="118"/>
      <c r="J58" s="302"/>
      <c r="K58" s="303"/>
      <c r="L58" s="303"/>
      <c r="M58" s="173"/>
      <c r="N58" s="118"/>
      <c r="O58" s="302"/>
      <c r="P58" s="173"/>
      <c r="Q58" s="119"/>
      <c r="R58" s="173"/>
      <c r="S58" s="118"/>
      <c r="T58" s="302"/>
      <c r="U58" s="310"/>
      <c r="V58" s="173"/>
      <c r="W58" s="296"/>
      <c r="X58" s="296"/>
    </row>
    <row r="59" spans="1:24" s="306" customFormat="1" ht="15.75" x14ac:dyDescent="0.25">
      <c r="A59" s="141"/>
      <c r="B59" s="143"/>
      <c r="C59" s="300"/>
      <c r="D59" s="300"/>
      <c r="E59" s="300"/>
      <c r="F59" s="300"/>
      <c r="G59" s="300"/>
      <c r="H59" s="134"/>
      <c r="I59" s="300"/>
      <c r="J59" s="299"/>
      <c r="K59" s="300"/>
      <c r="L59" s="300"/>
      <c r="M59" s="134"/>
      <c r="N59" s="300"/>
      <c r="O59" s="299"/>
      <c r="P59" s="134"/>
      <c r="Q59" s="301"/>
      <c r="R59" s="134"/>
      <c r="S59" s="300"/>
      <c r="T59" s="132"/>
      <c r="U59" s="311"/>
      <c r="V59" s="301"/>
      <c r="W59" s="296"/>
      <c r="X59" s="296"/>
    </row>
    <row r="60" spans="1:24" ht="16.5" thickBot="1" x14ac:dyDescent="0.3">
      <c r="A60" s="142"/>
      <c r="B60" s="144"/>
      <c r="C60" s="303"/>
      <c r="D60" s="303"/>
      <c r="E60" s="303"/>
      <c r="F60" s="303"/>
      <c r="G60" s="303"/>
      <c r="H60" s="119"/>
      <c r="I60" s="303"/>
      <c r="J60" s="302"/>
      <c r="K60" s="303"/>
      <c r="L60" s="303"/>
      <c r="M60" s="119"/>
      <c r="N60" s="303"/>
      <c r="O60" s="302"/>
      <c r="P60" s="119"/>
      <c r="Q60" s="173"/>
      <c r="R60" s="119"/>
      <c r="S60" s="303"/>
      <c r="T60" s="117"/>
      <c r="U60" s="312"/>
      <c r="V60" s="173"/>
      <c r="W60" s="296"/>
      <c r="X60" s="296"/>
    </row>
    <row r="61" spans="1:24" ht="16.5" thickBot="1" x14ac:dyDescent="0.3">
      <c r="A61" s="142"/>
      <c r="B61" s="145"/>
      <c r="C61" s="305"/>
      <c r="D61" s="305"/>
      <c r="E61" s="305"/>
      <c r="F61" s="305"/>
      <c r="G61" s="305"/>
      <c r="H61" s="724"/>
      <c r="I61" s="305"/>
      <c r="J61" s="304"/>
      <c r="K61" s="724"/>
      <c r="L61" s="305"/>
      <c r="M61" s="122"/>
      <c r="N61" s="305"/>
      <c r="O61" s="304"/>
      <c r="P61" s="122"/>
      <c r="Q61" s="253"/>
      <c r="R61" s="122"/>
      <c r="S61" s="305"/>
      <c r="T61" s="120"/>
      <c r="U61" s="313"/>
      <c r="V61" s="253"/>
      <c r="W61" s="296"/>
      <c r="X61" s="296"/>
    </row>
    <row r="62" spans="1:24" s="306" customFormat="1" ht="15.75" x14ac:dyDescent="0.25">
      <c r="A62" s="142"/>
      <c r="B62" s="143"/>
      <c r="C62" s="300"/>
      <c r="D62" s="300"/>
      <c r="E62" s="300"/>
      <c r="F62" s="300"/>
      <c r="G62" s="300"/>
      <c r="H62" s="134"/>
      <c r="I62" s="300"/>
      <c r="J62" s="299"/>
      <c r="K62" s="300"/>
      <c r="L62" s="300"/>
      <c r="M62" s="134"/>
      <c r="N62" s="300"/>
      <c r="O62" s="299"/>
      <c r="P62" s="134"/>
      <c r="Q62" s="301"/>
      <c r="R62" s="134"/>
      <c r="S62" s="300"/>
      <c r="T62" s="132"/>
      <c r="U62" s="311"/>
      <c r="V62" s="132"/>
      <c r="W62" s="296"/>
      <c r="X62" s="296"/>
    </row>
    <row r="63" spans="1:24" ht="15.75" x14ac:dyDescent="0.25">
      <c r="A63" s="142"/>
      <c r="B63" s="144"/>
      <c r="C63" s="303"/>
      <c r="D63" s="303"/>
      <c r="E63" s="303"/>
      <c r="F63" s="303"/>
      <c r="G63" s="303"/>
      <c r="H63" s="119"/>
      <c r="I63" s="303"/>
      <c r="J63" s="302"/>
      <c r="K63" s="303"/>
      <c r="L63" s="303"/>
      <c r="M63" s="119"/>
      <c r="N63" s="303"/>
      <c r="O63" s="302"/>
      <c r="P63" s="119"/>
      <c r="Q63" s="173"/>
      <c r="R63" s="119"/>
      <c r="S63" s="303"/>
      <c r="T63" s="117"/>
      <c r="U63" s="312"/>
      <c r="V63" s="117"/>
      <c r="W63" s="296"/>
      <c r="X63" s="296"/>
    </row>
    <row r="64" spans="1:24" ht="15.75" x14ac:dyDescent="0.25">
      <c r="A64" s="142"/>
      <c r="B64" s="145"/>
      <c r="C64" s="305"/>
      <c r="D64" s="305"/>
      <c r="E64" s="305"/>
      <c r="F64" s="305"/>
      <c r="G64" s="305"/>
      <c r="H64" s="122"/>
      <c r="I64" s="305"/>
      <c r="J64" s="304"/>
      <c r="K64" s="305"/>
      <c r="L64" s="305"/>
      <c r="M64" s="122"/>
      <c r="N64" s="305"/>
      <c r="O64" s="304"/>
      <c r="P64" s="122"/>
      <c r="Q64" s="253"/>
      <c r="R64" s="122"/>
      <c r="S64" s="305"/>
      <c r="T64" s="120"/>
      <c r="U64" s="313"/>
      <c r="V64" s="120"/>
      <c r="W64" s="296"/>
      <c r="X64" s="296"/>
    </row>
    <row r="65" spans="1:24" s="306" customFormat="1" ht="15.75" x14ac:dyDescent="0.25">
      <c r="A65" s="142"/>
      <c r="B65" s="143"/>
      <c r="C65" s="299"/>
      <c r="D65" s="300"/>
      <c r="E65" s="300"/>
      <c r="F65" s="300"/>
      <c r="G65" s="300"/>
      <c r="H65" s="301"/>
      <c r="I65" s="133"/>
      <c r="J65" s="299"/>
      <c r="K65" s="300"/>
      <c r="L65" s="300"/>
      <c r="M65" s="301"/>
      <c r="N65" s="133"/>
      <c r="O65" s="299"/>
      <c r="P65" s="301"/>
      <c r="Q65" s="134"/>
      <c r="R65" s="301"/>
      <c r="S65" s="133"/>
      <c r="T65" s="299"/>
      <c r="U65" s="309"/>
      <c r="V65" s="301"/>
      <c r="W65" s="296"/>
      <c r="X65" s="296"/>
    </row>
    <row r="66" spans="1:24" ht="16.5" thickBot="1" x14ac:dyDescent="0.3">
      <c r="A66" s="142"/>
      <c r="B66" s="144"/>
      <c r="C66" s="302"/>
      <c r="D66" s="303"/>
      <c r="E66" s="303"/>
      <c r="F66" s="303"/>
      <c r="G66" s="303"/>
      <c r="H66" s="173"/>
      <c r="I66" s="118"/>
      <c r="J66" s="302"/>
      <c r="K66" s="303"/>
      <c r="L66" s="303"/>
      <c r="M66" s="173"/>
      <c r="N66" s="118"/>
      <c r="O66" s="302"/>
      <c r="P66" s="173"/>
      <c r="Q66" s="119"/>
      <c r="R66" s="173"/>
      <c r="S66" s="118"/>
      <c r="T66" s="302"/>
      <c r="U66" s="310"/>
      <c r="V66" s="173"/>
      <c r="W66" s="296"/>
      <c r="X66" s="296"/>
    </row>
    <row r="67" spans="1:24" ht="16.5" thickBot="1" x14ac:dyDescent="0.3">
      <c r="A67" s="142"/>
      <c r="B67" s="145"/>
      <c r="C67" s="304"/>
      <c r="D67" s="305"/>
      <c r="E67" s="724"/>
      <c r="F67" s="724"/>
      <c r="G67" s="305"/>
      <c r="H67" s="122"/>
      <c r="I67" s="121"/>
      <c r="J67" s="304"/>
      <c r="K67" s="724"/>
      <c r="L67" s="724"/>
      <c r="M67" s="122"/>
      <c r="N67" s="121"/>
      <c r="O67" s="304"/>
      <c r="P67" s="253"/>
      <c r="Q67" s="122"/>
      <c r="R67" s="253"/>
      <c r="S67" s="724"/>
      <c r="T67" s="304"/>
      <c r="U67" s="139"/>
      <c r="V67" s="253"/>
      <c r="W67" s="296"/>
      <c r="X67" s="296"/>
    </row>
    <row r="68" spans="1:24" s="306" customFormat="1" ht="15.75" x14ac:dyDescent="0.25">
      <c r="A68" s="142"/>
      <c r="B68" s="143"/>
      <c r="C68" s="300"/>
      <c r="D68" s="300"/>
      <c r="E68" s="300"/>
      <c r="F68" s="300"/>
      <c r="G68" s="300"/>
      <c r="H68" s="134"/>
      <c r="I68" s="300"/>
      <c r="J68" s="299"/>
      <c r="K68" s="300"/>
      <c r="L68" s="300"/>
      <c r="M68" s="134"/>
      <c r="N68" s="300"/>
      <c r="O68" s="299"/>
      <c r="P68" s="134"/>
      <c r="Q68" s="301"/>
      <c r="R68" s="134"/>
      <c r="S68" s="300"/>
      <c r="T68" s="132"/>
      <c r="U68" s="311"/>
      <c r="V68" s="132"/>
      <c r="W68" s="296"/>
      <c r="X68" s="296"/>
    </row>
    <row r="69" spans="1:24" ht="15.75" x14ac:dyDescent="0.25">
      <c r="A69" s="142"/>
      <c r="B69" s="144"/>
      <c r="C69" s="303"/>
      <c r="D69" s="303"/>
      <c r="E69" s="303"/>
      <c r="F69" s="303"/>
      <c r="G69" s="303"/>
      <c r="H69" s="119"/>
      <c r="I69" s="303"/>
      <c r="J69" s="302"/>
      <c r="K69" s="303"/>
      <c r="L69" s="303"/>
      <c r="M69" s="119"/>
      <c r="N69" s="303"/>
      <c r="O69" s="302"/>
      <c r="P69" s="119"/>
      <c r="Q69" s="173"/>
      <c r="R69" s="119"/>
      <c r="S69" s="303"/>
      <c r="T69" s="117"/>
      <c r="U69" s="312"/>
      <c r="V69" s="117"/>
      <c r="W69" s="296"/>
      <c r="X69" s="296"/>
    </row>
    <row r="70" spans="1:24" ht="15.75" x14ac:dyDescent="0.25">
      <c r="A70" s="142"/>
      <c r="B70" s="145"/>
      <c r="C70" s="305"/>
      <c r="D70" s="305"/>
      <c r="E70" s="305"/>
      <c r="F70" s="305"/>
      <c r="G70" s="305"/>
      <c r="H70" s="122"/>
      <c r="I70" s="305"/>
      <c r="J70" s="304"/>
      <c r="K70" s="305"/>
      <c r="L70" s="305"/>
      <c r="M70" s="122"/>
      <c r="N70" s="305"/>
      <c r="O70" s="304"/>
      <c r="P70" s="122"/>
      <c r="Q70" s="253"/>
      <c r="R70" s="122"/>
      <c r="S70" s="305"/>
      <c r="T70" s="120"/>
      <c r="U70" s="313"/>
      <c r="V70" s="120"/>
      <c r="W70" s="296"/>
      <c r="X70" s="296"/>
    </row>
    <row r="71" spans="1:24" s="306" customFormat="1" ht="15.75" x14ac:dyDescent="0.25">
      <c r="A71" s="142"/>
      <c r="B71" s="143"/>
      <c r="C71" s="300"/>
      <c r="D71" s="300"/>
      <c r="E71" s="300"/>
      <c r="F71" s="300"/>
      <c r="G71" s="300"/>
      <c r="H71" s="134"/>
      <c r="I71" s="300"/>
      <c r="J71" s="299"/>
      <c r="K71" s="300"/>
      <c r="L71" s="300"/>
      <c r="M71" s="134"/>
      <c r="N71" s="300"/>
      <c r="O71" s="299"/>
      <c r="P71" s="134"/>
      <c r="Q71" s="301"/>
      <c r="R71" s="134"/>
      <c r="S71" s="300"/>
      <c r="T71" s="132"/>
      <c r="U71" s="311"/>
      <c r="V71" s="132"/>
      <c r="W71" s="296"/>
      <c r="X71" s="296"/>
    </row>
    <row r="72" spans="1:24" ht="16.5" thickBot="1" x14ac:dyDescent="0.3">
      <c r="A72" s="142"/>
      <c r="B72" s="144"/>
      <c r="C72" s="303"/>
      <c r="D72" s="303"/>
      <c r="E72" s="303"/>
      <c r="F72" s="303"/>
      <c r="G72" s="303"/>
      <c r="H72" s="119"/>
      <c r="I72" s="303"/>
      <c r="J72" s="302"/>
      <c r="K72" s="303"/>
      <c r="L72" s="303"/>
      <c r="M72" s="119"/>
      <c r="N72" s="303"/>
      <c r="O72" s="302"/>
      <c r="P72" s="119"/>
      <c r="Q72" s="173"/>
      <c r="R72" s="119"/>
      <c r="S72" s="303"/>
      <c r="T72" s="117"/>
      <c r="U72" s="312"/>
      <c r="V72" s="117"/>
      <c r="W72" s="296"/>
      <c r="X72" s="296"/>
    </row>
    <row r="73" spans="1:24" ht="16.5" thickBot="1" x14ac:dyDescent="0.3">
      <c r="A73" s="142"/>
      <c r="B73" s="145"/>
      <c r="C73" s="724"/>
      <c r="D73" s="305"/>
      <c r="E73" s="724"/>
      <c r="F73" s="305"/>
      <c r="G73" s="305"/>
      <c r="H73" s="122"/>
      <c r="I73" s="305"/>
      <c r="J73" s="304"/>
      <c r="K73" s="305"/>
      <c r="L73" s="305"/>
      <c r="M73" s="122"/>
      <c r="N73" s="305"/>
      <c r="O73" s="304"/>
      <c r="P73" s="122"/>
      <c r="Q73" s="253"/>
      <c r="R73" s="122"/>
      <c r="S73" s="305"/>
      <c r="T73" s="120"/>
      <c r="U73" s="313"/>
      <c r="V73" s="120"/>
      <c r="W73" s="296"/>
      <c r="X73" s="296"/>
    </row>
    <row r="74" spans="1:24" s="306" customFormat="1" ht="15.75" x14ac:dyDescent="0.25">
      <c r="A74" s="142"/>
      <c r="B74" s="143"/>
      <c r="C74" s="300"/>
      <c r="D74" s="300"/>
      <c r="E74" s="300"/>
      <c r="F74" s="300"/>
      <c r="G74" s="300"/>
      <c r="H74" s="134"/>
      <c r="I74" s="300"/>
      <c r="J74" s="299"/>
      <c r="K74" s="300"/>
      <c r="L74" s="300"/>
      <c r="M74" s="134"/>
      <c r="N74" s="300"/>
      <c r="O74" s="299"/>
      <c r="P74" s="134"/>
      <c r="Q74" s="301"/>
      <c r="R74" s="134"/>
      <c r="S74" s="300"/>
      <c r="T74" s="132"/>
      <c r="U74" s="311"/>
      <c r="V74" s="132"/>
      <c r="W74" s="296"/>
      <c r="X74" s="296"/>
    </row>
    <row r="75" spans="1:24" ht="16.5" thickBot="1" x14ac:dyDescent="0.3">
      <c r="A75" s="142"/>
      <c r="B75" s="144"/>
      <c r="C75" s="303"/>
      <c r="D75" s="303"/>
      <c r="E75" s="303"/>
      <c r="F75" s="303"/>
      <c r="G75" s="303"/>
      <c r="H75" s="119"/>
      <c r="I75" s="303"/>
      <c r="J75" s="302"/>
      <c r="K75" s="303"/>
      <c r="L75" s="303"/>
      <c r="M75" s="119"/>
      <c r="N75" s="303"/>
      <c r="O75" s="302"/>
      <c r="P75" s="119"/>
      <c r="Q75" s="173"/>
      <c r="R75" s="119"/>
      <c r="S75" s="303"/>
      <c r="T75" s="117"/>
      <c r="U75" s="312"/>
      <c r="V75" s="117"/>
      <c r="W75" s="296"/>
      <c r="X75" s="296"/>
    </row>
    <row r="76" spans="1:24" ht="16.5" thickBot="1" x14ac:dyDescent="0.3">
      <c r="A76" s="142"/>
      <c r="B76" s="145"/>
      <c r="C76" s="305"/>
      <c r="D76" s="305"/>
      <c r="E76" s="724"/>
      <c r="F76" s="305"/>
      <c r="G76" s="305"/>
      <c r="H76" s="122"/>
      <c r="I76" s="305"/>
      <c r="J76" s="304"/>
      <c r="K76" s="305"/>
      <c r="L76" s="305"/>
      <c r="M76" s="122"/>
      <c r="N76" s="305"/>
      <c r="O76" s="304"/>
      <c r="P76" s="122"/>
      <c r="Q76" s="253"/>
      <c r="R76" s="122"/>
      <c r="S76" s="305"/>
      <c r="T76" s="120"/>
      <c r="U76" s="313"/>
      <c r="V76" s="120"/>
      <c r="W76" s="296"/>
      <c r="X76" s="296"/>
    </row>
    <row r="77" spans="1:24" s="306" customFormat="1" ht="15.75" x14ac:dyDescent="0.25">
      <c r="A77" s="142"/>
      <c r="B77" s="143"/>
      <c r="C77" s="300"/>
      <c r="D77" s="300"/>
      <c r="E77" s="300"/>
      <c r="F77" s="300"/>
      <c r="G77" s="300"/>
      <c r="H77" s="134"/>
      <c r="I77" s="300"/>
      <c r="J77" s="299"/>
      <c r="K77" s="300"/>
      <c r="L77" s="300"/>
      <c r="M77" s="134"/>
      <c r="N77" s="300"/>
      <c r="O77" s="299"/>
      <c r="P77" s="134"/>
      <c r="Q77" s="301"/>
      <c r="R77" s="134"/>
      <c r="S77" s="300"/>
      <c r="T77" s="132"/>
      <c r="U77" s="311"/>
      <c r="V77" s="132"/>
      <c r="W77" s="296"/>
      <c r="X77" s="296"/>
    </row>
    <row r="78" spans="1:24" ht="15.75" x14ac:dyDescent="0.25">
      <c r="A78" s="142"/>
      <c r="B78" s="144"/>
      <c r="C78" s="303"/>
      <c r="D78" s="303"/>
      <c r="E78" s="303"/>
      <c r="F78" s="303"/>
      <c r="G78" s="303"/>
      <c r="H78" s="119"/>
      <c r="I78" s="303"/>
      <c r="J78" s="302"/>
      <c r="K78" s="303"/>
      <c r="L78" s="303"/>
      <c r="M78" s="119"/>
      <c r="N78" s="303"/>
      <c r="O78" s="302"/>
      <c r="P78" s="119"/>
      <c r="Q78" s="173"/>
      <c r="R78" s="119"/>
      <c r="S78" s="303"/>
      <c r="T78" s="117"/>
      <c r="U78" s="312"/>
      <c r="V78" s="117"/>
      <c r="W78" s="296"/>
      <c r="X78" s="296"/>
    </row>
    <row r="79" spans="1:24" ht="15.75" x14ac:dyDescent="0.25">
      <c r="A79" s="142"/>
      <c r="B79" s="145"/>
      <c r="C79" s="305"/>
      <c r="D79" s="305"/>
      <c r="E79" s="305"/>
      <c r="F79" s="305"/>
      <c r="G79" s="305"/>
      <c r="H79" s="122"/>
      <c r="I79" s="305"/>
      <c r="J79" s="304"/>
      <c r="K79" s="305"/>
      <c r="L79" s="305"/>
      <c r="M79" s="122"/>
      <c r="N79" s="305"/>
      <c r="O79" s="304"/>
      <c r="P79" s="122"/>
      <c r="Q79" s="253"/>
      <c r="R79" s="122"/>
      <c r="S79" s="305"/>
      <c r="T79" s="120"/>
      <c r="U79" s="313"/>
      <c r="V79" s="120"/>
      <c r="W79" s="296"/>
      <c r="X79" s="296"/>
    </row>
    <row r="80" spans="1:24" s="306" customFormat="1" ht="15.75" x14ac:dyDescent="0.25">
      <c r="A80" s="142"/>
      <c r="B80" s="143"/>
      <c r="C80" s="300"/>
      <c r="D80" s="300"/>
      <c r="E80" s="300"/>
      <c r="F80" s="300"/>
      <c r="G80" s="300"/>
      <c r="H80" s="134"/>
      <c r="I80" s="300"/>
      <c r="J80" s="299"/>
      <c r="K80" s="300"/>
      <c r="L80" s="300"/>
      <c r="M80" s="134"/>
      <c r="N80" s="300"/>
      <c r="O80" s="299"/>
      <c r="P80" s="134"/>
      <c r="Q80" s="301"/>
      <c r="R80" s="134"/>
      <c r="S80" s="300"/>
      <c r="T80" s="132"/>
      <c r="U80" s="311"/>
      <c r="V80" s="132"/>
      <c r="W80" s="296"/>
      <c r="X80" s="296"/>
    </row>
    <row r="81" spans="1:24" ht="15.75" x14ac:dyDescent="0.25">
      <c r="A81" s="142"/>
      <c r="B81" s="144"/>
      <c r="C81" s="303"/>
      <c r="D81" s="303"/>
      <c r="E81" s="303"/>
      <c r="F81" s="303"/>
      <c r="G81" s="303"/>
      <c r="H81" s="119"/>
      <c r="I81" s="303"/>
      <c r="J81" s="302"/>
      <c r="K81" s="303"/>
      <c r="L81" s="303"/>
      <c r="M81" s="119"/>
      <c r="N81" s="303"/>
      <c r="O81" s="302"/>
      <c r="P81" s="119"/>
      <c r="Q81" s="173"/>
      <c r="R81" s="119"/>
      <c r="S81" s="303"/>
      <c r="T81" s="117"/>
      <c r="U81" s="312"/>
      <c r="V81" s="117"/>
      <c r="W81" s="296"/>
      <c r="X81" s="296"/>
    </row>
    <row r="82" spans="1:24" ht="15.75" x14ac:dyDescent="0.25">
      <c r="A82" s="142"/>
      <c r="B82" s="145"/>
      <c r="C82" s="305"/>
      <c r="D82" s="305"/>
      <c r="E82" s="305"/>
      <c r="F82" s="305"/>
      <c r="G82" s="305"/>
      <c r="H82" s="122"/>
      <c r="I82" s="305"/>
      <c r="J82" s="304"/>
      <c r="K82" s="305"/>
      <c r="L82" s="305"/>
      <c r="M82" s="122"/>
      <c r="N82" s="305"/>
      <c r="O82" s="304"/>
      <c r="P82" s="122"/>
      <c r="Q82" s="253"/>
      <c r="R82" s="122"/>
      <c r="S82" s="305"/>
      <c r="T82" s="120"/>
      <c r="U82" s="313"/>
      <c r="V82" s="120"/>
      <c r="W82" s="296"/>
      <c r="X82" s="296"/>
    </row>
    <row r="83" spans="1:24" s="306" customFormat="1" ht="15.75" x14ac:dyDescent="0.25">
      <c r="A83" s="142"/>
      <c r="B83" s="143"/>
      <c r="C83" s="300"/>
      <c r="D83" s="300"/>
      <c r="E83" s="300"/>
      <c r="F83" s="300"/>
      <c r="G83" s="300"/>
      <c r="H83" s="134"/>
      <c r="I83" s="300"/>
      <c r="J83" s="299"/>
      <c r="K83" s="300"/>
      <c r="L83" s="300"/>
      <c r="M83" s="134"/>
      <c r="N83" s="300"/>
      <c r="O83" s="299"/>
      <c r="P83" s="134"/>
      <c r="Q83" s="301"/>
      <c r="R83" s="134"/>
      <c r="S83" s="300"/>
      <c r="T83" s="132"/>
      <c r="U83" s="311"/>
      <c r="V83" s="132"/>
      <c r="W83" s="296"/>
      <c r="X83" s="296"/>
    </row>
    <row r="84" spans="1:24" ht="15.75" x14ac:dyDescent="0.25">
      <c r="A84" s="142"/>
      <c r="B84" s="144"/>
      <c r="C84" s="303"/>
      <c r="D84" s="303"/>
      <c r="E84" s="303"/>
      <c r="F84" s="303"/>
      <c r="G84" s="303"/>
      <c r="H84" s="119"/>
      <c r="I84" s="303"/>
      <c r="J84" s="302"/>
      <c r="K84" s="303"/>
      <c r="L84" s="303"/>
      <c r="M84" s="119"/>
      <c r="N84" s="303"/>
      <c r="O84" s="302"/>
      <c r="P84" s="119"/>
      <c r="Q84" s="173"/>
      <c r="R84" s="119"/>
      <c r="S84" s="303"/>
      <c r="T84" s="117"/>
      <c r="U84" s="312"/>
      <c r="V84" s="117"/>
      <c r="W84" s="296"/>
      <c r="X84" s="296"/>
    </row>
    <row r="85" spans="1:24" ht="15.75" x14ac:dyDescent="0.25">
      <c r="A85" s="142"/>
      <c r="B85" s="145"/>
      <c r="C85" s="305"/>
      <c r="D85" s="305"/>
      <c r="E85" s="305"/>
      <c r="F85" s="305"/>
      <c r="G85" s="305"/>
      <c r="H85" s="122"/>
      <c r="I85" s="305"/>
      <c r="J85" s="304"/>
      <c r="K85" s="305"/>
      <c r="L85" s="305"/>
      <c r="M85" s="122"/>
      <c r="N85" s="305"/>
      <c r="O85" s="304"/>
      <c r="P85" s="122"/>
      <c r="Q85" s="253"/>
      <c r="R85" s="122"/>
      <c r="S85" s="305"/>
      <c r="T85" s="120"/>
      <c r="U85" s="313"/>
      <c r="V85" s="120"/>
      <c r="W85" s="296"/>
      <c r="X85" s="296"/>
    </row>
    <row r="86" spans="1:24" s="306" customFormat="1" ht="15.75" x14ac:dyDescent="0.25">
      <c r="A86" s="142"/>
      <c r="B86" s="143"/>
      <c r="C86" s="300"/>
      <c r="D86" s="300"/>
      <c r="E86" s="300"/>
      <c r="F86" s="300"/>
      <c r="G86" s="300"/>
      <c r="H86" s="134"/>
      <c r="I86" s="300"/>
      <c r="J86" s="299"/>
      <c r="K86" s="300"/>
      <c r="L86" s="300"/>
      <c r="M86" s="134"/>
      <c r="N86" s="300"/>
      <c r="O86" s="299"/>
      <c r="P86" s="134"/>
      <c r="Q86" s="301"/>
      <c r="R86" s="134"/>
      <c r="S86" s="300"/>
      <c r="T86" s="132"/>
      <c r="U86" s="311"/>
      <c r="V86" s="132"/>
      <c r="W86" s="296"/>
      <c r="X86" s="296"/>
    </row>
    <row r="87" spans="1:24" ht="15.75" x14ac:dyDescent="0.25">
      <c r="A87" s="142"/>
      <c r="B87" s="144"/>
      <c r="C87" s="303"/>
      <c r="D87" s="303"/>
      <c r="E87" s="303"/>
      <c r="F87" s="303"/>
      <c r="G87" s="303"/>
      <c r="H87" s="119"/>
      <c r="I87" s="303"/>
      <c r="J87" s="302"/>
      <c r="K87" s="303"/>
      <c r="L87" s="303"/>
      <c r="M87" s="119"/>
      <c r="N87" s="303"/>
      <c r="O87" s="302"/>
      <c r="P87" s="119"/>
      <c r="Q87" s="173"/>
      <c r="R87" s="119"/>
      <c r="S87" s="303"/>
      <c r="T87" s="117"/>
      <c r="U87" s="312"/>
      <c r="V87" s="117"/>
      <c r="W87" s="296"/>
      <c r="X87" s="296"/>
    </row>
    <row r="88" spans="1:24" ht="15.75" x14ac:dyDescent="0.25">
      <c r="A88" s="142"/>
      <c r="B88" s="145"/>
      <c r="C88" s="305"/>
      <c r="D88" s="305"/>
      <c r="E88" s="305"/>
      <c r="F88" s="305"/>
      <c r="G88" s="305"/>
      <c r="H88" s="122"/>
      <c r="I88" s="305"/>
      <c r="J88" s="304"/>
      <c r="K88" s="305"/>
      <c r="L88" s="305"/>
      <c r="M88" s="122"/>
      <c r="N88" s="305"/>
      <c r="O88" s="304"/>
      <c r="P88" s="122"/>
      <c r="Q88" s="253"/>
      <c r="R88" s="122"/>
      <c r="S88" s="305"/>
      <c r="T88" s="120"/>
      <c r="U88" s="313"/>
      <c r="V88" s="120"/>
      <c r="W88" s="296"/>
      <c r="X88" s="296"/>
    </row>
    <row r="89" spans="1:24" s="306" customFormat="1" ht="15.75" x14ac:dyDescent="0.25">
      <c r="A89" s="142"/>
      <c r="B89" s="143"/>
      <c r="C89" s="300"/>
      <c r="D89" s="300"/>
      <c r="E89" s="300"/>
      <c r="F89" s="300"/>
      <c r="G89" s="300"/>
      <c r="H89" s="134"/>
      <c r="I89" s="300"/>
      <c r="J89" s="299"/>
      <c r="K89" s="300"/>
      <c r="L89" s="300"/>
      <c r="M89" s="134"/>
      <c r="N89" s="300"/>
      <c r="O89" s="299"/>
      <c r="P89" s="134"/>
      <c r="Q89" s="301"/>
      <c r="R89" s="134"/>
      <c r="S89" s="300"/>
      <c r="T89" s="132"/>
      <c r="U89" s="311"/>
      <c r="V89" s="132"/>
      <c r="W89" s="296"/>
      <c r="X89" s="296"/>
    </row>
    <row r="90" spans="1:24" ht="15.75" x14ac:dyDescent="0.25">
      <c r="A90" s="142"/>
      <c r="B90" s="144"/>
      <c r="C90" s="303"/>
      <c r="D90" s="303"/>
      <c r="E90" s="303"/>
      <c r="F90" s="303"/>
      <c r="G90" s="303"/>
      <c r="H90" s="119"/>
      <c r="I90" s="303"/>
      <c r="J90" s="302"/>
      <c r="K90" s="303"/>
      <c r="L90" s="303"/>
      <c r="M90" s="119"/>
      <c r="N90" s="303"/>
      <c r="O90" s="302"/>
      <c r="P90" s="119"/>
      <c r="Q90" s="173"/>
      <c r="R90" s="119"/>
      <c r="S90" s="303"/>
      <c r="T90" s="117"/>
      <c r="U90" s="312"/>
      <c r="V90" s="117"/>
      <c r="W90" s="296"/>
      <c r="X90" s="296"/>
    </row>
    <row r="91" spans="1:24" ht="15.75" x14ac:dyDescent="0.25">
      <c r="A91" s="142"/>
      <c r="B91" s="145"/>
      <c r="C91" s="305"/>
      <c r="D91" s="305"/>
      <c r="E91" s="305"/>
      <c r="F91" s="305"/>
      <c r="G91" s="305"/>
      <c r="H91" s="122"/>
      <c r="I91" s="305"/>
      <c r="J91" s="304"/>
      <c r="K91" s="305"/>
      <c r="L91" s="305"/>
      <c r="M91" s="122"/>
      <c r="N91" s="305"/>
      <c r="O91" s="304"/>
      <c r="P91" s="122"/>
      <c r="Q91" s="253"/>
      <c r="R91" s="122"/>
      <c r="S91" s="305"/>
      <c r="T91" s="120"/>
      <c r="U91" s="313"/>
      <c r="V91" s="120"/>
      <c r="W91" s="296"/>
      <c r="X91" s="296"/>
    </row>
    <row r="92" spans="1:24" s="306" customFormat="1" ht="15.75" x14ac:dyDescent="0.25">
      <c r="A92" s="142"/>
      <c r="B92" s="143"/>
      <c r="C92" s="300"/>
      <c r="D92" s="300"/>
      <c r="E92" s="300"/>
      <c r="F92" s="300"/>
      <c r="G92" s="300"/>
      <c r="H92" s="134"/>
      <c r="I92" s="300"/>
      <c r="J92" s="299"/>
      <c r="K92" s="300"/>
      <c r="L92" s="300"/>
      <c r="M92" s="134"/>
      <c r="N92" s="300"/>
      <c r="O92" s="299"/>
      <c r="P92" s="134"/>
      <c r="Q92" s="301"/>
      <c r="R92" s="134"/>
      <c r="S92" s="300"/>
      <c r="T92" s="132"/>
      <c r="U92" s="311"/>
      <c r="V92" s="132"/>
      <c r="W92" s="296"/>
      <c r="X92" s="296"/>
    </row>
    <row r="93" spans="1:24" ht="15.75" x14ac:dyDescent="0.25">
      <c r="A93" s="142"/>
      <c r="B93" s="144"/>
      <c r="C93" s="303"/>
      <c r="D93" s="303"/>
      <c r="E93" s="303"/>
      <c r="F93" s="303"/>
      <c r="G93" s="303"/>
      <c r="H93" s="119"/>
      <c r="I93" s="303"/>
      <c r="J93" s="302"/>
      <c r="K93" s="303"/>
      <c r="L93" s="303"/>
      <c r="M93" s="119"/>
      <c r="N93" s="303"/>
      <c r="O93" s="302"/>
      <c r="P93" s="119"/>
      <c r="Q93" s="173"/>
      <c r="R93" s="119"/>
      <c r="S93" s="303"/>
      <c r="T93" s="117"/>
      <c r="U93" s="312"/>
      <c r="V93" s="117"/>
      <c r="W93" s="296"/>
      <c r="X93" s="296"/>
    </row>
    <row r="94" spans="1:24" ht="15.75" x14ac:dyDescent="0.25">
      <c r="A94" s="142"/>
      <c r="B94" s="145"/>
      <c r="C94" s="305"/>
      <c r="D94" s="305"/>
      <c r="E94" s="305"/>
      <c r="F94" s="305"/>
      <c r="G94" s="305"/>
      <c r="H94" s="122"/>
      <c r="I94" s="305"/>
      <c r="J94" s="304"/>
      <c r="K94" s="305"/>
      <c r="L94" s="305"/>
      <c r="M94" s="122"/>
      <c r="N94" s="305"/>
      <c r="O94" s="304"/>
      <c r="P94" s="122"/>
      <c r="Q94" s="253"/>
      <c r="R94" s="122"/>
      <c r="S94" s="305"/>
      <c r="T94" s="120"/>
      <c r="U94" s="313"/>
      <c r="V94" s="120"/>
      <c r="W94" s="296"/>
      <c r="X94" s="296"/>
    </row>
    <row r="95" spans="1:24" s="306" customFormat="1" ht="15.75" x14ac:dyDescent="0.25">
      <c r="A95" s="142"/>
      <c r="B95" s="143"/>
      <c r="C95" s="300"/>
      <c r="D95" s="300"/>
      <c r="E95" s="300"/>
      <c r="F95" s="300"/>
      <c r="G95" s="300"/>
      <c r="H95" s="134"/>
      <c r="I95" s="300"/>
      <c r="J95" s="299"/>
      <c r="K95" s="300"/>
      <c r="L95" s="300"/>
      <c r="M95" s="134"/>
      <c r="N95" s="300"/>
      <c r="O95" s="299"/>
      <c r="P95" s="134"/>
      <c r="Q95" s="301"/>
      <c r="R95" s="134"/>
      <c r="S95" s="300"/>
      <c r="T95" s="132"/>
      <c r="U95" s="311"/>
      <c r="V95" s="132"/>
      <c r="W95" s="296"/>
      <c r="X95" s="296"/>
    </row>
    <row r="96" spans="1:24" ht="15.75" x14ac:dyDescent="0.25">
      <c r="A96" s="142"/>
      <c r="B96" s="144"/>
      <c r="C96" s="303"/>
      <c r="D96" s="303"/>
      <c r="E96" s="303"/>
      <c r="F96" s="303"/>
      <c r="G96" s="303"/>
      <c r="H96" s="119"/>
      <c r="I96" s="303"/>
      <c r="J96" s="302"/>
      <c r="K96" s="303"/>
      <c r="L96" s="303"/>
      <c r="M96" s="119"/>
      <c r="N96" s="303"/>
      <c r="O96" s="302"/>
      <c r="P96" s="119"/>
      <c r="Q96" s="173"/>
      <c r="R96" s="119"/>
      <c r="S96" s="303"/>
      <c r="T96" s="117"/>
      <c r="U96" s="312"/>
      <c r="V96" s="117"/>
      <c r="W96" s="296"/>
      <c r="X96" s="296"/>
    </row>
    <row r="97" spans="1:24" ht="15.75" x14ac:dyDescent="0.25">
      <c r="A97" s="142"/>
      <c r="B97" s="145"/>
      <c r="C97" s="305"/>
      <c r="D97" s="305"/>
      <c r="E97" s="305"/>
      <c r="F97" s="305"/>
      <c r="G97" s="305"/>
      <c r="H97" s="122"/>
      <c r="I97" s="305"/>
      <c r="J97" s="304"/>
      <c r="K97" s="305"/>
      <c r="L97" s="305"/>
      <c r="M97" s="122"/>
      <c r="N97" s="305"/>
      <c r="O97" s="304"/>
      <c r="P97" s="122"/>
      <c r="Q97" s="253"/>
      <c r="R97" s="122"/>
      <c r="S97" s="305"/>
      <c r="T97" s="120"/>
      <c r="U97" s="313"/>
      <c r="V97" s="120"/>
      <c r="W97" s="296"/>
      <c r="X97" s="296"/>
    </row>
    <row r="98" spans="1:24" s="306" customFormat="1" ht="15.75" x14ac:dyDescent="0.25">
      <c r="A98" s="142"/>
      <c r="B98" s="143"/>
      <c r="C98" s="300"/>
      <c r="D98" s="300"/>
      <c r="E98" s="300"/>
      <c r="F98" s="300"/>
      <c r="G98" s="300"/>
      <c r="H98" s="134"/>
      <c r="I98" s="300"/>
      <c r="J98" s="299"/>
      <c r="K98" s="300"/>
      <c r="L98" s="300"/>
      <c r="M98" s="134"/>
      <c r="N98" s="300"/>
      <c r="O98" s="299"/>
      <c r="P98" s="134"/>
      <c r="Q98" s="301"/>
      <c r="R98" s="134"/>
      <c r="S98" s="300"/>
      <c r="T98" s="132"/>
      <c r="U98" s="311"/>
      <c r="V98" s="132"/>
      <c r="W98" s="296"/>
      <c r="X98" s="296"/>
    </row>
    <row r="99" spans="1:24" ht="15.75" x14ac:dyDescent="0.25">
      <c r="A99" s="142"/>
      <c r="B99" s="144"/>
      <c r="C99" s="303"/>
      <c r="D99" s="303"/>
      <c r="E99" s="303"/>
      <c r="F99" s="303"/>
      <c r="G99" s="303"/>
      <c r="H99" s="119"/>
      <c r="I99" s="303"/>
      <c r="J99" s="302"/>
      <c r="K99" s="303"/>
      <c r="L99" s="303"/>
      <c r="M99" s="119"/>
      <c r="N99" s="303"/>
      <c r="O99" s="302"/>
      <c r="P99" s="119"/>
      <c r="Q99" s="173"/>
      <c r="R99" s="119"/>
      <c r="S99" s="303"/>
      <c r="T99" s="117"/>
      <c r="U99" s="312"/>
      <c r="V99" s="117"/>
      <c r="W99" s="296"/>
      <c r="X99" s="296"/>
    </row>
    <row r="100" spans="1:24" ht="15.75" x14ac:dyDescent="0.25">
      <c r="A100" s="142"/>
      <c r="B100" s="145"/>
      <c r="C100" s="305"/>
      <c r="D100" s="305"/>
      <c r="E100" s="305"/>
      <c r="F100" s="305"/>
      <c r="G100" s="305"/>
      <c r="H100" s="122"/>
      <c r="I100" s="305"/>
      <c r="J100" s="304"/>
      <c r="K100" s="305"/>
      <c r="L100" s="305"/>
      <c r="M100" s="122"/>
      <c r="N100" s="305"/>
      <c r="O100" s="304"/>
      <c r="P100" s="122"/>
      <c r="Q100" s="253"/>
      <c r="R100" s="122"/>
      <c r="S100" s="305"/>
      <c r="T100" s="120"/>
      <c r="U100" s="313"/>
      <c r="V100" s="120"/>
      <c r="W100" s="296"/>
      <c r="X100" s="296"/>
    </row>
    <row r="101" spans="1:24" s="306" customFormat="1" ht="15.75" x14ac:dyDescent="0.25">
      <c r="A101" s="142"/>
      <c r="B101" s="143"/>
      <c r="C101" s="300"/>
      <c r="D101" s="300"/>
      <c r="E101" s="300"/>
      <c r="F101" s="300"/>
      <c r="G101" s="300"/>
      <c r="H101" s="134"/>
      <c r="I101" s="300"/>
      <c r="J101" s="299"/>
      <c r="K101" s="300"/>
      <c r="L101" s="300"/>
      <c r="M101" s="134"/>
      <c r="N101" s="300"/>
      <c r="O101" s="299"/>
      <c r="P101" s="134"/>
      <c r="Q101" s="301"/>
      <c r="R101" s="134"/>
      <c r="S101" s="300"/>
      <c r="T101" s="132"/>
      <c r="U101" s="311"/>
      <c r="V101" s="132"/>
      <c r="W101" s="296"/>
      <c r="X101" s="296"/>
    </row>
    <row r="102" spans="1:24" ht="15.75" x14ac:dyDescent="0.25">
      <c r="A102" s="142"/>
      <c r="B102" s="144"/>
      <c r="C102" s="303"/>
      <c r="D102" s="303"/>
      <c r="E102" s="303"/>
      <c r="F102" s="303"/>
      <c r="G102" s="303"/>
      <c r="H102" s="119"/>
      <c r="I102" s="303"/>
      <c r="J102" s="302"/>
      <c r="K102" s="303"/>
      <c r="L102" s="303"/>
      <c r="M102" s="119"/>
      <c r="N102" s="303"/>
      <c r="O102" s="302"/>
      <c r="P102" s="119"/>
      <c r="Q102" s="173"/>
      <c r="R102" s="119"/>
      <c r="S102" s="303"/>
      <c r="T102" s="117"/>
      <c r="U102" s="312"/>
      <c r="V102" s="117"/>
      <c r="W102" s="296"/>
      <c r="X102" s="296"/>
    </row>
    <row r="103" spans="1:24" ht="15.75" x14ac:dyDescent="0.25">
      <c r="A103" s="142"/>
      <c r="B103" s="145"/>
      <c r="C103" s="305"/>
      <c r="D103" s="305"/>
      <c r="E103" s="305"/>
      <c r="F103" s="305"/>
      <c r="G103" s="305"/>
      <c r="H103" s="122"/>
      <c r="I103" s="305"/>
      <c r="J103" s="304"/>
      <c r="K103" s="305"/>
      <c r="L103" s="305"/>
      <c r="M103" s="122"/>
      <c r="N103" s="305"/>
      <c r="O103" s="304"/>
      <c r="P103" s="122"/>
      <c r="Q103" s="253"/>
      <c r="R103" s="122"/>
      <c r="S103" s="305"/>
      <c r="T103" s="120"/>
      <c r="U103" s="313"/>
      <c r="V103" s="120"/>
      <c r="W103" s="296"/>
      <c r="X103" s="296"/>
    </row>
    <row r="104" spans="1:24" s="306" customFormat="1" ht="15.75" x14ac:dyDescent="0.25">
      <c r="A104" s="142"/>
      <c r="B104" s="143"/>
      <c r="C104" s="300"/>
      <c r="D104" s="300"/>
      <c r="E104" s="300"/>
      <c r="F104" s="300"/>
      <c r="G104" s="300"/>
      <c r="H104" s="134"/>
      <c r="I104" s="300"/>
      <c r="J104" s="299"/>
      <c r="K104" s="300"/>
      <c r="L104" s="300"/>
      <c r="M104" s="134"/>
      <c r="N104" s="300"/>
      <c r="O104" s="299"/>
      <c r="P104" s="134"/>
      <c r="Q104" s="301"/>
      <c r="R104" s="134"/>
      <c r="S104" s="300"/>
      <c r="T104" s="132"/>
      <c r="U104" s="311"/>
      <c r="V104" s="132"/>
      <c r="W104" s="296"/>
      <c r="X104" s="296"/>
    </row>
    <row r="105" spans="1:24" ht="15.75" x14ac:dyDescent="0.25">
      <c r="A105" s="142"/>
      <c r="B105" s="144"/>
      <c r="C105" s="303"/>
      <c r="D105" s="303"/>
      <c r="E105" s="303"/>
      <c r="F105" s="303"/>
      <c r="G105" s="303"/>
      <c r="H105" s="119"/>
      <c r="I105" s="303"/>
      <c r="J105" s="302"/>
      <c r="K105" s="303"/>
      <c r="L105" s="303"/>
      <c r="M105" s="119"/>
      <c r="N105" s="303"/>
      <c r="O105" s="302"/>
      <c r="P105" s="119"/>
      <c r="Q105" s="173"/>
      <c r="R105" s="119"/>
      <c r="S105" s="303"/>
      <c r="T105" s="117"/>
      <c r="U105" s="312"/>
      <c r="V105" s="117"/>
      <c r="W105" s="296"/>
      <c r="X105" s="296"/>
    </row>
    <row r="106" spans="1:24" ht="15.75" x14ac:dyDescent="0.25">
      <c r="A106" s="142"/>
      <c r="B106" s="145"/>
      <c r="C106" s="305"/>
      <c r="D106" s="305"/>
      <c r="E106" s="305"/>
      <c r="F106" s="305"/>
      <c r="G106" s="305"/>
      <c r="H106" s="122"/>
      <c r="I106" s="305"/>
      <c r="J106" s="304"/>
      <c r="K106" s="305"/>
      <c r="L106" s="305"/>
      <c r="M106" s="122"/>
      <c r="N106" s="305"/>
      <c r="O106" s="304"/>
      <c r="P106" s="122"/>
      <c r="Q106" s="253"/>
      <c r="R106" s="122"/>
      <c r="S106" s="305"/>
      <c r="T106" s="120"/>
      <c r="U106" s="313"/>
      <c r="V106" s="120"/>
      <c r="W106" s="296"/>
      <c r="X106" s="296"/>
    </row>
    <row r="107" spans="1:24" s="306" customFormat="1" ht="15.75" x14ac:dyDescent="0.25">
      <c r="A107" s="142"/>
      <c r="B107" s="143"/>
      <c r="C107" s="300"/>
      <c r="D107" s="300"/>
      <c r="E107" s="300"/>
      <c r="F107" s="300"/>
      <c r="G107" s="300"/>
      <c r="H107" s="134"/>
      <c r="I107" s="300"/>
      <c r="J107" s="299"/>
      <c r="K107" s="300"/>
      <c r="L107" s="300"/>
      <c r="M107" s="134"/>
      <c r="N107" s="300"/>
      <c r="O107" s="299"/>
      <c r="P107" s="134"/>
      <c r="Q107" s="301"/>
      <c r="R107" s="134"/>
      <c r="S107" s="300"/>
      <c r="T107" s="132"/>
      <c r="U107" s="311"/>
      <c r="V107" s="132"/>
      <c r="W107" s="296"/>
      <c r="X107" s="296"/>
    </row>
    <row r="108" spans="1:24" ht="16.5" thickBot="1" x14ac:dyDescent="0.3">
      <c r="A108" s="142"/>
      <c r="B108" s="144"/>
      <c r="C108" s="303"/>
      <c r="D108" s="303"/>
      <c r="E108" s="303"/>
      <c r="F108" s="303"/>
      <c r="G108" s="303"/>
      <c r="H108" s="119"/>
      <c r="I108" s="303"/>
      <c r="J108" s="302"/>
      <c r="K108" s="303"/>
      <c r="L108" s="303"/>
      <c r="M108" s="119"/>
      <c r="N108" s="303"/>
      <c r="O108" s="302"/>
      <c r="P108" s="119"/>
      <c r="Q108" s="173"/>
      <c r="R108" s="119"/>
      <c r="S108" s="303"/>
      <c r="T108" s="117"/>
      <c r="U108" s="312"/>
      <c r="V108" s="117"/>
      <c r="W108" s="296"/>
      <c r="X108" s="296"/>
    </row>
    <row r="109" spans="1:24" ht="16.5" thickBot="1" x14ac:dyDescent="0.3">
      <c r="A109" s="142"/>
      <c r="B109" s="145"/>
      <c r="C109" s="305"/>
      <c r="D109" s="305"/>
      <c r="E109" s="724"/>
      <c r="F109" s="305"/>
      <c r="G109" s="305"/>
      <c r="H109" s="122"/>
      <c r="I109" s="305"/>
      <c r="J109" s="304"/>
      <c r="K109" s="305"/>
      <c r="L109" s="305"/>
      <c r="M109" s="122"/>
      <c r="N109" s="305"/>
      <c r="O109" s="304"/>
      <c r="P109" s="122"/>
      <c r="Q109" s="253"/>
      <c r="R109" s="122"/>
      <c r="S109" s="305"/>
      <c r="T109" s="120"/>
      <c r="U109" s="313"/>
      <c r="V109" s="120"/>
      <c r="W109" s="296"/>
      <c r="X109" s="296"/>
    </row>
    <row r="110" spans="1:24" s="306" customFormat="1" ht="15.75" x14ac:dyDescent="0.25">
      <c r="A110" s="142"/>
      <c r="B110" s="143"/>
      <c r="C110" s="300"/>
      <c r="D110" s="300"/>
      <c r="E110" s="300"/>
      <c r="F110" s="300"/>
      <c r="G110" s="300"/>
      <c r="H110" s="134"/>
      <c r="I110" s="300"/>
      <c r="J110" s="299"/>
      <c r="K110" s="300"/>
      <c r="L110" s="300"/>
      <c r="M110" s="134"/>
      <c r="N110" s="300"/>
      <c r="O110" s="299"/>
      <c r="P110" s="134"/>
      <c r="Q110" s="301"/>
      <c r="R110" s="134"/>
      <c r="S110" s="300"/>
      <c r="T110" s="132"/>
      <c r="U110" s="311"/>
      <c r="V110" s="132"/>
      <c r="W110" s="296"/>
      <c r="X110" s="296"/>
    </row>
    <row r="111" spans="1:24" ht="15.75" x14ac:dyDescent="0.25">
      <c r="A111" s="294"/>
      <c r="B111" s="144"/>
      <c r="C111" s="303"/>
      <c r="D111" s="303"/>
      <c r="E111" s="303"/>
      <c r="F111" s="303"/>
      <c r="G111" s="303"/>
      <c r="H111" s="119"/>
      <c r="I111" s="303"/>
      <c r="J111" s="302"/>
      <c r="K111" s="303"/>
      <c r="L111" s="303"/>
      <c r="M111" s="119"/>
      <c r="N111" s="303"/>
      <c r="O111" s="302"/>
      <c r="P111" s="119"/>
      <c r="Q111" s="173"/>
      <c r="R111" s="119"/>
      <c r="S111" s="303"/>
      <c r="T111" s="117"/>
      <c r="U111" s="312"/>
      <c r="V111" s="117"/>
      <c r="W111" s="296"/>
      <c r="X111" s="296"/>
    </row>
    <row r="112" spans="1:24" ht="15.75" x14ac:dyDescent="0.25">
      <c r="A112" s="141"/>
      <c r="B112" s="143"/>
      <c r="C112" s="300"/>
      <c r="D112" s="300"/>
      <c r="E112" s="300"/>
      <c r="F112" s="300"/>
      <c r="G112" s="300"/>
      <c r="H112" s="134"/>
      <c r="I112" s="300"/>
      <c r="J112" s="299"/>
      <c r="K112" s="300"/>
      <c r="L112" s="300"/>
      <c r="M112" s="134"/>
      <c r="N112" s="300"/>
      <c r="O112" s="299"/>
      <c r="P112" s="134"/>
      <c r="Q112" s="301"/>
      <c r="R112" s="134"/>
      <c r="S112" s="300"/>
      <c r="T112" s="132"/>
      <c r="U112" s="311"/>
      <c r="V112" s="132"/>
      <c r="W112" s="296"/>
      <c r="X112" s="296"/>
    </row>
    <row r="113" spans="1:24" s="306" customFormat="1" ht="16.5" thickBot="1" x14ac:dyDescent="0.3">
      <c r="A113" s="142"/>
      <c r="B113" s="144"/>
      <c r="C113" s="303"/>
      <c r="D113" s="303"/>
      <c r="E113" s="303"/>
      <c r="F113" s="303"/>
      <c r="G113" s="303"/>
      <c r="H113" s="119"/>
      <c r="I113" s="303"/>
      <c r="J113" s="302"/>
      <c r="K113" s="303"/>
      <c r="L113" s="303"/>
      <c r="M113" s="119"/>
      <c r="N113" s="303"/>
      <c r="O113" s="302"/>
      <c r="P113" s="119"/>
      <c r="Q113" s="173"/>
      <c r="R113" s="119"/>
      <c r="S113" s="303"/>
      <c r="T113" s="117"/>
      <c r="U113" s="312"/>
      <c r="V113" s="117"/>
      <c r="W113" s="296"/>
      <c r="X113" s="296"/>
    </row>
    <row r="114" spans="1:24" ht="16.5" thickBot="1" x14ac:dyDescent="0.3">
      <c r="A114" s="142"/>
      <c r="B114" s="145"/>
      <c r="C114" s="305"/>
      <c r="D114" s="305"/>
      <c r="E114" s="305"/>
      <c r="F114" s="305"/>
      <c r="G114" s="305"/>
      <c r="H114" s="122"/>
      <c r="I114" s="305"/>
      <c r="J114" s="304"/>
      <c r="K114" s="724"/>
      <c r="L114" s="724"/>
      <c r="M114" s="122"/>
      <c r="N114" s="305"/>
      <c r="O114" s="304"/>
      <c r="P114" s="122"/>
      <c r="Q114" s="253"/>
      <c r="R114" s="122"/>
      <c r="S114" s="305"/>
      <c r="T114" s="120"/>
      <c r="U114" s="313"/>
      <c r="V114" s="120"/>
      <c r="W114" s="296"/>
      <c r="X114" s="296"/>
    </row>
    <row r="115" spans="1:24" ht="15.75" x14ac:dyDescent="0.25">
      <c r="A115" s="142"/>
      <c r="B115" s="143"/>
      <c r="C115" s="300"/>
      <c r="D115" s="300"/>
      <c r="E115" s="300"/>
      <c r="F115" s="300"/>
      <c r="G115" s="300"/>
      <c r="H115" s="134"/>
      <c r="I115" s="300"/>
      <c r="J115" s="299"/>
      <c r="K115" s="300"/>
      <c r="L115" s="300"/>
      <c r="M115" s="134"/>
      <c r="N115" s="300"/>
      <c r="O115" s="299"/>
      <c r="P115" s="134"/>
      <c r="Q115" s="301"/>
      <c r="R115" s="134"/>
      <c r="S115" s="300"/>
      <c r="T115" s="132"/>
      <c r="U115" s="311"/>
      <c r="V115" s="132"/>
      <c r="W115" s="296"/>
      <c r="X115" s="296"/>
    </row>
    <row r="116" spans="1:24" s="306" customFormat="1" ht="15.75" x14ac:dyDescent="0.25">
      <c r="A116" s="142"/>
      <c r="B116" s="144"/>
      <c r="C116" s="303"/>
      <c r="D116" s="303"/>
      <c r="E116" s="303"/>
      <c r="F116" s="303"/>
      <c r="G116" s="303"/>
      <c r="H116" s="119"/>
      <c r="I116" s="303"/>
      <c r="J116" s="302"/>
      <c r="K116" s="303"/>
      <c r="L116" s="303"/>
      <c r="M116" s="119"/>
      <c r="N116" s="303"/>
      <c r="O116" s="302"/>
      <c r="P116" s="119"/>
      <c r="Q116" s="173"/>
      <c r="R116" s="119"/>
      <c r="S116" s="303"/>
      <c r="T116" s="117"/>
      <c r="U116" s="312"/>
      <c r="V116" s="117"/>
      <c r="W116" s="296"/>
      <c r="X116" s="296"/>
    </row>
    <row r="117" spans="1:24" ht="15.75" x14ac:dyDescent="0.25">
      <c r="A117" s="142"/>
      <c r="B117" s="145"/>
      <c r="C117" s="305"/>
      <c r="D117" s="305"/>
      <c r="E117" s="305"/>
      <c r="F117" s="305"/>
      <c r="G117" s="305"/>
      <c r="H117" s="122"/>
      <c r="I117" s="305"/>
      <c r="J117" s="304"/>
      <c r="K117" s="305"/>
      <c r="L117" s="305"/>
      <c r="M117" s="122"/>
      <c r="N117" s="305"/>
      <c r="O117" s="304"/>
      <c r="P117" s="122"/>
      <c r="Q117" s="253"/>
      <c r="R117" s="122"/>
      <c r="S117" s="305"/>
      <c r="T117" s="120"/>
      <c r="U117" s="313"/>
      <c r="V117" s="120"/>
      <c r="W117" s="296"/>
      <c r="X117" s="296"/>
    </row>
    <row r="118" spans="1:24" ht="15.75" x14ac:dyDescent="0.25">
      <c r="A118" s="142"/>
      <c r="B118" s="143"/>
      <c r="C118" s="300"/>
      <c r="D118" s="300"/>
      <c r="E118" s="300"/>
      <c r="F118" s="300"/>
      <c r="G118" s="300"/>
      <c r="H118" s="134"/>
      <c r="I118" s="300"/>
      <c r="J118" s="299"/>
      <c r="K118" s="300"/>
      <c r="L118" s="300"/>
      <c r="M118" s="134"/>
      <c r="N118" s="300"/>
      <c r="O118" s="299"/>
      <c r="P118" s="134"/>
      <c r="Q118" s="301"/>
      <c r="R118" s="134"/>
      <c r="S118" s="300"/>
      <c r="T118" s="132"/>
      <c r="U118" s="311"/>
      <c r="V118" s="132"/>
      <c r="W118" s="296"/>
      <c r="X118" s="296"/>
    </row>
    <row r="119" spans="1:24" s="306" customFormat="1" ht="15.75" x14ac:dyDescent="0.25">
      <c r="A119" s="142"/>
      <c r="B119" s="144"/>
      <c r="C119" s="303"/>
      <c r="D119" s="303"/>
      <c r="E119" s="303"/>
      <c r="F119" s="303"/>
      <c r="G119" s="303"/>
      <c r="H119" s="119"/>
      <c r="I119" s="303"/>
      <c r="J119" s="302"/>
      <c r="K119" s="303"/>
      <c r="L119" s="303"/>
      <c r="M119" s="119"/>
      <c r="N119" s="303"/>
      <c r="O119" s="302"/>
      <c r="P119" s="119"/>
      <c r="Q119" s="173"/>
      <c r="R119" s="119"/>
      <c r="S119" s="303"/>
      <c r="T119" s="117"/>
      <c r="U119" s="312"/>
      <c r="V119" s="117"/>
      <c r="W119" s="296"/>
      <c r="X119" s="296"/>
    </row>
    <row r="120" spans="1:24" ht="15.75" x14ac:dyDescent="0.25">
      <c r="A120" s="142"/>
      <c r="B120" s="145"/>
      <c r="C120" s="305"/>
      <c r="D120" s="305"/>
      <c r="E120" s="305"/>
      <c r="F120" s="305"/>
      <c r="G120" s="305"/>
      <c r="H120" s="122"/>
      <c r="I120" s="305"/>
      <c r="J120" s="304"/>
      <c r="K120" s="305"/>
      <c r="L120" s="305"/>
      <c r="M120" s="122"/>
      <c r="N120" s="305"/>
      <c r="O120" s="304"/>
      <c r="P120" s="122"/>
      <c r="Q120" s="253"/>
      <c r="R120" s="122"/>
      <c r="S120" s="305"/>
      <c r="T120" s="120"/>
      <c r="U120" s="313"/>
      <c r="V120" s="120"/>
      <c r="W120" s="296"/>
      <c r="X120" s="296"/>
    </row>
    <row r="121" spans="1:24" ht="15.75" x14ac:dyDescent="0.25">
      <c r="A121" s="142"/>
      <c r="B121" s="143"/>
      <c r="C121" s="300"/>
      <c r="D121" s="300"/>
      <c r="E121" s="300"/>
      <c r="F121" s="300"/>
      <c r="G121" s="300"/>
      <c r="H121" s="134"/>
      <c r="I121" s="300"/>
      <c r="J121" s="299"/>
      <c r="K121" s="300"/>
      <c r="L121" s="300"/>
      <c r="M121" s="134"/>
      <c r="N121" s="300"/>
      <c r="O121" s="299"/>
      <c r="P121" s="134"/>
      <c r="Q121" s="301"/>
      <c r="R121" s="134"/>
      <c r="S121" s="300"/>
      <c r="T121" s="132"/>
      <c r="U121" s="311"/>
      <c r="V121" s="132"/>
      <c r="W121" s="296"/>
      <c r="X121" s="296"/>
    </row>
    <row r="122" spans="1:24" s="306" customFormat="1" ht="15.75" x14ac:dyDescent="0.25">
      <c r="A122" s="142"/>
      <c r="B122" s="144"/>
      <c r="C122" s="303"/>
      <c r="D122" s="303"/>
      <c r="E122" s="303"/>
      <c r="F122" s="303"/>
      <c r="G122" s="303"/>
      <c r="H122" s="119"/>
      <c r="I122" s="303"/>
      <c r="J122" s="302"/>
      <c r="K122" s="303"/>
      <c r="L122" s="303"/>
      <c r="M122" s="119"/>
      <c r="N122" s="303"/>
      <c r="O122" s="302"/>
      <c r="P122" s="119"/>
      <c r="Q122" s="173"/>
      <c r="R122" s="119"/>
      <c r="S122" s="303"/>
      <c r="T122" s="117"/>
      <c r="U122" s="312"/>
      <c r="V122" s="117"/>
      <c r="W122" s="296"/>
      <c r="X122" s="296"/>
    </row>
    <row r="123" spans="1:24" ht="15.75" x14ac:dyDescent="0.25">
      <c r="A123" s="142"/>
      <c r="B123" s="145"/>
      <c r="C123" s="305"/>
      <c r="D123" s="305"/>
      <c r="E123" s="305"/>
      <c r="F123" s="305"/>
      <c r="G123" s="305"/>
      <c r="H123" s="122"/>
      <c r="I123" s="305"/>
      <c r="J123" s="304"/>
      <c r="K123" s="305"/>
      <c r="L123" s="305"/>
      <c r="M123" s="122"/>
      <c r="N123" s="305"/>
      <c r="O123" s="304"/>
      <c r="P123" s="122"/>
      <c r="Q123" s="253"/>
      <c r="R123" s="122"/>
      <c r="S123" s="305"/>
      <c r="T123" s="120"/>
      <c r="U123" s="313"/>
      <c r="V123" s="120"/>
      <c r="W123" s="296"/>
      <c r="X123" s="296"/>
    </row>
    <row r="124" spans="1:24" ht="15.75" x14ac:dyDescent="0.25">
      <c r="A124" s="142"/>
      <c r="B124" s="143"/>
      <c r="C124" s="300"/>
      <c r="D124" s="300"/>
      <c r="E124" s="300"/>
      <c r="F124" s="300"/>
      <c r="G124" s="300"/>
      <c r="H124" s="134"/>
      <c r="I124" s="300"/>
      <c r="J124" s="299"/>
      <c r="K124" s="300"/>
      <c r="L124" s="300"/>
      <c r="M124" s="134"/>
      <c r="N124" s="300"/>
      <c r="O124" s="299"/>
      <c r="P124" s="134"/>
      <c r="Q124" s="301"/>
      <c r="R124" s="134"/>
      <c r="S124" s="300"/>
      <c r="T124" s="132"/>
      <c r="U124" s="311"/>
      <c r="V124" s="132"/>
      <c r="W124" s="296"/>
      <c r="X124" s="296"/>
    </row>
    <row r="125" spans="1:24" s="306" customFormat="1" ht="15.75" x14ac:dyDescent="0.25">
      <c r="A125" s="142"/>
      <c r="B125" s="144"/>
      <c r="C125" s="303"/>
      <c r="D125" s="303"/>
      <c r="E125" s="303"/>
      <c r="F125" s="303"/>
      <c r="G125" s="303"/>
      <c r="H125" s="119"/>
      <c r="I125" s="303"/>
      <c r="J125" s="302"/>
      <c r="K125" s="303"/>
      <c r="L125" s="303"/>
      <c r="M125" s="119"/>
      <c r="N125" s="303"/>
      <c r="O125" s="302"/>
      <c r="P125" s="119"/>
      <c r="Q125" s="173"/>
      <c r="R125" s="119"/>
      <c r="S125" s="303"/>
      <c r="T125" s="117"/>
      <c r="U125" s="312"/>
      <c r="V125" s="117"/>
      <c r="W125" s="296"/>
      <c r="X125" s="296"/>
    </row>
    <row r="126" spans="1:24" ht="15.75" x14ac:dyDescent="0.25">
      <c r="A126" s="142"/>
      <c r="B126" s="145"/>
      <c r="C126" s="305"/>
      <c r="D126" s="305"/>
      <c r="E126" s="305"/>
      <c r="F126" s="305"/>
      <c r="G126" s="305"/>
      <c r="H126" s="122"/>
      <c r="I126" s="305"/>
      <c r="J126" s="304"/>
      <c r="K126" s="305"/>
      <c r="L126" s="305"/>
      <c r="M126" s="122"/>
      <c r="N126" s="305"/>
      <c r="O126" s="304"/>
      <c r="P126" s="122"/>
      <c r="Q126" s="253"/>
      <c r="R126" s="122"/>
      <c r="S126" s="305"/>
      <c r="T126" s="120"/>
      <c r="U126" s="313"/>
      <c r="V126" s="120"/>
      <c r="W126" s="296"/>
      <c r="X126" s="296"/>
    </row>
    <row r="127" spans="1:24" ht="15.75" x14ac:dyDescent="0.25">
      <c r="A127" s="142"/>
      <c r="B127" s="143"/>
      <c r="C127" s="300"/>
      <c r="D127" s="300"/>
      <c r="E127" s="300"/>
      <c r="F127" s="300"/>
      <c r="G127" s="300"/>
      <c r="H127" s="134"/>
      <c r="I127" s="300"/>
      <c r="J127" s="299"/>
      <c r="K127" s="300"/>
      <c r="L127" s="300"/>
      <c r="M127" s="134"/>
      <c r="N127" s="300"/>
      <c r="O127" s="299"/>
      <c r="P127" s="134"/>
      <c r="Q127" s="301"/>
      <c r="R127" s="134"/>
      <c r="S127" s="300"/>
      <c r="T127" s="132"/>
      <c r="U127" s="311"/>
      <c r="V127" s="132"/>
      <c r="W127" s="296"/>
      <c r="X127" s="296"/>
    </row>
    <row r="128" spans="1:24" s="306" customFormat="1" ht="15.75" x14ac:dyDescent="0.25">
      <c r="A128" s="142"/>
      <c r="B128" s="144"/>
      <c r="C128" s="303"/>
      <c r="D128" s="303"/>
      <c r="E128" s="303"/>
      <c r="F128" s="303"/>
      <c r="G128" s="303"/>
      <c r="H128" s="119"/>
      <c r="I128" s="303"/>
      <c r="J128" s="302"/>
      <c r="K128" s="303"/>
      <c r="L128" s="303"/>
      <c r="M128" s="119"/>
      <c r="N128" s="303"/>
      <c r="O128" s="302"/>
      <c r="P128" s="119"/>
      <c r="Q128" s="173"/>
      <c r="R128" s="119"/>
      <c r="S128" s="303"/>
      <c r="T128" s="117"/>
      <c r="U128" s="312"/>
      <c r="V128" s="117"/>
      <c r="W128" s="296"/>
      <c r="X128" s="296"/>
    </row>
    <row r="129" spans="1:24" ht="15.75" x14ac:dyDescent="0.25">
      <c r="A129" s="142"/>
      <c r="B129" s="145"/>
      <c r="C129" s="305"/>
      <c r="D129" s="305"/>
      <c r="E129" s="305"/>
      <c r="F129" s="305"/>
      <c r="G129" s="305"/>
      <c r="H129" s="122"/>
      <c r="I129" s="305"/>
      <c r="J129" s="304"/>
      <c r="K129" s="305"/>
      <c r="L129" s="305"/>
      <c r="M129" s="122"/>
      <c r="N129" s="305"/>
      <c r="O129" s="304"/>
      <c r="P129" s="122"/>
      <c r="Q129" s="253"/>
      <c r="R129" s="122"/>
      <c r="S129" s="305"/>
      <c r="T129" s="120"/>
      <c r="U129" s="313"/>
      <c r="V129" s="120"/>
      <c r="W129" s="296"/>
      <c r="X129" s="296"/>
    </row>
    <row r="130" spans="1:24" ht="15.75" x14ac:dyDescent="0.25">
      <c r="A130" s="142"/>
      <c r="B130" s="143"/>
      <c r="C130" s="300"/>
      <c r="D130" s="300"/>
      <c r="E130" s="300"/>
      <c r="F130" s="300"/>
      <c r="G130" s="300"/>
      <c r="H130" s="134"/>
      <c r="I130" s="300"/>
      <c r="J130" s="299"/>
      <c r="K130" s="300"/>
      <c r="L130" s="300"/>
      <c r="M130" s="134"/>
      <c r="N130" s="300"/>
      <c r="O130" s="299"/>
      <c r="P130" s="134"/>
      <c r="Q130" s="301"/>
      <c r="R130" s="134"/>
      <c r="S130" s="300"/>
      <c r="T130" s="132"/>
      <c r="U130" s="311"/>
      <c r="V130" s="132"/>
      <c r="W130" s="296"/>
      <c r="X130" s="296"/>
    </row>
    <row r="131" spans="1:24" s="306" customFormat="1" ht="15.75" x14ac:dyDescent="0.25">
      <c r="A131" s="142"/>
      <c r="B131" s="144"/>
      <c r="C131" s="303"/>
      <c r="D131" s="303"/>
      <c r="E131" s="303"/>
      <c r="F131" s="303"/>
      <c r="G131" s="303"/>
      <c r="H131" s="119"/>
      <c r="I131" s="303"/>
      <c r="J131" s="302"/>
      <c r="K131" s="303"/>
      <c r="L131" s="303"/>
      <c r="M131" s="119"/>
      <c r="N131" s="303"/>
      <c r="O131" s="302"/>
      <c r="P131" s="119"/>
      <c r="Q131" s="173"/>
      <c r="R131" s="119"/>
      <c r="S131" s="303"/>
      <c r="T131" s="117"/>
      <c r="U131" s="312"/>
      <c r="V131" s="117"/>
      <c r="W131" s="296"/>
      <c r="X131" s="296"/>
    </row>
    <row r="132" spans="1:24" ht="15.75" x14ac:dyDescent="0.25">
      <c r="A132" s="142"/>
      <c r="B132" s="145"/>
      <c r="C132" s="305"/>
      <c r="D132" s="305"/>
      <c r="E132" s="305"/>
      <c r="F132" s="305"/>
      <c r="G132" s="305"/>
      <c r="H132" s="122"/>
      <c r="I132" s="305"/>
      <c r="J132" s="304"/>
      <c r="K132" s="305"/>
      <c r="L132" s="305"/>
      <c r="M132" s="122"/>
      <c r="N132" s="305"/>
      <c r="O132" s="304"/>
      <c r="P132" s="122"/>
      <c r="Q132" s="253"/>
      <c r="R132" s="122"/>
      <c r="S132" s="305"/>
      <c r="T132" s="120"/>
      <c r="U132" s="313"/>
      <c r="V132" s="120"/>
      <c r="W132" s="296"/>
      <c r="X132" s="296"/>
    </row>
    <row r="133" spans="1:24" ht="15.75" x14ac:dyDescent="0.25">
      <c r="A133" s="142"/>
      <c r="B133" s="143"/>
      <c r="C133" s="300"/>
      <c r="D133" s="300"/>
      <c r="E133" s="300"/>
      <c r="F133" s="300"/>
      <c r="G133" s="300"/>
      <c r="H133" s="134"/>
      <c r="I133" s="300"/>
      <c r="J133" s="299"/>
      <c r="K133" s="300"/>
      <c r="L133" s="300"/>
      <c r="M133" s="134"/>
      <c r="N133" s="300"/>
      <c r="O133" s="299"/>
      <c r="P133" s="134"/>
      <c r="Q133" s="301"/>
      <c r="R133" s="134"/>
      <c r="S133" s="300"/>
      <c r="T133" s="132"/>
      <c r="U133" s="311"/>
      <c r="V133" s="132"/>
      <c r="W133" s="296"/>
      <c r="X133" s="296"/>
    </row>
    <row r="134" spans="1:24" s="306" customFormat="1" ht="15.75" x14ac:dyDescent="0.25">
      <c r="A134" s="142"/>
      <c r="B134" s="144"/>
      <c r="C134" s="303"/>
      <c r="D134" s="303"/>
      <c r="E134" s="303"/>
      <c r="F134" s="303"/>
      <c r="G134" s="303"/>
      <c r="H134" s="119"/>
      <c r="I134" s="303"/>
      <c r="J134" s="302"/>
      <c r="K134" s="303"/>
      <c r="L134" s="303"/>
      <c r="M134" s="119"/>
      <c r="N134" s="303"/>
      <c r="O134" s="302"/>
      <c r="P134" s="119"/>
      <c r="Q134" s="173"/>
      <c r="R134" s="119"/>
      <c r="S134" s="303"/>
      <c r="T134" s="117"/>
      <c r="U134" s="312"/>
      <c r="V134" s="117"/>
      <c r="W134" s="296"/>
      <c r="X134" s="296"/>
    </row>
    <row r="135" spans="1:24" ht="15.75" x14ac:dyDescent="0.25">
      <c r="A135" s="142"/>
      <c r="B135" s="145"/>
      <c r="C135" s="305"/>
      <c r="D135" s="305"/>
      <c r="E135" s="305"/>
      <c r="F135" s="305"/>
      <c r="G135" s="305"/>
      <c r="H135" s="122"/>
      <c r="I135" s="305"/>
      <c r="J135" s="304"/>
      <c r="K135" s="305"/>
      <c r="L135" s="305"/>
      <c r="M135" s="122"/>
      <c r="N135" s="305"/>
      <c r="O135" s="304"/>
      <c r="P135" s="122"/>
      <c r="Q135" s="253"/>
      <c r="R135" s="122"/>
      <c r="S135" s="305"/>
      <c r="T135" s="120"/>
      <c r="U135" s="313"/>
      <c r="V135" s="120"/>
      <c r="W135" s="296"/>
      <c r="X135" s="296"/>
    </row>
    <row r="136" spans="1:24" ht="15.75" x14ac:dyDescent="0.25">
      <c r="A136" s="142"/>
      <c r="B136" s="143"/>
      <c r="C136" s="300"/>
      <c r="D136" s="300"/>
      <c r="E136" s="300"/>
      <c r="F136" s="300"/>
      <c r="G136" s="300"/>
      <c r="H136" s="134"/>
      <c r="I136" s="300"/>
      <c r="J136" s="299"/>
      <c r="K136" s="300"/>
      <c r="L136" s="300"/>
      <c r="M136" s="134"/>
      <c r="N136" s="300"/>
      <c r="O136" s="299"/>
      <c r="P136" s="134"/>
      <c r="Q136" s="301"/>
      <c r="R136" s="134"/>
      <c r="S136" s="300"/>
      <c r="T136" s="132"/>
      <c r="U136" s="311"/>
      <c r="V136" s="132"/>
      <c r="W136" s="296"/>
      <c r="X136" s="296"/>
    </row>
    <row r="137" spans="1:24" s="306" customFormat="1" ht="15.75" x14ac:dyDescent="0.25">
      <c r="A137" s="142"/>
      <c r="B137" s="144"/>
      <c r="C137" s="303"/>
      <c r="D137" s="303"/>
      <c r="E137" s="303"/>
      <c r="F137" s="303"/>
      <c r="G137" s="303"/>
      <c r="H137" s="119"/>
      <c r="I137" s="303"/>
      <c r="J137" s="302"/>
      <c r="K137" s="303"/>
      <c r="L137" s="303"/>
      <c r="M137" s="119"/>
      <c r="N137" s="303"/>
      <c r="O137" s="302"/>
      <c r="P137" s="119"/>
      <c r="Q137" s="173"/>
      <c r="R137" s="119"/>
      <c r="S137" s="303"/>
      <c r="T137" s="117"/>
      <c r="U137" s="312"/>
      <c r="V137" s="117"/>
      <c r="W137" s="296"/>
      <c r="X137" s="296"/>
    </row>
    <row r="138" spans="1:24" ht="15.75" x14ac:dyDescent="0.25">
      <c r="A138" s="142"/>
      <c r="B138" s="145"/>
      <c r="C138" s="305"/>
      <c r="D138" s="305"/>
      <c r="E138" s="305"/>
      <c r="F138" s="305"/>
      <c r="G138" s="305"/>
      <c r="H138" s="122"/>
      <c r="I138" s="305"/>
      <c r="J138" s="304"/>
      <c r="K138" s="305"/>
      <c r="L138" s="305"/>
      <c r="M138" s="122"/>
      <c r="N138" s="305"/>
      <c r="O138" s="304"/>
      <c r="P138" s="122"/>
      <c r="Q138" s="253"/>
      <c r="R138" s="122"/>
      <c r="S138" s="305"/>
      <c r="T138" s="120"/>
      <c r="U138" s="313"/>
      <c r="V138" s="120"/>
      <c r="W138" s="296"/>
      <c r="X138" s="296"/>
    </row>
    <row r="139" spans="1:24" ht="15.75" x14ac:dyDescent="0.25">
      <c r="A139" s="142"/>
      <c r="B139" s="143"/>
      <c r="C139" s="300"/>
      <c r="D139" s="300"/>
      <c r="E139" s="300"/>
      <c r="F139" s="300"/>
      <c r="G139" s="300"/>
      <c r="H139" s="134"/>
      <c r="I139" s="300"/>
      <c r="J139" s="299"/>
      <c r="K139" s="300"/>
      <c r="L139" s="300"/>
      <c r="M139" s="134"/>
      <c r="N139" s="300"/>
      <c r="O139" s="299"/>
      <c r="P139" s="134"/>
      <c r="Q139" s="301"/>
      <c r="R139" s="134"/>
      <c r="S139" s="300"/>
      <c r="T139" s="132"/>
      <c r="U139" s="311"/>
      <c r="V139" s="132"/>
      <c r="W139" s="296"/>
      <c r="X139" s="296"/>
    </row>
    <row r="140" spans="1:24" s="306" customFormat="1" ht="15.75" x14ac:dyDescent="0.25">
      <c r="A140" s="142"/>
      <c r="B140" s="144"/>
      <c r="C140" s="303"/>
      <c r="D140" s="303"/>
      <c r="E140" s="303"/>
      <c r="F140" s="303"/>
      <c r="G140" s="303"/>
      <c r="H140" s="119"/>
      <c r="I140" s="303"/>
      <c r="J140" s="302"/>
      <c r="K140" s="303"/>
      <c r="L140" s="303"/>
      <c r="M140" s="119"/>
      <c r="N140" s="303"/>
      <c r="O140" s="302"/>
      <c r="P140" s="119"/>
      <c r="Q140" s="173"/>
      <c r="R140" s="119"/>
      <c r="S140" s="303"/>
      <c r="T140" s="117"/>
      <c r="U140" s="312"/>
      <c r="V140" s="117"/>
      <c r="W140" s="296"/>
      <c r="X140" s="296"/>
    </row>
    <row r="141" spans="1:24" ht="15.75" x14ac:dyDescent="0.25">
      <c r="A141" s="142"/>
      <c r="B141" s="145"/>
      <c r="C141" s="305"/>
      <c r="D141" s="305"/>
      <c r="E141" s="305"/>
      <c r="F141" s="305"/>
      <c r="G141" s="305"/>
      <c r="H141" s="122"/>
      <c r="I141" s="305"/>
      <c r="J141" s="304"/>
      <c r="K141" s="305"/>
      <c r="L141" s="305"/>
      <c r="M141" s="122"/>
      <c r="N141" s="305"/>
      <c r="O141" s="304"/>
      <c r="P141" s="122"/>
      <c r="Q141" s="253"/>
      <c r="R141" s="122"/>
      <c r="S141" s="305"/>
      <c r="T141" s="120"/>
      <c r="U141" s="313"/>
      <c r="V141" s="120"/>
      <c r="W141" s="296"/>
      <c r="X141" s="296"/>
    </row>
    <row r="142" spans="1:24" ht="15.75" x14ac:dyDescent="0.25">
      <c r="A142" s="142"/>
      <c r="B142" s="143"/>
      <c r="C142" s="300"/>
      <c r="D142" s="300"/>
      <c r="E142" s="300"/>
      <c r="F142" s="300"/>
      <c r="G142" s="300"/>
      <c r="H142" s="134"/>
      <c r="I142" s="300"/>
      <c r="J142" s="299"/>
      <c r="K142" s="300"/>
      <c r="L142" s="300"/>
      <c r="M142" s="134"/>
      <c r="N142" s="300"/>
      <c r="O142" s="299"/>
      <c r="P142" s="134"/>
      <c r="Q142" s="301"/>
      <c r="R142" s="134"/>
      <c r="S142" s="300"/>
      <c r="T142" s="132"/>
      <c r="U142" s="311"/>
      <c r="V142" s="132"/>
      <c r="W142" s="296"/>
      <c r="X142" s="296"/>
    </row>
    <row r="143" spans="1:24" s="306" customFormat="1" ht="15.75" x14ac:dyDescent="0.25">
      <c r="A143" s="142"/>
      <c r="B143" s="144"/>
      <c r="C143" s="303"/>
      <c r="D143" s="303"/>
      <c r="E143" s="303"/>
      <c r="F143" s="303"/>
      <c r="G143" s="303"/>
      <c r="H143" s="119"/>
      <c r="I143" s="303"/>
      <c r="J143" s="302"/>
      <c r="K143" s="303"/>
      <c r="L143" s="303"/>
      <c r="M143" s="119"/>
      <c r="N143" s="303"/>
      <c r="O143" s="302"/>
      <c r="P143" s="119"/>
      <c r="Q143" s="173"/>
      <c r="R143" s="119"/>
      <c r="S143" s="303"/>
      <c r="T143" s="117"/>
      <c r="U143" s="312"/>
      <c r="V143" s="117"/>
      <c r="W143" s="296"/>
      <c r="X143" s="296"/>
    </row>
    <row r="144" spans="1:24" ht="15.75" x14ac:dyDescent="0.25">
      <c r="A144" s="142"/>
      <c r="B144" s="145"/>
      <c r="C144" s="305"/>
      <c r="D144" s="305"/>
      <c r="E144" s="305"/>
      <c r="F144" s="305"/>
      <c r="G144" s="305"/>
      <c r="H144" s="122"/>
      <c r="I144" s="305"/>
      <c r="J144" s="304"/>
      <c r="K144" s="305"/>
      <c r="L144" s="305"/>
      <c r="M144" s="122"/>
      <c r="N144" s="305"/>
      <c r="O144" s="304"/>
      <c r="P144" s="122"/>
      <c r="Q144" s="253"/>
      <c r="R144" s="122"/>
      <c r="S144" s="305"/>
      <c r="T144" s="120"/>
      <c r="U144" s="313"/>
      <c r="V144" s="120"/>
      <c r="W144" s="296"/>
      <c r="X144" s="296"/>
    </row>
    <row r="145" spans="1:24" ht="15.75" x14ac:dyDescent="0.25">
      <c r="A145" s="142"/>
      <c r="B145" s="143"/>
      <c r="C145" s="300"/>
      <c r="D145" s="300"/>
      <c r="E145" s="300"/>
      <c r="F145" s="300"/>
      <c r="G145" s="300"/>
      <c r="H145" s="134"/>
      <c r="I145" s="300"/>
      <c r="J145" s="299"/>
      <c r="K145" s="300"/>
      <c r="L145" s="300"/>
      <c r="M145" s="134"/>
      <c r="N145" s="300"/>
      <c r="O145" s="299"/>
      <c r="P145" s="134"/>
      <c r="Q145" s="301"/>
      <c r="R145" s="134"/>
      <c r="S145" s="300"/>
      <c r="T145" s="132"/>
      <c r="U145" s="311"/>
      <c r="V145" s="132"/>
      <c r="W145" s="296"/>
      <c r="X145" s="296"/>
    </row>
    <row r="146" spans="1:24" s="306" customFormat="1" ht="15.75" x14ac:dyDescent="0.25">
      <c r="A146" s="142"/>
      <c r="B146" s="144"/>
      <c r="C146" s="303"/>
      <c r="D146" s="303"/>
      <c r="E146" s="303"/>
      <c r="F146" s="303"/>
      <c r="G146" s="303"/>
      <c r="H146" s="119"/>
      <c r="I146" s="303"/>
      <c r="J146" s="302"/>
      <c r="K146" s="303"/>
      <c r="L146" s="303"/>
      <c r="M146" s="119"/>
      <c r="N146" s="303"/>
      <c r="O146" s="302"/>
      <c r="P146" s="119"/>
      <c r="Q146" s="173"/>
      <c r="R146" s="119"/>
      <c r="S146" s="303"/>
      <c r="T146" s="117"/>
      <c r="U146" s="312"/>
      <c r="V146" s="117"/>
      <c r="W146" s="296"/>
      <c r="X146" s="296"/>
    </row>
    <row r="147" spans="1:24" ht="15.75" x14ac:dyDescent="0.25">
      <c r="A147" s="142"/>
      <c r="B147" s="145"/>
      <c r="C147" s="305"/>
      <c r="D147" s="305"/>
      <c r="E147" s="305"/>
      <c r="F147" s="305"/>
      <c r="G147" s="305"/>
      <c r="H147" s="122"/>
      <c r="I147" s="305"/>
      <c r="J147" s="304"/>
      <c r="K147" s="305"/>
      <c r="L147" s="305"/>
      <c r="M147" s="122"/>
      <c r="N147" s="305"/>
      <c r="O147" s="304"/>
      <c r="P147" s="122"/>
      <c r="Q147" s="253"/>
      <c r="R147" s="122"/>
      <c r="S147" s="305"/>
      <c r="T147" s="120"/>
      <c r="U147" s="313"/>
      <c r="V147" s="120"/>
      <c r="W147" s="296"/>
      <c r="X147" s="296"/>
    </row>
    <row r="148" spans="1:24" ht="15.75" x14ac:dyDescent="0.25">
      <c r="A148" s="142"/>
      <c r="B148" s="143"/>
      <c r="C148" s="300"/>
      <c r="D148" s="300"/>
      <c r="E148" s="300"/>
      <c r="F148" s="300"/>
      <c r="G148" s="300"/>
      <c r="H148" s="134"/>
      <c r="I148" s="300"/>
      <c r="J148" s="299"/>
      <c r="K148" s="300"/>
      <c r="L148" s="300"/>
      <c r="M148" s="134"/>
      <c r="N148" s="300"/>
      <c r="O148" s="299"/>
      <c r="P148" s="134"/>
      <c r="Q148" s="301"/>
      <c r="R148" s="134"/>
      <c r="S148" s="300"/>
      <c r="T148" s="132"/>
      <c r="U148" s="311"/>
      <c r="V148" s="132"/>
      <c r="W148" s="296"/>
      <c r="X148" s="296"/>
    </row>
    <row r="149" spans="1:24" s="306" customFormat="1" ht="15.75" x14ac:dyDescent="0.25">
      <c r="A149" s="142"/>
      <c r="B149" s="144"/>
      <c r="C149" s="303"/>
      <c r="D149" s="303"/>
      <c r="E149" s="303"/>
      <c r="F149" s="303"/>
      <c r="G149" s="303"/>
      <c r="H149" s="119"/>
      <c r="I149" s="303"/>
      <c r="J149" s="302"/>
      <c r="K149" s="303"/>
      <c r="L149" s="303"/>
      <c r="M149" s="119"/>
      <c r="N149" s="303"/>
      <c r="O149" s="302"/>
      <c r="P149" s="119"/>
      <c r="Q149" s="173"/>
      <c r="R149" s="119"/>
      <c r="S149" s="303"/>
      <c r="T149" s="117"/>
      <c r="U149" s="312"/>
      <c r="V149" s="117"/>
      <c r="W149" s="296"/>
      <c r="X149" s="296"/>
    </row>
    <row r="150" spans="1:24" ht="15.75" x14ac:dyDescent="0.25">
      <c r="A150" s="142"/>
      <c r="B150" s="145"/>
      <c r="C150" s="305"/>
      <c r="D150" s="305"/>
      <c r="E150" s="305"/>
      <c r="F150" s="305"/>
      <c r="G150" s="305"/>
      <c r="H150" s="122"/>
      <c r="I150" s="305"/>
      <c r="J150" s="304"/>
      <c r="K150" s="305"/>
      <c r="L150" s="305"/>
      <c r="M150" s="122"/>
      <c r="N150" s="305"/>
      <c r="O150" s="304"/>
      <c r="P150" s="122"/>
      <c r="Q150" s="253"/>
      <c r="R150" s="122"/>
      <c r="S150" s="305"/>
      <c r="T150" s="120"/>
      <c r="U150" s="313"/>
      <c r="V150" s="120"/>
      <c r="W150" s="296"/>
      <c r="X150" s="296"/>
    </row>
    <row r="151" spans="1:24" ht="15.75" x14ac:dyDescent="0.25">
      <c r="A151" s="142"/>
      <c r="B151" s="143"/>
      <c r="C151" s="300"/>
      <c r="D151" s="300"/>
      <c r="E151" s="300"/>
      <c r="F151" s="300"/>
      <c r="G151" s="300"/>
      <c r="H151" s="134"/>
      <c r="I151" s="300"/>
      <c r="J151" s="299"/>
      <c r="K151" s="300"/>
      <c r="L151" s="300"/>
      <c r="M151" s="134"/>
      <c r="N151" s="300"/>
      <c r="O151" s="299"/>
      <c r="P151" s="134"/>
      <c r="Q151" s="301"/>
      <c r="R151" s="134"/>
      <c r="S151" s="300"/>
      <c r="T151" s="132"/>
      <c r="U151" s="311"/>
      <c r="V151" s="132"/>
      <c r="W151" s="296"/>
      <c r="X151" s="296"/>
    </row>
    <row r="152" spans="1:24" s="306" customFormat="1" ht="15.75" x14ac:dyDescent="0.25">
      <c r="A152" s="142"/>
      <c r="B152" s="144"/>
      <c r="C152" s="303"/>
      <c r="D152" s="303"/>
      <c r="E152" s="303"/>
      <c r="F152" s="303"/>
      <c r="G152" s="303"/>
      <c r="H152" s="119"/>
      <c r="I152" s="303"/>
      <c r="J152" s="302"/>
      <c r="K152" s="303"/>
      <c r="L152" s="303"/>
      <c r="M152" s="119"/>
      <c r="N152" s="303"/>
      <c r="O152" s="302"/>
      <c r="P152" s="119"/>
      <c r="Q152" s="173"/>
      <c r="R152" s="119"/>
      <c r="S152" s="303"/>
      <c r="T152" s="117"/>
      <c r="U152" s="312"/>
      <c r="V152" s="117"/>
      <c r="W152" s="296"/>
      <c r="X152" s="296"/>
    </row>
    <row r="153" spans="1:24" ht="15.75" x14ac:dyDescent="0.25">
      <c r="A153" s="142"/>
      <c r="B153" s="145"/>
      <c r="C153" s="305"/>
      <c r="D153" s="305"/>
      <c r="E153" s="305"/>
      <c r="F153" s="305"/>
      <c r="G153" s="305"/>
      <c r="H153" s="122"/>
      <c r="I153" s="305"/>
      <c r="J153" s="304"/>
      <c r="K153" s="305"/>
      <c r="L153" s="305"/>
      <c r="M153" s="122"/>
      <c r="N153" s="305"/>
      <c r="O153" s="304"/>
      <c r="P153" s="122"/>
      <c r="Q153" s="253"/>
      <c r="R153" s="122"/>
      <c r="S153" s="305"/>
      <c r="T153" s="120"/>
      <c r="U153" s="313"/>
      <c r="V153" s="120"/>
      <c r="W153" s="296"/>
      <c r="X153" s="296"/>
    </row>
    <row r="154" spans="1:24" ht="15.75" x14ac:dyDescent="0.25">
      <c r="A154" s="142"/>
      <c r="B154" s="143"/>
      <c r="C154" s="300"/>
      <c r="D154" s="300"/>
      <c r="E154" s="300"/>
      <c r="F154" s="300"/>
      <c r="G154" s="300"/>
      <c r="H154" s="134"/>
      <c r="I154" s="300"/>
      <c r="J154" s="299"/>
      <c r="K154" s="300"/>
      <c r="L154" s="300"/>
      <c r="M154" s="134"/>
      <c r="N154" s="300"/>
      <c r="O154" s="299"/>
      <c r="P154" s="134"/>
      <c r="Q154" s="301"/>
      <c r="R154" s="134"/>
      <c r="S154" s="300"/>
      <c r="T154" s="132"/>
      <c r="U154" s="311"/>
      <c r="V154" s="132"/>
      <c r="W154" s="296"/>
      <c r="X154" s="296"/>
    </row>
    <row r="155" spans="1:24" s="306" customFormat="1" ht="15.75" x14ac:dyDescent="0.25">
      <c r="A155" s="142"/>
      <c r="B155" s="144"/>
      <c r="C155" s="303"/>
      <c r="D155" s="303"/>
      <c r="E155" s="303"/>
      <c r="F155" s="303"/>
      <c r="G155" s="303"/>
      <c r="H155" s="119"/>
      <c r="I155" s="303"/>
      <c r="J155" s="302"/>
      <c r="K155" s="303"/>
      <c r="L155" s="303"/>
      <c r="M155" s="119"/>
      <c r="N155" s="303"/>
      <c r="O155" s="302"/>
      <c r="P155" s="119"/>
      <c r="Q155" s="173"/>
      <c r="R155" s="119"/>
      <c r="S155" s="303"/>
      <c r="T155" s="117"/>
      <c r="U155" s="312"/>
      <c r="V155" s="117"/>
      <c r="W155" s="296"/>
      <c r="X155" s="296"/>
    </row>
    <row r="156" spans="1:24" ht="15.75" x14ac:dyDescent="0.25">
      <c r="A156" s="142"/>
      <c r="B156" s="145"/>
      <c r="C156" s="305"/>
      <c r="D156" s="305"/>
      <c r="E156" s="305"/>
      <c r="F156" s="305"/>
      <c r="G156" s="305"/>
      <c r="H156" s="122"/>
      <c r="I156" s="305"/>
      <c r="J156" s="304"/>
      <c r="K156" s="305"/>
      <c r="L156" s="305"/>
      <c r="M156" s="122"/>
      <c r="N156" s="305"/>
      <c r="O156" s="304"/>
      <c r="P156" s="122"/>
      <c r="Q156" s="253"/>
      <c r="R156" s="122"/>
      <c r="S156" s="305"/>
      <c r="T156" s="120"/>
      <c r="U156" s="313"/>
      <c r="V156" s="120"/>
      <c r="W156" s="296"/>
      <c r="X156" s="296"/>
    </row>
    <row r="157" spans="1:24" ht="15.75" x14ac:dyDescent="0.25">
      <c r="A157" s="142"/>
      <c r="B157" s="143"/>
      <c r="C157" s="300"/>
      <c r="D157" s="300"/>
      <c r="E157" s="300"/>
      <c r="F157" s="300"/>
      <c r="G157" s="300"/>
      <c r="H157" s="134"/>
      <c r="I157" s="300"/>
      <c r="J157" s="299"/>
      <c r="K157" s="300"/>
      <c r="L157" s="300"/>
      <c r="M157" s="134"/>
      <c r="N157" s="300"/>
      <c r="O157" s="299"/>
      <c r="P157" s="134"/>
      <c r="Q157" s="301"/>
      <c r="R157" s="134"/>
      <c r="S157" s="300"/>
      <c r="T157" s="132"/>
      <c r="U157" s="311"/>
      <c r="V157" s="132"/>
      <c r="W157" s="296"/>
      <c r="X157" s="296"/>
    </row>
    <row r="158" spans="1:24" s="306" customFormat="1" ht="15.75" x14ac:dyDescent="0.25">
      <c r="A158" s="142"/>
      <c r="B158" s="144"/>
      <c r="C158" s="303"/>
      <c r="D158" s="303"/>
      <c r="E158" s="303"/>
      <c r="F158" s="303"/>
      <c r="G158" s="303"/>
      <c r="H158" s="119"/>
      <c r="I158" s="303"/>
      <c r="J158" s="302"/>
      <c r="K158" s="303"/>
      <c r="L158" s="303"/>
      <c r="M158" s="119"/>
      <c r="N158" s="303"/>
      <c r="O158" s="302"/>
      <c r="P158" s="119"/>
      <c r="Q158" s="173"/>
      <c r="R158" s="119"/>
      <c r="S158" s="303"/>
      <c r="T158" s="117"/>
      <c r="U158" s="312"/>
      <c r="V158" s="117"/>
      <c r="W158" s="296"/>
      <c r="X158" s="296"/>
    </row>
    <row r="159" spans="1:24" ht="15.75" x14ac:dyDescent="0.25">
      <c r="A159" s="142"/>
      <c r="B159" s="145"/>
      <c r="C159" s="305"/>
      <c r="D159" s="305"/>
      <c r="E159" s="305"/>
      <c r="F159" s="305"/>
      <c r="G159" s="305"/>
      <c r="H159" s="122"/>
      <c r="I159" s="305"/>
      <c r="J159" s="304"/>
      <c r="K159" s="305"/>
      <c r="L159" s="305"/>
      <c r="M159" s="122"/>
      <c r="N159" s="305"/>
      <c r="O159" s="304"/>
      <c r="P159" s="122"/>
      <c r="Q159" s="253"/>
      <c r="R159" s="122"/>
      <c r="S159" s="305"/>
      <c r="T159" s="120"/>
      <c r="U159" s="313"/>
      <c r="V159" s="120"/>
      <c r="W159" s="296"/>
      <c r="X159" s="296"/>
    </row>
    <row r="160" spans="1:24" ht="15.75" x14ac:dyDescent="0.25">
      <c r="A160" s="142"/>
      <c r="B160" s="143"/>
      <c r="C160" s="300"/>
      <c r="D160" s="300"/>
      <c r="E160" s="300"/>
      <c r="F160" s="300"/>
      <c r="G160" s="300"/>
      <c r="H160" s="134"/>
      <c r="I160" s="300"/>
      <c r="J160" s="299"/>
      <c r="K160" s="300"/>
      <c r="L160" s="300"/>
      <c r="M160" s="134"/>
      <c r="N160" s="300"/>
      <c r="O160" s="299"/>
      <c r="P160" s="134"/>
      <c r="Q160" s="301"/>
      <c r="R160" s="134"/>
      <c r="S160" s="300"/>
      <c r="T160" s="132"/>
      <c r="U160" s="311"/>
      <c r="V160" s="132"/>
      <c r="W160" s="296"/>
      <c r="X160" s="296"/>
    </row>
    <row r="161" spans="1:24" s="306" customFormat="1" ht="15.75" x14ac:dyDescent="0.25">
      <c r="A161" s="142"/>
      <c r="B161" s="144"/>
      <c r="C161" s="303"/>
      <c r="D161" s="303"/>
      <c r="E161" s="303"/>
      <c r="F161" s="303"/>
      <c r="G161" s="303"/>
      <c r="H161" s="119"/>
      <c r="I161" s="303"/>
      <c r="J161" s="302"/>
      <c r="K161" s="303"/>
      <c r="L161" s="303"/>
      <c r="M161" s="119"/>
      <c r="N161" s="303"/>
      <c r="O161" s="302"/>
      <c r="P161" s="119"/>
      <c r="Q161" s="173"/>
      <c r="R161" s="119"/>
      <c r="S161" s="303"/>
      <c r="T161" s="117"/>
      <c r="U161" s="312"/>
      <c r="V161" s="117"/>
      <c r="W161" s="296"/>
      <c r="X161" s="296"/>
    </row>
    <row r="162" spans="1:24" ht="15.75" x14ac:dyDescent="0.25">
      <c r="A162" s="142"/>
      <c r="B162" s="145"/>
      <c r="C162" s="305"/>
      <c r="D162" s="305"/>
      <c r="E162" s="305"/>
      <c r="F162" s="305"/>
      <c r="G162" s="305"/>
      <c r="H162" s="122"/>
      <c r="I162" s="305"/>
      <c r="J162" s="304"/>
      <c r="K162" s="305"/>
      <c r="L162" s="305"/>
      <c r="M162" s="122"/>
      <c r="N162" s="305"/>
      <c r="O162" s="304"/>
      <c r="P162" s="122"/>
      <c r="Q162" s="253"/>
      <c r="R162" s="122"/>
      <c r="S162" s="305"/>
      <c r="T162" s="120"/>
      <c r="U162" s="313"/>
      <c r="V162" s="120"/>
      <c r="W162" s="296"/>
      <c r="X162" s="296"/>
    </row>
    <row r="163" spans="1:24" ht="15.75" x14ac:dyDescent="0.25">
      <c r="A163" s="142"/>
      <c r="B163" s="143"/>
      <c r="C163" s="300"/>
      <c r="D163" s="300"/>
      <c r="E163" s="300"/>
      <c r="F163" s="300"/>
      <c r="G163" s="300"/>
      <c r="H163" s="134"/>
      <c r="I163" s="300"/>
      <c r="J163" s="299"/>
      <c r="K163" s="300"/>
      <c r="L163" s="300"/>
      <c r="M163" s="134"/>
      <c r="N163" s="300"/>
      <c r="O163" s="299"/>
      <c r="P163" s="134"/>
      <c r="Q163" s="301"/>
      <c r="R163" s="134"/>
      <c r="S163" s="300"/>
      <c r="T163" s="132"/>
      <c r="U163" s="311"/>
      <c r="V163" s="132"/>
      <c r="W163" s="296"/>
      <c r="X163" s="296"/>
    </row>
    <row r="164" spans="1:24" s="306" customFormat="1" ht="15.75" x14ac:dyDescent="0.25">
      <c r="A164" s="294"/>
      <c r="B164" s="144"/>
      <c r="C164" s="303"/>
      <c r="D164" s="303"/>
      <c r="E164" s="303"/>
      <c r="F164" s="303"/>
      <c r="G164" s="303"/>
      <c r="H164" s="119"/>
      <c r="I164" s="303"/>
      <c r="J164" s="302"/>
      <c r="K164" s="303"/>
      <c r="L164" s="303"/>
      <c r="M164" s="119"/>
      <c r="N164" s="303"/>
      <c r="O164" s="302"/>
      <c r="P164" s="119"/>
      <c r="Q164" s="173"/>
      <c r="R164" s="119"/>
      <c r="S164" s="303"/>
      <c r="T164" s="117"/>
      <c r="U164" s="312"/>
      <c r="V164" s="117"/>
      <c r="W164" s="296"/>
      <c r="X164" s="296"/>
    </row>
    <row r="165" spans="1:24" ht="15.75" x14ac:dyDescent="0.25">
      <c r="A165" s="141"/>
      <c r="B165" s="143"/>
      <c r="C165" s="300"/>
      <c r="D165" s="300"/>
      <c r="E165" s="300"/>
      <c r="F165" s="300"/>
      <c r="G165" s="300"/>
      <c r="H165" s="134"/>
      <c r="I165" s="300"/>
      <c r="J165" s="299"/>
      <c r="K165" s="300"/>
      <c r="L165" s="300"/>
      <c r="M165" s="134"/>
      <c r="N165" s="300"/>
      <c r="O165" s="299"/>
      <c r="P165" s="134"/>
      <c r="Q165" s="301"/>
      <c r="R165" s="134"/>
      <c r="S165" s="300"/>
      <c r="T165" s="132"/>
      <c r="U165" s="311"/>
      <c r="V165" s="132"/>
      <c r="W165" s="296"/>
      <c r="X165" s="296"/>
    </row>
    <row r="166" spans="1:24" ht="15.75" x14ac:dyDescent="0.25">
      <c r="A166" s="142"/>
      <c r="B166" s="144"/>
      <c r="C166" s="303"/>
      <c r="D166" s="303"/>
      <c r="E166" s="303"/>
      <c r="F166" s="303"/>
      <c r="G166" s="303"/>
      <c r="H166" s="119"/>
      <c r="I166" s="303"/>
      <c r="J166" s="302"/>
      <c r="K166" s="303"/>
      <c r="L166" s="303"/>
      <c r="M166" s="119"/>
      <c r="N166" s="303"/>
      <c r="O166" s="302"/>
      <c r="P166" s="119"/>
      <c r="Q166" s="173"/>
      <c r="R166" s="119"/>
      <c r="S166" s="303"/>
      <c r="T166" s="117"/>
      <c r="U166" s="312"/>
      <c r="V166" s="117"/>
      <c r="W166" s="296"/>
      <c r="X166" s="296"/>
    </row>
    <row r="167" spans="1:24" s="306" customFormat="1" ht="15.75" x14ac:dyDescent="0.25">
      <c r="A167" s="142"/>
      <c r="B167" s="145"/>
      <c r="C167" s="305"/>
      <c r="D167" s="305"/>
      <c r="E167" s="305"/>
      <c r="F167" s="305"/>
      <c r="G167" s="305"/>
      <c r="H167" s="122"/>
      <c r="I167" s="305"/>
      <c r="J167" s="304"/>
      <c r="K167" s="305"/>
      <c r="L167" s="305"/>
      <c r="M167" s="122"/>
      <c r="N167" s="305"/>
      <c r="O167" s="304"/>
      <c r="P167" s="122"/>
      <c r="Q167" s="253"/>
      <c r="R167" s="122"/>
      <c r="S167" s="305"/>
      <c r="T167" s="120"/>
      <c r="U167" s="313"/>
      <c r="V167" s="120"/>
      <c r="W167" s="296"/>
      <c r="X167" s="296"/>
    </row>
    <row r="168" spans="1:24" ht="15.75" x14ac:dyDescent="0.25">
      <c r="A168" s="142"/>
      <c r="B168" s="143"/>
      <c r="C168" s="300"/>
      <c r="D168" s="300"/>
      <c r="E168" s="300"/>
      <c r="F168" s="300"/>
      <c r="G168" s="300"/>
      <c r="H168" s="134"/>
      <c r="I168" s="300"/>
      <c r="J168" s="299"/>
      <c r="K168" s="300"/>
      <c r="L168" s="300"/>
      <c r="M168" s="134"/>
      <c r="N168" s="300"/>
      <c r="O168" s="299"/>
      <c r="P168" s="134"/>
      <c r="Q168" s="301"/>
      <c r="R168" s="134"/>
      <c r="S168" s="300"/>
      <c r="T168" s="132"/>
      <c r="U168" s="311"/>
      <c r="V168" s="132"/>
      <c r="W168" s="296"/>
      <c r="X168" s="296"/>
    </row>
    <row r="169" spans="1:24" ht="15.75" x14ac:dyDescent="0.25">
      <c r="A169" s="142"/>
      <c r="B169" s="144"/>
      <c r="C169" s="303"/>
      <c r="D169" s="303"/>
      <c r="E169" s="303"/>
      <c r="F169" s="303"/>
      <c r="G169" s="303"/>
      <c r="H169" s="119"/>
      <c r="I169" s="303"/>
      <c r="J169" s="302"/>
      <c r="K169" s="303"/>
      <c r="L169" s="303"/>
      <c r="M169" s="119"/>
      <c r="N169" s="303"/>
      <c r="O169" s="302"/>
      <c r="P169" s="119"/>
      <c r="Q169" s="173"/>
      <c r="R169" s="119"/>
      <c r="S169" s="303"/>
      <c r="T169" s="117"/>
      <c r="U169" s="312"/>
      <c r="V169" s="117"/>
      <c r="W169" s="296"/>
      <c r="X169" s="296"/>
    </row>
    <row r="170" spans="1:24" s="306" customFormat="1" ht="15.75" x14ac:dyDescent="0.25">
      <c r="A170" s="142"/>
      <c r="B170" s="145"/>
      <c r="C170" s="305"/>
      <c r="D170" s="305"/>
      <c r="E170" s="305"/>
      <c r="F170" s="305"/>
      <c r="G170" s="305"/>
      <c r="H170" s="122"/>
      <c r="I170" s="305"/>
      <c r="J170" s="304"/>
      <c r="K170" s="305"/>
      <c r="L170" s="305"/>
      <c r="M170" s="122"/>
      <c r="N170" s="305"/>
      <c r="O170" s="304"/>
      <c r="P170" s="122"/>
      <c r="Q170" s="253"/>
      <c r="R170" s="122"/>
      <c r="S170" s="305"/>
      <c r="T170" s="120"/>
      <c r="U170" s="313"/>
      <c r="V170" s="120"/>
      <c r="W170" s="296"/>
      <c r="X170" s="296"/>
    </row>
    <row r="171" spans="1:24" ht="15.75" x14ac:dyDescent="0.25">
      <c r="A171" s="142"/>
      <c r="B171" s="143"/>
      <c r="C171" s="300"/>
      <c r="D171" s="300"/>
      <c r="E171" s="300"/>
      <c r="F171" s="300"/>
      <c r="G171" s="300"/>
      <c r="H171" s="134"/>
      <c r="I171" s="300"/>
      <c r="J171" s="299"/>
      <c r="K171" s="300"/>
      <c r="L171" s="300"/>
      <c r="M171" s="134"/>
      <c r="N171" s="300"/>
      <c r="O171" s="299"/>
      <c r="P171" s="134"/>
      <c r="Q171" s="301"/>
      <c r="R171" s="134"/>
      <c r="S171" s="300"/>
      <c r="T171" s="132"/>
      <c r="U171" s="311"/>
      <c r="V171" s="132"/>
      <c r="W171" s="296"/>
      <c r="X171" s="296"/>
    </row>
    <row r="172" spans="1:24" ht="16.5" thickBot="1" x14ac:dyDescent="0.3">
      <c r="A172" s="142"/>
      <c r="B172" s="144"/>
      <c r="C172" s="303"/>
      <c r="D172" s="303"/>
      <c r="E172" s="303"/>
      <c r="F172" s="303"/>
      <c r="G172" s="303"/>
      <c r="H172" s="119"/>
      <c r="I172" s="303"/>
      <c r="J172" s="302"/>
      <c r="K172" s="303"/>
      <c r="L172" s="786"/>
      <c r="M172" s="119"/>
      <c r="N172" s="303"/>
      <c r="O172" s="302"/>
      <c r="P172" s="119"/>
      <c r="Q172" s="173"/>
      <c r="R172" s="119"/>
      <c r="S172" s="303"/>
      <c r="T172" s="117"/>
      <c r="U172" s="312"/>
      <c r="V172" s="117"/>
      <c r="W172" s="296"/>
      <c r="X172" s="296"/>
    </row>
    <row r="173" spans="1:24" s="306" customFormat="1" ht="16.5" thickBot="1" x14ac:dyDescent="0.3">
      <c r="A173" s="142"/>
      <c r="B173" s="145"/>
      <c r="C173" s="305"/>
      <c r="D173" s="305"/>
      <c r="E173" s="305"/>
      <c r="F173" s="305"/>
      <c r="G173" s="305"/>
      <c r="H173" s="122"/>
      <c r="I173" s="305"/>
      <c r="J173" s="843"/>
      <c r="K173" s="843"/>
      <c r="L173" s="842"/>
      <c r="M173" s="122"/>
      <c r="N173" s="305"/>
      <c r="O173" s="304"/>
      <c r="P173" s="122"/>
      <c r="Q173" s="253"/>
      <c r="R173" s="122"/>
      <c r="S173" s="305"/>
      <c r="T173" s="120"/>
      <c r="U173" s="313"/>
      <c r="V173" s="120"/>
      <c r="W173" s="296"/>
      <c r="X173" s="296"/>
    </row>
    <row r="174" spans="1:24" ht="15.75" x14ac:dyDescent="0.25">
      <c r="A174" s="142"/>
      <c r="B174" s="143"/>
      <c r="C174" s="300"/>
      <c r="D174" s="300"/>
      <c r="E174" s="300"/>
      <c r="F174" s="300"/>
      <c r="G174" s="300"/>
      <c r="H174" s="134"/>
      <c r="I174" s="300"/>
      <c r="J174" s="302"/>
      <c r="K174" s="303"/>
      <c r="L174" s="303"/>
      <c r="M174" s="134"/>
      <c r="N174" s="300"/>
      <c r="O174" s="299"/>
      <c r="P174" s="134"/>
      <c r="Q174" s="301"/>
      <c r="R174" s="134"/>
      <c r="S174" s="300"/>
      <c r="T174" s="132"/>
      <c r="U174" s="311"/>
      <c r="V174" s="132"/>
      <c r="W174" s="296"/>
      <c r="X174" s="296"/>
    </row>
    <row r="175" spans="1:24" ht="16.5" thickBot="1" x14ac:dyDescent="0.3">
      <c r="A175" s="142"/>
      <c r="B175" s="144"/>
      <c r="C175" s="303"/>
      <c r="D175" s="303"/>
      <c r="E175" s="303"/>
      <c r="F175" s="303"/>
      <c r="G175" s="303"/>
      <c r="H175" s="119"/>
      <c r="I175" s="303"/>
      <c r="J175" s="302"/>
      <c r="K175" s="303"/>
      <c r="L175" s="303"/>
      <c r="M175" s="119"/>
      <c r="N175" s="303"/>
      <c r="O175" s="302"/>
      <c r="P175" s="119"/>
      <c r="Q175" s="173"/>
      <c r="R175" s="119"/>
      <c r="S175" s="303"/>
      <c r="T175" s="117"/>
      <c r="U175" s="312"/>
      <c r="V175" s="117"/>
      <c r="W175" s="296"/>
      <c r="X175" s="296"/>
    </row>
    <row r="176" spans="1:24" s="306" customFormat="1" ht="16.5" thickBot="1" x14ac:dyDescent="0.3">
      <c r="A176" s="142"/>
      <c r="B176" s="145"/>
      <c r="C176" s="305"/>
      <c r="D176" s="305"/>
      <c r="E176" s="305"/>
      <c r="F176" s="305"/>
      <c r="G176" s="305"/>
      <c r="H176" s="122"/>
      <c r="I176" s="305"/>
      <c r="J176" s="843"/>
      <c r="K176" s="843"/>
      <c r="L176" s="843"/>
      <c r="M176" s="122"/>
      <c r="N176" s="305"/>
      <c r="O176" s="304"/>
      <c r="P176" s="122"/>
      <c r="Q176" s="253"/>
      <c r="R176" s="122"/>
      <c r="S176" s="305"/>
      <c r="T176" s="120"/>
      <c r="U176" s="313"/>
      <c r="V176" s="120"/>
      <c r="W176" s="296"/>
      <c r="X176" s="296"/>
    </row>
    <row r="177" spans="1:24" ht="15.75" x14ac:dyDescent="0.25">
      <c r="A177" s="142"/>
      <c r="B177" s="143"/>
      <c r="C177" s="300"/>
      <c r="D177" s="300"/>
      <c r="E177" s="300"/>
      <c r="F177" s="300"/>
      <c r="G177" s="300"/>
      <c r="H177" s="134"/>
      <c r="I177" s="300"/>
      <c r="J177" s="299"/>
      <c r="K177" s="303"/>
      <c r="L177" s="300"/>
      <c r="M177" s="134"/>
      <c r="N177" s="300"/>
      <c r="O177" s="299"/>
      <c r="P177" s="134"/>
      <c r="Q177" s="301"/>
      <c r="R177" s="134"/>
      <c r="S177" s="300"/>
      <c r="T177" s="132"/>
      <c r="U177" s="311"/>
      <c r="V177" s="132"/>
      <c r="W177" s="296"/>
      <c r="X177" s="296"/>
    </row>
    <row r="178" spans="1:24" ht="15.75" x14ac:dyDescent="0.25">
      <c r="A178" s="142"/>
      <c r="B178" s="144"/>
      <c r="C178" s="303"/>
      <c r="D178" s="303"/>
      <c r="E178" s="303"/>
      <c r="F178" s="303"/>
      <c r="G178" s="303"/>
      <c r="H178" s="119"/>
      <c r="I178" s="303"/>
      <c r="J178" s="302"/>
      <c r="K178" s="303"/>
      <c r="L178" s="303"/>
      <c r="M178" s="119"/>
      <c r="N178" s="303"/>
      <c r="O178" s="302"/>
      <c r="P178" s="119"/>
      <c r="Q178" s="173"/>
      <c r="R178" s="119"/>
      <c r="S178" s="303"/>
      <c r="T178" s="117"/>
      <c r="U178" s="312"/>
      <c r="V178" s="117"/>
      <c r="W178" s="296"/>
      <c r="X178" s="296"/>
    </row>
    <row r="179" spans="1:24" s="306" customFormat="1" ht="15.75" x14ac:dyDescent="0.25">
      <c r="A179" s="142"/>
      <c r="B179" s="145"/>
      <c r="C179" s="305"/>
      <c r="D179" s="305"/>
      <c r="E179" s="305"/>
      <c r="F179" s="305"/>
      <c r="G179" s="305"/>
      <c r="H179" s="122"/>
      <c r="I179" s="305"/>
      <c r="J179" s="304"/>
      <c r="K179" s="305"/>
      <c r="L179" s="305"/>
      <c r="M179" s="122"/>
      <c r="N179" s="305"/>
      <c r="O179" s="304"/>
      <c r="P179" s="122"/>
      <c r="Q179" s="253"/>
      <c r="R179" s="122"/>
      <c r="S179" s="305"/>
      <c r="T179" s="120"/>
      <c r="U179" s="313"/>
      <c r="V179" s="120"/>
      <c r="W179" s="296"/>
      <c r="X179" s="296"/>
    </row>
    <row r="180" spans="1:24" ht="15.75" x14ac:dyDescent="0.25">
      <c r="A180" s="142"/>
      <c r="B180" s="143"/>
      <c r="C180" s="300"/>
      <c r="D180" s="300"/>
      <c r="E180" s="300"/>
      <c r="F180" s="300"/>
      <c r="G180" s="300"/>
      <c r="H180" s="134"/>
      <c r="I180" s="300"/>
      <c r="J180" s="299"/>
      <c r="K180" s="300"/>
      <c r="L180" s="300"/>
      <c r="M180" s="134"/>
      <c r="N180" s="300"/>
      <c r="O180" s="299"/>
      <c r="P180" s="134"/>
      <c r="Q180" s="301"/>
      <c r="R180" s="134"/>
      <c r="S180" s="300"/>
      <c r="T180" s="132"/>
      <c r="U180" s="311"/>
      <c r="V180" s="132"/>
      <c r="W180" s="296"/>
      <c r="X180" s="296"/>
    </row>
    <row r="181" spans="1:24" ht="15.75" x14ac:dyDescent="0.25">
      <c r="A181" s="142"/>
      <c r="B181" s="144"/>
      <c r="C181" s="303"/>
      <c r="D181" s="303"/>
      <c r="E181" s="303"/>
      <c r="F181" s="303"/>
      <c r="G181" s="303"/>
      <c r="H181" s="119"/>
      <c r="I181" s="303"/>
      <c r="J181" s="302"/>
      <c r="K181" s="303"/>
      <c r="L181" s="303"/>
      <c r="M181" s="119"/>
      <c r="N181" s="303"/>
      <c r="O181" s="302"/>
      <c r="P181" s="119"/>
      <c r="Q181" s="173"/>
      <c r="R181" s="119"/>
      <c r="S181" s="303"/>
      <c r="T181" s="117"/>
      <c r="U181" s="312"/>
      <c r="V181" s="117"/>
      <c r="W181" s="296"/>
      <c r="X181" s="296"/>
    </row>
    <row r="182" spans="1:24" s="306" customFormat="1" ht="15.75" x14ac:dyDescent="0.25">
      <c r="A182" s="142"/>
      <c r="B182" s="145"/>
      <c r="C182" s="305"/>
      <c r="D182" s="305"/>
      <c r="E182" s="305"/>
      <c r="F182" s="305"/>
      <c r="G182" s="305"/>
      <c r="H182" s="122"/>
      <c r="I182" s="305"/>
      <c r="J182" s="304"/>
      <c r="K182" s="305"/>
      <c r="L182" s="305"/>
      <c r="M182" s="122"/>
      <c r="N182" s="305"/>
      <c r="O182" s="304"/>
      <c r="P182" s="122"/>
      <c r="Q182" s="253"/>
      <c r="R182" s="122"/>
      <c r="S182" s="305"/>
      <c r="T182" s="120"/>
      <c r="U182" s="313"/>
      <c r="V182" s="120"/>
      <c r="W182" s="296"/>
      <c r="X182" s="296"/>
    </row>
    <row r="183" spans="1:24" ht="15.75" x14ac:dyDescent="0.25">
      <c r="A183" s="142"/>
      <c r="B183" s="143"/>
      <c r="C183" s="300"/>
      <c r="D183" s="300"/>
      <c r="E183" s="300"/>
      <c r="F183" s="300"/>
      <c r="G183" s="300"/>
      <c r="H183" s="134"/>
      <c r="I183" s="300"/>
      <c r="J183" s="299"/>
      <c r="K183" s="300"/>
      <c r="L183" s="300"/>
      <c r="M183" s="134"/>
      <c r="N183" s="300"/>
      <c r="O183" s="299"/>
      <c r="P183" s="134"/>
      <c r="Q183" s="301"/>
      <c r="R183" s="134"/>
      <c r="S183" s="300"/>
      <c r="T183" s="132"/>
      <c r="U183" s="311"/>
      <c r="V183" s="132"/>
      <c r="W183" s="296"/>
      <c r="X183" s="296"/>
    </row>
    <row r="184" spans="1:24" ht="15.75" x14ac:dyDescent="0.25">
      <c r="A184" s="142"/>
      <c r="B184" s="144"/>
      <c r="C184" s="303"/>
      <c r="D184" s="303"/>
      <c r="E184" s="303"/>
      <c r="F184" s="303"/>
      <c r="G184" s="303"/>
      <c r="H184" s="119"/>
      <c r="I184" s="303"/>
      <c r="J184" s="302"/>
      <c r="K184" s="303"/>
      <c r="L184" s="303"/>
      <c r="M184" s="119"/>
      <c r="N184" s="303"/>
      <c r="O184" s="302"/>
      <c r="P184" s="119"/>
      <c r="Q184" s="173"/>
      <c r="R184" s="119"/>
      <c r="S184" s="303"/>
      <c r="T184" s="117"/>
      <c r="U184" s="312"/>
      <c r="V184" s="117"/>
      <c r="W184" s="296"/>
      <c r="X184" s="296"/>
    </row>
    <row r="185" spans="1:24" s="306" customFormat="1" ht="15.75" x14ac:dyDescent="0.25">
      <c r="A185" s="142"/>
      <c r="B185" s="145"/>
      <c r="C185" s="305"/>
      <c r="D185" s="305"/>
      <c r="E185" s="305"/>
      <c r="F185" s="305"/>
      <c r="G185" s="305"/>
      <c r="H185" s="122"/>
      <c r="I185" s="305"/>
      <c r="J185" s="304"/>
      <c r="K185" s="305"/>
      <c r="L185" s="305"/>
      <c r="M185" s="122"/>
      <c r="N185" s="305"/>
      <c r="O185" s="304"/>
      <c r="P185" s="122"/>
      <c r="Q185" s="253"/>
      <c r="R185" s="122"/>
      <c r="S185" s="305"/>
      <c r="T185" s="120"/>
      <c r="U185" s="313"/>
      <c r="V185" s="120"/>
      <c r="W185" s="296"/>
      <c r="X185" s="296"/>
    </row>
    <row r="186" spans="1:24" ht="15.75" x14ac:dyDescent="0.25">
      <c r="A186" s="142"/>
      <c r="B186" s="143"/>
      <c r="C186" s="300"/>
      <c r="D186" s="300"/>
      <c r="E186" s="300"/>
      <c r="F186" s="300"/>
      <c r="G186" s="300"/>
      <c r="H186" s="134"/>
      <c r="I186" s="300"/>
      <c r="J186" s="299"/>
      <c r="K186" s="300"/>
      <c r="L186" s="300"/>
      <c r="M186" s="134"/>
      <c r="N186" s="300"/>
      <c r="O186" s="299"/>
      <c r="P186" s="134"/>
      <c r="Q186" s="301"/>
      <c r="R186" s="134"/>
      <c r="S186" s="300"/>
      <c r="T186" s="132"/>
      <c r="U186" s="311"/>
      <c r="V186" s="132"/>
      <c r="W186" s="296"/>
      <c r="X186" s="296"/>
    </row>
    <row r="187" spans="1:24" ht="15.75" x14ac:dyDescent="0.25">
      <c r="A187" s="142"/>
      <c r="B187" s="144"/>
      <c r="C187" s="303"/>
      <c r="D187" s="303"/>
      <c r="E187" s="303"/>
      <c r="F187" s="303"/>
      <c r="G187" s="303"/>
      <c r="H187" s="119"/>
      <c r="I187" s="303"/>
      <c r="J187" s="302"/>
      <c r="K187" s="303"/>
      <c r="L187" s="303"/>
      <c r="M187" s="119"/>
      <c r="N187" s="303"/>
      <c r="O187" s="302"/>
      <c r="P187" s="119"/>
      <c r="Q187" s="173"/>
      <c r="R187" s="119"/>
      <c r="S187" s="303"/>
      <c r="T187" s="117"/>
      <c r="U187" s="312"/>
      <c r="V187" s="117"/>
      <c r="W187" s="296"/>
      <c r="X187" s="296"/>
    </row>
    <row r="188" spans="1:24" s="306" customFormat="1" ht="15.75" x14ac:dyDescent="0.25">
      <c r="A188" s="142"/>
      <c r="B188" s="145"/>
      <c r="C188" s="305"/>
      <c r="D188" s="305"/>
      <c r="E188" s="305"/>
      <c r="F188" s="305"/>
      <c r="G188" s="305"/>
      <c r="H188" s="122"/>
      <c r="I188" s="305"/>
      <c r="J188" s="304"/>
      <c r="K188" s="305"/>
      <c r="L188" s="305"/>
      <c r="M188" s="122"/>
      <c r="N188" s="305"/>
      <c r="O188" s="304"/>
      <c r="P188" s="122"/>
      <c r="Q188" s="253"/>
      <c r="R188" s="122"/>
      <c r="S188" s="305"/>
      <c r="T188" s="120"/>
      <c r="U188" s="313"/>
      <c r="V188" s="120"/>
      <c r="W188" s="296"/>
      <c r="X188" s="296"/>
    </row>
    <row r="189" spans="1:24" ht="15.75" x14ac:dyDescent="0.25">
      <c r="A189" s="142"/>
      <c r="B189" s="143"/>
      <c r="C189" s="300"/>
      <c r="D189" s="300"/>
      <c r="E189" s="300"/>
      <c r="F189" s="300"/>
      <c r="G189" s="300"/>
      <c r="H189" s="134"/>
      <c r="I189" s="300"/>
      <c r="J189" s="299"/>
      <c r="K189" s="300"/>
      <c r="L189" s="300"/>
      <c r="M189" s="134"/>
      <c r="N189" s="300"/>
      <c r="O189" s="299"/>
      <c r="P189" s="134"/>
      <c r="Q189" s="301"/>
      <c r="R189" s="134"/>
      <c r="S189" s="300"/>
      <c r="T189" s="132"/>
      <c r="U189" s="311"/>
      <c r="V189" s="132"/>
      <c r="W189" s="296"/>
      <c r="X189" s="296"/>
    </row>
    <row r="190" spans="1:24" ht="15.75" x14ac:dyDescent="0.25">
      <c r="A190" s="142"/>
      <c r="B190" s="144"/>
      <c r="C190" s="303"/>
      <c r="D190" s="303"/>
      <c r="E190" s="303"/>
      <c r="F190" s="303"/>
      <c r="G190" s="303"/>
      <c r="H190" s="119"/>
      <c r="I190" s="303"/>
      <c r="J190" s="302"/>
      <c r="K190" s="303"/>
      <c r="L190" s="303"/>
      <c r="M190" s="119"/>
      <c r="N190" s="303"/>
      <c r="O190" s="302"/>
      <c r="P190" s="119"/>
      <c r="Q190" s="173"/>
      <c r="R190" s="119"/>
      <c r="S190" s="303"/>
      <c r="T190" s="117"/>
      <c r="U190" s="312"/>
      <c r="V190" s="117"/>
      <c r="W190" s="296"/>
      <c r="X190" s="296"/>
    </row>
    <row r="191" spans="1:24" s="306" customFormat="1" ht="15.75" x14ac:dyDescent="0.25">
      <c r="A191" s="142"/>
      <c r="B191" s="145"/>
      <c r="C191" s="305"/>
      <c r="D191" s="305"/>
      <c r="E191" s="305"/>
      <c r="F191" s="305"/>
      <c r="G191" s="305"/>
      <c r="H191" s="122"/>
      <c r="I191" s="305"/>
      <c r="J191" s="304"/>
      <c r="K191" s="305"/>
      <c r="L191" s="305"/>
      <c r="M191" s="122"/>
      <c r="N191" s="305"/>
      <c r="O191" s="304"/>
      <c r="P191" s="122"/>
      <c r="Q191" s="253"/>
      <c r="R191" s="122"/>
      <c r="S191" s="305"/>
      <c r="T191" s="120"/>
      <c r="U191" s="313"/>
      <c r="V191" s="120"/>
      <c r="W191" s="296"/>
      <c r="X191" s="296"/>
    </row>
    <row r="192" spans="1:24" ht="15.75" x14ac:dyDescent="0.25">
      <c r="A192" s="142"/>
      <c r="B192" s="143"/>
      <c r="C192" s="300"/>
      <c r="D192" s="300"/>
      <c r="E192" s="300"/>
      <c r="F192" s="300"/>
      <c r="G192" s="300"/>
      <c r="H192" s="134"/>
      <c r="I192" s="300"/>
      <c r="J192" s="299"/>
      <c r="K192" s="300"/>
      <c r="L192" s="300"/>
      <c r="M192" s="134"/>
      <c r="N192" s="300"/>
      <c r="O192" s="299"/>
      <c r="P192" s="134"/>
      <c r="Q192" s="301"/>
      <c r="R192" s="134"/>
      <c r="S192" s="300"/>
      <c r="T192" s="132"/>
      <c r="U192" s="311"/>
      <c r="V192" s="132"/>
      <c r="W192" s="296"/>
      <c r="X192" s="296"/>
    </row>
    <row r="193" spans="1:24" ht="15.75" x14ac:dyDescent="0.25">
      <c r="A193" s="142"/>
      <c r="B193" s="144"/>
      <c r="C193" s="303"/>
      <c r="D193" s="303"/>
      <c r="E193" s="303"/>
      <c r="F193" s="303"/>
      <c r="G193" s="303"/>
      <c r="H193" s="119"/>
      <c r="I193" s="303"/>
      <c r="J193" s="302"/>
      <c r="K193" s="303"/>
      <c r="L193" s="303"/>
      <c r="M193" s="119"/>
      <c r="N193" s="303"/>
      <c r="O193" s="302"/>
      <c r="P193" s="119"/>
      <c r="Q193" s="173"/>
      <c r="R193" s="119"/>
      <c r="S193" s="303"/>
      <c r="T193" s="117"/>
      <c r="U193" s="312"/>
      <c r="V193" s="117"/>
      <c r="W193" s="296"/>
      <c r="X193" s="296"/>
    </row>
    <row r="194" spans="1:24" s="306" customFormat="1" ht="15.75" x14ac:dyDescent="0.25">
      <c r="A194" s="142"/>
      <c r="B194" s="145"/>
      <c r="C194" s="305"/>
      <c r="D194" s="305"/>
      <c r="E194" s="305"/>
      <c r="F194" s="305"/>
      <c r="G194" s="305"/>
      <c r="H194" s="122"/>
      <c r="I194" s="305"/>
      <c r="J194" s="304"/>
      <c r="K194" s="305"/>
      <c r="L194" s="305"/>
      <c r="M194" s="122"/>
      <c r="N194" s="305"/>
      <c r="O194" s="304"/>
      <c r="P194" s="122"/>
      <c r="Q194" s="253"/>
      <c r="R194" s="122"/>
      <c r="S194" s="305"/>
      <c r="T194" s="120"/>
      <c r="U194" s="313"/>
      <c r="V194" s="120"/>
      <c r="W194" s="296"/>
      <c r="X194" s="296"/>
    </row>
    <row r="195" spans="1:24" ht="15.75" x14ac:dyDescent="0.25">
      <c r="A195" s="142"/>
      <c r="B195" s="143"/>
      <c r="C195" s="300"/>
      <c r="D195" s="300"/>
      <c r="E195" s="300"/>
      <c r="F195" s="300"/>
      <c r="G195" s="300"/>
      <c r="H195" s="134"/>
      <c r="I195" s="300"/>
      <c r="J195" s="299"/>
      <c r="K195" s="300"/>
      <c r="L195" s="300"/>
      <c r="M195" s="134"/>
      <c r="N195" s="300"/>
      <c r="O195" s="299"/>
      <c r="P195" s="134"/>
      <c r="Q195" s="301"/>
      <c r="R195" s="134"/>
      <c r="S195" s="300"/>
      <c r="T195" s="132"/>
      <c r="U195" s="311"/>
      <c r="V195" s="132"/>
      <c r="W195" s="296"/>
      <c r="X195" s="296"/>
    </row>
    <row r="196" spans="1:24" ht="15.75" x14ac:dyDescent="0.25">
      <c r="A196" s="142"/>
      <c r="B196" s="144"/>
      <c r="C196" s="303"/>
      <c r="D196" s="303"/>
      <c r="E196" s="303"/>
      <c r="F196" s="303"/>
      <c r="G196" s="303"/>
      <c r="H196" s="119"/>
      <c r="I196" s="303"/>
      <c r="J196" s="302"/>
      <c r="K196" s="303"/>
      <c r="L196" s="303"/>
      <c r="M196" s="119"/>
      <c r="N196" s="303"/>
      <c r="O196" s="302"/>
      <c r="P196" s="119"/>
      <c r="Q196" s="173"/>
      <c r="R196" s="119"/>
      <c r="S196" s="303"/>
      <c r="T196" s="117"/>
      <c r="U196" s="312"/>
      <c r="V196" s="117"/>
      <c r="W196" s="296"/>
      <c r="X196" s="296"/>
    </row>
    <row r="197" spans="1:24" s="306" customFormat="1" ht="15.75" x14ac:dyDescent="0.25">
      <c r="A197" s="142"/>
      <c r="B197" s="145"/>
      <c r="C197" s="305"/>
      <c r="D197" s="305"/>
      <c r="E197" s="305"/>
      <c r="F197" s="305"/>
      <c r="G197" s="305"/>
      <c r="H197" s="122"/>
      <c r="I197" s="305"/>
      <c r="J197" s="304"/>
      <c r="K197" s="305"/>
      <c r="L197" s="305"/>
      <c r="M197" s="122"/>
      <c r="N197" s="305"/>
      <c r="O197" s="304"/>
      <c r="P197" s="122"/>
      <c r="Q197" s="253"/>
      <c r="R197" s="122"/>
      <c r="S197" s="305"/>
      <c r="T197" s="120"/>
      <c r="U197" s="313"/>
      <c r="V197" s="120"/>
      <c r="W197" s="296"/>
      <c r="X197" s="296"/>
    </row>
    <row r="198" spans="1:24" ht="15.75" x14ac:dyDescent="0.25">
      <c r="A198" s="142"/>
      <c r="B198" s="143"/>
      <c r="C198" s="300"/>
      <c r="D198" s="300"/>
      <c r="E198" s="300"/>
      <c r="F198" s="300"/>
      <c r="G198" s="300"/>
      <c r="H198" s="134"/>
      <c r="I198" s="300"/>
      <c r="J198" s="299"/>
      <c r="K198" s="300"/>
      <c r="L198" s="300"/>
      <c r="M198" s="134"/>
      <c r="N198" s="300"/>
      <c r="O198" s="299"/>
      <c r="P198" s="134"/>
      <c r="Q198" s="301"/>
      <c r="R198" s="134"/>
      <c r="S198" s="300"/>
      <c r="T198" s="132"/>
      <c r="U198" s="311"/>
      <c r="V198" s="132"/>
      <c r="W198" s="296"/>
      <c r="X198" s="296"/>
    </row>
    <row r="199" spans="1:24" ht="15.75" x14ac:dyDescent="0.25">
      <c r="A199" s="142"/>
      <c r="B199" s="144"/>
      <c r="C199" s="303"/>
      <c r="D199" s="303"/>
      <c r="E199" s="303"/>
      <c r="F199" s="303"/>
      <c r="G199" s="303"/>
      <c r="H199" s="119"/>
      <c r="I199" s="303"/>
      <c r="J199" s="302"/>
      <c r="K199" s="303"/>
      <c r="L199" s="303"/>
      <c r="M199" s="119"/>
      <c r="N199" s="303"/>
      <c r="O199" s="302"/>
      <c r="P199" s="119"/>
      <c r="Q199" s="173"/>
      <c r="R199" s="119"/>
      <c r="S199" s="303"/>
      <c r="T199" s="117"/>
      <c r="U199" s="312"/>
      <c r="V199" s="117"/>
      <c r="W199" s="296"/>
      <c r="X199" s="296"/>
    </row>
    <row r="200" spans="1:24" s="306" customFormat="1" ht="15.75" x14ac:dyDescent="0.25">
      <c r="A200" s="142"/>
      <c r="B200" s="145"/>
      <c r="C200" s="305"/>
      <c r="D200" s="305"/>
      <c r="E200" s="305"/>
      <c r="F200" s="305"/>
      <c r="G200" s="305"/>
      <c r="H200" s="122"/>
      <c r="I200" s="305"/>
      <c r="J200" s="304"/>
      <c r="K200" s="305"/>
      <c r="L200" s="305"/>
      <c r="M200" s="122"/>
      <c r="N200" s="305"/>
      <c r="O200" s="304"/>
      <c r="P200" s="122"/>
      <c r="Q200" s="253"/>
      <c r="R200" s="122"/>
      <c r="S200" s="305"/>
      <c r="T200" s="120"/>
      <c r="U200" s="313"/>
      <c r="V200" s="120"/>
      <c r="W200" s="296"/>
      <c r="X200" s="296"/>
    </row>
    <row r="201" spans="1:24" ht="15.75" x14ac:dyDescent="0.25">
      <c r="A201" s="142"/>
      <c r="B201" s="143"/>
      <c r="C201" s="300"/>
      <c r="D201" s="300"/>
      <c r="E201" s="300"/>
      <c r="F201" s="300"/>
      <c r="G201" s="300"/>
      <c r="H201" s="134"/>
      <c r="I201" s="300"/>
      <c r="J201" s="299"/>
      <c r="K201" s="300"/>
      <c r="L201" s="300"/>
      <c r="M201" s="134"/>
      <c r="N201" s="300"/>
      <c r="O201" s="299"/>
      <c r="P201" s="134"/>
      <c r="Q201" s="301"/>
      <c r="R201" s="134"/>
      <c r="S201" s="300"/>
      <c r="T201" s="132"/>
      <c r="U201" s="311"/>
      <c r="V201" s="132"/>
      <c r="W201" s="296"/>
      <c r="X201" s="296"/>
    </row>
    <row r="202" spans="1:24" ht="15.75" x14ac:dyDescent="0.25">
      <c r="A202" s="142"/>
      <c r="B202" s="144"/>
      <c r="C202" s="303"/>
      <c r="D202" s="303"/>
      <c r="E202" s="303"/>
      <c r="F202" s="303"/>
      <c r="G202" s="303"/>
      <c r="H202" s="119"/>
      <c r="I202" s="303"/>
      <c r="J202" s="302"/>
      <c r="K202" s="303"/>
      <c r="L202" s="303"/>
      <c r="M202" s="119"/>
      <c r="N202" s="303"/>
      <c r="O202" s="302"/>
      <c r="P202" s="119"/>
      <c r="Q202" s="173"/>
      <c r="R202" s="119"/>
      <c r="S202" s="303"/>
      <c r="T202" s="117"/>
      <c r="U202" s="312"/>
      <c r="V202" s="117"/>
      <c r="W202" s="296"/>
      <c r="X202" s="296"/>
    </row>
    <row r="203" spans="1:24" s="306" customFormat="1" ht="15.75" x14ac:dyDescent="0.25">
      <c r="A203" s="142"/>
      <c r="B203" s="145"/>
      <c r="C203" s="305"/>
      <c r="D203" s="305"/>
      <c r="E203" s="305"/>
      <c r="F203" s="305"/>
      <c r="G203" s="305"/>
      <c r="H203" s="122"/>
      <c r="I203" s="305"/>
      <c r="J203" s="304"/>
      <c r="K203" s="305"/>
      <c r="L203" s="305"/>
      <c r="M203" s="122"/>
      <c r="N203" s="305"/>
      <c r="O203" s="304"/>
      <c r="P203" s="122"/>
      <c r="Q203" s="253"/>
      <c r="R203" s="122"/>
      <c r="S203" s="305"/>
      <c r="T203" s="120"/>
      <c r="U203" s="313"/>
      <c r="V203" s="120"/>
      <c r="W203" s="296"/>
      <c r="X203" s="296"/>
    </row>
    <row r="204" spans="1:24" ht="15.75" x14ac:dyDescent="0.25">
      <c r="A204" s="142"/>
      <c r="B204" s="143"/>
      <c r="C204" s="300"/>
      <c r="D204" s="300"/>
      <c r="E204" s="300"/>
      <c r="F204" s="300"/>
      <c r="G204" s="300"/>
      <c r="H204" s="134"/>
      <c r="I204" s="300"/>
      <c r="J204" s="299"/>
      <c r="K204" s="300"/>
      <c r="L204" s="300"/>
      <c r="M204" s="134"/>
      <c r="N204" s="300"/>
      <c r="O204" s="299"/>
      <c r="P204" s="134"/>
      <c r="Q204" s="301"/>
      <c r="R204" s="134"/>
      <c r="S204" s="300"/>
      <c r="T204" s="132"/>
      <c r="U204" s="311"/>
      <c r="V204" s="132"/>
      <c r="W204" s="296"/>
      <c r="X204" s="296"/>
    </row>
    <row r="205" spans="1:24" ht="15.75" x14ac:dyDescent="0.25">
      <c r="A205" s="142"/>
      <c r="B205" s="144"/>
      <c r="C205" s="303"/>
      <c r="D205" s="303"/>
      <c r="E205" s="303"/>
      <c r="F205" s="303"/>
      <c r="G205" s="303"/>
      <c r="H205" s="119"/>
      <c r="I205" s="303"/>
      <c r="J205" s="302"/>
      <c r="K205" s="303"/>
      <c r="L205" s="303"/>
      <c r="M205" s="119"/>
      <c r="N205" s="303"/>
      <c r="O205" s="302"/>
      <c r="P205" s="119"/>
      <c r="Q205" s="173"/>
      <c r="R205" s="119"/>
      <c r="S205" s="303"/>
      <c r="T205" s="117"/>
      <c r="U205" s="312"/>
      <c r="V205" s="117"/>
      <c r="W205" s="296"/>
      <c r="X205" s="296"/>
    </row>
    <row r="206" spans="1:24" s="306" customFormat="1" ht="15.75" x14ac:dyDescent="0.25">
      <c r="A206" s="142"/>
      <c r="B206" s="145"/>
      <c r="C206" s="305"/>
      <c r="D206" s="305"/>
      <c r="E206" s="305"/>
      <c r="F206" s="305"/>
      <c r="G206" s="305"/>
      <c r="H206" s="122"/>
      <c r="I206" s="305"/>
      <c r="J206" s="304"/>
      <c r="K206" s="305"/>
      <c r="L206" s="305"/>
      <c r="M206" s="122"/>
      <c r="N206" s="305"/>
      <c r="O206" s="304"/>
      <c r="P206" s="122"/>
      <c r="Q206" s="253"/>
      <c r="R206" s="122"/>
      <c r="S206" s="305"/>
      <c r="T206" s="120"/>
      <c r="U206" s="313"/>
      <c r="V206" s="120"/>
      <c r="W206" s="296"/>
      <c r="X206" s="296"/>
    </row>
    <row r="207" spans="1:24" ht="15.75" x14ac:dyDescent="0.25">
      <c r="A207" s="142"/>
      <c r="B207" s="143"/>
      <c r="C207" s="300"/>
      <c r="D207" s="300"/>
      <c r="E207" s="300"/>
      <c r="F207" s="300"/>
      <c r="G207" s="300"/>
      <c r="H207" s="134"/>
      <c r="I207" s="300"/>
      <c r="J207" s="299"/>
      <c r="K207" s="300"/>
      <c r="L207" s="300"/>
      <c r="M207" s="134"/>
      <c r="N207" s="300"/>
      <c r="O207" s="299"/>
      <c r="P207" s="134"/>
      <c r="Q207" s="301"/>
      <c r="R207" s="134"/>
      <c r="S207" s="300"/>
      <c r="T207" s="132"/>
      <c r="U207" s="311"/>
      <c r="V207" s="132"/>
      <c r="W207" s="296"/>
      <c r="X207" s="296"/>
    </row>
    <row r="208" spans="1:24" ht="15.75" x14ac:dyDescent="0.25">
      <c r="A208" s="142"/>
      <c r="B208" s="144"/>
      <c r="C208" s="303"/>
      <c r="D208" s="303"/>
      <c r="E208" s="303"/>
      <c r="F208" s="303"/>
      <c r="G208" s="303"/>
      <c r="H208" s="119"/>
      <c r="I208" s="303"/>
      <c r="J208" s="302"/>
      <c r="K208" s="303"/>
      <c r="L208" s="303"/>
      <c r="M208" s="119"/>
      <c r="N208" s="303"/>
      <c r="O208" s="302"/>
      <c r="P208" s="119"/>
      <c r="Q208" s="173"/>
      <c r="R208" s="119"/>
      <c r="S208" s="303"/>
      <c r="T208" s="117"/>
      <c r="U208" s="312"/>
      <c r="V208" s="117"/>
      <c r="W208" s="296"/>
      <c r="X208" s="296"/>
    </row>
    <row r="209" spans="1:24" s="306" customFormat="1" ht="15.75" x14ac:dyDescent="0.25">
      <c r="A209" s="142"/>
      <c r="B209" s="145"/>
      <c r="C209" s="305"/>
      <c r="D209" s="305"/>
      <c r="E209" s="305"/>
      <c r="F209" s="305"/>
      <c r="G209" s="305"/>
      <c r="H209" s="122"/>
      <c r="I209" s="305"/>
      <c r="J209" s="304"/>
      <c r="K209" s="305"/>
      <c r="L209" s="305"/>
      <c r="M209" s="122"/>
      <c r="N209" s="305"/>
      <c r="O209" s="304"/>
      <c r="P209" s="122"/>
      <c r="Q209" s="253"/>
      <c r="R209" s="122"/>
      <c r="S209" s="305"/>
      <c r="T209" s="120"/>
      <c r="U209" s="313"/>
      <c r="V209" s="120"/>
      <c r="W209" s="296"/>
      <c r="X209" s="296"/>
    </row>
    <row r="210" spans="1:24" ht="15.75" x14ac:dyDescent="0.25">
      <c r="A210" s="142"/>
      <c r="B210" s="143"/>
      <c r="C210" s="300"/>
      <c r="D210" s="300"/>
      <c r="E210" s="300"/>
      <c r="F210" s="300"/>
      <c r="G210" s="300"/>
      <c r="H210" s="134"/>
      <c r="I210" s="300"/>
      <c r="J210" s="299"/>
      <c r="K210" s="300"/>
      <c r="L210" s="300"/>
      <c r="M210" s="134"/>
      <c r="N210" s="300"/>
      <c r="O210" s="299"/>
      <c r="P210" s="134"/>
      <c r="Q210" s="301"/>
      <c r="R210" s="134"/>
      <c r="S210" s="300"/>
      <c r="T210" s="132"/>
      <c r="U210" s="311"/>
      <c r="V210" s="132"/>
      <c r="W210" s="296"/>
      <c r="X210" s="296"/>
    </row>
    <row r="211" spans="1:24" ht="15.75" x14ac:dyDescent="0.25">
      <c r="A211" s="142"/>
      <c r="B211" s="144"/>
      <c r="C211" s="303"/>
      <c r="D211" s="303"/>
      <c r="E211" s="303"/>
      <c r="F211" s="303"/>
      <c r="G211" s="303"/>
      <c r="H211" s="119"/>
      <c r="I211" s="303"/>
      <c r="J211" s="302"/>
      <c r="K211" s="303"/>
      <c r="L211" s="303"/>
      <c r="M211" s="119"/>
      <c r="N211" s="303"/>
      <c r="O211" s="302"/>
      <c r="P211" s="119"/>
      <c r="Q211" s="173"/>
      <c r="R211" s="119"/>
      <c r="S211" s="303"/>
      <c r="T211" s="117"/>
      <c r="U211" s="312"/>
      <c r="V211" s="117"/>
      <c r="W211" s="296"/>
      <c r="X211" s="296"/>
    </row>
    <row r="212" spans="1:24" s="306" customFormat="1" ht="15.75" x14ac:dyDescent="0.25">
      <c r="A212" s="142"/>
      <c r="B212" s="145"/>
      <c r="C212" s="305"/>
      <c r="D212" s="305"/>
      <c r="E212" s="305"/>
      <c r="F212" s="305"/>
      <c r="G212" s="305"/>
      <c r="H212" s="122"/>
      <c r="I212" s="305"/>
      <c r="J212" s="304"/>
      <c r="K212" s="305"/>
      <c r="L212" s="305"/>
      <c r="M212" s="122"/>
      <c r="N212" s="305"/>
      <c r="O212" s="304"/>
      <c r="P212" s="122"/>
      <c r="Q212" s="253"/>
      <c r="R212" s="122"/>
      <c r="S212" s="305"/>
      <c r="T212" s="120"/>
      <c r="U212" s="313"/>
      <c r="V212" s="120"/>
      <c r="W212" s="296"/>
      <c r="X212" s="296"/>
    </row>
    <row r="213" spans="1:24" ht="15.75" x14ac:dyDescent="0.25">
      <c r="A213" s="142"/>
      <c r="B213" s="143"/>
      <c r="C213" s="300"/>
      <c r="D213" s="300"/>
      <c r="E213" s="300"/>
      <c r="F213" s="300"/>
      <c r="G213" s="300"/>
      <c r="H213" s="134"/>
      <c r="I213" s="300"/>
      <c r="J213" s="299"/>
      <c r="K213" s="300"/>
      <c r="L213" s="300"/>
      <c r="M213" s="134"/>
      <c r="N213" s="300"/>
      <c r="O213" s="299"/>
      <c r="P213" s="134"/>
      <c r="Q213" s="301"/>
      <c r="R213" s="134"/>
      <c r="S213" s="300"/>
      <c r="T213" s="132"/>
      <c r="U213" s="311"/>
      <c r="V213" s="132"/>
      <c r="W213" s="296"/>
      <c r="X213" s="296"/>
    </row>
    <row r="214" spans="1:24" ht="15.75" x14ac:dyDescent="0.25">
      <c r="A214" s="142"/>
      <c r="B214" s="144"/>
      <c r="C214" s="303"/>
      <c r="D214" s="303"/>
      <c r="E214" s="303"/>
      <c r="F214" s="303"/>
      <c r="G214" s="303"/>
      <c r="H214" s="119"/>
      <c r="I214" s="303"/>
      <c r="J214" s="302"/>
      <c r="K214" s="303"/>
      <c r="L214" s="303"/>
      <c r="M214" s="119"/>
      <c r="N214" s="303"/>
      <c r="O214" s="302"/>
      <c r="P214" s="119"/>
      <c r="Q214" s="173"/>
      <c r="R214" s="119"/>
      <c r="S214" s="303"/>
      <c r="T214" s="117"/>
      <c r="U214" s="312"/>
      <c r="V214" s="117"/>
      <c r="W214" s="296"/>
      <c r="X214" s="296"/>
    </row>
    <row r="215" spans="1:24" s="306" customFormat="1" ht="15.75" x14ac:dyDescent="0.25">
      <c r="A215" s="142"/>
      <c r="B215" s="145"/>
      <c r="C215" s="305"/>
      <c r="D215" s="305"/>
      <c r="E215" s="305"/>
      <c r="F215" s="305"/>
      <c r="G215" s="305"/>
      <c r="H215" s="122"/>
      <c r="I215" s="305"/>
      <c r="J215" s="304"/>
      <c r="K215" s="305"/>
      <c r="L215" s="305"/>
      <c r="M215" s="122"/>
      <c r="N215" s="305"/>
      <c r="O215" s="304"/>
      <c r="P215" s="122"/>
      <c r="Q215" s="253"/>
      <c r="R215" s="122"/>
      <c r="S215" s="305"/>
      <c r="T215" s="120"/>
      <c r="U215" s="313"/>
      <c r="V215" s="120"/>
      <c r="W215" s="296"/>
      <c r="X215" s="296"/>
    </row>
    <row r="216" spans="1:24" ht="15.75" x14ac:dyDescent="0.25">
      <c r="A216" s="142"/>
      <c r="B216" s="143"/>
      <c r="C216" s="300"/>
      <c r="D216" s="300"/>
      <c r="E216" s="300"/>
      <c r="F216" s="300"/>
      <c r="G216" s="300"/>
      <c r="H216" s="134"/>
      <c r="I216" s="300"/>
      <c r="J216" s="299"/>
      <c r="K216" s="300"/>
      <c r="L216" s="300"/>
      <c r="M216" s="134"/>
      <c r="N216" s="300"/>
      <c r="O216" s="299"/>
      <c r="P216" s="134"/>
      <c r="Q216" s="301"/>
      <c r="R216" s="134"/>
      <c r="S216" s="300"/>
      <c r="T216" s="132"/>
      <c r="U216" s="311"/>
      <c r="V216" s="132"/>
      <c r="W216" s="296"/>
      <c r="X216" s="296"/>
    </row>
    <row r="217" spans="1:24" ht="15.75" x14ac:dyDescent="0.25">
      <c r="A217" s="294"/>
      <c r="B217" s="144"/>
      <c r="C217" s="303"/>
      <c r="D217" s="303"/>
      <c r="E217" s="303"/>
      <c r="F217" s="303"/>
      <c r="G217" s="303"/>
      <c r="H217" s="119"/>
      <c r="I217" s="303"/>
      <c r="J217" s="302"/>
      <c r="K217" s="303"/>
      <c r="L217" s="303"/>
      <c r="M217" s="119"/>
      <c r="N217" s="303"/>
      <c r="O217" s="302"/>
      <c r="P217" s="119"/>
      <c r="Q217" s="173"/>
      <c r="R217" s="119"/>
      <c r="S217" s="303"/>
      <c r="T217" s="117"/>
      <c r="U217" s="312"/>
      <c r="V217" s="117"/>
      <c r="W217" s="296"/>
      <c r="X217" s="296"/>
    </row>
    <row r="218" spans="1:24" s="306" customFormat="1" ht="15.75" x14ac:dyDescent="0.25">
      <c r="A218" s="141"/>
      <c r="B218" s="143"/>
      <c r="C218" s="300"/>
      <c r="D218" s="300"/>
      <c r="E218" s="300"/>
      <c r="F218" s="300"/>
      <c r="G218" s="300"/>
      <c r="H218" s="134"/>
      <c r="I218" s="300"/>
      <c r="J218" s="299"/>
      <c r="K218" s="300"/>
      <c r="L218" s="300"/>
      <c r="M218" s="134"/>
      <c r="N218" s="300"/>
      <c r="O218" s="299"/>
      <c r="P218" s="134"/>
      <c r="Q218" s="301"/>
      <c r="R218" s="134"/>
      <c r="S218" s="300"/>
      <c r="T218" s="132"/>
      <c r="U218" s="311"/>
      <c r="V218" s="132"/>
      <c r="W218" s="296"/>
      <c r="X218" s="296"/>
    </row>
    <row r="219" spans="1:24" ht="16.5" thickBot="1" x14ac:dyDescent="0.3">
      <c r="A219" s="142"/>
      <c r="B219" s="144"/>
      <c r="C219" s="303"/>
      <c r="D219" s="303"/>
      <c r="E219" s="303"/>
      <c r="F219" s="303"/>
      <c r="G219" s="303"/>
      <c r="H219" s="119"/>
      <c r="I219" s="303"/>
      <c r="J219" s="302"/>
      <c r="K219" s="303"/>
      <c r="L219" s="303"/>
      <c r="M219" s="119"/>
      <c r="N219" s="303"/>
      <c r="O219" s="302"/>
      <c r="P219" s="119"/>
      <c r="Q219" s="173"/>
      <c r="R219" s="119"/>
      <c r="S219" s="303"/>
      <c r="T219" s="117"/>
      <c r="U219" s="312"/>
      <c r="V219" s="117"/>
      <c r="W219" s="296"/>
      <c r="X219" s="296"/>
    </row>
    <row r="220" spans="1:24" ht="16.5" thickBot="1" x14ac:dyDescent="0.3">
      <c r="A220" s="142"/>
      <c r="B220" s="145"/>
      <c r="C220" s="305"/>
      <c r="D220" s="305"/>
      <c r="E220" s="305"/>
      <c r="F220" s="724"/>
      <c r="G220" s="724"/>
      <c r="H220" s="724"/>
      <c r="I220" s="305"/>
      <c r="J220" s="304"/>
      <c r="K220" s="305"/>
      <c r="L220" s="724"/>
      <c r="M220" s="122"/>
      <c r="N220" s="305"/>
      <c r="O220" s="724"/>
      <c r="P220" s="122"/>
      <c r="Q220" s="253"/>
      <c r="R220" s="122"/>
      <c r="S220" s="724"/>
      <c r="T220" s="120"/>
      <c r="U220" s="313"/>
      <c r="V220" s="120"/>
      <c r="W220" s="296"/>
      <c r="X220" s="296"/>
    </row>
    <row r="221" spans="1:24" s="306" customFormat="1" ht="15.75" x14ac:dyDescent="0.25">
      <c r="A221" s="142"/>
      <c r="B221" s="143"/>
      <c r="C221" s="300"/>
      <c r="D221" s="300"/>
      <c r="E221" s="300"/>
      <c r="F221" s="300"/>
      <c r="G221" s="300"/>
      <c r="H221" s="134"/>
      <c r="I221" s="300"/>
      <c r="J221" s="299"/>
      <c r="K221" s="300"/>
      <c r="L221" s="300"/>
      <c r="M221" s="134"/>
      <c r="N221" s="300"/>
      <c r="O221" s="299"/>
      <c r="P221" s="134"/>
      <c r="Q221" s="301"/>
      <c r="R221" s="134"/>
      <c r="S221" s="300"/>
      <c r="T221" s="132"/>
      <c r="U221" s="311"/>
      <c r="V221" s="132"/>
      <c r="W221" s="296"/>
      <c r="X221" s="296"/>
    </row>
    <row r="222" spans="1:24" ht="15.75" x14ac:dyDescent="0.25">
      <c r="A222" s="142"/>
      <c r="B222" s="144"/>
      <c r="C222" s="303"/>
      <c r="D222" s="303"/>
      <c r="E222" s="303"/>
      <c r="F222" s="303"/>
      <c r="G222" s="303"/>
      <c r="H222" s="119"/>
      <c r="I222" s="303"/>
      <c r="J222" s="302"/>
      <c r="K222" s="303"/>
      <c r="L222" s="303"/>
      <c r="M222" s="119"/>
      <c r="N222" s="303"/>
      <c r="O222" s="302"/>
      <c r="P222" s="119"/>
      <c r="Q222" s="173"/>
      <c r="R222" s="119"/>
      <c r="S222" s="303"/>
      <c r="T222" s="117"/>
      <c r="U222" s="312"/>
      <c r="V222" s="117"/>
      <c r="W222" s="296"/>
      <c r="X222" s="296"/>
    </row>
    <row r="223" spans="1:24" ht="15.75" x14ac:dyDescent="0.25">
      <c r="A223" s="142"/>
      <c r="B223" s="145"/>
      <c r="C223" s="305"/>
      <c r="D223" s="305"/>
      <c r="E223" s="305"/>
      <c r="F223" s="305"/>
      <c r="G223" s="305"/>
      <c r="H223" s="122"/>
      <c r="I223" s="305"/>
      <c r="J223" s="304"/>
      <c r="K223" s="305"/>
      <c r="L223" s="305"/>
      <c r="M223" s="122"/>
      <c r="N223" s="305"/>
      <c r="O223" s="304"/>
      <c r="P223" s="122"/>
      <c r="Q223" s="253"/>
      <c r="R223" s="122"/>
      <c r="S223" s="305"/>
      <c r="T223" s="120"/>
      <c r="U223" s="313"/>
      <c r="V223" s="120"/>
      <c r="W223" s="296"/>
      <c r="X223" s="296"/>
    </row>
    <row r="224" spans="1:24" s="306" customFormat="1" ht="15.75" x14ac:dyDescent="0.25">
      <c r="A224" s="142"/>
      <c r="B224" s="143"/>
      <c r="C224" s="300"/>
      <c r="D224" s="300"/>
      <c r="E224" s="300"/>
      <c r="F224" s="300"/>
      <c r="G224" s="300"/>
      <c r="H224" s="134"/>
      <c r="I224" s="300"/>
      <c r="J224" s="299"/>
      <c r="K224" s="300"/>
      <c r="L224" s="300"/>
      <c r="M224" s="134"/>
      <c r="N224" s="300"/>
      <c r="O224" s="299"/>
      <c r="P224" s="134"/>
      <c r="Q224" s="301"/>
      <c r="R224" s="134"/>
      <c r="S224" s="300"/>
      <c r="T224" s="132"/>
      <c r="U224" s="311"/>
      <c r="V224" s="132"/>
      <c r="W224" s="296"/>
      <c r="X224" s="296"/>
    </row>
    <row r="225" spans="1:24" ht="16.5" thickBot="1" x14ac:dyDescent="0.3">
      <c r="A225" s="142"/>
      <c r="B225" s="144"/>
      <c r="C225" s="303"/>
      <c r="D225" s="303"/>
      <c r="E225" s="303"/>
      <c r="F225" s="303"/>
      <c r="G225" s="303"/>
      <c r="H225" s="119"/>
      <c r="I225" s="303"/>
      <c r="J225" s="302"/>
      <c r="K225" s="303"/>
      <c r="L225" s="303"/>
      <c r="M225" s="119"/>
      <c r="N225" s="303"/>
      <c r="O225" s="302"/>
      <c r="P225" s="119"/>
      <c r="Q225" s="173"/>
      <c r="R225" s="119"/>
      <c r="S225" s="303"/>
      <c r="T225" s="117"/>
      <c r="U225" s="312"/>
      <c r="V225" s="117"/>
      <c r="W225" s="296"/>
      <c r="X225" s="296"/>
    </row>
    <row r="226" spans="1:24" ht="16.5" thickBot="1" x14ac:dyDescent="0.3">
      <c r="A226" s="142"/>
      <c r="B226" s="145"/>
      <c r="C226" s="305"/>
      <c r="D226" s="305"/>
      <c r="E226" s="305"/>
      <c r="F226" s="305"/>
      <c r="G226" s="724"/>
      <c r="H226" s="122"/>
      <c r="I226" s="305"/>
      <c r="J226" s="304"/>
      <c r="K226" s="305"/>
      <c r="L226" s="305"/>
      <c r="M226" s="122"/>
      <c r="N226" s="305"/>
      <c r="O226" s="304"/>
      <c r="P226" s="122"/>
      <c r="Q226" s="253"/>
      <c r="R226" s="122"/>
      <c r="S226" s="305"/>
      <c r="T226" s="120"/>
      <c r="U226" s="313"/>
      <c r="V226" s="120"/>
      <c r="W226" s="296"/>
      <c r="X226" s="296"/>
    </row>
    <row r="227" spans="1:24" s="306" customFormat="1" ht="15.75" x14ac:dyDescent="0.25">
      <c r="A227" s="142"/>
      <c r="B227" s="143"/>
      <c r="C227" s="300"/>
      <c r="D227" s="300"/>
      <c r="E227" s="300"/>
      <c r="F227" s="300"/>
      <c r="G227" s="300"/>
      <c r="H227" s="134"/>
      <c r="I227" s="300"/>
      <c r="J227" s="299"/>
      <c r="K227" s="300"/>
      <c r="L227" s="300"/>
      <c r="M227" s="134"/>
      <c r="N227" s="300"/>
      <c r="O227" s="299"/>
      <c r="P227" s="134"/>
      <c r="Q227" s="301"/>
      <c r="R227" s="134"/>
      <c r="S227" s="300"/>
      <c r="T227" s="132"/>
      <c r="U227" s="311"/>
      <c r="V227" s="132"/>
      <c r="W227" s="296"/>
      <c r="X227" s="296"/>
    </row>
    <row r="228" spans="1:24" ht="16.5" thickBot="1" x14ac:dyDescent="0.3">
      <c r="A228" s="142"/>
      <c r="B228" s="144"/>
      <c r="C228" s="303"/>
      <c r="D228" s="303"/>
      <c r="E228" s="303"/>
      <c r="F228" s="303"/>
      <c r="G228" s="303"/>
      <c r="H228" s="119"/>
      <c r="I228" s="303"/>
      <c r="J228" s="302"/>
      <c r="K228" s="303"/>
      <c r="L228" s="303"/>
      <c r="M228" s="119"/>
      <c r="N228" s="303"/>
      <c r="O228" s="302"/>
      <c r="P228" s="119"/>
      <c r="Q228" s="173"/>
      <c r="R228" s="119"/>
      <c r="S228" s="303"/>
      <c r="T228" s="117"/>
      <c r="U228" s="312"/>
      <c r="V228" s="117"/>
      <c r="W228" s="296"/>
      <c r="X228" s="296"/>
    </row>
    <row r="229" spans="1:24" ht="16.5" thickBot="1" x14ac:dyDescent="0.3">
      <c r="A229" s="142"/>
      <c r="B229" s="145"/>
      <c r="C229" s="305"/>
      <c r="D229" s="305"/>
      <c r="E229" s="305"/>
      <c r="F229" s="305"/>
      <c r="G229" s="305"/>
      <c r="H229" s="724"/>
      <c r="I229" s="305"/>
      <c r="J229" s="304"/>
      <c r="K229" s="305"/>
      <c r="L229" s="724"/>
      <c r="M229" s="122"/>
      <c r="N229" s="305"/>
      <c r="O229" s="304"/>
      <c r="P229" s="122"/>
      <c r="Q229" s="253"/>
      <c r="R229" s="122"/>
      <c r="S229" s="305"/>
      <c r="T229" s="120"/>
      <c r="U229" s="313"/>
      <c r="V229" s="120"/>
      <c r="W229" s="296"/>
      <c r="X229" s="296"/>
    </row>
    <row r="230" spans="1:24" s="306" customFormat="1" ht="15.75" x14ac:dyDescent="0.25">
      <c r="A230" s="142"/>
      <c r="B230" s="143"/>
      <c r="C230" s="300"/>
      <c r="D230" s="300"/>
      <c r="E230" s="300"/>
      <c r="F230" s="300"/>
      <c r="G230" s="300"/>
      <c r="H230" s="134"/>
      <c r="I230" s="300"/>
      <c r="J230" s="299"/>
      <c r="K230" s="300"/>
      <c r="L230" s="300"/>
      <c r="M230" s="134"/>
      <c r="N230" s="300"/>
      <c r="O230" s="299"/>
      <c r="P230" s="134"/>
      <c r="Q230" s="301"/>
      <c r="R230" s="134"/>
      <c r="S230" s="300"/>
      <c r="T230" s="132"/>
      <c r="U230" s="311"/>
      <c r="V230" s="132"/>
      <c r="W230" s="296"/>
      <c r="X230" s="296"/>
    </row>
    <row r="231" spans="1:24" ht="16.5" thickBot="1" x14ac:dyDescent="0.3">
      <c r="A231" s="142"/>
      <c r="B231" s="144"/>
      <c r="C231" s="303"/>
      <c r="D231" s="303"/>
      <c r="E231" s="303"/>
      <c r="F231" s="303"/>
      <c r="G231" s="303"/>
      <c r="H231" s="119"/>
      <c r="I231" s="303"/>
      <c r="J231" s="302"/>
      <c r="K231" s="303"/>
      <c r="L231" s="303"/>
      <c r="M231" s="119"/>
      <c r="N231" s="303"/>
      <c r="O231" s="302"/>
      <c r="P231" s="119"/>
      <c r="Q231" s="173"/>
      <c r="R231" s="119"/>
      <c r="S231" s="303"/>
      <c r="T231" s="117"/>
      <c r="U231" s="312"/>
      <c r="V231" s="117"/>
      <c r="W231" s="296"/>
      <c r="X231" s="296"/>
    </row>
    <row r="232" spans="1:24" ht="16.5" thickBot="1" x14ac:dyDescent="0.3">
      <c r="A232" s="142"/>
      <c r="B232" s="145"/>
      <c r="C232" s="305"/>
      <c r="D232" s="305"/>
      <c r="E232" s="724"/>
      <c r="F232" s="305"/>
      <c r="G232" s="305"/>
      <c r="H232" s="122"/>
      <c r="I232" s="305"/>
      <c r="J232" s="304"/>
      <c r="K232" s="305"/>
      <c r="L232" s="305"/>
      <c r="M232" s="122"/>
      <c r="N232" s="305"/>
      <c r="O232" s="304"/>
      <c r="P232" s="122"/>
      <c r="Q232" s="253"/>
      <c r="R232" s="122"/>
      <c r="S232" s="305"/>
      <c r="T232" s="120"/>
      <c r="U232" s="313"/>
      <c r="V232" s="120"/>
      <c r="W232" s="296"/>
      <c r="X232" s="296"/>
    </row>
    <row r="233" spans="1:24" s="306" customFormat="1" ht="15.75" x14ac:dyDescent="0.25">
      <c r="A233" s="142"/>
      <c r="B233" s="143"/>
      <c r="C233" s="300"/>
      <c r="D233" s="300"/>
      <c r="E233" s="300"/>
      <c r="F233" s="300"/>
      <c r="G233" s="300"/>
      <c r="H233" s="134"/>
      <c r="I233" s="300"/>
      <c r="J233" s="299"/>
      <c r="K233" s="300"/>
      <c r="L233" s="300"/>
      <c r="M233" s="134"/>
      <c r="N233" s="300"/>
      <c r="O233" s="299"/>
      <c r="P233" s="134"/>
      <c r="Q233" s="301"/>
      <c r="R233" s="134"/>
      <c r="S233" s="300"/>
      <c r="T233" s="132"/>
      <c r="U233" s="311"/>
      <c r="V233" s="132"/>
      <c r="W233" s="296"/>
      <c r="X233" s="296"/>
    </row>
    <row r="234" spans="1:24" ht="15.75" x14ac:dyDescent="0.25">
      <c r="A234" s="142"/>
      <c r="B234" s="144"/>
      <c r="C234" s="303"/>
      <c r="D234" s="303"/>
      <c r="E234" s="303"/>
      <c r="F234" s="303"/>
      <c r="G234" s="303"/>
      <c r="H234" s="119"/>
      <c r="I234" s="303"/>
      <c r="J234" s="302"/>
      <c r="K234" s="303"/>
      <c r="L234" s="303"/>
      <c r="M234" s="119"/>
      <c r="N234" s="303"/>
      <c r="O234" s="302"/>
      <c r="P234" s="119"/>
      <c r="Q234" s="173"/>
      <c r="R234" s="119"/>
      <c r="S234" s="303"/>
      <c r="T234" s="117"/>
      <c r="U234" s="312"/>
      <c r="V234" s="117"/>
      <c r="W234" s="296"/>
      <c r="X234" s="296"/>
    </row>
    <row r="235" spans="1:24" ht="15.75" x14ac:dyDescent="0.25">
      <c r="A235" s="142"/>
      <c r="B235" s="145"/>
      <c r="C235" s="305"/>
      <c r="D235" s="305"/>
      <c r="E235" s="305"/>
      <c r="F235" s="305"/>
      <c r="G235" s="305"/>
      <c r="H235" s="122"/>
      <c r="I235" s="305"/>
      <c r="J235" s="304"/>
      <c r="K235" s="305"/>
      <c r="L235" s="305"/>
      <c r="M235" s="122"/>
      <c r="N235" s="305"/>
      <c r="O235" s="304"/>
      <c r="P235" s="122"/>
      <c r="Q235" s="253"/>
      <c r="R235" s="122"/>
      <c r="S235" s="305"/>
      <c r="T235" s="120"/>
      <c r="U235" s="313"/>
      <c r="V235" s="120"/>
      <c r="W235" s="296"/>
      <c r="X235" s="296"/>
    </row>
    <row r="236" spans="1:24" s="306" customFormat="1" ht="15.75" x14ac:dyDescent="0.25">
      <c r="A236" s="142"/>
      <c r="B236" s="143"/>
      <c r="C236" s="300"/>
      <c r="D236" s="300"/>
      <c r="E236" s="300"/>
      <c r="F236" s="300"/>
      <c r="G236" s="300"/>
      <c r="H236" s="134"/>
      <c r="I236" s="300"/>
      <c r="J236" s="299"/>
      <c r="K236" s="300"/>
      <c r="L236" s="300"/>
      <c r="M236" s="134"/>
      <c r="N236" s="300"/>
      <c r="O236" s="299"/>
      <c r="P236" s="134"/>
      <c r="Q236" s="301"/>
      <c r="R236" s="134"/>
      <c r="S236" s="300"/>
      <c r="T236" s="132"/>
      <c r="U236" s="311"/>
      <c r="V236" s="132"/>
      <c r="W236" s="296"/>
      <c r="X236" s="296"/>
    </row>
    <row r="237" spans="1:24" ht="15.75" x14ac:dyDescent="0.25">
      <c r="A237" s="142"/>
      <c r="B237" s="144"/>
      <c r="C237" s="303"/>
      <c r="D237" s="303"/>
      <c r="E237" s="303"/>
      <c r="F237" s="303"/>
      <c r="G237" s="303"/>
      <c r="H237" s="119"/>
      <c r="I237" s="303"/>
      <c r="J237" s="302"/>
      <c r="K237" s="303"/>
      <c r="L237" s="303"/>
      <c r="M237" s="119"/>
      <c r="N237" s="303"/>
      <c r="O237" s="302"/>
      <c r="P237" s="119"/>
      <c r="Q237" s="173"/>
      <c r="R237" s="119"/>
      <c r="S237" s="303"/>
      <c r="T237" s="117"/>
      <c r="U237" s="312"/>
      <c r="V237" s="117"/>
      <c r="W237" s="296"/>
      <c r="X237" s="296"/>
    </row>
    <row r="238" spans="1:24" ht="15.75" x14ac:dyDescent="0.25">
      <c r="A238" s="142"/>
      <c r="B238" s="145"/>
      <c r="C238" s="305"/>
      <c r="D238" s="305"/>
      <c r="E238" s="305"/>
      <c r="F238" s="305"/>
      <c r="G238" s="305"/>
      <c r="H238" s="122"/>
      <c r="I238" s="305"/>
      <c r="J238" s="304"/>
      <c r="K238" s="305"/>
      <c r="L238" s="305"/>
      <c r="M238" s="122"/>
      <c r="N238" s="305"/>
      <c r="O238" s="304"/>
      <c r="P238" s="122"/>
      <c r="Q238" s="253"/>
      <c r="R238" s="122"/>
      <c r="S238" s="305"/>
      <c r="T238" s="120"/>
      <c r="U238" s="313"/>
      <c r="V238" s="120"/>
      <c r="W238" s="296"/>
      <c r="X238" s="296"/>
    </row>
    <row r="239" spans="1:24" s="306" customFormat="1" ht="15.75" x14ac:dyDescent="0.25">
      <c r="A239" s="142"/>
      <c r="B239" s="143"/>
      <c r="C239" s="300"/>
      <c r="D239" s="300"/>
      <c r="E239" s="300"/>
      <c r="F239" s="300"/>
      <c r="G239" s="300"/>
      <c r="H239" s="134"/>
      <c r="I239" s="300"/>
      <c r="J239" s="299"/>
      <c r="K239" s="300"/>
      <c r="L239" s="300"/>
      <c r="M239" s="134"/>
      <c r="N239" s="300"/>
      <c r="O239" s="299"/>
      <c r="P239" s="134"/>
      <c r="Q239" s="301"/>
      <c r="R239" s="134"/>
      <c r="S239" s="300"/>
      <c r="T239" s="132"/>
      <c r="U239" s="311"/>
      <c r="V239" s="132"/>
      <c r="W239" s="296"/>
      <c r="X239" s="296"/>
    </row>
    <row r="240" spans="1:24" ht="15.75" x14ac:dyDescent="0.25">
      <c r="A240" s="142"/>
      <c r="B240" s="144"/>
      <c r="C240" s="303"/>
      <c r="D240" s="303"/>
      <c r="E240" s="303"/>
      <c r="F240" s="303"/>
      <c r="G240" s="303"/>
      <c r="H240" s="119"/>
      <c r="I240" s="303"/>
      <c r="J240" s="302"/>
      <c r="K240" s="303"/>
      <c r="L240" s="303"/>
      <c r="M240" s="119"/>
      <c r="N240" s="303"/>
      <c r="O240" s="302"/>
      <c r="P240" s="119"/>
      <c r="Q240" s="173"/>
      <c r="R240" s="119"/>
      <c r="S240" s="303"/>
      <c r="T240" s="117"/>
      <c r="U240" s="312"/>
      <c r="V240" s="117"/>
      <c r="W240" s="296"/>
      <c r="X240" s="296"/>
    </row>
    <row r="241" spans="1:24" ht="15.75" x14ac:dyDescent="0.25">
      <c r="A241" s="142"/>
      <c r="B241" s="145"/>
      <c r="C241" s="305"/>
      <c r="D241" s="305"/>
      <c r="E241" s="305"/>
      <c r="F241" s="305"/>
      <c r="G241" s="305"/>
      <c r="H241" s="122"/>
      <c r="I241" s="305"/>
      <c r="J241" s="304"/>
      <c r="K241" s="305"/>
      <c r="L241" s="305"/>
      <c r="M241" s="122"/>
      <c r="N241" s="305"/>
      <c r="O241" s="304"/>
      <c r="P241" s="122"/>
      <c r="Q241" s="253"/>
      <c r="R241" s="122"/>
      <c r="S241" s="305"/>
      <c r="T241" s="120"/>
      <c r="U241" s="313"/>
      <c r="V241" s="120"/>
      <c r="W241" s="296"/>
      <c r="X241" s="296"/>
    </row>
    <row r="242" spans="1:24" s="306" customFormat="1" ht="15.75" x14ac:dyDescent="0.25">
      <c r="A242" s="142"/>
      <c r="B242" s="143"/>
      <c r="C242" s="300"/>
      <c r="D242" s="300"/>
      <c r="E242" s="300"/>
      <c r="F242" s="300"/>
      <c r="G242" s="300"/>
      <c r="H242" s="134"/>
      <c r="I242" s="300"/>
      <c r="J242" s="299"/>
      <c r="K242" s="300"/>
      <c r="L242" s="300"/>
      <c r="M242" s="134"/>
      <c r="N242" s="300"/>
      <c r="O242" s="299"/>
      <c r="P242" s="134"/>
      <c r="Q242" s="301"/>
      <c r="R242" s="134"/>
      <c r="S242" s="300"/>
      <c r="T242" s="132"/>
      <c r="U242" s="311"/>
      <c r="V242" s="132"/>
      <c r="W242" s="296"/>
      <c r="X242" s="296"/>
    </row>
    <row r="243" spans="1:24" ht="15.75" x14ac:dyDescent="0.25">
      <c r="A243" s="142"/>
      <c r="B243" s="144"/>
      <c r="C243" s="303"/>
      <c r="D243" s="303"/>
      <c r="E243" s="303"/>
      <c r="F243" s="303"/>
      <c r="G243" s="303"/>
      <c r="H243" s="119"/>
      <c r="I243" s="303"/>
      <c r="J243" s="302"/>
      <c r="K243" s="303"/>
      <c r="L243" s="303"/>
      <c r="M243" s="119"/>
      <c r="N243" s="303"/>
      <c r="O243" s="302"/>
      <c r="P243" s="119"/>
      <c r="Q243" s="173"/>
      <c r="R243" s="119"/>
      <c r="S243" s="303"/>
      <c r="T243" s="117"/>
      <c r="U243" s="312"/>
      <c r="V243" s="117"/>
      <c r="W243" s="296"/>
      <c r="X243" s="296"/>
    </row>
    <row r="244" spans="1:24" ht="15.75" x14ac:dyDescent="0.25">
      <c r="A244" s="142"/>
      <c r="B244" s="145"/>
      <c r="C244" s="305"/>
      <c r="D244" s="305"/>
      <c r="E244" s="305"/>
      <c r="F244" s="305"/>
      <c r="G244" s="305"/>
      <c r="H244" s="122"/>
      <c r="I244" s="305"/>
      <c r="J244" s="304"/>
      <c r="K244" s="305"/>
      <c r="L244" s="305"/>
      <c r="M244" s="122"/>
      <c r="N244" s="305"/>
      <c r="O244" s="304"/>
      <c r="P244" s="122"/>
      <c r="Q244" s="253"/>
      <c r="R244" s="122"/>
      <c r="S244" s="305"/>
      <c r="T244" s="120"/>
      <c r="U244" s="313"/>
      <c r="V244" s="120"/>
      <c r="W244" s="296"/>
      <c r="X244" s="296"/>
    </row>
    <row r="245" spans="1:24" s="306" customFormat="1" ht="15.75" x14ac:dyDescent="0.25">
      <c r="A245" s="142"/>
      <c r="B245" s="143"/>
      <c r="C245" s="300"/>
      <c r="D245" s="300"/>
      <c r="E245" s="300"/>
      <c r="F245" s="300"/>
      <c r="G245" s="300"/>
      <c r="H245" s="134"/>
      <c r="I245" s="300"/>
      <c r="J245" s="299"/>
      <c r="K245" s="300"/>
      <c r="L245" s="300"/>
      <c r="M245" s="134"/>
      <c r="N245" s="300"/>
      <c r="O245" s="299"/>
      <c r="P245" s="134"/>
      <c r="Q245" s="301"/>
      <c r="R245" s="134"/>
      <c r="S245" s="300"/>
      <c r="T245" s="132"/>
      <c r="U245" s="311"/>
      <c r="V245" s="132"/>
      <c r="W245" s="296"/>
      <c r="X245" s="296"/>
    </row>
    <row r="246" spans="1:24" ht="15.75" x14ac:dyDescent="0.25">
      <c r="A246" s="142"/>
      <c r="B246" s="144"/>
      <c r="C246" s="303"/>
      <c r="D246" s="303"/>
      <c r="E246" s="303"/>
      <c r="F246" s="303"/>
      <c r="G246" s="303"/>
      <c r="H246" s="119"/>
      <c r="I246" s="303"/>
      <c r="J246" s="302"/>
      <c r="K246" s="303"/>
      <c r="L246" s="303"/>
      <c r="M246" s="119"/>
      <c r="N246" s="303"/>
      <c r="O246" s="302"/>
      <c r="P246" s="119"/>
      <c r="Q246" s="173"/>
      <c r="R246" s="119"/>
      <c r="S246" s="303"/>
      <c r="T246" s="117"/>
      <c r="U246" s="312"/>
      <c r="V246" s="117"/>
      <c r="W246" s="296"/>
      <c r="X246" s="296"/>
    </row>
    <row r="247" spans="1:24" ht="15.75" x14ac:dyDescent="0.25">
      <c r="A247" s="142"/>
      <c r="B247" s="145"/>
      <c r="C247" s="305"/>
      <c r="D247" s="305"/>
      <c r="E247" s="305"/>
      <c r="F247" s="305"/>
      <c r="G247" s="305"/>
      <c r="H247" s="122"/>
      <c r="I247" s="305"/>
      <c r="J247" s="304"/>
      <c r="K247" s="305"/>
      <c r="L247" s="305"/>
      <c r="M247" s="122"/>
      <c r="N247" s="305"/>
      <c r="O247" s="304"/>
      <c r="P247" s="122"/>
      <c r="Q247" s="253"/>
      <c r="R247" s="122"/>
      <c r="S247" s="305"/>
      <c r="T247" s="120"/>
      <c r="U247" s="313"/>
      <c r="V247" s="120"/>
      <c r="W247" s="296"/>
      <c r="X247" s="296"/>
    </row>
    <row r="248" spans="1:24" s="306" customFormat="1" ht="15.75" x14ac:dyDescent="0.25">
      <c r="A248" s="142"/>
      <c r="B248" s="143"/>
      <c r="C248" s="300"/>
      <c r="D248" s="300"/>
      <c r="E248" s="300"/>
      <c r="F248" s="300"/>
      <c r="G248" s="300"/>
      <c r="H248" s="134"/>
      <c r="I248" s="300"/>
      <c r="J248" s="299"/>
      <c r="K248" s="300"/>
      <c r="L248" s="300"/>
      <c r="M248" s="134"/>
      <c r="N248" s="300"/>
      <c r="O248" s="299"/>
      <c r="P248" s="134"/>
      <c r="Q248" s="301"/>
      <c r="R248" s="134"/>
      <c r="S248" s="300"/>
      <c r="T248" s="132"/>
      <c r="U248" s="311"/>
      <c r="V248" s="132"/>
      <c r="W248" s="296"/>
      <c r="X248" s="296"/>
    </row>
    <row r="249" spans="1:24" ht="15.75" x14ac:dyDescent="0.25">
      <c r="A249" s="142"/>
      <c r="B249" s="144"/>
      <c r="C249" s="303"/>
      <c r="D249" s="303"/>
      <c r="E249" s="303"/>
      <c r="F249" s="303"/>
      <c r="G249" s="303"/>
      <c r="H249" s="119"/>
      <c r="I249" s="303"/>
      <c r="J249" s="302"/>
      <c r="K249" s="303"/>
      <c r="L249" s="303"/>
      <c r="M249" s="119"/>
      <c r="N249" s="303"/>
      <c r="O249" s="302"/>
      <c r="P249" s="119"/>
      <c r="Q249" s="173"/>
      <c r="R249" s="119"/>
      <c r="S249" s="303"/>
      <c r="T249" s="117"/>
      <c r="U249" s="312"/>
      <c r="V249" s="117"/>
      <c r="W249" s="296"/>
      <c r="X249" s="296"/>
    </row>
    <row r="250" spans="1:24" ht="15.75" x14ac:dyDescent="0.25">
      <c r="A250" s="142"/>
      <c r="B250" s="145"/>
      <c r="C250" s="305"/>
      <c r="D250" s="305"/>
      <c r="E250" s="305"/>
      <c r="F250" s="305"/>
      <c r="G250" s="305"/>
      <c r="H250" s="122"/>
      <c r="I250" s="305"/>
      <c r="J250" s="304"/>
      <c r="K250" s="305"/>
      <c r="L250" s="305"/>
      <c r="M250" s="122"/>
      <c r="N250" s="305"/>
      <c r="O250" s="304"/>
      <c r="P250" s="122"/>
      <c r="Q250" s="253"/>
      <c r="R250" s="122"/>
      <c r="S250" s="305"/>
      <c r="T250" s="120"/>
      <c r="U250" s="313"/>
      <c r="V250" s="120"/>
      <c r="W250" s="296"/>
      <c r="X250" s="296"/>
    </row>
    <row r="251" spans="1:24" s="306" customFormat="1" ht="15.75" x14ac:dyDescent="0.25">
      <c r="A251" s="142"/>
      <c r="B251" s="143"/>
      <c r="C251" s="300"/>
      <c r="D251" s="300"/>
      <c r="E251" s="300"/>
      <c r="F251" s="300"/>
      <c r="G251" s="300"/>
      <c r="H251" s="134"/>
      <c r="I251" s="300"/>
      <c r="J251" s="299"/>
      <c r="K251" s="300"/>
      <c r="L251" s="300"/>
      <c r="M251" s="134"/>
      <c r="N251" s="300"/>
      <c r="O251" s="299"/>
      <c r="P251" s="134"/>
      <c r="Q251" s="301"/>
      <c r="R251" s="134"/>
      <c r="S251" s="300"/>
      <c r="T251" s="132"/>
      <c r="U251" s="311"/>
      <c r="V251" s="132"/>
      <c r="W251" s="296"/>
      <c r="X251" s="296"/>
    </row>
    <row r="252" spans="1:24" ht="15.75" x14ac:dyDescent="0.25">
      <c r="A252" s="142"/>
      <c r="B252" s="144"/>
      <c r="C252" s="303"/>
      <c r="D252" s="303"/>
      <c r="E252" s="303"/>
      <c r="F252" s="303"/>
      <c r="G252" s="303"/>
      <c r="H252" s="119"/>
      <c r="I252" s="303"/>
      <c r="J252" s="302"/>
      <c r="K252" s="303"/>
      <c r="L252" s="303"/>
      <c r="M252" s="119"/>
      <c r="N252" s="303"/>
      <c r="O252" s="302"/>
      <c r="P252" s="119"/>
      <c r="Q252" s="173"/>
      <c r="R252" s="119"/>
      <c r="S252" s="303"/>
      <c r="T252" s="117"/>
      <c r="U252" s="312"/>
      <c r="V252" s="117"/>
      <c r="W252" s="296"/>
      <c r="X252" s="296"/>
    </row>
    <row r="253" spans="1:24" ht="15.75" x14ac:dyDescent="0.25">
      <c r="A253" s="142"/>
      <c r="B253" s="145"/>
      <c r="C253" s="305"/>
      <c r="D253" s="305"/>
      <c r="E253" s="305"/>
      <c r="F253" s="305"/>
      <c r="G253" s="305"/>
      <c r="H253" s="122"/>
      <c r="I253" s="305"/>
      <c r="J253" s="304"/>
      <c r="K253" s="305"/>
      <c r="L253" s="305"/>
      <c r="M253" s="122"/>
      <c r="N253" s="305"/>
      <c r="O253" s="304"/>
      <c r="P253" s="122"/>
      <c r="Q253" s="253"/>
      <c r="R253" s="122"/>
      <c r="S253" s="305"/>
      <c r="T253" s="120"/>
      <c r="U253" s="313"/>
      <c r="V253" s="120"/>
      <c r="W253" s="296"/>
      <c r="X253" s="296"/>
    </row>
    <row r="254" spans="1:24" s="306" customFormat="1" ht="15.75" x14ac:dyDescent="0.25">
      <c r="A254" s="142"/>
      <c r="B254" s="143"/>
      <c r="C254" s="300"/>
      <c r="D254" s="300"/>
      <c r="E254" s="300"/>
      <c r="F254" s="300"/>
      <c r="G254" s="300"/>
      <c r="H254" s="134"/>
      <c r="I254" s="300"/>
      <c r="J254" s="299"/>
      <c r="K254" s="300"/>
      <c r="L254" s="300"/>
      <c r="M254" s="134"/>
      <c r="N254" s="300"/>
      <c r="O254" s="299"/>
      <c r="P254" s="134"/>
      <c r="Q254" s="301"/>
      <c r="R254" s="134"/>
      <c r="S254" s="300"/>
      <c r="T254" s="132"/>
      <c r="U254" s="311"/>
      <c r="V254" s="132"/>
      <c r="W254" s="296"/>
      <c r="X254" s="296"/>
    </row>
    <row r="255" spans="1:24" ht="15.75" x14ac:dyDescent="0.25">
      <c r="A255" s="142"/>
      <c r="B255" s="144"/>
      <c r="C255" s="303"/>
      <c r="D255" s="303"/>
      <c r="E255" s="303"/>
      <c r="F255" s="303"/>
      <c r="G255" s="303"/>
      <c r="H255" s="119"/>
      <c r="I255" s="303"/>
      <c r="J255" s="302"/>
      <c r="K255" s="303"/>
      <c r="L255" s="303"/>
      <c r="M255" s="119"/>
      <c r="N255" s="303"/>
      <c r="O255" s="302"/>
      <c r="P255" s="119"/>
      <c r="Q255" s="173"/>
      <c r="R255" s="119"/>
      <c r="S255" s="303"/>
      <c r="T255" s="117"/>
      <c r="U255" s="312"/>
      <c r="V255" s="117"/>
      <c r="W255" s="296"/>
      <c r="X255" s="296"/>
    </row>
    <row r="256" spans="1:24" ht="15.75" x14ac:dyDescent="0.25">
      <c r="A256" s="142"/>
      <c r="B256" s="145"/>
      <c r="C256" s="305"/>
      <c r="D256" s="305"/>
      <c r="E256" s="305"/>
      <c r="F256" s="305"/>
      <c r="G256" s="305"/>
      <c r="H256" s="122"/>
      <c r="I256" s="305"/>
      <c r="J256" s="304"/>
      <c r="K256" s="305"/>
      <c r="L256" s="305"/>
      <c r="M256" s="122"/>
      <c r="N256" s="305"/>
      <c r="O256" s="304"/>
      <c r="P256" s="122"/>
      <c r="Q256" s="253"/>
      <c r="R256" s="122"/>
      <c r="S256" s="305"/>
      <c r="T256" s="120"/>
      <c r="U256" s="313"/>
      <c r="V256" s="120"/>
      <c r="W256" s="296"/>
      <c r="X256" s="296"/>
    </row>
    <row r="257" spans="1:24" s="306" customFormat="1" ht="15.75" x14ac:dyDescent="0.25">
      <c r="A257" s="142"/>
      <c r="B257" s="143"/>
      <c r="C257" s="300"/>
      <c r="D257" s="300"/>
      <c r="E257" s="300"/>
      <c r="F257" s="300"/>
      <c r="G257" s="300"/>
      <c r="H257" s="134"/>
      <c r="I257" s="300"/>
      <c r="J257" s="299"/>
      <c r="K257" s="300"/>
      <c r="L257" s="300"/>
      <c r="M257" s="134"/>
      <c r="N257" s="300"/>
      <c r="O257" s="299"/>
      <c r="P257" s="134"/>
      <c r="Q257" s="301"/>
      <c r="R257" s="134"/>
      <c r="S257" s="300"/>
      <c r="T257" s="132"/>
      <c r="U257" s="311"/>
      <c r="V257" s="132"/>
      <c r="W257" s="296"/>
      <c r="X257" s="296"/>
    </row>
    <row r="258" spans="1:24" ht="15.75" x14ac:dyDescent="0.25">
      <c r="A258" s="142"/>
      <c r="B258" s="144"/>
      <c r="C258" s="303"/>
      <c r="D258" s="303"/>
      <c r="E258" s="303"/>
      <c r="F258" s="303"/>
      <c r="G258" s="303"/>
      <c r="H258" s="119"/>
      <c r="I258" s="303"/>
      <c r="J258" s="302"/>
      <c r="K258" s="303"/>
      <c r="L258" s="303"/>
      <c r="M258" s="119"/>
      <c r="N258" s="303"/>
      <c r="O258" s="302"/>
      <c r="P258" s="119"/>
      <c r="Q258" s="173"/>
      <c r="R258" s="119"/>
      <c r="S258" s="303"/>
      <c r="T258" s="117"/>
      <c r="U258" s="312"/>
      <c r="V258" s="117"/>
      <c r="W258" s="296"/>
      <c r="X258" s="296"/>
    </row>
    <row r="259" spans="1:24" ht="15.75" x14ac:dyDescent="0.25">
      <c r="A259" s="142"/>
      <c r="B259" s="145"/>
      <c r="C259" s="305"/>
      <c r="D259" s="305"/>
      <c r="E259" s="305"/>
      <c r="F259" s="305"/>
      <c r="G259" s="305"/>
      <c r="H259" s="122"/>
      <c r="I259" s="305"/>
      <c r="J259" s="304"/>
      <c r="K259" s="305"/>
      <c r="L259" s="305"/>
      <c r="M259" s="122"/>
      <c r="N259" s="305"/>
      <c r="O259" s="304"/>
      <c r="P259" s="122"/>
      <c r="Q259" s="253"/>
      <c r="R259" s="122"/>
      <c r="S259" s="305"/>
      <c r="T259" s="120"/>
      <c r="U259" s="313"/>
      <c r="V259" s="120"/>
      <c r="W259" s="296"/>
      <c r="X259" s="296"/>
    </row>
    <row r="260" spans="1:24" s="306" customFormat="1" ht="15.75" x14ac:dyDescent="0.25">
      <c r="A260" s="142"/>
      <c r="B260" s="143"/>
      <c r="C260" s="300"/>
      <c r="D260" s="300"/>
      <c r="E260" s="300"/>
      <c r="F260" s="300"/>
      <c r="G260" s="300"/>
      <c r="H260" s="134"/>
      <c r="I260" s="300"/>
      <c r="J260" s="299"/>
      <c r="K260" s="300"/>
      <c r="L260" s="300"/>
      <c r="M260" s="134"/>
      <c r="N260" s="300"/>
      <c r="O260" s="299"/>
      <c r="P260" s="134"/>
      <c r="Q260" s="301"/>
      <c r="R260" s="134"/>
      <c r="S260" s="300"/>
      <c r="T260" s="132"/>
      <c r="U260" s="311"/>
      <c r="V260" s="132"/>
      <c r="W260" s="296"/>
      <c r="X260" s="296"/>
    </row>
    <row r="261" spans="1:24" ht="15.75" x14ac:dyDescent="0.25">
      <c r="A261" s="142"/>
      <c r="B261" s="144"/>
      <c r="C261" s="303"/>
      <c r="D261" s="303"/>
      <c r="E261" s="303"/>
      <c r="F261" s="303"/>
      <c r="G261" s="303"/>
      <c r="H261" s="119"/>
      <c r="I261" s="303"/>
      <c r="J261" s="302"/>
      <c r="K261" s="303"/>
      <c r="L261" s="303"/>
      <c r="M261" s="119"/>
      <c r="N261" s="303"/>
      <c r="O261" s="302"/>
      <c r="P261" s="119"/>
      <c r="Q261" s="173"/>
      <c r="R261" s="119"/>
      <c r="S261" s="303"/>
      <c r="T261" s="117"/>
      <c r="U261" s="312"/>
      <c r="V261" s="117"/>
      <c r="W261" s="296"/>
      <c r="X261" s="296"/>
    </row>
    <row r="262" spans="1:24" ht="15.75" x14ac:dyDescent="0.25">
      <c r="A262" s="142"/>
      <c r="B262" s="145"/>
      <c r="C262" s="305"/>
      <c r="D262" s="305"/>
      <c r="E262" s="305"/>
      <c r="F262" s="305"/>
      <c r="G262" s="305"/>
      <c r="H262" s="122"/>
      <c r="I262" s="305"/>
      <c r="J262" s="304"/>
      <c r="K262" s="305"/>
      <c r="L262" s="305"/>
      <c r="M262" s="122"/>
      <c r="N262" s="305"/>
      <c r="O262" s="304"/>
      <c r="P262" s="122"/>
      <c r="Q262" s="253"/>
      <c r="R262" s="122"/>
      <c r="S262" s="305"/>
      <c r="T262" s="120"/>
      <c r="U262" s="313"/>
      <c r="V262" s="120"/>
      <c r="W262" s="296"/>
      <c r="X262" s="296"/>
    </row>
    <row r="263" spans="1:24" s="306" customFormat="1" ht="15.75" x14ac:dyDescent="0.25">
      <c r="A263" s="142"/>
      <c r="B263" s="143"/>
      <c r="C263" s="300"/>
      <c r="D263" s="300"/>
      <c r="E263" s="300"/>
      <c r="F263" s="300"/>
      <c r="G263" s="300"/>
      <c r="H263" s="134"/>
      <c r="I263" s="300"/>
      <c r="J263" s="299"/>
      <c r="K263" s="300"/>
      <c r="L263" s="300"/>
      <c r="M263" s="134"/>
      <c r="N263" s="300"/>
      <c r="O263" s="299"/>
      <c r="P263" s="134"/>
      <c r="Q263" s="301"/>
      <c r="R263" s="134"/>
      <c r="S263" s="300"/>
      <c r="T263" s="132"/>
      <c r="U263" s="311"/>
      <c r="V263" s="132"/>
      <c r="W263" s="296"/>
      <c r="X263" s="296"/>
    </row>
    <row r="264" spans="1:24" ht="15.75" x14ac:dyDescent="0.25">
      <c r="A264" s="142"/>
      <c r="B264" s="144"/>
      <c r="C264" s="303"/>
      <c r="D264" s="303"/>
      <c r="E264" s="303"/>
      <c r="F264" s="303"/>
      <c r="G264" s="303"/>
      <c r="H264" s="119"/>
      <c r="I264" s="303"/>
      <c r="J264" s="302"/>
      <c r="K264" s="303"/>
      <c r="L264" s="303"/>
      <c r="M264" s="119"/>
      <c r="N264" s="303"/>
      <c r="O264" s="302"/>
      <c r="P264" s="119"/>
      <c r="Q264" s="173"/>
      <c r="R264" s="119"/>
      <c r="S264" s="303"/>
      <c r="T264" s="117"/>
      <c r="U264" s="312"/>
      <c r="V264" s="117"/>
      <c r="W264" s="296"/>
      <c r="X264" s="296"/>
    </row>
    <row r="265" spans="1:24" ht="15.75" x14ac:dyDescent="0.25">
      <c r="A265" s="142"/>
      <c r="B265" s="145"/>
      <c r="C265" s="305"/>
      <c r="D265" s="305"/>
      <c r="E265" s="305"/>
      <c r="F265" s="305"/>
      <c r="G265" s="305"/>
      <c r="H265" s="122"/>
      <c r="I265" s="305"/>
      <c r="J265" s="304"/>
      <c r="K265" s="305"/>
      <c r="L265" s="305"/>
      <c r="M265" s="122"/>
      <c r="N265" s="305"/>
      <c r="O265" s="304"/>
      <c r="P265" s="122"/>
      <c r="Q265" s="253"/>
      <c r="R265" s="122"/>
      <c r="S265" s="305"/>
      <c r="T265" s="120"/>
      <c r="U265" s="313"/>
      <c r="V265" s="120"/>
      <c r="W265" s="296"/>
      <c r="X265" s="296"/>
    </row>
    <row r="266" spans="1:24" s="306" customFormat="1" ht="15.75" x14ac:dyDescent="0.25">
      <c r="A266" s="142"/>
      <c r="B266" s="143"/>
      <c r="C266" s="300"/>
      <c r="D266" s="300"/>
      <c r="E266" s="300"/>
      <c r="F266" s="300"/>
      <c r="G266" s="300"/>
      <c r="H266" s="134"/>
      <c r="I266" s="300"/>
      <c r="J266" s="299"/>
      <c r="K266" s="300"/>
      <c r="L266" s="300"/>
      <c r="M266" s="134"/>
      <c r="N266" s="300"/>
      <c r="O266" s="299"/>
      <c r="P266" s="134"/>
      <c r="Q266" s="301"/>
      <c r="R266" s="134"/>
      <c r="S266" s="300"/>
      <c r="T266" s="132"/>
      <c r="U266" s="311"/>
      <c r="V266" s="132"/>
      <c r="W266" s="296"/>
      <c r="X266" s="296"/>
    </row>
    <row r="267" spans="1:24" ht="15.75" x14ac:dyDescent="0.25">
      <c r="A267" s="142"/>
      <c r="B267" s="144"/>
      <c r="C267" s="303"/>
      <c r="D267" s="303"/>
      <c r="E267" s="303"/>
      <c r="F267" s="303"/>
      <c r="G267" s="303"/>
      <c r="H267" s="119"/>
      <c r="I267" s="303"/>
      <c r="J267" s="302"/>
      <c r="K267" s="303"/>
      <c r="L267" s="303"/>
      <c r="M267" s="119"/>
      <c r="N267" s="303"/>
      <c r="O267" s="302"/>
      <c r="P267" s="119"/>
      <c r="Q267" s="173"/>
      <c r="R267" s="119"/>
      <c r="S267" s="303"/>
      <c r="T267" s="117"/>
      <c r="U267" s="312"/>
      <c r="V267" s="117"/>
      <c r="W267" s="296"/>
      <c r="X267" s="296"/>
    </row>
    <row r="268" spans="1:24" ht="15.75" x14ac:dyDescent="0.25">
      <c r="A268" s="142"/>
      <c r="B268" s="145"/>
      <c r="C268" s="305"/>
      <c r="D268" s="305"/>
      <c r="E268" s="305"/>
      <c r="F268" s="305"/>
      <c r="G268" s="305"/>
      <c r="H268" s="122"/>
      <c r="I268" s="305"/>
      <c r="J268" s="304"/>
      <c r="K268" s="305"/>
      <c r="L268" s="305"/>
      <c r="M268" s="122"/>
      <c r="N268" s="305"/>
      <c r="O268" s="304"/>
      <c r="P268" s="122"/>
      <c r="Q268" s="253"/>
      <c r="R268" s="122"/>
      <c r="S268" s="305"/>
      <c r="T268" s="120"/>
      <c r="U268" s="313"/>
      <c r="V268" s="120"/>
      <c r="W268" s="296"/>
      <c r="X268" s="296"/>
    </row>
    <row r="269" spans="1:24" s="306" customFormat="1" ht="15.75" x14ac:dyDescent="0.25">
      <c r="A269" s="142"/>
      <c r="B269" s="143"/>
      <c r="C269" s="300"/>
      <c r="D269" s="300"/>
      <c r="E269" s="300"/>
      <c r="F269" s="300"/>
      <c r="G269" s="300"/>
      <c r="H269" s="134"/>
      <c r="I269" s="300"/>
      <c r="J269" s="299"/>
      <c r="K269" s="300"/>
      <c r="L269" s="300"/>
      <c r="M269" s="134"/>
      <c r="N269" s="300"/>
      <c r="O269" s="299"/>
      <c r="P269" s="134"/>
      <c r="Q269" s="301"/>
      <c r="R269" s="134"/>
      <c r="S269" s="300"/>
      <c r="T269" s="132"/>
      <c r="U269" s="311"/>
      <c r="V269" s="132"/>
      <c r="W269" s="296"/>
      <c r="X269" s="296"/>
    </row>
    <row r="270" spans="1:24" ht="15.75" x14ac:dyDescent="0.25">
      <c r="A270" s="294"/>
      <c r="B270" s="144"/>
      <c r="C270" s="303"/>
      <c r="D270" s="303"/>
      <c r="E270" s="303"/>
      <c r="F270" s="303"/>
      <c r="G270" s="303"/>
      <c r="H270" s="119"/>
      <c r="I270" s="303"/>
      <c r="J270" s="302"/>
      <c r="K270" s="303"/>
      <c r="L270" s="303"/>
      <c r="M270" s="119"/>
      <c r="N270" s="303"/>
      <c r="O270" s="302"/>
      <c r="P270" s="119"/>
      <c r="Q270" s="173"/>
      <c r="R270" s="119"/>
      <c r="S270" s="303"/>
      <c r="T270" s="117"/>
      <c r="U270" s="312"/>
      <c r="V270" s="117"/>
      <c r="W270" s="296"/>
      <c r="X270" s="296"/>
    </row>
    <row r="271" spans="1:24" ht="15.75" x14ac:dyDescent="0.25">
      <c r="A271" s="141"/>
      <c r="B271" s="143"/>
      <c r="C271" s="300"/>
      <c r="D271" s="300"/>
      <c r="E271" s="300"/>
      <c r="F271" s="300"/>
      <c r="G271" s="300"/>
      <c r="H271" s="134"/>
      <c r="I271" s="300"/>
      <c r="J271" s="299"/>
      <c r="K271" s="300"/>
      <c r="L271" s="300"/>
      <c r="M271" s="134"/>
      <c r="N271" s="300"/>
      <c r="O271" s="299"/>
      <c r="P271" s="134"/>
      <c r="Q271" s="301"/>
      <c r="R271" s="134"/>
      <c r="S271" s="300"/>
      <c r="T271" s="132"/>
      <c r="U271" s="311"/>
      <c r="V271" s="132"/>
      <c r="W271" s="296"/>
      <c r="X271" s="296"/>
    </row>
    <row r="272" spans="1:24" s="306" customFormat="1" ht="15.75" x14ac:dyDescent="0.25">
      <c r="A272" s="142"/>
      <c r="B272" s="144"/>
      <c r="C272" s="303"/>
      <c r="D272" s="303"/>
      <c r="E272" s="303"/>
      <c r="F272" s="303"/>
      <c r="G272" s="303"/>
      <c r="H272" s="119"/>
      <c r="I272" s="303"/>
      <c r="J272" s="302"/>
      <c r="K272" s="303"/>
      <c r="L272" s="303"/>
      <c r="M272" s="119"/>
      <c r="N272" s="303"/>
      <c r="O272" s="302"/>
      <c r="P272" s="119"/>
      <c r="Q272" s="173"/>
      <c r="R272" s="119"/>
      <c r="S272" s="303"/>
      <c r="T272" s="117"/>
      <c r="U272" s="312"/>
      <c r="V272" s="117"/>
      <c r="W272" s="296"/>
      <c r="X272" s="296"/>
    </row>
    <row r="273" spans="1:24" ht="15.75" x14ac:dyDescent="0.25">
      <c r="A273" s="142"/>
      <c r="B273" s="145"/>
      <c r="C273" s="305"/>
      <c r="D273" s="305"/>
      <c r="E273" s="305"/>
      <c r="F273" s="305"/>
      <c r="G273" s="305"/>
      <c r="H273" s="122"/>
      <c r="I273" s="305"/>
      <c r="J273" s="304"/>
      <c r="K273" s="305"/>
      <c r="L273" s="305"/>
      <c r="M273" s="122"/>
      <c r="N273" s="305"/>
      <c r="O273" s="304"/>
      <c r="P273" s="122"/>
      <c r="Q273" s="253"/>
      <c r="R273" s="122"/>
      <c r="S273" s="305"/>
      <c r="T273" s="120"/>
      <c r="U273" s="313"/>
      <c r="V273" s="120"/>
      <c r="W273" s="296"/>
      <c r="X273" s="296"/>
    </row>
    <row r="274" spans="1:24" ht="15.75" x14ac:dyDescent="0.25">
      <c r="A274" s="142"/>
      <c r="B274" s="143"/>
      <c r="C274" s="300"/>
      <c r="D274" s="300"/>
      <c r="E274" s="300"/>
      <c r="F274" s="300"/>
      <c r="G274" s="300"/>
      <c r="H274" s="134"/>
      <c r="I274" s="300"/>
      <c r="J274" s="299"/>
      <c r="K274" s="300"/>
      <c r="L274" s="300"/>
      <c r="M274" s="134"/>
      <c r="N274" s="300"/>
      <c r="O274" s="299"/>
      <c r="P274" s="134"/>
      <c r="Q274" s="301"/>
      <c r="R274" s="134"/>
      <c r="S274" s="300"/>
      <c r="T274" s="132"/>
      <c r="U274" s="311"/>
      <c r="V274" s="132"/>
      <c r="W274" s="296"/>
      <c r="X274" s="296"/>
    </row>
    <row r="275" spans="1:24" s="306" customFormat="1" ht="15.75" x14ac:dyDescent="0.25">
      <c r="A275" s="142"/>
      <c r="B275" s="144"/>
      <c r="C275" s="303"/>
      <c r="D275" s="303"/>
      <c r="E275" s="303"/>
      <c r="F275" s="303"/>
      <c r="G275" s="303"/>
      <c r="H275" s="119"/>
      <c r="I275" s="303"/>
      <c r="J275" s="302"/>
      <c r="K275" s="303"/>
      <c r="L275" s="303"/>
      <c r="M275" s="119"/>
      <c r="N275" s="303"/>
      <c r="O275" s="302"/>
      <c r="P275" s="119"/>
      <c r="Q275" s="173"/>
      <c r="R275" s="119"/>
      <c r="S275" s="303"/>
      <c r="T275" s="117"/>
      <c r="U275" s="312"/>
      <c r="V275" s="117"/>
      <c r="W275" s="296"/>
      <c r="X275" s="296"/>
    </row>
    <row r="276" spans="1:24" ht="15.75" x14ac:dyDescent="0.25">
      <c r="A276" s="142"/>
      <c r="B276" s="145"/>
      <c r="C276" s="305"/>
      <c r="D276" s="305"/>
      <c r="E276" s="305"/>
      <c r="F276" s="305"/>
      <c r="G276" s="305"/>
      <c r="H276" s="122"/>
      <c r="I276" s="305"/>
      <c r="J276" s="304"/>
      <c r="K276" s="305"/>
      <c r="L276" s="305"/>
      <c r="M276" s="122"/>
      <c r="N276" s="305"/>
      <c r="O276" s="304"/>
      <c r="P276" s="122"/>
      <c r="Q276" s="253"/>
      <c r="R276" s="122"/>
      <c r="S276" s="305"/>
      <c r="T276" s="120"/>
      <c r="U276" s="313"/>
      <c r="V276" s="120"/>
      <c r="W276" s="296"/>
      <c r="X276" s="296"/>
    </row>
    <row r="277" spans="1:24" ht="15.75" x14ac:dyDescent="0.25">
      <c r="A277" s="142"/>
      <c r="B277" s="143"/>
      <c r="C277" s="300"/>
      <c r="D277" s="300"/>
      <c r="E277" s="300"/>
      <c r="F277" s="300"/>
      <c r="G277" s="300"/>
      <c r="H277" s="134"/>
      <c r="I277" s="300"/>
      <c r="J277" s="299"/>
      <c r="K277" s="300"/>
      <c r="L277" s="300"/>
      <c r="M277" s="134"/>
      <c r="N277" s="300"/>
      <c r="O277" s="299"/>
      <c r="P277" s="134"/>
      <c r="Q277" s="301"/>
      <c r="R277" s="134"/>
      <c r="S277" s="300"/>
      <c r="T277" s="132"/>
      <c r="U277" s="311"/>
      <c r="V277" s="132"/>
      <c r="W277" s="296"/>
      <c r="X277" s="296"/>
    </row>
    <row r="278" spans="1:24" s="306" customFormat="1" ht="15.75" x14ac:dyDescent="0.25">
      <c r="A278" s="142"/>
      <c r="B278" s="144"/>
      <c r="C278" s="303"/>
      <c r="D278" s="303"/>
      <c r="E278" s="303"/>
      <c r="F278" s="303"/>
      <c r="G278" s="303"/>
      <c r="H278" s="119"/>
      <c r="I278" s="303"/>
      <c r="J278" s="302"/>
      <c r="K278" s="303"/>
      <c r="L278" s="303"/>
      <c r="M278" s="119"/>
      <c r="N278" s="303"/>
      <c r="O278" s="302"/>
      <c r="P278" s="119"/>
      <c r="Q278" s="173"/>
      <c r="R278" s="119"/>
      <c r="S278" s="303"/>
      <c r="T278" s="117"/>
      <c r="U278" s="312"/>
      <c r="V278" s="117"/>
      <c r="W278" s="296"/>
      <c r="X278" s="296"/>
    </row>
    <row r="279" spans="1:24" ht="15.75" x14ac:dyDescent="0.25">
      <c r="A279" s="142"/>
      <c r="B279" s="145"/>
      <c r="C279" s="305"/>
      <c r="D279" s="305"/>
      <c r="E279" s="305"/>
      <c r="F279" s="305"/>
      <c r="G279" s="305"/>
      <c r="H279" s="122"/>
      <c r="I279" s="305"/>
      <c r="J279" s="304"/>
      <c r="K279" s="305"/>
      <c r="L279" s="305"/>
      <c r="M279" s="122"/>
      <c r="N279" s="305"/>
      <c r="O279" s="304"/>
      <c r="P279" s="122"/>
      <c r="Q279" s="253"/>
      <c r="R279" s="122"/>
      <c r="S279" s="305"/>
      <c r="T279" s="120"/>
      <c r="U279" s="313"/>
      <c r="V279" s="120"/>
      <c r="W279" s="296"/>
      <c r="X279" s="296"/>
    </row>
    <row r="280" spans="1:24" ht="15.75" x14ac:dyDescent="0.25">
      <c r="A280" s="142"/>
      <c r="B280" s="143"/>
      <c r="C280" s="300"/>
      <c r="D280" s="300"/>
      <c r="E280" s="300"/>
      <c r="F280" s="300"/>
      <c r="G280" s="300"/>
      <c r="H280" s="134"/>
      <c r="I280" s="300"/>
      <c r="J280" s="299"/>
      <c r="K280" s="300"/>
      <c r="L280" s="300"/>
      <c r="M280" s="134"/>
      <c r="N280" s="300"/>
      <c r="O280" s="299"/>
      <c r="P280" s="134"/>
      <c r="Q280" s="301"/>
      <c r="R280" s="134"/>
      <c r="S280" s="300"/>
      <c r="T280" s="132"/>
      <c r="U280" s="311"/>
      <c r="V280" s="132"/>
      <c r="W280" s="296"/>
      <c r="X280" s="296"/>
    </row>
    <row r="281" spans="1:24" s="306" customFormat="1" ht="15.75" x14ac:dyDescent="0.25">
      <c r="A281" s="142"/>
      <c r="B281" s="144"/>
      <c r="C281" s="303"/>
      <c r="D281" s="303"/>
      <c r="E281" s="303"/>
      <c r="F281" s="303"/>
      <c r="G281" s="303"/>
      <c r="H281" s="119"/>
      <c r="I281" s="303"/>
      <c r="J281" s="302"/>
      <c r="K281" s="303"/>
      <c r="L281" s="303"/>
      <c r="M281" s="119"/>
      <c r="N281" s="303"/>
      <c r="O281" s="302"/>
      <c r="P281" s="119"/>
      <c r="Q281" s="173"/>
      <c r="R281" s="119"/>
      <c r="S281" s="303"/>
      <c r="T281" s="117"/>
      <c r="U281" s="312"/>
      <c r="V281" s="117"/>
      <c r="W281" s="296"/>
      <c r="X281" s="296"/>
    </row>
    <row r="282" spans="1:24" ht="15.75" x14ac:dyDescent="0.25">
      <c r="A282" s="142"/>
      <c r="B282" s="145"/>
      <c r="C282" s="305"/>
      <c r="D282" s="305"/>
      <c r="E282" s="305"/>
      <c r="F282" s="305"/>
      <c r="G282" s="305"/>
      <c r="H282" s="122"/>
      <c r="I282" s="305"/>
      <c r="J282" s="304"/>
      <c r="K282" s="305"/>
      <c r="L282" s="305"/>
      <c r="M282" s="122"/>
      <c r="N282" s="305"/>
      <c r="O282" s="304"/>
      <c r="P282" s="122"/>
      <c r="Q282" s="253"/>
      <c r="R282" s="122"/>
      <c r="S282" s="305"/>
      <c r="T282" s="120"/>
      <c r="U282" s="313"/>
      <c r="V282" s="120"/>
      <c r="W282" s="296"/>
      <c r="X282" s="296"/>
    </row>
    <row r="283" spans="1:24" ht="15.75" x14ac:dyDescent="0.25">
      <c r="A283" s="142"/>
      <c r="B283" s="143"/>
      <c r="C283" s="300"/>
      <c r="D283" s="300"/>
      <c r="E283" s="300"/>
      <c r="F283" s="300"/>
      <c r="G283" s="300"/>
      <c r="H283" s="134"/>
      <c r="I283" s="300"/>
      <c r="J283" s="299"/>
      <c r="K283" s="300"/>
      <c r="L283" s="300"/>
      <c r="M283" s="134"/>
      <c r="N283" s="300"/>
      <c r="O283" s="299"/>
      <c r="P283" s="134"/>
      <c r="Q283" s="301"/>
      <c r="R283" s="134"/>
      <c r="S283" s="300"/>
      <c r="T283" s="132"/>
      <c r="U283" s="311"/>
      <c r="V283" s="132"/>
      <c r="W283" s="296"/>
      <c r="X283" s="296"/>
    </row>
    <row r="284" spans="1:24" s="306" customFormat="1" ht="16.5" thickBot="1" x14ac:dyDescent="0.3">
      <c r="A284" s="142"/>
      <c r="B284" s="144"/>
      <c r="C284" s="303"/>
      <c r="D284" s="303"/>
      <c r="E284" s="303"/>
      <c r="F284" s="303"/>
      <c r="G284" s="303"/>
      <c r="H284" s="119"/>
      <c r="I284" s="303"/>
      <c r="J284" s="302"/>
      <c r="K284" s="303"/>
      <c r="L284" s="303"/>
      <c r="M284" s="119"/>
      <c r="N284" s="303"/>
      <c r="O284" s="302"/>
      <c r="P284" s="119"/>
      <c r="Q284" s="173"/>
      <c r="R284" s="119"/>
      <c r="S284" s="303"/>
      <c r="T284" s="117"/>
      <c r="U284" s="312"/>
      <c r="V284" s="117"/>
      <c r="W284" s="296"/>
      <c r="X284" s="296"/>
    </row>
    <row r="285" spans="1:24" ht="16.5" thickBot="1" x14ac:dyDescent="0.3">
      <c r="A285" s="142"/>
      <c r="B285" s="145"/>
      <c r="C285" s="305"/>
      <c r="D285" s="305"/>
      <c r="E285" s="724"/>
      <c r="F285" s="724"/>
      <c r="G285" s="305"/>
      <c r="H285" s="122"/>
      <c r="I285" s="305"/>
      <c r="J285" s="304"/>
      <c r="K285" s="305"/>
      <c r="L285" s="305"/>
      <c r="M285" s="122"/>
      <c r="N285" s="305"/>
      <c r="O285" s="304"/>
      <c r="P285" s="122"/>
      <c r="Q285" s="253"/>
      <c r="R285" s="122"/>
      <c r="S285" s="305"/>
      <c r="T285" s="120"/>
      <c r="U285" s="313"/>
      <c r="V285" s="120"/>
      <c r="W285" s="296"/>
      <c r="X285" s="296"/>
    </row>
    <row r="286" spans="1:24" ht="15.75" x14ac:dyDescent="0.25">
      <c r="A286" s="142"/>
      <c r="B286" s="143"/>
      <c r="C286" s="300"/>
      <c r="D286" s="300"/>
      <c r="E286" s="300"/>
      <c r="F286" s="300"/>
      <c r="G286" s="300"/>
      <c r="H286" s="134"/>
      <c r="I286" s="300"/>
      <c r="J286" s="299"/>
      <c r="K286" s="300"/>
      <c r="L286" s="300"/>
      <c r="M286" s="134"/>
      <c r="N286" s="300"/>
      <c r="O286" s="299"/>
      <c r="P286" s="134"/>
      <c r="Q286" s="301"/>
      <c r="R286" s="134"/>
      <c r="S286" s="300"/>
      <c r="T286" s="132"/>
      <c r="U286" s="311"/>
      <c r="V286" s="132"/>
      <c r="W286" s="296"/>
      <c r="X286" s="296"/>
    </row>
    <row r="287" spans="1:24" s="306" customFormat="1" ht="15.75" x14ac:dyDescent="0.25">
      <c r="A287" s="142"/>
      <c r="B287" s="144"/>
      <c r="C287" s="303"/>
      <c r="D287" s="303"/>
      <c r="E287" s="303"/>
      <c r="F287" s="303"/>
      <c r="G287" s="303"/>
      <c r="H287" s="119"/>
      <c r="I287" s="303"/>
      <c r="J287" s="302"/>
      <c r="K287" s="303"/>
      <c r="L287" s="303"/>
      <c r="M287" s="119"/>
      <c r="N287" s="303"/>
      <c r="O287" s="302"/>
      <c r="P287" s="119"/>
      <c r="Q287" s="173"/>
      <c r="R287" s="119"/>
      <c r="S287" s="303"/>
      <c r="T287" s="117"/>
      <c r="U287" s="312"/>
      <c r="V287" s="117"/>
      <c r="W287" s="296"/>
      <c r="X287" s="296"/>
    </row>
    <row r="288" spans="1:24" ht="15.75" x14ac:dyDescent="0.25">
      <c r="A288" s="142"/>
      <c r="B288" s="145"/>
      <c r="C288" s="305"/>
      <c r="D288" s="305"/>
      <c r="E288" s="305"/>
      <c r="F288" s="305"/>
      <c r="G288" s="305"/>
      <c r="H288" s="122"/>
      <c r="I288" s="305"/>
      <c r="J288" s="304"/>
      <c r="K288" s="305"/>
      <c r="L288" s="305"/>
      <c r="M288" s="122"/>
      <c r="N288" s="305"/>
      <c r="O288" s="304"/>
      <c r="P288" s="122"/>
      <c r="Q288" s="253"/>
      <c r="R288" s="122"/>
      <c r="S288" s="305"/>
      <c r="T288" s="120"/>
      <c r="U288" s="313"/>
      <c r="V288" s="120"/>
      <c r="W288" s="296"/>
      <c r="X288" s="296"/>
    </row>
    <row r="289" spans="1:24" ht="15.75" x14ac:dyDescent="0.25">
      <c r="A289" s="142"/>
      <c r="B289" s="143"/>
      <c r="C289" s="300"/>
      <c r="D289" s="300"/>
      <c r="E289" s="300"/>
      <c r="F289" s="300"/>
      <c r="G289" s="300"/>
      <c r="H289" s="134"/>
      <c r="I289" s="300"/>
      <c r="J289" s="299"/>
      <c r="K289" s="300"/>
      <c r="L289" s="300"/>
      <c r="M289" s="134"/>
      <c r="N289" s="300"/>
      <c r="O289" s="299"/>
      <c r="P289" s="134"/>
      <c r="Q289" s="301"/>
      <c r="R289" s="134"/>
      <c r="S289" s="300"/>
      <c r="T289" s="132"/>
      <c r="U289" s="311"/>
      <c r="V289" s="132"/>
      <c r="W289" s="296"/>
      <c r="X289" s="296"/>
    </row>
    <row r="290" spans="1:24" s="306" customFormat="1" ht="16.5" thickBot="1" x14ac:dyDescent="0.3">
      <c r="A290" s="142"/>
      <c r="B290" s="144"/>
      <c r="C290" s="303"/>
      <c r="D290" s="303"/>
      <c r="E290" s="303"/>
      <c r="F290" s="303"/>
      <c r="G290" s="303"/>
      <c r="H290" s="119"/>
      <c r="I290" s="303"/>
      <c r="J290" s="302"/>
      <c r="K290" s="303"/>
      <c r="L290" s="303"/>
      <c r="M290" s="119"/>
      <c r="N290" s="303"/>
      <c r="O290" s="302"/>
      <c r="P290" s="119"/>
      <c r="Q290" s="173"/>
      <c r="R290" s="119"/>
      <c r="S290" s="303"/>
      <c r="T290" s="117"/>
      <c r="U290" s="312"/>
      <c r="V290" s="117"/>
      <c r="W290" s="296"/>
      <c r="X290" s="296"/>
    </row>
    <row r="291" spans="1:24" ht="16.5" thickBot="1" x14ac:dyDescent="0.3">
      <c r="A291" s="142"/>
      <c r="B291" s="145"/>
      <c r="C291" s="305"/>
      <c r="D291" s="305"/>
      <c r="E291" s="305"/>
      <c r="F291" s="724"/>
      <c r="G291" s="305"/>
      <c r="H291" s="122"/>
      <c r="I291" s="305"/>
      <c r="J291" s="304"/>
      <c r="K291" s="305"/>
      <c r="L291" s="305"/>
      <c r="M291" s="122"/>
      <c r="N291" s="305"/>
      <c r="O291" s="304"/>
      <c r="P291" s="122"/>
      <c r="Q291" s="253"/>
      <c r="R291" s="122"/>
      <c r="S291" s="305"/>
      <c r="T291" s="120"/>
      <c r="U291" s="313"/>
      <c r="V291" s="120"/>
      <c r="W291" s="296"/>
      <c r="X291" s="296"/>
    </row>
    <row r="292" spans="1:24" ht="15.75" x14ac:dyDescent="0.25">
      <c r="A292" s="142"/>
      <c r="B292" s="143"/>
      <c r="C292" s="300"/>
      <c r="D292" s="300"/>
      <c r="E292" s="300"/>
      <c r="F292" s="300"/>
      <c r="G292" s="300"/>
      <c r="H292" s="134"/>
      <c r="I292" s="300"/>
      <c r="J292" s="299"/>
      <c r="K292" s="300"/>
      <c r="L292" s="300"/>
      <c r="M292" s="134"/>
      <c r="N292" s="300"/>
      <c r="O292" s="299"/>
      <c r="P292" s="134"/>
      <c r="Q292" s="301"/>
      <c r="R292" s="134"/>
      <c r="S292" s="300"/>
      <c r="T292" s="132"/>
      <c r="U292" s="311"/>
      <c r="V292" s="132"/>
      <c r="W292" s="296"/>
      <c r="X292" s="296"/>
    </row>
    <row r="293" spans="1:24" s="306" customFormat="1" ht="15.75" x14ac:dyDescent="0.25">
      <c r="A293" s="142"/>
      <c r="B293" s="144"/>
      <c r="C293" s="303"/>
      <c r="D293" s="303"/>
      <c r="E293" s="303"/>
      <c r="F293" s="303"/>
      <c r="G293" s="303"/>
      <c r="H293" s="119"/>
      <c r="I293" s="303"/>
      <c r="J293" s="302"/>
      <c r="K293" s="303"/>
      <c r="L293" s="303"/>
      <c r="M293" s="119"/>
      <c r="N293" s="303"/>
      <c r="O293" s="302"/>
      <c r="P293" s="119"/>
      <c r="Q293" s="173"/>
      <c r="R293" s="119"/>
      <c r="S293" s="303"/>
      <c r="T293" s="117"/>
      <c r="U293" s="312"/>
      <c r="V293" s="117"/>
      <c r="W293" s="296"/>
      <c r="X293" s="296"/>
    </row>
    <row r="294" spans="1:24" ht="15.75" x14ac:dyDescent="0.25">
      <c r="A294" s="142"/>
      <c r="B294" s="145"/>
      <c r="C294" s="305"/>
      <c r="D294" s="305"/>
      <c r="E294" s="305"/>
      <c r="F294" s="305"/>
      <c r="G294" s="305"/>
      <c r="H294" s="122"/>
      <c r="I294" s="305"/>
      <c r="J294" s="304"/>
      <c r="K294" s="305"/>
      <c r="L294" s="305"/>
      <c r="M294" s="122"/>
      <c r="N294" s="305"/>
      <c r="O294" s="304"/>
      <c r="P294" s="122"/>
      <c r="Q294" s="253"/>
      <c r="R294" s="122"/>
      <c r="S294" s="305"/>
      <c r="T294" s="120"/>
      <c r="U294" s="313"/>
      <c r="V294" s="120"/>
      <c r="W294" s="296"/>
      <c r="X294" s="296"/>
    </row>
    <row r="295" spans="1:24" ht="15.75" x14ac:dyDescent="0.25">
      <c r="A295" s="142"/>
      <c r="B295" s="143"/>
      <c r="C295" s="300"/>
      <c r="D295" s="300"/>
      <c r="E295" s="300"/>
      <c r="F295" s="300"/>
      <c r="G295" s="300"/>
      <c r="H295" s="134"/>
      <c r="I295" s="300"/>
      <c r="J295" s="299"/>
      <c r="K295" s="300"/>
      <c r="L295" s="300"/>
      <c r="M295" s="134"/>
      <c r="N295" s="300"/>
      <c r="O295" s="299"/>
      <c r="P295" s="134"/>
      <c r="Q295" s="301"/>
      <c r="R295" s="134"/>
      <c r="S295" s="300"/>
      <c r="T295" s="132"/>
      <c r="U295" s="311"/>
      <c r="V295" s="132"/>
      <c r="W295" s="296"/>
      <c r="X295" s="296"/>
    </row>
    <row r="296" spans="1:24" s="306" customFormat="1" ht="15.75" x14ac:dyDescent="0.25">
      <c r="A296" s="142"/>
      <c r="B296" s="144"/>
      <c r="C296" s="303"/>
      <c r="D296" s="303"/>
      <c r="E296" s="303"/>
      <c r="F296" s="303"/>
      <c r="G296" s="303"/>
      <c r="H296" s="119"/>
      <c r="I296" s="303"/>
      <c r="J296" s="302"/>
      <c r="K296" s="303"/>
      <c r="L296" s="303"/>
      <c r="M296" s="119"/>
      <c r="N296" s="303"/>
      <c r="O296" s="302"/>
      <c r="P296" s="119"/>
      <c r="Q296" s="173"/>
      <c r="R296" s="119"/>
      <c r="S296" s="303"/>
      <c r="T296" s="117"/>
      <c r="U296" s="312"/>
      <c r="V296" s="117"/>
      <c r="W296" s="296"/>
      <c r="X296" s="296"/>
    </row>
    <row r="297" spans="1:24" ht="15.75" x14ac:dyDescent="0.25">
      <c r="A297" s="142"/>
      <c r="B297" s="145"/>
      <c r="C297" s="305"/>
      <c r="D297" s="305"/>
      <c r="E297" s="305"/>
      <c r="F297" s="305"/>
      <c r="G297" s="305"/>
      <c r="H297" s="122"/>
      <c r="I297" s="305"/>
      <c r="J297" s="304"/>
      <c r="K297" s="305"/>
      <c r="L297" s="305"/>
      <c r="M297" s="122"/>
      <c r="N297" s="305"/>
      <c r="O297" s="304"/>
      <c r="P297" s="122"/>
      <c r="Q297" s="253"/>
      <c r="R297" s="122"/>
      <c r="S297" s="305"/>
      <c r="T297" s="120"/>
      <c r="U297" s="313"/>
      <c r="V297" s="120"/>
      <c r="W297" s="296"/>
      <c r="X297" s="296"/>
    </row>
    <row r="298" spans="1:24" ht="15.75" x14ac:dyDescent="0.25">
      <c r="A298" s="142"/>
      <c r="B298" s="143"/>
      <c r="C298" s="300"/>
      <c r="D298" s="300"/>
      <c r="E298" s="300"/>
      <c r="F298" s="300"/>
      <c r="G298" s="300"/>
      <c r="H298" s="134"/>
      <c r="I298" s="300"/>
      <c r="J298" s="299"/>
      <c r="K298" s="300"/>
      <c r="L298" s="300"/>
      <c r="M298" s="134"/>
      <c r="N298" s="300"/>
      <c r="O298" s="299"/>
      <c r="P298" s="134"/>
      <c r="Q298" s="301"/>
      <c r="R298" s="134"/>
      <c r="S298" s="300"/>
      <c r="T298" s="132"/>
      <c r="U298" s="311"/>
      <c r="V298" s="132"/>
      <c r="W298" s="296"/>
      <c r="X298" s="296"/>
    </row>
    <row r="299" spans="1:24" s="306" customFormat="1" ht="15.75" x14ac:dyDescent="0.25">
      <c r="A299" s="142"/>
      <c r="B299" s="144"/>
      <c r="C299" s="303"/>
      <c r="D299" s="303"/>
      <c r="E299" s="303"/>
      <c r="F299" s="303"/>
      <c r="G299" s="303"/>
      <c r="H299" s="119"/>
      <c r="I299" s="303"/>
      <c r="J299" s="302"/>
      <c r="K299" s="303"/>
      <c r="L299" s="303"/>
      <c r="M299" s="119"/>
      <c r="N299" s="303"/>
      <c r="O299" s="302"/>
      <c r="P299" s="119"/>
      <c r="Q299" s="173"/>
      <c r="R299" s="119"/>
      <c r="S299" s="303"/>
      <c r="T299" s="117"/>
      <c r="U299" s="312"/>
      <c r="V299" s="117"/>
      <c r="W299" s="296"/>
      <c r="X299" s="296"/>
    </row>
    <row r="300" spans="1:24" ht="15.75" x14ac:dyDescent="0.25">
      <c r="A300" s="142"/>
      <c r="B300" s="145"/>
      <c r="C300" s="305"/>
      <c r="D300" s="305"/>
      <c r="E300" s="305"/>
      <c r="F300" s="305"/>
      <c r="G300" s="305"/>
      <c r="H300" s="122"/>
      <c r="I300" s="305"/>
      <c r="J300" s="304"/>
      <c r="K300" s="305"/>
      <c r="L300" s="305"/>
      <c r="M300" s="122"/>
      <c r="N300" s="305"/>
      <c r="O300" s="304"/>
      <c r="P300" s="122"/>
      <c r="Q300" s="253"/>
      <c r="R300" s="122"/>
      <c r="S300" s="305"/>
      <c r="T300" s="120"/>
      <c r="U300" s="313"/>
      <c r="V300" s="120"/>
      <c r="W300" s="296"/>
      <c r="X300" s="296"/>
    </row>
    <row r="301" spans="1:24" ht="15.75" x14ac:dyDescent="0.25">
      <c r="A301" s="142"/>
      <c r="B301" s="143"/>
      <c r="C301" s="300"/>
      <c r="D301" s="300"/>
      <c r="E301" s="300"/>
      <c r="F301" s="300"/>
      <c r="G301" s="300"/>
      <c r="H301" s="134"/>
      <c r="I301" s="300"/>
      <c r="J301" s="299"/>
      <c r="K301" s="300"/>
      <c r="L301" s="300"/>
      <c r="M301" s="134"/>
      <c r="N301" s="300"/>
      <c r="O301" s="299"/>
      <c r="P301" s="134"/>
      <c r="Q301" s="301"/>
      <c r="R301" s="134"/>
      <c r="S301" s="300"/>
      <c r="T301" s="132"/>
      <c r="U301" s="311"/>
      <c r="V301" s="132"/>
      <c r="W301" s="296"/>
      <c r="X301" s="296"/>
    </row>
    <row r="302" spans="1:24" s="306" customFormat="1" ht="15.75" x14ac:dyDescent="0.25">
      <c r="A302" s="142"/>
      <c r="B302" s="144"/>
      <c r="C302" s="303"/>
      <c r="D302" s="303"/>
      <c r="E302" s="303"/>
      <c r="F302" s="303"/>
      <c r="G302" s="303"/>
      <c r="H302" s="119"/>
      <c r="I302" s="303"/>
      <c r="J302" s="302"/>
      <c r="K302" s="303"/>
      <c r="L302" s="303"/>
      <c r="M302" s="119"/>
      <c r="N302" s="303"/>
      <c r="O302" s="302"/>
      <c r="P302" s="119"/>
      <c r="Q302" s="173"/>
      <c r="R302" s="119"/>
      <c r="S302" s="303"/>
      <c r="T302" s="117"/>
      <c r="U302" s="312"/>
      <c r="V302" s="117"/>
      <c r="W302" s="296"/>
      <c r="X302" s="296"/>
    </row>
    <row r="303" spans="1:24" ht="15.75" x14ac:dyDescent="0.25">
      <c r="A303" s="142"/>
      <c r="B303" s="145"/>
      <c r="C303" s="305"/>
      <c r="D303" s="305"/>
      <c r="E303" s="305"/>
      <c r="F303" s="305"/>
      <c r="G303" s="305"/>
      <c r="H303" s="122"/>
      <c r="I303" s="305"/>
      <c r="J303" s="304"/>
      <c r="K303" s="305"/>
      <c r="L303" s="305"/>
      <c r="M303" s="122"/>
      <c r="N303" s="305"/>
      <c r="O303" s="304"/>
      <c r="P303" s="122"/>
      <c r="Q303" s="253"/>
      <c r="R303" s="122"/>
      <c r="S303" s="305"/>
      <c r="T303" s="120"/>
      <c r="U303" s="313"/>
      <c r="V303" s="120"/>
      <c r="W303" s="296"/>
      <c r="X303" s="296"/>
    </row>
    <row r="304" spans="1:24" ht="15.75" x14ac:dyDescent="0.25">
      <c r="A304" s="142"/>
      <c r="B304" s="143"/>
      <c r="C304" s="300"/>
      <c r="D304" s="300"/>
      <c r="E304" s="300"/>
      <c r="F304" s="300"/>
      <c r="G304" s="300"/>
      <c r="H304" s="134"/>
      <c r="I304" s="300"/>
      <c r="J304" s="299"/>
      <c r="K304" s="300"/>
      <c r="L304" s="300"/>
      <c r="M304" s="134"/>
      <c r="N304" s="300"/>
      <c r="O304" s="299"/>
      <c r="P304" s="134"/>
      <c r="Q304" s="301"/>
      <c r="R304" s="134"/>
      <c r="S304" s="300"/>
      <c r="T304" s="132"/>
      <c r="U304" s="311"/>
      <c r="V304" s="132"/>
      <c r="W304" s="296"/>
      <c r="X304" s="296"/>
    </row>
    <row r="305" spans="1:24" s="306" customFormat="1" ht="15.75" x14ac:dyDescent="0.25">
      <c r="A305" s="142"/>
      <c r="B305" s="144"/>
      <c r="C305" s="303"/>
      <c r="D305" s="303"/>
      <c r="E305" s="303"/>
      <c r="F305" s="303"/>
      <c r="G305" s="303"/>
      <c r="H305" s="119"/>
      <c r="I305" s="303"/>
      <c r="J305" s="302"/>
      <c r="K305" s="303"/>
      <c r="L305" s="303"/>
      <c r="M305" s="119"/>
      <c r="N305" s="303"/>
      <c r="O305" s="302"/>
      <c r="P305" s="119"/>
      <c r="Q305" s="173"/>
      <c r="R305" s="119"/>
      <c r="S305" s="303"/>
      <c r="T305" s="117"/>
      <c r="U305" s="312"/>
      <c r="V305" s="117"/>
      <c r="W305" s="296"/>
      <c r="X305" s="296"/>
    </row>
    <row r="306" spans="1:24" ht="15.75" x14ac:dyDescent="0.25">
      <c r="A306" s="142"/>
      <c r="B306" s="145"/>
      <c r="C306" s="305"/>
      <c r="D306" s="305"/>
      <c r="E306" s="305"/>
      <c r="F306" s="305"/>
      <c r="G306" s="305"/>
      <c r="H306" s="122"/>
      <c r="I306" s="305"/>
      <c r="J306" s="304"/>
      <c r="K306" s="305"/>
      <c r="L306" s="305"/>
      <c r="M306" s="122"/>
      <c r="N306" s="305"/>
      <c r="O306" s="304"/>
      <c r="P306" s="122"/>
      <c r="Q306" s="253"/>
      <c r="R306" s="122"/>
      <c r="S306" s="305"/>
      <c r="T306" s="120"/>
      <c r="U306" s="313"/>
      <c r="V306" s="120"/>
      <c r="W306" s="296"/>
      <c r="X306" s="296"/>
    </row>
    <row r="307" spans="1:24" ht="15.75" x14ac:dyDescent="0.25">
      <c r="A307" s="142"/>
      <c r="B307" s="143"/>
      <c r="C307" s="300"/>
      <c r="D307" s="300"/>
      <c r="E307" s="300"/>
      <c r="F307" s="300"/>
      <c r="G307" s="300"/>
      <c r="H307" s="134"/>
      <c r="I307" s="300"/>
      <c r="J307" s="299"/>
      <c r="K307" s="300"/>
      <c r="L307" s="300"/>
      <c r="M307" s="134"/>
      <c r="N307" s="300"/>
      <c r="O307" s="299"/>
      <c r="P307" s="134"/>
      <c r="Q307" s="301"/>
      <c r="R307" s="134"/>
      <c r="S307" s="300"/>
      <c r="T307" s="132"/>
      <c r="U307" s="311"/>
      <c r="V307" s="132"/>
      <c r="W307" s="296"/>
      <c r="X307" s="296"/>
    </row>
    <row r="308" spans="1:24" s="306" customFormat="1" ht="15.75" x14ac:dyDescent="0.25">
      <c r="A308" s="142"/>
      <c r="B308" s="144"/>
      <c r="C308" s="303"/>
      <c r="D308" s="303"/>
      <c r="E308" s="303"/>
      <c r="F308" s="303"/>
      <c r="G308" s="303"/>
      <c r="H308" s="119"/>
      <c r="I308" s="303"/>
      <c r="J308" s="302"/>
      <c r="K308" s="303"/>
      <c r="L308" s="303"/>
      <c r="M308" s="119"/>
      <c r="N308" s="303"/>
      <c r="O308" s="302"/>
      <c r="P308" s="119"/>
      <c r="Q308" s="173"/>
      <c r="R308" s="119"/>
      <c r="S308" s="303"/>
      <c r="T308" s="117"/>
      <c r="U308" s="312"/>
      <c r="V308" s="117"/>
      <c r="W308" s="296"/>
      <c r="X308" s="296"/>
    </row>
    <row r="309" spans="1:24" ht="15.75" x14ac:dyDescent="0.25">
      <c r="A309" s="142"/>
      <c r="B309" s="145"/>
      <c r="C309" s="305"/>
      <c r="D309" s="305"/>
      <c r="E309" s="305"/>
      <c r="F309" s="305"/>
      <c r="G309" s="305"/>
      <c r="H309" s="122"/>
      <c r="I309" s="305"/>
      <c r="J309" s="304"/>
      <c r="K309" s="305"/>
      <c r="L309" s="305"/>
      <c r="M309" s="122"/>
      <c r="N309" s="305"/>
      <c r="O309" s="304"/>
      <c r="P309" s="122"/>
      <c r="Q309" s="253"/>
      <c r="R309" s="122"/>
      <c r="S309" s="305"/>
      <c r="T309" s="120"/>
      <c r="U309" s="313"/>
      <c r="V309" s="120"/>
      <c r="W309" s="296"/>
      <c r="X309" s="296"/>
    </row>
    <row r="310" spans="1:24" ht="15.75" x14ac:dyDescent="0.25">
      <c r="A310" s="142"/>
      <c r="B310" s="143"/>
      <c r="C310" s="300"/>
      <c r="D310" s="300"/>
      <c r="E310" s="300"/>
      <c r="F310" s="300"/>
      <c r="G310" s="300"/>
      <c r="H310" s="134"/>
      <c r="I310" s="300"/>
      <c r="J310" s="299"/>
      <c r="K310" s="300"/>
      <c r="L310" s="300"/>
      <c r="M310" s="134"/>
      <c r="N310" s="300"/>
      <c r="O310" s="299"/>
      <c r="P310" s="134"/>
      <c r="Q310" s="301"/>
      <c r="R310" s="134"/>
      <c r="S310" s="300"/>
      <c r="T310" s="132"/>
      <c r="U310" s="311"/>
      <c r="V310" s="132"/>
      <c r="W310" s="296"/>
      <c r="X310" s="296"/>
    </row>
    <row r="311" spans="1:24" s="306" customFormat="1" ht="15.75" x14ac:dyDescent="0.25">
      <c r="A311" s="142"/>
      <c r="B311" s="144"/>
      <c r="C311" s="303"/>
      <c r="D311" s="303"/>
      <c r="E311" s="303"/>
      <c r="F311" s="303"/>
      <c r="G311" s="303"/>
      <c r="H311" s="119"/>
      <c r="I311" s="303"/>
      <c r="J311" s="302"/>
      <c r="K311" s="303"/>
      <c r="L311" s="303"/>
      <c r="M311" s="119"/>
      <c r="N311" s="303"/>
      <c r="O311" s="302"/>
      <c r="P311" s="119"/>
      <c r="Q311" s="173"/>
      <c r="R311" s="119"/>
      <c r="S311" s="303"/>
      <c r="T311" s="117"/>
      <c r="U311" s="312"/>
      <c r="V311" s="117"/>
      <c r="W311" s="296"/>
      <c r="X311" s="296"/>
    </row>
    <row r="312" spans="1:24" ht="15.75" x14ac:dyDescent="0.25">
      <c r="A312" s="142"/>
      <c r="B312" s="145"/>
      <c r="C312" s="305"/>
      <c r="D312" s="305"/>
      <c r="E312" s="305"/>
      <c r="F312" s="305"/>
      <c r="G312" s="305"/>
      <c r="H312" s="122"/>
      <c r="I312" s="305"/>
      <c r="J312" s="304"/>
      <c r="K312" s="305"/>
      <c r="L312" s="305"/>
      <c r="M312" s="122"/>
      <c r="N312" s="305"/>
      <c r="O312" s="304"/>
      <c r="P312" s="122"/>
      <c r="Q312" s="253"/>
      <c r="R312" s="122"/>
      <c r="S312" s="305"/>
      <c r="T312" s="120"/>
      <c r="U312" s="313"/>
      <c r="V312" s="120"/>
      <c r="W312" s="296"/>
      <c r="X312" s="296"/>
    </row>
    <row r="313" spans="1:24" ht="15.75" x14ac:dyDescent="0.25">
      <c r="A313" s="142"/>
      <c r="B313" s="143"/>
      <c r="C313" s="300"/>
      <c r="D313" s="300"/>
      <c r="E313" s="300"/>
      <c r="F313" s="300"/>
      <c r="G313" s="300"/>
      <c r="H313" s="134"/>
      <c r="I313" s="300"/>
      <c r="J313" s="299"/>
      <c r="K313" s="300"/>
      <c r="L313" s="300"/>
      <c r="M313" s="134"/>
      <c r="N313" s="300"/>
      <c r="O313" s="299"/>
      <c r="P313" s="134"/>
      <c r="Q313" s="301"/>
      <c r="R313" s="134"/>
      <c r="S313" s="300"/>
      <c r="T313" s="132"/>
      <c r="U313" s="311"/>
      <c r="V313" s="132"/>
      <c r="W313" s="296"/>
      <c r="X313" s="296"/>
    </row>
    <row r="314" spans="1:24" s="306" customFormat="1" ht="15.75" x14ac:dyDescent="0.25">
      <c r="A314" s="142"/>
      <c r="B314" s="144"/>
      <c r="C314" s="303"/>
      <c r="D314" s="303"/>
      <c r="E314" s="303"/>
      <c r="F314" s="303"/>
      <c r="G314" s="303"/>
      <c r="H314" s="119"/>
      <c r="I314" s="303"/>
      <c r="J314" s="302"/>
      <c r="K314" s="303"/>
      <c r="L314" s="303"/>
      <c r="M314" s="119"/>
      <c r="N314" s="303"/>
      <c r="O314" s="302"/>
      <c r="P314" s="119"/>
      <c r="Q314" s="173"/>
      <c r="R314" s="119"/>
      <c r="S314" s="303"/>
      <c r="T314" s="117"/>
      <c r="U314" s="312"/>
      <c r="V314" s="117"/>
      <c r="W314" s="296"/>
      <c r="X314" s="296"/>
    </row>
    <row r="315" spans="1:24" ht="15.75" x14ac:dyDescent="0.25">
      <c r="A315" s="142"/>
      <c r="B315" s="145"/>
      <c r="C315" s="305"/>
      <c r="D315" s="305"/>
      <c r="E315" s="305"/>
      <c r="F315" s="305"/>
      <c r="G315" s="305"/>
      <c r="H315" s="122"/>
      <c r="I315" s="305"/>
      <c r="J315" s="304"/>
      <c r="K315" s="305"/>
      <c r="L315" s="305"/>
      <c r="M315" s="122"/>
      <c r="N315" s="305"/>
      <c r="O315" s="304"/>
      <c r="P315" s="122"/>
      <c r="Q315" s="253"/>
      <c r="R315" s="122"/>
      <c r="S315" s="305"/>
      <c r="T315" s="120"/>
      <c r="U315" s="313"/>
      <c r="V315" s="120"/>
      <c r="W315" s="296"/>
      <c r="X315" s="296"/>
    </row>
    <row r="316" spans="1:24" ht="15.75" x14ac:dyDescent="0.25">
      <c r="A316" s="142"/>
      <c r="B316" s="143"/>
      <c r="C316" s="300"/>
      <c r="D316" s="300"/>
      <c r="E316" s="300"/>
      <c r="F316" s="300"/>
      <c r="G316" s="300"/>
      <c r="H316" s="134"/>
      <c r="I316" s="300"/>
      <c r="J316" s="299"/>
      <c r="K316" s="300"/>
      <c r="L316" s="300"/>
      <c r="M316" s="134"/>
      <c r="N316" s="300"/>
      <c r="O316" s="299"/>
      <c r="P316" s="134"/>
      <c r="Q316" s="301"/>
      <c r="R316" s="134"/>
      <c r="S316" s="300"/>
      <c r="T316" s="132"/>
      <c r="U316" s="311"/>
      <c r="V316" s="132"/>
      <c r="W316" s="296"/>
      <c r="X316" s="296"/>
    </row>
    <row r="317" spans="1:24" s="306" customFormat="1" ht="15.75" x14ac:dyDescent="0.25">
      <c r="A317" s="142"/>
      <c r="B317" s="144"/>
      <c r="C317" s="303"/>
      <c r="D317" s="303"/>
      <c r="E317" s="303"/>
      <c r="F317" s="303"/>
      <c r="G317" s="303"/>
      <c r="H317" s="119"/>
      <c r="I317" s="303"/>
      <c r="J317" s="302"/>
      <c r="K317" s="303"/>
      <c r="L317" s="303"/>
      <c r="M317" s="119"/>
      <c r="N317" s="303"/>
      <c r="O317" s="302"/>
      <c r="P317" s="119"/>
      <c r="Q317" s="173"/>
      <c r="R317" s="119"/>
      <c r="S317" s="303"/>
      <c r="T317" s="117"/>
      <c r="U317" s="312"/>
      <c r="V317" s="117"/>
      <c r="W317" s="296"/>
      <c r="X317" s="296"/>
    </row>
    <row r="318" spans="1:24" ht="15.75" x14ac:dyDescent="0.25">
      <c r="A318" s="142"/>
      <c r="B318" s="145"/>
      <c r="C318" s="305"/>
      <c r="D318" s="305"/>
      <c r="E318" s="305"/>
      <c r="F318" s="305"/>
      <c r="G318" s="305"/>
      <c r="H318" s="122"/>
      <c r="I318" s="305"/>
      <c r="J318" s="304"/>
      <c r="K318" s="305"/>
      <c r="L318" s="305"/>
      <c r="M318" s="122"/>
      <c r="N318" s="305"/>
      <c r="O318" s="304"/>
      <c r="P318" s="122"/>
      <c r="Q318" s="253"/>
      <c r="R318" s="122"/>
      <c r="S318" s="305"/>
      <c r="T318" s="120"/>
      <c r="U318" s="313"/>
      <c r="V318" s="120"/>
      <c r="W318" s="296"/>
      <c r="X318" s="296"/>
    </row>
    <row r="319" spans="1:24" ht="15.75" x14ac:dyDescent="0.25">
      <c r="A319" s="142"/>
      <c r="B319" s="143"/>
      <c r="C319" s="300"/>
      <c r="D319" s="300"/>
      <c r="E319" s="300"/>
      <c r="F319" s="300"/>
      <c r="G319" s="300"/>
      <c r="H319" s="134"/>
      <c r="I319" s="300"/>
      <c r="J319" s="299"/>
      <c r="K319" s="300"/>
      <c r="L319" s="300"/>
      <c r="M319" s="134"/>
      <c r="N319" s="300"/>
      <c r="O319" s="299"/>
      <c r="P319" s="134"/>
      <c r="Q319" s="301"/>
      <c r="R319" s="134"/>
      <c r="S319" s="300"/>
      <c r="T319" s="132"/>
      <c r="U319" s="311"/>
      <c r="V319" s="132"/>
      <c r="W319" s="296"/>
      <c r="X319" s="296"/>
    </row>
    <row r="320" spans="1:24" s="306" customFormat="1" ht="16.5" thickBot="1" x14ac:dyDescent="0.3">
      <c r="A320" s="142"/>
      <c r="B320" s="144"/>
      <c r="C320" s="303"/>
      <c r="D320" s="303"/>
      <c r="E320" s="303"/>
      <c r="F320" s="303"/>
      <c r="G320" s="303"/>
      <c r="H320" s="119"/>
      <c r="I320" s="303"/>
      <c r="J320" s="302"/>
      <c r="K320" s="303"/>
      <c r="L320" s="303"/>
      <c r="M320" s="119"/>
      <c r="N320" s="303"/>
      <c r="O320" s="302"/>
      <c r="P320" s="119"/>
      <c r="Q320" s="173"/>
      <c r="R320" s="119"/>
      <c r="S320" s="303"/>
      <c r="T320" s="117"/>
      <c r="U320" s="312"/>
      <c r="V320" s="117"/>
      <c r="W320" s="296"/>
      <c r="X320" s="296"/>
    </row>
    <row r="321" spans="1:24" ht="16.5" thickBot="1" x14ac:dyDescent="0.3">
      <c r="A321" s="142"/>
      <c r="B321" s="145"/>
      <c r="C321" s="305"/>
      <c r="D321" s="305"/>
      <c r="E321" s="724"/>
      <c r="F321" s="305"/>
      <c r="G321" s="305"/>
      <c r="H321" s="122"/>
      <c r="I321" s="305"/>
      <c r="J321" s="304"/>
      <c r="K321" s="305"/>
      <c r="L321" s="305"/>
      <c r="M321" s="122"/>
      <c r="N321" s="305"/>
      <c r="O321" s="304"/>
      <c r="P321" s="122"/>
      <c r="Q321" s="253"/>
      <c r="R321" s="122"/>
      <c r="S321" s="305"/>
      <c r="T321" s="120"/>
      <c r="U321" s="313"/>
      <c r="V321" s="120"/>
      <c r="W321" s="296"/>
      <c r="X321" s="296"/>
    </row>
    <row r="322" spans="1:24" ht="15.75" x14ac:dyDescent="0.25">
      <c r="A322" s="142"/>
      <c r="B322" s="143"/>
      <c r="C322" s="300"/>
      <c r="D322" s="300"/>
      <c r="E322" s="300"/>
      <c r="F322" s="300"/>
      <c r="G322" s="300"/>
      <c r="H322" s="134"/>
      <c r="I322" s="300"/>
      <c r="J322" s="299"/>
      <c r="K322" s="300"/>
      <c r="L322" s="300"/>
      <c r="M322" s="134"/>
      <c r="N322" s="300"/>
      <c r="O322" s="299"/>
      <c r="P322" s="134"/>
      <c r="Q322" s="301"/>
      <c r="R322" s="134"/>
      <c r="S322" s="300"/>
      <c r="T322" s="132"/>
      <c r="U322" s="311"/>
      <c r="V322" s="132"/>
      <c r="W322" s="296"/>
      <c r="X322" s="296"/>
    </row>
    <row r="323" spans="1:24" s="306" customFormat="1" ht="15.75" x14ac:dyDescent="0.25">
      <c r="A323" s="294"/>
      <c r="B323" s="144"/>
      <c r="C323" s="303"/>
      <c r="D323" s="303"/>
      <c r="E323" s="303"/>
      <c r="F323" s="303"/>
      <c r="G323" s="303"/>
      <c r="H323" s="119"/>
      <c r="I323" s="303"/>
      <c r="J323" s="302"/>
      <c r="K323" s="303"/>
      <c r="L323" s="303"/>
      <c r="M323" s="119"/>
      <c r="N323" s="303"/>
      <c r="O323" s="302"/>
      <c r="P323" s="119"/>
      <c r="Q323" s="173"/>
      <c r="R323" s="119"/>
      <c r="S323" s="303"/>
      <c r="T323" s="117"/>
      <c r="U323" s="312"/>
      <c r="V323" s="117"/>
      <c r="W323" s="296"/>
      <c r="X323" s="296"/>
    </row>
    <row r="324" spans="1:24" ht="15.75" x14ac:dyDescent="0.25">
      <c r="A324" s="141"/>
      <c r="B324" s="143"/>
      <c r="C324" s="300"/>
      <c r="D324" s="300"/>
      <c r="E324" s="300"/>
      <c r="F324" s="300"/>
      <c r="G324" s="300"/>
      <c r="H324" s="134"/>
      <c r="I324" s="300"/>
      <c r="J324" s="299"/>
      <c r="K324" s="300"/>
      <c r="L324" s="300"/>
      <c r="M324" s="134"/>
      <c r="N324" s="300"/>
      <c r="O324" s="299"/>
      <c r="P324" s="134"/>
      <c r="Q324" s="301"/>
      <c r="R324" s="134"/>
      <c r="S324" s="300"/>
      <c r="T324" s="132"/>
      <c r="U324" s="311"/>
      <c r="V324" s="132"/>
      <c r="W324" s="296"/>
      <c r="X324" s="296"/>
    </row>
    <row r="325" spans="1:24" ht="16.5" thickBot="1" x14ac:dyDescent="0.3">
      <c r="A325" s="142"/>
      <c r="B325" s="144"/>
      <c r="C325" s="303"/>
      <c r="D325" s="303"/>
      <c r="E325" s="303"/>
      <c r="F325" s="303"/>
      <c r="G325" s="303"/>
      <c r="H325" s="119"/>
      <c r="I325" s="303"/>
      <c r="J325" s="302"/>
      <c r="K325" s="303"/>
      <c r="L325" s="303"/>
      <c r="M325" s="119"/>
      <c r="N325" s="303"/>
      <c r="O325" s="302"/>
      <c r="P325" s="119"/>
      <c r="Q325" s="173"/>
      <c r="R325" s="119"/>
      <c r="S325" s="303"/>
      <c r="T325" s="117"/>
      <c r="U325" s="312"/>
      <c r="V325" s="117"/>
      <c r="W325" s="296"/>
      <c r="X325" s="296"/>
    </row>
    <row r="326" spans="1:24" s="306" customFormat="1" ht="16.5" thickBot="1" x14ac:dyDescent="0.3">
      <c r="A326" s="142"/>
      <c r="B326" s="145"/>
      <c r="C326" s="305"/>
      <c r="D326" s="305"/>
      <c r="E326" s="305"/>
      <c r="F326" s="305"/>
      <c r="G326" s="305"/>
      <c r="H326" s="122"/>
      <c r="I326" s="305"/>
      <c r="J326" s="304"/>
      <c r="K326" s="724"/>
      <c r="L326" s="305"/>
      <c r="M326" s="724"/>
      <c r="N326" s="305"/>
      <c r="O326" s="304"/>
      <c r="P326" s="122"/>
      <c r="Q326" s="253"/>
      <c r="R326" s="122"/>
      <c r="S326" s="305"/>
      <c r="T326" s="120"/>
      <c r="U326" s="313"/>
      <c r="V326" s="120"/>
      <c r="W326" s="296"/>
      <c r="X326" s="296"/>
    </row>
    <row r="327" spans="1:24" ht="15.75" x14ac:dyDescent="0.25">
      <c r="A327" s="142"/>
      <c r="B327" s="143"/>
      <c r="C327" s="300"/>
      <c r="D327" s="300"/>
      <c r="E327" s="300"/>
      <c r="F327" s="300"/>
      <c r="G327" s="300"/>
      <c r="H327" s="134"/>
      <c r="I327" s="300"/>
      <c r="J327" s="299"/>
      <c r="K327" s="300"/>
      <c r="L327" s="300"/>
      <c r="M327" s="134"/>
      <c r="N327" s="300"/>
      <c r="O327" s="299"/>
      <c r="P327" s="134"/>
      <c r="Q327" s="301"/>
      <c r="R327" s="134"/>
      <c r="S327" s="300"/>
      <c r="T327" s="132"/>
      <c r="U327" s="311"/>
      <c r="V327" s="132"/>
      <c r="W327" s="296"/>
      <c r="X327" s="296"/>
    </row>
    <row r="328" spans="1:24" ht="15.75" x14ac:dyDescent="0.25">
      <c r="A328" s="142"/>
      <c r="B328" s="144"/>
      <c r="C328" s="303"/>
      <c r="D328" s="303"/>
      <c r="E328" s="303"/>
      <c r="F328" s="303"/>
      <c r="G328" s="303"/>
      <c r="H328" s="119"/>
      <c r="I328" s="303"/>
      <c r="J328" s="302"/>
      <c r="K328" s="303"/>
      <c r="L328" s="303"/>
      <c r="M328" s="119"/>
      <c r="N328" s="303"/>
      <c r="O328" s="302"/>
      <c r="P328" s="119"/>
      <c r="Q328" s="173"/>
      <c r="R328" s="119"/>
      <c r="S328" s="303"/>
      <c r="T328" s="117"/>
      <c r="U328" s="312"/>
      <c r="V328" s="117"/>
      <c r="W328" s="296"/>
      <c r="X328" s="296"/>
    </row>
    <row r="329" spans="1:24" s="306" customFormat="1" ht="15.75" x14ac:dyDescent="0.25">
      <c r="A329" s="142"/>
      <c r="B329" s="145"/>
      <c r="C329" s="305"/>
      <c r="D329" s="305"/>
      <c r="E329" s="305"/>
      <c r="F329" s="305"/>
      <c r="G329" s="305"/>
      <c r="H329" s="122"/>
      <c r="I329" s="305"/>
      <c r="J329" s="304"/>
      <c r="K329" s="305"/>
      <c r="L329" s="305"/>
      <c r="M329" s="122"/>
      <c r="N329" s="305"/>
      <c r="O329" s="304"/>
      <c r="P329" s="122"/>
      <c r="Q329" s="253"/>
      <c r="R329" s="122"/>
      <c r="S329" s="305"/>
      <c r="T329" s="120"/>
      <c r="U329" s="313"/>
      <c r="V329" s="120"/>
      <c r="W329" s="296"/>
      <c r="X329" s="296"/>
    </row>
    <row r="330" spans="1:24" ht="15.75" x14ac:dyDescent="0.25">
      <c r="A330" s="142"/>
      <c r="B330" s="143"/>
      <c r="C330" s="300"/>
      <c r="D330" s="300"/>
      <c r="E330" s="300"/>
      <c r="F330" s="300"/>
      <c r="G330" s="300"/>
      <c r="H330" s="134"/>
      <c r="I330" s="300"/>
      <c r="J330" s="299"/>
      <c r="K330" s="300"/>
      <c r="L330" s="300"/>
      <c r="M330" s="134"/>
      <c r="N330" s="300"/>
      <c r="O330" s="299"/>
      <c r="P330" s="134"/>
      <c r="Q330" s="301"/>
      <c r="R330" s="134"/>
      <c r="S330" s="300"/>
      <c r="T330" s="132"/>
      <c r="U330" s="311"/>
      <c r="V330" s="132"/>
      <c r="W330" s="296"/>
      <c r="X330" s="296"/>
    </row>
    <row r="331" spans="1:24" ht="16.5" thickBot="1" x14ac:dyDescent="0.3">
      <c r="A331" s="142"/>
      <c r="B331" s="144"/>
      <c r="C331" s="303"/>
      <c r="D331" s="303"/>
      <c r="E331" s="303"/>
      <c r="F331" s="303"/>
      <c r="G331" s="303"/>
      <c r="H331" s="119"/>
      <c r="I331" s="303"/>
      <c r="J331" s="302"/>
      <c r="K331" s="303"/>
      <c r="L331" s="303"/>
      <c r="M331" s="119"/>
      <c r="N331" s="303"/>
      <c r="O331" s="302"/>
      <c r="P331" s="119"/>
      <c r="Q331" s="173"/>
      <c r="R331" s="119"/>
      <c r="S331" s="303"/>
      <c r="T331" s="117"/>
      <c r="U331" s="312"/>
      <c r="V331" s="117"/>
      <c r="W331" s="296"/>
      <c r="X331" s="296"/>
    </row>
    <row r="332" spans="1:24" s="306" customFormat="1" ht="16.5" thickBot="1" x14ac:dyDescent="0.3">
      <c r="A332" s="142"/>
      <c r="B332" s="145"/>
      <c r="C332" s="305"/>
      <c r="D332" s="305"/>
      <c r="E332" s="724"/>
      <c r="F332" s="305"/>
      <c r="G332" s="305"/>
      <c r="H332" s="122"/>
      <c r="I332" s="305"/>
      <c r="J332" s="304"/>
      <c r="K332" s="305"/>
      <c r="L332" s="305"/>
      <c r="M332" s="122"/>
      <c r="N332" s="305"/>
      <c r="O332" s="304"/>
      <c r="P332" s="122"/>
      <c r="Q332" s="253"/>
      <c r="R332" s="122"/>
      <c r="S332" s="305"/>
      <c r="T332" s="120"/>
      <c r="U332" s="313"/>
      <c r="V332" s="120"/>
      <c r="W332" s="296"/>
      <c r="X332" s="296"/>
    </row>
    <row r="333" spans="1:24" ht="15.75" x14ac:dyDescent="0.25">
      <c r="A333" s="142"/>
      <c r="B333" s="143"/>
      <c r="C333" s="300"/>
      <c r="D333" s="300"/>
      <c r="E333" s="300"/>
      <c r="F333" s="300"/>
      <c r="G333" s="300"/>
      <c r="H333" s="134"/>
      <c r="I333" s="300"/>
      <c r="J333" s="299"/>
      <c r="K333" s="300"/>
      <c r="L333" s="300"/>
      <c r="M333" s="134"/>
      <c r="N333" s="300"/>
      <c r="O333" s="299"/>
      <c r="P333" s="134"/>
      <c r="Q333" s="301"/>
      <c r="R333" s="134"/>
      <c r="S333" s="300"/>
      <c r="T333" s="132"/>
      <c r="U333" s="311"/>
      <c r="V333" s="132"/>
      <c r="W333" s="296"/>
      <c r="X333" s="296"/>
    </row>
    <row r="334" spans="1:24" ht="15.75" x14ac:dyDescent="0.25">
      <c r="A334" s="142"/>
      <c r="B334" s="144"/>
      <c r="C334" s="303"/>
      <c r="D334" s="303"/>
      <c r="E334" s="303"/>
      <c r="F334" s="303"/>
      <c r="G334" s="303"/>
      <c r="H334" s="119"/>
      <c r="I334" s="303"/>
      <c r="J334" s="302"/>
      <c r="K334" s="303"/>
      <c r="L334" s="303"/>
      <c r="M334" s="119"/>
      <c r="N334" s="303"/>
      <c r="O334" s="302"/>
      <c r="P334" s="119"/>
      <c r="Q334" s="173"/>
      <c r="R334" s="119"/>
      <c r="S334" s="303"/>
      <c r="T334" s="117"/>
      <c r="U334" s="312"/>
      <c r="V334" s="117"/>
      <c r="W334" s="296"/>
      <c r="X334" s="296"/>
    </row>
    <row r="335" spans="1:24" s="306" customFormat="1" ht="15.75" x14ac:dyDescent="0.25">
      <c r="A335" s="142"/>
      <c r="B335" s="145"/>
      <c r="C335" s="305"/>
      <c r="D335" s="305"/>
      <c r="E335" s="305"/>
      <c r="F335" s="305"/>
      <c r="G335" s="305"/>
      <c r="H335" s="122"/>
      <c r="I335" s="305"/>
      <c r="J335" s="304"/>
      <c r="K335" s="305"/>
      <c r="L335" s="305"/>
      <c r="M335" s="122"/>
      <c r="N335" s="305"/>
      <c r="O335" s="304"/>
      <c r="P335" s="122"/>
      <c r="Q335" s="253"/>
      <c r="R335" s="122"/>
      <c r="S335" s="305"/>
      <c r="T335" s="120"/>
      <c r="U335" s="313"/>
      <c r="V335" s="120"/>
      <c r="W335" s="296"/>
      <c r="X335" s="296"/>
    </row>
    <row r="336" spans="1:24" ht="15.75" x14ac:dyDescent="0.25">
      <c r="A336" s="142"/>
      <c r="B336" s="143"/>
      <c r="C336" s="300"/>
      <c r="D336" s="300"/>
      <c r="E336" s="300"/>
      <c r="F336" s="300"/>
      <c r="G336" s="300"/>
      <c r="H336" s="134"/>
      <c r="I336" s="300"/>
      <c r="J336" s="299"/>
      <c r="K336" s="300"/>
      <c r="L336" s="300"/>
      <c r="M336" s="134"/>
      <c r="N336" s="300"/>
      <c r="O336" s="299"/>
      <c r="P336" s="134"/>
      <c r="Q336" s="301"/>
      <c r="R336" s="134"/>
      <c r="S336" s="300"/>
      <c r="T336" s="132"/>
      <c r="U336" s="311"/>
      <c r="V336" s="132"/>
      <c r="W336" s="296"/>
      <c r="X336" s="296"/>
    </row>
    <row r="337" spans="1:24" ht="15.75" x14ac:dyDescent="0.25">
      <c r="A337" s="142"/>
      <c r="B337" s="144"/>
      <c r="C337" s="303"/>
      <c r="D337" s="303"/>
      <c r="E337" s="303"/>
      <c r="F337" s="303"/>
      <c r="G337" s="303"/>
      <c r="H337" s="119"/>
      <c r="I337" s="303"/>
      <c r="J337" s="302"/>
      <c r="K337" s="303"/>
      <c r="L337" s="303"/>
      <c r="M337" s="119"/>
      <c r="N337" s="303"/>
      <c r="O337" s="302"/>
      <c r="P337" s="119"/>
      <c r="Q337" s="173"/>
      <c r="R337" s="119"/>
      <c r="S337" s="303"/>
      <c r="T337" s="117"/>
      <c r="U337" s="312"/>
      <c r="V337" s="117"/>
      <c r="W337" s="296"/>
      <c r="X337" s="296"/>
    </row>
    <row r="338" spans="1:24" s="306" customFormat="1" ht="15.75" x14ac:dyDescent="0.25">
      <c r="A338" s="142"/>
      <c r="B338" s="145"/>
      <c r="C338" s="305"/>
      <c r="D338" s="305"/>
      <c r="E338" s="305"/>
      <c r="F338" s="305"/>
      <c r="G338" s="305"/>
      <c r="H338" s="122"/>
      <c r="I338" s="305"/>
      <c r="J338" s="304"/>
      <c r="K338" s="305"/>
      <c r="L338" s="305"/>
      <c r="M338" s="122"/>
      <c r="N338" s="305"/>
      <c r="O338" s="304"/>
      <c r="P338" s="122"/>
      <c r="Q338" s="253"/>
      <c r="R338" s="122"/>
      <c r="S338" s="305"/>
      <c r="T338" s="120"/>
      <c r="U338" s="313"/>
      <c r="V338" s="120"/>
      <c r="W338" s="296"/>
      <c r="X338" s="296"/>
    </row>
    <row r="339" spans="1:24" ht="15.75" x14ac:dyDescent="0.25">
      <c r="A339" s="142"/>
      <c r="B339" s="143"/>
      <c r="C339" s="300"/>
      <c r="D339" s="300"/>
      <c r="E339" s="300"/>
      <c r="F339" s="300"/>
      <c r="G339" s="300"/>
      <c r="H339" s="134"/>
      <c r="I339" s="300"/>
      <c r="J339" s="299"/>
      <c r="K339" s="300"/>
      <c r="L339" s="300"/>
      <c r="M339" s="134"/>
      <c r="N339" s="300"/>
      <c r="O339" s="299"/>
      <c r="P339" s="134"/>
      <c r="Q339" s="301"/>
      <c r="R339" s="134"/>
      <c r="S339" s="300"/>
      <c r="T339" s="132"/>
      <c r="U339" s="311"/>
      <c r="V339" s="132"/>
      <c r="W339" s="296"/>
      <c r="X339" s="296"/>
    </row>
    <row r="340" spans="1:24" ht="16.5" thickBot="1" x14ac:dyDescent="0.3">
      <c r="A340" s="142"/>
      <c r="B340" s="144"/>
      <c r="C340" s="303"/>
      <c r="D340" s="303"/>
      <c r="E340" s="303"/>
      <c r="F340" s="303"/>
      <c r="G340" s="303"/>
      <c r="H340" s="119"/>
      <c r="I340" s="303"/>
      <c r="J340" s="302"/>
      <c r="K340" s="303"/>
      <c r="L340" s="303"/>
      <c r="M340" s="119"/>
      <c r="N340" s="303"/>
      <c r="O340" s="302"/>
      <c r="P340" s="119"/>
      <c r="Q340" s="173"/>
      <c r="R340" s="119"/>
      <c r="S340" s="303"/>
      <c r="T340" s="117"/>
      <c r="U340" s="312"/>
      <c r="V340" s="117"/>
      <c r="W340" s="296"/>
      <c r="X340" s="296"/>
    </row>
    <row r="341" spans="1:24" s="306" customFormat="1" ht="16.5" thickBot="1" x14ac:dyDescent="0.3">
      <c r="A341" s="142"/>
      <c r="B341" s="145"/>
      <c r="C341" s="305"/>
      <c r="D341" s="305"/>
      <c r="E341" s="305"/>
      <c r="F341" s="305"/>
      <c r="G341" s="305"/>
      <c r="H341" s="122"/>
      <c r="I341" s="305"/>
      <c r="J341" s="304"/>
      <c r="K341" s="305"/>
      <c r="L341" s="305"/>
      <c r="M341" s="122"/>
      <c r="N341" s="305"/>
      <c r="O341" s="304"/>
      <c r="P341" s="122"/>
      <c r="Q341" s="253"/>
      <c r="R341" s="122"/>
      <c r="S341" s="724"/>
      <c r="T341" s="120"/>
      <c r="U341" s="313"/>
      <c r="V341" s="120"/>
      <c r="W341" s="296"/>
      <c r="X341" s="296"/>
    </row>
    <row r="342" spans="1:24" ht="15.75" x14ac:dyDescent="0.25">
      <c r="A342" s="142"/>
      <c r="B342" s="143"/>
      <c r="C342" s="300"/>
      <c r="D342" s="300"/>
      <c r="E342" s="300"/>
      <c r="F342" s="300"/>
      <c r="G342" s="300"/>
      <c r="H342" s="134"/>
      <c r="I342" s="300"/>
      <c r="J342" s="299"/>
      <c r="K342" s="300"/>
      <c r="L342" s="300"/>
      <c r="M342" s="134"/>
      <c r="N342" s="300"/>
      <c r="O342" s="299"/>
      <c r="P342" s="134"/>
      <c r="Q342" s="301"/>
      <c r="R342" s="134"/>
      <c r="S342" s="300"/>
      <c r="T342" s="132"/>
      <c r="U342" s="311"/>
      <c r="V342" s="132"/>
      <c r="W342" s="296"/>
      <c r="X342" s="296"/>
    </row>
    <row r="343" spans="1:24" ht="15.75" x14ac:dyDescent="0.25">
      <c r="A343" s="142"/>
      <c r="B343" s="144"/>
      <c r="C343" s="303"/>
      <c r="D343" s="303"/>
      <c r="E343" s="303"/>
      <c r="F343" s="303"/>
      <c r="G343" s="303"/>
      <c r="H343" s="119"/>
      <c r="I343" s="303"/>
      <c r="J343" s="302"/>
      <c r="K343" s="303"/>
      <c r="L343" s="303"/>
      <c r="M343" s="119"/>
      <c r="N343" s="303"/>
      <c r="O343" s="302"/>
      <c r="P343" s="119"/>
      <c r="Q343" s="173"/>
      <c r="R343" s="119"/>
      <c r="S343" s="303"/>
      <c r="T343" s="117"/>
      <c r="U343" s="312"/>
      <c r="V343" s="117"/>
      <c r="W343" s="296"/>
      <c r="X343" s="296"/>
    </row>
    <row r="344" spans="1:24" s="306" customFormat="1" ht="15.75" x14ac:dyDescent="0.25">
      <c r="A344" s="142"/>
      <c r="B344" s="145"/>
      <c r="C344" s="305"/>
      <c r="D344" s="305"/>
      <c r="E344" s="305"/>
      <c r="F344" s="305"/>
      <c r="G344" s="305"/>
      <c r="H344" s="122"/>
      <c r="I344" s="305"/>
      <c r="J344" s="304"/>
      <c r="K344" s="305"/>
      <c r="L344" s="305"/>
      <c r="M344" s="122"/>
      <c r="N344" s="305"/>
      <c r="O344" s="304"/>
      <c r="P344" s="122"/>
      <c r="Q344" s="253"/>
      <c r="R344" s="122"/>
      <c r="S344" s="305"/>
      <c r="T344" s="120"/>
      <c r="U344" s="313"/>
      <c r="V344" s="120"/>
      <c r="W344" s="296"/>
      <c r="X344" s="296"/>
    </row>
    <row r="345" spans="1:24" ht="15.75" x14ac:dyDescent="0.25">
      <c r="A345" s="142"/>
      <c r="B345" s="143"/>
      <c r="C345" s="300"/>
      <c r="D345" s="300"/>
      <c r="E345" s="300"/>
      <c r="F345" s="300"/>
      <c r="G345" s="300"/>
      <c r="H345" s="134"/>
      <c r="I345" s="300"/>
      <c r="J345" s="299"/>
      <c r="K345" s="300"/>
      <c r="L345" s="300"/>
      <c r="M345" s="134"/>
      <c r="N345" s="300"/>
      <c r="O345" s="299"/>
      <c r="P345" s="134"/>
      <c r="Q345" s="301"/>
      <c r="R345" s="134"/>
      <c r="S345" s="300"/>
      <c r="T345" s="132"/>
      <c r="U345" s="311"/>
      <c r="V345" s="132"/>
      <c r="W345" s="296"/>
      <c r="X345" s="296"/>
    </row>
    <row r="346" spans="1:24" ht="15.75" x14ac:dyDescent="0.25">
      <c r="A346" s="142"/>
      <c r="B346" s="144"/>
      <c r="C346" s="303"/>
      <c r="D346" s="303"/>
      <c r="E346" s="303"/>
      <c r="F346" s="303"/>
      <c r="G346" s="303"/>
      <c r="H346" s="119"/>
      <c r="I346" s="303"/>
      <c r="J346" s="302"/>
      <c r="K346" s="303"/>
      <c r="L346" s="303"/>
      <c r="M346" s="119"/>
      <c r="N346" s="303"/>
      <c r="O346" s="302"/>
      <c r="P346" s="119"/>
      <c r="Q346" s="173"/>
      <c r="R346" s="119"/>
      <c r="S346" s="303"/>
      <c r="T346" s="117"/>
      <c r="U346" s="312"/>
      <c r="V346" s="117"/>
      <c r="W346" s="296"/>
      <c r="X346" s="296"/>
    </row>
    <row r="347" spans="1:24" s="306" customFormat="1" ht="15.75" x14ac:dyDescent="0.25">
      <c r="A347" s="142"/>
      <c r="B347" s="145"/>
      <c r="C347" s="305"/>
      <c r="D347" s="305"/>
      <c r="E347" s="305"/>
      <c r="F347" s="305"/>
      <c r="G347" s="305"/>
      <c r="H347" s="122"/>
      <c r="I347" s="305"/>
      <c r="J347" s="304"/>
      <c r="K347" s="305"/>
      <c r="L347" s="305"/>
      <c r="M347" s="122"/>
      <c r="N347" s="305"/>
      <c r="O347" s="304"/>
      <c r="P347" s="122"/>
      <c r="Q347" s="253"/>
      <c r="R347" s="122"/>
      <c r="S347" s="305"/>
      <c r="T347" s="120"/>
      <c r="U347" s="313"/>
      <c r="V347" s="120"/>
      <c r="W347" s="296"/>
      <c r="X347" s="296"/>
    </row>
    <row r="348" spans="1:24" ht="15.75" x14ac:dyDescent="0.25">
      <c r="A348" s="142"/>
      <c r="B348" s="143"/>
      <c r="C348" s="300"/>
      <c r="D348" s="300"/>
      <c r="E348" s="300"/>
      <c r="F348" s="300"/>
      <c r="G348" s="300"/>
      <c r="H348" s="134"/>
      <c r="I348" s="300"/>
      <c r="J348" s="299"/>
      <c r="K348" s="300"/>
      <c r="L348" s="300"/>
      <c r="M348" s="134"/>
      <c r="N348" s="300"/>
      <c r="O348" s="299"/>
      <c r="P348" s="134"/>
      <c r="Q348" s="301"/>
      <c r="R348" s="134"/>
      <c r="S348" s="300"/>
      <c r="T348" s="132"/>
      <c r="U348" s="311"/>
      <c r="V348" s="132"/>
      <c r="W348" s="296"/>
      <c r="X348" s="296"/>
    </row>
    <row r="349" spans="1:24" ht="15.75" x14ac:dyDescent="0.25">
      <c r="A349" s="142"/>
      <c r="B349" s="144"/>
      <c r="C349" s="303"/>
      <c r="D349" s="303"/>
      <c r="E349" s="303"/>
      <c r="F349" s="303"/>
      <c r="G349" s="303"/>
      <c r="H349" s="119"/>
      <c r="I349" s="303"/>
      <c r="J349" s="302"/>
      <c r="K349" s="303"/>
      <c r="L349" s="303"/>
      <c r="M349" s="119"/>
      <c r="N349" s="303"/>
      <c r="O349" s="302"/>
      <c r="P349" s="119"/>
      <c r="Q349" s="173"/>
      <c r="R349" s="119"/>
      <c r="S349" s="303"/>
      <c r="T349" s="117"/>
      <c r="U349" s="312"/>
      <c r="V349" s="117"/>
      <c r="W349" s="296"/>
      <c r="X349" s="296"/>
    </row>
    <row r="350" spans="1:24" s="306" customFormat="1" ht="15.75" x14ac:dyDescent="0.25">
      <c r="A350" s="142"/>
      <c r="B350" s="145"/>
      <c r="C350" s="305"/>
      <c r="D350" s="305"/>
      <c r="E350" s="305"/>
      <c r="F350" s="305"/>
      <c r="G350" s="305"/>
      <c r="H350" s="122"/>
      <c r="I350" s="305"/>
      <c r="J350" s="304"/>
      <c r="K350" s="305"/>
      <c r="L350" s="305"/>
      <c r="M350" s="122"/>
      <c r="N350" s="305"/>
      <c r="O350" s="304"/>
      <c r="P350" s="122"/>
      <c r="Q350" s="253"/>
      <c r="R350" s="122"/>
      <c r="S350" s="305"/>
      <c r="T350" s="120"/>
      <c r="U350" s="313"/>
      <c r="V350" s="120"/>
      <c r="W350" s="296"/>
      <c r="X350" s="296"/>
    </row>
    <row r="351" spans="1:24" ht="15.75" x14ac:dyDescent="0.25">
      <c r="A351" s="142"/>
      <c r="B351" s="143"/>
      <c r="C351" s="300"/>
      <c r="D351" s="300"/>
      <c r="E351" s="300"/>
      <c r="F351" s="300"/>
      <c r="G351" s="300"/>
      <c r="H351" s="134"/>
      <c r="I351" s="300"/>
      <c r="J351" s="299"/>
      <c r="K351" s="300"/>
      <c r="L351" s="300"/>
      <c r="M351" s="134"/>
      <c r="N351" s="300"/>
      <c r="O351" s="299"/>
      <c r="P351" s="134"/>
      <c r="Q351" s="301"/>
      <c r="R351" s="134"/>
      <c r="S351" s="300"/>
      <c r="T351" s="132"/>
      <c r="U351" s="311"/>
      <c r="V351" s="132"/>
      <c r="W351" s="296"/>
      <c r="X351" s="296"/>
    </row>
    <row r="352" spans="1:24" ht="15.75" x14ac:dyDescent="0.25">
      <c r="A352" s="142"/>
      <c r="B352" s="144"/>
      <c r="C352" s="303"/>
      <c r="D352" s="303"/>
      <c r="E352" s="303"/>
      <c r="F352" s="303"/>
      <c r="G352" s="303"/>
      <c r="H352" s="119"/>
      <c r="I352" s="303"/>
      <c r="J352" s="302"/>
      <c r="K352" s="303"/>
      <c r="L352" s="303"/>
      <c r="M352" s="119"/>
      <c r="N352" s="303"/>
      <c r="O352" s="302"/>
      <c r="P352" s="119"/>
      <c r="Q352" s="173"/>
      <c r="R352" s="119"/>
      <c r="S352" s="303"/>
      <c r="T352" s="117"/>
      <c r="U352" s="312"/>
      <c r="V352" s="117"/>
      <c r="W352" s="296"/>
      <c r="X352" s="296"/>
    </row>
    <row r="353" spans="1:24" s="306" customFormat="1" ht="15.75" x14ac:dyDescent="0.25">
      <c r="A353" s="142"/>
      <c r="B353" s="145"/>
      <c r="C353" s="305"/>
      <c r="D353" s="305"/>
      <c r="E353" s="305"/>
      <c r="F353" s="305"/>
      <c r="G353" s="305"/>
      <c r="H353" s="122"/>
      <c r="I353" s="305"/>
      <c r="J353" s="304"/>
      <c r="K353" s="305"/>
      <c r="L353" s="305"/>
      <c r="M353" s="122"/>
      <c r="N353" s="305"/>
      <c r="O353" s="304"/>
      <c r="P353" s="122"/>
      <c r="Q353" s="253"/>
      <c r="R353" s="122"/>
      <c r="S353" s="305"/>
      <c r="T353" s="120"/>
      <c r="U353" s="313"/>
      <c r="V353" s="120"/>
      <c r="W353" s="296"/>
      <c r="X353" s="296"/>
    </row>
    <row r="354" spans="1:24" ht="15.75" x14ac:dyDescent="0.25">
      <c r="A354" s="142"/>
      <c r="B354" s="143"/>
      <c r="C354" s="300"/>
      <c r="D354" s="300"/>
      <c r="E354" s="300"/>
      <c r="F354" s="300"/>
      <c r="G354" s="300"/>
      <c r="H354" s="134"/>
      <c r="I354" s="300"/>
      <c r="J354" s="299"/>
      <c r="K354" s="300"/>
      <c r="L354" s="300"/>
      <c r="M354" s="134"/>
      <c r="N354" s="300"/>
      <c r="O354" s="299"/>
      <c r="P354" s="134"/>
      <c r="Q354" s="301"/>
      <c r="R354" s="134"/>
      <c r="S354" s="300"/>
      <c r="T354" s="132"/>
      <c r="U354" s="311"/>
      <c r="V354" s="132"/>
      <c r="W354" s="296"/>
      <c r="X354" s="296"/>
    </row>
    <row r="355" spans="1:24" ht="15.75" x14ac:dyDescent="0.25">
      <c r="A355" s="142"/>
      <c r="B355" s="144"/>
      <c r="C355" s="303"/>
      <c r="D355" s="303"/>
      <c r="E355" s="303"/>
      <c r="F355" s="303"/>
      <c r="G355" s="303"/>
      <c r="H355" s="119"/>
      <c r="I355" s="303"/>
      <c r="J355" s="302"/>
      <c r="K355" s="303"/>
      <c r="L355" s="303"/>
      <c r="M355" s="119"/>
      <c r="N355" s="303"/>
      <c r="O355" s="302"/>
      <c r="P355" s="119"/>
      <c r="Q355" s="173"/>
      <c r="R355" s="119"/>
      <c r="S355" s="303"/>
      <c r="T355" s="117"/>
      <c r="U355" s="312"/>
      <c r="V355" s="117"/>
      <c r="W355" s="296"/>
      <c r="X355" s="296"/>
    </row>
    <row r="356" spans="1:24" s="306" customFormat="1" ht="15.75" x14ac:dyDescent="0.25">
      <c r="A356" s="142"/>
      <c r="B356" s="145"/>
      <c r="C356" s="305"/>
      <c r="D356" s="305"/>
      <c r="E356" s="305"/>
      <c r="F356" s="305"/>
      <c r="G356" s="305"/>
      <c r="H356" s="122"/>
      <c r="I356" s="305"/>
      <c r="J356" s="304"/>
      <c r="K356" s="305"/>
      <c r="L356" s="305"/>
      <c r="M356" s="122"/>
      <c r="N356" s="305"/>
      <c r="O356" s="304"/>
      <c r="P356" s="122"/>
      <c r="Q356" s="253"/>
      <c r="R356" s="122"/>
      <c r="S356" s="305"/>
      <c r="T356" s="120"/>
      <c r="U356" s="313"/>
      <c r="V356" s="120"/>
      <c r="W356" s="296"/>
      <c r="X356" s="296"/>
    </row>
    <row r="357" spans="1:24" ht="15.75" x14ac:dyDescent="0.25">
      <c r="A357" s="142"/>
      <c r="B357" s="143"/>
      <c r="C357" s="300"/>
      <c r="D357" s="300"/>
      <c r="E357" s="300"/>
      <c r="F357" s="300"/>
      <c r="G357" s="300"/>
      <c r="H357" s="134"/>
      <c r="I357" s="300"/>
      <c r="J357" s="299"/>
      <c r="K357" s="300"/>
      <c r="L357" s="300"/>
      <c r="M357" s="134"/>
      <c r="N357" s="300"/>
      <c r="O357" s="299"/>
      <c r="P357" s="134"/>
      <c r="Q357" s="301"/>
      <c r="R357" s="134"/>
      <c r="S357" s="300"/>
      <c r="T357" s="132"/>
      <c r="U357" s="311"/>
      <c r="V357" s="132"/>
      <c r="W357" s="296"/>
      <c r="X357" s="296"/>
    </row>
    <row r="358" spans="1:24" ht="15.75" x14ac:dyDescent="0.25">
      <c r="A358" s="142"/>
      <c r="B358" s="144"/>
      <c r="C358" s="303"/>
      <c r="D358" s="303"/>
      <c r="E358" s="303"/>
      <c r="F358" s="303"/>
      <c r="G358" s="303"/>
      <c r="H358" s="119"/>
      <c r="I358" s="303"/>
      <c r="J358" s="302"/>
      <c r="K358" s="303"/>
      <c r="L358" s="303"/>
      <c r="M358" s="119"/>
      <c r="N358" s="303"/>
      <c r="O358" s="302"/>
      <c r="P358" s="119"/>
      <c r="Q358" s="173"/>
      <c r="R358" s="119"/>
      <c r="S358" s="303"/>
      <c r="T358" s="117"/>
      <c r="U358" s="312"/>
      <c r="V358" s="117"/>
      <c r="W358" s="296"/>
      <c r="X358" s="296"/>
    </row>
    <row r="359" spans="1:24" s="306" customFormat="1" ht="15.75" x14ac:dyDescent="0.25">
      <c r="A359" s="142"/>
      <c r="B359" s="145"/>
      <c r="C359" s="305"/>
      <c r="D359" s="305"/>
      <c r="E359" s="305"/>
      <c r="F359" s="305"/>
      <c r="G359" s="305"/>
      <c r="H359" s="122"/>
      <c r="I359" s="305"/>
      <c r="J359" s="304"/>
      <c r="K359" s="305"/>
      <c r="L359" s="305"/>
      <c r="M359" s="122"/>
      <c r="N359" s="305"/>
      <c r="O359" s="304"/>
      <c r="P359" s="122"/>
      <c r="Q359" s="253"/>
      <c r="R359" s="122"/>
      <c r="S359" s="305"/>
      <c r="T359" s="120"/>
      <c r="U359" s="313"/>
      <c r="V359" s="120"/>
      <c r="W359" s="296"/>
      <c r="X359" s="296"/>
    </row>
    <row r="360" spans="1:24" ht="15.75" x14ac:dyDescent="0.25">
      <c r="A360" s="142"/>
      <c r="B360" s="143"/>
      <c r="C360" s="300"/>
      <c r="D360" s="300"/>
      <c r="E360" s="300"/>
      <c r="F360" s="300"/>
      <c r="G360" s="300"/>
      <c r="H360" s="134"/>
      <c r="I360" s="300"/>
      <c r="J360" s="299"/>
      <c r="K360" s="300"/>
      <c r="L360" s="300"/>
      <c r="M360" s="134"/>
      <c r="N360" s="300"/>
      <c r="O360" s="299"/>
      <c r="P360" s="134"/>
      <c r="Q360" s="301"/>
      <c r="R360" s="134"/>
      <c r="S360" s="300"/>
      <c r="T360" s="132"/>
      <c r="U360" s="311"/>
      <c r="V360" s="132"/>
      <c r="W360" s="296"/>
      <c r="X360" s="296"/>
    </row>
    <row r="361" spans="1:24" ht="15.75" x14ac:dyDescent="0.25">
      <c r="A361" s="142"/>
      <c r="B361" s="144"/>
      <c r="C361" s="303"/>
      <c r="D361" s="303"/>
      <c r="E361" s="303"/>
      <c r="F361" s="303"/>
      <c r="G361" s="303"/>
      <c r="H361" s="119"/>
      <c r="I361" s="303"/>
      <c r="J361" s="302"/>
      <c r="K361" s="303"/>
      <c r="L361" s="303"/>
      <c r="M361" s="119"/>
      <c r="N361" s="303"/>
      <c r="O361" s="302"/>
      <c r="P361" s="119"/>
      <c r="Q361" s="173"/>
      <c r="R361" s="119"/>
      <c r="S361" s="303"/>
      <c r="T361" s="117"/>
      <c r="U361" s="312"/>
      <c r="V361" s="117"/>
      <c r="W361" s="296"/>
      <c r="X361" s="296"/>
    </row>
    <row r="362" spans="1:24" s="306" customFormat="1" ht="15.75" x14ac:dyDescent="0.25">
      <c r="A362" s="142"/>
      <c r="B362" s="145"/>
      <c r="C362" s="305"/>
      <c r="D362" s="305"/>
      <c r="E362" s="305"/>
      <c r="F362" s="305"/>
      <c r="G362" s="305"/>
      <c r="H362" s="122"/>
      <c r="I362" s="305"/>
      <c r="J362" s="304"/>
      <c r="K362" s="305"/>
      <c r="L362" s="305"/>
      <c r="M362" s="122"/>
      <c r="N362" s="305"/>
      <c r="O362" s="304"/>
      <c r="P362" s="122"/>
      <c r="Q362" s="253"/>
      <c r="R362" s="122"/>
      <c r="S362" s="305"/>
      <c r="T362" s="120"/>
      <c r="U362" s="313"/>
      <c r="V362" s="120"/>
      <c r="W362" s="296"/>
      <c r="X362" s="296"/>
    </row>
    <row r="363" spans="1:24" ht="15.75" x14ac:dyDescent="0.25">
      <c r="A363" s="142"/>
      <c r="B363" s="143"/>
      <c r="C363" s="300"/>
      <c r="D363" s="300"/>
      <c r="E363" s="300"/>
      <c r="F363" s="300"/>
      <c r="G363" s="300"/>
      <c r="H363" s="134"/>
      <c r="I363" s="300"/>
      <c r="J363" s="299"/>
      <c r="K363" s="300"/>
      <c r="L363" s="300"/>
      <c r="M363" s="134"/>
      <c r="N363" s="300"/>
      <c r="O363" s="299"/>
      <c r="P363" s="134"/>
      <c r="Q363" s="301"/>
      <c r="R363" s="134"/>
      <c r="S363" s="300"/>
      <c r="T363" s="132"/>
      <c r="U363" s="311"/>
      <c r="V363" s="132"/>
      <c r="W363" s="296"/>
      <c r="X363" s="296"/>
    </row>
    <row r="364" spans="1:24" ht="15.75" x14ac:dyDescent="0.25">
      <c r="A364" s="142"/>
      <c r="B364" s="144"/>
      <c r="C364" s="303"/>
      <c r="D364" s="303"/>
      <c r="E364" s="303"/>
      <c r="F364" s="303"/>
      <c r="G364" s="303"/>
      <c r="H364" s="119"/>
      <c r="I364" s="303"/>
      <c r="J364" s="302"/>
      <c r="K364" s="303"/>
      <c r="L364" s="303"/>
      <c r="M364" s="119"/>
      <c r="N364" s="303"/>
      <c r="O364" s="302"/>
      <c r="P364" s="119"/>
      <c r="Q364" s="173"/>
      <c r="R364" s="119"/>
      <c r="S364" s="303"/>
      <c r="T364" s="117"/>
      <c r="U364" s="312"/>
      <c r="V364" s="117"/>
      <c r="W364" s="296"/>
      <c r="X364" s="296"/>
    </row>
    <row r="365" spans="1:24" s="306" customFormat="1" ht="15.75" x14ac:dyDescent="0.25">
      <c r="A365" s="142"/>
      <c r="B365" s="145"/>
      <c r="C365" s="305"/>
      <c r="D365" s="305"/>
      <c r="E365" s="305"/>
      <c r="F365" s="305"/>
      <c r="G365" s="305"/>
      <c r="H365" s="122"/>
      <c r="I365" s="305"/>
      <c r="J365" s="304"/>
      <c r="K365" s="305"/>
      <c r="L365" s="305"/>
      <c r="M365" s="122"/>
      <c r="N365" s="305"/>
      <c r="O365" s="304"/>
      <c r="P365" s="122"/>
      <c r="Q365" s="253"/>
      <c r="R365" s="122"/>
      <c r="S365" s="305"/>
      <c r="T365" s="120"/>
      <c r="U365" s="313"/>
      <c r="V365" s="120"/>
      <c r="W365" s="296"/>
      <c r="X365" s="296"/>
    </row>
    <row r="366" spans="1:24" ht="15.75" x14ac:dyDescent="0.25">
      <c r="A366" s="142"/>
      <c r="B366" s="143"/>
      <c r="C366" s="300"/>
      <c r="D366" s="300"/>
      <c r="E366" s="300"/>
      <c r="F366" s="300"/>
      <c r="G366" s="300"/>
      <c r="H366" s="134"/>
      <c r="I366" s="300"/>
      <c r="J366" s="299"/>
      <c r="K366" s="300"/>
      <c r="L366" s="300"/>
      <c r="M366" s="134"/>
      <c r="N366" s="300"/>
      <c r="O366" s="299"/>
      <c r="P366" s="134"/>
      <c r="Q366" s="301"/>
      <c r="R366" s="134"/>
      <c r="S366" s="300"/>
      <c r="T366" s="132"/>
      <c r="U366" s="311"/>
      <c r="V366" s="132"/>
      <c r="W366" s="296"/>
      <c r="X366" s="296"/>
    </row>
    <row r="367" spans="1:24" ht="15.75" x14ac:dyDescent="0.25">
      <c r="A367" s="142"/>
      <c r="B367" s="144"/>
      <c r="C367" s="303"/>
      <c r="D367" s="303"/>
      <c r="E367" s="303"/>
      <c r="F367" s="303"/>
      <c r="G367" s="303"/>
      <c r="H367" s="119"/>
      <c r="I367" s="303"/>
      <c r="J367" s="302"/>
      <c r="K367" s="303"/>
      <c r="L367" s="303"/>
      <c r="M367" s="119"/>
      <c r="N367" s="303"/>
      <c r="O367" s="302"/>
      <c r="P367" s="119"/>
      <c r="Q367" s="173"/>
      <c r="R367" s="119"/>
      <c r="S367" s="303"/>
      <c r="T367" s="117"/>
      <c r="U367" s="312"/>
      <c r="V367" s="117"/>
      <c r="W367" s="296"/>
      <c r="X367" s="296"/>
    </row>
    <row r="368" spans="1:24" s="306" customFormat="1" ht="15.75" x14ac:dyDescent="0.25">
      <c r="A368" s="142"/>
      <c r="B368" s="145"/>
      <c r="C368" s="305"/>
      <c r="D368" s="305"/>
      <c r="E368" s="305"/>
      <c r="F368" s="305"/>
      <c r="G368" s="305"/>
      <c r="H368" s="122"/>
      <c r="I368" s="305"/>
      <c r="J368" s="304"/>
      <c r="K368" s="305"/>
      <c r="L368" s="305"/>
      <c r="M368" s="122"/>
      <c r="N368" s="305"/>
      <c r="O368" s="304"/>
      <c r="P368" s="122"/>
      <c r="Q368" s="253"/>
      <c r="R368" s="122"/>
      <c r="S368" s="305"/>
      <c r="T368" s="120"/>
      <c r="U368" s="313"/>
      <c r="V368" s="120"/>
      <c r="W368" s="296"/>
      <c r="X368" s="296"/>
    </row>
    <row r="369" spans="1:24" ht="15.75" x14ac:dyDescent="0.25">
      <c r="A369" s="142"/>
      <c r="B369" s="143"/>
      <c r="C369" s="300"/>
      <c r="D369" s="300"/>
      <c r="E369" s="300"/>
      <c r="F369" s="300"/>
      <c r="G369" s="300"/>
      <c r="H369" s="134"/>
      <c r="I369" s="300"/>
      <c r="J369" s="299"/>
      <c r="K369" s="300"/>
      <c r="L369" s="300"/>
      <c r="M369" s="134"/>
      <c r="N369" s="300"/>
      <c r="O369" s="299"/>
      <c r="P369" s="134"/>
      <c r="Q369" s="301"/>
      <c r="R369" s="134"/>
      <c r="S369" s="300"/>
      <c r="T369" s="132"/>
      <c r="U369" s="311"/>
      <c r="V369" s="132"/>
      <c r="W369" s="296"/>
      <c r="X369" s="296"/>
    </row>
    <row r="370" spans="1:24" ht="15.75" x14ac:dyDescent="0.25">
      <c r="A370" s="142"/>
      <c r="B370" s="144"/>
      <c r="C370" s="303"/>
      <c r="D370" s="303"/>
      <c r="E370" s="303"/>
      <c r="F370" s="303"/>
      <c r="G370" s="303"/>
      <c r="H370" s="119"/>
      <c r="I370" s="303"/>
      <c r="J370" s="302"/>
      <c r="K370" s="303"/>
      <c r="L370" s="303"/>
      <c r="M370" s="119"/>
      <c r="N370" s="303"/>
      <c r="O370" s="302"/>
      <c r="P370" s="119"/>
      <c r="Q370" s="173"/>
      <c r="R370" s="119"/>
      <c r="S370" s="303"/>
      <c r="T370" s="117"/>
      <c r="U370" s="312"/>
      <c r="V370" s="117"/>
      <c r="W370" s="296"/>
      <c r="X370" s="296"/>
    </row>
    <row r="371" spans="1:24" s="306" customFormat="1" ht="15.75" x14ac:dyDescent="0.25">
      <c r="A371" s="142"/>
      <c r="B371" s="145"/>
      <c r="C371" s="305"/>
      <c r="D371" s="305"/>
      <c r="E371" s="305"/>
      <c r="F371" s="305"/>
      <c r="G371" s="305"/>
      <c r="H371" s="122"/>
      <c r="I371" s="305"/>
      <c r="J371" s="304"/>
      <c r="K371" s="305"/>
      <c r="L371" s="305"/>
      <c r="M371" s="122"/>
      <c r="N371" s="305"/>
      <c r="O371" s="304"/>
      <c r="P371" s="122"/>
      <c r="Q371" s="253"/>
      <c r="R371" s="122"/>
      <c r="S371" s="305"/>
      <c r="T371" s="120"/>
      <c r="U371" s="313"/>
      <c r="V371" s="120"/>
      <c r="W371" s="296"/>
      <c r="X371" s="296"/>
    </row>
    <row r="372" spans="1:24" ht="15.75" x14ac:dyDescent="0.25">
      <c r="A372" s="142"/>
      <c r="B372" s="143"/>
      <c r="C372" s="300"/>
      <c r="D372" s="300"/>
      <c r="E372" s="300"/>
      <c r="F372" s="300"/>
      <c r="G372" s="300"/>
      <c r="H372" s="134"/>
      <c r="I372" s="300"/>
      <c r="J372" s="299"/>
      <c r="K372" s="300"/>
      <c r="L372" s="300"/>
      <c r="M372" s="134"/>
      <c r="N372" s="300"/>
      <c r="O372" s="299"/>
      <c r="P372" s="134"/>
      <c r="Q372" s="301"/>
      <c r="R372" s="134"/>
      <c r="S372" s="300"/>
      <c r="T372" s="132"/>
      <c r="U372" s="311"/>
      <c r="V372" s="132"/>
      <c r="W372" s="296"/>
      <c r="X372" s="296"/>
    </row>
    <row r="373" spans="1:24" ht="15.75" x14ac:dyDescent="0.25">
      <c r="A373" s="142"/>
      <c r="B373" s="144"/>
      <c r="C373" s="303"/>
      <c r="D373" s="303"/>
      <c r="E373" s="303"/>
      <c r="F373" s="303"/>
      <c r="G373" s="303"/>
      <c r="H373" s="119"/>
      <c r="I373" s="303"/>
      <c r="J373" s="302"/>
      <c r="K373" s="303"/>
      <c r="L373" s="303"/>
      <c r="M373" s="119"/>
      <c r="N373" s="303"/>
      <c r="O373" s="302"/>
      <c r="P373" s="119"/>
      <c r="Q373" s="173"/>
      <c r="R373" s="119"/>
      <c r="S373" s="303"/>
      <c r="T373" s="117"/>
      <c r="U373" s="312"/>
      <c r="V373" s="117"/>
      <c r="W373" s="296"/>
      <c r="X373" s="296"/>
    </row>
    <row r="374" spans="1:24" s="306" customFormat="1" ht="15.75" x14ac:dyDescent="0.25">
      <c r="A374" s="142"/>
      <c r="B374" s="145"/>
      <c r="C374" s="305"/>
      <c r="D374" s="305"/>
      <c r="E374" s="305"/>
      <c r="F374" s="305"/>
      <c r="G374" s="305"/>
      <c r="H374" s="122"/>
      <c r="I374" s="305"/>
      <c r="J374" s="304"/>
      <c r="K374" s="305"/>
      <c r="L374" s="305"/>
      <c r="M374" s="122"/>
      <c r="N374" s="305"/>
      <c r="O374" s="304"/>
      <c r="P374" s="122"/>
      <c r="Q374" s="253"/>
      <c r="R374" s="122"/>
      <c r="S374" s="305"/>
      <c r="T374" s="120"/>
      <c r="U374" s="313"/>
      <c r="V374" s="120"/>
      <c r="W374" s="296"/>
      <c r="X374" s="296"/>
    </row>
    <row r="375" spans="1:24" ht="15.75" x14ac:dyDescent="0.25">
      <c r="A375" s="142"/>
      <c r="B375" s="143"/>
      <c r="C375" s="300"/>
      <c r="D375" s="300"/>
      <c r="E375" s="300"/>
      <c r="F375" s="300"/>
      <c r="G375" s="300"/>
      <c r="H375" s="134"/>
      <c r="I375" s="300"/>
      <c r="J375" s="299"/>
      <c r="K375" s="300"/>
      <c r="L375" s="300"/>
      <c r="M375" s="134"/>
      <c r="N375" s="300"/>
      <c r="O375" s="299"/>
      <c r="P375" s="134"/>
      <c r="Q375" s="301"/>
      <c r="R375" s="134"/>
      <c r="S375" s="300"/>
      <c r="T375" s="132"/>
      <c r="U375" s="311"/>
      <c r="V375" s="132"/>
      <c r="W375" s="296"/>
      <c r="X375" s="296"/>
    </row>
    <row r="376" spans="1:24" ht="15.75" x14ac:dyDescent="0.25">
      <c r="A376" s="294"/>
      <c r="B376" s="144"/>
      <c r="C376" s="303"/>
      <c r="D376" s="303"/>
      <c r="E376" s="303"/>
      <c r="F376" s="303"/>
      <c r="G376" s="303"/>
      <c r="H376" s="119"/>
      <c r="I376" s="303"/>
      <c r="J376" s="302"/>
      <c r="K376" s="303"/>
      <c r="L376" s="303"/>
      <c r="M376" s="119"/>
      <c r="N376" s="303"/>
      <c r="O376" s="302"/>
      <c r="P376" s="119"/>
      <c r="Q376" s="173"/>
      <c r="R376" s="119"/>
      <c r="S376" s="303"/>
      <c r="T376" s="117"/>
      <c r="U376" s="312"/>
      <c r="V376" s="117"/>
      <c r="W376" s="296"/>
      <c r="X376" s="296"/>
    </row>
    <row r="377" spans="1:24" s="306" customFormat="1" ht="15.75" x14ac:dyDescent="0.25">
      <c r="A377" s="141"/>
      <c r="B377" s="143"/>
      <c r="C377" s="300"/>
      <c r="D377" s="300"/>
      <c r="E377" s="300"/>
      <c r="F377" s="300"/>
      <c r="G377" s="300"/>
      <c r="H377" s="134"/>
      <c r="I377" s="300"/>
      <c r="J377" s="299"/>
      <c r="K377" s="300"/>
      <c r="L377" s="300"/>
      <c r="M377" s="134"/>
      <c r="N377" s="300"/>
      <c r="O377" s="299"/>
      <c r="P377" s="134"/>
      <c r="Q377" s="301"/>
      <c r="R377" s="134"/>
      <c r="S377" s="300"/>
      <c r="T377" s="132"/>
      <c r="U377" s="311"/>
      <c r="V377" s="132"/>
      <c r="W377" s="296"/>
      <c r="X377" s="296"/>
    </row>
    <row r="378" spans="1:24" ht="15.75" x14ac:dyDescent="0.25">
      <c r="A378" s="142"/>
      <c r="B378" s="144"/>
      <c r="C378" s="303"/>
      <c r="D378" s="303"/>
      <c r="E378" s="303"/>
      <c r="F378" s="303"/>
      <c r="G378" s="303"/>
      <c r="H378" s="119"/>
      <c r="I378" s="303"/>
      <c r="J378" s="302"/>
      <c r="K378" s="303"/>
      <c r="L378" s="303"/>
      <c r="M378" s="119"/>
      <c r="N378" s="303"/>
      <c r="O378" s="302"/>
      <c r="P378" s="119"/>
      <c r="Q378" s="173"/>
      <c r="R378" s="119"/>
      <c r="S378" s="303"/>
      <c r="T378" s="117"/>
      <c r="U378" s="312"/>
      <c r="V378" s="117"/>
      <c r="W378" s="296"/>
      <c r="X378" s="296"/>
    </row>
    <row r="379" spans="1:24" ht="15.75" x14ac:dyDescent="0.25">
      <c r="A379" s="142"/>
      <c r="B379" s="145"/>
      <c r="C379" s="305"/>
      <c r="D379" s="305"/>
      <c r="E379" s="305"/>
      <c r="F379" s="305"/>
      <c r="G379" s="305"/>
      <c r="H379" s="122"/>
      <c r="I379" s="305"/>
      <c r="J379" s="304"/>
      <c r="K379" s="305"/>
      <c r="L379" s="305"/>
      <c r="M379" s="122"/>
      <c r="N379" s="305"/>
      <c r="O379" s="304"/>
      <c r="P379" s="122"/>
      <c r="Q379" s="253"/>
      <c r="R379" s="122"/>
      <c r="S379" s="305"/>
      <c r="T379" s="120"/>
      <c r="U379" s="313"/>
      <c r="V379" s="120"/>
      <c r="W379" s="296"/>
      <c r="X379" s="296"/>
    </row>
    <row r="380" spans="1:24" s="306" customFormat="1" ht="15.75" x14ac:dyDescent="0.25">
      <c r="A380" s="142"/>
      <c r="B380" s="143"/>
      <c r="C380" s="300"/>
      <c r="D380" s="300"/>
      <c r="E380" s="300"/>
      <c r="F380" s="300"/>
      <c r="G380" s="300"/>
      <c r="H380" s="134"/>
      <c r="I380" s="300"/>
      <c r="J380" s="299"/>
      <c r="K380" s="300"/>
      <c r="L380" s="300"/>
      <c r="M380" s="134"/>
      <c r="N380" s="300"/>
      <c r="O380" s="299"/>
      <c r="P380" s="134"/>
      <c r="Q380" s="301"/>
      <c r="R380" s="134"/>
      <c r="S380" s="300"/>
      <c r="T380" s="132"/>
      <c r="U380" s="311"/>
      <c r="V380" s="132"/>
      <c r="W380" s="296"/>
      <c r="X380" s="296"/>
    </row>
    <row r="381" spans="1:24" ht="15.75" x14ac:dyDescent="0.25">
      <c r="A381" s="142"/>
      <c r="B381" s="144"/>
      <c r="C381" s="303"/>
      <c r="D381" s="303"/>
      <c r="E381" s="303"/>
      <c r="F381" s="303"/>
      <c r="G381" s="303"/>
      <c r="H381" s="119"/>
      <c r="I381" s="303"/>
      <c r="J381" s="302"/>
      <c r="K381" s="303"/>
      <c r="L381" s="303"/>
      <c r="M381" s="119"/>
      <c r="N381" s="303"/>
      <c r="O381" s="302"/>
      <c r="P381" s="119"/>
      <c r="Q381" s="173"/>
      <c r="R381" s="119"/>
      <c r="S381" s="303"/>
      <c r="T381" s="117"/>
      <c r="U381" s="312"/>
      <c r="V381" s="117"/>
      <c r="W381" s="296"/>
      <c r="X381" s="296"/>
    </row>
    <row r="382" spans="1:24" ht="15.75" x14ac:dyDescent="0.25">
      <c r="A382" s="142"/>
      <c r="B382" s="145"/>
      <c r="C382" s="305"/>
      <c r="D382" s="305"/>
      <c r="E382" s="305"/>
      <c r="F382" s="305"/>
      <c r="G382" s="305"/>
      <c r="H382" s="122"/>
      <c r="I382" s="305"/>
      <c r="J382" s="304"/>
      <c r="K382" s="305"/>
      <c r="L382" s="305"/>
      <c r="M382" s="122"/>
      <c r="N382" s="305"/>
      <c r="O382" s="304"/>
      <c r="P382" s="122"/>
      <c r="Q382" s="253"/>
      <c r="R382" s="122"/>
      <c r="S382" s="305"/>
      <c r="T382" s="120"/>
      <c r="U382" s="313"/>
      <c r="V382" s="120"/>
      <c r="W382" s="296"/>
      <c r="X382" s="296"/>
    </row>
    <row r="383" spans="1:24" s="306" customFormat="1" ht="15.75" x14ac:dyDescent="0.25">
      <c r="A383" s="142"/>
      <c r="B383" s="143"/>
      <c r="C383" s="300"/>
      <c r="D383" s="300"/>
      <c r="E383" s="300"/>
      <c r="F383" s="300"/>
      <c r="G383" s="300"/>
      <c r="H383" s="134"/>
      <c r="I383" s="300"/>
      <c r="J383" s="299"/>
      <c r="K383" s="300"/>
      <c r="L383" s="300"/>
      <c r="M383" s="134"/>
      <c r="N383" s="300"/>
      <c r="O383" s="299"/>
      <c r="P383" s="134"/>
      <c r="Q383" s="301"/>
      <c r="R383" s="134"/>
      <c r="S383" s="300"/>
      <c r="T383" s="132"/>
      <c r="U383" s="311"/>
      <c r="V383" s="132"/>
      <c r="W383" s="296"/>
      <c r="X383" s="296"/>
    </row>
    <row r="384" spans="1:24" ht="16.5" thickBot="1" x14ac:dyDescent="0.3">
      <c r="A384" s="142"/>
      <c r="B384" s="144"/>
      <c r="C384" s="303"/>
      <c r="D384" s="303"/>
      <c r="E384" s="303"/>
      <c r="F384" s="303"/>
      <c r="G384" s="303"/>
      <c r="H384" s="119"/>
      <c r="I384" s="303"/>
      <c r="J384" s="302"/>
      <c r="K384" s="303"/>
      <c r="L384" s="303"/>
      <c r="M384" s="119"/>
      <c r="N384" s="303"/>
      <c r="O384" s="302"/>
      <c r="P384" s="119"/>
      <c r="Q384" s="173"/>
      <c r="R384" s="119"/>
      <c r="S384" s="303"/>
      <c r="T384" s="117"/>
      <c r="U384" s="312"/>
      <c r="V384" s="117"/>
      <c r="W384" s="296"/>
      <c r="X384" s="296"/>
    </row>
    <row r="385" spans="1:24" ht="16.5" thickBot="1" x14ac:dyDescent="0.3">
      <c r="A385" s="142"/>
      <c r="B385" s="145"/>
      <c r="C385" s="305"/>
      <c r="D385" s="305"/>
      <c r="E385" s="305"/>
      <c r="F385" s="305"/>
      <c r="G385" s="305"/>
      <c r="H385" s="122"/>
      <c r="I385" s="305"/>
      <c r="J385" s="304"/>
      <c r="K385" s="305"/>
      <c r="L385" s="305"/>
      <c r="M385" s="122"/>
      <c r="N385" s="305"/>
      <c r="O385" s="304"/>
      <c r="P385" s="122"/>
      <c r="Q385" s="253"/>
      <c r="R385" s="122"/>
      <c r="S385" s="724"/>
      <c r="T385" s="120"/>
      <c r="U385" s="313"/>
      <c r="V385" s="120"/>
      <c r="W385" s="296"/>
      <c r="X385" s="296"/>
    </row>
    <row r="386" spans="1:24" s="306" customFormat="1" ht="15.75" x14ac:dyDescent="0.25">
      <c r="A386" s="142"/>
      <c r="B386" s="143"/>
      <c r="C386" s="300"/>
      <c r="D386" s="300"/>
      <c r="E386" s="300"/>
      <c r="F386" s="300"/>
      <c r="G386" s="300"/>
      <c r="H386" s="134"/>
      <c r="I386" s="300"/>
      <c r="J386" s="299"/>
      <c r="K386" s="300"/>
      <c r="L386" s="300"/>
      <c r="M386" s="134"/>
      <c r="N386" s="300"/>
      <c r="O386" s="299"/>
      <c r="P386" s="134"/>
      <c r="Q386" s="301"/>
      <c r="R386" s="134"/>
      <c r="S386" s="300"/>
      <c r="T386" s="132"/>
      <c r="U386" s="311"/>
      <c r="V386" s="132"/>
      <c r="W386" s="296"/>
      <c r="X386" s="296"/>
    </row>
    <row r="387" spans="1:24" ht="16.5" thickBot="1" x14ac:dyDescent="0.3">
      <c r="A387" s="142"/>
      <c r="B387" s="144"/>
      <c r="C387" s="303"/>
      <c r="D387" s="303"/>
      <c r="E387" s="303"/>
      <c r="F387" s="303"/>
      <c r="G387" s="303"/>
      <c r="H387" s="119"/>
      <c r="I387" s="303"/>
      <c r="J387" s="302"/>
      <c r="K387" s="303"/>
      <c r="L387" s="303"/>
      <c r="M387" s="119"/>
      <c r="N387" s="303"/>
      <c r="O387" s="302"/>
      <c r="P387" s="119"/>
      <c r="Q387" s="173"/>
      <c r="R387" s="119"/>
      <c r="S387" s="303"/>
      <c r="T387" s="117"/>
      <c r="U387" s="312"/>
      <c r="V387" s="117"/>
      <c r="W387" s="296"/>
      <c r="X387" s="296"/>
    </row>
    <row r="388" spans="1:24" ht="16.5" thickBot="1" x14ac:dyDescent="0.3">
      <c r="A388" s="142"/>
      <c r="B388" s="145"/>
      <c r="C388" s="305"/>
      <c r="D388" s="305"/>
      <c r="E388" s="305"/>
      <c r="F388" s="305"/>
      <c r="G388" s="305"/>
      <c r="H388" s="122"/>
      <c r="I388" s="305"/>
      <c r="J388" s="304"/>
      <c r="K388" s="305"/>
      <c r="L388" s="305"/>
      <c r="M388" s="122"/>
      <c r="N388" s="305"/>
      <c r="O388" s="304"/>
      <c r="P388" s="122"/>
      <c r="Q388" s="253"/>
      <c r="R388" s="122"/>
      <c r="S388" s="724"/>
      <c r="T388" s="120"/>
      <c r="U388" s="313"/>
      <c r="V388" s="120"/>
      <c r="W388" s="296"/>
      <c r="X388" s="296"/>
    </row>
    <row r="389" spans="1:24" s="306" customFormat="1" ht="15.75" x14ac:dyDescent="0.25">
      <c r="A389" s="142"/>
      <c r="B389" s="143"/>
      <c r="C389" s="300"/>
      <c r="D389" s="300"/>
      <c r="E389" s="300"/>
      <c r="F389" s="300"/>
      <c r="G389" s="300"/>
      <c r="H389" s="134"/>
      <c r="I389" s="300"/>
      <c r="J389" s="299"/>
      <c r="K389" s="300"/>
      <c r="L389" s="300"/>
      <c r="M389" s="134"/>
      <c r="N389" s="300"/>
      <c r="O389" s="299"/>
      <c r="P389" s="134"/>
      <c r="Q389" s="301"/>
      <c r="R389" s="134"/>
      <c r="S389" s="300"/>
      <c r="T389" s="132"/>
      <c r="U389" s="311"/>
      <c r="V389" s="132"/>
      <c r="W389" s="296"/>
      <c r="X389" s="296"/>
    </row>
    <row r="390" spans="1:24" ht="16.5" thickBot="1" x14ac:dyDescent="0.3">
      <c r="A390" s="142"/>
      <c r="B390" s="144"/>
      <c r="C390" s="303"/>
      <c r="D390" s="303"/>
      <c r="E390" s="303"/>
      <c r="F390" s="303"/>
      <c r="G390" s="303"/>
      <c r="H390" s="119"/>
      <c r="I390" s="303"/>
      <c r="J390" s="302"/>
      <c r="K390" s="303"/>
      <c r="L390" s="303"/>
      <c r="M390" s="119"/>
      <c r="N390" s="303"/>
      <c r="O390" s="302"/>
      <c r="P390" s="119"/>
      <c r="Q390" s="173"/>
      <c r="R390" s="119"/>
      <c r="S390" s="303"/>
      <c r="T390" s="117"/>
      <c r="U390" s="312"/>
      <c r="V390" s="117"/>
      <c r="W390" s="296"/>
      <c r="X390" s="296"/>
    </row>
    <row r="391" spans="1:24" ht="16.5" thickBot="1" x14ac:dyDescent="0.3">
      <c r="A391" s="142"/>
      <c r="B391" s="145"/>
      <c r="C391" s="305"/>
      <c r="D391" s="305"/>
      <c r="E391" s="305"/>
      <c r="F391" s="305"/>
      <c r="G391" s="305"/>
      <c r="H391" s="122"/>
      <c r="I391" s="305"/>
      <c r="J391" s="304"/>
      <c r="K391" s="305"/>
      <c r="L391" s="305"/>
      <c r="M391" s="122"/>
      <c r="N391" s="305"/>
      <c r="O391" s="304"/>
      <c r="P391" s="122"/>
      <c r="Q391" s="253"/>
      <c r="R391" s="122"/>
      <c r="S391" s="724"/>
      <c r="T391" s="120"/>
      <c r="U391" s="313"/>
      <c r="V391" s="120"/>
      <c r="W391" s="296"/>
      <c r="X391" s="296"/>
    </row>
    <row r="392" spans="1:24" s="306" customFormat="1" ht="15.75" x14ac:dyDescent="0.25">
      <c r="A392" s="142"/>
      <c r="B392" s="143"/>
      <c r="C392" s="300"/>
      <c r="D392" s="300"/>
      <c r="E392" s="300"/>
      <c r="F392" s="300"/>
      <c r="G392" s="300"/>
      <c r="H392" s="134"/>
      <c r="I392" s="300"/>
      <c r="J392" s="299"/>
      <c r="K392" s="300"/>
      <c r="L392" s="300"/>
      <c r="M392" s="134"/>
      <c r="N392" s="300"/>
      <c r="O392" s="299"/>
      <c r="P392" s="134"/>
      <c r="Q392" s="301"/>
      <c r="R392" s="134"/>
      <c r="S392" s="300"/>
      <c r="T392" s="132"/>
      <c r="U392" s="311"/>
      <c r="V392" s="132"/>
      <c r="W392" s="296"/>
      <c r="X392" s="296"/>
    </row>
    <row r="393" spans="1:24" ht="15.75" x14ac:dyDescent="0.25">
      <c r="A393" s="142"/>
      <c r="B393" s="144"/>
      <c r="C393" s="303"/>
      <c r="D393" s="303"/>
      <c r="E393" s="303"/>
      <c r="F393" s="303"/>
      <c r="G393" s="303"/>
      <c r="H393" s="119"/>
      <c r="I393" s="303"/>
      <c r="J393" s="302"/>
      <c r="K393" s="303"/>
      <c r="L393" s="303"/>
      <c r="M393" s="119"/>
      <c r="N393" s="303"/>
      <c r="O393" s="302"/>
      <c r="P393" s="119"/>
      <c r="Q393" s="173"/>
      <c r="R393" s="119"/>
      <c r="S393" s="303"/>
      <c r="T393" s="117"/>
      <c r="U393" s="312"/>
      <c r="V393" s="117"/>
      <c r="W393" s="296"/>
      <c r="X393" s="296"/>
    </row>
    <row r="394" spans="1:24" ht="15.75" x14ac:dyDescent="0.25">
      <c r="A394" s="142"/>
      <c r="B394" s="145"/>
      <c r="C394" s="305"/>
      <c r="D394" s="305"/>
      <c r="E394" s="305"/>
      <c r="F394" s="305"/>
      <c r="G394" s="305"/>
      <c r="H394" s="122"/>
      <c r="I394" s="305"/>
      <c r="J394" s="304"/>
      <c r="K394" s="305"/>
      <c r="L394" s="305"/>
      <c r="M394" s="122"/>
      <c r="N394" s="305"/>
      <c r="O394" s="304"/>
      <c r="P394" s="122"/>
      <c r="Q394" s="253"/>
      <c r="R394" s="122"/>
      <c r="S394" s="305"/>
      <c r="T394" s="120"/>
      <c r="U394" s="313"/>
      <c r="V394" s="120"/>
      <c r="W394" s="296"/>
      <c r="X394" s="296"/>
    </row>
    <row r="395" spans="1:24" s="306" customFormat="1" ht="15.75" x14ac:dyDescent="0.25">
      <c r="A395" s="142"/>
      <c r="B395" s="143"/>
      <c r="C395" s="300"/>
      <c r="D395" s="300"/>
      <c r="E395" s="300"/>
      <c r="F395" s="300"/>
      <c r="G395" s="300"/>
      <c r="H395" s="134"/>
      <c r="I395" s="300"/>
      <c r="J395" s="299"/>
      <c r="K395" s="300"/>
      <c r="L395" s="300"/>
      <c r="M395" s="134"/>
      <c r="N395" s="300"/>
      <c r="O395" s="299"/>
      <c r="P395" s="134"/>
      <c r="Q395" s="301"/>
      <c r="R395" s="134"/>
      <c r="S395" s="300"/>
      <c r="T395" s="132"/>
      <c r="U395" s="311"/>
      <c r="V395" s="132"/>
      <c r="W395" s="296"/>
      <c r="X395" s="296"/>
    </row>
    <row r="396" spans="1:24" ht="16.5" thickBot="1" x14ac:dyDescent="0.3">
      <c r="A396" s="142"/>
      <c r="B396" s="144"/>
      <c r="C396" s="303"/>
      <c r="D396" s="303"/>
      <c r="E396" s="303"/>
      <c r="F396" s="303"/>
      <c r="G396" s="303"/>
      <c r="H396" s="119"/>
      <c r="I396" s="303"/>
      <c r="J396" s="302"/>
      <c r="K396" s="303"/>
      <c r="L396" s="303"/>
      <c r="M396" s="119"/>
      <c r="N396" s="303"/>
      <c r="O396" s="302"/>
      <c r="P396" s="119"/>
      <c r="Q396" s="173"/>
      <c r="R396" s="119"/>
      <c r="S396" s="303"/>
      <c r="T396" s="117"/>
      <c r="U396" s="312"/>
      <c r="V396" s="117"/>
      <c r="W396" s="296"/>
      <c r="X396" s="296"/>
    </row>
    <row r="397" spans="1:24" ht="16.5" thickBot="1" x14ac:dyDescent="0.3">
      <c r="A397" s="142"/>
      <c r="B397" s="145"/>
      <c r="C397" s="305"/>
      <c r="D397" s="305"/>
      <c r="E397" s="724"/>
      <c r="F397" s="305"/>
      <c r="G397" s="305"/>
      <c r="H397" s="122"/>
      <c r="I397" s="305"/>
      <c r="J397" s="304"/>
      <c r="K397" s="305"/>
      <c r="L397" s="305"/>
      <c r="M397" s="122"/>
      <c r="N397" s="305"/>
      <c r="O397" s="304"/>
      <c r="P397" s="122"/>
      <c r="Q397" s="253"/>
      <c r="R397" s="122"/>
      <c r="S397" s="305"/>
      <c r="T397" s="120"/>
      <c r="U397" s="313"/>
      <c r="V397" s="120"/>
      <c r="W397" s="296"/>
      <c r="X397" s="296"/>
    </row>
    <row r="398" spans="1:24" s="306" customFormat="1" ht="15.75" x14ac:dyDescent="0.25">
      <c r="A398" s="142"/>
      <c r="B398" s="143"/>
      <c r="C398" s="300"/>
      <c r="D398" s="300"/>
      <c r="E398" s="300"/>
      <c r="F398" s="300"/>
      <c r="G398" s="300"/>
      <c r="H398" s="134"/>
      <c r="I398" s="300"/>
      <c r="J398" s="299"/>
      <c r="K398" s="300"/>
      <c r="L398" s="300"/>
      <c r="M398" s="134"/>
      <c r="N398" s="300"/>
      <c r="O398" s="299"/>
      <c r="P398" s="134"/>
      <c r="Q398" s="301"/>
      <c r="R398" s="134"/>
      <c r="S398" s="300"/>
      <c r="T398" s="132"/>
      <c r="U398" s="311"/>
      <c r="V398" s="132"/>
      <c r="W398" s="296"/>
      <c r="X398" s="296"/>
    </row>
    <row r="399" spans="1:24" ht="15.75" x14ac:dyDescent="0.25">
      <c r="A399" s="142"/>
      <c r="B399" s="144"/>
      <c r="C399" s="303"/>
      <c r="D399" s="303"/>
      <c r="E399" s="303"/>
      <c r="F399" s="303"/>
      <c r="G399" s="303"/>
      <c r="H399" s="119"/>
      <c r="I399" s="303"/>
      <c r="J399" s="302"/>
      <c r="K399" s="303"/>
      <c r="L399" s="303"/>
      <c r="M399" s="119"/>
      <c r="N399" s="303"/>
      <c r="O399" s="302"/>
      <c r="P399" s="119"/>
      <c r="Q399" s="173"/>
      <c r="R399" s="119"/>
      <c r="S399" s="303"/>
      <c r="T399" s="117"/>
      <c r="U399" s="312"/>
      <c r="V399" s="117"/>
      <c r="W399" s="296"/>
      <c r="X399" s="296"/>
    </row>
    <row r="400" spans="1:24" ht="15.75" x14ac:dyDescent="0.25">
      <c r="A400" s="142"/>
      <c r="B400" s="145"/>
      <c r="C400" s="305"/>
      <c r="D400" s="305"/>
      <c r="E400" s="305"/>
      <c r="F400" s="305"/>
      <c r="G400" s="305"/>
      <c r="H400" s="122"/>
      <c r="I400" s="305"/>
      <c r="J400" s="304"/>
      <c r="K400" s="305"/>
      <c r="L400" s="305"/>
      <c r="M400" s="122"/>
      <c r="N400" s="305"/>
      <c r="O400" s="304"/>
      <c r="P400" s="122"/>
      <c r="Q400" s="253"/>
      <c r="R400" s="122"/>
      <c r="S400" s="305"/>
      <c r="T400" s="120"/>
      <c r="U400" s="313"/>
      <c r="V400" s="120"/>
      <c r="W400" s="296"/>
      <c r="X400" s="296"/>
    </row>
    <row r="401" spans="1:24" s="306" customFormat="1" ht="15.75" x14ac:dyDescent="0.25">
      <c r="A401" s="142"/>
      <c r="B401" s="143"/>
      <c r="C401" s="300"/>
      <c r="D401" s="300"/>
      <c r="E401" s="300"/>
      <c r="F401" s="300"/>
      <c r="G401" s="300"/>
      <c r="H401" s="134"/>
      <c r="I401" s="300"/>
      <c r="J401" s="299"/>
      <c r="K401" s="300"/>
      <c r="L401" s="300"/>
      <c r="M401" s="134"/>
      <c r="N401" s="300"/>
      <c r="O401" s="299"/>
      <c r="P401" s="134"/>
      <c r="Q401" s="301"/>
      <c r="R401" s="134"/>
      <c r="S401" s="300"/>
      <c r="T401" s="132"/>
      <c r="U401" s="311"/>
      <c r="V401" s="132"/>
      <c r="W401" s="296"/>
      <c r="X401" s="296"/>
    </row>
    <row r="402" spans="1:24" ht="15.75" x14ac:dyDescent="0.25">
      <c r="A402" s="142"/>
      <c r="B402" s="144"/>
      <c r="C402" s="303"/>
      <c r="D402" s="303"/>
      <c r="E402" s="303"/>
      <c r="F402" s="303"/>
      <c r="G402" s="303"/>
      <c r="H402" s="119"/>
      <c r="I402" s="303"/>
      <c r="J402" s="302"/>
      <c r="K402" s="303"/>
      <c r="L402" s="303"/>
      <c r="M402" s="119"/>
      <c r="N402" s="303"/>
      <c r="O402" s="302"/>
      <c r="P402" s="119"/>
      <c r="Q402" s="173"/>
      <c r="R402" s="119"/>
      <c r="S402" s="303"/>
      <c r="T402" s="117"/>
      <c r="U402" s="312"/>
      <c r="V402" s="117"/>
      <c r="W402" s="296"/>
      <c r="X402" s="296"/>
    </row>
    <row r="403" spans="1:24" ht="15.75" x14ac:dyDescent="0.25">
      <c r="A403" s="142"/>
      <c r="B403" s="145"/>
      <c r="C403" s="305"/>
      <c r="D403" s="305"/>
      <c r="E403" s="305"/>
      <c r="F403" s="305"/>
      <c r="G403" s="305"/>
      <c r="H403" s="122"/>
      <c r="I403" s="305"/>
      <c r="J403" s="304"/>
      <c r="K403" s="305"/>
      <c r="L403" s="305"/>
      <c r="M403" s="122"/>
      <c r="N403" s="305"/>
      <c r="O403" s="304"/>
      <c r="P403" s="122"/>
      <c r="Q403" s="253"/>
      <c r="R403" s="122"/>
      <c r="S403" s="305"/>
      <c r="T403" s="120"/>
      <c r="U403" s="313"/>
      <c r="V403" s="120"/>
      <c r="W403" s="296"/>
      <c r="X403" s="296"/>
    </row>
    <row r="404" spans="1:24" s="306" customFormat="1" ht="15.75" x14ac:dyDescent="0.25">
      <c r="A404" s="142"/>
      <c r="B404" s="143"/>
      <c r="C404" s="300"/>
      <c r="D404" s="300"/>
      <c r="E404" s="300"/>
      <c r="F404" s="300"/>
      <c r="G404" s="300"/>
      <c r="H404" s="134"/>
      <c r="I404" s="300"/>
      <c r="J404" s="299"/>
      <c r="K404" s="300"/>
      <c r="L404" s="300"/>
      <c r="M404" s="134"/>
      <c r="N404" s="300"/>
      <c r="O404" s="299"/>
      <c r="P404" s="134"/>
      <c r="Q404" s="301"/>
      <c r="R404" s="134"/>
      <c r="S404" s="300"/>
      <c r="T404" s="132"/>
      <c r="U404" s="311"/>
      <c r="V404" s="132"/>
      <c r="W404" s="296"/>
      <c r="X404" s="296"/>
    </row>
    <row r="405" spans="1:24" ht="15.75" x14ac:dyDescent="0.25">
      <c r="A405" s="142"/>
      <c r="B405" s="144"/>
      <c r="C405" s="303"/>
      <c r="D405" s="303"/>
      <c r="E405" s="303"/>
      <c r="F405" s="303"/>
      <c r="G405" s="303"/>
      <c r="H405" s="119"/>
      <c r="I405" s="303"/>
      <c r="J405" s="302"/>
      <c r="K405" s="303"/>
      <c r="L405" s="303"/>
      <c r="M405" s="119"/>
      <c r="N405" s="303"/>
      <c r="O405" s="302"/>
      <c r="P405" s="119"/>
      <c r="Q405" s="173"/>
      <c r="R405" s="119"/>
      <c r="S405" s="303"/>
      <c r="T405" s="117"/>
      <c r="U405" s="312"/>
      <c r="V405" s="117"/>
      <c r="W405" s="296"/>
      <c r="X405" s="296"/>
    </row>
    <row r="406" spans="1:24" ht="15.75" x14ac:dyDescent="0.25">
      <c r="A406" s="142"/>
      <c r="B406" s="145"/>
      <c r="C406" s="305"/>
      <c r="D406" s="305"/>
      <c r="E406" s="305"/>
      <c r="F406" s="305"/>
      <c r="G406" s="305"/>
      <c r="H406" s="122"/>
      <c r="I406" s="305"/>
      <c r="J406" s="304"/>
      <c r="K406" s="305"/>
      <c r="L406" s="305"/>
      <c r="M406" s="122"/>
      <c r="N406" s="305"/>
      <c r="O406" s="304"/>
      <c r="P406" s="122"/>
      <c r="Q406" s="253"/>
      <c r="R406" s="122"/>
      <c r="S406" s="305"/>
      <c r="T406" s="120"/>
      <c r="U406" s="313"/>
      <c r="V406" s="120"/>
      <c r="W406" s="296"/>
      <c r="X406" s="296"/>
    </row>
    <row r="407" spans="1:24" s="306" customFormat="1" ht="15.75" x14ac:dyDescent="0.25">
      <c r="A407" s="142"/>
      <c r="B407" s="143"/>
      <c r="C407" s="300"/>
      <c r="D407" s="300"/>
      <c r="E407" s="300"/>
      <c r="F407" s="300"/>
      <c r="G407" s="300"/>
      <c r="H407" s="134"/>
      <c r="I407" s="300"/>
      <c r="J407" s="299"/>
      <c r="K407" s="300"/>
      <c r="L407" s="300"/>
      <c r="M407" s="134"/>
      <c r="N407" s="300"/>
      <c r="O407" s="299"/>
      <c r="P407" s="134"/>
      <c r="Q407" s="301"/>
      <c r="R407" s="134"/>
      <c r="S407" s="300"/>
      <c r="T407" s="132"/>
      <c r="U407" s="311"/>
      <c r="V407" s="132"/>
      <c r="W407" s="296"/>
      <c r="X407" s="296"/>
    </row>
    <row r="408" spans="1:24" ht="15.75" x14ac:dyDescent="0.25">
      <c r="A408" s="142"/>
      <c r="B408" s="144"/>
      <c r="C408" s="303"/>
      <c r="D408" s="303"/>
      <c r="E408" s="303"/>
      <c r="F408" s="303"/>
      <c r="G408" s="303"/>
      <c r="H408" s="119"/>
      <c r="I408" s="303"/>
      <c r="J408" s="302"/>
      <c r="K408" s="303"/>
      <c r="L408" s="303"/>
      <c r="M408" s="119"/>
      <c r="N408" s="303"/>
      <c r="O408" s="302"/>
      <c r="P408" s="119"/>
      <c r="Q408" s="173"/>
      <c r="R408" s="119"/>
      <c r="S408" s="303"/>
      <c r="T408" s="117"/>
      <c r="U408" s="312"/>
      <c r="V408" s="117"/>
      <c r="W408" s="296"/>
      <c r="X408" s="296"/>
    </row>
    <row r="409" spans="1:24" ht="15.75" x14ac:dyDescent="0.25">
      <c r="A409" s="142"/>
      <c r="B409" s="145"/>
      <c r="C409" s="305"/>
      <c r="D409" s="305"/>
      <c r="E409" s="305"/>
      <c r="F409" s="305"/>
      <c r="G409" s="305"/>
      <c r="H409" s="122"/>
      <c r="I409" s="305"/>
      <c r="J409" s="304"/>
      <c r="K409" s="305"/>
      <c r="L409" s="305"/>
      <c r="M409" s="122"/>
      <c r="N409" s="305"/>
      <c r="O409" s="304"/>
      <c r="P409" s="122"/>
      <c r="Q409" s="253"/>
      <c r="R409" s="122"/>
      <c r="S409" s="305"/>
      <c r="T409" s="120"/>
      <c r="U409" s="313"/>
      <c r="V409" s="120"/>
      <c r="W409" s="296"/>
      <c r="X409" s="296"/>
    </row>
    <row r="410" spans="1:24" s="306" customFormat="1" ht="15.75" x14ac:dyDescent="0.25">
      <c r="A410" s="142"/>
      <c r="B410" s="143"/>
      <c r="C410" s="300"/>
      <c r="D410" s="300"/>
      <c r="E410" s="300"/>
      <c r="F410" s="300"/>
      <c r="G410" s="300"/>
      <c r="H410" s="134"/>
      <c r="I410" s="300"/>
      <c r="J410" s="299"/>
      <c r="K410" s="300"/>
      <c r="L410" s="300"/>
      <c r="M410" s="134"/>
      <c r="N410" s="300"/>
      <c r="O410" s="299"/>
      <c r="P410" s="134"/>
      <c r="Q410" s="301"/>
      <c r="R410" s="134"/>
      <c r="S410" s="300"/>
      <c r="T410" s="132"/>
      <c r="U410" s="311"/>
      <c r="V410" s="132"/>
      <c r="W410" s="296"/>
      <c r="X410" s="296"/>
    </row>
    <row r="411" spans="1:24" ht="15.75" x14ac:dyDescent="0.25">
      <c r="A411" s="142"/>
      <c r="B411" s="144"/>
      <c r="C411" s="303"/>
      <c r="D411" s="303"/>
      <c r="E411" s="303"/>
      <c r="F411" s="303"/>
      <c r="G411" s="303"/>
      <c r="H411" s="119"/>
      <c r="I411" s="303"/>
      <c r="J411" s="302"/>
      <c r="K411" s="303"/>
      <c r="L411" s="303"/>
      <c r="M411" s="119"/>
      <c r="N411" s="303"/>
      <c r="O411" s="302"/>
      <c r="P411" s="119"/>
      <c r="Q411" s="173"/>
      <c r="R411" s="119"/>
      <c r="S411" s="303"/>
      <c r="T411" s="117"/>
      <c r="U411" s="312"/>
      <c r="V411" s="117"/>
      <c r="W411" s="296"/>
      <c r="X411" s="296"/>
    </row>
    <row r="412" spans="1:24" ht="15.75" x14ac:dyDescent="0.25">
      <c r="A412" s="142"/>
      <c r="B412" s="145"/>
      <c r="C412" s="305"/>
      <c r="D412" s="305"/>
      <c r="E412" s="305"/>
      <c r="F412" s="305"/>
      <c r="G412" s="305"/>
      <c r="H412" s="122"/>
      <c r="I412" s="305"/>
      <c r="J412" s="304"/>
      <c r="K412" s="305"/>
      <c r="L412" s="305"/>
      <c r="M412" s="122"/>
      <c r="N412" s="305"/>
      <c r="O412" s="304"/>
      <c r="P412" s="122"/>
      <c r="Q412" s="253"/>
      <c r="R412" s="122"/>
      <c r="S412" s="305"/>
      <c r="T412" s="120"/>
      <c r="U412" s="313"/>
      <c r="V412" s="120"/>
      <c r="W412" s="296"/>
      <c r="X412" s="296"/>
    </row>
    <row r="413" spans="1:24" s="306" customFormat="1" ht="15.75" x14ac:dyDescent="0.25">
      <c r="A413" s="142"/>
      <c r="B413" s="143"/>
      <c r="C413" s="300"/>
      <c r="D413" s="300"/>
      <c r="E413" s="300"/>
      <c r="F413" s="300"/>
      <c r="G413" s="300"/>
      <c r="H413" s="134"/>
      <c r="I413" s="300"/>
      <c r="J413" s="299"/>
      <c r="K413" s="300"/>
      <c r="L413" s="300"/>
      <c r="M413" s="134"/>
      <c r="N413" s="300"/>
      <c r="O413" s="299"/>
      <c r="P413" s="134"/>
      <c r="Q413" s="301"/>
      <c r="R413" s="134"/>
      <c r="S413" s="300"/>
      <c r="T413" s="132"/>
      <c r="U413" s="311"/>
      <c r="V413" s="132"/>
      <c r="W413" s="296"/>
      <c r="X413" s="296"/>
    </row>
    <row r="414" spans="1:24" ht="15.75" x14ac:dyDescent="0.25">
      <c r="A414" s="142"/>
      <c r="B414" s="144"/>
      <c r="C414" s="303"/>
      <c r="D414" s="303"/>
      <c r="E414" s="303"/>
      <c r="F414" s="303"/>
      <c r="G414" s="303"/>
      <c r="H414" s="119"/>
      <c r="I414" s="303"/>
      <c r="J414" s="302"/>
      <c r="K414" s="303"/>
      <c r="L414" s="303"/>
      <c r="M414" s="119"/>
      <c r="N414" s="303"/>
      <c r="O414" s="302"/>
      <c r="P414" s="119"/>
      <c r="Q414" s="173"/>
      <c r="R414" s="119"/>
      <c r="S414" s="303"/>
      <c r="T414" s="117"/>
      <c r="U414" s="312"/>
      <c r="V414" s="117"/>
      <c r="W414" s="296"/>
      <c r="X414" s="296"/>
    </row>
    <row r="415" spans="1:24" ht="15.75" x14ac:dyDescent="0.25">
      <c r="A415" s="142"/>
      <c r="B415" s="145"/>
      <c r="C415" s="305"/>
      <c r="D415" s="305"/>
      <c r="E415" s="305"/>
      <c r="F415" s="305"/>
      <c r="G415" s="305"/>
      <c r="H415" s="122"/>
      <c r="I415" s="305"/>
      <c r="J415" s="304"/>
      <c r="K415" s="305"/>
      <c r="L415" s="305"/>
      <c r="M415" s="122"/>
      <c r="N415" s="305"/>
      <c r="O415" s="304"/>
      <c r="P415" s="122"/>
      <c r="Q415" s="253"/>
      <c r="R415" s="122"/>
      <c r="S415" s="305"/>
      <c r="T415" s="120"/>
      <c r="U415" s="313"/>
      <c r="V415" s="120"/>
      <c r="W415" s="296"/>
      <c r="X415" s="296"/>
    </row>
    <row r="416" spans="1:24" s="306" customFormat="1" ht="15.75" x14ac:dyDescent="0.25">
      <c r="A416" s="142"/>
      <c r="B416" s="143"/>
      <c r="C416" s="300"/>
      <c r="D416" s="300"/>
      <c r="E416" s="300"/>
      <c r="F416" s="300"/>
      <c r="G416" s="300"/>
      <c r="H416" s="134"/>
      <c r="I416" s="300"/>
      <c r="J416" s="299"/>
      <c r="K416" s="300"/>
      <c r="L416" s="300"/>
      <c r="M416" s="134"/>
      <c r="N416" s="300"/>
      <c r="O416" s="299"/>
      <c r="P416" s="134"/>
      <c r="Q416" s="301"/>
      <c r="R416" s="134"/>
      <c r="S416" s="300"/>
      <c r="T416" s="132"/>
      <c r="U416" s="311"/>
      <c r="V416" s="132"/>
      <c r="W416" s="296"/>
      <c r="X416" s="296"/>
    </row>
    <row r="417" spans="1:24" ht="15.75" x14ac:dyDescent="0.25">
      <c r="A417" s="142"/>
      <c r="B417" s="144"/>
      <c r="C417" s="303"/>
      <c r="D417" s="303"/>
      <c r="E417" s="303"/>
      <c r="F417" s="303"/>
      <c r="G417" s="303"/>
      <c r="H417" s="119"/>
      <c r="I417" s="303"/>
      <c r="J417" s="302"/>
      <c r="K417" s="303"/>
      <c r="L417" s="303"/>
      <c r="M417" s="119"/>
      <c r="N417" s="303"/>
      <c r="O417" s="302"/>
      <c r="P417" s="119"/>
      <c r="Q417" s="173"/>
      <c r="R417" s="119"/>
      <c r="S417" s="303"/>
      <c r="T417" s="117"/>
      <c r="U417" s="312"/>
      <c r="V417" s="117"/>
      <c r="W417" s="296"/>
      <c r="X417" s="296"/>
    </row>
    <row r="418" spans="1:24" ht="15.75" x14ac:dyDescent="0.25">
      <c r="A418" s="142"/>
      <c r="B418" s="145"/>
      <c r="C418" s="305"/>
      <c r="D418" s="305"/>
      <c r="E418" s="305"/>
      <c r="F418" s="305"/>
      <c r="G418" s="305"/>
      <c r="H418" s="122"/>
      <c r="I418" s="305"/>
      <c r="J418" s="304"/>
      <c r="K418" s="305"/>
      <c r="L418" s="305"/>
      <c r="M418" s="122"/>
      <c r="N418" s="305"/>
      <c r="O418" s="304"/>
      <c r="P418" s="122"/>
      <c r="Q418" s="253"/>
      <c r="R418" s="122"/>
      <c r="S418" s="305"/>
      <c r="T418" s="120"/>
      <c r="U418" s="313"/>
      <c r="V418" s="120"/>
      <c r="W418" s="296"/>
      <c r="X418" s="296"/>
    </row>
    <row r="419" spans="1:24" s="306" customFormat="1" ht="15.75" x14ac:dyDescent="0.25">
      <c r="A419" s="142"/>
      <c r="B419" s="143"/>
      <c r="C419" s="300"/>
      <c r="D419" s="300"/>
      <c r="E419" s="300"/>
      <c r="F419" s="300"/>
      <c r="G419" s="300"/>
      <c r="H419" s="134"/>
      <c r="I419" s="300"/>
      <c r="J419" s="299"/>
      <c r="K419" s="300"/>
      <c r="L419" s="300"/>
      <c r="M419" s="134"/>
      <c r="N419" s="300"/>
      <c r="O419" s="299"/>
      <c r="P419" s="134"/>
      <c r="Q419" s="301"/>
      <c r="R419" s="134"/>
      <c r="S419" s="300"/>
      <c r="T419" s="132"/>
      <c r="U419" s="311"/>
      <c r="V419" s="132"/>
      <c r="W419" s="296"/>
      <c r="X419" s="296"/>
    </row>
    <row r="420" spans="1:24" ht="15.75" x14ac:dyDescent="0.25">
      <c r="A420" s="142"/>
      <c r="B420" s="144"/>
      <c r="C420" s="303"/>
      <c r="D420" s="303"/>
      <c r="E420" s="303"/>
      <c r="F420" s="303"/>
      <c r="G420" s="303"/>
      <c r="H420" s="119"/>
      <c r="I420" s="303"/>
      <c r="J420" s="302"/>
      <c r="K420" s="303"/>
      <c r="L420" s="303"/>
      <c r="M420" s="119"/>
      <c r="N420" s="303"/>
      <c r="O420" s="302"/>
      <c r="P420" s="119"/>
      <c r="Q420" s="173"/>
      <c r="R420" s="119"/>
      <c r="S420" s="303"/>
      <c r="T420" s="117"/>
      <c r="U420" s="312"/>
      <c r="V420" s="117"/>
      <c r="W420" s="296"/>
      <c r="X420" s="296"/>
    </row>
    <row r="421" spans="1:24" ht="15.75" x14ac:dyDescent="0.25">
      <c r="A421" s="142"/>
      <c r="B421" s="145"/>
      <c r="C421" s="305"/>
      <c r="D421" s="305"/>
      <c r="E421" s="305"/>
      <c r="F421" s="305"/>
      <c r="G421" s="305"/>
      <c r="H421" s="122"/>
      <c r="I421" s="305"/>
      <c r="J421" s="304"/>
      <c r="K421" s="305"/>
      <c r="L421" s="305"/>
      <c r="M421" s="122"/>
      <c r="N421" s="305"/>
      <c r="O421" s="304"/>
      <c r="P421" s="122"/>
      <c r="Q421" s="253"/>
      <c r="R421" s="122"/>
      <c r="S421" s="305"/>
      <c r="T421" s="120"/>
      <c r="U421" s="313"/>
      <c r="V421" s="120"/>
      <c r="W421" s="296"/>
      <c r="X421" s="296"/>
    </row>
    <row r="422" spans="1:24" s="306" customFormat="1" ht="15.75" x14ac:dyDescent="0.25">
      <c r="A422" s="142"/>
      <c r="B422" s="143"/>
      <c r="C422" s="300"/>
      <c r="D422" s="300"/>
      <c r="E422" s="300"/>
      <c r="F422" s="300"/>
      <c r="G422" s="300"/>
      <c r="H422" s="134"/>
      <c r="I422" s="300"/>
      <c r="J422" s="299"/>
      <c r="K422" s="300"/>
      <c r="L422" s="300"/>
      <c r="M422" s="134"/>
      <c r="N422" s="300"/>
      <c r="O422" s="299"/>
      <c r="P422" s="134"/>
      <c r="Q422" s="301"/>
      <c r="R422" s="134"/>
      <c r="S422" s="300"/>
      <c r="T422" s="132"/>
      <c r="U422" s="311"/>
      <c r="V422" s="132"/>
      <c r="W422" s="296"/>
      <c r="X422" s="296"/>
    </row>
    <row r="423" spans="1:24" ht="15.75" x14ac:dyDescent="0.25">
      <c r="A423" s="142"/>
      <c r="B423" s="144"/>
      <c r="C423" s="303"/>
      <c r="D423" s="303"/>
      <c r="E423" s="303"/>
      <c r="F423" s="303"/>
      <c r="G423" s="303"/>
      <c r="H423" s="119"/>
      <c r="I423" s="303"/>
      <c r="J423" s="302"/>
      <c r="K423" s="303"/>
      <c r="L423" s="303"/>
      <c r="M423" s="119"/>
      <c r="N423" s="303"/>
      <c r="O423" s="302"/>
      <c r="P423" s="119"/>
      <c r="Q423" s="173"/>
      <c r="R423" s="119"/>
      <c r="S423" s="303"/>
      <c r="T423" s="117"/>
      <c r="U423" s="312"/>
      <c r="V423" s="117"/>
      <c r="W423" s="296"/>
      <c r="X423" s="296"/>
    </row>
    <row r="424" spans="1:24" ht="15.75" x14ac:dyDescent="0.25">
      <c r="A424" s="142"/>
      <c r="B424" s="145"/>
      <c r="C424" s="305"/>
      <c r="D424" s="305"/>
      <c r="E424" s="305"/>
      <c r="F424" s="305"/>
      <c r="G424" s="305"/>
      <c r="H424" s="122"/>
      <c r="I424" s="305"/>
      <c r="J424" s="304"/>
      <c r="K424" s="305"/>
      <c r="L424" s="305"/>
      <c r="M424" s="122"/>
      <c r="N424" s="305"/>
      <c r="O424" s="304"/>
      <c r="P424" s="122"/>
      <c r="Q424" s="253"/>
      <c r="R424" s="122"/>
      <c r="S424" s="305"/>
      <c r="T424" s="120"/>
      <c r="U424" s="313"/>
      <c r="V424" s="120"/>
      <c r="W424" s="296"/>
      <c r="X424" s="296"/>
    </row>
    <row r="425" spans="1:24" s="306" customFormat="1" ht="15.75" x14ac:dyDescent="0.25">
      <c r="A425" s="142"/>
      <c r="B425" s="143"/>
      <c r="C425" s="300"/>
      <c r="D425" s="300"/>
      <c r="E425" s="300"/>
      <c r="F425" s="300"/>
      <c r="G425" s="300"/>
      <c r="H425" s="134"/>
      <c r="I425" s="300"/>
      <c r="J425" s="299"/>
      <c r="K425" s="300"/>
      <c r="L425" s="300"/>
      <c r="M425" s="134"/>
      <c r="N425" s="300"/>
      <c r="O425" s="299"/>
      <c r="P425" s="134"/>
      <c r="Q425" s="301"/>
      <c r="R425" s="134"/>
      <c r="S425" s="300"/>
      <c r="T425" s="132"/>
      <c r="U425" s="311"/>
      <c r="V425" s="132"/>
      <c r="W425" s="296"/>
      <c r="X425" s="296"/>
    </row>
    <row r="426" spans="1:24" ht="15.75" x14ac:dyDescent="0.25">
      <c r="A426" s="142"/>
      <c r="B426" s="144"/>
      <c r="C426" s="303"/>
      <c r="D426" s="303"/>
      <c r="E426" s="303"/>
      <c r="F426" s="303"/>
      <c r="G426" s="303"/>
      <c r="H426" s="119"/>
      <c r="I426" s="303"/>
      <c r="J426" s="302"/>
      <c r="K426" s="303"/>
      <c r="L426" s="303"/>
      <c r="M426" s="119"/>
      <c r="N426" s="303"/>
      <c r="O426" s="302"/>
      <c r="P426" s="119"/>
      <c r="Q426" s="173"/>
      <c r="R426" s="119"/>
      <c r="S426" s="303"/>
      <c r="T426" s="117"/>
      <c r="U426" s="312"/>
      <c r="V426" s="117"/>
      <c r="W426" s="296"/>
      <c r="X426" s="296"/>
    </row>
    <row r="427" spans="1:24" ht="15.75" x14ac:dyDescent="0.25">
      <c r="A427" s="142"/>
      <c r="B427" s="145"/>
      <c r="C427" s="305"/>
      <c r="D427" s="305"/>
      <c r="E427" s="305"/>
      <c r="F427" s="305"/>
      <c r="G427" s="305"/>
      <c r="H427" s="122"/>
      <c r="I427" s="305"/>
      <c r="J427" s="304"/>
      <c r="K427" s="305"/>
      <c r="L427" s="305"/>
      <c r="M427" s="122"/>
      <c r="N427" s="305"/>
      <c r="O427" s="304"/>
      <c r="P427" s="122"/>
      <c r="Q427" s="253"/>
      <c r="R427" s="122"/>
      <c r="S427" s="305"/>
      <c r="T427" s="120"/>
      <c r="U427" s="313"/>
      <c r="V427" s="120"/>
      <c r="W427" s="296"/>
      <c r="X427" s="296"/>
    </row>
    <row r="428" spans="1:24" s="306" customFormat="1" ht="15.75" x14ac:dyDescent="0.25">
      <c r="A428" s="142"/>
      <c r="B428" s="143"/>
      <c r="C428" s="300"/>
      <c r="D428" s="300"/>
      <c r="E428" s="300"/>
      <c r="F428" s="300"/>
      <c r="G428" s="300"/>
      <c r="H428" s="134"/>
      <c r="I428" s="300"/>
      <c r="J428" s="299"/>
      <c r="K428" s="300"/>
      <c r="L428" s="300"/>
      <c r="M428" s="134"/>
      <c r="N428" s="300"/>
      <c r="O428" s="299"/>
      <c r="P428" s="134"/>
      <c r="Q428" s="301"/>
      <c r="R428" s="134"/>
      <c r="S428" s="300"/>
      <c r="T428" s="132"/>
      <c r="U428" s="311"/>
      <c r="V428" s="132"/>
      <c r="W428" s="296"/>
      <c r="X428" s="296"/>
    </row>
    <row r="429" spans="1:24" ht="15.75" x14ac:dyDescent="0.25">
      <c r="A429" s="294"/>
      <c r="B429" s="144"/>
      <c r="C429" s="303"/>
      <c r="D429" s="303"/>
      <c r="E429" s="303"/>
      <c r="F429" s="303"/>
      <c r="G429" s="303"/>
      <c r="H429" s="119"/>
      <c r="I429" s="303"/>
      <c r="J429" s="302"/>
      <c r="K429" s="303"/>
      <c r="L429" s="303"/>
      <c r="M429" s="119"/>
      <c r="N429" s="303"/>
      <c r="O429" s="302"/>
      <c r="P429" s="119"/>
      <c r="Q429" s="173"/>
      <c r="R429" s="119"/>
      <c r="S429" s="303"/>
      <c r="T429" s="117"/>
      <c r="U429" s="312"/>
      <c r="V429" s="117"/>
      <c r="W429" s="296"/>
      <c r="X429" s="296"/>
    </row>
    <row r="430" spans="1:24" ht="15.75" x14ac:dyDescent="0.25">
      <c r="A430" s="141"/>
      <c r="B430" s="143"/>
      <c r="C430" s="300"/>
      <c r="D430" s="300"/>
      <c r="E430" s="300"/>
      <c r="F430" s="300"/>
      <c r="G430" s="300"/>
      <c r="H430" s="134"/>
      <c r="I430" s="300"/>
      <c r="J430" s="299"/>
      <c r="K430" s="300"/>
      <c r="L430" s="300"/>
      <c r="M430" s="134"/>
      <c r="N430" s="300"/>
      <c r="O430" s="299"/>
      <c r="P430" s="134"/>
      <c r="Q430" s="301"/>
      <c r="R430" s="134"/>
      <c r="S430" s="300"/>
      <c r="T430" s="132"/>
      <c r="U430" s="311"/>
      <c r="V430" s="132"/>
      <c r="W430" s="296"/>
      <c r="X430" s="296"/>
    </row>
    <row r="431" spans="1:24" s="306" customFormat="1" ht="16.5" thickBot="1" x14ac:dyDescent="0.3">
      <c r="A431" s="142"/>
      <c r="B431" s="144"/>
      <c r="C431" s="303"/>
      <c r="D431" s="303"/>
      <c r="E431" s="303"/>
      <c r="F431" s="303"/>
      <c r="G431" s="303"/>
      <c r="H431" s="119"/>
      <c r="I431" s="303"/>
      <c r="J431" s="302"/>
      <c r="K431" s="303"/>
      <c r="L431" s="303"/>
      <c r="M431" s="119"/>
      <c r="N431" s="303"/>
      <c r="O431" s="302"/>
      <c r="P431" s="119"/>
      <c r="Q431" s="173"/>
      <c r="R431" s="119"/>
      <c r="S431" s="303"/>
      <c r="T431" s="117"/>
      <c r="U431" s="312"/>
      <c r="V431" s="117"/>
      <c r="W431" s="296"/>
      <c r="X431" s="296"/>
    </row>
    <row r="432" spans="1:24" ht="16.5" thickBot="1" x14ac:dyDescent="0.3">
      <c r="A432" s="142"/>
      <c r="B432" s="145"/>
      <c r="C432" s="305"/>
      <c r="D432" s="305"/>
      <c r="E432" s="305"/>
      <c r="F432" s="305"/>
      <c r="G432" s="305"/>
      <c r="H432" s="122"/>
      <c r="I432" s="305"/>
      <c r="J432" s="304"/>
      <c r="K432" s="724"/>
      <c r="L432" s="305"/>
      <c r="M432" s="724"/>
      <c r="N432" s="305"/>
      <c r="O432" s="304"/>
      <c r="P432" s="122"/>
      <c r="Q432" s="253"/>
      <c r="R432" s="122"/>
      <c r="S432" s="305"/>
      <c r="T432" s="120"/>
      <c r="U432" s="313"/>
      <c r="V432" s="120"/>
      <c r="W432" s="296"/>
      <c r="X432" s="296"/>
    </row>
    <row r="433" spans="1:24" ht="15.75" x14ac:dyDescent="0.25">
      <c r="A433" s="142"/>
      <c r="B433" s="143"/>
      <c r="C433" s="300"/>
      <c r="D433" s="300"/>
      <c r="E433" s="300"/>
      <c r="F433" s="300"/>
      <c r="G433" s="300"/>
      <c r="H433" s="134"/>
      <c r="I433" s="300"/>
      <c r="J433" s="299"/>
      <c r="K433" s="300"/>
      <c r="L433" s="300"/>
      <c r="M433" s="134"/>
      <c r="N433" s="300"/>
      <c r="O433" s="299"/>
      <c r="P433" s="134"/>
      <c r="Q433" s="301"/>
      <c r="R433" s="134"/>
      <c r="S433" s="300"/>
      <c r="T433" s="132"/>
      <c r="U433" s="311"/>
      <c r="V433" s="132"/>
      <c r="W433" s="296"/>
      <c r="X433" s="296"/>
    </row>
    <row r="434" spans="1:24" s="306" customFormat="1" ht="15.75" x14ac:dyDescent="0.25">
      <c r="A434" s="142"/>
      <c r="B434" s="144"/>
      <c r="C434" s="303"/>
      <c r="D434" s="303"/>
      <c r="E434" s="303"/>
      <c r="F434" s="303"/>
      <c r="G434" s="303"/>
      <c r="H434" s="119"/>
      <c r="I434" s="303"/>
      <c r="J434" s="302"/>
      <c r="K434" s="303"/>
      <c r="L434" s="303"/>
      <c r="M434" s="119"/>
      <c r="N434" s="303"/>
      <c r="O434" s="302"/>
      <c r="P434" s="119"/>
      <c r="Q434" s="173"/>
      <c r="R434" s="119"/>
      <c r="S434" s="303"/>
      <c r="T434" s="117"/>
      <c r="U434" s="312"/>
      <c r="V434" s="117"/>
      <c r="W434" s="296"/>
      <c r="X434" s="296"/>
    </row>
    <row r="435" spans="1:24" ht="15.75" x14ac:dyDescent="0.25">
      <c r="A435" s="142"/>
      <c r="B435" s="145"/>
      <c r="C435" s="305"/>
      <c r="D435" s="305"/>
      <c r="E435" s="305"/>
      <c r="F435" s="305"/>
      <c r="G435" s="305"/>
      <c r="H435" s="122"/>
      <c r="I435" s="305"/>
      <c r="J435" s="304"/>
      <c r="K435" s="305"/>
      <c r="L435" s="305"/>
      <c r="M435" s="122"/>
      <c r="N435" s="305"/>
      <c r="O435" s="304"/>
      <c r="P435" s="122"/>
      <c r="Q435" s="253"/>
      <c r="R435" s="122"/>
      <c r="S435" s="305"/>
      <c r="T435" s="120"/>
      <c r="U435" s="313"/>
      <c r="V435" s="120"/>
      <c r="W435" s="296"/>
      <c r="X435" s="296"/>
    </row>
    <row r="436" spans="1:24" ht="15.75" x14ac:dyDescent="0.25">
      <c r="A436" s="142"/>
      <c r="B436" s="143"/>
      <c r="C436" s="300"/>
      <c r="D436" s="300"/>
      <c r="E436" s="300"/>
      <c r="F436" s="300"/>
      <c r="G436" s="300"/>
      <c r="H436" s="134"/>
      <c r="I436" s="300"/>
      <c r="J436" s="299"/>
      <c r="K436" s="300"/>
      <c r="L436" s="300"/>
      <c r="M436" s="134"/>
      <c r="N436" s="300"/>
      <c r="O436" s="299"/>
      <c r="P436" s="134"/>
      <c r="Q436" s="301"/>
      <c r="R436" s="134"/>
      <c r="S436" s="300"/>
      <c r="T436" s="132"/>
      <c r="U436" s="311"/>
      <c r="V436" s="132"/>
      <c r="W436" s="296"/>
      <c r="X436" s="296"/>
    </row>
    <row r="437" spans="1:24" s="306" customFormat="1" ht="16.5" thickBot="1" x14ac:dyDescent="0.3">
      <c r="A437" s="142"/>
      <c r="B437" s="144"/>
      <c r="C437" s="303"/>
      <c r="D437" s="303"/>
      <c r="E437" s="303"/>
      <c r="F437" s="303"/>
      <c r="G437" s="303"/>
      <c r="H437" s="119"/>
      <c r="I437" s="303"/>
      <c r="J437" s="302"/>
      <c r="K437" s="303"/>
      <c r="L437" s="303"/>
      <c r="M437" s="119"/>
      <c r="N437" s="303"/>
      <c r="O437" s="302"/>
      <c r="P437" s="119"/>
      <c r="Q437" s="173"/>
      <c r="R437" s="119"/>
      <c r="S437" s="303"/>
      <c r="T437" s="117"/>
      <c r="U437" s="312"/>
      <c r="V437" s="117"/>
      <c r="W437" s="296"/>
      <c r="X437" s="296"/>
    </row>
    <row r="438" spans="1:24" ht="16.5" thickBot="1" x14ac:dyDescent="0.3">
      <c r="A438" s="142"/>
      <c r="B438" s="145"/>
      <c r="C438" s="305"/>
      <c r="D438" s="305"/>
      <c r="E438" s="305"/>
      <c r="F438" s="305"/>
      <c r="G438" s="305"/>
      <c r="H438" s="122"/>
      <c r="I438" s="305"/>
      <c r="J438" s="304"/>
      <c r="K438" s="305"/>
      <c r="L438" s="305"/>
      <c r="M438" s="724"/>
      <c r="N438" s="305"/>
      <c r="O438" s="304"/>
      <c r="P438" s="122"/>
      <c r="Q438" s="253"/>
      <c r="R438" s="122"/>
      <c r="S438" s="305"/>
      <c r="T438" s="120"/>
      <c r="U438" s="313"/>
      <c r="V438" s="120"/>
      <c r="W438" s="296"/>
      <c r="X438" s="296"/>
    </row>
    <row r="439" spans="1:24" ht="15.75" x14ac:dyDescent="0.25">
      <c r="A439" s="142"/>
      <c r="B439" s="143"/>
      <c r="C439" s="300"/>
      <c r="D439" s="300"/>
      <c r="E439" s="300"/>
      <c r="F439" s="300"/>
      <c r="G439" s="300"/>
      <c r="H439" s="134"/>
      <c r="I439" s="300"/>
      <c r="J439" s="299"/>
      <c r="K439" s="300"/>
      <c r="L439" s="300"/>
      <c r="M439" s="134"/>
      <c r="N439" s="300"/>
      <c r="O439" s="299"/>
      <c r="P439" s="134"/>
      <c r="Q439" s="301"/>
      <c r="R439" s="134"/>
      <c r="S439" s="300"/>
      <c r="T439" s="132"/>
      <c r="U439" s="311"/>
      <c r="V439" s="132"/>
      <c r="W439" s="296"/>
      <c r="X439" s="296"/>
    </row>
    <row r="440" spans="1:24" s="306" customFormat="1" ht="15.75" x14ac:dyDescent="0.25">
      <c r="A440" s="142"/>
      <c r="B440" s="144"/>
      <c r="C440" s="303"/>
      <c r="D440" s="303"/>
      <c r="E440" s="303"/>
      <c r="F440" s="303"/>
      <c r="G440" s="303"/>
      <c r="H440" s="119"/>
      <c r="I440" s="303"/>
      <c r="J440" s="302"/>
      <c r="K440" s="303"/>
      <c r="L440" s="303"/>
      <c r="M440" s="119"/>
      <c r="N440" s="303"/>
      <c r="O440" s="302"/>
      <c r="P440" s="119"/>
      <c r="Q440" s="173"/>
      <c r="R440" s="119"/>
      <c r="S440" s="303"/>
      <c r="T440" s="117"/>
      <c r="U440" s="312"/>
      <c r="V440" s="117"/>
      <c r="W440" s="296"/>
      <c r="X440" s="296"/>
    </row>
    <row r="441" spans="1:24" ht="15.75" x14ac:dyDescent="0.25">
      <c r="A441" s="142"/>
      <c r="B441" s="145"/>
      <c r="C441" s="305"/>
      <c r="D441" s="305"/>
      <c r="E441" s="305"/>
      <c r="F441" s="305"/>
      <c r="G441" s="305"/>
      <c r="H441" s="122"/>
      <c r="I441" s="305"/>
      <c r="J441" s="304"/>
      <c r="K441" s="305"/>
      <c r="L441" s="305"/>
      <c r="M441" s="122"/>
      <c r="N441" s="305"/>
      <c r="O441" s="304"/>
      <c r="P441" s="122"/>
      <c r="Q441" s="253"/>
      <c r="R441" s="122"/>
      <c r="S441" s="305"/>
      <c r="T441" s="120"/>
      <c r="U441" s="313"/>
      <c r="V441" s="120"/>
      <c r="W441" s="296"/>
      <c r="X441" s="296"/>
    </row>
    <row r="442" spans="1:24" ht="15.75" x14ac:dyDescent="0.25">
      <c r="A442" s="142"/>
      <c r="B442" s="143"/>
      <c r="C442" s="300"/>
      <c r="D442" s="300"/>
      <c r="E442" s="300"/>
      <c r="F442" s="300"/>
      <c r="G442" s="300"/>
      <c r="H442" s="134"/>
      <c r="I442" s="300"/>
      <c r="J442" s="299"/>
      <c r="K442" s="300"/>
      <c r="L442" s="300"/>
      <c r="M442" s="134"/>
      <c r="N442" s="300"/>
      <c r="O442" s="299"/>
      <c r="P442" s="134"/>
      <c r="Q442" s="301"/>
      <c r="R442" s="134"/>
      <c r="S442" s="300"/>
      <c r="T442" s="132"/>
      <c r="U442" s="311"/>
      <c r="V442" s="132"/>
      <c r="W442" s="296"/>
      <c r="X442" s="296"/>
    </row>
    <row r="443" spans="1:24" s="306" customFormat="1" ht="15.75" x14ac:dyDescent="0.25">
      <c r="A443" s="142"/>
      <c r="B443" s="144"/>
      <c r="C443" s="303"/>
      <c r="D443" s="303"/>
      <c r="E443" s="303"/>
      <c r="F443" s="303"/>
      <c r="G443" s="303"/>
      <c r="H443" s="119"/>
      <c r="I443" s="303"/>
      <c r="J443" s="302"/>
      <c r="K443" s="303"/>
      <c r="L443" s="303"/>
      <c r="M443" s="119"/>
      <c r="N443" s="303"/>
      <c r="O443" s="302"/>
      <c r="P443" s="119"/>
      <c r="Q443" s="173"/>
      <c r="R443" s="119"/>
      <c r="S443" s="303"/>
      <c r="T443" s="117"/>
      <c r="U443" s="312"/>
      <c r="V443" s="117"/>
      <c r="W443" s="296"/>
      <c r="X443" s="296"/>
    </row>
    <row r="444" spans="1:24" ht="15.75" x14ac:dyDescent="0.25">
      <c r="A444" s="142"/>
      <c r="B444" s="145"/>
      <c r="C444" s="305"/>
      <c r="D444" s="305"/>
      <c r="E444" s="305"/>
      <c r="F444" s="305"/>
      <c r="G444" s="305"/>
      <c r="H444" s="122"/>
      <c r="I444" s="305"/>
      <c r="J444" s="304"/>
      <c r="K444" s="305"/>
      <c r="L444" s="305"/>
      <c r="M444" s="122"/>
      <c r="N444" s="305"/>
      <c r="O444" s="304"/>
      <c r="P444" s="122"/>
      <c r="Q444" s="253"/>
      <c r="R444" s="122"/>
      <c r="S444" s="305"/>
      <c r="T444" s="120"/>
      <c r="U444" s="313"/>
      <c r="V444" s="120"/>
      <c r="W444" s="296"/>
      <c r="X444" s="296"/>
    </row>
    <row r="445" spans="1:24" ht="15.75" x14ac:dyDescent="0.25">
      <c r="A445" s="142"/>
      <c r="B445" s="143"/>
      <c r="C445" s="300"/>
      <c r="D445" s="300"/>
      <c r="E445" s="300"/>
      <c r="F445" s="300"/>
      <c r="G445" s="300"/>
      <c r="H445" s="134"/>
      <c r="I445" s="300"/>
      <c r="J445" s="299"/>
      <c r="K445" s="300"/>
      <c r="L445" s="300"/>
      <c r="M445" s="134"/>
      <c r="N445" s="300"/>
      <c r="O445" s="299"/>
      <c r="P445" s="134"/>
      <c r="Q445" s="301"/>
      <c r="R445" s="134"/>
      <c r="S445" s="300"/>
      <c r="T445" s="132"/>
      <c r="U445" s="311"/>
      <c r="V445" s="132"/>
      <c r="W445" s="296"/>
      <c r="X445" s="296"/>
    </row>
    <row r="446" spans="1:24" s="306" customFormat="1" ht="15.75" x14ac:dyDescent="0.25">
      <c r="A446" s="142"/>
      <c r="B446" s="144"/>
      <c r="C446" s="303"/>
      <c r="D446" s="303"/>
      <c r="E446" s="303"/>
      <c r="F446" s="303"/>
      <c r="G446" s="303"/>
      <c r="H446" s="119"/>
      <c r="I446" s="303"/>
      <c r="J446" s="302"/>
      <c r="K446" s="303"/>
      <c r="L446" s="303"/>
      <c r="M446" s="119"/>
      <c r="N446" s="303"/>
      <c r="O446" s="302"/>
      <c r="P446" s="119"/>
      <c r="Q446" s="173"/>
      <c r="R446" s="119"/>
      <c r="S446" s="303"/>
      <c r="T446" s="117"/>
      <c r="U446" s="312"/>
      <c r="V446" s="117"/>
      <c r="W446" s="296"/>
      <c r="X446" s="296"/>
    </row>
    <row r="447" spans="1:24" ht="15.75" x14ac:dyDescent="0.25">
      <c r="A447" s="142"/>
      <c r="B447" s="145"/>
      <c r="C447" s="305"/>
      <c r="D447" s="305"/>
      <c r="E447" s="305"/>
      <c r="F447" s="305"/>
      <c r="G447" s="305"/>
      <c r="H447" s="122"/>
      <c r="I447" s="305"/>
      <c r="J447" s="304"/>
      <c r="K447" s="305"/>
      <c r="L447" s="305"/>
      <c r="M447" s="122"/>
      <c r="N447" s="305"/>
      <c r="O447" s="304"/>
      <c r="P447" s="122"/>
      <c r="Q447" s="253"/>
      <c r="R447" s="122"/>
      <c r="S447" s="305"/>
      <c r="T447" s="120"/>
      <c r="U447" s="313"/>
      <c r="V447" s="120"/>
      <c r="W447" s="296"/>
      <c r="X447" s="296"/>
    </row>
    <row r="448" spans="1:24" ht="15.75" x14ac:dyDescent="0.25">
      <c r="A448" s="142"/>
      <c r="B448" s="143"/>
      <c r="C448" s="300"/>
      <c r="D448" s="300"/>
      <c r="E448" s="300"/>
      <c r="F448" s="300"/>
      <c r="G448" s="300"/>
      <c r="H448" s="134"/>
      <c r="I448" s="300"/>
      <c r="J448" s="299"/>
      <c r="K448" s="300"/>
      <c r="L448" s="300"/>
      <c r="M448" s="134"/>
      <c r="N448" s="300"/>
      <c r="O448" s="299"/>
      <c r="P448" s="134"/>
      <c r="Q448" s="301"/>
      <c r="R448" s="134"/>
      <c r="S448" s="300"/>
      <c r="T448" s="132"/>
      <c r="U448" s="311"/>
      <c r="V448" s="132"/>
      <c r="W448" s="296"/>
      <c r="X448" s="296"/>
    </row>
    <row r="449" spans="1:24" s="306" customFormat="1" ht="16.5" thickBot="1" x14ac:dyDescent="0.3">
      <c r="A449" s="142"/>
      <c r="B449" s="144"/>
      <c r="C449" s="303"/>
      <c r="D449" s="303"/>
      <c r="E449" s="303"/>
      <c r="F449" s="303"/>
      <c r="G449" s="303"/>
      <c r="H449" s="119"/>
      <c r="I449" s="303"/>
      <c r="J449" s="302"/>
      <c r="K449" s="303"/>
      <c r="L449" s="303"/>
      <c r="M449" s="119"/>
      <c r="N449" s="303"/>
      <c r="O449" s="302"/>
      <c r="P449" s="119"/>
      <c r="Q449" s="173"/>
      <c r="R449" s="119"/>
      <c r="S449" s="303"/>
      <c r="T449" s="117"/>
      <c r="U449" s="312"/>
      <c r="V449" s="117"/>
      <c r="W449" s="296"/>
      <c r="X449" s="296"/>
    </row>
    <row r="450" spans="1:24" ht="16.5" thickBot="1" x14ac:dyDescent="0.3">
      <c r="A450" s="142"/>
      <c r="B450" s="145"/>
      <c r="C450" s="724"/>
      <c r="D450" s="305"/>
      <c r="E450" s="305"/>
      <c r="F450" s="305"/>
      <c r="G450" s="305"/>
      <c r="H450" s="122"/>
      <c r="I450" s="305"/>
      <c r="J450" s="304"/>
      <c r="K450" s="305"/>
      <c r="L450" s="305"/>
      <c r="M450" s="122"/>
      <c r="N450" s="305"/>
      <c r="O450" s="304"/>
      <c r="P450" s="122"/>
      <c r="Q450" s="253"/>
      <c r="R450" s="122"/>
      <c r="S450" s="724"/>
      <c r="T450" s="120"/>
      <c r="U450" s="313"/>
      <c r="V450" s="120"/>
      <c r="W450" s="296"/>
      <c r="X450" s="296"/>
    </row>
    <row r="451" spans="1:24" ht="15.75" x14ac:dyDescent="0.25">
      <c r="A451" s="142"/>
      <c r="B451" s="143"/>
      <c r="C451" s="300"/>
      <c r="D451" s="300"/>
      <c r="E451" s="300"/>
      <c r="F451" s="300"/>
      <c r="G451" s="300"/>
      <c r="H451" s="134"/>
      <c r="I451" s="300"/>
      <c r="J451" s="299"/>
      <c r="K451" s="300"/>
      <c r="L451" s="300"/>
      <c r="M451" s="134"/>
      <c r="N451" s="300"/>
      <c r="O451" s="299"/>
      <c r="P451" s="134"/>
      <c r="Q451" s="301"/>
      <c r="R451" s="134"/>
      <c r="S451" s="300"/>
      <c r="T451" s="132"/>
      <c r="U451" s="311"/>
      <c r="V451" s="132"/>
      <c r="W451" s="296"/>
      <c r="X451" s="296"/>
    </row>
    <row r="452" spans="1:24" s="306" customFormat="1" ht="15.75" x14ac:dyDescent="0.25">
      <c r="A452" s="142"/>
      <c r="B452" s="144"/>
      <c r="C452" s="303"/>
      <c r="D452" s="303"/>
      <c r="E452" s="303"/>
      <c r="F452" s="303"/>
      <c r="G452" s="303"/>
      <c r="H452" s="119"/>
      <c r="I452" s="303"/>
      <c r="J452" s="302"/>
      <c r="K452" s="303"/>
      <c r="L452" s="303"/>
      <c r="M452" s="119"/>
      <c r="N452" s="303"/>
      <c r="O452" s="302"/>
      <c r="P452" s="119"/>
      <c r="Q452" s="173"/>
      <c r="R452" s="119"/>
      <c r="S452" s="303"/>
      <c r="T452" s="117"/>
      <c r="U452" s="312"/>
      <c r="V452" s="117"/>
      <c r="W452" s="296"/>
      <c r="X452" s="296"/>
    </row>
    <row r="453" spans="1:24" ht="15.75" x14ac:dyDescent="0.25">
      <c r="A453" s="142"/>
      <c r="B453" s="145"/>
      <c r="C453" s="305"/>
      <c r="D453" s="305"/>
      <c r="E453" s="305"/>
      <c r="F453" s="305"/>
      <c r="G453" s="305"/>
      <c r="H453" s="122"/>
      <c r="I453" s="305"/>
      <c r="J453" s="304"/>
      <c r="K453" s="305"/>
      <c r="L453" s="305"/>
      <c r="M453" s="122"/>
      <c r="N453" s="305"/>
      <c r="O453" s="304"/>
      <c r="P453" s="122"/>
      <c r="Q453" s="253"/>
      <c r="R453" s="122"/>
      <c r="S453" s="305"/>
      <c r="T453" s="120"/>
      <c r="U453" s="313"/>
      <c r="V453" s="120"/>
      <c r="W453" s="296"/>
      <c r="X453" s="296"/>
    </row>
    <row r="454" spans="1:24" ht="15.75" x14ac:dyDescent="0.25">
      <c r="A454" s="142"/>
      <c r="B454" s="143"/>
      <c r="C454" s="300"/>
      <c r="D454" s="300"/>
      <c r="E454" s="300"/>
      <c r="F454" s="300"/>
      <c r="G454" s="300"/>
      <c r="H454" s="134"/>
      <c r="I454" s="300"/>
      <c r="J454" s="299"/>
      <c r="K454" s="300"/>
      <c r="L454" s="300"/>
      <c r="M454" s="134"/>
      <c r="N454" s="300"/>
      <c r="O454" s="299"/>
      <c r="P454" s="134"/>
      <c r="Q454" s="301"/>
      <c r="R454" s="134"/>
      <c r="S454" s="300"/>
      <c r="T454" s="132"/>
      <c r="U454" s="311"/>
      <c r="V454" s="132"/>
      <c r="W454" s="296"/>
      <c r="X454" s="296"/>
    </row>
    <row r="455" spans="1:24" s="306" customFormat="1" ht="15.75" x14ac:dyDescent="0.25">
      <c r="A455" s="142"/>
      <c r="B455" s="144"/>
      <c r="C455" s="303"/>
      <c r="D455" s="303"/>
      <c r="E455" s="303"/>
      <c r="F455" s="303"/>
      <c r="G455" s="303"/>
      <c r="H455" s="119"/>
      <c r="I455" s="303"/>
      <c r="J455" s="302"/>
      <c r="K455" s="303"/>
      <c r="L455" s="303"/>
      <c r="M455" s="119"/>
      <c r="N455" s="303"/>
      <c r="O455" s="302"/>
      <c r="P455" s="119"/>
      <c r="Q455" s="173"/>
      <c r="R455" s="119"/>
      <c r="S455" s="303"/>
      <c r="T455" s="117"/>
      <c r="U455" s="312"/>
      <c r="V455" s="117"/>
      <c r="W455" s="296"/>
      <c r="X455" s="296"/>
    </row>
    <row r="456" spans="1:24" ht="15.75" x14ac:dyDescent="0.25">
      <c r="A456" s="142"/>
      <c r="B456" s="145"/>
      <c r="C456" s="305"/>
      <c r="D456" s="305"/>
      <c r="E456" s="305"/>
      <c r="F456" s="305"/>
      <c r="G456" s="305"/>
      <c r="H456" s="122"/>
      <c r="I456" s="305"/>
      <c r="J456" s="304"/>
      <c r="K456" s="305"/>
      <c r="L456" s="305"/>
      <c r="M456" s="122"/>
      <c r="N456" s="305"/>
      <c r="O456" s="304"/>
      <c r="P456" s="122"/>
      <c r="Q456" s="253"/>
      <c r="R456" s="122"/>
      <c r="S456" s="305"/>
      <c r="T456" s="120"/>
      <c r="U456" s="313"/>
      <c r="V456" s="120"/>
      <c r="W456" s="296"/>
      <c r="X456" s="296"/>
    </row>
    <row r="457" spans="1:24" ht="15.75" x14ac:dyDescent="0.25">
      <c r="A457" s="142"/>
      <c r="B457" s="143"/>
      <c r="C457" s="300"/>
      <c r="D457" s="300"/>
      <c r="E457" s="300"/>
      <c r="F457" s="300"/>
      <c r="G457" s="300"/>
      <c r="H457" s="134"/>
      <c r="I457" s="300"/>
      <c r="J457" s="299"/>
      <c r="K457" s="300"/>
      <c r="L457" s="300"/>
      <c r="M457" s="134"/>
      <c r="N457" s="300"/>
      <c r="O457" s="299"/>
      <c r="P457" s="134"/>
      <c r="Q457" s="301"/>
      <c r="R457" s="134"/>
      <c r="S457" s="300"/>
      <c r="T457" s="132"/>
      <c r="U457" s="311"/>
      <c r="V457" s="132"/>
      <c r="W457" s="296"/>
      <c r="X457" s="296"/>
    </row>
    <row r="458" spans="1:24" s="306" customFormat="1" ht="15.75" x14ac:dyDescent="0.25">
      <c r="A458" s="142"/>
      <c r="B458" s="144"/>
      <c r="C458" s="303"/>
      <c r="D458" s="303"/>
      <c r="E458" s="303"/>
      <c r="F458" s="303"/>
      <c r="G458" s="303"/>
      <c r="H458" s="119"/>
      <c r="I458" s="303"/>
      <c r="J458" s="302"/>
      <c r="K458" s="303"/>
      <c r="L458" s="303"/>
      <c r="M458" s="119"/>
      <c r="N458" s="303"/>
      <c r="O458" s="302"/>
      <c r="P458" s="119"/>
      <c r="Q458" s="173"/>
      <c r="R458" s="119"/>
      <c r="S458" s="303"/>
      <c r="T458" s="117"/>
      <c r="U458" s="312"/>
      <c r="V458" s="117"/>
      <c r="W458" s="296"/>
      <c r="X458" s="296"/>
    </row>
    <row r="459" spans="1:24" ht="15.75" x14ac:dyDescent="0.25">
      <c r="A459" s="142"/>
      <c r="B459" s="145"/>
      <c r="C459" s="305"/>
      <c r="D459" s="305"/>
      <c r="E459" s="305"/>
      <c r="F459" s="305"/>
      <c r="G459" s="305"/>
      <c r="H459" s="122"/>
      <c r="I459" s="305"/>
      <c r="J459" s="304"/>
      <c r="K459" s="305"/>
      <c r="L459" s="305"/>
      <c r="M459" s="122"/>
      <c r="N459" s="305"/>
      <c r="O459" s="304"/>
      <c r="P459" s="122"/>
      <c r="Q459" s="253"/>
      <c r="R459" s="122"/>
      <c r="S459" s="305"/>
      <c r="T459" s="120"/>
      <c r="U459" s="313"/>
      <c r="V459" s="120"/>
      <c r="W459" s="296"/>
      <c r="X459" s="296"/>
    </row>
    <row r="460" spans="1:24" ht="15.75" x14ac:dyDescent="0.25">
      <c r="A460" s="142"/>
      <c r="B460" s="143"/>
      <c r="C460" s="300"/>
      <c r="D460" s="300"/>
      <c r="E460" s="300"/>
      <c r="F460" s="300"/>
      <c r="G460" s="300"/>
      <c r="H460" s="134"/>
      <c r="I460" s="300"/>
      <c r="J460" s="299"/>
      <c r="K460" s="300"/>
      <c r="L460" s="300"/>
      <c r="M460" s="134"/>
      <c r="N460" s="300"/>
      <c r="O460" s="299"/>
      <c r="P460" s="134"/>
      <c r="Q460" s="301"/>
      <c r="R460" s="134"/>
      <c r="S460" s="300"/>
      <c r="T460" s="132"/>
      <c r="U460" s="311"/>
      <c r="V460" s="132"/>
      <c r="W460" s="296"/>
      <c r="X460" s="296"/>
    </row>
    <row r="461" spans="1:24" s="306" customFormat="1" ht="15.75" x14ac:dyDescent="0.25">
      <c r="A461" s="142"/>
      <c r="B461" s="144"/>
      <c r="C461" s="303"/>
      <c r="D461" s="303"/>
      <c r="E461" s="303"/>
      <c r="F461" s="303"/>
      <c r="G461" s="303"/>
      <c r="H461" s="119"/>
      <c r="I461" s="303"/>
      <c r="J461" s="302"/>
      <c r="K461" s="303"/>
      <c r="L461" s="303"/>
      <c r="M461" s="119"/>
      <c r="N461" s="303"/>
      <c r="O461" s="302"/>
      <c r="P461" s="119"/>
      <c r="Q461" s="173"/>
      <c r="R461" s="119"/>
      <c r="S461" s="303"/>
      <c r="T461" s="117"/>
      <c r="U461" s="312"/>
      <c r="V461" s="117"/>
      <c r="W461" s="296"/>
      <c r="X461" s="296"/>
    </row>
    <row r="462" spans="1:24" ht="15.75" x14ac:dyDescent="0.25">
      <c r="A462" s="142"/>
      <c r="B462" s="145"/>
      <c r="C462" s="305"/>
      <c r="D462" s="305"/>
      <c r="E462" s="305"/>
      <c r="F462" s="305"/>
      <c r="G462" s="305"/>
      <c r="H462" s="122"/>
      <c r="I462" s="305"/>
      <c r="J462" s="304"/>
      <c r="K462" s="305"/>
      <c r="L462" s="305"/>
      <c r="M462" s="122"/>
      <c r="N462" s="305"/>
      <c r="O462" s="304"/>
      <c r="P462" s="122"/>
      <c r="Q462" s="253"/>
      <c r="R462" s="122"/>
      <c r="S462" s="305"/>
      <c r="T462" s="120"/>
      <c r="U462" s="313"/>
      <c r="V462" s="120"/>
      <c r="W462" s="296"/>
      <c r="X462" s="296"/>
    </row>
    <row r="463" spans="1:24" ht="15.75" x14ac:dyDescent="0.25">
      <c r="A463" s="142"/>
      <c r="B463" s="143"/>
      <c r="C463" s="300"/>
      <c r="D463" s="300"/>
      <c r="E463" s="300"/>
      <c r="F463" s="300"/>
      <c r="G463" s="300"/>
      <c r="H463" s="134"/>
      <c r="I463" s="300"/>
      <c r="J463" s="299"/>
      <c r="K463" s="300"/>
      <c r="L463" s="300"/>
      <c r="M463" s="134"/>
      <c r="N463" s="300"/>
      <c r="O463" s="299"/>
      <c r="P463" s="134"/>
      <c r="Q463" s="301"/>
      <c r="R463" s="134"/>
      <c r="S463" s="300"/>
      <c r="T463" s="132"/>
      <c r="U463" s="311"/>
      <c r="V463" s="132"/>
      <c r="W463" s="296"/>
      <c r="X463" s="296"/>
    </row>
    <row r="464" spans="1:24" s="306" customFormat="1" ht="15.75" x14ac:dyDescent="0.25">
      <c r="A464" s="142"/>
      <c r="B464" s="144"/>
      <c r="C464" s="303"/>
      <c r="D464" s="303"/>
      <c r="E464" s="303"/>
      <c r="F464" s="303"/>
      <c r="G464" s="303"/>
      <c r="H464" s="119"/>
      <c r="I464" s="303"/>
      <c r="J464" s="302"/>
      <c r="K464" s="303"/>
      <c r="L464" s="303"/>
      <c r="M464" s="119"/>
      <c r="N464" s="303"/>
      <c r="O464" s="302"/>
      <c r="P464" s="119"/>
      <c r="Q464" s="173"/>
      <c r="R464" s="119"/>
      <c r="S464" s="303"/>
      <c r="T464" s="117"/>
      <c r="U464" s="312"/>
      <c r="V464" s="117"/>
      <c r="W464" s="296"/>
      <c r="X464" s="296"/>
    </row>
    <row r="465" spans="1:24" ht="15.75" x14ac:dyDescent="0.25">
      <c r="A465" s="142"/>
      <c r="B465" s="145"/>
      <c r="C465" s="305"/>
      <c r="D465" s="305"/>
      <c r="E465" s="305"/>
      <c r="F465" s="305"/>
      <c r="G465" s="305"/>
      <c r="H465" s="122"/>
      <c r="I465" s="305"/>
      <c r="J465" s="304"/>
      <c r="K465" s="305"/>
      <c r="L465" s="305"/>
      <c r="M465" s="122"/>
      <c r="N465" s="305"/>
      <c r="O465" s="304"/>
      <c r="P465" s="122"/>
      <c r="Q465" s="253"/>
      <c r="R465" s="122"/>
      <c r="S465" s="305"/>
      <c r="T465" s="120"/>
      <c r="U465" s="313"/>
      <c r="V465" s="120"/>
      <c r="W465" s="296"/>
      <c r="X465" s="296"/>
    </row>
    <row r="466" spans="1:24" ht="15.75" x14ac:dyDescent="0.25">
      <c r="A466" s="142"/>
      <c r="B466" s="143"/>
      <c r="C466" s="300"/>
      <c r="D466" s="300"/>
      <c r="E466" s="300"/>
      <c r="F466" s="300"/>
      <c r="G466" s="300"/>
      <c r="H466" s="134"/>
      <c r="I466" s="300"/>
      <c r="J466" s="299"/>
      <c r="K466" s="300"/>
      <c r="L466" s="300"/>
      <c r="M466" s="134"/>
      <c r="N466" s="300"/>
      <c r="O466" s="299"/>
      <c r="P466" s="134"/>
      <c r="Q466" s="301"/>
      <c r="R466" s="134"/>
      <c r="S466" s="300"/>
      <c r="T466" s="132"/>
      <c r="U466" s="311"/>
      <c r="V466" s="132"/>
      <c r="W466" s="296"/>
      <c r="X466" s="296"/>
    </row>
    <row r="467" spans="1:24" s="306" customFormat="1" ht="15.75" x14ac:dyDescent="0.25">
      <c r="A467" s="142"/>
      <c r="B467" s="144"/>
      <c r="C467" s="303"/>
      <c r="D467" s="303"/>
      <c r="E467" s="303"/>
      <c r="F467" s="303"/>
      <c r="G467" s="303"/>
      <c r="H467" s="119"/>
      <c r="I467" s="303"/>
      <c r="J467" s="302"/>
      <c r="K467" s="303"/>
      <c r="L467" s="303"/>
      <c r="M467" s="119"/>
      <c r="N467" s="303"/>
      <c r="O467" s="302"/>
      <c r="P467" s="119"/>
      <c r="Q467" s="173"/>
      <c r="R467" s="119"/>
      <c r="S467" s="303"/>
      <c r="T467" s="117"/>
      <c r="U467" s="312"/>
      <c r="V467" s="117"/>
      <c r="W467" s="296"/>
      <c r="X467" s="296"/>
    </row>
    <row r="468" spans="1:24" ht="15.75" x14ac:dyDescent="0.25">
      <c r="A468" s="142"/>
      <c r="B468" s="145"/>
      <c r="C468" s="305"/>
      <c r="D468" s="305"/>
      <c r="E468" s="305"/>
      <c r="F468" s="305"/>
      <c r="G468" s="305"/>
      <c r="H468" s="122"/>
      <c r="I468" s="305"/>
      <c r="J468" s="304"/>
      <c r="K468" s="305"/>
      <c r="L468" s="305"/>
      <c r="M468" s="122"/>
      <c r="N468" s="305"/>
      <c r="O468" s="304"/>
      <c r="P468" s="122"/>
      <c r="Q468" s="253"/>
      <c r="R468" s="122"/>
      <c r="S468" s="305"/>
      <c r="T468" s="120"/>
      <c r="U468" s="313"/>
      <c r="V468" s="120"/>
      <c r="W468" s="296"/>
      <c r="X468" s="296"/>
    </row>
    <row r="469" spans="1:24" ht="15.75" x14ac:dyDescent="0.25">
      <c r="A469" s="142"/>
      <c r="B469" s="143"/>
      <c r="C469" s="300"/>
      <c r="D469" s="300"/>
      <c r="E469" s="300"/>
      <c r="F469" s="300"/>
      <c r="G469" s="300"/>
      <c r="H469" s="134"/>
      <c r="I469" s="300"/>
      <c r="J469" s="299"/>
      <c r="K469" s="300"/>
      <c r="L469" s="300"/>
      <c r="M469" s="134"/>
      <c r="N469" s="300"/>
      <c r="O469" s="299"/>
      <c r="P469" s="134"/>
      <c r="Q469" s="301"/>
      <c r="R469" s="134"/>
      <c r="S469" s="300"/>
      <c r="T469" s="132"/>
      <c r="U469" s="311"/>
      <c r="V469" s="132"/>
      <c r="W469" s="296"/>
      <c r="X469" s="296"/>
    </row>
    <row r="470" spans="1:24" s="306" customFormat="1" ht="15.75" x14ac:dyDescent="0.25">
      <c r="A470" s="142"/>
      <c r="B470" s="144"/>
      <c r="C470" s="303"/>
      <c r="D470" s="303"/>
      <c r="E470" s="303"/>
      <c r="F470" s="303"/>
      <c r="G470" s="303"/>
      <c r="H470" s="119"/>
      <c r="I470" s="303"/>
      <c r="J470" s="302"/>
      <c r="K470" s="303"/>
      <c r="L470" s="303"/>
      <c r="M470" s="119"/>
      <c r="N470" s="303"/>
      <c r="O470" s="302"/>
      <c r="P470" s="119"/>
      <c r="Q470" s="173"/>
      <c r="R470" s="119"/>
      <c r="S470" s="303"/>
      <c r="T470" s="117"/>
      <c r="U470" s="312"/>
      <c r="V470" s="117"/>
      <c r="W470" s="296"/>
      <c r="X470" s="296"/>
    </row>
    <row r="471" spans="1:24" ht="15.75" x14ac:dyDescent="0.25">
      <c r="A471" s="142"/>
      <c r="B471" s="145"/>
      <c r="C471" s="305"/>
      <c r="D471" s="305"/>
      <c r="E471" s="305"/>
      <c r="F471" s="305"/>
      <c r="G471" s="305"/>
      <c r="H471" s="122"/>
      <c r="I471" s="305"/>
      <c r="J471" s="304"/>
      <c r="K471" s="305"/>
      <c r="L471" s="305"/>
      <c r="M471" s="122"/>
      <c r="N471" s="305"/>
      <c r="O471" s="304"/>
      <c r="P471" s="122"/>
      <c r="Q471" s="253"/>
      <c r="R471" s="122"/>
      <c r="S471" s="305"/>
      <c r="T471" s="120"/>
      <c r="U471" s="313"/>
      <c r="V471" s="120"/>
      <c r="W471" s="296"/>
      <c r="X471" s="296"/>
    </row>
    <row r="472" spans="1:24" ht="15.75" x14ac:dyDescent="0.25">
      <c r="A472" s="142"/>
      <c r="B472" s="143"/>
      <c r="C472" s="300"/>
      <c r="D472" s="300"/>
      <c r="E472" s="300"/>
      <c r="F472" s="300"/>
      <c r="G472" s="300"/>
      <c r="H472" s="134"/>
      <c r="I472" s="300"/>
      <c r="J472" s="299"/>
      <c r="K472" s="300"/>
      <c r="L472" s="300"/>
      <c r="M472" s="134"/>
      <c r="N472" s="300"/>
      <c r="O472" s="299"/>
      <c r="P472" s="134"/>
      <c r="Q472" s="301"/>
      <c r="R472" s="134"/>
      <c r="S472" s="300"/>
      <c r="T472" s="132"/>
      <c r="U472" s="311"/>
      <c r="V472" s="132"/>
      <c r="W472" s="296"/>
      <c r="X472" s="296"/>
    </row>
    <row r="473" spans="1:24" s="306" customFormat="1" ht="15.75" x14ac:dyDescent="0.25">
      <c r="A473" s="142"/>
      <c r="B473" s="144"/>
      <c r="C473" s="303"/>
      <c r="D473" s="303"/>
      <c r="E473" s="303"/>
      <c r="F473" s="303"/>
      <c r="G473" s="303"/>
      <c r="H473" s="119"/>
      <c r="I473" s="303"/>
      <c r="J473" s="302"/>
      <c r="K473" s="303"/>
      <c r="L473" s="303"/>
      <c r="M473" s="119"/>
      <c r="N473" s="303"/>
      <c r="O473" s="302"/>
      <c r="P473" s="119"/>
      <c r="Q473" s="173"/>
      <c r="R473" s="119"/>
      <c r="S473" s="303"/>
      <c r="T473" s="117"/>
      <c r="U473" s="312"/>
      <c r="V473" s="117"/>
      <c r="W473" s="296"/>
      <c r="X473" s="296"/>
    </row>
    <row r="474" spans="1:24" ht="15.75" x14ac:dyDescent="0.25">
      <c r="A474" s="142"/>
      <c r="B474" s="145"/>
      <c r="C474" s="305"/>
      <c r="D474" s="305"/>
      <c r="E474" s="305"/>
      <c r="F474" s="305"/>
      <c r="G474" s="305"/>
      <c r="H474" s="122"/>
      <c r="I474" s="305"/>
      <c r="J474" s="304"/>
      <c r="K474" s="305"/>
      <c r="L474" s="305"/>
      <c r="M474" s="122"/>
      <c r="N474" s="305"/>
      <c r="O474" s="304"/>
      <c r="P474" s="122"/>
      <c r="Q474" s="253"/>
      <c r="R474" s="122"/>
      <c r="S474" s="305"/>
      <c r="T474" s="120"/>
      <c r="U474" s="313"/>
      <c r="V474" s="120"/>
      <c r="W474" s="296"/>
      <c r="X474" s="296"/>
    </row>
    <row r="475" spans="1:24" ht="15.75" x14ac:dyDescent="0.25">
      <c r="A475" s="142"/>
      <c r="B475" s="143"/>
      <c r="C475" s="300"/>
      <c r="D475" s="300"/>
      <c r="E475" s="300"/>
      <c r="F475" s="300"/>
      <c r="G475" s="300"/>
      <c r="H475" s="134"/>
      <c r="I475" s="300"/>
      <c r="J475" s="299"/>
      <c r="K475" s="300"/>
      <c r="L475" s="300"/>
      <c r="M475" s="134"/>
      <c r="N475" s="300"/>
      <c r="O475" s="299"/>
      <c r="P475" s="134"/>
      <c r="Q475" s="301"/>
      <c r="R475" s="134"/>
      <c r="S475" s="300"/>
      <c r="T475" s="132"/>
      <c r="U475" s="311"/>
      <c r="V475" s="132"/>
      <c r="W475" s="296"/>
      <c r="X475" s="296"/>
    </row>
    <row r="476" spans="1:24" s="306" customFormat="1" ht="15.75" x14ac:dyDescent="0.25">
      <c r="A476" s="142"/>
      <c r="B476" s="144"/>
      <c r="C476" s="303"/>
      <c r="D476" s="303"/>
      <c r="E476" s="303"/>
      <c r="F476" s="303"/>
      <c r="G476" s="303"/>
      <c r="H476" s="119"/>
      <c r="I476" s="303"/>
      <c r="J476" s="302"/>
      <c r="K476" s="303"/>
      <c r="L476" s="303"/>
      <c r="M476" s="119"/>
      <c r="N476" s="303"/>
      <c r="O476" s="302"/>
      <c r="P476" s="119"/>
      <c r="Q476" s="173"/>
      <c r="R476" s="119"/>
      <c r="S476" s="303"/>
      <c r="T476" s="117"/>
      <c r="U476" s="312"/>
      <c r="V476" s="117"/>
      <c r="W476" s="296"/>
      <c r="X476" s="296"/>
    </row>
    <row r="477" spans="1:24" ht="15.75" x14ac:dyDescent="0.25">
      <c r="A477" s="142"/>
      <c r="B477" s="145"/>
      <c r="C477" s="305"/>
      <c r="D477" s="305"/>
      <c r="E477" s="305"/>
      <c r="F477" s="305"/>
      <c r="G477" s="305"/>
      <c r="H477" s="122"/>
      <c r="I477" s="305"/>
      <c r="J477" s="304"/>
      <c r="K477" s="305"/>
      <c r="L477" s="305"/>
      <c r="M477" s="122"/>
      <c r="N477" s="305"/>
      <c r="O477" s="304"/>
      <c r="P477" s="122"/>
      <c r="Q477" s="253"/>
      <c r="R477" s="122"/>
      <c r="S477" s="305"/>
      <c r="T477" s="120"/>
      <c r="U477" s="313"/>
      <c r="V477" s="120"/>
      <c r="W477" s="296"/>
      <c r="X477" s="296"/>
    </row>
    <row r="478" spans="1:24" ht="15.75" x14ac:dyDescent="0.25">
      <c r="A478" s="142"/>
      <c r="B478" s="143"/>
      <c r="C478" s="300"/>
      <c r="D478" s="300"/>
      <c r="E478" s="300"/>
      <c r="F478" s="300"/>
      <c r="G478" s="300"/>
      <c r="H478" s="134"/>
      <c r="I478" s="300"/>
      <c r="J478" s="299"/>
      <c r="K478" s="300"/>
      <c r="L478" s="300"/>
      <c r="M478" s="134"/>
      <c r="N478" s="300"/>
      <c r="O478" s="299"/>
      <c r="P478" s="134"/>
      <c r="Q478" s="301"/>
      <c r="R478" s="134"/>
      <c r="S478" s="300"/>
      <c r="T478" s="132"/>
      <c r="U478" s="311"/>
      <c r="V478" s="132"/>
      <c r="W478" s="296"/>
      <c r="X478" s="296"/>
    </row>
    <row r="479" spans="1:24" s="306" customFormat="1" ht="15.75" x14ac:dyDescent="0.25">
      <c r="A479" s="142"/>
      <c r="B479" s="144"/>
      <c r="C479" s="303"/>
      <c r="D479" s="303"/>
      <c r="E479" s="303"/>
      <c r="F479" s="303"/>
      <c r="G479" s="303"/>
      <c r="H479" s="119"/>
      <c r="I479" s="303"/>
      <c r="J479" s="302"/>
      <c r="K479" s="303"/>
      <c r="L479" s="303"/>
      <c r="M479" s="119"/>
      <c r="N479" s="303"/>
      <c r="O479" s="302"/>
      <c r="P479" s="119"/>
      <c r="Q479" s="173"/>
      <c r="R479" s="119"/>
      <c r="S479" s="303"/>
      <c r="T479" s="117"/>
      <c r="U479" s="312"/>
      <c r="V479" s="117"/>
      <c r="W479" s="296"/>
      <c r="X479" s="296"/>
    </row>
    <row r="480" spans="1:24" ht="15.75" x14ac:dyDescent="0.25">
      <c r="A480" s="142"/>
      <c r="B480" s="145"/>
      <c r="C480" s="305"/>
      <c r="D480" s="305"/>
      <c r="E480" s="305"/>
      <c r="F480" s="305"/>
      <c r="G480" s="305"/>
      <c r="H480" s="122"/>
      <c r="I480" s="305"/>
      <c r="J480" s="304"/>
      <c r="K480" s="305"/>
      <c r="L480" s="305"/>
      <c r="M480" s="122"/>
      <c r="N480" s="305"/>
      <c r="O480" s="304"/>
      <c r="P480" s="122"/>
      <c r="Q480" s="253"/>
      <c r="R480" s="122"/>
      <c r="S480" s="305"/>
      <c r="T480" s="120"/>
      <c r="U480" s="313"/>
      <c r="V480" s="120"/>
      <c r="W480" s="296"/>
      <c r="X480" s="296"/>
    </row>
    <row r="481" spans="1:24" ht="15.75" x14ac:dyDescent="0.25">
      <c r="A481" s="142"/>
      <c r="B481" s="143"/>
      <c r="C481" s="300"/>
      <c r="D481" s="300"/>
      <c r="E481" s="300"/>
      <c r="F481" s="300"/>
      <c r="G481" s="300"/>
      <c r="H481" s="134"/>
      <c r="I481" s="300"/>
      <c r="J481" s="299"/>
      <c r="K481" s="300"/>
      <c r="L481" s="300"/>
      <c r="M481" s="134"/>
      <c r="N481" s="300"/>
      <c r="O481" s="299"/>
      <c r="P481" s="134"/>
      <c r="Q481" s="301"/>
      <c r="R481" s="134"/>
      <c r="S481" s="300"/>
      <c r="T481" s="132"/>
      <c r="U481" s="311"/>
      <c r="V481" s="132"/>
      <c r="W481" s="296"/>
      <c r="X481" s="296"/>
    </row>
    <row r="482" spans="1:24" s="306" customFormat="1" ht="15.75" x14ac:dyDescent="0.25">
      <c r="A482" s="294"/>
      <c r="B482" s="144"/>
      <c r="C482" s="303"/>
      <c r="D482" s="303"/>
      <c r="E482" s="303"/>
      <c r="F482" s="303"/>
      <c r="G482" s="303"/>
      <c r="H482" s="119"/>
      <c r="I482" s="303"/>
      <c r="J482" s="302"/>
      <c r="K482" s="303"/>
      <c r="L482" s="303"/>
      <c r="M482" s="119"/>
      <c r="N482" s="303"/>
      <c r="O482" s="302"/>
      <c r="P482" s="119"/>
      <c r="Q482" s="173"/>
      <c r="R482" s="119"/>
      <c r="S482" s="303"/>
      <c r="T482" s="117"/>
      <c r="U482" s="312"/>
      <c r="V482" s="117"/>
      <c r="W482" s="296"/>
      <c r="X482" s="296"/>
    </row>
    <row r="483" spans="1:24" ht="15.75" x14ac:dyDescent="0.25">
      <c r="A483" s="141"/>
      <c r="B483" s="143"/>
      <c r="C483" s="300"/>
      <c r="D483" s="300"/>
      <c r="E483" s="300"/>
      <c r="F483" s="300"/>
      <c r="G483" s="300"/>
      <c r="H483" s="134"/>
      <c r="I483" s="300"/>
      <c r="J483" s="299"/>
      <c r="K483" s="300"/>
      <c r="L483" s="300"/>
      <c r="M483" s="134"/>
      <c r="N483" s="300"/>
      <c r="O483" s="299"/>
      <c r="P483" s="134"/>
      <c r="Q483" s="301"/>
      <c r="R483" s="134"/>
      <c r="S483" s="300"/>
      <c r="T483" s="132"/>
      <c r="U483" s="311"/>
      <c r="V483" s="132"/>
      <c r="W483" s="296"/>
      <c r="X483" s="296"/>
    </row>
    <row r="484" spans="1:24" ht="16.5" thickBot="1" x14ac:dyDescent="0.3">
      <c r="A484" s="142"/>
      <c r="B484" s="144"/>
      <c r="C484" s="303"/>
      <c r="D484" s="303"/>
      <c r="E484" s="303"/>
      <c r="F484" s="303"/>
      <c r="G484" s="303"/>
      <c r="H484" s="119"/>
      <c r="I484" s="303"/>
      <c r="J484" s="302"/>
      <c r="K484" s="303"/>
      <c r="L484" s="303"/>
      <c r="M484" s="119"/>
      <c r="N484" s="303"/>
      <c r="O484" s="302"/>
      <c r="P484" s="119"/>
      <c r="Q484" s="173"/>
      <c r="R484" s="119"/>
      <c r="S484" s="303"/>
      <c r="T484" s="117"/>
      <c r="U484" s="312"/>
      <c r="V484" s="117"/>
      <c r="W484" s="296"/>
      <c r="X484" s="296"/>
    </row>
    <row r="485" spans="1:24" s="306" customFormat="1" ht="16.5" thickBot="1" x14ac:dyDescent="0.3">
      <c r="A485" s="142"/>
      <c r="B485" s="145"/>
      <c r="C485" s="305"/>
      <c r="D485" s="305"/>
      <c r="E485" s="305"/>
      <c r="F485" s="305"/>
      <c r="G485" s="305"/>
      <c r="H485" s="122"/>
      <c r="I485" s="305"/>
      <c r="J485" s="304"/>
      <c r="K485" s="305"/>
      <c r="L485" s="305"/>
      <c r="M485" s="724"/>
      <c r="N485" s="305"/>
      <c r="O485" s="304"/>
      <c r="P485" s="122"/>
      <c r="Q485" s="253"/>
      <c r="R485" s="122"/>
      <c r="S485" s="305"/>
      <c r="T485" s="120"/>
      <c r="U485" s="313"/>
      <c r="V485" s="120"/>
      <c r="W485" s="296"/>
      <c r="X485" s="296"/>
    </row>
    <row r="486" spans="1:24" ht="15.75" x14ac:dyDescent="0.25">
      <c r="A486" s="142"/>
      <c r="B486" s="143"/>
      <c r="C486" s="300"/>
      <c r="D486" s="300"/>
      <c r="E486" s="300"/>
      <c r="F486" s="300"/>
      <c r="G486" s="300"/>
      <c r="H486" s="134"/>
      <c r="I486" s="300"/>
      <c r="J486" s="299"/>
      <c r="K486" s="300"/>
      <c r="L486" s="300"/>
      <c r="M486" s="134"/>
      <c r="N486" s="300"/>
      <c r="O486" s="299"/>
      <c r="P486" s="134"/>
      <c r="Q486" s="301"/>
      <c r="R486" s="134"/>
      <c r="S486" s="300"/>
      <c r="T486" s="132"/>
      <c r="U486" s="311"/>
      <c r="V486" s="132"/>
      <c r="W486" s="296"/>
      <c r="X486" s="296"/>
    </row>
    <row r="487" spans="1:24" ht="15.75" x14ac:dyDescent="0.25">
      <c r="A487" s="142"/>
      <c r="B487" s="144"/>
      <c r="C487" s="303"/>
      <c r="D487" s="303"/>
      <c r="E487" s="303"/>
      <c r="F487" s="303"/>
      <c r="G487" s="303"/>
      <c r="H487" s="119"/>
      <c r="I487" s="303"/>
      <c r="J487" s="302"/>
      <c r="K487" s="303"/>
      <c r="L487" s="303"/>
      <c r="M487" s="119"/>
      <c r="N487" s="303"/>
      <c r="O487" s="302"/>
      <c r="P487" s="119"/>
      <c r="Q487" s="173"/>
      <c r="R487" s="119"/>
      <c r="S487" s="303"/>
      <c r="T487" s="117"/>
      <c r="U487" s="312"/>
      <c r="V487" s="117"/>
      <c r="W487" s="296"/>
      <c r="X487" s="296"/>
    </row>
    <row r="488" spans="1:24" s="306" customFormat="1" ht="15.75" x14ac:dyDescent="0.25">
      <c r="A488" s="142"/>
      <c r="B488" s="145"/>
      <c r="C488" s="305"/>
      <c r="D488" s="305"/>
      <c r="E488" s="305"/>
      <c r="F488" s="305"/>
      <c r="G488" s="305"/>
      <c r="H488" s="122"/>
      <c r="I488" s="305"/>
      <c r="J488" s="304"/>
      <c r="K488" s="305"/>
      <c r="L488" s="305"/>
      <c r="M488" s="122"/>
      <c r="N488" s="305"/>
      <c r="O488" s="304"/>
      <c r="P488" s="122"/>
      <c r="Q488" s="253"/>
      <c r="R488" s="122"/>
      <c r="S488" s="305"/>
      <c r="T488" s="120"/>
      <c r="U488" s="313"/>
      <c r="V488" s="120"/>
      <c r="W488" s="296"/>
      <c r="X488" s="296"/>
    </row>
    <row r="489" spans="1:24" ht="15.75" x14ac:dyDescent="0.25">
      <c r="A489" s="142"/>
      <c r="B489" s="143"/>
      <c r="C489" s="300"/>
      <c r="D489" s="300"/>
      <c r="E489" s="300"/>
      <c r="F489" s="300"/>
      <c r="G489" s="300"/>
      <c r="H489" s="134"/>
      <c r="I489" s="300"/>
      <c r="J489" s="299"/>
      <c r="K489" s="300"/>
      <c r="L489" s="300"/>
      <c r="M489" s="134"/>
      <c r="N489" s="300"/>
      <c r="O489" s="299"/>
      <c r="P489" s="134"/>
      <c r="Q489" s="301"/>
      <c r="R489" s="134"/>
      <c r="S489" s="300"/>
      <c r="T489" s="132"/>
      <c r="U489" s="311"/>
      <c r="V489" s="132"/>
      <c r="W489" s="296"/>
      <c r="X489" s="296"/>
    </row>
    <row r="490" spans="1:24" ht="15.75" x14ac:dyDescent="0.25">
      <c r="A490" s="142"/>
      <c r="B490" s="144"/>
      <c r="C490" s="303"/>
      <c r="D490" s="303"/>
      <c r="E490" s="303"/>
      <c r="F490" s="303"/>
      <c r="G490" s="303"/>
      <c r="H490" s="119"/>
      <c r="I490" s="303"/>
      <c r="J490" s="302"/>
      <c r="K490" s="303"/>
      <c r="L490" s="303"/>
      <c r="M490" s="119"/>
      <c r="N490" s="303"/>
      <c r="O490" s="302"/>
      <c r="P490" s="119"/>
      <c r="Q490" s="173"/>
      <c r="R490" s="119"/>
      <c r="S490" s="303"/>
      <c r="T490" s="117"/>
      <c r="U490" s="312"/>
      <c r="V490" s="117"/>
      <c r="W490" s="296"/>
      <c r="X490" s="296"/>
    </row>
    <row r="491" spans="1:24" s="306" customFormat="1" ht="15.75" x14ac:dyDescent="0.25">
      <c r="A491" s="142"/>
      <c r="B491" s="145"/>
      <c r="C491" s="305"/>
      <c r="D491" s="305"/>
      <c r="E491" s="305"/>
      <c r="F491" s="305"/>
      <c r="G491" s="305"/>
      <c r="H491" s="122"/>
      <c r="I491" s="305"/>
      <c r="J491" s="304"/>
      <c r="K491" s="305"/>
      <c r="L491" s="305"/>
      <c r="M491" s="122"/>
      <c r="N491" s="305"/>
      <c r="O491" s="304"/>
      <c r="P491" s="122"/>
      <c r="Q491" s="253"/>
      <c r="R491" s="122"/>
      <c r="S491" s="305"/>
      <c r="T491" s="120"/>
      <c r="U491" s="313"/>
      <c r="V491" s="120"/>
      <c r="W491" s="296"/>
      <c r="X491" s="296"/>
    </row>
    <row r="492" spans="1:24" ht="15.75" x14ac:dyDescent="0.25">
      <c r="A492" s="142"/>
      <c r="B492" s="143"/>
      <c r="C492" s="300"/>
      <c r="D492" s="300"/>
      <c r="E492" s="300"/>
      <c r="F492" s="300"/>
      <c r="G492" s="300"/>
      <c r="H492" s="134"/>
      <c r="I492" s="300"/>
      <c r="J492" s="299"/>
      <c r="K492" s="300"/>
      <c r="L492" s="300"/>
      <c r="M492" s="134"/>
      <c r="N492" s="300"/>
      <c r="O492" s="299"/>
      <c r="P492" s="134"/>
      <c r="Q492" s="301"/>
      <c r="R492" s="134"/>
      <c r="S492" s="300"/>
      <c r="T492" s="132"/>
      <c r="U492" s="311"/>
      <c r="V492" s="132"/>
      <c r="W492" s="296"/>
      <c r="X492" s="296"/>
    </row>
    <row r="493" spans="1:24" ht="15.75" x14ac:dyDescent="0.25">
      <c r="A493" s="142"/>
      <c r="B493" s="144"/>
      <c r="C493" s="303"/>
      <c r="D493" s="303"/>
      <c r="E493" s="303"/>
      <c r="F493" s="303"/>
      <c r="G493" s="303"/>
      <c r="H493" s="119"/>
      <c r="I493" s="303"/>
      <c r="J493" s="302"/>
      <c r="K493" s="303"/>
      <c r="L493" s="303"/>
      <c r="M493" s="119"/>
      <c r="N493" s="303"/>
      <c r="O493" s="302"/>
      <c r="P493" s="119"/>
      <c r="Q493" s="173"/>
      <c r="R493" s="119"/>
      <c r="S493" s="303"/>
      <c r="T493" s="117"/>
      <c r="U493" s="312"/>
      <c r="V493" s="117"/>
      <c r="W493" s="296"/>
      <c r="X493" s="296"/>
    </row>
    <row r="494" spans="1:24" s="306" customFormat="1" ht="15.75" x14ac:dyDescent="0.25">
      <c r="A494" s="142"/>
      <c r="B494" s="145"/>
      <c r="C494" s="305"/>
      <c r="D494" s="305"/>
      <c r="E494" s="305"/>
      <c r="F494" s="305"/>
      <c r="G494" s="305"/>
      <c r="H494" s="122"/>
      <c r="I494" s="305"/>
      <c r="J494" s="304"/>
      <c r="K494" s="305"/>
      <c r="L494" s="305"/>
      <c r="M494" s="122"/>
      <c r="N494" s="305"/>
      <c r="O494" s="304"/>
      <c r="P494" s="122"/>
      <c r="Q494" s="253"/>
      <c r="R494" s="122"/>
      <c r="S494" s="305"/>
      <c r="T494" s="120"/>
      <c r="U494" s="313"/>
      <c r="V494" s="120"/>
      <c r="W494" s="296"/>
      <c r="X494" s="296"/>
    </row>
    <row r="495" spans="1:24" ht="15.75" x14ac:dyDescent="0.25">
      <c r="A495" s="142"/>
      <c r="B495" s="143"/>
      <c r="C495" s="300"/>
      <c r="D495" s="300"/>
      <c r="E495" s="300"/>
      <c r="F495" s="300"/>
      <c r="G495" s="300"/>
      <c r="H495" s="134"/>
      <c r="I495" s="300"/>
      <c r="J495" s="299"/>
      <c r="K495" s="300"/>
      <c r="L495" s="300"/>
      <c r="M495" s="134"/>
      <c r="N495" s="300"/>
      <c r="O495" s="299"/>
      <c r="P495" s="134"/>
      <c r="Q495" s="301"/>
      <c r="R495" s="134"/>
      <c r="S495" s="300"/>
      <c r="T495" s="132"/>
      <c r="U495" s="311"/>
      <c r="V495" s="132"/>
      <c r="W495" s="296"/>
      <c r="X495" s="296"/>
    </row>
    <row r="496" spans="1:24" ht="16.5" thickBot="1" x14ac:dyDescent="0.3">
      <c r="A496" s="142"/>
      <c r="B496" s="144"/>
      <c r="C496" s="303"/>
      <c r="D496" s="303"/>
      <c r="E496" s="303"/>
      <c r="F496" s="303"/>
      <c r="G496" s="303"/>
      <c r="H496" s="119"/>
      <c r="I496" s="303"/>
      <c r="J496" s="302"/>
      <c r="K496" s="303"/>
      <c r="L496" s="303"/>
      <c r="M496" s="119"/>
      <c r="N496" s="303"/>
      <c r="O496" s="302"/>
      <c r="P496" s="119"/>
      <c r="Q496" s="173"/>
      <c r="R496" s="119"/>
      <c r="S496" s="303"/>
      <c r="T496" s="117"/>
      <c r="U496" s="312"/>
      <c r="V496" s="117"/>
      <c r="W496" s="296"/>
      <c r="X496" s="296"/>
    </row>
    <row r="497" spans="1:24" s="306" customFormat="1" ht="16.5" thickBot="1" x14ac:dyDescent="0.3">
      <c r="A497" s="142"/>
      <c r="B497" s="145"/>
      <c r="C497" s="724"/>
      <c r="D497" s="305"/>
      <c r="E497" s="305"/>
      <c r="F497" s="305"/>
      <c r="G497" s="305"/>
      <c r="H497" s="122"/>
      <c r="I497" s="305"/>
      <c r="J497" s="304"/>
      <c r="K497" s="305"/>
      <c r="L497" s="305"/>
      <c r="M497" s="122"/>
      <c r="N497" s="305"/>
      <c r="O497" s="304"/>
      <c r="P497" s="122"/>
      <c r="Q497" s="253"/>
      <c r="R497" s="122"/>
      <c r="S497" s="305"/>
      <c r="T497" s="120"/>
      <c r="U497" s="313"/>
      <c r="V497" s="120"/>
      <c r="W497" s="296"/>
      <c r="X497" s="296"/>
    </row>
    <row r="498" spans="1:24" ht="15.75" x14ac:dyDescent="0.25">
      <c r="A498" s="142"/>
      <c r="B498" s="143"/>
      <c r="C498" s="300"/>
      <c r="D498" s="300"/>
      <c r="E498" s="300"/>
      <c r="F498" s="300"/>
      <c r="G498" s="300"/>
      <c r="H498" s="134"/>
      <c r="I498" s="300"/>
      <c r="J498" s="299"/>
      <c r="K498" s="300"/>
      <c r="L498" s="300"/>
      <c r="M498" s="134"/>
      <c r="N498" s="300"/>
      <c r="O498" s="299"/>
      <c r="P498" s="134"/>
      <c r="Q498" s="301"/>
      <c r="R498" s="134"/>
      <c r="S498" s="300"/>
      <c r="T498" s="132"/>
      <c r="U498" s="311"/>
      <c r="V498" s="132"/>
      <c r="W498" s="296"/>
      <c r="X498" s="296"/>
    </row>
    <row r="499" spans="1:24" ht="16.5" thickBot="1" x14ac:dyDescent="0.3">
      <c r="A499" s="142"/>
      <c r="B499" s="144"/>
      <c r="C499" s="303"/>
      <c r="D499" s="303"/>
      <c r="E499" s="303"/>
      <c r="F499" s="303"/>
      <c r="G499" s="303"/>
      <c r="H499" s="119"/>
      <c r="I499" s="303"/>
      <c r="J499" s="302"/>
      <c r="K499" s="303"/>
      <c r="L499" s="303"/>
      <c r="M499" s="119"/>
      <c r="N499" s="303"/>
      <c r="O499" s="302"/>
      <c r="P499" s="119"/>
      <c r="Q499" s="173"/>
      <c r="R499" s="119"/>
      <c r="S499" s="303"/>
      <c r="T499" s="117"/>
      <c r="U499" s="312"/>
      <c r="V499" s="117"/>
      <c r="W499" s="296"/>
      <c r="X499" s="296"/>
    </row>
    <row r="500" spans="1:24" s="306" customFormat="1" ht="16.5" thickBot="1" x14ac:dyDescent="0.3">
      <c r="A500" s="142"/>
      <c r="B500" s="145"/>
      <c r="C500" s="305"/>
      <c r="D500" s="305"/>
      <c r="E500" s="305"/>
      <c r="F500" s="724"/>
      <c r="G500" s="305"/>
      <c r="H500" s="122"/>
      <c r="I500" s="305"/>
      <c r="J500" s="304"/>
      <c r="K500" s="305"/>
      <c r="L500" s="305"/>
      <c r="M500" s="122"/>
      <c r="N500" s="305"/>
      <c r="O500" s="304"/>
      <c r="P500" s="122"/>
      <c r="Q500" s="253"/>
      <c r="R500" s="122"/>
      <c r="S500" s="305"/>
      <c r="T500" s="120"/>
      <c r="U500" s="313"/>
      <c r="V500" s="120"/>
      <c r="W500" s="296"/>
      <c r="X500" s="296"/>
    </row>
    <row r="501" spans="1:24" ht="15.75" x14ac:dyDescent="0.25">
      <c r="A501" s="142"/>
      <c r="B501" s="143"/>
      <c r="C501" s="300"/>
      <c r="D501" s="300"/>
      <c r="E501" s="300"/>
      <c r="F501" s="300"/>
      <c r="G501" s="300"/>
      <c r="H501" s="134"/>
      <c r="I501" s="300"/>
      <c r="J501" s="299"/>
      <c r="K501" s="300"/>
      <c r="L501" s="300"/>
      <c r="M501" s="134"/>
      <c r="N501" s="300"/>
      <c r="O501" s="299"/>
      <c r="P501" s="134"/>
      <c r="Q501" s="301"/>
      <c r="R501" s="134"/>
      <c r="S501" s="300"/>
      <c r="T501" s="132"/>
      <c r="U501" s="311"/>
      <c r="V501" s="132"/>
      <c r="W501" s="296"/>
      <c r="X501" s="296"/>
    </row>
    <row r="502" spans="1:24" ht="16.5" thickBot="1" x14ac:dyDescent="0.3">
      <c r="A502" s="142"/>
      <c r="B502" s="144"/>
      <c r="C502" s="303"/>
      <c r="D502" s="303"/>
      <c r="E502" s="303"/>
      <c r="F502" s="303"/>
      <c r="G502" s="303"/>
      <c r="H502" s="119"/>
      <c r="I502" s="303"/>
      <c r="J502" s="302"/>
      <c r="K502" s="303"/>
      <c r="L502" s="303"/>
      <c r="M502" s="119"/>
      <c r="N502" s="303"/>
      <c r="O502" s="302"/>
      <c r="P502" s="119"/>
      <c r="Q502" s="173"/>
      <c r="R502" s="119"/>
      <c r="S502" s="303"/>
      <c r="T502" s="117"/>
      <c r="U502" s="312"/>
      <c r="V502" s="117"/>
      <c r="W502" s="296"/>
      <c r="X502" s="296"/>
    </row>
    <row r="503" spans="1:24" s="306" customFormat="1" ht="16.5" thickBot="1" x14ac:dyDescent="0.3">
      <c r="A503" s="142"/>
      <c r="B503" s="145"/>
      <c r="C503" s="305"/>
      <c r="D503" s="305"/>
      <c r="E503" s="305"/>
      <c r="F503" s="724"/>
      <c r="G503" s="305"/>
      <c r="H503" s="122"/>
      <c r="I503" s="305"/>
      <c r="J503" s="304"/>
      <c r="K503" s="305"/>
      <c r="L503" s="305"/>
      <c r="M503" s="122"/>
      <c r="N503" s="305"/>
      <c r="O503" s="304"/>
      <c r="P503" s="122"/>
      <c r="Q503" s="253"/>
      <c r="R503" s="122"/>
      <c r="S503" s="305"/>
      <c r="T503" s="120"/>
      <c r="U503" s="313"/>
      <c r="V503" s="120"/>
      <c r="W503" s="296"/>
      <c r="X503" s="296"/>
    </row>
    <row r="504" spans="1:24" ht="15.75" x14ac:dyDescent="0.25">
      <c r="A504" s="142"/>
      <c r="B504" s="143"/>
      <c r="C504" s="300"/>
      <c r="D504" s="300"/>
      <c r="E504" s="300"/>
      <c r="F504" s="300"/>
      <c r="G504" s="300"/>
      <c r="H504" s="134"/>
      <c r="I504" s="300"/>
      <c r="J504" s="299"/>
      <c r="K504" s="300"/>
      <c r="L504" s="300"/>
      <c r="M504" s="134"/>
      <c r="N504" s="300"/>
      <c r="O504" s="299"/>
      <c r="P504" s="134"/>
      <c r="Q504" s="301"/>
      <c r="R504" s="134"/>
      <c r="S504" s="300"/>
      <c r="T504" s="132"/>
      <c r="U504" s="311"/>
      <c r="V504" s="132"/>
      <c r="W504" s="296"/>
      <c r="X504" s="296"/>
    </row>
    <row r="505" spans="1:24" ht="15.75" x14ac:dyDescent="0.25">
      <c r="A505" s="142"/>
      <c r="B505" s="144"/>
      <c r="C505" s="303"/>
      <c r="D505" s="303"/>
      <c r="E505" s="303"/>
      <c r="F505" s="303"/>
      <c r="G505" s="303"/>
      <c r="H505" s="119"/>
      <c r="I505" s="303"/>
      <c r="J505" s="302"/>
      <c r="K505" s="303"/>
      <c r="L505" s="303"/>
      <c r="M505" s="119"/>
      <c r="N505" s="303"/>
      <c r="O505" s="302"/>
      <c r="P505" s="119"/>
      <c r="Q505" s="173"/>
      <c r="R505" s="119"/>
      <c r="S505" s="303"/>
      <c r="T505" s="117"/>
      <c r="U505" s="312"/>
      <c r="V505" s="117"/>
      <c r="W505" s="296"/>
      <c r="X505" s="296"/>
    </row>
    <row r="506" spans="1:24" s="306" customFormat="1" ht="15.75" x14ac:dyDescent="0.25">
      <c r="A506" s="142"/>
      <c r="B506" s="145"/>
      <c r="C506" s="305"/>
      <c r="D506" s="305"/>
      <c r="E506" s="305"/>
      <c r="F506" s="305"/>
      <c r="G506" s="305"/>
      <c r="H506" s="122"/>
      <c r="I506" s="305"/>
      <c r="J506" s="304"/>
      <c r="K506" s="305"/>
      <c r="L506" s="305"/>
      <c r="M506" s="122"/>
      <c r="N506" s="305"/>
      <c r="O506" s="304"/>
      <c r="P506" s="122"/>
      <c r="Q506" s="253"/>
      <c r="R506" s="122"/>
      <c r="S506" s="305"/>
      <c r="T506" s="120"/>
      <c r="U506" s="313"/>
      <c r="V506" s="120"/>
      <c r="W506" s="296"/>
      <c r="X506" s="296"/>
    </row>
    <row r="507" spans="1:24" ht="15.75" x14ac:dyDescent="0.25">
      <c r="A507" s="142"/>
      <c r="B507" s="143"/>
      <c r="C507" s="300"/>
      <c r="D507" s="300"/>
      <c r="E507" s="300"/>
      <c r="F507" s="300"/>
      <c r="G507" s="300"/>
      <c r="H507" s="134"/>
      <c r="I507" s="300"/>
      <c r="J507" s="299"/>
      <c r="K507" s="300"/>
      <c r="L507" s="300"/>
      <c r="M507" s="134"/>
      <c r="N507" s="300"/>
      <c r="O507" s="299"/>
      <c r="P507" s="134"/>
      <c r="Q507" s="301"/>
      <c r="R507" s="134"/>
      <c r="S507" s="300"/>
      <c r="T507" s="132"/>
      <c r="U507" s="311"/>
      <c r="V507" s="132"/>
      <c r="W507" s="296"/>
      <c r="X507" s="296"/>
    </row>
    <row r="508" spans="1:24" ht="15.75" x14ac:dyDescent="0.25">
      <c r="A508" s="142"/>
      <c r="B508" s="144"/>
      <c r="C508" s="303"/>
      <c r="D508" s="303"/>
      <c r="E508" s="303"/>
      <c r="F508" s="303"/>
      <c r="G508" s="303"/>
      <c r="H508" s="119"/>
      <c r="I508" s="303"/>
      <c r="J508" s="302"/>
      <c r="K508" s="303"/>
      <c r="L508" s="303"/>
      <c r="M508" s="119"/>
      <c r="N508" s="303"/>
      <c r="O508" s="302"/>
      <c r="P508" s="119"/>
      <c r="Q508" s="173"/>
      <c r="R508" s="119"/>
      <c r="S508" s="303"/>
      <c r="T508" s="117"/>
      <c r="U508" s="312"/>
      <c r="V508" s="117"/>
      <c r="W508" s="296"/>
      <c r="X508" s="296"/>
    </row>
    <row r="509" spans="1:24" s="306" customFormat="1" ht="15.75" x14ac:dyDescent="0.25">
      <c r="A509" s="142"/>
      <c r="B509" s="145"/>
      <c r="C509" s="305"/>
      <c r="D509" s="305"/>
      <c r="E509" s="305"/>
      <c r="F509" s="305"/>
      <c r="G509" s="305"/>
      <c r="H509" s="122"/>
      <c r="I509" s="305"/>
      <c r="J509" s="304"/>
      <c r="K509" s="305"/>
      <c r="L509" s="305"/>
      <c r="M509" s="122"/>
      <c r="N509" s="305"/>
      <c r="O509" s="304"/>
      <c r="P509" s="122"/>
      <c r="Q509" s="253"/>
      <c r="R509" s="122"/>
      <c r="S509" s="305"/>
      <c r="T509" s="120"/>
      <c r="U509" s="313"/>
      <c r="V509" s="120"/>
      <c r="W509" s="296"/>
      <c r="X509" s="296"/>
    </row>
    <row r="510" spans="1:24" ht="15.75" x14ac:dyDescent="0.25">
      <c r="A510" s="142"/>
      <c r="B510" s="143"/>
      <c r="C510" s="300"/>
      <c r="D510" s="300"/>
      <c r="E510" s="300"/>
      <c r="F510" s="300"/>
      <c r="G510" s="300"/>
      <c r="H510" s="134"/>
      <c r="I510" s="300"/>
      <c r="J510" s="299"/>
      <c r="K510" s="300"/>
      <c r="L510" s="300"/>
      <c r="M510" s="134"/>
      <c r="N510" s="300"/>
      <c r="O510" s="299"/>
      <c r="P510" s="134"/>
      <c r="Q510" s="301"/>
      <c r="R510" s="134"/>
      <c r="S510" s="300"/>
      <c r="T510" s="132"/>
      <c r="U510" s="311"/>
      <c r="V510" s="132"/>
      <c r="W510" s="296"/>
      <c r="X510" s="296"/>
    </row>
    <row r="511" spans="1:24" ht="15.75" x14ac:dyDescent="0.25">
      <c r="A511" s="142"/>
      <c r="B511" s="144"/>
      <c r="C511" s="303"/>
      <c r="D511" s="303"/>
      <c r="E511" s="303"/>
      <c r="F511" s="303"/>
      <c r="G511" s="303"/>
      <c r="H511" s="119"/>
      <c r="I511" s="303"/>
      <c r="J511" s="302"/>
      <c r="K511" s="303"/>
      <c r="L511" s="303"/>
      <c r="M511" s="119"/>
      <c r="N511" s="303"/>
      <c r="O511" s="302"/>
      <c r="P511" s="119"/>
      <c r="Q511" s="173"/>
      <c r="R511" s="119"/>
      <c r="S511" s="303"/>
      <c r="T511" s="117"/>
      <c r="U511" s="312"/>
      <c r="V511" s="117"/>
      <c r="W511" s="296"/>
      <c r="X511" s="296"/>
    </row>
    <row r="512" spans="1:24" s="306" customFormat="1" ht="15.75" x14ac:dyDescent="0.25">
      <c r="A512" s="142"/>
      <c r="B512" s="145"/>
      <c r="C512" s="305"/>
      <c r="D512" s="305"/>
      <c r="E512" s="305"/>
      <c r="F512" s="305"/>
      <c r="G512" s="305"/>
      <c r="H512" s="122"/>
      <c r="I512" s="305"/>
      <c r="J512" s="304"/>
      <c r="K512" s="305"/>
      <c r="L512" s="305"/>
      <c r="M512" s="122"/>
      <c r="N512" s="305"/>
      <c r="O512" s="304"/>
      <c r="P512" s="122"/>
      <c r="Q512" s="253"/>
      <c r="R512" s="122"/>
      <c r="S512" s="305"/>
      <c r="T512" s="120"/>
      <c r="U512" s="313"/>
      <c r="V512" s="120"/>
      <c r="W512" s="296"/>
      <c r="X512" s="296"/>
    </row>
    <row r="513" spans="1:24" ht="15.75" x14ac:dyDescent="0.25">
      <c r="A513" s="142"/>
      <c r="B513" s="143"/>
      <c r="C513" s="300"/>
      <c r="D513" s="300"/>
      <c r="E513" s="300"/>
      <c r="F513" s="300"/>
      <c r="G513" s="300"/>
      <c r="H513" s="134"/>
      <c r="I513" s="300"/>
      <c r="J513" s="299"/>
      <c r="K513" s="300"/>
      <c r="L513" s="300"/>
      <c r="M513" s="134"/>
      <c r="N513" s="300"/>
      <c r="O513" s="299"/>
      <c r="P513" s="134"/>
      <c r="Q513" s="301"/>
      <c r="R513" s="134"/>
      <c r="S513" s="300"/>
      <c r="T513" s="132"/>
      <c r="U513" s="311"/>
      <c r="V513" s="132"/>
      <c r="W513" s="296"/>
      <c r="X513" s="296"/>
    </row>
    <row r="514" spans="1:24" ht="15.75" x14ac:dyDescent="0.25">
      <c r="A514" s="142"/>
      <c r="B514" s="144"/>
      <c r="C514" s="303"/>
      <c r="D514" s="303"/>
      <c r="E514" s="303"/>
      <c r="F514" s="303"/>
      <c r="G514" s="303"/>
      <c r="H514" s="119"/>
      <c r="I514" s="303"/>
      <c r="J514" s="302"/>
      <c r="K514" s="303"/>
      <c r="L514" s="303"/>
      <c r="M514" s="119"/>
      <c r="N514" s="303"/>
      <c r="O514" s="302"/>
      <c r="P514" s="119"/>
      <c r="Q514" s="173"/>
      <c r="R514" s="119"/>
      <c r="S514" s="303"/>
      <c r="T514" s="117"/>
      <c r="U514" s="312"/>
      <c r="V514" s="117"/>
      <c r="W514" s="296"/>
      <c r="X514" s="296"/>
    </row>
    <row r="515" spans="1:24" s="306" customFormat="1" ht="15.75" x14ac:dyDescent="0.25">
      <c r="A515" s="142"/>
      <c r="B515" s="145"/>
      <c r="C515" s="305"/>
      <c r="D515" s="305"/>
      <c r="E515" s="305"/>
      <c r="F515" s="305"/>
      <c r="G515" s="305"/>
      <c r="H515" s="122"/>
      <c r="I515" s="305"/>
      <c r="J515" s="304"/>
      <c r="K515" s="305"/>
      <c r="L515" s="305"/>
      <c r="M515" s="122"/>
      <c r="N515" s="305"/>
      <c r="O515" s="304"/>
      <c r="P515" s="122"/>
      <c r="Q515" s="253"/>
      <c r="R515" s="122"/>
      <c r="S515" s="305"/>
      <c r="T515" s="120"/>
      <c r="U515" s="313"/>
      <c r="V515" s="120"/>
      <c r="W515" s="296"/>
      <c r="X515" s="296"/>
    </row>
    <row r="516" spans="1:24" ht="15.75" x14ac:dyDescent="0.25">
      <c r="A516" s="142"/>
      <c r="B516" s="143"/>
      <c r="C516" s="300"/>
      <c r="D516" s="300"/>
      <c r="E516" s="300"/>
      <c r="F516" s="300"/>
      <c r="G516" s="300"/>
      <c r="H516" s="134"/>
      <c r="I516" s="300"/>
      <c r="J516" s="299"/>
      <c r="K516" s="300"/>
      <c r="L516" s="300"/>
      <c r="M516" s="134"/>
      <c r="N516" s="300"/>
      <c r="O516" s="299"/>
      <c r="P516" s="134"/>
      <c r="Q516" s="301"/>
      <c r="R516" s="134"/>
      <c r="S516" s="300"/>
      <c r="T516" s="132"/>
      <c r="U516" s="311"/>
      <c r="V516" s="132"/>
      <c r="W516" s="296"/>
      <c r="X516" s="296"/>
    </row>
    <row r="517" spans="1:24" ht="15.75" x14ac:dyDescent="0.25">
      <c r="A517" s="142"/>
      <c r="B517" s="144"/>
      <c r="C517" s="303"/>
      <c r="D517" s="303"/>
      <c r="E517" s="303"/>
      <c r="F517" s="303"/>
      <c r="G517" s="303"/>
      <c r="H517" s="119"/>
      <c r="I517" s="303"/>
      <c r="J517" s="302"/>
      <c r="K517" s="303"/>
      <c r="L517" s="303"/>
      <c r="M517" s="119"/>
      <c r="N517" s="303"/>
      <c r="O517" s="302"/>
      <c r="P517" s="119"/>
      <c r="Q517" s="173"/>
      <c r="R517" s="119"/>
      <c r="S517" s="303"/>
      <c r="T517" s="117"/>
      <c r="U517" s="312"/>
      <c r="V517" s="117"/>
      <c r="W517" s="296"/>
      <c r="X517" s="296"/>
    </row>
    <row r="518" spans="1:24" s="306" customFormat="1" ht="15.75" x14ac:dyDescent="0.25">
      <c r="A518" s="142"/>
      <c r="B518" s="145"/>
      <c r="C518" s="305"/>
      <c r="D518" s="305"/>
      <c r="E518" s="305"/>
      <c r="F518" s="305"/>
      <c r="G518" s="305"/>
      <c r="H518" s="122"/>
      <c r="I518" s="305"/>
      <c r="J518" s="304"/>
      <c r="K518" s="305"/>
      <c r="L518" s="305"/>
      <c r="M518" s="122"/>
      <c r="N518" s="305"/>
      <c r="O518" s="304"/>
      <c r="P518" s="122"/>
      <c r="Q518" s="253"/>
      <c r="R518" s="122"/>
      <c r="S518" s="305"/>
      <c r="T518" s="120"/>
      <c r="U518" s="313"/>
      <c r="V518" s="120"/>
      <c r="W518" s="296"/>
      <c r="X518" s="296"/>
    </row>
    <row r="519" spans="1:24" ht="15.75" x14ac:dyDescent="0.25">
      <c r="A519" s="142"/>
      <c r="B519" s="143"/>
      <c r="C519" s="300"/>
      <c r="D519" s="300"/>
      <c r="E519" s="300"/>
      <c r="F519" s="300"/>
      <c r="G519" s="300"/>
      <c r="H519" s="134"/>
      <c r="I519" s="300"/>
      <c r="J519" s="299"/>
      <c r="K519" s="300"/>
      <c r="L519" s="300"/>
      <c r="M519" s="134"/>
      <c r="N519" s="300"/>
      <c r="O519" s="299"/>
      <c r="P519" s="134"/>
      <c r="Q519" s="301"/>
      <c r="R519" s="134"/>
      <c r="S519" s="300"/>
      <c r="T519" s="132"/>
      <c r="U519" s="311"/>
      <c r="V519" s="132"/>
      <c r="W519" s="296"/>
      <c r="X519" s="296"/>
    </row>
    <row r="520" spans="1:24" ht="15.75" x14ac:dyDescent="0.25">
      <c r="A520" s="142"/>
      <c r="B520" s="144"/>
      <c r="C520" s="303"/>
      <c r="D520" s="303"/>
      <c r="E520" s="303"/>
      <c r="F520" s="303"/>
      <c r="G520" s="303"/>
      <c r="H520" s="119"/>
      <c r="I520" s="303"/>
      <c r="J520" s="302"/>
      <c r="K520" s="303"/>
      <c r="L520" s="303"/>
      <c r="M520" s="119"/>
      <c r="N520" s="303"/>
      <c r="O520" s="302"/>
      <c r="P520" s="119"/>
      <c r="Q520" s="173"/>
      <c r="R520" s="119"/>
      <c r="S520" s="303"/>
      <c r="T520" s="117"/>
      <c r="U520" s="312"/>
      <c r="V520" s="117"/>
      <c r="W520" s="296"/>
      <c r="X520" s="296"/>
    </row>
    <row r="521" spans="1:24" s="306" customFormat="1" ht="15.75" x14ac:dyDescent="0.25">
      <c r="A521" s="142"/>
      <c r="B521" s="145"/>
      <c r="C521" s="305"/>
      <c r="D521" s="305"/>
      <c r="E521" s="305"/>
      <c r="F521" s="305"/>
      <c r="G521" s="305"/>
      <c r="H521" s="122"/>
      <c r="I521" s="305"/>
      <c r="J521" s="304"/>
      <c r="K521" s="305"/>
      <c r="L521" s="305"/>
      <c r="M521" s="122"/>
      <c r="N521" s="305"/>
      <c r="O521" s="304"/>
      <c r="P521" s="122"/>
      <c r="Q521" s="253"/>
      <c r="R521" s="122"/>
      <c r="S521" s="305"/>
      <c r="T521" s="120"/>
      <c r="U521" s="313"/>
      <c r="V521" s="120"/>
      <c r="W521" s="296"/>
      <c r="X521" s="296"/>
    </row>
    <row r="522" spans="1:24" ht="15.75" x14ac:dyDescent="0.25">
      <c r="A522" s="142"/>
      <c r="B522" s="143"/>
      <c r="C522" s="300"/>
      <c r="D522" s="300"/>
      <c r="E522" s="300"/>
      <c r="F522" s="300"/>
      <c r="G522" s="300"/>
      <c r="H522" s="134"/>
      <c r="I522" s="300"/>
      <c r="J522" s="299"/>
      <c r="K522" s="300"/>
      <c r="L522" s="300"/>
      <c r="M522" s="134"/>
      <c r="N522" s="300"/>
      <c r="O522" s="299"/>
      <c r="P522" s="134"/>
      <c r="Q522" s="301"/>
      <c r="R522" s="134"/>
      <c r="S522" s="300"/>
      <c r="T522" s="132"/>
      <c r="U522" s="311"/>
      <c r="V522" s="132"/>
      <c r="W522" s="296"/>
      <c r="X522" s="296"/>
    </row>
    <row r="523" spans="1:24" ht="15.75" x14ac:dyDescent="0.25">
      <c r="A523" s="142"/>
      <c r="B523" s="144"/>
      <c r="C523" s="303"/>
      <c r="D523" s="303"/>
      <c r="E523" s="303"/>
      <c r="F523" s="303"/>
      <c r="G523" s="303"/>
      <c r="H523" s="119"/>
      <c r="I523" s="303"/>
      <c r="J523" s="302"/>
      <c r="K523" s="303"/>
      <c r="L523" s="303"/>
      <c r="M523" s="119"/>
      <c r="N523" s="303"/>
      <c r="O523" s="302"/>
      <c r="P523" s="119"/>
      <c r="Q523" s="173"/>
      <c r="R523" s="119"/>
      <c r="S523" s="303"/>
      <c r="T523" s="117"/>
      <c r="U523" s="312"/>
      <c r="V523" s="117"/>
      <c r="W523" s="296"/>
      <c r="X523" s="296"/>
    </row>
    <row r="524" spans="1:24" s="306" customFormat="1" ht="15.75" x14ac:dyDescent="0.25">
      <c r="A524" s="142"/>
      <c r="B524" s="145"/>
      <c r="C524" s="305"/>
      <c r="D524" s="305"/>
      <c r="E524" s="305"/>
      <c r="F524" s="305"/>
      <c r="G524" s="305"/>
      <c r="H524" s="122"/>
      <c r="I524" s="305"/>
      <c r="J524" s="304"/>
      <c r="K524" s="305"/>
      <c r="L524" s="305"/>
      <c r="M524" s="122"/>
      <c r="N524" s="305"/>
      <c r="O524" s="304"/>
      <c r="P524" s="122"/>
      <c r="Q524" s="253"/>
      <c r="R524" s="122"/>
      <c r="S524" s="305"/>
      <c r="T524" s="120"/>
      <c r="U524" s="313"/>
      <c r="V524" s="120"/>
      <c r="W524" s="296"/>
      <c r="X524" s="296"/>
    </row>
    <row r="525" spans="1:24" ht="15.75" x14ac:dyDescent="0.25">
      <c r="A525" s="142"/>
      <c r="B525" s="143"/>
      <c r="C525" s="300"/>
      <c r="D525" s="300"/>
      <c r="E525" s="300"/>
      <c r="F525" s="300"/>
      <c r="G525" s="300"/>
      <c r="H525" s="134"/>
      <c r="I525" s="300"/>
      <c r="J525" s="299"/>
      <c r="K525" s="300"/>
      <c r="L525" s="300"/>
      <c r="M525" s="134"/>
      <c r="N525" s="300"/>
      <c r="O525" s="299"/>
      <c r="P525" s="134"/>
      <c r="Q525" s="301"/>
      <c r="R525" s="134"/>
      <c r="S525" s="300"/>
      <c r="T525" s="132"/>
      <c r="U525" s="311"/>
      <c r="V525" s="132"/>
      <c r="W525" s="296"/>
      <c r="X525" s="296"/>
    </row>
    <row r="526" spans="1:24" ht="15.75" x14ac:dyDescent="0.25">
      <c r="A526" s="142"/>
      <c r="B526" s="144"/>
      <c r="C526" s="303"/>
      <c r="D526" s="303"/>
      <c r="E526" s="303"/>
      <c r="F526" s="303"/>
      <c r="G526" s="303"/>
      <c r="H526" s="119"/>
      <c r="I526" s="303"/>
      <c r="J526" s="302"/>
      <c r="K526" s="303"/>
      <c r="L526" s="303"/>
      <c r="M526" s="119"/>
      <c r="N526" s="303"/>
      <c r="O526" s="302"/>
      <c r="P526" s="119"/>
      <c r="Q526" s="173"/>
      <c r="R526" s="119"/>
      <c r="S526" s="303"/>
      <c r="T526" s="117"/>
      <c r="U526" s="312"/>
      <c r="V526" s="117"/>
      <c r="W526" s="296"/>
      <c r="X526" s="296"/>
    </row>
    <row r="527" spans="1:24" s="306" customFormat="1" ht="15.75" x14ac:dyDescent="0.25">
      <c r="A527" s="142"/>
      <c r="B527" s="145"/>
      <c r="C527" s="305"/>
      <c r="D527" s="305"/>
      <c r="E527" s="305"/>
      <c r="F527" s="305"/>
      <c r="G527" s="305"/>
      <c r="H527" s="122"/>
      <c r="I527" s="305"/>
      <c r="J527" s="304"/>
      <c r="K527" s="305"/>
      <c r="L527" s="305"/>
      <c r="M527" s="122"/>
      <c r="N527" s="305"/>
      <c r="O527" s="304"/>
      <c r="P527" s="122"/>
      <c r="Q527" s="253"/>
      <c r="R527" s="122"/>
      <c r="S527" s="305"/>
      <c r="T527" s="120"/>
      <c r="U527" s="313"/>
      <c r="V527" s="120"/>
      <c r="W527" s="296"/>
      <c r="X527" s="296"/>
    </row>
    <row r="528" spans="1:24" ht="15.75" x14ac:dyDescent="0.25">
      <c r="A528" s="142"/>
      <c r="B528" s="143"/>
      <c r="C528" s="300"/>
      <c r="D528" s="300"/>
      <c r="E528" s="300"/>
      <c r="F528" s="300"/>
      <c r="G528" s="300"/>
      <c r="H528" s="134"/>
      <c r="I528" s="300"/>
      <c r="J528" s="299"/>
      <c r="K528" s="300"/>
      <c r="L528" s="300"/>
      <c r="M528" s="134"/>
      <c r="N528" s="300"/>
      <c r="O528" s="299"/>
      <c r="P528" s="134"/>
      <c r="Q528" s="301"/>
      <c r="R528" s="134"/>
      <c r="S528" s="300"/>
      <c r="T528" s="132"/>
      <c r="U528" s="311"/>
      <c r="V528" s="132"/>
      <c r="W528" s="296"/>
      <c r="X528" s="296"/>
    </row>
    <row r="529" spans="1:24" ht="15.75" x14ac:dyDescent="0.25">
      <c r="A529" s="142"/>
      <c r="B529" s="144"/>
      <c r="C529" s="303"/>
      <c r="D529" s="303"/>
      <c r="E529" s="303"/>
      <c r="F529" s="303"/>
      <c r="G529" s="303"/>
      <c r="H529" s="119"/>
      <c r="I529" s="303"/>
      <c r="J529" s="302"/>
      <c r="K529" s="303"/>
      <c r="L529" s="303"/>
      <c r="M529" s="119"/>
      <c r="N529" s="303"/>
      <c r="O529" s="302"/>
      <c r="P529" s="119"/>
      <c r="Q529" s="173"/>
      <c r="R529" s="119"/>
      <c r="S529" s="303"/>
      <c r="T529" s="117"/>
      <c r="U529" s="312"/>
      <c r="V529" s="117"/>
      <c r="W529" s="296"/>
      <c r="X529" s="296"/>
    </row>
    <row r="530" spans="1:24" s="306" customFormat="1" ht="15.75" x14ac:dyDescent="0.25">
      <c r="A530" s="142"/>
      <c r="B530" s="145"/>
      <c r="C530" s="305"/>
      <c r="D530" s="305"/>
      <c r="E530" s="305"/>
      <c r="F530" s="305"/>
      <c r="G530" s="305"/>
      <c r="H530" s="122"/>
      <c r="I530" s="305"/>
      <c r="J530" s="304"/>
      <c r="K530" s="305"/>
      <c r="L530" s="305"/>
      <c r="M530" s="122"/>
      <c r="N530" s="305"/>
      <c r="O530" s="304"/>
      <c r="P530" s="122"/>
      <c r="Q530" s="253"/>
      <c r="R530" s="122"/>
      <c r="S530" s="305"/>
      <c r="T530" s="120"/>
      <c r="U530" s="313"/>
      <c r="V530" s="120"/>
      <c r="W530" s="296"/>
      <c r="X530" s="296"/>
    </row>
    <row r="531" spans="1:24" ht="15.75" x14ac:dyDescent="0.25">
      <c r="A531" s="142"/>
      <c r="B531" s="143"/>
      <c r="C531" s="300"/>
      <c r="D531" s="300"/>
      <c r="E531" s="300"/>
      <c r="F531" s="300"/>
      <c r="G531" s="300"/>
      <c r="H531" s="134"/>
      <c r="I531" s="300"/>
      <c r="J531" s="299"/>
      <c r="K531" s="300"/>
      <c r="L531" s="300"/>
      <c r="M531" s="134"/>
      <c r="N531" s="300"/>
      <c r="O531" s="299"/>
      <c r="P531" s="134"/>
      <c r="Q531" s="301"/>
      <c r="R531" s="134"/>
      <c r="S531" s="300"/>
      <c r="T531" s="132"/>
      <c r="U531" s="311"/>
      <c r="V531" s="132"/>
      <c r="W531" s="296"/>
      <c r="X531" s="296"/>
    </row>
    <row r="532" spans="1:24" ht="15.75" x14ac:dyDescent="0.25">
      <c r="A532" s="142"/>
      <c r="B532" s="144"/>
      <c r="C532" s="303"/>
      <c r="D532" s="303"/>
      <c r="E532" s="303"/>
      <c r="F532" s="303"/>
      <c r="G532" s="303"/>
      <c r="H532" s="119"/>
      <c r="I532" s="303"/>
      <c r="J532" s="302"/>
      <c r="K532" s="303"/>
      <c r="L532" s="303"/>
      <c r="M532" s="119"/>
      <c r="N532" s="303"/>
      <c r="O532" s="302"/>
      <c r="P532" s="119"/>
      <c r="Q532" s="173"/>
      <c r="R532" s="119"/>
      <c r="S532" s="303"/>
      <c r="T532" s="117"/>
      <c r="U532" s="312"/>
      <c r="V532" s="117"/>
      <c r="W532" s="296"/>
      <c r="X532" s="296"/>
    </row>
    <row r="533" spans="1:24" s="306" customFormat="1" ht="15.75" x14ac:dyDescent="0.25">
      <c r="A533" s="142"/>
      <c r="B533" s="145"/>
      <c r="C533" s="305"/>
      <c r="D533" s="305"/>
      <c r="E533" s="305"/>
      <c r="F533" s="305"/>
      <c r="G533" s="305"/>
      <c r="H533" s="122"/>
      <c r="I533" s="305"/>
      <c r="J533" s="304"/>
      <c r="K533" s="305"/>
      <c r="L533" s="305"/>
      <c r="M533" s="122"/>
      <c r="N533" s="305"/>
      <c r="O533" s="304"/>
      <c r="P533" s="122"/>
      <c r="Q533" s="253"/>
      <c r="R533" s="122"/>
      <c r="S533" s="305"/>
      <c r="T533" s="120"/>
      <c r="U533" s="313"/>
      <c r="V533" s="120"/>
      <c r="W533" s="296"/>
      <c r="X533" s="296"/>
    </row>
    <row r="534" spans="1:24" ht="15.75" x14ac:dyDescent="0.25">
      <c r="A534" s="142"/>
      <c r="B534" s="143"/>
      <c r="C534" s="300"/>
      <c r="D534" s="300"/>
      <c r="E534" s="300"/>
      <c r="F534" s="300"/>
      <c r="G534" s="300"/>
      <c r="H534" s="134"/>
      <c r="I534" s="300"/>
      <c r="J534" s="299"/>
      <c r="K534" s="300"/>
      <c r="L534" s="300"/>
      <c r="M534" s="134"/>
      <c r="N534" s="300"/>
      <c r="O534" s="299"/>
      <c r="P534" s="134"/>
      <c r="Q534" s="301"/>
      <c r="R534" s="134"/>
      <c r="S534" s="300"/>
      <c r="T534" s="132"/>
      <c r="U534" s="311"/>
      <c r="V534" s="132"/>
      <c r="W534" s="296"/>
      <c r="X534" s="296"/>
    </row>
    <row r="535" spans="1:24" ht="15.75" x14ac:dyDescent="0.25">
      <c r="A535" s="294"/>
      <c r="B535" s="144"/>
      <c r="C535" s="303"/>
      <c r="D535" s="303"/>
      <c r="E535" s="303"/>
      <c r="F535" s="303"/>
      <c r="G535" s="303"/>
      <c r="H535" s="119"/>
      <c r="I535" s="303"/>
      <c r="J535" s="302"/>
      <c r="K535" s="303"/>
      <c r="L535" s="303"/>
      <c r="M535" s="119"/>
      <c r="N535" s="303"/>
      <c r="O535" s="302"/>
      <c r="P535" s="119"/>
      <c r="Q535" s="173"/>
      <c r="R535" s="119"/>
      <c r="S535" s="303"/>
      <c r="T535" s="117"/>
      <c r="U535" s="312"/>
      <c r="V535" s="117"/>
      <c r="W535" s="296"/>
      <c r="X535" s="296"/>
    </row>
    <row r="536" spans="1:24" s="306" customFormat="1" ht="15.75" x14ac:dyDescent="0.25">
      <c r="A536" s="141"/>
      <c r="B536" s="143"/>
      <c r="C536" s="300"/>
      <c r="D536" s="300"/>
      <c r="E536" s="300"/>
      <c r="F536" s="300"/>
      <c r="G536" s="300"/>
      <c r="H536" s="134"/>
      <c r="I536" s="300"/>
      <c r="J536" s="299"/>
      <c r="K536" s="300"/>
      <c r="L536" s="300"/>
      <c r="M536" s="134"/>
      <c r="N536" s="300"/>
      <c r="O536" s="299"/>
      <c r="P536" s="134"/>
      <c r="Q536" s="301"/>
      <c r="R536" s="134"/>
      <c r="S536" s="300"/>
      <c r="T536" s="132"/>
      <c r="U536" s="311"/>
      <c r="V536" s="132"/>
      <c r="W536" s="296"/>
      <c r="X536" s="296"/>
    </row>
    <row r="537" spans="1:24" ht="16.5" thickBot="1" x14ac:dyDescent="0.3">
      <c r="A537" s="142"/>
      <c r="B537" s="144"/>
      <c r="C537" s="303"/>
      <c r="D537" s="303"/>
      <c r="E537" s="303"/>
      <c r="F537" s="303"/>
      <c r="G537" s="303"/>
      <c r="H537" s="119"/>
      <c r="I537" s="303"/>
      <c r="J537" s="302"/>
      <c r="K537" s="303"/>
      <c r="L537" s="303"/>
      <c r="M537" s="119"/>
      <c r="N537" s="303"/>
      <c r="O537" s="302"/>
      <c r="P537" s="119"/>
      <c r="Q537" s="173"/>
      <c r="R537" s="119"/>
      <c r="S537" s="303"/>
      <c r="T537" s="117"/>
      <c r="U537" s="312"/>
      <c r="V537" s="117"/>
      <c r="W537" s="296"/>
      <c r="X537" s="296"/>
    </row>
    <row r="538" spans="1:24" ht="16.5" thickBot="1" x14ac:dyDescent="0.3">
      <c r="A538" s="142"/>
      <c r="B538" s="145"/>
      <c r="C538" s="305"/>
      <c r="D538" s="305"/>
      <c r="E538" s="305"/>
      <c r="F538" s="305"/>
      <c r="G538" s="305"/>
      <c r="H538" s="122"/>
      <c r="I538" s="305"/>
      <c r="J538" s="724"/>
      <c r="K538" s="724"/>
      <c r="L538" s="724"/>
      <c r="M538" s="122"/>
      <c r="N538" s="305"/>
      <c r="O538" s="304"/>
      <c r="P538" s="122"/>
      <c r="Q538" s="253"/>
      <c r="R538" s="122"/>
      <c r="S538" s="305"/>
      <c r="T538" s="120"/>
      <c r="U538" s="313"/>
      <c r="V538" s="120"/>
      <c r="W538" s="296"/>
      <c r="X538" s="296"/>
    </row>
    <row r="539" spans="1:24" s="306" customFormat="1" ht="15.75" x14ac:dyDescent="0.25">
      <c r="A539" s="142"/>
      <c r="B539" s="143"/>
      <c r="C539" s="300"/>
      <c r="D539" s="300"/>
      <c r="E539" s="300"/>
      <c r="F539" s="300"/>
      <c r="G539" s="300"/>
      <c r="H539" s="134"/>
      <c r="I539" s="300"/>
      <c r="J539" s="299"/>
      <c r="K539" s="300"/>
      <c r="L539" s="300"/>
      <c r="M539" s="134"/>
      <c r="N539" s="300"/>
      <c r="O539" s="299"/>
      <c r="P539" s="134"/>
      <c r="Q539" s="301"/>
      <c r="R539" s="134"/>
      <c r="S539" s="300"/>
      <c r="T539" s="132"/>
      <c r="U539" s="311"/>
      <c r="V539" s="132"/>
      <c r="W539" s="296"/>
      <c r="X539" s="296"/>
    </row>
    <row r="540" spans="1:24" ht="16.5" thickBot="1" x14ac:dyDescent="0.3">
      <c r="A540" s="142"/>
      <c r="B540" s="144"/>
      <c r="C540" s="303"/>
      <c r="D540" s="303"/>
      <c r="E540" s="303"/>
      <c r="F540" s="303"/>
      <c r="G540" s="303"/>
      <c r="H540" s="119"/>
      <c r="I540" s="303"/>
      <c r="J540" s="302"/>
      <c r="K540" s="303"/>
      <c r="L540" s="303"/>
      <c r="M540" s="119"/>
      <c r="N540" s="303"/>
      <c r="O540" s="302"/>
      <c r="P540" s="119"/>
      <c r="Q540" s="173"/>
      <c r="R540" s="119"/>
      <c r="S540" s="303"/>
      <c r="T540" s="117"/>
      <c r="U540" s="312"/>
      <c r="V540" s="117"/>
      <c r="W540" s="296"/>
      <c r="X540" s="296"/>
    </row>
    <row r="541" spans="1:24" ht="16.5" thickBot="1" x14ac:dyDescent="0.3">
      <c r="A541" s="142"/>
      <c r="B541" s="145"/>
      <c r="C541" s="305"/>
      <c r="D541" s="305"/>
      <c r="E541" s="305"/>
      <c r="F541" s="305"/>
      <c r="G541" s="305"/>
      <c r="H541" s="122"/>
      <c r="I541" s="305"/>
      <c r="J541" s="304"/>
      <c r="K541" s="305"/>
      <c r="L541" s="305"/>
      <c r="M541" s="122"/>
      <c r="N541" s="305"/>
      <c r="O541" s="724"/>
      <c r="P541" s="122"/>
      <c r="Q541" s="253"/>
      <c r="R541" s="122"/>
      <c r="S541" s="305"/>
      <c r="T541" s="120"/>
      <c r="U541" s="313"/>
      <c r="V541" s="120"/>
      <c r="W541" s="296"/>
      <c r="X541" s="296"/>
    </row>
    <row r="542" spans="1:24" s="306" customFormat="1" ht="15.75" x14ac:dyDescent="0.25">
      <c r="A542" s="142"/>
      <c r="B542" s="143"/>
      <c r="C542" s="300"/>
      <c r="D542" s="300"/>
      <c r="E542" s="300"/>
      <c r="F542" s="300"/>
      <c r="G542" s="300"/>
      <c r="H542" s="134"/>
      <c r="I542" s="300"/>
      <c r="J542" s="299"/>
      <c r="K542" s="300"/>
      <c r="L542" s="300"/>
      <c r="M542" s="134"/>
      <c r="N542" s="300"/>
      <c r="O542" s="299"/>
      <c r="P542" s="134"/>
      <c r="Q542" s="301"/>
      <c r="R542" s="134"/>
      <c r="S542" s="300"/>
      <c r="T542" s="132"/>
      <c r="U542" s="311"/>
      <c r="V542" s="132"/>
      <c r="W542" s="296"/>
      <c r="X542" s="296"/>
    </row>
    <row r="543" spans="1:24" ht="16.5" thickBot="1" x14ac:dyDescent="0.3">
      <c r="A543" s="142"/>
      <c r="B543" s="144"/>
      <c r="C543" s="303"/>
      <c r="D543" s="303"/>
      <c r="E543" s="303"/>
      <c r="F543" s="303"/>
      <c r="G543" s="303"/>
      <c r="H543" s="119"/>
      <c r="I543" s="303"/>
      <c r="J543" s="302"/>
      <c r="K543" s="303"/>
      <c r="L543" s="303"/>
      <c r="M543" s="119"/>
      <c r="N543" s="303"/>
      <c r="O543" s="302"/>
      <c r="P543" s="119"/>
      <c r="Q543" s="173"/>
      <c r="R543" s="119"/>
      <c r="S543" s="303"/>
      <c r="T543" s="117"/>
      <c r="U543" s="312"/>
      <c r="V543" s="117"/>
      <c r="W543" s="296"/>
      <c r="X543" s="296"/>
    </row>
    <row r="544" spans="1:24" ht="16.5" thickBot="1" x14ac:dyDescent="0.3">
      <c r="A544" s="142"/>
      <c r="B544" s="145"/>
      <c r="C544" s="305"/>
      <c r="D544" s="305"/>
      <c r="E544" s="305"/>
      <c r="F544" s="305"/>
      <c r="G544" s="305"/>
      <c r="H544" s="122"/>
      <c r="I544" s="305"/>
      <c r="J544" s="724"/>
      <c r="K544" s="305"/>
      <c r="L544" s="305"/>
      <c r="M544" s="122"/>
      <c r="N544" s="305"/>
      <c r="O544" s="304"/>
      <c r="P544" s="122"/>
      <c r="Q544" s="253"/>
      <c r="R544" s="122"/>
      <c r="S544" s="305"/>
      <c r="T544" s="120"/>
      <c r="U544" s="313"/>
      <c r="V544" s="120"/>
      <c r="W544" s="296"/>
      <c r="X544" s="296"/>
    </row>
    <row r="545" spans="1:24" s="306" customFormat="1" ht="15.75" x14ac:dyDescent="0.25">
      <c r="A545" s="142"/>
      <c r="B545" s="143"/>
      <c r="C545" s="300"/>
      <c r="D545" s="300"/>
      <c r="E545" s="300"/>
      <c r="F545" s="300"/>
      <c r="G545" s="300"/>
      <c r="H545" s="134"/>
      <c r="I545" s="300"/>
      <c r="J545" s="299"/>
      <c r="K545" s="300"/>
      <c r="L545" s="300"/>
      <c r="M545" s="134"/>
      <c r="N545" s="300"/>
      <c r="O545" s="299"/>
      <c r="P545" s="134"/>
      <c r="Q545" s="301"/>
      <c r="R545" s="134"/>
      <c r="S545" s="300"/>
      <c r="T545" s="132"/>
      <c r="U545" s="311"/>
      <c r="V545" s="132"/>
      <c r="W545" s="296"/>
      <c r="X545" s="296"/>
    </row>
    <row r="546" spans="1:24" ht="16.5" thickBot="1" x14ac:dyDescent="0.3">
      <c r="A546" s="142"/>
      <c r="B546" s="144"/>
      <c r="C546" s="303"/>
      <c r="D546" s="303"/>
      <c r="E546" s="303"/>
      <c r="F546" s="303"/>
      <c r="G546" s="303"/>
      <c r="H546" s="119"/>
      <c r="I546" s="303"/>
      <c r="J546" s="302"/>
      <c r="K546" s="303"/>
      <c r="L546" s="303"/>
      <c r="M546" s="119"/>
      <c r="N546" s="303"/>
      <c r="O546" s="302"/>
      <c r="P546" s="119"/>
      <c r="Q546" s="173"/>
      <c r="R546" s="119"/>
      <c r="S546" s="303"/>
      <c r="T546" s="117"/>
      <c r="U546" s="312"/>
      <c r="V546" s="117"/>
      <c r="W546" s="296"/>
      <c r="X546" s="296"/>
    </row>
    <row r="547" spans="1:24" ht="16.5" thickBot="1" x14ac:dyDescent="0.3">
      <c r="A547" s="142"/>
      <c r="B547" s="145"/>
      <c r="C547" s="305"/>
      <c r="D547" s="305"/>
      <c r="E547" s="305"/>
      <c r="F547" s="305"/>
      <c r="G547" s="305"/>
      <c r="H547" s="122"/>
      <c r="I547" s="305"/>
      <c r="J547" s="793"/>
      <c r="K547" s="305"/>
      <c r="L547" s="305"/>
      <c r="M547" s="122"/>
      <c r="N547" s="305"/>
      <c r="O547" s="304"/>
      <c r="P547" s="122"/>
      <c r="Q547" s="253"/>
      <c r="R547" s="122"/>
      <c r="S547" s="305"/>
      <c r="T547" s="120"/>
      <c r="U547" s="313"/>
      <c r="V547" s="120"/>
      <c r="W547" s="296"/>
      <c r="X547" s="296"/>
    </row>
    <row r="548" spans="1:24" s="306" customFormat="1" ht="15.75" x14ac:dyDescent="0.25">
      <c r="A548" s="142"/>
      <c r="B548" s="143"/>
      <c r="C548" s="300"/>
      <c r="D548" s="300"/>
      <c r="E548" s="300"/>
      <c r="F548" s="300"/>
      <c r="G548" s="300"/>
      <c r="H548" s="134"/>
      <c r="I548" s="300"/>
      <c r="J548" s="299"/>
      <c r="K548" s="300"/>
      <c r="L548" s="300"/>
      <c r="M548" s="134"/>
      <c r="N548" s="300"/>
      <c r="O548" s="299"/>
      <c r="P548" s="134"/>
      <c r="Q548" s="301"/>
      <c r="R548" s="134"/>
      <c r="S548" s="300"/>
      <c r="T548" s="132"/>
      <c r="U548" s="311"/>
      <c r="V548" s="132"/>
      <c r="W548" s="296"/>
      <c r="X548" s="296"/>
    </row>
    <row r="549" spans="1:24" ht="16.5" thickBot="1" x14ac:dyDescent="0.3">
      <c r="A549" s="142"/>
      <c r="B549" s="144"/>
      <c r="C549" s="303"/>
      <c r="D549" s="303"/>
      <c r="E549" s="303"/>
      <c r="F549" s="303"/>
      <c r="G549" s="303"/>
      <c r="H549" s="119"/>
      <c r="I549" s="303"/>
      <c r="J549" s="302"/>
      <c r="K549" s="303"/>
      <c r="L549" s="303"/>
      <c r="M549" s="119"/>
      <c r="N549" s="303"/>
      <c r="O549" s="302"/>
      <c r="P549" s="119"/>
      <c r="Q549" s="173"/>
      <c r="R549" s="119"/>
      <c r="S549" s="303"/>
      <c r="T549" s="117"/>
      <c r="U549" s="312"/>
      <c r="V549" s="117"/>
      <c r="W549" s="296"/>
      <c r="X549" s="296"/>
    </row>
    <row r="550" spans="1:24" ht="16.5" thickBot="1" x14ac:dyDescent="0.3">
      <c r="A550" s="142"/>
      <c r="B550" s="145"/>
      <c r="C550" s="724"/>
      <c r="D550" s="305"/>
      <c r="E550" s="305"/>
      <c r="F550" s="305"/>
      <c r="G550" s="305"/>
      <c r="H550" s="122"/>
      <c r="I550" s="305"/>
      <c r="J550" s="304"/>
      <c r="K550" s="305"/>
      <c r="L550" s="305"/>
      <c r="M550" s="122"/>
      <c r="N550" s="305"/>
      <c r="O550" s="304"/>
      <c r="P550" s="122"/>
      <c r="Q550" s="253"/>
      <c r="R550" s="122"/>
      <c r="S550" s="305"/>
      <c r="T550" s="120"/>
      <c r="U550" s="313"/>
      <c r="V550" s="120"/>
      <c r="W550" s="296"/>
      <c r="X550" s="296"/>
    </row>
    <row r="551" spans="1:24" s="306" customFormat="1" ht="15.75" x14ac:dyDescent="0.25">
      <c r="A551" s="142"/>
      <c r="B551" s="143"/>
      <c r="C551" s="300"/>
      <c r="D551" s="300"/>
      <c r="E551" s="300"/>
      <c r="F551" s="300"/>
      <c r="G551" s="300"/>
      <c r="H551" s="134"/>
      <c r="I551" s="300"/>
      <c r="J551" s="299"/>
      <c r="K551" s="300"/>
      <c r="L551" s="300"/>
      <c r="M551" s="134"/>
      <c r="N551" s="300"/>
      <c r="O551" s="299"/>
      <c r="P551" s="134"/>
      <c r="Q551" s="301"/>
      <c r="R551" s="134"/>
      <c r="S551" s="300"/>
      <c r="T551" s="132"/>
      <c r="U551" s="311"/>
      <c r="V551" s="132"/>
      <c r="W551" s="296"/>
      <c r="X551" s="296"/>
    </row>
    <row r="552" spans="1:24" ht="16.5" thickBot="1" x14ac:dyDescent="0.3">
      <c r="A552" s="142"/>
      <c r="B552" s="144"/>
      <c r="C552" s="303"/>
      <c r="D552" s="303"/>
      <c r="E552" s="303"/>
      <c r="F552" s="303"/>
      <c r="G552" s="303"/>
      <c r="H552" s="119"/>
      <c r="I552" s="303"/>
      <c r="J552" s="302"/>
      <c r="K552" s="303"/>
      <c r="L552" s="303"/>
      <c r="M552" s="119"/>
      <c r="N552" s="303"/>
      <c r="O552" s="302"/>
      <c r="P552" s="119"/>
      <c r="Q552" s="173"/>
      <c r="R552" s="119"/>
      <c r="S552" s="303"/>
      <c r="T552" s="117"/>
      <c r="U552" s="312"/>
      <c r="V552" s="117"/>
      <c r="W552" s="296"/>
      <c r="X552" s="296"/>
    </row>
    <row r="553" spans="1:24" ht="16.5" thickBot="1" x14ac:dyDescent="0.3">
      <c r="A553" s="142"/>
      <c r="B553" s="145"/>
      <c r="C553" s="305"/>
      <c r="D553" s="305"/>
      <c r="E553" s="305"/>
      <c r="F553" s="724"/>
      <c r="G553" s="305"/>
      <c r="H553" s="122"/>
      <c r="I553" s="305"/>
      <c r="J553" s="304"/>
      <c r="K553" s="305"/>
      <c r="L553" s="305"/>
      <c r="M553" s="122"/>
      <c r="N553" s="305"/>
      <c r="O553" s="304"/>
      <c r="P553" s="122"/>
      <c r="Q553" s="253"/>
      <c r="R553" s="122"/>
      <c r="S553" s="305"/>
      <c r="T553" s="120"/>
      <c r="U553" s="313"/>
      <c r="V553" s="120"/>
      <c r="W553" s="296"/>
      <c r="X553" s="296"/>
    </row>
    <row r="554" spans="1:24" s="306" customFormat="1" ht="15.75" x14ac:dyDescent="0.25">
      <c r="A554" s="142"/>
      <c r="B554" s="143"/>
      <c r="C554" s="300"/>
      <c r="D554" s="300"/>
      <c r="E554" s="300"/>
      <c r="F554" s="300"/>
      <c r="G554" s="300"/>
      <c r="H554" s="134"/>
      <c r="I554" s="300"/>
      <c r="J554" s="299"/>
      <c r="K554" s="300"/>
      <c r="L554" s="300"/>
      <c r="M554" s="134"/>
      <c r="N554" s="300"/>
      <c r="O554" s="299"/>
      <c r="P554" s="134"/>
      <c r="Q554" s="301"/>
      <c r="R554" s="134"/>
      <c r="S554" s="300"/>
      <c r="T554" s="132"/>
      <c r="U554" s="311"/>
      <c r="V554" s="132"/>
      <c r="W554" s="296"/>
      <c r="X554" s="296"/>
    </row>
    <row r="555" spans="1:24" ht="15.75" x14ac:dyDescent="0.25">
      <c r="A555" s="142"/>
      <c r="B555" s="144"/>
      <c r="C555" s="303"/>
      <c r="D555" s="303"/>
      <c r="E555" s="303"/>
      <c r="F555" s="303"/>
      <c r="G555" s="303"/>
      <c r="H555" s="119"/>
      <c r="I555" s="303"/>
      <c r="J555" s="302"/>
      <c r="K555" s="303"/>
      <c r="L555" s="303"/>
      <c r="M555" s="119"/>
      <c r="N555" s="303"/>
      <c r="O555" s="302"/>
      <c r="P555" s="119"/>
      <c r="Q555" s="173"/>
      <c r="R555" s="119"/>
      <c r="S555" s="303"/>
      <c r="T555" s="117"/>
      <c r="U555" s="312"/>
      <c r="V555" s="117"/>
      <c r="W555" s="296"/>
      <c r="X555" s="296"/>
    </row>
    <row r="556" spans="1:24" ht="15.75" x14ac:dyDescent="0.25">
      <c r="A556" s="142"/>
      <c r="B556" s="145"/>
      <c r="C556" s="305"/>
      <c r="D556" s="305"/>
      <c r="E556" s="305"/>
      <c r="F556" s="305"/>
      <c r="G556" s="305"/>
      <c r="H556" s="122"/>
      <c r="I556" s="305"/>
      <c r="J556" s="304"/>
      <c r="K556" s="305"/>
      <c r="L556" s="305"/>
      <c r="M556" s="122"/>
      <c r="N556" s="305"/>
      <c r="O556" s="304"/>
      <c r="P556" s="122"/>
      <c r="Q556" s="253"/>
      <c r="R556" s="122"/>
      <c r="S556" s="305"/>
      <c r="T556" s="120"/>
      <c r="U556" s="313"/>
      <c r="V556" s="120"/>
      <c r="W556" s="296"/>
      <c r="X556" s="296"/>
    </row>
    <row r="557" spans="1:24" s="306" customFormat="1" ht="15.75" x14ac:dyDescent="0.25">
      <c r="A557" s="142"/>
      <c r="B557" s="143"/>
      <c r="C557" s="300"/>
      <c r="D557" s="300"/>
      <c r="E557" s="300"/>
      <c r="F557" s="300"/>
      <c r="G557" s="300"/>
      <c r="H557" s="134"/>
      <c r="I557" s="300"/>
      <c r="J557" s="299"/>
      <c r="K557" s="300"/>
      <c r="L557" s="300"/>
      <c r="M557" s="134"/>
      <c r="N557" s="300"/>
      <c r="O557" s="299"/>
      <c r="P557" s="134"/>
      <c r="Q557" s="301"/>
      <c r="R557" s="134"/>
      <c r="S557" s="300"/>
      <c r="T557" s="132"/>
      <c r="U557" s="311"/>
      <c r="V557" s="132"/>
      <c r="W557" s="296"/>
      <c r="X557" s="296"/>
    </row>
    <row r="558" spans="1:24" ht="15.75" x14ac:dyDescent="0.25">
      <c r="A558" s="142"/>
      <c r="B558" s="144"/>
      <c r="C558" s="303"/>
      <c r="D558" s="303"/>
      <c r="E558" s="303"/>
      <c r="F558" s="303"/>
      <c r="G558" s="303"/>
      <c r="H558" s="119"/>
      <c r="I558" s="303"/>
      <c r="J558" s="302"/>
      <c r="K558" s="303"/>
      <c r="L558" s="303"/>
      <c r="M558" s="119"/>
      <c r="N558" s="303"/>
      <c r="O558" s="302"/>
      <c r="P558" s="119"/>
      <c r="Q558" s="173"/>
      <c r="R558" s="119"/>
      <c r="S558" s="303"/>
      <c r="T558" s="117"/>
      <c r="U558" s="312"/>
      <c r="V558" s="117"/>
      <c r="W558" s="296"/>
      <c r="X558" s="296"/>
    </row>
    <row r="559" spans="1:24" ht="15.75" x14ac:dyDescent="0.25">
      <c r="A559" s="142"/>
      <c r="B559" s="145"/>
      <c r="C559" s="305"/>
      <c r="D559" s="305"/>
      <c r="E559" s="305"/>
      <c r="F559" s="305"/>
      <c r="G559" s="305"/>
      <c r="H559" s="122"/>
      <c r="I559" s="305"/>
      <c r="J559" s="304"/>
      <c r="K559" s="305"/>
      <c r="L559" s="305"/>
      <c r="M559" s="122"/>
      <c r="N559" s="305"/>
      <c r="O559" s="304"/>
      <c r="P559" s="122"/>
      <c r="Q559" s="253"/>
      <c r="R559" s="122"/>
      <c r="S559" s="305"/>
      <c r="T559" s="120"/>
      <c r="U559" s="313"/>
      <c r="V559" s="120"/>
      <c r="W559" s="296"/>
      <c r="X559" s="296"/>
    </row>
    <row r="560" spans="1:24" s="306" customFormat="1" ht="15.75" x14ac:dyDescent="0.25">
      <c r="A560" s="142"/>
      <c r="B560" s="143"/>
      <c r="C560" s="300"/>
      <c r="D560" s="300"/>
      <c r="E560" s="300"/>
      <c r="F560" s="300"/>
      <c r="G560" s="300"/>
      <c r="H560" s="134"/>
      <c r="I560" s="300"/>
      <c r="J560" s="299"/>
      <c r="K560" s="300"/>
      <c r="L560" s="300"/>
      <c r="M560" s="134"/>
      <c r="N560" s="300"/>
      <c r="O560" s="299"/>
      <c r="P560" s="134"/>
      <c r="Q560" s="301"/>
      <c r="R560" s="134"/>
      <c r="S560" s="300"/>
      <c r="T560" s="132"/>
      <c r="U560" s="311"/>
      <c r="V560" s="132"/>
      <c r="W560" s="296"/>
      <c r="X560" s="296"/>
    </row>
    <row r="561" spans="1:24" ht="15.75" x14ac:dyDescent="0.25">
      <c r="A561" s="142"/>
      <c r="B561" s="144"/>
      <c r="C561" s="303"/>
      <c r="D561" s="303"/>
      <c r="E561" s="303"/>
      <c r="F561" s="303"/>
      <c r="G561" s="303"/>
      <c r="H561" s="119"/>
      <c r="I561" s="303"/>
      <c r="J561" s="302"/>
      <c r="K561" s="303"/>
      <c r="L561" s="303"/>
      <c r="M561" s="119"/>
      <c r="N561" s="303"/>
      <c r="O561" s="302"/>
      <c r="P561" s="119"/>
      <c r="Q561" s="173"/>
      <c r="R561" s="119"/>
      <c r="S561" s="303"/>
      <c r="T561" s="117"/>
      <c r="U561" s="312"/>
      <c r="V561" s="117"/>
      <c r="W561" s="296"/>
      <c r="X561" s="296"/>
    </row>
    <row r="562" spans="1:24" ht="15.75" x14ac:dyDescent="0.25">
      <c r="A562" s="142"/>
      <c r="B562" s="145"/>
      <c r="C562" s="305"/>
      <c r="D562" s="305"/>
      <c r="E562" s="305"/>
      <c r="F562" s="305"/>
      <c r="G562" s="305"/>
      <c r="H562" s="122"/>
      <c r="I562" s="305"/>
      <c r="J562" s="304"/>
      <c r="K562" s="305"/>
      <c r="L562" s="305"/>
      <c r="M562" s="122"/>
      <c r="N562" s="305"/>
      <c r="O562" s="304"/>
      <c r="P562" s="122"/>
      <c r="Q562" s="253"/>
      <c r="R562" s="122"/>
      <c r="S562" s="305"/>
      <c r="T562" s="120"/>
      <c r="U562" s="313"/>
      <c r="V562" s="120"/>
      <c r="W562" s="296"/>
      <c r="X562" s="296"/>
    </row>
    <row r="563" spans="1:24" s="306" customFormat="1" ht="15.75" x14ac:dyDescent="0.25">
      <c r="A563" s="142"/>
      <c r="B563" s="143"/>
      <c r="C563" s="300"/>
      <c r="D563" s="300"/>
      <c r="E563" s="300"/>
      <c r="F563" s="300"/>
      <c r="G563" s="300"/>
      <c r="H563" s="134"/>
      <c r="I563" s="300"/>
      <c r="J563" s="299"/>
      <c r="K563" s="300"/>
      <c r="L563" s="300"/>
      <c r="M563" s="134"/>
      <c r="N563" s="300"/>
      <c r="O563" s="299"/>
      <c r="P563" s="134"/>
      <c r="Q563" s="301"/>
      <c r="R563" s="134"/>
      <c r="S563" s="300"/>
      <c r="T563" s="132"/>
      <c r="U563" s="311"/>
      <c r="V563" s="132"/>
      <c r="W563" s="296"/>
      <c r="X563" s="296"/>
    </row>
    <row r="564" spans="1:24" ht="15.75" x14ac:dyDescent="0.25">
      <c r="A564" s="142"/>
      <c r="B564" s="144"/>
      <c r="C564" s="303"/>
      <c r="D564" s="303"/>
      <c r="E564" s="303"/>
      <c r="F564" s="303"/>
      <c r="G564" s="303"/>
      <c r="H564" s="119"/>
      <c r="I564" s="303"/>
      <c r="J564" s="302"/>
      <c r="K564" s="303"/>
      <c r="L564" s="303"/>
      <c r="M564" s="119"/>
      <c r="N564" s="303"/>
      <c r="O564" s="302"/>
      <c r="P564" s="119"/>
      <c r="Q564" s="173"/>
      <c r="R564" s="119"/>
      <c r="S564" s="303"/>
      <c r="T564" s="117"/>
      <c r="U564" s="312"/>
      <c r="V564" s="117"/>
      <c r="W564" s="296"/>
      <c r="X564" s="296"/>
    </row>
    <row r="565" spans="1:24" ht="15.75" x14ac:dyDescent="0.25">
      <c r="A565" s="142"/>
      <c r="B565" s="145"/>
      <c r="C565" s="305"/>
      <c r="D565" s="305"/>
      <c r="E565" s="305"/>
      <c r="F565" s="305"/>
      <c r="G565" s="305"/>
      <c r="H565" s="122"/>
      <c r="I565" s="305"/>
      <c r="J565" s="304"/>
      <c r="K565" s="305"/>
      <c r="L565" s="305"/>
      <c r="M565" s="122"/>
      <c r="N565" s="305"/>
      <c r="O565" s="304"/>
      <c r="P565" s="122"/>
      <c r="Q565" s="253"/>
      <c r="R565" s="122"/>
      <c r="S565" s="305"/>
      <c r="T565" s="120"/>
      <c r="U565" s="313"/>
      <c r="V565" s="120"/>
      <c r="W565" s="296"/>
      <c r="X565" s="296"/>
    </row>
    <row r="566" spans="1:24" s="306" customFormat="1" ht="15.75" x14ac:dyDescent="0.25">
      <c r="A566" s="142"/>
      <c r="B566" s="143"/>
      <c r="C566" s="300"/>
      <c r="D566" s="300"/>
      <c r="E566" s="300"/>
      <c r="F566" s="300"/>
      <c r="G566" s="300"/>
      <c r="H566" s="134"/>
      <c r="I566" s="300"/>
      <c r="J566" s="299"/>
      <c r="K566" s="300"/>
      <c r="L566" s="300"/>
      <c r="M566" s="134"/>
      <c r="N566" s="300"/>
      <c r="O566" s="299"/>
      <c r="P566" s="134"/>
      <c r="Q566" s="301"/>
      <c r="R566" s="134"/>
      <c r="S566" s="300"/>
      <c r="T566" s="132"/>
      <c r="U566" s="311"/>
      <c r="V566" s="132"/>
      <c r="W566" s="296"/>
      <c r="X566" s="296"/>
    </row>
    <row r="567" spans="1:24" ht="15.75" x14ac:dyDescent="0.25">
      <c r="A567" s="142"/>
      <c r="B567" s="144"/>
      <c r="C567" s="303"/>
      <c r="D567" s="303"/>
      <c r="E567" s="303"/>
      <c r="F567" s="303"/>
      <c r="G567" s="303"/>
      <c r="H567" s="119"/>
      <c r="I567" s="303"/>
      <c r="J567" s="302"/>
      <c r="K567" s="303"/>
      <c r="L567" s="303"/>
      <c r="M567" s="119"/>
      <c r="N567" s="303"/>
      <c r="O567" s="302"/>
      <c r="P567" s="119"/>
      <c r="Q567" s="173"/>
      <c r="R567" s="119"/>
      <c r="S567" s="303"/>
      <c r="T567" s="117"/>
      <c r="U567" s="312"/>
      <c r="V567" s="117"/>
      <c r="W567" s="296"/>
      <c r="X567" s="296"/>
    </row>
    <row r="568" spans="1:24" ht="15.75" x14ac:dyDescent="0.25">
      <c r="A568" s="142"/>
      <c r="B568" s="145"/>
      <c r="C568" s="305"/>
      <c r="D568" s="305"/>
      <c r="E568" s="305"/>
      <c r="F568" s="305"/>
      <c r="G568" s="305"/>
      <c r="H568" s="122"/>
      <c r="I568" s="305"/>
      <c r="J568" s="304"/>
      <c r="K568" s="305"/>
      <c r="L568" s="305"/>
      <c r="M568" s="122"/>
      <c r="N568" s="305"/>
      <c r="O568" s="304"/>
      <c r="P568" s="122"/>
      <c r="Q568" s="253"/>
      <c r="R568" s="122"/>
      <c r="S568" s="305"/>
      <c r="T568" s="120"/>
      <c r="U568" s="313"/>
      <c r="V568" s="120"/>
      <c r="W568" s="296"/>
      <c r="X568" s="296"/>
    </row>
    <row r="569" spans="1:24" s="306" customFormat="1" ht="15.75" x14ac:dyDescent="0.25">
      <c r="A569" s="142"/>
      <c r="B569" s="143"/>
      <c r="C569" s="300"/>
      <c r="D569" s="300"/>
      <c r="E569" s="300"/>
      <c r="F569" s="300"/>
      <c r="G569" s="300"/>
      <c r="H569" s="134"/>
      <c r="I569" s="300"/>
      <c r="J569" s="299"/>
      <c r="K569" s="300"/>
      <c r="L569" s="300"/>
      <c r="M569" s="134"/>
      <c r="N569" s="300"/>
      <c r="O569" s="299"/>
      <c r="P569" s="134"/>
      <c r="Q569" s="301"/>
      <c r="R569" s="134"/>
      <c r="S569" s="300"/>
      <c r="T569" s="132"/>
      <c r="U569" s="311"/>
      <c r="V569" s="132"/>
      <c r="W569" s="296"/>
      <c r="X569" s="296"/>
    </row>
    <row r="570" spans="1:24" ht="15.75" x14ac:dyDescent="0.25">
      <c r="A570" s="142"/>
      <c r="B570" s="144"/>
      <c r="C570" s="303"/>
      <c r="D570" s="303"/>
      <c r="E570" s="303"/>
      <c r="F570" s="303"/>
      <c r="G570" s="303"/>
      <c r="H570" s="119"/>
      <c r="I570" s="303"/>
      <c r="J570" s="302"/>
      <c r="K570" s="303"/>
      <c r="L570" s="303"/>
      <c r="M570" s="119"/>
      <c r="N570" s="303"/>
      <c r="O570" s="302"/>
      <c r="P570" s="119"/>
      <c r="Q570" s="173"/>
      <c r="R570" s="119"/>
      <c r="S570" s="303"/>
      <c r="T570" s="117"/>
      <c r="U570" s="312"/>
      <c r="V570" s="117"/>
      <c r="W570" s="296"/>
      <c r="X570" s="296"/>
    </row>
    <row r="571" spans="1:24" ht="15.75" x14ac:dyDescent="0.25">
      <c r="A571" s="142"/>
      <c r="B571" s="145"/>
      <c r="C571" s="305"/>
      <c r="D571" s="305"/>
      <c r="E571" s="305"/>
      <c r="F571" s="305"/>
      <c r="G571" s="305"/>
      <c r="H571" s="122"/>
      <c r="I571" s="305"/>
      <c r="J571" s="304"/>
      <c r="K571" s="305"/>
      <c r="L571" s="305"/>
      <c r="M571" s="122"/>
      <c r="N571" s="305"/>
      <c r="O571" s="304"/>
      <c r="P571" s="122"/>
      <c r="Q571" s="253"/>
      <c r="R571" s="122"/>
      <c r="S571" s="305"/>
      <c r="T571" s="120"/>
      <c r="U571" s="313"/>
      <c r="V571" s="120"/>
      <c r="W571" s="296"/>
      <c r="X571" s="296"/>
    </row>
    <row r="572" spans="1:24" s="306" customFormat="1" ht="15.75" x14ac:dyDescent="0.25">
      <c r="A572" s="142"/>
      <c r="B572" s="143"/>
      <c r="C572" s="300"/>
      <c r="D572" s="300"/>
      <c r="E572" s="300"/>
      <c r="F572" s="300"/>
      <c r="G572" s="300"/>
      <c r="H572" s="134"/>
      <c r="I572" s="300"/>
      <c r="J572" s="299"/>
      <c r="K572" s="300"/>
      <c r="L572" s="300"/>
      <c r="M572" s="134"/>
      <c r="N572" s="300"/>
      <c r="O572" s="299"/>
      <c r="P572" s="134"/>
      <c r="Q572" s="301"/>
      <c r="R572" s="134"/>
      <c r="S572" s="300"/>
      <c r="T572" s="132"/>
      <c r="U572" s="311"/>
      <c r="V572" s="132"/>
      <c r="W572" s="296"/>
      <c r="X572" s="296"/>
    </row>
    <row r="573" spans="1:24" ht="15.75" x14ac:dyDescent="0.25">
      <c r="A573" s="142"/>
      <c r="B573" s="144"/>
      <c r="C573" s="303"/>
      <c r="D573" s="303"/>
      <c r="E573" s="303"/>
      <c r="F573" s="303"/>
      <c r="G573" s="303"/>
      <c r="H573" s="119"/>
      <c r="I573" s="303"/>
      <c r="J573" s="302"/>
      <c r="K573" s="303"/>
      <c r="L573" s="303"/>
      <c r="M573" s="119"/>
      <c r="N573" s="303"/>
      <c r="O573" s="302"/>
      <c r="P573" s="119"/>
      <c r="Q573" s="173"/>
      <c r="R573" s="119"/>
      <c r="S573" s="303"/>
      <c r="T573" s="117"/>
      <c r="U573" s="312"/>
      <c r="V573" s="117"/>
      <c r="W573" s="296"/>
      <c r="X573" s="296"/>
    </row>
    <row r="574" spans="1:24" ht="15.75" x14ac:dyDescent="0.25">
      <c r="A574" s="142"/>
      <c r="B574" s="145"/>
      <c r="C574" s="305"/>
      <c r="D574" s="305"/>
      <c r="E574" s="305"/>
      <c r="F574" s="305"/>
      <c r="G574" s="305"/>
      <c r="H574" s="122"/>
      <c r="I574" s="305"/>
      <c r="J574" s="304"/>
      <c r="K574" s="305"/>
      <c r="L574" s="305"/>
      <c r="M574" s="122"/>
      <c r="N574" s="305"/>
      <c r="O574" s="304"/>
      <c r="P574" s="122"/>
      <c r="Q574" s="253"/>
      <c r="R574" s="122"/>
      <c r="S574" s="305"/>
      <c r="T574" s="120"/>
      <c r="U574" s="313"/>
      <c r="V574" s="120"/>
      <c r="W574" s="296"/>
      <c r="X574" s="296"/>
    </row>
    <row r="575" spans="1:24" s="306" customFormat="1" ht="15.75" x14ac:dyDescent="0.25">
      <c r="A575" s="142"/>
      <c r="B575" s="143"/>
      <c r="C575" s="300"/>
      <c r="D575" s="300"/>
      <c r="E575" s="300"/>
      <c r="F575" s="300"/>
      <c r="G575" s="300"/>
      <c r="H575" s="134"/>
      <c r="I575" s="300"/>
      <c r="J575" s="299"/>
      <c r="K575" s="300"/>
      <c r="L575" s="300"/>
      <c r="M575" s="134"/>
      <c r="N575" s="300"/>
      <c r="O575" s="299"/>
      <c r="P575" s="134"/>
      <c r="Q575" s="301"/>
      <c r="R575" s="134"/>
      <c r="S575" s="300"/>
      <c r="T575" s="132"/>
      <c r="U575" s="311"/>
      <c r="V575" s="132"/>
      <c r="W575" s="296"/>
      <c r="X575" s="296"/>
    </row>
    <row r="576" spans="1:24" ht="15.75" x14ac:dyDescent="0.25">
      <c r="A576" s="142"/>
      <c r="B576" s="144"/>
      <c r="C576" s="303"/>
      <c r="D576" s="303"/>
      <c r="E576" s="303"/>
      <c r="F576" s="303"/>
      <c r="G576" s="303"/>
      <c r="H576" s="119"/>
      <c r="I576" s="303"/>
      <c r="J576" s="302"/>
      <c r="K576" s="303"/>
      <c r="L576" s="303"/>
      <c r="M576" s="119"/>
      <c r="N576" s="303"/>
      <c r="O576" s="302"/>
      <c r="P576" s="119"/>
      <c r="Q576" s="173"/>
      <c r="R576" s="119"/>
      <c r="S576" s="303"/>
      <c r="T576" s="117"/>
      <c r="U576" s="312"/>
      <c r="V576" s="117"/>
      <c r="W576" s="296"/>
      <c r="X576" s="296"/>
    </row>
    <row r="577" spans="1:24" ht="15.75" x14ac:dyDescent="0.25">
      <c r="A577" s="142"/>
      <c r="B577" s="145"/>
      <c r="C577" s="305"/>
      <c r="D577" s="305"/>
      <c r="E577" s="305"/>
      <c r="F577" s="305"/>
      <c r="G577" s="305"/>
      <c r="H577" s="122"/>
      <c r="I577" s="305"/>
      <c r="J577" s="304"/>
      <c r="K577" s="305"/>
      <c r="L577" s="305"/>
      <c r="M577" s="122"/>
      <c r="N577" s="305"/>
      <c r="O577" s="304"/>
      <c r="P577" s="122"/>
      <c r="Q577" s="253"/>
      <c r="R577" s="122"/>
      <c r="S577" s="305"/>
      <c r="T577" s="120"/>
      <c r="U577" s="313"/>
      <c r="V577" s="120"/>
      <c r="W577" s="296"/>
      <c r="X577" s="296"/>
    </row>
    <row r="578" spans="1:24" s="306" customFormat="1" ht="15.75" x14ac:dyDescent="0.25">
      <c r="A578" s="142"/>
      <c r="B578" s="143"/>
      <c r="C578" s="300"/>
      <c r="D578" s="300"/>
      <c r="E578" s="300"/>
      <c r="F578" s="300"/>
      <c r="G578" s="300"/>
      <c r="H578" s="134"/>
      <c r="I578" s="300"/>
      <c r="J578" s="299"/>
      <c r="K578" s="300"/>
      <c r="L578" s="300"/>
      <c r="M578" s="134"/>
      <c r="N578" s="300"/>
      <c r="O578" s="299"/>
      <c r="P578" s="134"/>
      <c r="Q578" s="301"/>
      <c r="R578" s="134"/>
      <c r="S578" s="300"/>
      <c r="T578" s="132"/>
      <c r="U578" s="311"/>
      <c r="V578" s="132"/>
      <c r="W578" s="296"/>
      <c r="X578" s="296"/>
    </row>
    <row r="579" spans="1:24" ht="15.75" x14ac:dyDescent="0.25">
      <c r="A579" s="142"/>
      <c r="B579" s="144"/>
      <c r="C579" s="303"/>
      <c r="D579" s="303"/>
      <c r="E579" s="303"/>
      <c r="F579" s="303"/>
      <c r="G579" s="303"/>
      <c r="H579" s="119"/>
      <c r="I579" s="303"/>
      <c r="J579" s="302"/>
      <c r="K579" s="303"/>
      <c r="L579" s="303"/>
      <c r="M579" s="119"/>
      <c r="N579" s="303"/>
      <c r="O579" s="302"/>
      <c r="P579" s="119"/>
      <c r="Q579" s="173"/>
      <c r="R579" s="119"/>
      <c r="S579" s="303"/>
      <c r="T579" s="117"/>
      <c r="U579" s="312"/>
      <c r="V579" s="117"/>
      <c r="W579" s="296"/>
      <c r="X579" s="296"/>
    </row>
    <row r="580" spans="1:24" ht="15.75" x14ac:dyDescent="0.25">
      <c r="A580" s="142"/>
      <c r="B580" s="145"/>
      <c r="C580" s="305"/>
      <c r="D580" s="305"/>
      <c r="E580" s="305"/>
      <c r="F580" s="305"/>
      <c r="G580" s="305"/>
      <c r="H580" s="122"/>
      <c r="I580" s="305"/>
      <c r="J580" s="304"/>
      <c r="K580" s="305"/>
      <c r="L580" s="305"/>
      <c r="M580" s="122"/>
      <c r="N580" s="305"/>
      <c r="O580" s="304"/>
      <c r="P580" s="122"/>
      <c r="Q580" s="253"/>
      <c r="R580" s="122"/>
      <c r="S580" s="305"/>
      <c r="T580" s="120"/>
      <c r="U580" s="313"/>
      <c r="V580" s="120"/>
      <c r="W580" s="296"/>
      <c r="X580" s="296"/>
    </row>
    <row r="581" spans="1:24" s="306" customFormat="1" ht="15.75" x14ac:dyDescent="0.25">
      <c r="A581" s="142"/>
      <c r="B581" s="143"/>
      <c r="C581" s="300"/>
      <c r="D581" s="300"/>
      <c r="E581" s="300"/>
      <c r="F581" s="300"/>
      <c r="G581" s="300"/>
      <c r="H581" s="134"/>
      <c r="I581" s="300"/>
      <c r="J581" s="299"/>
      <c r="K581" s="300"/>
      <c r="L581" s="300"/>
      <c r="M581" s="134"/>
      <c r="N581" s="300"/>
      <c r="O581" s="299"/>
      <c r="P581" s="134"/>
      <c r="Q581" s="301"/>
      <c r="R581" s="134"/>
      <c r="S581" s="300"/>
      <c r="T581" s="132"/>
      <c r="U581" s="311"/>
      <c r="V581" s="132"/>
      <c r="W581" s="296"/>
      <c r="X581" s="296"/>
    </row>
    <row r="582" spans="1:24" ht="15.75" x14ac:dyDescent="0.25">
      <c r="A582" s="142"/>
      <c r="B582" s="144"/>
      <c r="C582" s="303"/>
      <c r="D582" s="303"/>
      <c r="E582" s="303"/>
      <c r="F582" s="303"/>
      <c r="G582" s="303"/>
      <c r="H582" s="119"/>
      <c r="I582" s="303"/>
      <c r="J582" s="302"/>
      <c r="K582" s="303"/>
      <c r="L582" s="303"/>
      <c r="M582" s="119"/>
      <c r="N582" s="303"/>
      <c r="O582" s="302"/>
      <c r="P582" s="119"/>
      <c r="Q582" s="173"/>
      <c r="R582" s="119"/>
      <c r="S582" s="303"/>
      <c r="T582" s="117"/>
      <c r="U582" s="312"/>
      <c r="V582" s="117"/>
      <c r="W582" s="296"/>
      <c r="X582" s="296"/>
    </row>
    <row r="583" spans="1:24" ht="15.75" x14ac:dyDescent="0.25">
      <c r="A583" s="142"/>
      <c r="B583" s="145"/>
      <c r="C583" s="305"/>
      <c r="D583" s="305"/>
      <c r="E583" s="305"/>
      <c r="F583" s="305"/>
      <c r="G583" s="305"/>
      <c r="H583" s="122"/>
      <c r="I583" s="305"/>
      <c r="J583" s="304"/>
      <c r="K583" s="305"/>
      <c r="L583" s="305"/>
      <c r="M583" s="122"/>
      <c r="N583" s="305"/>
      <c r="O583" s="304"/>
      <c r="P583" s="122"/>
      <c r="Q583" s="253"/>
      <c r="R583" s="122"/>
      <c r="S583" s="305"/>
      <c r="T583" s="120"/>
      <c r="U583" s="313"/>
      <c r="V583" s="120"/>
      <c r="W583" s="296"/>
      <c r="X583" s="296"/>
    </row>
    <row r="584" spans="1:24" s="306" customFormat="1" ht="15.75" x14ac:dyDescent="0.25">
      <c r="A584" s="142"/>
      <c r="B584" s="143"/>
      <c r="C584" s="300"/>
      <c r="D584" s="300"/>
      <c r="E584" s="300"/>
      <c r="F584" s="300"/>
      <c r="G584" s="300"/>
      <c r="H584" s="134"/>
      <c r="I584" s="300"/>
      <c r="J584" s="299"/>
      <c r="K584" s="300"/>
      <c r="L584" s="300"/>
      <c r="M584" s="134"/>
      <c r="N584" s="300"/>
      <c r="O584" s="299"/>
      <c r="P584" s="134"/>
      <c r="Q584" s="301"/>
      <c r="R584" s="134"/>
      <c r="S584" s="300"/>
      <c r="T584" s="132"/>
      <c r="U584" s="311"/>
      <c r="V584" s="132"/>
      <c r="W584" s="296"/>
      <c r="X584" s="296"/>
    </row>
    <row r="585" spans="1:24" ht="16.5" thickBot="1" x14ac:dyDescent="0.3">
      <c r="A585" s="142"/>
      <c r="B585" s="144"/>
      <c r="C585" s="303"/>
      <c r="D585" s="303"/>
      <c r="E585" s="303"/>
      <c r="F585" s="303"/>
      <c r="G585" s="303"/>
      <c r="H585" s="119"/>
      <c r="I585" s="303"/>
      <c r="J585" s="302"/>
      <c r="K585" s="303"/>
      <c r="L585" s="303"/>
      <c r="M585" s="119"/>
      <c r="N585" s="303"/>
      <c r="O585" s="302"/>
      <c r="P585" s="119"/>
      <c r="Q585" s="173"/>
      <c r="R585" s="119"/>
      <c r="S585" s="303"/>
      <c r="T585" s="117"/>
      <c r="U585" s="312"/>
      <c r="V585" s="117"/>
      <c r="W585" s="296"/>
      <c r="X585" s="296"/>
    </row>
    <row r="586" spans="1:24" ht="16.5" thickBot="1" x14ac:dyDescent="0.3">
      <c r="A586" s="142"/>
      <c r="B586" s="145"/>
      <c r="C586" s="724"/>
      <c r="D586" s="305"/>
      <c r="E586" s="305"/>
      <c r="F586" s="305"/>
      <c r="G586" s="724"/>
      <c r="H586" s="122"/>
      <c r="I586" s="305"/>
      <c r="J586" s="304"/>
      <c r="K586" s="305"/>
      <c r="L586" s="305"/>
      <c r="M586" s="122"/>
      <c r="N586" s="305"/>
      <c r="O586" s="304"/>
      <c r="P586" s="122"/>
      <c r="Q586" s="253"/>
      <c r="R586" s="122"/>
      <c r="S586" s="305"/>
      <c r="T586" s="120"/>
      <c r="U586" s="313"/>
      <c r="V586" s="120"/>
      <c r="W586" s="296"/>
      <c r="X586" s="296"/>
    </row>
    <row r="587" spans="1:24" s="306" customFormat="1" ht="15.75" x14ac:dyDescent="0.25">
      <c r="A587" s="142"/>
      <c r="B587" s="143"/>
      <c r="C587" s="300"/>
      <c r="D587" s="300"/>
      <c r="E587" s="300"/>
      <c r="F587" s="300"/>
      <c r="G587" s="300"/>
      <c r="H587" s="134"/>
      <c r="I587" s="300"/>
      <c r="J587" s="299"/>
      <c r="K587" s="300"/>
      <c r="L587" s="300"/>
      <c r="M587" s="134"/>
      <c r="N587" s="300"/>
      <c r="O587" s="299"/>
      <c r="P587" s="134"/>
      <c r="Q587" s="301"/>
      <c r="R587" s="134"/>
      <c r="S587" s="300"/>
      <c r="T587" s="132"/>
      <c r="U587" s="311"/>
      <c r="V587" s="132"/>
      <c r="W587" s="296"/>
      <c r="X587" s="296"/>
    </row>
    <row r="588" spans="1:24" ht="15.75" x14ac:dyDescent="0.25">
      <c r="A588" s="294"/>
      <c r="B588" s="144"/>
      <c r="C588" s="303"/>
      <c r="D588" s="303"/>
      <c r="E588" s="303"/>
      <c r="F588" s="303"/>
      <c r="G588" s="303"/>
      <c r="H588" s="119"/>
      <c r="I588" s="303"/>
      <c r="J588" s="302"/>
      <c r="K588" s="303"/>
      <c r="L588" s="303"/>
      <c r="M588" s="119"/>
      <c r="N588" s="303"/>
      <c r="O588" s="302"/>
      <c r="P588" s="119"/>
      <c r="Q588" s="173"/>
      <c r="R588" s="119"/>
      <c r="S588" s="303"/>
      <c r="T588" s="117"/>
      <c r="U588" s="312"/>
      <c r="V588" s="117"/>
      <c r="W588" s="296"/>
      <c r="X588" s="296"/>
    </row>
    <row r="589" spans="1:24" ht="15.75" x14ac:dyDescent="0.25">
      <c r="A589" s="141"/>
      <c r="B589" s="143"/>
      <c r="C589" s="300"/>
      <c r="D589" s="300"/>
      <c r="E589" s="300"/>
      <c r="F589" s="300"/>
      <c r="G589" s="300"/>
      <c r="H589" s="134"/>
      <c r="I589" s="300"/>
      <c r="J589" s="299"/>
      <c r="K589" s="300"/>
      <c r="L589" s="300"/>
      <c r="M589" s="134"/>
      <c r="N589" s="300"/>
      <c r="O589" s="299"/>
      <c r="P589" s="134"/>
      <c r="Q589" s="301"/>
      <c r="R589" s="134"/>
      <c r="S589" s="300"/>
      <c r="T589" s="132"/>
      <c r="U589" s="311"/>
      <c r="V589" s="132"/>
      <c r="W589" s="296"/>
      <c r="X589" s="296"/>
    </row>
    <row r="590" spans="1:24" s="306" customFormat="1" ht="15.75" x14ac:dyDescent="0.25">
      <c r="A590" s="142"/>
      <c r="B590" s="144"/>
      <c r="C590" s="303"/>
      <c r="D590" s="303"/>
      <c r="E590" s="303"/>
      <c r="F590" s="303"/>
      <c r="G590" s="303"/>
      <c r="H590" s="119"/>
      <c r="I590" s="303"/>
      <c r="J590" s="302"/>
      <c r="K590" s="303"/>
      <c r="L590" s="303"/>
      <c r="M590" s="119"/>
      <c r="N590" s="303"/>
      <c r="O590" s="302"/>
      <c r="P590" s="119"/>
      <c r="Q590" s="173"/>
      <c r="R590" s="119"/>
      <c r="S590" s="303"/>
      <c r="T590" s="117"/>
      <c r="U590" s="312"/>
      <c r="V590" s="117"/>
      <c r="W590" s="296"/>
      <c r="X590" s="296"/>
    </row>
    <row r="591" spans="1:24" ht="15.75" x14ac:dyDescent="0.25">
      <c r="A591" s="142"/>
      <c r="B591" s="145"/>
      <c r="C591" s="305"/>
      <c r="D591" s="305"/>
      <c r="E591" s="305"/>
      <c r="F591" s="305"/>
      <c r="G591" s="305"/>
      <c r="H591" s="122"/>
      <c r="I591" s="305"/>
      <c r="J591" s="304"/>
      <c r="K591" s="305"/>
      <c r="L591" s="305"/>
      <c r="M591" s="122"/>
      <c r="N591" s="305"/>
      <c r="O591" s="304"/>
      <c r="P591" s="122"/>
      <c r="Q591" s="253"/>
      <c r="R591" s="122"/>
      <c r="S591" s="305"/>
      <c r="T591" s="120"/>
      <c r="U591" s="313"/>
      <c r="V591" s="120"/>
      <c r="W591" s="296"/>
      <c r="X591" s="296"/>
    </row>
    <row r="592" spans="1:24" ht="15.75" x14ac:dyDescent="0.25">
      <c r="A592" s="142"/>
      <c r="B592" s="143"/>
      <c r="C592" s="300"/>
      <c r="D592" s="300"/>
      <c r="E592" s="300"/>
      <c r="F592" s="300"/>
      <c r="G592" s="300"/>
      <c r="H592" s="134"/>
      <c r="I592" s="300"/>
      <c r="J592" s="299"/>
      <c r="K592" s="300"/>
      <c r="L592" s="300"/>
      <c r="M592" s="134"/>
      <c r="N592" s="300"/>
      <c r="O592" s="299"/>
      <c r="P592" s="134"/>
      <c r="Q592" s="301"/>
      <c r="R592" s="134"/>
      <c r="S592" s="300"/>
      <c r="T592" s="132"/>
      <c r="U592" s="311"/>
      <c r="V592" s="132"/>
      <c r="W592" s="296"/>
      <c r="X592" s="296"/>
    </row>
    <row r="593" spans="1:24" s="306" customFormat="1" ht="15.75" x14ac:dyDescent="0.25">
      <c r="A593" s="142"/>
      <c r="B593" s="144"/>
      <c r="C593" s="303"/>
      <c r="D593" s="303"/>
      <c r="E593" s="303"/>
      <c r="F593" s="303"/>
      <c r="G593" s="303"/>
      <c r="H593" s="119"/>
      <c r="I593" s="303"/>
      <c r="J593" s="302"/>
      <c r="K593" s="303"/>
      <c r="L593" s="303"/>
      <c r="M593" s="119"/>
      <c r="N593" s="303"/>
      <c r="O593" s="302"/>
      <c r="P593" s="119"/>
      <c r="Q593" s="173"/>
      <c r="R593" s="119"/>
      <c r="S593" s="303"/>
      <c r="T593" s="117"/>
      <c r="U593" s="312"/>
      <c r="V593" s="117"/>
      <c r="W593" s="296"/>
      <c r="X593" s="296"/>
    </row>
    <row r="594" spans="1:24" ht="15.75" x14ac:dyDescent="0.25">
      <c r="A594" s="142"/>
      <c r="B594" s="145"/>
      <c r="C594" s="305"/>
      <c r="D594" s="305"/>
      <c r="E594" s="305"/>
      <c r="F594" s="305"/>
      <c r="G594" s="305"/>
      <c r="H594" s="122"/>
      <c r="I594" s="305"/>
      <c r="J594" s="304"/>
      <c r="K594" s="305"/>
      <c r="L594" s="305"/>
      <c r="M594" s="122"/>
      <c r="N594" s="305"/>
      <c r="O594" s="304"/>
      <c r="P594" s="122"/>
      <c r="Q594" s="253"/>
      <c r="R594" s="122"/>
      <c r="S594" s="305"/>
      <c r="T594" s="120"/>
      <c r="U594" s="313"/>
      <c r="V594" s="120"/>
      <c r="W594" s="296"/>
      <c r="X594" s="296"/>
    </row>
    <row r="595" spans="1:24" ht="15.75" x14ac:dyDescent="0.25">
      <c r="A595" s="142"/>
      <c r="B595" s="143"/>
      <c r="C595" s="300"/>
      <c r="D595" s="300"/>
      <c r="E595" s="300"/>
      <c r="F595" s="300"/>
      <c r="G595" s="300"/>
      <c r="H595" s="134"/>
      <c r="I595" s="300"/>
      <c r="J595" s="299"/>
      <c r="K595" s="300"/>
      <c r="L595" s="300"/>
      <c r="M595" s="134"/>
      <c r="N595" s="300"/>
      <c r="O595" s="299"/>
      <c r="P595" s="134"/>
      <c r="Q595" s="301"/>
      <c r="R595" s="134"/>
      <c r="S595" s="300"/>
      <c r="T595" s="132"/>
      <c r="U595" s="311"/>
      <c r="V595" s="132"/>
      <c r="W595" s="296"/>
      <c r="X595" s="296"/>
    </row>
    <row r="596" spans="1:24" s="306" customFormat="1" ht="15.75" x14ac:dyDescent="0.25">
      <c r="A596" s="142"/>
      <c r="B596" s="144"/>
      <c r="C596" s="303"/>
      <c r="D596" s="303"/>
      <c r="E596" s="303"/>
      <c r="F596" s="303"/>
      <c r="G596" s="303"/>
      <c r="H596" s="119"/>
      <c r="I596" s="303"/>
      <c r="J596" s="302"/>
      <c r="K596" s="303"/>
      <c r="L596" s="303"/>
      <c r="M596" s="119"/>
      <c r="N596" s="303"/>
      <c r="O596" s="302"/>
      <c r="P596" s="119"/>
      <c r="Q596" s="173"/>
      <c r="R596" s="119"/>
      <c r="S596" s="303"/>
      <c r="T596" s="117"/>
      <c r="U596" s="312"/>
      <c r="V596" s="117"/>
      <c r="W596" s="296"/>
      <c r="X596" s="296"/>
    </row>
    <row r="597" spans="1:24" ht="15.75" x14ac:dyDescent="0.25">
      <c r="A597" s="142"/>
      <c r="B597" s="145"/>
      <c r="C597" s="305"/>
      <c r="D597" s="305"/>
      <c r="E597" s="305"/>
      <c r="F597" s="305"/>
      <c r="G597" s="305"/>
      <c r="H597" s="122"/>
      <c r="I597" s="305"/>
      <c r="J597" s="304"/>
      <c r="K597" s="305"/>
      <c r="L597" s="305"/>
      <c r="M597" s="122"/>
      <c r="N597" s="305"/>
      <c r="O597" s="304"/>
      <c r="P597" s="122"/>
      <c r="Q597" s="253"/>
      <c r="R597" s="122"/>
      <c r="S597" s="305"/>
      <c r="T597" s="120"/>
      <c r="U597" s="313"/>
      <c r="V597" s="120"/>
      <c r="W597" s="296"/>
      <c r="X597" s="296"/>
    </row>
    <row r="598" spans="1:24" ht="15.75" x14ac:dyDescent="0.25">
      <c r="A598" s="142"/>
      <c r="B598" s="143"/>
      <c r="C598" s="300"/>
      <c r="D598" s="300"/>
      <c r="E598" s="300"/>
      <c r="F598" s="300"/>
      <c r="G598" s="300"/>
      <c r="H598" s="134"/>
      <c r="I598" s="300"/>
      <c r="J598" s="299"/>
      <c r="K598" s="300"/>
      <c r="L598" s="300"/>
      <c r="M598" s="134"/>
      <c r="N598" s="300"/>
      <c r="O598" s="299"/>
      <c r="P598" s="134"/>
      <c r="Q598" s="301"/>
      <c r="R598" s="134"/>
      <c r="S598" s="300"/>
      <c r="T598" s="132"/>
      <c r="U598" s="311"/>
      <c r="V598" s="132"/>
      <c r="W598" s="296"/>
      <c r="X598" s="296"/>
    </row>
    <row r="599" spans="1:24" s="306" customFormat="1" ht="16.5" thickBot="1" x14ac:dyDescent="0.3">
      <c r="A599" s="142"/>
      <c r="B599" s="144"/>
      <c r="C599" s="303"/>
      <c r="D599" s="303"/>
      <c r="E599" s="303"/>
      <c r="F599" s="303"/>
      <c r="G599" s="303"/>
      <c r="H599" s="119"/>
      <c r="I599" s="303"/>
      <c r="J599" s="302"/>
      <c r="K599" s="303"/>
      <c r="L599" s="303"/>
      <c r="M599" s="119"/>
      <c r="N599" s="303"/>
      <c r="O599" s="302"/>
      <c r="P599" s="119"/>
      <c r="Q599" s="173"/>
      <c r="R599" s="119"/>
      <c r="S599" s="303"/>
      <c r="T599" s="117"/>
      <c r="U599" s="312"/>
      <c r="V599" s="117"/>
      <c r="W599" s="296"/>
      <c r="X599" s="296"/>
    </row>
    <row r="600" spans="1:24" ht="16.5" thickBot="1" x14ac:dyDescent="0.3">
      <c r="A600" s="142"/>
      <c r="B600" s="145"/>
      <c r="C600" s="305"/>
      <c r="D600" s="305"/>
      <c r="E600" s="305"/>
      <c r="F600" s="305"/>
      <c r="G600" s="305"/>
      <c r="H600" s="122"/>
      <c r="I600" s="305"/>
      <c r="J600" s="304"/>
      <c r="K600" s="305"/>
      <c r="L600" s="305"/>
      <c r="M600" s="122"/>
      <c r="N600" s="305"/>
      <c r="O600" s="304"/>
      <c r="P600" s="122"/>
      <c r="Q600" s="253"/>
      <c r="R600" s="122"/>
      <c r="S600" s="724"/>
      <c r="T600" s="120"/>
      <c r="U600" s="313"/>
      <c r="V600" s="120"/>
      <c r="W600" s="296"/>
      <c r="X600" s="296"/>
    </row>
    <row r="601" spans="1:24" ht="15.75" x14ac:dyDescent="0.25">
      <c r="A601" s="142"/>
      <c r="B601" s="143"/>
      <c r="C601" s="300"/>
      <c r="D601" s="300"/>
      <c r="E601" s="300"/>
      <c r="F601" s="300"/>
      <c r="G601" s="300"/>
      <c r="H601" s="134"/>
      <c r="I601" s="300"/>
      <c r="J601" s="299"/>
      <c r="K601" s="300"/>
      <c r="L601" s="300"/>
      <c r="M601" s="134"/>
      <c r="N601" s="300"/>
      <c r="O601" s="299"/>
      <c r="P601" s="134"/>
      <c r="Q601" s="301"/>
      <c r="R601" s="134"/>
      <c r="S601" s="300"/>
      <c r="T601" s="132"/>
      <c r="U601" s="311"/>
      <c r="V601" s="132"/>
      <c r="W601" s="296"/>
      <c r="X601" s="296"/>
    </row>
    <row r="602" spans="1:24" s="306" customFormat="1" ht="15.75" x14ac:dyDescent="0.25">
      <c r="A602" s="142"/>
      <c r="B602" s="144"/>
      <c r="C602" s="303"/>
      <c r="D602" s="303"/>
      <c r="E602" s="303"/>
      <c r="F602" s="303"/>
      <c r="G602" s="303"/>
      <c r="H602" s="119"/>
      <c r="I602" s="303"/>
      <c r="J602" s="302"/>
      <c r="K602" s="303"/>
      <c r="L602" s="303"/>
      <c r="M602" s="119"/>
      <c r="N602" s="303"/>
      <c r="O602" s="302"/>
      <c r="P602" s="119"/>
      <c r="Q602" s="173"/>
      <c r="R602" s="119"/>
      <c r="S602" s="303"/>
      <c r="T602" s="117"/>
      <c r="U602" s="312"/>
      <c r="V602" s="117"/>
      <c r="W602" s="296"/>
      <c r="X602" s="296"/>
    </row>
    <row r="603" spans="1:24" ht="15.75" x14ac:dyDescent="0.25">
      <c r="A603" s="142"/>
      <c r="B603" s="145"/>
      <c r="C603" s="305"/>
      <c r="D603" s="305"/>
      <c r="E603" s="305"/>
      <c r="F603" s="305"/>
      <c r="G603" s="305"/>
      <c r="H603" s="122"/>
      <c r="I603" s="305"/>
      <c r="J603" s="304"/>
      <c r="K603" s="305"/>
      <c r="L603" s="305"/>
      <c r="M603" s="122"/>
      <c r="N603" s="305"/>
      <c r="O603" s="304"/>
      <c r="P603" s="122"/>
      <c r="Q603" s="253"/>
      <c r="R603" s="122"/>
      <c r="S603" s="305"/>
      <c r="T603" s="120"/>
      <c r="U603" s="313"/>
      <c r="V603" s="120"/>
      <c r="W603" s="296"/>
      <c r="X603" s="296"/>
    </row>
    <row r="604" spans="1:24" ht="15.75" x14ac:dyDescent="0.25">
      <c r="A604" s="142"/>
      <c r="B604" s="143"/>
      <c r="C604" s="300"/>
      <c r="D604" s="300"/>
      <c r="E604" s="300"/>
      <c r="F604" s="300"/>
      <c r="G604" s="300"/>
      <c r="H604" s="134"/>
      <c r="I604" s="300"/>
      <c r="J604" s="299"/>
      <c r="K604" s="300"/>
      <c r="L604" s="300"/>
      <c r="M604" s="134"/>
      <c r="N604" s="300"/>
      <c r="O604" s="299"/>
      <c r="P604" s="134"/>
      <c r="Q604" s="301"/>
      <c r="R604" s="134"/>
      <c r="S604" s="300"/>
      <c r="T604" s="132"/>
      <c r="U604" s="311"/>
      <c r="V604" s="132"/>
      <c r="W604" s="296"/>
      <c r="X604" s="296"/>
    </row>
    <row r="605" spans="1:24" s="306" customFormat="1" ht="16.5" thickBot="1" x14ac:dyDescent="0.3">
      <c r="A605" s="142"/>
      <c r="B605" s="144"/>
      <c r="C605" s="303"/>
      <c r="D605" s="303"/>
      <c r="E605" s="303"/>
      <c r="F605" s="303"/>
      <c r="G605" s="303"/>
      <c r="H605" s="119"/>
      <c r="I605" s="303"/>
      <c r="J605" s="302"/>
      <c r="K605" s="303"/>
      <c r="L605" s="303"/>
      <c r="M605" s="119"/>
      <c r="N605" s="303"/>
      <c r="O605" s="302"/>
      <c r="P605" s="119"/>
      <c r="Q605" s="173"/>
      <c r="R605" s="119"/>
      <c r="S605" s="303"/>
      <c r="T605" s="117"/>
      <c r="U605" s="312"/>
      <c r="V605" s="117"/>
      <c r="W605" s="296"/>
      <c r="X605" s="296"/>
    </row>
    <row r="606" spans="1:24" ht="16.5" thickBot="1" x14ac:dyDescent="0.3">
      <c r="A606" s="142"/>
      <c r="B606" s="145"/>
      <c r="C606" s="305"/>
      <c r="D606" s="305"/>
      <c r="E606" s="305"/>
      <c r="F606" s="305"/>
      <c r="G606" s="305"/>
      <c r="H606" s="724"/>
      <c r="I606" s="305"/>
      <c r="J606" s="304"/>
      <c r="K606" s="305"/>
      <c r="L606" s="305"/>
      <c r="M606" s="122"/>
      <c r="N606" s="305"/>
      <c r="O606" s="304"/>
      <c r="P606" s="122"/>
      <c r="Q606" s="253"/>
      <c r="R606" s="122"/>
      <c r="S606" s="305"/>
      <c r="T606" s="120"/>
      <c r="U606" s="313"/>
      <c r="V606" s="120"/>
      <c r="W606" s="296"/>
      <c r="X606" s="296"/>
    </row>
    <row r="607" spans="1:24" ht="15.75" x14ac:dyDescent="0.25">
      <c r="A607" s="142"/>
      <c r="B607" s="143"/>
      <c r="C607" s="300"/>
      <c r="D607" s="300"/>
      <c r="E607" s="300"/>
      <c r="F607" s="300"/>
      <c r="G607" s="300"/>
      <c r="H607" s="134"/>
      <c r="I607" s="300"/>
      <c r="J607" s="299"/>
      <c r="K607" s="300"/>
      <c r="L607" s="300"/>
      <c r="M607" s="134"/>
      <c r="N607" s="300"/>
      <c r="O607" s="299"/>
      <c r="P607" s="134"/>
      <c r="Q607" s="301"/>
      <c r="R607" s="134"/>
      <c r="S607" s="300"/>
      <c r="T607" s="132"/>
      <c r="U607" s="311"/>
      <c r="V607" s="132"/>
      <c r="W607" s="296"/>
      <c r="X607" s="296"/>
    </row>
    <row r="608" spans="1:24" s="306" customFormat="1" ht="16.5" thickBot="1" x14ac:dyDescent="0.3">
      <c r="A608" s="142"/>
      <c r="B608" s="144"/>
      <c r="C608" s="303"/>
      <c r="D608" s="303"/>
      <c r="E608" s="303"/>
      <c r="F608" s="303"/>
      <c r="G608" s="303"/>
      <c r="H608" s="119"/>
      <c r="I608" s="303"/>
      <c r="J608" s="302"/>
      <c r="K608" s="303"/>
      <c r="L608" s="303"/>
      <c r="M608" s="119"/>
      <c r="N608" s="303"/>
      <c r="O608" s="302"/>
      <c r="P608" s="119"/>
      <c r="Q608" s="173"/>
      <c r="R608" s="119"/>
      <c r="S608" s="303"/>
      <c r="T608" s="117"/>
      <c r="U608" s="312"/>
      <c r="V608" s="117"/>
      <c r="W608" s="296"/>
      <c r="X608" s="296"/>
    </row>
    <row r="609" spans="1:24" ht="16.5" thickBot="1" x14ac:dyDescent="0.3">
      <c r="A609" s="142"/>
      <c r="B609" s="145"/>
      <c r="C609" s="305"/>
      <c r="D609" s="305"/>
      <c r="E609" s="305"/>
      <c r="F609" s="305"/>
      <c r="G609" s="724"/>
      <c r="H609" s="122"/>
      <c r="I609" s="305"/>
      <c r="J609" s="304"/>
      <c r="K609" s="305"/>
      <c r="L609" s="305"/>
      <c r="M609" s="122"/>
      <c r="N609" s="305"/>
      <c r="O609" s="304"/>
      <c r="P609" s="122"/>
      <c r="Q609" s="253"/>
      <c r="R609" s="122"/>
      <c r="S609" s="724"/>
      <c r="T609" s="120"/>
      <c r="U609" s="313"/>
      <c r="V609" s="120"/>
      <c r="W609" s="296"/>
      <c r="X609" s="296"/>
    </row>
    <row r="610" spans="1:24" ht="15.75" x14ac:dyDescent="0.25">
      <c r="A610" s="142"/>
      <c r="B610" s="143"/>
      <c r="C610" s="300"/>
      <c r="D610" s="300"/>
      <c r="E610" s="300"/>
      <c r="F610" s="300"/>
      <c r="G610" s="300"/>
      <c r="H610" s="134"/>
      <c r="I610" s="300"/>
      <c r="J610" s="299"/>
      <c r="K610" s="300"/>
      <c r="L610" s="300"/>
      <c r="M610" s="134"/>
      <c r="N610" s="300"/>
      <c r="O610" s="299"/>
      <c r="P610" s="134"/>
      <c r="Q610" s="301"/>
      <c r="R610" s="134"/>
      <c r="S610" s="300"/>
      <c r="T610" s="132"/>
      <c r="U610" s="311"/>
      <c r="V610" s="132"/>
      <c r="W610" s="296"/>
      <c r="X610" s="296"/>
    </row>
    <row r="611" spans="1:24" s="306" customFormat="1" ht="15.75" x14ac:dyDescent="0.25">
      <c r="A611" s="142"/>
      <c r="B611" s="144"/>
      <c r="C611" s="303"/>
      <c r="D611" s="303"/>
      <c r="E611" s="303"/>
      <c r="F611" s="303"/>
      <c r="G611" s="303"/>
      <c r="H611" s="119"/>
      <c r="I611" s="303"/>
      <c r="J611" s="302"/>
      <c r="K611" s="303"/>
      <c r="L611" s="303"/>
      <c r="M611" s="119"/>
      <c r="N611" s="303"/>
      <c r="O611" s="302"/>
      <c r="P611" s="119"/>
      <c r="Q611" s="173"/>
      <c r="R611" s="119"/>
      <c r="S611" s="303"/>
      <c r="T611" s="117"/>
      <c r="U611" s="312"/>
      <c r="V611" s="117"/>
      <c r="W611" s="296"/>
      <c r="X611" s="296"/>
    </row>
    <row r="612" spans="1:24" ht="15.75" x14ac:dyDescent="0.25">
      <c r="A612" s="142"/>
      <c r="B612" s="145"/>
      <c r="C612" s="305"/>
      <c r="D612" s="305"/>
      <c r="E612" s="305"/>
      <c r="F612" s="305"/>
      <c r="G612" s="305"/>
      <c r="H612" s="122"/>
      <c r="I612" s="305"/>
      <c r="J612" s="304"/>
      <c r="K612" s="305"/>
      <c r="L612" s="305"/>
      <c r="M612" s="122"/>
      <c r="N612" s="305"/>
      <c r="O612" s="304"/>
      <c r="P612" s="122"/>
      <c r="Q612" s="253"/>
      <c r="R612" s="122"/>
      <c r="S612" s="305"/>
      <c r="T612" s="120"/>
      <c r="U612" s="313"/>
      <c r="V612" s="120"/>
      <c r="W612" s="296"/>
      <c r="X612" s="296"/>
    </row>
    <row r="613" spans="1:24" ht="15.75" x14ac:dyDescent="0.25">
      <c r="A613" s="142"/>
      <c r="B613" s="143"/>
      <c r="C613" s="300"/>
      <c r="D613" s="300"/>
      <c r="E613" s="300"/>
      <c r="F613" s="300"/>
      <c r="G613" s="300"/>
      <c r="H613" s="134"/>
      <c r="I613" s="300"/>
      <c r="J613" s="299"/>
      <c r="K613" s="300"/>
      <c r="L613" s="300"/>
      <c r="M613" s="134"/>
      <c r="N613" s="300"/>
      <c r="O613" s="299"/>
      <c r="P613" s="134"/>
      <c r="Q613" s="301"/>
      <c r="R613" s="134"/>
      <c r="S613" s="300"/>
      <c r="T613" s="132"/>
      <c r="U613" s="311"/>
      <c r="V613" s="132"/>
      <c r="W613" s="296"/>
      <c r="X613" s="296"/>
    </row>
    <row r="614" spans="1:24" s="306" customFormat="1" ht="15.75" x14ac:dyDescent="0.25">
      <c r="A614" s="142"/>
      <c r="B614" s="144"/>
      <c r="C614" s="303"/>
      <c r="D614" s="303"/>
      <c r="E614" s="303"/>
      <c r="F614" s="303"/>
      <c r="G614" s="303"/>
      <c r="H614" s="119"/>
      <c r="I614" s="303"/>
      <c r="J614" s="302"/>
      <c r="K614" s="303"/>
      <c r="L614" s="303"/>
      <c r="M614" s="119"/>
      <c r="N614" s="303"/>
      <c r="O614" s="302"/>
      <c r="P614" s="119"/>
      <c r="Q614" s="173"/>
      <c r="R614" s="119"/>
      <c r="S614" s="303"/>
      <c r="T614" s="117"/>
      <c r="U614" s="312"/>
      <c r="V614" s="117"/>
      <c r="W614" s="296"/>
      <c r="X614" s="296"/>
    </row>
    <row r="615" spans="1:24" ht="15.75" x14ac:dyDescent="0.25">
      <c r="A615" s="142"/>
      <c r="B615" s="145"/>
      <c r="C615" s="305"/>
      <c r="D615" s="305"/>
      <c r="E615" s="305"/>
      <c r="F615" s="305"/>
      <c r="G615" s="305"/>
      <c r="H615" s="122"/>
      <c r="I615" s="305"/>
      <c r="J615" s="304"/>
      <c r="K615" s="305"/>
      <c r="L615" s="305"/>
      <c r="M615" s="122"/>
      <c r="N615" s="305"/>
      <c r="O615" s="304"/>
      <c r="P615" s="122"/>
      <c r="Q615" s="253"/>
      <c r="R615" s="122"/>
      <c r="S615" s="305"/>
      <c r="T615" s="120"/>
      <c r="U615" s="313"/>
      <c r="V615" s="120"/>
      <c r="W615" s="296"/>
      <c r="X615" s="296"/>
    </row>
    <row r="616" spans="1:24" ht="15.75" x14ac:dyDescent="0.25">
      <c r="A616" s="142"/>
      <c r="B616" s="143"/>
      <c r="C616" s="300"/>
      <c r="D616" s="300"/>
      <c r="E616" s="300"/>
      <c r="F616" s="300"/>
      <c r="G616" s="300"/>
      <c r="H616" s="134"/>
      <c r="I616" s="300"/>
      <c r="J616" s="299"/>
      <c r="K616" s="300"/>
      <c r="L616" s="300"/>
      <c r="M616" s="134"/>
      <c r="N616" s="300"/>
      <c r="O616" s="299"/>
      <c r="P616" s="134"/>
      <c r="Q616" s="301"/>
      <c r="R616" s="134"/>
      <c r="S616" s="300"/>
      <c r="T616" s="132"/>
      <c r="U616" s="311"/>
      <c r="V616" s="132"/>
      <c r="W616" s="296"/>
      <c r="X616" s="296"/>
    </row>
    <row r="617" spans="1:24" s="306" customFormat="1" ht="15.75" x14ac:dyDescent="0.25">
      <c r="A617" s="142"/>
      <c r="B617" s="144"/>
      <c r="C617" s="303"/>
      <c r="D617" s="303"/>
      <c r="E617" s="303"/>
      <c r="F617" s="303"/>
      <c r="G617" s="303"/>
      <c r="H617" s="119"/>
      <c r="I617" s="303"/>
      <c r="J617" s="302"/>
      <c r="K617" s="303"/>
      <c r="L617" s="303"/>
      <c r="M617" s="119"/>
      <c r="N617" s="303"/>
      <c r="O617" s="302"/>
      <c r="P617" s="119"/>
      <c r="Q617" s="173"/>
      <c r="R617" s="119"/>
      <c r="S617" s="303"/>
      <c r="T617" s="117"/>
      <c r="U617" s="312"/>
      <c r="V617" s="117"/>
      <c r="W617" s="296"/>
      <c r="X617" s="296"/>
    </row>
    <row r="618" spans="1:24" ht="15.75" x14ac:dyDescent="0.25">
      <c r="A618" s="142"/>
      <c r="B618" s="145"/>
      <c r="C618" s="305"/>
      <c r="D618" s="305"/>
      <c r="E618" s="305"/>
      <c r="F618" s="305"/>
      <c r="G618" s="305"/>
      <c r="H618" s="122"/>
      <c r="I618" s="305"/>
      <c r="J618" s="304"/>
      <c r="K618" s="305"/>
      <c r="L618" s="305"/>
      <c r="M618" s="122"/>
      <c r="N618" s="305"/>
      <c r="O618" s="304"/>
      <c r="P618" s="122"/>
      <c r="Q618" s="253"/>
      <c r="R618" s="122"/>
      <c r="S618" s="305"/>
      <c r="T618" s="120"/>
      <c r="U618" s="313"/>
      <c r="V618" s="120"/>
      <c r="W618" s="296"/>
      <c r="X618" s="296"/>
    </row>
    <row r="619" spans="1:24" ht="15.75" x14ac:dyDescent="0.25">
      <c r="A619" s="142"/>
      <c r="B619" s="143"/>
      <c r="C619" s="300"/>
      <c r="D619" s="300"/>
      <c r="E619" s="300"/>
      <c r="F619" s="300"/>
      <c r="G619" s="300"/>
      <c r="H619" s="134"/>
      <c r="I619" s="300"/>
      <c r="J619" s="299"/>
      <c r="K619" s="300"/>
      <c r="L619" s="300"/>
      <c r="M619" s="134"/>
      <c r="N619" s="300"/>
      <c r="O619" s="299"/>
      <c r="P619" s="134"/>
      <c r="Q619" s="301"/>
      <c r="R619" s="134"/>
      <c r="S619" s="300"/>
      <c r="T619" s="132"/>
      <c r="U619" s="311"/>
      <c r="V619" s="132"/>
      <c r="W619" s="296"/>
      <c r="X619" s="296"/>
    </row>
    <row r="620" spans="1:24" s="306" customFormat="1" ht="15.75" x14ac:dyDescent="0.25">
      <c r="A620" s="142"/>
      <c r="B620" s="144"/>
      <c r="C620" s="303"/>
      <c r="D620" s="303"/>
      <c r="E620" s="303"/>
      <c r="F620" s="303"/>
      <c r="G620" s="303"/>
      <c r="H620" s="119"/>
      <c r="I620" s="303"/>
      <c r="J620" s="302"/>
      <c r="K620" s="303"/>
      <c r="L620" s="303"/>
      <c r="M620" s="119"/>
      <c r="N620" s="303"/>
      <c r="O620" s="302"/>
      <c r="P620" s="119"/>
      <c r="Q620" s="173"/>
      <c r="R620" s="119"/>
      <c r="S620" s="303"/>
      <c r="T620" s="117"/>
      <c r="U620" s="312"/>
      <c r="V620" s="117"/>
      <c r="W620" s="296"/>
      <c r="X620" s="296"/>
    </row>
    <row r="621" spans="1:24" ht="15.75" x14ac:dyDescent="0.25">
      <c r="A621" s="142"/>
      <c r="B621" s="145"/>
      <c r="C621" s="305"/>
      <c r="D621" s="305"/>
      <c r="E621" s="305"/>
      <c r="F621" s="305"/>
      <c r="G621" s="305"/>
      <c r="H621" s="122"/>
      <c r="I621" s="305"/>
      <c r="J621" s="304"/>
      <c r="K621" s="305"/>
      <c r="L621" s="305"/>
      <c r="M621" s="122"/>
      <c r="N621" s="305"/>
      <c r="O621" s="304"/>
      <c r="P621" s="122"/>
      <c r="Q621" s="253"/>
      <c r="R621" s="122"/>
      <c r="S621" s="305"/>
      <c r="T621" s="120"/>
      <c r="U621" s="313"/>
      <c r="V621" s="120"/>
      <c r="W621" s="296"/>
      <c r="X621" s="296"/>
    </row>
    <row r="622" spans="1:24" ht="15.75" x14ac:dyDescent="0.25">
      <c r="A622" s="142"/>
      <c r="B622" s="143"/>
      <c r="C622" s="300"/>
      <c r="D622" s="300"/>
      <c r="E622" s="300"/>
      <c r="F622" s="300"/>
      <c r="G622" s="300"/>
      <c r="H622" s="134"/>
      <c r="I622" s="300"/>
      <c r="J622" s="299"/>
      <c r="K622" s="300"/>
      <c r="L622" s="300"/>
      <c r="M622" s="134"/>
      <c r="N622" s="300"/>
      <c r="O622" s="299"/>
      <c r="P622" s="134"/>
      <c r="Q622" s="301"/>
      <c r="R622" s="134"/>
      <c r="S622" s="300"/>
      <c r="T622" s="132"/>
      <c r="U622" s="311"/>
      <c r="V622" s="132"/>
      <c r="W622" s="296"/>
      <c r="X622" s="296"/>
    </row>
    <row r="623" spans="1:24" s="306" customFormat="1" ht="15.75" x14ac:dyDescent="0.25">
      <c r="A623" s="142"/>
      <c r="B623" s="144"/>
      <c r="C623" s="303"/>
      <c r="D623" s="303"/>
      <c r="E623" s="303"/>
      <c r="F623" s="303"/>
      <c r="G623" s="303"/>
      <c r="H623" s="119"/>
      <c r="I623" s="303"/>
      <c r="J623" s="302"/>
      <c r="K623" s="303"/>
      <c r="L623" s="303"/>
      <c r="M623" s="119"/>
      <c r="N623" s="303"/>
      <c r="O623" s="302"/>
      <c r="P623" s="119"/>
      <c r="Q623" s="173"/>
      <c r="R623" s="119"/>
      <c r="S623" s="303"/>
      <c r="T623" s="117"/>
      <c r="U623" s="312"/>
      <c r="V623" s="117"/>
      <c r="W623" s="296"/>
      <c r="X623" s="296"/>
    </row>
    <row r="624" spans="1:24" ht="15.75" x14ac:dyDescent="0.25">
      <c r="A624" s="142"/>
      <c r="B624" s="145"/>
      <c r="C624" s="305"/>
      <c r="D624" s="305"/>
      <c r="E624" s="305"/>
      <c r="F624" s="305"/>
      <c r="G624" s="305"/>
      <c r="H624" s="122"/>
      <c r="I624" s="305"/>
      <c r="J624" s="304"/>
      <c r="K624" s="305"/>
      <c r="L624" s="305"/>
      <c r="M624" s="122"/>
      <c r="N624" s="305"/>
      <c r="O624" s="304"/>
      <c r="P624" s="122"/>
      <c r="Q624" s="253"/>
      <c r="R624" s="122"/>
      <c r="S624" s="305"/>
      <c r="T624" s="120"/>
      <c r="U624" s="313"/>
      <c r="V624" s="120"/>
      <c r="W624" s="296"/>
      <c r="X624" s="296"/>
    </row>
    <row r="625" spans="1:24" ht="15.75" x14ac:dyDescent="0.25">
      <c r="A625" s="142"/>
      <c r="B625" s="143"/>
      <c r="C625" s="300"/>
      <c r="D625" s="300"/>
      <c r="E625" s="300"/>
      <c r="F625" s="300"/>
      <c r="G625" s="300"/>
      <c r="H625" s="134"/>
      <c r="I625" s="300"/>
      <c r="J625" s="299"/>
      <c r="K625" s="300"/>
      <c r="L625" s="300"/>
      <c r="M625" s="134"/>
      <c r="N625" s="300"/>
      <c r="O625" s="299"/>
      <c r="P625" s="134"/>
      <c r="Q625" s="301"/>
      <c r="R625" s="134"/>
      <c r="S625" s="300"/>
      <c r="T625" s="132"/>
      <c r="U625" s="311"/>
      <c r="V625" s="132"/>
      <c r="W625" s="296"/>
      <c r="X625" s="296"/>
    </row>
    <row r="626" spans="1:24" s="306" customFormat="1" ht="15.75" x14ac:dyDescent="0.25">
      <c r="A626" s="142"/>
      <c r="B626" s="144"/>
      <c r="C626" s="303"/>
      <c r="D626" s="303"/>
      <c r="E626" s="303"/>
      <c r="F626" s="303"/>
      <c r="G626" s="303"/>
      <c r="H626" s="119"/>
      <c r="I626" s="303"/>
      <c r="J626" s="302"/>
      <c r="K626" s="303"/>
      <c r="L626" s="303"/>
      <c r="M626" s="119"/>
      <c r="N626" s="303"/>
      <c r="O626" s="302"/>
      <c r="P626" s="119"/>
      <c r="Q626" s="173"/>
      <c r="R626" s="119"/>
      <c r="S626" s="303"/>
      <c r="T626" s="117"/>
      <c r="U626" s="312"/>
      <c r="V626" s="117"/>
      <c r="W626" s="296"/>
      <c r="X626" s="296"/>
    </row>
    <row r="627" spans="1:24" ht="15.75" x14ac:dyDescent="0.25">
      <c r="A627" s="142"/>
      <c r="B627" s="145"/>
      <c r="C627" s="305"/>
      <c r="D627" s="305"/>
      <c r="E627" s="305"/>
      <c r="F627" s="305"/>
      <c r="G627" s="305"/>
      <c r="H627" s="122"/>
      <c r="I627" s="305"/>
      <c r="J627" s="304"/>
      <c r="K627" s="305"/>
      <c r="L627" s="305"/>
      <c r="M627" s="122"/>
      <c r="N627" s="305"/>
      <c r="O627" s="304"/>
      <c r="P627" s="122"/>
      <c r="Q627" s="253"/>
      <c r="R627" s="122"/>
      <c r="S627" s="305"/>
      <c r="T627" s="120"/>
      <c r="U627" s="313"/>
      <c r="V627" s="120"/>
      <c r="W627" s="296"/>
      <c r="X627" s="296"/>
    </row>
    <row r="628" spans="1:24" ht="15.75" x14ac:dyDescent="0.25">
      <c r="A628" s="142"/>
      <c r="B628" s="143"/>
      <c r="C628" s="300"/>
      <c r="D628" s="300"/>
      <c r="E628" s="300"/>
      <c r="F628" s="300"/>
      <c r="G628" s="300"/>
      <c r="H628" s="134"/>
      <c r="I628" s="300"/>
      <c r="J628" s="299"/>
      <c r="K628" s="300"/>
      <c r="L628" s="300"/>
      <c r="M628" s="134"/>
      <c r="N628" s="300"/>
      <c r="O628" s="299"/>
      <c r="P628" s="134"/>
      <c r="Q628" s="301"/>
      <c r="R628" s="134"/>
      <c r="S628" s="300"/>
      <c r="T628" s="132"/>
      <c r="U628" s="311"/>
      <c r="V628" s="132"/>
      <c r="W628" s="296"/>
      <c r="X628" s="296"/>
    </row>
    <row r="629" spans="1:24" s="306" customFormat="1" ht="15.75" x14ac:dyDescent="0.25">
      <c r="A629" s="142"/>
      <c r="B629" s="144"/>
      <c r="C629" s="303"/>
      <c r="D629" s="303"/>
      <c r="E629" s="303"/>
      <c r="F629" s="303"/>
      <c r="G629" s="303"/>
      <c r="H629" s="119"/>
      <c r="I629" s="303"/>
      <c r="J629" s="302"/>
      <c r="K629" s="303"/>
      <c r="L629" s="303"/>
      <c r="M629" s="119"/>
      <c r="N629" s="303"/>
      <c r="O629" s="302"/>
      <c r="P629" s="119"/>
      <c r="Q629" s="173"/>
      <c r="R629" s="119"/>
      <c r="S629" s="303"/>
      <c r="T629" s="117"/>
      <c r="U629" s="312"/>
      <c r="V629" s="117"/>
      <c r="W629" s="296"/>
      <c r="X629" s="296"/>
    </row>
    <row r="630" spans="1:24" ht="15.75" x14ac:dyDescent="0.25">
      <c r="A630" s="142"/>
      <c r="B630" s="145"/>
      <c r="C630" s="305"/>
      <c r="D630" s="305"/>
      <c r="E630" s="305"/>
      <c r="F630" s="305"/>
      <c r="G630" s="305"/>
      <c r="H630" s="122"/>
      <c r="I630" s="305"/>
      <c r="J630" s="304"/>
      <c r="K630" s="305"/>
      <c r="L630" s="305"/>
      <c r="M630" s="122"/>
      <c r="N630" s="305"/>
      <c r="O630" s="304"/>
      <c r="P630" s="122"/>
      <c r="Q630" s="253"/>
      <c r="R630" s="122"/>
      <c r="S630" s="305"/>
      <c r="T630" s="120"/>
      <c r="U630" s="313"/>
      <c r="V630" s="120"/>
      <c r="W630" s="296"/>
      <c r="X630" s="296"/>
    </row>
    <row r="631" spans="1:24" ht="15.75" x14ac:dyDescent="0.25">
      <c r="A631" s="142"/>
      <c r="B631" s="143"/>
      <c r="C631" s="300"/>
      <c r="D631" s="300"/>
      <c r="E631" s="300"/>
      <c r="F631" s="300"/>
      <c r="G631" s="300"/>
      <c r="H631" s="134"/>
      <c r="I631" s="300"/>
      <c r="J631" s="299"/>
      <c r="K631" s="300"/>
      <c r="L631" s="300"/>
      <c r="M631" s="134"/>
      <c r="N631" s="300"/>
      <c r="O631" s="299"/>
      <c r="P631" s="134"/>
      <c r="Q631" s="301"/>
      <c r="R631" s="134"/>
      <c r="S631" s="300"/>
      <c r="T631" s="132"/>
      <c r="U631" s="311"/>
      <c r="V631" s="132"/>
      <c r="W631" s="296"/>
      <c r="X631" s="296"/>
    </row>
    <row r="632" spans="1:24" s="306" customFormat="1" ht="15.75" x14ac:dyDescent="0.25">
      <c r="A632" s="142"/>
      <c r="B632" s="144"/>
      <c r="C632" s="303"/>
      <c r="D632" s="303"/>
      <c r="E632" s="303"/>
      <c r="F632" s="303"/>
      <c r="G632" s="303"/>
      <c r="H632" s="119"/>
      <c r="I632" s="303"/>
      <c r="J632" s="302"/>
      <c r="K632" s="303"/>
      <c r="L632" s="303"/>
      <c r="M632" s="119"/>
      <c r="N632" s="303"/>
      <c r="O632" s="302"/>
      <c r="P632" s="119"/>
      <c r="Q632" s="173"/>
      <c r="R632" s="119"/>
      <c r="S632" s="303"/>
      <c r="T632" s="117"/>
      <c r="U632" s="312"/>
      <c r="V632" s="117"/>
      <c r="W632" s="296"/>
      <c r="X632" s="296"/>
    </row>
    <row r="633" spans="1:24" ht="15.75" x14ac:dyDescent="0.25">
      <c r="A633" s="142"/>
      <c r="B633" s="145"/>
      <c r="C633" s="305"/>
      <c r="D633" s="305"/>
      <c r="E633" s="305"/>
      <c r="F633" s="305"/>
      <c r="G633" s="305"/>
      <c r="H633" s="122"/>
      <c r="I633" s="305"/>
      <c r="J633" s="304"/>
      <c r="K633" s="305"/>
      <c r="L633" s="305"/>
      <c r="M633" s="122"/>
      <c r="N633" s="305"/>
      <c r="O633" s="304"/>
      <c r="P633" s="122"/>
      <c r="Q633" s="253"/>
      <c r="R633" s="122"/>
      <c r="S633" s="305"/>
      <c r="T633" s="120"/>
      <c r="U633" s="313"/>
      <c r="V633" s="120"/>
      <c r="W633" s="296"/>
      <c r="X633" s="296"/>
    </row>
    <row r="634" spans="1:24" ht="15.75" x14ac:dyDescent="0.25">
      <c r="A634" s="142"/>
      <c r="B634" s="143"/>
      <c r="C634" s="300"/>
      <c r="D634" s="300"/>
      <c r="E634" s="300"/>
      <c r="F634" s="300"/>
      <c r="G634" s="300"/>
      <c r="H634" s="134"/>
      <c r="I634" s="300"/>
      <c r="J634" s="299"/>
      <c r="K634" s="300"/>
      <c r="L634" s="300"/>
      <c r="M634" s="134"/>
      <c r="N634" s="300"/>
      <c r="O634" s="299"/>
      <c r="P634" s="134"/>
      <c r="Q634" s="301"/>
      <c r="R634" s="134"/>
      <c r="S634" s="300"/>
      <c r="T634" s="132"/>
      <c r="U634" s="311"/>
      <c r="V634" s="132"/>
      <c r="W634" s="296"/>
      <c r="X634" s="296"/>
    </row>
    <row r="635" spans="1:24" s="306" customFormat="1" ht="15.75" x14ac:dyDescent="0.25">
      <c r="A635" s="142"/>
      <c r="B635" s="144"/>
      <c r="C635" s="303"/>
      <c r="D635" s="303"/>
      <c r="E635" s="303"/>
      <c r="F635" s="303"/>
      <c r="G635" s="303"/>
      <c r="H635" s="119"/>
      <c r="I635" s="303"/>
      <c r="J635" s="302"/>
      <c r="K635" s="303"/>
      <c r="L635" s="303"/>
      <c r="M635" s="119"/>
      <c r="N635" s="303"/>
      <c r="O635" s="302"/>
      <c r="P635" s="119"/>
      <c r="Q635" s="173"/>
      <c r="R635" s="119"/>
      <c r="S635" s="303"/>
      <c r="T635" s="117"/>
      <c r="U635" s="312"/>
      <c r="V635" s="117"/>
      <c r="W635" s="296"/>
      <c r="X635" s="296"/>
    </row>
    <row r="636" spans="1:24" ht="15.75" x14ac:dyDescent="0.25">
      <c r="A636" s="142"/>
      <c r="B636" s="145"/>
      <c r="C636" s="305"/>
      <c r="D636" s="305"/>
      <c r="E636" s="305"/>
      <c r="F636" s="305"/>
      <c r="G636" s="305"/>
      <c r="H636" s="122"/>
      <c r="I636" s="305"/>
      <c r="J636" s="304"/>
      <c r="K636" s="305"/>
      <c r="L636" s="305"/>
      <c r="M636" s="122"/>
      <c r="N636" s="305"/>
      <c r="O636" s="304"/>
      <c r="P636" s="122"/>
      <c r="Q636" s="253"/>
      <c r="R636" s="122"/>
      <c r="S636" s="305"/>
      <c r="T636" s="120"/>
      <c r="U636" s="313"/>
      <c r="V636" s="120"/>
      <c r="W636" s="296"/>
      <c r="X636" s="296"/>
    </row>
    <row r="637" spans="1:24" ht="15.75" x14ac:dyDescent="0.25">
      <c r="A637" s="142"/>
      <c r="B637" s="143"/>
      <c r="C637" s="300"/>
      <c r="D637" s="300"/>
      <c r="E637" s="300"/>
      <c r="F637" s="300"/>
      <c r="G637" s="300"/>
      <c r="H637" s="134"/>
      <c r="I637" s="300"/>
      <c r="J637" s="299"/>
      <c r="K637" s="300"/>
      <c r="L637" s="300"/>
      <c r="M637" s="134"/>
      <c r="N637" s="300"/>
      <c r="O637" s="299"/>
      <c r="P637" s="134"/>
      <c r="Q637" s="301"/>
      <c r="R637" s="134"/>
      <c r="S637" s="300"/>
      <c r="T637" s="132"/>
      <c r="U637" s="311"/>
      <c r="V637" s="132"/>
      <c r="W637" s="296"/>
      <c r="X637" s="296"/>
    </row>
    <row r="638" spans="1:24" s="306" customFormat="1" ht="15.75" x14ac:dyDescent="0.25">
      <c r="A638" s="142"/>
      <c r="B638" s="144"/>
      <c r="C638" s="303"/>
      <c r="D638" s="303"/>
      <c r="E638" s="303"/>
      <c r="F638" s="303"/>
      <c r="G638" s="303"/>
      <c r="H638" s="119"/>
      <c r="I638" s="303"/>
      <c r="J638" s="302"/>
      <c r="K638" s="303"/>
      <c r="L638" s="303"/>
      <c r="M638" s="119"/>
      <c r="N638" s="303"/>
      <c r="O638" s="302"/>
      <c r="P638" s="119"/>
      <c r="Q638" s="173"/>
      <c r="R638" s="119"/>
      <c r="S638" s="303"/>
      <c r="T638" s="117"/>
      <c r="U638" s="312"/>
      <c r="V638" s="117"/>
      <c r="W638" s="296"/>
      <c r="X638" s="296"/>
    </row>
    <row r="639" spans="1:24" ht="15.75" x14ac:dyDescent="0.25">
      <c r="A639" s="142"/>
      <c r="B639" s="145"/>
      <c r="C639" s="305"/>
      <c r="D639" s="305"/>
      <c r="E639" s="305"/>
      <c r="F639" s="305"/>
      <c r="G639" s="305"/>
      <c r="H639" s="122"/>
      <c r="I639" s="305"/>
      <c r="J639" s="304"/>
      <c r="K639" s="305"/>
      <c r="L639" s="305"/>
      <c r="M639" s="122"/>
      <c r="N639" s="305"/>
      <c r="O639" s="304"/>
      <c r="P639" s="122"/>
      <c r="Q639" s="253"/>
      <c r="R639" s="122"/>
      <c r="S639" s="305"/>
      <c r="T639" s="120"/>
      <c r="U639" s="313"/>
      <c r="V639" s="120"/>
      <c r="W639" s="296"/>
      <c r="X639" s="296"/>
    </row>
    <row r="640" spans="1:24" ht="15.75" x14ac:dyDescent="0.25">
      <c r="A640" s="142"/>
      <c r="B640" s="143"/>
      <c r="C640" s="300"/>
      <c r="D640" s="300"/>
      <c r="E640" s="300"/>
      <c r="F640" s="300"/>
      <c r="G640" s="300"/>
      <c r="H640" s="134"/>
      <c r="I640" s="300"/>
      <c r="J640" s="299"/>
      <c r="K640" s="300"/>
      <c r="L640" s="300"/>
      <c r="M640" s="134"/>
      <c r="N640" s="300"/>
      <c r="O640" s="299"/>
      <c r="P640" s="134"/>
      <c r="Q640" s="301"/>
      <c r="R640" s="134"/>
      <c r="S640" s="300"/>
      <c r="T640" s="132"/>
      <c r="U640" s="311"/>
      <c r="V640" s="132"/>
      <c r="W640" s="296"/>
      <c r="X640" s="296"/>
    </row>
    <row r="641" spans="1:24" s="306" customFormat="1" ht="15.75" x14ac:dyDescent="0.25">
      <c r="A641" s="294"/>
      <c r="B641" s="144"/>
      <c r="C641" s="303"/>
      <c r="D641" s="303"/>
      <c r="E641" s="303"/>
      <c r="F641" s="303"/>
      <c r="G641" s="303"/>
      <c r="H641" s="119"/>
      <c r="I641" s="303"/>
      <c r="J641" s="302"/>
      <c r="K641" s="303"/>
      <c r="L641" s="303"/>
      <c r="M641" s="119"/>
      <c r="N641" s="303"/>
      <c r="O641" s="302"/>
      <c r="P641" s="119"/>
      <c r="Q641" s="173"/>
      <c r="R641" s="119"/>
      <c r="S641" s="303"/>
      <c r="T641" s="117"/>
      <c r="U641" s="312"/>
      <c r="V641" s="117"/>
      <c r="W641" s="296"/>
      <c r="X641" s="296"/>
    </row>
    <row r="642" spans="1:24" ht="15.75" x14ac:dyDescent="0.25">
      <c r="A642" s="141"/>
      <c r="B642" s="143"/>
      <c r="C642" s="300"/>
      <c r="D642" s="300"/>
      <c r="E642" s="300"/>
      <c r="F642" s="300"/>
      <c r="G642" s="300"/>
      <c r="H642" s="134"/>
      <c r="I642" s="300"/>
      <c r="J642" s="299"/>
      <c r="K642" s="300"/>
      <c r="L642" s="300"/>
      <c r="M642" s="134"/>
      <c r="N642" s="300"/>
      <c r="O642" s="299"/>
      <c r="P642" s="134"/>
      <c r="Q642" s="301"/>
      <c r="R642" s="134"/>
      <c r="S642" s="300"/>
      <c r="T642" s="132"/>
      <c r="U642" s="311"/>
      <c r="V642" s="132"/>
      <c r="W642" s="296"/>
      <c r="X642" s="296"/>
    </row>
    <row r="643" spans="1:24" ht="15.75" x14ac:dyDescent="0.25">
      <c r="A643" s="142"/>
      <c r="B643" s="144"/>
      <c r="C643" s="303"/>
      <c r="D643" s="303"/>
      <c r="E643" s="303"/>
      <c r="F643" s="303"/>
      <c r="G643" s="303"/>
      <c r="H643" s="119"/>
      <c r="I643" s="303"/>
      <c r="J643" s="302"/>
      <c r="K643" s="303"/>
      <c r="L643" s="303"/>
      <c r="M643" s="119"/>
      <c r="N643" s="303"/>
      <c r="O643" s="302"/>
      <c r="P643" s="119"/>
      <c r="Q643" s="173"/>
      <c r="R643" s="119"/>
      <c r="S643" s="303"/>
      <c r="T643" s="117"/>
      <c r="U643" s="312"/>
      <c r="V643" s="117"/>
      <c r="W643" s="296"/>
      <c r="X643" s="296"/>
    </row>
    <row r="644" spans="1:24" s="306" customFormat="1" ht="15.75" x14ac:dyDescent="0.25">
      <c r="A644" s="142"/>
      <c r="B644" s="145"/>
      <c r="C644" s="305"/>
      <c r="D644" s="305"/>
      <c r="E644" s="305"/>
      <c r="F644" s="305"/>
      <c r="G644" s="305"/>
      <c r="H644" s="122"/>
      <c r="I644" s="305"/>
      <c r="J644" s="304"/>
      <c r="K644" s="305"/>
      <c r="L644" s="305"/>
      <c r="M644" s="122"/>
      <c r="N644" s="305"/>
      <c r="O644" s="304"/>
      <c r="P644" s="122"/>
      <c r="Q644" s="253"/>
      <c r="R644" s="122"/>
      <c r="S644" s="305"/>
      <c r="T644" s="120"/>
      <c r="U644" s="313"/>
      <c r="V644" s="120"/>
      <c r="W644" s="296"/>
      <c r="X644" s="296"/>
    </row>
    <row r="645" spans="1:24" ht="15.75" x14ac:dyDescent="0.25">
      <c r="A645" s="142"/>
      <c r="B645" s="143"/>
      <c r="C645" s="300"/>
      <c r="D645" s="300"/>
      <c r="E645" s="300"/>
      <c r="F645" s="300"/>
      <c r="G645" s="300"/>
      <c r="H645" s="134"/>
      <c r="I645" s="300"/>
      <c r="J645" s="299"/>
      <c r="K645" s="300"/>
      <c r="L645" s="300"/>
      <c r="M645" s="134"/>
      <c r="N645" s="300"/>
      <c r="O645" s="299"/>
      <c r="P645" s="134"/>
      <c r="Q645" s="301"/>
      <c r="R645" s="134"/>
      <c r="S645" s="300"/>
      <c r="T645" s="132"/>
      <c r="U645" s="311"/>
      <c r="V645" s="132"/>
      <c r="W645" s="296"/>
      <c r="X645" s="296"/>
    </row>
    <row r="646" spans="1:24" ht="15.75" x14ac:dyDescent="0.25">
      <c r="A646" s="142"/>
      <c r="B646" s="144"/>
      <c r="C646" s="303"/>
      <c r="D646" s="303"/>
      <c r="E646" s="303"/>
      <c r="F646" s="303"/>
      <c r="G646" s="303"/>
      <c r="H646" s="119"/>
      <c r="I646" s="303"/>
      <c r="J646" s="302"/>
      <c r="K646" s="303"/>
      <c r="L646" s="303"/>
      <c r="M646" s="119"/>
      <c r="N646" s="303"/>
      <c r="O646" s="302"/>
      <c r="P646" s="119"/>
      <c r="Q646" s="173"/>
      <c r="R646" s="119"/>
      <c r="S646" s="303"/>
      <c r="T646" s="117"/>
      <c r="U646" s="312"/>
      <c r="V646" s="117"/>
      <c r="W646" s="296"/>
      <c r="X646" s="296"/>
    </row>
    <row r="647" spans="1:24" s="306" customFormat="1" ht="15.75" x14ac:dyDescent="0.25">
      <c r="A647" s="142"/>
      <c r="B647" s="145"/>
      <c r="C647" s="305"/>
      <c r="D647" s="305"/>
      <c r="E647" s="305"/>
      <c r="F647" s="305"/>
      <c r="G647" s="305"/>
      <c r="H647" s="122"/>
      <c r="I647" s="305"/>
      <c r="J647" s="304"/>
      <c r="K647" s="305"/>
      <c r="L647" s="305"/>
      <c r="M647" s="122"/>
      <c r="N647" s="305"/>
      <c r="O647" s="304"/>
      <c r="P647" s="122"/>
      <c r="Q647" s="253"/>
      <c r="R647" s="122"/>
      <c r="S647" s="305"/>
      <c r="T647" s="120"/>
      <c r="U647" s="313"/>
      <c r="V647" s="120"/>
      <c r="W647" s="296"/>
      <c r="X647" s="296"/>
    </row>
    <row r="648" spans="1:24" ht="15.75" x14ac:dyDescent="0.25">
      <c r="A648" s="142"/>
      <c r="B648" s="143"/>
      <c r="C648" s="300"/>
      <c r="D648" s="300"/>
      <c r="E648" s="300"/>
      <c r="F648" s="300"/>
      <c r="G648" s="300"/>
      <c r="H648" s="134"/>
      <c r="I648" s="300"/>
      <c r="J648" s="299"/>
      <c r="K648" s="300"/>
      <c r="L648" s="300"/>
      <c r="M648" s="134"/>
      <c r="N648" s="300"/>
      <c r="O648" s="299"/>
      <c r="P648" s="134"/>
      <c r="Q648" s="301"/>
      <c r="R648" s="134"/>
      <c r="S648" s="300"/>
      <c r="T648" s="132"/>
      <c r="U648" s="311"/>
      <c r="V648" s="132"/>
      <c r="W648" s="296"/>
      <c r="X648" s="296"/>
    </row>
    <row r="649" spans="1:24" ht="15.75" x14ac:dyDescent="0.25">
      <c r="A649" s="142"/>
      <c r="B649" s="144"/>
      <c r="C649" s="303"/>
      <c r="D649" s="303"/>
      <c r="E649" s="303"/>
      <c r="F649" s="303"/>
      <c r="G649" s="303"/>
      <c r="H649" s="119"/>
      <c r="I649" s="303"/>
      <c r="J649" s="302"/>
      <c r="K649" s="303"/>
      <c r="L649" s="303"/>
      <c r="M649" s="119"/>
      <c r="N649" s="303"/>
      <c r="O649" s="302"/>
      <c r="P649" s="119"/>
      <c r="Q649" s="173"/>
      <c r="R649" s="119"/>
      <c r="S649" s="303"/>
      <c r="T649" s="117"/>
      <c r="U649" s="312"/>
      <c r="V649" s="117"/>
      <c r="W649" s="296"/>
      <c r="X649" s="296"/>
    </row>
    <row r="650" spans="1:24" s="306" customFormat="1" ht="15.75" x14ac:dyDescent="0.25">
      <c r="A650" s="142"/>
      <c r="B650" s="145"/>
      <c r="C650" s="305"/>
      <c r="D650" s="305"/>
      <c r="E650" s="305"/>
      <c r="F650" s="305"/>
      <c r="G650" s="305"/>
      <c r="H650" s="122"/>
      <c r="I650" s="305"/>
      <c r="J650" s="304"/>
      <c r="K650" s="305"/>
      <c r="L650" s="305"/>
      <c r="M650" s="122"/>
      <c r="N650" s="305"/>
      <c r="O650" s="304"/>
      <c r="P650" s="122"/>
      <c r="Q650" s="253"/>
      <c r="R650" s="122"/>
      <c r="S650" s="305"/>
      <c r="T650" s="120"/>
      <c r="U650" s="313"/>
      <c r="V650" s="120"/>
      <c r="W650" s="296"/>
      <c r="X650" s="296"/>
    </row>
    <row r="651" spans="1:24" ht="15.75" x14ac:dyDescent="0.25">
      <c r="A651" s="142"/>
      <c r="B651" s="143"/>
      <c r="C651" s="300"/>
      <c r="D651" s="300"/>
      <c r="E651" s="300"/>
      <c r="F651" s="300"/>
      <c r="G651" s="300"/>
      <c r="H651" s="134"/>
      <c r="I651" s="300"/>
      <c r="J651" s="299"/>
      <c r="K651" s="300"/>
      <c r="L651" s="300"/>
      <c r="M651" s="134"/>
      <c r="N651" s="300"/>
      <c r="O651" s="299"/>
      <c r="P651" s="134"/>
      <c r="Q651" s="301"/>
      <c r="R651" s="134"/>
      <c r="S651" s="300"/>
      <c r="T651" s="132"/>
      <c r="U651" s="311"/>
      <c r="V651" s="132"/>
      <c r="W651" s="296"/>
      <c r="X651" s="296"/>
    </row>
    <row r="652" spans="1:24" ht="15.75" x14ac:dyDescent="0.25">
      <c r="A652" s="142"/>
      <c r="B652" s="144"/>
      <c r="C652" s="303"/>
      <c r="D652" s="303"/>
      <c r="E652" s="303"/>
      <c r="F652" s="303"/>
      <c r="G652" s="303"/>
      <c r="H652" s="119"/>
      <c r="I652" s="303"/>
      <c r="J652" s="302"/>
      <c r="K652" s="303"/>
      <c r="L652" s="303"/>
      <c r="M652" s="119"/>
      <c r="N652" s="303"/>
      <c r="O652" s="302"/>
      <c r="P652" s="119"/>
      <c r="Q652" s="173"/>
      <c r="R652" s="119"/>
      <c r="S652" s="303"/>
      <c r="T652" s="117"/>
      <c r="U652" s="312"/>
      <c r="V652" s="117"/>
      <c r="W652" s="296"/>
      <c r="X652" s="296"/>
    </row>
    <row r="653" spans="1:24" s="306" customFormat="1" ht="15.75" x14ac:dyDescent="0.25">
      <c r="A653" s="142"/>
      <c r="B653" s="145"/>
      <c r="C653" s="305"/>
      <c r="D653" s="305"/>
      <c r="E653" s="305"/>
      <c r="F653" s="305"/>
      <c r="G653" s="305"/>
      <c r="H653" s="122"/>
      <c r="I653" s="305"/>
      <c r="J653" s="304"/>
      <c r="K653" s="305"/>
      <c r="L653" s="305"/>
      <c r="M653" s="122"/>
      <c r="N653" s="305"/>
      <c r="O653" s="304"/>
      <c r="P653" s="122"/>
      <c r="Q653" s="253"/>
      <c r="R653" s="122"/>
      <c r="S653" s="305"/>
      <c r="T653" s="120"/>
      <c r="U653" s="313"/>
      <c r="V653" s="120"/>
      <c r="W653" s="296"/>
      <c r="X653" s="296"/>
    </row>
    <row r="654" spans="1:24" ht="15.75" x14ac:dyDescent="0.25">
      <c r="A654" s="142"/>
      <c r="B654" s="143"/>
      <c r="C654" s="300"/>
      <c r="D654" s="300"/>
      <c r="E654" s="300"/>
      <c r="F654" s="300"/>
      <c r="G654" s="300"/>
      <c r="H654" s="134"/>
      <c r="I654" s="300"/>
      <c r="J654" s="299"/>
      <c r="K654" s="300"/>
      <c r="L654" s="300"/>
      <c r="M654" s="134"/>
      <c r="N654" s="300"/>
      <c r="O654" s="299"/>
      <c r="P654" s="134"/>
      <c r="Q654" s="301"/>
      <c r="R654" s="134"/>
      <c r="S654" s="300"/>
      <c r="T654" s="132"/>
      <c r="U654" s="311"/>
      <c r="V654" s="132"/>
      <c r="W654" s="296"/>
      <c r="X654" s="296"/>
    </row>
    <row r="655" spans="1:24" ht="15.75" x14ac:dyDescent="0.25">
      <c r="A655" s="142"/>
      <c r="B655" s="144"/>
      <c r="C655" s="303"/>
      <c r="D655" s="303"/>
      <c r="E655" s="303"/>
      <c r="F655" s="303"/>
      <c r="G655" s="303"/>
      <c r="H655" s="119"/>
      <c r="I655" s="303"/>
      <c r="J655" s="302"/>
      <c r="K655" s="303"/>
      <c r="L655" s="303"/>
      <c r="M655" s="119"/>
      <c r="N655" s="303"/>
      <c r="O655" s="302"/>
      <c r="P655" s="119"/>
      <c r="Q655" s="173"/>
      <c r="R655" s="119"/>
      <c r="S655" s="303"/>
      <c r="T655" s="117"/>
      <c r="U655" s="312"/>
      <c r="V655" s="117"/>
      <c r="W655" s="296"/>
      <c r="X655" s="296"/>
    </row>
    <row r="656" spans="1:24" s="306" customFormat="1" ht="15.75" x14ac:dyDescent="0.25">
      <c r="A656" s="142"/>
      <c r="B656" s="145"/>
      <c r="C656" s="305"/>
      <c r="D656" s="305"/>
      <c r="E656" s="305"/>
      <c r="F656" s="305"/>
      <c r="G656" s="305"/>
      <c r="H656" s="122"/>
      <c r="I656" s="305"/>
      <c r="J656" s="304"/>
      <c r="K656" s="305"/>
      <c r="L656" s="305"/>
      <c r="M656" s="122"/>
      <c r="N656" s="305"/>
      <c r="O656" s="304"/>
      <c r="P656" s="122"/>
      <c r="Q656" s="253"/>
      <c r="R656" s="122"/>
      <c r="S656" s="305"/>
      <c r="T656" s="120"/>
      <c r="U656" s="313"/>
      <c r="V656" s="120"/>
      <c r="W656" s="296"/>
      <c r="X656" s="296"/>
    </row>
    <row r="657" spans="1:24" ht="15.75" x14ac:dyDescent="0.25">
      <c r="A657" s="142"/>
      <c r="B657" s="143"/>
      <c r="C657" s="300"/>
      <c r="D657" s="300"/>
      <c r="E657" s="300"/>
      <c r="F657" s="300"/>
      <c r="G657" s="300"/>
      <c r="H657" s="134"/>
      <c r="I657" s="300"/>
      <c r="J657" s="299"/>
      <c r="K657" s="300"/>
      <c r="L657" s="300"/>
      <c r="M657" s="134"/>
      <c r="N657" s="300"/>
      <c r="O657" s="299"/>
      <c r="P657" s="134"/>
      <c r="Q657" s="301"/>
      <c r="R657" s="134"/>
      <c r="S657" s="300"/>
      <c r="T657" s="132"/>
      <c r="U657" s="311"/>
      <c r="V657" s="132"/>
      <c r="W657" s="296"/>
      <c r="X657" s="296"/>
    </row>
    <row r="658" spans="1:24" ht="15.75" x14ac:dyDescent="0.25">
      <c r="A658" s="142"/>
      <c r="B658" s="144"/>
      <c r="C658" s="303"/>
      <c r="D658" s="303"/>
      <c r="E658" s="303"/>
      <c r="F658" s="303"/>
      <c r="G658" s="303"/>
      <c r="H658" s="119"/>
      <c r="I658" s="303"/>
      <c r="J658" s="302"/>
      <c r="K658" s="303"/>
      <c r="L658" s="303"/>
      <c r="M658" s="119"/>
      <c r="N658" s="303"/>
      <c r="O658" s="302"/>
      <c r="P658" s="119"/>
      <c r="Q658" s="173"/>
      <c r="R658" s="119"/>
      <c r="S658" s="303"/>
      <c r="T658" s="117"/>
      <c r="U658" s="312"/>
      <c r="V658" s="117"/>
      <c r="W658" s="296"/>
      <c r="X658" s="296"/>
    </row>
    <row r="659" spans="1:24" s="306" customFormat="1" ht="15.75" x14ac:dyDescent="0.25">
      <c r="A659" s="142"/>
      <c r="B659" s="145"/>
      <c r="C659" s="305"/>
      <c r="D659" s="305"/>
      <c r="E659" s="305"/>
      <c r="F659" s="305"/>
      <c r="G659" s="305"/>
      <c r="H659" s="122"/>
      <c r="I659" s="305"/>
      <c r="J659" s="304"/>
      <c r="K659" s="305"/>
      <c r="L659" s="305"/>
      <c r="M659" s="122"/>
      <c r="N659" s="305"/>
      <c r="O659" s="304"/>
      <c r="P659" s="122"/>
      <c r="Q659" s="253"/>
      <c r="R659" s="122"/>
      <c r="S659" s="305"/>
      <c r="T659" s="120"/>
      <c r="U659" s="313"/>
      <c r="V659" s="120"/>
      <c r="W659" s="296"/>
      <c r="X659" s="296"/>
    </row>
    <row r="660" spans="1:24" ht="15.75" x14ac:dyDescent="0.25">
      <c r="A660" s="142"/>
      <c r="B660" s="143"/>
      <c r="C660" s="300"/>
      <c r="D660" s="300"/>
      <c r="E660" s="300"/>
      <c r="F660" s="300"/>
      <c r="G660" s="300"/>
      <c r="H660" s="134"/>
      <c r="I660" s="300"/>
      <c r="J660" s="299"/>
      <c r="K660" s="300"/>
      <c r="L660" s="300"/>
      <c r="M660" s="134"/>
      <c r="N660" s="300"/>
      <c r="O660" s="299"/>
      <c r="P660" s="134"/>
      <c r="Q660" s="301"/>
      <c r="R660" s="134"/>
      <c r="S660" s="300"/>
      <c r="T660" s="132"/>
      <c r="U660" s="311"/>
      <c r="V660" s="132"/>
      <c r="W660" s="296"/>
      <c r="X660" s="296"/>
    </row>
    <row r="661" spans="1:24" ht="16.5" thickBot="1" x14ac:dyDescent="0.3">
      <c r="A661" s="142"/>
      <c r="B661" s="144"/>
      <c r="C661" s="303"/>
      <c r="D661" s="303"/>
      <c r="E661" s="303"/>
      <c r="F661" s="303"/>
      <c r="G661" s="303"/>
      <c r="H661" s="119"/>
      <c r="I661" s="303"/>
      <c r="J661" s="302"/>
      <c r="K661" s="303"/>
      <c r="L661" s="303"/>
      <c r="M661" s="119"/>
      <c r="N661" s="303"/>
      <c r="O661" s="302"/>
      <c r="P661" s="119"/>
      <c r="Q661" s="173"/>
      <c r="R661" s="119"/>
      <c r="S661" s="303"/>
      <c r="T661" s="117"/>
      <c r="U661" s="312"/>
      <c r="V661" s="117"/>
      <c r="W661" s="296"/>
      <c r="X661" s="296"/>
    </row>
    <row r="662" spans="1:24" s="306" customFormat="1" ht="16.5" thickBot="1" x14ac:dyDescent="0.3">
      <c r="A662" s="142"/>
      <c r="B662" s="145"/>
      <c r="C662" s="305"/>
      <c r="D662" s="305"/>
      <c r="E662" s="305"/>
      <c r="F662" s="305"/>
      <c r="G662" s="305"/>
      <c r="H662" s="122"/>
      <c r="I662" s="305"/>
      <c r="J662" s="304"/>
      <c r="K662" s="305"/>
      <c r="L662" s="305"/>
      <c r="M662" s="122"/>
      <c r="N662" s="305"/>
      <c r="O662" s="304"/>
      <c r="P662" s="122"/>
      <c r="Q662" s="253"/>
      <c r="R662" s="122"/>
      <c r="S662" s="724"/>
      <c r="T662" s="120"/>
      <c r="U662" s="313"/>
      <c r="V662" s="120"/>
      <c r="W662" s="296"/>
      <c r="X662" s="296"/>
    </row>
    <row r="663" spans="1:24" ht="15.75" x14ac:dyDescent="0.25">
      <c r="A663" s="142"/>
      <c r="B663" s="143"/>
      <c r="C663" s="300"/>
      <c r="D663" s="300"/>
      <c r="E663" s="300"/>
      <c r="F663" s="300"/>
      <c r="G663" s="300"/>
      <c r="H663" s="134"/>
      <c r="I663" s="300"/>
      <c r="J663" s="299"/>
      <c r="K663" s="300"/>
      <c r="L663" s="300"/>
      <c r="M663" s="134"/>
      <c r="N663" s="300"/>
      <c r="O663" s="299"/>
      <c r="P663" s="134"/>
      <c r="Q663" s="301"/>
      <c r="R663" s="134"/>
      <c r="S663" s="300"/>
      <c r="T663" s="132"/>
      <c r="U663" s="311"/>
      <c r="V663" s="132"/>
      <c r="W663" s="296"/>
      <c r="X663" s="296"/>
    </row>
    <row r="664" spans="1:24" ht="15.75" x14ac:dyDescent="0.25">
      <c r="A664" s="142"/>
      <c r="B664" s="144"/>
      <c r="C664" s="303"/>
      <c r="D664" s="303"/>
      <c r="E664" s="303"/>
      <c r="F664" s="303"/>
      <c r="G664" s="303"/>
      <c r="H664" s="119"/>
      <c r="I664" s="303"/>
      <c r="J664" s="302"/>
      <c r="K664" s="303"/>
      <c r="L664" s="303"/>
      <c r="M664" s="119"/>
      <c r="N664" s="303"/>
      <c r="O664" s="302"/>
      <c r="P664" s="119"/>
      <c r="Q664" s="173"/>
      <c r="R664" s="119"/>
      <c r="S664" s="303"/>
      <c r="T664" s="117"/>
      <c r="U664" s="312"/>
      <c r="V664" s="117"/>
      <c r="W664" s="296"/>
      <c r="X664" s="296"/>
    </row>
    <row r="665" spans="1:24" s="306" customFormat="1" ht="15.75" x14ac:dyDescent="0.25">
      <c r="A665" s="142"/>
      <c r="B665" s="145"/>
      <c r="C665" s="305"/>
      <c r="D665" s="305"/>
      <c r="E665" s="305"/>
      <c r="F665" s="305"/>
      <c r="G665" s="305"/>
      <c r="H665" s="122"/>
      <c r="I665" s="305"/>
      <c r="J665" s="304"/>
      <c r="K665" s="305"/>
      <c r="L665" s="305"/>
      <c r="M665" s="122"/>
      <c r="N665" s="305"/>
      <c r="O665" s="304"/>
      <c r="P665" s="122"/>
      <c r="Q665" s="253"/>
      <c r="R665" s="122"/>
      <c r="S665" s="305"/>
      <c r="T665" s="120"/>
      <c r="U665" s="313"/>
      <c r="V665" s="120"/>
      <c r="W665" s="296"/>
      <c r="X665" s="296"/>
    </row>
    <row r="666" spans="1:24" ht="15.75" x14ac:dyDescent="0.25">
      <c r="A666" s="142"/>
      <c r="B666" s="143"/>
      <c r="C666" s="300"/>
      <c r="D666" s="300"/>
      <c r="E666" s="300"/>
      <c r="F666" s="300"/>
      <c r="G666" s="300"/>
      <c r="H666" s="134"/>
      <c r="I666" s="300"/>
      <c r="J666" s="299"/>
      <c r="K666" s="300"/>
      <c r="L666" s="300"/>
      <c r="M666" s="134"/>
      <c r="N666" s="300"/>
      <c r="O666" s="299"/>
      <c r="P666" s="134"/>
      <c r="Q666" s="301"/>
      <c r="R666" s="134"/>
      <c r="S666" s="300"/>
      <c r="T666" s="132"/>
      <c r="U666" s="311"/>
      <c r="V666" s="132"/>
      <c r="W666" s="296"/>
      <c r="X666" s="296"/>
    </row>
    <row r="667" spans="1:24" ht="15.75" x14ac:dyDescent="0.25">
      <c r="A667" s="142"/>
      <c r="B667" s="144"/>
      <c r="C667" s="303"/>
      <c r="D667" s="303"/>
      <c r="E667" s="303"/>
      <c r="F667" s="303"/>
      <c r="G667" s="303"/>
      <c r="H667" s="119"/>
      <c r="I667" s="303"/>
      <c r="J667" s="302"/>
      <c r="K667" s="303"/>
      <c r="L667" s="303"/>
      <c r="M667" s="119"/>
      <c r="N667" s="303"/>
      <c r="O667" s="302"/>
      <c r="P667" s="119"/>
      <c r="Q667" s="173"/>
      <c r="R667" s="119"/>
      <c r="S667" s="303"/>
      <c r="T667" s="117"/>
      <c r="U667" s="312"/>
      <c r="V667" s="117"/>
      <c r="W667" s="296"/>
      <c r="X667" s="296"/>
    </row>
    <row r="668" spans="1:24" s="306" customFormat="1" ht="15.75" x14ac:dyDescent="0.25">
      <c r="A668" s="142"/>
      <c r="B668" s="145"/>
      <c r="C668" s="305"/>
      <c r="D668" s="305"/>
      <c r="E668" s="305"/>
      <c r="F668" s="305"/>
      <c r="G668" s="305"/>
      <c r="H668" s="122"/>
      <c r="I668" s="305"/>
      <c r="J668" s="304"/>
      <c r="K668" s="305"/>
      <c r="L668" s="305"/>
      <c r="M668" s="122"/>
      <c r="N668" s="305"/>
      <c r="O668" s="304"/>
      <c r="P668" s="122"/>
      <c r="Q668" s="253"/>
      <c r="R668" s="122"/>
      <c r="S668" s="305"/>
      <c r="T668" s="120"/>
      <c r="U668" s="313"/>
      <c r="V668" s="120"/>
      <c r="W668" s="296"/>
      <c r="X668" s="296"/>
    </row>
    <row r="669" spans="1:24" ht="15.75" x14ac:dyDescent="0.25">
      <c r="A669" s="142"/>
      <c r="B669" s="143"/>
      <c r="C669" s="300"/>
      <c r="D669" s="300"/>
      <c r="E669" s="300"/>
      <c r="F669" s="300"/>
      <c r="G669" s="300"/>
      <c r="H669" s="134"/>
      <c r="I669" s="300"/>
      <c r="J669" s="299"/>
      <c r="K669" s="300"/>
      <c r="L669" s="300"/>
      <c r="M669" s="134"/>
      <c r="N669" s="300"/>
      <c r="O669" s="299"/>
      <c r="P669" s="134"/>
      <c r="Q669" s="301"/>
      <c r="R669" s="134"/>
      <c r="S669" s="300"/>
      <c r="T669" s="132"/>
      <c r="U669" s="311"/>
      <c r="V669" s="132"/>
      <c r="W669" s="296"/>
      <c r="X669" s="296"/>
    </row>
    <row r="670" spans="1:24" ht="15.75" x14ac:dyDescent="0.25">
      <c r="A670" s="142"/>
      <c r="B670" s="144"/>
      <c r="C670" s="303"/>
      <c r="D670" s="303"/>
      <c r="E670" s="303"/>
      <c r="F670" s="303"/>
      <c r="G670" s="303"/>
      <c r="H670" s="119"/>
      <c r="I670" s="303"/>
      <c r="J670" s="302"/>
      <c r="K670" s="303"/>
      <c r="L670" s="303"/>
      <c r="M670" s="119"/>
      <c r="N670" s="303"/>
      <c r="O670" s="302"/>
      <c r="P670" s="119"/>
      <c r="Q670" s="173"/>
      <c r="R670" s="119"/>
      <c r="S670" s="303"/>
      <c r="T670" s="117"/>
      <c r="U670" s="312"/>
      <c r="V670" s="117"/>
      <c r="W670" s="296"/>
      <c r="X670" s="296"/>
    </row>
    <row r="671" spans="1:24" s="306" customFormat="1" ht="15.75" x14ac:dyDescent="0.25">
      <c r="A671" s="142"/>
      <c r="B671" s="145"/>
      <c r="C671" s="305"/>
      <c r="D671" s="305"/>
      <c r="E671" s="305"/>
      <c r="F671" s="305"/>
      <c r="G671" s="305"/>
      <c r="H671" s="122"/>
      <c r="I671" s="305"/>
      <c r="J671" s="304"/>
      <c r="K671" s="305"/>
      <c r="L671" s="305"/>
      <c r="M671" s="122"/>
      <c r="N671" s="305"/>
      <c r="O671" s="304"/>
      <c r="P671" s="122"/>
      <c r="Q671" s="253"/>
      <c r="R671" s="122"/>
      <c r="S671" s="305"/>
      <c r="T671" s="120"/>
      <c r="U671" s="313"/>
      <c r="V671" s="120"/>
      <c r="W671" s="296"/>
      <c r="X671" s="296"/>
    </row>
    <row r="672" spans="1:24" ht="15.75" x14ac:dyDescent="0.25">
      <c r="A672" s="142"/>
      <c r="B672" s="143"/>
      <c r="C672" s="300"/>
      <c r="D672" s="300"/>
      <c r="E672" s="300"/>
      <c r="F672" s="300"/>
      <c r="G672" s="300"/>
      <c r="H672" s="134"/>
      <c r="I672" s="300"/>
      <c r="J672" s="299"/>
      <c r="K672" s="300"/>
      <c r="L672" s="300"/>
      <c r="M672" s="134"/>
      <c r="N672" s="300"/>
      <c r="O672" s="299"/>
      <c r="P672" s="134"/>
      <c r="Q672" s="301"/>
      <c r="R672" s="134"/>
      <c r="S672" s="300"/>
      <c r="T672" s="132"/>
      <c r="U672" s="311"/>
      <c r="V672" s="132"/>
      <c r="W672" s="296"/>
      <c r="X672" s="296"/>
    </row>
    <row r="673" spans="1:24" ht="15.75" x14ac:dyDescent="0.25">
      <c r="A673" s="142"/>
      <c r="B673" s="144"/>
      <c r="C673" s="303"/>
      <c r="D673" s="303"/>
      <c r="E673" s="303"/>
      <c r="F673" s="303"/>
      <c r="G673" s="303"/>
      <c r="H673" s="119"/>
      <c r="I673" s="303"/>
      <c r="J673" s="302"/>
      <c r="K673" s="303"/>
      <c r="L673" s="303"/>
      <c r="M673" s="119"/>
      <c r="N673" s="303"/>
      <c r="O673" s="302"/>
      <c r="P673" s="119"/>
      <c r="Q673" s="173"/>
      <c r="R673" s="119"/>
      <c r="S673" s="303"/>
      <c r="T673" s="117"/>
      <c r="U673" s="312"/>
      <c r="V673" s="117"/>
      <c r="W673" s="296"/>
      <c r="X673" s="296"/>
    </row>
    <row r="674" spans="1:24" s="306" customFormat="1" ht="15.75" x14ac:dyDescent="0.25">
      <c r="A674" s="142"/>
      <c r="B674" s="145"/>
      <c r="C674" s="305"/>
      <c r="D674" s="305"/>
      <c r="E674" s="305"/>
      <c r="F674" s="305"/>
      <c r="G674" s="305"/>
      <c r="H674" s="122"/>
      <c r="I674" s="305"/>
      <c r="J674" s="304"/>
      <c r="K674" s="305"/>
      <c r="L674" s="305"/>
      <c r="M674" s="122"/>
      <c r="N674" s="305"/>
      <c r="O674" s="304"/>
      <c r="P674" s="122"/>
      <c r="Q674" s="253"/>
      <c r="R674" s="122"/>
      <c r="S674" s="305"/>
      <c r="T674" s="120"/>
      <c r="U674" s="313"/>
      <c r="V674" s="120"/>
      <c r="W674" s="296"/>
      <c r="X674" s="296"/>
    </row>
    <row r="675" spans="1:24" ht="15.75" x14ac:dyDescent="0.25">
      <c r="A675" s="142"/>
      <c r="B675" s="143"/>
      <c r="C675" s="300"/>
      <c r="D675" s="300"/>
      <c r="E675" s="300"/>
      <c r="F675" s="300"/>
      <c r="G675" s="300"/>
      <c r="H675" s="134"/>
      <c r="I675" s="300"/>
      <c r="J675" s="299"/>
      <c r="K675" s="300"/>
      <c r="L675" s="300"/>
      <c r="M675" s="134"/>
      <c r="N675" s="300"/>
      <c r="O675" s="299"/>
      <c r="P675" s="134"/>
      <c r="Q675" s="301"/>
      <c r="R675" s="134"/>
      <c r="S675" s="300"/>
      <c r="T675" s="132"/>
      <c r="U675" s="311"/>
      <c r="V675" s="132"/>
      <c r="W675" s="296"/>
      <c r="X675" s="296"/>
    </row>
    <row r="676" spans="1:24" ht="15.75" x14ac:dyDescent="0.25">
      <c r="A676" s="142"/>
      <c r="B676" s="144"/>
      <c r="C676" s="303"/>
      <c r="D676" s="303"/>
      <c r="E676" s="303"/>
      <c r="F676" s="303"/>
      <c r="G676" s="303"/>
      <c r="H676" s="119"/>
      <c r="I676" s="303"/>
      <c r="J676" s="302"/>
      <c r="K676" s="303"/>
      <c r="L676" s="303"/>
      <c r="M676" s="119"/>
      <c r="N676" s="303"/>
      <c r="O676" s="302"/>
      <c r="P676" s="119"/>
      <c r="Q676" s="173"/>
      <c r="R676" s="119"/>
      <c r="S676" s="303"/>
      <c r="T676" s="117"/>
      <c r="U676" s="312"/>
      <c r="V676" s="117"/>
      <c r="W676" s="296"/>
      <c r="X676" s="296"/>
    </row>
    <row r="677" spans="1:24" s="306" customFormat="1" ht="15.75" x14ac:dyDescent="0.25">
      <c r="A677" s="142"/>
      <c r="B677" s="145"/>
      <c r="C677" s="305"/>
      <c r="D677" s="305"/>
      <c r="E677" s="305"/>
      <c r="F677" s="305"/>
      <c r="G677" s="305"/>
      <c r="H677" s="122"/>
      <c r="I677" s="305"/>
      <c r="J677" s="304"/>
      <c r="K677" s="305"/>
      <c r="L677" s="305"/>
      <c r="M677" s="122"/>
      <c r="N677" s="305"/>
      <c r="O677" s="304"/>
      <c r="P677" s="122"/>
      <c r="Q677" s="253"/>
      <c r="R677" s="122"/>
      <c r="S677" s="305"/>
      <c r="T677" s="120"/>
      <c r="U677" s="313"/>
      <c r="V677" s="120"/>
      <c r="W677" s="296"/>
      <c r="X677" s="296"/>
    </row>
    <row r="678" spans="1:24" ht="15.75" x14ac:dyDescent="0.25">
      <c r="A678" s="142"/>
      <c r="B678" s="143"/>
      <c r="C678" s="300"/>
      <c r="D678" s="300"/>
      <c r="E678" s="300"/>
      <c r="F678" s="300"/>
      <c r="G678" s="300"/>
      <c r="H678" s="134"/>
      <c r="I678" s="300"/>
      <c r="J678" s="299"/>
      <c r="K678" s="300"/>
      <c r="L678" s="300"/>
      <c r="M678" s="134"/>
      <c r="N678" s="300"/>
      <c r="O678" s="299"/>
      <c r="P678" s="134"/>
      <c r="Q678" s="301"/>
      <c r="R678" s="134"/>
      <c r="S678" s="300"/>
      <c r="T678" s="132"/>
      <c r="U678" s="311"/>
      <c r="V678" s="132"/>
      <c r="W678" s="296"/>
      <c r="X678" s="296"/>
    </row>
    <row r="679" spans="1:24" ht="15.75" x14ac:dyDescent="0.25">
      <c r="A679" s="142"/>
      <c r="B679" s="144"/>
      <c r="C679" s="303"/>
      <c r="D679" s="303"/>
      <c r="E679" s="303"/>
      <c r="F679" s="303"/>
      <c r="G679" s="303"/>
      <c r="H679" s="119"/>
      <c r="I679" s="303"/>
      <c r="J679" s="302"/>
      <c r="K679" s="303"/>
      <c r="L679" s="303"/>
      <c r="M679" s="119"/>
      <c r="N679" s="303"/>
      <c r="O679" s="302"/>
      <c r="P679" s="119"/>
      <c r="Q679" s="173"/>
      <c r="R679" s="119"/>
      <c r="S679" s="303"/>
      <c r="T679" s="117"/>
      <c r="U679" s="312"/>
      <c r="V679" s="117"/>
      <c r="W679" s="296"/>
      <c r="X679" s="296"/>
    </row>
    <row r="680" spans="1:24" s="306" customFormat="1" ht="15.75" x14ac:dyDescent="0.25">
      <c r="A680" s="142"/>
      <c r="B680" s="145"/>
      <c r="C680" s="305"/>
      <c r="D680" s="305"/>
      <c r="E680" s="305"/>
      <c r="F680" s="305"/>
      <c r="G680" s="305"/>
      <c r="H680" s="122"/>
      <c r="I680" s="305"/>
      <c r="J680" s="304"/>
      <c r="K680" s="305"/>
      <c r="L680" s="305"/>
      <c r="M680" s="122"/>
      <c r="N680" s="305"/>
      <c r="O680" s="304"/>
      <c r="P680" s="122"/>
      <c r="Q680" s="253"/>
      <c r="R680" s="122"/>
      <c r="S680" s="305"/>
      <c r="T680" s="120"/>
      <c r="U680" s="313"/>
      <c r="V680" s="120"/>
      <c r="W680" s="296"/>
      <c r="X680" s="296"/>
    </row>
    <row r="681" spans="1:24" ht="15.75" x14ac:dyDescent="0.25">
      <c r="A681" s="142"/>
      <c r="B681" s="143"/>
      <c r="C681" s="300"/>
      <c r="D681" s="300"/>
      <c r="E681" s="300"/>
      <c r="F681" s="300"/>
      <c r="G681" s="300"/>
      <c r="H681" s="134"/>
      <c r="I681" s="300"/>
      <c r="J681" s="299"/>
      <c r="K681" s="300"/>
      <c r="L681" s="300"/>
      <c r="M681" s="134"/>
      <c r="N681" s="300"/>
      <c r="O681" s="299"/>
      <c r="P681" s="134"/>
      <c r="Q681" s="301"/>
      <c r="R681" s="134"/>
      <c r="S681" s="300"/>
      <c r="T681" s="132"/>
      <c r="U681" s="311"/>
      <c r="V681" s="132"/>
      <c r="W681" s="296"/>
      <c r="X681" s="296"/>
    </row>
    <row r="682" spans="1:24" ht="15.75" x14ac:dyDescent="0.25">
      <c r="A682" s="142"/>
      <c r="B682" s="144"/>
      <c r="C682" s="303"/>
      <c r="D682" s="303"/>
      <c r="E682" s="303"/>
      <c r="F682" s="303"/>
      <c r="G682" s="303"/>
      <c r="H682" s="119"/>
      <c r="I682" s="303"/>
      <c r="J682" s="302"/>
      <c r="K682" s="303"/>
      <c r="L682" s="303"/>
      <c r="M682" s="119"/>
      <c r="N682" s="303"/>
      <c r="O682" s="302"/>
      <c r="P682" s="119"/>
      <c r="Q682" s="173"/>
      <c r="R682" s="119"/>
      <c r="S682" s="303"/>
      <c r="T682" s="117"/>
      <c r="U682" s="312"/>
      <c r="V682" s="117"/>
      <c r="W682" s="296"/>
      <c r="X682" s="296"/>
    </row>
    <row r="683" spans="1:24" s="306" customFormat="1" ht="15.75" x14ac:dyDescent="0.25">
      <c r="A683" s="142"/>
      <c r="B683" s="145"/>
      <c r="C683" s="305"/>
      <c r="D683" s="305"/>
      <c r="E683" s="305"/>
      <c r="F683" s="305"/>
      <c r="G683" s="305"/>
      <c r="H683" s="122"/>
      <c r="I683" s="305"/>
      <c r="J683" s="304"/>
      <c r="K683" s="305"/>
      <c r="L683" s="305"/>
      <c r="M683" s="122"/>
      <c r="N683" s="305"/>
      <c r="O683" s="304"/>
      <c r="P683" s="122"/>
      <c r="Q683" s="253"/>
      <c r="R683" s="122"/>
      <c r="S683" s="305"/>
      <c r="T683" s="120"/>
      <c r="U683" s="313"/>
      <c r="V683" s="120"/>
      <c r="W683" s="296"/>
      <c r="X683" s="296"/>
    </row>
    <row r="684" spans="1:24" ht="15.75" x14ac:dyDescent="0.25">
      <c r="A684" s="142"/>
      <c r="B684" s="143"/>
      <c r="C684" s="300"/>
      <c r="D684" s="300"/>
      <c r="E684" s="300"/>
      <c r="F684" s="300"/>
      <c r="G684" s="300"/>
      <c r="H684" s="134"/>
      <c r="I684" s="300"/>
      <c r="J684" s="299"/>
      <c r="K684" s="300"/>
      <c r="L684" s="300"/>
      <c r="M684" s="134"/>
      <c r="N684" s="300"/>
      <c r="O684" s="299"/>
      <c r="P684" s="134"/>
      <c r="Q684" s="301"/>
      <c r="R684" s="134"/>
      <c r="S684" s="300"/>
      <c r="T684" s="132"/>
      <c r="U684" s="311"/>
      <c r="V684" s="132"/>
      <c r="W684" s="296"/>
      <c r="X684" s="296"/>
    </row>
    <row r="685" spans="1:24" ht="16.5" thickBot="1" x14ac:dyDescent="0.3">
      <c r="A685" s="142"/>
      <c r="B685" s="144"/>
      <c r="C685" s="303"/>
      <c r="D685" s="303"/>
      <c r="E685" s="303"/>
      <c r="F685" s="303"/>
      <c r="G685" s="303"/>
      <c r="H685" s="119"/>
      <c r="I685" s="303"/>
      <c r="J685" s="302"/>
      <c r="K685" s="303"/>
      <c r="L685" s="303"/>
      <c r="M685" s="119"/>
      <c r="N685" s="303"/>
      <c r="O685" s="302"/>
      <c r="P685" s="119"/>
      <c r="Q685" s="173"/>
      <c r="R685" s="119"/>
      <c r="S685" s="303"/>
      <c r="T685" s="117"/>
      <c r="U685" s="312"/>
      <c r="V685" s="117"/>
      <c r="W685" s="296"/>
      <c r="X685" s="296"/>
    </row>
    <row r="686" spans="1:24" s="306" customFormat="1" ht="16.5" thickBot="1" x14ac:dyDescent="0.3">
      <c r="A686" s="142"/>
      <c r="B686" s="145"/>
      <c r="C686" s="724"/>
      <c r="D686" s="305"/>
      <c r="E686" s="305"/>
      <c r="F686" s="305"/>
      <c r="G686" s="305"/>
      <c r="H686" s="122"/>
      <c r="I686" s="305"/>
      <c r="J686" s="304"/>
      <c r="K686" s="305"/>
      <c r="L686" s="305"/>
      <c r="M686" s="122"/>
      <c r="N686" s="305"/>
      <c r="O686" s="304"/>
      <c r="P686" s="122"/>
      <c r="Q686" s="253"/>
      <c r="R686" s="122"/>
      <c r="S686" s="305"/>
      <c r="T686" s="120"/>
      <c r="U686" s="313"/>
      <c r="V686" s="120"/>
      <c r="W686" s="296"/>
      <c r="X686" s="296"/>
    </row>
    <row r="687" spans="1:24" ht="15.75" x14ac:dyDescent="0.25">
      <c r="A687" s="142"/>
      <c r="B687" s="143"/>
      <c r="C687" s="300"/>
      <c r="D687" s="300"/>
      <c r="E687" s="300"/>
      <c r="F687" s="300"/>
      <c r="G687" s="300"/>
      <c r="H687" s="134"/>
      <c r="I687" s="300"/>
      <c r="J687" s="299"/>
      <c r="K687" s="300"/>
      <c r="L687" s="300"/>
      <c r="M687" s="134"/>
      <c r="N687" s="300"/>
      <c r="O687" s="299"/>
      <c r="P687" s="134"/>
      <c r="Q687" s="301"/>
      <c r="R687" s="134"/>
      <c r="S687" s="300"/>
      <c r="T687" s="132"/>
      <c r="U687" s="311"/>
      <c r="V687" s="132"/>
      <c r="W687" s="296"/>
      <c r="X687" s="296"/>
    </row>
    <row r="688" spans="1:24" ht="15.75" x14ac:dyDescent="0.25">
      <c r="A688" s="142"/>
      <c r="B688" s="144"/>
      <c r="C688" s="303"/>
      <c r="D688" s="303"/>
      <c r="E688" s="303"/>
      <c r="F688" s="303"/>
      <c r="G688" s="303"/>
      <c r="H688" s="119"/>
      <c r="I688" s="303"/>
      <c r="J688" s="302"/>
      <c r="K688" s="303"/>
      <c r="L688" s="303"/>
      <c r="M688" s="119"/>
      <c r="N688" s="303"/>
      <c r="O688" s="302"/>
      <c r="P688" s="119"/>
      <c r="Q688" s="173"/>
      <c r="R688" s="119"/>
      <c r="S688" s="303"/>
      <c r="T688" s="117"/>
      <c r="U688" s="312"/>
      <c r="V688" s="117"/>
      <c r="W688" s="296"/>
      <c r="X688" s="296"/>
    </row>
    <row r="689" spans="1:24" s="306" customFormat="1" ht="15.75" x14ac:dyDescent="0.25">
      <c r="A689" s="142"/>
      <c r="B689" s="145"/>
      <c r="C689" s="305"/>
      <c r="D689" s="305"/>
      <c r="E689" s="305"/>
      <c r="F689" s="305"/>
      <c r="G689" s="305"/>
      <c r="H689" s="122"/>
      <c r="I689" s="305"/>
      <c r="J689" s="304"/>
      <c r="K689" s="305"/>
      <c r="L689" s="305"/>
      <c r="M689" s="122"/>
      <c r="N689" s="305"/>
      <c r="O689" s="304"/>
      <c r="P689" s="122"/>
      <c r="Q689" s="253"/>
      <c r="R689" s="122"/>
      <c r="S689" s="305"/>
      <c r="T689" s="120"/>
      <c r="U689" s="313"/>
      <c r="V689" s="120"/>
      <c r="W689" s="296"/>
      <c r="X689" s="296"/>
    </row>
    <row r="690" spans="1:24" ht="15.75" x14ac:dyDescent="0.25">
      <c r="A690" s="142"/>
      <c r="B690" s="143"/>
      <c r="C690" s="300"/>
      <c r="D690" s="300"/>
      <c r="E690" s="300"/>
      <c r="F690" s="300"/>
      <c r="G690" s="300"/>
      <c r="H690" s="134"/>
      <c r="I690" s="300"/>
      <c r="J690" s="299"/>
      <c r="K690" s="300"/>
      <c r="L690" s="300"/>
      <c r="M690" s="134"/>
      <c r="N690" s="300"/>
      <c r="O690" s="299"/>
      <c r="P690" s="134"/>
      <c r="Q690" s="301"/>
      <c r="R690" s="134"/>
      <c r="S690" s="300"/>
      <c r="T690" s="132"/>
      <c r="U690" s="311"/>
      <c r="V690" s="132"/>
      <c r="W690" s="296"/>
      <c r="X690" s="296"/>
    </row>
    <row r="691" spans="1:24" ht="15.75" x14ac:dyDescent="0.25">
      <c r="A691" s="142"/>
      <c r="B691" s="144"/>
      <c r="C691" s="303"/>
      <c r="D691" s="303"/>
      <c r="E691" s="303"/>
      <c r="F691" s="303"/>
      <c r="G691" s="303"/>
      <c r="H691" s="119"/>
      <c r="I691" s="303"/>
      <c r="J691" s="302"/>
      <c r="K691" s="303"/>
      <c r="L691" s="303"/>
      <c r="M691" s="119"/>
      <c r="N691" s="303"/>
      <c r="O691" s="302"/>
      <c r="P691" s="119"/>
      <c r="Q691" s="173"/>
      <c r="R691" s="119"/>
      <c r="S691" s="303"/>
      <c r="T691" s="117"/>
      <c r="U691" s="312"/>
      <c r="V691" s="117"/>
      <c r="W691" s="296"/>
      <c r="X691" s="296"/>
    </row>
    <row r="692" spans="1:24" s="306" customFormat="1" ht="15.75" x14ac:dyDescent="0.25">
      <c r="A692" s="142"/>
      <c r="B692" s="145"/>
      <c r="C692" s="305"/>
      <c r="D692" s="305"/>
      <c r="E692" s="305"/>
      <c r="F692" s="305"/>
      <c r="G692" s="305"/>
      <c r="H692" s="122"/>
      <c r="I692" s="305"/>
      <c r="J692" s="304"/>
      <c r="K692" s="305"/>
      <c r="L692" s="305"/>
      <c r="M692" s="122"/>
      <c r="N692" s="305"/>
      <c r="O692" s="304"/>
      <c r="P692" s="122"/>
      <c r="Q692" s="253"/>
      <c r="R692" s="122"/>
      <c r="S692" s="305"/>
      <c r="T692" s="120"/>
      <c r="U692" s="313"/>
      <c r="V692" s="120"/>
      <c r="W692" s="296"/>
      <c r="X692" s="296"/>
    </row>
    <row r="693" spans="1:24" ht="15.75" x14ac:dyDescent="0.25">
      <c r="A693" s="142"/>
      <c r="B693" s="143"/>
      <c r="C693" s="300"/>
      <c r="D693" s="300"/>
      <c r="E693" s="300"/>
      <c r="F693" s="300"/>
      <c r="G693" s="300"/>
      <c r="H693" s="134"/>
      <c r="I693" s="300"/>
      <c r="J693" s="299"/>
      <c r="K693" s="300"/>
      <c r="L693" s="300"/>
      <c r="M693" s="134"/>
      <c r="N693" s="300"/>
      <c r="O693" s="299"/>
      <c r="P693" s="134"/>
      <c r="Q693" s="301"/>
      <c r="R693" s="134"/>
      <c r="S693" s="300"/>
      <c r="T693" s="132"/>
      <c r="U693" s="311"/>
      <c r="V693" s="132"/>
      <c r="W693" s="296"/>
      <c r="X693" s="296"/>
    </row>
    <row r="694" spans="1:24" ht="15.75" x14ac:dyDescent="0.25">
      <c r="A694" s="294"/>
      <c r="B694" s="144"/>
      <c r="C694" s="303"/>
      <c r="D694" s="303"/>
      <c r="E694" s="303"/>
      <c r="F694" s="303"/>
      <c r="G694" s="303"/>
      <c r="H694" s="119"/>
      <c r="I694" s="303"/>
      <c r="J694" s="302"/>
      <c r="K694" s="303"/>
      <c r="L694" s="303"/>
      <c r="M694" s="119"/>
      <c r="N694" s="303"/>
      <c r="O694" s="302"/>
      <c r="P694" s="119"/>
      <c r="Q694" s="173"/>
      <c r="R694" s="119"/>
      <c r="S694" s="303"/>
      <c r="T694" s="117"/>
      <c r="U694" s="312"/>
      <c r="V694" s="117"/>
      <c r="W694" s="296"/>
      <c r="X694" s="296"/>
    </row>
    <row r="695" spans="1:24" s="306" customFormat="1" ht="15.75" x14ac:dyDescent="0.25">
      <c r="A695" s="141"/>
      <c r="B695" s="143"/>
      <c r="C695" s="300"/>
      <c r="D695" s="300"/>
      <c r="E695" s="300"/>
      <c r="F695" s="300"/>
      <c r="G695" s="300"/>
      <c r="H695" s="134"/>
      <c r="I695" s="300"/>
      <c r="J695" s="299"/>
      <c r="K695" s="300"/>
      <c r="L695" s="300"/>
      <c r="M695" s="134"/>
      <c r="N695" s="300"/>
      <c r="O695" s="299"/>
      <c r="P695" s="134"/>
      <c r="Q695" s="301"/>
      <c r="R695" s="134"/>
      <c r="S695" s="300"/>
      <c r="T695" s="132"/>
      <c r="U695" s="311"/>
      <c r="V695" s="132"/>
      <c r="W695" s="296"/>
      <c r="X695" s="296"/>
    </row>
    <row r="696" spans="1:24" ht="15.75" x14ac:dyDescent="0.25">
      <c r="A696" s="142"/>
      <c r="B696" s="144"/>
      <c r="C696" s="303"/>
      <c r="D696" s="303"/>
      <c r="E696" s="303"/>
      <c r="F696" s="303"/>
      <c r="G696" s="303"/>
      <c r="H696" s="119"/>
      <c r="I696" s="303"/>
      <c r="J696" s="302"/>
      <c r="K696" s="303"/>
      <c r="L696" s="303"/>
      <c r="M696" s="119"/>
      <c r="N696" s="303"/>
      <c r="O696" s="302"/>
      <c r="P696" s="119"/>
      <c r="Q696" s="173"/>
      <c r="R696" s="119"/>
      <c r="S696" s="303"/>
      <c r="T696" s="117"/>
      <c r="U696" s="312"/>
      <c r="V696" s="117"/>
      <c r="W696" s="296"/>
      <c r="X696" s="296"/>
    </row>
    <row r="697" spans="1:24" ht="15.75" x14ac:dyDescent="0.25">
      <c r="A697" s="142"/>
      <c r="B697" s="145"/>
      <c r="C697" s="305"/>
      <c r="D697" s="305"/>
      <c r="E697" s="305"/>
      <c r="F697" s="305"/>
      <c r="G697" s="305"/>
      <c r="H697" s="122"/>
      <c r="I697" s="305"/>
      <c r="J697" s="304"/>
      <c r="K697" s="305"/>
      <c r="L697" s="305"/>
      <c r="M697" s="122"/>
      <c r="N697" s="305"/>
      <c r="O697" s="304"/>
      <c r="P697" s="122"/>
      <c r="Q697" s="253"/>
      <c r="R697" s="122"/>
      <c r="S697" s="305"/>
      <c r="T697" s="120"/>
      <c r="U697" s="313"/>
      <c r="V697" s="120"/>
      <c r="W697" s="296"/>
      <c r="X697" s="296"/>
    </row>
    <row r="698" spans="1:24" s="306" customFormat="1" ht="15.75" x14ac:dyDescent="0.25">
      <c r="A698" s="142"/>
      <c r="B698" s="143"/>
      <c r="C698" s="300"/>
      <c r="D698" s="300"/>
      <c r="E698" s="300"/>
      <c r="F698" s="300"/>
      <c r="G698" s="300"/>
      <c r="H698" s="134"/>
      <c r="I698" s="300"/>
      <c r="J698" s="299"/>
      <c r="K698" s="300"/>
      <c r="L698" s="300"/>
      <c r="M698" s="134"/>
      <c r="N698" s="300"/>
      <c r="O698" s="299"/>
      <c r="P698" s="134"/>
      <c r="Q698" s="301"/>
      <c r="R698" s="134"/>
      <c r="S698" s="300"/>
      <c r="T698" s="132"/>
      <c r="U698" s="311"/>
      <c r="V698" s="132"/>
      <c r="W698" s="296"/>
      <c r="X698" s="296"/>
    </row>
    <row r="699" spans="1:24" ht="15.75" x14ac:dyDescent="0.25">
      <c r="A699" s="142"/>
      <c r="B699" s="144"/>
      <c r="C699" s="303"/>
      <c r="D699" s="303"/>
      <c r="E699" s="303"/>
      <c r="F699" s="303"/>
      <c r="G699" s="303"/>
      <c r="H699" s="119"/>
      <c r="I699" s="303"/>
      <c r="J699" s="302"/>
      <c r="K699" s="303"/>
      <c r="L699" s="303"/>
      <c r="M699" s="119"/>
      <c r="N699" s="303"/>
      <c r="O699" s="302"/>
      <c r="P699" s="119"/>
      <c r="Q699" s="173"/>
      <c r="R699" s="119"/>
      <c r="S699" s="303"/>
      <c r="T699" s="117"/>
      <c r="U699" s="312"/>
      <c r="V699" s="117"/>
      <c r="W699" s="296"/>
      <c r="X699" s="296"/>
    </row>
    <row r="700" spans="1:24" ht="15.75" x14ac:dyDescent="0.25">
      <c r="A700" s="142"/>
      <c r="B700" s="145"/>
      <c r="C700" s="305"/>
      <c r="D700" s="305"/>
      <c r="E700" s="305"/>
      <c r="F700" s="305"/>
      <c r="G700" s="305"/>
      <c r="H700" s="122"/>
      <c r="I700" s="305"/>
      <c r="J700" s="304"/>
      <c r="K700" s="305"/>
      <c r="L700" s="305"/>
      <c r="M700" s="122"/>
      <c r="N700" s="305"/>
      <c r="O700" s="304"/>
      <c r="P700" s="122"/>
      <c r="Q700" s="253"/>
      <c r="R700" s="122"/>
      <c r="S700" s="305"/>
      <c r="T700" s="120"/>
      <c r="U700" s="313"/>
      <c r="V700" s="120"/>
      <c r="W700" s="296"/>
      <c r="X700" s="296"/>
    </row>
    <row r="701" spans="1:24" s="306" customFormat="1" ht="15.75" x14ac:dyDescent="0.25">
      <c r="A701" s="142"/>
      <c r="B701" s="143"/>
      <c r="C701" s="300"/>
      <c r="D701" s="300"/>
      <c r="E701" s="300"/>
      <c r="F701" s="300"/>
      <c r="G701" s="300"/>
      <c r="H701" s="134"/>
      <c r="I701" s="300"/>
      <c r="J701" s="299"/>
      <c r="K701" s="300"/>
      <c r="L701" s="300"/>
      <c r="M701" s="134"/>
      <c r="N701" s="300"/>
      <c r="O701" s="299"/>
      <c r="P701" s="134"/>
      <c r="Q701" s="301"/>
      <c r="R701" s="134"/>
      <c r="S701" s="300"/>
      <c r="T701" s="132"/>
      <c r="U701" s="311"/>
      <c r="V701" s="132"/>
      <c r="W701" s="296"/>
      <c r="X701" s="296"/>
    </row>
    <row r="702" spans="1:24" ht="15.75" x14ac:dyDescent="0.25">
      <c r="A702" s="142"/>
      <c r="B702" s="144"/>
      <c r="C702" s="303"/>
      <c r="D702" s="303"/>
      <c r="E702" s="303"/>
      <c r="F702" s="303"/>
      <c r="G702" s="303"/>
      <c r="H702" s="119"/>
      <c r="I702" s="303"/>
      <c r="J702" s="302"/>
      <c r="K702" s="303"/>
      <c r="L702" s="303"/>
      <c r="M702" s="119"/>
      <c r="N702" s="303"/>
      <c r="O702" s="302"/>
      <c r="P702" s="119"/>
      <c r="Q702" s="173"/>
      <c r="R702" s="119"/>
      <c r="S702" s="303"/>
      <c r="T702" s="117"/>
      <c r="U702" s="312"/>
      <c r="V702" s="117"/>
      <c r="W702" s="296"/>
      <c r="X702" s="296"/>
    </row>
    <row r="703" spans="1:24" ht="15.75" x14ac:dyDescent="0.25">
      <c r="A703" s="142"/>
      <c r="B703" s="145"/>
      <c r="C703" s="305"/>
      <c r="D703" s="305"/>
      <c r="E703" s="305"/>
      <c r="F703" s="305"/>
      <c r="G703" s="305"/>
      <c r="H703" s="122"/>
      <c r="I703" s="305"/>
      <c r="J703" s="304"/>
      <c r="K703" s="305"/>
      <c r="L703" s="305"/>
      <c r="M703" s="122"/>
      <c r="N703" s="305"/>
      <c r="O703" s="304"/>
      <c r="P703" s="122"/>
      <c r="Q703" s="253"/>
      <c r="R703" s="122"/>
      <c r="S703" s="305"/>
      <c r="T703" s="120"/>
      <c r="U703" s="313"/>
      <c r="V703" s="120"/>
      <c r="W703" s="296"/>
      <c r="X703" s="296"/>
    </row>
    <row r="704" spans="1:24" s="306" customFormat="1" ht="15.75" x14ac:dyDescent="0.25">
      <c r="A704" s="142"/>
      <c r="B704" s="143"/>
      <c r="C704" s="300"/>
      <c r="D704" s="300"/>
      <c r="E704" s="300"/>
      <c r="F704" s="300"/>
      <c r="G704" s="300"/>
      <c r="H704" s="134"/>
      <c r="I704" s="300"/>
      <c r="J704" s="299"/>
      <c r="K704" s="300"/>
      <c r="L704" s="300"/>
      <c r="M704" s="134"/>
      <c r="N704" s="300"/>
      <c r="O704" s="299"/>
      <c r="P704" s="134"/>
      <c r="Q704" s="301"/>
      <c r="R704" s="134"/>
      <c r="S704" s="300"/>
      <c r="T704" s="132"/>
      <c r="U704" s="311"/>
      <c r="V704" s="132"/>
      <c r="W704" s="296"/>
      <c r="X704" s="296"/>
    </row>
    <row r="705" spans="1:24" ht="15.75" x14ac:dyDescent="0.25">
      <c r="A705" s="142"/>
      <c r="B705" s="144"/>
      <c r="C705" s="303"/>
      <c r="D705" s="303"/>
      <c r="E705" s="303"/>
      <c r="F705" s="303"/>
      <c r="G705" s="303"/>
      <c r="H705" s="119"/>
      <c r="I705" s="303"/>
      <c r="J705" s="302"/>
      <c r="K705" s="303"/>
      <c r="L705" s="303"/>
      <c r="M705" s="119"/>
      <c r="N705" s="303"/>
      <c r="O705" s="302"/>
      <c r="P705" s="119"/>
      <c r="Q705" s="173"/>
      <c r="R705" s="119"/>
      <c r="S705" s="303"/>
      <c r="T705" s="117"/>
      <c r="U705" s="312"/>
      <c r="V705" s="117"/>
      <c r="W705" s="296"/>
      <c r="X705" s="296"/>
    </row>
    <row r="706" spans="1:24" ht="15.75" x14ac:dyDescent="0.25">
      <c r="A706" s="142"/>
      <c r="B706" s="145"/>
      <c r="C706" s="305"/>
      <c r="D706" s="305"/>
      <c r="E706" s="305"/>
      <c r="F706" s="305"/>
      <c r="G706" s="305"/>
      <c r="H706" s="122"/>
      <c r="I706" s="305"/>
      <c r="J706" s="304"/>
      <c r="K706" s="305"/>
      <c r="L706" s="305"/>
      <c r="M706" s="122"/>
      <c r="N706" s="305"/>
      <c r="O706" s="304"/>
      <c r="P706" s="122"/>
      <c r="Q706" s="253"/>
      <c r="R706" s="122"/>
      <c r="S706" s="305"/>
      <c r="T706" s="120"/>
      <c r="U706" s="313"/>
      <c r="V706" s="120"/>
      <c r="W706" s="296"/>
      <c r="X706" s="296"/>
    </row>
    <row r="707" spans="1:24" s="306" customFormat="1" ht="15.75" x14ac:dyDescent="0.25">
      <c r="A707" s="142"/>
      <c r="B707" s="143"/>
      <c r="C707" s="300"/>
      <c r="D707" s="300"/>
      <c r="E707" s="300"/>
      <c r="F707" s="300"/>
      <c r="G707" s="300"/>
      <c r="H707" s="134"/>
      <c r="I707" s="300"/>
      <c r="J707" s="299"/>
      <c r="K707" s="300"/>
      <c r="L707" s="300"/>
      <c r="M707" s="134"/>
      <c r="N707" s="300"/>
      <c r="O707" s="299"/>
      <c r="P707" s="134"/>
      <c r="Q707" s="301"/>
      <c r="R707" s="134"/>
      <c r="S707" s="300"/>
      <c r="T707" s="132"/>
      <c r="U707" s="311"/>
      <c r="V707" s="132"/>
      <c r="W707" s="296"/>
      <c r="X707" s="296"/>
    </row>
    <row r="708" spans="1:24" ht="15.75" x14ac:dyDescent="0.25">
      <c r="A708" s="142"/>
      <c r="B708" s="144"/>
      <c r="C708" s="303"/>
      <c r="D708" s="303"/>
      <c r="E708" s="303"/>
      <c r="F708" s="303"/>
      <c r="G708" s="303"/>
      <c r="H708" s="119"/>
      <c r="I708" s="303"/>
      <c r="J708" s="302"/>
      <c r="K708" s="303"/>
      <c r="L708" s="303"/>
      <c r="M708" s="119"/>
      <c r="N708" s="303"/>
      <c r="O708" s="302"/>
      <c r="P708" s="119"/>
      <c r="Q708" s="173"/>
      <c r="R708" s="119"/>
      <c r="S708" s="303"/>
      <c r="T708" s="117"/>
      <c r="U708" s="312"/>
      <c r="V708" s="117"/>
      <c r="W708" s="296"/>
      <c r="X708" s="296"/>
    </row>
    <row r="709" spans="1:24" ht="15.75" x14ac:dyDescent="0.25">
      <c r="A709" s="142"/>
      <c r="B709" s="145"/>
      <c r="C709" s="305"/>
      <c r="D709" s="305"/>
      <c r="E709" s="305"/>
      <c r="F709" s="305"/>
      <c r="G709" s="305"/>
      <c r="H709" s="122"/>
      <c r="I709" s="305"/>
      <c r="J709" s="304"/>
      <c r="K709" s="305"/>
      <c r="L709" s="305"/>
      <c r="M709" s="122"/>
      <c r="N709" s="305"/>
      <c r="O709" s="304"/>
      <c r="P709" s="122"/>
      <c r="Q709" s="253"/>
      <c r="R709" s="122"/>
      <c r="S709" s="305"/>
      <c r="T709" s="120"/>
      <c r="U709" s="313"/>
      <c r="V709" s="120"/>
      <c r="W709" s="296"/>
      <c r="X709" s="296"/>
    </row>
    <row r="710" spans="1:24" s="306" customFormat="1" ht="15.75" x14ac:dyDescent="0.25">
      <c r="A710" s="142"/>
      <c r="B710" s="143"/>
      <c r="C710" s="300"/>
      <c r="D710" s="300"/>
      <c r="E710" s="300"/>
      <c r="F710" s="300"/>
      <c r="G710" s="300"/>
      <c r="H710" s="134"/>
      <c r="I710" s="300"/>
      <c r="J710" s="299"/>
      <c r="K710" s="300"/>
      <c r="L710" s="300"/>
      <c r="M710" s="134"/>
      <c r="N710" s="300"/>
      <c r="O710" s="299"/>
      <c r="P710" s="134"/>
      <c r="Q710" s="301"/>
      <c r="R710" s="134"/>
      <c r="S710" s="300"/>
      <c r="T710" s="132"/>
      <c r="U710" s="311"/>
      <c r="V710" s="132"/>
      <c r="W710" s="296"/>
      <c r="X710" s="296"/>
    </row>
    <row r="711" spans="1:24" ht="16.5" thickBot="1" x14ac:dyDescent="0.3">
      <c r="A711" s="142"/>
      <c r="B711" s="144"/>
      <c r="C711" s="303"/>
      <c r="D711" s="303"/>
      <c r="E711" s="303"/>
      <c r="F711" s="303"/>
      <c r="G711" s="303"/>
      <c r="H711" s="119"/>
      <c r="I711" s="303"/>
      <c r="J711" s="302"/>
      <c r="K711" s="303"/>
      <c r="L711" s="303"/>
      <c r="M711" s="119"/>
      <c r="N711" s="303"/>
      <c r="O711" s="302"/>
      <c r="P711" s="119"/>
      <c r="Q711" s="173"/>
      <c r="R711" s="119"/>
      <c r="S711" s="303"/>
      <c r="T711" s="117"/>
      <c r="U711" s="312"/>
      <c r="V711" s="117"/>
      <c r="W711" s="296"/>
      <c r="X711" s="296"/>
    </row>
    <row r="712" spans="1:24" ht="16.5" thickBot="1" x14ac:dyDescent="0.3">
      <c r="A712" s="142"/>
      <c r="B712" s="145"/>
      <c r="C712" s="305"/>
      <c r="D712" s="305"/>
      <c r="E712" s="305"/>
      <c r="F712" s="305"/>
      <c r="G712" s="724"/>
      <c r="H712" s="122"/>
      <c r="I712" s="305"/>
      <c r="J712" s="304"/>
      <c r="K712" s="305"/>
      <c r="L712" s="305"/>
      <c r="M712" s="122"/>
      <c r="N712" s="305"/>
      <c r="O712" s="304"/>
      <c r="P712" s="122"/>
      <c r="Q712" s="253"/>
      <c r="R712" s="122"/>
      <c r="S712" s="724"/>
      <c r="T712" s="120"/>
      <c r="U712" s="313"/>
      <c r="V712" s="120"/>
      <c r="W712" s="296"/>
      <c r="X712" s="296"/>
    </row>
    <row r="713" spans="1:24" s="306" customFormat="1" ht="15.75" x14ac:dyDescent="0.25">
      <c r="A713" s="142"/>
      <c r="B713" s="143"/>
      <c r="C713" s="300"/>
      <c r="D713" s="300"/>
      <c r="E713" s="300"/>
      <c r="F713" s="300"/>
      <c r="G713" s="300"/>
      <c r="H713" s="134"/>
      <c r="I713" s="300"/>
      <c r="J713" s="299"/>
      <c r="K713" s="300"/>
      <c r="L713" s="300"/>
      <c r="M713" s="134"/>
      <c r="N713" s="300"/>
      <c r="O713" s="299"/>
      <c r="P713" s="134"/>
      <c r="Q713" s="301"/>
      <c r="R713" s="134"/>
      <c r="S713" s="300"/>
      <c r="T713" s="132"/>
      <c r="U713" s="311"/>
      <c r="V713" s="132"/>
      <c r="W713" s="296"/>
      <c r="X713" s="296"/>
    </row>
    <row r="714" spans="1:24" ht="15.75" x14ac:dyDescent="0.25">
      <c r="A714" s="142"/>
      <c r="B714" s="144"/>
      <c r="C714" s="303"/>
      <c r="D714" s="303"/>
      <c r="E714" s="303"/>
      <c r="F714" s="303"/>
      <c r="G714" s="303"/>
      <c r="H714" s="119"/>
      <c r="I714" s="303"/>
      <c r="J714" s="302"/>
      <c r="K714" s="303"/>
      <c r="L714" s="303"/>
      <c r="M714" s="119"/>
      <c r="N714" s="303"/>
      <c r="O714" s="302"/>
      <c r="P714" s="119"/>
      <c r="Q714" s="173"/>
      <c r="R714" s="119"/>
      <c r="S714" s="303"/>
      <c r="T714" s="117"/>
      <c r="U714" s="312"/>
      <c r="V714" s="117"/>
      <c r="W714" s="296"/>
      <c r="X714" s="296"/>
    </row>
    <row r="715" spans="1:24" ht="15.75" x14ac:dyDescent="0.25">
      <c r="A715" s="142"/>
      <c r="B715" s="145"/>
      <c r="C715" s="305"/>
      <c r="D715" s="305"/>
      <c r="E715" s="305"/>
      <c r="F715" s="305"/>
      <c r="G715" s="305"/>
      <c r="H715" s="122"/>
      <c r="I715" s="305"/>
      <c r="J715" s="304"/>
      <c r="K715" s="305"/>
      <c r="L715" s="305"/>
      <c r="M715" s="122"/>
      <c r="N715" s="305"/>
      <c r="O715" s="304"/>
      <c r="P715" s="122"/>
      <c r="Q715" s="253"/>
      <c r="R715" s="122"/>
      <c r="S715" s="305"/>
      <c r="T715" s="120"/>
      <c r="U715" s="313"/>
      <c r="V715" s="120"/>
      <c r="W715" s="296"/>
      <c r="X715" s="296"/>
    </row>
    <row r="716" spans="1:24" s="306" customFormat="1" ht="15.75" x14ac:dyDescent="0.25">
      <c r="A716" s="142"/>
      <c r="B716" s="143"/>
      <c r="C716" s="300"/>
      <c r="D716" s="300"/>
      <c r="E716" s="300"/>
      <c r="F716" s="300"/>
      <c r="G716" s="300"/>
      <c r="H716" s="134"/>
      <c r="I716" s="300"/>
      <c r="J716" s="299"/>
      <c r="K716" s="300"/>
      <c r="L716" s="300"/>
      <c r="M716" s="134"/>
      <c r="N716" s="300"/>
      <c r="O716" s="299"/>
      <c r="P716" s="134"/>
      <c r="Q716" s="301"/>
      <c r="R716" s="134"/>
      <c r="S716" s="300"/>
      <c r="T716" s="132"/>
      <c r="U716" s="311"/>
      <c r="V716" s="132"/>
      <c r="W716" s="296"/>
      <c r="X716" s="296"/>
    </row>
    <row r="717" spans="1:24" ht="15.75" x14ac:dyDescent="0.25">
      <c r="A717" s="142"/>
      <c r="B717" s="144"/>
      <c r="C717" s="303"/>
      <c r="D717" s="303"/>
      <c r="E717" s="303"/>
      <c r="F717" s="303"/>
      <c r="G717" s="303"/>
      <c r="H717" s="119"/>
      <c r="I717" s="303"/>
      <c r="J717" s="302"/>
      <c r="K717" s="303"/>
      <c r="L717" s="303"/>
      <c r="M717" s="119"/>
      <c r="N717" s="303"/>
      <c r="O717" s="302"/>
      <c r="P717" s="119"/>
      <c r="Q717" s="173"/>
      <c r="R717" s="119"/>
      <c r="S717" s="303"/>
      <c r="T717" s="117"/>
      <c r="U717" s="312"/>
      <c r="V717" s="117"/>
      <c r="W717" s="296"/>
      <c r="X717" s="296"/>
    </row>
    <row r="718" spans="1:24" ht="15.75" x14ac:dyDescent="0.25">
      <c r="A718" s="142"/>
      <c r="B718" s="145"/>
      <c r="C718" s="305"/>
      <c r="D718" s="305"/>
      <c r="E718" s="305"/>
      <c r="F718" s="305"/>
      <c r="G718" s="305"/>
      <c r="H718" s="122"/>
      <c r="I718" s="305"/>
      <c r="J718" s="304"/>
      <c r="K718" s="305"/>
      <c r="L718" s="305"/>
      <c r="M718" s="122"/>
      <c r="N718" s="305"/>
      <c r="O718" s="304"/>
      <c r="P718" s="122"/>
      <c r="Q718" s="253"/>
      <c r="R718" s="122"/>
      <c r="S718" s="305"/>
      <c r="T718" s="120"/>
      <c r="U718" s="313"/>
      <c r="V718" s="120"/>
      <c r="W718" s="296"/>
      <c r="X718" s="296"/>
    </row>
    <row r="719" spans="1:24" s="306" customFormat="1" ht="15.75" x14ac:dyDescent="0.25">
      <c r="A719" s="142"/>
      <c r="B719" s="143"/>
      <c r="C719" s="300"/>
      <c r="D719" s="300"/>
      <c r="E719" s="300"/>
      <c r="F719" s="300"/>
      <c r="G719" s="300"/>
      <c r="H719" s="134"/>
      <c r="I719" s="300"/>
      <c r="J719" s="299"/>
      <c r="K719" s="300"/>
      <c r="L719" s="300"/>
      <c r="M719" s="134"/>
      <c r="N719" s="300"/>
      <c r="O719" s="299"/>
      <c r="P719" s="134"/>
      <c r="Q719" s="301"/>
      <c r="R719" s="134"/>
      <c r="S719" s="300"/>
      <c r="T719" s="132"/>
      <c r="U719" s="311"/>
      <c r="V719" s="132"/>
      <c r="W719" s="296"/>
      <c r="X719" s="296"/>
    </row>
    <row r="720" spans="1:24" ht="15.75" x14ac:dyDescent="0.25">
      <c r="A720" s="142"/>
      <c r="B720" s="144"/>
      <c r="C720" s="303"/>
      <c r="D720" s="303"/>
      <c r="E720" s="303"/>
      <c r="F720" s="303"/>
      <c r="G720" s="303"/>
      <c r="H720" s="119"/>
      <c r="I720" s="303"/>
      <c r="J720" s="302"/>
      <c r="K720" s="303"/>
      <c r="L720" s="303"/>
      <c r="M720" s="119"/>
      <c r="N720" s="303"/>
      <c r="O720" s="302"/>
      <c r="P720" s="119"/>
      <c r="Q720" s="173"/>
      <c r="R720" s="119"/>
      <c r="S720" s="303"/>
      <c r="T720" s="117"/>
      <c r="U720" s="312"/>
      <c r="V720" s="117"/>
      <c r="W720" s="296"/>
      <c r="X720" s="296"/>
    </row>
    <row r="721" spans="1:24" ht="15.75" x14ac:dyDescent="0.25">
      <c r="A721" s="142"/>
      <c r="B721" s="145"/>
      <c r="C721" s="305"/>
      <c r="D721" s="305"/>
      <c r="E721" s="305"/>
      <c r="F721" s="305"/>
      <c r="G721" s="305"/>
      <c r="H721" s="122"/>
      <c r="I721" s="305"/>
      <c r="J721" s="304"/>
      <c r="K721" s="305"/>
      <c r="L721" s="305"/>
      <c r="M721" s="122"/>
      <c r="N721" s="305"/>
      <c r="O721" s="304"/>
      <c r="P721" s="122"/>
      <c r="Q721" s="253"/>
      <c r="R721" s="122"/>
      <c r="S721" s="305"/>
      <c r="T721" s="120"/>
      <c r="U721" s="313"/>
      <c r="V721" s="120"/>
      <c r="W721" s="296"/>
      <c r="X721" s="296"/>
    </row>
    <row r="722" spans="1:24" s="306" customFormat="1" ht="15.75" x14ac:dyDescent="0.25">
      <c r="A722" s="142"/>
      <c r="B722" s="143"/>
      <c r="C722" s="300"/>
      <c r="D722" s="300"/>
      <c r="E722" s="300"/>
      <c r="F722" s="300"/>
      <c r="G722" s="300"/>
      <c r="H722" s="134"/>
      <c r="I722" s="300"/>
      <c r="J722" s="299"/>
      <c r="K722" s="300"/>
      <c r="L722" s="300"/>
      <c r="M722" s="134"/>
      <c r="N722" s="300"/>
      <c r="O722" s="299"/>
      <c r="P722" s="134"/>
      <c r="Q722" s="301"/>
      <c r="R722" s="134"/>
      <c r="S722" s="300"/>
      <c r="T722" s="132"/>
      <c r="U722" s="311"/>
      <c r="V722" s="132"/>
      <c r="W722" s="296"/>
      <c r="X722" s="296"/>
    </row>
    <row r="723" spans="1:24" ht="15.75" x14ac:dyDescent="0.25">
      <c r="A723" s="142"/>
      <c r="B723" s="144"/>
      <c r="C723" s="303"/>
      <c r="D723" s="303"/>
      <c r="E723" s="303"/>
      <c r="F723" s="303"/>
      <c r="G723" s="303"/>
      <c r="H723" s="119"/>
      <c r="I723" s="303"/>
      <c r="J723" s="302"/>
      <c r="K723" s="303"/>
      <c r="L723" s="303"/>
      <c r="M723" s="119"/>
      <c r="N723" s="303"/>
      <c r="O723" s="302"/>
      <c r="P723" s="119"/>
      <c r="Q723" s="173"/>
      <c r="R723" s="119"/>
      <c r="S723" s="303"/>
      <c r="T723" s="117"/>
      <c r="U723" s="312"/>
      <c r="V723" s="117"/>
      <c r="W723" s="296"/>
      <c r="X723" s="296"/>
    </row>
    <row r="724" spans="1:24" ht="15.75" x14ac:dyDescent="0.25">
      <c r="A724" s="142"/>
      <c r="B724" s="145"/>
      <c r="C724" s="305"/>
      <c r="D724" s="305"/>
      <c r="E724" s="305"/>
      <c r="F724" s="305"/>
      <c r="G724" s="305"/>
      <c r="H724" s="122"/>
      <c r="I724" s="305"/>
      <c r="J724" s="304"/>
      <c r="K724" s="305"/>
      <c r="L724" s="305"/>
      <c r="M724" s="122"/>
      <c r="N724" s="305"/>
      <c r="O724" s="304"/>
      <c r="P724" s="122"/>
      <c r="Q724" s="253"/>
      <c r="R724" s="122"/>
      <c r="S724" s="305"/>
      <c r="T724" s="120"/>
      <c r="U724" s="313"/>
      <c r="V724" s="120"/>
      <c r="W724" s="296"/>
      <c r="X724" s="296"/>
    </row>
    <row r="725" spans="1:24" s="306" customFormat="1" ht="15.75" x14ac:dyDescent="0.25">
      <c r="A725" s="142"/>
      <c r="B725" s="143"/>
      <c r="C725" s="300"/>
      <c r="D725" s="300"/>
      <c r="E725" s="300"/>
      <c r="F725" s="300"/>
      <c r="G725" s="300"/>
      <c r="H725" s="134"/>
      <c r="I725" s="300"/>
      <c r="J725" s="299"/>
      <c r="K725" s="300"/>
      <c r="L725" s="300"/>
      <c r="M725" s="134"/>
      <c r="N725" s="300"/>
      <c r="O725" s="299"/>
      <c r="P725" s="134"/>
      <c r="Q725" s="301"/>
      <c r="R725" s="134"/>
      <c r="S725" s="300"/>
      <c r="T725" s="132"/>
      <c r="U725" s="311"/>
      <c r="V725" s="132"/>
      <c r="W725" s="296"/>
      <c r="X725" s="296"/>
    </row>
    <row r="726" spans="1:24" ht="15.75" x14ac:dyDescent="0.25">
      <c r="A726" s="142"/>
      <c r="B726" s="144"/>
      <c r="C726" s="303"/>
      <c r="D726" s="303"/>
      <c r="E726" s="303"/>
      <c r="F726" s="303"/>
      <c r="G726" s="303"/>
      <c r="H726" s="119"/>
      <c r="I726" s="303"/>
      <c r="J726" s="302"/>
      <c r="K726" s="303"/>
      <c r="L726" s="303"/>
      <c r="M726" s="119"/>
      <c r="N726" s="303"/>
      <c r="O726" s="302"/>
      <c r="P726" s="119"/>
      <c r="Q726" s="173"/>
      <c r="R726" s="119"/>
      <c r="S726" s="303"/>
      <c r="T726" s="117"/>
      <c r="U726" s="312"/>
      <c r="V726" s="117"/>
      <c r="W726" s="296"/>
      <c r="X726" s="296"/>
    </row>
    <row r="727" spans="1:24" ht="15.75" x14ac:dyDescent="0.25">
      <c r="A727" s="142"/>
      <c r="B727" s="145"/>
      <c r="C727" s="305"/>
      <c r="D727" s="305"/>
      <c r="E727" s="305"/>
      <c r="F727" s="305"/>
      <c r="G727" s="305"/>
      <c r="H727" s="122"/>
      <c r="I727" s="305"/>
      <c r="J727" s="304"/>
      <c r="K727" s="305"/>
      <c r="L727" s="305"/>
      <c r="M727" s="122"/>
      <c r="N727" s="305"/>
      <c r="O727" s="304"/>
      <c r="P727" s="122"/>
      <c r="Q727" s="253"/>
      <c r="R727" s="122"/>
      <c r="S727" s="305"/>
      <c r="T727" s="120"/>
      <c r="U727" s="313"/>
      <c r="V727" s="120"/>
      <c r="W727" s="296"/>
      <c r="X727" s="296"/>
    </row>
    <row r="728" spans="1:24" s="306" customFormat="1" ht="15.75" x14ac:dyDescent="0.25">
      <c r="A728" s="142"/>
      <c r="B728" s="143"/>
      <c r="C728" s="300"/>
      <c r="D728" s="300"/>
      <c r="E728" s="300"/>
      <c r="F728" s="300"/>
      <c r="G728" s="300"/>
      <c r="H728" s="134"/>
      <c r="I728" s="300"/>
      <c r="J728" s="299"/>
      <c r="K728" s="300"/>
      <c r="L728" s="300"/>
      <c r="M728" s="134"/>
      <c r="N728" s="300"/>
      <c r="O728" s="299"/>
      <c r="P728" s="134"/>
      <c r="Q728" s="301"/>
      <c r="R728" s="134"/>
      <c r="S728" s="300"/>
      <c r="T728" s="132"/>
      <c r="U728" s="311"/>
      <c r="V728" s="132"/>
      <c r="W728" s="296"/>
      <c r="X728" s="296"/>
    </row>
    <row r="729" spans="1:24" ht="15.75" x14ac:dyDescent="0.25">
      <c r="A729" s="142"/>
      <c r="B729" s="144"/>
      <c r="C729" s="303"/>
      <c r="D729" s="303"/>
      <c r="E729" s="303"/>
      <c r="F729" s="303"/>
      <c r="G729" s="303"/>
      <c r="H729" s="119"/>
      <c r="I729" s="303"/>
      <c r="J729" s="302"/>
      <c r="K729" s="303"/>
      <c r="L729" s="303"/>
      <c r="M729" s="119"/>
      <c r="N729" s="303"/>
      <c r="O729" s="302"/>
      <c r="P729" s="119"/>
      <c r="Q729" s="173"/>
      <c r="R729" s="119"/>
      <c r="S729" s="303"/>
      <c r="T729" s="117"/>
      <c r="U729" s="312"/>
      <c r="V729" s="117"/>
      <c r="W729" s="296"/>
      <c r="X729" s="296"/>
    </row>
    <row r="730" spans="1:24" ht="15.75" x14ac:dyDescent="0.25">
      <c r="A730" s="142"/>
      <c r="B730" s="145"/>
      <c r="C730" s="305"/>
      <c r="D730" s="305"/>
      <c r="E730" s="305"/>
      <c r="F730" s="305"/>
      <c r="G730" s="305"/>
      <c r="H730" s="122"/>
      <c r="I730" s="305"/>
      <c r="J730" s="304"/>
      <c r="K730" s="305"/>
      <c r="L730" s="305"/>
      <c r="M730" s="122"/>
      <c r="N730" s="305"/>
      <c r="O730" s="304"/>
      <c r="P730" s="122"/>
      <c r="Q730" s="253"/>
      <c r="R730" s="122"/>
      <c r="S730" s="305"/>
      <c r="T730" s="120"/>
      <c r="U730" s="313"/>
      <c r="V730" s="120"/>
      <c r="W730" s="296"/>
      <c r="X730" s="296"/>
    </row>
    <row r="731" spans="1:24" s="306" customFormat="1" ht="15.75" x14ac:dyDescent="0.25">
      <c r="A731" s="142"/>
      <c r="B731" s="143"/>
      <c r="C731" s="300"/>
      <c r="D731" s="300"/>
      <c r="E731" s="300"/>
      <c r="F731" s="300"/>
      <c r="G731" s="300"/>
      <c r="H731" s="134"/>
      <c r="I731" s="300"/>
      <c r="J731" s="299"/>
      <c r="K731" s="300"/>
      <c r="L731" s="300"/>
      <c r="M731" s="134"/>
      <c r="N731" s="300"/>
      <c r="O731" s="299"/>
      <c r="P731" s="134"/>
      <c r="Q731" s="301"/>
      <c r="R731" s="134"/>
      <c r="S731" s="300"/>
      <c r="T731" s="132"/>
      <c r="U731" s="311"/>
      <c r="V731" s="132"/>
      <c r="W731" s="296"/>
      <c r="X731" s="296"/>
    </row>
    <row r="732" spans="1:24" ht="15.75" x14ac:dyDescent="0.25">
      <c r="A732" s="142"/>
      <c r="B732" s="144"/>
      <c r="C732" s="303"/>
      <c r="D732" s="303"/>
      <c r="E732" s="303"/>
      <c r="F732" s="303"/>
      <c r="G732" s="303"/>
      <c r="H732" s="119"/>
      <c r="I732" s="303"/>
      <c r="J732" s="302"/>
      <c r="K732" s="303"/>
      <c r="L732" s="303"/>
      <c r="M732" s="119"/>
      <c r="N732" s="303"/>
      <c r="O732" s="302"/>
      <c r="P732" s="119"/>
      <c r="Q732" s="173"/>
      <c r="R732" s="119"/>
      <c r="S732" s="303"/>
      <c r="T732" s="117"/>
      <c r="U732" s="312"/>
      <c r="V732" s="117"/>
      <c r="W732" s="296"/>
      <c r="X732" s="296"/>
    </row>
    <row r="733" spans="1:24" ht="15.75" x14ac:dyDescent="0.25">
      <c r="A733" s="142"/>
      <c r="B733" s="145"/>
      <c r="C733" s="305"/>
      <c r="D733" s="305"/>
      <c r="E733" s="305"/>
      <c r="F733" s="305"/>
      <c r="G733" s="305"/>
      <c r="H733" s="122"/>
      <c r="I733" s="305"/>
      <c r="J733" s="304"/>
      <c r="K733" s="305"/>
      <c r="L733" s="305"/>
      <c r="M733" s="122"/>
      <c r="N733" s="305"/>
      <c r="O733" s="304"/>
      <c r="P733" s="122"/>
      <c r="Q733" s="253"/>
      <c r="R733" s="122"/>
      <c r="S733" s="305"/>
      <c r="T733" s="120"/>
      <c r="U733" s="313"/>
      <c r="V733" s="120"/>
      <c r="W733" s="296"/>
      <c r="X733" s="296"/>
    </row>
    <row r="734" spans="1:24" s="306" customFormat="1" ht="15.75" x14ac:dyDescent="0.25">
      <c r="A734" s="142"/>
      <c r="B734" s="143"/>
      <c r="C734" s="300"/>
      <c r="D734" s="300"/>
      <c r="E734" s="300"/>
      <c r="F734" s="300"/>
      <c r="G734" s="300"/>
      <c r="H734" s="134"/>
      <c r="I734" s="300"/>
      <c r="J734" s="299"/>
      <c r="K734" s="300"/>
      <c r="L734" s="300"/>
      <c r="M734" s="134"/>
      <c r="N734" s="300"/>
      <c r="O734" s="299"/>
      <c r="P734" s="134"/>
      <c r="Q734" s="301"/>
      <c r="R734" s="134"/>
      <c r="S734" s="300"/>
      <c r="T734" s="132"/>
      <c r="U734" s="311"/>
      <c r="V734" s="132"/>
      <c r="W734" s="296"/>
      <c r="X734" s="296"/>
    </row>
    <row r="735" spans="1:24" ht="15.75" x14ac:dyDescent="0.25">
      <c r="A735" s="142"/>
      <c r="B735" s="144"/>
      <c r="C735" s="303"/>
      <c r="D735" s="303"/>
      <c r="E735" s="303"/>
      <c r="F735" s="303"/>
      <c r="G735" s="303"/>
      <c r="H735" s="119"/>
      <c r="I735" s="303"/>
      <c r="J735" s="302"/>
      <c r="K735" s="303"/>
      <c r="L735" s="303"/>
      <c r="M735" s="119"/>
      <c r="N735" s="303"/>
      <c r="O735" s="302"/>
      <c r="P735" s="119"/>
      <c r="Q735" s="173"/>
      <c r="R735" s="119"/>
      <c r="S735" s="303"/>
      <c r="T735" s="117"/>
      <c r="U735" s="312"/>
      <c r="V735" s="117"/>
      <c r="W735" s="296"/>
      <c r="X735" s="296"/>
    </row>
    <row r="736" spans="1:24" ht="15.75" x14ac:dyDescent="0.25">
      <c r="A736" s="142"/>
      <c r="B736" s="145"/>
      <c r="C736" s="305"/>
      <c r="D736" s="305"/>
      <c r="E736" s="305"/>
      <c r="F736" s="305"/>
      <c r="G736" s="305"/>
      <c r="H736" s="122"/>
      <c r="I736" s="305"/>
      <c r="J736" s="304"/>
      <c r="K736" s="305"/>
      <c r="L736" s="305"/>
      <c r="M736" s="122"/>
      <c r="N736" s="305"/>
      <c r="O736" s="304"/>
      <c r="P736" s="122"/>
      <c r="Q736" s="253"/>
      <c r="R736" s="122"/>
      <c r="S736" s="305"/>
      <c r="T736" s="120"/>
      <c r="U736" s="313"/>
      <c r="V736" s="120"/>
      <c r="W736" s="296"/>
      <c r="X736" s="296"/>
    </row>
    <row r="737" spans="1:24" s="306" customFormat="1" ht="15.75" x14ac:dyDescent="0.25">
      <c r="A737" s="142"/>
      <c r="B737" s="143"/>
      <c r="C737" s="300"/>
      <c r="D737" s="300"/>
      <c r="E737" s="300"/>
      <c r="F737" s="300"/>
      <c r="G737" s="300"/>
      <c r="H737" s="134"/>
      <c r="I737" s="300"/>
      <c r="J737" s="299"/>
      <c r="K737" s="300"/>
      <c r="L737" s="300"/>
      <c r="M737" s="134"/>
      <c r="N737" s="300"/>
      <c r="O737" s="299"/>
      <c r="P737" s="134"/>
      <c r="Q737" s="301"/>
      <c r="R737" s="134"/>
      <c r="S737" s="300"/>
      <c r="T737" s="132"/>
      <c r="U737" s="311"/>
      <c r="V737" s="132"/>
      <c r="W737" s="296"/>
      <c r="X737" s="296"/>
    </row>
    <row r="738" spans="1:24" ht="15.75" x14ac:dyDescent="0.25">
      <c r="A738" s="142"/>
      <c r="B738" s="144"/>
      <c r="C738" s="303"/>
      <c r="D738" s="303"/>
      <c r="E738" s="303"/>
      <c r="F738" s="303"/>
      <c r="G738" s="303"/>
      <c r="H738" s="119"/>
      <c r="I738" s="303"/>
      <c r="J738" s="302"/>
      <c r="K738" s="303"/>
      <c r="L738" s="303"/>
      <c r="M738" s="119"/>
      <c r="N738" s="303"/>
      <c r="O738" s="302"/>
      <c r="P738" s="119"/>
      <c r="Q738" s="173"/>
      <c r="R738" s="119"/>
      <c r="S738" s="303"/>
      <c r="T738" s="117"/>
      <c r="U738" s="312"/>
      <c r="V738" s="117"/>
      <c r="W738" s="296"/>
      <c r="X738" s="296"/>
    </row>
    <row r="739" spans="1:24" ht="15.75" x14ac:dyDescent="0.25">
      <c r="A739" s="142"/>
      <c r="B739" s="145"/>
      <c r="C739" s="305"/>
      <c r="D739" s="305"/>
      <c r="E739" s="305"/>
      <c r="F739" s="305"/>
      <c r="G739" s="305"/>
      <c r="H739" s="122"/>
      <c r="I739" s="305"/>
      <c r="J739" s="304"/>
      <c r="K739" s="305"/>
      <c r="L739" s="305"/>
      <c r="M739" s="122"/>
      <c r="N739" s="305"/>
      <c r="O739" s="304"/>
      <c r="P739" s="122"/>
      <c r="Q739" s="253"/>
      <c r="R739" s="122"/>
      <c r="S739" s="305"/>
      <c r="T739" s="120"/>
      <c r="U739" s="313"/>
      <c r="V739" s="120"/>
      <c r="W739" s="296"/>
      <c r="X739" s="296"/>
    </row>
    <row r="740" spans="1:24" s="306" customFormat="1" ht="15.75" x14ac:dyDescent="0.25">
      <c r="A740" s="142"/>
      <c r="B740" s="143"/>
      <c r="C740" s="300"/>
      <c r="D740" s="300"/>
      <c r="E740" s="300"/>
      <c r="F740" s="300"/>
      <c r="G740" s="300"/>
      <c r="H740" s="134"/>
      <c r="I740" s="300"/>
      <c r="J740" s="299"/>
      <c r="K740" s="300"/>
      <c r="L740" s="300"/>
      <c r="M740" s="134"/>
      <c r="N740" s="300"/>
      <c r="O740" s="299"/>
      <c r="P740" s="134"/>
      <c r="Q740" s="301"/>
      <c r="R740" s="134"/>
      <c r="S740" s="300"/>
      <c r="T740" s="132"/>
      <c r="U740" s="311"/>
      <c r="V740" s="132"/>
      <c r="W740" s="296"/>
      <c r="X740" s="296"/>
    </row>
    <row r="741" spans="1:24" ht="15.75" x14ac:dyDescent="0.25">
      <c r="A741" s="142"/>
      <c r="B741" s="144"/>
      <c r="C741" s="303"/>
      <c r="D741" s="303"/>
      <c r="E741" s="303"/>
      <c r="F741" s="303"/>
      <c r="G741" s="303"/>
      <c r="H741" s="119"/>
      <c r="I741" s="303"/>
      <c r="J741" s="302"/>
      <c r="K741" s="303"/>
      <c r="L741" s="303"/>
      <c r="M741" s="119"/>
      <c r="N741" s="303"/>
      <c r="O741" s="302"/>
      <c r="P741" s="119"/>
      <c r="Q741" s="173"/>
      <c r="R741" s="119"/>
      <c r="S741" s="303"/>
      <c r="T741" s="117"/>
      <c r="U741" s="312"/>
      <c r="V741" s="117"/>
      <c r="W741" s="296"/>
      <c r="X741" s="296"/>
    </row>
    <row r="742" spans="1:24" ht="15.75" x14ac:dyDescent="0.25">
      <c r="A742" s="142"/>
      <c r="B742" s="145"/>
      <c r="C742" s="305"/>
      <c r="D742" s="305"/>
      <c r="E742" s="305"/>
      <c r="F742" s="305"/>
      <c r="G742" s="305"/>
      <c r="H742" s="122"/>
      <c r="I742" s="305"/>
      <c r="J742" s="304"/>
      <c r="K742" s="305"/>
      <c r="L742" s="305"/>
      <c r="M742" s="122"/>
      <c r="N742" s="305"/>
      <c r="O742" s="304"/>
      <c r="P742" s="122"/>
      <c r="Q742" s="253"/>
      <c r="R742" s="122"/>
      <c r="S742" s="305"/>
      <c r="T742" s="120"/>
      <c r="U742" s="313"/>
      <c r="V742" s="120"/>
      <c r="W742" s="296"/>
      <c r="X742" s="296"/>
    </row>
    <row r="743" spans="1:24" s="306" customFormat="1" ht="15.75" x14ac:dyDescent="0.25">
      <c r="A743" s="142"/>
      <c r="B743" s="143"/>
      <c r="C743" s="300"/>
      <c r="D743" s="300"/>
      <c r="E743" s="300"/>
      <c r="F743" s="300"/>
      <c r="G743" s="300"/>
      <c r="H743" s="134"/>
      <c r="I743" s="300"/>
      <c r="J743" s="299"/>
      <c r="K743" s="300"/>
      <c r="L743" s="300"/>
      <c r="M743" s="134"/>
      <c r="N743" s="300"/>
      <c r="O743" s="299"/>
      <c r="P743" s="134"/>
      <c r="Q743" s="301"/>
      <c r="R743" s="134"/>
      <c r="S743" s="300"/>
      <c r="T743" s="132"/>
      <c r="U743" s="311"/>
      <c r="V743" s="132"/>
      <c r="W743" s="296"/>
      <c r="X743" s="296"/>
    </row>
    <row r="744" spans="1:24" ht="16.5" thickBot="1" x14ac:dyDescent="0.3">
      <c r="A744" s="142"/>
      <c r="B744" s="144"/>
      <c r="C744" s="303"/>
      <c r="D744" s="303"/>
      <c r="E744" s="303"/>
      <c r="F744" s="303"/>
      <c r="G744" s="303"/>
      <c r="H744" s="119"/>
      <c r="I744" s="303"/>
      <c r="J744" s="302"/>
      <c r="K744" s="303"/>
      <c r="L744" s="303"/>
      <c r="M744" s="119"/>
      <c r="N744" s="303"/>
      <c r="O744" s="302"/>
      <c r="P744" s="119"/>
      <c r="Q744" s="173"/>
      <c r="R744" s="119"/>
      <c r="S744" s="303"/>
      <c r="T744" s="117"/>
      <c r="U744" s="312"/>
      <c r="V744" s="117"/>
      <c r="W744" s="296"/>
      <c r="X744" s="296"/>
    </row>
    <row r="745" spans="1:24" ht="16.5" thickBot="1" x14ac:dyDescent="0.3">
      <c r="A745" s="142"/>
      <c r="B745" s="145"/>
      <c r="C745" s="305"/>
      <c r="D745" s="305"/>
      <c r="E745" s="724"/>
      <c r="F745" s="305"/>
      <c r="G745" s="305"/>
      <c r="H745" s="122"/>
      <c r="I745" s="305"/>
      <c r="J745" s="304"/>
      <c r="K745" s="305"/>
      <c r="L745" s="305"/>
      <c r="M745" s="122"/>
      <c r="N745" s="305"/>
      <c r="O745" s="304"/>
      <c r="P745" s="122"/>
      <c r="Q745" s="253"/>
      <c r="R745" s="122"/>
      <c r="S745" s="305"/>
      <c r="T745" s="120"/>
      <c r="U745" s="313"/>
      <c r="V745" s="120"/>
      <c r="W745" s="296"/>
      <c r="X745" s="296"/>
    </row>
    <row r="746" spans="1:24" s="306" customFormat="1" ht="15.75" x14ac:dyDescent="0.25">
      <c r="A746" s="142"/>
      <c r="B746" s="143"/>
      <c r="C746" s="300"/>
      <c r="D746" s="300"/>
      <c r="E746" s="300"/>
      <c r="F746" s="300"/>
      <c r="G746" s="300"/>
      <c r="H746" s="134"/>
      <c r="I746" s="300"/>
      <c r="J746" s="299"/>
      <c r="K746" s="300"/>
      <c r="L746" s="300"/>
      <c r="M746" s="134"/>
      <c r="N746" s="300"/>
      <c r="O746" s="299"/>
      <c r="P746" s="134"/>
      <c r="Q746" s="301"/>
      <c r="R746" s="134"/>
      <c r="S746" s="300"/>
      <c r="T746" s="132"/>
      <c r="U746" s="311"/>
      <c r="V746" s="132"/>
      <c r="W746" s="296"/>
      <c r="X746" s="296"/>
    </row>
    <row r="747" spans="1:24" ht="15.75" x14ac:dyDescent="0.25">
      <c r="A747" s="294"/>
      <c r="B747" s="144"/>
      <c r="C747" s="303"/>
      <c r="D747" s="303"/>
      <c r="E747" s="303"/>
      <c r="F747" s="303"/>
      <c r="G747" s="303"/>
      <c r="H747" s="119"/>
      <c r="I747" s="303"/>
      <c r="J747" s="302"/>
      <c r="K747" s="303"/>
      <c r="L747" s="303"/>
      <c r="M747" s="119"/>
      <c r="N747" s="303"/>
      <c r="O747" s="302"/>
      <c r="P747" s="119"/>
      <c r="Q747" s="173"/>
      <c r="R747" s="119"/>
      <c r="S747" s="303"/>
      <c r="T747" s="117"/>
      <c r="U747" s="312"/>
      <c r="V747" s="117"/>
      <c r="W747" s="296"/>
      <c r="X747" s="296"/>
    </row>
    <row r="748" spans="1:24" ht="15.75" x14ac:dyDescent="0.25">
      <c r="A748" s="141"/>
      <c r="B748" s="143"/>
      <c r="C748" s="300"/>
      <c r="D748" s="300"/>
      <c r="E748" s="300"/>
      <c r="F748" s="300"/>
      <c r="G748" s="300"/>
      <c r="H748" s="134"/>
      <c r="I748" s="300"/>
      <c r="J748" s="299"/>
      <c r="K748" s="300"/>
      <c r="L748" s="300"/>
      <c r="M748" s="134"/>
      <c r="N748" s="300"/>
      <c r="O748" s="299"/>
      <c r="P748" s="134"/>
      <c r="Q748" s="301"/>
      <c r="R748" s="134"/>
      <c r="S748" s="300"/>
      <c r="T748" s="132"/>
      <c r="U748" s="311"/>
      <c r="V748" s="132"/>
      <c r="W748" s="296"/>
      <c r="X748" s="296"/>
    </row>
    <row r="749" spans="1:24" s="306" customFormat="1" ht="16.5" thickBot="1" x14ac:dyDescent="0.3">
      <c r="A749" s="142"/>
      <c r="B749" s="144"/>
      <c r="C749" s="303"/>
      <c r="D749" s="303"/>
      <c r="E749" s="303"/>
      <c r="F749" s="303"/>
      <c r="G749" s="303"/>
      <c r="H749" s="119"/>
      <c r="I749" s="303"/>
      <c r="J749" s="302"/>
      <c r="K749" s="303"/>
      <c r="L749" s="303"/>
      <c r="M749" s="119"/>
      <c r="N749" s="303"/>
      <c r="O749" s="302"/>
      <c r="P749" s="119"/>
      <c r="Q749" s="173"/>
      <c r="R749" s="119"/>
      <c r="S749" s="303"/>
      <c r="T749" s="117"/>
      <c r="U749" s="312"/>
      <c r="V749" s="117"/>
      <c r="W749" s="296"/>
      <c r="X749" s="296"/>
    </row>
    <row r="750" spans="1:24" ht="16.5" thickBot="1" x14ac:dyDescent="0.3">
      <c r="A750" s="142"/>
      <c r="B750" s="145"/>
      <c r="C750" s="305"/>
      <c r="D750" s="305"/>
      <c r="E750" s="305"/>
      <c r="F750" s="724"/>
      <c r="G750" s="305"/>
      <c r="H750" s="122"/>
      <c r="I750" s="305"/>
      <c r="J750" s="304"/>
      <c r="K750" s="724"/>
      <c r="L750" s="724"/>
      <c r="M750" s="122"/>
      <c r="N750" s="305"/>
      <c r="O750" s="304"/>
      <c r="P750" s="122"/>
      <c r="Q750" s="253"/>
      <c r="R750" s="122"/>
      <c r="S750" s="305"/>
      <c r="T750" s="120"/>
      <c r="U750" s="313"/>
      <c r="V750" s="120"/>
      <c r="W750" s="296"/>
      <c r="X750" s="296"/>
    </row>
    <row r="751" spans="1:24" ht="15.75" x14ac:dyDescent="0.25">
      <c r="A751" s="142"/>
      <c r="B751" s="143"/>
      <c r="C751" s="300"/>
      <c r="D751" s="300"/>
      <c r="E751" s="300"/>
      <c r="F751" s="300"/>
      <c r="G751" s="300"/>
      <c r="H751" s="134"/>
      <c r="I751" s="300"/>
      <c r="J751" s="299"/>
      <c r="K751" s="300"/>
      <c r="L751" s="300"/>
      <c r="M751" s="134"/>
      <c r="N751" s="300"/>
      <c r="O751" s="299"/>
      <c r="P751" s="134"/>
      <c r="Q751" s="301"/>
      <c r="R751" s="134"/>
      <c r="S751" s="300"/>
      <c r="T751" s="132"/>
      <c r="U751" s="311"/>
      <c r="V751" s="132"/>
      <c r="W751" s="296"/>
      <c r="X751" s="296"/>
    </row>
    <row r="752" spans="1:24" s="306" customFormat="1" ht="15.75" x14ac:dyDescent="0.25">
      <c r="A752" s="142"/>
      <c r="B752" s="144"/>
      <c r="C752" s="303"/>
      <c r="D752" s="303"/>
      <c r="E752" s="303"/>
      <c r="F752" s="303"/>
      <c r="G752" s="303"/>
      <c r="H752" s="119"/>
      <c r="I752" s="303"/>
      <c r="J752" s="302"/>
      <c r="K752" s="303"/>
      <c r="L752" s="303"/>
      <c r="M752" s="119"/>
      <c r="N752" s="303"/>
      <c r="O752" s="302"/>
      <c r="P752" s="119"/>
      <c r="Q752" s="173"/>
      <c r="R752" s="119"/>
      <c r="S752" s="303"/>
      <c r="T752" s="117"/>
      <c r="U752" s="312"/>
      <c r="V752" s="117"/>
      <c r="W752" s="296"/>
      <c r="X752" s="296"/>
    </row>
    <row r="753" spans="1:24" ht="15.75" x14ac:dyDescent="0.25">
      <c r="A753" s="142"/>
      <c r="B753" s="145"/>
      <c r="C753" s="305"/>
      <c r="D753" s="305"/>
      <c r="E753" s="305"/>
      <c r="F753" s="305"/>
      <c r="G753" s="305"/>
      <c r="H753" s="122"/>
      <c r="I753" s="305"/>
      <c r="J753" s="304"/>
      <c r="K753" s="305"/>
      <c r="L753" s="305"/>
      <c r="M753" s="122"/>
      <c r="N753" s="305"/>
      <c r="O753" s="304"/>
      <c r="P753" s="122"/>
      <c r="Q753" s="253"/>
      <c r="R753" s="122"/>
      <c r="S753" s="305"/>
      <c r="T753" s="120"/>
      <c r="U753" s="313"/>
      <c r="V753" s="120"/>
      <c r="W753" s="296"/>
      <c r="X753" s="296"/>
    </row>
    <row r="754" spans="1:24" ht="15.75" x14ac:dyDescent="0.25">
      <c r="A754" s="142"/>
      <c r="B754" s="143"/>
      <c r="C754" s="300"/>
      <c r="D754" s="300"/>
      <c r="E754" s="300"/>
      <c r="F754" s="300"/>
      <c r="G754" s="300"/>
      <c r="H754" s="134"/>
      <c r="I754" s="300"/>
      <c r="J754" s="299"/>
      <c r="K754" s="300"/>
      <c r="L754" s="300"/>
      <c r="M754" s="134"/>
      <c r="N754" s="300"/>
      <c r="O754" s="299"/>
      <c r="P754" s="134"/>
      <c r="Q754" s="301"/>
      <c r="R754" s="134"/>
      <c r="S754" s="300"/>
      <c r="T754" s="132"/>
      <c r="U754" s="311"/>
      <c r="V754" s="132"/>
      <c r="W754" s="296"/>
      <c r="X754" s="296"/>
    </row>
    <row r="755" spans="1:24" s="306" customFormat="1" ht="16.5" thickBot="1" x14ac:dyDescent="0.3">
      <c r="A755" s="142"/>
      <c r="B755" s="144"/>
      <c r="C755" s="303"/>
      <c r="D755" s="303"/>
      <c r="E755" s="303"/>
      <c r="F755" s="303"/>
      <c r="G755" s="303"/>
      <c r="H755" s="119"/>
      <c r="I755" s="303"/>
      <c r="J755" s="302"/>
      <c r="K755" s="303"/>
      <c r="L755" s="303"/>
      <c r="M755" s="119"/>
      <c r="N755" s="303"/>
      <c r="O755" s="302"/>
      <c r="P755" s="119"/>
      <c r="Q755" s="173"/>
      <c r="R755" s="119"/>
      <c r="S755" s="303"/>
      <c r="T755" s="117"/>
      <c r="U755" s="312"/>
      <c r="V755" s="117"/>
      <c r="W755" s="296"/>
      <c r="X755" s="296"/>
    </row>
    <row r="756" spans="1:24" ht="16.5" thickBot="1" x14ac:dyDescent="0.3">
      <c r="A756" s="142"/>
      <c r="B756" s="145"/>
      <c r="C756" s="305"/>
      <c r="D756" s="305"/>
      <c r="E756" s="305"/>
      <c r="F756" s="724"/>
      <c r="G756" s="305"/>
      <c r="H756" s="122"/>
      <c r="I756" s="305"/>
      <c r="J756" s="304"/>
      <c r="K756" s="724"/>
      <c r="L756" s="724"/>
      <c r="M756" s="724"/>
      <c r="N756" s="305"/>
      <c r="O756" s="304"/>
      <c r="P756" s="122"/>
      <c r="Q756" s="253"/>
      <c r="R756" s="122"/>
      <c r="S756" s="305"/>
      <c r="T756" s="120"/>
      <c r="U756" s="313"/>
      <c r="V756" s="120"/>
      <c r="W756" s="296"/>
      <c r="X756" s="296"/>
    </row>
    <row r="757" spans="1:24" ht="15.75" x14ac:dyDescent="0.25">
      <c r="A757" s="142"/>
      <c r="B757" s="143"/>
      <c r="C757" s="300"/>
      <c r="D757" s="300"/>
      <c r="E757" s="300"/>
      <c r="F757" s="300"/>
      <c r="G757" s="300"/>
      <c r="H757" s="134"/>
      <c r="I757" s="300"/>
      <c r="J757" s="299"/>
      <c r="K757" s="300"/>
      <c r="L757" s="300"/>
      <c r="M757" s="134"/>
      <c r="N757" s="300"/>
      <c r="O757" s="299"/>
      <c r="P757" s="134"/>
      <c r="Q757" s="301"/>
      <c r="R757" s="134"/>
      <c r="S757" s="300"/>
      <c r="T757" s="132"/>
      <c r="U757" s="311"/>
      <c r="V757" s="132"/>
      <c r="W757" s="296"/>
      <c r="X757" s="296"/>
    </row>
    <row r="758" spans="1:24" s="306" customFormat="1" ht="15.75" x14ac:dyDescent="0.25">
      <c r="A758" s="142"/>
      <c r="B758" s="144"/>
      <c r="C758" s="303"/>
      <c r="D758" s="303"/>
      <c r="E758" s="303"/>
      <c r="F758" s="303"/>
      <c r="G758" s="303"/>
      <c r="H758" s="119"/>
      <c r="I758" s="303"/>
      <c r="J758" s="302"/>
      <c r="K758" s="303"/>
      <c r="L758" s="303"/>
      <c r="M758" s="119"/>
      <c r="N758" s="303"/>
      <c r="O758" s="302"/>
      <c r="P758" s="119"/>
      <c r="Q758" s="173"/>
      <c r="R758" s="119"/>
      <c r="S758" s="303"/>
      <c r="T758" s="117"/>
      <c r="U758" s="312"/>
      <c r="V758" s="117"/>
      <c r="W758" s="296"/>
      <c r="X758" s="296"/>
    </row>
    <row r="759" spans="1:24" ht="15.75" x14ac:dyDescent="0.25">
      <c r="A759" s="142"/>
      <c r="B759" s="145"/>
      <c r="C759" s="305"/>
      <c r="D759" s="305"/>
      <c r="E759" s="305"/>
      <c r="F759" s="305"/>
      <c r="G759" s="305"/>
      <c r="H759" s="122"/>
      <c r="I759" s="305"/>
      <c r="J759" s="304"/>
      <c r="K759" s="305"/>
      <c r="L759" s="305"/>
      <c r="M759" s="122"/>
      <c r="N759" s="305"/>
      <c r="O759" s="304"/>
      <c r="P759" s="122"/>
      <c r="Q759" s="253"/>
      <c r="R759" s="122"/>
      <c r="S759" s="305"/>
      <c r="T759" s="120"/>
      <c r="U759" s="313"/>
      <c r="V759" s="120"/>
      <c r="W759" s="296"/>
      <c r="X759" s="296"/>
    </row>
    <row r="760" spans="1:24" ht="15.75" x14ac:dyDescent="0.25">
      <c r="A760" s="142"/>
      <c r="B760" s="143"/>
      <c r="C760" s="300"/>
      <c r="D760" s="300"/>
      <c r="E760" s="300"/>
      <c r="F760" s="300"/>
      <c r="G760" s="300"/>
      <c r="H760" s="134"/>
      <c r="I760" s="300"/>
      <c r="J760" s="299"/>
      <c r="K760" s="300"/>
      <c r="L760" s="300"/>
      <c r="M760" s="134"/>
      <c r="N760" s="300"/>
      <c r="O760" s="299"/>
      <c r="P760" s="134"/>
      <c r="Q760" s="301"/>
      <c r="R760" s="134"/>
      <c r="S760" s="300"/>
      <c r="T760" s="132"/>
      <c r="U760" s="311"/>
      <c r="V760" s="132"/>
      <c r="W760" s="296"/>
      <c r="X760" s="296"/>
    </row>
    <row r="761" spans="1:24" s="306" customFormat="1" ht="16.5" thickBot="1" x14ac:dyDescent="0.3">
      <c r="A761" s="142"/>
      <c r="B761" s="144"/>
      <c r="C761" s="303"/>
      <c r="D761" s="303"/>
      <c r="E761" s="303"/>
      <c r="F761" s="303"/>
      <c r="G761" s="303"/>
      <c r="H761" s="119"/>
      <c r="I761" s="303"/>
      <c r="J761" s="302"/>
      <c r="K761" s="303"/>
      <c r="L761" s="303"/>
      <c r="M761" s="119"/>
      <c r="N761" s="303"/>
      <c r="O761" s="302"/>
      <c r="P761" s="119"/>
      <c r="Q761" s="173"/>
      <c r="R761" s="119"/>
      <c r="S761" s="303"/>
      <c r="T761" s="117"/>
      <c r="U761" s="312"/>
      <c r="V761" s="117"/>
      <c r="W761" s="296"/>
      <c r="X761" s="296"/>
    </row>
    <row r="762" spans="1:24" ht="16.5" thickBot="1" x14ac:dyDescent="0.3">
      <c r="A762" s="142"/>
      <c r="B762" s="145"/>
      <c r="C762" s="305"/>
      <c r="D762" s="305"/>
      <c r="E762" s="305"/>
      <c r="F762" s="724"/>
      <c r="G762" s="724"/>
      <c r="H762" s="122"/>
      <c r="I762" s="305"/>
      <c r="J762" s="304"/>
      <c r="K762" s="305"/>
      <c r="L762" s="305"/>
      <c r="M762" s="122"/>
      <c r="N762" s="305"/>
      <c r="O762" s="304"/>
      <c r="P762" s="122"/>
      <c r="Q762" s="253"/>
      <c r="R762" s="122"/>
      <c r="S762" s="305"/>
      <c r="T762" s="120"/>
      <c r="U762" s="313"/>
      <c r="V762" s="120"/>
      <c r="W762" s="296"/>
      <c r="X762" s="296"/>
    </row>
    <row r="763" spans="1:24" ht="15.75" x14ac:dyDescent="0.25">
      <c r="A763" s="142"/>
      <c r="B763" s="143"/>
      <c r="C763" s="300"/>
      <c r="D763" s="300"/>
      <c r="E763" s="300"/>
      <c r="F763" s="300"/>
      <c r="G763" s="300"/>
      <c r="H763" s="134"/>
      <c r="I763" s="300"/>
      <c r="J763" s="299"/>
      <c r="K763" s="300"/>
      <c r="L763" s="300"/>
      <c r="M763" s="134"/>
      <c r="N763" s="300"/>
      <c r="O763" s="299"/>
      <c r="P763" s="134"/>
      <c r="Q763" s="301"/>
      <c r="R763" s="134"/>
      <c r="S763" s="300"/>
      <c r="T763" s="132"/>
      <c r="U763" s="311"/>
      <c r="V763" s="132"/>
      <c r="W763" s="296"/>
      <c r="X763" s="296"/>
    </row>
    <row r="764" spans="1:24" s="306" customFormat="1" ht="15.75" x14ac:dyDescent="0.25">
      <c r="A764" s="142"/>
      <c r="B764" s="144"/>
      <c r="C764" s="303"/>
      <c r="D764" s="303"/>
      <c r="E764" s="303"/>
      <c r="F764" s="303"/>
      <c r="G764" s="303"/>
      <c r="H764" s="119"/>
      <c r="I764" s="303"/>
      <c r="J764" s="302"/>
      <c r="K764" s="303"/>
      <c r="L764" s="303"/>
      <c r="M764" s="119"/>
      <c r="N764" s="303"/>
      <c r="O764" s="302"/>
      <c r="P764" s="119"/>
      <c r="Q764" s="173"/>
      <c r="R764" s="119"/>
      <c r="S764" s="303"/>
      <c r="T764" s="117"/>
      <c r="U764" s="312"/>
      <c r="V764" s="117"/>
      <c r="W764" s="296"/>
      <c r="X764" s="296"/>
    </row>
    <row r="765" spans="1:24" ht="15.75" x14ac:dyDescent="0.25">
      <c r="A765" s="142"/>
      <c r="B765" s="145"/>
      <c r="C765" s="305"/>
      <c r="D765" s="305"/>
      <c r="E765" s="305"/>
      <c r="F765" s="305"/>
      <c r="G765" s="305"/>
      <c r="H765" s="122"/>
      <c r="I765" s="305"/>
      <c r="J765" s="304"/>
      <c r="K765" s="305"/>
      <c r="L765" s="305"/>
      <c r="M765" s="122"/>
      <c r="N765" s="305"/>
      <c r="O765" s="304"/>
      <c r="P765" s="122"/>
      <c r="Q765" s="253"/>
      <c r="R765" s="122"/>
      <c r="S765" s="305"/>
      <c r="T765" s="120"/>
      <c r="U765" s="313"/>
      <c r="V765" s="120"/>
      <c r="W765" s="296"/>
      <c r="X765" s="296"/>
    </row>
    <row r="766" spans="1:24" ht="15.75" x14ac:dyDescent="0.25">
      <c r="A766" s="142"/>
      <c r="B766" s="143"/>
      <c r="C766" s="300"/>
      <c r="D766" s="300"/>
      <c r="E766" s="300"/>
      <c r="F766" s="300"/>
      <c r="G766" s="300"/>
      <c r="H766" s="134"/>
      <c r="I766" s="300"/>
      <c r="J766" s="299"/>
      <c r="K766" s="300"/>
      <c r="L766" s="300"/>
      <c r="M766" s="134"/>
      <c r="N766" s="300"/>
      <c r="O766" s="299"/>
      <c r="P766" s="134"/>
      <c r="Q766" s="301"/>
      <c r="R766" s="134"/>
      <c r="S766" s="300"/>
      <c r="T766" s="132"/>
      <c r="U766" s="311"/>
      <c r="V766" s="132"/>
      <c r="W766" s="296"/>
      <c r="X766" s="296"/>
    </row>
    <row r="767" spans="1:24" s="306" customFormat="1" ht="15.75" x14ac:dyDescent="0.25">
      <c r="A767" s="142"/>
      <c r="B767" s="144"/>
      <c r="C767" s="303"/>
      <c r="D767" s="303"/>
      <c r="E767" s="303"/>
      <c r="F767" s="303"/>
      <c r="G767" s="303"/>
      <c r="H767" s="119"/>
      <c r="I767" s="303"/>
      <c r="J767" s="302"/>
      <c r="K767" s="303"/>
      <c r="L767" s="303"/>
      <c r="M767" s="119"/>
      <c r="N767" s="303"/>
      <c r="O767" s="302"/>
      <c r="P767" s="119"/>
      <c r="Q767" s="173"/>
      <c r="R767" s="119"/>
      <c r="S767" s="303"/>
      <c r="T767" s="117"/>
      <c r="U767" s="312"/>
      <c r="V767" s="117"/>
      <c r="W767" s="296"/>
      <c r="X767" s="296"/>
    </row>
    <row r="768" spans="1:24" ht="15.75" x14ac:dyDescent="0.25">
      <c r="A768" s="142"/>
      <c r="B768" s="145"/>
      <c r="C768" s="305"/>
      <c r="D768" s="305"/>
      <c r="E768" s="305"/>
      <c r="F768" s="305"/>
      <c r="G768" s="305"/>
      <c r="H768" s="122"/>
      <c r="I768" s="305"/>
      <c r="J768" s="304"/>
      <c r="K768" s="305"/>
      <c r="L768" s="305"/>
      <c r="M768" s="122"/>
      <c r="N768" s="305"/>
      <c r="O768" s="304"/>
      <c r="P768" s="122"/>
      <c r="Q768" s="253"/>
      <c r="R768" s="122"/>
      <c r="S768" s="305"/>
      <c r="T768" s="120"/>
      <c r="U768" s="313"/>
      <c r="V768" s="120"/>
      <c r="W768" s="296"/>
      <c r="X768" s="296"/>
    </row>
    <row r="769" spans="1:24" ht="15.75" x14ac:dyDescent="0.25">
      <c r="A769" s="142"/>
      <c r="B769" s="143"/>
      <c r="C769" s="300"/>
      <c r="D769" s="300"/>
      <c r="E769" s="300"/>
      <c r="F769" s="300"/>
      <c r="G769" s="300"/>
      <c r="H769" s="134"/>
      <c r="I769" s="300"/>
      <c r="J769" s="299"/>
      <c r="K769" s="300"/>
      <c r="L769" s="300"/>
      <c r="M769" s="134"/>
      <c r="N769" s="300"/>
      <c r="O769" s="299"/>
      <c r="P769" s="134"/>
      <c r="Q769" s="301"/>
      <c r="R769" s="134"/>
      <c r="S769" s="300"/>
      <c r="T769" s="132"/>
      <c r="U769" s="311"/>
      <c r="V769" s="132"/>
      <c r="W769" s="296"/>
      <c r="X769" s="296"/>
    </row>
    <row r="770" spans="1:24" s="306" customFormat="1" ht="15.75" x14ac:dyDescent="0.25">
      <c r="A770" s="142"/>
      <c r="B770" s="144"/>
      <c r="C770" s="303"/>
      <c r="D770" s="303"/>
      <c r="E770" s="303"/>
      <c r="F770" s="303"/>
      <c r="G770" s="303"/>
      <c r="H770" s="119"/>
      <c r="I770" s="303"/>
      <c r="J770" s="302"/>
      <c r="K770" s="303"/>
      <c r="L770" s="303"/>
      <c r="M770" s="119"/>
      <c r="N770" s="303"/>
      <c r="O770" s="302"/>
      <c r="P770" s="119"/>
      <c r="Q770" s="173"/>
      <c r="R770" s="119"/>
      <c r="S770" s="303"/>
      <c r="T770" s="117"/>
      <c r="U770" s="312"/>
      <c r="V770" s="117"/>
      <c r="W770" s="296"/>
      <c r="X770" s="296"/>
    </row>
    <row r="771" spans="1:24" ht="15.75" x14ac:dyDescent="0.25">
      <c r="A771" s="142"/>
      <c r="B771" s="145"/>
      <c r="C771" s="305"/>
      <c r="D771" s="305"/>
      <c r="E771" s="305"/>
      <c r="F771" s="305"/>
      <c r="G771" s="305"/>
      <c r="H771" s="122"/>
      <c r="I771" s="305"/>
      <c r="J771" s="304"/>
      <c r="K771" s="305"/>
      <c r="L771" s="305"/>
      <c r="M771" s="122"/>
      <c r="N771" s="305"/>
      <c r="O771" s="304"/>
      <c r="P771" s="122"/>
      <c r="Q771" s="253"/>
      <c r="R771" s="122"/>
      <c r="S771" s="305"/>
      <c r="T771" s="120"/>
      <c r="U771" s="313"/>
      <c r="V771" s="120"/>
      <c r="W771" s="296"/>
      <c r="X771" s="296"/>
    </row>
    <row r="772" spans="1:24" ht="15.75" x14ac:dyDescent="0.25">
      <c r="A772" s="142"/>
      <c r="B772" s="143"/>
      <c r="C772" s="300"/>
      <c r="D772" s="300"/>
      <c r="E772" s="300"/>
      <c r="F772" s="300"/>
      <c r="G772" s="300"/>
      <c r="H772" s="134"/>
      <c r="I772" s="300"/>
      <c r="J772" s="299"/>
      <c r="K772" s="300"/>
      <c r="L772" s="300"/>
      <c r="M772" s="134"/>
      <c r="N772" s="300"/>
      <c r="O772" s="299"/>
      <c r="P772" s="134"/>
      <c r="Q772" s="301"/>
      <c r="R772" s="134"/>
      <c r="S772" s="300"/>
      <c r="T772" s="132"/>
      <c r="U772" s="311"/>
      <c r="V772" s="132"/>
      <c r="W772" s="296"/>
      <c r="X772" s="296"/>
    </row>
    <row r="773" spans="1:24" s="306" customFormat="1" ht="15.75" x14ac:dyDescent="0.25">
      <c r="A773" s="142"/>
      <c r="B773" s="144"/>
      <c r="C773" s="303"/>
      <c r="D773" s="303"/>
      <c r="E773" s="303"/>
      <c r="F773" s="303"/>
      <c r="G773" s="303"/>
      <c r="H773" s="119"/>
      <c r="I773" s="303"/>
      <c r="J773" s="302"/>
      <c r="K773" s="303"/>
      <c r="L773" s="303"/>
      <c r="M773" s="119"/>
      <c r="N773" s="303"/>
      <c r="O773" s="302"/>
      <c r="P773" s="119"/>
      <c r="Q773" s="173"/>
      <c r="R773" s="119"/>
      <c r="S773" s="303"/>
      <c r="T773" s="117"/>
      <c r="U773" s="312"/>
      <c r="V773" s="117"/>
      <c r="W773" s="296"/>
      <c r="X773" s="296"/>
    </row>
    <row r="774" spans="1:24" ht="15.75" x14ac:dyDescent="0.25">
      <c r="A774" s="142"/>
      <c r="B774" s="145"/>
      <c r="C774" s="305"/>
      <c r="D774" s="305"/>
      <c r="E774" s="305"/>
      <c r="F774" s="305"/>
      <c r="G774" s="305"/>
      <c r="H774" s="122"/>
      <c r="I774" s="305"/>
      <c r="J774" s="304"/>
      <c r="K774" s="305"/>
      <c r="L774" s="305"/>
      <c r="M774" s="122"/>
      <c r="N774" s="305"/>
      <c r="O774" s="304"/>
      <c r="P774" s="122"/>
      <c r="Q774" s="253"/>
      <c r="R774" s="122"/>
      <c r="S774" s="305"/>
      <c r="T774" s="120"/>
      <c r="U774" s="313"/>
      <c r="V774" s="120"/>
      <c r="W774" s="296"/>
      <c r="X774" s="296"/>
    </row>
    <row r="775" spans="1:24" ht="15.75" x14ac:dyDescent="0.25">
      <c r="A775" s="142"/>
      <c r="B775" s="143"/>
      <c r="C775" s="300"/>
      <c r="D775" s="300"/>
      <c r="E775" s="300"/>
      <c r="F775" s="300"/>
      <c r="G775" s="300"/>
      <c r="H775" s="134"/>
      <c r="I775" s="300"/>
      <c r="J775" s="299"/>
      <c r="K775" s="300"/>
      <c r="L775" s="300"/>
      <c r="M775" s="134"/>
      <c r="N775" s="300"/>
      <c r="O775" s="299"/>
      <c r="P775" s="134"/>
      <c r="Q775" s="301"/>
      <c r="R775" s="134"/>
      <c r="S775" s="300"/>
      <c r="T775" s="132"/>
      <c r="U775" s="311"/>
      <c r="V775" s="132"/>
      <c r="W775" s="296"/>
      <c r="X775" s="296"/>
    </row>
    <row r="776" spans="1:24" s="306" customFormat="1" ht="15.75" x14ac:dyDescent="0.25">
      <c r="A776" s="142"/>
      <c r="B776" s="144"/>
      <c r="C776" s="303"/>
      <c r="D776" s="303"/>
      <c r="E776" s="303"/>
      <c r="F776" s="303"/>
      <c r="G776" s="303"/>
      <c r="H776" s="119"/>
      <c r="I776" s="303"/>
      <c r="J776" s="302"/>
      <c r="K776" s="303"/>
      <c r="L776" s="303"/>
      <c r="M776" s="119"/>
      <c r="N776" s="303"/>
      <c r="O776" s="302"/>
      <c r="P776" s="119"/>
      <c r="Q776" s="173"/>
      <c r="R776" s="119"/>
      <c r="S776" s="303"/>
      <c r="T776" s="117"/>
      <c r="U776" s="312"/>
      <c r="V776" s="117"/>
      <c r="W776" s="296"/>
      <c r="X776" s="296"/>
    </row>
    <row r="777" spans="1:24" ht="15.75" x14ac:dyDescent="0.25">
      <c r="A777" s="142"/>
      <c r="B777" s="145"/>
      <c r="C777" s="305"/>
      <c r="D777" s="305"/>
      <c r="E777" s="305"/>
      <c r="F777" s="305"/>
      <c r="G777" s="305"/>
      <c r="H777" s="122"/>
      <c r="I777" s="305"/>
      <c r="J777" s="304"/>
      <c r="K777" s="305"/>
      <c r="L777" s="305"/>
      <c r="M777" s="122"/>
      <c r="N777" s="305"/>
      <c r="O777" s="304"/>
      <c r="P777" s="122"/>
      <c r="Q777" s="253"/>
      <c r="R777" s="122"/>
      <c r="S777" s="305"/>
      <c r="T777" s="120"/>
      <c r="U777" s="313"/>
      <c r="V777" s="120"/>
      <c r="W777" s="296"/>
      <c r="X777" s="296"/>
    </row>
    <row r="778" spans="1:24" ht="15.75" x14ac:dyDescent="0.25">
      <c r="A778" s="142"/>
      <c r="B778" s="143"/>
      <c r="C778" s="300"/>
      <c r="D778" s="300"/>
      <c r="E778" s="300"/>
      <c r="F778" s="300"/>
      <c r="G778" s="300"/>
      <c r="H778" s="134"/>
      <c r="I778" s="300"/>
      <c r="J778" s="299"/>
      <c r="K778" s="300"/>
      <c r="L778" s="300"/>
      <c r="M778" s="134"/>
      <c r="N778" s="300"/>
      <c r="O778" s="299"/>
      <c r="P778" s="134"/>
      <c r="Q778" s="301"/>
      <c r="R778" s="134"/>
      <c r="S778" s="300"/>
      <c r="T778" s="132"/>
      <c r="U778" s="311"/>
      <c r="V778" s="132"/>
      <c r="W778" s="296"/>
      <c r="X778" s="296"/>
    </row>
    <row r="779" spans="1:24" s="306" customFormat="1" ht="15.75" x14ac:dyDescent="0.25">
      <c r="A779" s="142"/>
      <c r="B779" s="144"/>
      <c r="C779" s="303"/>
      <c r="D779" s="303"/>
      <c r="E779" s="303"/>
      <c r="F779" s="303"/>
      <c r="G779" s="303"/>
      <c r="H779" s="119"/>
      <c r="I779" s="303"/>
      <c r="J779" s="302"/>
      <c r="K779" s="303"/>
      <c r="L779" s="303"/>
      <c r="M779" s="119"/>
      <c r="N779" s="303"/>
      <c r="O779" s="302"/>
      <c r="P779" s="119"/>
      <c r="Q779" s="173"/>
      <c r="R779" s="119"/>
      <c r="S779" s="303"/>
      <c r="T779" s="117"/>
      <c r="U779" s="312"/>
      <c r="V779" s="117"/>
      <c r="W779" s="296"/>
      <c r="X779" s="296"/>
    </row>
    <row r="780" spans="1:24" ht="15.75" x14ac:dyDescent="0.25">
      <c r="A780" s="142"/>
      <c r="B780" s="145"/>
      <c r="C780" s="305"/>
      <c r="D780" s="305"/>
      <c r="E780" s="305"/>
      <c r="F780" s="305"/>
      <c r="G780" s="305"/>
      <c r="H780" s="122"/>
      <c r="I780" s="305"/>
      <c r="J780" s="304"/>
      <c r="K780" s="305"/>
      <c r="L780" s="305"/>
      <c r="M780" s="122"/>
      <c r="N780" s="305"/>
      <c r="O780" s="304"/>
      <c r="P780" s="122"/>
      <c r="Q780" s="253"/>
      <c r="R780" s="122"/>
      <c r="S780" s="305"/>
      <c r="T780" s="120"/>
      <c r="U780" s="313"/>
      <c r="V780" s="120"/>
      <c r="W780" s="296"/>
      <c r="X780" s="296"/>
    </row>
    <row r="781" spans="1:24" ht="15.75" x14ac:dyDescent="0.25">
      <c r="A781" s="142"/>
      <c r="B781" s="143"/>
      <c r="C781" s="300"/>
      <c r="D781" s="300"/>
      <c r="E781" s="300"/>
      <c r="F781" s="300"/>
      <c r="G781" s="300"/>
      <c r="H781" s="134"/>
      <c r="I781" s="300"/>
      <c r="J781" s="299"/>
      <c r="K781" s="300"/>
      <c r="L781" s="300"/>
      <c r="M781" s="134"/>
      <c r="N781" s="300"/>
      <c r="O781" s="299"/>
      <c r="P781" s="134"/>
      <c r="Q781" s="301"/>
      <c r="R781" s="134"/>
      <c r="S781" s="300"/>
      <c r="T781" s="132"/>
      <c r="U781" s="311"/>
      <c r="V781" s="132"/>
      <c r="W781" s="296"/>
      <c r="X781" s="296"/>
    </row>
    <row r="782" spans="1:24" s="306" customFormat="1" ht="15.75" x14ac:dyDescent="0.25">
      <c r="A782" s="142"/>
      <c r="B782" s="144"/>
      <c r="C782" s="303"/>
      <c r="D782" s="303"/>
      <c r="E782" s="303"/>
      <c r="F782" s="303"/>
      <c r="G782" s="303"/>
      <c r="H782" s="119"/>
      <c r="I782" s="303"/>
      <c r="J782" s="302"/>
      <c r="K782" s="303"/>
      <c r="L782" s="303"/>
      <c r="M782" s="119"/>
      <c r="N782" s="303"/>
      <c r="O782" s="302"/>
      <c r="P782" s="119"/>
      <c r="Q782" s="173"/>
      <c r="R782" s="119"/>
      <c r="S782" s="303"/>
      <c r="T782" s="117"/>
      <c r="U782" s="312"/>
      <c r="V782" s="117"/>
      <c r="W782" s="296"/>
      <c r="X782" s="296"/>
    </row>
    <row r="783" spans="1:24" ht="15.75" x14ac:dyDescent="0.25">
      <c r="A783" s="142"/>
      <c r="B783" s="145"/>
      <c r="C783" s="305"/>
      <c r="D783" s="305"/>
      <c r="E783" s="305"/>
      <c r="F783" s="305"/>
      <c r="G783" s="305"/>
      <c r="H783" s="122"/>
      <c r="I783" s="305"/>
      <c r="J783" s="304"/>
      <c r="K783" s="305"/>
      <c r="L783" s="305"/>
      <c r="M783" s="122"/>
      <c r="N783" s="305"/>
      <c r="O783" s="304"/>
      <c r="P783" s="122"/>
      <c r="Q783" s="253"/>
      <c r="R783" s="122"/>
      <c r="S783" s="305"/>
      <c r="T783" s="120"/>
      <c r="U783" s="313"/>
      <c r="V783" s="120"/>
      <c r="W783" s="296"/>
      <c r="X783" s="296"/>
    </row>
    <row r="784" spans="1:24" ht="15.75" x14ac:dyDescent="0.25">
      <c r="A784" s="142"/>
      <c r="B784" s="143"/>
      <c r="C784" s="300"/>
      <c r="D784" s="300"/>
      <c r="E784" s="300"/>
      <c r="F784" s="300"/>
      <c r="G784" s="300"/>
      <c r="H784" s="134"/>
      <c r="I784" s="300"/>
      <c r="J784" s="299"/>
      <c r="K784" s="300"/>
      <c r="L784" s="300"/>
      <c r="M784" s="134"/>
      <c r="N784" s="300"/>
      <c r="O784" s="299"/>
      <c r="P784" s="134"/>
      <c r="Q784" s="301"/>
      <c r="R784" s="134"/>
      <c r="S784" s="300"/>
      <c r="T784" s="132"/>
      <c r="U784" s="311"/>
      <c r="V784" s="132"/>
      <c r="W784" s="296"/>
      <c r="X784" s="296"/>
    </row>
    <row r="785" spans="1:24" s="306" customFormat="1" ht="15.75" x14ac:dyDescent="0.25">
      <c r="A785" s="142"/>
      <c r="B785" s="144"/>
      <c r="C785" s="303"/>
      <c r="D785" s="303"/>
      <c r="E785" s="303"/>
      <c r="F785" s="303"/>
      <c r="G785" s="303"/>
      <c r="H785" s="119"/>
      <c r="I785" s="303"/>
      <c r="J785" s="302"/>
      <c r="K785" s="303"/>
      <c r="L785" s="303"/>
      <c r="M785" s="119"/>
      <c r="N785" s="303"/>
      <c r="O785" s="302"/>
      <c r="P785" s="119"/>
      <c r="Q785" s="173"/>
      <c r="R785" s="119"/>
      <c r="S785" s="303"/>
      <c r="T785" s="117"/>
      <c r="U785" s="312"/>
      <c r="V785" s="117"/>
      <c r="W785" s="296"/>
      <c r="X785" s="296"/>
    </row>
    <row r="786" spans="1:24" ht="15.75" x14ac:dyDescent="0.25">
      <c r="A786" s="142"/>
      <c r="B786" s="145"/>
      <c r="C786" s="305"/>
      <c r="D786" s="305"/>
      <c r="E786" s="305"/>
      <c r="F786" s="305"/>
      <c r="G786" s="305"/>
      <c r="H786" s="122"/>
      <c r="I786" s="305"/>
      <c r="J786" s="304"/>
      <c r="K786" s="305"/>
      <c r="L786" s="305"/>
      <c r="M786" s="122"/>
      <c r="N786" s="305"/>
      <c r="O786" s="304"/>
      <c r="P786" s="122"/>
      <c r="Q786" s="253"/>
      <c r="R786" s="122"/>
      <c r="S786" s="305"/>
      <c r="T786" s="120"/>
      <c r="U786" s="313"/>
      <c r="V786" s="120"/>
      <c r="W786" s="296"/>
      <c r="X786" s="296"/>
    </row>
    <row r="787" spans="1:24" ht="15.75" x14ac:dyDescent="0.25">
      <c r="A787" s="142"/>
      <c r="B787" s="143"/>
      <c r="C787" s="300"/>
      <c r="D787" s="300"/>
      <c r="E787" s="300"/>
      <c r="F787" s="300"/>
      <c r="G787" s="300"/>
      <c r="H787" s="134"/>
      <c r="I787" s="300"/>
      <c r="J787" s="299"/>
      <c r="K787" s="300"/>
      <c r="L787" s="300"/>
      <c r="M787" s="134"/>
      <c r="N787" s="300"/>
      <c r="O787" s="299"/>
      <c r="P787" s="134"/>
      <c r="Q787" s="301"/>
      <c r="R787" s="134"/>
      <c r="S787" s="300"/>
      <c r="T787" s="132"/>
      <c r="U787" s="311"/>
      <c r="V787" s="132"/>
      <c r="W787" s="296"/>
      <c r="X787" s="296"/>
    </row>
    <row r="788" spans="1:24" s="306" customFormat="1" ht="15.75" x14ac:dyDescent="0.25">
      <c r="A788" s="142"/>
      <c r="B788" s="144"/>
      <c r="C788" s="303"/>
      <c r="D788" s="303"/>
      <c r="E788" s="303"/>
      <c r="F788" s="303"/>
      <c r="G788" s="303"/>
      <c r="H788" s="119"/>
      <c r="I788" s="303"/>
      <c r="J788" s="302"/>
      <c r="K788" s="303"/>
      <c r="L788" s="303"/>
      <c r="M788" s="119"/>
      <c r="N788" s="303"/>
      <c r="O788" s="302"/>
      <c r="P788" s="119"/>
      <c r="Q788" s="173"/>
      <c r="R788" s="119"/>
      <c r="S788" s="303"/>
      <c r="T788" s="117"/>
      <c r="U788" s="312"/>
      <c r="V788" s="117"/>
      <c r="W788" s="296"/>
      <c r="X788" s="296"/>
    </row>
    <row r="789" spans="1:24" ht="15.75" x14ac:dyDescent="0.25">
      <c r="A789" s="142"/>
      <c r="B789" s="145"/>
      <c r="C789" s="305"/>
      <c r="D789" s="305"/>
      <c r="E789" s="305"/>
      <c r="F789" s="305"/>
      <c r="G789" s="305"/>
      <c r="H789" s="122"/>
      <c r="I789" s="305"/>
      <c r="J789" s="304"/>
      <c r="K789" s="305"/>
      <c r="L789" s="305"/>
      <c r="M789" s="122"/>
      <c r="N789" s="305"/>
      <c r="O789" s="304"/>
      <c r="P789" s="122"/>
      <c r="Q789" s="253"/>
      <c r="R789" s="122"/>
      <c r="S789" s="305"/>
      <c r="T789" s="120"/>
      <c r="U789" s="313"/>
      <c r="V789" s="120"/>
      <c r="W789" s="296"/>
      <c r="X789" s="296"/>
    </row>
    <row r="790" spans="1:24" ht="15.75" x14ac:dyDescent="0.25">
      <c r="A790" s="142"/>
      <c r="B790" s="143"/>
      <c r="C790" s="300"/>
      <c r="D790" s="300"/>
      <c r="E790" s="300"/>
      <c r="F790" s="300"/>
      <c r="G790" s="300"/>
      <c r="H790" s="134"/>
      <c r="I790" s="300"/>
      <c r="J790" s="299"/>
      <c r="K790" s="300"/>
      <c r="L790" s="300"/>
      <c r="M790" s="134"/>
      <c r="N790" s="300"/>
      <c r="O790" s="299"/>
      <c r="P790" s="134"/>
      <c r="Q790" s="301"/>
      <c r="R790" s="134"/>
      <c r="S790" s="300"/>
      <c r="T790" s="132"/>
      <c r="U790" s="311"/>
      <c r="V790" s="132"/>
      <c r="W790" s="296"/>
      <c r="X790" s="296"/>
    </row>
    <row r="791" spans="1:24" s="306" customFormat="1" ht="15.75" x14ac:dyDescent="0.25">
      <c r="A791" s="142"/>
      <c r="B791" s="144"/>
      <c r="C791" s="303"/>
      <c r="D791" s="303"/>
      <c r="E791" s="303"/>
      <c r="F791" s="303"/>
      <c r="G791" s="303"/>
      <c r="H791" s="119"/>
      <c r="I791" s="303"/>
      <c r="J791" s="302"/>
      <c r="K791" s="303"/>
      <c r="L791" s="303"/>
      <c r="M791" s="119"/>
      <c r="N791" s="303"/>
      <c r="O791" s="302"/>
      <c r="P791" s="119"/>
      <c r="Q791" s="173"/>
      <c r="R791" s="119"/>
      <c r="S791" s="303"/>
      <c r="T791" s="117"/>
      <c r="U791" s="312"/>
      <c r="V791" s="117"/>
      <c r="W791" s="296"/>
      <c r="X791" s="296"/>
    </row>
    <row r="792" spans="1:24" ht="15.75" x14ac:dyDescent="0.25">
      <c r="A792" s="142"/>
      <c r="B792" s="145"/>
      <c r="C792" s="305"/>
      <c r="D792" s="305"/>
      <c r="E792" s="305"/>
      <c r="F792" s="305"/>
      <c r="G792" s="305"/>
      <c r="H792" s="122"/>
      <c r="I792" s="305"/>
      <c r="J792" s="304"/>
      <c r="K792" s="305"/>
      <c r="L792" s="305"/>
      <c r="M792" s="122"/>
      <c r="N792" s="305"/>
      <c r="O792" s="304"/>
      <c r="P792" s="122"/>
      <c r="Q792" s="253"/>
      <c r="R792" s="122"/>
      <c r="S792" s="305"/>
      <c r="T792" s="120"/>
      <c r="U792" s="313"/>
      <c r="V792" s="120"/>
      <c r="W792" s="296"/>
      <c r="X792" s="296"/>
    </row>
    <row r="793" spans="1:24" ht="15.75" x14ac:dyDescent="0.25">
      <c r="A793" s="142"/>
      <c r="B793" s="143"/>
      <c r="C793" s="300"/>
      <c r="D793" s="300"/>
      <c r="E793" s="300"/>
      <c r="F793" s="300"/>
      <c r="G793" s="300"/>
      <c r="H793" s="134"/>
      <c r="I793" s="300"/>
      <c r="J793" s="299"/>
      <c r="K793" s="300"/>
      <c r="L793" s="300"/>
      <c r="M793" s="134"/>
      <c r="N793" s="300"/>
      <c r="O793" s="299"/>
      <c r="P793" s="134"/>
      <c r="Q793" s="301"/>
      <c r="R793" s="134"/>
      <c r="S793" s="300"/>
      <c r="T793" s="132"/>
      <c r="U793" s="311"/>
      <c r="V793" s="132"/>
      <c r="W793" s="296"/>
      <c r="X793" s="296"/>
    </row>
    <row r="794" spans="1:24" s="306" customFormat="1" ht="15.75" x14ac:dyDescent="0.25">
      <c r="A794" s="142"/>
      <c r="B794" s="144"/>
      <c r="C794" s="303"/>
      <c r="D794" s="303"/>
      <c r="E794" s="303"/>
      <c r="F794" s="303"/>
      <c r="G794" s="303"/>
      <c r="H794" s="119"/>
      <c r="I794" s="303"/>
      <c r="J794" s="302"/>
      <c r="K794" s="303"/>
      <c r="L794" s="303"/>
      <c r="M794" s="119"/>
      <c r="N794" s="303"/>
      <c r="O794" s="302"/>
      <c r="P794" s="119"/>
      <c r="Q794" s="173"/>
      <c r="R794" s="119"/>
      <c r="S794" s="303"/>
      <c r="T794" s="117"/>
      <c r="U794" s="312"/>
      <c r="V794" s="117"/>
      <c r="W794" s="296"/>
      <c r="X794" s="296"/>
    </row>
    <row r="795" spans="1:24" ht="15.75" x14ac:dyDescent="0.25">
      <c r="A795" s="142"/>
      <c r="B795" s="145"/>
      <c r="C795" s="305"/>
      <c r="D795" s="305"/>
      <c r="E795" s="305"/>
      <c r="F795" s="305"/>
      <c r="G795" s="305"/>
      <c r="H795" s="122"/>
      <c r="I795" s="305"/>
      <c r="J795" s="304"/>
      <c r="K795" s="305"/>
      <c r="L795" s="305"/>
      <c r="M795" s="122"/>
      <c r="N795" s="305"/>
      <c r="O795" s="304"/>
      <c r="P795" s="122"/>
      <c r="Q795" s="253"/>
      <c r="R795" s="122"/>
      <c r="S795" s="305"/>
      <c r="T795" s="120"/>
      <c r="U795" s="313"/>
      <c r="V795" s="120"/>
      <c r="W795" s="296"/>
      <c r="X795" s="296"/>
    </row>
    <row r="796" spans="1:24" ht="15.75" x14ac:dyDescent="0.25">
      <c r="A796" s="142"/>
      <c r="B796" s="143"/>
      <c r="C796" s="300"/>
      <c r="D796" s="300"/>
      <c r="E796" s="300"/>
      <c r="F796" s="300"/>
      <c r="G796" s="300"/>
      <c r="H796" s="134"/>
      <c r="I796" s="300"/>
      <c r="J796" s="299"/>
      <c r="K796" s="300"/>
      <c r="L796" s="300"/>
      <c r="M796" s="134"/>
      <c r="N796" s="300"/>
      <c r="O796" s="299"/>
      <c r="P796" s="134"/>
      <c r="Q796" s="301"/>
      <c r="R796" s="134"/>
      <c r="S796" s="300"/>
      <c r="T796" s="132"/>
      <c r="U796" s="311"/>
      <c r="V796" s="132"/>
      <c r="W796" s="296"/>
      <c r="X796" s="296"/>
    </row>
    <row r="797" spans="1:24" s="306" customFormat="1" ht="15.75" x14ac:dyDescent="0.25">
      <c r="A797" s="142"/>
      <c r="B797" s="144"/>
      <c r="C797" s="303"/>
      <c r="D797" s="303"/>
      <c r="E797" s="303"/>
      <c r="F797" s="303"/>
      <c r="G797" s="303"/>
      <c r="H797" s="119"/>
      <c r="I797" s="303"/>
      <c r="J797" s="302"/>
      <c r="K797" s="303"/>
      <c r="L797" s="303"/>
      <c r="M797" s="119"/>
      <c r="N797" s="303"/>
      <c r="O797" s="302"/>
      <c r="P797" s="119"/>
      <c r="Q797" s="173"/>
      <c r="R797" s="119"/>
      <c r="S797" s="303"/>
      <c r="T797" s="117"/>
      <c r="U797" s="312"/>
      <c r="V797" s="117"/>
      <c r="W797" s="296"/>
      <c r="X797" s="296"/>
    </row>
    <row r="798" spans="1:24" ht="15.75" x14ac:dyDescent="0.25">
      <c r="A798" s="142"/>
      <c r="B798" s="145"/>
      <c r="C798" s="305"/>
      <c r="D798" s="305"/>
      <c r="E798" s="305"/>
      <c r="F798" s="305"/>
      <c r="G798" s="305"/>
      <c r="H798" s="122"/>
      <c r="I798" s="305"/>
      <c r="J798" s="304"/>
      <c r="K798" s="305"/>
      <c r="L798" s="305"/>
      <c r="M798" s="122"/>
      <c r="N798" s="305"/>
      <c r="O798" s="304"/>
      <c r="P798" s="122"/>
      <c r="Q798" s="253"/>
      <c r="R798" s="122"/>
      <c r="S798" s="305"/>
      <c r="T798" s="120"/>
      <c r="U798" s="313"/>
      <c r="V798" s="120"/>
      <c r="W798" s="296"/>
      <c r="X798" s="296"/>
    </row>
    <row r="799" spans="1:24" ht="15.75" x14ac:dyDescent="0.25">
      <c r="A799" s="142"/>
      <c r="B799" s="143"/>
      <c r="C799" s="300"/>
      <c r="D799" s="300"/>
      <c r="E799" s="300"/>
      <c r="F799" s="300"/>
      <c r="G799" s="300"/>
      <c r="H799" s="134"/>
      <c r="I799" s="300"/>
      <c r="J799" s="299"/>
      <c r="K799" s="300"/>
      <c r="L799" s="300"/>
      <c r="M799" s="134"/>
      <c r="N799" s="300"/>
      <c r="O799" s="299"/>
      <c r="P799" s="134"/>
      <c r="Q799" s="301"/>
      <c r="R799" s="134"/>
      <c r="S799" s="300"/>
      <c r="T799" s="132"/>
      <c r="U799" s="311"/>
      <c r="V799" s="132"/>
      <c r="W799" s="296"/>
      <c r="X799" s="296"/>
    </row>
    <row r="800" spans="1:24" s="306" customFormat="1" ht="15.75" x14ac:dyDescent="0.25">
      <c r="A800" s="294"/>
      <c r="B800" s="144"/>
      <c r="C800" s="303"/>
      <c r="D800" s="303"/>
      <c r="E800" s="303"/>
      <c r="F800" s="303"/>
      <c r="G800" s="303"/>
      <c r="H800" s="119"/>
      <c r="I800" s="303"/>
      <c r="J800" s="302"/>
      <c r="K800" s="303"/>
      <c r="L800" s="303"/>
      <c r="M800" s="119"/>
      <c r="N800" s="303"/>
      <c r="O800" s="302"/>
      <c r="P800" s="119"/>
      <c r="Q800" s="173"/>
      <c r="R800" s="119"/>
      <c r="S800" s="303"/>
      <c r="T800" s="117"/>
      <c r="U800" s="312"/>
      <c r="V800" s="117"/>
      <c r="W800" s="296"/>
      <c r="X800" s="296"/>
    </row>
    <row r="801" spans="1:24" ht="15.75" x14ac:dyDescent="0.25">
      <c r="A801" s="141"/>
      <c r="B801" s="143"/>
      <c r="C801" s="300"/>
      <c r="D801" s="300"/>
      <c r="E801" s="300"/>
      <c r="F801" s="300"/>
      <c r="G801" s="300"/>
      <c r="H801" s="134"/>
      <c r="I801" s="300"/>
      <c r="J801" s="299"/>
      <c r="K801" s="300"/>
      <c r="L801" s="300"/>
      <c r="M801" s="134"/>
      <c r="N801" s="300"/>
      <c r="O801" s="299"/>
      <c r="P801" s="134"/>
      <c r="Q801" s="301"/>
      <c r="R801" s="134"/>
      <c r="S801" s="300"/>
      <c r="T801" s="132"/>
      <c r="U801" s="311"/>
      <c r="V801" s="132"/>
      <c r="W801" s="296"/>
      <c r="X801" s="296"/>
    </row>
    <row r="802" spans="1:24" ht="16.5" thickBot="1" x14ac:dyDescent="0.3">
      <c r="A802" s="142"/>
      <c r="B802" s="144"/>
      <c r="C802" s="303"/>
      <c r="D802" s="303"/>
      <c r="E802" s="303"/>
      <c r="F802" s="303"/>
      <c r="G802" s="303"/>
      <c r="H802" s="119"/>
      <c r="I802" s="303"/>
      <c r="J802" s="302"/>
      <c r="K802" s="303"/>
      <c r="L802" s="303"/>
      <c r="M802" s="119"/>
      <c r="N802" s="303"/>
      <c r="O802" s="302"/>
      <c r="P802" s="119"/>
      <c r="Q802" s="173"/>
      <c r="R802" s="119"/>
      <c r="S802" s="303"/>
      <c r="T802" s="117"/>
      <c r="U802" s="312"/>
      <c r="V802" s="117"/>
      <c r="W802" s="296"/>
      <c r="X802" s="296"/>
    </row>
    <row r="803" spans="1:24" s="306" customFormat="1" ht="16.5" thickBot="1" x14ac:dyDescent="0.3">
      <c r="A803" s="142"/>
      <c r="B803" s="145"/>
      <c r="C803" s="305"/>
      <c r="D803" s="305"/>
      <c r="E803" s="305"/>
      <c r="F803" s="305"/>
      <c r="G803" s="305"/>
      <c r="H803" s="122"/>
      <c r="I803" s="305"/>
      <c r="J803" s="304"/>
      <c r="K803" s="305"/>
      <c r="L803" s="724"/>
      <c r="M803" s="724"/>
      <c r="N803" s="305"/>
      <c r="O803" s="304"/>
      <c r="P803" s="122"/>
      <c r="Q803" s="253"/>
      <c r="R803" s="122"/>
      <c r="S803" s="305"/>
      <c r="T803" s="120"/>
      <c r="U803" s="313"/>
      <c r="V803" s="120"/>
      <c r="W803" s="296"/>
      <c r="X803" s="296"/>
    </row>
    <row r="804" spans="1:24" ht="15.75" x14ac:dyDescent="0.25">
      <c r="A804" s="142"/>
      <c r="B804" s="143"/>
      <c r="C804" s="300"/>
      <c r="D804" s="300"/>
      <c r="E804" s="300"/>
      <c r="F804" s="300"/>
      <c r="G804" s="300"/>
      <c r="H804" s="134"/>
      <c r="I804" s="300"/>
      <c r="J804" s="299"/>
      <c r="K804" s="300"/>
      <c r="L804" s="300"/>
      <c r="M804" s="134"/>
      <c r="N804" s="300"/>
      <c r="O804" s="299"/>
      <c r="P804" s="134"/>
      <c r="Q804" s="301"/>
      <c r="R804" s="134"/>
      <c r="S804" s="300"/>
      <c r="T804" s="132"/>
      <c r="U804" s="311"/>
      <c r="V804" s="132"/>
      <c r="W804" s="296"/>
      <c r="X804" s="296"/>
    </row>
    <row r="805" spans="1:24" ht="15.75" x14ac:dyDescent="0.25">
      <c r="A805" s="142"/>
      <c r="B805" s="144"/>
      <c r="C805" s="303"/>
      <c r="D805" s="303"/>
      <c r="E805" s="303"/>
      <c r="F805" s="303"/>
      <c r="G805" s="303"/>
      <c r="H805" s="119"/>
      <c r="I805" s="303"/>
      <c r="J805" s="302"/>
      <c r="K805" s="303"/>
      <c r="L805" s="303"/>
      <c r="M805" s="119"/>
      <c r="N805" s="303"/>
      <c r="O805" s="302"/>
      <c r="P805" s="119"/>
      <c r="Q805" s="173"/>
      <c r="R805" s="119"/>
      <c r="S805" s="303"/>
      <c r="T805" s="117"/>
      <c r="U805" s="312"/>
      <c r="V805" s="117"/>
      <c r="W805" s="296"/>
      <c r="X805" s="296"/>
    </row>
    <row r="806" spans="1:24" s="306" customFormat="1" ht="15.75" x14ac:dyDescent="0.25">
      <c r="A806" s="142"/>
      <c r="B806" s="145"/>
      <c r="C806" s="305"/>
      <c r="D806" s="305"/>
      <c r="E806" s="305"/>
      <c r="F806" s="305"/>
      <c r="G806" s="305"/>
      <c r="H806" s="122"/>
      <c r="I806" s="305"/>
      <c r="J806" s="304"/>
      <c r="K806" s="305"/>
      <c r="L806" s="305"/>
      <c r="M806" s="122"/>
      <c r="N806" s="305"/>
      <c r="O806" s="304"/>
      <c r="P806" s="122"/>
      <c r="Q806" s="253"/>
      <c r="R806" s="122"/>
      <c r="S806" s="305"/>
      <c r="T806" s="120"/>
      <c r="U806" s="313"/>
      <c r="V806" s="120"/>
      <c r="W806" s="296"/>
      <c r="X806" s="296"/>
    </row>
    <row r="807" spans="1:24" ht="15.75" x14ac:dyDescent="0.25">
      <c r="A807" s="142"/>
      <c r="B807" s="143"/>
      <c r="C807" s="300"/>
      <c r="D807" s="300"/>
      <c r="E807" s="300"/>
      <c r="F807" s="300"/>
      <c r="G807" s="300"/>
      <c r="H807" s="134"/>
      <c r="I807" s="300"/>
      <c r="J807" s="299"/>
      <c r="K807" s="300"/>
      <c r="L807" s="300"/>
      <c r="M807" s="134"/>
      <c r="N807" s="300"/>
      <c r="O807" s="299"/>
      <c r="P807" s="134"/>
      <c r="Q807" s="301"/>
      <c r="R807" s="134"/>
      <c r="S807" s="300"/>
      <c r="T807" s="132"/>
      <c r="U807" s="311"/>
      <c r="V807" s="132"/>
      <c r="W807" s="296"/>
      <c r="X807" s="296"/>
    </row>
    <row r="808" spans="1:24" ht="16.5" thickBot="1" x14ac:dyDescent="0.3">
      <c r="A808" s="142"/>
      <c r="B808" s="144"/>
      <c r="C808" s="303"/>
      <c r="D808" s="303"/>
      <c r="E808" s="303"/>
      <c r="F808" s="303"/>
      <c r="G808" s="303"/>
      <c r="H808" s="119"/>
      <c r="I808" s="303"/>
      <c r="J808" s="302"/>
      <c r="K808" s="303"/>
      <c r="L808" s="303"/>
      <c r="M808" s="119"/>
      <c r="N808" s="303"/>
      <c r="O808" s="302"/>
      <c r="P808" s="119"/>
      <c r="Q808" s="173"/>
      <c r="R808" s="119"/>
      <c r="S808" s="303"/>
      <c r="T808" s="117"/>
      <c r="U808" s="312"/>
      <c r="V808" s="117"/>
      <c r="W808" s="296"/>
      <c r="X808" s="296"/>
    </row>
    <row r="809" spans="1:24" s="306" customFormat="1" ht="16.5" thickBot="1" x14ac:dyDescent="0.3">
      <c r="A809" s="142"/>
      <c r="B809" s="145"/>
      <c r="C809" s="305"/>
      <c r="D809" s="305"/>
      <c r="E809" s="305"/>
      <c r="F809" s="305"/>
      <c r="G809" s="724"/>
      <c r="H809" s="724"/>
      <c r="I809" s="305"/>
      <c r="J809" s="724"/>
      <c r="K809" s="305"/>
      <c r="L809" s="305"/>
      <c r="M809" s="122"/>
      <c r="N809" s="305"/>
      <c r="O809" s="304"/>
      <c r="P809" s="122"/>
      <c r="Q809" s="253"/>
      <c r="R809" s="122"/>
      <c r="S809" s="305"/>
      <c r="T809" s="120"/>
      <c r="U809" s="313"/>
      <c r="V809" s="120"/>
      <c r="W809" s="296"/>
      <c r="X809" s="296"/>
    </row>
    <row r="810" spans="1:24" ht="15.75" x14ac:dyDescent="0.25">
      <c r="A810" s="142"/>
      <c r="B810" s="143"/>
      <c r="C810" s="300"/>
      <c r="D810" s="300"/>
      <c r="E810" s="300"/>
      <c r="F810" s="300"/>
      <c r="G810" s="300"/>
      <c r="H810" s="134"/>
      <c r="I810" s="300"/>
      <c r="J810" s="299"/>
      <c r="K810" s="300"/>
      <c r="L810" s="300"/>
      <c r="M810" s="134"/>
      <c r="N810" s="300"/>
      <c r="O810" s="299"/>
      <c r="P810" s="134"/>
      <c r="Q810" s="301"/>
      <c r="R810" s="134"/>
      <c r="S810" s="300"/>
      <c r="T810" s="132"/>
      <c r="U810" s="311"/>
      <c r="V810" s="132"/>
      <c r="W810" s="296"/>
      <c r="X810" s="296"/>
    </row>
    <row r="811" spans="1:24" ht="16.5" thickBot="1" x14ac:dyDescent="0.3">
      <c r="A811" s="142"/>
      <c r="B811" s="144"/>
      <c r="C811" s="303"/>
      <c r="D811" s="303"/>
      <c r="E811" s="303"/>
      <c r="F811" s="303"/>
      <c r="G811" s="303"/>
      <c r="H811" s="119"/>
      <c r="I811" s="303"/>
      <c r="J811" s="302"/>
      <c r="K811" s="303"/>
      <c r="L811" s="303"/>
      <c r="M811" s="119"/>
      <c r="N811" s="303"/>
      <c r="O811" s="302"/>
      <c r="P811" s="119"/>
      <c r="Q811" s="173"/>
      <c r="R811" s="119"/>
      <c r="S811" s="303"/>
      <c r="T811" s="117"/>
      <c r="U811" s="312"/>
      <c r="V811" s="117"/>
      <c r="W811" s="296"/>
      <c r="X811" s="296"/>
    </row>
    <row r="812" spans="1:24" s="306" customFormat="1" ht="16.5" thickBot="1" x14ac:dyDescent="0.3">
      <c r="A812" s="142"/>
      <c r="B812" s="145"/>
      <c r="C812" s="305"/>
      <c r="D812" s="305"/>
      <c r="E812" s="305"/>
      <c r="F812" s="305"/>
      <c r="G812" s="305"/>
      <c r="H812" s="122"/>
      <c r="I812" s="305"/>
      <c r="J812" s="724"/>
      <c r="K812" s="305"/>
      <c r="L812" s="305"/>
      <c r="M812" s="122"/>
      <c r="N812" s="305"/>
      <c r="O812" s="304"/>
      <c r="P812" s="122"/>
      <c r="Q812" s="253"/>
      <c r="R812" s="122"/>
      <c r="S812" s="305"/>
      <c r="T812" s="120"/>
      <c r="U812" s="313"/>
      <c r="V812" s="120"/>
      <c r="W812" s="296"/>
      <c r="X812" s="296"/>
    </row>
    <row r="813" spans="1:24" ht="15.75" x14ac:dyDescent="0.25">
      <c r="A813" s="142"/>
      <c r="B813" s="143"/>
      <c r="C813" s="300"/>
      <c r="D813" s="300"/>
      <c r="E813" s="300"/>
      <c r="F813" s="300"/>
      <c r="G813" s="300"/>
      <c r="H813" s="134"/>
      <c r="I813" s="300"/>
      <c r="J813" s="299"/>
      <c r="K813" s="300"/>
      <c r="L813" s="300"/>
      <c r="M813" s="134"/>
      <c r="N813" s="300"/>
      <c r="O813" s="299"/>
      <c r="P813" s="134"/>
      <c r="Q813" s="301"/>
      <c r="R813" s="134"/>
      <c r="S813" s="300"/>
      <c r="T813" s="132"/>
      <c r="U813" s="311"/>
      <c r="V813" s="132"/>
      <c r="W813" s="296"/>
      <c r="X813" s="296"/>
    </row>
    <row r="814" spans="1:24" ht="15.75" x14ac:dyDescent="0.25">
      <c r="A814" s="142"/>
      <c r="B814" s="144"/>
      <c r="C814" s="303"/>
      <c r="D814" s="303"/>
      <c r="E814" s="303"/>
      <c r="F814" s="303"/>
      <c r="G814" s="303"/>
      <c r="H814" s="119"/>
      <c r="I814" s="303"/>
      <c r="J814" s="302"/>
      <c r="K814" s="303"/>
      <c r="L814" s="303"/>
      <c r="M814" s="119"/>
      <c r="N814" s="303"/>
      <c r="O814" s="302"/>
      <c r="P814" s="119"/>
      <c r="Q814" s="173"/>
      <c r="R814" s="119"/>
      <c r="S814" s="303"/>
      <c r="T814" s="117"/>
      <c r="U814" s="312"/>
      <c r="V814" s="117"/>
      <c r="W814" s="296"/>
      <c r="X814" s="296"/>
    </row>
    <row r="815" spans="1:24" s="306" customFormat="1" ht="15.75" x14ac:dyDescent="0.25">
      <c r="A815" s="142"/>
      <c r="B815" s="145"/>
      <c r="C815" s="305"/>
      <c r="D815" s="305"/>
      <c r="E815" s="305"/>
      <c r="F815" s="305"/>
      <c r="G815" s="305"/>
      <c r="H815" s="122"/>
      <c r="I815" s="305"/>
      <c r="J815" s="304"/>
      <c r="K815" s="305"/>
      <c r="L815" s="305"/>
      <c r="M815" s="122"/>
      <c r="N815" s="305"/>
      <c r="O815" s="304"/>
      <c r="P815" s="122"/>
      <c r="Q815" s="253"/>
      <c r="R815" s="122"/>
      <c r="S815" s="305"/>
      <c r="T815" s="120"/>
      <c r="U815" s="313"/>
      <c r="V815" s="120"/>
      <c r="W815" s="296"/>
      <c r="X815" s="296"/>
    </row>
    <row r="816" spans="1:24" ht="15.75" x14ac:dyDescent="0.25">
      <c r="A816" s="142"/>
      <c r="B816" s="143"/>
      <c r="C816" s="300"/>
      <c r="D816" s="300"/>
      <c r="E816" s="300"/>
      <c r="F816" s="300"/>
      <c r="G816" s="300"/>
      <c r="H816" s="134"/>
      <c r="I816" s="300"/>
      <c r="J816" s="299"/>
      <c r="K816" s="300"/>
      <c r="L816" s="300"/>
      <c r="M816" s="134"/>
      <c r="N816" s="300"/>
      <c r="O816" s="299"/>
      <c r="P816" s="134"/>
      <c r="Q816" s="301"/>
      <c r="R816" s="134"/>
      <c r="S816" s="300"/>
      <c r="T816" s="132"/>
      <c r="U816" s="311"/>
      <c r="V816" s="132"/>
      <c r="W816" s="296"/>
      <c r="X816" s="296"/>
    </row>
    <row r="817" spans="1:24" ht="16.5" thickBot="1" x14ac:dyDescent="0.3">
      <c r="A817" s="142"/>
      <c r="B817" s="144"/>
      <c r="C817" s="303"/>
      <c r="D817" s="303"/>
      <c r="E817" s="303"/>
      <c r="F817" s="303"/>
      <c r="G817" s="303"/>
      <c r="H817" s="119"/>
      <c r="I817" s="303"/>
      <c r="J817" s="302"/>
      <c r="K817" s="303"/>
      <c r="L817" s="303"/>
      <c r="M817" s="119"/>
      <c r="N817" s="303"/>
      <c r="O817" s="302"/>
      <c r="P817" s="119"/>
      <c r="Q817" s="173"/>
      <c r="R817" s="119"/>
      <c r="S817" s="303"/>
      <c r="T817" s="117"/>
      <c r="U817" s="312"/>
      <c r="V817" s="117"/>
      <c r="W817" s="296"/>
      <c r="X817" s="296"/>
    </row>
    <row r="818" spans="1:24" s="306" customFormat="1" ht="16.5" thickBot="1" x14ac:dyDescent="0.3">
      <c r="A818" s="142"/>
      <c r="B818" s="145"/>
      <c r="C818" s="305"/>
      <c r="D818" s="305"/>
      <c r="E818" s="305"/>
      <c r="F818" s="305"/>
      <c r="G818" s="724"/>
      <c r="H818" s="122"/>
      <c r="I818" s="305"/>
      <c r="J818" s="304"/>
      <c r="K818" s="305"/>
      <c r="L818" s="305"/>
      <c r="M818" s="122"/>
      <c r="N818" s="305"/>
      <c r="O818" s="304"/>
      <c r="P818" s="122"/>
      <c r="Q818" s="253"/>
      <c r="R818" s="122"/>
      <c r="S818" s="305"/>
      <c r="T818" s="120"/>
      <c r="U818" s="313"/>
      <c r="V818" s="120"/>
      <c r="W818" s="296"/>
      <c r="X818" s="296"/>
    </row>
    <row r="819" spans="1:24" ht="15.75" x14ac:dyDescent="0.25">
      <c r="A819" s="142"/>
      <c r="B819" s="143"/>
      <c r="C819" s="300"/>
      <c r="D819" s="300"/>
      <c r="E819" s="300"/>
      <c r="F819" s="300"/>
      <c r="G819" s="300"/>
      <c r="H819" s="134"/>
      <c r="I819" s="300"/>
      <c r="J819" s="299"/>
      <c r="K819" s="300"/>
      <c r="L819" s="300"/>
      <c r="M819" s="134"/>
      <c r="N819" s="300"/>
      <c r="O819" s="299"/>
      <c r="P819" s="134"/>
      <c r="Q819" s="301"/>
      <c r="R819" s="134"/>
      <c r="S819" s="300"/>
      <c r="T819" s="132"/>
      <c r="U819" s="311"/>
      <c r="V819" s="132"/>
      <c r="W819" s="296"/>
      <c r="X819" s="296"/>
    </row>
    <row r="820" spans="1:24" ht="15.75" x14ac:dyDescent="0.25">
      <c r="A820" s="142"/>
      <c r="B820" s="144"/>
      <c r="C820" s="303"/>
      <c r="D820" s="303"/>
      <c r="E820" s="303"/>
      <c r="F820" s="303"/>
      <c r="G820" s="303"/>
      <c r="H820" s="119"/>
      <c r="I820" s="303"/>
      <c r="J820" s="302"/>
      <c r="K820" s="303"/>
      <c r="L820" s="303"/>
      <c r="M820" s="119"/>
      <c r="N820" s="303"/>
      <c r="O820" s="302"/>
      <c r="P820" s="119"/>
      <c r="Q820" s="173"/>
      <c r="R820" s="119"/>
      <c r="S820" s="303"/>
      <c r="T820" s="117"/>
      <c r="U820" s="312"/>
      <c r="V820" s="117"/>
      <c r="W820" s="296"/>
      <c r="X820" s="296"/>
    </row>
    <row r="821" spans="1:24" s="306" customFormat="1" ht="15.75" x14ac:dyDescent="0.25">
      <c r="A821" s="142"/>
      <c r="B821" s="145"/>
      <c r="C821" s="305"/>
      <c r="D821" s="305"/>
      <c r="E821" s="305"/>
      <c r="F821" s="305"/>
      <c r="G821" s="305"/>
      <c r="H821" s="122"/>
      <c r="I821" s="305"/>
      <c r="J821" s="304"/>
      <c r="K821" s="305"/>
      <c r="L821" s="305"/>
      <c r="M821" s="122"/>
      <c r="N821" s="305"/>
      <c r="O821" s="304"/>
      <c r="P821" s="122"/>
      <c r="Q821" s="253"/>
      <c r="R821" s="122"/>
      <c r="S821" s="305"/>
      <c r="T821" s="120"/>
      <c r="U821" s="313"/>
      <c r="V821" s="120"/>
      <c r="W821" s="296"/>
      <c r="X821" s="296"/>
    </row>
    <row r="822" spans="1:24" ht="15.75" x14ac:dyDescent="0.25">
      <c r="A822" s="142"/>
      <c r="B822" s="143"/>
      <c r="C822" s="300"/>
      <c r="D822" s="300"/>
      <c r="E822" s="300"/>
      <c r="F822" s="300"/>
      <c r="G822" s="300"/>
      <c r="H822" s="134"/>
      <c r="I822" s="300"/>
      <c r="J822" s="299"/>
      <c r="K822" s="300"/>
      <c r="L822" s="300"/>
      <c r="M822" s="134"/>
      <c r="N822" s="300"/>
      <c r="O822" s="299"/>
      <c r="P822" s="134"/>
      <c r="Q822" s="301"/>
      <c r="R822" s="134"/>
      <c r="S822" s="300"/>
      <c r="T822" s="132"/>
      <c r="U822" s="311"/>
      <c r="V822" s="132"/>
      <c r="W822" s="296"/>
      <c r="X822" s="296"/>
    </row>
    <row r="823" spans="1:24" ht="15.75" x14ac:dyDescent="0.25">
      <c r="A823" s="142"/>
      <c r="B823" s="144"/>
      <c r="C823" s="303"/>
      <c r="D823" s="303"/>
      <c r="E823" s="303"/>
      <c r="F823" s="303"/>
      <c r="G823" s="303"/>
      <c r="H823" s="119"/>
      <c r="I823" s="303"/>
      <c r="J823" s="302"/>
      <c r="K823" s="303"/>
      <c r="L823" s="303"/>
      <c r="M823" s="119"/>
      <c r="N823" s="303"/>
      <c r="O823" s="302"/>
      <c r="P823" s="119"/>
      <c r="Q823" s="173"/>
      <c r="R823" s="119"/>
      <c r="S823" s="303"/>
      <c r="T823" s="117"/>
      <c r="U823" s="312"/>
      <c r="V823" s="117"/>
      <c r="W823" s="296"/>
      <c r="X823" s="296"/>
    </row>
    <row r="824" spans="1:24" s="306" customFormat="1" ht="15.75" x14ac:dyDescent="0.25">
      <c r="A824" s="142"/>
      <c r="B824" s="145"/>
      <c r="C824" s="305"/>
      <c r="D824" s="305"/>
      <c r="E824" s="305"/>
      <c r="F824" s="305"/>
      <c r="G824" s="305"/>
      <c r="H824" s="122"/>
      <c r="I824" s="305"/>
      <c r="J824" s="304"/>
      <c r="K824" s="305"/>
      <c r="L824" s="305"/>
      <c r="M824" s="122"/>
      <c r="N824" s="305"/>
      <c r="O824" s="304"/>
      <c r="P824" s="122"/>
      <c r="Q824" s="253"/>
      <c r="R824" s="122"/>
      <c r="S824" s="305"/>
      <c r="T824" s="120"/>
      <c r="U824" s="313"/>
      <c r="V824" s="120"/>
      <c r="W824" s="296"/>
      <c r="X824" s="296"/>
    </row>
    <row r="825" spans="1:24" ht="15.75" x14ac:dyDescent="0.25">
      <c r="A825" s="142"/>
      <c r="B825" s="143"/>
      <c r="C825" s="300"/>
      <c r="D825" s="300"/>
      <c r="E825" s="300"/>
      <c r="F825" s="300"/>
      <c r="G825" s="300"/>
      <c r="H825" s="134"/>
      <c r="I825" s="300"/>
      <c r="J825" s="299"/>
      <c r="K825" s="300"/>
      <c r="L825" s="300"/>
      <c r="M825" s="134"/>
      <c r="N825" s="300"/>
      <c r="O825" s="299"/>
      <c r="P825" s="134"/>
      <c r="Q825" s="301"/>
      <c r="R825" s="134"/>
      <c r="S825" s="300"/>
      <c r="T825" s="132"/>
      <c r="U825" s="311"/>
      <c r="V825" s="132"/>
      <c r="W825" s="296"/>
      <c r="X825" s="296"/>
    </row>
    <row r="826" spans="1:24" ht="15.75" x14ac:dyDescent="0.25">
      <c r="A826" s="142"/>
      <c r="B826" s="144"/>
      <c r="C826" s="303"/>
      <c r="D826" s="303"/>
      <c r="E826" s="303"/>
      <c r="F826" s="303"/>
      <c r="G826" s="303"/>
      <c r="H826" s="119"/>
      <c r="I826" s="303"/>
      <c r="J826" s="302"/>
      <c r="K826" s="303"/>
      <c r="L826" s="303"/>
      <c r="M826" s="119"/>
      <c r="N826" s="303"/>
      <c r="O826" s="302"/>
      <c r="P826" s="119"/>
      <c r="Q826" s="173"/>
      <c r="R826" s="119"/>
      <c r="S826" s="303"/>
      <c r="T826" s="117"/>
      <c r="U826" s="312"/>
      <c r="V826" s="117"/>
      <c r="W826" s="296"/>
      <c r="X826" s="296"/>
    </row>
    <row r="827" spans="1:24" s="306" customFormat="1" ht="15.75" x14ac:dyDescent="0.25">
      <c r="A827" s="142"/>
      <c r="B827" s="145"/>
      <c r="C827" s="305"/>
      <c r="D827" s="305"/>
      <c r="E827" s="305"/>
      <c r="F827" s="305"/>
      <c r="G827" s="305"/>
      <c r="H827" s="122"/>
      <c r="I827" s="305"/>
      <c r="J827" s="304"/>
      <c r="K827" s="305"/>
      <c r="L827" s="305"/>
      <c r="M827" s="122"/>
      <c r="N827" s="305"/>
      <c r="O827" s="304"/>
      <c r="P827" s="122"/>
      <c r="Q827" s="253"/>
      <c r="R827" s="122"/>
      <c r="S827" s="305"/>
      <c r="T827" s="120"/>
      <c r="U827" s="313"/>
      <c r="V827" s="120"/>
      <c r="W827" s="296"/>
      <c r="X827" s="296"/>
    </row>
    <row r="828" spans="1:24" ht="15.75" x14ac:dyDescent="0.25">
      <c r="A828" s="142"/>
      <c r="B828" s="143"/>
      <c r="C828" s="300"/>
      <c r="D828" s="300"/>
      <c r="E828" s="300"/>
      <c r="F828" s="300"/>
      <c r="G828" s="300"/>
      <c r="H828" s="134"/>
      <c r="I828" s="300"/>
      <c r="J828" s="299"/>
      <c r="K828" s="300"/>
      <c r="L828" s="300"/>
      <c r="M828" s="134"/>
      <c r="N828" s="300"/>
      <c r="O828" s="299"/>
      <c r="P828" s="134"/>
      <c r="Q828" s="301"/>
      <c r="R828" s="134"/>
      <c r="S828" s="300"/>
      <c r="T828" s="132"/>
      <c r="U828" s="311"/>
      <c r="V828" s="132"/>
      <c r="W828" s="296"/>
      <c r="X828" s="296"/>
    </row>
    <row r="829" spans="1:24" ht="15.75" x14ac:dyDescent="0.25">
      <c r="A829" s="142"/>
      <c r="B829" s="144"/>
      <c r="C829" s="303"/>
      <c r="D829" s="303"/>
      <c r="E829" s="303"/>
      <c r="F829" s="303"/>
      <c r="G829" s="303"/>
      <c r="H829" s="119"/>
      <c r="I829" s="303"/>
      <c r="J829" s="302"/>
      <c r="K829" s="303"/>
      <c r="L829" s="303"/>
      <c r="M829" s="119"/>
      <c r="N829" s="303"/>
      <c r="O829" s="302"/>
      <c r="P829" s="119"/>
      <c r="Q829" s="173"/>
      <c r="R829" s="119"/>
      <c r="S829" s="303"/>
      <c r="T829" s="117"/>
      <c r="U829" s="312"/>
      <c r="V829" s="117"/>
      <c r="W829" s="296"/>
      <c r="X829" s="296"/>
    </row>
    <row r="830" spans="1:24" s="306" customFormat="1" ht="15.75" x14ac:dyDescent="0.25">
      <c r="A830" s="142"/>
      <c r="B830" s="145"/>
      <c r="C830" s="305"/>
      <c r="D830" s="305"/>
      <c r="E830" s="305"/>
      <c r="F830" s="305"/>
      <c r="G830" s="305"/>
      <c r="H830" s="122"/>
      <c r="I830" s="305"/>
      <c r="J830" s="304"/>
      <c r="K830" s="305"/>
      <c r="L830" s="305"/>
      <c r="M830" s="122"/>
      <c r="N830" s="305"/>
      <c r="O830" s="304"/>
      <c r="P830" s="122"/>
      <c r="Q830" s="253"/>
      <c r="R830" s="122"/>
      <c r="S830" s="305"/>
      <c r="T830" s="120"/>
      <c r="U830" s="313"/>
      <c r="V830" s="120"/>
      <c r="W830" s="296"/>
      <c r="X830" s="296"/>
    </row>
    <row r="831" spans="1:24" ht="15.75" x14ac:dyDescent="0.25">
      <c r="A831" s="142"/>
      <c r="B831" s="143"/>
      <c r="C831" s="300"/>
      <c r="D831" s="300"/>
      <c r="E831" s="300"/>
      <c r="F831" s="300"/>
      <c r="G831" s="300"/>
      <c r="H831" s="134"/>
      <c r="I831" s="300"/>
      <c r="J831" s="299"/>
      <c r="K831" s="300"/>
      <c r="L831" s="300"/>
      <c r="M831" s="134"/>
      <c r="N831" s="300"/>
      <c r="O831" s="299"/>
      <c r="P831" s="134"/>
      <c r="Q831" s="301"/>
      <c r="R831" s="134"/>
      <c r="S831" s="300"/>
      <c r="T831" s="132"/>
      <c r="U831" s="311"/>
      <c r="V831" s="132"/>
      <c r="W831" s="296"/>
      <c r="X831" s="296"/>
    </row>
    <row r="832" spans="1:24" ht="15.75" x14ac:dyDescent="0.25">
      <c r="A832" s="142"/>
      <c r="B832" s="144"/>
      <c r="C832" s="303"/>
      <c r="D832" s="303"/>
      <c r="E832" s="303"/>
      <c r="F832" s="303"/>
      <c r="G832" s="303"/>
      <c r="H832" s="119"/>
      <c r="I832" s="303"/>
      <c r="J832" s="302"/>
      <c r="K832" s="303"/>
      <c r="L832" s="303"/>
      <c r="M832" s="119"/>
      <c r="N832" s="303"/>
      <c r="O832" s="302"/>
      <c r="P832" s="119"/>
      <c r="Q832" s="173"/>
      <c r="R832" s="119"/>
      <c r="S832" s="303"/>
      <c r="T832" s="117"/>
      <c r="U832" s="312"/>
      <c r="V832" s="117"/>
      <c r="W832" s="296"/>
      <c r="X832" s="296"/>
    </row>
    <row r="833" spans="1:24" s="306" customFormat="1" ht="15.75" x14ac:dyDescent="0.25">
      <c r="A833" s="142"/>
      <c r="B833" s="145"/>
      <c r="C833" s="305"/>
      <c r="D833" s="305"/>
      <c r="E833" s="305"/>
      <c r="F833" s="305"/>
      <c r="G833" s="305"/>
      <c r="H833" s="122"/>
      <c r="I833" s="305"/>
      <c r="J833" s="304"/>
      <c r="K833" s="305"/>
      <c r="L833" s="305"/>
      <c r="M833" s="122"/>
      <c r="N833" s="305"/>
      <c r="O833" s="304"/>
      <c r="P833" s="122"/>
      <c r="Q833" s="253"/>
      <c r="R833" s="122"/>
      <c r="S833" s="305"/>
      <c r="T833" s="120"/>
      <c r="U833" s="313"/>
      <c r="V833" s="120"/>
      <c r="W833" s="296"/>
      <c r="X833" s="296"/>
    </row>
    <row r="834" spans="1:24" ht="15.75" x14ac:dyDescent="0.25">
      <c r="A834" s="142"/>
      <c r="B834" s="143"/>
      <c r="C834" s="300"/>
      <c r="D834" s="300"/>
      <c r="E834" s="300"/>
      <c r="F834" s="300"/>
      <c r="G834" s="300"/>
      <c r="H834" s="134"/>
      <c r="I834" s="300"/>
      <c r="J834" s="299"/>
      <c r="K834" s="300"/>
      <c r="L834" s="300"/>
      <c r="M834" s="134"/>
      <c r="N834" s="300"/>
      <c r="O834" s="299"/>
      <c r="P834" s="134"/>
      <c r="Q834" s="301"/>
      <c r="R834" s="134"/>
      <c r="S834" s="300"/>
      <c r="T834" s="132"/>
      <c r="U834" s="311"/>
      <c r="V834" s="132"/>
      <c r="W834" s="296"/>
      <c r="X834" s="296"/>
    </row>
    <row r="835" spans="1:24" ht="15.75" x14ac:dyDescent="0.25">
      <c r="A835" s="142"/>
      <c r="B835" s="144"/>
      <c r="C835" s="303"/>
      <c r="D835" s="303"/>
      <c r="E835" s="303"/>
      <c r="F835" s="303"/>
      <c r="G835" s="303"/>
      <c r="H835" s="119"/>
      <c r="I835" s="303"/>
      <c r="J835" s="302"/>
      <c r="K835" s="303"/>
      <c r="L835" s="303"/>
      <c r="M835" s="119"/>
      <c r="N835" s="303"/>
      <c r="O835" s="302"/>
      <c r="P835" s="119"/>
      <c r="Q835" s="173"/>
      <c r="R835" s="119"/>
      <c r="S835" s="303"/>
      <c r="T835" s="117"/>
      <c r="U835" s="312"/>
      <c r="V835" s="117"/>
      <c r="W835" s="296"/>
      <c r="X835" s="296"/>
    </row>
    <row r="836" spans="1:24" s="306" customFormat="1" ht="15.75" x14ac:dyDescent="0.25">
      <c r="A836" s="142"/>
      <c r="B836" s="145"/>
      <c r="C836" s="305"/>
      <c r="D836" s="305"/>
      <c r="E836" s="305"/>
      <c r="F836" s="305"/>
      <c r="G836" s="305"/>
      <c r="H836" s="122"/>
      <c r="I836" s="305"/>
      <c r="J836" s="304"/>
      <c r="K836" s="305"/>
      <c r="L836" s="305"/>
      <c r="M836" s="122"/>
      <c r="N836" s="305"/>
      <c r="O836" s="304"/>
      <c r="P836" s="122"/>
      <c r="Q836" s="253"/>
      <c r="R836" s="122"/>
      <c r="S836" s="305"/>
      <c r="T836" s="120"/>
      <c r="U836" s="313"/>
      <c r="V836" s="120"/>
      <c r="W836" s="296"/>
      <c r="X836" s="296"/>
    </row>
    <row r="837" spans="1:24" ht="15.75" x14ac:dyDescent="0.25">
      <c r="A837" s="142"/>
      <c r="B837" s="143"/>
      <c r="C837" s="300"/>
      <c r="D837" s="300"/>
      <c r="E837" s="300"/>
      <c r="F837" s="300"/>
      <c r="G837" s="300"/>
      <c r="H837" s="134"/>
      <c r="I837" s="300"/>
      <c r="J837" s="299"/>
      <c r="K837" s="300"/>
      <c r="L837" s="300"/>
      <c r="M837" s="134"/>
      <c r="N837" s="300"/>
      <c r="O837" s="299"/>
      <c r="P837" s="134"/>
      <c r="Q837" s="301"/>
      <c r="R837" s="134"/>
      <c r="S837" s="300"/>
      <c r="T837" s="132"/>
      <c r="U837" s="311"/>
      <c r="V837" s="132"/>
      <c r="W837" s="296"/>
      <c r="X837" s="296"/>
    </row>
    <row r="838" spans="1:24" ht="15.75" x14ac:dyDescent="0.25">
      <c r="A838" s="142"/>
      <c r="B838" s="144"/>
      <c r="C838" s="303"/>
      <c r="D838" s="303"/>
      <c r="E838" s="303"/>
      <c r="F838" s="303"/>
      <c r="G838" s="303"/>
      <c r="H838" s="119"/>
      <c r="I838" s="303"/>
      <c r="J838" s="302"/>
      <c r="K838" s="303"/>
      <c r="L838" s="303"/>
      <c r="M838" s="119"/>
      <c r="N838" s="303"/>
      <c r="O838" s="302"/>
      <c r="P838" s="119"/>
      <c r="Q838" s="173"/>
      <c r="R838" s="119"/>
      <c r="S838" s="303"/>
      <c r="T838" s="117"/>
      <c r="U838" s="312"/>
      <c r="V838" s="117"/>
      <c r="W838" s="296"/>
      <c r="X838" s="296"/>
    </row>
    <row r="839" spans="1:24" s="306" customFormat="1" ht="15.75" x14ac:dyDescent="0.25">
      <c r="A839" s="142"/>
      <c r="B839" s="145"/>
      <c r="C839" s="305"/>
      <c r="D839" s="305"/>
      <c r="E839" s="305"/>
      <c r="F839" s="305"/>
      <c r="G839" s="305"/>
      <c r="H839" s="122"/>
      <c r="I839" s="305"/>
      <c r="J839" s="304"/>
      <c r="K839" s="305"/>
      <c r="L839" s="305"/>
      <c r="M839" s="122"/>
      <c r="N839" s="305"/>
      <c r="O839" s="304"/>
      <c r="P839" s="122"/>
      <c r="Q839" s="253"/>
      <c r="R839" s="122"/>
      <c r="S839" s="305"/>
      <c r="T839" s="120"/>
      <c r="U839" s="313"/>
      <c r="V839" s="120"/>
      <c r="W839" s="296"/>
      <c r="X839" s="296"/>
    </row>
    <row r="840" spans="1:24" ht="15.75" x14ac:dyDescent="0.25">
      <c r="A840" s="142"/>
      <c r="B840" s="143"/>
      <c r="C840" s="300"/>
      <c r="D840" s="300"/>
      <c r="E840" s="300"/>
      <c r="F840" s="300"/>
      <c r="G840" s="300"/>
      <c r="H840" s="134"/>
      <c r="I840" s="300"/>
      <c r="J840" s="299"/>
      <c r="K840" s="300"/>
      <c r="L840" s="300"/>
      <c r="M840" s="134"/>
      <c r="N840" s="300"/>
      <c r="O840" s="299"/>
      <c r="P840" s="134"/>
      <c r="Q840" s="301"/>
      <c r="R840" s="134"/>
      <c r="S840" s="300"/>
      <c r="T840" s="132"/>
      <c r="U840" s="311"/>
      <c r="V840" s="132"/>
      <c r="W840" s="296"/>
      <c r="X840" s="296"/>
    </row>
    <row r="841" spans="1:24" ht="15.75" x14ac:dyDescent="0.25">
      <c r="A841" s="142"/>
      <c r="B841" s="144"/>
      <c r="C841" s="303"/>
      <c r="D841" s="303"/>
      <c r="E841" s="303"/>
      <c r="F841" s="303"/>
      <c r="G841" s="303"/>
      <c r="H841" s="119"/>
      <c r="I841" s="303"/>
      <c r="J841" s="302"/>
      <c r="K841" s="303"/>
      <c r="L841" s="303"/>
      <c r="M841" s="119"/>
      <c r="N841" s="303"/>
      <c r="O841" s="302"/>
      <c r="P841" s="119"/>
      <c r="Q841" s="173"/>
      <c r="R841" s="119"/>
      <c r="S841" s="303"/>
      <c r="T841" s="117"/>
      <c r="U841" s="312"/>
      <c r="V841" s="117"/>
      <c r="W841" s="296"/>
      <c r="X841" s="296"/>
    </row>
    <row r="842" spans="1:24" s="306" customFormat="1" ht="15.75" x14ac:dyDescent="0.25">
      <c r="A842" s="142"/>
      <c r="B842" s="145"/>
      <c r="C842" s="305"/>
      <c r="D842" s="305"/>
      <c r="E842" s="305"/>
      <c r="F842" s="305"/>
      <c r="G842" s="305"/>
      <c r="H842" s="122"/>
      <c r="I842" s="305"/>
      <c r="J842" s="304"/>
      <c r="K842" s="305"/>
      <c r="L842" s="305"/>
      <c r="M842" s="122"/>
      <c r="N842" s="305"/>
      <c r="O842" s="304"/>
      <c r="P842" s="122"/>
      <c r="Q842" s="253"/>
      <c r="R842" s="122"/>
      <c r="S842" s="305"/>
      <c r="T842" s="120"/>
      <c r="U842" s="313"/>
      <c r="V842" s="120"/>
      <c r="W842" s="296"/>
      <c r="X842" s="296"/>
    </row>
    <row r="843" spans="1:24" ht="15.75" x14ac:dyDescent="0.25">
      <c r="A843" s="142"/>
      <c r="B843" s="143"/>
      <c r="C843" s="300"/>
      <c r="D843" s="300"/>
      <c r="E843" s="300"/>
      <c r="F843" s="300"/>
      <c r="G843" s="300"/>
      <c r="H843" s="134"/>
      <c r="I843" s="300"/>
      <c r="J843" s="299"/>
      <c r="K843" s="300"/>
      <c r="L843" s="300"/>
      <c r="M843" s="134"/>
      <c r="N843" s="300"/>
      <c r="O843" s="299"/>
      <c r="P843" s="134"/>
      <c r="Q843" s="301"/>
      <c r="R843" s="134"/>
      <c r="S843" s="300"/>
      <c r="T843" s="132"/>
      <c r="U843" s="311"/>
      <c r="V843" s="132"/>
      <c r="W843" s="296"/>
      <c r="X843" s="296"/>
    </row>
    <row r="844" spans="1:24" ht="15.75" x14ac:dyDescent="0.25">
      <c r="A844" s="142"/>
      <c r="B844" s="144"/>
      <c r="C844" s="303"/>
      <c r="D844" s="303"/>
      <c r="E844" s="303"/>
      <c r="F844" s="303"/>
      <c r="G844" s="303"/>
      <c r="H844" s="119"/>
      <c r="I844" s="303"/>
      <c r="J844" s="302"/>
      <c r="K844" s="303"/>
      <c r="L844" s="303"/>
      <c r="M844" s="119"/>
      <c r="N844" s="303"/>
      <c r="O844" s="302"/>
      <c r="P844" s="119"/>
      <c r="Q844" s="173"/>
      <c r="R844" s="119"/>
      <c r="S844" s="303"/>
      <c r="T844" s="117"/>
      <c r="U844" s="312"/>
      <c r="V844" s="117"/>
      <c r="W844" s="296"/>
      <c r="X844" s="296"/>
    </row>
    <row r="845" spans="1:24" s="306" customFormat="1" ht="15.75" x14ac:dyDescent="0.25">
      <c r="A845" s="142"/>
      <c r="B845" s="145"/>
      <c r="C845" s="305"/>
      <c r="D845" s="305"/>
      <c r="E845" s="305"/>
      <c r="F845" s="305"/>
      <c r="G845" s="305"/>
      <c r="H845" s="122"/>
      <c r="I845" s="305"/>
      <c r="J845" s="304"/>
      <c r="K845" s="305"/>
      <c r="L845" s="305"/>
      <c r="M845" s="122"/>
      <c r="N845" s="305"/>
      <c r="O845" s="304"/>
      <c r="P845" s="122"/>
      <c r="Q845" s="253"/>
      <c r="R845" s="122"/>
      <c r="S845" s="305"/>
      <c r="T845" s="120"/>
      <c r="U845" s="313"/>
      <c r="V845" s="120"/>
      <c r="W845" s="296"/>
      <c r="X845" s="296"/>
    </row>
    <row r="846" spans="1:24" ht="15.75" x14ac:dyDescent="0.25">
      <c r="A846" s="142"/>
      <c r="B846" s="143"/>
      <c r="C846" s="300"/>
      <c r="D846" s="300"/>
      <c r="E846" s="300"/>
      <c r="F846" s="300"/>
      <c r="G846" s="300"/>
      <c r="H846" s="134"/>
      <c r="I846" s="300"/>
      <c r="J846" s="299"/>
      <c r="K846" s="300"/>
      <c r="L846" s="300"/>
      <c r="M846" s="134"/>
      <c r="N846" s="300"/>
      <c r="O846" s="299"/>
      <c r="P846" s="134"/>
      <c r="Q846" s="301"/>
      <c r="R846" s="134"/>
      <c r="S846" s="300"/>
      <c r="T846" s="132"/>
      <c r="U846" s="311"/>
      <c r="V846" s="132"/>
      <c r="W846" s="296"/>
      <c r="X846" s="296"/>
    </row>
    <row r="847" spans="1:24" ht="15.75" x14ac:dyDescent="0.25">
      <c r="A847" s="142"/>
      <c r="B847" s="144"/>
      <c r="C847" s="303"/>
      <c r="D847" s="303"/>
      <c r="E847" s="303"/>
      <c r="F847" s="303"/>
      <c r="G847" s="303"/>
      <c r="H847" s="119"/>
      <c r="I847" s="303"/>
      <c r="J847" s="302"/>
      <c r="K847" s="303"/>
      <c r="L847" s="303"/>
      <c r="M847" s="119"/>
      <c r="N847" s="303"/>
      <c r="O847" s="302"/>
      <c r="P847" s="119"/>
      <c r="Q847" s="173"/>
      <c r="R847" s="119"/>
      <c r="S847" s="303"/>
      <c r="T847" s="117"/>
      <c r="U847" s="312"/>
      <c r="V847" s="117"/>
      <c r="W847" s="296"/>
      <c r="X847" s="296"/>
    </row>
    <row r="848" spans="1:24" s="306" customFormat="1" ht="15.75" x14ac:dyDescent="0.25">
      <c r="A848" s="142"/>
      <c r="B848" s="145"/>
      <c r="C848" s="305"/>
      <c r="D848" s="305"/>
      <c r="E848" s="305"/>
      <c r="F848" s="305"/>
      <c r="G848" s="305"/>
      <c r="H848" s="122"/>
      <c r="I848" s="305"/>
      <c r="J848" s="304"/>
      <c r="K848" s="305"/>
      <c r="L848" s="305"/>
      <c r="M848" s="122"/>
      <c r="N848" s="305"/>
      <c r="O848" s="304"/>
      <c r="P848" s="122"/>
      <c r="Q848" s="253"/>
      <c r="R848" s="122"/>
      <c r="S848" s="305"/>
      <c r="T848" s="120"/>
      <c r="U848" s="313"/>
      <c r="V848" s="120"/>
      <c r="W848" s="296"/>
      <c r="X848" s="296"/>
    </row>
    <row r="849" spans="1:24" ht="15.75" x14ac:dyDescent="0.25">
      <c r="A849" s="142"/>
      <c r="B849" s="143"/>
      <c r="C849" s="300"/>
      <c r="D849" s="300"/>
      <c r="E849" s="300"/>
      <c r="F849" s="300"/>
      <c r="G849" s="300"/>
      <c r="H849" s="134"/>
      <c r="I849" s="300"/>
      <c r="J849" s="299"/>
      <c r="K849" s="300"/>
      <c r="L849" s="300"/>
      <c r="M849" s="134"/>
      <c r="N849" s="300"/>
      <c r="O849" s="299"/>
      <c r="P849" s="134"/>
      <c r="Q849" s="301"/>
      <c r="R849" s="134"/>
      <c r="S849" s="300"/>
      <c r="T849" s="132"/>
      <c r="U849" s="311"/>
      <c r="V849" s="132"/>
      <c r="W849" s="296"/>
      <c r="X849" s="296"/>
    </row>
    <row r="850" spans="1:24" ht="16.5" thickBot="1" x14ac:dyDescent="0.3">
      <c r="A850" s="142"/>
      <c r="B850" s="144"/>
      <c r="C850" s="303"/>
      <c r="D850" s="303"/>
      <c r="E850" s="786"/>
      <c r="F850" s="303"/>
      <c r="G850" s="303"/>
      <c r="H850" s="119"/>
      <c r="I850" s="303"/>
      <c r="J850" s="302"/>
      <c r="K850" s="303"/>
      <c r="L850" s="303"/>
      <c r="M850" s="119"/>
      <c r="N850" s="303"/>
      <c r="O850" s="302"/>
      <c r="P850" s="119"/>
      <c r="Q850" s="173"/>
      <c r="R850" s="119"/>
      <c r="S850" s="303"/>
      <c r="T850" s="117"/>
      <c r="U850" s="312"/>
      <c r="V850" s="117"/>
      <c r="W850" s="296"/>
      <c r="X850" s="296"/>
    </row>
    <row r="851" spans="1:24" s="306" customFormat="1" ht="16.5" thickBot="1" x14ac:dyDescent="0.3">
      <c r="A851" s="142"/>
      <c r="B851" s="145"/>
      <c r="C851" s="305"/>
      <c r="D851" s="788"/>
      <c r="E851" s="787"/>
      <c r="F851" s="305"/>
      <c r="G851" s="305"/>
      <c r="H851" s="122"/>
      <c r="I851" s="305"/>
      <c r="J851" s="304"/>
      <c r="K851" s="305"/>
      <c r="L851" s="305"/>
      <c r="M851" s="122"/>
      <c r="N851" s="305"/>
      <c r="O851" s="304"/>
      <c r="P851" s="122"/>
      <c r="Q851" s="253"/>
      <c r="R851" s="122"/>
      <c r="S851" s="305"/>
      <c r="T851" s="120"/>
      <c r="U851" s="313"/>
      <c r="V851" s="120"/>
      <c r="W851" s="296"/>
      <c r="X851" s="296"/>
    </row>
    <row r="852" spans="1:24" ht="15.75" x14ac:dyDescent="0.25">
      <c r="A852" s="142"/>
      <c r="B852" s="143"/>
      <c r="C852" s="300"/>
      <c r="D852" s="300"/>
      <c r="E852" s="303"/>
      <c r="F852" s="300"/>
      <c r="G852" s="300"/>
      <c r="H852" s="134"/>
      <c r="I852" s="300"/>
      <c r="J852" s="299"/>
      <c r="K852" s="300"/>
      <c r="L852" s="300"/>
      <c r="M852" s="134"/>
      <c r="N852" s="300"/>
      <c r="O852" s="299"/>
      <c r="P852" s="134"/>
      <c r="Q852" s="301"/>
      <c r="R852" s="134"/>
      <c r="S852" s="300"/>
      <c r="T852" s="132"/>
      <c r="U852" s="311"/>
      <c r="V852" s="132"/>
      <c r="W852" s="296"/>
      <c r="X852" s="296"/>
    </row>
    <row r="853" spans="1:24" ht="15.75" x14ac:dyDescent="0.25">
      <c r="A853" s="294"/>
      <c r="B853" s="144"/>
      <c r="C853" s="303"/>
      <c r="D853" s="303"/>
      <c r="E853" s="303"/>
      <c r="F853" s="303"/>
      <c r="G853" s="303"/>
      <c r="H853" s="119"/>
      <c r="I853" s="303"/>
      <c r="J853" s="302"/>
      <c r="K853" s="303"/>
      <c r="L853" s="303"/>
      <c r="M853" s="119"/>
      <c r="N853" s="303"/>
      <c r="O853" s="302"/>
      <c r="P853" s="119"/>
      <c r="Q853" s="173"/>
      <c r="R853" s="119"/>
      <c r="S853" s="303"/>
      <c r="T853" s="117"/>
      <c r="U853" s="312"/>
      <c r="V853" s="117"/>
      <c r="W853" s="296"/>
      <c r="X853" s="296"/>
    </row>
    <row r="854" spans="1:24" s="306" customFormat="1" ht="15.75" x14ac:dyDescent="0.25">
      <c r="A854" s="143"/>
      <c r="B854" s="143"/>
      <c r="C854" s="300"/>
      <c r="D854" s="300"/>
      <c r="E854" s="300"/>
      <c r="F854" s="300"/>
      <c r="G854" s="300"/>
      <c r="H854" s="134"/>
      <c r="I854" s="300"/>
      <c r="J854" s="299"/>
      <c r="K854" s="300"/>
      <c r="L854" s="300"/>
      <c r="M854" s="134"/>
      <c r="N854" s="300"/>
      <c r="O854" s="299"/>
      <c r="P854" s="134"/>
      <c r="Q854" s="301"/>
      <c r="R854" s="134"/>
      <c r="S854" s="300"/>
      <c r="T854" s="132"/>
      <c r="U854" s="311"/>
      <c r="V854" s="132"/>
      <c r="W854" s="296"/>
      <c r="X854" s="296"/>
    </row>
    <row r="855" spans="1:24" ht="15.75" x14ac:dyDescent="0.25">
      <c r="A855" s="144"/>
      <c r="B855" s="144"/>
      <c r="C855" s="303"/>
      <c r="D855" s="303"/>
      <c r="E855" s="303"/>
      <c r="F855" s="303"/>
      <c r="G855" s="303"/>
      <c r="H855" s="119"/>
      <c r="I855" s="303"/>
      <c r="J855" s="302"/>
      <c r="K855" s="303"/>
      <c r="L855" s="303"/>
      <c r="M855" s="119"/>
      <c r="N855" s="303"/>
      <c r="O855" s="302"/>
      <c r="P855" s="119"/>
      <c r="Q855" s="173"/>
      <c r="R855" s="119"/>
      <c r="S855" s="303"/>
      <c r="T855" s="117"/>
      <c r="U855" s="312"/>
      <c r="V855" s="117"/>
      <c r="W855" s="296"/>
      <c r="X855" s="296"/>
    </row>
    <row r="856" spans="1:24" ht="15.75" x14ac:dyDescent="0.25">
      <c r="A856" s="308"/>
      <c r="B856" s="145"/>
      <c r="C856" s="305"/>
      <c r="D856" s="305"/>
      <c r="E856" s="305"/>
      <c r="F856" s="305"/>
      <c r="G856" s="305"/>
      <c r="H856" s="122"/>
      <c r="I856" s="305"/>
      <c r="J856" s="304"/>
      <c r="K856" s="305"/>
      <c r="L856" s="305"/>
      <c r="M856" s="122"/>
      <c r="N856" s="305"/>
      <c r="O856" s="304"/>
      <c r="P856" s="122"/>
      <c r="Q856" s="253"/>
      <c r="R856" s="122"/>
      <c r="S856" s="305"/>
      <c r="T856" s="120"/>
      <c r="U856" s="313"/>
      <c r="V856" s="120"/>
      <c r="W856" s="296"/>
      <c r="X856" s="296"/>
    </row>
    <row r="857" spans="1:24" s="306" customFormat="1" ht="15.75" x14ac:dyDescent="0.25">
      <c r="A857" s="143"/>
      <c r="B857" s="143"/>
      <c r="C857" s="300"/>
      <c r="D857" s="300"/>
      <c r="E857" s="300"/>
      <c r="F857" s="300"/>
      <c r="G857" s="300"/>
      <c r="H857" s="134"/>
      <c r="I857" s="300"/>
      <c r="J857" s="299"/>
      <c r="K857" s="300"/>
      <c r="L857" s="300"/>
      <c r="M857" s="134"/>
      <c r="N857" s="300"/>
      <c r="O857" s="299"/>
      <c r="P857" s="134"/>
      <c r="Q857" s="301"/>
      <c r="R857" s="134"/>
      <c r="S857" s="300"/>
      <c r="T857" s="132"/>
      <c r="U857" s="311"/>
      <c r="V857" s="132"/>
      <c r="W857" s="296"/>
      <c r="X857" s="296"/>
    </row>
    <row r="858" spans="1:24" ht="15.75" x14ac:dyDescent="0.25">
      <c r="A858" s="144"/>
      <c r="B858" s="144"/>
      <c r="C858" s="303"/>
      <c r="D858" s="303"/>
      <c r="E858" s="303"/>
      <c r="F858" s="303"/>
      <c r="G858" s="303"/>
      <c r="H858" s="119"/>
      <c r="I858" s="303"/>
      <c r="J858" s="302"/>
      <c r="K858" s="303"/>
      <c r="L858" s="303"/>
      <c r="M858" s="119"/>
      <c r="N858" s="303"/>
      <c r="O858" s="302"/>
      <c r="P858" s="119"/>
      <c r="Q858" s="173"/>
      <c r="R858" s="119"/>
      <c r="S858" s="303"/>
      <c r="T858" s="117"/>
      <c r="U858" s="312"/>
      <c r="V858" s="117"/>
      <c r="W858" s="296"/>
      <c r="X858" s="296"/>
    </row>
    <row r="859" spans="1:24" ht="15.75" x14ac:dyDescent="0.25">
      <c r="A859" s="145"/>
      <c r="B859" s="145"/>
      <c r="C859" s="305"/>
      <c r="D859" s="305"/>
      <c r="E859" s="305"/>
      <c r="F859" s="305"/>
      <c r="G859" s="305"/>
      <c r="H859" s="122"/>
      <c r="I859" s="305"/>
      <c r="J859" s="304"/>
      <c r="K859" s="305"/>
      <c r="L859" s="305"/>
      <c r="M859" s="122"/>
      <c r="N859" s="305"/>
      <c r="O859" s="304"/>
      <c r="P859" s="122"/>
      <c r="Q859" s="253"/>
      <c r="R859" s="122"/>
      <c r="S859" s="305"/>
      <c r="T859" s="120"/>
      <c r="U859" s="313"/>
      <c r="V859" s="120"/>
      <c r="W859" s="296"/>
      <c r="X859" s="296"/>
    </row>
    <row r="860" spans="1:24" s="306" customFormat="1" ht="15.75" x14ac:dyDescent="0.25">
      <c r="A860" s="143"/>
      <c r="B860" s="143"/>
      <c r="C860" s="300"/>
      <c r="D860" s="300"/>
      <c r="E860" s="300"/>
      <c r="F860" s="300"/>
      <c r="G860" s="300"/>
      <c r="H860" s="134"/>
      <c r="I860" s="300"/>
      <c r="J860" s="299"/>
      <c r="K860" s="300"/>
      <c r="L860" s="300"/>
      <c r="M860" s="134"/>
      <c r="N860" s="300"/>
      <c r="O860" s="299"/>
      <c r="P860" s="134"/>
      <c r="Q860" s="301"/>
      <c r="R860" s="134"/>
      <c r="S860" s="300"/>
      <c r="T860" s="132"/>
      <c r="U860" s="311"/>
      <c r="V860" s="132"/>
      <c r="W860" s="296"/>
      <c r="X860" s="296"/>
    </row>
    <row r="861" spans="1:24" ht="15.75" x14ac:dyDescent="0.25">
      <c r="A861" s="144"/>
      <c r="B861" s="144"/>
      <c r="C861" s="303"/>
      <c r="D861" s="303"/>
      <c r="E861" s="303"/>
      <c r="F861" s="303"/>
      <c r="G861" s="303"/>
      <c r="H861" s="119"/>
      <c r="I861" s="303"/>
      <c r="J861" s="302"/>
      <c r="K861" s="303"/>
      <c r="L861" s="303"/>
      <c r="M861" s="119"/>
      <c r="N861" s="303"/>
      <c r="O861" s="302"/>
      <c r="P861" s="119"/>
      <c r="Q861" s="173"/>
      <c r="R861" s="119"/>
      <c r="S861" s="303"/>
      <c r="T861" s="117"/>
      <c r="U861" s="312"/>
      <c r="V861" s="117"/>
      <c r="W861" s="296"/>
      <c r="X861" s="296"/>
    </row>
    <row r="862" spans="1:24" ht="15.75" x14ac:dyDescent="0.25">
      <c r="A862" s="308"/>
      <c r="B862" s="145"/>
      <c r="C862" s="305"/>
      <c r="D862" s="305"/>
      <c r="E862" s="305"/>
      <c r="F862" s="305"/>
      <c r="G862" s="305"/>
      <c r="H862" s="122"/>
      <c r="I862" s="305"/>
      <c r="J862" s="304"/>
      <c r="K862" s="305"/>
      <c r="L862" s="305"/>
      <c r="M862" s="122"/>
      <c r="N862" s="305"/>
      <c r="O862" s="304"/>
      <c r="P862" s="122"/>
      <c r="Q862" s="253"/>
      <c r="R862" s="122"/>
      <c r="S862" s="305"/>
      <c r="T862" s="120"/>
      <c r="U862" s="313"/>
      <c r="V862" s="120"/>
      <c r="W862" s="296"/>
      <c r="X862" s="296"/>
    </row>
    <row r="863" spans="1:24" s="306" customFormat="1" ht="15.75" x14ac:dyDescent="0.25">
      <c r="A863" s="143"/>
      <c r="B863" s="143"/>
      <c r="C863" s="300"/>
      <c r="D863" s="300"/>
      <c r="E863" s="300"/>
      <c r="F863" s="300"/>
      <c r="G863" s="300"/>
      <c r="H863" s="134"/>
      <c r="I863" s="300"/>
      <c r="J863" s="299"/>
      <c r="K863" s="300"/>
      <c r="L863" s="300"/>
      <c r="M863" s="134"/>
      <c r="N863" s="300"/>
      <c r="O863" s="299"/>
      <c r="P863" s="134"/>
      <c r="Q863" s="301"/>
      <c r="R863" s="134"/>
      <c r="S863" s="300"/>
      <c r="T863" s="132"/>
      <c r="U863" s="311"/>
      <c r="V863" s="132"/>
      <c r="W863" s="296"/>
      <c r="X863" s="296"/>
    </row>
    <row r="864" spans="1:24" ht="15.75" x14ac:dyDescent="0.25">
      <c r="A864" s="144"/>
      <c r="B864" s="144"/>
      <c r="C864" s="303"/>
      <c r="D864" s="303"/>
      <c r="E864" s="303"/>
      <c r="F864" s="303"/>
      <c r="G864" s="303"/>
      <c r="H864" s="119"/>
      <c r="I864" s="303"/>
      <c r="J864" s="302"/>
      <c r="K864" s="303"/>
      <c r="L864" s="303"/>
      <c r="M864" s="119"/>
      <c r="N864" s="303"/>
      <c r="O864" s="302"/>
      <c r="P864" s="119"/>
      <c r="Q864" s="173"/>
      <c r="R864" s="119"/>
      <c r="S864" s="303"/>
      <c r="T864" s="117"/>
      <c r="U864" s="312"/>
      <c r="V864" s="117"/>
      <c r="W864" s="296"/>
      <c r="X864" s="296"/>
    </row>
    <row r="865" spans="1:24" ht="15.75" x14ac:dyDescent="0.25">
      <c r="A865" s="308"/>
      <c r="B865" s="145"/>
      <c r="C865" s="305"/>
      <c r="D865" s="305"/>
      <c r="E865" s="305"/>
      <c r="F865" s="305"/>
      <c r="G865" s="305"/>
      <c r="H865" s="122"/>
      <c r="I865" s="305"/>
      <c r="J865" s="304"/>
      <c r="K865" s="305"/>
      <c r="L865" s="305"/>
      <c r="M865" s="122"/>
      <c r="N865" s="305"/>
      <c r="O865" s="304"/>
      <c r="P865" s="122"/>
      <c r="Q865" s="253"/>
      <c r="R865" s="122"/>
      <c r="S865" s="305"/>
      <c r="T865" s="120"/>
      <c r="U865" s="313"/>
      <c r="V865" s="120"/>
      <c r="W865" s="296"/>
      <c r="X865" s="296"/>
    </row>
    <row r="866" spans="1:24" s="306" customFormat="1" ht="15.75" x14ac:dyDescent="0.25">
      <c r="A866" s="143"/>
      <c r="B866" s="143"/>
      <c r="C866" s="300"/>
      <c r="D866" s="300"/>
      <c r="E866" s="300"/>
      <c r="F866" s="300"/>
      <c r="G866" s="300"/>
      <c r="H866" s="134"/>
      <c r="I866" s="300"/>
      <c r="J866" s="299"/>
      <c r="K866" s="300"/>
      <c r="L866" s="300"/>
      <c r="M866" s="134"/>
      <c r="N866" s="300"/>
      <c r="O866" s="299"/>
      <c r="P866" s="134"/>
      <c r="Q866" s="301"/>
      <c r="R866" s="134"/>
      <c r="S866" s="300"/>
      <c r="T866" s="132"/>
      <c r="U866" s="311"/>
      <c r="V866" s="132"/>
      <c r="W866" s="296"/>
      <c r="X866" s="296"/>
    </row>
    <row r="867" spans="1:24" ht="15.75" x14ac:dyDescent="0.25">
      <c r="A867" s="144"/>
      <c r="B867" s="144"/>
      <c r="C867" s="303"/>
      <c r="D867" s="303"/>
      <c r="E867" s="303"/>
      <c r="F867" s="303"/>
      <c r="G867" s="303"/>
      <c r="H867" s="119"/>
      <c r="I867" s="303"/>
      <c r="J867" s="302"/>
      <c r="K867" s="303"/>
      <c r="L867" s="303"/>
      <c r="M867" s="119"/>
      <c r="N867" s="303"/>
      <c r="O867" s="302"/>
      <c r="P867" s="119"/>
      <c r="Q867" s="173"/>
      <c r="R867" s="119"/>
      <c r="S867" s="303"/>
      <c r="T867" s="117"/>
      <c r="U867" s="312"/>
      <c r="V867" s="117"/>
      <c r="W867" s="296"/>
      <c r="X867" s="296"/>
    </row>
    <row r="868" spans="1:24" ht="15.75" x14ac:dyDescent="0.25">
      <c r="A868" s="308"/>
      <c r="B868" s="145"/>
      <c r="C868" s="305"/>
      <c r="D868" s="305"/>
      <c r="E868" s="305"/>
      <c r="F868" s="305"/>
      <c r="G868" s="305"/>
      <c r="H868" s="122"/>
      <c r="I868" s="305"/>
      <c r="J868" s="304"/>
      <c r="K868" s="305"/>
      <c r="L868" s="305"/>
      <c r="M868" s="122"/>
      <c r="N868" s="305"/>
      <c r="O868" s="304"/>
      <c r="P868" s="122"/>
      <c r="Q868" s="253"/>
      <c r="R868" s="122"/>
      <c r="S868" s="305"/>
      <c r="T868" s="120"/>
      <c r="U868" s="313"/>
      <c r="V868" s="120"/>
      <c r="W868" s="296"/>
      <c r="X868" s="296"/>
    </row>
    <row r="869" spans="1:24" s="306" customFormat="1" ht="15.75" x14ac:dyDescent="0.25">
      <c r="A869" s="143"/>
      <c r="B869" s="143"/>
      <c r="C869" s="300"/>
      <c r="D869" s="300"/>
      <c r="E869" s="300"/>
      <c r="F869" s="300"/>
      <c r="G869" s="300"/>
      <c r="H869" s="134"/>
      <c r="I869" s="300"/>
      <c r="J869" s="299"/>
      <c r="K869" s="300"/>
      <c r="L869" s="300"/>
      <c r="M869" s="134"/>
      <c r="N869" s="300"/>
      <c r="O869" s="299"/>
      <c r="P869" s="134"/>
      <c r="Q869" s="301"/>
      <c r="R869" s="134"/>
      <c r="S869" s="300"/>
      <c r="T869" s="132"/>
      <c r="U869" s="311"/>
      <c r="V869" s="132"/>
      <c r="W869" s="296"/>
      <c r="X869" s="296"/>
    </row>
    <row r="870" spans="1:24" ht="15.75" x14ac:dyDescent="0.25">
      <c r="A870" s="144"/>
      <c r="B870" s="144"/>
      <c r="C870" s="303"/>
      <c r="D870" s="303"/>
      <c r="E870" s="303"/>
      <c r="F870" s="303"/>
      <c r="G870" s="303"/>
      <c r="H870" s="119"/>
      <c r="I870" s="303"/>
      <c r="J870" s="302"/>
      <c r="K870" s="303"/>
      <c r="L870" s="303"/>
      <c r="M870" s="119"/>
      <c r="N870" s="303"/>
      <c r="O870" s="302"/>
      <c r="P870" s="119"/>
      <c r="Q870" s="173"/>
      <c r="R870" s="119"/>
      <c r="S870" s="303"/>
      <c r="T870" s="117"/>
      <c r="U870" s="312"/>
      <c r="V870" s="117"/>
      <c r="W870" s="296"/>
      <c r="X870" s="296"/>
    </row>
    <row r="871" spans="1:24" ht="15.75" x14ac:dyDescent="0.25">
      <c r="A871" s="308"/>
      <c r="B871" s="145"/>
      <c r="C871" s="305"/>
      <c r="D871" s="305"/>
      <c r="E871" s="305"/>
      <c r="F871" s="305"/>
      <c r="G871" s="305"/>
      <c r="H871" s="122"/>
      <c r="I871" s="305"/>
      <c r="J871" s="304"/>
      <c r="K871" s="305"/>
      <c r="L871" s="305"/>
      <c r="M871" s="122"/>
      <c r="N871" s="305"/>
      <c r="O871" s="304"/>
      <c r="P871" s="122"/>
      <c r="Q871" s="253"/>
      <c r="R871" s="122"/>
      <c r="S871" s="305"/>
      <c r="T871" s="120"/>
      <c r="U871" s="313"/>
      <c r="V871" s="120"/>
      <c r="W871" s="296"/>
      <c r="X871" s="296"/>
    </row>
    <row r="872" spans="1:24" s="306" customFormat="1" ht="15.75" x14ac:dyDescent="0.25">
      <c r="A872" s="143"/>
      <c r="B872" s="143"/>
      <c r="C872" s="300"/>
      <c r="D872" s="300"/>
      <c r="E872" s="300"/>
      <c r="F872" s="300"/>
      <c r="G872" s="300"/>
      <c r="H872" s="134"/>
      <c r="I872" s="300"/>
      <c r="J872" s="299"/>
      <c r="K872" s="300"/>
      <c r="L872" s="300"/>
      <c r="M872" s="134"/>
      <c r="N872" s="300"/>
      <c r="O872" s="299"/>
      <c r="P872" s="134"/>
      <c r="Q872" s="301"/>
      <c r="R872" s="134"/>
      <c r="S872" s="300"/>
      <c r="T872" s="132"/>
      <c r="U872" s="311"/>
      <c r="V872" s="132"/>
      <c r="W872" s="296"/>
      <c r="X872" s="296"/>
    </row>
    <row r="873" spans="1:24" x14ac:dyDescent="0.2">
      <c r="A873" s="144"/>
      <c r="B873" s="144"/>
      <c r="C873" s="303"/>
      <c r="D873" s="303"/>
      <c r="E873" s="303"/>
      <c r="F873" s="303"/>
      <c r="G873" s="303"/>
      <c r="H873" s="119"/>
      <c r="I873" s="303"/>
      <c r="J873" s="302"/>
      <c r="K873" s="303"/>
      <c r="L873" s="303"/>
      <c r="M873" s="119"/>
      <c r="N873" s="303"/>
      <c r="O873" s="302"/>
      <c r="P873" s="119"/>
      <c r="Q873" s="173"/>
      <c r="R873" s="119"/>
      <c r="S873" s="303"/>
      <c r="T873" s="117"/>
      <c r="U873" s="312"/>
      <c r="V873" s="117"/>
    </row>
    <row r="874" spans="1:24" x14ac:dyDescent="0.2">
      <c r="A874" s="308"/>
      <c r="B874" s="145"/>
      <c r="C874" s="305"/>
      <c r="D874" s="305"/>
      <c r="E874" s="305"/>
      <c r="F874" s="305"/>
      <c r="G874" s="305"/>
      <c r="H874" s="122"/>
      <c r="I874" s="305"/>
      <c r="J874" s="304"/>
      <c r="K874" s="305"/>
      <c r="L874" s="305"/>
      <c r="M874" s="122"/>
      <c r="N874" s="305"/>
      <c r="O874" s="304"/>
      <c r="P874" s="122"/>
      <c r="Q874" s="253"/>
      <c r="R874" s="122"/>
      <c r="S874" s="305"/>
      <c r="T874" s="120"/>
      <c r="U874" s="313"/>
      <c r="V874" s="120"/>
    </row>
    <row r="875" spans="1:24" x14ac:dyDescent="0.2">
      <c r="A875" s="143"/>
      <c r="B875" s="143"/>
      <c r="C875" s="300"/>
      <c r="D875" s="300"/>
      <c r="E875" s="300"/>
      <c r="F875" s="300"/>
      <c r="G875" s="300"/>
      <c r="H875" s="134"/>
      <c r="I875" s="300"/>
      <c r="J875" s="299"/>
      <c r="K875" s="300"/>
      <c r="L875" s="300"/>
      <c r="M875" s="134"/>
      <c r="N875" s="300"/>
      <c r="O875" s="299"/>
      <c r="P875" s="134"/>
      <c r="Q875" s="301"/>
      <c r="R875" s="134"/>
      <c r="S875" s="300"/>
      <c r="T875" s="132"/>
      <c r="U875" s="311"/>
      <c r="V875" s="132"/>
    </row>
    <row r="876" spans="1:24" x14ac:dyDescent="0.2">
      <c r="A876" s="144"/>
      <c r="B876" s="144"/>
      <c r="C876" s="303"/>
      <c r="D876" s="303"/>
      <c r="E876" s="303"/>
      <c r="F876" s="303"/>
      <c r="G876" s="303"/>
      <c r="H876" s="119"/>
      <c r="I876" s="303"/>
      <c r="J876" s="302"/>
      <c r="K876" s="303"/>
      <c r="L876" s="303"/>
      <c r="M876" s="119"/>
      <c r="N876" s="303"/>
      <c r="O876" s="302"/>
      <c r="P876" s="119"/>
      <c r="Q876" s="173"/>
      <c r="R876" s="119"/>
      <c r="S876" s="303"/>
      <c r="T876" s="117"/>
      <c r="U876" s="312"/>
      <c r="V876" s="117"/>
    </row>
    <row r="877" spans="1:24" x14ac:dyDescent="0.2">
      <c r="A877" s="308"/>
      <c r="B877" s="145"/>
      <c r="C877" s="305"/>
      <c r="D877" s="305"/>
      <c r="E877" s="305"/>
      <c r="F877" s="305"/>
      <c r="G877" s="305"/>
      <c r="H877" s="122"/>
      <c r="I877" s="305"/>
      <c r="J877" s="304"/>
      <c r="K877" s="305"/>
      <c r="L877" s="305"/>
      <c r="M877" s="122"/>
      <c r="N877" s="305"/>
      <c r="O877" s="304"/>
      <c r="P877" s="122"/>
      <c r="Q877" s="253"/>
      <c r="R877" s="122"/>
      <c r="S877" s="305"/>
      <c r="T877" s="120"/>
      <c r="U877" s="313"/>
      <c r="V877" s="120"/>
    </row>
    <row r="878" spans="1:24" x14ac:dyDescent="0.2">
      <c r="A878" s="143"/>
      <c r="B878" s="143"/>
      <c r="C878" s="300"/>
      <c r="D878" s="300"/>
      <c r="E878" s="300"/>
      <c r="F878" s="300"/>
      <c r="G878" s="300"/>
      <c r="H878" s="134"/>
      <c r="I878" s="300"/>
      <c r="J878" s="299"/>
      <c r="K878" s="300"/>
      <c r="L878" s="300"/>
      <c r="M878" s="134"/>
      <c r="N878" s="300"/>
      <c r="O878" s="299"/>
      <c r="P878" s="134"/>
      <c r="Q878" s="301"/>
      <c r="R878" s="134"/>
      <c r="S878" s="300"/>
      <c r="T878" s="132"/>
      <c r="U878" s="311"/>
      <c r="V878" s="132"/>
    </row>
    <row r="879" spans="1:24" x14ac:dyDescent="0.2">
      <c r="A879" s="144"/>
      <c r="B879" s="144"/>
      <c r="C879" s="303"/>
      <c r="D879" s="303"/>
      <c r="E879" s="303"/>
      <c r="F879" s="303"/>
      <c r="G879" s="303"/>
      <c r="H879" s="119"/>
      <c r="I879" s="303"/>
      <c r="J879" s="302"/>
      <c r="K879" s="303"/>
      <c r="L879" s="303"/>
      <c r="M879" s="119"/>
      <c r="N879" s="303"/>
      <c r="O879" s="302"/>
      <c r="P879" s="119"/>
      <c r="Q879" s="173"/>
      <c r="R879" s="119"/>
      <c r="S879" s="303"/>
      <c r="T879" s="117"/>
      <c r="U879" s="312"/>
      <c r="V879" s="117"/>
    </row>
    <row r="880" spans="1:24" x14ac:dyDescent="0.2">
      <c r="A880" s="308"/>
      <c r="B880" s="145"/>
      <c r="C880" s="305"/>
      <c r="D880" s="305"/>
      <c r="E880" s="305"/>
      <c r="F880" s="305"/>
      <c r="G880" s="305"/>
      <c r="H880" s="122"/>
      <c r="I880" s="305"/>
      <c r="J880" s="304"/>
      <c r="K880" s="305"/>
      <c r="L880" s="305"/>
      <c r="M880" s="122"/>
      <c r="N880" s="305"/>
      <c r="O880" s="304"/>
      <c r="P880" s="122"/>
      <c r="Q880" s="253"/>
      <c r="R880" s="122"/>
      <c r="S880" s="305"/>
      <c r="T880" s="120"/>
      <c r="U880" s="313"/>
      <c r="V880" s="120"/>
    </row>
    <row r="881" spans="1:22" x14ac:dyDescent="0.2">
      <c r="A881" s="143"/>
      <c r="B881" s="143"/>
      <c r="C881" s="300"/>
      <c r="D881" s="300"/>
      <c r="E881" s="300"/>
      <c r="F881" s="300"/>
      <c r="G881" s="300"/>
      <c r="H881" s="134"/>
      <c r="I881" s="300"/>
      <c r="J881" s="299"/>
      <c r="K881" s="300"/>
      <c r="L881" s="300"/>
      <c r="M881" s="134"/>
      <c r="N881" s="300"/>
      <c r="O881" s="299"/>
      <c r="P881" s="134"/>
      <c r="Q881" s="301"/>
      <c r="R881" s="134"/>
      <c r="S881" s="300"/>
      <c r="T881" s="132"/>
      <c r="U881" s="311"/>
      <c r="V881" s="132"/>
    </row>
    <row r="882" spans="1:22" x14ac:dyDescent="0.2">
      <c r="A882" s="144"/>
      <c r="B882" s="144"/>
      <c r="C882" s="303"/>
      <c r="D882" s="303"/>
      <c r="E882" s="303"/>
      <c r="F882" s="303"/>
      <c r="G882" s="303"/>
      <c r="H882" s="119"/>
      <c r="I882" s="303"/>
      <c r="J882" s="302"/>
      <c r="K882" s="303"/>
      <c r="L882" s="303"/>
      <c r="M882" s="119"/>
      <c r="N882" s="303"/>
      <c r="O882" s="302"/>
      <c r="P882" s="119"/>
      <c r="Q882" s="173"/>
      <c r="R882" s="119"/>
      <c r="S882" s="303"/>
      <c r="T882" s="117"/>
      <c r="U882" s="312"/>
      <c r="V882" s="117"/>
    </row>
    <row r="883" spans="1:22" x14ac:dyDescent="0.2">
      <c r="A883" s="308"/>
      <c r="B883" s="145"/>
      <c r="C883" s="305"/>
      <c r="D883" s="305"/>
      <c r="E883" s="305"/>
      <c r="F883" s="305"/>
      <c r="G883" s="305"/>
      <c r="H883" s="122"/>
      <c r="I883" s="305"/>
      <c r="J883" s="304"/>
      <c r="K883" s="305"/>
      <c r="L883" s="305"/>
      <c r="M883" s="122"/>
      <c r="N883" s="305"/>
      <c r="O883" s="304"/>
      <c r="P883" s="122"/>
      <c r="Q883" s="253"/>
      <c r="R883" s="122"/>
      <c r="S883" s="305"/>
      <c r="T883" s="120"/>
      <c r="U883" s="313"/>
      <c r="V883" s="120"/>
    </row>
    <row r="884" spans="1:22" x14ac:dyDescent="0.2">
      <c r="A884" s="143"/>
      <c r="B884" s="143"/>
      <c r="C884" s="300"/>
      <c r="D884" s="300"/>
      <c r="E884" s="300"/>
      <c r="F884" s="300"/>
      <c r="G884" s="300"/>
      <c r="H884" s="134"/>
      <c r="I884" s="300"/>
      <c r="J884" s="299"/>
      <c r="K884" s="300"/>
      <c r="L884" s="300"/>
      <c r="M884" s="134"/>
      <c r="N884" s="300"/>
      <c r="O884" s="299"/>
      <c r="P884" s="134"/>
      <c r="Q884" s="301"/>
      <c r="R884" s="134"/>
      <c r="S884" s="300"/>
      <c r="T884" s="132"/>
      <c r="U884" s="311"/>
      <c r="V884" s="132"/>
    </row>
    <row r="885" spans="1:22" x14ac:dyDescent="0.2">
      <c r="A885" s="144"/>
      <c r="B885" s="144"/>
      <c r="C885" s="303"/>
      <c r="D885" s="303"/>
      <c r="E885" s="303"/>
      <c r="F885" s="303"/>
      <c r="G885" s="303"/>
      <c r="H885" s="119"/>
      <c r="I885" s="303"/>
      <c r="J885" s="302"/>
      <c r="K885" s="303"/>
      <c r="L885" s="303"/>
      <c r="M885" s="119"/>
      <c r="N885" s="303"/>
      <c r="O885" s="302"/>
      <c r="P885" s="119"/>
      <c r="Q885" s="173"/>
      <c r="R885" s="119"/>
      <c r="S885" s="303"/>
      <c r="T885" s="117"/>
      <c r="U885" s="312"/>
      <c r="V885" s="117"/>
    </row>
    <row r="886" spans="1:22" x14ac:dyDescent="0.2">
      <c r="A886" s="308"/>
      <c r="B886" s="145"/>
      <c r="C886" s="305"/>
      <c r="D886" s="305"/>
      <c r="E886" s="305"/>
      <c r="F886" s="305"/>
      <c r="G886" s="305"/>
      <c r="H886" s="122"/>
      <c r="I886" s="305"/>
      <c r="J886" s="304"/>
      <c r="K886" s="305"/>
      <c r="L886" s="305"/>
      <c r="M886" s="122"/>
      <c r="N886" s="305"/>
      <c r="O886" s="304"/>
      <c r="P886" s="122"/>
      <c r="Q886" s="253"/>
      <c r="R886" s="122"/>
      <c r="S886" s="305"/>
      <c r="T886" s="120"/>
      <c r="U886" s="313"/>
      <c r="V886" s="120"/>
    </row>
    <row r="887" spans="1:22" x14ac:dyDescent="0.2">
      <c r="A887" s="143"/>
      <c r="B887" s="143"/>
      <c r="C887" s="300"/>
      <c r="D887" s="300"/>
      <c r="E887" s="300"/>
      <c r="F887" s="300"/>
      <c r="G887" s="300"/>
      <c r="H887" s="134"/>
      <c r="I887" s="300"/>
      <c r="J887" s="299"/>
      <c r="K887" s="300"/>
      <c r="L887" s="300"/>
      <c r="M887" s="134"/>
      <c r="N887" s="300"/>
      <c r="O887" s="299"/>
      <c r="P887" s="134"/>
      <c r="Q887" s="301"/>
      <c r="R887" s="134"/>
      <c r="S887" s="300"/>
      <c r="T887" s="132"/>
      <c r="U887" s="311"/>
      <c r="V887" s="132"/>
    </row>
    <row r="888" spans="1:22" x14ac:dyDescent="0.2">
      <c r="A888" s="144"/>
      <c r="B888" s="144"/>
      <c r="C888" s="303"/>
      <c r="D888" s="303"/>
      <c r="E888" s="303"/>
      <c r="F888" s="303"/>
      <c r="G888" s="303"/>
      <c r="H888" s="119"/>
      <c r="I888" s="303"/>
      <c r="J888" s="302"/>
      <c r="K888" s="303"/>
      <c r="L888" s="303"/>
      <c r="M888" s="119"/>
      <c r="N888" s="303"/>
      <c r="O888" s="302"/>
      <c r="P888" s="119"/>
      <c r="Q888" s="173"/>
      <c r="R888" s="119"/>
      <c r="S888" s="303"/>
      <c r="T888" s="117"/>
      <c r="U888" s="312"/>
      <c r="V888" s="117"/>
    </row>
    <row r="889" spans="1:22" x14ac:dyDescent="0.2">
      <c r="A889" s="308"/>
      <c r="B889" s="145"/>
      <c r="C889" s="305"/>
      <c r="D889" s="305"/>
      <c r="E889" s="305"/>
      <c r="F889" s="305"/>
      <c r="G889" s="305"/>
      <c r="H889" s="122"/>
      <c r="I889" s="305"/>
      <c r="J889" s="304"/>
      <c r="K889" s="305"/>
      <c r="L889" s="305"/>
      <c r="M889" s="122"/>
      <c r="N889" s="305"/>
      <c r="O889" s="304"/>
      <c r="P889" s="122"/>
      <c r="Q889" s="253"/>
      <c r="R889" s="122"/>
      <c r="S889" s="305"/>
      <c r="T889" s="120"/>
      <c r="U889" s="313"/>
      <c r="V889" s="120"/>
    </row>
    <row r="890" spans="1:22" x14ac:dyDescent="0.2">
      <c r="A890" s="143"/>
      <c r="B890" s="143"/>
      <c r="C890" s="300"/>
      <c r="D890" s="300"/>
      <c r="E890" s="300"/>
      <c r="F890" s="300"/>
      <c r="G890" s="300"/>
      <c r="H890" s="134"/>
      <c r="I890" s="300"/>
      <c r="J890" s="299"/>
      <c r="K890" s="300"/>
      <c r="L890" s="300"/>
      <c r="M890" s="134"/>
      <c r="N890" s="300"/>
      <c r="O890" s="299"/>
      <c r="P890" s="134"/>
      <c r="Q890" s="301"/>
      <c r="R890" s="134"/>
      <c r="S890" s="300"/>
      <c r="T890" s="132"/>
      <c r="U890" s="311"/>
      <c r="V890" s="132"/>
    </row>
    <row r="891" spans="1:22" x14ac:dyDescent="0.2">
      <c r="A891" s="144"/>
      <c r="B891" s="144"/>
      <c r="C891" s="303"/>
      <c r="D891" s="303"/>
      <c r="E891" s="303"/>
      <c r="F891" s="303"/>
      <c r="G891" s="303"/>
      <c r="H891" s="119"/>
      <c r="I891" s="303"/>
      <c r="J891" s="302"/>
      <c r="K891" s="303"/>
      <c r="L891" s="303"/>
      <c r="M891" s="119"/>
      <c r="N891" s="303"/>
      <c r="O891" s="302"/>
      <c r="P891" s="119"/>
      <c r="Q891" s="173"/>
      <c r="R891" s="119"/>
      <c r="S891" s="303"/>
      <c r="T891" s="117"/>
      <c r="U891" s="312"/>
      <c r="V891" s="117"/>
    </row>
    <row r="892" spans="1:22" x14ac:dyDescent="0.2">
      <c r="A892" s="308"/>
      <c r="B892" s="145"/>
      <c r="C892" s="305"/>
      <c r="D892" s="305"/>
      <c r="E892" s="305"/>
      <c r="F892" s="305"/>
      <c r="G892" s="305"/>
      <c r="H892" s="122"/>
      <c r="I892" s="305"/>
      <c r="J892" s="304"/>
      <c r="K892" s="305"/>
      <c r="L892" s="305"/>
      <c r="M892" s="122"/>
      <c r="N892" s="305"/>
      <c r="O892" s="304"/>
      <c r="P892" s="122"/>
      <c r="Q892" s="253"/>
      <c r="R892" s="122"/>
      <c r="S892" s="305"/>
      <c r="T892" s="120"/>
      <c r="U892" s="313"/>
      <c r="V892" s="120"/>
    </row>
    <row r="893" spans="1:22" x14ac:dyDescent="0.2">
      <c r="A893" s="143"/>
      <c r="B893" s="143"/>
      <c r="C893" s="300"/>
      <c r="D893" s="300"/>
      <c r="E893" s="300"/>
      <c r="F893" s="300"/>
      <c r="G893" s="300"/>
      <c r="H893" s="134"/>
      <c r="I893" s="300"/>
      <c r="J893" s="299"/>
      <c r="K893" s="300"/>
      <c r="L893" s="300"/>
      <c r="M893" s="134"/>
      <c r="N893" s="300"/>
      <c r="O893" s="299"/>
      <c r="P893" s="134"/>
      <c r="Q893" s="301"/>
      <c r="R893" s="134"/>
      <c r="S893" s="300"/>
      <c r="T893" s="132"/>
      <c r="U893" s="311"/>
      <c r="V893" s="132"/>
    </row>
    <row r="894" spans="1:22" x14ac:dyDescent="0.2">
      <c r="A894" s="144"/>
      <c r="B894" s="144"/>
      <c r="C894" s="303"/>
      <c r="D894" s="303"/>
      <c r="E894" s="303"/>
      <c r="F894" s="303"/>
      <c r="G894" s="303"/>
      <c r="H894" s="119"/>
      <c r="I894" s="303"/>
      <c r="J894" s="302"/>
      <c r="K894" s="303"/>
      <c r="L894" s="303"/>
      <c r="M894" s="119"/>
      <c r="N894" s="303"/>
      <c r="O894" s="302"/>
      <c r="P894" s="119"/>
      <c r="Q894" s="173"/>
      <c r="R894" s="119"/>
      <c r="S894" s="303"/>
      <c r="T894" s="117"/>
      <c r="U894" s="312"/>
      <c r="V894" s="117"/>
    </row>
    <row r="895" spans="1:22" x14ac:dyDescent="0.2">
      <c r="A895" s="308"/>
      <c r="B895" s="145"/>
      <c r="C895" s="305"/>
      <c r="D895" s="305"/>
      <c r="E895" s="305"/>
      <c r="F895" s="305"/>
      <c r="G895" s="305"/>
      <c r="H895" s="122"/>
      <c r="I895" s="305"/>
      <c r="J895" s="304"/>
      <c r="K895" s="305"/>
      <c r="L895" s="305"/>
      <c r="M895" s="122"/>
      <c r="N895" s="305"/>
      <c r="O895" s="304"/>
      <c r="P895" s="122"/>
      <c r="Q895" s="253"/>
      <c r="R895" s="122"/>
      <c r="S895" s="305"/>
      <c r="T895" s="120"/>
      <c r="U895" s="313"/>
      <c r="V895" s="120"/>
    </row>
    <row r="896" spans="1:22" x14ac:dyDescent="0.2">
      <c r="A896" s="143"/>
      <c r="B896" s="143"/>
      <c r="C896" s="300"/>
      <c r="D896" s="300"/>
      <c r="E896" s="300"/>
      <c r="F896" s="300"/>
      <c r="G896" s="300"/>
      <c r="H896" s="134"/>
      <c r="I896" s="300"/>
      <c r="J896" s="299"/>
      <c r="K896" s="300"/>
      <c r="L896" s="300"/>
      <c r="M896" s="134"/>
      <c r="N896" s="300"/>
      <c r="O896" s="299"/>
      <c r="P896" s="134"/>
      <c r="Q896" s="301"/>
      <c r="R896" s="134"/>
      <c r="S896" s="300"/>
      <c r="T896" s="132"/>
      <c r="U896" s="311"/>
      <c r="V896" s="132"/>
    </row>
    <row r="897" spans="1:22" x14ac:dyDescent="0.2">
      <c r="A897" s="144"/>
      <c r="B897" s="144"/>
      <c r="C897" s="303"/>
      <c r="D897" s="303"/>
      <c r="E897" s="303"/>
      <c r="F897" s="303"/>
      <c r="G897" s="303"/>
      <c r="H897" s="119"/>
      <c r="I897" s="303"/>
      <c r="J897" s="302"/>
      <c r="K897" s="303"/>
      <c r="L897" s="303"/>
      <c r="M897" s="119"/>
      <c r="N897" s="303"/>
      <c r="O897" s="302"/>
      <c r="P897" s="119"/>
      <c r="Q897" s="173"/>
      <c r="R897" s="119"/>
      <c r="S897" s="303"/>
      <c r="T897" s="117"/>
      <c r="U897" s="312"/>
      <c r="V897" s="117"/>
    </row>
    <row r="898" spans="1:22" x14ac:dyDescent="0.2">
      <c r="A898" s="308"/>
      <c r="B898" s="145"/>
      <c r="C898" s="305"/>
      <c r="D898" s="305"/>
      <c r="E898" s="305"/>
      <c r="F898" s="305"/>
      <c r="G898" s="305"/>
      <c r="H898" s="122"/>
      <c r="I898" s="305"/>
      <c r="J898" s="304"/>
      <c r="K898" s="305"/>
      <c r="L898" s="305"/>
      <c r="M898" s="122"/>
      <c r="N898" s="305"/>
      <c r="O898" s="304"/>
      <c r="P898" s="122"/>
      <c r="Q898" s="253"/>
      <c r="R898" s="122"/>
      <c r="S898" s="305"/>
      <c r="T898" s="120"/>
      <c r="U898" s="313"/>
      <c r="V898" s="120"/>
    </row>
    <row r="899" spans="1:22" x14ac:dyDescent="0.2">
      <c r="A899" s="143"/>
      <c r="B899" s="143"/>
      <c r="C899" s="300"/>
      <c r="D899" s="300"/>
      <c r="E899" s="300"/>
      <c r="F899" s="300"/>
      <c r="G899" s="300"/>
      <c r="H899" s="134"/>
      <c r="I899" s="300"/>
      <c r="J899" s="299"/>
      <c r="K899" s="300"/>
      <c r="L899" s="300"/>
      <c r="M899" s="134"/>
      <c r="N899" s="300"/>
      <c r="O899" s="299"/>
      <c r="P899" s="134"/>
      <c r="Q899" s="301"/>
      <c r="R899" s="134"/>
      <c r="S899" s="300"/>
      <c r="T899" s="132"/>
      <c r="U899" s="311"/>
      <c r="V899" s="132"/>
    </row>
    <row r="900" spans="1:22" x14ac:dyDescent="0.2">
      <c r="A900" s="144"/>
      <c r="B900" s="144"/>
      <c r="C900" s="303"/>
      <c r="D900" s="303"/>
      <c r="E900" s="303"/>
      <c r="F900" s="303"/>
      <c r="G900" s="303"/>
      <c r="H900" s="119"/>
      <c r="I900" s="303"/>
      <c r="J900" s="302"/>
      <c r="K900" s="303"/>
      <c r="L900" s="303"/>
      <c r="M900" s="119"/>
      <c r="N900" s="303"/>
      <c r="O900" s="302"/>
      <c r="P900" s="119"/>
      <c r="Q900" s="173"/>
      <c r="R900" s="119"/>
      <c r="S900" s="303"/>
      <c r="T900" s="117"/>
      <c r="U900" s="312"/>
      <c r="V900" s="117"/>
    </row>
    <row r="901" spans="1:22" x14ac:dyDescent="0.2">
      <c r="A901" s="308"/>
      <c r="B901" s="145"/>
      <c r="C901" s="305"/>
      <c r="D901" s="305"/>
      <c r="E901" s="305"/>
      <c r="F901" s="305"/>
      <c r="G901" s="305"/>
      <c r="H901" s="122"/>
      <c r="I901" s="305"/>
      <c r="J901" s="304"/>
      <c r="K901" s="305"/>
      <c r="L901" s="305"/>
      <c r="M901" s="122"/>
      <c r="N901" s="305"/>
      <c r="O901" s="304"/>
      <c r="P901" s="122"/>
      <c r="Q901" s="253"/>
      <c r="R901" s="122"/>
      <c r="S901" s="305"/>
      <c r="T901" s="120"/>
      <c r="U901" s="313"/>
      <c r="V901" s="120"/>
    </row>
    <row r="902" spans="1:22" x14ac:dyDescent="0.2">
      <c r="A902" s="143"/>
      <c r="B902" s="143"/>
      <c r="C902" s="300"/>
      <c r="D902" s="300"/>
      <c r="E902" s="300"/>
      <c r="F902" s="300"/>
      <c r="G902" s="300"/>
      <c r="H902" s="134"/>
      <c r="I902" s="300"/>
      <c r="J902" s="299"/>
      <c r="K902" s="300"/>
      <c r="L902" s="300"/>
      <c r="M902" s="134"/>
      <c r="N902" s="300"/>
      <c r="O902" s="299"/>
      <c r="P902" s="134"/>
      <c r="Q902" s="301"/>
      <c r="R902" s="134"/>
      <c r="S902" s="300"/>
      <c r="T902" s="132"/>
      <c r="U902" s="311"/>
      <c r="V902" s="132"/>
    </row>
    <row r="903" spans="1:22" x14ac:dyDescent="0.2">
      <c r="A903" s="144"/>
      <c r="B903" s="144"/>
      <c r="C903" s="303"/>
      <c r="D903" s="303"/>
      <c r="E903" s="303"/>
      <c r="F903" s="303"/>
      <c r="G903" s="303"/>
      <c r="H903" s="119"/>
      <c r="I903" s="303"/>
      <c r="J903" s="302"/>
      <c r="K903" s="303"/>
      <c r="L903" s="303"/>
      <c r="M903" s="119"/>
      <c r="N903" s="303"/>
      <c r="O903" s="302"/>
      <c r="P903" s="119"/>
      <c r="Q903" s="173"/>
      <c r="R903" s="119"/>
      <c r="S903" s="303"/>
      <c r="T903" s="117"/>
      <c r="U903" s="312"/>
      <c r="V903" s="117"/>
    </row>
    <row r="904" spans="1:22" x14ac:dyDescent="0.2">
      <c r="A904" s="308"/>
      <c r="B904" s="145"/>
      <c r="C904" s="305"/>
      <c r="D904" s="305"/>
      <c r="E904" s="305"/>
      <c r="F904" s="305"/>
      <c r="G904" s="305"/>
      <c r="H904" s="122"/>
      <c r="I904" s="305"/>
      <c r="J904" s="304"/>
      <c r="K904" s="305"/>
      <c r="L904" s="305"/>
      <c r="M904" s="122"/>
      <c r="N904" s="305"/>
      <c r="O904" s="304"/>
      <c r="P904" s="122"/>
      <c r="Q904" s="253"/>
      <c r="R904" s="122"/>
      <c r="S904" s="305"/>
      <c r="T904" s="120"/>
      <c r="U904" s="313"/>
      <c r="V904" s="120"/>
    </row>
    <row r="905" spans="1:22" x14ac:dyDescent="0.2">
      <c r="A905" s="143"/>
      <c r="B905" s="143"/>
      <c r="C905" s="300"/>
      <c r="D905" s="300"/>
      <c r="E905" s="300"/>
      <c r="F905" s="300"/>
      <c r="G905" s="300"/>
      <c r="H905" s="134"/>
      <c r="I905" s="300"/>
      <c r="J905" s="299"/>
      <c r="K905" s="300"/>
      <c r="L905" s="300"/>
      <c r="M905" s="134"/>
      <c r="N905" s="300"/>
      <c r="O905" s="299"/>
      <c r="P905" s="134"/>
      <c r="Q905" s="301"/>
      <c r="R905" s="134"/>
      <c r="S905" s="300"/>
      <c r="T905" s="132"/>
      <c r="U905" s="311"/>
      <c r="V905" s="132"/>
    </row>
    <row r="906" spans="1:22" x14ac:dyDescent="0.2">
      <c r="A906" s="144"/>
      <c r="B906" s="144"/>
      <c r="C906" s="303"/>
      <c r="D906" s="303"/>
      <c r="E906" s="303"/>
      <c r="F906" s="303"/>
      <c r="G906" s="303"/>
      <c r="H906" s="119"/>
      <c r="I906" s="303"/>
      <c r="J906" s="302"/>
      <c r="K906" s="303"/>
      <c r="L906" s="303"/>
      <c r="M906" s="119"/>
      <c r="N906" s="303"/>
      <c r="O906" s="302"/>
      <c r="P906" s="119"/>
      <c r="Q906" s="173"/>
      <c r="R906" s="119"/>
      <c r="S906" s="303"/>
      <c r="T906" s="117"/>
      <c r="U906" s="312"/>
      <c r="V906" s="1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Y17011"/>
  <sheetViews>
    <sheetView workbookViewId="0">
      <selection sqref="A1:XFD1048576"/>
    </sheetView>
  </sheetViews>
  <sheetFormatPr defaultColWidth="9" defaultRowHeight="12.75" x14ac:dyDescent="0.2"/>
  <cols>
    <col min="1" max="1" width="6.875" style="10" customWidth="1"/>
    <col min="2" max="2" width="30.25" style="496" customWidth="1"/>
    <col min="3" max="3" width="9.5" style="496" customWidth="1"/>
    <col min="4" max="4" width="7.375" style="66" customWidth="1"/>
    <col min="5" max="8" width="7.75" style="496" customWidth="1"/>
    <col min="9" max="9" width="13.5" style="496" customWidth="1"/>
    <col min="10" max="13" width="6.75" style="496" customWidth="1"/>
    <col min="14" max="14" width="14" style="496" customWidth="1"/>
    <col min="15" max="17" width="6.875" style="496" customWidth="1"/>
    <col min="18" max="18" width="13.875" style="496" customWidth="1"/>
    <col min="19" max="19" width="12.5" style="496" customWidth="1"/>
    <col min="20" max="20" width="15.5" style="496" customWidth="1"/>
    <col min="21" max="21" width="6.25" style="496" customWidth="1"/>
    <col min="22" max="22" width="7.625" style="496" customWidth="1"/>
    <col min="23" max="23" width="10.875" style="496" customWidth="1"/>
    <col min="24" max="25" width="11" style="496" customWidth="1"/>
    <col min="26" max="26" width="7.75" style="496" customWidth="1"/>
    <col min="27" max="27" width="7.5" style="496" customWidth="1"/>
    <col min="28" max="28" width="7.75" style="496" customWidth="1"/>
    <col min="29" max="29" width="9.5" style="496" customWidth="1"/>
    <col min="30" max="30" width="7.75" style="496" customWidth="1"/>
    <col min="31" max="31" width="29" style="496" bestFit="1" customWidth="1"/>
    <col min="32" max="32" width="29.75" style="496" bestFit="1" customWidth="1"/>
    <col min="33" max="33" width="27.875" style="496" bestFit="1" customWidth="1"/>
    <col min="34" max="34" width="28.5" style="496" bestFit="1" customWidth="1"/>
    <col min="35" max="35" width="17.875" style="496" bestFit="1" customWidth="1"/>
    <col min="36" max="36" width="18.5" style="496" bestFit="1" customWidth="1"/>
    <col min="37" max="37" width="16.5" style="496" bestFit="1" customWidth="1"/>
    <col min="38" max="80" width="3.5" style="496" bestFit="1" customWidth="1"/>
    <col min="81" max="314" width="4.5" style="496" bestFit="1" customWidth="1"/>
    <col min="315" max="337" width="5.5" style="496" bestFit="1" customWidth="1"/>
    <col min="338" max="338" width="6.625" style="496" bestFit="1" customWidth="1"/>
    <col min="339" max="339" width="11" style="496" bestFit="1" customWidth="1"/>
    <col min="340" max="16384" width="9" style="496"/>
  </cols>
  <sheetData>
    <row r="3" spans="1:25" x14ac:dyDescent="0.2">
      <c r="B3" s="10"/>
      <c r="D3" s="496"/>
    </row>
    <row r="4" spans="1:25" x14ac:dyDescent="0.2">
      <c r="B4" s="10"/>
      <c r="D4" s="496"/>
      <c r="T4" s="124"/>
      <c r="V4" s="249"/>
      <c r="W4" s="250"/>
    </row>
    <row r="5" spans="1:25" x14ac:dyDescent="0.2">
      <c r="D5" s="496"/>
      <c r="T5" s="124"/>
      <c r="V5" s="249"/>
      <c r="W5" s="250"/>
    </row>
    <row r="6" spans="1:25" x14ac:dyDescent="0.2">
      <c r="A6" s="131"/>
      <c r="B6" s="135"/>
      <c r="C6" s="136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8"/>
    </row>
    <row r="7" spans="1:25" x14ac:dyDescent="0.2">
      <c r="A7" s="252"/>
      <c r="B7" s="125"/>
      <c r="C7" s="126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8"/>
    </row>
    <row r="8" spans="1:25" s="123" customFormat="1" x14ac:dyDescent="0.2">
      <c r="A8" s="252"/>
      <c r="B8" s="139"/>
      <c r="C8" s="120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2"/>
      <c r="X8" s="496"/>
      <c r="Y8" s="496"/>
    </row>
    <row r="9" spans="1:25" x14ac:dyDescent="0.2">
      <c r="A9" s="252"/>
      <c r="B9" s="135"/>
      <c r="C9" s="136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8"/>
    </row>
    <row r="10" spans="1:25" x14ac:dyDescent="0.2">
      <c r="A10" s="252"/>
      <c r="B10" s="125"/>
      <c r="C10" s="126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8"/>
    </row>
    <row r="11" spans="1:25" s="123" customFormat="1" x14ac:dyDescent="0.2">
      <c r="A11" s="252"/>
      <c r="B11" s="139"/>
      <c r="C11" s="120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2"/>
      <c r="X11" s="496"/>
      <c r="Y11" s="496"/>
    </row>
    <row r="12" spans="1:25" x14ac:dyDescent="0.2">
      <c r="A12" s="252"/>
      <c r="B12" s="135"/>
      <c r="C12" s="136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8"/>
    </row>
    <row r="13" spans="1:25" x14ac:dyDescent="0.2">
      <c r="A13" s="252"/>
      <c r="B13" s="125"/>
      <c r="C13" s="126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8"/>
    </row>
    <row r="14" spans="1:25" s="123" customFormat="1" x14ac:dyDescent="0.2">
      <c r="A14" s="252"/>
      <c r="B14" s="139"/>
      <c r="C14" s="120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2"/>
      <c r="X14" s="496"/>
      <c r="Y14" s="496"/>
    </row>
    <row r="15" spans="1:25" x14ac:dyDescent="0.2">
      <c r="A15" s="252"/>
      <c r="B15" s="135"/>
      <c r="C15" s="136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8"/>
    </row>
    <row r="16" spans="1:25" ht="13.5" thickBot="1" x14ac:dyDescent="0.25">
      <c r="A16" s="252"/>
      <c r="B16" s="125"/>
      <c r="C16" s="126"/>
      <c r="D16" s="785"/>
      <c r="E16" s="127"/>
      <c r="F16" s="785"/>
      <c r="G16" s="785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8"/>
    </row>
    <row r="17" spans="1:25" s="123" customFormat="1" ht="13.5" thickBot="1" x14ac:dyDescent="0.25">
      <c r="A17" s="252"/>
      <c r="B17" s="139"/>
      <c r="C17" s="120"/>
      <c r="D17" s="789"/>
      <c r="E17" s="121"/>
      <c r="F17" s="789"/>
      <c r="G17" s="789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2"/>
      <c r="X17" s="496"/>
      <c r="Y17" s="496"/>
    </row>
    <row r="18" spans="1:25" x14ac:dyDescent="0.2">
      <c r="A18" s="252"/>
      <c r="B18" s="135"/>
      <c r="C18" s="136"/>
      <c r="D18" s="785"/>
      <c r="E18" s="137"/>
      <c r="F18" s="785"/>
      <c r="G18" s="785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8"/>
    </row>
    <row r="19" spans="1:25" x14ac:dyDescent="0.2">
      <c r="A19" s="252"/>
      <c r="B19" s="125"/>
      <c r="C19" s="126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8"/>
    </row>
    <row r="20" spans="1:25" s="123" customFormat="1" x14ac:dyDescent="0.2">
      <c r="A20" s="251"/>
      <c r="B20" s="139"/>
      <c r="C20" s="120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2"/>
      <c r="X20" s="496"/>
      <c r="Y20" s="496"/>
    </row>
    <row r="21" spans="1:25" x14ac:dyDescent="0.2">
      <c r="A21" s="131"/>
      <c r="B21" s="135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8"/>
    </row>
    <row r="22" spans="1:25" x14ac:dyDescent="0.2">
      <c r="A22" s="252"/>
      <c r="B22" s="125"/>
      <c r="C22" s="126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8"/>
    </row>
    <row r="23" spans="1:25" s="123" customFormat="1" x14ac:dyDescent="0.2">
      <c r="A23" s="252"/>
      <c r="B23" s="139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2"/>
      <c r="X23" s="496"/>
      <c r="Y23" s="496"/>
    </row>
    <row r="24" spans="1:25" x14ac:dyDescent="0.2">
      <c r="A24" s="252"/>
      <c r="B24" s="135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8"/>
    </row>
    <row r="25" spans="1:25" ht="13.5" thickBot="1" x14ac:dyDescent="0.25">
      <c r="A25" s="252"/>
      <c r="B25" s="125"/>
      <c r="C25" s="126"/>
      <c r="D25" s="127"/>
      <c r="E25" s="127"/>
      <c r="F25" s="127"/>
      <c r="G25" s="785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8"/>
    </row>
    <row r="26" spans="1:25" s="123" customFormat="1" ht="13.5" thickBot="1" x14ac:dyDescent="0.25">
      <c r="A26" s="252"/>
      <c r="B26" s="139"/>
      <c r="C26" s="120"/>
      <c r="D26" s="121"/>
      <c r="E26" s="121"/>
      <c r="F26" s="121"/>
      <c r="G26" s="789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2"/>
      <c r="X26" s="496"/>
      <c r="Y26" s="496"/>
    </row>
    <row r="27" spans="1:25" x14ac:dyDescent="0.2">
      <c r="A27" s="252"/>
      <c r="B27" s="135"/>
      <c r="C27" s="136"/>
      <c r="D27" s="137"/>
      <c r="E27" s="137"/>
      <c r="F27" s="137"/>
      <c r="G27" s="785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8"/>
    </row>
    <row r="28" spans="1:25" x14ac:dyDescent="0.2">
      <c r="A28" s="252"/>
      <c r="B28" s="125"/>
      <c r="C28" s="126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8"/>
    </row>
    <row r="29" spans="1:25" s="123" customFormat="1" x14ac:dyDescent="0.2">
      <c r="A29" s="252"/>
      <c r="B29" s="139"/>
      <c r="C29" s="120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2"/>
      <c r="X29" s="496"/>
      <c r="Y29" s="496"/>
    </row>
    <row r="30" spans="1:25" x14ac:dyDescent="0.2">
      <c r="A30" s="252"/>
      <c r="B30" s="135"/>
      <c r="C30" s="136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8"/>
    </row>
    <row r="31" spans="1:25" x14ac:dyDescent="0.2">
      <c r="A31" s="252"/>
      <c r="B31" s="125"/>
      <c r="C31" s="126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8"/>
    </row>
    <row r="32" spans="1:25" s="123" customFormat="1" x14ac:dyDescent="0.2">
      <c r="A32" s="252"/>
      <c r="B32" s="139"/>
      <c r="C32" s="120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2"/>
      <c r="X32" s="496"/>
      <c r="Y32" s="496"/>
    </row>
    <row r="33" spans="1:25" x14ac:dyDescent="0.2">
      <c r="A33" s="252"/>
      <c r="B33" s="135"/>
      <c r="C33" s="136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8"/>
    </row>
    <row r="34" spans="1:25" ht="13.5" thickBot="1" x14ac:dyDescent="0.25">
      <c r="A34" s="252"/>
      <c r="B34" s="125"/>
      <c r="C34" s="126"/>
      <c r="D34" s="127"/>
      <c r="E34" s="127"/>
      <c r="F34" s="127"/>
      <c r="G34" s="785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8"/>
    </row>
    <row r="35" spans="1:25" s="123" customFormat="1" ht="13.5" thickBot="1" x14ac:dyDescent="0.25">
      <c r="A35" s="251"/>
      <c r="B35" s="139"/>
      <c r="C35" s="120"/>
      <c r="D35" s="121"/>
      <c r="E35" s="121"/>
      <c r="F35" s="121"/>
      <c r="G35" s="789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2"/>
      <c r="X35" s="496"/>
      <c r="Y35" s="496"/>
    </row>
    <row r="36" spans="1:25" x14ac:dyDescent="0.2">
      <c r="A36" s="131"/>
      <c r="B36" s="135"/>
      <c r="C36" s="136"/>
      <c r="D36" s="137"/>
      <c r="E36" s="137"/>
      <c r="F36" s="137"/>
      <c r="G36" s="785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8"/>
    </row>
    <row r="37" spans="1:25" x14ac:dyDescent="0.2">
      <c r="A37" s="252"/>
      <c r="B37" s="125"/>
      <c r="C37" s="126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8"/>
    </row>
    <row r="38" spans="1:25" s="123" customFormat="1" x14ac:dyDescent="0.2">
      <c r="A38" s="252"/>
      <c r="B38" s="139"/>
      <c r="C38" s="120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2"/>
      <c r="X38" s="496"/>
      <c r="Y38" s="496"/>
    </row>
    <row r="39" spans="1:25" x14ac:dyDescent="0.2">
      <c r="A39" s="252"/>
      <c r="B39" s="135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8"/>
    </row>
    <row r="40" spans="1:25" x14ac:dyDescent="0.2">
      <c r="A40" s="252"/>
      <c r="B40" s="125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8"/>
    </row>
    <row r="41" spans="1:25" s="123" customFormat="1" x14ac:dyDescent="0.2">
      <c r="A41" s="252"/>
      <c r="B41" s="139"/>
      <c r="C41" s="120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2"/>
      <c r="X41" s="496"/>
      <c r="Y41" s="496"/>
    </row>
    <row r="42" spans="1:25" x14ac:dyDescent="0.2">
      <c r="A42" s="252"/>
      <c r="B42" s="135"/>
      <c r="C42" s="136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8"/>
    </row>
    <row r="43" spans="1:25" x14ac:dyDescent="0.2">
      <c r="A43" s="252"/>
      <c r="B43" s="125"/>
      <c r="C43" s="126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8"/>
    </row>
    <row r="44" spans="1:25" s="123" customFormat="1" x14ac:dyDescent="0.2">
      <c r="A44" s="252"/>
      <c r="B44" s="139"/>
      <c r="C44" s="120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2"/>
      <c r="X44" s="496"/>
      <c r="Y44" s="496"/>
    </row>
    <row r="45" spans="1:25" x14ac:dyDescent="0.2">
      <c r="A45" s="252"/>
      <c r="B45" s="135"/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8"/>
    </row>
    <row r="46" spans="1:25" x14ac:dyDescent="0.2">
      <c r="A46" s="252"/>
      <c r="B46" s="125"/>
      <c r="C46" s="126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8"/>
    </row>
    <row r="47" spans="1:25" s="123" customFormat="1" x14ac:dyDescent="0.2">
      <c r="A47" s="252"/>
      <c r="B47" s="139"/>
      <c r="C47" s="120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2"/>
      <c r="X47" s="496"/>
      <c r="Y47" s="496"/>
    </row>
    <row r="48" spans="1:25" x14ac:dyDescent="0.2">
      <c r="A48" s="252"/>
      <c r="B48" s="135"/>
      <c r="C48" s="136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8"/>
    </row>
    <row r="49" spans="1:25" x14ac:dyDescent="0.2">
      <c r="A49" s="252"/>
      <c r="B49" s="125"/>
      <c r="C49" s="126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8"/>
    </row>
    <row r="50" spans="1:25" s="123" customFormat="1" x14ac:dyDescent="0.2">
      <c r="A50" s="251"/>
      <c r="B50" s="139"/>
      <c r="C50" s="120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2"/>
      <c r="X50" s="496"/>
      <c r="Y50" s="496"/>
    </row>
    <row r="51" spans="1:25" x14ac:dyDescent="0.2">
      <c r="A51" s="131"/>
      <c r="B51" s="135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8"/>
    </row>
    <row r="52" spans="1:25" ht="13.5" thickBot="1" x14ac:dyDescent="0.25">
      <c r="A52" s="252"/>
      <c r="B52" s="125"/>
      <c r="C52" s="126"/>
      <c r="D52" s="127"/>
      <c r="E52" s="127"/>
      <c r="F52" s="127"/>
      <c r="G52" s="127"/>
      <c r="H52" s="127"/>
      <c r="I52" s="127"/>
      <c r="J52" s="785"/>
      <c r="K52" s="785"/>
      <c r="L52" s="785"/>
      <c r="M52" s="127"/>
      <c r="N52" s="785"/>
      <c r="O52" s="127"/>
      <c r="P52" s="127"/>
      <c r="Q52" s="127"/>
      <c r="R52" s="127"/>
      <c r="S52" s="127"/>
      <c r="T52" s="127"/>
      <c r="U52" s="127"/>
      <c r="V52" s="127"/>
      <c r="W52" s="128"/>
    </row>
    <row r="53" spans="1:25" s="123" customFormat="1" ht="13.5" thickBot="1" x14ac:dyDescent="0.25">
      <c r="A53" s="252"/>
      <c r="B53" s="139"/>
      <c r="C53" s="120"/>
      <c r="D53" s="121"/>
      <c r="E53" s="121"/>
      <c r="F53" s="121"/>
      <c r="G53" s="121"/>
      <c r="H53" s="121"/>
      <c r="I53" s="121"/>
      <c r="J53" s="844"/>
      <c r="K53" s="844"/>
      <c r="L53" s="844"/>
      <c r="M53" s="121"/>
      <c r="N53" s="844"/>
      <c r="O53" s="121"/>
      <c r="P53" s="121"/>
      <c r="Q53" s="121"/>
      <c r="R53" s="121"/>
      <c r="S53" s="121"/>
      <c r="T53" s="121"/>
      <c r="U53" s="121"/>
      <c r="V53" s="121"/>
      <c r="W53" s="122"/>
      <c r="X53" s="496"/>
      <c r="Y53" s="496"/>
    </row>
    <row r="54" spans="1:25" x14ac:dyDescent="0.2">
      <c r="A54" s="252"/>
      <c r="B54" s="135"/>
      <c r="C54" s="136"/>
      <c r="D54" s="137"/>
      <c r="E54" s="137"/>
      <c r="F54" s="137"/>
      <c r="G54" s="137"/>
      <c r="H54" s="137"/>
      <c r="I54" s="137"/>
      <c r="J54" s="785"/>
      <c r="K54" s="785"/>
      <c r="L54" s="785"/>
      <c r="M54" s="137"/>
      <c r="N54" s="785"/>
      <c r="O54" s="137"/>
      <c r="P54" s="137"/>
      <c r="Q54" s="137"/>
      <c r="R54" s="137"/>
      <c r="S54" s="137"/>
      <c r="T54" s="137"/>
      <c r="U54" s="137"/>
      <c r="V54" s="137"/>
      <c r="W54" s="138"/>
    </row>
    <row r="55" spans="1:25" x14ac:dyDescent="0.2">
      <c r="A55" s="252"/>
      <c r="B55" s="125"/>
      <c r="C55" s="126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8"/>
    </row>
    <row r="56" spans="1:25" s="123" customFormat="1" x14ac:dyDescent="0.2">
      <c r="A56" s="252"/>
      <c r="B56" s="139"/>
      <c r="C56" s="120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2"/>
      <c r="X56" s="496"/>
      <c r="Y56" s="496"/>
    </row>
    <row r="57" spans="1:25" x14ac:dyDescent="0.2">
      <c r="A57" s="252"/>
      <c r="B57" s="135"/>
      <c r="C57" s="136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8"/>
    </row>
    <row r="58" spans="1:25" x14ac:dyDescent="0.2">
      <c r="A58" s="252"/>
      <c r="B58" s="125"/>
      <c r="C58" s="126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8"/>
    </row>
    <row r="59" spans="1:25" s="123" customFormat="1" x14ac:dyDescent="0.2">
      <c r="A59" s="252"/>
      <c r="B59" s="139"/>
      <c r="C59" s="120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2"/>
      <c r="X59" s="496"/>
      <c r="Y59" s="496"/>
    </row>
    <row r="60" spans="1:25" x14ac:dyDescent="0.2">
      <c r="A60" s="252"/>
      <c r="B60" s="135"/>
      <c r="C60" s="136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8"/>
    </row>
    <row r="61" spans="1:25" ht="13.5" thickBot="1" x14ac:dyDescent="0.25">
      <c r="A61" s="252"/>
      <c r="B61" s="125"/>
      <c r="C61" s="126"/>
      <c r="D61" s="127"/>
      <c r="E61" s="785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8"/>
    </row>
    <row r="62" spans="1:25" s="123" customFormat="1" ht="13.5" thickBot="1" x14ac:dyDescent="0.25">
      <c r="A62" s="252"/>
      <c r="B62" s="139"/>
      <c r="C62" s="120"/>
      <c r="D62" s="121"/>
      <c r="E62" s="789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2"/>
      <c r="X62" s="496"/>
      <c r="Y62" s="496"/>
    </row>
    <row r="63" spans="1:25" x14ac:dyDescent="0.2">
      <c r="A63" s="252"/>
      <c r="B63" s="135"/>
      <c r="C63" s="136"/>
      <c r="D63" s="137"/>
      <c r="E63" s="785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8"/>
    </row>
    <row r="64" spans="1:25" ht="13.5" thickBot="1" x14ac:dyDescent="0.25">
      <c r="A64" s="252"/>
      <c r="B64" s="125"/>
      <c r="C64" s="126"/>
      <c r="D64" s="127"/>
      <c r="E64" s="785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8"/>
    </row>
    <row r="65" spans="1:25" s="123" customFormat="1" ht="13.5" thickBot="1" x14ac:dyDescent="0.25">
      <c r="A65" s="251"/>
      <c r="B65" s="139"/>
      <c r="C65" s="120"/>
      <c r="D65" s="121"/>
      <c r="E65" s="789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2"/>
      <c r="X65" s="496"/>
      <c r="Y65" s="496"/>
    </row>
    <row r="66" spans="1:25" x14ac:dyDescent="0.2">
      <c r="A66" s="131"/>
      <c r="B66" s="135"/>
      <c r="C66" s="136"/>
      <c r="D66" s="137"/>
      <c r="E66" s="785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8"/>
    </row>
    <row r="67" spans="1:25" ht="13.5" thickBot="1" x14ac:dyDescent="0.25">
      <c r="A67" s="252"/>
      <c r="B67" s="125"/>
      <c r="C67" s="126"/>
      <c r="D67" s="127"/>
      <c r="E67" s="127"/>
      <c r="F67" s="127"/>
      <c r="G67" s="127"/>
      <c r="H67" s="785"/>
      <c r="I67" s="127"/>
      <c r="J67" s="127"/>
      <c r="K67" s="127"/>
      <c r="L67" s="785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8"/>
    </row>
    <row r="68" spans="1:25" s="123" customFormat="1" ht="13.5" thickBot="1" x14ac:dyDescent="0.25">
      <c r="A68" s="252"/>
      <c r="B68" s="139"/>
      <c r="C68" s="120"/>
      <c r="D68" s="121"/>
      <c r="E68" s="121"/>
      <c r="F68" s="121"/>
      <c r="G68" s="121"/>
      <c r="H68" s="789"/>
      <c r="I68" s="121"/>
      <c r="J68" s="121"/>
      <c r="K68" s="121"/>
      <c r="L68" s="789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2"/>
      <c r="X68" s="496"/>
      <c r="Y68" s="496"/>
    </row>
    <row r="69" spans="1:25" x14ac:dyDescent="0.2">
      <c r="A69" s="252"/>
      <c r="B69" s="135"/>
      <c r="C69" s="136"/>
      <c r="D69" s="137"/>
      <c r="E69" s="137"/>
      <c r="F69" s="137"/>
      <c r="G69" s="137"/>
      <c r="H69" s="785"/>
      <c r="I69" s="137"/>
      <c r="J69" s="137"/>
      <c r="K69" s="137"/>
      <c r="L69" s="785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8"/>
    </row>
    <row r="70" spans="1:25" ht="13.5" thickBot="1" x14ac:dyDescent="0.25">
      <c r="A70" s="252"/>
      <c r="B70" s="125"/>
      <c r="C70" s="126"/>
      <c r="D70" s="127"/>
      <c r="E70" s="127"/>
      <c r="F70" s="127"/>
      <c r="G70" s="127"/>
      <c r="H70" s="785"/>
      <c r="I70" s="127"/>
      <c r="J70" s="127"/>
      <c r="K70" s="127"/>
      <c r="L70" s="785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8"/>
    </row>
    <row r="71" spans="1:25" s="123" customFormat="1" ht="13.5" thickBot="1" x14ac:dyDescent="0.25">
      <c r="A71" s="252"/>
      <c r="B71" s="139"/>
      <c r="C71" s="120"/>
      <c r="D71" s="121"/>
      <c r="E71" s="121"/>
      <c r="F71" s="121"/>
      <c r="G71" s="121"/>
      <c r="H71" s="789"/>
      <c r="I71" s="121"/>
      <c r="J71" s="121"/>
      <c r="K71" s="121"/>
      <c r="L71" s="789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2"/>
      <c r="X71" s="496"/>
      <c r="Y71" s="496"/>
    </row>
    <row r="72" spans="1:25" x14ac:dyDescent="0.2">
      <c r="A72" s="252"/>
      <c r="B72" s="135"/>
      <c r="C72" s="136"/>
      <c r="D72" s="137"/>
      <c r="E72" s="137"/>
      <c r="F72" s="137"/>
      <c r="G72" s="137"/>
      <c r="H72" s="785"/>
      <c r="I72" s="137"/>
      <c r="J72" s="137"/>
      <c r="K72" s="137"/>
      <c r="L72" s="785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</row>
    <row r="73" spans="1:25" x14ac:dyDescent="0.2">
      <c r="A73" s="252"/>
      <c r="B73" s="125"/>
      <c r="C73" s="126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8"/>
    </row>
    <row r="74" spans="1:25" s="123" customFormat="1" x14ac:dyDescent="0.2">
      <c r="A74" s="252"/>
      <c r="B74" s="139"/>
      <c r="C74" s="120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2"/>
      <c r="X74" s="496"/>
      <c r="Y74" s="496"/>
    </row>
    <row r="75" spans="1:25" x14ac:dyDescent="0.2">
      <c r="A75" s="252"/>
      <c r="B75" s="135"/>
      <c r="C75" s="136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8"/>
    </row>
    <row r="76" spans="1:25" x14ac:dyDescent="0.2">
      <c r="A76" s="252"/>
      <c r="B76" s="125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8"/>
    </row>
    <row r="77" spans="1:25" s="123" customFormat="1" x14ac:dyDescent="0.2">
      <c r="A77" s="252"/>
      <c r="B77" s="139"/>
      <c r="C77" s="120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2"/>
      <c r="X77" s="496"/>
      <c r="Y77" s="496"/>
    </row>
    <row r="78" spans="1:25" x14ac:dyDescent="0.2">
      <c r="A78" s="252"/>
      <c r="B78" s="135"/>
      <c r="C78" s="136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</row>
    <row r="79" spans="1:25" ht="13.5" thickBot="1" x14ac:dyDescent="0.25">
      <c r="A79" s="252"/>
      <c r="B79" s="125"/>
      <c r="C79" s="126"/>
      <c r="D79" s="127"/>
      <c r="E79" s="127"/>
      <c r="F79" s="127"/>
      <c r="G79" s="127"/>
      <c r="H79" s="785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8"/>
    </row>
    <row r="80" spans="1:25" s="123" customFormat="1" ht="13.5" thickBot="1" x14ac:dyDescent="0.25">
      <c r="A80" s="251"/>
      <c r="B80" s="139"/>
      <c r="C80" s="120"/>
      <c r="D80" s="121"/>
      <c r="E80" s="121"/>
      <c r="F80" s="121"/>
      <c r="G80" s="121"/>
      <c r="H80" s="789"/>
      <c r="I80" s="121"/>
      <c r="J80" s="121"/>
      <c r="K80" s="121"/>
      <c r="L80" s="789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2"/>
      <c r="X80" s="496"/>
      <c r="Y80" s="496"/>
    </row>
    <row r="81" spans="1:25" x14ac:dyDescent="0.2">
      <c r="A81" s="131"/>
      <c r="B81" s="135"/>
      <c r="C81" s="136"/>
      <c r="D81" s="137"/>
      <c r="E81" s="137"/>
      <c r="F81" s="137"/>
      <c r="G81" s="137"/>
      <c r="H81" s="785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8"/>
    </row>
    <row r="82" spans="1:25" x14ac:dyDescent="0.2">
      <c r="A82" s="252"/>
      <c r="B82" s="125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8"/>
    </row>
    <row r="83" spans="1:25" s="123" customFormat="1" x14ac:dyDescent="0.2">
      <c r="A83" s="252"/>
      <c r="B83" s="139"/>
      <c r="C83" s="120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2"/>
      <c r="X83" s="496"/>
      <c r="Y83" s="496"/>
    </row>
    <row r="84" spans="1:25" x14ac:dyDescent="0.2">
      <c r="A84" s="252"/>
      <c r="B84" s="135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8"/>
    </row>
    <row r="85" spans="1:25" x14ac:dyDescent="0.2">
      <c r="A85" s="252"/>
      <c r="B85" s="125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8"/>
    </row>
    <row r="86" spans="1:25" s="123" customFormat="1" x14ac:dyDescent="0.2">
      <c r="A86" s="252"/>
      <c r="B86" s="139"/>
      <c r="C86" s="120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2"/>
      <c r="X86" s="496"/>
      <c r="Y86" s="496"/>
    </row>
    <row r="87" spans="1:25" x14ac:dyDescent="0.2">
      <c r="A87" s="252"/>
      <c r="B87" s="135"/>
      <c r="C87" s="136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8"/>
    </row>
    <row r="88" spans="1:25" x14ac:dyDescent="0.2">
      <c r="A88" s="252"/>
      <c r="B88" s="125"/>
      <c r="C88" s="126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8"/>
    </row>
    <row r="89" spans="1:25" s="123" customFormat="1" x14ac:dyDescent="0.2">
      <c r="A89" s="252"/>
      <c r="B89" s="139"/>
      <c r="C89" s="120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2"/>
      <c r="X89" s="496"/>
      <c r="Y89" s="496"/>
    </row>
    <row r="90" spans="1:25" x14ac:dyDescent="0.2">
      <c r="A90" s="252"/>
      <c r="B90" s="135"/>
      <c r="C90" s="136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8"/>
    </row>
    <row r="91" spans="1:25" x14ac:dyDescent="0.2">
      <c r="A91" s="252"/>
      <c r="B91" s="125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8"/>
    </row>
    <row r="92" spans="1:25" s="123" customFormat="1" x14ac:dyDescent="0.2">
      <c r="A92" s="252"/>
      <c r="B92" s="139"/>
      <c r="C92" s="120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2"/>
      <c r="X92" s="496"/>
      <c r="Y92" s="496"/>
    </row>
    <row r="93" spans="1:25" x14ac:dyDescent="0.2">
      <c r="A93" s="252"/>
      <c r="B93" s="135"/>
      <c r="C93" s="136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8"/>
    </row>
    <row r="94" spans="1:25" x14ac:dyDescent="0.2">
      <c r="A94" s="252"/>
      <c r="B94" s="125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8"/>
    </row>
    <row r="95" spans="1:25" s="123" customFormat="1" x14ac:dyDescent="0.2">
      <c r="A95" s="251"/>
      <c r="B95" s="139"/>
      <c r="C95" s="120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2"/>
      <c r="X95" s="496"/>
      <c r="Y95" s="496"/>
    </row>
    <row r="96" spans="1:25" x14ac:dyDescent="0.2">
      <c r="A96" s="131"/>
      <c r="B96" s="135"/>
      <c r="C96" s="136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8"/>
    </row>
    <row r="97" spans="1:25" x14ac:dyDescent="0.2">
      <c r="A97" s="252"/>
      <c r="B97" s="125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8"/>
    </row>
    <row r="98" spans="1:25" s="123" customFormat="1" x14ac:dyDescent="0.2">
      <c r="A98" s="252"/>
      <c r="B98" s="139"/>
      <c r="C98" s="120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2"/>
      <c r="X98" s="496"/>
      <c r="Y98" s="496"/>
    </row>
    <row r="99" spans="1:25" x14ac:dyDescent="0.2">
      <c r="A99" s="252"/>
      <c r="B99" s="135"/>
      <c r="C99" s="136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8"/>
    </row>
    <row r="100" spans="1:25" x14ac:dyDescent="0.2">
      <c r="A100" s="252"/>
      <c r="B100" s="125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8"/>
    </row>
    <row r="101" spans="1:25" s="123" customFormat="1" x14ac:dyDescent="0.2">
      <c r="A101" s="252"/>
      <c r="B101" s="139"/>
      <c r="C101" s="120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2"/>
      <c r="X101" s="496"/>
      <c r="Y101" s="496"/>
    </row>
    <row r="102" spans="1:25" x14ac:dyDescent="0.2">
      <c r="A102" s="252"/>
      <c r="B102" s="135"/>
      <c r="C102" s="136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8"/>
    </row>
    <row r="103" spans="1:25" x14ac:dyDescent="0.2">
      <c r="A103" s="252"/>
      <c r="B103" s="125"/>
      <c r="C103" s="126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8"/>
    </row>
    <row r="104" spans="1:25" s="123" customFormat="1" x14ac:dyDescent="0.2">
      <c r="A104" s="252"/>
      <c r="B104" s="139"/>
      <c r="C104" s="120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2"/>
      <c r="X104" s="496"/>
      <c r="Y104" s="496"/>
    </row>
    <row r="105" spans="1:25" x14ac:dyDescent="0.2">
      <c r="A105" s="252"/>
      <c r="B105" s="135"/>
      <c r="C105" s="136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8"/>
    </row>
    <row r="106" spans="1:25" x14ac:dyDescent="0.2">
      <c r="A106" s="252"/>
      <c r="B106" s="125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8"/>
    </row>
    <row r="107" spans="1:25" s="123" customFormat="1" x14ac:dyDescent="0.2">
      <c r="A107" s="252"/>
      <c r="B107" s="139"/>
      <c r="C107" s="120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2"/>
      <c r="X107" s="496"/>
      <c r="Y107" s="496"/>
    </row>
    <row r="108" spans="1:25" x14ac:dyDescent="0.2">
      <c r="A108" s="252"/>
      <c r="B108" s="135"/>
      <c r="C108" s="136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8"/>
    </row>
    <row r="109" spans="1:25" ht="13.5" thickBot="1" x14ac:dyDescent="0.25">
      <c r="A109" s="252"/>
      <c r="B109" s="125"/>
      <c r="C109" s="126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8"/>
    </row>
    <row r="110" spans="1:25" s="123" customFormat="1" ht="13.5" thickBot="1" x14ac:dyDescent="0.25">
      <c r="A110" s="251"/>
      <c r="B110" s="139"/>
      <c r="C110" s="120"/>
      <c r="D110" s="121"/>
      <c r="E110" s="121"/>
      <c r="F110" s="121"/>
      <c r="G110" s="121"/>
      <c r="H110" s="789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2"/>
      <c r="X110" s="496"/>
      <c r="Y110" s="496"/>
    </row>
    <row r="111" spans="1:25" x14ac:dyDescent="0.2">
      <c r="A111" s="131"/>
      <c r="B111" s="135"/>
      <c r="C111" s="136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8"/>
    </row>
    <row r="112" spans="1:25" ht="13.5" thickBot="1" x14ac:dyDescent="0.25">
      <c r="A112" s="252"/>
      <c r="B112" s="125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8"/>
    </row>
    <row r="113" spans="1:25" s="123" customFormat="1" ht="13.5" thickBot="1" x14ac:dyDescent="0.25">
      <c r="A113" s="252"/>
      <c r="B113" s="139"/>
      <c r="C113" s="120"/>
      <c r="D113" s="121"/>
      <c r="E113" s="121"/>
      <c r="F113" s="121"/>
      <c r="G113" s="789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789"/>
      <c r="T113" s="121"/>
      <c r="U113" s="121"/>
      <c r="V113" s="121"/>
      <c r="W113" s="122"/>
      <c r="X113" s="496"/>
      <c r="Y113" s="496"/>
    </row>
    <row r="114" spans="1:25" x14ac:dyDescent="0.2">
      <c r="A114" s="252"/>
      <c r="B114" s="135"/>
      <c r="C114" s="136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8"/>
    </row>
    <row r="115" spans="1:25" ht="13.5" thickBot="1" x14ac:dyDescent="0.25">
      <c r="A115" s="252"/>
      <c r="B115" s="125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8"/>
    </row>
    <row r="116" spans="1:25" s="123" customFormat="1" ht="13.5" thickBot="1" x14ac:dyDescent="0.25">
      <c r="A116" s="252"/>
      <c r="B116" s="139"/>
      <c r="C116" s="120"/>
      <c r="D116" s="789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2"/>
      <c r="X116" s="496"/>
      <c r="Y116" s="496"/>
    </row>
    <row r="117" spans="1:25" x14ac:dyDescent="0.2">
      <c r="A117" s="252"/>
      <c r="B117" s="135"/>
      <c r="C117" s="136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8"/>
    </row>
    <row r="118" spans="1:25" x14ac:dyDescent="0.2">
      <c r="A118" s="252"/>
      <c r="B118" s="125"/>
      <c r="C118" s="126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8"/>
    </row>
    <row r="119" spans="1:25" s="123" customFormat="1" x14ac:dyDescent="0.2">
      <c r="A119" s="252"/>
      <c r="B119" s="139"/>
      <c r="C119" s="120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2"/>
      <c r="X119" s="496"/>
      <c r="Y119" s="496"/>
    </row>
    <row r="120" spans="1:25" x14ac:dyDescent="0.2">
      <c r="A120" s="252"/>
      <c r="B120" s="135"/>
      <c r="C120" s="136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8"/>
    </row>
    <row r="121" spans="1:25" x14ac:dyDescent="0.2">
      <c r="A121" s="252"/>
      <c r="B121" s="125"/>
      <c r="C121" s="126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8"/>
    </row>
    <row r="122" spans="1:25" s="123" customFormat="1" x14ac:dyDescent="0.2">
      <c r="A122" s="252"/>
      <c r="B122" s="139"/>
      <c r="C122" s="120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2"/>
      <c r="X122" s="496"/>
      <c r="Y122" s="496"/>
    </row>
    <row r="123" spans="1:25" x14ac:dyDescent="0.2">
      <c r="A123" s="252"/>
      <c r="B123" s="135"/>
      <c r="C123" s="136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8"/>
    </row>
    <row r="124" spans="1:25" ht="13.5" thickBot="1" x14ac:dyDescent="0.25">
      <c r="A124" s="252"/>
      <c r="B124" s="125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8"/>
    </row>
    <row r="125" spans="1:25" s="123" customFormat="1" ht="13.5" thickBot="1" x14ac:dyDescent="0.25">
      <c r="A125" s="251"/>
      <c r="B125" s="139"/>
      <c r="C125" s="120"/>
      <c r="D125" s="789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2"/>
      <c r="X125" s="496"/>
      <c r="Y125" s="496"/>
    </row>
    <row r="126" spans="1:25" x14ac:dyDescent="0.2">
      <c r="A126" s="131"/>
      <c r="B126" s="135"/>
      <c r="C126" s="136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8"/>
    </row>
    <row r="127" spans="1:25" ht="13.5" thickBot="1" x14ac:dyDescent="0.25">
      <c r="A127" s="252"/>
      <c r="B127" s="125"/>
      <c r="C127" s="126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8"/>
    </row>
    <row r="128" spans="1:25" s="123" customFormat="1" ht="13.5" thickBot="1" x14ac:dyDescent="0.25">
      <c r="A128" s="252"/>
      <c r="B128" s="139"/>
      <c r="C128" s="120"/>
      <c r="D128" s="121"/>
      <c r="E128" s="121"/>
      <c r="F128" s="121"/>
      <c r="G128" s="789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2"/>
      <c r="X128" s="496"/>
      <c r="Y128" s="496"/>
    </row>
    <row r="129" spans="1:25" x14ac:dyDescent="0.2">
      <c r="A129" s="252"/>
      <c r="B129" s="135"/>
      <c r="C129" s="136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8"/>
    </row>
    <row r="130" spans="1:25" x14ac:dyDescent="0.2">
      <c r="A130" s="252"/>
      <c r="B130" s="125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8"/>
    </row>
    <row r="131" spans="1:25" s="123" customFormat="1" x14ac:dyDescent="0.2">
      <c r="A131" s="252"/>
      <c r="B131" s="139"/>
      <c r="C131" s="120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2"/>
      <c r="X131" s="496"/>
      <c r="Y131" s="496"/>
    </row>
    <row r="132" spans="1:25" x14ac:dyDescent="0.2">
      <c r="A132" s="252"/>
      <c r="B132" s="135"/>
      <c r="C132" s="136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8"/>
    </row>
    <row r="133" spans="1:25" x14ac:dyDescent="0.2">
      <c r="A133" s="252"/>
      <c r="B133" s="125"/>
      <c r="C133" s="126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8"/>
    </row>
    <row r="134" spans="1:25" s="123" customFormat="1" x14ac:dyDescent="0.2">
      <c r="A134" s="252"/>
      <c r="B134" s="139"/>
      <c r="C134" s="120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2"/>
      <c r="X134" s="496"/>
      <c r="Y134" s="496"/>
    </row>
    <row r="135" spans="1:25" x14ac:dyDescent="0.2">
      <c r="A135" s="252"/>
      <c r="B135" s="135"/>
      <c r="C135" s="136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8"/>
    </row>
    <row r="136" spans="1:25" x14ac:dyDescent="0.2">
      <c r="A136" s="252"/>
      <c r="B136" s="125"/>
      <c r="C136" s="126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8"/>
    </row>
    <row r="137" spans="1:25" s="123" customFormat="1" x14ac:dyDescent="0.2">
      <c r="A137" s="252"/>
      <c r="B137" s="139"/>
      <c r="C137" s="120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2"/>
      <c r="X137" s="496"/>
      <c r="Y137" s="496"/>
    </row>
    <row r="138" spans="1:25" x14ac:dyDescent="0.2">
      <c r="A138" s="252"/>
      <c r="B138" s="135"/>
      <c r="C138" s="136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8"/>
    </row>
    <row r="139" spans="1:25" x14ac:dyDescent="0.2">
      <c r="A139" s="252"/>
      <c r="B139" s="125"/>
      <c r="C139" s="126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8"/>
    </row>
    <row r="140" spans="1:25" s="123" customFormat="1" x14ac:dyDescent="0.2">
      <c r="A140" s="251"/>
      <c r="B140" s="139"/>
      <c r="C140" s="120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2"/>
      <c r="X140" s="496"/>
      <c r="Y140" s="496"/>
    </row>
    <row r="141" spans="1:25" x14ac:dyDescent="0.2">
      <c r="A141" s="131"/>
      <c r="B141" s="135"/>
      <c r="C141" s="136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8"/>
    </row>
    <row r="142" spans="1:25" x14ac:dyDescent="0.2">
      <c r="A142" s="252"/>
      <c r="B142" s="125"/>
      <c r="C142" s="126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8"/>
    </row>
    <row r="143" spans="1:25" s="123" customFormat="1" x14ac:dyDescent="0.2">
      <c r="A143" s="252"/>
      <c r="B143" s="139"/>
      <c r="C143" s="120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2"/>
      <c r="X143" s="496"/>
      <c r="Y143" s="496"/>
    </row>
    <row r="144" spans="1:25" x14ac:dyDescent="0.2">
      <c r="A144" s="252"/>
      <c r="B144" s="135"/>
      <c r="C144" s="136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8"/>
    </row>
    <row r="145" spans="1:25" x14ac:dyDescent="0.2">
      <c r="A145" s="252"/>
      <c r="B145" s="125"/>
      <c r="C145" s="126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8"/>
    </row>
    <row r="146" spans="1:25" s="123" customFormat="1" x14ac:dyDescent="0.2">
      <c r="A146" s="252"/>
      <c r="B146" s="139"/>
      <c r="C146" s="120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2"/>
      <c r="X146" s="496"/>
      <c r="Y146" s="496"/>
    </row>
    <row r="147" spans="1:25" x14ac:dyDescent="0.2">
      <c r="A147" s="252"/>
      <c r="B147" s="135"/>
      <c r="C147" s="136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8"/>
    </row>
    <row r="148" spans="1:25" ht="13.5" thickBot="1" x14ac:dyDescent="0.25">
      <c r="A148" s="252"/>
      <c r="B148" s="125"/>
      <c r="C148" s="126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8"/>
    </row>
    <row r="149" spans="1:25" s="123" customFormat="1" ht="13.5" thickBot="1" x14ac:dyDescent="0.25">
      <c r="A149" s="252"/>
      <c r="B149" s="139"/>
      <c r="C149" s="120"/>
      <c r="D149" s="121"/>
      <c r="E149" s="121"/>
      <c r="F149" s="121"/>
      <c r="G149" s="121"/>
      <c r="H149" s="789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2"/>
      <c r="X149" s="496"/>
      <c r="Y149" s="496"/>
    </row>
    <row r="150" spans="1:25" x14ac:dyDescent="0.2">
      <c r="A150" s="252"/>
      <c r="B150" s="135"/>
      <c r="C150" s="136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8"/>
    </row>
    <row r="151" spans="1:25" x14ac:dyDescent="0.2">
      <c r="A151" s="252"/>
      <c r="B151" s="125"/>
      <c r="C151" s="126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8"/>
    </row>
    <row r="152" spans="1:25" s="123" customFormat="1" x14ac:dyDescent="0.2">
      <c r="A152" s="252"/>
      <c r="B152" s="139"/>
      <c r="C152" s="120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2"/>
      <c r="X152" s="496"/>
      <c r="Y152" s="496"/>
    </row>
    <row r="153" spans="1:25" x14ac:dyDescent="0.2">
      <c r="A153" s="252"/>
      <c r="B153" s="135"/>
      <c r="C153" s="136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8"/>
    </row>
    <row r="154" spans="1:25" ht="13.5" thickBot="1" x14ac:dyDescent="0.25">
      <c r="A154" s="252"/>
      <c r="B154" s="125"/>
      <c r="C154" s="126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8"/>
    </row>
    <row r="155" spans="1:25" s="123" customFormat="1" ht="13.5" thickBot="1" x14ac:dyDescent="0.25">
      <c r="A155" s="251"/>
      <c r="B155" s="139"/>
      <c r="C155" s="120"/>
      <c r="D155" s="121"/>
      <c r="E155" s="121"/>
      <c r="F155" s="121"/>
      <c r="G155" s="121"/>
      <c r="H155" s="789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2"/>
      <c r="X155" s="496"/>
      <c r="Y155" s="496"/>
    </row>
    <row r="156" spans="1:25" x14ac:dyDescent="0.2">
      <c r="A156" s="131"/>
      <c r="B156" s="135"/>
      <c r="C156" s="136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8"/>
    </row>
    <row r="157" spans="1:25" ht="13.5" thickBot="1" x14ac:dyDescent="0.25">
      <c r="A157" s="252"/>
      <c r="B157" s="125"/>
      <c r="C157" s="126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8"/>
    </row>
    <row r="158" spans="1:25" s="123" customFormat="1" ht="13.5" thickBot="1" x14ac:dyDescent="0.25">
      <c r="A158" s="252"/>
      <c r="B158" s="139"/>
      <c r="C158" s="120"/>
      <c r="D158" s="121"/>
      <c r="E158" s="121"/>
      <c r="F158" s="121"/>
      <c r="G158" s="121"/>
      <c r="H158" s="121"/>
      <c r="I158" s="121"/>
      <c r="J158" s="789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2"/>
      <c r="X158" s="496"/>
      <c r="Y158" s="496"/>
    </row>
    <row r="159" spans="1:25" x14ac:dyDescent="0.2">
      <c r="A159" s="252"/>
      <c r="B159" s="135"/>
      <c r="C159" s="136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8"/>
    </row>
    <row r="160" spans="1:25" ht="13.5" thickBot="1" x14ac:dyDescent="0.25">
      <c r="A160" s="252"/>
      <c r="B160" s="125"/>
      <c r="C160" s="126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8"/>
    </row>
    <row r="161" spans="1:25" s="123" customFormat="1" ht="13.5" thickBot="1" x14ac:dyDescent="0.25">
      <c r="A161" s="252"/>
      <c r="B161" s="139"/>
      <c r="C161" s="120"/>
      <c r="D161" s="121"/>
      <c r="E161" s="121"/>
      <c r="F161" s="121"/>
      <c r="G161" s="121"/>
      <c r="H161" s="789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2"/>
      <c r="X161" s="496"/>
      <c r="Y161" s="496"/>
    </row>
    <row r="162" spans="1:25" x14ac:dyDescent="0.2">
      <c r="A162" s="252"/>
      <c r="B162" s="135"/>
      <c r="C162" s="136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8"/>
    </row>
    <row r="163" spans="1:25" x14ac:dyDescent="0.2">
      <c r="A163" s="252"/>
      <c r="B163" s="125"/>
      <c r="C163" s="126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8"/>
    </row>
    <row r="164" spans="1:25" s="123" customFormat="1" x14ac:dyDescent="0.2">
      <c r="A164" s="252"/>
      <c r="B164" s="139"/>
      <c r="C164" s="120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2"/>
      <c r="X164" s="496"/>
      <c r="Y164" s="496"/>
    </row>
    <row r="165" spans="1:25" x14ac:dyDescent="0.2">
      <c r="A165" s="252"/>
      <c r="B165" s="135"/>
      <c r="C165" s="136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8"/>
    </row>
    <row r="166" spans="1:25" x14ac:dyDescent="0.2">
      <c r="A166" s="252"/>
      <c r="B166" s="125"/>
      <c r="C166" s="126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8"/>
    </row>
    <row r="167" spans="1:25" s="123" customFormat="1" x14ac:dyDescent="0.2">
      <c r="A167" s="252"/>
      <c r="B167" s="139"/>
      <c r="C167" s="120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2"/>
      <c r="X167" s="496"/>
      <c r="Y167" s="496"/>
    </row>
    <row r="168" spans="1:25" x14ac:dyDescent="0.2">
      <c r="A168" s="252"/>
      <c r="B168" s="135"/>
      <c r="C168" s="136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8"/>
    </row>
    <row r="169" spans="1:25" x14ac:dyDescent="0.2">
      <c r="A169" s="252"/>
      <c r="B169" s="125"/>
      <c r="C169" s="126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8"/>
    </row>
    <row r="170" spans="1:25" s="123" customFormat="1" x14ac:dyDescent="0.2">
      <c r="A170" s="251"/>
      <c r="B170" s="139"/>
      <c r="C170" s="120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2"/>
      <c r="X170" s="496"/>
      <c r="Y170" s="496"/>
    </row>
    <row r="171" spans="1:25" x14ac:dyDescent="0.2">
      <c r="A171" s="131"/>
      <c r="B171" s="135"/>
      <c r="C171" s="136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8"/>
    </row>
    <row r="172" spans="1:25" ht="13.5" thickBot="1" x14ac:dyDescent="0.25">
      <c r="A172" s="252"/>
      <c r="B172" s="125"/>
      <c r="C172" s="126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8"/>
    </row>
    <row r="173" spans="1:25" s="123" customFormat="1" ht="13.5" thickBot="1" x14ac:dyDescent="0.25">
      <c r="A173" s="252"/>
      <c r="B173" s="139"/>
      <c r="C173" s="120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789"/>
      <c r="T173" s="121"/>
      <c r="U173" s="121"/>
      <c r="V173" s="121"/>
      <c r="W173" s="122"/>
      <c r="X173" s="496"/>
      <c r="Y173" s="496"/>
    </row>
    <row r="174" spans="1:25" x14ac:dyDescent="0.2">
      <c r="A174" s="252"/>
      <c r="B174" s="135"/>
      <c r="C174" s="136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8"/>
    </row>
    <row r="175" spans="1:25" x14ac:dyDescent="0.2">
      <c r="A175" s="252"/>
      <c r="B175" s="125"/>
      <c r="C175" s="126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8"/>
    </row>
    <row r="176" spans="1:25" s="123" customFormat="1" x14ac:dyDescent="0.2">
      <c r="A176" s="252"/>
      <c r="B176" s="139"/>
      <c r="C176" s="120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2"/>
      <c r="X176" s="496"/>
      <c r="Y176" s="496"/>
    </row>
    <row r="177" spans="1:25" x14ac:dyDescent="0.2">
      <c r="A177" s="252"/>
      <c r="B177" s="135"/>
      <c r="C177" s="136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8"/>
    </row>
    <row r="178" spans="1:25" x14ac:dyDescent="0.2">
      <c r="A178" s="252"/>
      <c r="B178" s="125"/>
      <c r="C178" s="126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8"/>
    </row>
    <row r="179" spans="1:25" s="123" customFormat="1" x14ac:dyDescent="0.2">
      <c r="A179" s="252"/>
      <c r="B179" s="139"/>
      <c r="C179" s="120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2"/>
      <c r="X179" s="496"/>
      <c r="Y179" s="496"/>
    </row>
    <row r="180" spans="1:25" x14ac:dyDescent="0.2">
      <c r="A180" s="252"/>
      <c r="B180" s="135"/>
      <c r="C180" s="136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8"/>
    </row>
    <row r="181" spans="1:25" x14ac:dyDescent="0.2">
      <c r="A181" s="252"/>
      <c r="B181" s="125"/>
      <c r="C181" s="126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8"/>
    </row>
    <row r="182" spans="1:25" s="123" customFormat="1" x14ac:dyDescent="0.2">
      <c r="A182" s="252"/>
      <c r="B182" s="139"/>
      <c r="C182" s="120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2"/>
      <c r="X182" s="496"/>
      <c r="Y182" s="496"/>
    </row>
    <row r="183" spans="1:25" x14ac:dyDescent="0.2">
      <c r="A183" s="252"/>
      <c r="B183" s="135"/>
      <c r="C183" s="136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8"/>
    </row>
    <row r="184" spans="1:25" x14ac:dyDescent="0.2">
      <c r="A184" s="252"/>
      <c r="B184" s="125"/>
      <c r="C184" s="126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8"/>
    </row>
    <row r="185" spans="1:25" s="123" customFormat="1" x14ac:dyDescent="0.2">
      <c r="A185" s="251"/>
      <c r="B185" s="139"/>
      <c r="C185" s="120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2"/>
      <c r="X185" s="496"/>
      <c r="Y185" s="496"/>
    </row>
    <row r="186" spans="1:25" x14ac:dyDescent="0.2">
      <c r="A186" s="131"/>
      <c r="B186" s="135"/>
      <c r="C186" s="136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8"/>
    </row>
    <row r="187" spans="1:25" x14ac:dyDescent="0.2">
      <c r="A187" s="252"/>
      <c r="B187" s="125"/>
      <c r="C187" s="126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8"/>
    </row>
    <row r="188" spans="1:25" s="123" customFormat="1" x14ac:dyDescent="0.2">
      <c r="A188" s="252"/>
      <c r="B188" s="139"/>
      <c r="C188" s="120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2"/>
      <c r="X188" s="496"/>
      <c r="Y188" s="496"/>
    </row>
    <row r="189" spans="1:25" x14ac:dyDescent="0.2">
      <c r="A189" s="252"/>
      <c r="B189" s="135"/>
      <c r="C189" s="136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8"/>
    </row>
    <row r="190" spans="1:25" x14ac:dyDescent="0.2">
      <c r="A190" s="252"/>
      <c r="B190" s="125"/>
      <c r="C190" s="126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8"/>
    </row>
    <row r="191" spans="1:25" s="123" customFormat="1" x14ac:dyDescent="0.2">
      <c r="A191" s="252"/>
      <c r="B191" s="139"/>
      <c r="C191" s="120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2"/>
      <c r="X191" s="496"/>
      <c r="Y191" s="496"/>
    </row>
    <row r="192" spans="1:25" x14ac:dyDescent="0.2">
      <c r="A192" s="252"/>
      <c r="B192" s="135"/>
      <c r="C192" s="136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8"/>
    </row>
    <row r="193" spans="1:25" x14ac:dyDescent="0.2">
      <c r="A193" s="252"/>
      <c r="B193" s="125"/>
      <c r="C193" s="126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8"/>
    </row>
    <row r="194" spans="1:25" s="123" customFormat="1" x14ac:dyDescent="0.2">
      <c r="A194" s="252"/>
      <c r="B194" s="139"/>
      <c r="C194" s="120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2"/>
      <c r="X194" s="496"/>
      <c r="Y194" s="496"/>
    </row>
    <row r="195" spans="1:25" x14ac:dyDescent="0.2">
      <c r="A195" s="252"/>
      <c r="B195" s="135"/>
      <c r="C195" s="136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8"/>
    </row>
    <row r="196" spans="1:25" x14ac:dyDescent="0.2">
      <c r="A196" s="252"/>
      <c r="B196" s="125"/>
      <c r="C196" s="126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8"/>
    </row>
    <row r="197" spans="1:25" s="123" customFormat="1" x14ac:dyDescent="0.2">
      <c r="A197" s="252"/>
      <c r="B197" s="139"/>
      <c r="C197" s="120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2"/>
      <c r="X197" s="496"/>
      <c r="Y197" s="496"/>
    </row>
    <row r="198" spans="1:25" x14ac:dyDescent="0.2">
      <c r="A198" s="252"/>
      <c r="B198" s="135"/>
      <c r="C198" s="136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8"/>
    </row>
    <row r="199" spans="1:25" x14ac:dyDescent="0.2">
      <c r="A199" s="252"/>
      <c r="B199" s="125"/>
      <c r="C199" s="126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8"/>
    </row>
    <row r="200" spans="1:25" s="123" customFormat="1" x14ac:dyDescent="0.2">
      <c r="A200" s="251"/>
      <c r="B200" s="139"/>
      <c r="C200" s="120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2"/>
      <c r="X200" s="496"/>
      <c r="Y200" s="496"/>
    </row>
    <row r="201" spans="1:25" x14ac:dyDescent="0.2">
      <c r="A201" s="131"/>
      <c r="B201" s="135"/>
      <c r="C201" s="136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8"/>
    </row>
    <row r="202" spans="1:25" ht="13.5" thickBot="1" x14ac:dyDescent="0.25">
      <c r="A202" s="252"/>
      <c r="B202" s="125"/>
      <c r="C202" s="126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8"/>
    </row>
    <row r="203" spans="1:25" s="123" customFormat="1" ht="13.5" thickBot="1" x14ac:dyDescent="0.25">
      <c r="A203" s="252"/>
      <c r="B203" s="139"/>
      <c r="C203" s="120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789"/>
      <c r="T203" s="121"/>
      <c r="U203" s="121"/>
      <c r="V203" s="121"/>
      <c r="W203" s="122"/>
      <c r="X203" s="496"/>
      <c r="Y203" s="496"/>
    </row>
    <row r="204" spans="1:25" x14ac:dyDescent="0.2">
      <c r="A204" s="252"/>
      <c r="B204" s="135"/>
      <c r="C204" s="136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8"/>
    </row>
    <row r="205" spans="1:25" x14ac:dyDescent="0.2">
      <c r="A205" s="252"/>
      <c r="B205" s="125"/>
      <c r="C205" s="126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8"/>
    </row>
    <row r="206" spans="1:25" s="123" customFormat="1" x14ac:dyDescent="0.2">
      <c r="A206" s="252"/>
      <c r="B206" s="139"/>
      <c r="C206" s="120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2"/>
      <c r="X206" s="496"/>
      <c r="Y206" s="496"/>
    </row>
    <row r="207" spans="1:25" x14ac:dyDescent="0.2">
      <c r="A207" s="252"/>
      <c r="B207" s="135"/>
      <c r="C207" s="136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8"/>
    </row>
    <row r="208" spans="1:25" x14ac:dyDescent="0.2">
      <c r="A208" s="252"/>
      <c r="B208" s="125"/>
      <c r="C208" s="126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8"/>
    </row>
    <row r="209" spans="1:25" s="123" customFormat="1" x14ac:dyDescent="0.2">
      <c r="A209" s="252"/>
      <c r="B209" s="139"/>
      <c r="C209" s="120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2"/>
      <c r="X209" s="496"/>
      <c r="Y209" s="496"/>
    </row>
    <row r="210" spans="1:25" x14ac:dyDescent="0.2">
      <c r="A210" s="252"/>
      <c r="B210" s="135"/>
      <c r="C210" s="136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8"/>
    </row>
    <row r="211" spans="1:25" x14ac:dyDescent="0.2">
      <c r="A211" s="252"/>
      <c r="B211" s="125"/>
      <c r="C211" s="126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8"/>
    </row>
    <row r="212" spans="1:25" s="123" customFormat="1" x14ac:dyDescent="0.2">
      <c r="A212" s="252"/>
      <c r="B212" s="139"/>
      <c r="C212" s="120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2"/>
      <c r="X212" s="496"/>
      <c r="Y212" s="496"/>
    </row>
    <row r="213" spans="1:25" x14ac:dyDescent="0.2">
      <c r="A213" s="252"/>
      <c r="B213" s="135"/>
      <c r="C213" s="136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8"/>
    </row>
    <row r="214" spans="1:25" x14ac:dyDescent="0.2">
      <c r="A214" s="252"/>
      <c r="B214" s="125"/>
      <c r="C214" s="126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8"/>
    </row>
    <row r="215" spans="1:25" s="123" customFormat="1" x14ac:dyDescent="0.2">
      <c r="A215" s="251"/>
      <c r="B215" s="139"/>
      <c r="C215" s="120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2"/>
      <c r="X215" s="496"/>
      <c r="Y215" s="496"/>
    </row>
    <row r="216" spans="1:25" x14ac:dyDescent="0.2">
      <c r="A216" s="131"/>
      <c r="B216" s="135"/>
      <c r="C216" s="136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8"/>
    </row>
    <row r="217" spans="1:25" x14ac:dyDescent="0.2">
      <c r="A217" s="252"/>
      <c r="B217" s="125"/>
      <c r="C217" s="126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8"/>
    </row>
    <row r="218" spans="1:25" s="123" customFormat="1" x14ac:dyDescent="0.2">
      <c r="A218" s="252"/>
      <c r="B218" s="139"/>
      <c r="C218" s="120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2"/>
      <c r="X218" s="496"/>
      <c r="Y218" s="496"/>
    </row>
    <row r="219" spans="1:25" x14ac:dyDescent="0.2">
      <c r="A219" s="252"/>
      <c r="B219" s="135"/>
      <c r="C219" s="136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8"/>
    </row>
    <row r="220" spans="1:25" x14ac:dyDescent="0.2">
      <c r="A220" s="252"/>
      <c r="B220" s="125"/>
      <c r="C220" s="126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8"/>
    </row>
    <row r="221" spans="1:25" s="123" customFormat="1" x14ac:dyDescent="0.2">
      <c r="A221" s="252"/>
      <c r="B221" s="139"/>
      <c r="C221" s="120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2"/>
      <c r="X221" s="496"/>
      <c r="Y221" s="496"/>
    </row>
    <row r="222" spans="1:25" x14ac:dyDescent="0.2">
      <c r="A222" s="252"/>
      <c r="B222" s="135"/>
      <c r="C222" s="136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8"/>
    </row>
    <row r="223" spans="1:25" x14ac:dyDescent="0.2">
      <c r="A223" s="252"/>
      <c r="B223" s="125"/>
      <c r="C223" s="126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8"/>
    </row>
    <row r="224" spans="1:25" s="123" customFormat="1" x14ac:dyDescent="0.2">
      <c r="A224" s="252"/>
      <c r="B224" s="139"/>
      <c r="C224" s="120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2"/>
      <c r="X224" s="496"/>
      <c r="Y224" s="496"/>
    </row>
    <row r="225" spans="1:25" x14ac:dyDescent="0.2">
      <c r="A225" s="252"/>
      <c r="B225" s="135"/>
      <c r="C225" s="136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8"/>
    </row>
    <row r="226" spans="1:25" ht="13.5" thickBot="1" x14ac:dyDescent="0.25">
      <c r="A226" s="252"/>
      <c r="B226" s="125"/>
      <c r="C226" s="126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8"/>
    </row>
    <row r="227" spans="1:25" s="123" customFormat="1" ht="13.5" thickBot="1" x14ac:dyDescent="0.25">
      <c r="A227" s="252"/>
      <c r="B227" s="139"/>
      <c r="C227" s="120"/>
      <c r="D227" s="121"/>
      <c r="E227" s="121"/>
      <c r="F227" s="789"/>
      <c r="G227" s="789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2"/>
      <c r="X227" s="496"/>
      <c r="Y227" s="496"/>
    </row>
    <row r="228" spans="1:25" x14ac:dyDescent="0.2">
      <c r="A228" s="252"/>
      <c r="B228" s="135"/>
      <c r="C228" s="136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8"/>
    </row>
    <row r="229" spans="1:25" x14ac:dyDescent="0.2">
      <c r="A229" s="252"/>
      <c r="B229" s="125"/>
      <c r="C229" s="126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8"/>
    </row>
    <row r="230" spans="1:25" s="123" customFormat="1" x14ac:dyDescent="0.2">
      <c r="A230" s="251"/>
      <c r="B230" s="139"/>
      <c r="C230" s="120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2"/>
      <c r="X230" s="496"/>
      <c r="Y230" s="496"/>
    </row>
    <row r="231" spans="1:25" x14ac:dyDescent="0.2">
      <c r="A231" s="131"/>
      <c r="B231" s="135"/>
      <c r="C231" s="136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8"/>
    </row>
    <row r="232" spans="1:25" ht="13.5" thickBot="1" x14ac:dyDescent="0.25">
      <c r="A232" s="252"/>
      <c r="B232" s="125"/>
      <c r="C232" s="126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8"/>
    </row>
    <row r="233" spans="1:25" s="123" customFormat="1" ht="13.5" thickBot="1" x14ac:dyDescent="0.25">
      <c r="A233" s="252"/>
      <c r="B233" s="139"/>
      <c r="C233" s="120"/>
      <c r="D233" s="121"/>
      <c r="E233" s="121"/>
      <c r="F233" s="121"/>
      <c r="G233" s="121"/>
      <c r="H233" s="121"/>
      <c r="I233" s="121"/>
      <c r="J233" s="789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2"/>
      <c r="X233" s="496"/>
      <c r="Y233" s="496"/>
    </row>
    <row r="234" spans="1:25" x14ac:dyDescent="0.2">
      <c r="A234" s="252"/>
      <c r="B234" s="135"/>
      <c r="C234" s="136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8"/>
    </row>
    <row r="235" spans="1:25" x14ac:dyDescent="0.2">
      <c r="A235" s="252"/>
      <c r="B235" s="125"/>
      <c r="C235" s="126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8"/>
    </row>
    <row r="236" spans="1:25" s="123" customFormat="1" x14ac:dyDescent="0.2">
      <c r="A236" s="252"/>
      <c r="B236" s="139"/>
      <c r="C236" s="120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2"/>
      <c r="X236" s="496"/>
      <c r="Y236" s="496"/>
    </row>
    <row r="237" spans="1:25" x14ac:dyDescent="0.2">
      <c r="A237" s="252"/>
      <c r="B237" s="135"/>
      <c r="C237" s="136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8"/>
    </row>
    <row r="238" spans="1:25" x14ac:dyDescent="0.2">
      <c r="A238" s="252"/>
      <c r="B238" s="125"/>
      <c r="C238" s="126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8"/>
    </row>
    <row r="239" spans="1:25" s="123" customFormat="1" x14ac:dyDescent="0.2">
      <c r="A239" s="252"/>
      <c r="B239" s="139"/>
      <c r="C239" s="120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2"/>
      <c r="X239" s="496"/>
      <c r="Y239" s="496"/>
    </row>
    <row r="240" spans="1:25" x14ac:dyDescent="0.2">
      <c r="A240" s="252"/>
      <c r="B240" s="135"/>
      <c r="C240" s="136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8"/>
    </row>
    <row r="241" spans="1:25" x14ac:dyDescent="0.2">
      <c r="A241" s="252"/>
      <c r="B241" s="125"/>
      <c r="C241" s="126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8"/>
    </row>
    <row r="242" spans="1:25" s="123" customFormat="1" x14ac:dyDescent="0.2">
      <c r="A242" s="252"/>
      <c r="B242" s="139"/>
      <c r="C242" s="120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2"/>
      <c r="X242" s="496"/>
      <c r="Y242" s="496"/>
    </row>
    <row r="243" spans="1:25" x14ac:dyDescent="0.2">
      <c r="A243" s="252"/>
      <c r="B243" s="135"/>
      <c r="C243" s="136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8"/>
    </row>
    <row r="244" spans="1:25" x14ac:dyDescent="0.2">
      <c r="A244" s="252"/>
      <c r="B244" s="125"/>
      <c r="C244" s="126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8"/>
    </row>
    <row r="245" spans="1:25" s="123" customFormat="1" x14ac:dyDescent="0.2">
      <c r="A245" s="251"/>
      <c r="B245" s="139"/>
      <c r="C245" s="120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2"/>
      <c r="X245" s="496"/>
      <c r="Y245" s="496"/>
    </row>
    <row r="246" spans="1:25" x14ac:dyDescent="0.2">
      <c r="A246" s="131"/>
      <c r="B246" s="135"/>
      <c r="C246" s="136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8"/>
    </row>
    <row r="247" spans="1:25" x14ac:dyDescent="0.2">
      <c r="A247" s="252"/>
      <c r="B247" s="125"/>
      <c r="C247" s="126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8"/>
    </row>
    <row r="248" spans="1:25" s="123" customFormat="1" x14ac:dyDescent="0.2">
      <c r="A248" s="252"/>
      <c r="B248" s="139"/>
      <c r="C248" s="120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2"/>
      <c r="X248" s="496"/>
      <c r="Y248" s="496"/>
    </row>
    <row r="249" spans="1:25" x14ac:dyDescent="0.2">
      <c r="A249" s="252"/>
      <c r="B249" s="135"/>
      <c r="C249" s="136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8"/>
    </row>
    <row r="250" spans="1:25" x14ac:dyDescent="0.2">
      <c r="A250" s="252"/>
      <c r="B250" s="125"/>
      <c r="C250" s="126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8"/>
    </row>
    <row r="251" spans="1:25" s="123" customFormat="1" x14ac:dyDescent="0.2">
      <c r="A251" s="252"/>
      <c r="B251" s="139"/>
      <c r="C251" s="120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2"/>
      <c r="X251" s="496"/>
      <c r="Y251" s="496"/>
    </row>
    <row r="252" spans="1:25" x14ac:dyDescent="0.2">
      <c r="A252" s="252"/>
      <c r="B252" s="135"/>
      <c r="C252" s="136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8"/>
    </row>
    <row r="253" spans="1:25" x14ac:dyDescent="0.2">
      <c r="A253" s="252"/>
      <c r="B253" s="125"/>
      <c r="C253" s="126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8"/>
    </row>
    <row r="254" spans="1:25" s="123" customFormat="1" x14ac:dyDescent="0.2">
      <c r="A254" s="252"/>
      <c r="B254" s="139"/>
      <c r="C254" s="120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2"/>
      <c r="X254" s="496"/>
      <c r="Y254" s="496"/>
    </row>
    <row r="255" spans="1:25" x14ac:dyDescent="0.2">
      <c r="A255" s="252"/>
      <c r="B255" s="135"/>
      <c r="C255" s="136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8"/>
    </row>
    <row r="256" spans="1:25" x14ac:dyDescent="0.2">
      <c r="A256" s="252"/>
      <c r="B256" s="125"/>
      <c r="C256" s="126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8"/>
    </row>
    <row r="257" spans="1:25" s="123" customFormat="1" x14ac:dyDescent="0.2">
      <c r="A257" s="252"/>
      <c r="B257" s="139"/>
      <c r="C257" s="120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2"/>
      <c r="X257" s="496"/>
      <c r="Y257" s="496"/>
    </row>
    <row r="258" spans="1:25" x14ac:dyDescent="0.2">
      <c r="A258" s="252"/>
      <c r="B258" s="135"/>
      <c r="C258" s="136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8"/>
    </row>
    <row r="259" spans="1:25" x14ac:dyDescent="0.2">
      <c r="A259" s="252"/>
      <c r="B259" s="125"/>
      <c r="C259" s="126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8"/>
    </row>
    <row r="260" spans="1:25" s="123" customFormat="1" x14ac:dyDescent="0.2">
      <c r="A260" s="251"/>
      <c r="B260" s="139"/>
      <c r="C260" s="120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2"/>
      <c r="X260" s="496"/>
      <c r="Y260" s="496"/>
    </row>
    <row r="261" spans="1:25" x14ac:dyDescent="0.2">
      <c r="A261" s="496"/>
      <c r="D261" s="496"/>
    </row>
    <row r="262" spans="1:25" x14ac:dyDescent="0.2">
      <c r="A262" s="496"/>
      <c r="D262" s="496"/>
    </row>
    <row r="263" spans="1:25" s="123" customFormat="1" x14ac:dyDescent="0.2">
      <c r="A263" s="496"/>
      <c r="B263" s="496"/>
      <c r="C263" s="496"/>
      <c r="D263" s="496"/>
      <c r="E263" s="496"/>
      <c r="F263" s="496"/>
      <c r="G263" s="496"/>
      <c r="H263" s="496"/>
      <c r="I263" s="496"/>
      <c r="J263" s="496"/>
      <c r="K263" s="496"/>
      <c r="L263" s="496"/>
      <c r="M263" s="496"/>
      <c r="N263" s="496"/>
      <c r="O263" s="496"/>
      <c r="P263" s="496"/>
      <c r="Q263" s="496"/>
      <c r="R263" s="496"/>
      <c r="S263" s="496"/>
      <c r="T263" s="496"/>
      <c r="U263" s="496"/>
      <c r="V263" s="496"/>
      <c r="W263" s="496"/>
      <c r="X263" s="496"/>
      <c r="Y263" s="496"/>
    </row>
    <row r="264" spans="1:25" x14ac:dyDescent="0.2">
      <c r="A264" s="496"/>
      <c r="D264" s="496"/>
    </row>
    <row r="265" spans="1:25" x14ac:dyDescent="0.2">
      <c r="A265" s="496"/>
      <c r="D265" s="496"/>
    </row>
    <row r="266" spans="1:25" s="123" customFormat="1" x14ac:dyDescent="0.2">
      <c r="A266" s="496"/>
      <c r="B266" s="496"/>
      <c r="C266" s="496"/>
      <c r="D266" s="496"/>
      <c r="E266" s="496"/>
      <c r="F266" s="496"/>
      <c r="G266" s="496"/>
      <c r="H266" s="496"/>
      <c r="I266" s="496"/>
      <c r="J266" s="496"/>
      <c r="K266" s="496"/>
      <c r="L266" s="496"/>
      <c r="M266" s="496"/>
      <c r="N266" s="496"/>
      <c r="O266" s="496"/>
      <c r="P266" s="496"/>
      <c r="Q266" s="496"/>
      <c r="R266" s="496"/>
      <c r="S266" s="496"/>
      <c r="T266" s="496"/>
      <c r="U266" s="496"/>
      <c r="V266" s="496"/>
      <c r="W266" s="496"/>
      <c r="X266" s="496"/>
      <c r="Y266" s="496"/>
    </row>
    <row r="267" spans="1:25" x14ac:dyDescent="0.2">
      <c r="A267" s="496"/>
      <c r="D267" s="496"/>
    </row>
    <row r="268" spans="1:25" x14ac:dyDescent="0.2">
      <c r="A268" s="496"/>
      <c r="D268" s="496"/>
    </row>
    <row r="269" spans="1:25" s="123" customFormat="1" x14ac:dyDescent="0.2">
      <c r="A269" s="496"/>
      <c r="B269" s="496"/>
      <c r="C269" s="496"/>
      <c r="D269" s="496"/>
      <c r="E269" s="496"/>
      <c r="F269" s="496"/>
      <c r="G269" s="496"/>
      <c r="H269" s="496"/>
      <c r="I269" s="496"/>
      <c r="J269" s="496"/>
      <c r="K269" s="496"/>
      <c r="L269" s="496"/>
      <c r="M269" s="496"/>
      <c r="N269" s="496"/>
      <c r="O269" s="496"/>
      <c r="P269" s="496"/>
      <c r="Q269" s="496"/>
      <c r="R269" s="496"/>
      <c r="S269" s="496"/>
      <c r="T269" s="496"/>
      <c r="U269" s="496"/>
      <c r="V269" s="496"/>
      <c r="W269" s="496"/>
      <c r="X269" s="496"/>
      <c r="Y269" s="496"/>
    </row>
    <row r="270" spans="1:25" x14ac:dyDescent="0.2">
      <c r="A270" s="496"/>
      <c r="D270" s="496"/>
    </row>
    <row r="271" spans="1:25" x14ac:dyDescent="0.2">
      <c r="A271" s="496"/>
      <c r="D271" s="496"/>
    </row>
    <row r="272" spans="1:25" s="123" customFormat="1" x14ac:dyDescent="0.2">
      <c r="A272" s="496"/>
      <c r="B272" s="496"/>
      <c r="C272" s="496"/>
      <c r="D272" s="496"/>
      <c r="E272" s="496"/>
      <c r="F272" s="496"/>
      <c r="G272" s="496"/>
      <c r="H272" s="496"/>
      <c r="I272" s="496"/>
      <c r="J272" s="496"/>
      <c r="K272" s="496"/>
      <c r="L272" s="496"/>
      <c r="M272" s="496"/>
      <c r="N272" s="496"/>
      <c r="O272" s="496"/>
      <c r="P272" s="496"/>
      <c r="Q272" s="496"/>
      <c r="R272" s="496"/>
      <c r="S272" s="496"/>
      <c r="T272" s="496"/>
      <c r="U272" s="496"/>
      <c r="V272" s="496"/>
      <c r="W272" s="496"/>
      <c r="X272" s="496"/>
      <c r="Y272" s="496"/>
    </row>
    <row r="273" spans="1:25" x14ac:dyDescent="0.2">
      <c r="A273" s="496"/>
      <c r="D273" s="496"/>
    </row>
    <row r="274" spans="1:25" x14ac:dyDescent="0.2">
      <c r="A274" s="496"/>
      <c r="D274" s="496"/>
    </row>
    <row r="275" spans="1:25" s="123" customFormat="1" x14ac:dyDescent="0.2">
      <c r="A275" s="496"/>
      <c r="B275" s="496"/>
      <c r="C275" s="496"/>
      <c r="D275" s="496"/>
      <c r="E275" s="496"/>
      <c r="F275" s="496"/>
      <c r="G275" s="496"/>
      <c r="H275" s="496"/>
      <c r="I275" s="496"/>
      <c r="J275" s="496"/>
      <c r="K275" s="496"/>
      <c r="L275" s="496"/>
      <c r="M275" s="496"/>
      <c r="N275" s="496"/>
      <c r="O275" s="496"/>
      <c r="P275" s="496"/>
      <c r="Q275" s="496"/>
      <c r="R275" s="496"/>
      <c r="S275" s="496"/>
      <c r="T275" s="496"/>
      <c r="U275" s="496"/>
      <c r="V275" s="496"/>
      <c r="W275" s="496"/>
      <c r="X275" s="496"/>
      <c r="Y275" s="496"/>
    </row>
    <row r="276" spans="1:25" x14ac:dyDescent="0.2">
      <c r="A276" s="496"/>
      <c r="D276" s="496"/>
    </row>
    <row r="277" spans="1:25" x14ac:dyDescent="0.2">
      <c r="A277" s="496"/>
      <c r="D277" s="496"/>
    </row>
    <row r="278" spans="1:25" s="123" customFormat="1" x14ac:dyDescent="0.2">
      <c r="A278" s="496"/>
      <c r="B278" s="496"/>
      <c r="C278" s="496"/>
      <c r="D278" s="496"/>
      <c r="E278" s="496"/>
      <c r="F278" s="496"/>
      <c r="G278" s="496"/>
      <c r="H278" s="496"/>
      <c r="I278" s="496"/>
      <c r="J278" s="496"/>
      <c r="K278" s="496"/>
      <c r="L278" s="496"/>
      <c r="M278" s="496"/>
      <c r="N278" s="496"/>
      <c r="O278" s="496"/>
      <c r="P278" s="496"/>
      <c r="Q278" s="496"/>
      <c r="R278" s="496"/>
      <c r="S278" s="496"/>
      <c r="T278" s="496"/>
      <c r="U278" s="496"/>
      <c r="V278" s="496"/>
      <c r="W278" s="496"/>
      <c r="X278" s="496"/>
      <c r="Y278" s="496"/>
    </row>
    <row r="279" spans="1:25" x14ac:dyDescent="0.2">
      <c r="A279" s="496"/>
      <c r="D279" s="496"/>
    </row>
    <row r="280" spans="1:25" x14ac:dyDescent="0.2">
      <c r="A280" s="496"/>
      <c r="D280" s="496"/>
    </row>
    <row r="281" spans="1:25" s="123" customFormat="1" x14ac:dyDescent="0.2">
      <c r="A281" s="496"/>
      <c r="B281" s="496"/>
      <c r="C281" s="496"/>
      <c r="D281" s="496"/>
      <c r="E281" s="496"/>
      <c r="F281" s="496"/>
      <c r="G281" s="496"/>
      <c r="H281" s="496"/>
      <c r="I281" s="496"/>
      <c r="J281" s="496"/>
      <c r="K281" s="496"/>
      <c r="L281" s="496"/>
      <c r="M281" s="496"/>
      <c r="N281" s="496"/>
      <c r="O281" s="496"/>
      <c r="P281" s="496"/>
      <c r="Q281" s="496"/>
      <c r="R281" s="496"/>
      <c r="S281" s="496"/>
      <c r="T281" s="496"/>
      <c r="U281" s="496"/>
      <c r="V281" s="496"/>
      <c r="W281" s="496"/>
      <c r="X281" s="496"/>
      <c r="Y281" s="496"/>
    </row>
    <row r="282" spans="1:25" x14ac:dyDescent="0.2">
      <c r="A282" s="496"/>
      <c r="D282" s="496"/>
    </row>
    <row r="283" spans="1:25" x14ac:dyDescent="0.2">
      <c r="A283" s="496"/>
      <c r="D283" s="496"/>
    </row>
    <row r="284" spans="1:25" s="123" customFormat="1" x14ac:dyDescent="0.2">
      <c r="A284" s="496"/>
      <c r="B284" s="496"/>
      <c r="C284" s="496"/>
      <c r="D284" s="496"/>
      <c r="E284" s="496"/>
      <c r="F284" s="496"/>
      <c r="G284" s="496"/>
      <c r="H284" s="496"/>
      <c r="I284" s="496"/>
      <c r="J284" s="496"/>
      <c r="K284" s="496"/>
      <c r="L284" s="496"/>
      <c r="M284" s="496"/>
      <c r="N284" s="496"/>
      <c r="O284" s="496"/>
      <c r="P284" s="496"/>
      <c r="Q284" s="496"/>
      <c r="R284" s="496"/>
      <c r="S284" s="496"/>
      <c r="T284" s="496"/>
      <c r="U284" s="496"/>
      <c r="V284" s="496"/>
      <c r="W284" s="496"/>
      <c r="X284" s="496"/>
      <c r="Y284" s="496"/>
    </row>
    <row r="285" spans="1:25" x14ac:dyDescent="0.2">
      <c r="A285" s="496"/>
      <c r="D285" s="496"/>
    </row>
    <row r="286" spans="1:25" x14ac:dyDescent="0.2">
      <c r="A286" s="496"/>
      <c r="D286" s="496"/>
    </row>
    <row r="287" spans="1:25" s="123" customFormat="1" x14ac:dyDescent="0.2">
      <c r="A287" s="496"/>
      <c r="B287" s="496"/>
      <c r="C287" s="496"/>
      <c r="D287" s="496"/>
      <c r="E287" s="496"/>
      <c r="F287" s="496"/>
      <c r="G287" s="496"/>
      <c r="H287" s="496"/>
      <c r="I287" s="496"/>
      <c r="J287" s="496"/>
      <c r="K287" s="496"/>
      <c r="L287" s="496"/>
      <c r="M287" s="496"/>
      <c r="N287" s="496"/>
      <c r="O287" s="496"/>
      <c r="P287" s="496"/>
      <c r="Q287" s="496"/>
      <c r="R287" s="496"/>
      <c r="S287" s="496"/>
      <c r="T287" s="496"/>
      <c r="U287" s="496"/>
      <c r="V287" s="496"/>
      <c r="W287" s="496"/>
      <c r="X287" s="496"/>
      <c r="Y287" s="496"/>
    </row>
    <row r="288" spans="1:25" x14ac:dyDescent="0.2">
      <c r="A288" s="496"/>
      <c r="D288" s="496"/>
    </row>
    <row r="289" spans="1:25" x14ac:dyDescent="0.2">
      <c r="A289" s="496"/>
      <c r="D289" s="496"/>
    </row>
    <row r="290" spans="1:25" s="123" customFormat="1" x14ac:dyDescent="0.2">
      <c r="A290" s="496"/>
      <c r="B290" s="496"/>
      <c r="C290" s="496"/>
      <c r="D290" s="496"/>
      <c r="E290" s="496"/>
      <c r="F290" s="496"/>
      <c r="G290" s="496"/>
      <c r="H290" s="496"/>
      <c r="I290" s="496"/>
      <c r="J290" s="496"/>
      <c r="K290" s="496"/>
      <c r="L290" s="496"/>
      <c r="M290" s="496"/>
      <c r="N290" s="496"/>
      <c r="O290" s="496"/>
      <c r="P290" s="496"/>
      <c r="Q290" s="496"/>
      <c r="R290" s="496"/>
      <c r="S290" s="496"/>
      <c r="T290" s="496"/>
      <c r="U290" s="496"/>
      <c r="V290" s="496"/>
      <c r="W290" s="496"/>
      <c r="X290" s="496"/>
      <c r="Y290" s="496"/>
    </row>
    <row r="291" spans="1:25" x14ac:dyDescent="0.2">
      <c r="A291" s="496"/>
      <c r="D291" s="496"/>
    </row>
    <row r="292" spans="1:25" x14ac:dyDescent="0.2">
      <c r="A292" s="496"/>
      <c r="D292" s="496"/>
    </row>
    <row r="293" spans="1:25" s="123" customFormat="1" x14ac:dyDescent="0.2">
      <c r="A293" s="496"/>
      <c r="B293" s="496"/>
      <c r="C293" s="496"/>
      <c r="D293" s="496"/>
      <c r="E293" s="496"/>
      <c r="F293" s="496"/>
      <c r="G293" s="496"/>
      <c r="H293" s="496"/>
      <c r="I293" s="496"/>
      <c r="J293" s="496"/>
      <c r="K293" s="496"/>
      <c r="L293" s="496"/>
      <c r="M293" s="496"/>
      <c r="N293" s="496"/>
      <c r="O293" s="496"/>
      <c r="P293" s="496"/>
      <c r="Q293" s="496"/>
      <c r="R293" s="496"/>
      <c r="S293" s="496"/>
      <c r="T293" s="496"/>
      <c r="U293" s="496"/>
      <c r="V293" s="496"/>
      <c r="W293" s="496"/>
      <c r="X293" s="496"/>
      <c r="Y293" s="496"/>
    </row>
    <row r="294" spans="1:25" x14ac:dyDescent="0.2">
      <c r="A294" s="496"/>
      <c r="D294" s="496"/>
    </row>
    <row r="295" spans="1:25" x14ac:dyDescent="0.2">
      <c r="A295" s="496"/>
      <c r="D295" s="496"/>
    </row>
    <row r="296" spans="1:25" s="123" customFormat="1" x14ac:dyDescent="0.2">
      <c r="A296" s="496"/>
      <c r="B296" s="496"/>
      <c r="C296" s="496"/>
      <c r="D296" s="496"/>
      <c r="E296" s="496"/>
      <c r="F296" s="496"/>
      <c r="G296" s="496"/>
      <c r="H296" s="496"/>
      <c r="I296" s="496"/>
      <c r="J296" s="496"/>
      <c r="K296" s="496"/>
      <c r="L296" s="496"/>
      <c r="M296" s="496"/>
      <c r="N296" s="496"/>
      <c r="O296" s="496"/>
      <c r="P296" s="496"/>
      <c r="Q296" s="496"/>
      <c r="R296" s="496"/>
      <c r="S296" s="496"/>
      <c r="T296" s="496"/>
      <c r="U296" s="496"/>
      <c r="V296" s="496"/>
      <c r="W296" s="496"/>
      <c r="X296" s="496"/>
      <c r="Y296" s="496"/>
    </row>
    <row r="297" spans="1:25" x14ac:dyDescent="0.2">
      <c r="A297" s="496"/>
      <c r="D297" s="496"/>
    </row>
    <row r="298" spans="1:25" x14ac:dyDescent="0.2">
      <c r="A298" s="496"/>
      <c r="D298" s="496"/>
    </row>
    <row r="299" spans="1:25" s="123" customFormat="1" x14ac:dyDescent="0.2">
      <c r="A299" s="496"/>
      <c r="B299" s="496"/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P299" s="496"/>
      <c r="Q299" s="496"/>
      <c r="R299" s="496"/>
      <c r="S299" s="496"/>
      <c r="T299" s="496"/>
      <c r="U299" s="496"/>
      <c r="V299" s="496"/>
      <c r="W299" s="496"/>
      <c r="X299" s="496"/>
      <c r="Y299" s="496"/>
    </row>
    <row r="300" spans="1:25" x14ac:dyDescent="0.2">
      <c r="A300" s="496"/>
      <c r="D300" s="496"/>
    </row>
    <row r="301" spans="1:25" x14ac:dyDescent="0.2">
      <c r="A301" s="496"/>
      <c r="D301" s="496"/>
    </row>
    <row r="302" spans="1:25" s="123" customFormat="1" x14ac:dyDescent="0.2">
      <c r="A302" s="496"/>
      <c r="B302" s="496"/>
      <c r="C302" s="496"/>
      <c r="D302" s="496"/>
      <c r="E302" s="496"/>
      <c r="F302" s="496"/>
      <c r="G302" s="496"/>
      <c r="H302" s="496"/>
      <c r="I302" s="496"/>
      <c r="J302" s="496"/>
      <c r="K302" s="496"/>
      <c r="L302" s="496"/>
      <c r="M302" s="496"/>
      <c r="N302" s="496"/>
      <c r="O302" s="496"/>
      <c r="P302" s="496"/>
      <c r="Q302" s="496"/>
      <c r="R302" s="496"/>
      <c r="S302" s="496"/>
      <c r="T302" s="496"/>
      <c r="U302" s="496"/>
      <c r="V302" s="496"/>
      <c r="W302" s="496"/>
      <c r="X302" s="496"/>
      <c r="Y302" s="496"/>
    </row>
    <row r="303" spans="1:25" x14ac:dyDescent="0.2">
      <c r="A303" s="496"/>
      <c r="D303" s="496"/>
    </row>
    <row r="304" spans="1:25" x14ac:dyDescent="0.2">
      <c r="A304" s="496"/>
      <c r="D304" s="496"/>
    </row>
    <row r="305" spans="1:25" s="123" customFormat="1" x14ac:dyDescent="0.2">
      <c r="A305" s="496"/>
      <c r="B305" s="496"/>
      <c r="C305" s="496"/>
      <c r="D305" s="496"/>
      <c r="E305" s="496"/>
      <c r="F305" s="496"/>
      <c r="G305" s="496"/>
      <c r="H305" s="496"/>
      <c r="I305" s="496"/>
      <c r="J305" s="496"/>
      <c r="K305" s="496"/>
      <c r="L305" s="496"/>
      <c r="M305" s="496"/>
      <c r="N305" s="496"/>
      <c r="O305" s="496"/>
      <c r="P305" s="496"/>
      <c r="Q305" s="496"/>
      <c r="R305" s="496"/>
      <c r="S305" s="496"/>
      <c r="T305" s="496"/>
      <c r="U305" s="496"/>
      <c r="V305" s="496"/>
      <c r="W305" s="496"/>
      <c r="X305" s="496"/>
      <c r="Y305" s="496"/>
    </row>
    <row r="306" spans="1:25" x14ac:dyDescent="0.2">
      <c r="A306" s="496"/>
      <c r="D306" s="496"/>
    </row>
    <row r="307" spans="1:25" x14ac:dyDescent="0.2">
      <c r="A307" s="496"/>
      <c r="D307" s="496"/>
    </row>
    <row r="308" spans="1:25" s="123" customFormat="1" x14ac:dyDescent="0.2">
      <c r="A308" s="496"/>
      <c r="B308" s="496"/>
      <c r="C308" s="496"/>
      <c r="D308" s="496"/>
      <c r="E308" s="496"/>
      <c r="F308" s="496"/>
      <c r="G308" s="496"/>
      <c r="H308" s="496"/>
      <c r="I308" s="496"/>
      <c r="J308" s="496"/>
      <c r="K308" s="496"/>
      <c r="L308" s="496"/>
      <c r="M308" s="496"/>
      <c r="N308" s="496"/>
      <c r="O308" s="496"/>
      <c r="P308" s="496"/>
      <c r="Q308" s="496"/>
      <c r="R308" s="496"/>
      <c r="S308" s="496"/>
      <c r="T308" s="496"/>
      <c r="U308" s="496"/>
      <c r="V308" s="496"/>
      <c r="W308" s="496"/>
      <c r="X308" s="496"/>
      <c r="Y308" s="496"/>
    </row>
    <row r="309" spans="1:25" x14ac:dyDescent="0.2">
      <c r="A309" s="496"/>
      <c r="D309" s="496"/>
    </row>
    <row r="310" spans="1:25" x14ac:dyDescent="0.2">
      <c r="A310" s="496"/>
      <c r="D310" s="496"/>
    </row>
    <row r="311" spans="1:25" s="123" customFormat="1" x14ac:dyDescent="0.2">
      <c r="A311" s="496"/>
      <c r="B311" s="496"/>
      <c r="C311" s="496"/>
      <c r="D311" s="496"/>
      <c r="E311" s="496"/>
      <c r="F311" s="496"/>
      <c r="G311" s="496"/>
      <c r="H311" s="496"/>
      <c r="I311" s="496"/>
      <c r="J311" s="496"/>
      <c r="K311" s="496"/>
      <c r="L311" s="496"/>
      <c r="M311" s="496"/>
      <c r="N311" s="496"/>
      <c r="O311" s="496"/>
      <c r="P311" s="496"/>
      <c r="Q311" s="496"/>
      <c r="R311" s="496"/>
      <c r="S311" s="496"/>
      <c r="T311" s="496"/>
      <c r="U311" s="496"/>
      <c r="V311" s="496"/>
      <c r="W311" s="496"/>
      <c r="X311" s="496"/>
      <c r="Y311" s="496"/>
    </row>
    <row r="312" spans="1:25" x14ac:dyDescent="0.2">
      <c r="A312" s="496"/>
      <c r="D312" s="496"/>
    </row>
    <row r="313" spans="1:25" x14ac:dyDescent="0.2">
      <c r="A313" s="496"/>
      <c r="D313" s="496"/>
    </row>
    <row r="314" spans="1:25" s="123" customFormat="1" x14ac:dyDescent="0.2">
      <c r="A314" s="496"/>
      <c r="B314" s="496"/>
      <c r="C314" s="496"/>
      <c r="D314" s="496"/>
      <c r="E314" s="496"/>
      <c r="F314" s="496"/>
      <c r="G314" s="496"/>
      <c r="H314" s="496"/>
      <c r="I314" s="496"/>
      <c r="J314" s="496"/>
      <c r="K314" s="496"/>
      <c r="L314" s="496"/>
      <c r="M314" s="496"/>
      <c r="N314" s="496"/>
      <c r="O314" s="496"/>
      <c r="P314" s="496"/>
      <c r="Q314" s="496"/>
      <c r="R314" s="496"/>
      <c r="S314" s="496"/>
      <c r="T314" s="496"/>
      <c r="U314" s="496"/>
      <c r="V314" s="496"/>
      <c r="W314" s="496"/>
      <c r="X314" s="496"/>
      <c r="Y314" s="496"/>
    </row>
    <row r="315" spans="1:25" x14ac:dyDescent="0.2">
      <c r="A315" s="496"/>
      <c r="D315" s="496"/>
    </row>
    <row r="316" spans="1:25" x14ac:dyDescent="0.2">
      <c r="A316" s="496"/>
      <c r="D316" s="496"/>
    </row>
    <row r="317" spans="1:25" s="123" customFormat="1" x14ac:dyDescent="0.2">
      <c r="A317" s="496"/>
      <c r="B317" s="496"/>
      <c r="C317" s="496"/>
      <c r="D317" s="496"/>
      <c r="E317" s="496"/>
      <c r="F317" s="496"/>
      <c r="G317" s="496"/>
      <c r="H317" s="496"/>
      <c r="I317" s="496"/>
      <c r="J317" s="496"/>
      <c r="K317" s="496"/>
      <c r="L317" s="496"/>
      <c r="M317" s="496"/>
      <c r="N317" s="496"/>
      <c r="O317" s="496"/>
      <c r="P317" s="496"/>
      <c r="Q317" s="496"/>
      <c r="R317" s="496"/>
      <c r="S317" s="496"/>
      <c r="T317" s="496"/>
      <c r="U317" s="496"/>
      <c r="V317" s="496"/>
      <c r="W317" s="496"/>
      <c r="X317" s="496"/>
      <c r="Y317" s="496"/>
    </row>
    <row r="318" spans="1:25" x14ac:dyDescent="0.2">
      <c r="A318" s="496"/>
      <c r="D318" s="496"/>
    </row>
    <row r="319" spans="1:25" x14ac:dyDescent="0.2">
      <c r="A319" s="496"/>
      <c r="D319" s="496"/>
    </row>
    <row r="320" spans="1:25" s="123" customFormat="1" x14ac:dyDescent="0.2">
      <c r="A320" s="496"/>
      <c r="B320" s="496"/>
      <c r="C320" s="496"/>
      <c r="D320" s="496"/>
      <c r="E320" s="496"/>
      <c r="F320" s="496"/>
      <c r="G320" s="496"/>
      <c r="H320" s="496"/>
      <c r="I320" s="496"/>
      <c r="J320" s="496"/>
      <c r="K320" s="496"/>
      <c r="L320" s="496"/>
      <c r="M320" s="496"/>
      <c r="N320" s="496"/>
      <c r="O320" s="496"/>
      <c r="P320" s="496"/>
      <c r="Q320" s="496"/>
      <c r="R320" s="496"/>
      <c r="S320" s="496"/>
      <c r="T320" s="496"/>
      <c r="U320" s="496"/>
      <c r="V320" s="496"/>
      <c r="W320" s="496"/>
      <c r="X320" s="496"/>
      <c r="Y320" s="496"/>
    </row>
    <row r="321" spans="1:25" x14ac:dyDescent="0.2">
      <c r="A321" s="496"/>
      <c r="D321" s="496"/>
    </row>
    <row r="322" spans="1:25" x14ac:dyDescent="0.2">
      <c r="A322" s="496"/>
      <c r="D322" s="496"/>
    </row>
    <row r="323" spans="1:25" s="123" customFormat="1" x14ac:dyDescent="0.2">
      <c r="A323" s="496"/>
      <c r="B323" s="496"/>
      <c r="C323" s="496"/>
      <c r="D323" s="496"/>
      <c r="E323" s="496"/>
      <c r="F323" s="496"/>
      <c r="G323" s="496"/>
      <c r="H323" s="496"/>
      <c r="I323" s="496"/>
      <c r="J323" s="496"/>
      <c r="K323" s="496"/>
      <c r="L323" s="496"/>
      <c r="M323" s="496"/>
      <c r="N323" s="496"/>
      <c r="O323" s="496"/>
      <c r="P323" s="496"/>
      <c r="Q323" s="496"/>
      <c r="R323" s="496"/>
      <c r="S323" s="496"/>
      <c r="T323" s="496"/>
      <c r="U323" s="496"/>
      <c r="V323" s="496"/>
      <c r="W323" s="496"/>
      <c r="X323" s="496"/>
      <c r="Y323" s="496"/>
    </row>
    <row r="324" spans="1:25" x14ac:dyDescent="0.2">
      <c r="A324" s="496"/>
      <c r="D324" s="496"/>
    </row>
    <row r="325" spans="1:25" x14ac:dyDescent="0.2">
      <c r="A325" s="496"/>
      <c r="D325" s="496"/>
    </row>
    <row r="326" spans="1:25" s="123" customFormat="1" x14ac:dyDescent="0.2">
      <c r="A326" s="496"/>
      <c r="B326" s="496"/>
      <c r="C326" s="496"/>
      <c r="D326" s="496"/>
      <c r="E326" s="496"/>
      <c r="F326" s="496"/>
      <c r="G326" s="496"/>
      <c r="H326" s="496"/>
      <c r="I326" s="496"/>
      <c r="J326" s="496"/>
      <c r="K326" s="496"/>
      <c r="L326" s="496"/>
      <c r="M326" s="496"/>
      <c r="N326" s="496"/>
      <c r="O326" s="496"/>
      <c r="P326" s="496"/>
      <c r="Q326" s="496"/>
      <c r="R326" s="496"/>
      <c r="S326" s="496"/>
      <c r="T326" s="496"/>
      <c r="U326" s="496"/>
      <c r="V326" s="496"/>
      <c r="W326" s="496"/>
      <c r="X326" s="496"/>
      <c r="Y326" s="496"/>
    </row>
    <row r="327" spans="1:25" x14ac:dyDescent="0.2">
      <c r="A327" s="496"/>
      <c r="D327" s="496"/>
    </row>
    <row r="328" spans="1:25" x14ac:dyDescent="0.2">
      <c r="A328" s="496"/>
      <c r="D328" s="496"/>
    </row>
    <row r="329" spans="1:25" s="123" customFormat="1" x14ac:dyDescent="0.2">
      <c r="A329" s="496"/>
      <c r="B329" s="496"/>
      <c r="C329" s="496"/>
      <c r="D329" s="496"/>
      <c r="E329" s="496"/>
      <c r="F329" s="496"/>
      <c r="G329" s="496"/>
      <c r="H329" s="496"/>
      <c r="I329" s="496"/>
      <c r="J329" s="496"/>
      <c r="K329" s="496"/>
      <c r="L329" s="496"/>
      <c r="M329" s="496"/>
      <c r="N329" s="496"/>
      <c r="O329" s="496"/>
      <c r="P329" s="496"/>
      <c r="Q329" s="496"/>
      <c r="R329" s="496"/>
      <c r="S329" s="496"/>
      <c r="T329" s="496"/>
      <c r="U329" s="496"/>
      <c r="V329" s="496"/>
      <c r="W329" s="496"/>
      <c r="X329" s="496"/>
      <c r="Y329" s="496"/>
    </row>
    <row r="330" spans="1:25" x14ac:dyDescent="0.2">
      <c r="A330" s="496"/>
      <c r="D330" s="496"/>
    </row>
    <row r="331" spans="1:25" x14ac:dyDescent="0.2">
      <c r="A331" s="496"/>
      <c r="D331" s="496"/>
    </row>
    <row r="332" spans="1:25" s="123" customFormat="1" x14ac:dyDescent="0.2">
      <c r="A332" s="496"/>
      <c r="B332" s="496"/>
      <c r="C332" s="496"/>
      <c r="D332" s="496"/>
      <c r="E332" s="496"/>
      <c r="F332" s="496"/>
      <c r="G332" s="496"/>
      <c r="H332" s="496"/>
      <c r="I332" s="496"/>
      <c r="J332" s="496"/>
      <c r="K332" s="496"/>
      <c r="L332" s="496"/>
      <c r="M332" s="496"/>
      <c r="N332" s="496"/>
      <c r="O332" s="496"/>
      <c r="P332" s="496"/>
      <c r="Q332" s="496"/>
      <c r="R332" s="496"/>
      <c r="S332" s="496"/>
      <c r="T332" s="496"/>
      <c r="U332" s="496"/>
      <c r="V332" s="496"/>
      <c r="W332" s="496"/>
      <c r="X332" s="496"/>
      <c r="Y332" s="496"/>
    </row>
    <row r="333" spans="1:25" x14ac:dyDescent="0.2">
      <c r="A333" s="496"/>
      <c r="D333" s="496"/>
    </row>
    <row r="334" spans="1:25" x14ac:dyDescent="0.2">
      <c r="A334" s="496"/>
      <c r="D334" s="496"/>
    </row>
    <row r="335" spans="1:25" s="123" customFormat="1" x14ac:dyDescent="0.2">
      <c r="A335" s="496"/>
      <c r="B335" s="496"/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496"/>
      <c r="O335" s="496"/>
      <c r="P335" s="496"/>
      <c r="Q335" s="496"/>
      <c r="R335" s="496"/>
      <c r="S335" s="496"/>
      <c r="T335" s="496"/>
      <c r="U335" s="496"/>
      <c r="V335" s="496"/>
      <c r="W335" s="496"/>
      <c r="X335" s="496"/>
      <c r="Y335" s="496"/>
    </row>
    <row r="336" spans="1:25" x14ac:dyDescent="0.2">
      <c r="A336" s="496"/>
      <c r="D336" s="496"/>
    </row>
    <row r="337" spans="1:25" x14ac:dyDescent="0.2">
      <c r="A337" s="496"/>
      <c r="D337" s="496"/>
    </row>
    <row r="338" spans="1:25" s="123" customFormat="1" x14ac:dyDescent="0.2">
      <c r="A338" s="496"/>
      <c r="B338" s="496"/>
      <c r="C338" s="496"/>
      <c r="D338" s="496"/>
      <c r="E338" s="496"/>
      <c r="F338" s="496"/>
      <c r="G338" s="496"/>
      <c r="H338" s="496"/>
      <c r="I338" s="496"/>
      <c r="J338" s="496"/>
      <c r="K338" s="496"/>
      <c r="L338" s="496"/>
      <c r="M338" s="496"/>
      <c r="N338" s="496"/>
      <c r="O338" s="496"/>
      <c r="P338" s="496"/>
      <c r="Q338" s="496"/>
      <c r="R338" s="496"/>
      <c r="S338" s="496"/>
      <c r="T338" s="496"/>
      <c r="U338" s="496"/>
      <c r="V338" s="496"/>
      <c r="W338" s="496"/>
      <c r="X338" s="496"/>
      <c r="Y338" s="496"/>
    </row>
    <row r="339" spans="1:25" x14ac:dyDescent="0.2">
      <c r="A339" s="496"/>
      <c r="D339" s="496"/>
    </row>
    <row r="340" spans="1:25" x14ac:dyDescent="0.2">
      <c r="A340" s="496"/>
      <c r="D340" s="496"/>
    </row>
    <row r="341" spans="1:25" s="123" customFormat="1" x14ac:dyDescent="0.2">
      <c r="A341" s="496"/>
      <c r="B341" s="496"/>
      <c r="C341" s="496"/>
      <c r="D341" s="496"/>
      <c r="E341" s="496"/>
      <c r="F341" s="496"/>
      <c r="G341" s="496"/>
      <c r="H341" s="496"/>
      <c r="I341" s="496"/>
      <c r="J341" s="496"/>
      <c r="K341" s="496"/>
      <c r="L341" s="496"/>
      <c r="M341" s="496"/>
      <c r="N341" s="496"/>
      <c r="O341" s="496"/>
      <c r="P341" s="496"/>
      <c r="Q341" s="496"/>
      <c r="R341" s="496"/>
      <c r="S341" s="496"/>
      <c r="T341" s="496"/>
      <c r="U341" s="496"/>
      <c r="V341" s="496"/>
      <c r="W341" s="496"/>
      <c r="X341" s="496"/>
      <c r="Y341" s="496"/>
    </row>
    <row r="342" spans="1:25" x14ac:dyDescent="0.2">
      <c r="A342" s="496"/>
      <c r="D342" s="496"/>
    </row>
    <row r="343" spans="1:25" x14ac:dyDescent="0.2">
      <c r="A343" s="496"/>
      <c r="D343" s="496"/>
    </row>
    <row r="344" spans="1:25" s="123" customFormat="1" x14ac:dyDescent="0.2">
      <c r="A344" s="496"/>
      <c r="B344" s="496"/>
      <c r="C344" s="496"/>
      <c r="D344" s="496"/>
      <c r="E344" s="496"/>
      <c r="F344" s="496"/>
      <c r="G344" s="496"/>
      <c r="H344" s="496"/>
      <c r="I344" s="496"/>
      <c r="J344" s="496"/>
      <c r="K344" s="496"/>
      <c r="L344" s="496"/>
      <c r="M344" s="496"/>
      <c r="N344" s="496"/>
      <c r="O344" s="496"/>
      <c r="P344" s="496"/>
      <c r="Q344" s="496"/>
      <c r="R344" s="496"/>
      <c r="S344" s="496"/>
      <c r="T344" s="496"/>
      <c r="U344" s="496"/>
      <c r="V344" s="496"/>
      <c r="W344" s="496"/>
      <c r="X344" s="496"/>
      <c r="Y344" s="496"/>
    </row>
    <row r="345" spans="1:25" x14ac:dyDescent="0.2">
      <c r="A345" s="496"/>
      <c r="D345" s="496"/>
    </row>
    <row r="346" spans="1:25" x14ac:dyDescent="0.2">
      <c r="A346" s="496"/>
      <c r="D346" s="496"/>
    </row>
    <row r="347" spans="1:25" s="123" customFormat="1" x14ac:dyDescent="0.2">
      <c r="A347" s="496"/>
      <c r="B347" s="496"/>
      <c r="C347" s="496"/>
      <c r="D347" s="496"/>
      <c r="E347" s="496"/>
      <c r="F347" s="496"/>
      <c r="G347" s="496"/>
      <c r="H347" s="496"/>
      <c r="I347" s="496"/>
      <c r="J347" s="496"/>
      <c r="K347" s="496"/>
      <c r="L347" s="496"/>
      <c r="M347" s="496"/>
      <c r="N347" s="496"/>
      <c r="O347" s="496"/>
      <c r="P347" s="496"/>
      <c r="Q347" s="496"/>
      <c r="R347" s="496"/>
      <c r="S347" s="496"/>
      <c r="T347" s="496"/>
      <c r="U347" s="496"/>
      <c r="V347" s="496"/>
      <c r="W347" s="496"/>
      <c r="X347" s="496"/>
      <c r="Y347" s="496"/>
    </row>
    <row r="348" spans="1:25" x14ac:dyDescent="0.2">
      <c r="A348" s="496"/>
      <c r="D348" s="496"/>
    </row>
    <row r="349" spans="1:25" x14ac:dyDescent="0.2">
      <c r="A349" s="496"/>
      <c r="D349" s="496"/>
    </row>
    <row r="350" spans="1:25" s="123" customFormat="1" x14ac:dyDescent="0.2">
      <c r="A350" s="496"/>
      <c r="B350" s="496"/>
      <c r="C350" s="496"/>
      <c r="D350" s="496"/>
      <c r="E350" s="496"/>
      <c r="F350" s="496"/>
      <c r="G350" s="496"/>
      <c r="H350" s="496"/>
      <c r="I350" s="496"/>
      <c r="J350" s="496"/>
      <c r="K350" s="496"/>
      <c r="L350" s="496"/>
      <c r="M350" s="496"/>
      <c r="N350" s="496"/>
      <c r="O350" s="496"/>
      <c r="P350" s="496"/>
      <c r="Q350" s="496"/>
      <c r="R350" s="496"/>
      <c r="S350" s="496"/>
      <c r="T350" s="496"/>
      <c r="U350" s="496"/>
      <c r="V350" s="496"/>
      <c r="W350" s="496"/>
      <c r="X350" s="496"/>
      <c r="Y350" s="496"/>
    </row>
    <row r="351" spans="1:25" x14ac:dyDescent="0.2">
      <c r="A351" s="496"/>
      <c r="D351" s="496"/>
    </row>
    <row r="352" spans="1:25" x14ac:dyDescent="0.2">
      <c r="A352" s="496"/>
      <c r="D352" s="496"/>
    </row>
    <row r="353" spans="1:25" s="123" customFormat="1" x14ac:dyDescent="0.2">
      <c r="A353" s="496"/>
      <c r="B353" s="496"/>
      <c r="C353" s="496"/>
      <c r="D353" s="496"/>
      <c r="E353" s="496"/>
      <c r="F353" s="496"/>
      <c r="G353" s="496"/>
      <c r="H353" s="496"/>
      <c r="I353" s="496"/>
      <c r="J353" s="496"/>
      <c r="K353" s="496"/>
      <c r="L353" s="496"/>
      <c r="M353" s="496"/>
      <c r="N353" s="496"/>
      <c r="O353" s="496"/>
      <c r="P353" s="496"/>
      <c r="Q353" s="496"/>
      <c r="R353" s="496"/>
      <c r="S353" s="496"/>
      <c r="T353" s="496"/>
      <c r="U353" s="496"/>
      <c r="V353" s="496"/>
      <c r="W353" s="496"/>
      <c r="X353" s="496"/>
      <c r="Y353" s="496"/>
    </row>
    <row r="354" spans="1:25" x14ac:dyDescent="0.2">
      <c r="A354" s="496"/>
      <c r="D354" s="496"/>
    </row>
    <row r="355" spans="1:25" x14ac:dyDescent="0.2">
      <c r="A355" s="496"/>
      <c r="D355" s="496"/>
    </row>
    <row r="356" spans="1:25" s="123" customFormat="1" x14ac:dyDescent="0.2">
      <c r="A356" s="496"/>
      <c r="B356" s="496"/>
      <c r="C356" s="496"/>
      <c r="D356" s="496"/>
      <c r="E356" s="496"/>
      <c r="F356" s="496"/>
      <c r="G356" s="496"/>
      <c r="H356" s="496"/>
      <c r="I356" s="496"/>
      <c r="J356" s="496"/>
      <c r="K356" s="496"/>
      <c r="L356" s="496"/>
      <c r="M356" s="496"/>
      <c r="N356" s="496"/>
      <c r="O356" s="496"/>
      <c r="P356" s="496"/>
      <c r="Q356" s="496"/>
      <c r="R356" s="496"/>
      <c r="S356" s="496"/>
      <c r="T356" s="496"/>
      <c r="U356" s="496"/>
      <c r="V356" s="496"/>
      <c r="W356" s="496"/>
      <c r="X356" s="496"/>
      <c r="Y356" s="496"/>
    </row>
    <row r="357" spans="1:25" x14ac:dyDescent="0.2">
      <c r="A357" s="496"/>
      <c r="D357" s="496"/>
    </row>
    <row r="358" spans="1:25" x14ac:dyDescent="0.2">
      <c r="A358" s="496"/>
      <c r="D358" s="496"/>
    </row>
    <row r="359" spans="1:25" s="123" customFormat="1" x14ac:dyDescent="0.2">
      <c r="A359" s="496"/>
      <c r="B359" s="496"/>
      <c r="C359" s="496"/>
      <c r="D359" s="496"/>
      <c r="E359" s="496"/>
      <c r="F359" s="496"/>
      <c r="G359" s="496"/>
      <c r="H359" s="496"/>
      <c r="I359" s="496"/>
      <c r="J359" s="496"/>
      <c r="K359" s="496"/>
      <c r="L359" s="496"/>
      <c r="M359" s="496"/>
      <c r="N359" s="496"/>
      <c r="O359" s="496"/>
      <c r="P359" s="496"/>
      <c r="Q359" s="496"/>
      <c r="R359" s="496"/>
      <c r="S359" s="496"/>
      <c r="T359" s="496"/>
      <c r="U359" s="496"/>
      <c r="V359" s="496"/>
      <c r="W359" s="496"/>
      <c r="X359" s="496"/>
      <c r="Y359" s="496"/>
    </row>
    <row r="360" spans="1:25" x14ac:dyDescent="0.2">
      <c r="A360" s="496"/>
      <c r="D360" s="496"/>
    </row>
    <row r="361" spans="1:25" x14ac:dyDescent="0.2">
      <c r="A361" s="496"/>
      <c r="D361" s="496"/>
    </row>
    <row r="362" spans="1:25" s="123" customFormat="1" x14ac:dyDescent="0.2">
      <c r="A362" s="496"/>
      <c r="B362" s="496"/>
      <c r="C362" s="496"/>
      <c r="D362" s="496"/>
      <c r="E362" s="496"/>
      <c r="F362" s="496"/>
      <c r="G362" s="496"/>
      <c r="H362" s="496"/>
      <c r="I362" s="496"/>
      <c r="J362" s="496"/>
      <c r="K362" s="496"/>
      <c r="L362" s="496"/>
      <c r="M362" s="496"/>
      <c r="N362" s="496"/>
      <c r="O362" s="496"/>
      <c r="P362" s="496"/>
      <c r="Q362" s="496"/>
      <c r="R362" s="496"/>
      <c r="S362" s="496"/>
      <c r="T362" s="496"/>
      <c r="U362" s="496"/>
      <c r="V362" s="496"/>
      <c r="W362" s="496"/>
      <c r="X362" s="496"/>
      <c r="Y362" s="496"/>
    </row>
    <row r="363" spans="1:25" x14ac:dyDescent="0.2">
      <c r="A363" s="496"/>
      <c r="D363" s="496"/>
    </row>
    <row r="364" spans="1:25" x14ac:dyDescent="0.2">
      <c r="A364" s="496"/>
      <c r="D364" s="496"/>
    </row>
    <row r="365" spans="1:25" s="123" customFormat="1" x14ac:dyDescent="0.2">
      <c r="A365" s="496"/>
      <c r="B365" s="496"/>
      <c r="C365" s="496"/>
      <c r="D365" s="496"/>
      <c r="E365" s="496"/>
      <c r="F365" s="496"/>
      <c r="G365" s="496"/>
      <c r="H365" s="496"/>
      <c r="I365" s="496"/>
      <c r="J365" s="496"/>
      <c r="K365" s="496"/>
      <c r="L365" s="496"/>
      <c r="M365" s="496"/>
      <c r="N365" s="496"/>
      <c r="O365" s="496"/>
      <c r="P365" s="496"/>
      <c r="Q365" s="496"/>
      <c r="R365" s="496"/>
      <c r="S365" s="496"/>
      <c r="T365" s="496"/>
      <c r="U365" s="496"/>
      <c r="V365" s="496"/>
      <c r="W365" s="496"/>
      <c r="X365" s="496"/>
      <c r="Y365" s="496"/>
    </row>
    <row r="366" spans="1:25" x14ac:dyDescent="0.2">
      <c r="A366" s="496"/>
      <c r="D366" s="496"/>
    </row>
    <row r="367" spans="1:25" x14ac:dyDescent="0.2">
      <c r="A367" s="496"/>
      <c r="D367" s="496"/>
    </row>
    <row r="368" spans="1:25" s="123" customFormat="1" x14ac:dyDescent="0.2">
      <c r="A368" s="496"/>
      <c r="B368" s="496"/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6"/>
      <c r="N368" s="496"/>
      <c r="O368" s="496"/>
      <c r="P368" s="496"/>
      <c r="Q368" s="496"/>
      <c r="R368" s="496"/>
      <c r="S368" s="496"/>
      <c r="T368" s="496"/>
      <c r="U368" s="496"/>
      <c r="V368" s="496"/>
      <c r="W368" s="496"/>
      <c r="X368" s="496"/>
      <c r="Y368" s="496"/>
    </row>
    <row r="369" spans="1:25" x14ac:dyDescent="0.2">
      <c r="A369" s="496"/>
      <c r="D369" s="496"/>
    </row>
    <row r="370" spans="1:25" x14ac:dyDescent="0.2">
      <c r="A370" s="496"/>
      <c r="D370" s="496"/>
    </row>
    <row r="371" spans="1:25" s="123" customFormat="1" x14ac:dyDescent="0.2">
      <c r="A371" s="496"/>
      <c r="B371" s="496"/>
      <c r="C371" s="496"/>
      <c r="D371" s="496"/>
      <c r="E371" s="496"/>
      <c r="F371" s="496"/>
      <c r="G371" s="496"/>
      <c r="H371" s="496"/>
      <c r="I371" s="496"/>
      <c r="J371" s="496"/>
      <c r="K371" s="496"/>
      <c r="L371" s="496"/>
      <c r="M371" s="496"/>
      <c r="N371" s="496"/>
      <c r="O371" s="496"/>
      <c r="P371" s="496"/>
      <c r="Q371" s="496"/>
      <c r="R371" s="496"/>
      <c r="S371" s="496"/>
      <c r="T371" s="496"/>
      <c r="U371" s="496"/>
      <c r="V371" s="496"/>
      <c r="W371" s="496"/>
      <c r="X371" s="496"/>
      <c r="Y371" s="496"/>
    </row>
    <row r="372" spans="1:25" x14ac:dyDescent="0.2">
      <c r="A372" s="496"/>
      <c r="D372" s="496"/>
    </row>
    <row r="373" spans="1:25" x14ac:dyDescent="0.2">
      <c r="A373" s="496"/>
      <c r="D373" s="496"/>
    </row>
    <row r="374" spans="1:25" s="123" customFormat="1" x14ac:dyDescent="0.2">
      <c r="A374" s="496"/>
      <c r="B374" s="496"/>
      <c r="C374" s="496"/>
      <c r="D374" s="496"/>
      <c r="E374" s="496"/>
      <c r="F374" s="496"/>
      <c r="G374" s="496"/>
      <c r="H374" s="496"/>
      <c r="I374" s="496"/>
      <c r="J374" s="496"/>
      <c r="K374" s="496"/>
      <c r="L374" s="496"/>
      <c r="M374" s="496"/>
      <c r="N374" s="496"/>
      <c r="O374" s="496"/>
      <c r="P374" s="496"/>
      <c r="Q374" s="496"/>
      <c r="R374" s="496"/>
      <c r="S374" s="496"/>
      <c r="T374" s="496"/>
      <c r="U374" s="496"/>
      <c r="V374" s="496"/>
      <c r="W374" s="496"/>
      <c r="X374" s="496"/>
      <c r="Y374" s="496"/>
    </row>
    <row r="375" spans="1:25" x14ac:dyDescent="0.2">
      <c r="A375" s="496"/>
      <c r="D375" s="496"/>
    </row>
    <row r="376" spans="1:25" x14ac:dyDescent="0.2">
      <c r="A376" s="496"/>
      <c r="D376" s="496"/>
    </row>
    <row r="377" spans="1:25" s="123" customFormat="1" x14ac:dyDescent="0.2">
      <c r="A377" s="496"/>
      <c r="B377" s="496"/>
      <c r="C377" s="496"/>
      <c r="D377" s="496"/>
      <c r="E377" s="496"/>
      <c r="F377" s="496"/>
      <c r="G377" s="496"/>
      <c r="H377" s="496"/>
      <c r="I377" s="496"/>
      <c r="J377" s="496"/>
      <c r="K377" s="496"/>
      <c r="L377" s="496"/>
      <c r="M377" s="496"/>
      <c r="N377" s="496"/>
      <c r="O377" s="496"/>
      <c r="P377" s="496"/>
      <c r="Q377" s="496"/>
      <c r="R377" s="496"/>
      <c r="S377" s="496"/>
      <c r="T377" s="496"/>
      <c r="U377" s="496"/>
      <c r="V377" s="496"/>
      <c r="W377" s="496"/>
      <c r="X377" s="496"/>
      <c r="Y377" s="496"/>
    </row>
    <row r="378" spans="1:25" x14ac:dyDescent="0.2">
      <c r="A378" s="496"/>
      <c r="D378" s="496"/>
    </row>
    <row r="379" spans="1:25" x14ac:dyDescent="0.2">
      <c r="A379" s="496"/>
      <c r="D379" s="496"/>
    </row>
    <row r="380" spans="1:25" s="123" customFormat="1" x14ac:dyDescent="0.2">
      <c r="A380" s="496"/>
      <c r="B380" s="496"/>
      <c r="C380" s="496"/>
      <c r="D380" s="496"/>
      <c r="E380" s="496"/>
      <c r="F380" s="496"/>
      <c r="G380" s="496"/>
      <c r="H380" s="496"/>
      <c r="I380" s="496"/>
      <c r="J380" s="496"/>
      <c r="K380" s="496"/>
      <c r="L380" s="496"/>
      <c r="M380" s="496"/>
      <c r="N380" s="496"/>
      <c r="O380" s="496"/>
      <c r="P380" s="496"/>
      <c r="Q380" s="496"/>
      <c r="R380" s="496"/>
      <c r="S380" s="496"/>
      <c r="T380" s="496"/>
      <c r="U380" s="496"/>
      <c r="V380" s="496"/>
      <c r="W380" s="496"/>
      <c r="X380" s="496"/>
      <c r="Y380" s="496"/>
    </row>
    <row r="381" spans="1:25" x14ac:dyDescent="0.2">
      <c r="A381" s="496"/>
      <c r="D381" s="496"/>
    </row>
    <row r="382" spans="1:25" x14ac:dyDescent="0.2">
      <c r="A382" s="496"/>
      <c r="D382" s="496"/>
    </row>
    <row r="383" spans="1:25" s="123" customFormat="1" x14ac:dyDescent="0.2">
      <c r="A383" s="496"/>
      <c r="B383" s="496"/>
      <c r="C383" s="496"/>
      <c r="D383" s="496"/>
      <c r="E383" s="496"/>
      <c r="F383" s="496"/>
      <c r="G383" s="496"/>
      <c r="H383" s="496"/>
      <c r="I383" s="496"/>
      <c r="J383" s="496"/>
      <c r="K383" s="496"/>
      <c r="L383" s="496"/>
      <c r="M383" s="496"/>
      <c r="N383" s="496"/>
      <c r="O383" s="496"/>
      <c r="P383" s="496"/>
      <c r="Q383" s="496"/>
      <c r="R383" s="496"/>
      <c r="S383" s="496"/>
      <c r="T383" s="496"/>
      <c r="U383" s="496"/>
      <c r="V383" s="496"/>
      <c r="W383" s="496"/>
      <c r="X383" s="496"/>
      <c r="Y383" s="496"/>
    </row>
    <row r="384" spans="1:25" x14ac:dyDescent="0.2">
      <c r="A384" s="496"/>
      <c r="D384" s="496"/>
    </row>
    <row r="385" spans="1:25" x14ac:dyDescent="0.2">
      <c r="A385" s="496"/>
      <c r="D385" s="496"/>
    </row>
    <row r="386" spans="1:25" s="123" customFormat="1" x14ac:dyDescent="0.2">
      <c r="A386" s="496"/>
      <c r="B386" s="496"/>
      <c r="C386" s="496"/>
      <c r="D386" s="496"/>
      <c r="E386" s="496"/>
      <c r="F386" s="496"/>
      <c r="G386" s="496"/>
      <c r="H386" s="496"/>
      <c r="I386" s="496"/>
      <c r="J386" s="496"/>
      <c r="K386" s="496"/>
      <c r="L386" s="496"/>
      <c r="M386" s="496"/>
      <c r="N386" s="496"/>
      <c r="O386" s="496"/>
      <c r="P386" s="496"/>
      <c r="Q386" s="496"/>
      <c r="R386" s="496"/>
      <c r="S386" s="496"/>
      <c r="T386" s="496"/>
      <c r="U386" s="496"/>
      <c r="V386" s="496"/>
      <c r="W386" s="496"/>
      <c r="X386" s="496"/>
      <c r="Y386" s="496"/>
    </row>
    <row r="387" spans="1:25" x14ac:dyDescent="0.2">
      <c r="A387" s="496"/>
      <c r="D387" s="496"/>
    </row>
    <row r="388" spans="1:25" x14ac:dyDescent="0.2">
      <c r="A388" s="496"/>
      <c r="D388" s="496"/>
    </row>
    <row r="389" spans="1:25" s="123" customFormat="1" x14ac:dyDescent="0.2">
      <c r="A389" s="496"/>
      <c r="B389" s="496"/>
      <c r="C389" s="496"/>
      <c r="D389" s="496"/>
      <c r="E389" s="496"/>
      <c r="F389" s="496"/>
      <c r="G389" s="496"/>
      <c r="H389" s="496"/>
      <c r="I389" s="496"/>
      <c r="J389" s="496"/>
      <c r="K389" s="496"/>
      <c r="L389" s="496"/>
      <c r="M389" s="496"/>
      <c r="N389" s="496"/>
      <c r="O389" s="496"/>
      <c r="P389" s="496"/>
      <c r="Q389" s="496"/>
      <c r="R389" s="496"/>
      <c r="S389" s="496"/>
      <c r="T389" s="496"/>
      <c r="U389" s="496"/>
      <c r="V389" s="496"/>
      <c r="W389" s="496"/>
      <c r="X389" s="496"/>
      <c r="Y389" s="496"/>
    </row>
    <row r="390" spans="1:25" x14ac:dyDescent="0.2">
      <c r="A390" s="496"/>
      <c r="D390" s="496"/>
    </row>
    <row r="391" spans="1:25" x14ac:dyDescent="0.2">
      <c r="A391" s="496"/>
      <c r="D391" s="496"/>
    </row>
    <row r="392" spans="1:25" s="123" customFormat="1" x14ac:dyDescent="0.2">
      <c r="A392" s="496"/>
      <c r="B392" s="496"/>
      <c r="C392" s="496"/>
      <c r="D392" s="496"/>
      <c r="E392" s="496"/>
      <c r="F392" s="496"/>
      <c r="G392" s="496"/>
      <c r="H392" s="496"/>
      <c r="I392" s="496"/>
      <c r="J392" s="496"/>
      <c r="K392" s="496"/>
      <c r="L392" s="496"/>
      <c r="M392" s="496"/>
      <c r="N392" s="496"/>
      <c r="O392" s="496"/>
      <c r="P392" s="496"/>
      <c r="Q392" s="496"/>
      <c r="R392" s="496"/>
      <c r="S392" s="496"/>
      <c r="T392" s="496"/>
      <c r="U392" s="496"/>
      <c r="V392" s="496"/>
      <c r="W392" s="496"/>
      <c r="X392" s="496"/>
      <c r="Y392" s="496"/>
    </row>
    <row r="393" spans="1:25" x14ac:dyDescent="0.2">
      <c r="A393" s="496"/>
      <c r="D393" s="496"/>
    </row>
    <row r="394" spans="1:25" x14ac:dyDescent="0.2">
      <c r="A394" s="496"/>
      <c r="D394" s="496"/>
    </row>
    <row r="395" spans="1:25" s="123" customFormat="1" x14ac:dyDescent="0.2">
      <c r="A395" s="496"/>
      <c r="B395" s="496"/>
      <c r="C395" s="496"/>
      <c r="D395" s="496"/>
      <c r="E395" s="496"/>
      <c r="F395" s="496"/>
      <c r="G395" s="496"/>
      <c r="H395" s="496"/>
      <c r="I395" s="496"/>
      <c r="J395" s="496"/>
      <c r="K395" s="496"/>
      <c r="L395" s="496"/>
      <c r="M395" s="496"/>
      <c r="N395" s="496"/>
      <c r="O395" s="496"/>
      <c r="P395" s="496"/>
      <c r="Q395" s="496"/>
      <c r="R395" s="496"/>
      <c r="S395" s="496"/>
      <c r="T395" s="496"/>
      <c r="U395" s="496"/>
      <c r="V395" s="496"/>
      <c r="W395" s="496"/>
      <c r="X395" s="496"/>
      <c r="Y395" s="496"/>
    </row>
    <row r="396" spans="1:25" x14ac:dyDescent="0.2">
      <c r="A396" s="496"/>
      <c r="D396" s="496"/>
    </row>
    <row r="397" spans="1:25" x14ac:dyDescent="0.2">
      <c r="A397" s="496"/>
      <c r="D397" s="496"/>
    </row>
    <row r="398" spans="1:25" s="123" customFormat="1" x14ac:dyDescent="0.2">
      <c r="A398" s="496"/>
      <c r="B398" s="496"/>
      <c r="C398" s="496"/>
      <c r="D398" s="496"/>
      <c r="E398" s="496"/>
      <c r="F398" s="496"/>
      <c r="G398" s="496"/>
      <c r="H398" s="496"/>
      <c r="I398" s="496"/>
      <c r="J398" s="496"/>
      <c r="K398" s="496"/>
      <c r="L398" s="496"/>
      <c r="M398" s="496"/>
      <c r="N398" s="496"/>
      <c r="O398" s="496"/>
      <c r="P398" s="496"/>
      <c r="Q398" s="496"/>
      <c r="R398" s="496"/>
      <c r="S398" s="496"/>
      <c r="T398" s="496"/>
      <c r="U398" s="496"/>
      <c r="V398" s="496"/>
      <c r="W398" s="496"/>
      <c r="X398" s="496"/>
      <c r="Y398" s="496"/>
    </row>
    <row r="399" spans="1:25" x14ac:dyDescent="0.2">
      <c r="A399" s="496"/>
      <c r="D399" s="496"/>
    </row>
    <row r="400" spans="1:25" x14ac:dyDescent="0.2">
      <c r="A400" s="496"/>
      <c r="D400" s="496"/>
    </row>
    <row r="401" spans="1:25" s="123" customFormat="1" x14ac:dyDescent="0.2">
      <c r="A401" s="496"/>
      <c r="B401" s="496"/>
      <c r="C401" s="496"/>
      <c r="D401" s="496"/>
      <c r="E401" s="496"/>
      <c r="F401" s="496"/>
      <c r="G401" s="496"/>
      <c r="H401" s="496"/>
      <c r="I401" s="496"/>
      <c r="J401" s="496"/>
      <c r="K401" s="496"/>
      <c r="L401" s="496"/>
      <c r="M401" s="496"/>
      <c r="N401" s="496"/>
      <c r="O401" s="496"/>
      <c r="P401" s="496"/>
      <c r="Q401" s="496"/>
      <c r="R401" s="496"/>
      <c r="S401" s="496"/>
      <c r="T401" s="496"/>
      <c r="U401" s="496"/>
      <c r="V401" s="496"/>
      <c r="W401" s="496"/>
      <c r="X401" s="496"/>
      <c r="Y401" s="496"/>
    </row>
    <row r="402" spans="1:25" x14ac:dyDescent="0.2">
      <c r="A402" s="496"/>
      <c r="D402" s="496"/>
    </row>
    <row r="403" spans="1:25" x14ac:dyDescent="0.2">
      <c r="A403" s="496"/>
      <c r="D403" s="496"/>
    </row>
    <row r="404" spans="1:25" s="123" customFormat="1" x14ac:dyDescent="0.2">
      <c r="A404" s="496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  <c r="V404" s="496"/>
      <c r="W404" s="496"/>
      <c r="X404" s="496"/>
      <c r="Y404" s="496"/>
    </row>
    <row r="405" spans="1:25" x14ac:dyDescent="0.2">
      <c r="A405" s="496"/>
      <c r="D405" s="496"/>
    </row>
    <row r="406" spans="1:25" x14ac:dyDescent="0.2">
      <c r="A406" s="496"/>
      <c r="D406" s="496"/>
    </row>
    <row r="407" spans="1:25" s="123" customFormat="1" x14ac:dyDescent="0.2">
      <c r="A407" s="496"/>
      <c r="B407" s="496"/>
      <c r="C407" s="496"/>
      <c r="D407" s="496"/>
      <c r="E407" s="496"/>
      <c r="F407" s="496"/>
      <c r="G407" s="496"/>
      <c r="H407" s="496"/>
      <c r="I407" s="496"/>
      <c r="J407" s="496"/>
      <c r="K407" s="496"/>
      <c r="L407" s="496"/>
      <c r="M407" s="496"/>
      <c r="N407" s="496"/>
      <c r="O407" s="496"/>
      <c r="P407" s="496"/>
      <c r="Q407" s="496"/>
      <c r="R407" s="496"/>
      <c r="S407" s="496"/>
      <c r="T407" s="496"/>
      <c r="U407" s="496"/>
      <c r="V407" s="496"/>
      <c r="W407" s="496"/>
      <c r="X407" s="496"/>
      <c r="Y407" s="496"/>
    </row>
    <row r="408" spans="1:25" x14ac:dyDescent="0.2">
      <c r="A408" s="496"/>
      <c r="D408" s="496"/>
    </row>
    <row r="409" spans="1:25" x14ac:dyDescent="0.2">
      <c r="A409" s="496"/>
      <c r="D409" s="496"/>
    </row>
    <row r="410" spans="1:25" s="123" customFormat="1" x14ac:dyDescent="0.2">
      <c r="A410" s="496"/>
      <c r="B410" s="496"/>
      <c r="C410" s="496"/>
      <c r="D410" s="496"/>
      <c r="E410" s="496"/>
      <c r="F410" s="496"/>
      <c r="G410" s="496"/>
      <c r="H410" s="496"/>
      <c r="I410" s="496"/>
      <c r="J410" s="496"/>
      <c r="K410" s="496"/>
      <c r="L410" s="496"/>
      <c r="M410" s="496"/>
      <c r="N410" s="496"/>
      <c r="O410" s="496"/>
      <c r="P410" s="496"/>
      <c r="Q410" s="496"/>
      <c r="R410" s="496"/>
      <c r="S410" s="496"/>
      <c r="T410" s="496"/>
      <c r="U410" s="496"/>
      <c r="V410" s="496"/>
      <c r="W410" s="496"/>
      <c r="X410" s="496"/>
      <c r="Y410" s="496"/>
    </row>
    <row r="411" spans="1:25" x14ac:dyDescent="0.2">
      <c r="A411" s="496"/>
      <c r="D411" s="496"/>
    </row>
    <row r="412" spans="1:25" x14ac:dyDescent="0.2">
      <c r="A412" s="496"/>
      <c r="D412" s="496"/>
    </row>
    <row r="413" spans="1:25" s="123" customFormat="1" x14ac:dyDescent="0.2">
      <c r="A413" s="496"/>
      <c r="B413" s="496"/>
      <c r="C413" s="496"/>
      <c r="D413" s="496"/>
      <c r="E413" s="496"/>
      <c r="F413" s="496"/>
      <c r="G413" s="496"/>
      <c r="H413" s="496"/>
      <c r="I413" s="496"/>
      <c r="J413" s="496"/>
      <c r="K413" s="496"/>
      <c r="L413" s="496"/>
      <c r="M413" s="496"/>
      <c r="N413" s="496"/>
      <c r="O413" s="496"/>
      <c r="P413" s="496"/>
      <c r="Q413" s="496"/>
      <c r="R413" s="496"/>
      <c r="S413" s="496"/>
      <c r="T413" s="496"/>
      <c r="U413" s="496"/>
      <c r="V413" s="496"/>
      <c r="W413" s="496"/>
      <c r="X413" s="496"/>
      <c r="Y413" s="496"/>
    </row>
    <row r="414" spans="1:25" x14ac:dyDescent="0.2">
      <c r="A414" s="496"/>
      <c r="D414" s="496"/>
    </row>
    <row r="415" spans="1:25" x14ac:dyDescent="0.2">
      <c r="A415" s="496"/>
      <c r="D415" s="496"/>
    </row>
    <row r="416" spans="1:25" s="123" customFormat="1" x14ac:dyDescent="0.2">
      <c r="A416" s="496"/>
      <c r="B416" s="496"/>
      <c r="C416" s="496"/>
      <c r="D416" s="496"/>
      <c r="E416" s="496"/>
      <c r="F416" s="496"/>
      <c r="G416" s="496"/>
      <c r="H416" s="496"/>
      <c r="I416" s="496"/>
      <c r="J416" s="496"/>
      <c r="K416" s="496"/>
      <c r="L416" s="496"/>
      <c r="M416" s="496"/>
      <c r="N416" s="496"/>
      <c r="O416" s="496"/>
      <c r="P416" s="496"/>
      <c r="Q416" s="496"/>
      <c r="R416" s="496"/>
      <c r="S416" s="496"/>
      <c r="T416" s="496"/>
      <c r="U416" s="496"/>
      <c r="V416" s="496"/>
      <c r="W416" s="496"/>
      <c r="X416" s="496"/>
      <c r="Y416" s="496"/>
    </row>
    <row r="417" spans="1:25" x14ac:dyDescent="0.2">
      <c r="A417" s="496"/>
      <c r="D417" s="496"/>
    </row>
    <row r="418" spans="1:25" x14ac:dyDescent="0.2">
      <c r="A418" s="496"/>
      <c r="D418" s="496"/>
    </row>
    <row r="419" spans="1:25" s="123" customFormat="1" x14ac:dyDescent="0.2">
      <c r="A419" s="496"/>
      <c r="B419" s="496"/>
      <c r="C419" s="496"/>
      <c r="D419" s="496"/>
      <c r="E419" s="496"/>
      <c r="F419" s="496"/>
      <c r="G419" s="496"/>
      <c r="H419" s="496"/>
      <c r="I419" s="496"/>
      <c r="J419" s="496"/>
      <c r="K419" s="496"/>
      <c r="L419" s="496"/>
      <c r="M419" s="496"/>
      <c r="N419" s="496"/>
      <c r="O419" s="496"/>
      <c r="P419" s="496"/>
      <c r="Q419" s="496"/>
      <c r="R419" s="496"/>
      <c r="S419" s="496"/>
      <c r="T419" s="496"/>
      <c r="U419" s="496"/>
      <c r="V419" s="496"/>
      <c r="W419" s="496"/>
      <c r="X419" s="496"/>
      <c r="Y419" s="496"/>
    </row>
    <row r="420" spans="1:25" x14ac:dyDescent="0.2">
      <c r="A420" s="496"/>
      <c r="D420" s="496"/>
    </row>
    <row r="421" spans="1:25" x14ac:dyDescent="0.2">
      <c r="A421" s="496"/>
      <c r="D421" s="496"/>
    </row>
    <row r="422" spans="1:25" s="123" customFormat="1" x14ac:dyDescent="0.2">
      <c r="A422" s="496"/>
      <c r="B422" s="496"/>
      <c r="C422" s="496"/>
      <c r="D422" s="496"/>
      <c r="E422" s="496"/>
      <c r="F422" s="496"/>
      <c r="G422" s="496"/>
      <c r="H422" s="496"/>
      <c r="I422" s="496"/>
      <c r="J422" s="496"/>
      <c r="K422" s="496"/>
      <c r="L422" s="496"/>
      <c r="M422" s="496"/>
      <c r="N422" s="496"/>
      <c r="O422" s="496"/>
      <c r="P422" s="496"/>
      <c r="Q422" s="496"/>
      <c r="R422" s="496"/>
      <c r="S422" s="496"/>
      <c r="T422" s="496"/>
      <c r="U422" s="496"/>
      <c r="V422" s="496"/>
      <c r="W422" s="496"/>
      <c r="X422" s="496"/>
      <c r="Y422" s="496"/>
    </row>
    <row r="423" spans="1:25" x14ac:dyDescent="0.2">
      <c r="A423" s="496"/>
      <c r="D423" s="496"/>
    </row>
    <row r="424" spans="1:25" x14ac:dyDescent="0.2">
      <c r="A424" s="496"/>
      <c r="D424" s="496"/>
    </row>
    <row r="425" spans="1:25" s="123" customFormat="1" x14ac:dyDescent="0.2">
      <c r="A425" s="496"/>
      <c r="B425" s="496"/>
      <c r="C425" s="496"/>
      <c r="D425" s="496"/>
      <c r="E425" s="496"/>
      <c r="F425" s="496"/>
      <c r="G425" s="496"/>
      <c r="H425" s="496"/>
      <c r="I425" s="496"/>
      <c r="J425" s="496"/>
      <c r="K425" s="496"/>
      <c r="L425" s="496"/>
      <c r="M425" s="496"/>
      <c r="N425" s="496"/>
      <c r="O425" s="496"/>
      <c r="P425" s="496"/>
      <c r="Q425" s="496"/>
      <c r="R425" s="496"/>
      <c r="S425" s="496"/>
      <c r="T425" s="496"/>
      <c r="U425" s="496"/>
      <c r="V425" s="496"/>
      <c r="W425" s="496"/>
      <c r="X425" s="496"/>
      <c r="Y425" s="496"/>
    </row>
    <row r="426" spans="1:25" x14ac:dyDescent="0.2">
      <c r="A426" s="496"/>
      <c r="D426" s="496"/>
    </row>
    <row r="427" spans="1:25" x14ac:dyDescent="0.2">
      <c r="A427" s="496"/>
      <c r="D427" s="496"/>
    </row>
    <row r="428" spans="1:25" s="123" customFormat="1" x14ac:dyDescent="0.2">
      <c r="A428" s="496"/>
      <c r="B428" s="496"/>
      <c r="C428" s="496"/>
      <c r="D428" s="496"/>
      <c r="E428" s="496"/>
      <c r="F428" s="496"/>
      <c r="G428" s="496"/>
      <c r="H428" s="496"/>
      <c r="I428" s="496"/>
      <c r="J428" s="496"/>
      <c r="K428" s="496"/>
      <c r="L428" s="496"/>
      <c r="M428" s="496"/>
      <c r="N428" s="496"/>
      <c r="O428" s="496"/>
      <c r="P428" s="496"/>
      <c r="Q428" s="496"/>
      <c r="R428" s="496"/>
      <c r="S428" s="496"/>
      <c r="T428" s="496"/>
      <c r="U428" s="496"/>
      <c r="V428" s="496"/>
      <c r="W428" s="496"/>
      <c r="X428" s="496"/>
      <c r="Y428" s="496"/>
    </row>
    <row r="429" spans="1:25" x14ac:dyDescent="0.2">
      <c r="A429" s="496"/>
      <c r="D429" s="496"/>
    </row>
    <row r="430" spans="1:25" x14ac:dyDescent="0.2">
      <c r="A430" s="496"/>
      <c r="D430" s="496"/>
    </row>
    <row r="431" spans="1:25" s="123" customFormat="1" x14ac:dyDescent="0.2">
      <c r="A431" s="496"/>
      <c r="B431" s="496"/>
      <c r="C431" s="496"/>
      <c r="D431" s="496"/>
      <c r="E431" s="496"/>
      <c r="F431" s="496"/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/>
      <c r="T431" s="496"/>
      <c r="U431" s="496"/>
      <c r="V431" s="496"/>
      <c r="W431" s="496"/>
      <c r="X431" s="496"/>
      <c r="Y431" s="496"/>
    </row>
    <row r="432" spans="1:25" x14ac:dyDescent="0.2">
      <c r="A432" s="496"/>
      <c r="D432" s="496"/>
    </row>
    <row r="433" spans="1:25" x14ac:dyDescent="0.2">
      <c r="A433" s="496"/>
      <c r="D433" s="496"/>
    </row>
    <row r="434" spans="1:25" s="123" customFormat="1" x14ac:dyDescent="0.2">
      <c r="A434" s="496"/>
      <c r="B434" s="496"/>
      <c r="C434" s="496"/>
      <c r="D434" s="496"/>
      <c r="E434" s="496"/>
      <c r="F434" s="496"/>
      <c r="G434" s="496"/>
      <c r="H434" s="496"/>
      <c r="I434" s="496"/>
      <c r="J434" s="496"/>
      <c r="K434" s="496"/>
      <c r="L434" s="496"/>
      <c r="M434" s="496"/>
      <c r="N434" s="496"/>
      <c r="O434" s="496"/>
      <c r="P434" s="496"/>
      <c r="Q434" s="496"/>
      <c r="R434" s="496"/>
      <c r="S434" s="496"/>
      <c r="T434" s="496"/>
      <c r="U434" s="496"/>
      <c r="V434" s="496"/>
      <c r="W434" s="496"/>
      <c r="X434" s="496"/>
      <c r="Y434" s="496"/>
    </row>
    <row r="435" spans="1:25" x14ac:dyDescent="0.2">
      <c r="A435" s="496"/>
      <c r="D435" s="496"/>
    </row>
    <row r="436" spans="1:25" x14ac:dyDescent="0.2">
      <c r="A436" s="496"/>
      <c r="D436" s="496"/>
    </row>
    <row r="437" spans="1:25" s="123" customFormat="1" x14ac:dyDescent="0.2">
      <c r="A437" s="496"/>
      <c r="B437" s="496"/>
      <c r="C437" s="496"/>
      <c r="D437" s="496"/>
      <c r="E437" s="496"/>
      <c r="F437" s="496"/>
      <c r="G437" s="496"/>
      <c r="H437" s="496"/>
      <c r="I437" s="496"/>
      <c r="J437" s="496"/>
      <c r="K437" s="496"/>
      <c r="L437" s="496"/>
      <c r="M437" s="496"/>
      <c r="N437" s="496"/>
      <c r="O437" s="496"/>
      <c r="P437" s="496"/>
      <c r="Q437" s="496"/>
      <c r="R437" s="496"/>
      <c r="S437" s="496"/>
      <c r="T437" s="496"/>
      <c r="U437" s="496"/>
      <c r="V437" s="496"/>
      <c r="W437" s="496"/>
      <c r="X437" s="496"/>
      <c r="Y437" s="496"/>
    </row>
    <row r="438" spans="1:25" x14ac:dyDescent="0.2">
      <c r="A438" s="496"/>
      <c r="D438" s="496"/>
    </row>
    <row r="439" spans="1:25" x14ac:dyDescent="0.2">
      <c r="A439" s="496"/>
      <c r="D439" s="496"/>
    </row>
    <row r="440" spans="1:25" s="123" customFormat="1" x14ac:dyDescent="0.2">
      <c r="A440" s="496"/>
      <c r="B440" s="496"/>
      <c r="C440" s="496"/>
      <c r="D440" s="496"/>
      <c r="E440" s="496"/>
      <c r="F440" s="496"/>
      <c r="G440" s="496"/>
      <c r="H440" s="496"/>
      <c r="I440" s="496"/>
      <c r="J440" s="496"/>
      <c r="K440" s="496"/>
      <c r="L440" s="496"/>
      <c r="M440" s="496"/>
      <c r="N440" s="496"/>
      <c r="O440" s="496"/>
      <c r="P440" s="496"/>
      <c r="Q440" s="496"/>
      <c r="R440" s="496"/>
      <c r="S440" s="496"/>
      <c r="T440" s="496"/>
      <c r="U440" s="496"/>
      <c r="V440" s="496"/>
      <c r="W440" s="496"/>
      <c r="X440" s="496"/>
      <c r="Y440" s="496"/>
    </row>
    <row r="441" spans="1:25" x14ac:dyDescent="0.2">
      <c r="A441" s="496"/>
      <c r="D441" s="496"/>
    </row>
    <row r="442" spans="1:25" x14ac:dyDescent="0.2">
      <c r="A442" s="496"/>
      <c r="D442" s="496"/>
    </row>
    <row r="443" spans="1:25" s="123" customFormat="1" x14ac:dyDescent="0.2">
      <c r="A443" s="496"/>
      <c r="B443" s="496"/>
      <c r="C443" s="496"/>
      <c r="D443" s="496"/>
      <c r="E443" s="496"/>
      <c r="F443" s="496"/>
      <c r="G443" s="496"/>
      <c r="H443" s="496"/>
      <c r="I443" s="496"/>
      <c r="J443" s="496"/>
      <c r="K443" s="496"/>
      <c r="L443" s="496"/>
      <c r="M443" s="496"/>
      <c r="N443" s="496"/>
      <c r="O443" s="496"/>
      <c r="P443" s="496"/>
      <c r="Q443" s="496"/>
      <c r="R443" s="496"/>
      <c r="S443" s="496"/>
      <c r="T443" s="496"/>
      <c r="U443" s="496"/>
      <c r="V443" s="496"/>
      <c r="W443" s="496"/>
      <c r="X443" s="496"/>
      <c r="Y443" s="496"/>
    </row>
    <row r="444" spans="1:25" x14ac:dyDescent="0.2">
      <c r="A444" s="496"/>
      <c r="D444" s="496"/>
    </row>
    <row r="445" spans="1:25" x14ac:dyDescent="0.2">
      <c r="A445" s="496"/>
      <c r="D445" s="496"/>
    </row>
    <row r="446" spans="1:25" s="123" customFormat="1" x14ac:dyDescent="0.2">
      <c r="A446" s="496"/>
      <c r="B446" s="496"/>
      <c r="C446" s="496"/>
      <c r="D446" s="496"/>
      <c r="E446" s="496"/>
      <c r="F446" s="496"/>
      <c r="G446" s="496"/>
      <c r="H446" s="496"/>
      <c r="I446" s="496"/>
      <c r="J446" s="496"/>
      <c r="K446" s="496"/>
      <c r="L446" s="496"/>
      <c r="M446" s="496"/>
      <c r="N446" s="496"/>
      <c r="O446" s="496"/>
      <c r="P446" s="496"/>
      <c r="Q446" s="496"/>
      <c r="R446" s="496"/>
      <c r="S446" s="496"/>
      <c r="T446" s="496"/>
      <c r="U446" s="496"/>
      <c r="V446" s="496"/>
      <c r="W446" s="496"/>
      <c r="X446" s="496"/>
      <c r="Y446" s="496"/>
    </row>
    <row r="447" spans="1:25" x14ac:dyDescent="0.2">
      <c r="A447" s="496"/>
      <c r="D447" s="496"/>
    </row>
    <row r="448" spans="1:25" x14ac:dyDescent="0.2">
      <c r="A448" s="496"/>
      <c r="D448" s="496"/>
    </row>
    <row r="449" spans="1:25" s="123" customFormat="1" x14ac:dyDescent="0.2">
      <c r="A449" s="496"/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96"/>
      <c r="O449" s="496"/>
      <c r="P449" s="496"/>
      <c r="Q449" s="496"/>
      <c r="R449" s="496"/>
      <c r="S449" s="496"/>
      <c r="T449" s="496"/>
      <c r="U449" s="496"/>
      <c r="V449" s="496"/>
      <c r="W449" s="496"/>
      <c r="X449" s="496"/>
      <c r="Y449" s="496"/>
    </row>
    <row r="450" spans="1:25" x14ac:dyDescent="0.2">
      <c r="A450" s="496"/>
      <c r="D450" s="496"/>
    </row>
    <row r="451" spans="1:25" x14ac:dyDescent="0.2">
      <c r="A451" s="496"/>
      <c r="D451" s="496"/>
    </row>
    <row r="452" spans="1:25" s="123" customFormat="1" x14ac:dyDescent="0.2">
      <c r="A452" s="496"/>
      <c r="B452" s="496"/>
      <c r="C452" s="496"/>
      <c r="D452" s="496"/>
      <c r="E452" s="496"/>
      <c r="F452" s="496"/>
      <c r="G452" s="496"/>
      <c r="H452" s="496"/>
      <c r="I452" s="496"/>
      <c r="J452" s="496"/>
      <c r="K452" s="496"/>
      <c r="L452" s="496"/>
      <c r="M452" s="496"/>
      <c r="N452" s="496"/>
      <c r="O452" s="496"/>
      <c r="P452" s="496"/>
      <c r="Q452" s="496"/>
      <c r="R452" s="496"/>
      <c r="S452" s="496"/>
      <c r="T452" s="496"/>
      <c r="U452" s="496"/>
      <c r="V452" s="496"/>
      <c r="W452" s="496"/>
      <c r="X452" s="496"/>
      <c r="Y452" s="496"/>
    </row>
    <row r="453" spans="1:25" x14ac:dyDescent="0.2">
      <c r="A453" s="496"/>
      <c r="D453" s="496"/>
    </row>
    <row r="454" spans="1:25" x14ac:dyDescent="0.2">
      <c r="A454" s="496"/>
      <c r="D454" s="496"/>
    </row>
    <row r="455" spans="1:25" s="123" customFormat="1" x14ac:dyDescent="0.2">
      <c r="A455" s="496"/>
      <c r="B455" s="496"/>
      <c r="C455" s="496"/>
      <c r="D455" s="496"/>
      <c r="E455" s="496"/>
      <c r="F455" s="496"/>
      <c r="G455" s="496"/>
      <c r="H455" s="496"/>
      <c r="I455" s="496"/>
      <c r="J455" s="496"/>
      <c r="K455" s="496"/>
      <c r="L455" s="496"/>
      <c r="M455" s="496"/>
      <c r="N455" s="496"/>
      <c r="O455" s="496"/>
      <c r="P455" s="496"/>
      <c r="Q455" s="496"/>
      <c r="R455" s="496"/>
      <c r="S455" s="496"/>
      <c r="T455" s="496"/>
      <c r="U455" s="496"/>
      <c r="V455" s="496"/>
      <c r="W455" s="496"/>
      <c r="X455" s="496"/>
      <c r="Y455" s="496"/>
    </row>
    <row r="456" spans="1:25" x14ac:dyDescent="0.2">
      <c r="A456" s="496"/>
      <c r="D456" s="496"/>
    </row>
    <row r="457" spans="1:25" x14ac:dyDescent="0.2">
      <c r="A457" s="496"/>
      <c r="D457" s="496"/>
    </row>
    <row r="458" spans="1:25" s="123" customFormat="1" x14ac:dyDescent="0.2">
      <c r="A458" s="496"/>
      <c r="B458" s="496"/>
      <c r="C458" s="496"/>
      <c r="D458" s="496"/>
      <c r="E458" s="496"/>
      <c r="F458" s="496"/>
      <c r="G458" s="496"/>
      <c r="H458" s="496"/>
      <c r="I458" s="496"/>
      <c r="J458" s="496"/>
      <c r="K458" s="496"/>
      <c r="L458" s="496"/>
      <c r="M458" s="496"/>
      <c r="N458" s="496"/>
      <c r="O458" s="496"/>
      <c r="P458" s="496"/>
      <c r="Q458" s="496"/>
      <c r="R458" s="496"/>
      <c r="S458" s="496"/>
      <c r="T458" s="496"/>
      <c r="U458" s="496"/>
      <c r="V458" s="496"/>
      <c r="W458" s="496"/>
      <c r="X458" s="496"/>
      <c r="Y458" s="496"/>
    </row>
    <row r="459" spans="1:25" x14ac:dyDescent="0.2">
      <c r="A459" s="496"/>
      <c r="D459" s="496"/>
    </row>
    <row r="460" spans="1:25" x14ac:dyDescent="0.2">
      <c r="A460" s="496"/>
      <c r="D460" s="496"/>
    </row>
    <row r="461" spans="1:25" s="123" customFormat="1" x14ac:dyDescent="0.2">
      <c r="A461" s="496"/>
      <c r="B461" s="496"/>
      <c r="C461" s="496"/>
      <c r="D461" s="496"/>
      <c r="E461" s="496"/>
      <c r="F461" s="496"/>
      <c r="G461" s="496"/>
      <c r="H461" s="496"/>
      <c r="I461" s="496"/>
      <c r="J461" s="496"/>
      <c r="K461" s="496"/>
      <c r="L461" s="496"/>
      <c r="M461" s="496"/>
      <c r="N461" s="496"/>
      <c r="O461" s="496"/>
      <c r="P461" s="496"/>
      <c r="Q461" s="496"/>
      <c r="R461" s="496"/>
      <c r="S461" s="496"/>
      <c r="T461" s="496"/>
      <c r="U461" s="496"/>
      <c r="V461" s="496"/>
      <c r="W461" s="496"/>
      <c r="X461" s="496"/>
      <c r="Y461" s="496"/>
    </row>
    <row r="462" spans="1:25" x14ac:dyDescent="0.2">
      <c r="A462" s="496"/>
      <c r="D462" s="496"/>
    </row>
    <row r="463" spans="1:25" x14ac:dyDescent="0.2">
      <c r="A463" s="496"/>
      <c r="D463" s="496"/>
    </row>
    <row r="464" spans="1:25" s="123" customFormat="1" x14ac:dyDescent="0.2">
      <c r="A464" s="496"/>
      <c r="B464" s="496"/>
      <c r="C464" s="496"/>
      <c r="D464" s="496"/>
      <c r="E464" s="496"/>
      <c r="F464" s="496"/>
      <c r="G464" s="496"/>
      <c r="H464" s="496"/>
      <c r="I464" s="496"/>
      <c r="J464" s="496"/>
      <c r="K464" s="496"/>
      <c r="L464" s="496"/>
      <c r="M464" s="496"/>
      <c r="N464" s="496"/>
      <c r="O464" s="496"/>
      <c r="P464" s="496"/>
      <c r="Q464" s="496"/>
      <c r="R464" s="496"/>
      <c r="S464" s="496"/>
      <c r="T464" s="496"/>
      <c r="U464" s="496"/>
      <c r="V464" s="496"/>
      <c r="W464" s="496"/>
      <c r="X464" s="496"/>
      <c r="Y464" s="496"/>
    </row>
    <row r="465" spans="1:25" x14ac:dyDescent="0.2">
      <c r="A465" s="496"/>
      <c r="D465" s="496"/>
    </row>
    <row r="466" spans="1:25" x14ac:dyDescent="0.2">
      <c r="A466" s="496"/>
      <c r="D466" s="496"/>
    </row>
    <row r="467" spans="1:25" s="123" customFormat="1" x14ac:dyDescent="0.2">
      <c r="A467" s="496"/>
      <c r="B467" s="496"/>
      <c r="C467" s="496"/>
      <c r="D467" s="496"/>
      <c r="E467" s="496"/>
      <c r="F467" s="496"/>
      <c r="G467" s="496"/>
      <c r="H467" s="496"/>
      <c r="I467" s="496"/>
      <c r="J467" s="496"/>
      <c r="K467" s="496"/>
      <c r="L467" s="496"/>
      <c r="M467" s="496"/>
      <c r="N467" s="496"/>
      <c r="O467" s="496"/>
      <c r="P467" s="496"/>
      <c r="Q467" s="496"/>
      <c r="R467" s="496"/>
      <c r="S467" s="496"/>
      <c r="T467" s="496"/>
      <c r="U467" s="496"/>
      <c r="V467" s="496"/>
      <c r="W467" s="496"/>
      <c r="X467" s="496"/>
      <c r="Y467" s="496"/>
    </row>
    <row r="468" spans="1:25" x14ac:dyDescent="0.2">
      <c r="A468" s="496"/>
      <c r="D468" s="496"/>
    </row>
    <row r="469" spans="1:25" x14ac:dyDescent="0.2">
      <c r="A469" s="496"/>
      <c r="D469" s="496"/>
    </row>
    <row r="470" spans="1:25" s="123" customFormat="1" x14ac:dyDescent="0.2">
      <c r="A470" s="496"/>
      <c r="B470" s="496"/>
      <c r="C470" s="496"/>
      <c r="D470" s="496"/>
      <c r="E470" s="496"/>
      <c r="F470" s="496"/>
      <c r="G470" s="496"/>
      <c r="H470" s="496"/>
      <c r="I470" s="496"/>
      <c r="J470" s="496"/>
      <c r="K470" s="496"/>
      <c r="L470" s="496"/>
      <c r="M470" s="496"/>
      <c r="N470" s="496"/>
      <c r="O470" s="496"/>
      <c r="P470" s="496"/>
      <c r="Q470" s="496"/>
      <c r="R470" s="496"/>
      <c r="S470" s="496"/>
      <c r="T470" s="496"/>
      <c r="U470" s="496"/>
      <c r="V470" s="496"/>
      <c r="W470" s="496"/>
      <c r="X470" s="496"/>
      <c r="Y470" s="496"/>
    </row>
    <row r="471" spans="1:25" x14ac:dyDescent="0.2">
      <c r="A471" s="496"/>
      <c r="D471" s="496"/>
    </row>
    <row r="472" spans="1:25" x14ac:dyDescent="0.2">
      <c r="A472" s="496"/>
      <c r="D472" s="496"/>
    </row>
    <row r="473" spans="1:25" s="123" customFormat="1" x14ac:dyDescent="0.2">
      <c r="A473" s="496"/>
      <c r="B473" s="496"/>
      <c r="C473" s="496"/>
      <c r="D473" s="496"/>
      <c r="E473" s="496"/>
      <c r="F473" s="496"/>
      <c r="G473" s="496"/>
      <c r="H473" s="496"/>
      <c r="I473" s="496"/>
      <c r="J473" s="496"/>
      <c r="K473" s="496"/>
      <c r="L473" s="496"/>
      <c r="M473" s="496"/>
      <c r="N473" s="496"/>
      <c r="O473" s="496"/>
      <c r="P473" s="496"/>
      <c r="Q473" s="496"/>
      <c r="R473" s="496"/>
      <c r="S473" s="496"/>
      <c r="T473" s="496"/>
      <c r="U473" s="496"/>
      <c r="V473" s="496"/>
      <c r="W473" s="496"/>
      <c r="X473" s="496"/>
      <c r="Y473" s="496"/>
    </row>
    <row r="474" spans="1:25" x14ac:dyDescent="0.2">
      <c r="A474" s="496"/>
      <c r="D474" s="496"/>
    </row>
    <row r="475" spans="1:25" x14ac:dyDescent="0.2">
      <c r="A475" s="496"/>
      <c r="D475" s="496"/>
    </row>
    <row r="476" spans="1:25" s="123" customFormat="1" x14ac:dyDescent="0.2">
      <c r="A476" s="496"/>
      <c r="B476" s="496"/>
      <c r="C476" s="496"/>
      <c r="D476" s="496"/>
      <c r="E476" s="496"/>
      <c r="F476" s="496"/>
      <c r="G476" s="496"/>
      <c r="H476" s="496"/>
      <c r="I476" s="496"/>
      <c r="J476" s="496"/>
      <c r="K476" s="496"/>
      <c r="L476" s="496"/>
      <c r="M476" s="496"/>
      <c r="N476" s="496"/>
      <c r="O476" s="496"/>
      <c r="P476" s="496"/>
      <c r="Q476" s="496"/>
      <c r="R476" s="496"/>
      <c r="S476" s="496"/>
      <c r="T476" s="496"/>
      <c r="U476" s="496"/>
      <c r="V476" s="496"/>
      <c r="W476" s="496"/>
      <c r="X476" s="496"/>
      <c r="Y476" s="496"/>
    </row>
    <row r="477" spans="1:25" x14ac:dyDescent="0.2">
      <c r="A477" s="496"/>
      <c r="D477" s="496"/>
    </row>
    <row r="478" spans="1:25" x14ac:dyDescent="0.2">
      <c r="A478" s="496"/>
      <c r="D478" s="496"/>
    </row>
    <row r="479" spans="1:25" s="123" customFormat="1" x14ac:dyDescent="0.2">
      <c r="A479" s="496"/>
      <c r="B479" s="496"/>
      <c r="C479" s="496"/>
      <c r="D479" s="496"/>
      <c r="E479" s="496"/>
      <c r="F479" s="496"/>
      <c r="G479" s="496"/>
      <c r="H479" s="496"/>
      <c r="I479" s="496"/>
      <c r="J479" s="496"/>
      <c r="K479" s="496"/>
      <c r="L479" s="496"/>
      <c r="M479" s="496"/>
      <c r="N479" s="496"/>
      <c r="O479" s="496"/>
      <c r="P479" s="496"/>
      <c r="Q479" s="496"/>
      <c r="R479" s="496"/>
      <c r="S479" s="496"/>
      <c r="T479" s="496"/>
      <c r="U479" s="496"/>
      <c r="V479" s="496"/>
      <c r="W479" s="496"/>
      <c r="X479" s="496"/>
      <c r="Y479" s="496"/>
    </row>
    <row r="480" spans="1:25" x14ac:dyDescent="0.2">
      <c r="A480" s="496"/>
      <c r="D480" s="496"/>
    </row>
    <row r="481" spans="1:25" x14ac:dyDescent="0.2">
      <c r="A481" s="496"/>
      <c r="D481" s="496"/>
    </row>
    <row r="482" spans="1:25" s="123" customFormat="1" x14ac:dyDescent="0.2">
      <c r="A482" s="496"/>
      <c r="B482" s="496"/>
      <c r="C482" s="496"/>
      <c r="D482" s="496"/>
      <c r="E482" s="496"/>
      <c r="F482" s="496"/>
      <c r="G482" s="496"/>
      <c r="H482" s="496"/>
      <c r="I482" s="496"/>
      <c r="J482" s="496"/>
      <c r="K482" s="496"/>
      <c r="L482" s="496"/>
      <c r="M482" s="496"/>
      <c r="N482" s="496"/>
      <c r="O482" s="496"/>
      <c r="P482" s="496"/>
      <c r="Q482" s="496"/>
      <c r="R482" s="496"/>
      <c r="S482" s="496"/>
      <c r="T482" s="496"/>
      <c r="U482" s="496"/>
      <c r="V482" s="496"/>
      <c r="W482" s="496"/>
      <c r="X482" s="496"/>
      <c r="Y482" s="496"/>
    </row>
    <row r="483" spans="1:25" x14ac:dyDescent="0.2">
      <c r="A483" s="496"/>
      <c r="D483" s="496"/>
    </row>
    <row r="484" spans="1:25" x14ac:dyDescent="0.2">
      <c r="A484" s="496"/>
      <c r="D484" s="496"/>
    </row>
    <row r="485" spans="1:25" s="123" customFormat="1" x14ac:dyDescent="0.2">
      <c r="A485" s="496"/>
      <c r="B485" s="496"/>
      <c r="C485" s="496"/>
      <c r="D485" s="496"/>
      <c r="E485" s="496"/>
      <c r="F485" s="496"/>
      <c r="G485" s="496"/>
      <c r="H485" s="496"/>
      <c r="I485" s="496"/>
      <c r="J485" s="496"/>
      <c r="K485" s="496"/>
      <c r="L485" s="496"/>
      <c r="M485" s="496"/>
      <c r="N485" s="496"/>
      <c r="O485" s="496"/>
      <c r="P485" s="496"/>
      <c r="Q485" s="496"/>
      <c r="R485" s="496"/>
      <c r="S485" s="496"/>
      <c r="T485" s="496"/>
      <c r="U485" s="496"/>
      <c r="V485" s="496"/>
      <c r="W485" s="496"/>
      <c r="X485" s="496"/>
      <c r="Y485" s="496"/>
    </row>
    <row r="486" spans="1:25" x14ac:dyDescent="0.2">
      <c r="A486" s="496"/>
      <c r="D486" s="496"/>
    </row>
    <row r="487" spans="1:25" x14ac:dyDescent="0.2">
      <c r="A487" s="496"/>
      <c r="D487" s="496"/>
    </row>
    <row r="488" spans="1:25" s="123" customFormat="1" x14ac:dyDescent="0.2">
      <c r="A488" s="496"/>
      <c r="B488" s="496"/>
      <c r="C488" s="496"/>
      <c r="D488" s="496"/>
      <c r="E488" s="496"/>
      <c r="F488" s="496"/>
      <c r="G488" s="496"/>
      <c r="H488" s="496"/>
      <c r="I488" s="496"/>
      <c r="J488" s="496"/>
      <c r="K488" s="496"/>
      <c r="L488" s="496"/>
      <c r="M488" s="496"/>
      <c r="N488" s="496"/>
      <c r="O488" s="496"/>
      <c r="P488" s="496"/>
      <c r="Q488" s="496"/>
      <c r="R488" s="496"/>
      <c r="S488" s="496"/>
      <c r="T488" s="496"/>
      <c r="U488" s="496"/>
      <c r="V488" s="496"/>
      <c r="W488" s="496"/>
      <c r="X488" s="496"/>
      <c r="Y488" s="496"/>
    </row>
    <row r="489" spans="1:25" x14ac:dyDescent="0.2">
      <c r="A489" s="496"/>
      <c r="D489" s="496"/>
    </row>
    <row r="490" spans="1:25" x14ac:dyDescent="0.2">
      <c r="A490" s="496"/>
      <c r="D490" s="496"/>
    </row>
    <row r="491" spans="1:25" s="123" customFormat="1" x14ac:dyDescent="0.2">
      <c r="A491" s="496"/>
      <c r="B491" s="496"/>
      <c r="C491" s="496"/>
      <c r="D491" s="496"/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496"/>
      <c r="R491" s="496"/>
      <c r="S491" s="496"/>
      <c r="T491" s="496"/>
      <c r="U491" s="496"/>
      <c r="V491" s="496"/>
      <c r="W491" s="496"/>
      <c r="X491" s="496"/>
      <c r="Y491" s="496"/>
    </row>
    <row r="492" spans="1:25" x14ac:dyDescent="0.2">
      <c r="A492" s="496"/>
      <c r="D492" s="496"/>
    </row>
    <row r="493" spans="1:25" x14ac:dyDescent="0.2">
      <c r="A493" s="496"/>
      <c r="D493" s="496"/>
    </row>
    <row r="494" spans="1:25" s="123" customFormat="1" x14ac:dyDescent="0.2">
      <c r="A494" s="496"/>
      <c r="B494" s="496"/>
      <c r="C494" s="496"/>
      <c r="D494" s="496"/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496"/>
      <c r="R494" s="496"/>
      <c r="S494" s="496"/>
      <c r="T494" s="496"/>
      <c r="U494" s="496"/>
      <c r="V494" s="496"/>
      <c r="W494" s="496"/>
      <c r="X494" s="496"/>
      <c r="Y494" s="496"/>
    </row>
    <row r="495" spans="1:25" x14ac:dyDescent="0.2">
      <c r="A495" s="496"/>
      <c r="D495" s="496"/>
    </row>
    <row r="496" spans="1:25" x14ac:dyDescent="0.2">
      <c r="A496" s="496"/>
      <c r="D496" s="496"/>
    </row>
    <row r="497" spans="1:25" s="123" customFormat="1" x14ac:dyDescent="0.2">
      <c r="A497" s="496"/>
      <c r="B497" s="496"/>
      <c r="C497" s="496"/>
      <c r="D497" s="496"/>
      <c r="E497" s="496"/>
      <c r="F497" s="496"/>
      <c r="G497" s="496"/>
      <c r="H497" s="496"/>
      <c r="I497" s="496"/>
      <c r="J497" s="496"/>
      <c r="K497" s="496"/>
      <c r="L497" s="496"/>
      <c r="M497" s="496"/>
      <c r="N497" s="496"/>
      <c r="O497" s="496"/>
      <c r="P497" s="496"/>
      <c r="Q497" s="496"/>
      <c r="R497" s="496"/>
      <c r="S497" s="496"/>
      <c r="T497" s="496"/>
      <c r="U497" s="496"/>
      <c r="V497" s="496"/>
      <c r="W497" s="496"/>
      <c r="X497" s="496"/>
      <c r="Y497" s="496"/>
    </row>
    <row r="498" spans="1:25" x14ac:dyDescent="0.2">
      <c r="A498" s="496"/>
      <c r="D498" s="496"/>
    </row>
    <row r="499" spans="1:25" x14ac:dyDescent="0.2">
      <c r="A499" s="496"/>
      <c r="D499" s="496"/>
    </row>
    <row r="500" spans="1:25" s="123" customFormat="1" x14ac:dyDescent="0.2">
      <c r="A500" s="496"/>
      <c r="B500" s="496"/>
      <c r="C500" s="496"/>
      <c r="D500" s="496"/>
      <c r="E500" s="496"/>
      <c r="F500" s="496"/>
      <c r="G500" s="496"/>
      <c r="H500" s="496"/>
      <c r="I500" s="496"/>
      <c r="J500" s="496"/>
      <c r="K500" s="496"/>
      <c r="L500" s="496"/>
      <c r="M500" s="496"/>
      <c r="N500" s="496"/>
      <c r="O500" s="496"/>
      <c r="P500" s="496"/>
      <c r="Q500" s="496"/>
      <c r="R500" s="496"/>
      <c r="S500" s="496"/>
      <c r="T500" s="496"/>
      <c r="U500" s="496"/>
      <c r="V500" s="496"/>
      <c r="W500" s="496"/>
      <c r="X500" s="496"/>
      <c r="Y500" s="496"/>
    </row>
    <row r="501" spans="1:25" x14ac:dyDescent="0.2">
      <c r="A501" s="496"/>
      <c r="D501" s="496"/>
    </row>
    <row r="502" spans="1:25" x14ac:dyDescent="0.2">
      <c r="A502" s="496"/>
      <c r="D502" s="496"/>
    </row>
    <row r="503" spans="1:25" s="123" customFormat="1" x14ac:dyDescent="0.2">
      <c r="A503" s="496"/>
      <c r="B503" s="496"/>
      <c r="C503" s="496"/>
      <c r="D503" s="496"/>
      <c r="E503" s="496"/>
      <c r="F503" s="496"/>
      <c r="G503" s="496"/>
      <c r="H503" s="496"/>
      <c r="I503" s="496"/>
      <c r="J503" s="496"/>
      <c r="K503" s="496"/>
      <c r="L503" s="496"/>
      <c r="M503" s="496"/>
      <c r="N503" s="496"/>
      <c r="O503" s="496"/>
      <c r="P503" s="496"/>
      <c r="Q503" s="496"/>
      <c r="R503" s="496"/>
      <c r="S503" s="496"/>
      <c r="T503" s="496"/>
      <c r="U503" s="496"/>
      <c r="V503" s="496"/>
      <c r="W503" s="496"/>
      <c r="X503" s="496"/>
      <c r="Y503" s="496"/>
    </row>
    <row r="504" spans="1:25" x14ac:dyDescent="0.2">
      <c r="A504" s="496"/>
      <c r="D504" s="496"/>
    </row>
    <row r="505" spans="1:25" x14ac:dyDescent="0.2">
      <c r="A505" s="496"/>
      <c r="D505" s="496"/>
    </row>
    <row r="506" spans="1:25" s="123" customFormat="1" x14ac:dyDescent="0.2">
      <c r="A506" s="496"/>
      <c r="B506" s="496"/>
      <c r="C506" s="496"/>
      <c r="D506" s="496"/>
      <c r="E506" s="496"/>
      <c r="F506" s="496"/>
      <c r="G506" s="496"/>
      <c r="H506" s="496"/>
      <c r="I506" s="496"/>
      <c r="J506" s="496"/>
      <c r="K506" s="496"/>
      <c r="L506" s="496"/>
      <c r="M506" s="496"/>
      <c r="N506" s="496"/>
      <c r="O506" s="496"/>
      <c r="P506" s="496"/>
      <c r="Q506" s="496"/>
      <c r="R506" s="496"/>
      <c r="S506" s="496"/>
      <c r="T506" s="496"/>
      <c r="U506" s="496"/>
      <c r="V506" s="496"/>
      <c r="W506" s="496"/>
      <c r="X506" s="496"/>
      <c r="Y506" s="496"/>
    </row>
    <row r="507" spans="1:25" x14ac:dyDescent="0.2">
      <c r="A507" s="496"/>
      <c r="D507" s="496"/>
    </row>
    <row r="508" spans="1:25" x14ac:dyDescent="0.2">
      <c r="A508" s="496"/>
      <c r="D508" s="496"/>
    </row>
    <row r="509" spans="1:25" s="123" customFormat="1" x14ac:dyDescent="0.2">
      <c r="A509" s="496"/>
      <c r="B509" s="496"/>
      <c r="C509" s="496"/>
      <c r="D509" s="496"/>
      <c r="E509" s="496"/>
      <c r="F509" s="496"/>
      <c r="G509" s="496"/>
      <c r="H509" s="496"/>
      <c r="I509" s="496"/>
      <c r="J509" s="496"/>
      <c r="K509" s="496"/>
      <c r="L509" s="496"/>
      <c r="M509" s="496"/>
      <c r="N509" s="496"/>
      <c r="O509" s="496"/>
      <c r="P509" s="496"/>
      <c r="Q509" s="496"/>
      <c r="R509" s="496"/>
      <c r="S509" s="496"/>
      <c r="T509" s="496"/>
      <c r="U509" s="496"/>
      <c r="V509" s="496"/>
      <c r="W509" s="496"/>
      <c r="X509" s="496"/>
      <c r="Y509" s="496"/>
    </row>
    <row r="510" spans="1:25" x14ac:dyDescent="0.2">
      <c r="A510" s="496"/>
      <c r="D510" s="496"/>
    </row>
    <row r="511" spans="1:25" x14ac:dyDescent="0.2">
      <c r="A511" s="496"/>
      <c r="D511" s="496"/>
    </row>
    <row r="512" spans="1:25" s="123" customFormat="1" x14ac:dyDescent="0.2">
      <c r="A512" s="496"/>
      <c r="B512" s="496"/>
      <c r="C512" s="496"/>
      <c r="D512" s="496"/>
      <c r="E512" s="496"/>
      <c r="F512" s="496"/>
      <c r="G512" s="496"/>
      <c r="H512" s="496"/>
      <c r="I512" s="496"/>
      <c r="J512" s="496"/>
      <c r="K512" s="496"/>
      <c r="L512" s="496"/>
      <c r="M512" s="496"/>
      <c r="N512" s="496"/>
      <c r="O512" s="496"/>
      <c r="P512" s="496"/>
      <c r="Q512" s="496"/>
      <c r="R512" s="496"/>
      <c r="S512" s="496"/>
      <c r="T512" s="496"/>
      <c r="U512" s="496"/>
      <c r="V512" s="496"/>
      <c r="W512" s="496"/>
      <c r="X512" s="496"/>
      <c r="Y512" s="496"/>
    </row>
    <row r="513" spans="1:25" x14ac:dyDescent="0.2">
      <c r="A513" s="496"/>
      <c r="D513" s="496"/>
    </row>
    <row r="514" spans="1:25" x14ac:dyDescent="0.2">
      <c r="A514" s="496"/>
      <c r="D514" s="496"/>
    </row>
    <row r="515" spans="1:25" s="123" customFormat="1" x14ac:dyDescent="0.2">
      <c r="A515" s="496"/>
      <c r="B515" s="496"/>
      <c r="C515" s="496"/>
      <c r="D515" s="496"/>
      <c r="E515" s="496"/>
      <c r="F515" s="496"/>
      <c r="G515" s="496"/>
      <c r="H515" s="496"/>
      <c r="I515" s="496"/>
      <c r="J515" s="496"/>
      <c r="K515" s="496"/>
      <c r="L515" s="496"/>
      <c r="M515" s="496"/>
      <c r="N515" s="496"/>
      <c r="O515" s="496"/>
      <c r="P515" s="496"/>
      <c r="Q515" s="496"/>
      <c r="R515" s="496"/>
      <c r="S515" s="496"/>
      <c r="T515" s="496"/>
      <c r="U515" s="496"/>
      <c r="V515" s="496"/>
      <c r="W515" s="496"/>
      <c r="X515" s="496"/>
      <c r="Y515" s="496"/>
    </row>
    <row r="516" spans="1:25" x14ac:dyDescent="0.2">
      <c r="A516" s="496"/>
      <c r="D516" s="496"/>
    </row>
    <row r="517" spans="1:25" x14ac:dyDescent="0.2">
      <c r="A517" s="496"/>
      <c r="D517" s="496"/>
    </row>
    <row r="518" spans="1:25" s="123" customFormat="1" x14ac:dyDescent="0.2">
      <c r="A518" s="496"/>
      <c r="B518" s="496"/>
      <c r="C518" s="496"/>
      <c r="D518" s="496"/>
      <c r="E518" s="496"/>
      <c r="F518" s="496"/>
      <c r="G518" s="496"/>
      <c r="H518" s="496"/>
      <c r="I518" s="496"/>
      <c r="J518" s="496"/>
      <c r="K518" s="496"/>
      <c r="L518" s="496"/>
      <c r="M518" s="496"/>
      <c r="N518" s="496"/>
      <c r="O518" s="496"/>
      <c r="P518" s="496"/>
      <c r="Q518" s="496"/>
      <c r="R518" s="496"/>
      <c r="S518" s="496"/>
      <c r="T518" s="496"/>
      <c r="U518" s="496"/>
      <c r="V518" s="496"/>
      <c r="W518" s="496"/>
      <c r="X518" s="496"/>
      <c r="Y518" s="496"/>
    </row>
    <row r="519" spans="1:25" x14ac:dyDescent="0.2">
      <c r="A519" s="496"/>
      <c r="D519" s="496"/>
    </row>
    <row r="520" spans="1:25" x14ac:dyDescent="0.2">
      <c r="A520" s="496"/>
      <c r="D520" s="496"/>
    </row>
    <row r="521" spans="1:25" s="123" customFormat="1" x14ac:dyDescent="0.2">
      <c r="A521" s="496"/>
      <c r="B521" s="496"/>
      <c r="C521" s="496"/>
      <c r="D521" s="496"/>
      <c r="E521" s="496"/>
      <c r="F521" s="496"/>
      <c r="G521" s="496"/>
      <c r="H521" s="496"/>
      <c r="I521" s="496"/>
      <c r="J521" s="496"/>
      <c r="K521" s="496"/>
      <c r="L521" s="496"/>
      <c r="M521" s="496"/>
      <c r="N521" s="496"/>
      <c r="O521" s="496"/>
      <c r="P521" s="496"/>
      <c r="Q521" s="496"/>
      <c r="R521" s="496"/>
      <c r="S521" s="496"/>
      <c r="T521" s="496"/>
      <c r="U521" s="496"/>
      <c r="V521" s="496"/>
      <c r="W521" s="496"/>
      <c r="X521" s="496"/>
      <c r="Y521" s="496"/>
    </row>
    <row r="522" spans="1:25" x14ac:dyDescent="0.2">
      <c r="A522" s="496"/>
      <c r="D522" s="496"/>
    </row>
    <row r="523" spans="1:25" x14ac:dyDescent="0.2">
      <c r="A523" s="496"/>
      <c r="D523" s="496"/>
    </row>
    <row r="524" spans="1:25" s="123" customFormat="1" x14ac:dyDescent="0.2">
      <c r="A524" s="496"/>
      <c r="B524" s="496"/>
      <c r="C524" s="496"/>
      <c r="D524" s="496"/>
      <c r="E524" s="496"/>
      <c r="F524" s="496"/>
      <c r="G524" s="496"/>
      <c r="H524" s="496"/>
      <c r="I524" s="496"/>
      <c r="J524" s="496"/>
      <c r="K524" s="496"/>
      <c r="L524" s="496"/>
      <c r="M524" s="496"/>
      <c r="N524" s="496"/>
      <c r="O524" s="496"/>
      <c r="P524" s="496"/>
      <c r="Q524" s="496"/>
      <c r="R524" s="496"/>
      <c r="S524" s="496"/>
      <c r="T524" s="496"/>
      <c r="U524" s="496"/>
      <c r="V524" s="496"/>
      <c r="W524" s="496"/>
      <c r="X524" s="496"/>
      <c r="Y524" s="496"/>
    </row>
    <row r="525" spans="1:25" x14ac:dyDescent="0.2">
      <c r="A525" s="496"/>
      <c r="D525" s="496"/>
    </row>
    <row r="526" spans="1:25" x14ac:dyDescent="0.2">
      <c r="A526" s="496"/>
      <c r="D526" s="496"/>
    </row>
    <row r="527" spans="1:25" s="123" customFormat="1" x14ac:dyDescent="0.2">
      <c r="A527" s="496"/>
      <c r="B527" s="496"/>
      <c r="C527" s="496"/>
      <c r="D527" s="496"/>
      <c r="E527" s="496"/>
      <c r="F527" s="496"/>
      <c r="G527" s="496"/>
      <c r="H527" s="496"/>
      <c r="I527" s="496"/>
      <c r="J527" s="496"/>
      <c r="K527" s="496"/>
      <c r="L527" s="496"/>
      <c r="M527" s="496"/>
      <c r="N527" s="496"/>
      <c r="O527" s="496"/>
      <c r="P527" s="496"/>
      <c r="Q527" s="496"/>
      <c r="R527" s="496"/>
      <c r="S527" s="496"/>
      <c r="T527" s="496"/>
      <c r="U527" s="496"/>
      <c r="V527" s="496"/>
      <c r="W527" s="496"/>
      <c r="X527" s="496"/>
      <c r="Y527" s="496"/>
    </row>
    <row r="528" spans="1:25" x14ac:dyDescent="0.2">
      <c r="A528" s="496"/>
      <c r="D528" s="496"/>
    </row>
    <row r="529" spans="1:25" x14ac:dyDescent="0.2">
      <c r="A529" s="496"/>
      <c r="D529" s="496"/>
    </row>
    <row r="530" spans="1:25" s="123" customFormat="1" x14ac:dyDescent="0.2">
      <c r="A530" s="496"/>
      <c r="B530" s="496"/>
      <c r="C530" s="496"/>
      <c r="D530" s="496"/>
      <c r="E530" s="496"/>
      <c r="F530" s="496"/>
      <c r="G530" s="496"/>
      <c r="H530" s="496"/>
      <c r="I530" s="496"/>
      <c r="J530" s="496"/>
      <c r="K530" s="496"/>
      <c r="L530" s="496"/>
      <c r="M530" s="496"/>
      <c r="N530" s="496"/>
      <c r="O530" s="496"/>
      <c r="P530" s="496"/>
      <c r="Q530" s="496"/>
      <c r="R530" s="496"/>
      <c r="S530" s="496"/>
      <c r="T530" s="496"/>
      <c r="U530" s="496"/>
      <c r="V530" s="496"/>
      <c r="W530" s="496"/>
      <c r="X530" s="496"/>
      <c r="Y530" s="496"/>
    </row>
    <row r="531" spans="1:25" x14ac:dyDescent="0.2">
      <c r="A531" s="496"/>
      <c r="D531" s="496"/>
    </row>
    <row r="532" spans="1:25" x14ac:dyDescent="0.2">
      <c r="A532" s="496"/>
      <c r="D532" s="496"/>
    </row>
    <row r="533" spans="1:25" s="123" customFormat="1" x14ac:dyDescent="0.2">
      <c r="A533" s="496"/>
      <c r="B533" s="496"/>
      <c r="C533" s="496"/>
      <c r="D533" s="496"/>
      <c r="E533" s="496"/>
      <c r="F533" s="496"/>
      <c r="G533" s="496"/>
      <c r="H533" s="496"/>
      <c r="I533" s="496"/>
      <c r="J533" s="496"/>
      <c r="K533" s="496"/>
      <c r="L533" s="496"/>
      <c r="M533" s="496"/>
      <c r="N533" s="496"/>
      <c r="O533" s="496"/>
      <c r="P533" s="496"/>
      <c r="Q533" s="496"/>
      <c r="R533" s="496"/>
      <c r="S533" s="496"/>
      <c r="T533" s="496"/>
      <c r="U533" s="496"/>
      <c r="V533" s="496"/>
      <c r="W533" s="496"/>
      <c r="X533" s="496"/>
      <c r="Y533" s="496"/>
    </row>
    <row r="534" spans="1:25" x14ac:dyDescent="0.2">
      <c r="A534" s="496"/>
      <c r="D534" s="496"/>
    </row>
    <row r="535" spans="1:25" x14ac:dyDescent="0.2">
      <c r="A535" s="496"/>
      <c r="D535" s="496"/>
    </row>
    <row r="536" spans="1:25" s="123" customFormat="1" x14ac:dyDescent="0.2">
      <c r="A536" s="496"/>
      <c r="B536" s="496"/>
      <c r="C536" s="496"/>
      <c r="D536" s="496"/>
      <c r="E536" s="496"/>
      <c r="F536" s="496"/>
      <c r="G536" s="496"/>
      <c r="H536" s="496"/>
      <c r="I536" s="496"/>
      <c r="J536" s="496"/>
      <c r="K536" s="496"/>
      <c r="L536" s="496"/>
      <c r="M536" s="496"/>
      <c r="N536" s="496"/>
      <c r="O536" s="496"/>
      <c r="P536" s="496"/>
      <c r="Q536" s="496"/>
      <c r="R536" s="496"/>
      <c r="S536" s="496"/>
      <c r="T536" s="496"/>
      <c r="U536" s="496"/>
      <c r="V536" s="496"/>
      <c r="W536" s="496"/>
      <c r="X536" s="496"/>
      <c r="Y536" s="496"/>
    </row>
    <row r="537" spans="1:25" x14ac:dyDescent="0.2">
      <c r="A537" s="496"/>
      <c r="D537" s="496"/>
    </row>
    <row r="538" spans="1:25" x14ac:dyDescent="0.2">
      <c r="A538" s="496"/>
      <c r="D538" s="496"/>
    </row>
    <row r="539" spans="1:25" s="123" customFormat="1" x14ac:dyDescent="0.2">
      <c r="A539" s="496"/>
      <c r="B539" s="496"/>
      <c r="C539" s="496"/>
      <c r="D539" s="496"/>
      <c r="E539" s="496"/>
      <c r="F539" s="496"/>
      <c r="G539" s="496"/>
      <c r="H539" s="496"/>
      <c r="I539" s="496"/>
      <c r="J539" s="496"/>
      <c r="K539" s="496"/>
      <c r="L539" s="496"/>
      <c r="M539" s="496"/>
      <c r="N539" s="496"/>
      <c r="O539" s="496"/>
      <c r="P539" s="496"/>
      <c r="Q539" s="496"/>
      <c r="R539" s="496"/>
      <c r="S539" s="496"/>
      <c r="T539" s="496"/>
      <c r="U539" s="496"/>
      <c r="V539" s="496"/>
      <c r="W539" s="496"/>
      <c r="X539" s="496"/>
      <c r="Y539" s="496"/>
    </row>
    <row r="540" spans="1:25" x14ac:dyDescent="0.2">
      <c r="A540" s="496"/>
      <c r="D540" s="496"/>
    </row>
    <row r="541" spans="1:25" x14ac:dyDescent="0.2">
      <c r="A541" s="496"/>
      <c r="D541" s="496"/>
    </row>
    <row r="542" spans="1:25" s="123" customFormat="1" x14ac:dyDescent="0.2">
      <c r="A542" s="496"/>
      <c r="B542" s="496"/>
      <c r="C542" s="496"/>
      <c r="D542" s="496"/>
      <c r="E542" s="496"/>
      <c r="F542" s="496"/>
      <c r="G542" s="496"/>
      <c r="H542" s="496"/>
      <c r="I542" s="496"/>
      <c r="J542" s="496"/>
      <c r="K542" s="496"/>
      <c r="L542" s="496"/>
      <c r="M542" s="496"/>
      <c r="N542" s="496"/>
      <c r="O542" s="496"/>
      <c r="P542" s="496"/>
      <c r="Q542" s="496"/>
      <c r="R542" s="496"/>
      <c r="S542" s="496"/>
      <c r="T542" s="496"/>
      <c r="U542" s="496"/>
      <c r="V542" s="496"/>
      <c r="W542" s="496"/>
      <c r="X542" s="496"/>
      <c r="Y542" s="496"/>
    </row>
    <row r="543" spans="1:25" x14ac:dyDescent="0.2">
      <c r="A543" s="496"/>
      <c r="D543" s="496"/>
    </row>
    <row r="544" spans="1:25" x14ac:dyDescent="0.2">
      <c r="A544" s="496"/>
      <c r="D544" s="496"/>
    </row>
    <row r="545" spans="1:25" s="123" customFormat="1" x14ac:dyDescent="0.2">
      <c r="A545" s="496"/>
      <c r="B545" s="496"/>
      <c r="C545" s="496"/>
      <c r="D545" s="496"/>
      <c r="E545" s="496"/>
      <c r="F545" s="496"/>
      <c r="G545" s="496"/>
      <c r="H545" s="496"/>
      <c r="I545" s="496"/>
      <c r="J545" s="496"/>
      <c r="K545" s="496"/>
      <c r="L545" s="496"/>
      <c r="M545" s="496"/>
      <c r="N545" s="496"/>
      <c r="O545" s="496"/>
      <c r="P545" s="496"/>
      <c r="Q545" s="496"/>
      <c r="R545" s="496"/>
      <c r="S545" s="496"/>
      <c r="T545" s="496"/>
      <c r="U545" s="496"/>
      <c r="V545" s="496"/>
      <c r="W545" s="496"/>
      <c r="X545" s="496"/>
      <c r="Y545" s="496"/>
    </row>
    <row r="546" spans="1:25" x14ac:dyDescent="0.2">
      <c r="A546" s="496"/>
      <c r="D546" s="496"/>
    </row>
    <row r="547" spans="1:25" x14ac:dyDescent="0.2">
      <c r="A547" s="496"/>
      <c r="D547" s="496"/>
    </row>
    <row r="548" spans="1:25" s="123" customFormat="1" x14ac:dyDescent="0.2">
      <c r="A548" s="496"/>
      <c r="B548" s="496"/>
      <c r="C548" s="496"/>
      <c r="D548" s="496"/>
      <c r="E548" s="496"/>
      <c r="F548" s="496"/>
      <c r="G548" s="496"/>
      <c r="H548" s="496"/>
      <c r="I548" s="496"/>
      <c r="J548" s="496"/>
      <c r="K548" s="496"/>
      <c r="L548" s="496"/>
      <c r="M548" s="496"/>
      <c r="N548" s="496"/>
      <c r="O548" s="496"/>
      <c r="P548" s="496"/>
      <c r="Q548" s="496"/>
      <c r="R548" s="496"/>
      <c r="S548" s="496"/>
      <c r="T548" s="496"/>
      <c r="U548" s="496"/>
      <c r="V548" s="496"/>
      <c r="W548" s="496"/>
      <c r="X548" s="496"/>
      <c r="Y548" s="496"/>
    </row>
    <row r="549" spans="1:25" x14ac:dyDescent="0.2">
      <c r="A549" s="496"/>
      <c r="D549" s="496"/>
    </row>
    <row r="550" spans="1:25" x14ac:dyDescent="0.2">
      <c r="A550" s="496"/>
      <c r="D550" s="496"/>
    </row>
    <row r="551" spans="1:25" s="123" customFormat="1" x14ac:dyDescent="0.2">
      <c r="A551" s="496"/>
      <c r="B551" s="496"/>
      <c r="C551" s="496"/>
      <c r="D551" s="496"/>
      <c r="E551" s="496"/>
      <c r="F551" s="496"/>
      <c r="G551" s="496"/>
      <c r="H551" s="496"/>
      <c r="I551" s="496"/>
      <c r="J551" s="496"/>
      <c r="K551" s="496"/>
      <c r="L551" s="496"/>
      <c r="M551" s="496"/>
      <c r="N551" s="496"/>
      <c r="O551" s="496"/>
      <c r="P551" s="496"/>
      <c r="Q551" s="496"/>
      <c r="R551" s="496"/>
      <c r="S551" s="496"/>
      <c r="T551" s="496"/>
      <c r="U551" s="496"/>
      <c r="V551" s="496"/>
      <c r="W551" s="496"/>
      <c r="X551" s="496"/>
      <c r="Y551" s="496"/>
    </row>
    <row r="552" spans="1:25" x14ac:dyDescent="0.2">
      <c r="A552" s="496"/>
      <c r="D552" s="496"/>
    </row>
    <row r="553" spans="1:25" x14ac:dyDescent="0.2">
      <c r="A553" s="496"/>
      <c r="D553" s="496"/>
    </row>
    <row r="554" spans="1:25" s="123" customFormat="1" x14ac:dyDescent="0.2">
      <c r="A554" s="496"/>
      <c r="B554" s="496"/>
      <c r="C554" s="496"/>
      <c r="D554" s="496"/>
      <c r="E554" s="496"/>
      <c r="F554" s="496"/>
      <c r="G554" s="496"/>
      <c r="H554" s="496"/>
      <c r="I554" s="496"/>
      <c r="J554" s="496"/>
      <c r="K554" s="496"/>
      <c r="L554" s="496"/>
      <c r="M554" s="496"/>
      <c r="N554" s="496"/>
      <c r="O554" s="496"/>
      <c r="P554" s="496"/>
      <c r="Q554" s="496"/>
      <c r="R554" s="496"/>
      <c r="S554" s="496"/>
      <c r="T554" s="496"/>
      <c r="U554" s="496"/>
      <c r="V554" s="496"/>
      <c r="W554" s="496"/>
      <c r="X554" s="496"/>
      <c r="Y554" s="496"/>
    </row>
    <row r="555" spans="1:25" x14ac:dyDescent="0.2">
      <c r="A555" s="496"/>
      <c r="D555" s="496"/>
    </row>
    <row r="556" spans="1:25" x14ac:dyDescent="0.2">
      <c r="A556" s="496"/>
      <c r="D556" s="496"/>
    </row>
    <row r="557" spans="1:25" s="123" customFormat="1" x14ac:dyDescent="0.2">
      <c r="A557" s="496"/>
      <c r="B557" s="496"/>
      <c r="C557" s="496"/>
      <c r="D557" s="496"/>
      <c r="E557" s="496"/>
      <c r="F557" s="496"/>
      <c r="G557" s="496"/>
      <c r="H557" s="496"/>
      <c r="I557" s="496"/>
      <c r="J557" s="496"/>
      <c r="K557" s="496"/>
      <c r="L557" s="496"/>
      <c r="M557" s="496"/>
      <c r="N557" s="496"/>
      <c r="O557" s="496"/>
      <c r="P557" s="496"/>
      <c r="Q557" s="496"/>
      <c r="R557" s="496"/>
      <c r="S557" s="496"/>
      <c r="T557" s="496"/>
      <c r="U557" s="496"/>
      <c r="V557" s="496"/>
      <c r="W557" s="496"/>
      <c r="X557" s="496"/>
      <c r="Y557" s="496"/>
    </row>
    <row r="558" spans="1:25" x14ac:dyDescent="0.2">
      <c r="A558" s="496"/>
      <c r="D558" s="496"/>
    </row>
    <row r="559" spans="1:25" x14ac:dyDescent="0.2">
      <c r="A559" s="496"/>
      <c r="D559" s="496"/>
    </row>
    <row r="560" spans="1:25" s="123" customFormat="1" x14ac:dyDescent="0.2">
      <c r="A560" s="496"/>
      <c r="B560" s="496"/>
      <c r="C560" s="496"/>
      <c r="D560" s="496"/>
      <c r="E560" s="496"/>
      <c r="F560" s="496"/>
      <c r="G560" s="496"/>
      <c r="H560" s="496"/>
      <c r="I560" s="496"/>
      <c r="J560" s="496"/>
      <c r="K560" s="496"/>
      <c r="L560" s="496"/>
      <c r="M560" s="496"/>
      <c r="N560" s="496"/>
      <c r="O560" s="496"/>
      <c r="P560" s="496"/>
      <c r="Q560" s="496"/>
      <c r="R560" s="496"/>
      <c r="S560" s="496"/>
      <c r="T560" s="496"/>
      <c r="U560" s="496"/>
      <c r="V560" s="496"/>
      <c r="W560" s="496"/>
      <c r="X560" s="496"/>
      <c r="Y560" s="496"/>
    </row>
    <row r="561" spans="1:25" x14ac:dyDescent="0.2">
      <c r="A561" s="496"/>
      <c r="D561" s="496"/>
    </row>
    <row r="562" spans="1:25" x14ac:dyDescent="0.2">
      <c r="A562" s="496"/>
      <c r="D562" s="496"/>
    </row>
    <row r="563" spans="1:25" s="123" customFormat="1" x14ac:dyDescent="0.2">
      <c r="A563" s="496"/>
      <c r="B563" s="496"/>
      <c r="C563" s="496"/>
      <c r="D563" s="496"/>
      <c r="E563" s="496"/>
      <c r="F563" s="496"/>
      <c r="G563" s="496"/>
      <c r="H563" s="496"/>
      <c r="I563" s="496"/>
      <c r="J563" s="496"/>
      <c r="K563" s="496"/>
      <c r="L563" s="496"/>
      <c r="M563" s="496"/>
      <c r="N563" s="496"/>
      <c r="O563" s="496"/>
      <c r="P563" s="496"/>
      <c r="Q563" s="496"/>
      <c r="R563" s="496"/>
      <c r="S563" s="496"/>
      <c r="T563" s="496"/>
      <c r="U563" s="496"/>
      <c r="V563" s="496"/>
      <c r="W563" s="496"/>
      <c r="X563" s="496"/>
      <c r="Y563" s="496"/>
    </row>
    <row r="564" spans="1:25" x14ac:dyDescent="0.2">
      <c r="A564" s="496"/>
      <c r="D564" s="496"/>
    </row>
    <row r="565" spans="1:25" x14ac:dyDescent="0.2">
      <c r="A565" s="496"/>
      <c r="D565" s="496"/>
    </row>
    <row r="566" spans="1:25" s="123" customFormat="1" x14ac:dyDescent="0.2">
      <c r="A566" s="496"/>
      <c r="B566" s="496"/>
      <c r="C566" s="496"/>
      <c r="D566" s="496"/>
      <c r="E566" s="496"/>
      <c r="F566" s="496"/>
      <c r="G566" s="496"/>
      <c r="H566" s="496"/>
      <c r="I566" s="496"/>
      <c r="J566" s="496"/>
      <c r="K566" s="496"/>
      <c r="L566" s="496"/>
      <c r="M566" s="496"/>
      <c r="N566" s="496"/>
      <c r="O566" s="496"/>
      <c r="P566" s="496"/>
      <c r="Q566" s="496"/>
      <c r="R566" s="496"/>
      <c r="S566" s="496"/>
      <c r="T566" s="496"/>
      <c r="U566" s="496"/>
      <c r="V566" s="496"/>
      <c r="W566" s="496"/>
      <c r="X566" s="496"/>
      <c r="Y566" s="496"/>
    </row>
    <row r="567" spans="1:25" x14ac:dyDescent="0.2">
      <c r="A567" s="496"/>
      <c r="D567" s="496"/>
    </row>
    <row r="568" spans="1:25" x14ac:dyDescent="0.2">
      <c r="A568" s="496"/>
      <c r="D568" s="496"/>
    </row>
    <row r="569" spans="1:25" s="123" customFormat="1" x14ac:dyDescent="0.2">
      <c r="A569" s="496"/>
      <c r="B569" s="496"/>
      <c r="C569" s="496"/>
      <c r="D569" s="496"/>
      <c r="E569" s="496"/>
      <c r="F569" s="496"/>
      <c r="G569" s="496"/>
      <c r="H569" s="496"/>
      <c r="I569" s="496"/>
      <c r="J569" s="496"/>
      <c r="K569" s="496"/>
      <c r="L569" s="496"/>
      <c r="M569" s="496"/>
      <c r="N569" s="496"/>
      <c r="O569" s="496"/>
      <c r="P569" s="496"/>
      <c r="Q569" s="496"/>
      <c r="R569" s="496"/>
      <c r="S569" s="496"/>
      <c r="T569" s="496"/>
      <c r="U569" s="496"/>
      <c r="V569" s="496"/>
      <c r="W569" s="496"/>
      <c r="X569" s="496"/>
      <c r="Y569" s="496"/>
    </row>
    <row r="570" spans="1:25" x14ac:dyDescent="0.2">
      <c r="A570" s="496"/>
      <c r="D570" s="496"/>
    </row>
    <row r="571" spans="1:25" x14ac:dyDescent="0.2">
      <c r="A571" s="496"/>
      <c r="D571" s="496"/>
    </row>
    <row r="572" spans="1:25" s="123" customFormat="1" x14ac:dyDescent="0.2">
      <c r="A572" s="496"/>
      <c r="B572" s="496"/>
      <c r="C572" s="496"/>
      <c r="D572" s="496"/>
      <c r="E572" s="496"/>
      <c r="F572" s="496"/>
      <c r="G572" s="496"/>
      <c r="H572" s="496"/>
      <c r="I572" s="496"/>
      <c r="J572" s="496"/>
      <c r="K572" s="496"/>
      <c r="L572" s="496"/>
      <c r="M572" s="496"/>
      <c r="N572" s="496"/>
      <c r="O572" s="496"/>
      <c r="P572" s="496"/>
      <c r="Q572" s="496"/>
      <c r="R572" s="496"/>
      <c r="S572" s="496"/>
      <c r="T572" s="496"/>
      <c r="U572" s="496"/>
      <c r="V572" s="496"/>
      <c r="W572" s="496"/>
      <c r="X572" s="496"/>
      <c r="Y572" s="496"/>
    </row>
    <row r="573" spans="1:25" x14ac:dyDescent="0.2">
      <c r="A573" s="496"/>
      <c r="D573" s="496"/>
    </row>
    <row r="574" spans="1:25" x14ac:dyDescent="0.2">
      <c r="A574" s="496"/>
      <c r="D574" s="496"/>
    </row>
    <row r="575" spans="1:25" s="123" customFormat="1" x14ac:dyDescent="0.2">
      <c r="A575" s="496"/>
      <c r="B575" s="496"/>
      <c r="C575" s="496"/>
      <c r="D575" s="496"/>
      <c r="E575" s="496"/>
      <c r="F575" s="496"/>
      <c r="G575" s="496"/>
      <c r="H575" s="496"/>
      <c r="I575" s="496"/>
      <c r="J575" s="496"/>
      <c r="K575" s="496"/>
      <c r="L575" s="496"/>
      <c r="M575" s="496"/>
      <c r="N575" s="496"/>
      <c r="O575" s="496"/>
      <c r="P575" s="496"/>
      <c r="Q575" s="496"/>
      <c r="R575" s="496"/>
      <c r="S575" s="496"/>
      <c r="T575" s="496"/>
      <c r="U575" s="496"/>
      <c r="V575" s="496"/>
      <c r="W575" s="496"/>
      <c r="X575" s="496"/>
      <c r="Y575" s="496"/>
    </row>
    <row r="576" spans="1:25" x14ac:dyDescent="0.2">
      <c r="A576" s="496"/>
      <c r="D576" s="496"/>
    </row>
    <row r="577" spans="1:25" x14ac:dyDescent="0.2">
      <c r="A577" s="496"/>
      <c r="D577" s="496"/>
    </row>
    <row r="578" spans="1:25" s="123" customFormat="1" x14ac:dyDescent="0.2">
      <c r="A578" s="496"/>
      <c r="B578" s="496"/>
      <c r="C578" s="496"/>
      <c r="D578" s="496"/>
      <c r="E578" s="496"/>
      <c r="F578" s="496"/>
      <c r="G578" s="496"/>
      <c r="H578" s="496"/>
      <c r="I578" s="496"/>
      <c r="J578" s="496"/>
      <c r="K578" s="496"/>
      <c r="L578" s="496"/>
      <c r="M578" s="496"/>
      <c r="N578" s="496"/>
      <c r="O578" s="496"/>
      <c r="P578" s="496"/>
      <c r="Q578" s="496"/>
      <c r="R578" s="496"/>
      <c r="S578" s="496"/>
      <c r="T578" s="496"/>
      <c r="U578" s="496"/>
      <c r="V578" s="496"/>
      <c r="W578" s="496"/>
      <c r="X578" s="496"/>
      <c r="Y578" s="496"/>
    </row>
    <row r="579" spans="1:25" x14ac:dyDescent="0.2">
      <c r="A579" s="496"/>
      <c r="D579" s="496"/>
    </row>
    <row r="580" spans="1:25" x14ac:dyDescent="0.2">
      <c r="A580" s="496"/>
      <c r="D580" s="496"/>
    </row>
    <row r="581" spans="1:25" s="123" customFormat="1" x14ac:dyDescent="0.2">
      <c r="A581" s="496"/>
      <c r="B581" s="496"/>
      <c r="C581" s="496"/>
      <c r="D581" s="496"/>
      <c r="E581" s="496"/>
      <c r="F581" s="496"/>
      <c r="G581" s="496"/>
      <c r="H581" s="496"/>
      <c r="I581" s="496"/>
      <c r="J581" s="496"/>
      <c r="K581" s="496"/>
      <c r="L581" s="496"/>
      <c r="M581" s="496"/>
      <c r="N581" s="496"/>
      <c r="O581" s="496"/>
      <c r="P581" s="496"/>
      <c r="Q581" s="496"/>
      <c r="R581" s="496"/>
      <c r="S581" s="496"/>
      <c r="T581" s="496"/>
      <c r="U581" s="496"/>
      <c r="V581" s="496"/>
      <c r="W581" s="496"/>
      <c r="X581" s="496"/>
      <c r="Y581" s="496"/>
    </row>
    <row r="582" spans="1:25" x14ac:dyDescent="0.2">
      <c r="A582" s="496"/>
      <c r="D582" s="496"/>
    </row>
    <row r="583" spans="1:25" x14ac:dyDescent="0.2">
      <c r="A583" s="496"/>
      <c r="D583" s="496"/>
    </row>
    <row r="584" spans="1:25" s="123" customFormat="1" x14ac:dyDescent="0.2">
      <c r="A584" s="496"/>
      <c r="B584" s="496"/>
      <c r="C584" s="496"/>
      <c r="D584" s="496"/>
      <c r="E584" s="496"/>
      <c r="F584" s="496"/>
      <c r="G584" s="496"/>
      <c r="H584" s="496"/>
      <c r="I584" s="496"/>
      <c r="J584" s="496"/>
      <c r="K584" s="496"/>
      <c r="L584" s="496"/>
      <c r="M584" s="496"/>
      <c r="N584" s="496"/>
      <c r="O584" s="496"/>
      <c r="P584" s="496"/>
      <c r="Q584" s="496"/>
      <c r="R584" s="496"/>
      <c r="S584" s="496"/>
      <c r="T584" s="496"/>
      <c r="U584" s="496"/>
      <c r="V584" s="496"/>
      <c r="W584" s="496"/>
      <c r="X584" s="496"/>
      <c r="Y584" s="496"/>
    </row>
    <row r="585" spans="1:25" x14ac:dyDescent="0.2">
      <c r="A585" s="496"/>
      <c r="D585" s="496"/>
    </row>
    <row r="586" spans="1:25" x14ac:dyDescent="0.2">
      <c r="A586" s="496"/>
      <c r="D586" s="496"/>
    </row>
    <row r="587" spans="1:25" s="123" customFormat="1" x14ac:dyDescent="0.2">
      <c r="A587" s="496"/>
      <c r="B587" s="496"/>
      <c r="C587" s="496"/>
      <c r="D587" s="496"/>
      <c r="E587" s="496"/>
      <c r="F587" s="496"/>
      <c r="G587" s="496"/>
      <c r="H587" s="496"/>
      <c r="I587" s="496"/>
      <c r="J587" s="496"/>
      <c r="K587" s="496"/>
      <c r="L587" s="496"/>
      <c r="M587" s="496"/>
      <c r="N587" s="496"/>
      <c r="O587" s="496"/>
      <c r="P587" s="496"/>
      <c r="Q587" s="496"/>
      <c r="R587" s="496"/>
      <c r="S587" s="496"/>
      <c r="T587" s="496"/>
      <c r="U587" s="496"/>
      <c r="V587" s="496"/>
      <c r="W587" s="496"/>
      <c r="X587" s="496"/>
      <c r="Y587" s="496"/>
    </row>
    <row r="588" spans="1:25" x14ac:dyDescent="0.2">
      <c r="A588" s="496"/>
      <c r="D588" s="496"/>
    </row>
    <row r="589" spans="1:25" x14ac:dyDescent="0.2">
      <c r="A589" s="496"/>
      <c r="D589" s="496"/>
    </row>
    <row r="590" spans="1:25" s="123" customFormat="1" x14ac:dyDescent="0.2">
      <c r="A590" s="496"/>
      <c r="B590" s="496"/>
      <c r="C590" s="496"/>
      <c r="D590" s="496"/>
      <c r="E590" s="496"/>
      <c r="F590" s="496"/>
      <c r="G590" s="496"/>
      <c r="H590" s="496"/>
      <c r="I590" s="496"/>
      <c r="J590" s="496"/>
      <c r="K590" s="496"/>
      <c r="L590" s="496"/>
      <c r="M590" s="496"/>
      <c r="N590" s="496"/>
      <c r="O590" s="496"/>
      <c r="P590" s="496"/>
      <c r="Q590" s="496"/>
      <c r="R590" s="496"/>
      <c r="S590" s="496"/>
      <c r="T590" s="496"/>
      <c r="U590" s="496"/>
      <c r="V590" s="496"/>
      <c r="W590" s="496"/>
      <c r="X590" s="496"/>
      <c r="Y590" s="496"/>
    </row>
    <row r="591" spans="1:25" x14ac:dyDescent="0.2">
      <c r="A591" s="496"/>
      <c r="D591" s="496"/>
    </row>
    <row r="592" spans="1:25" x14ac:dyDescent="0.2">
      <c r="A592" s="496"/>
      <c r="D592" s="496"/>
    </row>
    <row r="593" spans="1:25" s="123" customFormat="1" x14ac:dyDescent="0.2">
      <c r="A593" s="496"/>
      <c r="B593" s="496"/>
      <c r="C593" s="496"/>
      <c r="D593" s="496"/>
      <c r="E593" s="496"/>
      <c r="F593" s="496"/>
      <c r="G593" s="496"/>
      <c r="H593" s="496"/>
      <c r="I593" s="496"/>
      <c r="J593" s="496"/>
      <c r="K593" s="496"/>
      <c r="L593" s="496"/>
      <c r="M593" s="496"/>
      <c r="N593" s="496"/>
      <c r="O593" s="496"/>
      <c r="P593" s="496"/>
      <c r="Q593" s="496"/>
      <c r="R593" s="496"/>
      <c r="S593" s="496"/>
      <c r="T593" s="496"/>
      <c r="U593" s="496"/>
      <c r="V593" s="496"/>
      <c r="W593" s="496"/>
      <c r="X593" s="496"/>
      <c r="Y593" s="496"/>
    </row>
    <row r="594" spans="1:25" x14ac:dyDescent="0.2">
      <c r="A594" s="496"/>
      <c r="D594" s="496"/>
    </row>
    <row r="595" spans="1:25" x14ac:dyDescent="0.2">
      <c r="A595" s="496"/>
      <c r="D595" s="496"/>
    </row>
    <row r="596" spans="1:25" s="123" customFormat="1" x14ac:dyDescent="0.2">
      <c r="A596" s="496"/>
      <c r="B596" s="496"/>
      <c r="C596" s="496"/>
      <c r="D596" s="496"/>
      <c r="E596" s="496"/>
      <c r="F596" s="496"/>
      <c r="G596" s="496"/>
      <c r="H596" s="496"/>
      <c r="I596" s="496"/>
      <c r="J596" s="496"/>
      <c r="K596" s="496"/>
      <c r="L596" s="496"/>
      <c r="M596" s="496"/>
      <c r="N596" s="496"/>
      <c r="O596" s="496"/>
      <c r="P596" s="496"/>
      <c r="Q596" s="496"/>
      <c r="R596" s="496"/>
      <c r="S596" s="496"/>
      <c r="T596" s="496"/>
      <c r="U596" s="496"/>
      <c r="V596" s="496"/>
      <c r="W596" s="496"/>
      <c r="X596" s="496"/>
      <c r="Y596" s="496"/>
    </row>
    <row r="597" spans="1:25" x14ac:dyDescent="0.2">
      <c r="A597" s="496"/>
      <c r="D597" s="496"/>
    </row>
    <row r="598" spans="1:25" x14ac:dyDescent="0.2">
      <c r="A598" s="496"/>
      <c r="D598" s="496"/>
    </row>
    <row r="599" spans="1:25" s="123" customFormat="1" x14ac:dyDescent="0.2">
      <c r="A599" s="496"/>
      <c r="B599" s="496"/>
      <c r="C599" s="496"/>
      <c r="D599" s="496"/>
      <c r="E599" s="496"/>
      <c r="F599" s="496"/>
      <c r="G599" s="496"/>
      <c r="H599" s="496"/>
      <c r="I599" s="496"/>
      <c r="J599" s="496"/>
      <c r="K599" s="496"/>
      <c r="L599" s="496"/>
      <c r="M599" s="496"/>
      <c r="N599" s="496"/>
      <c r="O599" s="496"/>
      <c r="P599" s="496"/>
      <c r="Q599" s="496"/>
      <c r="R599" s="496"/>
      <c r="S599" s="496"/>
      <c r="T599" s="496"/>
      <c r="U599" s="496"/>
      <c r="V599" s="496"/>
      <c r="W599" s="496"/>
      <c r="X599" s="496"/>
      <c r="Y599" s="496"/>
    </row>
    <row r="600" spans="1:25" x14ac:dyDescent="0.2">
      <c r="A600" s="496"/>
      <c r="D600" s="496"/>
    </row>
    <row r="601" spans="1:25" x14ac:dyDescent="0.2">
      <c r="A601" s="496"/>
      <c r="D601" s="496"/>
    </row>
    <row r="602" spans="1:25" s="123" customFormat="1" x14ac:dyDescent="0.2">
      <c r="A602" s="496"/>
      <c r="B602" s="496"/>
      <c r="C602" s="496"/>
      <c r="D602" s="496"/>
      <c r="E602" s="496"/>
      <c r="F602" s="496"/>
      <c r="G602" s="496"/>
      <c r="H602" s="496"/>
      <c r="I602" s="496"/>
      <c r="J602" s="496"/>
      <c r="K602" s="496"/>
      <c r="L602" s="496"/>
      <c r="M602" s="496"/>
      <c r="N602" s="496"/>
      <c r="O602" s="496"/>
      <c r="P602" s="496"/>
      <c r="Q602" s="496"/>
      <c r="R602" s="496"/>
      <c r="S602" s="496"/>
      <c r="T602" s="496"/>
      <c r="U602" s="496"/>
      <c r="V602" s="496"/>
      <c r="W602" s="496"/>
      <c r="X602" s="496"/>
      <c r="Y602" s="496"/>
    </row>
    <row r="603" spans="1:25" x14ac:dyDescent="0.2">
      <c r="A603" s="496"/>
      <c r="D603" s="496"/>
    </row>
    <row r="604" spans="1:25" x14ac:dyDescent="0.2">
      <c r="A604" s="496"/>
      <c r="D604" s="496"/>
    </row>
    <row r="605" spans="1:25" s="123" customFormat="1" x14ac:dyDescent="0.2">
      <c r="A605" s="496"/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96"/>
      <c r="M605" s="496"/>
      <c r="N605" s="496"/>
      <c r="O605" s="496"/>
      <c r="P605" s="496"/>
      <c r="Q605" s="496"/>
      <c r="R605" s="496"/>
      <c r="S605" s="496"/>
      <c r="T605" s="496"/>
      <c r="U605" s="496"/>
      <c r="V605" s="496"/>
      <c r="W605" s="496"/>
      <c r="X605" s="496"/>
      <c r="Y605" s="496"/>
    </row>
    <row r="606" spans="1:25" x14ac:dyDescent="0.2">
      <c r="A606" s="496"/>
      <c r="D606" s="496"/>
    </row>
    <row r="607" spans="1:25" x14ac:dyDescent="0.2">
      <c r="A607" s="496"/>
      <c r="D607" s="496"/>
    </row>
    <row r="608" spans="1:25" s="123" customFormat="1" x14ac:dyDescent="0.2">
      <c r="A608" s="496"/>
      <c r="B608" s="496"/>
      <c r="C608" s="496"/>
      <c r="D608" s="496"/>
      <c r="E608" s="496"/>
      <c r="F608" s="496"/>
      <c r="G608" s="496"/>
      <c r="H608" s="496"/>
      <c r="I608" s="496"/>
      <c r="J608" s="496"/>
      <c r="K608" s="496"/>
      <c r="L608" s="496"/>
      <c r="M608" s="496"/>
      <c r="N608" s="496"/>
      <c r="O608" s="496"/>
      <c r="P608" s="496"/>
      <c r="Q608" s="496"/>
      <c r="R608" s="496"/>
      <c r="S608" s="496"/>
      <c r="T608" s="496"/>
      <c r="U608" s="496"/>
      <c r="V608" s="496"/>
      <c r="W608" s="496"/>
      <c r="X608" s="496"/>
      <c r="Y608" s="496"/>
    </row>
    <row r="609" spans="1:25" x14ac:dyDescent="0.2">
      <c r="A609" s="496"/>
      <c r="D609" s="496"/>
    </row>
    <row r="610" spans="1:25" x14ac:dyDescent="0.2">
      <c r="A610" s="496"/>
      <c r="D610" s="496"/>
    </row>
    <row r="611" spans="1:25" s="123" customFormat="1" x14ac:dyDescent="0.2">
      <c r="A611" s="496"/>
      <c r="B611" s="496"/>
      <c r="C611" s="496"/>
      <c r="D611" s="496"/>
      <c r="E611" s="496"/>
      <c r="F611" s="496"/>
      <c r="G611" s="496"/>
      <c r="H611" s="496"/>
      <c r="I611" s="496"/>
      <c r="J611" s="496"/>
      <c r="K611" s="496"/>
      <c r="L611" s="496"/>
      <c r="M611" s="496"/>
      <c r="N611" s="496"/>
      <c r="O611" s="496"/>
      <c r="P611" s="496"/>
      <c r="Q611" s="496"/>
      <c r="R611" s="496"/>
      <c r="S611" s="496"/>
      <c r="T611" s="496"/>
      <c r="U611" s="496"/>
      <c r="V611" s="496"/>
      <c r="W611" s="496"/>
      <c r="X611" s="496"/>
      <c r="Y611" s="496"/>
    </row>
    <row r="612" spans="1:25" x14ac:dyDescent="0.2">
      <c r="A612" s="496"/>
      <c r="D612" s="496"/>
    </row>
    <row r="613" spans="1:25" x14ac:dyDescent="0.2">
      <c r="A613" s="496"/>
      <c r="D613" s="496"/>
    </row>
    <row r="614" spans="1:25" s="123" customFormat="1" x14ac:dyDescent="0.2">
      <c r="A614" s="496"/>
      <c r="B614" s="496"/>
      <c r="C614" s="496"/>
      <c r="D614" s="496"/>
      <c r="E614" s="496"/>
      <c r="F614" s="496"/>
      <c r="G614" s="496"/>
      <c r="H614" s="496"/>
      <c r="I614" s="496"/>
      <c r="J614" s="496"/>
      <c r="K614" s="496"/>
      <c r="L614" s="496"/>
      <c r="M614" s="496"/>
      <c r="N614" s="496"/>
      <c r="O614" s="496"/>
      <c r="P614" s="496"/>
      <c r="Q614" s="496"/>
      <c r="R614" s="496"/>
      <c r="S614" s="496"/>
      <c r="T614" s="496"/>
      <c r="U614" s="496"/>
      <c r="V614" s="496"/>
      <c r="W614" s="496"/>
      <c r="X614" s="496"/>
      <c r="Y614" s="496"/>
    </row>
    <row r="615" spans="1:25" x14ac:dyDescent="0.2">
      <c r="A615" s="496"/>
      <c r="D615" s="496"/>
    </row>
    <row r="616" spans="1:25" x14ac:dyDescent="0.2">
      <c r="A616" s="496"/>
      <c r="D616" s="496"/>
    </row>
    <row r="617" spans="1:25" s="123" customFormat="1" x14ac:dyDescent="0.2">
      <c r="A617" s="496"/>
      <c r="B617" s="496"/>
      <c r="C617" s="496"/>
      <c r="D617" s="496"/>
      <c r="E617" s="496"/>
      <c r="F617" s="496"/>
      <c r="G617" s="496"/>
      <c r="H617" s="496"/>
      <c r="I617" s="496"/>
      <c r="J617" s="496"/>
      <c r="K617" s="496"/>
      <c r="L617" s="496"/>
      <c r="M617" s="496"/>
      <c r="N617" s="496"/>
      <c r="O617" s="496"/>
      <c r="P617" s="496"/>
      <c r="Q617" s="496"/>
      <c r="R617" s="496"/>
      <c r="S617" s="496"/>
      <c r="T617" s="496"/>
      <c r="U617" s="496"/>
      <c r="V617" s="496"/>
      <c r="W617" s="496"/>
      <c r="X617" s="496"/>
      <c r="Y617" s="496"/>
    </row>
    <row r="618" spans="1:25" x14ac:dyDescent="0.2">
      <c r="A618" s="496"/>
      <c r="D618" s="496"/>
    </row>
    <row r="619" spans="1:25" x14ac:dyDescent="0.2">
      <c r="A619" s="496"/>
      <c r="D619" s="496"/>
    </row>
    <row r="620" spans="1:25" s="123" customFormat="1" x14ac:dyDescent="0.2">
      <c r="A620" s="496"/>
      <c r="B620" s="496"/>
      <c r="C620" s="496"/>
      <c r="D620" s="496"/>
      <c r="E620" s="496"/>
      <c r="F620" s="496"/>
      <c r="G620" s="496"/>
      <c r="H620" s="496"/>
      <c r="I620" s="496"/>
      <c r="J620" s="496"/>
      <c r="K620" s="496"/>
      <c r="L620" s="496"/>
      <c r="M620" s="496"/>
      <c r="N620" s="496"/>
      <c r="O620" s="496"/>
      <c r="P620" s="496"/>
      <c r="Q620" s="496"/>
      <c r="R620" s="496"/>
      <c r="S620" s="496"/>
      <c r="T620" s="496"/>
      <c r="U620" s="496"/>
      <c r="V620" s="496"/>
      <c r="W620" s="496"/>
      <c r="X620" s="496"/>
      <c r="Y620" s="496"/>
    </row>
    <row r="621" spans="1:25" x14ac:dyDescent="0.2">
      <c r="A621" s="496"/>
      <c r="D621" s="496"/>
    </row>
    <row r="622" spans="1:25" x14ac:dyDescent="0.2">
      <c r="A622" s="496"/>
      <c r="D622" s="496"/>
    </row>
    <row r="623" spans="1:25" s="123" customFormat="1" x14ac:dyDescent="0.2">
      <c r="A623" s="496"/>
      <c r="B623" s="496"/>
      <c r="C623" s="496"/>
      <c r="D623" s="496"/>
      <c r="E623" s="496"/>
      <c r="F623" s="496"/>
      <c r="G623" s="496"/>
      <c r="H623" s="496"/>
      <c r="I623" s="496"/>
      <c r="J623" s="496"/>
      <c r="K623" s="496"/>
      <c r="L623" s="496"/>
      <c r="M623" s="496"/>
      <c r="N623" s="496"/>
      <c r="O623" s="496"/>
      <c r="P623" s="496"/>
      <c r="Q623" s="496"/>
      <c r="R623" s="496"/>
      <c r="S623" s="496"/>
      <c r="T623" s="496"/>
      <c r="U623" s="496"/>
      <c r="V623" s="496"/>
      <c r="W623" s="496"/>
      <c r="X623" s="496"/>
      <c r="Y623" s="496"/>
    </row>
    <row r="624" spans="1:25" x14ac:dyDescent="0.2">
      <c r="A624" s="496"/>
      <c r="D624" s="496"/>
    </row>
    <row r="625" spans="1:25" x14ac:dyDescent="0.2">
      <c r="A625" s="496"/>
      <c r="D625" s="496"/>
    </row>
    <row r="626" spans="1:25" s="123" customFormat="1" x14ac:dyDescent="0.2">
      <c r="A626" s="496"/>
      <c r="B626" s="496"/>
      <c r="C626" s="496"/>
      <c r="D626" s="496"/>
      <c r="E626" s="496"/>
      <c r="F626" s="496"/>
      <c r="G626" s="496"/>
      <c r="H626" s="496"/>
      <c r="I626" s="496"/>
      <c r="J626" s="496"/>
      <c r="K626" s="496"/>
      <c r="L626" s="496"/>
      <c r="M626" s="496"/>
      <c r="N626" s="496"/>
      <c r="O626" s="496"/>
      <c r="P626" s="496"/>
      <c r="Q626" s="496"/>
      <c r="R626" s="496"/>
      <c r="S626" s="496"/>
      <c r="T626" s="496"/>
      <c r="U626" s="496"/>
      <c r="V626" s="496"/>
      <c r="W626" s="496"/>
      <c r="X626" s="496"/>
      <c r="Y626" s="496"/>
    </row>
    <row r="627" spans="1:25" x14ac:dyDescent="0.2">
      <c r="A627" s="496"/>
      <c r="D627" s="496"/>
    </row>
    <row r="628" spans="1:25" x14ac:dyDescent="0.2">
      <c r="A628" s="496"/>
      <c r="D628" s="496"/>
    </row>
    <row r="629" spans="1:25" s="123" customFormat="1" x14ac:dyDescent="0.2">
      <c r="A629" s="496"/>
      <c r="B629" s="496"/>
      <c r="C629" s="496"/>
      <c r="D629" s="496"/>
      <c r="E629" s="496"/>
      <c r="F629" s="496"/>
      <c r="G629" s="496"/>
      <c r="H629" s="496"/>
      <c r="I629" s="496"/>
      <c r="J629" s="496"/>
      <c r="K629" s="496"/>
      <c r="L629" s="496"/>
      <c r="M629" s="496"/>
      <c r="N629" s="496"/>
      <c r="O629" s="496"/>
      <c r="P629" s="496"/>
      <c r="Q629" s="496"/>
      <c r="R629" s="496"/>
      <c r="S629" s="496"/>
      <c r="T629" s="496"/>
      <c r="U629" s="496"/>
      <c r="V629" s="496"/>
      <c r="W629" s="496"/>
      <c r="X629" s="496"/>
      <c r="Y629" s="496"/>
    </row>
    <row r="630" spans="1:25" x14ac:dyDescent="0.2">
      <c r="A630" s="496"/>
      <c r="D630" s="496"/>
    </row>
    <row r="631" spans="1:25" x14ac:dyDescent="0.2">
      <c r="A631" s="496"/>
      <c r="D631" s="496"/>
    </row>
    <row r="632" spans="1:25" s="123" customFormat="1" x14ac:dyDescent="0.2">
      <c r="A632" s="496"/>
      <c r="B632" s="496"/>
      <c r="C632" s="496"/>
      <c r="D632" s="496"/>
      <c r="E632" s="496"/>
      <c r="F632" s="496"/>
      <c r="G632" s="496"/>
      <c r="H632" s="496"/>
      <c r="I632" s="496"/>
      <c r="J632" s="496"/>
      <c r="K632" s="496"/>
      <c r="L632" s="496"/>
      <c r="M632" s="496"/>
      <c r="N632" s="496"/>
      <c r="O632" s="496"/>
      <c r="P632" s="496"/>
      <c r="Q632" s="496"/>
      <c r="R632" s="496"/>
      <c r="S632" s="496"/>
      <c r="T632" s="496"/>
      <c r="U632" s="496"/>
      <c r="V632" s="496"/>
      <c r="W632" s="496"/>
      <c r="X632" s="496"/>
      <c r="Y632" s="496"/>
    </row>
    <row r="633" spans="1:25" x14ac:dyDescent="0.2">
      <c r="A633" s="496"/>
      <c r="D633" s="496"/>
    </row>
    <row r="634" spans="1:25" x14ac:dyDescent="0.2">
      <c r="A634" s="496"/>
      <c r="D634" s="496"/>
    </row>
    <row r="635" spans="1:25" s="123" customFormat="1" x14ac:dyDescent="0.2">
      <c r="A635" s="496"/>
      <c r="B635" s="496"/>
      <c r="C635" s="496"/>
      <c r="D635" s="496"/>
      <c r="E635" s="496"/>
      <c r="F635" s="496"/>
      <c r="G635" s="496"/>
      <c r="H635" s="496"/>
      <c r="I635" s="496"/>
      <c r="J635" s="496"/>
      <c r="K635" s="496"/>
      <c r="L635" s="496"/>
      <c r="M635" s="496"/>
      <c r="N635" s="496"/>
      <c r="O635" s="496"/>
      <c r="P635" s="496"/>
      <c r="Q635" s="496"/>
      <c r="R635" s="496"/>
      <c r="S635" s="496"/>
      <c r="T635" s="496"/>
      <c r="U635" s="496"/>
      <c r="V635" s="496"/>
      <c r="W635" s="496"/>
      <c r="X635" s="496"/>
      <c r="Y635" s="496"/>
    </row>
    <row r="636" spans="1:25" x14ac:dyDescent="0.2">
      <c r="A636" s="496"/>
      <c r="D636" s="496"/>
    </row>
    <row r="637" spans="1:25" x14ac:dyDescent="0.2">
      <c r="A637" s="496"/>
      <c r="D637" s="496"/>
    </row>
    <row r="638" spans="1:25" s="123" customFormat="1" x14ac:dyDescent="0.2">
      <c r="A638" s="496"/>
      <c r="B638" s="496"/>
      <c r="C638" s="496"/>
      <c r="D638" s="496"/>
      <c r="E638" s="496"/>
      <c r="F638" s="496"/>
      <c r="G638" s="496"/>
      <c r="H638" s="496"/>
      <c r="I638" s="496"/>
      <c r="J638" s="496"/>
      <c r="K638" s="496"/>
      <c r="L638" s="496"/>
      <c r="M638" s="496"/>
      <c r="N638" s="496"/>
      <c r="O638" s="496"/>
      <c r="P638" s="496"/>
      <c r="Q638" s="496"/>
      <c r="R638" s="496"/>
      <c r="S638" s="496"/>
      <c r="T638" s="496"/>
      <c r="U638" s="496"/>
      <c r="V638" s="496"/>
      <c r="W638" s="496"/>
      <c r="X638" s="496"/>
      <c r="Y638" s="496"/>
    </row>
    <row r="639" spans="1:25" x14ac:dyDescent="0.2">
      <c r="A639" s="496"/>
      <c r="D639" s="496"/>
    </row>
    <row r="640" spans="1:25" x14ac:dyDescent="0.2">
      <c r="A640" s="496"/>
      <c r="D640" s="496"/>
    </row>
    <row r="641" spans="1:25" s="123" customFormat="1" x14ac:dyDescent="0.2">
      <c r="A641" s="496"/>
      <c r="B641" s="496"/>
      <c r="C641" s="496"/>
      <c r="D641" s="496"/>
      <c r="E641" s="496"/>
      <c r="F641" s="496"/>
      <c r="G641" s="496"/>
      <c r="H641" s="496"/>
      <c r="I641" s="496"/>
      <c r="J641" s="496"/>
      <c r="K641" s="496"/>
      <c r="L641" s="496"/>
      <c r="M641" s="496"/>
      <c r="N641" s="496"/>
      <c r="O641" s="496"/>
      <c r="P641" s="496"/>
      <c r="Q641" s="496"/>
      <c r="R641" s="496"/>
      <c r="S641" s="496"/>
      <c r="T641" s="496"/>
      <c r="U641" s="496"/>
      <c r="V641" s="496"/>
      <c r="W641" s="496"/>
      <c r="X641" s="496"/>
      <c r="Y641" s="496"/>
    </row>
    <row r="642" spans="1:25" x14ac:dyDescent="0.2">
      <c r="A642" s="496"/>
      <c r="D642" s="496"/>
    </row>
    <row r="643" spans="1:25" x14ac:dyDescent="0.2">
      <c r="A643" s="496"/>
      <c r="D643" s="496"/>
    </row>
    <row r="644" spans="1:25" s="123" customFormat="1" x14ac:dyDescent="0.2">
      <c r="A644" s="496"/>
      <c r="B644" s="496"/>
      <c r="C644" s="496"/>
      <c r="D644" s="496"/>
      <c r="E644" s="496"/>
      <c r="F644" s="496"/>
      <c r="G644" s="496"/>
      <c r="H644" s="496"/>
      <c r="I644" s="496"/>
      <c r="J644" s="496"/>
      <c r="K644" s="496"/>
      <c r="L644" s="496"/>
      <c r="M644" s="496"/>
      <c r="N644" s="496"/>
      <c r="O644" s="496"/>
      <c r="P644" s="496"/>
      <c r="Q644" s="496"/>
      <c r="R644" s="496"/>
      <c r="S644" s="496"/>
      <c r="T644" s="496"/>
      <c r="U644" s="496"/>
      <c r="V644" s="496"/>
      <c r="W644" s="496"/>
      <c r="X644" s="496"/>
      <c r="Y644" s="496"/>
    </row>
    <row r="645" spans="1:25" x14ac:dyDescent="0.2">
      <c r="A645" s="496"/>
      <c r="D645" s="496"/>
    </row>
    <row r="646" spans="1:25" x14ac:dyDescent="0.2">
      <c r="A646" s="496"/>
      <c r="D646" s="496"/>
    </row>
    <row r="647" spans="1:25" s="123" customFormat="1" x14ac:dyDescent="0.2">
      <c r="A647" s="496"/>
      <c r="B647" s="496"/>
      <c r="C647" s="496"/>
      <c r="D647" s="496"/>
      <c r="E647" s="496"/>
      <c r="F647" s="496"/>
      <c r="G647" s="496"/>
      <c r="H647" s="496"/>
      <c r="I647" s="496"/>
      <c r="J647" s="496"/>
      <c r="K647" s="496"/>
      <c r="L647" s="496"/>
      <c r="M647" s="496"/>
      <c r="N647" s="496"/>
      <c r="O647" s="496"/>
      <c r="P647" s="496"/>
      <c r="Q647" s="496"/>
      <c r="R647" s="496"/>
      <c r="S647" s="496"/>
      <c r="T647" s="496"/>
      <c r="U647" s="496"/>
      <c r="V647" s="496"/>
      <c r="W647" s="496"/>
      <c r="X647" s="496"/>
      <c r="Y647" s="496"/>
    </row>
    <row r="648" spans="1:25" x14ac:dyDescent="0.2">
      <c r="A648" s="496"/>
      <c r="D648" s="496"/>
    </row>
    <row r="649" spans="1:25" x14ac:dyDescent="0.2">
      <c r="A649" s="496"/>
      <c r="D649" s="496"/>
    </row>
    <row r="650" spans="1:25" s="123" customFormat="1" x14ac:dyDescent="0.2">
      <c r="A650" s="496"/>
      <c r="B650" s="496"/>
      <c r="C650" s="496"/>
      <c r="D650" s="496"/>
      <c r="E650" s="496"/>
      <c r="F650" s="496"/>
      <c r="G650" s="496"/>
      <c r="H650" s="496"/>
      <c r="I650" s="496"/>
      <c r="J650" s="496"/>
      <c r="K650" s="496"/>
      <c r="L650" s="496"/>
      <c r="M650" s="496"/>
      <c r="N650" s="496"/>
      <c r="O650" s="496"/>
      <c r="P650" s="496"/>
      <c r="Q650" s="496"/>
      <c r="R650" s="496"/>
      <c r="S650" s="496"/>
      <c r="T650" s="496"/>
      <c r="U650" s="496"/>
      <c r="V650" s="496"/>
      <c r="W650" s="496"/>
      <c r="X650" s="496"/>
      <c r="Y650" s="496"/>
    </row>
    <row r="651" spans="1:25" x14ac:dyDescent="0.2">
      <c r="A651" s="496"/>
      <c r="D651" s="496"/>
    </row>
    <row r="652" spans="1:25" x14ac:dyDescent="0.2">
      <c r="A652" s="496"/>
      <c r="D652" s="496"/>
    </row>
    <row r="653" spans="1:25" s="123" customFormat="1" x14ac:dyDescent="0.2">
      <c r="A653" s="496"/>
      <c r="B653" s="496"/>
      <c r="C653" s="496"/>
      <c r="D653" s="496"/>
      <c r="E653" s="496"/>
      <c r="F653" s="496"/>
      <c r="G653" s="496"/>
      <c r="H653" s="496"/>
      <c r="I653" s="496"/>
      <c r="J653" s="496"/>
      <c r="K653" s="496"/>
      <c r="L653" s="496"/>
      <c r="M653" s="496"/>
      <c r="N653" s="496"/>
      <c r="O653" s="496"/>
      <c r="P653" s="496"/>
      <c r="Q653" s="496"/>
      <c r="R653" s="496"/>
      <c r="S653" s="496"/>
      <c r="T653" s="496"/>
      <c r="U653" s="496"/>
      <c r="V653" s="496"/>
      <c r="W653" s="496"/>
      <c r="X653" s="496"/>
      <c r="Y653" s="496"/>
    </row>
    <row r="654" spans="1:25" x14ac:dyDescent="0.2">
      <c r="A654" s="496"/>
      <c r="D654" s="496"/>
    </row>
    <row r="655" spans="1:25" x14ac:dyDescent="0.2">
      <c r="A655" s="496"/>
      <c r="D655" s="496"/>
    </row>
    <row r="656" spans="1:25" s="123" customFormat="1" x14ac:dyDescent="0.2">
      <c r="A656" s="496"/>
      <c r="B656" s="496"/>
      <c r="C656" s="496"/>
      <c r="D656" s="496"/>
      <c r="E656" s="496"/>
      <c r="F656" s="496"/>
      <c r="G656" s="496"/>
      <c r="H656" s="496"/>
      <c r="I656" s="496"/>
      <c r="J656" s="496"/>
      <c r="K656" s="496"/>
      <c r="L656" s="496"/>
      <c r="M656" s="496"/>
      <c r="N656" s="496"/>
      <c r="O656" s="496"/>
      <c r="P656" s="496"/>
      <c r="Q656" s="496"/>
      <c r="R656" s="496"/>
      <c r="S656" s="496"/>
      <c r="T656" s="496"/>
      <c r="U656" s="496"/>
      <c r="V656" s="496"/>
      <c r="W656" s="496"/>
      <c r="X656" s="496"/>
      <c r="Y656" s="496"/>
    </row>
    <row r="657" spans="1:25" x14ac:dyDescent="0.2">
      <c r="A657" s="496"/>
      <c r="D657" s="496"/>
    </row>
    <row r="658" spans="1:25" x14ac:dyDescent="0.2">
      <c r="A658" s="496"/>
      <c r="D658" s="496"/>
    </row>
    <row r="659" spans="1:25" s="123" customFormat="1" x14ac:dyDescent="0.2">
      <c r="A659" s="496"/>
      <c r="B659" s="496"/>
      <c r="C659" s="496"/>
      <c r="D659" s="496"/>
      <c r="E659" s="496"/>
      <c r="F659" s="496"/>
      <c r="G659" s="496"/>
      <c r="H659" s="496"/>
      <c r="I659" s="496"/>
      <c r="J659" s="496"/>
      <c r="K659" s="496"/>
      <c r="L659" s="496"/>
      <c r="M659" s="496"/>
      <c r="N659" s="496"/>
      <c r="O659" s="496"/>
      <c r="P659" s="496"/>
      <c r="Q659" s="496"/>
      <c r="R659" s="496"/>
      <c r="S659" s="496"/>
      <c r="T659" s="496"/>
      <c r="U659" s="496"/>
      <c r="V659" s="496"/>
      <c r="W659" s="496"/>
      <c r="X659" s="496"/>
      <c r="Y659" s="496"/>
    </row>
    <row r="660" spans="1:25" x14ac:dyDescent="0.2">
      <c r="A660" s="496"/>
      <c r="D660" s="496"/>
    </row>
    <row r="661" spans="1:25" x14ac:dyDescent="0.2">
      <c r="A661" s="496"/>
      <c r="D661" s="496"/>
    </row>
    <row r="662" spans="1:25" s="123" customFormat="1" x14ac:dyDescent="0.2">
      <c r="A662" s="496"/>
      <c r="B662" s="496"/>
      <c r="C662" s="496"/>
      <c r="D662" s="496"/>
      <c r="E662" s="496"/>
      <c r="F662" s="496"/>
      <c r="G662" s="496"/>
      <c r="H662" s="496"/>
      <c r="I662" s="496"/>
      <c r="J662" s="496"/>
      <c r="K662" s="496"/>
      <c r="L662" s="496"/>
      <c r="M662" s="496"/>
      <c r="N662" s="496"/>
      <c r="O662" s="496"/>
      <c r="P662" s="496"/>
      <c r="Q662" s="496"/>
      <c r="R662" s="496"/>
      <c r="S662" s="496"/>
      <c r="T662" s="496"/>
      <c r="U662" s="496"/>
      <c r="V662" s="496"/>
      <c r="W662" s="496"/>
      <c r="X662" s="496"/>
      <c r="Y662" s="496"/>
    </row>
    <row r="663" spans="1:25" x14ac:dyDescent="0.2">
      <c r="A663" s="496"/>
      <c r="D663" s="496"/>
    </row>
    <row r="664" spans="1:25" x14ac:dyDescent="0.2">
      <c r="A664" s="496"/>
      <c r="D664" s="496"/>
    </row>
    <row r="665" spans="1:25" s="123" customFormat="1" x14ac:dyDescent="0.2">
      <c r="A665" s="496"/>
      <c r="B665" s="496"/>
      <c r="C665" s="496"/>
      <c r="D665" s="496"/>
      <c r="E665" s="496"/>
      <c r="F665" s="496"/>
      <c r="G665" s="496"/>
      <c r="H665" s="496"/>
      <c r="I665" s="496"/>
      <c r="J665" s="496"/>
      <c r="K665" s="496"/>
      <c r="L665" s="496"/>
      <c r="M665" s="496"/>
      <c r="N665" s="496"/>
      <c r="O665" s="496"/>
      <c r="P665" s="496"/>
      <c r="Q665" s="496"/>
      <c r="R665" s="496"/>
      <c r="S665" s="496"/>
      <c r="T665" s="496"/>
      <c r="U665" s="496"/>
      <c r="V665" s="496"/>
      <c r="W665" s="496"/>
      <c r="X665" s="496"/>
      <c r="Y665" s="496"/>
    </row>
    <row r="666" spans="1:25" x14ac:dyDescent="0.2">
      <c r="A666" s="496"/>
      <c r="D666" s="496"/>
    </row>
    <row r="667" spans="1:25" x14ac:dyDescent="0.2">
      <c r="A667" s="496"/>
      <c r="D667" s="496"/>
    </row>
    <row r="668" spans="1:25" s="123" customFormat="1" x14ac:dyDescent="0.2">
      <c r="A668" s="496"/>
      <c r="B668" s="496"/>
      <c r="C668" s="496"/>
      <c r="D668" s="496"/>
      <c r="E668" s="496"/>
      <c r="F668" s="496"/>
      <c r="G668" s="496"/>
      <c r="H668" s="496"/>
      <c r="I668" s="496"/>
      <c r="J668" s="496"/>
      <c r="K668" s="496"/>
      <c r="L668" s="496"/>
      <c r="M668" s="496"/>
      <c r="N668" s="496"/>
      <c r="O668" s="496"/>
      <c r="P668" s="496"/>
      <c r="Q668" s="496"/>
      <c r="R668" s="496"/>
      <c r="S668" s="496"/>
      <c r="T668" s="496"/>
      <c r="U668" s="496"/>
      <c r="V668" s="496"/>
      <c r="W668" s="496"/>
      <c r="X668" s="496"/>
      <c r="Y668" s="496"/>
    </row>
    <row r="669" spans="1:25" x14ac:dyDescent="0.2">
      <c r="A669" s="496"/>
      <c r="D669" s="496"/>
    </row>
    <row r="670" spans="1:25" x14ac:dyDescent="0.2">
      <c r="A670" s="496"/>
      <c r="D670" s="496"/>
    </row>
    <row r="671" spans="1:25" s="123" customFormat="1" x14ac:dyDescent="0.2">
      <c r="A671" s="496"/>
      <c r="B671" s="496"/>
      <c r="C671" s="496"/>
      <c r="D671" s="496"/>
      <c r="E671" s="496"/>
      <c r="F671" s="496"/>
      <c r="G671" s="496"/>
      <c r="H671" s="496"/>
      <c r="I671" s="496"/>
      <c r="J671" s="496"/>
      <c r="K671" s="496"/>
      <c r="L671" s="496"/>
      <c r="M671" s="496"/>
      <c r="N671" s="496"/>
      <c r="O671" s="496"/>
      <c r="P671" s="496"/>
      <c r="Q671" s="496"/>
      <c r="R671" s="496"/>
      <c r="S671" s="496"/>
      <c r="T671" s="496"/>
      <c r="U671" s="496"/>
      <c r="V671" s="496"/>
      <c r="W671" s="496"/>
      <c r="X671" s="496"/>
      <c r="Y671" s="496"/>
    </row>
    <row r="672" spans="1:25" x14ac:dyDescent="0.2">
      <c r="A672" s="496"/>
      <c r="D672" s="496"/>
    </row>
    <row r="673" spans="1:25" x14ac:dyDescent="0.2">
      <c r="A673" s="496"/>
      <c r="D673" s="496"/>
    </row>
    <row r="674" spans="1:25" s="123" customFormat="1" x14ac:dyDescent="0.2">
      <c r="A674" s="496"/>
      <c r="B674" s="496"/>
      <c r="C674" s="496"/>
      <c r="D674" s="496"/>
      <c r="E674" s="496"/>
      <c r="F674" s="496"/>
      <c r="G674" s="496"/>
      <c r="H674" s="496"/>
      <c r="I674" s="496"/>
      <c r="J674" s="496"/>
      <c r="K674" s="496"/>
      <c r="L674" s="496"/>
      <c r="M674" s="496"/>
      <c r="N674" s="496"/>
      <c r="O674" s="496"/>
      <c r="P674" s="496"/>
      <c r="Q674" s="496"/>
      <c r="R674" s="496"/>
      <c r="S674" s="496"/>
      <c r="T674" s="496"/>
      <c r="U674" s="496"/>
      <c r="V674" s="496"/>
      <c r="W674" s="496"/>
      <c r="X674" s="496"/>
      <c r="Y674" s="496"/>
    </row>
    <row r="675" spans="1:25" x14ac:dyDescent="0.2">
      <c r="A675" s="496"/>
      <c r="D675" s="496"/>
    </row>
    <row r="676" spans="1:25" x14ac:dyDescent="0.2">
      <c r="A676" s="496"/>
      <c r="D676" s="496"/>
    </row>
    <row r="677" spans="1:25" s="123" customFormat="1" x14ac:dyDescent="0.2">
      <c r="A677" s="496"/>
      <c r="B677" s="496"/>
      <c r="C677" s="496"/>
      <c r="D677" s="496"/>
      <c r="E677" s="496"/>
      <c r="F677" s="496"/>
      <c r="G677" s="496"/>
      <c r="H677" s="496"/>
      <c r="I677" s="496"/>
      <c r="J677" s="496"/>
      <c r="K677" s="496"/>
      <c r="L677" s="496"/>
      <c r="M677" s="496"/>
      <c r="N677" s="496"/>
      <c r="O677" s="496"/>
      <c r="P677" s="496"/>
      <c r="Q677" s="496"/>
      <c r="R677" s="496"/>
      <c r="S677" s="496"/>
      <c r="T677" s="496"/>
      <c r="U677" s="496"/>
      <c r="V677" s="496"/>
      <c r="W677" s="496"/>
      <c r="X677" s="496"/>
      <c r="Y677" s="496"/>
    </row>
    <row r="678" spans="1:25" x14ac:dyDescent="0.2">
      <c r="A678" s="496"/>
      <c r="D678" s="496"/>
    </row>
    <row r="679" spans="1:25" x14ac:dyDescent="0.2">
      <c r="A679" s="496"/>
      <c r="D679" s="496"/>
    </row>
    <row r="680" spans="1:25" s="123" customFormat="1" x14ac:dyDescent="0.2">
      <c r="A680" s="496"/>
      <c r="B680" s="496"/>
      <c r="C680" s="496"/>
      <c r="D680" s="496"/>
      <c r="E680" s="496"/>
      <c r="F680" s="496"/>
      <c r="G680" s="496"/>
      <c r="H680" s="496"/>
      <c r="I680" s="496"/>
      <c r="J680" s="496"/>
      <c r="K680" s="496"/>
      <c r="L680" s="496"/>
      <c r="M680" s="496"/>
      <c r="N680" s="496"/>
      <c r="O680" s="496"/>
      <c r="P680" s="496"/>
      <c r="Q680" s="496"/>
      <c r="R680" s="496"/>
      <c r="S680" s="496"/>
      <c r="T680" s="496"/>
      <c r="U680" s="496"/>
      <c r="V680" s="496"/>
      <c r="W680" s="496"/>
      <c r="X680" s="496"/>
      <c r="Y680" s="496"/>
    </row>
    <row r="681" spans="1:25" x14ac:dyDescent="0.2">
      <c r="A681" s="496"/>
      <c r="D681" s="496"/>
    </row>
    <row r="682" spans="1:25" x14ac:dyDescent="0.2">
      <c r="A682" s="496"/>
      <c r="D682" s="496"/>
    </row>
    <row r="683" spans="1:25" s="123" customFormat="1" x14ac:dyDescent="0.2">
      <c r="A683" s="496"/>
      <c r="B683" s="496"/>
      <c r="C683" s="496"/>
      <c r="D683" s="496"/>
      <c r="E683" s="496"/>
      <c r="F683" s="496"/>
      <c r="G683" s="496"/>
      <c r="H683" s="496"/>
      <c r="I683" s="496"/>
      <c r="J683" s="496"/>
      <c r="K683" s="496"/>
      <c r="L683" s="496"/>
      <c r="M683" s="496"/>
      <c r="N683" s="496"/>
      <c r="O683" s="496"/>
      <c r="P683" s="496"/>
      <c r="Q683" s="496"/>
      <c r="R683" s="496"/>
      <c r="S683" s="496"/>
      <c r="T683" s="496"/>
      <c r="U683" s="496"/>
      <c r="V683" s="496"/>
      <c r="W683" s="496"/>
      <c r="X683" s="496"/>
      <c r="Y683" s="496"/>
    </row>
    <row r="684" spans="1:25" x14ac:dyDescent="0.2">
      <c r="A684" s="496"/>
      <c r="D684" s="496"/>
    </row>
    <row r="685" spans="1:25" x14ac:dyDescent="0.2">
      <c r="A685" s="496"/>
      <c r="D685" s="496"/>
    </row>
    <row r="686" spans="1:25" s="123" customFormat="1" x14ac:dyDescent="0.2">
      <c r="A686" s="496"/>
      <c r="B686" s="496"/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6"/>
      <c r="N686" s="496"/>
      <c r="O686" s="496"/>
      <c r="P686" s="496"/>
      <c r="Q686" s="496"/>
      <c r="R686" s="496"/>
      <c r="S686" s="496"/>
      <c r="T686" s="496"/>
      <c r="U686" s="496"/>
      <c r="V686" s="496"/>
      <c r="W686" s="496"/>
      <c r="X686" s="496"/>
      <c r="Y686" s="496"/>
    </row>
    <row r="687" spans="1:25" x14ac:dyDescent="0.2">
      <c r="A687" s="496"/>
      <c r="D687" s="496"/>
    </row>
    <row r="688" spans="1:25" x14ac:dyDescent="0.2">
      <c r="A688" s="496"/>
      <c r="D688" s="496"/>
    </row>
    <row r="689" spans="1:25" s="123" customFormat="1" x14ac:dyDescent="0.2">
      <c r="A689" s="496"/>
      <c r="B689" s="496"/>
      <c r="C689" s="496"/>
      <c r="D689" s="496"/>
      <c r="E689" s="496"/>
      <c r="F689" s="496"/>
      <c r="G689" s="496"/>
      <c r="H689" s="496"/>
      <c r="I689" s="496"/>
      <c r="J689" s="496"/>
      <c r="K689" s="496"/>
      <c r="L689" s="496"/>
      <c r="M689" s="496"/>
      <c r="N689" s="496"/>
      <c r="O689" s="496"/>
      <c r="P689" s="496"/>
      <c r="Q689" s="496"/>
      <c r="R689" s="496"/>
      <c r="S689" s="496"/>
      <c r="T689" s="496"/>
      <c r="U689" s="496"/>
      <c r="V689" s="496"/>
      <c r="W689" s="496"/>
      <c r="X689" s="496"/>
      <c r="Y689" s="496"/>
    </row>
    <row r="690" spans="1:25" x14ac:dyDescent="0.2">
      <c r="A690" s="496"/>
      <c r="D690" s="496"/>
    </row>
    <row r="691" spans="1:25" x14ac:dyDescent="0.2">
      <c r="A691" s="496"/>
      <c r="D691" s="496"/>
    </row>
    <row r="692" spans="1:25" s="123" customFormat="1" x14ac:dyDescent="0.2">
      <c r="A692" s="496"/>
      <c r="B692" s="496"/>
      <c r="C692" s="496"/>
      <c r="D692" s="496"/>
      <c r="E692" s="496"/>
      <c r="F692" s="496"/>
      <c r="G692" s="496"/>
      <c r="H692" s="496"/>
      <c r="I692" s="496"/>
      <c r="J692" s="496"/>
      <c r="K692" s="496"/>
      <c r="L692" s="496"/>
      <c r="M692" s="496"/>
      <c r="N692" s="496"/>
      <c r="O692" s="496"/>
      <c r="P692" s="496"/>
      <c r="Q692" s="496"/>
      <c r="R692" s="496"/>
      <c r="S692" s="496"/>
      <c r="T692" s="496"/>
      <c r="U692" s="496"/>
      <c r="V692" s="496"/>
      <c r="W692" s="496"/>
      <c r="X692" s="496"/>
      <c r="Y692" s="496"/>
    </row>
    <row r="693" spans="1:25" x14ac:dyDescent="0.2">
      <c r="A693" s="496"/>
      <c r="D693" s="496"/>
    </row>
    <row r="694" spans="1:25" x14ac:dyDescent="0.2">
      <c r="A694" s="496"/>
      <c r="D694" s="496"/>
    </row>
    <row r="695" spans="1:25" s="123" customFormat="1" x14ac:dyDescent="0.2">
      <c r="A695" s="496"/>
      <c r="B695" s="496"/>
      <c r="C695" s="496"/>
      <c r="D695" s="496"/>
      <c r="E695" s="496"/>
      <c r="F695" s="496"/>
      <c r="G695" s="496"/>
      <c r="H695" s="496"/>
      <c r="I695" s="496"/>
      <c r="J695" s="496"/>
      <c r="K695" s="496"/>
      <c r="L695" s="496"/>
      <c r="M695" s="496"/>
      <c r="N695" s="496"/>
      <c r="O695" s="496"/>
      <c r="P695" s="496"/>
      <c r="Q695" s="496"/>
      <c r="R695" s="496"/>
      <c r="S695" s="496"/>
      <c r="T695" s="496"/>
      <c r="U695" s="496"/>
      <c r="V695" s="496"/>
      <c r="W695" s="496"/>
      <c r="X695" s="496"/>
      <c r="Y695" s="496"/>
    </row>
    <row r="696" spans="1:25" x14ac:dyDescent="0.2">
      <c r="A696" s="496"/>
      <c r="D696" s="496"/>
    </row>
    <row r="697" spans="1:25" x14ac:dyDescent="0.2">
      <c r="A697" s="496"/>
      <c r="D697" s="496"/>
    </row>
    <row r="698" spans="1:25" s="123" customFormat="1" x14ac:dyDescent="0.2">
      <c r="A698" s="496"/>
      <c r="B698" s="496"/>
      <c r="C698" s="496"/>
      <c r="D698" s="496"/>
      <c r="E698" s="496"/>
      <c r="F698" s="496"/>
      <c r="G698" s="496"/>
      <c r="H698" s="496"/>
      <c r="I698" s="496"/>
      <c r="J698" s="496"/>
      <c r="K698" s="496"/>
      <c r="L698" s="496"/>
      <c r="M698" s="496"/>
      <c r="N698" s="496"/>
      <c r="O698" s="496"/>
      <c r="P698" s="496"/>
      <c r="Q698" s="496"/>
      <c r="R698" s="496"/>
      <c r="S698" s="496"/>
      <c r="T698" s="496"/>
      <c r="U698" s="496"/>
      <c r="V698" s="496"/>
      <c r="W698" s="496"/>
      <c r="X698" s="496"/>
      <c r="Y698" s="496"/>
    </row>
    <row r="699" spans="1:25" x14ac:dyDescent="0.2">
      <c r="A699" s="496"/>
      <c r="D699" s="496"/>
    </row>
    <row r="700" spans="1:25" x14ac:dyDescent="0.2">
      <c r="A700" s="496"/>
      <c r="D700" s="496"/>
    </row>
    <row r="701" spans="1:25" s="123" customFormat="1" x14ac:dyDescent="0.2">
      <c r="A701" s="496"/>
      <c r="B701" s="496"/>
      <c r="C701" s="496"/>
      <c r="D701" s="496"/>
      <c r="E701" s="496"/>
      <c r="F701" s="496"/>
      <c r="G701" s="496"/>
      <c r="H701" s="496"/>
      <c r="I701" s="496"/>
      <c r="J701" s="496"/>
      <c r="K701" s="496"/>
      <c r="L701" s="496"/>
      <c r="M701" s="496"/>
      <c r="N701" s="496"/>
      <c r="O701" s="496"/>
      <c r="P701" s="496"/>
      <c r="Q701" s="496"/>
      <c r="R701" s="496"/>
      <c r="S701" s="496"/>
      <c r="T701" s="496"/>
      <c r="U701" s="496"/>
      <c r="V701" s="496"/>
      <c r="W701" s="496"/>
      <c r="X701" s="496"/>
      <c r="Y701" s="496"/>
    </row>
    <row r="702" spans="1:25" x14ac:dyDescent="0.2">
      <c r="A702" s="496"/>
      <c r="D702" s="496"/>
    </row>
    <row r="703" spans="1:25" x14ac:dyDescent="0.2">
      <c r="A703" s="496"/>
      <c r="D703" s="496"/>
    </row>
    <row r="704" spans="1:25" s="123" customFormat="1" x14ac:dyDescent="0.2">
      <c r="A704" s="496"/>
      <c r="B704" s="496"/>
      <c r="C704" s="496"/>
      <c r="D704" s="496"/>
      <c r="E704" s="496"/>
      <c r="F704" s="496"/>
      <c r="G704" s="496"/>
      <c r="H704" s="496"/>
      <c r="I704" s="496"/>
      <c r="J704" s="496"/>
      <c r="K704" s="496"/>
      <c r="L704" s="496"/>
      <c r="M704" s="496"/>
      <c r="N704" s="496"/>
      <c r="O704" s="496"/>
      <c r="P704" s="496"/>
      <c r="Q704" s="496"/>
      <c r="R704" s="496"/>
      <c r="S704" s="496"/>
      <c r="T704" s="496"/>
      <c r="U704" s="496"/>
      <c r="V704" s="496"/>
      <c r="W704" s="496"/>
      <c r="X704" s="496"/>
      <c r="Y704" s="496"/>
    </row>
    <row r="705" spans="1:25" x14ac:dyDescent="0.2">
      <c r="A705" s="496"/>
      <c r="D705" s="496"/>
    </row>
    <row r="706" spans="1:25" x14ac:dyDescent="0.2">
      <c r="A706" s="496"/>
      <c r="D706" s="496"/>
    </row>
    <row r="707" spans="1:25" s="123" customFormat="1" x14ac:dyDescent="0.2">
      <c r="A707" s="496"/>
      <c r="B707" s="496"/>
      <c r="C707" s="496"/>
      <c r="D707" s="496"/>
      <c r="E707" s="496"/>
      <c r="F707" s="496"/>
      <c r="G707" s="496"/>
      <c r="H707" s="496"/>
      <c r="I707" s="496"/>
      <c r="J707" s="496"/>
      <c r="K707" s="496"/>
      <c r="L707" s="496"/>
      <c r="M707" s="496"/>
      <c r="N707" s="496"/>
      <c r="O707" s="496"/>
      <c r="P707" s="496"/>
      <c r="Q707" s="496"/>
      <c r="R707" s="496"/>
      <c r="S707" s="496"/>
      <c r="T707" s="496"/>
      <c r="U707" s="496"/>
      <c r="V707" s="496"/>
      <c r="W707" s="496"/>
      <c r="X707" s="496"/>
      <c r="Y707" s="496"/>
    </row>
    <row r="708" spans="1:25" x14ac:dyDescent="0.2">
      <c r="A708" s="496"/>
      <c r="D708" s="496"/>
    </row>
    <row r="709" spans="1:25" x14ac:dyDescent="0.2">
      <c r="A709" s="496"/>
      <c r="D709" s="496"/>
    </row>
    <row r="710" spans="1:25" s="123" customFormat="1" x14ac:dyDescent="0.2">
      <c r="A710" s="496"/>
      <c r="B710" s="496"/>
      <c r="C710" s="496"/>
      <c r="D710" s="496"/>
      <c r="E710" s="496"/>
      <c r="F710" s="496"/>
      <c r="G710" s="496"/>
      <c r="H710" s="496"/>
      <c r="I710" s="496"/>
      <c r="J710" s="496"/>
      <c r="K710" s="496"/>
      <c r="L710" s="496"/>
      <c r="M710" s="496"/>
      <c r="N710" s="496"/>
      <c r="O710" s="496"/>
      <c r="P710" s="496"/>
      <c r="Q710" s="496"/>
      <c r="R710" s="496"/>
      <c r="S710" s="496"/>
      <c r="T710" s="496"/>
      <c r="U710" s="496"/>
      <c r="V710" s="496"/>
      <c r="W710" s="496"/>
      <c r="X710" s="496"/>
      <c r="Y710" s="496"/>
    </row>
    <row r="711" spans="1:25" x14ac:dyDescent="0.2">
      <c r="A711" s="496"/>
      <c r="D711" s="496"/>
    </row>
    <row r="712" spans="1:25" x14ac:dyDescent="0.2">
      <c r="A712" s="496"/>
      <c r="D712" s="496"/>
    </row>
    <row r="713" spans="1:25" s="123" customFormat="1" x14ac:dyDescent="0.2">
      <c r="A713" s="496"/>
      <c r="B713" s="496"/>
      <c r="C713" s="496"/>
      <c r="D713" s="496"/>
      <c r="E713" s="496"/>
      <c r="F713" s="496"/>
      <c r="G713" s="496"/>
      <c r="H713" s="496"/>
      <c r="I713" s="496"/>
      <c r="J713" s="496"/>
      <c r="K713" s="496"/>
      <c r="L713" s="496"/>
      <c r="M713" s="496"/>
      <c r="N713" s="496"/>
      <c r="O713" s="496"/>
      <c r="P713" s="496"/>
      <c r="Q713" s="496"/>
      <c r="R713" s="496"/>
      <c r="S713" s="496"/>
      <c r="T713" s="496"/>
      <c r="U713" s="496"/>
      <c r="V713" s="496"/>
      <c r="W713" s="496"/>
      <c r="X713" s="496"/>
      <c r="Y713" s="496"/>
    </row>
    <row r="714" spans="1:25" x14ac:dyDescent="0.2">
      <c r="A714" s="496"/>
      <c r="D714" s="496"/>
    </row>
    <row r="715" spans="1:25" x14ac:dyDescent="0.2">
      <c r="A715" s="496"/>
      <c r="D715" s="496"/>
    </row>
    <row r="716" spans="1:25" s="123" customFormat="1" x14ac:dyDescent="0.2">
      <c r="A716" s="496"/>
      <c r="B716" s="496"/>
      <c r="C716" s="496"/>
      <c r="D716" s="496"/>
      <c r="E716" s="496"/>
      <c r="F716" s="496"/>
      <c r="G716" s="496"/>
      <c r="H716" s="496"/>
      <c r="I716" s="496"/>
      <c r="J716" s="496"/>
      <c r="K716" s="496"/>
      <c r="L716" s="496"/>
      <c r="M716" s="496"/>
      <c r="N716" s="496"/>
      <c r="O716" s="496"/>
      <c r="P716" s="496"/>
      <c r="Q716" s="496"/>
      <c r="R716" s="496"/>
      <c r="S716" s="496"/>
      <c r="T716" s="496"/>
      <c r="U716" s="496"/>
      <c r="V716" s="496"/>
      <c r="W716" s="496"/>
      <c r="X716" s="496"/>
      <c r="Y716" s="496"/>
    </row>
    <row r="717" spans="1:25" x14ac:dyDescent="0.2">
      <c r="A717" s="496"/>
      <c r="D717" s="496"/>
    </row>
    <row r="718" spans="1:25" x14ac:dyDescent="0.2">
      <c r="A718" s="496"/>
      <c r="D718" s="496"/>
    </row>
    <row r="719" spans="1:25" s="123" customFormat="1" x14ac:dyDescent="0.2">
      <c r="A719" s="496"/>
      <c r="B719" s="496"/>
      <c r="C719" s="496"/>
      <c r="D719" s="496"/>
      <c r="E719" s="496"/>
      <c r="F719" s="496"/>
      <c r="G719" s="496"/>
      <c r="H719" s="496"/>
      <c r="I719" s="496"/>
      <c r="J719" s="496"/>
      <c r="K719" s="496"/>
      <c r="L719" s="496"/>
      <c r="M719" s="496"/>
      <c r="N719" s="496"/>
      <c r="O719" s="496"/>
      <c r="P719" s="496"/>
      <c r="Q719" s="496"/>
      <c r="R719" s="496"/>
      <c r="S719" s="496"/>
      <c r="T719" s="496"/>
      <c r="U719" s="496"/>
      <c r="V719" s="496"/>
      <c r="W719" s="496"/>
      <c r="X719" s="496"/>
      <c r="Y719" s="496"/>
    </row>
    <row r="720" spans="1:25" x14ac:dyDescent="0.2">
      <c r="A720" s="496"/>
      <c r="D720" s="496"/>
    </row>
    <row r="721" spans="1:25" x14ac:dyDescent="0.2">
      <c r="A721" s="496"/>
      <c r="D721" s="496"/>
    </row>
    <row r="722" spans="1:25" s="123" customFormat="1" x14ac:dyDescent="0.2">
      <c r="A722" s="496"/>
      <c r="B722" s="496"/>
      <c r="C722" s="496"/>
      <c r="D722" s="496"/>
      <c r="E722" s="496"/>
      <c r="F722" s="496"/>
      <c r="G722" s="496"/>
      <c r="H722" s="496"/>
      <c r="I722" s="496"/>
      <c r="J722" s="496"/>
      <c r="K722" s="496"/>
      <c r="L722" s="496"/>
      <c r="M722" s="496"/>
      <c r="N722" s="496"/>
      <c r="O722" s="496"/>
      <c r="P722" s="496"/>
      <c r="Q722" s="496"/>
      <c r="R722" s="496"/>
      <c r="S722" s="496"/>
      <c r="T722" s="496"/>
      <c r="U722" s="496"/>
      <c r="V722" s="496"/>
      <c r="W722" s="496"/>
      <c r="X722" s="496"/>
      <c r="Y722" s="496"/>
    </row>
    <row r="723" spans="1:25" x14ac:dyDescent="0.2">
      <c r="A723" s="496"/>
      <c r="D723" s="496"/>
    </row>
    <row r="724" spans="1:25" x14ac:dyDescent="0.2">
      <c r="A724" s="496"/>
      <c r="D724" s="496"/>
    </row>
    <row r="725" spans="1:25" s="123" customFormat="1" x14ac:dyDescent="0.2">
      <c r="A725" s="496"/>
      <c r="B725" s="496"/>
      <c r="C725" s="496"/>
      <c r="D725" s="496"/>
      <c r="E725" s="496"/>
      <c r="F725" s="496"/>
      <c r="G725" s="496"/>
      <c r="H725" s="496"/>
      <c r="I725" s="496"/>
      <c r="J725" s="496"/>
      <c r="K725" s="496"/>
      <c r="L725" s="496"/>
      <c r="M725" s="496"/>
      <c r="N725" s="496"/>
      <c r="O725" s="496"/>
      <c r="P725" s="496"/>
      <c r="Q725" s="496"/>
      <c r="R725" s="496"/>
      <c r="S725" s="496"/>
      <c r="T725" s="496"/>
      <c r="U725" s="496"/>
      <c r="V725" s="496"/>
      <c r="W725" s="496"/>
      <c r="X725" s="496"/>
      <c r="Y725" s="496"/>
    </row>
    <row r="726" spans="1:25" x14ac:dyDescent="0.2">
      <c r="A726" s="496"/>
      <c r="D726" s="496"/>
    </row>
    <row r="727" spans="1:25" x14ac:dyDescent="0.2">
      <c r="A727" s="496"/>
      <c r="D727" s="496"/>
    </row>
    <row r="728" spans="1:25" s="123" customFormat="1" x14ac:dyDescent="0.2">
      <c r="A728" s="496"/>
      <c r="B728" s="496"/>
      <c r="C728" s="496"/>
      <c r="D728" s="496"/>
      <c r="E728" s="496"/>
      <c r="F728" s="496"/>
      <c r="G728" s="496"/>
      <c r="H728" s="496"/>
      <c r="I728" s="496"/>
      <c r="J728" s="496"/>
      <c r="K728" s="496"/>
      <c r="L728" s="496"/>
      <c r="M728" s="496"/>
      <c r="N728" s="496"/>
      <c r="O728" s="496"/>
      <c r="P728" s="496"/>
      <c r="Q728" s="496"/>
      <c r="R728" s="496"/>
      <c r="S728" s="496"/>
      <c r="T728" s="496"/>
      <c r="U728" s="496"/>
      <c r="V728" s="496"/>
      <c r="W728" s="496"/>
      <c r="X728" s="496"/>
      <c r="Y728" s="496"/>
    </row>
    <row r="729" spans="1:25" x14ac:dyDescent="0.2">
      <c r="A729" s="496"/>
      <c r="D729" s="496"/>
    </row>
    <row r="730" spans="1:25" x14ac:dyDescent="0.2">
      <c r="A730" s="496"/>
      <c r="D730" s="496"/>
    </row>
    <row r="731" spans="1:25" s="123" customFormat="1" x14ac:dyDescent="0.2">
      <c r="A731" s="496"/>
      <c r="B731" s="496"/>
      <c r="C731" s="496"/>
      <c r="D731" s="496"/>
      <c r="E731" s="496"/>
      <c r="F731" s="496"/>
      <c r="G731" s="496"/>
      <c r="H731" s="496"/>
      <c r="I731" s="496"/>
      <c r="J731" s="496"/>
      <c r="K731" s="496"/>
      <c r="L731" s="496"/>
      <c r="M731" s="496"/>
      <c r="N731" s="496"/>
      <c r="O731" s="496"/>
      <c r="P731" s="496"/>
      <c r="Q731" s="496"/>
      <c r="R731" s="496"/>
      <c r="S731" s="496"/>
      <c r="T731" s="496"/>
      <c r="U731" s="496"/>
      <c r="V731" s="496"/>
      <c r="W731" s="496"/>
      <c r="X731" s="496"/>
      <c r="Y731" s="496"/>
    </row>
    <row r="732" spans="1:25" x14ac:dyDescent="0.2">
      <c r="A732" s="496"/>
      <c r="D732" s="496"/>
    </row>
    <row r="733" spans="1:25" x14ac:dyDescent="0.2">
      <c r="A733" s="496"/>
      <c r="D733" s="496"/>
    </row>
    <row r="734" spans="1:25" s="123" customFormat="1" x14ac:dyDescent="0.2">
      <c r="A734" s="496"/>
      <c r="B734" s="496"/>
      <c r="C734" s="496"/>
      <c r="D734" s="496"/>
      <c r="E734" s="496"/>
      <c r="F734" s="496"/>
      <c r="G734" s="496"/>
      <c r="H734" s="496"/>
      <c r="I734" s="496"/>
      <c r="J734" s="496"/>
      <c r="K734" s="496"/>
      <c r="L734" s="496"/>
      <c r="M734" s="496"/>
      <c r="N734" s="496"/>
      <c r="O734" s="496"/>
      <c r="P734" s="496"/>
      <c r="Q734" s="496"/>
      <c r="R734" s="496"/>
      <c r="S734" s="496"/>
      <c r="T734" s="496"/>
      <c r="U734" s="496"/>
      <c r="V734" s="496"/>
      <c r="W734" s="496"/>
      <c r="X734" s="496"/>
      <c r="Y734" s="496"/>
    </row>
    <row r="735" spans="1:25" x14ac:dyDescent="0.2">
      <c r="A735" s="496"/>
      <c r="D735" s="496"/>
    </row>
    <row r="736" spans="1:25" x14ac:dyDescent="0.2">
      <c r="A736" s="496"/>
      <c r="D736" s="496"/>
    </row>
    <row r="737" spans="1:25" s="123" customFormat="1" x14ac:dyDescent="0.2">
      <c r="A737" s="496"/>
      <c r="B737" s="496"/>
      <c r="C737" s="496"/>
      <c r="D737" s="496"/>
      <c r="E737" s="496"/>
      <c r="F737" s="496"/>
      <c r="G737" s="496"/>
      <c r="H737" s="496"/>
      <c r="I737" s="496"/>
      <c r="J737" s="496"/>
      <c r="K737" s="496"/>
      <c r="L737" s="496"/>
      <c r="M737" s="496"/>
      <c r="N737" s="496"/>
      <c r="O737" s="496"/>
      <c r="P737" s="496"/>
      <c r="Q737" s="496"/>
      <c r="R737" s="496"/>
      <c r="S737" s="496"/>
      <c r="T737" s="496"/>
      <c r="U737" s="496"/>
      <c r="V737" s="496"/>
      <c r="W737" s="496"/>
      <c r="X737" s="496"/>
      <c r="Y737" s="496"/>
    </row>
    <row r="738" spans="1:25" x14ac:dyDescent="0.2">
      <c r="A738" s="496"/>
      <c r="D738" s="496"/>
    </row>
    <row r="739" spans="1:25" x14ac:dyDescent="0.2">
      <c r="A739" s="496"/>
      <c r="D739" s="496"/>
    </row>
    <row r="740" spans="1:25" s="123" customFormat="1" x14ac:dyDescent="0.2">
      <c r="A740" s="496"/>
      <c r="B740" s="496"/>
      <c r="C740" s="496"/>
      <c r="D740" s="496"/>
      <c r="E740" s="496"/>
      <c r="F740" s="496"/>
      <c r="G740" s="496"/>
      <c r="H740" s="496"/>
      <c r="I740" s="496"/>
      <c r="J740" s="496"/>
      <c r="K740" s="496"/>
      <c r="L740" s="496"/>
      <c r="M740" s="496"/>
      <c r="N740" s="496"/>
      <c r="O740" s="496"/>
      <c r="P740" s="496"/>
      <c r="Q740" s="496"/>
      <c r="R740" s="496"/>
      <c r="S740" s="496"/>
      <c r="T740" s="496"/>
      <c r="U740" s="496"/>
      <c r="V740" s="496"/>
      <c r="W740" s="496"/>
      <c r="X740" s="496"/>
      <c r="Y740" s="496"/>
    </row>
    <row r="741" spans="1:25" x14ac:dyDescent="0.2">
      <c r="A741" s="496"/>
      <c r="D741" s="496"/>
    </row>
    <row r="742" spans="1:25" x14ac:dyDescent="0.2">
      <c r="A742" s="496"/>
      <c r="D742" s="496"/>
    </row>
    <row r="743" spans="1:25" s="123" customFormat="1" x14ac:dyDescent="0.2">
      <c r="A743" s="496"/>
      <c r="B743" s="496"/>
      <c r="C743" s="496"/>
      <c r="D743" s="496"/>
      <c r="E743" s="496"/>
      <c r="F743" s="496"/>
      <c r="G743" s="496"/>
      <c r="H743" s="496"/>
      <c r="I743" s="496"/>
      <c r="J743" s="496"/>
      <c r="K743" s="496"/>
      <c r="L743" s="496"/>
      <c r="M743" s="496"/>
      <c r="N743" s="496"/>
      <c r="O743" s="496"/>
      <c r="P743" s="496"/>
      <c r="Q743" s="496"/>
      <c r="R743" s="496"/>
      <c r="S743" s="496"/>
      <c r="T743" s="496"/>
      <c r="U743" s="496"/>
      <c r="V743" s="496"/>
      <c r="W743" s="496"/>
      <c r="X743" s="496"/>
      <c r="Y743" s="496"/>
    </row>
    <row r="744" spans="1:25" x14ac:dyDescent="0.2">
      <c r="A744" s="496"/>
      <c r="D744" s="496"/>
    </row>
    <row r="745" spans="1:25" x14ac:dyDescent="0.2">
      <c r="A745" s="496"/>
      <c r="D745" s="496"/>
    </row>
    <row r="746" spans="1:25" s="123" customFormat="1" x14ac:dyDescent="0.2">
      <c r="A746" s="496"/>
      <c r="B746" s="496"/>
      <c r="C746" s="496"/>
      <c r="D746" s="496"/>
      <c r="E746" s="496"/>
      <c r="F746" s="496"/>
      <c r="G746" s="496"/>
      <c r="H746" s="496"/>
      <c r="I746" s="496"/>
      <c r="J746" s="496"/>
      <c r="K746" s="496"/>
      <c r="L746" s="496"/>
      <c r="M746" s="496"/>
      <c r="N746" s="496"/>
      <c r="O746" s="496"/>
      <c r="P746" s="496"/>
      <c r="Q746" s="496"/>
      <c r="R746" s="496"/>
      <c r="S746" s="496"/>
      <c r="T746" s="496"/>
      <c r="U746" s="496"/>
      <c r="V746" s="496"/>
      <c r="W746" s="496"/>
      <c r="X746" s="496"/>
      <c r="Y746" s="496"/>
    </row>
    <row r="747" spans="1:25" x14ac:dyDescent="0.2">
      <c r="A747" s="496"/>
      <c r="D747" s="496"/>
    </row>
    <row r="748" spans="1:25" x14ac:dyDescent="0.2">
      <c r="A748" s="496"/>
      <c r="D748" s="496"/>
    </row>
    <row r="749" spans="1:25" s="123" customFormat="1" x14ac:dyDescent="0.2">
      <c r="A749" s="496"/>
      <c r="B749" s="496"/>
      <c r="C749" s="496"/>
      <c r="D749" s="496"/>
      <c r="E749" s="496"/>
      <c r="F749" s="496"/>
      <c r="G749" s="496"/>
      <c r="H749" s="496"/>
      <c r="I749" s="496"/>
      <c r="J749" s="496"/>
      <c r="K749" s="496"/>
      <c r="L749" s="496"/>
      <c r="M749" s="496"/>
      <c r="N749" s="496"/>
      <c r="O749" s="496"/>
      <c r="P749" s="496"/>
      <c r="Q749" s="496"/>
      <c r="R749" s="496"/>
      <c r="S749" s="496"/>
      <c r="T749" s="496"/>
      <c r="U749" s="496"/>
      <c r="V749" s="496"/>
      <c r="W749" s="496"/>
      <c r="X749" s="496"/>
      <c r="Y749" s="496"/>
    </row>
    <row r="750" spans="1:25" x14ac:dyDescent="0.2">
      <c r="A750" s="496"/>
      <c r="D750" s="496"/>
    </row>
    <row r="751" spans="1:25" x14ac:dyDescent="0.2">
      <c r="A751" s="496"/>
      <c r="D751" s="496"/>
    </row>
    <row r="752" spans="1:25" s="123" customFormat="1" x14ac:dyDescent="0.2">
      <c r="A752" s="496"/>
      <c r="B752" s="496"/>
      <c r="C752" s="496"/>
      <c r="D752" s="496"/>
      <c r="E752" s="496"/>
      <c r="F752" s="496"/>
      <c r="G752" s="496"/>
      <c r="H752" s="496"/>
      <c r="I752" s="496"/>
      <c r="J752" s="496"/>
      <c r="K752" s="496"/>
      <c r="L752" s="496"/>
      <c r="M752" s="496"/>
      <c r="N752" s="496"/>
      <c r="O752" s="496"/>
      <c r="P752" s="496"/>
      <c r="Q752" s="496"/>
      <c r="R752" s="496"/>
      <c r="S752" s="496"/>
      <c r="T752" s="496"/>
      <c r="U752" s="496"/>
      <c r="V752" s="496"/>
      <c r="W752" s="496"/>
      <c r="X752" s="496"/>
      <c r="Y752" s="496"/>
    </row>
    <row r="753" spans="1:25" x14ac:dyDescent="0.2">
      <c r="A753" s="496"/>
      <c r="D753" s="496"/>
    </row>
    <row r="754" spans="1:25" x14ac:dyDescent="0.2">
      <c r="A754" s="496"/>
      <c r="D754" s="496"/>
    </row>
    <row r="755" spans="1:25" s="123" customFormat="1" x14ac:dyDescent="0.2">
      <c r="A755" s="496"/>
      <c r="B755" s="496"/>
      <c r="C755" s="496"/>
      <c r="D755" s="496"/>
      <c r="E755" s="496"/>
      <c r="F755" s="496"/>
      <c r="G755" s="496"/>
      <c r="H755" s="496"/>
      <c r="I755" s="496"/>
      <c r="J755" s="496"/>
      <c r="K755" s="496"/>
      <c r="L755" s="496"/>
      <c r="M755" s="496"/>
      <c r="N755" s="496"/>
      <c r="O755" s="496"/>
      <c r="P755" s="496"/>
      <c r="Q755" s="496"/>
      <c r="R755" s="496"/>
      <c r="S755" s="496"/>
      <c r="T755" s="496"/>
      <c r="U755" s="496"/>
      <c r="V755" s="496"/>
      <c r="W755" s="496"/>
      <c r="X755" s="496"/>
      <c r="Y755" s="496"/>
    </row>
    <row r="756" spans="1:25" x14ac:dyDescent="0.2">
      <c r="A756" s="496"/>
      <c r="D756" s="496"/>
    </row>
    <row r="757" spans="1:25" x14ac:dyDescent="0.2">
      <c r="A757" s="496"/>
      <c r="D757" s="496"/>
    </row>
    <row r="758" spans="1:25" s="123" customFormat="1" x14ac:dyDescent="0.2">
      <c r="A758" s="496"/>
      <c r="B758" s="496"/>
      <c r="C758" s="496"/>
      <c r="D758" s="496"/>
      <c r="E758" s="496"/>
      <c r="F758" s="496"/>
      <c r="G758" s="496"/>
      <c r="H758" s="496"/>
      <c r="I758" s="496"/>
      <c r="J758" s="496"/>
      <c r="K758" s="496"/>
      <c r="L758" s="496"/>
      <c r="M758" s="496"/>
      <c r="N758" s="496"/>
      <c r="O758" s="496"/>
      <c r="P758" s="496"/>
      <c r="Q758" s="496"/>
      <c r="R758" s="496"/>
      <c r="S758" s="496"/>
      <c r="T758" s="496"/>
      <c r="U758" s="496"/>
      <c r="V758" s="496"/>
      <c r="W758" s="496"/>
      <c r="X758" s="496"/>
      <c r="Y758" s="496"/>
    </row>
    <row r="759" spans="1:25" x14ac:dyDescent="0.2">
      <c r="A759" s="496"/>
      <c r="D759" s="496"/>
    </row>
    <row r="760" spans="1:25" x14ac:dyDescent="0.2">
      <c r="A760" s="496"/>
      <c r="D760" s="496"/>
    </row>
    <row r="761" spans="1:25" s="123" customFormat="1" x14ac:dyDescent="0.2">
      <c r="A761" s="496"/>
      <c r="B761" s="496"/>
      <c r="C761" s="496"/>
      <c r="D761" s="496"/>
      <c r="E761" s="496"/>
      <c r="F761" s="496"/>
      <c r="G761" s="496"/>
      <c r="H761" s="496"/>
      <c r="I761" s="496"/>
      <c r="J761" s="496"/>
      <c r="K761" s="496"/>
      <c r="L761" s="496"/>
      <c r="M761" s="496"/>
      <c r="N761" s="496"/>
      <c r="O761" s="496"/>
      <c r="P761" s="496"/>
      <c r="Q761" s="496"/>
      <c r="R761" s="496"/>
      <c r="S761" s="496"/>
      <c r="T761" s="496"/>
      <c r="U761" s="496"/>
      <c r="V761" s="496"/>
      <c r="W761" s="496"/>
      <c r="X761" s="496"/>
      <c r="Y761" s="496"/>
    </row>
    <row r="762" spans="1:25" x14ac:dyDescent="0.2">
      <c r="A762" s="496"/>
      <c r="D762" s="496"/>
    </row>
    <row r="763" spans="1:25" x14ac:dyDescent="0.2">
      <c r="A763" s="496"/>
      <c r="D763" s="496"/>
    </row>
    <row r="764" spans="1:25" s="123" customFormat="1" x14ac:dyDescent="0.2">
      <c r="A764" s="496"/>
      <c r="B764" s="496"/>
      <c r="C764" s="496"/>
      <c r="D764" s="496"/>
      <c r="E764" s="496"/>
      <c r="F764" s="496"/>
      <c r="G764" s="496"/>
      <c r="H764" s="496"/>
      <c r="I764" s="496"/>
      <c r="J764" s="496"/>
      <c r="K764" s="496"/>
      <c r="L764" s="496"/>
      <c r="M764" s="496"/>
      <c r="N764" s="496"/>
      <c r="O764" s="496"/>
      <c r="P764" s="496"/>
      <c r="Q764" s="496"/>
      <c r="R764" s="496"/>
      <c r="S764" s="496"/>
      <c r="T764" s="496"/>
      <c r="U764" s="496"/>
      <c r="V764" s="496"/>
      <c r="W764" s="496"/>
      <c r="X764" s="496"/>
      <c r="Y764" s="496"/>
    </row>
    <row r="765" spans="1:25" x14ac:dyDescent="0.2">
      <c r="A765" s="496"/>
      <c r="D765" s="496"/>
    </row>
    <row r="766" spans="1:25" x14ac:dyDescent="0.2">
      <c r="A766" s="496"/>
      <c r="D766" s="496"/>
    </row>
    <row r="767" spans="1:25" s="123" customFormat="1" x14ac:dyDescent="0.2">
      <c r="A767" s="496"/>
      <c r="B767" s="496"/>
      <c r="C767" s="496"/>
      <c r="D767" s="496"/>
      <c r="E767" s="496"/>
      <c r="F767" s="496"/>
      <c r="G767" s="496"/>
      <c r="H767" s="496"/>
      <c r="I767" s="496"/>
      <c r="J767" s="496"/>
      <c r="K767" s="496"/>
      <c r="L767" s="496"/>
      <c r="M767" s="496"/>
      <c r="N767" s="496"/>
      <c r="O767" s="496"/>
      <c r="P767" s="496"/>
      <c r="Q767" s="496"/>
      <c r="R767" s="496"/>
      <c r="S767" s="496"/>
      <c r="T767" s="496"/>
      <c r="U767" s="496"/>
      <c r="V767" s="496"/>
      <c r="W767" s="496"/>
      <c r="X767" s="496"/>
      <c r="Y767" s="496"/>
    </row>
    <row r="768" spans="1:25" x14ac:dyDescent="0.2">
      <c r="A768" s="496"/>
      <c r="D768" s="496"/>
    </row>
    <row r="769" spans="1:25" x14ac:dyDescent="0.2">
      <c r="A769" s="496"/>
      <c r="D769" s="496"/>
    </row>
    <row r="770" spans="1:25" s="123" customFormat="1" x14ac:dyDescent="0.2">
      <c r="A770" s="496"/>
      <c r="B770" s="496"/>
      <c r="C770" s="496"/>
      <c r="D770" s="496"/>
      <c r="E770" s="496"/>
      <c r="F770" s="496"/>
      <c r="G770" s="496"/>
      <c r="H770" s="496"/>
      <c r="I770" s="496"/>
      <c r="J770" s="496"/>
      <c r="K770" s="496"/>
      <c r="L770" s="496"/>
      <c r="M770" s="496"/>
      <c r="N770" s="496"/>
      <c r="O770" s="496"/>
      <c r="P770" s="496"/>
      <c r="Q770" s="496"/>
      <c r="R770" s="496"/>
      <c r="S770" s="496"/>
      <c r="T770" s="496"/>
      <c r="U770" s="496"/>
      <c r="V770" s="496"/>
      <c r="W770" s="496"/>
      <c r="X770" s="496"/>
      <c r="Y770" s="496"/>
    </row>
    <row r="771" spans="1:25" x14ac:dyDescent="0.2">
      <c r="A771" s="496"/>
      <c r="D771" s="496"/>
    </row>
    <row r="772" spans="1:25" x14ac:dyDescent="0.2">
      <c r="A772" s="496"/>
      <c r="D772" s="496"/>
    </row>
    <row r="773" spans="1:25" s="123" customFormat="1" x14ac:dyDescent="0.2">
      <c r="A773" s="496"/>
      <c r="B773" s="496"/>
      <c r="C773" s="496"/>
      <c r="D773" s="496"/>
      <c r="E773" s="496"/>
      <c r="F773" s="496"/>
      <c r="G773" s="496"/>
      <c r="H773" s="496"/>
      <c r="I773" s="496"/>
      <c r="J773" s="496"/>
      <c r="K773" s="496"/>
      <c r="L773" s="496"/>
      <c r="M773" s="496"/>
      <c r="N773" s="496"/>
      <c r="O773" s="496"/>
      <c r="P773" s="496"/>
      <c r="Q773" s="496"/>
      <c r="R773" s="496"/>
      <c r="S773" s="496"/>
      <c r="T773" s="496"/>
      <c r="U773" s="496"/>
      <c r="V773" s="496"/>
      <c r="W773" s="496"/>
      <c r="X773" s="496"/>
      <c r="Y773" s="496"/>
    </row>
    <row r="774" spans="1:25" x14ac:dyDescent="0.2">
      <c r="A774" s="496"/>
      <c r="D774" s="496"/>
    </row>
    <row r="775" spans="1:25" x14ac:dyDescent="0.2">
      <c r="A775" s="496"/>
      <c r="D775" s="496"/>
    </row>
    <row r="776" spans="1:25" s="123" customFormat="1" x14ac:dyDescent="0.2">
      <c r="A776" s="496"/>
      <c r="B776" s="496"/>
      <c r="C776" s="496"/>
      <c r="D776" s="496"/>
      <c r="E776" s="496"/>
      <c r="F776" s="496"/>
      <c r="G776" s="496"/>
      <c r="H776" s="496"/>
      <c r="I776" s="496"/>
      <c r="J776" s="496"/>
      <c r="K776" s="496"/>
      <c r="L776" s="496"/>
      <c r="M776" s="496"/>
      <c r="N776" s="496"/>
      <c r="O776" s="496"/>
      <c r="P776" s="496"/>
      <c r="Q776" s="496"/>
      <c r="R776" s="496"/>
      <c r="S776" s="496"/>
      <c r="T776" s="496"/>
      <c r="U776" s="496"/>
      <c r="V776" s="496"/>
      <c r="W776" s="496"/>
      <c r="X776" s="496"/>
      <c r="Y776" s="496"/>
    </row>
    <row r="777" spans="1:25" x14ac:dyDescent="0.2">
      <c r="A777" s="496"/>
      <c r="D777" s="496"/>
    </row>
    <row r="778" spans="1:25" x14ac:dyDescent="0.2">
      <c r="A778" s="496"/>
      <c r="D778" s="496"/>
    </row>
    <row r="779" spans="1:25" s="123" customFormat="1" x14ac:dyDescent="0.2">
      <c r="A779" s="496"/>
      <c r="B779" s="496"/>
      <c r="C779" s="496"/>
      <c r="D779" s="496"/>
      <c r="E779" s="496"/>
      <c r="F779" s="496"/>
      <c r="G779" s="496"/>
      <c r="H779" s="496"/>
      <c r="I779" s="496"/>
      <c r="J779" s="496"/>
      <c r="K779" s="496"/>
      <c r="L779" s="496"/>
      <c r="M779" s="496"/>
      <c r="N779" s="496"/>
      <c r="O779" s="496"/>
      <c r="P779" s="496"/>
      <c r="Q779" s="496"/>
      <c r="R779" s="496"/>
      <c r="S779" s="496"/>
      <c r="T779" s="496"/>
      <c r="U779" s="496"/>
      <c r="V779" s="496"/>
      <c r="W779" s="496"/>
      <c r="X779" s="496"/>
      <c r="Y779" s="496"/>
    </row>
    <row r="780" spans="1:25" x14ac:dyDescent="0.2">
      <c r="A780" s="496"/>
      <c r="D780" s="496"/>
    </row>
    <row r="781" spans="1:25" x14ac:dyDescent="0.2">
      <c r="A781" s="496"/>
      <c r="D781" s="496"/>
    </row>
    <row r="782" spans="1:25" s="123" customFormat="1" x14ac:dyDescent="0.2">
      <c r="A782" s="496"/>
      <c r="B782" s="496"/>
      <c r="C782" s="496"/>
      <c r="D782" s="496"/>
      <c r="E782" s="496"/>
      <c r="F782" s="496"/>
      <c r="G782" s="496"/>
      <c r="H782" s="496"/>
      <c r="I782" s="496"/>
      <c r="J782" s="496"/>
      <c r="K782" s="496"/>
      <c r="L782" s="496"/>
      <c r="M782" s="496"/>
      <c r="N782" s="496"/>
      <c r="O782" s="496"/>
      <c r="P782" s="496"/>
      <c r="Q782" s="496"/>
      <c r="R782" s="496"/>
      <c r="S782" s="496"/>
      <c r="T782" s="496"/>
      <c r="U782" s="496"/>
      <c r="V782" s="496"/>
      <c r="W782" s="496"/>
      <c r="X782" s="496"/>
      <c r="Y782" s="496"/>
    </row>
    <row r="783" spans="1:25" x14ac:dyDescent="0.2">
      <c r="A783" s="496"/>
      <c r="D783" s="496"/>
    </row>
    <row r="784" spans="1:25" x14ac:dyDescent="0.2">
      <c r="A784" s="496"/>
      <c r="D784" s="496"/>
    </row>
    <row r="785" spans="1:25" s="123" customFormat="1" x14ac:dyDescent="0.2">
      <c r="A785" s="496"/>
      <c r="B785" s="496"/>
      <c r="C785" s="496"/>
      <c r="D785" s="496"/>
      <c r="E785" s="496"/>
      <c r="F785" s="496"/>
      <c r="G785" s="496"/>
      <c r="H785" s="496"/>
      <c r="I785" s="496"/>
      <c r="J785" s="496"/>
      <c r="K785" s="496"/>
      <c r="L785" s="496"/>
      <c r="M785" s="496"/>
      <c r="N785" s="496"/>
      <c r="O785" s="496"/>
      <c r="P785" s="496"/>
      <c r="Q785" s="496"/>
      <c r="R785" s="496"/>
      <c r="S785" s="496"/>
      <c r="T785" s="496"/>
      <c r="U785" s="496"/>
      <c r="V785" s="496"/>
      <c r="W785" s="496"/>
      <c r="X785" s="496"/>
      <c r="Y785" s="496"/>
    </row>
    <row r="786" spans="1:25" x14ac:dyDescent="0.2">
      <c r="A786" s="496"/>
      <c r="D786" s="496"/>
    </row>
    <row r="787" spans="1:25" x14ac:dyDescent="0.2">
      <c r="A787" s="496"/>
      <c r="D787" s="496"/>
    </row>
    <row r="788" spans="1:25" s="123" customFormat="1" x14ac:dyDescent="0.2">
      <c r="A788" s="496"/>
      <c r="B788" s="496"/>
      <c r="C788" s="496"/>
      <c r="D788" s="496"/>
      <c r="E788" s="496"/>
      <c r="F788" s="496"/>
      <c r="G788" s="496"/>
      <c r="H788" s="496"/>
      <c r="I788" s="496"/>
      <c r="J788" s="496"/>
      <c r="K788" s="496"/>
      <c r="L788" s="496"/>
      <c r="M788" s="496"/>
      <c r="N788" s="496"/>
      <c r="O788" s="496"/>
      <c r="P788" s="496"/>
      <c r="Q788" s="496"/>
      <c r="R788" s="496"/>
      <c r="S788" s="496"/>
      <c r="T788" s="496"/>
      <c r="U788" s="496"/>
      <c r="V788" s="496"/>
      <c r="W788" s="496"/>
      <c r="X788" s="496"/>
      <c r="Y788" s="496"/>
    </row>
    <row r="789" spans="1:25" x14ac:dyDescent="0.2">
      <c r="A789" s="496"/>
      <c r="D789" s="496"/>
    </row>
    <row r="790" spans="1:25" x14ac:dyDescent="0.2">
      <c r="A790" s="496"/>
      <c r="D790" s="496"/>
    </row>
    <row r="791" spans="1:25" s="123" customFormat="1" x14ac:dyDescent="0.2">
      <c r="A791" s="496"/>
      <c r="B791" s="496"/>
      <c r="C791" s="496"/>
      <c r="D791" s="496"/>
      <c r="E791" s="496"/>
      <c r="F791" s="496"/>
      <c r="G791" s="496"/>
      <c r="H791" s="496"/>
      <c r="I791" s="496"/>
      <c r="J791" s="496"/>
      <c r="K791" s="496"/>
      <c r="L791" s="496"/>
      <c r="M791" s="496"/>
      <c r="N791" s="496"/>
      <c r="O791" s="496"/>
      <c r="P791" s="496"/>
      <c r="Q791" s="496"/>
      <c r="R791" s="496"/>
      <c r="S791" s="496"/>
      <c r="T791" s="496"/>
      <c r="U791" s="496"/>
      <c r="V791" s="496"/>
      <c r="W791" s="496"/>
      <c r="X791" s="496"/>
      <c r="Y791" s="496"/>
    </row>
    <row r="792" spans="1:25" x14ac:dyDescent="0.2">
      <c r="A792" s="496"/>
      <c r="D792" s="496"/>
    </row>
    <row r="793" spans="1:25" x14ac:dyDescent="0.2">
      <c r="A793" s="496"/>
      <c r="D793" s="496"/>
    </row>
    <row r="794" spans="1:25" s="123" customFormat="1" x14ac:dyDescent="0.2">
      <c r="A794" s="496"/>
      <c r="B794" s="496"/>
      <c r="C794" s="496"/>
      <c r="D794" s="496"/>
      <c r="E794" s="496"/>
      <c r="F794" s="496"/>
      <c r="G794" s="496"/>
      <c r="H794" s="496"/>
      <c r="I794" s="496"/>
      <c r="J794" s="496"/>
      <c r="K794" s="496"/>
      <c r="L794" s="496"/>
      <c r="M794" s="496"/>
      <c r="N794" s="496"/>
      <c r="O794" s="496"/>
      <c r="P794" s="496"/>
      <c r="Q794" s="496"/>
      <c r="R794" s="496"/>
      <c r="S794" s="496"/>
      <c r="T794" s="496"/>
      <c r="U794" s="496"/>
      <c r="V794" s="496"/>
      <c r="W794" s="496"/>
      <c r="X794" s="496"/>
      <c r="Y794" s="496"/>
    </row>
    <row r="795" spans="1:25" x14ac:dyDescent="0.2">
      <c r="A795" s="496"/>
      <c r="D795" s="496"/>
    </row>
    <row r="796" spans="1:25" x14ac:dyDescent="0.2">
      <c r="A796" s="496"/>
      <c r="D796" s="496"/>
    </row>
    <row r="797" spans="1:25" s="123" customFormat="1" x14ac:dyDescent="0.2">
      <c r="A797" s="496"/>
      <c r="B797" s="496"/>
      <c r="C797" s="496"/>
      <c r="D797" s="496"/>
      <c r="E797" s="496"/>
      <c r="F797" s="496"/>
      <c r="G797" s="496"/>
      <c r="H797" s="496"/>
      <c r="I797" s="496"/>
      <c r="J797" s="496"/>
      <c r="K797" s="496"/>
      <c r="L797" s="496"/>
      <c r="M797" s="496"/>
      <c r="N797" s="496"/>
      <c r="O797" s="496"/>
      <c r="P797" s="496"/>
      <c r="Q797" s="496"/>
      <c r="R797" s="496"/>
      <c r="S797" s="496"/>
      <c r="T797" s="496"/>
      <c r="U797" s="496"/>
      <c r="V797" s="496"/>
      <c r="W797" s="496"/>
      <c r="X797" s="496"/>
      <c r="Y797" s="496"/>
    </row>
    <row r="798" spans="1:25" x14ac:dyDescent="0.2">
      <c r="A798" s="496"/>
      <c r="D798" s="496"/>
    </row>
    <row r="799" spans="1:25" x14ac:dyDescent="0.2">
      <c r="A799" s="496"/>
      <c r="D799" s="496"/>
    </row>
    <row r="800" spans="1:25" s="123" customFormat="1" x14ac:dyDescent="0.2">
      <c r="A800" s="496"/>
      <c r="B800" s="496"/>
      <c r="C800" s="496"/>
      <c r="D800" s="496"/>
      <c r="E800" s="496"/>
      <c r="F800" s="496"/>
      <c r="G800" s="496"/>
      <c r="H800" s="496"/>
      <c r="I800" s="496"/>
      <c r="J800" s="496"/>
      <c r="K800" s="496"/>
      <c r="L800" s="496"/>
      <c r="M800" s="496"/>
      <c r="N800" s="496"/>
      <c r="O800" s="496"/>
      <c r="P800" s="496"/>
      <c r="Q800" s="496"/>
      <c r="R800" s="496"/>
      <c r="S800" s="496"/>
      <c r="T800" s="496"/>
      <c r="U800" s="496"/>
      <c r="V800" s="496"/>
      <c r="W800" s="496"/>
      <c r="X800" s="496"/>
      <c r="Y800" s="496"/>
    </row>
    <row r="801" spans="1:25" x14ac:dyDescent="0.2">
      <c r="A801" s="496"/>
      <c r="D801" s="496"/>
    </row>
    <row r="802" spans="1:25" x14ac:dyDescent="0.2">
      <c r="A802" s="496"/>
      <c r="D802" s="496"/>
    </row>
    <row r="803" spans="1:25" s="123" customFormat="1" x14ac:dyDescent="0.2">
      <c r="A803" s="496"/>
      <c r="B803" s="496"/>
      <c r="C803" s="496"/>
      <c r="D803" s="496"/>
      <c r="E803" s="496"/>
      <c r="F803" s="496"/>
      <c r="G803" s="496"/>
      <c r="H803" s="496"/>
      <c r="I803" s="496"/>
      <c r="J803" s="496"/>
      <c r="K803" s="496"/>
      <c r="L803" s="496"/>
      <c r="M803" s="496"/>
      <c r="N803" s="496"/>
      <c r="O803" s="496"/>
      <c r="P803" s="496"/>
      <c r="Q803" s="496"/>
      <c r="R803" s="496"/>
      <c r="S803" s="496"/>
      <c r="T803" s="496"/>
      <c r="U803" s="496"/>
      <c r="V803" s="496"/>
      <c r="W803" s="496"/>
      <c r="X803" s="496"/>
      <c r="Y803" s="496"/>
    </row>
    <row r="804" spans="1:25" x14ac:dyDescent="0.2">
      <c r="A804" s="496"/>
      <c r="D804" s="496"/>
    </row>
    <row r="805" spans="1:25" x14ac:dyDescent="0.2">
      <c r="A805" s="496"/>
      <c r="D805" s="496"/>
    </row>
    <row r="806" spans="1:25" s="123" customFormat="1" x14ac:dyDescent="0.2">
      <c r="A806" s="496"/>
      <c r="B806" s="496"/>
      <c r="C806" s="496"/>
      <c r="D806" s="496"/>
      <c r="E806" s="496"/>
      <c r="F806" s="496"/>
      <c r="G806" s="496"/>
      <c r="H806" s="496"/>
      <c r="I806" s="496"/>
      <c r="J806" s="496"/>
      <c r="K806" s="496"/>
      <c r="L806" s="496"/>
      <c r="M806" s="496"/>
      <c r="N806" s="496"/>
      <c r="O806" s="496"/>
      <c r="P806" s="496"/>
      <c r="Q806" s="496"/>
      <c r="R806" s="496"/>
      <c r="S806" s="496"/>
      <c r="T806" s="496"/>
      <c r="U806" s="496"/>
      <c r="V806" s="496"/>
      <c r="W806" s="496"/>
      <c r="X806" s="496"/>
      <c r="Y806" s="496"/>
    </row>
    <row r="807" spans="1:25" x14ac:dyDescent="0.2">
      <c r="A807" s="496"/>
      <c r="D807" s="496"/>
    </row>
    <row r="808" spans="1:25" x14ac:dyDescent="0.2">
      <c r="A808" s="496"/>
      <c r="D808" s="496"/>
    </row>
    <row r="809" spans="1:25" s="123" customFormat="1" x14ac:dyDescent="0.2">
      <c r="A809" s="496"/>
      <c r="B809" s="496"/>
      <c r="C809" s="496"/>
      <c r="D809" s="496"/>
      <c r="E809" s="496"/>
      <c r="F809" s="496"/>
      <c r="G809" s="496"/>
      <c r="H809" s="496"/>
      <c r="I809" s="496"/>
      <c r="J809" s="496"/>
      <c r="K809" s="496"/>
      <c r="L809" s="496"/>
      <c r="M809" s="496"/>
      <c r="N809" s="496"/>
      <c r="O809" s="496"/>
      <c r="P809" s="496"/>
      <c r="Q809" s="496"/>
      <c r="R809" s="496"/>
      <c r="S809" s="496"/>
      <c r="T809" s="496"/>
      <c r="U809" s="496"/>
      <c r="V809" s="496"/>
      <c r="W809" s="496"/>
      <c r="X809" s="496"/>
      <c r="Y809" s="496"/>
    </row>
    <row r="810" spans="1:25" x14ac:dyDescent="0.2">
      <c r="A810" s="496"/>
      <c r="D810" s="496"/>
    </row>
    <row r="811" spans="1:25" x14ac:dyDescent="0.2">
      <c r="A811" s="496"/>
      <c r="D811" s="496"/>
    </row>
    <row r="812" spans="1:25" s="123" customFormat="1" x14ac:dyDescent="0.2">
      <c r="A812" s="496"/>
      <c r="B812" s="496"/>
      <c r="C812" s="496"/>
      <c r="D812" s="496"/>
      <c r="E812" s="496"/>
      <c r="F812" s="496"/>
      <c r="G812" s="496"/>
      <c r="H812" s="496"/>
      <c r="I812" s="496"/>
      <c r="J812" s="496"/>
      <c r="K812" s="496"/>
      <c r="L812" s="496"/>
      <c r="M812" s="496"/>
      <c r="N812" s="496"/>
      <c r="O812" s="496"/>
      <c r="P812" s="496"/>
      <c r="Q812" s="496"/>
      <c r="R812" s="496"/>
      <c r="S812" s="496"/>
      <c r="T812" s="496"/>
      <c r="U812" s="496"/>
      <c r="V812" s="496"/>
      <c r="W812" s="496"/>
      <c r="X812" s="496"/>
      <c r="Y812" s="496"/>
    </row>
    <row r="813" spans="1:25" x14ac:dyDescent="0.2">
      <c r="A813" s="496"/>
      <c r="D813" s="496"/>
    </row>
    <row r="814" spans="1:25" x14ac:dyDescent="0.2">
      <c r="A814" s="496"/>
      <c r="D814" s="496"/>
    </row>
    <row r="815" spans="1:25" s="123" customFormat="1" x14ac:dyDescent="0.2">
      <c r="A815" s="496"/>
      <c r="B815" s="496"/>
      <c r="C815" s="496"/>
      <c r="D815" s="496"/>
      <c r="E815" s="496"/>
      <c r="F815" s="496"/>
      <c r="G815" s="496"/>
      <c r="H815" s="496"/>
      <c r="I815" s="496"/>
      <c r="J815" s="496"/>
      <c r="K815" s="496"/>
      <c r="L815" s="496"/>
      <c r="M815" s="496"/>
      <c r="N815" s="496"/>
      <c r="O815" s="496"/>
      <c r="P815" s="496"/>
      <c r="Q815" s="496"/>
      <c r="R815" s="496"/>
      <c r="S815" s="496"/>
      <c r="T815" s="496"/>
      <c r="U815" s="496"/>
      <c r="V815" s="496"/>
      <c r="W815" s="496"/>
      <c r="X815" s="496"/>
      <c r="Y815" s="496"/>
    </row>
    <row r="816" spans="1:25" x14ac:dyDescent="0.2">
      <c r="A816" s="496"/>
      <c r="D816" s="496"/>
    </row>
    <row r="817" spans="1:25" x14ac:dyDescent="0.2">
      <c r="A817" s="496"/>
      <c r="D817" s="496"/>
    </row>
    <row r="818" spans="1:25" s="123" customFormat="1" x14ac:dyDescent="0.2">
      <c r="A818" s="496"/>
      <c r="B818" s="496"/>
      <c r="C818" s="496"/>
      <c r="D818" s="496"/>
      <c r="E818" s="496"/>
      <c r="F818" s="496"/>
      <c r="G818" s="496"/>
      <c r="H818" s="496"/>
      <c r="I818" s="496"/>
      <c r="J818" s="496"/>
      <c r="K818" s="496"/>
      <c r="L818" s="496"/>
      <c r="M818" s="496"/>
      <c r="N818" s="496"/>
      <c r="O818" s="496"/>
      <c r="P818" s="496"/>
      <c r="Q818" s="496"/>
      <c r="R818" s="496"/>
      <c r="S818" s="496"/>
      <c r="T818" s="496"/>
      <c r="U818" s="496"/>
      <c r="V818" s="496"/>
      <c r="W818" s="496"/>
      <c r="X818" s="496"/>
      <c r="Y818" s="496"/>
    </row>
    <row r="819" spans="1:25" x14ac:dyDescent="0.2">
      <c r="A819" s="496"/>
      <c r="D819" s="496"/>
    </row>
    <row r="820" spans="1:25" x14ac:dyDescent="0.2">
      <c r="A820" s="496"/>
      <c r="D820" s="496"/>
    </row>
    <row r="821" spans="1:25" s="123" customFormat="1" x14ac:dyDescent="0.2">
      <c r="A821" s="496"/>
      <c r="B821" s="496"/>
      <c r="C821" s="496"/>
      <c r="D821" s="496"/>
      <c r="E821" s="496"/>
      <c r="F821" s="496"/>
      <c r="G821" s="496"/>
      <c r="H821" s="496"/>
      <c r="I821" s="496"/>
      <c r="J821" s="496"/>
      <c r="K821" s="496"/>
      <c r="L821" s="496"/>
      <c r="M821" s="496"/>
      <c r="N821" s="496"/>
      <c r="O821" s="496"/>
      <c r="P821" s="496"/>
      <c r="Q821" s="496"/>
      <c r="R821" s="496"/>
      <c r="S821" s="496"/>
      <c r="T821" s="496"/>
      <c r="U821" s="496"/>
      <c r="V821" s="496"/>
      <c r="W821" s="496"/>
      <c r="X821" s="496"/>
      <c r="Y821" s="496"/>
    </row>
    <row r="822" spans="1:25" x14ac:dyDescent="0.2">
      <c r="A822" s="496"/>
      <c r="D822" s="496"/>
    </row>
    <row r="823" spans="1:25" x14ac:dyDescent="0.2">
      <c r="A823" s="496"/>
      <c r="D823" s="496"/>
    </row>
    <row r="824" spans="1:25" s="123" customFormat="1" x14ac:dyDescent="0.2">
      <c r="A824" s="496"/>
      <c r="B824" s="496"/>
      <c r="C824" s="496"/>
      <c r="D824" s="496"/>
      <c r="E824" s="496"/>
      <c r="F824" s="496"/>
      <c r="G824" s="496"/>
      <c r="H824" s="496"/>
      <c r="I824" s="496"/>
      <c r="J824" s="496"/>
      <c r="K824" s="496"/>
      <c r="L824" s="496"/>
      <c r="M824" s="496"/>
      <c r="N824" s="496"/>
      <c r="O824" s="496"/>
      <c r="P824" s="496"/>
      <c r="Q824" s="496"/>
      <c r="R824" s="496"/>
      <c r="S824" s="496"/>
      <c r="T824" s="496"/>
      <c r="U824" s="496"/>
      <c r="V824" s="496"/>
      <c r="W824" s="496"/>
      <c r="X824" s="496"/>
      <c r="Y824" s="496"/>
    </row>
    <row r="825" spans="1:25" x14ac:dyDescent="0.2">
      <c r="A825" s="496"/>
      <c r="D825" s="496"/>
    </row>
    <row r="826" spans="1:25" x14ac:dyDescent="0.2">
      <c r="A826" s="496"/>
      <c r="D826" s="496"/>
    </row>
    <row r="827" spans="1:25" s="123" customFormat="1" x14ac:dyDescent="0.2">
      <c r="A827" s="496"/>
      <c r="B827" s="496"/>
      <c r="C827" s="496"/>
      <c r="D827" s="496"/>
      <c r="E827" s="496"/>
      <c r="F827" s="496"/>
      <c r="G827" s="496"/>
      <c r="H827" s="496"/>
      <c r="I827" s="496"/>
      <c r="J827" s="496"/>
      <c r="K827" s="496"/>
      <c r="L827" s="496"/>
      <c r="M827" s="496"/>
      <c r="N827" s="496"/>
      <c r="O827" s="496"/>
      <c r="P827" s="496"/>
      <c r="Q827" s="496"/>
      <c r="R827" s="496"/>
      <c r="S827" s="496"/>
      <c r="T827" s="496"/>
      <c r="U827" s="496"/>
      <c r="V827" s="496"/>
      <c r="W827" s="496"/>
      <c r="X827" s="496"/>
      <c r="Y827" s="496"/>
    </row>
    <row r="828" spans="1:25" x14ac:dyDescent="0.2">
      <c r="A828" s="496"/>
      <c r="D828" s="496"/>
    </row>
    <row r="829" spans="1:25" x14ac:dyDescent="0.2">
      <c r="A829" s="496"/>
      <c r="D829" s="496"/>
    </row>
    <row r="830" spans="1:25" s="123" customFormat="1" x14ac:dyDescent="0.2">
      <c r="A830" s="496"/>
      <c r="B830" s="496"/>
      <c r="C830" s="496"/>
      <c r="D830" s="496"/>
      <c r="E830" s="496"/>
      <c r="F830" s="496"/>
      <c r="G830" s="496"/>
      <c r="H830" s="496"/>
      <c r="I830" s="496"/>
      <c r="J830" s="496"/>
      <c r="K830" s="496"/>
      <c r="L830" s="496"/>
      <c r="M830" s="496"/>
      <c r="N830" s="496"/>
      <c r="O830" s="496"/>
      <c r="P830" s="496"/>
      <c r="Q830" s="496"/>
      <c r="R830" s="496"/>
      <c r="S830" s="496"/>
      <c r="T830" s="496"/>
      <c r="U830" s="496"/>
      <c r="V830" s="496"/>
      <c r="W830" s="496"/>
      <c r="X830" s="496"/>
      <c r="Y830" s="496"/>
    </row>
    <row r="831" spans="1:25" x14ac:dyDescent="0.2">
      <c r="A831" s="496"/>
      <c r="D831" s="496"/>
    </row>
    <row r="832" spans="1:25" x14ac:dyDescent="0.2">
      <c r="A832" s="496"/>
      <c r="D832" s="496"/>
    </row>
    <row r="833" spans="1:25" s="123" customFormat="1" x14ac:dyDescent="0.2">
      <c r="A833" s="496"/>
      <c r="B833" s="496"/>
      <c r="C833" s="496"/>
      <c r="D833" s="496"/>
      <c r="E833" s="496"/>
      <c r="F833" s="496"/>
      <c r="G833" s="496"/>
      <c r="H833" s="496"/>
      <c r="I833" s="496"/>
      <c r="J833" s="496"/>
      <c r="K833" s="496"/>
      <c r="L833" s="496"/>
      <c r="M833" s="496"/>
      <c r="N833" s="496"/>
      <c r="O833" s="496"/>
      <c r="P833" s="496"/>
      <c r="Q833" s="496"/>
      <c r="R833" s="496"/>
      <c r="S833" s="496"/>
      <c r="T833" s="496"/>
      <c r="U833" s="496"/>
      <c r="V833" s="496"/>
      <c r="W833" s="496"/>
      <c r="X833" s="496"/>
      <c r="Y833" s="496"/>
    </row>
    <row r="834" spans="1:25" x14ac:dyDescent="0.2">
      <c r="A834" s="496"/>
      <c r="D834" s="496"/>
    </row>
    <row r="835" spans="1:25" x14ac:dyDescent="0.2">
      <c r="A835" s="496"/>
      <c r="D835" s="496"/>
    </row>
    <row r="836" spans="1:25" s="123" customFormat="1" x14ac:dyDescent="0.2">
      <c r="A836" s="496"/>
      <c r="B836" s="496"/>
      <c r="C836" s="496"/>
      <c r="D836" s="496"/>
      <c r="E836" s="496"/>
      <c r="F836" s="496"/>
      <c r="G836" s="496"/>
      <c r="H836" s="496"/>
      <c r="I836" s="496"/>
      <c r="J836" s="496"/>
      <c r="K836" s="496"/>
      <c r="L836" s="496"/>
      <c r="M836" s="496"/>
      <c r="N836" s="496"/>
      <c r="O836" s="496"/>
      <c r="P836" s="496"/>
      <c r="Q836" s="496"/>
      <c r="R836" s="496"/>
      <c r="S836" s="496"/>
      <c r="T836" s="496"/>
      <c r="U836" s="496"/>
      <c r="V836" s="496"/>
      <c r="W836" s="496"/>
      <c r="X836" s="496"/>
      <c r="Y836" s="496"/>
    </row>
    <row r="837" spans="1:25" x14ac:dyDescent="0.2">
      <c r="A837" s="496"/>
      <c r="D837" s="496"/>
    </row>
    <row r="838" spans="1:25" x14ac:dyDescent="0.2">
      <c r="A838" s="496"/>
      <c r="D838" s="496"/>
    </row>
    <row r="839" spans="1:25" s="123" customFormat="1" x14ac:dyDescent="0.2">
      <c r="A839" s="496"/>
      <c r="B839" s="496"/>
      <c r="C839" s="496"/>
      <c r="D839" s="496"/>
      <c r="E839" s="496"/>
      <c r="F839" s="496"/>
      <c r="G839" s="496"/>
      <c r="H839" s="496"/>
      <c r="I839" s="496"/>
      <c r="J839" s="496"/>
      <c r="K839" s="496"/>
      <c r="L839" s="496"/>
      <c r="M839" s="496"/>
      <c r="N839" s="496"/>
      <c r="O839" s="496"/>
      <c r="P839" s="496"/>
      <c r="Q839" s="496"/>
      <c r="R839" s="496"/>
      <c r="S839" s="496"/>
      <c r="T839" s="496"/>
      <c r="U839" s="496"/>
      <c r="V839" s="496"/>
      <c r="W839" s="496"/>
      <c r="X839" s="496"/>
      <c r="Y839" s="496"/>
    </row>
    <row r="840" spans="1:25" x14ac:dyDescent="0.2">
      <c r="A840" s="496"/>
      <c r="D840" s="496"/>
    </row>
    <row r="841" spans="1:25" x14ac:dyDescent="0.2">
      <c r="A841" s="496"/>
      <c r="D841" s="496"/>
    </row>
    <row r="842" spans="1:25" s="123" customFormat="1" x14ac:dyDescent="0.2">
      <c r="A842" s="496"/>
      <c r="B842" s="496"/>
      <c r="C842" s="496"/>
      <c r="D842" s="496"/>
      <c r="E842" s="496"/>
      <c r="F842" s="496"/>
      <c r="G842" s="496"/>
      <c r="H842" s="496"/>
      <c r="I842" s="496"/>
      <c r="J842" s="496"/>
      <c r="K842" s="496"/>
      <c r="L842" s="496"/>
      <c r="M842" s="496"/>
      <c r="N842" s="496"/>
      <c r="O842" s="496"/>
      <c r="P842" s="496"/>
      <c r="Q842" s="496"/>
      <c r="R842" s="496"/>
      <c r="S842" s="496"/>
      <c r="T842" s="496"/>
      <c r="U842" s="496"/>
      <c r="V842" s="496"/>
      <c r="W842" s="496"/>
      <c r="X842" s="496"/>
      <c r="Y842" s="496"/>
    </row>
    <row r="843" spans="1:25" x14ac:dyDescent="0.2">
      <c r="A843" s="496"/>
      <c r="D843" s="496"/>
    </row>
    <row r="844" spans="1:25" x14ac:dyDescent="0.2">
      <c r="A844" s="496"/>
      <c r="D844" s="496"/>
    </row>
    <row r="845" spans="1:25" s="123" customFormat="1" x14ac:dyDescent="0.2">
      <c r="A845" s="496"/>
      <c r="B845" s="496"/>
      <c r="C845" s="496"/>
      <c r="D845" s="496"/>
      <c r="E845" s="496"/>
      <c r="F845" s="496"/>
      <c r="G845" s="496"/>
      <c r="H845" s="496"/>
      <c r="I845" s="496"/>
      <c r="J845" s="496"/>
      <c r="K845" s="496"/>
      <c r="L845" s="496"/>
      <c r="M845" s="496"/>
      <c r="N845" s="496"/>
      <c r="O845" s="496"/>
      <c r="P845" s="496"/>
      <c r="Q845" s="496"/>
      <c r="R845" s="496"/>
      <c r="S845" s="496"/>
      <c r="T845" s="496"/>
      <c r="U845" s="496"/>
      <c r="V845" s="496"/>
      <c r="W845" s="496"/>
      <c r="X845" s="496"/>
      <c r="Y845" s="496"/>
    </row>
    <row r="846" spans="1:25" x14ac:dyDescent="0.2">
      <c r="A846" s="496"/>
      <c r="D846" s="496"/>
    </row>
    <row r="847" spans="1:25" x14ac:dyDescent="0.2">
      <c r="A847" s="496"/>
      <c r="D847" s="496"/>
    </row>
    <row r="848" spans="1:25" s="123" customFormat="1" x14ac:dyDescent="0.2">
      <c r="A848" s="496"/>
      <c r="B848" s="496"/>
      <c r="C848" s="496"/>
      <c r="D848" s="496"/>
      <c r="E848" s="496"/>
      <c r="F848" s="496"/>
      <c r="G848" s="496"/>
      <c r="H848" s="496"/>
      <c r="I848" s="496"/>
      <c r="J848" s="496"/>
      <c r="K848" s="496"/>
      <c r="L848" s="496"/>
      <c r="M848" s="496"/>
      <c r="N848" s="496"/>
      <c r="O848" s="496"/>
      <c r="P848" s="496"/>
      <c r="Q848" s="496"/>
      <c r="R848" s="496"/>
      <c r="S848" s="496"/>
      <c r="T848" s="496"/>
      <c r="U848" s="496"/>
      <c r="V848" s="496"/>
      <c r="W848" s="496"/>
      <c r="X848" s="496"/>
      <c r="Y848" s="496"/>
    </row>
    <row r="849" spans="1:25" x14ac:dyDescent="0.2">
      <c r="A849" s="496"/>
      <c r="D849" s="496"/>
    </row>
    <row r="850" spans="1:25" x14ac:dyDescent="0.2">
      <c r="A850" s="496"/>
      <c r="D850" s="496"/>
    </row>
    <row r="851" spans="1:25" s="123" customFormat="1" x14ac:dyDescent="0.2">
      <c r="A851" s="496"/>
      <c r="B851" s="496"/>
      <c r="C851" s="496"/>
      <c r="D851" s="496"/>
      <c r="E851" s="496"/>
      <c r="F851" s="496"/>
      <c r="G851" s="496"/>
      <c r="H851" s="496"/>
      <c r="I851" s="496"/>
      <c r="J851" s="496"/>
      <c r="K851" s="496"/>
      <c r="L851" s="496"/>
      <c r="M851" s="496"/>
      <c r="N851" s="496"/>
      <c r="O851" s="496"/>
      <c r="P851" s="496"/>
      <c r="Q851" s="496"/>
      <c r="R851" s="496"/>
      <c r="S851" s="496"/>
      <c r="T851" s="496"/>
      <c r="U851" s="496"/>
      <c r="V851" s="496"/>
      <c r="W851" s="496"/>
      <c r="X851" s="496"/>
      <c r="Y851" s="496"/>
    </row>
    <row r="852" spans="1:25" x14ac:dyDescent="0.2">
      <c r="A852" s="496"/>
      <c r="D852" s="496"/>
    </row>
    <row r="853" spans="1:25" x14ac:dyDescent="0.2">
      <c r="A853" s="496"/>
      <c r="D853" s="496"/>
    </row>
    <row r="854" spans="1:25" s="123" customFormat="1" x14ac:dyDescent="0.2">
      <c r="A854" s="496"/>
      <c r="B854" s="496"/>
      <c r="C854" s="496"/>
      <c r="D854" s="496"/>
      <c r="E854" s="496"/>
      <c r="F854" s="496"/>
      <c r="G854" s="496"/>
      <c r="H854" s="496"/>
      <c r="I854" s="496"/>
      <c r="J854" s="496"/>
      <c r="K854" s="496"/>
      <c r="L854" s="496"/>
      <c r="M854" s="496"/>
      <c r="N854" s="496"/>
      <c r="O854" s="496"/>
      <c r="P854" s="496"/>
      <c r="Q854" s="496"/>
      <c r="R854" s="496"/>
      <c r="S854" s="496"/>
      <c r="T854" s="496"/>
      <c r="U854" s="496"/>
      <c r="V854" s="496"/>
      <c r="W854" s="496"/>
      <c r="X854" s="496"/>
      <c r="Y854" s="496"/>
    </row>
    <row r="855" spans="1:25" x14ac:dyDescent="0.2">
      <c r="A855" s="496"/>
      <c r="D855" s="496"/>
    </row>
    <row r="856" spans="1:25" x14ac:dyDescent="0.2">
      <c r="A856" s="496"/>
      <c r="D856" s="496"/>
    </row>
    <row r="857" spans="1:25" s="123" customFormat="1" x14ac:dyDescent="0.2">
      <c r="A857" s="496"/>
      <c r="B857" s="496"/>
      <c r="C857" s="496"/>
      <c r="D857" s="496"/>
      <c r="E857" s="496"/>
      <c r="F857" s="496"/>
      <c r="G857" s="496"/>
      <c r="H857" s="496"/>
      <c r="I857" s="496"/>
      <c r="J857" s="496"/>
      <c r="K857" s="496"/>
      <c r="L857" s="496"/>
      <c r="M857" s="496"/>
      <c r="N857" s="496"/>
      <c r="O857" s="496"/>
      <c r="P857" s="496"/>
      <c r="Q857" s="496"/>
      <c r="R857" s="496"/>
      <c r="S857" s="496"/>
      <c r="T857" s="496"/>
      <c r="U857" s="496"/>
      <c r="V857" s="496"/>
      <c r="W857" s="496"/>
      <c r="X857" s="496"/>
      <c r="Y857" s="496"/>
    </row>
    <row r="858" spans="1:25" x14ac:dyDescent="0.2">
      <c r="A858" s="496"/>
      <c r="D858" s="496"/>
    </row>
    <row r="859" spans="1:25" x14ac:dyDescent="0.2">
      <c r="A859" s="496"/>
      <c r="D859" s="496"/>
    </row>
    <row r="860" spans="1:25" s="123" customFormat="1" x14ac:dyDescent="0.2">
      <c r="A860" s="496"/>
      <c r="B860" s="496"/>
      <c r="C860" s="496"/>
      <c r="D860" s="496"/>
      <c r="E860" s="496"/>
      <c r="F860" s="496"/>
      <c r="G860" s="496"/>
      <c r="H860" s="496"/>
      <c r="I860" s="496"/>
      <c r="J860" s="496"/>
      <c r="K860" s="496"/>
      <c r="L860" s="496"/>
      <c r="M860" s="496"/>
      <c r="N860" s="496"/>
      <c r="O860" s="496"/>
      <c r="P860" s="496"/>
      <c r="Q860" s="496"/>
      <c r="R860" s="496"/>
      <c r="S860" s="496"/>
      <c r="T860" s="496"/>
      <c r="U860" s="496"/>
      <c r="V860" s="496"/>
      <c r="W860" s="496"/>
      <c r="X860" s="496"/>
      <c r="Y860" s="496"/>
    </row>
    <row r="861" spans="1:25" x14ac:dyDescent="0.2">
      <c r="A861" s="496"/>
      <c r="D861" s="496"/>
    </row>
    <row r="862" spans="1:25" x14ac:dyDescent="0.2">
      <c r="A862" s="496"/>
      <c r="D862" s="496"/>
    </row>
    <row r="863" spans="1:25" s="123" customFormat="1" x14ac:dyDescent="0.2">
      <c r="A863" s="496"/>
      <c r="B863" s="496"/>
      <c r="C863" s="496"/>
      <c r="D863" s="496"/>
      <c r="E863" s="496"/>
      <c r="F863" s="496"/>
      <c r="G863" s="496"/>
      <c r="H863" s="496"/>
      <c r="I863" s="496"/>
      <c r="J863" s="496"/>
      <c r="K863" s="496"/>
      <c r="L863" s="496"/>
      <c r="M863" s="496"/>
      <c r="N863" s="496"/>
      <c r="O863" s="496"/>
      <c r="P863" s="496"/>
      <c r="Q863" s="496"/>
      <c r="R863" s="496"/>
      <c r="S863" s="496"/>
      <c r="T863" s="496"/>
      <c r="U863" s="496"/>
      <c r="V863" s="496"/>
      <c r="W863" s="496"/>
      <c r="X863" s="496"/>
      <c r="Y863" s="496"/>
    </row>
    <row r="864" spans="1:25" x14ac:dyDescent="0.2">
      <c r="A864" s="496"/>
      <c r="D864" s="496"/>
    </row>
    <row r="865" spans="1:25" x14ac:dyDescent="0.2">
      <c r="A865" s="496"/>
      <c r="D865" s="496"/>
    </row>
    <row r="866" spans="1:25" s="123" customFormat="1" x14ac:dyDescent="0.2">
      <c r="A866" s="496"/>
      <c r="B866" s="496"/>
      <c r="C866" s="496"/>
      <c r="D866" s="496"/>
      <c r="E866" s="496"/>
      <c r="F866" s="496"/>
      <c r="G866" s="496"/>
      <c r="H866" s="496"/>
      <c r="I866" s="496"/>
      <c r="J866" s="496"/>
      <c r="K866" s="496"/>
      <c r="L866" s="496"/>
      <c r="M866" s="496"/>
      <c r="N866" s="496"/>
      <c r="O866" s="496"/>
      <c r="P866" s="496"/>
      <c r="Q866" s="496"/>
      <c r="R866" s="496"/>
      <c r="S866" s="496"/>
      <c r="T866" s="496"/>
      <c r="U866" s="496"/>
      <c r="V866" s="496"/>
      <c r="W866" s="496"/>
      <c r="X866" s="496"/>
      <c r="Y866" s="496"/>
    </row>
    <row r="867" spans="1:25" x14ac:dyDescent="0.2">
      <c r="A867" s="496"/>
      <c r="D867" s="496"/>
    </row>
    <row r="868" spans="1:25" x14ac:dyDescent="0.2">
      <c r="A868" s="496"/>
      <c r="D868" s="496"/>
    </row>
    <row r="869" spans="1:25" s="123" customFormat="1" x14ac:dyDescent="0.2">
      <c r="A869" s="496"/>
      <c r="B869" s="496"/>
      <c r="C869" s="496"/>
      <c r="D869" s="496"/>
      <c r="E869" s="496"/>
      <c r="F869" s="496"/>
      <c r="G869" s="496"/>
      <c r="H869" s="496"/>
      <c r="I869" s="496"/>
      <c r="J869" s="496"/>
      <c r="K869" s="496"/>
      <c r="L869" s="496"/>
      <c r="M869" s="496"/>
      <c r="N869" s="496"/>
      <c r="O869" s="496"/>
      <c r="P869" s="496"/>
      <c r="Q869" s="496"/>
      <c r="R869" s="496"/>
      <c r="S869" s="496"/>
      <c r="T869" s="496"/>
      <c r="U869" s="496"/>
      <c r="V869" s="496"/>
      <c r="W869" s="496"/>
      <c r="X869" s="496"/>
      <c r="Y869" s="496"/>
    </row>
    <row r="870" spans="1:25" x14ac:dyDescent="0.2">
      <c r="A870" s="496"/>
      <c r="D870" s="496"/>
    </row>
    <row r="871" spans="1:25" x14ac:dyDescent="0.2">
      <c r="A871" s="496"/>
      <c r="D871" s="496"/>
    </row>
    <row r="872" spans="1:25" s="123" customFormat="1" x14ac:dyDescent="0.2">
      <c r="A872" s="496"/>
      <c r="B872" s="496"/>
      <c r="C872" s="496"/>
      <c r="D872" s="496"/>
      <c r="E872" s="496"/>
      <c r="F872" s="496"/>
      <c r="G872" s="496"/>
      <c r="H872" s="496"/>
      <c r="I872" s="496"/>
      <c r="J872" s="496"/>
      <c r="K872" s="496"/>
      <c r="L872" s="496"/>
      <c r="M872" s="496"/>
      <c r="N872" s="496"/>
      <c r="O872" s="496"/>
      <c r="P872" s="496"/>
      <c r="Q872" s="496"/>
      <c r="R872" s="496"/>
      <c r="S872" s="496"/>
      <c r="T872" s="496"/>
      <c r="U872" s="496"/>
      <c r="V872" s="496"/>
      <c r="W872" s="496"/>
      <c r="X872" s="496"/>
      <c r="Y872" s="496"/>
    </row>
    <row r="873" spans="1:25" x14ac:dyDescent="0.2">
      <c r="A873" s="496"/>
      <c r="D873" s="496"/>
    </row>
    <row r="874" spans="1:25" x14ac:dyDescent="0.2">
      <c r="A874" s="496"/>
      <c r="D874" s="496"/>
    </row>
    <row r="875" spans="1:25" x14ac:dyDescent="0.2">
      <c r="A875" s="496"/>
      <c r="D875" s="496"/>
    </row>
    <row r="876" spans="1:25" x14ac:dyDescent="0.2">
      <c r="A876" s="496"/>
      <c r="D876" s="496"/>
    </row>
    <row r="877" spans="1:25" x14ac:dyDescent="0.2">
      <c r="A877" s="496"/>
      <c r="D877" s="496"/>
    </row>
    <row r="878" spans="1:25" x14ac:dyDescent="0.2">
      <c r="A878" s="496"/>
      <c r="D878" s="496"/>
    </row>
    <row r="879" spans="1:25" x14ac:dyDescent="0.2">
      <c r="A879" s="496"/>
      <c r="D879" s="496"/>
    </row>
    <row r="880" spans="1:25" x14ac:dyDescent="0.2">
      <c r="A880" s="496"/>
      <c r="D880" s="496"/>
    </row>
    <row r="881" spans="1:4" x14ac:dyDescent="0.2">
      <c r="A881" s="496"/>
      <c r="D881" s="496"/>
    </row>
    <row r="882" spans="1:4" x14ac:dyDescent="0.2">
      <c r="A882" s="496"/>
      <c r="D882" s="496"/>
    </row>
    <row r="883" spans="1:4" x14ac:dyDescent="0.2">
      <c r="A883" s="496"/>
      <c r="D883" s="496"/>
    </row>
    <row r="884" spans="1:4" x14ac:dyDescent="0.2">
      <c r="A884" s="496"/>
      <c r="D884" s="496"/>
    </row>
    <row r="885" spans="1:4" x14ac:dyDescent="0.2">
      <c r="A885" s="496"/>
      <c r="D885" s="496"/>
    </row>
    <row r="886" spans="1:4" x14ac:dyDescent="0.2">
      <c r="A886" s="496"/>
      <c r="D886" s="496"/>
    </row>
    <row r="887" spans="1:4" x14ac:dyDescent="0.2">
      <c r="A887" s="496"/>
      <c r="D887" s="496"/>
    </row>
    <row r="888" spans="1:4" x14ac:dyDescent="0.2">
      <c r="A888" s="496"/>
      <c r="D888" s="496"/>
    </row>
    <row r="889" spans="1:4" x14ac:dyDescent="0.2">
      <c r="A889" s="496"/>
      <c r="D889" s="496"/>
    </row>
    <row r="890" spans="1:4" x14ac:dyDescent="0.2">
      <c r="A890" s="496"/>
      <c r="D890" s="496"/>
    </row>
    <row r="891" spans="1:4" x14ac:dyDescent="0.2">
      <c r="A891" s="496"/>
      <c r="D891" s="496"/>
    </row>
    <row r="892" spans="1:4" x14ac:dyDescent="0.2">
      <c r="A892" s="496"/>
      <c r="D892" s="496"/>
    </row>
    <row r="893" spans="1:4" x14ac:dyDescent="0.2">
      <c r="A893" s="496"/>
      <c r="D893" s="496"/>
    </row>
    <row r="894" spans="1:4" x14ac:dyDescent="0.2">
      <c r="A894" s="496"/>
      <c r="D894" s="496"/>
    </row>
    <row r="895" spans="1:4" x14ac:dyDescent="0.2">
      <c r="A895" s="496"/>
      <c r="D895" s="496"/>
    </row>
    <row r="896" spans="1:4" x14ac:dyDescent="0.2">
      <c r="A896" s="496"/>
      <c r="D896" s="496"/>
    </row>
    <row r="897" spans="1:4" x14ac:dyDescent="0.2">
      <c r="A897" s="496"/>
      <c r="D897" s="496"/>
    </row>
    <row r="898" spans="1:4" x14ac:dyDescent="0.2">
      <c r="A898" s="496"/>
      <c r="D898" s="496"/>
    </row>
    <row r="899" spans="1:4" x14ac:dyDescent="0.2">
      <c r="A899" s="496"/>
      <c r="D899" s="496"/>
    </row>
    <row r="900" spans="1:4" x14ac:dyDescent="0.2">
      <c r="A900" s="496"/>
      <c r="D900" s="496"/>
    </row>
    <row r="901" spans="1:4" x14ac:dyDescent="0.2">
      <c r="A901" s="496"/>
      <c r="D901" s="496"/>
    </row>
    <row r="902" spans="1:4" x14ac:dyDescent="0.2">
      <c r="A902" s="496"/>
      <c r="D902" s="496"/>
    </row>
    <row r="903" spans="1:4" x14ac:dyDescent="0.2">
      <c r="A903" s="496"/>
      <c r="D903" s="496"/>
    </row>
    <row r="904" spans="1:4" x14ac:dyDescent="0.2">
      <c r="A904" s="496"/>
      <c r="D904" s="496"/>
    </row>
    <row r="905" spans="1:4" x14ac:dyDescent="0.2">
      <c r="A905" s="496"/>
      <c r="D905" s="496"/>
    </row>
    <row r="906" spans="1:4" x14ac:dyDescent="0.2">
      <c r="A906" s="496"/>
      <c r="D906" s="496"/>
    </row>
    <row r="907" spans="1:4" x14ac:dyDescent="0.2">
      <c r="A907" s="496"/>
      <c r="D907" s="496"/>
    </row>
    <row r="908" spans="1:4" x14ac:dyDescent="0.2">
      <c r="A908" s="496"/>
      <c r="D908" s="496"/>
    </row>
    <row r="909" spans="1:4" x14ac:dyDescent="0.2">
      <c r="A909" s="496"/>
      <c r="D909" s="496"/>
    </row>
    <row r="910" spans="1:4" x14ac:dyDescent="0.2">
      <c r="A910" s="496"/>
      <c r="D910" s="496"/>
    </row>
    <row r="911" spans="1:4" x14ac:dyDescent="0.2">
      <c r="A911" s="496"/>
      <c r="D911" s="496"/>
    </row>
    <row r="912" spans="1:4" x14ac:dyDescent="0.2">
      <c r="A912" s="496"/>
      <c r="D912" s="496"/>
    </row>
    <row r="913" spans="1:4" x14ac:dyDescent="0.2">
      <c r="A913" s="496"/>
      <c r="D913" s="496"/>
    </row>
    <row r="914" spans="1:4" x14ac:dyDescent="0.2">
      <c r="A914" s="496"/>
      <c r="D914" s="496"/>
    </row>
    <row r="915" spans="1:4" x14ac:dyDescent="0.2">
      <c r="A915" s="496"/>
      <c r="D915" s="496"/>
    </row>
    <row r="916" spans="1:4" x14ac:dyDescent="0.2">
      <c r="A916" s="496"/>
      <c r="D916" s="496"/>
    </row>
    <row r="917" spans="1:4" x14ac:dyDescent="0.2">
      <c r="A917" s="496"/>
      <c r="D917" s="496"/>
    </row>
    <row r="918" spans="1:4" x14ac:dyDescent="0.2">
      <c r="A918" s="496"/>
      <c r="D918" s="496"/>
    </row>
    <row r="919" spans="1:4" x14ac:dyDescent="0.2">
      <c r="A919" s="496"/>
      <c r="D919" s="496"/>
    </row>
    <row r="920" spans="1:4" x14ac:dyDescent="0.2">
      <c r="A920" s="496"/>
      <c r="D920" s="496"/>
    </row>
    <row r="921" spans="1:4" x14ac:dyDescent="0.2">
      <c r="A921" s="496"/>
      <c r="D921" s="496"/>
    </row>
    <row r="922" spans="1:4" x14ac:dyDescent="0.2">
      <c r="A922" s="496"/>
      <c r="D922" s="496"/>
    </row>
    <row r="923" spans="1:4" x14ac:dyDescent="0.2">
      <c r="A923" s="496"/>
      <c r="D923" s="496"/>
    </row>
    <row r="924" spans="1:4" x14ac:dyDescent="0.2">
      <c r="A924" s="496"/>
      <c r="D924" s="496"/>
    </row>
    <row r="925" spans="1:4" x14ac:dyDescent="0.2">
      <c r="A925" s="496"/>
      <c r="D925" s="496"/>
    </row>
    <row r="926" spans="1:4" x14ac:dyDescent="0.2">
      <c r="A926" s="496"/>
      <c r="D926" s="496"/>
    </row>
    <row r="927" spans="1:4" x14ac:dyDescent="0.2">
      <c r="A927" s="496"/>
      <c r="D927" s="496"/>
    </row>
    <row r="928" spans="1:4" x14ac:dyDescent="0.2">
      <c r="A928" s="496"/>
      <c r="D928" s="496"/>
    </row>
    <row r="929" spans="1:4" x14ac:dyDescent="0.2">
      <c r="A929" s="496"/>
      <c r="D929" s="496"/>
    </row>
    <row r="930" spans="1:4" x14ac:dyDescent="0.2">
      <c r="A930" s="496"/>
      <c r="D930" s="496"/>
    </row>
    <row r="931" spans="1:4" x14ac:dyDescent="0.2">
      <c r="A931" s="496"/>
      <c r="D931" s="496"/>
    </row>
    <row r="932" spans="1:4" x14ac:dyDescent="0.2">
      <c r="A932" s="496"/>
      <c r="D932" s="496"/>
    </row>
    <row r="933" spans="1:4" x14ac:dyDescent="0.2">
      <c r="A933" s="496"/>
      <c r="D933" s="496"/>
    </row>
    <row r="934" spans="1:4" x14ac:dyDescent="0.2">
      <c r="A934" s="496"/>
      <c r="D934" s="496"/>
    </row>
    <row r="935" spans="1:4" x14ac:dyDescent="0.2">
      <c r="A935" s="496"/>
      <c r="D935" s="496"/>
    </row>
    <row r="936" spans="1:4" x14ac:dyDescent="0.2">
      <c r="A936" s="496"/>
      <c r="D936" s="496"/>
    </row>
    <row r="937" spans="1:4" x14ac:dyDescent="0.2">
      <c r="A937" s="496"/>
      <c r="D937" s="496"/>
    </row>
    <row r="938" spans="1:4" x14ac:dyDescent="0.2">
      <c r="A938" s="496"/>
      <c r="D938" s="496"/>
    </row>
    <row r="939" spans="1:4" x14ac:dyDescent="0.2">
      <c r="A939" s="496"/>
      <c r="D939" s="496"/>
    </row>
    <row r="940" spans="1:4" x14ac:dyDescent="0.2">
      <c r="A940" s="496"/>
      <c r="D940" s="496"/>
    </row>
    <row r="941" spans="1:4" x14ac:dyDescent="0.2">
      <c r="A941" s="496"/>
      <c r="D941" s="496"/>
    </row>
    <row r="942" spans="1:4" x14ac:dyDescent="0.2">
      <c r="A942" s="496"/>
      <c r="D942" s="496"/>
    </row>
    <row r="943" spans="1:4" x14ac:dyDescent="0.2">
      <c r="A943" s="496"/>
      <c r="D943" s="496"/>
    </row>
    <row r="944" spans="1:4" x14ac:dyDescent="0.2">
      <c r="A944" s="496"/>
      <c r="D944" s="496"/>
    </row>
    <row r="945" spans="1:4" x14ac:dyDescent="0.2">
      <c r="A945" s="496"/>
      <c r="D945" s="496"/>
    </row>
    <row r="946" spans="1:4" x14ac:dyDescent="0.2">
      <c r="A946" s="496"/>
      <c r="D946" s="496"/>
    </row>
    <row r="947" spans="1:4" x14ac:dyDescent="0.2">
      <c r="A947" s="496"/>
      <c r="D947" s="496"/>
    </row>
    <row r="948" spans="1:4" x14ac:dyDescent="0.2">
      <c r="A948" s="496"/>
      <c r="D948" s="496"/>
    </row>
    <row r="949" spans="1:4" x14ac:dyDescent="0.2">
      <c r="A949" s="496"/>
      <c r="D949" s="496"/>
    </row>
    <row r="950" spans="1:4" x14ac:dyDescent="0.2">
      <c r="A950" s="496"/>
      <c r="D950" s="496"/>
    </row>
    <row r="951" spans="1:4" x14ac:dyDescent="0.2">
      <c r="A951" s="496"/>
      <c r="D951" s="496"/>
    </row>
    <row r="952" spans="1:4" x14ac:dyDescent="0.2">
      <c r="A952" s="496"/>
      <c r="D952" s="496"/>
    </row>
    <row r="953" spans="1:4" x14ac:dyDescent="0.2">
      <c r="A953" s="496"/>
      <c r="D953" s="496"/>
    </row>
    <row r="954" spans="1:4" x14ac:dyDescent="0.2">
      <c r="A954" s="496"/>
      <c r="D954" s="496"/>
    </row>
    <row r="955" spans="1:4" x14ac:dyDescent="0.2">
      <c r="A955" s="496"/>
      <c r="D955" s="496"/>
    </row>
    <row r="956" spans="1:4" x14ac:dyDescent="0.2">
      <c r="A956" s="496"/>
      <c r="D956" s="496"/>
    </row>
    <row r="957" spans="1:4" x14ac:dyDescent="0.2">
      <c r="A957" s="496"/>
      <c r="D957" s="496"/>
    </row>
    <row r="958" spans="1:4" x14ac:dyDescent="0.2">
      <c r="A958" s="496"/>
      <c r="D958" s="496"/>
    </row>
    <row r="959" spans="1:4" x14ac:dyDescent="0.2">
      <c r="A959" s="496"/>
      <c r="D959" s="496"/>
    </row>
    <row r="960" spans="1:4" x14ac:dyDescent="0.2">
      <c r="A960" s="496"/>
      <c r="D960" s="496"/>
    </row>
    <row r="961" spans="1:4" x14ac:dyDescent="0.2">
      <c r="A961" s="496"/>
      <c r="D961" s="496"/>
    </row>
    <row r="962" spans="1:4" x14ac:dyDescent="0.2">
      <c r="A962" s="496"/>
      <c r="D962" s="496"/>
    </row>
    <row r="963" spans="1:4" x14ac:dyDescent="0.2">
      <c r="A963" s="496"/>
      <c r="D963" s="496"/>
    </row>
    <row r="964" spans="1:4" x14ac:dyDescent="0.2">
      <c r="A964" s="496"/>
      <c r="D964" s="496"/>
    </row>
    <row r="965" spans="1:4" x14ac:dyDescent="0.2">
      <c r="A965" s="496"/>
      <c r="D965" s="496"/>
    </row>
    <row r="966" spans="1:4" x14ac:dyDescent="0.2">
      <c r="A966" s="496"/>
      <c r="D966" s="496"/>
    </row>
    <row r="967" spans="1:4" x14ac:dyDescent="0.2">
      <c r="A967" s="496"/>
      <c r="D967" s="496"/>
    </row>
    <row r="968" spans="1:4" x14ac:dyDescent="0.2">
      <c r="A968" s="496"/>
      <c r="D968" s="496"/>
    </row>
    <row r="969" spans="1:4" x14ac:dyDescent="0.2">
      <c r="A969" s="496"/>
      <c r="D969" s="496"/>
    </row>
    <row r="970" spans="1:4" x14ac:dyDescent="0.2">
      <c r="A970" s="496"/>
      <c r="D970" s="496"/>
    </row>
    <row r="971" spans="1:4" x14ac:dyDescent="0.2">
      <c r="A971" s="496"/>
      <c r="D971" s="496"/>
    </row>
    <row r="972" spans="1:4" x14ac:dyDescent="0.2">
      <c r="A972" s="496"/>
      <c r="D972" s="496"/>
    </row>
    <row r="973" spans="1:4" x14ac:dyDescent="0.2">
      <c r="A973" s="496"/>
      <c r="D973" s="496"/>
    </row>
    <row r="974" spans="1:4" x14ac:dyDescent="0.2">
      <c r="A974" s="496"/>
      <c r="D974" s="496"/>
    </row>
    <row r="975" spans="1:4" x14ac:dyDescent="0.2">
      <c r="A975" s="496"/>
      <c r="D975" s="496"/>
    </row>
    <row r="976" spans="1:4" x14ac:dyDescent="0.2">
      <c r="A976" s="496"/>
      <c r="D976" s="496"/>
    </row>
    <row r="977" spans="1:4" x14ac:dyDescent="0.2">
      <c r="A977" s="496"/>
      <c r="D977" s="496"/>
    </row>
    <row r="978" spans="1:4" x14ac:dyDescent="0.2">
      <c r="A978" s="496"/>
      <c r="D978" s="496"/>
    </row>
    <row r="979" spans="1:4" x14ac:dyDescent="0.2">
      <c r="A979" s="496"/>
      <c r="D979" s="496"/>
    </row>
    <row r="980" spans="1:4" x14ac:dyDescent="0.2">
      <c r="A980" s="496"/>
      <c r="D980" s="496"/>
    </row>
    <row r="981" spans="1:4" x14ac:dyDescent="0.2">
      <c r="A981" s="496"/>
      <c r="D981" s="496"/>
    </row>
    <row r="982" spans="1:4" x14ac:dyDescent="0.2">
      <c r="A982" s="496"/>
      <c r="D982" s="496"/>
    </row>
    <row r="983" spans="1:4" x14ac:dyDescent="0.2">
      <c r="A983" s="496"/>
      <c r="D983" s="496"/>
    </row>
    <row r="984" spans="1:4" x14ac:dyDescent="0.2">
      <c r="A984" s="496"/>
      <c r="D984" s="496"/>
    </row>
    <row r="985" spans="1:4" x14ac:dyDescent="0.2">
      <c r="A985" s="496"/>
      <c r="D985" s="496"/>
    </row>
    <row r="986" spans="1:4" x14ac:dyDescent="0.2">
      <c r="A986" s="496"/>
      <c r="D986" s="496"/>
    </row>
    <row r="987" spans="1:4" x14ac:dyDescent="0.2">
      <c r="A987" s="496"/>
      <c r="D987" s="496"/>
    </row>
    <row r="988" spans="1:4" x14ac:dyDescent="0.2">
      <c r="A988" s="496"/>
      <c r="D988" s="496"/>
    </row>
    <row r="989" spans="1:4" x14ac:dyDescent="0.2">
      <c r="A989" s="496"/>
      <c r="D989" s="496"/>
    </row>
    <row r="990" spans="1:4" x14ac:dyDescent="0.2">
      <c r="A990" s="496"/>
      <c r="D990" s="496"/>
    </row>
    <row r="991" spans="1:4" x14ac:dyDescent="0.2">
      <c r="A991" s="496"/>
      <c r="D991" s="496"/>
    </row>
    <row r="992" spans="1:4" x14ac:dyDescent="0.2">
      <c r="A992" s="496"/>
      <c r="D992" s="496"/>
    </row>
    <row r="993" spans="1:4" x14ac:dyDescent="0.2">
      <c r="A993" s="496"/>
      <c r="D993" s="496"/>
    </row>
    <row r="994" spans="1:4" x14ac:dyDescent="0.2">
      <c r="A994" s="496"/>
      <c r="D994" s="496"/>
    </row>
    <row r="995" spans="1:4" x14ac:dyDescent="0.2">
      <c r="A995" s="496"/>
      <c r="D995" s="496"/>
    </row>
    <row r="996" spans="1:4" x14ac:dyDescent="0.2">
      <c r="A996" s="496"/>
      <c r="D996" s="496"/>
    </row>
    <row r="997" spans="1:4" x14ac:dyDescent="0.2">
      <c r="A997" s="496"/>
      <c r="D997" s="496"/>
    </row>
    <row r="998" spans="1:4" x14ac:dyDescent="0.2">
      <c r="A998" s="496"/>
      <c r="D998" s="496"/>
    </row>
    <row r="999" spans="1:4" x14ac:dyDescent="0.2">
      <c r="A999" s="496"/>
      <c r="D999" s="496"/>
    </row>
    <row r="1000" spans="1:4" x14ac:dyDescent="0.2">
      <c r="A1000" s="496"/>
      <c r="D1000" s="496"/>
    </row>
    <row r="1001" spans="1:4" x14ac:dyDescent="0.2">
      <c r="A1001" s="496"/>
      <c r="D1001" s="496"/>
    </row>
    <row r="1002" spans="1:4" x14ac:dyDescent="0.2">
      <c r="A1002" s="496"/>
      <c r="D1002" s="496"/>
    </row>
    <row r="1003" spans="1:4" x14ac:dyDescent="0.2">
      <c r="A1003" s="496"/>
      <c r="D1003" s="496"/>
    </row>
    <row r="1004" spans="1:4" x14ac:dyDescent="0.2">
      <c r="A1004" s="496"/>
      <c r="D1004" s="496"/>
    </row>
    <row r="1005" spans="1:4" x14ac:dyDescent="0.2">
      <c r="A1005" s="496"/>
      <c r="D1005" s="496"/>
    </row>
    <row r="1006" spans="1:4" x14ac:dyDescent="0.2">
      <c r="A1006" s="496"/>
      <c r="D1006" s="496"/>
    </row>
    <row r="1007" spans="1:4" x14ac:dyDescent="0.2">
      <c r="A1007" s="496"/>
      <c r="D1007" s="496"/>
    </row>
    <row r="1008" spans="1:4" x14ac:dyDescent="0.2">
      <c r="A1008" s="496"/>
      <c r="D1008" s="496"/>
    </row>
    <row r="1009" spans="1:4" x14ac:dyDescent="0.2">
      <c r="A1009" s="496"/>
      <c r="D1009" s="496"/>
    </row>
    <row r="1010" spans="1:4" x14ac:dyDescent="0.2">
      <c r="A1010" s="496"/>
      <c r="D1010" s="496"/>
    </row>
    <row r="1011" spans="1:4" x14ac:dyDescent="0.2">
      <c r="A1011" s="496"/>
      <c r="D1011" s="496"/>
    </row>
    <row r="1012" spans="1:4" x14ac:dyDescent="0.2">
      <c r="A1012" s="496"/>
      <c r="D1012" s="496"/>
    </row>
    <row r="1013" spans="1:4" x14ac:dyDescent="0.2">
      <c r="A1013" s="496"/>
      <c r="D1013" s="496"/>
    </row>
    <row r="1014" spans="1:4" x14ac:dyDescent="0.2">
      <c r="A1014" s="496"/>
      <c r="D1014" s="496"/>
    </row>
    <row r="1015" spans="1:4" x14ac:dyDescent="0.2">
      <c r="A1015" s="496"/>
      <c r="D1015" s="496"/>
    </row>
    <row r="1016" spans="1:4" x14ac:dyDescent="0.2">
      <c r="A1016" s="496"/>
      <c r="D1016" s="496"/>
    </row>
    <row r="1017" spans="1:4" x14ac:dyDescent="0.2">
      <c r="A1017" s="496"/>
      <c r="D1017" s="496"/>
    </row>
    <row r="1018" spans="1:4" x14ac:dyDescent="0.2">
      <c r="A1018" s="496"/>
      <c r="D1018" s="496"/>
    </row>
    <row r="1019" spans="1:4" x14ac:dyDescent="0.2">
      <c r="A1019" s="496"/>
      <c r="D1019" s="496"/>
    </row>
    <row r="1020" spans="1:4" x14ac:dyDescent="0.2">
      <c r="A1020" s="496"/>
      <c r="D1020" s="496"/>
    </row>
    <row r="1021" spans="1:4" x14ac:dyDescent="0.2">
      <c r="A1021" s="496"/>
      <c r="D1021" s="496"/>
    </row>
    <row r="1022" spans="1:4" x14ac:dyDescent="0.2">
      <c r="A1022" s="496"/>
      <c r="D1022" s="496"/>
    </row>
    <row r="1023" spans="1:4" x14ac:dyDescent="0.2">
      <c r="A1023" s="496"/>
      <c r="D1023" s="496"/>
    </row>
    <row r="1024" spans="1:4" x14ac:dyDescent="0.2">
      <c r="A1024" s="496"/>
      <c r="D1024" s="496"/>
    </row>
    <row r="1025" spans="1:4" x14ac:dyDescent="0.2">
      <c r="A1025" s="496"/>
      <c r="D1025" s="496"/>
    </row>
    <row r="1026" spans="1:4" x14ac:dyDescent="0.2">
      <c r="A1026" s="496"/>
      <c r="D1026" s="496"/>
    </row>
    <row r="1027" spans="1:4" x14ac:dyDescent="0.2">
      <c r="A1027" s="496"/>
      <c r="D1027" s="496"/>
    </row>
    <row r="1028" spans="1:4" x14ac:dyDescent="0.2">
      <c r="A1028" s="496"/>
      <c r="D1028" s="496"/>
    </row>
    <row r="1029" spans="1:4" x14ac:dyDescent="0.2">
      <c r="A1029" s="496"/>
      <c r="D1029" s="496"/>
    </row>
    <row r="1030" spans="1:4" x14ac:dyDescent="0.2">
      <c r="A1030" s="496"/>
      <c r="D1030" s="496"/>
    </row>
    <row r="1031" spans="1:4" x14ac:dyDescent="0.2">
      <c r="A1031" s="496"/>
      <c r="D1031" s="496"/>
    </row>
    <row r="1032" spans="1:4" x14ac:dyDescent="0.2">
      <c r="A1032" s="496"/>
      <c r="D1032" s="496"/>
    </row>
    <row r="1033" spans="1:4" x14ac:dyDescent="0.2">
      <c r="A1033" s="496"/>
      <c r="D1033" s="496"/>
    </row>
    <row r="1034" spans="1:4" x14ac:dyDescent="0.2">
      <c r="A1034" s="496"/>
      <c r="D1034" s="496"/>
    </row>
    <row r="1035" spans="1:4" x14ac:dyDescent="0.2">
      <c r="A1035" s="496"/>
      <c r="D1035" s="496"/>
    </row>
    <row r="1036" spans="1:4" x14ac:dyDescent="0.2">
      <c r="A1036" s="496"/>
      <c r="D1036" s="496"/>
    </row>
    <row r="1037" spans="1:4" x14ac:dyDescent="0.2">
      <c r="A1037" s="496"/>
      <c r="D1037" s="496"/>
    </row>
    <row r="1038" spans="1:4" x14ac:dyDescent="0.2">
      <c r="A1038" s="496"/>
      <c r="D1038" s="496"/>
    </row>
    <row r="1039" spans="1:4" x14ac:dyDescent="0.2">
      <c r="A1039" s="496"/>
      <c r="D1039" s="496"/>
    </row>
    <row r="1040" spans="1:4" x14ac:dyDescent="0.2">
      <c r="A1040" s="496"/>
      <c r="D1040" s="496"/>
    </row>
    <row r="1041" spans="1:4" x14ac:dyDescent="0.2">
      <c r="A1041" s="496"/>
      <c r="D1041" s="496"/>
    </row>
    <row r="1042" spans="1:4" x14ac:dyDescent="0.2">
      <c r="A1042" s="496"/>
      <c r="D1042" s="496"/>
    </row>
    <row r="1043" spans="1:4" x14ac:dyDescent="0.2">
      <c r="A1043" s="496"/>
      <c r="D1043" s="496"/>
    </row>
    <row r="1044" spans="1:4" x14ac:dyDescent="0.2">
      <c r="A1044" s="496"/>
      <c r="D1044" s="496"/>
    </row>
    <row r="1045" spans="1:4" x14ac:dyDescent="0.2">
      <c r="A1045" s="496"/>
      <c r="D1045" s="496"/>
    </row>
    <row r="1046" spans="1:4" x14ac:dyDescent="0.2">
      <c r="A1046" s="496"/>
      <c r="D1046" s="496"/>
    </row>
    <row r="1047" spans="1:4" x14ac:dyDescent="0.2">
      <c r="A1047" s="496"/>
      <c r="D1047" s="496"/>
    </row>
    <row r="1048" spans="1:4" x14ac:dyDescent="0.2">
      <c r="A1048" s="496"/>
      <c r="D1048" s="496"/>
    </row>
    <row r="1049" spans="1:4" x14ac:dyDescent="0.2">
      <c r="A1049" s="496"/>
      <c r="D1049" s="496"/>
    </row>
    <row r="1050" spans="1:4" x14ac:dyDescent="0.2">
      <c r="A1050" s="496"/>
      <c r="D1050" s="496"/>
    </row>
    <row r="1051" spans="1:4" x14ac:dyDescent="0.2">
      <c r="A1051" s="496"/>
      <c r="D1051" s="496"/>
    </row>
    <row r="1052" spans="1:4" x14ac:dyDescent="0.2">
      <c r="A1052" s="496"/>
      <c r="D1052" s="496"/>
    </row>
    <row r="1053" spans="1:4" x14ac:dyDescent="0.2">
      <c r="A1053" s="496"/>
      <c r="D1053" s="496"/>
    </row>
    <row r="1054" spans="1:4" x14ac:dyDescent="0.2">
      <c r="A1054" s="496"/>
      <c r="D1054" s="496"/>
    </row>
    <row r="1055" spans="1:4" x14ac:dyDescent="0.2">
      <c r="A1055" s="496"/>
      <c r="D1055" s="496"/>
    </row>
    <row r="1056" spans="1:4" x14ac:dyDescent="0.2">
      <c r="A1056" s="496"/>
      <c r="D1056" s="496"/>
    </row>
    <row r="1057" spans="1:4" x14ac:dyDescent="0.2">
      <c r="A1057" s="496"/>
      <c r="D1057" s="496"/>
    </row>
    <row r="1058" spans="1:4" x14ac:dyDescent="0.2">
      <c r="A1058" s="496"/>
      <c r="D1058" s="496"/>
    </row>
    <row r="1059" spans="1:4" x14ac:dyDescent="0.2">
      <c r="A1059" s="496"/>
      <c r="D1059" s="496"/>
    </row>
    <row r="1060" spans="1:4" x14ac:dyDescent="0.2">
      <c r="A1060" s="496"/>
      <c r="D1060" s="496"/>
    </row>
    <row r="1061" spans="1:4" x14ac:dyDescent="0.2">
      <c r="A1061" s="496"/>
      <c r="D1061" s="496"/>
    </row>
    <row r="1062" spans="1:4" x14ac:dyDescent="0.2">
      <c r="A1062" s="496"/>
      <c r="D1062" s="496"/>
    </row>
    <row r="1063" spans="1:4" x14ac:dyDescent="0.2">
      <c r="A1063" s="496"/>
      <c r="D1063" s="496"/>
    </row>
    <row r="1064" spans="1:4" x14ac:dyDescent="0.2">
      <c r="A1064" s="496"/>
      <c r="D1064" s="496"/>
    </row>
    <row r="1065" spans="1:4" x14ac:dyDescent="0.2">
      <c r="A1065" s="496"/>
      <c r="D1065" s="496"/>
    </row>
    <row r="1066" spans="1:4" x14ac:dyDescent="0.2">
      <c r="A1066" s="496"/>
      <c r="D1066" s="496"/>
    </row>
    <row r="1067" spans="1:4" x14ac:dyDescent="0.2">
      <c r="A1067" s="496"/>
      <c r="D1067" s="496"/>
    </row>
    <row r="1068" spans="1:4" x14ac:dyDescent="0.2">
      <c r="A1068" s="496"/>
      <c r="D1068" s="496"/>
    </row>
    <row r="1069" spans="1:4" x14ac:dyDescent="0.2">
      <c r="A1069" s="496"/>
      <c r="D1069" s="496"/>
    </row>
    <row r="1070" spans="1:4" x14ac:dyDescent="0.2">
      <c r="A1070" s="496"/>
      <c r="D1070" s="496"/>
    </row>
    <row r="1071" spans="1:4" x14ac:dyDescent="0.2">
      <c r="A1071" s="496"/>
      <c r="D1071" s="496"/>
    </row>
    <row r="1072" spans="1:4" x14ac:dyDescent="0.2">
      <c r="A1072" s="496"/>
      <c r="D1072" s="496"/>
    </row>
    <row r="1073" spans="1:4" x14ac:dyDescent="0.2">
      <c r="A1073" s="496"/>
      <c r="D1073" s="496"/>
    </row>
    <row r="1074" spans="1:4" x14ac:dyDescent="0.2">
      <c r="A1074" s="496"/>
      <c r="D1074" s="496"/>
    </row>
    <row r="1075" spans="1:4" x14ac:dyDescent="0.2">
      <c r="A1075" s="496"/>
      <c r="D1075" s="496"/>
    </row>
    <row r="1076" spans="1:4" x14ac:dyDescent="0.2">
      <c r="A1076" s="496"/>
      <c r="D1076" s="496"/>
    </row>
    <row r="1077" spans="1:4" x14ac:dyDescent="0.2">
      <c r="A1077" s="496"/>
      <c r="D1077" s="496"/>
    </row>
    <row r="1078" spans="1:4" x14ac:dyDescent="0.2">
      <c r="A1078" s="496"/>
      <c r="D1078" s="496"/>
    </row>
    <row r="1079" spans="1:4" x14ac:dyDescent="0.2">
      <c r="A1079" s="496"/>
      <c r="D1079" s="496"/>
    </row>
    <row r="1080" spans="1:4" x14ac:dyDescent="0.2">
      <c r="A1080" s="496"/>
      <c r="D1080" s="496"/>
    </row>
    <row r="1081" spans="1:4" x14ac:dyDescent="0.2">
      <c r="A1081" s="496"/>
      <c r="D1081" s="496"/>
    </row>
    <row r="1082" spans="1:4" x14ac:dyDescent="0.2">
      <c r="A1082" s="496"/>
      <c r="D1082" s="496"/>
    </row>
    <row r="1083" spans="1:4" x14ac:dyDescent="0.2">
      <c r="A1083" s="496"/>
      <c r="D1083" s="496"/>
    </row>
    <row r="1084" spans="1:4" x14ac:dyDescent="0.2">
      <c r="A1084" s="496"/>
      <c r="D1084" s="496"/>
    </row>
    <row r="1085" spans="1:4" x14ac:dyDescent="0.2">
      <c r="A1085" s="496"/>
      <c r="D1085" s="496"/>
    </row>
    <row r="1086" spans="1:4" x14ac:dyDescent="0.2">
      <c r="A1086" s="496"/>
      <c r="D1086" s="496"/>
    </row>
    <row r="1087" spans="1:4" x14ac:dyDescent="0.2">
      <c r="A1087" s="496"/>
      <c r="D1087" s="496"/>
    </row>
    <row r="1088" spans="1:4" x14ac:dyDescent="0.2">
      <c r="A1088" s="496"/>
      <c r="D1088" s="496"/>
    </row>
    <row r="1089" spans="1:4" x14ac:dyDescent="0.2">
      <c r="A1089" s="496"/>
      <c r="D1089" s="496"/>
    </row>
    <row r="1090" spans="1:4" x14ac:dyDescent="0.2">
      <c r="A1090" s="496"/>
      <c r="D1090" s="496"/>
    </row>
    <row r="1091" spans="1:4" x14ac:dyDescent="0.2">
      <c r="A1091" s="496"/>
      <c r="D1091" s="496"/>
    </row>
    <row r="1092" spans="1:4" x14ac:dyDescent="0.2">
      <c r="A1092" s="496"/>
      <c r="D1092" s="496"/>
    </row>
    <row r="1093" spans="1:4" x14ac:dyDescent="0.2">
      <c r="A1093" s="496"/>
      <c r="D1093" s="496"/>
    </row>
    <row r="1094" spans="1:4" x14ac:dyDescent="0.2">
      <c r="A1094" s="496"/>
      <c r="D1094" s="496"/>
    </row>
    <row r="1095" spans="1:4" x14ac:dyDescent="0.2">
      <c r="A1095" s="496"/>
      <c r="D1095" s="496"/>
    </row>
    <row r="1096" spans="1:4" x14ac:dyDescent="0.2">
      <c r="A1096" s="496"/>
      <c r="D1096" s="496"/>
    </row>
    <row r="1097" spans="1:4" x14ac:dyDescent="0.2">
      <c r="A1097" s="496"/>
      <c r="D1097" s="496"/>
    </row>
    <row r="1098" spans="1:4" x14ac:dyDescent="0.2">
      <c r="A1098" s="496"/>
      <c r="D1098" s="496"/>
    </row>
    <row r="1099" spans="1:4" x14ac:dyDescent="0.2">
      <c r="A1099" s="496"/>
      <c r="D1099" s="496"/>
    </row>
    <row r="1100" spans="1:4" x14ac:dyDescent="0.2">
      <c r="A1100" s="496"/>
      <c r="D1100" s="496"/>
    </row>
    <row r="1101" spans="1:4" x14ac:dyDescent="0.2">
      <c r="A1101" s="496"/>
      <c r="D1101" s="496"/>
    </row>
    <row r="1102" spans="1:4" x14ac:dyDescent="0.2">
      <c r="A1102" s="496"/>
      <c r="D1102" s="496"/>
    </row>
    <row r="1103" spans="1:4" x14ac:dyDescent="0.2">
      <c r="A1103" s="496"/>
      <c r="D1103" s="496"/>
    </row>
    <row r="1104" spans="1:4" x14ac:dyDescent="0.2">
      <c r="A1104" s="496"/>
      <c r="D1104" s="496"/>
    </row>
    <row r="1105" spans="1:4" x14ac:dyDescent="0.2">
      <c r="A1105" s="496"/>
      <c r="D1105" s="496"/>
    </row>
    <row r="1106" spans="1:4" x14ac:dyDescent="0.2">
      <c r="A1106" s="496"/>
      <c r="D1106" s="496"/>
    </row>
    <row r="1107" spans="1:4" x14ac:dyDescent="0.2">
      <c r="A1107" s="496"/>
      <c r="D1107" s="496"/>
    </row>
    <row r="1108" spans="1:4" x14ac:dyDescent="0.2">
      <c r="A1108" s="496"/>
      <c r="D1108" s="496"/>
    </row>
    <row r="1109" spans="1:4" x14ac:dyDescent="0.2">
      <c r="A1109" s="496"/>
      <c r="D1109" s="496"/>
    </row>
    <row r="1110" spans="1:4" x14ac:dyDescent="0.2">
      <c r="A1110" s="496"/>
      <c r="D1110" s="496"/>
    </row>
    <row r="1111" spans="1:4" x14ac:dyDescent="0.2">
      <c r="A1111" s="496"/>
      <c r="D1111" s="496"/>
    </row>
    <row r="1112" spans="1:4" x14ac:dyDescent="0.2">
      <c r="A1112" s="496"/>
      <c r="D1112" s="496"/>
    </row>
    <row r="1113" spans="1:4" x14ac:dyDescent="0.2">
      <c r="A1113" s="496"/>
      <c r="D1113" s="496"/>
    </row>
    <row r="1114" spans="1:4" x14ac:dyDescent="0.2">
      <c r="A1114" s="496"/>
      <c r="D1114" s="496"/>
    </row>
    <row r="1115" spans="1:4" x14ac:dyDescent="0.2">
      <c r="A1115" s="496"/>
      <c r="D1115" s="496"/>
    </row>
    <row r="1116" spans="1:4" x14ac:dyDescent="0.2">
      <c r="A1116" s="496"/>
      <c r="D1116" s="496"/>
    </row>
    <row r="1117" spans="1:4" x14ac:dyDescent="0.2">
      <c r="A1117" s="496"/>
      <c r="D1117" s="496"/>
    </row>
    <row r="1118" spans="1:4" x14ac:dyDescent="0.2">
      <c r="A1118" s="496"/>
      <c r="D1118" s="496"/>
    </row>
    <row r="1119" spans="1:4" x14ac:dyDescent="0.2">
      <c r="A1119" s="496"/>
      <c r="D1119" s="496"/>
    </row>
    <row r="1120" spans="1:4" x14ac:dyDescent="0.2">
      <c r="A1120" s="496"/>
      <c r="D1120" s="496"/>
    </row>
    <row r="1121" spans="1:4" x14ac:dyDescent="0.2">
      <c r="A1121" s="496"/>
      <c r="D1121" s="496"/>
    </row>
    <row r="1122" spans="1:4" x14ac:dyDescent="0.2">
      <c r="A1122" s="496"/>
      <c r="D1122" s="496"/>
    </row>
    <row r="1123" spans="1:4" x14ac:dyDescent="0.2">
      <c r="A1123" s="496"/>
      <c r="D1123" s="496"/>
    </row>
    <row r="1124" spans="1:4" x14ac:dyDescent="0.2">
      <c r="A1124" s="496"/>
      <c r="D1124" s="496"/>
    </row>
    <row r="1125" spans="1:4" x14ac:dyDescent="0.2">
      <c r="A1125" s="496"/>
      <c r="D1125" s="496"/>
    </row>
    <row r="1126" spans="1:4" x14ac:dyDescent="0.2">
      <c r="A1126" s="496"/>
      <c r="D1126" s="496"/>
    </row>
    <row r="1127" spans="1:4" x14ac:dyDescent="0.2">
      <c r="A1127" s="496"/>
      <c r="D1127" s="496"/>
    </row>
    <row r="1128" spans="1:4" x14ac:dyDescent="0.2">
      <c r="A1128" s="496"/>
      <c r="D1128" s="496"/>
    </row>
    <row r="1129" spans="1:4" x14ac:dyDescent="0.2">
      <c r="A1129" s="496"/>
      <c r="D1129" s="496"/>
    </row>
    <row r="1130" spans="1:4" x14ac:dyDescent="0.2">
      <c r="A1130" s="496"/>
      <c r="D1130" s="496"/>
    </row>
    <row r="1131" spans="1:4" x14ac:dyDescent="0.2">
      <c r="A1131" s="496"/>
      <c r="D1131" s="496"/>
    </row>
    <row r="1132" spans="1:4" x14ac:dyDescent="0.2">
      <c r="A1132" s="496"/>
      <c r="D1132" s="496"/>
    </row>
    <row r="1133" spans="1:4" x14ac:dyDescent="0.2">
      <c r="A1133" s="496"/>
      <c r="D1133" s="496"/>
    </row>
    <row r="1134" spans="1:4" x14ac:dyDescent="0.2">
      <c r="A1134" s="496"/>
      <c r="D1134" s="496"/>
    </row>
    <row r="1135" spans="1:4" x14ac:dyDescent="0.2">
      <c r="A1135" s="496"/>
      <c r="D1135" s="496"/>
    </row>
    <row r="1136" spans="1:4" x14ac:dyDescent="0.2">
      <c r="A1136" s="496"/>
      <c r="D1136" s="496"/>
    </row>
    <row r="1137" spans="1:4" x14ac:dyDescent="0.2">
      <c r="A1137" s="496"/>
      <c r="D1137" s="496"/>
    </row>
    <row r="1138" spans="1:4" x14ac:dyDescent="0.2">
      <c r="A1138" s="496"/>
      <c r="D1138" s="496"/>
    </row>
    <row r="1139" spans="1:4" x14ac:dyDescent="0.2">
      <c r="A1139" s="496"/>
      <c r="D1139" s="496"/>
    </row>
    <row r="1140" spans="1:4" x14ac:dyDescent="0.2">
      <c r="A1140" s="496"/>
      <c r="D1140" s="496"/>
    </row>
    <row r="1141" spans="1:4" x14ac:dyDescent="0.2">
      <c r="A1141" s="496"/>
      <c r="D1141" s="496"/>
    </row>
    <row r="1142" spans="1:4" x14ac:dyDescent="0.2">
      <c r="A1142" s="496"/>
      <c r="D1142" s="496"/>
    </row>
    <row r="1143" spans="1:4" x14ac:dyDescent="0.2">
      <c r="A1143" s="496"/>
      <c r="D1143" s="496"/>
    </row>
    <row r="1144" spans="1:4" x14ac:dyDescent="0.2">
      <c r="A1144" s="496"/>
      <c r="D1144" s="496"/>
    </row>
    <row r="1145" spans="1:4" x14ac:dyDescent="0.2">
      <c r="A1145" s="496"/>
      <c r="D1145" s="496"/>
    </row>
    <row r="1146" spans="1:4" x14ac:dyDescent="0.2">
      <c r="A1146" s="496"/>
      <c r="D1146" s="496"/>
    </row>
    <row r="1147" spans="1:4" x14ac:dyDescent="0.2">
      <c r="A1147" s="496"/>
      <c r="D1147" s="496"/>
    </row>
    <row r="1148" spans="1:4" x14ac:dyDescent="0.2">
      <c r="A1148" s="496"/>
      <c r="D1148" s="496"/>
    </row>
    <row r="1149" spans="1:4" x14ac:dyDescent="0.2">
      <c r="A1149" s="496"/>
      <c r="D1149" s="496"/>
    </row>
    <row r="1150" spans="1:4" x14ac:dyDescent="0.2">
      <c r="A1150" s="496"/>
      <c r="D1150" s="496"/>
    </row>
    <row r="1151" spans="1:4" x14ac:dyDescent="0.2">
      <c r="A1151" s="496"/>
      <c r="D1151" s="496"/>
    </row>
    <row r="1152" spans="1:4" x14ac:dyDescent="0.2">
      <c r="A1152" s="496"/>
      <c r="D1152" s="496"/>
    </row>
    <row r="1153" spans="1:4" x14ac:dyDescent="0.2">
      <c r="A1153" s="496"/>
      <c r="D1153" s="496"/>
    </row>
    <row r="1154" spans="1:4" x14ac:dyDescent="0.2">
      <c r="A1154" s="496"/>
      <c r="D1154" s="496"/>
    </row>
    <row r="1155" spans="1:4" x14ac:dyDescent="0.2">
      <c r="A1155" s="496"/>
      <c r="D1155" s="496"/>
    </row>
    <row r="1156" spans="1:4" x14ac:dyDescent="0.2">
      <c r="A1156" s="496"/>
      <c r="D1156" s="496"/>
    </row>
    <row r="1157" spans="1:4" x14ac:dyDescent="0.2">
      <c r="A1157" s="496"/>
      <c r="D1157" s="496"/>
    </row>
    <row r="1158" spans="1:4" x14ac:dyDescent="0.2">
      <c r="A1158" s="496"/>
      <c r="D1158" s="496"/>
    </row>
    <row r="1159" spans="1:4" x14ac:dyDescent="0.2">
      <c r="A1159" s="496"/>
      <c r="D1159" s="496"/>
    </row>
    <row r="1160" spans="1:4" x14ac:dyDescent="0.2">
      <c r="A1160" s="496"/>
      <c r="D1160" s="496"/>
    </row>
    <row r="1161" spans="1:4" x14ac:dyDescent="0.2">
      <c r="A1161" s="496"/>
      <c r="D1161" s="496"/>
    </row>
    <row r="1162" spans="1:4" x14ac:dyDescent="0.2">
      <c r="A1162" s="496"/>
      <c r="D1162" s="496"/>
    </row>
    <row r="1163" spans="1:4" x14ac:dyDescent="0.2">
      <c r="A1163" s="496"/>
      <c r="D1163" s="496"/>
    </row>
    <row r="1164" spans="1:4" x14ac:dyDescent="0.2">
      <c r="A1164" s="496"/>
      <c r="D1164" s="496"/>
    </row>
    <row r="1165" spans="1:4" x14ac:dyDescent="0.2">
      <c r="A1165" s="496"/>
      <c r="D1165" s="496"/>
    </row>
    <row r="1166" spans="1:4" x14ac:dyDescent="0.2">
      <c r="A1166" s="496"/>
      <c r="D1166" s="496"/>
    </row>
    <row r="1167" spans="1:4" x14ac:dyDescent="0.2">
      <c r="A1167" s="496"/>
      <c r="D1167" s="496"/>
    </row>
    <row r="1168" spans="1:4" x14ac:dyDescent="0.2">
      <c r="A1168" s="496"/>
      <c r="D1168" s="496"/>
    </row>
    <row r="1169" spans="1:4" x14ac:dyDescent="0.2">
      <c r="A1169" s="496"/>
      <c r="D1169" s="496"/>
    </row>
    <row r="1170" spans="1:4" x14ac:dyDescent="0.2">
      <c r="A1170" s="496"/>
      <c r="D1170" s="496"/>
    </row>
    <row r="1171" spans="1:4" x14ac:dyDescent="0.2">
      <c r="A1171" s="496"/>
      <c r="D1171" s="496"/>
    </row>
    <row r="1172" spans="1:4" x14ac:dyDescent="0.2">
      <c r="A1172" s="496"/>
      <c r="D1172" s="496"/>
    </row>
    <row r="1173" spans="1:4" x14ac:dyDescent="0.2">
      <c r="A1173" s="496"/>
      <c r="D1173" s="496"/>
    </row>
    <row r="1174" spans="1:4" x14ac:dyDescent="0.2">
      <c r="A1174" s="496"/>
      <c r="D1174" s="496"/>
    </row>
    <row r="1175" spans="1:4" x14ac:dyDescent="0.2">
      <c r="A1175" s="496"/>
      <c r="D1175" s="496"/>
    </row>
    <row r="1176" spans="1:4" x14ac:dyDescent="0.2">
      <c r="A1176" s="496"/>
      <c r="D1176" s="496"/>
    </row>
    <row r="1177" spans="1:4" x14ac:dyDescent="0.2">
      <c r="A1177" s="496"/>
      <c r="D1177" s="496"/>
    </row>
    <row r="1178" spans="1:4" x14ac:dyDescent="0.2">
      <c r="A1178" s="496"/>
      <c r="D1178" s="496"/>
    </row>
    <row r="1179" spans="1:4" x14ac:dyDescent="0.2">
      <c r="A1179" s="496"/>
      <c r="D1179" s="496"/>
    </row>
    <row r="1180" spans="1:4" x14ac:dyDescent="0.2">
      <c r="A1180" s="496"/>
      <c r="D1180" s="496"/>
    </row>
    <row r="1181" spans="1:4" x14ac:dyDescent="0.2">
      <c r="A1181" s="496"/>
      <c r="D1181" s="496"/>
    </row>
    <row r="1182" spans="1:4" x14ac:dyDescent="0.2">
      <c r="A1182" s="496"/>
      <c r="D1182" s="496"/>
    </row>
    <row r="1183" spans="1:4" x14ac:dyDescent="0.2">
      <c r="A1183" s="496"/>
      <c r="D1183" s="496"/>
    </row>
    <row r="1184" spans="1:4" x14ac:dyDescent="0.2">
      <c r="A1184" s="496"/>
      <c r="D1184" s="496"/>
    </row>
    <row r="1185" spans="1:4" x14ac:dyDescent="0.2">
      <c r="A1185" s="496"/>
      <c r="D1185" s="496"/>
    </row>
    <row r="1186" spans="1:4" x14ac:dyDescent="0.2">
      <c r="A1186" s="496"/>
      <c r="D1186" s="496"/>
    </row>
    <row r="1187" spans="1:4" x14ac:dyDescent="0.2">
      <c r="A1187" s="496"/>
      <c r="D1187" s="496"/>
    </row>
    <row r="1188" spans="1:4" x14ac:dyDescent="0.2">
      <c r="A1188" s="496"/>
      <c r="D1188" s="496"/>
    </row>
    <row r="1189" spans="1:4" x14ac:dyDescent="0.2">
      <c r="A1189" s="496"/>
      <c r="D1189" s="496"/>
    </row>
    <row r="1190" spans="1:4" x14ac:dyDescent="0.2">
      <c r="A1190" s="496"/>
      <c r="D1190" s="496"/>
    </row>
    <row r="1191" spans="1:4" x14ac:dyDescent="0.2">
      <c r="A1191" s="496"/>
      <c r="D1191" s="496"/>
    </row>
    <row r="1192" spans="1:4" x14ac:dyDescent="0.2">
      <c r="A1192" s="496"/>
      <c r="D1192" s="496"/>
    </row>
    <row r="1193" spans="1:4" x14ac:dyDescent="0.2">
      <c r="A1193" s="496"/>
      <c r="D1193" s="496"/>
    </row>
    <row r="1194" spans="1:4" x14ac:dyDescent="0.2">
      <c r="A1194" s="496"/>
      <c r="D1194" s="496"/>
    </row>
    <row r="1195" spans="1:4" x14ac:dyDescent="0.2">
      <c r="A1195" s="496"/>
      <c r="D1195" s="496"/>
    </row>
    <row r="1196" spans="1:4" x14ac:dyDescent="0.2">
      <c r="A1196" s="496"/>
      <c r="D1196" s="496"/>
    </row>
    <row r="1197" spans="1:4" x14ac:dyDescent="0.2">
      <c r="A1197" s="496"/>
      <c r="D1197" s="496"/>
    </row>
    <row r="1198" spans="1:4" x14ac:dyDescent="0.2">
      <c r="A1198" s="496"/>
      <c r="D1198" s="496"/>
    </row>
    <row r="1199" spans="1:4" x14ac:dyDescent="0.2">
      <c r="A1199" s="496"/>
      <c r="D1199" s="496"/>
    </row>
    <row r="1200" spans="1:4" x14ac:dyDescent="0.2">
      <c r="A1200" s="496"/>
      <c r="D1200" s="496"/>
    </row>
    <row r="1201" spans="1:4" x14ac:dyDescent="0.2">
      <c r="A1201" s="496"/>
      <c r="D1201" s="496"/>
    </row>
    <row r="1202" spans="1:4" x14ac:dyDescent="0.2">
      <c r="A1202" s="496"/>
      <c r="D1202" s="496"/>
    </row>
    <row r="1203" spans="1:4" x14ac:dyDescent="0.2">
      <c r="A1203" s="496"/>
      <c r="D1203" s="496"/>
    </row>
    <row r="1204" spans="1:4" x14ac:dyDescent="0.2">
      <c r="A1204" s="496"/>
      <c r="D1204" s="496"/>
    </row>
    <row r="1205" spans="1:4" x14ac:dyDescent="0.2">
      <c r="A1205" s="496"/>
      <c r="D1205" s="496"/>
    </row>
    <row r="1206" spans="1:4" x14ac:dyDescent="0.2">
      <c r="A1206" s="496"/>
      <c r="D1206" s="496"/>
    </row>
    <row r="1207" spans="1:4" x14ac:dyDescent="0.2">
      <c r="A1207" s="496"/>
      <c r="D1207" s="496"/>
    </row>
    <row r="1208" spans="1:4" x14ac:dyDescent="0.2">
      <c r="A1208" s="496"/>
      <c r="D1208" s="496"/>
    </row>
    <row r="1209" spans="1:4" x14ac:dyDescent="0.2">
      <c r="A1209" s="496"/>
      <c r="D1209" s="496"/>
    </row>
    <row r="1210" spans="1:4" x14ac:dyDescent="0.2">
      <c r="A1210" s="496"/>
      <c r="D1210" s="496"/>
    </row>
    <row r="1211" spans="1:4" x14ac:dyDescent="0.2">
      <c r="A1211" s="496"/>
      <c r="D1211" s="496"/>
    </row>
    <row r="1212" spans="1:4" x14ac:dyDescent="0.2">
      <c r="A1212" s="496"/>
      <c r="D1212" s="496"/>
    </row>
    <row r="1213" spans="1:4" x14ac:dyDescent="0.2">
      <c r="A1213" s="496"/>
      <c r="D1213" s="496"/>
    </row>
    <row r="1214" spans="1:4" x14ac:dyDescent="0.2">
      <c r="A1214" s="496"/>
      <c r="D1214" s="496"/>
    </row>
    <row r="1215" spans="1:4" x14ac:dyDescent="0.2">
      <c r="A1215" s="496"/>
      <c r="D1215" s="496"/>
    </row>
    <row r="1216" spans="1:4" x14ac:dyDescent="0.2">
      <c r="A1216" s="496"/>
      <c r="D1216" s="496"/>
    </row>
    <row r="1217" spans="1:4" x14ac:dyDescent="0.2">
      <c r="A1217" s="496"/>
      <c r="D1217" s="496"/>
    </row>
    <row r="1218" spans="1:4" x14ac:dyDescent="0.2">
      <c r="A1218" s="496"/>
      <c r="D1218" s="496"/>
    </row>
    <row r="1219" spans="1:4" x14ac:dyDescent="0.2">
      <c r="A1219" s="496"/>
      <c r="D1219" s="496"/>
    </row>
    <row r="1220" spans="1:4" x14ac:dyDescent="0.2">
      <c r="A1220" s="496"/>
      <c r="D1220" s="496"/>
    </row>
    <row r="1221" spans="1:4" x14ac:dyDescent="0.2">
      <c r="A1221" s="496"/>
      <c r="D1221" s="496"/>
    </row>
    <row r="1222" spans="1:4" x14ac:dyDescent="0.2">
      <c r="A1222" s="496"/>
      <c r="D1222" s="496"/>
    </row>
    <row r="1223" spans="1:4" x14ac:dyDescent="0.2">
      <c r="A1223" s="496"/>
      <c r="D1223" s="496"/>
    </row>
    <row r="1224" spans="1:4" x14ac:dyDescent="0.2">
      <c r="A1224" s="496"/>
      <c r="D1224" s="496"/>
    </row>
    <row r="1225" spans="1:4" x14ac:dyDescent="0.2">
      <c r="A1225" s="496"/>
      <c r="D1225" s="496"/>
    </row>
    <row r="1226" spans="1:4" x14ac:dyDescent="0.2">
      <c r="A1226" s="496"/>
      <c r="D1226" s="496"/>
    </row>
    <row r="1227" spans="1:4" x14ac:dyDescent="0.2">
      <c r="A1227" s="496"/>
      <c r="D1227" s="496"/>
    </row>
    <row r="1228" spans="1:4" x14ac:dyDescent="0.2">
      <c r="A1228" s="496"/>
      <c r="D1228" s="496"/>
    </row>
    <row r="1229" spans="1:4" x14ac:dyDescent="0.2">
      <c r="A1229" s="496"/>
      <c r="D1229" s="496"/>
    </row>
    <row r="1230" spans="1:4" x14ac:dyDescent="0.2">
      <c r="A1230" s="496"/>
      <c r="D1230" s="496"/>
    </row>
    <row r="1231" spans="1:4" x14ac:dyDescent="0.2">
      <c r="A1231" s="496"/>
      <c r="D1231" s="496"/>
    </row>
    <row r="1232" spans="1:4" x14ac:dyDescent="0.2">
      <c r="A1232" s="496"/>
      <c r="D1232" s="496"/>
    </row>
    <row r="1233" spans="1:4" x14ac:dyDescent="0.2">
      <c r="A1233" s="496"/>
      <c r="D1233" s="496"/>
    </row>
    <row r="1234" spans="1:4" x14ac:dyDescent="0.2">
      <c r="A1234" s="496"/>
      <c r="D1234" s="496"/>
    </row>
    <row r="1235" spans="1:4" x14ac:dyDescent="0.2">
      <c r="A1235" s="496"/>
      <c r="D1235" s="496"/>
    </row>
    <row r="1236" spans="1:4" x14ac:dyDescent="0.2">
      <c r="A1236" s="496"/>
      <c r="D1236" s="496"/>
    </row>
    <row r="1237" spans="1:4" x14ac:dyDescent="0.2">
      <c r="A1237" s="496"/>
      <c r="D1237" s="496"/>
    </row>
    <row r="1238" spans="1:4" x14ac:dyDescent="0.2">
      <c r="A1238" s="496"/>
      <c r="D1238" s="496"/>
    </row>
    <row r="1239" spans="1:4" x14ac:dyDescent="0.2">
      <c r="A1239" s="496"/>
      <c r="D1239" s="496"/>
    </row>
    <row r="1240" spans="1:4" x14ac:dyDescent="0.2">
      <c r="A1240" s="496"/>
      <c r="D1240" s="496"/>
    </row>
    <row r="1241" spans="1:4" x14ac:dyDescent="0.2">
      <c r="A1241" s="496"/>
      <c r="D1241" s="496"/>
    </row>
    <row r="1242" spans="1:4" x14ac:dyDescent="0.2">
      <c r="A1242" s="496"/>
      <c r="D1242" s="496"/>
    </row>
    <row r="1243" spans="1:4" x14ac:dyDescent="0.2">
      <c r="A1243" s="496"/>
      <c r="D1243" s="496"/>
    </row>
    <row r="1244" spans="1:4" x14ac:dyDescent="0.2">
      <c r="A1244" s="496"/>
      <c r="D1244" s="496"/>
    </row>
    <row r="1245" spans="1:4" x14ac:dyDescent="0.2">
      <c r="A1245" s="496"/>
      <c r="D1245" s="496"/>
    </row>
    <row r="1246" spans="1:4" x14ac:dyDescent="0.2">
      <c r="A1246" s="496"/>
      <c r="D1246" s="496"/>
    </row>
    <row r="1247" spans="1:4" x14ac:dyDescent="0.2">
      <c r="A1247" s="496"/>
      <c r="D1247" s="496"/>
    </row>
    <row r="1248" spans="1:4" x14ac:dyDescent="0.2">
      <c r="A1248" s="496"/>
      <c r="D1248" s="496"/>
    </row>
    <row r="1249" spans="1:4" x14ac:dyDescent="0.2">
      <c r="A1249" s="496"/>
      <c r="D1249" s="496"/>
    </row>
    <row r="1250" spans="1:4" x14ac:dyDescent="0.2">
      <c r="A1250" s="496"/>
      <c r="D1250" s="496"/>
    </row>
    <row r="1251" spans="1:4" x14ac:dyDescent="0.2">
      <c r="A1251" s="496"/>
      <c r="D1251" s="496"/>
    </row>
    <row r="1252" spans="1:4" x14ac:dyDescent="0.2">
      <c r="A1252" s="496"/>
      <c r="D1252" s="496"/>
    </row>
    <row r="1253" spans="1:4" x14ac:dyDescent="0.2">
      <c r="A1253" s="496"/>
      <c r="D1253" s="496"/>
    </row>
    <row r="1254" spans="1:4" x14ac:dyDescent="0.2">
      <c r="A1254" s="496"/>
      <c r="D1254" s="496"/>
    </row>
    <row r="1255" spans="1:4" x14ac:dyDescent="0.2">
      <c r="A1255" s="496"/>
      <c r="D1255" s="496"/>
    </row>
    <row r="1256" spans="1:4" x14ac:dyDescent="0.2">
      <c r="A1256" s="496"/>
      <c r="D1256" s="496"/>
    </row>
    <row r="1257" spans="1:4" x14ac:dyDescent="0.2">
      <c r="A1257" s="496"/>
      <c r="D1257" s="496"/>
    </row>
    <row r="1258" spans="1:4" x14ac:dyDescent="0.2">
      <c r="A1258" s="496"/>
      <c r="D1258" s="496"/>
    </row>
    <row r="1259" spans="1:4" x14ac:dyDescent="0.2">
      <c r="A1259" s="496"/>
      <c r="D1259" s="496"/>
    </row>
    <row r="1260" spans="1:4" x14ac:dyDescent="0.2">
      <c r="A1260" s="496"/>
      <c r="D1260" s="496"/>
    </row>
    <row r="1261" spans="1:4" x14ac:dyDescent="0.2">
      <c r="A1261" s="496"/>
      <c r="D1261" s="496"/>
    </row>
    <row r="1262" spans="1:4" x14ac:dyDescent="0.2">
      <c r="A1262" s="496"/>
      <c r="D1262" s="496"/>
    </row>
    <row r="1263" spans="1:4" x14ac:dyDescent="0.2">
      <c r="A1263" s="496"/>
      <c r="D1263" s="496"/>
    </row>
    <row r="1264" spans="1:4" x14ac:dyDescent="0.2">
      <c r="A1264" s="496"/>
      <c r="D1264" s="496"/>
    </row>
    <row r="1265" spans="1:4" x14ac:dyDescent="0.2">
      <c r="A1265" s="496"/>
      <c r="D1265" s="496"/>
    </row>
    <row r="1266" spans="1:4" x14ac:dyDescent="0.2">
      <c r="A1266" s="496"/>
      <c r="D1266" s="496"/>
    </row>
    <row r="1267" spans="1:4" x14ac:dyDescent="0.2">
      <c r="A1267" s="496"/>
      <c r="D1267" s="496"/>
    </row>
    <row r="1268" spans="1:4" x14ac:dyDescent="0.2">
      <c r="A1268" s="496"/>
      <c r="D1268" s="496"/>
    </row>
    <row r="1269" spans="1:4" x14ac:dyDescent="0.2">
      <c r="A1269" s="496"/>
      <c r="D1269" s="496"/>
    </row>
    <row r="1270" spans="1:4" x14ac:dyDescent="0.2">
      <c r="A1270" s="496"/>
      <c r="D1270" s="496"/>
    </row>
    <row r="1271" spans="1:4" x14ac:dyDescent="0.2">
      <c r="A1271" s="496"/>
      <c r="D1271" s="496"/>
    </row>
    <row r="1272" spans="1:4" x14ac:dyDescent="0.2">
      <c r="A1272" s="496"/>
      <c r="D1272" s="496"/>
    </row>
    <row r="1273" spans="1:4" x14ac:dyDescent="0.2">
      <c r="A1273" s="496"/>
      <c r="D1273" s="496"/>
    </row>
    <row r="1274" spans="1:4" x14ac:dyDescent="0.2">
      <c r="A1274" s="496"/>
      <c r="D1274" s="496"/>
    </row>
    <row r="1275" spans="1:4" x14ac:dyDescent="0.2">
      <c r="A1275" s="496"/>
      <c r="D1275" s="496"/>
    </row>
    <row r="1276" spans="1:4" x14ac:dyDescent="0.2">
      <c r="A1276" s="496"/>
      <c r="D1276" s="496"/>
    </row>
    <row r="1277" spans="1:4" x14ac:dyDescent="0.2">
      <c r="A1277" s="496"/>
      <c r="D1277" s="496"/>
    </row>
    <row r="1278" spans="1:4" x14ac:dyDescent="0.2">
      <c r="A1278" s="496"/>
      <c r="D1278" s="496"/>
    </row>
    <row r="1279" spans="1:4" x14ac:dyDescent="0.2">
      <c r="A1279" s="496"/>
      <c r="D1279" s="496"/>
    </row>
    <row r="1280" spans="1:4" x14ac:dyDescent="0.2">
      <c r="A1280" s="496"/>
      <c r="D1280" s="496"/>
    </row>
    <row r="1281" spans="1:4" x14ac:dyDescent="0.2">
      <c r="A1281" s="496"/>
      <c r="D1281" s="496"/>
    </row>
    <row r="1282" spans="1:4" x14ac:dyDescent="0.2">
      <c r="A1282" s="496"/>
      <c r="D1282" s="496"/>
    </row>
    <row r="1283" spans="1:4" x14ac:dyDescent="0.2">
      <c r="A1283" s="496"/>
      <c r="D1283" s="496"/>
    </row>
    <row r="1284" spans="1:4" x14ac:dyDescent="0.2">
      <c r="A1284" s="496"/>
      <c r="D1284" s="496"/>
    </row>
    <row r="1285" spans="1:4" x14ac:dyDescent="0.2">
      <c r="A1285" s="496"/>
      <c r="D1285" s="496"/>
    </row>
    <row r="1286" spans="1:4" x14ac:dyDescent="0.2">
      <c r="A1286" s="496"/>
      <c r="D1286" s="496"/>
    </row>
    <row r="1287" spans="1:4" x14ac:dyDescent="0.2">
      <c r="A1287" s="496"/>
      <c r="D1287" s="496"/>
    </row>
    <row r="1288" spans="1:4" x14ac:dyDescent="0.2">
      <c r="A1288" s="496"/>
      <c r="D1288" s="496"/>
    </row>
    <row r="1289" spans="1:4" x14ac:dyDescent="0.2">
      <c r="A1289" s="496"/>
      <c r="D1289" s="496"/>
    </row>
    <row r="1290" spans="1:4" x14ac:dyDescent="0.2">
      <c r="A1290" s="496"/>
      <c r="D1290" s="496"/>
    </row>
    <row r="1291" spans="1:4" x14ac:dyDescent="0.2">
      <c r="A1291" s="496"/>
      <c r="D1291" s="496"/>
    </row>
    <row r="1292" spans="1:4" x14ac:dyDescent="0.2">
      <c r="A1292" s="496"/>
      <c r="D1292" s="496"/>
    </row>
    <row r="1293" spans="1:4" x14ac:dyDescent="0.2">
      <c r="A1293" s="496"/>
      <c r="D1293" s="496"/>
    </row>
    <row r="1294" spans="1:4" x14ac:dyDescent="0.2">
      <c r="A1294" s="496"/>
      <c r="D1294" s="496"/>
    </row>
    <row r="1295" spans="1:4" x14ac:dyDescent="0.2">
      <c r="A1295" s="496"/>
      <c r="D1295" s="496"/>
    </row>
    <row r="1296" spans="1:4" x14ac:dyDescent="0.2">
      <c r="A1296" s="496"/>
      <c r="D1296" s="496"/>
    </row>
    <row r="1297" spans="1:4" x14ac:dyDescent="0.2">
      <c r="A1297" s="496"/>
      <c r="D1297" s="496"/>
    </row>
    <row r="1298" spans="1:4" x14ac:dyDescent="0.2">
      <c r="A1298" s="496"/>
      <c r="D1298" s="496"/>
    </row>
    <row r="1299" spans="1:4" x14ac:dyDescent="0.2">
      <c r="A1299" s="496"/>
      <c r="D1299" s="496"/>
    </row>
    <row r="1300" spans="1:4" x14ac:dyDescent="0.2">
      <c r="A1300" s="496"/>
      <c r="D1300" s="496"/>
    </row>
    <row r="1301" spans="1:4" x14ac:dyDescent="0.2">
      <c r="A1301" s="496"/>
      <c r="D1301" s="496"/>
    </row>
    <row r="1302" spans="1:4" x14ac:dyDescent="0.2">
      <c r="A1302" s="496"/>
      <c r="D1302" s="496"/>
    </row>
    <row r="1303" spans="1:4" x14ac:dyDescent="0.2">
      <c r="A1303" s="496"/>
      <c r="D1303" s="496"/>
    </row>
    <row r="1304" spans="1:4" x14ac:dyDescent="0.2">
      <c r="A1304" s="496"/>
      <c r="D1304" s="496"/>
    </row>
    <row r="1305" spans="1:4" x14ac:dyDescent="0.2">
      <c r="A1305" s="496"/>
      <c r="D1305" s="496"/>
    </row>
    <row r="1306" spans="1:4" x14ac:dyDescent="0.2">
      <c r="A1306" s="496"/>
      <c r="D1306" s="496"/>
    </row>
    <row r="1307" spans="1:4" x14ac:dyDescent="0.2">
      <c r="A1307" s="496"/>
      <c r="D1307" s="496"/>
    </row>
    <row r="1308" spans="1:4" x14ac:dyDescent="0.2">
      <c r="A1308" s="496"/>
      <c r="D1308" s="496"/>
    </row>
    <row r="1309" spans="1:4" x14ac:dyDescent="0.2">
      <c r="A1309" s="496"/>
      <c r="D1309" s="496"/>
    </row>
    <row r="1310" spans="1:4" x14ac:dyDescent="0.2">
      <c r="A1310" s="496"/>
      <c r="D1310" s="496"/>
    </row>
    <row r="1311" spans="1:4" x14ac:dyDescent="0.2">
      <c r="A1311" s="496"/>
      <c r="D1311" s="496"/>
    </row>
    <row r="1312" spans="1:4" x14ac:dyDescent="0.2">
      <c r="A1312" s="496"/>
      <c r="D1312" s="496"/>
    </row>
    <row r="1313" spans="1:4" x14ac:dyDescent="0.2">
      <c r="A1313" s="496"/>
      <c r="D1313" s="496"/>
    </row>
    <row r="1314" spans="1:4" x14ac:dyDescent="0.2">
      <c r="A1314" s="496"/>
      <c r="D1314" s="496"/>
    </row>
    <row r="1315" spans="1:4" x14ac:dyDescent="0.2">
      <c r="A1315" s="496"/>
      <c r="D1315" s="496"/>
    </row>
    <row r="1316" spans="1:4" x14ac:dyDescent="0.2">
      <c r="A1316" s="496"/>
      <c r="D1316" s="496"/>
    </row>
    <row r="1317" spans="1:4" x14ac:dyDescent="0.2">
      <c r="A1317" s="496"/>
      <c r="D1317" s="496"/>
    </row>
    <row r="1318" spans="1:4" x14ac:dyDescent="0.2">
      <c r="A1318" s="496"/>
      <c r="D1318" s="496"/>
    </row>
    <row r="1319" spans="1:4" x14ac:dyDescent="0.2">
      <c r="A1319" s="496"/>
      <c r="D1319" s="496"/>
    </row>
    <row r="1320" spans="1:4" x14ac:dyDescent="0.2">
      <c r="A1320" s="496"/>
      <c r="D1320" s="496"/>
    </row>
    <row r="1321" spans="1:4" x14ac:dyDescent="0.2">
      <c r="A1321" s="496"/>
      <c r="D1321" s="496"/>
    </row>
    <row r="1322" spans="1:4" x14ac:dyDescent="0.2">
      <c r="A1322" s="496"/>
      <c r="D1322" s="496"/>
    </row>
    <row r="1323" spans="1:4" x14ac:dyDescent="0.2">
      <c r="A1323" s="496"/>
      <c r="D1323" s="496"/>
    </row>
    <row r="1324" spans="1:4" x14ac:dyDescent="0.2">
      <c r="A1324" s="496"/>
      <c r="D1324" s="496"/>
    </row>
    <row r="1325" spans="1:4" x14ac:dyDescent="0.2">
      <c r="A1325" s="496"/>
      <c r="D1325" s="496"/>
    </row>
    <row r="1326" spans="1:4" x14ac:dyDescent="0.2">
      <c r="A1326" s="496"/>
      <c r="D1326" s="496"/>
    </row>
    <row r="1327" spans="1:4" x14ac:dyDescent="0.2">
      <c r="A1327" s="496"/>
      <c r="D1327" s="496"/>
    </row>
    <row r="1328" spans="1:4" x14ac:dyDescent="0.2">
      <c r="A1328" s="496"/>
      <c r="D1328" s="496"/>
    </row>
    <row r="1329" spans="1:4" x14ac:dyDescent="0.2">
      <c r="A1329" s="496"/>
      <c r="D1329" s="496"/>
    </row>
    <row r="1330" spans="1:4" x14ac:dyDescent="0.2">
      <c r="A1330" s="496"/>
      <c r="D1330" s="496"/>
    </row>
    <row r="1331" spans="1:4" x14ac:dyDescent="0.2">
      <c r="A1331" s="496"/>
      <c r="D1331" s="496"/>
    </row>
    <row r="1332" spans="1:4" x14ac:dyDescent="0.2">
      <c r="A1332" s="496"/>
      <c r="D1332" s="496"/>
    </row>
    <row r="1333" spans="1:4" x14ac:dyDescent="0.2">
      <c r="A1333" s="496"/>
      <c r="D1333" s="496"/>
    </row>
    <row r="1334" spans="1:4" x14ac:dyDescent="0.2">
      <c r="A1334" s="496"/>
      <c r="D1334" s="496"/>
    </row>
    <row r="1335" spans="1:4" x14ac:dyDescent="0.2">
      <c r="A1335" s="496"/>
      <c r="D1335" s="496"/>
    </row>
    <row r="1336" spans="1:4" x14ac:dyDescent="0.2">
      <c r="A1336" s="496"/>
      <c r="D1336" s="496"/>
    </row>
    <row r="1337" spans="1:4" x14ac:dyDescent="0.2">
      <c r="A1337" s="496"/>
      <c r="D1337" s="496"/>
    </row>
    <row r="1338" spans="1:4" x14ac:dyDescent="0.2">
      <c r="A1338" s="496"/>
      <c r="D1338" s="496"/>
    </row>
    <row r="1339" spans="1:4" x14ac:dyDescent="0.2">
      <c r="A1339" s="496"/>
      <c r="D1339" s="496"/>
    </row>
    <row r="1340" spans="1:4" x14ac:dyDescent="0.2">
      <c r="A1340" s="496"/>
      <c r="D1340" s="496"/>
    </row>
    <row r="1341" spans="1:4" x14ac:dyDescent="0.2">
      <c r="A1341" s="496"/>
      <c r="D1341" s="496"/>
    </row>
    <row r="1342" spans="1:4" x14ac:dyDescent="0.2">
      <c r="A1342" s="496"/>
      <c r="D1342" s="496"/>
    </row>
    <row r="1343" spans="1:4" x14ac:dyDescent="0.2">
      <c r="A1343" s="496"/>
      <c r="D1343" s="496"/>
    </row>
    <row r="1344" spans="1:4" x14ac:dyDescent="0.2">
      <c r="A1344" s="496"/>
      <c r="D1344" s="496"/>
    </row>
    <row r="1345" spans="1:4" x14ac:dyDescent="0.2">
      <c r="A1345" s="496"/>
      <c r="D1345" s="496"/>
    </row>
    <row r="1346" spans="1:4" x14ac:dyDescent="0.2">
      <c r="A1346" s="496"/>
      <c r="D1346" s="496"/>
    </row>
    <row r="1347" spans="1:4" x14ac:dyDescent="0.2">
      <c r="A1347" s="496"/>
      <c r="D1347" s="496"/>
    </row>
    <row r="1348" spans="1:4" x14ac:dyDescent="0.2">
      <c r="A1348" s="496"/>
      <c r="D1348" s="496"/>
    </row>
    <row r="1349" spans="1:4" x14ac:dyDescent="0.2">
      <c r="A1349" s="496"/>
      <c r="D1349" s="496"/>
    </row>
    <row r="1350" spans="1:4" x14ac:dyDescent="0.2">
      <c r="A1350" s="496"/>
      <c r="D1350" s="496"/>
    </row>
    <row r="1351" spans="1:4" x14ac:dyDescent="0.2">
      <c r="A1351" s="496"/>
      <c r="D1351" s="496"/>
    </row>
    <row r="1352" spans="1:4" x14ac:dyDescent="0.2">
      <c r="A1352" s="496"/>
      <c r="D1352" s="496"/>
    </row>
    <row r="1353" spans="1:4" x14ac:dyDescent="0.2">
      <c r="A1353" s="496"/>
      <c r="D1353" s="496"/>
    </row>
    <row r="1354" spans="1:4" x14ac:dyDescent="0.2">
      <c r="A1354" s="496"/>
      <c r="D1354" s="496"/>
    </row>
    <row r="1355" spans="1:4" x14ac:dyDescent="0.2">
      <c r="A1355" s="496"/>
      <c r="D1355" s="496"/>
    </row>
    <row r="1356" spans="1:4" x14ac:dyDescent="0.2">
      <c r="A1356" s="496"/>
      <c r="D1356" s="496"/>
    </row>
    <row r="1357" spans="1:4" x14ac:dyDescent="0.2">
      <c r="A1357" s="496"/>
      <c r="D1357" s="496"/>
    </row>
    <row r="1358" spans="1:4" x14ac:dyDescent="0.2">
      <c r="A1358" s="496"/>
      <c r="D1358" s="496"/>
    </row>
    <row r="1359" spans="1:4" x14ac:dyDescent="0.2">
      <c r="A1359" s="496"/>
      <c r="D1359" s="496"/>
    </row>
    <row r="1360" spans="1:4" x14ac:dyDescent="0.2">
      <c r="A1360" s="496"/>
      <c r="D1360" s="496"/>
    </row>
    <row r="1361" spans="1:4" x14ac:dyDescent="0.2">
      <c r="A1361" s="496"/>
      <c r="D1361" s="496"/>
    </row>
    <row r="1362" spans="1:4" x14ac:dyDescent="0.2">
      <c r="A1362" s="496"/>
      <c r="D1362" s="496"/>
    </row>
    <row r="1363" spans="1:4" x14ac:dyDescent="0.2">
      <c r="A1363" s="496"/>
      <c r="D1363" s="496"/>
    </row>
    <row r="1364" spans="1:4" x14ac:dyDescent="0.2">
      <c r="A1364" s="496"/>
      <c r="D1364" s="496"/>
    </row>
    <row r="1365" spans="1:4" x14ac:dyDescent="0.2">
      <c r="A1365" s="496"/>
      <c r="D1365" s="496"/>
    </row>
    <row r="1366" spans="1:4" x14ac:dyDescent="0.2">
      <c r="A1366" s="496"/>
      <c r="D1366" s="496"/>
    </row>
    <row r="1367" spans="1:4" x14ac:dyDescent="0.2">
      <c r="A1367" s="496"/>
      <c r="D1367" s="496"/>
    </row>
    <row r="1368" spans="1:4" x14ac:dyDescent="0.2">
      <c r="A1368" s="496"/>
      <c r="D1368" s="496"/>
    </row>
    <row r="1369" spans="1:4" x14ac:dyDescent="0.2">
      <c r="A1369" s="496"/>
      <c r="D1369" s="496"/>
    </row>
    <row r="1370" spans="1:4" x14ac:dyDescent="0.2">
      <c r="A1370" s="496"/>
      <c r="D1370" s="496"/>
    </row>
    <row r="1371" spans="1:4" x14ac:dyDescent="0.2">
      <c r="A1371" s="496"/>
      <c r="D1371" s="496"/>
    </row>
    <row r="1372" spans="1:4" x14ac:dyDescent="0.2">
      <c r="A1372" s="496"/>
      <c r="D1372" s="496"/>
    </row>
    <row r="1373" spans="1:4" x14ac:dyDescent="0.2">
      <c r="A1373" s="496"/>
      <c r="D1373" s="496"/>
    </row>
    <row r="1374" spans="1:4" x14ac:dyDescent="0.2">
      <c r="A1374" s="496"/>
      <c r="D1374" s="496"/>
    </row>
    <row r="1375" spans="1:4" x14ac:dyDescent="0.2">
      <c r="A1375" s="496"/>
      <c r="D1375" s="496"/>
    </row>
    <row r="1376" spans="1:4" x14ac:dyDescent="0.2">
      <c r="A1376" s="496"/>
      <c r="D1376" s="496"/>
    </row>
    <row r="1377" spans="1:4" x14ac:dyDescent="0.2">
      <c r="A1377" s="496"/>
      <c r="D1377" s="496"/>
    </row>
    <row r="1378" spans="1:4" x14ac:dyDescent="0.2">
      <c r="A1378" s="496"/>
      <c r="D1378" s="496"/>
    </row>
    <row r="1379" spans="1:4" x14ac:dyDescent="0.2">
      <c r="A1379" s="496"/>
      <c r="D1379" s="496"/>
    </row>
    <row r="1380" spans="1:4" x14ac:dyDescent="0.2">
      <c r="A1380" s="496"/>
      <c r="D1380" s="496"/>
    </row>
    <row r="1381" spans="1:4" x14ac:dyDescent="0.2">
      <c r="A1381" s="496"/>
      <c r="D1381" s="496"/>
    </row>
    <row r="1382" spans="1:4" x14ac:dyDescent="0.2">
      <c r="A1382" s="496"/>
      <c r="D1382" s="496"/>
    </row>
    <row r="1383" spans="1:4" x14ac:dyDescent="0.2">
      <c r="A1383" s="496"/>
      <c r="D1383" s="496"/>
    </row>
    <row r="1384" spans="1:4" x14ac:dyDescent="0.2">
      <c r="A1384" s="496"/>
      <c r="D1384" s="496"/>
    </row>
    <row r="1385" spans="1:4" x14ac:dyDescent="0.2">
      <c r="A1385" s="496"/>
      <c r="D1385" s="496"/>
    </row>
    <row r="1386" spans="1:4" x14ac:dyDescent="0.2">
      <c r="A1386" s="496"/>
      <c r="D1386" s="496"/>
    </row>
    <row r="1387" spans="1:4" x14ac:dyDescent="0.2">
      <c r="A1387" s="496"/>
      <c r="D1387" s="496"/>
    </row>
    <row r="1388" spans="1:4" x14ac:dyDescent="0.2">
      <c r="A1388" s="496"/>
      <c r="D1388" s="496"/>
    </row>
    <row r="1389" spans="1:4" x14ac:dyDescent="0.2">
      <c r="A1389" s="496"/>
      <c r="D1389" s="496"/>
    </row>
    <row r="1390" spans="1:4" x14ac:dyDescent="0.2">
      <c r="A1390" s="496"/>
      <c r="D1390" s="496"/>
    </row>
    <row r="1391" spans="1:4" x14ac:dyDescent="0.2">
      <c r="A1391" s="496"/>
      <c r="D1391" s="496"/>
    </row>
    <row r="1392" spans="1:4" x14ac:dyDescent="0.2">
      <c r="A1392" s="496"/>
      <c r="D1392" s="496"/>
    </row>
    <row r="1393" spans="1:4" x14ac:dyDescent="0.2">
      <c r="A1393" s="496"/>
      <c r="D1393" s="496"/>
    </row>
    <row r="1394" spans="1:4" x14ac:dyDescent="0.2">
      <c r="A1394" s="496"/>
      <c r="D1394" s="496"/>
    </row>
    <row r="1395" spans="1:4" x14ac:dyDescent="0.2">
      <c r="A1395" s="496"/>
      <c r="D1395" s="496"/>
    </row>
    <row r="1396" spans="1:4" x14ac:dyDescent="0.2">
      <c r="A1396" s="496"/>
      <c r="D1396" s="496"/>
    </row>
    <row r="1397" spans="1:4" x14ac:dyDescent="0.2">
      <c r="A1397" s="496"/>
      <c r="D1397" s="496"/>
    </row>
    <row r="1398" spans="1:4" x14ac:dyDescent="0.2">
      <c r="A1398" s="496"/>
      <c r="D1398" s="496"/>
    </row>
    <row r="1399" spans="1:4" x14ac:dyDescent="0.2">
      <c r="A1399" s="496"/>
      <c r="D1399" s="496"/>
    </row>
    <row r="1400" spans="1:4" x14ac:dyDescent="0.2">
      <c r="A1400" s="496"/>
      <c r="D1400" s="496"/>
    </row>
    <row r="1401" spans="1:4" x14ac:dyDescent="0.2">
      <c r="A1401" s="496"/>
      <c r="D1401" s="496"/>
    </row>
    <row r="1402" spans="1:4" x14ac:dyDescent="0.2">
      <c r="A1402" s="496"/>
      <c r="D1402" s="496"/>
    </row>
    <row r="1403" spans="1:4" x14ac:dyDescent="0.2">
      <c r="A1403" s="496"/>
      <c r="D1403" s="496"/>
    </row>
    <row r="1404" spans="1:4" x14ac:dyDescent="0.2">
      <c r="A1404" s="496"/>
      <c r="D1404" s="496"/>
    </row>
    <row r="1405" spans="1:4" x14ac:dyDescent="0.2">
      <c r="A1405" s="496"/>
      <c r="D1405" s="496"/>
    </row>
    <row r="1406" spans="1:4" x14ac:dyDescent="0.2">
      <c r="A1406" s="496"/>
      <c r="D1406" s="496"/>
    </row>
    <row r="1407" spans="1:4" x14ac:dyDescent="0.2">
      <c r="A1407" s="496"/>
      <c r="D1407" s="496"/>
    </row>
    <row r="1408" spans="1:4" x14ac:dyDescent="0.2">
      <c r="A1408" s="496"/>
      <c r="D1408" s="496"/>
    </row>
    <row r="1409" spans="1:4" x14ac:dyDescent="0.2">
      <c r="A1409" s="496"/>
      <c r="D1409" s="496"/>
    </row>
    <row r="1410" spans="1:4" x14ac:dyDescent="0.2">
      <c r="A1410" s="496"/>
      <c r="D1410" s="496"/>
    </row>
    <row r="1411" spans="1:4" x14ac:dyDescent="0.2">
      <c r="A1411" s="496"/>
      <c r="D1411" s="496"/>
    </row>
    <row r="1412" spans="1:4" x14ac:dyDescent="0.2">
      <c r="A1412" s="496"/>
      <c r="D1412" s="496"/>
    </row>
    <row r="1413" spans="1:4" x14ac:dyDescent="0.2">
      <c r="A1413" s="496"/>
      <c r="D1413" s="496"/>
    </row>
    <row r="1414" spans="1:4" x14ac:dyDescent="0.2">
      <c r="A1414" s="496"/>
      <c r="D1414" s="496"/>
    </row>
    <row r="1415" spans="1:4" x14ac:dyDescent="0.2">
      <c r="A1415" s="496"/>
      <c r="D1415" s="496"/>
    </row>
    <row r="1416" spans="1:4" x14ac:dyDescent="0.2">
      <c r="A1416" s="496"/>
      <c r="D1416" s="496"/>
    </row>
    <row r="1417" spans="1:4" x14ac:dyDescent="0.2">
      <c r="A1417" s="496"/>
      <c r="D1417" s="496"/>
    </row>
    <row r="1418" spans="1:4" x14ac:dyDescent="0.2">
      <c r="A1418" s="496"/>
      <c r="D1418" s="496"/>
    </row>
    <row r="1419" spans="1:4" x14ac:dyDescent="0.2">
      <c r="A1419" s="496"/>
      <c r="D1419" s="496"/>
    </row>
    <row r="1420" spans="1:4" x14ac:dyDescent="0.2">
      <c r="A1420" s="496"/>
      <c r="D1420" s="496"/>
    </row>
    <row r="1421" spans="1:4" x14ac:dyDescent="0.2">
      <c r="A1421" s="496"/>
      <c r="D1421" s="496"/>
    </row>
    <row r="1422" spans="1:4" x14ac:dyDescent="0.2">
      <c r="A1422" s="496"/>
      <c r="D1422" s="496"/>
    </row>
    <row r="1423" spans="1:4" x14ac:dyDescent="0.2">
      <c r="A1423" s="496"/>
      <c r="D1423" s="496"/>
    </row>
    <row r="1424" spans="1:4" x14ac:dyDescent="0.2">
      <c r="A1424" s="496"/>
      <c r="D1424" s="496"/>
    </row>
    <row r="1425" spans="1:4" x14ac:dyDescent="0.2">
      <c r="A1425" s="496"/>
      <c r="D1425" s="496"/>
    </row>
    <row r="1426" spans="1:4" x14ac:dyDescent="0.2">
      <c r="A1426" s="496"/>
      <c r="D1426" s="496"/>
    </row>
    <row r="1427" spans="1:4" x14ac:dyDescent="0.2">
      <c r="A1427" s="496"/>
      <c r="D1427" s="496"/>
    </row>
    <row r="1428" spans="1:4" x14ac:dyDescent="0.2">
      <c r="A1428" s="496"/>
      <c r="D1428" s="496"/>
    </row>
    <row r="1429" spans="1:4" x14ac:dyDescent="0.2">
      <c r="A1429" s="496"/>
      <c r="D1429" s="496"/>
    </row>
    <row r="1430" spans="1:4" x14ac:dyDescent="0.2">
      <c r="A1430" s="496"/>
      <c r="D1430" s="496"/>
    </row>
    <row r="1431" spans="1:4" x14ac:dyDescent="0.2">
      <c r="A1431" s="496"/>
      <c r="D1431" s="496"/>
    </row>
    <row r="1432" spans="1:4" x14ac:dyDescent="0.2">
      <c r="A1432" s="496"/>
      <c r="D1432" s="496"/>
    </row>
    <row r="1433" spans="1:4" x14ac:dyDescent="0.2">
      <c r="A1433" s="496"/>
      <c r="D1433" s="496"/>
    </row>
    <row r="1434" spans="1:4" x14ac:dyDescent="0.2">
      <c r="A1434" s="496"/>
      <c r="D1434" s="496"/>
    </row>
    <row r="1435" spans="1:4" x14ac:dyDescent="0.2">
      <c r="A1435" s="496"/>
      <c r="D1435" s="496"/>
    </row>
    <row r="1436" spans="1:4" x14ac:dyDescent="0.2">
      <c r="A1436" s="496"/>
      <c r="D1436" s="496"/>
    </row>
    <row r="1437" spans="1:4" x14ac:dyDescent="0.2">
      <c r="A1437" s="496"/>
      <c r="D1437" s="496"/>
    </row>
    <row r="1438" spans="1:4" x14ac:dyDescent="0.2">
      <c r="A1438" s="496"/>
      <c r="D1438" s="496"/>
    </row>
    <row r="1439" spans="1:4" x14ac:dyDescent="0.2">
      <c r="A1439" s="496"/>
      <c r="D1439" s="496"/>
    </row>
    <row r="1440" spans="1:4" x14ac:dyDescent="0.2">
      <c r="A1440" s="496"/>
      <c r="D1440" s="496"/>
    </row>
    <row r="1441" spans="1:4" x14ac:dyDescent="0.2">
      <c r="A1441" s="496"/>
      <c r="D1441" s="496"/>
    </row>
    <row r="1442" spans="1:4" x14ac:dyDescent="0.2">
      <c r="A1442" s="496"/>
      <c r="D1442" s="496"/>
    </row>
    <row r="1443" spans="1:4" x14ac:dyDescent="0.2">
      <c r="A1443" s="496"/>
      <c r="D1443" s="496"/>
    </row>
    <row r="1444" spans="1:4" x14ac:dyDescent="0.2">
      <c r="A1444" s="496"/>
      <c r="D1444" s="496"/>
    </row>
    <row r="1445" spans="1:4" x14ac:dyDescent="0.2">
      <c r="A1445" s="496"/>
      <c r="D1445" s="496"/>
    </row>
    <row r="1446" spans="1:4" x14ac:dyDescent="0.2">
      <c r="A1446" s="496"/>
      <c r="D1446" s="496"/>
    </row>
    <row r="1447" spans="1:4" x14ac:dyDescent="0.2">
      <c r="A1447" s="496"/>
      <c r="D1447" s="496"/>
    </row>
    <row r="1448" spans="1:4" x14ac:dyDescent="0.2">
      <c r="A1448" s="496"/>
      <c r="D1448" s="496"/>
    </row>
    <row r="1449" spans="1:4" x14ac:dyDescent="0.2">
      <c r="A1449" s="496"/>
      <c r="D1449" s="496"/>
    </row>
    <row r="1450" spans="1:4" x14ac:dyDescent="0.2">
      <c r="A1450" s="496"/>
      <c r="D1450" s="496"/>
    </row>
    <row r="1451" spans="1:4" x14ac:dyDescent="0.2">
      <c r="A1451" s="496"/>
      <c r="D1451" s="496"/>
    </row>
    <row r="1452" spans="1:4" x14ac:dyDescent="0.2">
      <c r="A1452" s="496"/>
      <c r="D1452" s="496"/>
    </row>
    <row r="1453" spans="1:4" x14ac:dyDescent="0.2">
      <c r="A1453" s="496"/>
      <c r="D1453" s="496"/>
    </row>
    <row r="1454" spans="1:4" x14ac:dyDescent="0.2">
      <c r="A1454" s="496"/>
      <c r="D1454" s="496"/>
    </row>
    <row r="1455" spans="1:4" x14ac:dyDescent="0.2">
      <c r="A1455" s="496"/>
      <c r="D1455" s="496"/>
    </row>
    <row r="1456" spans="1:4" x14ac:dyDescent="0.2">
      <c r="A1456" s="496"/>
      <c r="D1456" s="496"/>
    </row>
    <row r="1457" spans="1:4" x14ac:dyDescent="0.2">
      <c r="A1457" s="496"/>
      <c r="D1457" s="496"/>
    </row>
    <row r="1458" spans="1:4" x14ac:dyDescent="0.2">
      <c r="A1458" s="496"/>
      <c r="D1458" s="496"/>
    </row>
    <row r="1459" spans="1:4" x14ac:dyDescent="0.2">
      <c r="A1459" s="496"/>
      <c r="D1459" s="496"/>
    </row>
    <row r="1460" spans="1:4" x14ac:dyDescent="0.2">
      <c r="A1460" s="496"/>
      <c r="D1460" s="496"/>
    </row>
    <row r="1461" spans="1:4" x14ac:dyDescent="0.2">
      <c r="A1461" s="496"/>
      <c r="D1461" s="496"/>
    </row>
    <row r="1462" spans="1:4" x14ac:dyDescent="0.2">
      <c r="A1462" s="496"/>
      <c r="D1462" s="496"/>
    </row>
    <row r="1463" spans="1:4" x14ac:dyDescent="0.2">
      <c r="A1463" s="496"/>
      <c r="D1463" s="496"/>
    </row>
    <row r="1464" spans="1:4" x14ac:dyDescent="0.2">
      <c r="A1464" s="496"/>
      <c r="D1464" s="496"/>
    </row>
    <row r="1465" spans="1:4" x14ac:dyDescent="0.2">
      <c r="A1465" s="496"/>
      <c r="D1465" s="496"/>
    </row>
    <row r="1466" spans="1:4" x14ac:dyDescent="0.2">
      <c r="A1466" s="496"/>
      <c r="D1466" s="496"/>
    </row>
    <row r="1467" spans="1:4" x14ac:dyDescent="0.2">
      <c r="A1467" s="496"/>
      <c r="D1467" s="496"/>
    </row>
    <row r="1468" spans="1:4" x14ac:dyDescent="0.2">
      <c r="A1468" s="496"/>
      <c r="D1468" s="496"/>
    </row>
    <row r="1469" spans="1:4" x14ac:dyDescent="0.2">
      <c r="A1469" s="496"/>
      <c r="D1469" s="496"/>
    </row>
    <row r="1470" spans="1:4" x14ac:dyDescent="0.2">
      <c r="A1470" s="496"/>
      <c r="D1470" s="496"/>
    </row>
    <row r="1471" spans="1:4" x14ac:dyDescent="0.2">
      <c r="A1471" s="496"/>
      <c r="D1471" s="496"/>
    </row>
    <row r="1472" spans="1:4" x14ac:dyDescent="0.2">
      <c r="A1472" s="496"/>
      <c r="D1472" s="496"/>
    </row>
    <row r="1473" spans="1:4" x14ac:dyDescent="0.2">
      <c r="A1473" s="496"/>
      <c r="D1473" s="496"/>
    </row>
    <row r="1474" spans="1:4" x14ac:dyDescent="0.2">
      <c r="A1474" s="496"/>
      <c r="D1474" s="496"/>
    </row>
    <row r="1475" spans="1:4" x14ac:dyDescent="0.2">
      <c r="A1475" s="496"/>
      <c r="D1475" s="496"/>
    </row>
    <row r="1476" spans="1:4" x14ac:dyDescent="0.2">
      <c r="A1476" s="496"/>
      <c r="D1476" s="496"/>
    </row>
    <row r="1477" spans="1:4" x14ac:dyDescent="0.2">
      <c r="A1477" s="496"/>
      <c r="D1477" s="496"/>
    </row>
    <row r="1478" spans="1:4" x14ac:dyDescent="0.2">
      <c r="A1478" s="496"/>
      <c r="D1478" s="496"/>
    </row>
    <row r="1479" spans="1:4" x14ac:dyDescent="0.2">
      <c r="A1479" s="496"/>
      <c r="D1479" s="496"/>
    </row>
    <row r="1480" spans="1:4" x14ac:dyDescent="0.2">
      <c r="A1480" s="496"/>
      <c r="D1480" s="496"/>
    </row>
    <row r="1481" spans="1:4" x14ac:dyDescent="0.2">
      <c r="A1481" s="496"/>
      <c r="D1481" s="496"/>
    </row>
    <row r="1482" spans="1:4" x14ac:dyDescent="0.2">
      <c r="A1482" s="496"/>
      <c r="D1482" s="496"/>
    </row>
    <row r="1483" spans="1:4" x14ac:dyDescent="0.2">
      <c r="A1483" s="496"/>
      <c r="D1483" s="496"/>
    </row>
    <row r="1484" spans="1:4" x14ac:dyDescent="0.2">
      <c r="A1484" s="496"/>
      <c r="D1484" s="496"/>
    </row>
    <row r="1485" spans="1:4" x14ac:dyDescent="0.2">
      <c r="A1485" s="496"/>
      <c r="D1485" s="496"/>
    </row>
    <row r="1486" spans="1:4" x14ac:dyDescent="0.2">
      <c r="A1486" s="496"/>
      <c r="D1486" s="496"/>
    </row>
    <row r="1487" spans="1:4" x14ac:dyDescent="0.2">
      <c r="A1487" s="496"/>
      <c r="D1487" s="496"/>
    </row>
    <row r="1488" spans="1:4" x14ac:dyDescent="0.2">
      <c r="A1488" s="496"/>
      <c r="D1488" s="496"/>
    </row>
    <row r="1489" spans="1:4" x14ac:dyDescent="0.2">
      <c r="A1489" s="496"/>
      <c r="D1489" s="496"/>
    </row>
    <row r="1490" spans="1:4" x14ac:dyDescent="0.2">
      <c r="A1490" s="496"/>
      <c r="D1490" s="496"/>
    </row>
    <row r="1491" spans="1:4" x14ac:dyDescent="0.2">
      <c r="A1491" s="496"/>
      <c r="D1491" s="496"/>
    </row>
    <row r="1492" spans="1:4" x14ac:dyDescent="0.2">
      <c r="A1492" s="496"/>
      <c r="D1492" s="496"/>
    </row>
    <row r="1493" spans="1:4" x14ac:dyDescent="0.2">
      <c r="A1493" s="496"/>
      <c r="D1493" s="496"/>
    </row>
    <row r="1494" spans="1:4" x14ac:dyDescent="0.2">
      <c r="A1494" s="496"/>
      <c r="D1494" s="496"/>
    </row>
    <row r="1495" spans="1:4" x14ac:dyDescent="0.2">
      <c r="A1495" s="496"/>
      <c r="D1495" s="496"/>
    </row>
    <row r="1496" spans="1:4" x14ac:dyDescent="0.2">
      <c r="A1496" s="496"/>
      <c r="D1496" s="496"/>
    </row>
    <row r="1497" spans="1:4" x14ac:dyDescent="0.2">
      <c r="A1497" s="496"/>
      <c r="D1497" s="496"/>
    </row>
    <row r="1498" spans="1:4" x14ac:dyDescent="0.2">
      <c r="A1498" s="496"/>
      <c r="D1498" s="496"/>
    </row>
    <row r="1499" spans="1:4" x14ac:dyDescent="0.2">
      <c r="A1499" s="496"/>
      <c r="D1499" s="496"/>
    </row>
    <row r="1500" spans="1:4" x14ac:dyDescent="0.2">
      <c r="A1500" s="496"/>
      <c r="D1500" s="496"/>
    </row>
    <row r="1501" spans="1:4" x14ac:dyDescent="0.2">
      <c r="A1501" s="496"/>
      <c r="D1501" s="496"/>
    </row>
    <row r="1502" spans="1:4" x14ac:dyDescent="0.2">
      <c r="A1502" s="496"/>
      <c r="D1502" s="496"/>
    </row>
    <row r="1503" spans="1:4" x14ac:dyDescent="0.2">
      <c r="A1503" s="496"/>
      <c r="D1503" s="496"/>
    </row>
    <row r="1504" spans="1:4" x14ac:dyDescent="0.2">
      <c r="A1504" s="496"/>
      <c r="D1504" s="496"/>
    </row>
    <row r="1505" spans="1:4" x14ac:dyDescent="0.2">
      <c r="A1505" s="496"/>
      <c r="D1505" s="496"/>
    </row>
    <row r="1506" spans="1:4" x14ac:dyDescent="0.2">
      <c r="A1506" s="496"/>
      <c r="D1506" s="496"/>
    </row>
    <row r="1507" spans="1:4" x14ac:dyDescent="0.2">
      <c r="A1507" s="496"/>
      <c r="D1507" s="496"/>
    </row>
    <row r="1508" spans="1:4" x14ac:dyDescent="0.2">
      <c r="A1508" s="496"/>
      <c r="D1508" s="496"/>
    </row>
    <row r="1509" spans="1:4" x14ac:dyDescent="0.2">
      <c r="A1509" s="496"/>
      <c r="D1509" s="496"/>
    </row>
    <row r="1510" spans="1:4" x14ac:dyDescent="0.2">
      <c r="A1510" s="496"/>
      <c r="D1510" s="496"/>
    </row>
    <row r="1511" spans="1:4" x14ac:dyDescent="0.2">
      <c r="A1511" s="496"/>
      <c r="D1511" s="496"/>
    </row>
    <row r="1512" spans="1:4" x14ac:dyDescent="0.2">
      <c r="A1512" s="496"/>
      <c r="D1512" s="496"/>
    </row>
    <row r="1513" spans="1:4" x14ac:dyDescent="0.2">
      <c r="A1513" s="496"/>
      <c r="D1513" s="496"/>
    </row>
    <row r="1514" spans="1:4" x14ac:dyDescent="0.2">
      <c r="A1514" s="496"/>
      <c r="D1514" s="496"/>
    </row>
    <row r="1515" spans="1:4" x14ac:dyDescent="0.2">
      <c r="A1515" s="496"/>
      <c r="D1515" s="496"/>
    </row>
    <row r="1516" spans="1:4" x14ac:dyDescent="0.2">
      <c r="A1516" s="496"/>
      <c r="D1516" s="496"/>
    </row>
    <row r="1517" spans="1:4" x14ac:dyDescent="0.2">
      <c r="A1517" s="496"/>
      <c r="D1517" s="496"/>
    </row>
    <row r="1518" spans="1:4" x14ac:dyDescent="0.2">
      <c r="A1518" s="496"/>
      <c r="D1518" s="496"/>
    </row>
    <row r="1519" spans="1:4" x14ac:dyDescent="0.2">
      <c r="A1519" s="496"/>
      <c r="D1519" s="496"/>
    </row>
    <row r="1520" spans="1:4" x14ac:dyDescent="0.2">
      <c r="A1520" s="496"/>
      <c r="D1520" s="496"/>
    </row>
    <row r="1521" spans="1:4" x14ac:dyDescent="0.2">
      <c r="A1521" s="496"/>
      <c r="D1521" s="496"/>
    </row>
    <row r="1522" spans="1:4" x14ac:dyDescent="0.2">
      <c r="A1522" s="496"/>
      <c r="D1522" s="496"/>
    </row>
    <row r="1523" spans="1:4" x14ac:dyDescent="0.2">
      <c r="A1523" s="496"/>
      <c r="D1523" s="496"/>
    </row>
    <row r="1524" spans="1:4" x14ac:dyDescent="0.2">
      <c r="A1524" s="496"/>
      <c r="D1524" s="496"/>
    </row>
    <row r="1525" spans="1:4" x14ac:dyDescent="0.2">
      <c r="A1525" s="496"/>
      <c r="D1525" s="496"/>
    </row>
    <row r="1526" spans="1:4" x14ac:dyDescent="0.2">
      <c r="A1526" s="496"/>
      <c r="D1526" s="496"/>
    </row>
    <row r="1527" spans="1:4" x14ac:dyDescent="0.2">
      <c r="A1527" s="496"/>
      <c r="D1527" s="496"/>
    </row>
    <row r="1528" spans="1:4" x14ac:dyDescent="0.2">
      <c r="A1528" s="496"/>
      <c r="D1528" s="496"/>
    </row>
    <row r="1529" spans="1:4" x14ac:dyDescent="0.2">
      <c r="A1529" s="496"/>
      <c r="D1529" s="496"/>
    </row>
    <row r="1530" spans="1:4" x14ac:dyDescent="0.2">
      <c r="A1530" s="496"/>
      <c r="D1530" s="496"/>
    </row>
    <row r="1531" spans="1:4" x14ac:dyDescent="0.2">
      <c r="A1531" s="496"/>
      <c r="D1531" s="496"/>
    </row>
    <row r="1532" spans="1:4" x14ac:dyDescent="0.2">
      <c r="A1532" s="496"/>
      <c r="D1532" s="496"/>
    </row>
    <row r="1533" spans="1:4" x14ac:dyDescent="0.2">
      <c r="A1533" s="496"/>
      <c r="D1533" s="496"/>
    </row>
    <row r="1534" spans="1:4" x14ac:dyDescent="0.2">
      <c r="A1534" s="496"/>
      <c r="D1534" s="496"/>
    </row>
    <row r="1535" spans="1:4" x14ac:dyDescent="0.2">
      <c r="A1535" s="496"/>
      <c r="D1535" s="496"/>
    </row>
    <row r="1536" spans="1:4" x14ac:dyDescent="0.2">
      <c r="A1536" s="496"/>
      <c r="D1536" s="496"/>
    </row>
    <row r="1537" spans="1:4" x14ac:dyDescent="0.2">
      <c r="A1537" s="496"/>
      <c r="D1537" s="496"/>
    </row>
    <row r="1538" spans="1:4" x14ac:dyDescent="0.2">
      <c r="A1538" s="496"/>
      <c r="D1538" s="496"/>
    </row>
    <row r="1539" spans="1:4" x14ac:dyDescent="0.2">
      <c r="A1539" s="496"/>
      <c r="D1539" s="496"/>
    </row>
    <row r="1540" spans="1:4" x14ac:dyDescent="0.2">
      <c r="A1540" s="496"/>
      <c r="D1540" s="496"/>
    </row>
    <row r="1541" spans="1:4" x14ac:dyDescent="0.2">
      <c r="A1541" s="496"/>
      <c r="D1541" s="496"/>
    </row>
    <row r="1542" spans="1:4" x14ac:dyDescent="0.2">
      <c r="A1542" s="496"/>
      <c r="D1542" s="496"/>
    </row>
    <row r="1543" spans="1:4" x14ac:dyDescent="0.2">
      <c r="A1543" s="496"/>
      <c r="D1543" s="496"/>
    </row>
    <row r="1544" spans="1:4" x14ac:dyDescent="0.2">
      <c r="A1544" s="496"/>
      <c r="D1544" s="496"/>
    </row>
    <row r="1545" spans="1:4" x14ac:dyDescent="0.2">
      <c r="A1545" s="496"/>
      <c r="D1545" s="496"/>
    </row>
    <row r="1546" spans="1:4" x14ac:dyDescent="0.2">
      <c r="A1546" s="496"/>
      <c r="D1546" s="496"/>
    </row>
    <row r="1547" spans="1:4" x14ac:dyDescent="0.2">
      <c r="A1547" s="496"/>
      <c r="D1547" s="496"/>
    </row>
    <row r="1548" spans="1:4" x14ac:dyDescent="0.2">
      <c r="A1548" s="496"/>
      <c r="D1548" s="496"/>
    </row>
    <row r="1549" spans="1:4" x14ac:dyDescent="0.2">
      <c r="A1549" s="496"/>
      <c r="D1549" s="496"/>
    </row>
    <row r="1550" spans="1:4" x14ac:dyDescent="0.2">
      <c r="A1550" s="496"/>
      <c r="D1550" s="496"/>
    </row>
    <row r="1551" spans="1:4" x14ac:dyDescent="0.2">
      <c r="A1551" s="496"/>
      <c r="D1551" s="496"/>
    </row>
    <row r="1552" spans="1:4" x14ac:dyDescent="0.2">
      <c r="A1552" s="496"/>
      <c r="D1552" s="496"/>
    </row>
    <row r="1553" spans="1:4" x14ac:dyDescent="0.2">
      <c r="A1553" s="496"/>
      <c r="D1553" s="496"/>
    </row>
    <row r="1554" spans="1:4" x14ac:dyDescent="0.2">
      <c r="A1554" s="496"/>
      <c r="D1554" s="496"/>
    </row>
    <row r="1555" spans="1:4" x14ac:dyDescent="0.2">
      <c r="A1555" s="496"/>
      <c r="D1555" s="496"/>
    </row>
    <row r="1556" spans="1:4" x14ac:dyDescent="0.2">
      <c r="A1556" s="496"/>
      <c r="D1556" s="496"/>
    </row>
    <row r="1557" spans="1:4" x14ac:dyDescent="0.2">
      <c r="A1557" s="496"/>
      <c r="D1557" s="496"/>
    </row>
    <row r="1558" spans="1:4" x14ac:dyDescent="0.2">
      <c r="A1558" s="496"/>
      <c r="D1558" s="496"/>
    </row>
    <row r="1559" spans="1:4" x14ac:dyDescent="0.2">
      <c r="A1559" s="496"/>
      <c r="D1559" s="496"/>
    </row>
    <row r="1560" spans="1:4" x14ac:dyDescent="0.2">
      <c r="A1560" s="496"/>
      <c r="D1560" s="496"/>
    </row>
    <row r="1561" spans="1:4" x14ac:dyDescent="0.2">
      <c r="A1561" s="496"/>
      <c r="D1561" s="496"/>
    </row>
    <row r="1562" spans="1:4" x14ac:dyDescent="0.2">
      <c r="A1562" s="496"/>
      <c r="D1562" s="496"/>
    </row>
    <row r="1563" spans="1:4" x14ac:dyDescent="0.2">
      <c r="A1563" s="496"/>
      <c r="D1563" s="496"/>
    </row>
    <row r="1564" spans="1:4" x14ac:dyDescent="0.2">
      <c r="A1564" s="496"/>
      <c r="D1564" s="496"/>
    </row>
    <row r="1565" spans="1:4" x14ac:dyDescent="0.2">
      <c r="A1565" s="496"/>
      <c r="D1565" s="496"/>
    </row>
    <row r="1566" spans="1:4" x14ac:dyDescent="0.2">
      <c r="A1566" s="496"/>
      <c r="D1566" s="496"/>
    </row>
    <row r="1567" spans="1:4" x14ac:dyDescent="0.2">
      <c r="A1567" s="496"/>
      <c r="D1567" s="496"/>
    </row>
    <row r="1568" spans="1:4" x14ac:dyDescent="0.2">
      <c r="A1568" s="496"/>
      <c r="D1568" s="496"/>
    </row>
    <row r="1569" spans="1:4" x14ac:dyDescent="0.2">
      <c r="A1569" s="496"/>
      <c r="D1569" s="496"/>
    </row>
    <row r="1570" spans="1:4" x14ac:dyDescent="0.2">
      <c r="A1570" s="496"/>
      <c r="D1570" s="496"/>
    </row>
    <row r="1571" spans="1:4" x14ac:dyDescent="0.2">
      <c r="A1571" s="496"/>
      <c r="D1571" s="496"/>
    </row>
    <row r="1572" spans="1:4" x14ac:dyDescent="0.2">
      <c r="A1572" s="496"/>
      <c r="D1572" s="496"/>
    </row>
    <row r="1573" spans="1:4" x14ac:dyDescent="0.2">
      <c r="A1573" s="496"/>
      <c r="D1573" s="496"/>
    </row>
    <row r="1574" spans="1:4" x14ac:dyDescent="0.2">
      <c r="A1574" s="496"/>
      <c r="D1574" s="496"/>
    </row>
    <row r="1575" spans="1:4" x14ac:dyDescent="0.2">
      <c r="A1575" s="496"/>
      <c r="D1575" s="496"/>
    </row>
    <row r="1576" spans="1:4" x14ac:dyDescent="0.2">
      <c r="A1576" s="496"/>
      <c r="D1576" s="496"/>
    </row>
    <row r="1577" spans="1:4" x14ac:dyDescent="0.2">
      <c r="A1577" s="496"/>
      <c r="D1577" s="496"/>
    </row>
    <row r="1578" spans="1:4" x14ac:dyDescent="0.2">
      <c r="A1578" s="496"/>
      <c r="D1578" s="496"/>
    </row>
    <row r="1579" spans="1:4" x14ac:dyDescent="0.2">
      <c r="A1579" s="496"/>
      <c r="D1579" s="496"/>
    </row>
    <row r="1580" spans="1:4" x14ac:dyDescent="0.2">
      <c r="A1580" s="496"/>
      <c r="D1580" s="496"/>
    </row>
    <row r="1581" spans="1:4" x14ac:dyDescent="0.2">
      <c r="A1581" s="496"/>
      <c r="D1581" s="496"/>
    </row>
    <row r="1582" spans="1:4" x14ac:dyDescent="0.2">
      <c r="A1582" s="496"/>
      <c r="D1582" s="496"/>
    </row>
    <row r="1583" spans="1:4" x14ac:dyDescent="0.2">
      <c r="A1583" s="496"/>
      <c r="D1583" s="496"/>
    </row>
    <row r="1584" spans="1:4" x14ac:dyDescent="0.2">
      <c r="A1584" s="496"/>
      <c r="D1584" s="496"/>
    </row>
    <row r="1585" spans="1:4" x14ac:dyDescent="0.2">
      <c r="A1585" s="496"/>
      <c r="D1585" s="496"/>
    </row>
    <row r="1586" spans="1:4" x14ac:dyDescent="0.2">
      <c r="A1586" s="496"/>
      <c r="D1586" s="496"/>
    </row>
    <row r="1587" spans="1:4" x14ac:dyDescent="0.2">
      <c r="A1587" s="496"/>
      <c r="D1587" s="496"/>
    </row>
    <row r="1588" spans="1:4" x14ac:dyDescent="0.2">
      <c r="A1588" s="496"/>
      <c r="D1588" s="496"/>
    </row>
    <row r="1589" spans="1:4" x14ac:dyDescent="0.2">
      <c r="A1589" s="496"/>
      <c r="D1589" s="496"/>
    </row>
    <row r="1590" spans="1:4" x14ac:dyDescent="0.2">
      <c r="A1590" s="496"/>
      <c r="D1590" s="496"/>
    </row>
    <row r="1591" spans="1:4" x14ac:dyDescent="0.2">
      <c r="A1591" s="496"/>
      <c r="D1591" s="496"/>
    </row>
    <row r="1592" spans="1:4" x14ac:dyDescent="0.2">
      <c r="A1592" s="496"/>
      <c r="D1592" s="496"/>
    </row>
    <row r="1593" spans="1:4" x14ac:dyDescent="0.2">
      <c r="A1593" s="496"/>
      <c r="D1593" s="496"/>
    </row>
    <row r="1594" spans="1:4" x14ac:dyDescent="0.2">
      <c r="A1594" s="496"/>
      <c r="D1594" s="496"/>
    </row>
    <row r="1595" spans="1:4" x14ac:dyDescent="0.2">
      <c r="A1595" s="496"/>
      <c r="D1595" s="496"/>
    </row>
    <row r="1596" spans="1:4" x14ac:dyDescent="0.2">
      <c r="A1596" s="496"/>
      <c r="D1596" s="496"/>
    </row>
    <row r="1597" spans="1:4" x14ac:dyDescent="0.2">
      <c r="A1597" s="496"/>
      <c r="D1597" s="496"/>
    </row>
    <row r="1598" spans="1:4" x14ac:dyDescent="0.2">
      <c r="A1598" s="496"/>
      <c r="D1598" s="496"/>
    </row>
    <row r="1599" spans="1:4" x14ac:dyDescent="0.2">
      <c r="A1599" s="496"/>
      <c r="D1599" s="496"/>
    </row>
    <row r="1600" spans="1:4" x14ac:dyDescent="0.2">
      <c r="A1600" s="496"/>
      <c r="D1600" s="496"/>
    </row>
    <row r="1601" spans="1:4" x14ac:dyDescent="0.2">
      <c r="A1601" s="496"/>
      <c r="D1601" s="496"/>
    </row>
    <row r="1602" spans="1:4" x14ac:dyDescent="0.2">
      <c r="A1602" s="496"/>
      <c r="D1602" s="496"/>
    </row>
    <row r="1603" spans="1:4" x14ac:dyDescent="0.2">
      <c r="A1603" s="496"/>
      <c r="D1603" s="496"/>
    </row>
    <row r="1604" spans="1:4" x14ac:dyDescent="0.2">
      <c r="A1604" s="496"/>
      <c r="D1604" s="496"/>
    </row>
    <row r="1605" spans="1:4" x14ac:dyDescent="0.2">
      <c r="A1605" s="496"/>
      <c r="D1605" s="496"/>
    </row>
    <row r="1606" spans="1:4" x14ac:dyDescent="0.2">
      <c r="A1606" s="496"/>
      <c r="D1606" s="496"/>
    </row>
    <row r="1607" spans="1:4" x14ac:dyDescent="0.2">
      <c r="A1607" s="496"/>
      <c r="D1607" s="496"/>
    </row>
    <row r="1608" spans="1:4" x14ac:dyDescent="0.2">
      <c r="A1608" s="496"/>
      <c r="D1608" s="496"/>
    </row>
    <row r="1609" spans="1:4" x14ac:dyDescent="0.2">
      <c r="A1609" s="496"/>
      <c r="D1609" s="496"/>
    </row>
    <row r="1610" spans="1:4" x14ac:dyDescent="0.2">
      <c r="A1610" s="496"/>
      <c r="D1610" s="496"/>
    </row>
    <row r="1611" spans="1:4" x14ac:dyDescent="0.2">
      <c r="A1611" s="496"/>
      <c r="D1611" s="496"/>
    </row>
    <row r="1612" spans="1:4" x14ac:dyDescent="0.2">
      <c r="A1612" s="496"/>
      <c r="D1612" s="496"/>
    </row>
    <row r="1613" spans="1:4" x14ac:dyDescent="0.2">
      <c r="A1613" s="496"/>
      <c r="D1613" s="496"/>
    </row>
    <row r="1614" spans="1:4" x14ac:dyDescent="0.2">
      <c r="A1614" s="496"/>
      <c r="D1614" s="496"/>
    </row>
    <row r="1615" spans="1:4" x14ac:dyDescent="0.2">
      <c r="A1615" s="496"/>
      <c r="D1615" s="496"/>
    </row>
    <row r="1616" spans="1:4" x14ac:dyDescent="0.2">
      <c r="A1616" s="496"/>
      <c r="D1616" s="496"/>
    </row>
    <row r="1617" spans="1:4" x14ac:dyDescent="0.2">
      <c r="A1617" s="496"/>
      <c r="D1617" s="496"/>
    </row>
    <row r="1618" spans="1:4" x14ac:dyDescent="0.2">
      <c r="A1618" s="496"/>
      <c r="D1618" s="496"/>
    </row>
    <row r="1619" spans="1:4" x14ac:dyDescent="0.2">
      <c r="A1619" s="496"/>
      <c r="D1619" s="496"/>
    </row>
    <row r="1620" spans="1:4" x14ac:dyDescent="0.2">
      <c r="A1620" s="496"/>
      <c r="D1620" s="496"/>
    </row>
    <row r="1621" spans="1:4" x14ac:dyDescent="0.2">
      <c r="A1621" s="496"/>
      <c r="D1621" s="496"/>
    </row>
    <row r="1622" spans="1:4" x14ac:dyDescent="0.2">
      <c r="A1622" s="496"/>
      <c r="D1622" s="496"/>
    </row>
    <row r="1623" spans="1:4" x14ac:dyDescent="0.2">
      <c r="A1623" s="496"/>
      <c r="D1623" s="496"/>
    </row>
    <row r="1624" spans="1:4" x14ac:dyDescent="0.2">
      <c r="A1624" s="496"/>
      <c r="D1624" s="496"/>
    </row>
    <row r="1625" spans="1:4" x14ac:dyDescent="0.2">
      <c r="A1625" s="496"/>
      <c r="D1625" s="496"/>
    </row>
    <row r="1626" spans="1:4" x14ac:dyDescent="0.2">
      <c r="A1626" s="496"/>
      <c r="D1626" s="496"/>
    </row>
    <row r="1627" spans="1:4" x14ac:dyDescent="0.2">
      <c r="A1627" s="496"/>
      <c r="D1627" s="496"/>
    </row>
    <row r="1628" spans="1:4" x14ac:dyDescent="0.2">
      <c r="A1628" s="496"/>
      <c r="D1628" s="496"/>
    </row>
    <row r="1629" spans="1:4" x14ac:dyDescent="0.2">
      <c r="A1629" s="496"/>
      <c r="D1629" s="496"/>
    </row>
    <row r="1630" spans="1:4" x14ac:dyDescent="0.2">
      <c r="A1630" s="496"/>
      <c r="D1630" s="496"/>
    </row>
    <row r="1631" spans="1:4" x14ac:dyDescent="0.2">
      <c r="A1631" s="496"/>
      <c r="D1631" s="496"/>
    </row>
    <row r="1632" spans="1:4" x14ac:dyDescent="0.2">
      <c r="A1632" s="496"/>
      <c r="D1632" s="496"/>
    </row>
    <row r="1633" spans="1:4" x14ac:dyDescent="0.2">
      <c r="A1633" s="496"/>
      <c r="D1633" s="496"/>
    </row>
    <row r="1634" spans="1:4" x14ac:dyDescent="0.2">
      <c r="A1634" s="496"/>
      <c r="D1634" s="496"/>
    </row>
    <row r="1635" spans="1:4" x14ac:dyDescent="0.2">
      <c r="A1635" s="496"/>
      <c r="D1635" s="496"/>
    </row>
    <row r="1636" spans="1:4" x14ac:dyDescent="0.2">
      <c r="A1636" s="496"/>
      <c r="D1636" s="496"/>
    </row>
    <row r="1637" spans="1:4" x14ac:dyDescent="0.2">
      <c r="A1637" s="496"/>
      <c r="D1637" s="496"/>
    </row>
    <row r="1638" spans="1:4" x14ac:dyDescent="0.2">
      <c r="A1638" s="496"/>
      <c r="D1638" s="496"/>
    </row>
    <row r="1639" spans="1:4" x14ac:dyDescent="0.2">
      <c r="A1639" s="496"/>
      <c r="D1639" s="496"/>
    </row>
    <row r="1640" spans="1:4" x14ac:dyDescent="0.2">
      <c r="A1640" s="496"/>
      <c r="D1640" s="496"/>
    </row>
    <row r="1641" spans="1:4" x14ac:dyDescent="0.2">
      <c r="A1641" s="496"/>
      <c r="D1641" s="496"/>
    </row>
    <row r="1642" spans="1:4" x14ac:dyDescent="0.2">
      <c r="A1642" s="496"/>
      <c r="D1642" s="496"/>
    </row>
    <row r="1643" spans="1:4" x14ac:dyDescent="0.2">
      <c r="A1643" s="496"/>
      <c r="D1643" s="496"/>
    </row>
    <row r="1644" spans="1:4" x14ac:dyDescent="0.2">
      <c r="A1644" s="496"/>
      <c r="D1644" s="496"/>
    </row>
    <row r="1645" spans="1:4" x14ac:dyDescent="0.2">
      <c r="A1645" s="496"/>
      <c r="D1645" s="496"/>
    </row>
    <row r="1646" spans="1:4" x14ac:dyDescent="0.2">
      <c r="A1646" s="496"/>
      <c r="D1646" s="496"/>
    </row>
    <row r="1647" spans="1:4" x14ac:dyDescent="0.2">
      <c r="A1647" s="496"/>
      <c r="D1647" s="496"/>
    </row>
    <row r="1648" spans="1:4" x14ac:dyDescent="0.2">
      <c r="A1648" s="496"/>
      <c r="D1648" s="496"/>
    </row>
    <row r="1649" spans="1:4" x14ac:dyDescent="0.2">
      <c r="A1649" s="496"/>
      <c r="D1649" s="496"/>
    </row>
    <row r="1650" spans="1:4" x14ac:dyDescent="0.2">
      <c r="A1650" s="496"/>
      <c r="D1650" s="496"/>
    </row>
    <row r="1651" spans="1:4" x14ac:dyDescent="0.2">
      <c r="A1651" s="496"/>
      <c r="D1651" s="496"/>
    </row>
    <row r="1652" spans="1:4" x14ac:dyDescent="0.2">
      <c r="A1652" s="496"/>
      <c r="D1652" s="496"/>
    </row>
    <row r="1653" spans="1:4" x14ac:dyDescent="0.2">
      <c r="A1653" s="496"/>
      <c r="D1653" s="496"/>
    </row>
    <row r="1654" spans="1:4" x14ac:dyDescent="0.2">
      <c r="A1654" s="496"/>
      <c r="D1654" s="496"/>
    </row>
    <row r="1655" spans="1:4" x14ac:dyDescent="0.2">
      <c r="A1655" s="496"/>
      <c r="D1655" s="496"/>
    </row>
    <row r="1656" spans="1:4" x14ac:dyDescent="0.2">
      <c r="A1656" s="496"/>
      <c r="D1656" s="496"/>
    </row>
    <row r="1657" spans="1:4" x14ac:dyDescent="0.2">
      <c r="A1657" s="496"/>
      <c r="D1657" s="496"/>
    </row>
    <row r="1658" spans="1:4" x14ac:dyDescent="0.2">
      <c r="A1658" s="496"/>
      <c r="D1658" s="496"/>
    </row>
    <row r="1659" spans="1:4" x14ac:dyDescent="0.2">
      <c r="A1659" s="496"/>
      <c r="D1659" s="496"/>
    </row>
    <row r="1660" spans="1:4" x14ac:dyDescent="0.2">
      <c r="A1660" s="496"/>
      <c r="D1660" s="496"/>
    </row>
    <row r="1661" spans="1:4" x14ac:dyDescent="0.2">
      <c r="A1661" s="496"/>
      <c r="D1661" s="496"/>
    </row>
    <row r="1662" spans="1:4" x14ac:dyDescent="0.2">
      <c r="A1662" s="496"/>
      <c r="D1662" s="496"/>
    </row>
    <row r="1663" spans="1:4" x14ac:dyDescent="0.2">
      <c r="A1663" s="496"/>
      <c r="D1663" s="496"/>
    </row>
    <row r="1664" spans="1:4" x14ac:dyDescent="0.2">
      <c r="A1664" s="496"/>
      <c r="D1664" s="496"/>
    </row>
    <row r="1665" spans="1:4" x14ac:dyDescent="0.2">
      <c r="A1665" s="496"/>
      <c r="D1665" s="496"/>
    </row>
    <row r="1666" spans="1:4" x14ac:dyDescent="0.2">
      <c r="A1666" s="496"/>
      <c r="D1666" s="496"/>
    </row>
    <row r="1667" spans="1:4" x14ac:dyDescent="0.2">
      <c r="A1667" s="496"/>
      <c r="D1667" s="496"/>
    </row>
    <row r="1668" spans="1:4" x14ac:dyDescent="0.2">
      <c r="A1668" s="496"/>
      <c r="D1668" s="496"/>
    </row>
    <row r="1669" spans="1:4" x14ac:dyDescent="0.2">
      <c r="A1669" s="496"/>
      <c r="D1669" s="496"/>
    </row>
    <row r="1670" spans="1:4" x14ac:dyDescent="0.2">
      <c r="A1670" s="496"/>
      <c r="D1670" s="496"/>
    </row>
    <row r="1671" spans="1:4" x14ac:dyDescent="0.2">
      <c r="A1671" s="496"/>
      <c r="D1671" s="496"/>
    </row>
    <row r="1672" spans="1:4" x14ac:dyDescent="0.2">
      <c r="A1672" s="496"/>
      <c r="D1672" s="496"/>
    </row>
    <row r="1673" spans="1:4" x14ac:dyDescent="0.2">
      <c r="A1673" s="496"/>
      <c r="D1673" s="496"/>
    </row>
    <row r="1674" spans="1:4" x14ac:dyDescent="0.2">
      <c r="A1674" s="496"/>
      <c r="D1674" s="496"/>
    </row>
    <row r="1675" spans="1:4" x14ac:dyDescent="0.2">
      <c r="A1675" s="496"/>
      <c r="D1675" s="496"/>
    </row>
    <row r="1676" spans="1:4" x14ac:dyDescent="0.2">
      <c r="A1676" s="496"/>
      <c r="D1676" s="496"/>
    </row>
    <row r="1677" spans="1:4" x14ac:dyDescent="0.2">
      <c r="A1677" s="496"/>
      <c r="D1677" s="496"/>
    </row>
    <row r="1678" spans="1:4" x14ac:dyDescent="0.2">
      <c r="A1678" s="496"/>
      <c r="D1678" s="496"/>
    </row>
    <row r="1679" spans="1:4" x14ac:dyDescent="0.2">
      <c r="A1679" s="496"/>
      <c r="D1679" s="496"/>
    </row>
    <row r="1680" spans="1:4" x14ac:dyDescent="0.2">
      <c r="A1680" s="496"/>
      <c r="D1680" s="496"/>
    </row>
    <row r="1681" spans="1:4" x14ac:dyDescent="0.2">
      <c r="A1681" s="496"/>
      <c r="D1681" s="496"/>
    </row>
    <row r="1682" spans="1:4" x14ac:dyDescent="0.2">
      <c r="A1682" s="496"/>
      <c r="D1682" s="496"/>
    </row>
    <row r="1683" spans="1:4" x14ac:dyDescent="0.2">
      <c r="A1683" s="496"/>
      <c r="D1683" s="496"/>
    </row>
    <row r="1684" spans="1:4" x14ac:dyDescent="0.2">
      <c r="A1684" s="496"/>
      <c r="D1684" s="496"/>
    </row>
    <row r="1685" spans="1:4" x14ac:dyDescent="0.2">
      <c r="A1685" s="496"/>
      <c r="D1685" s="496"/>
    </row>
    <row r="1686" spans="1:4" x14ac:dyDescent="0.2">
      <c r="A1686" s="496"/>
      <c r="D1686" s="496"/>
    </row>
    <row r="1687" spans="1:4" x14ac:dyDescent="0.2">
      <c r="A1687" s="496"/>
      <c r="D1687" s="496"/>
    </row>
    <row r="1688" spans="1:4" x14ac:dyDescent="0.2">
      <c r="A1688" s="496"/>
      <c r="D1688" s="496"/>
    </row>
    <row r="1689" spans="1:4" x14ac:dyDescent="0.2">
      <c r="A1689" s="496"/>
      <c r="D1689" s="496"/>
    </row>
    <row r="1690" spans="1:4" x14ac:dyDescent="0.2">
      <c r="A1690" s="496"/>
      <c r="D1690" s="496"/>
    </row>
    <row r="1691" spans="1:4" x14ac:dyDescent="0.2">
      <c r="A1691" s="496"/>
      <c r="D1691" s="496"/>
    </row>
    <row r="1692" spans="1:4" x14ac:dyDescent="0.2">
      <c r="A1692" s="496"/>
      <c r="D1692" s="496"/>
    </row>
    <row r="1693" spans="1:4" x14ac:dyDescent="0.2">
      <c r="A1693" s="496"/>
      <c r="D1693" s="496"/>
    </row>
    <row r="1694" spans="1:4" x14ac:dyDescent="0.2">
      <c r="A1694" s="496"/>
      <c r="D1694" s="496"/>
    </row>
    <row r="1695" spans="1:4" x14ac:dyDescent="0.2">
      <c r="A1695" s="496"/>
      <c r="D1695" s="496"/>
    </row>
    <row r="1696" spans="1:4" x14ac:dyDescent="0.2">
      <c r="A1696" s="496"/>
      <c r="D1696" s="496"/>
    </row>
    <row r="1697" spans="1:4" x14ac:dyDescent="0.2">
      <c r="A1697" s="496"/>
      <c r="D1697" s="496"/>
    </row>
    <row r="1698" spans="1:4" x14ac:dyDescent="0.2">
      <c r="A1698" s="496"/>
      <c r="D1698" s="496"/>
    </row>
    <row r="1699" spans="1:4" x14ac:dyDescent="0.2">
      <c r="A1699" s="496"/>
      <c r="D1699" s="496"/>
    </row>
    <row r="1700" spans="1:4" x14ac:dyDescent="0.2">
      <c r="A1700" s="496"/>
      <c r="D1700" s="496"/>
    </row>
    <row r="1701" spans="1:4" x14ac:dyDescent="0.2">
      <c r="A1701" s="496"/>
      <c r="D1701" s="496"/>
    </row>
    <row r="1702" spans="1:4" x14ac:dyDescent="0.2">
      <c r="A1702" s="496"/>
      <c r="D1702" s="496"/>
    </row>
    <row r="1703" spans="1:4" x14ac:dyDescent="0.2">
      <c r="A1703" s="496"/>
      <c r="D1703" s="496"/>
    </row>
    <row r="1704" spans="1:4" x14ac:dyDescent="0.2">
      <c r="A1704" s="496"/>
      <c r="D1704" s="496"/>
    </row>
    <row r="1705" spans="1:4" x14ac:dyDescent="0.2">
      <c r="A1705" s="496"/>
      <c r="D1705" s="496"/>
    </row>
    <row r="1706" spans="1:4" x14ac:dyDescent="0.2">
      <c r="A1706" s="496"/>
      <c r="D1706" s="496"/>
    </row>
    <row r="1707" spans="1:4" x14ac:dyDescent="0.2">
      <c r="A1707" s="496"/>
      <c r="D1707" s="496"/>
    </row>
    <row r="1708" spans="1:4" x14ac:dyDescent="0.2">
      <c r="A1708" s="496"/>
      <c r="D1708" s="496"/>
    </row>
    <row r="1709" spans="1:4" x14ac:dyDescent="0.2">
      <c r="A1709" s="496"/>
      <c r="D1709" s="496"/>
    </row>
    <row r="1710" spans="1:4" x14ac:dyDescent="0.2">
      <c r="A1710" s="496"/>
      <c r="D1710" s="496"/>
    </row>
    <row r="1711" spans="1:4" x14ac:dyDescent="0.2">
      <c r="A1711" s="496"/>
      <c r="D1711" s="496"/>
    </row>
    <row r="1712" spans="1:4" x14ac:dyDescent="0.2">
      <c r="A1712" s="496"/>
      <c r="D1712" s="496"/>
    </row>
    <row r="1713" spans="1:4" x14ac:dyDescent="0.2">
      <c r="A1713" s="496"/>
      <c r="D1713" s="496"/>
    </row>
    <row r="1714" spans="1:4" x14ac:dyDescent="0.2">
      <c r="A1714" s="496"/>
      <c r="D1714" s="496"/>
    </row>
    <row r="1715" spans="1:4" x14ac:dyDescent="0.2">
      <c r="A1715" s="496"/>
      <c r="D1715" s="496"/>
    </row>
    <row r="1716" spans="1:4" x14ac:dyDescent="0.2">
      <c r="A1716" s="496"/>
      <c r="D1716" s="496"/>
    </row>
    <row r="1717" spans="1:4" x14ac:dyDescent="0.2">
      <c r="A1717" s="496"/>
      <c r="D1717" s="496"/>
    </row>
    <row r="1718" spans="1:4" x14ac:dyDescent="0.2">
      <c r="A1718" s="496"/>
      <c r="D1718" s="496"/>
    </row>
    <row r="1719" spans="1:4" x14ac:dyDescent="0.2">
      <c r="A1719" s="496"/>
      <c r="D1719" s="496"/>
    </row>
    <row r="1720" spans="1:4" x14ac:dyDescent="0.2">
      <c r="A1720" s="496"/>
      <c r="D1720" s="496"/>
    </row>
    <row r="1721" spans="1:4" x14ac:dyDescent="0.2">
      <c r="A1721" s="496"/>
      <c r="D1721" s="496"/>
    </row>
    <row r="1722" spans="1:4" x14ac:dyDescent="0.2">
      <c r="A1722" s="496"/>
      <c r="D1722" s="496"/>
    </row>
    <row r="1723" spans="1:4" x14ac:dyDescent="0.2">
      <c r="A1723" s="496"/>
      <c r="D1723" s="496"/>
    </row>
    <row r="1724" spans="1:4" x14ac:dyDescent="0.2">
      <c r="A1724" s="496"/>
      <c r="D1724" s="496"/>
    </row>
    <row r="1725" spans="1:4" x14ac:dyDescent="0.2">
      <c r="A1725" s="496"/>
      <c r="D1725" s="496"/>
    </row>
    <row r="1726" spans="1:4" x14ac:dyDescent="0.2">
      <c r="A1726" s="496"/>
      <c r="D1726" s="496"/>
    </row>
    <row r="1727" spans="1:4" x14ac:dyDescent="0.2">
      <c r="A1727" s="496"/>
      <c r="D1727" s="496"/>
    </row>
    <row r="1728" spans="1:4" x14ac:dyDescent="0.2">
      <c r="A1728" s="496"/>
      <c r="D1728" s="496"/>
    </row>
    <row r="1729" spans="1:4" x14ac:dyDescent="0.2">
      <c r="A1729" s="496"/>
      <c r="D1729" s="496"/>
    </row>
    <row r="1730" spans="1:4" x14ac:dyDescent="0.2">
      <c r="A1730" s="496"/>
      <c r="D1730" s="496"/>
    </row>
    <row r="1731" spans="1:4" x14ac:dyDescent="0.2">
      <c r="A1731" s="496"/>
      <c r="D1731" s="496"/>
    </row>
    <row r="1732" spans="1:4" x14ac:dyDescent="0.2">
      <c r="A1732" s="496"/>
      <c r="D1732" s="496"/>
    </row>
    <row r="1733" spans="1:4" x14ac:dyDescent="0.2">
      <c r="A1733" s="496"/>
      <c r="D1733" s="496"/>
    </row>
    <row r="1734" spans="1:4" x14ac:dyDescent="0.2">
      <c r="A1734" s="496"/>
      <c r="D1734" s="496"/>
    </row>
    <row r="1735" spans="1:4" x14ac:dyDescent="0.2">
      <c r="A1735" s="496"/>
      <c r="D1735" s="496"/>
    </row>
    <row r="1736" spans="1:4" x14ac:dyDescent="0.2">
      <c r="A1736" s="496"/>
      <c r="D1736" s="496"/>
    </row>
    <row r="1737" spans="1:4" x14ac:dyDescent="0.2">
      <c r="A1737" s="496"/>
      <c r="D1737" s="496"/>
    </row>
    <row r="1738" spans="1:4" x14ac:dyDescent="0.2">
      <c r="A1738" s="496"/>
      <c r="D1738" s="496"/>
    </row>
    <row r="1739" spans="1:4" x14ac:dyDescent="0.2">
      <c r="A1739" s="496"/>
      <c r="D1739" s="496"/>
    </row>
    <row r="1740" spans="1:4" x14ac:dyDescent="0.2">
      <c r="A1740" s="496"/>
      <c r="D1740" s="496"/>
    </row>
    <row r="1741" spans="1:4" x14ac:dyDescent="0.2">
      <c r="A1741" s="496"/>
      <c r="D1741" s="496"/>
    </row>
    <row r="1742" spans="1:4" x14ac:dyDescent="0.2">
      <c r="A1742" s="496"/>
      <c r="D1742" s="496"/>
    </row>
    <row r="1743" spans="1:4" x14ac:dyDescent="0.2">
      <c r="A1743" s="496"/>
      <c r="D1743" s="496"/>
    </row>
    <row r="1744" spans="1:4" x14ac:dyDescent="0.2">
      <c r="A1744" s="496"/>
      <c r="D1744" s="496"/>
    </row>
    <row r="1745" spans="1:4" x14ac:dyDescent="0.2">
      <c r="A1745" s="496"/>
      <c r="D1745" s="496"/>
    </row>
    <row r="1746" spans="1:4" x14ac:dyDescent="0.2">
      <c r="A1746" s="496"/>
      <c r="D1746" s="496"/>
    </row>
    <row r="1747" spans="1:4" x14ac:dyDescent="0.2">
      <c r="A1747" s="496"/>
      <c r="D1747" s="496"/>
    </row>
    <row r="1748" spans="1:4" x14ac:dyDescent="0.2">
      <c r="A1748" s="496"/>
      <c r="D1748" s="496"/>
    </row>
    <row r="1749" spans="1:4" x14ac:dyDescent="0.2">
      <c r="A1749" s="496"/>
      <c r="D1749" s="496"/>
    </row>
    <row r="1750" spans="1:4" x14ac:dyDescent="0.2">
      <c r="A1750" s="496"/>
      <c r="D1750" s="496"/>
    </row>
    <row r="1751" spans="1:4" x14ac:dyDescent="0.2">
      <c r="A1751" s="496"/>
      <c r="D1751" s="496"/>
    </row>
    <row r="1752" spans="1:4" x14ac:dyDescent="0.2">
      <c r="A1752" s="496"/>
      <c r="D1752" s="496"/>
    </row>
    <row r="1753" spans="1:4" x14ac:dyDescent="0.2">
      <c r="A1753" s="496"/>
      <c r="D1753" s="496"/>
    </row>
    <row r="1754" spans="1:4" x14ac:dyDescent="0.2">
      <c r="A1754" s="496"/>
      <c r="D1754" s="496"/>
    </row>
    <row r="1755" spans="1:4" x14ac:dyDescent="0.2">
      <c r="A1755" s="496"/>
      <c r="D1755" s="496"/>
    </row>
    <row r="1756" spans="1:4" x14ac:dyDescent="0.2">
      <c r="A1756" s="496"/>
      <c r="D1756" s="496"/>
    </row>
    <row r="1757" spans="1:4" x14ac:dyDescent="0.2">
      <c r="A1757" s="496"/>
      <c r="D1757" s="496"/>
    </row>
    <row r="1758" spans="1:4" x14ac:dyDescent="0.2">
      <c r="A1758" s="496"/>
      <c r="D1758" s="496"/>
    </row>
    <row r="1759" spans="1:4" x14ac:dyDescent="0.2">
      <c r="A1759" s="496"/>
      <c r="D1759" s="496"/>
    </row>
    <row r="1760" spans="1:4" x14ac:dyDescent="0.2">
      <c r="A1760" s="496"/>
      <c r="D1760" s="496"/>
    </row>
    <row r="1761" spans="1:4" x14ac:dyDescent="0.2">
      <c r="A1761" s="496"/>
      <c r="D1761" s="496"/>
    </row>
    <row r="1762" spans="1:4" x14ac:dyDescent="0.2">
      <c r="A1762" s="496"/>
      <c r="D1762" s="496"/>
    </row>
    <row r="1763" spans="1:4" x14ac:dyDescent="0.2">
      <c r="A1763" s="496"/>
      <c r="D1763" s="496"/>
    </row>
    <row r="1764" spans="1:4" x14ac:dyDescent="0.2">
      <c r="A1764" s="496"/>
      <c r="D1764" s="496"/>
    </row>
    <row r="1765" spans="1:4" x14ac:dyDescent="0.2">
      <c r="A1765" s="496"/>
      <c r="D1765" s="496"/>
    </row>
    <row r="1766" spans="1:4" x14ac:dyDescent="0.2">
      <c r="A1766" s="496"/>
      <c r="D1766" s="496"/>
    </row>
    <row r="1767" spans="1:4" x14ac:dyDescent="0.2">
      <c r="A1767" s="496"/>
      <c r="D1767" s="496"/>
    </row>
    <row r="1768" spans="1:4" x14ac:dyDescent="0.2">
      <c r="A1768" s="496"/>
      <c r="D1768" s="496"/>
    </row>
    <row r="1769" spans="1:4" x14ac:dyDescent="0.2">
      <c r="A1769" s="496"/>
      <c r="D1769" s="496"/>
    </row>
    <row r="1770" spans="1:4" x14ac:dyDescent="0.2">
      <c r="A1770" s="496"/>
      <c r="D1770" s="496"/>
    </row>
    <row r="1771" spans="1:4" x14ac:dyDescent="0.2">
      <c r="A1771" s="496"/>
      <c r="D1771" s="496"/>
    </row>
    <row r="1772" spans="1:4" x14ac:dyDescent="0.2">
      <c r="A1772" s="496"/>
      <c r="D1772" s="496"/>
    </row>
    <row r="1773" spans="1:4" x14ac:dyDescent="0.2">
      <c r="A1773" s="496"/>
      <c r="D1773" s="496"/>
    </row>
    <row r="1774" spans="1:4" x14ac:dyDescent="0.2">
      <c r="A1774" s="496"/>
      <c r="D1774" s="496"/>
    </row>
    <row r="1775" spans="1:4" x14ac:dyDescent="0.2">
      <c r="A1775" s="496"/>
      <c r="D1775" s="496"/>
    </row>
    <row r="1776" spans="1:4" x14ac:dyDescent="0.2">
      <c r="A1776" s="496"/>
      <c r="D1776" s="496"/>
    </row>
    <row r="1777" spans="1:4" x14ac:dyDescent="0.2">
      <c r="A1777" s="496"/>
      <c r="D1777" s="496"/>
    </row>
    <row r="1778" spans="1:4" x14ac:dyDescent="0.2">
      <c r="A1778" s="496"/>
      <c r="D1778" s="496"/>
    </row>
    <row r="1779" spans="1:4" x14ac:dyDescent="0.2">
      <c r="A1779" s="496"/>
      <c r="D1779" s="496"/>
    </row>
    <row r="1780" spans="1:4" x14ac:dyDescent="0.2">
      <c r="A1780" s="496"/>
      <c r="D1780" s="496"/>
    </row>
    <row r="1781" spans="1:4" x14ac:dyDescent="0.2">
      <c r="A1781" s="496"/>
      <c r="D1781" s="496"/>
    </row>
    <row r="1782" spans="1:4" x14ac:dyDescent="0.2">
      <c r="A1782" s="496"/>
      <c r="D1782" s="496"/>
    </row>
    <row r="1783" spans="1:4" x14ac:dyDescent="0.2">
      <c r="A1783" s="496"/>
      <c r="D1783" s="496"/>
    </row>
    <row r="1784" spans="1:4" x14ac:dyDescent="0.2">
      <c r="A1784" s="496"/>
      <c r="D1784" s="496"/>
    </row>
    <row r="1785" spans="1:4" x14ac:dyDescent="0.2">
      <c r="A1785" s="496"/>
      <c r="D1785" s="496"/>
    </row>
    <row r="1786" spans="1:4" x14ac:dyDescent="0.2">
      <c r="A1786" s="496"/>
      <c r="D1786" s="496"/>
    </row>
    <row r="1787" spans="1:4" x14ac:dyDescent="0.2">
      <c r="A1787" s="496"/>
      <c r="D1787" s="496"/>
    </row>
    <row r="1788" spans="1:4" x14ac:dyDescent="0.2">
      <c r="A1788" s="496"/>
      <c r="D1788" s="496"/>
    </row>
    <row r="1789" spans="1:4" x14ac:dyDescent="0.2">
      <c r="A1789" s="496"/>
      <c r="D1789" s="496"/>
    </row>
    <row r="1790" spans="1:4" x14ac:dyDescent="0.2">
      <c r="A1790" s="496"/>
      <c r="D1790" s="496"/>
    </row>
    <row r="1791" spans="1:4" x14ac:dyDescent="0.2">
      <c r="A1791" s="496"/>
      <c r="D1791" s="496"/>
    </row>
    <row r="1792" spans="1:4" x14ac:dyDescent="0.2">
      <c r="A1792" s="496"/>
      <c r="D1792" s="496"/>
    </row>
    <row r="1793" spans="1:4" x14ac:dyDescent="0.2">
      <c r="A1793" s="496"/>
      <c r="D1793" s="496"/>
    </row>
    <row r="1794" spans="1:4" x14ac:dyDescent="0.2">
      <c r="A1794" s="496"/>
      <c r="D1794" s="496"/>
    </row>
    <row r="1795" spans="1:4" x14ac:dyDescent="0.2">
      <c r="A1795" s="496"/>
      <c r="D1795" s="496"/>
    </row>
    <row r="1796" spans="1:4" x14ac:dyDescent="0.2">
      <c r="A1796" s="496"/>
      <c r="D1796" s="496"/>
    </row>
    <row r="1797" spans="1:4" x14ac:dyDescent="0.2">
      <c r="A1797" s="496"/>
      <c r="D1797" s="496"/>
    </row>
    <row r="1798" spans="1:4" x14ac:dyDescent="0.2">
      <c r="A1798" s="496"/>
      <c r="D1798" s="496"/>
    </row>
    <row r="1799" spans="1:4" x14ac:dyDescent="0.2">
      <c r="A1799" s="496"/>
      <c r="D1799" s="496"/>
    </row>
    <row r="1800" spans="1:4" x14ac:dyDescent="0.2">
      <c r="A1800" s="496"/>
      <c r="D1800" s="496"/>
    </row>
    <row r="1801" spans="1:4" x14ac:dyDescent="0.2">
      <c r="A1801" s="496"/>
      <c r="D1801" s="496"/>
    </row>
    <row r="1802" spans="1:4" x14ac:dyDescent="0.2">
      <c r="A1802" s="496"/>
      <c r="D1802" s="496"/>
    </row>
    <row r="1803" spans="1:4" x14ac:dyDescent="0.2">
      <c r="A1803" s="496"/>
      <c r="D1803" s="496"/>
    </row>
    <row r="1804" spans="1:4" x14ac:dyDescent="0.2">
      <c r="A1804" s="496"/>
      <c r="D1804" s="496"/>
    </row>
    <row r="1805" spans="1:4" x14ac:dyDescent="0.2">
      <c r="A1805" s="496"/>
      <c r="D1805" s="496"/>
    </row>
    <row r="1806" spans="1:4" x14ac:dyDescent="0.2">
      <c r="A1806" s="496"/>
      <c r="D1806" s="496"/>
    </row>
    <row r="1807" spans="1:4" x14ac:dyDescent="0.2">
      <c r="A1807" s="496"/>
      <c r="D1807" s="496"/>
    </row>
    <row r="1808" spans="1:4" x14ac:dyDescent="0.2">
      <c r="A1808" s="496"/>
      <c r="D1808" s="496"/>
    </row>
    <row r="1809" spans="1:4" x14ac:dyDescent="0.2">
      <c r="A1809" s="496"/>
      <c r="D1809" s="496"/>
    </row>
    <row r="1810" spans="1:4" x14ac:dyDescent="0.2">
      <c r="A1810" s="496"/>
      <c r="D1810" s="496"/>
    </row>
    <row r="1811" spans="1:4" x14ac:dyDescent="0.2">
      <c r="A1811" s="496"/>
      <c r="D1811" s="496"/>
    </row>
    <row r="1812" spans="1:4" x14ac:dyDescent="0.2">
      <c r="A1812" s="496"/>
      <c r="D1812" s="496"/>
    </row>
    <row r="1813" spans="1:4" x14ac:dyDescent="0.2">
      <c r="A1813" s="496"/>
      <c r="D1813" s="496"/>
    </row>
    <row r="1814" spans="1:4" x14ac:dyDescent="0.2">
      <c r="A1814" s="496"/>
      <c r="D1814" s="496"/>
    </row>
    <row r="1815" spans="1:4" x14ac:dyDescent="0.2">
      <c r="A1815" s="496"/>
      <c r="D1815" s="496"/>
    </row>
    <row r="1816" spans="1:4" x14ac:dyDescent="0.2">
      <c r="A1816" s="496"/>
      <c r="D1816" s="496"/>
    </row>
    <row r="1817" spans="1:4" x14ac:dyDescent="0.2">
      <c r="A1817" s="496"/>
      <c r="D1817" s="496"/>
    </row>
    <row r="1818" spans="1:4" x14ac:dyDescent="0.2">
      <c r="A1818" s="496"/>
      <c r="D1818" s="496"/>
    </row>
    <row r="1819" spans="1:4" x14ac:dyDescent="0.2">
      <c r="A1819" s="496"/>
      <c r="D1819" s="496"/>
    </row>
    <row r="1820" spans="1:4" x14ac:dyDescent="0.2">
      <c r="A1820" s="496"/>
      <c r="D1820" s="496"/>
    </row>
    <row r="1821" spans="1:4" x14ac:dyDescent="0.2">
      <c r="A1821" s="496"/>
      <c r="D1821" s="496"/>
    </row>
    <row r="1822" spans="1:4" x14ac:dyDescent="0.2">
      <c r="A1822" s="496"/>
      <c r="D1822" s="496"/>
    </row>
    <row r="1823" spans="1:4" x14ac:dyDescent="0.2">
      <c r="A1823" s="496"/>
      <c r="D1823" s="496"/>
    </row>
    <row r="1824" spans="1:4" x14ac:dyDescent="0.2">
      <c r="A1824" s="496"/>
      <c r="D1824" s="496"/>
    </row>
    <row r="1825" spans="1:4" x14ac:dyDescent="0.2">
      <c r="A1825" s="496"/>
      <c r="D1825" s="496"/>
    </row>
    <row r="1826" spans="1:4" x14ac:dyDescent="0.2">
      <c r="A1826" s="496"/>
      <c r="D1826" s="496"/>
    </row>
    <row r="1827" spans="1:4" x14ac:dyDescent="0.2">
      <c r="A1827" s="496"/>
      <c r="D1827" s="496"/>
    </row>
    <row r="1828" spans="1:4" x14ac:dyDescent="0.2">
      <c r="A1828" s="496"/>
      <c r="D1828" s="496"/>
    </row>
    <row r="1829" spans="1:4" x14ac:dyDescent="0.2">
      <c r="A1829" s="496"/>
      <c r="D1829" s="496"/>
    </row>
    <row r="1830" spans="1:4" x14ac:dyDescent="0.2">
      <c r="A1830" s="496"/>
      <c r="D1830" s="496"/>
    </row>
    <row r="1831" spans="1:4" x14ac:dyDescent="0.2">
      <c r="A1831" s="496"/>
      <c r="D1831" s="496"/>
    </row>
    <row r="1832" spans="1:4" x14ac:dyDescent="0.2">
      <c r="A1832" s="496"/>
      <c r="D1832" s="496"/>
    </row>
    <row r="1833" spans="1:4" x14ac:dyDescent="0.2">
      <c r="A1833" s="496"/>
      <c r="D1833" s="496"/>
    </row>
    <row r="1834" spans="1:4" x14ac:dyDescent="0.2">
      <c r="A1834" s="496"/>
      <c r="D1834" s="496"/>
    </row>
    <row r="1835" spans="1:4" x14ac:dyDescent="0.2">
      <c r="A1835" s="496"/>
      <c r="D1835" s="496"/>
    </row>
    <row r="1836" spans="1:4" x14ac:dyDescent="0.2">
      <c r="A1836" s="496"/>
      <c r="D1836" s="496"/>
    </row>
    <row r="1837" spans="1:4" x14ac:dyDescent="0.2">
      <c r="A1837" s="496"/>
      <c r="D1837" s="496"/>
    </row>
    <row r="1838" spans="1:4" x14ac:dyDescent="0.2">
      <c r="A1838" s="496"/>
      <c r="D1838" s="496"/>
    </row>
    <row r="1839" spans="1:4" x14ac:dyDescent="0.2">
      <c r="A1839" s="496"/>
      <c r="D1839" s="496"/>
    </row>
    <row r="1840" spans="1:4" x14ac:dyDescent="0.2">
      <c r="A1840" s="496"/>
      <c r="D1840" s="496"/>
    </row>
    <row r="1841" spans="1:4" x14ac:dyDescent="0.2">
      <c r="A1841" s="496"/>
      <c r="D1841" s="496"/>
    </row>
    <row r="1842" spans="1:4" x14ac:dyDescent="0.2">
      <c r="A1842" s="496"/>
      <c r="D1842" s="496"/>
    </row>
    <row r="1843" spans="1:4" x14ac:dyDescent="0.2">
      <c r="A1843" s="496"/>
      <c r="D1843" s="496"/>
    </row>
    <row r="1844" spans="1:4" x14ac:dyDescent="0.2">
      <c r="A1844" s="496"/>
      <c r="D1844" s="496"/>
    </row>
    <row r="1845" spans="1:4" x14ac:dyDescent="0.2">
      <c r="A1845" s="496"/>
      <c r="D1845" s="496"/>
    </row>
    <row r="1846" spans="1:4" x14ac:dyDescent="0.2">
      <c r="A1846" s="496"/>
      <c r="D1846" s="496"/>
    </row>
    <row r="1847" spans="1:4" x14ac:dyDescent="0.2">
      <c r="A1847" s="496"/>
      <c r="D1847" s="496"/>
    </row>
    <row r="1848" spans="1:4" x14ac:dyDescent="0.2">
      <c r="A1848" s="496"/>
      <c r="D1848" s="496"/>
    </row>
    <row r="1849" spans="1:4" x14ac:dyDescent="0.2">
      <c r="A1849" s="496"/>
      <c r="D1849" s="496"/>
    </row>
    <row r="1850" spans="1:4" x14ac:dyDescent="0.2">
      <c r="A1850" s="496"/>
      <c r="D1850" s="496"/>
    </row>
    <row r="1851" spans="1:4" x14ac:dyDescent="0.2">
      <c r="A1851" s="496"/>
      <c r="D1851" s="496"/>
    </row>
    <row r="1852" spans="1:4" x14ac:dyDescent="0.2">
      <c r="A1852" s="496"/>
      <c r="D1852" s="496"/>
    </row>
    <row r="1853" spans="1:4" x14ac:dyDescent="0.2">
      <c r="A1853" s="496"/>
      <c r="D1853" s="496"/>
    </row>
    <row r="1854" spans="1:4" x14ac:dyDescent="0.2">
      <c r="A1854" s="496"/>
      <c r="D1854" s="496"/>
    </row>
    <row r="1855" spans="1:4" x14ac:dyDescent="0.2">
      <c r="A1855" s="496"/>
      <c r="D1855" s="496"/>
    </row>
    <row r="1856" spans="1:4" x14ac:dyDescent="0.2">
      <c r="A1856" s="496"/>
      <c r="D1856" s="496"/>
    </row>
    <row r="1857" spans="1:4" x14ac:dyDescent="0.2">
      <c r="A1857" s="496"/>
      <c r="D1857" s="496"/>
    </row>
    <row r="1858" spans="1:4" x14ac:dyDescent="0.2">
      <c r="A1858" s="496"/>
      <c r="D1858" s="496"/>
    </row>
    <row r="1859" spans="1:4" x14ac:dyDescent="0.2">
      <c r="A1859" s="496"/>
      <c r="D1859" s="496"/>
    </row>
    <row r="1860" spans="1:4" x14ac:dyDescent="0.2">
      <c r="A1860" s="496"/>
      <c r="D1860" s="496"/>
    </row>
    <row r="1861" spans="1:4" x14ac:dyDescent="0.2">
      <c r="A1861" s="496"/>
      <c r="D1861" s="496"/>
    </row>
    <row r="1862" spans="1:4" x14ac:dyDescent="0.2">
      <c r="A1862" s="496"/>
      <c r="D1862" s="496"/>
    </row>
    <row r="1863" spans="1:4" x14ac:dyDescent="0.2">
      <c r="A1863" s="496"/>
      <c r="D1863" s="496"/>
    </row>
    <row r="1864" spans="1:4" x14ac:dyDescent="0.2">
      <c r="A1864" s="496"/>
      <c r="D1864" s="496"/>
    </row>
    <row r="1865" spans="1:4" x14ac:dyDescent="0.2">
      <c r="A1865" s="496"/>
      <c r="D1865" s="496"/>
    </row>
    <row r="1866" spans="1:4" x14ac:dyDescent="0.2">
      <c r="A1866" s="496"/>
      <c r="D1866" s="496"/>
    </row>
    <row r="1867" spans="1:4" x14ac:dyDescent="0.2">
      <c r="A1867" s="496"/>
      <c r="D1867" s="496"/>
    </row>
    <row r="1868" spans="1:4" x14ac:dyDescent="0.2">
      <c r="A1868" s="496"/>
      <c r="D1868" s="496"/>
    </row>
    <row r="1869" spans="1:4" x14ac:dyDescent="0.2">
      <c r="A1869" s="496"/>
      <c r="D1869" s="496"/>
    </row>
    <row r="1870" spans="1:4" x14ac:dyDescent="0.2">
      <c r="A1870" s="496"/>
      <c r="D1870" s="496"/>
    </row>
    <row r="1871" spans="1:4" x14ac:dyDescent="0.2">
      <c r="A1871" s="496"/>
      <c r="D1871" s="496"/>
    </row>
    <row r="1872" spans="1:4" x14ac:dyDescent="0.2">
      <c r="A1872" s="496"/>
      <c r="D1872" s="496"/>
    </row>
    <row r="1873" spans="1:4" x14ac:dyDescent="0.2">
      <c r="A1873" s="496"/>
      <c r="D1873" s="496"/>
    </row>
    <row r="1874" spans="1:4" x14ac:dyDescent="0.2">
      <c r="A1874" s="496"/>
      <c r="D1874" s="496"/>
    </row>
    <row r="1875" spans="1:4" x14ac:dyDescent="0.2">
      <c r="A1875" s="496"/>
      <c r="D1875" s="496"/>
    </row>
    <row r="1876" spans="1:4" x14ac:dyDescent="0.2">
      <c r="A1876" s="496"/>
      <c r="D1876" s="496"/>
    </row>
    <row r="1877" spans="1:4" x14ac:dyDescent="0.2">
      <c r="A1877" s="496"/>
      <c r="D1877" s="496"/>
    </row>
    <row r="1878" spans="1:4" x14ac:dyDescent="0.2">
      <c r="A1878" s="496"/>
      <c r="D1878" s="496"/>
    </row>
    <row r="1879" spans="1:4" x14ac:dyDescent="0.2">
      <c r="A1879" s="496"/>
      <c r="D1879" s="496"/>
    </row>
    <row r="1880" spans="1:4" x14ac:dyDescent="0.2">
      <c r="A1880" s="496"/>
      <c r="D1880" s="496"/>
    </row>
    <row r="1881" spans="1:4" x14ac:dyDescent="0.2">
      <c r="A1881" s="496"/>
      <c r="D1881" s="496"/>
    </row>
    <row r="1882" spans="1:4" x14ac:dyDescent="0.2">
      <c r="A1882" s="496"/>
      <c r="D1882" s="496"/>
    </row>
    <row r="1883" spans="1:4" x14ac:dyDescent="0.2">
      <c r="A1883" s="496"/>
      <c r="D1883" s="496"/>
    </row>
    <row r="1884" spans="1:4" x14ac:dyDescent="0.2">
      <c r="A1884" s="496"/>
      <c r="D1884" s="496"/>
    </row>
    <row r="1885" spans="1:4" x14ac:dyDescent="0.2">
      <c r="A1885" s="496"/>
      <c r="D1885" s="496"/>
    </row>
    <row r="1886" spans="1:4" x14ac:dyDescent="0.2">
      <c r="A1886" s="496"/>
      <c r="D1886" s="496"/>
    </row>
    <row r="1887" spans="1:4" x14ac:dyDescent="0.2">
      <c r="A1887" s="496"/>
      <c r="D1887" s="496"/>
    </row>
    <row r="1888" spans="1:4" x14ac:dyDescent="0.2">
      <c r="A1888" s="496"/>
      <c r="D1888" s="496"/>
    </row>
    <row r="1889" spans="1:4" x14ac:dyDescent="0.2">
      <c r="A1889" s="496"/>
      <c r="D1889" s="496"/>
    </row>
    <row r="1890" spans="1:4" x14ac:dyDescent="0.2">
      <c r="A1890" s="496"/>
      <c r="D1890" s="496"/>
    </row>
    <row r="1891" spans="1:4" x14ac:dyDescent="0.2">
      <c r="A1891" s="496"/>
      <c r="D1891" s="496"/>
    </row>
    <row r="1892" spans="1:4" x14ac:dyDescent="0.2">
      <c r="A1892" s="496"/>
      <c r="D1892" s="496"/>
    </row>
    <row r="1893" spans="1:4" x14ac:dyDescent="0.2">
      <c r="A1893" s="496"/>
      <c r="D1893" s="496"/>
    </row>
    <row r="1894" spans="1:4" x14ac:dyDescent="0.2">
      <c r="A1894" s="496"/>
      <c r="D1894" s="496"/>
    </row>
    <row r="1895" spans="1:4" x14ac:dyDescent="0.2">
      <c r="A1895" s="496"/>
      <c r="D1895" s="496"/>
    </row>
    <row r="1896" spans="1:4" x14ac:dyDescent="0.2">
      <c r="A1896" s="496"/>
      <c r="D1896" s="496"/>
    </row>
    <row r="1897" spans="1:4" x14ac:dyDescent="0.2">
      <c r="A1897" s="496"/>
      <c r="D1897" s="496"/>
    </row>
    <row r="1898" spans="1:4" x14ac:dyDescent="0.2">
      <c r="A1898" s="496"/>
      <c r="D1898" s="496"/>
    </row>
    <row r="1899" spans="1:4" x14ac:dyDescent="0.2">
      <c r="A1899" s="496"/>
      <c r="D1899" s="496"/>
    </row>
    <row r="1900" spans="1:4" x14ac:dyDescent="0.2">
      <c r="A1900" s="496"/>
      <c r="D1900" s="496"/>
    </row>
    <row r="1901" spans="1:4" x14ac:dyDescent="0.2">
      <c r="A1901" s="496"/>
      <c r="D1901" s="496"/>
    </row>
    <row r="1902" spans="1:4" x14ac:dyDescent="0.2">
      <c r="A1902" s="496"/>
      <c r="D1902" s="496"/>
    </row>
    <row r="1903" spans="1:4" x14ac:dyDescent="0.2">
      <c r="A1903" s="496"/>
      <c r="D1903" s="496"/>
    </row>
    <row r="1904" spans="1:4" x14ac:dyDescent="0.2">
      <c r="A1904" s="496"/>
      <c r="D1904" s="496"/>
    </row>
    <row r="1905" spans="1:4" x14ac:dyDescent="0.2">
      <c r="A1905" s="496"/>
      <c r="D1905" s="496"/>
    </row>
    <row r="1906" spans="1:4" x14ac:dyDescent="0.2">
      <c r="A1906" s="496"/>
      <c r="D1906" s="496"/>
    </row>
    <row r="1907" spans="1:4" x14ac:dyDescent="0.2">
      <c r="A1907" s="496"/>
      <c r="D1907" s="496"/>
    </row>
    <row r="1908" spans="1:4" x14ac:dyDescent="0.2">
      <c r="A1908" s="496"/>
      <c r="D1908" s="496"/>
    </row>
    <row r="1909" spans="1:4" x14ac:dyDescent="0.2">
      <c r="A1909" s="496"/>
      <c r="D1909" s="496"/>
    </row>
    <row r="1910" spans="1:4" x14ac:dyDescent="0.2">
      <c r="A1910" s="496"/>
      <c r="D1910" s="496"/>
    </row>
    <row r="1911" spans="1:4" x14ac:dyDescent="0.2">
      <c r="A1911" s="496"/>
      <c r="D1911" s="496"/>
    </row>
    <row r="1912" spans="1:4" x14ac:dyDescent="0.2">
      <c r="A1912" s="496"/>
      <c r="D1912" s="496"/>
    </row>
    <row r="1913" spans="1:4" x14ac:dyDescent="0.2">
      <c r="A1913" s="496"/>
      <c r="D1913" s="496"/>
    </row>
    <row r="1914" spans="1:4" x14ac:dyDescent="0.2">
      <c r="A1914" s="496"/>
      <c r="D1914" s="496"/>
    </row>
    <row r="1915" spans="1:4" x14ac:dyDescent="0.2">
      <c r="A1915" s="496"/>
      <c r="D1915" s="496"/>
    </row>
    <row r="1916" spans="1:4" x14ac:dyDescent="0.2">
      <c r="A1916" s="496"/>
      <c r="D1916" s="496"/>
    </row>
    <row r="1917" spans="1:4" x14ac:dyDescent="0.2">
      <c r="A1917" s="496"/>
      <c r="D1917" s="496"/>
    </row>
    <row r="1918" spans="1:4" x14ac:dyDescent="0.2">
      <c r="A1918" s="496"/>
      <c r="D1918" s="496"/>
    </row>
    <row r="1919" spans="1:4" x14ac:dyDescent="0.2">
      <c r="A1919" s="496"/>
      <c r="D1919" s="496"/>
    </row>
    <row r="1920" spans="1:4" x14ac:dyDescent="0.2">
      <c r="A1920" s="496"/>
      <c r="D1920" s="496"/>
    </row>
    <row r="1921" spans="1:4" x14ac:dyDescent="0.2">
      <c r="A1921" s="496"/>
      <c r="D1921" s="496"/>
    </row>
    <row r="1922" spans="1:4" x14ac:dyDescent="0.2">
      <c r="A1922" s="496"/>
      <c r="D1922" s="496"/>
    </row>
    <row r="1923" spans="1:4" x14ac:dyDescent="0.2">
      <c r="A1923" s="496"/>
      <c r="D1923" s="496"/>
    </row>
    <row r="1924" spans="1:4" x14ac:dyDescent="0.2">
      <c r="A1924" s="496"/>
      <c r="D1924" s="496"/>
    </row>
    <row r="1925" spans="1:4" x14ac:dyDescent="0.2">
      <c r="A1925" s="496"/>
      <c r="D1925" s="496"/>
    </row>
    <row r="1926" spans="1:4" x14ac:dyDescent="0.2">
      <c r="A1926" s="496"/>
      <c r="D1926" s="496"/>
    </row>
    <row r="1927" spans="1:4" x14ac:dyDescent="0.2">
      <c r="A1927" s="496"/>
      <c r="D1927" s="496"/>
    </row>
    <row r="1928" spans="1:4" x14ac:dyDescent="0.2">
      <c r="A1928" s="496"/>
      <c r="D1928" s="496"/>
    </row>
    <row r="1929" spans="1:4" x14ac:dyDescent="0.2">
      <c r="A1929" s="496"/>
      <c r="D1929" s="496"/>
    </row>
    <row r="1930" spans="1:4" x14ac:dyDescent="0.2">
      <c r="A1930" s="496"/>
      <c r="D1930" s="496"/>
    </row>
    <row r="1931" spans="1:4" x14ac:dyDescent="0.2">
      <c r="A1931" s="496"/>
      <c r="D1931" s="496"/>
    </row>
    <row r="1932" spans="1:4" x14ac:dyDescent="0.2">
      <c r="A1932" s="496"/>
      <c r="D1932" s="496"/>
    </row>
    <row r="1933" spans="1:4" x14ac:dyDescent="0.2">
      <c r="A1933" s="496"/>
      <c r="D1933" s="496"/>
    </row>
    <row r="1934" spans="1:4" x14ac:dyDescent="0.2">
      <c r="A1934" s="496"/>
      <c r="D1934" s="496"/>
    </row>
    <row r="1935" spans="1:4" x14ac:dyDescent="0.2">
      <c r="A1935" s="496"/>
      <c r="D1935" s="496"/>
    </row>
    <row r="1936" spans="1:4" x14ac:dyDescent="0.2">
      <c r="A1936" s="496"/>
      <c r="D1936" s="496"/>
    </row>
    <row r="1937" spans="1:4" x14ac:dyDescent="0.2">
      <c r="A1937" s="496"/>
      <c r="D1937" s="496"/>
    </row>
    <row r="1938" spans="1:4" x14ac:dyDescent="0.2">
      <c r="A1938" s="496"/>
      <c r="D1938" s="496"/>
    </row>
    <row r="1939" spans="1:4" x14ac:dyDescent="0.2">
      <c r="A1939" s="496"/>
      <c r="D1939" s="496"/>
    </row>
    <row r="1940" spans="1:4" x14ac:dyDescent="0.2">
      <c r="A1940" s="496"/>
      <c r="D1940" s="496"/>
    </row>
    <row r="1941" spans="1:4" x14ac:dyDescent="0.2">
      <c r="A1941" s="496"/>
      <c r="D1941" s="496"/>
    </row>
    <row r="1942" spans="1:4" x14ac:dyDescent="0.2">
      <c r="A1942" s="496"/>
      <c r="D1942" s="496"/>
    </row>
    <row r="1943" spans="1:4" x14ac:dyDescent="0.2">
      <c r="A1943" s="496"/>
      <c r="D1943" s="496"/>
    </row>
    <row r="1944" spans="1:4" x14ac:dyDescent="0.2">
      <c r="A1944" s="496"/>
      <c r="D1944" s="496"/>
    </row>
    <row r="1945" spans="1:4" x14ac:dyDescent="0.2">
      <c r="A1945" s="496"/>
      <c r="D1945" s="496"/>
    </row>
    <row r="1946" spans="1:4" x14ac:dyDescent="0.2">
      <c r="A1946" s="496"/>
      <c r="D1946" s="496"/>
    </row>
    <row r="1947" spans="1:4" x14ac:dyDescent="0.2">
      <c r="A1947" s="496"/>
      <c r="D1947" s="496"/>
    </row>
    <row r="1948" spans="1:4" x14ac:dyDescent="0.2">
      <c r="A1948" s="496"/>
      <c r="D1948" s="496"/>
    </row>
    <row r="1949" spans="1:4" x14ac:dyDescent="0.2">
      <c r="A1949" s="496"/>
      <c r="D1949" s="496"/>
    </row>
    <row r="1950" spans="1:4" x14ac:dyDescent="0.2">
      <c r="A1950" s="496"/>
      <c r="D1950" s="496"/>
    </row>
    <row r="1951" spans="1:4" x14ac:dyDescent="0.2">
      <c r="A1951" s="496"/>
      <c r="D1951" s="496"/>
    </row>
    <row r="1952" spans="1:4" x14ac:dyDescent="0.2">
      <c r="A1952" s="496"/>
      <c r="D1952" s="496"/>
    </row>
    <row r="1953" spans="1:4" x14ac:dyDescent="0.2">
      <c r="A1953" s="496"/>
      <c r="D1953" s="496"/>
    </row>
    <row r="1954" spans="1:4" x14ac:dyDescent="0.2">
      <c r="A1954" s="496"/>
      <c r="D1954" s="496"/>
    </row>
    <row r="1955" spans="1:4" x14ac:dyDescent="0.2">
      <c r="A1955" s="496"/>
      <c r="D1955" s="496"/>
    </row>
    <row r="1956" spans="1:4" x14ac:dyDescent="0.2">
      <c r="A1956" s="496"/>
      <c r="D1956" s="496"/>
    </row>
    <row r="1957" spans="1:4" x14ac:dyDescent="0.2">
      <c r="A1957" s="496"/>
      <c r="D1957" s="496"/>
    </row>
    <row r="1958" spans="1:4" x14ac:dyDescent="0.2">
      <c r="A1958" s="496"/>
      <c r="D1958" s="496"/>
    </row>
    <row r="1959" spans="1:4" x14ac:dyDescent="0.2">
      <c r="A1959" s="496"/>
      <c r="D1959" s="496"/>
    </row>
    <row r="1960" spans="1:4" x14ac:dyDescent="0.2">
      <c r="A1960" s="496"/>
      <c r="D1960" s="496"/>
    </row>
    <row r="1961" spans="1:4" x14ac:dyDescent="0.2">
      <c r="A1961" s="496"/>
      <c r="D1961" s="496"/>
    </row>
    <row r="1962" spans="1:4" x14ac:dyDescent="0.2">
      <c r="A1962" s="496"/>
      <c r="D1962" s="496"/>
    </row>
    <row r="1963" spans="1:4" x14ac:dyDescent="0.2">
      <c r="A1963" s="496"/>
      <c r="D1963" s="496"/>
    </row>
    <row r="1964" spans="1:4" x14ac:dyDescent="0.2">
      <c r="A1964" s="496"/>
      <c r="D1964" s="496"/>
    </row>
    <row r="1965" spans="1:4" x14ac:dyDescent="0.2">
      <c r="A1965" s="496"/>
      <c r="D1965" s="496"/>
    </row>
    <row r="1966" spans="1:4" x14ac:dyDescent="0.2">
      <c r="A1966" s="496"/>
      <c r="D1966" s="496"/>
    </row>
    <row r="1967" spans="1:4" x14ac:dyDescent="0.2">
      <c r="A1967" s="496"/>
      <c r="D1967" s="496"/>
    </row>
    <row r="1968" spans="1:4" x14ac:dyDescent="0.2">
      <c r="A1968" s="496"/>
      <c r="D1968" s="496"/>
    </row>
    <row r="1969" spans="1:4" x14ac:dyDescent="0.2">
      <c r="A1969" s="496"/>
      <c r="D1969" s="496"/>
    </row>
    <row r="1970" spans="1:4" x14ac:dyDescent="0.2">
      <c r="A1970" s="496"/>
      <c r="D1970" s="496"/>
    </row>
    <row r="1971" spans="1:4" x14ac:dyDescent="0.2">
      <c r="A1971" s="496"/>
      <c r="D1971" s="496"/>
    </row>
    <row r="1972" spans="1:4" x14ac:dyDescent="0.2">
      <c r="A1972" s="496"/>
      <c r="D1972" s="496"/>
    </row>
    <row r="1973" spans="1:4" x14ac:dyDescent="0.2">
      <c r="A1973" s="496"/>
      <c r="D1973" s="496"/>
    </row>
    <row r="1974" spans="1:4" x14ac:dyDescent="0.2">
      <c r="A1974" s="496"/>
      <c r="D1974" s="496"/>
    </row>
    <row r="1975" spans="1:4" x14ac:dyDescent="0.2">
      <c r="A1975" s="496"/>
      <c r="D1975" s="496"/>
    </row>
    <row r="1976" spans="1:4" x14ac:dyDescent="0.2">
      <c r="A1976" s="496"/>
      <c r="D1976" s="496"/>
    </row>
    <row r="1977" spans="1:4" x14ac:dyDescent="0.2">
      <c r="A1977" s="496"/>
      <c r="D1977" s="496"/>
    </row>
    <row r="1978" spans="1:4" x14ac:dyDescent="0.2">
      <c r="A1978" s="496"/>
      <c r="D1978" s="496"/>
    </row>
    <row r="1979" spans="1:4" x14ac:dyDescent="0.2">
      <c r="A1979" s="496"/>
      <c r="D1979" s="496"/>
    </row>
    <row r="1980" spans="1:4" x14ac:dyDescent="0.2">
      <c r="A1980" s="496"/>
      <c r="D1980" s="496"/>
    </row>
    <row r="1981" spans="1:4" x14ac:dyDescent="0.2">
      <c r="A1981" s="496"/>
      <c r="D1981" s="496"/>
    </row>
    <row r="1982" spans="1:4" x14ac:dyDescent="0.2">
      <c r="A1982" s="496"/>
      <c r="D1982" s="496"/>
    </row>
    <row r="1983" spans="1:4" x14ac:dyDescent="0.2">
      <c r="A1983" s="496"/>
      <c r="D1983" s="496"/>
    </row>
    <row r="1984" spans="1:4" x14ac:dyDescent="0.2">
      <c r="A1984" s="496"/>
      <c r="D1984" s="496"/>
    </row>
    <row r="1985" spans="1:4" x14ac:dyDescent="0.2">
      <c r="A1985" s="496"/>
      <c r="D1985" s="496"/>
    </row>
    <row r="1986" spans="1:4" x14ac:dyDescent="0.2">
      <c r="A1986" s="496"/>
      <c r="D1986" s="496"/>
    </row>
    <row r="1987" spans="1:4" x14ac:dyDescent="0.2">
      <c r="A1987" s="496"/>
      <c r="D1987" s="496"/>
    </row>
    <row r="1988" spans="1:4" x14ac:dyDescent="0.2">
      <c r="A1988" s="496"/>
      <c r="D1988" s="496"/>
    </row>
    <row r="1989" spans="1:4" x14ac:dyDescent="0.2">
      <c r="A1989" s="496"/>
      <c r="D1989" s="496"/>
    </row>
    <row r="1990" spans="1:4" x14ac:dyDescent="0.2">
      <c r="A1990" s="496"/>
      <c r="D1990" s="496"/>
    </row>
    <row r="1991" spans="1:4" x14ac:dyDescent="0.2">
      <c r="A1991" s="496"/>
      <c r="D1991" s="496"/>
    </row>
    <row r="1992" spans="1:4" x14ac:dyDescent="0.2">
      <c r="A1992" s="496"/>
      <c r="D1992" s="496"/>
    </row>
    <row r="1993" spans="1:4" x14ac:dyDescent="0.2">
      <c r="A1993" s="496"/>
      <c r="D1993" s="496"/>
    </row>
    <row r="1994" spans="1:4" x14ac:dyDescent="0.2">
      <c r="A1994" s="496"/>
      <c r="D1994" s="496"/>
    </row>
    <row r="1995" spans="1:4" x14ac:dyDescent="0.2">
      <c r="A1995" s="496"/>
      <c r="D1995" s="496"/>
    </row>
    <row r="1996" spans="1:4" x14ac:dyDescent="0.2">
      <c r="A1996" s="496"/>
      <c r="D1996" s="496"/>
    </row>
    <row r="1997" spans="1:4" x14ac:dyDescent="0.2">
      <c r="A1997" s="496"/>
      <c r="D1997" s="496"/>
    </row>
    <row r="1998" spans="1:4" x14ac:dyDescent="0.2">
      <c r="A1998" s="496"/>
      <c r="D1998" s="496"/>
    </row>
    <row r="1999" spans="1:4" x14ac:dyDescent="0.2">
      <c r="A1999" s="496"/>
      <c r="D1999" s="496"/>
    </row>
    <row r="2000" spans="1:4" x14ac:dyDescent="0.2">
      <c r="A2000" s="496"/>
      <c r="D2000" s="496"/>
    </row>
    <row r="2001" spans="1:4" x14ac:dyDescent="0.2">
      <c r="A2001" s="496"/>
      <c r="D2001" s="496"/>
    </row>
    <row r="2002" spans="1:4" x14ac:dyDescent="0.2">
      <c r="A2002" s="496"/>
      <c r="D2002" s="496"/>
    </row>
    <row r="2003" spans="1:4" x14ac:dyDescent="0.2">
      <c r="A2003" s="496"/>
      <c r="D2003" s="496"/>
    </row>
    <row r="2004" spans="1:4" x14ac:dyDescent="0.2">
      <c r="A2004" s="496"/>
      <c r="D2004" s="496"/>
    </row>
    <row r="2005" spans="1:4" x14ac:dyDescent="0.2">
      <c r="A2005" s="496"/>
      <c r="D2005" s="496"/>
    </row>
    <row r="2006" spans="1:4" x14ac:dyDescent="0.2">
      <c r="A2006" s="496"/>
      <c r="D2006" s="496"/>
    </row>
    <row r="2007" spans="1:4" x14ac:dyDescent="0.2">
      <c r="A2007" s="496"/>
      <c r="D2007" s="496"/>
    </row>
    <row r="2008" spans="1:4" x14ac:dyDescent="0.2">
      <c r="A2008" s="496"/>
      <c r="D2008" s="496"/>
    </row>
    <row r="2009" spans="1:4" x14ac:dyDescent="0.2">
      <c r="A2009" s="496"/>
      <c r="D2009" s="496"/>
    </row>
    <row r="2010" spans="1:4" x14ac:dyDescent="0.2">
      <c r="A2010" s="496"/>
      <c r="D2010" s="496"/>
    </row>
    <row r="2011" spans="1:4" x14ac:dyDescent="0.2">
      <c r="A2011" s="496"/>
      <c r="D2011" s="496"/>
    </row>
    <row r="2012" spans="1:4" x14ac:dyDescent="0.2">
      <c r="A2012" s="496"/>
      <c r="D2012" s="496"/>
    </row>
    <row r="2013" spans="1:4" x14ac:dyDescent="0.2">
      <c r="A2013" s="496"/>
      <c r="D2013" s="496"/>
    </row>
    <row r="2014" spans="1:4" x14ac:dyDescent="0.2">
      <c r="A2014" s="496"/>
      <c r="D2014" s="496"/>
    </row>
    <row r="2015" spans="1:4" x14ac:dyDescent="0.2">
      <c r="A2015" s="496"/>
      <c r="D2015" s="496"/>
    </row>
    <row r="2016" spans="1:4" x14ac:dyDescent="0.2">
      <c r="A2016" s="496"/>
      <c r="D2016" s="496"/>
    </row>
    <row r="2017" spans="1:4" x14ac:dyDescent="0.2">
      <c r="A2017" s="496"/>
      <c r="D2017" s="496"/>
    </row>
    <row r="2018" spans="1:4" x14ac:dyDescent="0.2">
      <c r="A2018" s="496"/>
      <c r="D2018" s="496"/>
    </row>
    <row r="2019" spans="1:4" x14ac:dyDescent="0.2">
      <c r="A2019" s="496"/>
      <c r="D2019" s="496"/>
    </row>
    <row r="2020" spans="1:4" x14ac:dyDescent="0.2">
      <c r="A2020" s="496"/>
      <c r="D2020" s="496"/>
    </row>
    <row r="2021" spans="1:4" x14ac:dyDescent="0.2">
      <c r="A2021" s="496"/>
      <c r="D2021" s="496"/>
    </row>
    <row r="2022" spans="1:4" x14ac:dyDescent="0.2">
      <c r="A2022" s="496"/>
      <c r="D2022" s="496"/>
    </row>
    <row r="2023" spans="1:4" x14ac:dyDescent="0.2">
      <c r="A2023" s="496"/>
      <c r="D2023" s="496"/>
    </row>
    <row r="2024" spans="1:4" x14ac:dyDescent="0.2">
      <c r="A2024" s="496"/>
      <c r="D2024" s="496"/>
    </row>
    <row r="2025" spans="1:4" x14ac:dyDescent="0.2">
      <c r="A2025" s="496"/>
      <c r="D2025" s="496"/>
    </row>
    <row r="2026" spans="1:4" x14ac:dyDescent="0.2">
      <c r="A2026" s="496"/>
      <c r="D2026" s="496"/>
    </row>
    <row r="2027" spans="1:4" x14ac:dyDescent="0.2">
      <c r="A2027" s="496"/>
      <c r="D2027" s="496"/>
    </row>
    <row r="2028" spans="1:4" x14ac:dyDescent="0.2">
      <c r="A2028" s="496"/>
      <c r="D2028" s="496"/>
    </row>
    <row r="2029" spans="1:4" x14ac:dyDescent="0.2">
      <c r="A2029" s="496"/>
      <c r="D2029" s="496"/>
    </row>
    <row r="2030" spans="1:4" x14ac:dyDescent="0.2">
      <c r="A2030" s="496"/>
      <c r="D2030" s="496"/>
    </row>
    <row r="2031" spans="1:4" x14ac:dyDescent="0.2">
      <c r="A2031" s="496"/>
      <c r="D2031" s="496"/>
    </row>
    <row r="2032" spans="1:4" x14ac:dyDescent="0.2">
      <c r="A2032" s="496"/>
      <c r="D2032" s="496"/>
    </row>
    <row r="2033" spans="1:4" x14ac:dyDescent="0.2">
      <c r="A2033" s="496"/>
      <c r="D2033" s="496"/>
    </row>
    <row r="2034" spans="1:4" x14ac:dyDescent="0.2">
      <c r="A2034" s="496"/>
      <c r="D2034" s="496"/>
    </row>
    <row r="2035" spans="1:4" x14ac:dyDescent="0.2">
      <c r="A2035" s="496"/>
      <c r="D2035" s="496"/>
    </row>
    <row r="2036" spans="1:4" x14ac:dyDescent="0.2">
      <c r="A2036" s="496"/>
      <c r="D2036" s="496"/>
    </row>
    <row r="2037" spans="1:4" x14ac:dyDescent="0.2">
      <c r="A2037" s="496"/>
      <c r="D2037" s="496"/>
    </row>
    <row r="2038" spans="1:4" x14ac:dyDescent="0.2">
      <c r="A2038" s="496"/>
      <c r="D2038" s="496"/>
    </row>
    <row r="2039" spans="1:4" x14ac:dyDescent="0.2">
      <c r="A2039" s="496"/>
      <c r="D2039" s="496"/>
    </row>
    <row r="2040" spans="1:4" x14ac:dyDescent="0.2">
      <c r="A2040" s="496"/>
      <c r="D2040" s="496"/>
    </row>
    <row r="2041" spans="1:4" x14ac:dyDescent="0.2">
      <c r="A2041" s="496"/>
      <c r="D2041" s="496"/>
    </row>
    <row r="2042" spans="1:4" x14ac:dyDescent="0.2">
      <c r="A2042" s="496"/>
      <c r="D2042" s="496"/>
    </row>
    <row r="2043" spans="1:4" x14ac:dyDescent="0.2">
      <c r="A2043" s="496"/>
      <c r="D2043" s="496"/>
    </row>
    <row r="2044" spans="1:4" x14ac:dyDescent="0.2">
      <c r="A2044" s="496"/>
      <c r="D2044" s="496"/>
    </row>
    <row r="2045" spans="1:4" x14ac:dyDescent="0.2">
      <c r="A2045" s="496"/>
      <c r="D2045" s="496"/>
    </row>
    <row r="2046" spans="1:4" x14ac:dyDescent="0.2">
      <c r="A2046" s="496"/>
      <c r="D2046" s="496"/>
    </row>
    <row r="2047" spans="1:4" x14ac:dyDescent="0.2">
      <c r="A2047" s="496"/>
      <c r="D2047" s="496"/>
    </row>
    <row r="2048" spans="1:4" x14ac:dyDescent="0.2">
      <c r="A2048" s="496"/>
      <c r="D2048" s="496"/>
    </row>
    <row r="2049" spans="1:4" x14ac:dyDescent="0.2">
      <c r="A2049" s="496"/>
      <c r="D2049" s="496"/>
    </row>
    <row r="2050" spans="1:4" x14ac:dyDescent="0.2">
      <c r="A2050" s="496"/>
      <c r="D2050" s="496"/>
    </row>
    <row r="2051" spans="1:4" x14ac:dyDescent="0.2">
      <c r="A2051" s="496"/>
      <c r="D2051" s="496"/>
    </row>
    <row r="2052" spans="1:4" x14ac:dyDescent="0.2">
      <c r="A2052" s="496"/>
      <c r="D2052" s="496"/>
    </row>
    <row r="2053" spans="1:4" x14ac:dyDescent="0.2">
      <c r="A2053" s="496"/>
      <c r="D2053" s="496"/>
    </row>
    <row r="2054" spans="1:4" x14ac:dyDescent="0.2">
      <c r="A2054" s="496"/>
      <c r="D2054" s="496"/>
    </row>
    <row r="2055" spans="1:4" x14ac:dyDescent="0.2">
      <c r="A2055" s="496"/>
      <c r="D2055" s="496"/>
    </row>
    <row r="2056" spans="1:4" x14ac:dyDescent="0.2">
      <c r="A2056" s="496"/>
      <c r="D2056" s="496"/>
    </row>
    <row r="2057" spans="1:4" x14ac:dyDescent="0.2">
      <c r="A2057" s="496"/>
      <c r="D2057" s="496"/>
    </row>
    <row r="2058" spans="1:4" x14ac:dyDescent="0.2">
      <c r="A2058" s="496"/>
      <c r="D2058" s="496"/>
    </row>
    <row r="2059" spans="1:4" x14ac:dyDescent="0.2">
      <c r="A2059" s="496"/>
      <c r="D2059" s="496"/>
    </row>
    <row r="2060" spans="1:4" x14ac:dyDescent="0.2">
      <c r="A2060" s="496"/>
      <c r="D2060" s="496"/>
    </row>
    <row r="2061" spans="1:4" x14ac:dyDescent="0.2">
      <c r="A2061" s="496"/>
      <c r="D2061" s="496"/>
    </row>
    <row r="2062" spans="1:4" x14ac:dyDescent="0.2">
      <c r="A2062" s="496"/>
      <c r="D2062" s="496"/>
    </row>
    <row r="2063" spans="1:4" x14ac:dyDescent="0.2">
      <c r="A2063" s="496"/>
      <c r="D2063" s="496"/>
    </row>
    <row r="2064" spans="1:4" x14ac:dyDescent="0.2">
      <c r="A2064" s="496"/>
      <c r="D2064" s="496"/>
    </row>
    <row r="2065" spans="1:4" x14ac:dyDescent="0.2">
      <c r="A2065" s="496"/>
      <c r="D2065" s="496"/>
    </row>
    <row r="2066" spans="1:4" x14ac:dyDescent="0.2">
      <c r="A2066" s="496"/>
      <c r="D2066" s="496"/>
    </row>
    <row r="2067" spans="1:4" x14ac:dyDescent="0.2">
      <c r="A2067" s="496"/>
      <c r="D2067" s="496"/>
    </row>
    <row r="2068" spans="1:4" x14ac:dyDescent="0.2">
      <c r="A2068" s="496"/>
      <c r="D2068" s="496"/>
    </row>
    <row r="2069" spans="1:4" x14ac:dyDescent="0.2">
      <c r="A2069" s="496"/>
      <c r="D2069" s="496"/>
    </row>
    <row r="2070" spans="1:4" x14ac:dyDescent="0.2">
      <c r="A2070" s="496"/>
      <c r="D2070" s="496"/>
    </row>
    <row r="2071" spans="1:4" x14ac:dyDescent="0.2">
      <c r="A2071" s="496"/>
      <c r="D2071" s="496"/>
    </row>
    <row r="2072" spans="1:4" x14ac:dyDescent="0.2">
      <c r="A2072" s="496"/>
      <c r="D2072" s="496"/>
    </row>
    <row r="2073" spans="1:4" x14ac:dyDescent="0.2">
      <c r="A2073" s="496"/>
      <c r="D2073" s="496"/>
    </row>
    <row r="2074" spans="1:4" x14ac:dyDescent="0.2">
      <c r="A2074" s="496"/>
      <c r="D2074" s="496"/>
    </row>
    <row r="2075" spans="1:4" x14ac:dyDescent="0.2">
      <c r="A2075" s="496"/>
      <c r="D2075" s="496"/>
    </row>
    <row r="2076" spans="1:4" x14ac:dyDescent="0.2">
      <c r="A2076" s="496"/>
      <c r="D2076" s="496"/>
    </row>
    <row r="2077" spans="1:4" x14ac:dyDescent="0.2">
      <c r="A2077" s="496"/>
      <c r="D2077" s="496"/>
    </row>
    <row r="2078" spans="1:4" x14ac:dyDescent="0.2">
      <c r="A2078" s="496"/>
      <c r="D2078" s="496"/>
    </row>
    <row r="2079" spans="1:4" x14ac:dyDescent="0.2">
      <c r="A2079" s="496"/>
      <c r="D2079" s="496"/>
    </row>
    <row r="2080" spans="1:4" x14ac:dyDescent="0.2">
      <c r="A2080" s="496"/>
      <c r="D2080" s="496"/>
    </row>
    <row r="2081" spans="1:4" x14ac:dyDescent="0.2">
      <c r="A2081" s="496"/>
      <c r="D2081" s="496"/>
    </row>
    <row r="2082" spans="1:4" x14ac:dyDescent="0.2">
      <c r="A2082" s="496"/>
      <c r="D2082" s="496"/>
    </row>
    <row r="2083" spans="1:4" x14ac:dyDescent="0.2">
      <c r="A2083" s="496"/>
      <c r="D2083" s="496"/>
    </row>
    <row r="2084" spans="1:4" x14ac:dyDescent="0.2">
      <c r="A2084" s="496"/>
      <c r="D2084" s="496"/>
    </row>
    <row r="2085" spans="1:4" x14ac:dyDescent="0.2">
      <c r="A2085" s="496"/>
      <c r="D2085" s="496"/>
    </row>
    <row r="2086" spans="1:4" x14ac:dyDescent="0.2">
      <c r="A2086" s="496"/>
      <c r="D2086" s="496"/>
    </row>
    <row r="2087" spans="1:4" x14ac:dyDescent="0.2">
      <c r="A2087" s="496"/>
      <c r="D2087" s="496"/>
    </row>
    <row r="2088" spans="1:4" x14ac:dyDescent="0.2">
      <c r="A2088" s="496"/>
      <c r="D2088" s="496"/>
    </row>
    <row r="2089" spans="1:4" x14ac:dyDescent="0.2">
      <c r="A2089" s="496"/>
      <c r="D2089" s="496"/>
    </row>
    <row r="2090" spans="1:4" x14ac:dyDescent="0.2">
      <c r="A2090" s="496"/>
      <c r="D2090" s="496"/>
    </row>
    <row r="2091" spans="1:4" x14ac:dyDescent="0.2">
      <c r="A2091" s="496"/>
      <c r="D2091" s="496"/>
    </row>
    <row r="2092" spans="1:4" x14ac:dyDescent="0.2">
      <c r="A2092" s="496"/>
      <c r="D2092" s="496"/>
    </row>
    <row r="2093" spans="1:4" x14ac:dyDescent="0.2">
      <c r="A2093" s="496"/>
      <c r="D2093" s="496"/>
    </row>
    <row r="2094" spans="1:4" x14ac:dyDescent="0.2">
      <c r="A2094" s="496"/>
      <c r="D2094" s="496"/>
    </row>
    <row r="2095" spans="1:4" x14ac:dyDescent="0.2">
      <c r="A2095" s="496"/>
      <c r="D2095" s="496"/>
    </row>
    <row r="2096" spans="1:4" x14ac:dyDescent="0.2">
      <c r="A2096" s="496"/>
      <c r="D2096" s="496"/>
    </row>
    <row r="2097" spans="1:4" x14ac:dyDescent="0.2">
      <c r="A2097" s="496"/>
      <c r="D2097" s="496"/>
    </row>
    <row r="2098" spans="1:4" x14ac:dyDescent="0.2">
      <c r="A2098" s="496"/>
      <c r="D2098" s="496"/>
    </row>
    <row r="2099" spans="1:4" x14ac:dyDescent="0.2">
      <c r="A2099" s="496"/>
      <c r="D2099" s="496"/>
    </row>
    <row r="2100" spans="1:4" x14ac:dyDescent="0.2">
      <c r="A2100" s="496"/>
      <c r="D2100" s="496"/>
    </row>
    <row r="2101" spans="1:4" x14ac:dyDescent="0.2">
      <c r="A2101" s="496"/>
      <c r="D2101" s="496"/>
    </row>
    <row r="2102" spans="1:4" x14ac:dyDescent="0.2">
      <c r="A2102" s="496"/>
      <c r="D2102" s="496"/>
    </row>
    <row r="2103" spans="1:4" x14ac:dyDescent="0.2">
      <c r="A2103" s="496"/>
      <c r="D2103" s="496"/>
    </row>
    <row r="2104" spans="1:4" x14ac:dyDescent="0.2">
      <c r="A2104" s="496"/>
      <c r="D2104" s="496"/>
    </row>
    <row r="2105" spans="1:4" x14ac:dyDescent="0.2">
      <c r="A2105" s="496"/>
      <c r="D2105" s="496"/>
    </row>
    <row r="2106" spans="1:4" x14ac:dyDescent="0.2">
      <c r="A2106" s="496"/>
      <c r="D2106" s="496"/>
    </row>
    <row r="2107" spans="1:4" x14ac:dyDescent="0.2">
      <c r="A2107" s="496"/>
      <c r="D2107" s="496"/>
    </row>
    <row r="2108" spans="1:4" x14ac:dyDescent="0.2">
      <c r="A2108" s="496"/>
      <c r="D2108" s="496"/>
    </row>
    <row r="2109" spans="1:4" x14ac:dyDescent="0.2">
      <c r="A2109" s="496"/>
      <c r="D2109" s="496"/>
    </row>
    <row r="2110" spans="1:4" x14ac:dyDescent="0.2">
      <c r="A2110" s="496"/>
      <c r="D2110" s="496"/>
    </row>
    <row r="2111" spans="1:4" x14ac:dyDescent="0.2">
      <c r="A2111" s="496"/>
      <c r="D2111" s="496"/>
    </row>
    <row r="2112" spans="1:4" x14ac:dyDescent="0.2">
      <c r="A2112" s="496"/>
      <c r="D2112" s="496"/>
    </row>
    <row r="2113" spans="1:4" x14ac:dyDescent="0.2">
      <c r="A2113" s="496"/>
      <c r="D2113" s="496"/>
    </row>
    <row r="2114" spans="1:4" x14ac:dyDescent="0.2">
      <c r="A2114" s="496"/>
      <c r="D2114" s="496"/>
    </row>
    <row r="2115" spans="1:4" x14ac:dyDescent="0.2">
      <c r="A2115" s="496"/>
      <c r="D2115" s="496"/>
    </row>
    <row r="2116" spans="1:4" x14ac:dyDescent="0.2">
      <c r="A2116" s="496"/>
      <c r="D2116" s="496"/>
    </row>
    <row r="2117" spans="1:4" x14ac:dyDescent="0.2">
      <c r="A2117" s="496"/>
      <c r="D2117" s="496"/>
    </row>
    <row r="2118" spans="1:4" x14ac:dyDescent="0.2">
      <c r="A2118" s="496"/>
      <c r="D2118" s="496"/>
    </row>
    <row r="2119" spans="1:4" x14ac:dyDescent="0.2">
      <c r="A2119" s="496"/>
      <c r="D2119" s="496"/>
    </row>
    <row r="2120" spans="1:4" x14ac:dyDescent="0.2">
      <c r="A2120" s="496"/>
      <c r="D2120" s="496"/>
    </row>
    <row r="2121" spans="1:4" x14ac:dyDescent="0.2">
      <c r="A2121" s="496"/>
      <c r="D2121" s="496"/>
    </row>
    <row r="2122" spans="1:4" x14ac:dyDescent="0.2">
      <c r="A2122" s="496"/>
      <c r="D2122" s="496"/>
    </row>
    <row r="2123" spans="1:4" x14ac:dyDescent="0.2">
      <c r="A2123" s="496"/>
      <c r="D2123" s="496"/>
    </row>
    <row r="2124" spans="1:4" x14ac:dyDescent="0.2">
      <c r="A2124" s="496"/>
      <c r="D2124" s="496"/>
    </row>
    <row r="2125" spans="1:4" x14ac:dyDescent="0.2">
      <c r="A2125" s="496"/>
      <c r="D2125" s="496"/>
    </row>
    <row r="2126" spans="1:4" x14ac:dyDescent="0.2">
      <c r="A2126" s="496"/>
      <c r="D2126" s="496"/>
    </row>
    <row r="2127" spans="1:4" x14ac:dyDescent="0.2">
      <c r="A2127" s="496"/>
      <c r="D2127" s="496"/>
    </row>
    <row r="2128" spans="1:4" x14ac:dyDescent="0.2">
      <c r="A2128" s="496"/>
      <c r="D2128" s="496"/>
    </row>
    <row r="2129" spans="1:4" x14ac:dyDescent="0.2">
      <c r="A2129" s="496"/>
      <c r="D2129" s="496"/>
    </row>
    <row r="2130" spans="1:4" x14ac:dyDescent="0.2">
      <c r="A2130" s="496"/>
      <c r="D2130" s="496"/>
    </row>
    <row r="2131" spans="1:4" x14ac:dyDescent="0.2">
      <c r="A2131" s="496"/>
      <c r="D2131" s="496"/>
    </row>
    <row r="2132" spans="1:4" x14ac:dyDescent="0.2">
      <c r="A2132" s="496"/>
      <c r="D2132" s="496"/>
    </row>
    <row r="2133" spans="1:4" x14ac:dyDescent="0.2">
      <c r="A2133" s="496"/>
      <c r="D2133" s="496"/>
    </row>
    <row r="2134" spans="1:4" x14ac:dyDescent="0.2">
      <c r="A2134" s="496"/>
      <c r="D2134" s="496"/>
    </row>
    <row r="2135" spans="1:4" x14ac:dyDescent="0.2">
      <c r="A2135" s="496"/>
      <c r="D2135" s="496"/>
    </row>
    <row r="2136" spans="1:4" x14ac:dyDescent="0.2">
      <c r="A2136" s="496"/>
      <c r="D2136" s="496"/>
    </row>
    <row r="2137" spans="1:4" x14ac:dyDescent="0.2">
      <c r="A2137" s="496"/>
      <c r="D2137" s="496"/>
    </row>
    <row r="2138" spans="1:4" x14ac:dyDescent="0.2">
      <c r="A2138" s="496"/>
      <c r="D2138" s="496"/>
    </row>
    <row r="2139" spans="1:4" x14ac:dyDescent="0.2">
      <c r="A2139" s="496"/>
      <c r="D2139" s="496"/>
    </row>
    <row r="2140" spans="1:4" x14ac:dyDescent="0.2">
      <c r="A2140" s="496"/>
      <c r="D2140" s="496"/>
    </row>
    <row r="2141" spans="1:4" x14ac:dyDescent="0.2">
      <c r="A2141" s="496"/>
      <c r="D2141" s="496"/>
    </row>
    <row r="2142" spans="1:4" x14ac:dyDescent="0.2">
      <c r="A2142" s="496"/>
      <c r="D2142" s="496"/>
    </row>
    <row r="2143" spans="1:4" x14ac:dyDescent="0.2">
      <c r="A2143" s="496"/>
      <c r="D2143" s="496"/>
    </row>
    <row r="2144" spans="1:4" x14ac:dyDescent="0.2">
      <c r="A2144" s="496"/>
      <c r="D2144" s="496"/>
    </row>
    <row r="2145" spans="1:4" x14ac:dyDescent="0.2">
      <c r="A2145" s="496"/>
      <c r="D2145" s="496"/>
    </row>
    <row r="2146" spans="1:4" x14ac:dyDescent="0.2">
      <c r="A2146" s="496"/>
      <c r="D2146" s="496"/>
    </row>
    <row r="2147" spans="1:4" x14ac:dyDescent="0.2">
      <c r="A2147" s="496"/>
      <c r="D2147" s="496"/>
    </row>
    <row r="2148" spans="1:4" x14ac:dyDescent="0.2">
      <c r="A2148" s="496"/>
      <c r="D2148" s="496"/>
    </row>
    <row r="2149" spans="1:4" x14ac:dyDescent="0.2">
      <c r="A2149" s="496"/>
      <c r="D2149" s="496"/>
    </row>
    <row r="2150" spans="1:4" x14ac:dyDescent="0.2">
      <c r="A2150" s="496"/>
      <c r="D2150" s="496"/>
    </row>
    <row r="2151" spans="1:4" x14ac:dyDescent="0.2">
      <c r="A2151" s="496"/>
      <c r="D2151" s="496"/>
    </row>
    <row r="2152" spans="1:4" x14ac:dyDescent="0.2">
      <c r="A2152" s="496"/>
      <c r="D2152" s="496"/>
    </row>
    <row r="2153" spans="1:4" x14ac:dyDescent="0.2">
      <c r="A2153" s="496"/>
      <c r="D2153" s="496"/>
    </row>
    <row r="2154" spans="1:4" x14ac:dyDescent="0.2">
      <c r="A2154" s="496"/>
      <c r="D2154" s="496"/>
    </row>
    <row r="2155" spans="1:4" x14ac:dyDescent="0.2">
      <c r="A2155" s="496"/>
      <c r="D2155" s="496"/>
    </row>
    <row r="2156" spans="1:4" x14ac:dyDescent="0.2">
      <c r="A2156" s="496"/>
      <c r="D2156" s="496"/>
    </row>
    <row r="2157" spans="1:4" x14ac:dyDescent="0.2">
      <c r="A2157" s="496"/>
      <c r="D2157" s="496"/>
    </row>
    <row r="2158" spans="1:4" x14ac:dyDescent="0.2">
      <c r="A2158" s="496"/>
      <c r="D2158" s="496"/>
    </row>
    <row r="2159" spans="1:4" x14ac:dyDescent="0.2">
      <c r="A2159" s="496"/>
      <c r="D2159" s="496"/>
    </row>
    <row r="2160" spans="1:4" x14ac:dyDescent="0.2">
      <c r="A2160" s="496"/>
      <c r="D2160" s="496"/>
    </row>
    <row r="2161" spans="1:4" x14ac:dyDescent="0.2">
      <c r="A2161" s="496"/>
      <c r="D2161" s="496"/>
    </row>
    <row r="2162" spans="1:4" x14ac:dyDescent="0.2">
      <c r="A2162" s="496"/>
      <c r="D2162" s="496"/>
    </row>
    <row r="2163" spans="1:4" x14ac:dyDescent="0.2">
      <c r="A2163" s="496"/>
      <c r="D2163" s="496"/>
    </row>
    <row r="2164" spans="1:4" x14ac:dyDescent="0.2">
      <c r="A2164" s="496"/>
      <c r="D2164" s="496"/>
    </row>
    <row r="2165" spans="1:4" x14ac:dyDescent="0.2">
      <c r="A2165" s="496"/>
      <c r="D2165" s="496"/>
    </row>
    <row r="2166" spans="1:4" x14ac:dyDescent="0.2">
      <c r="A2166" s="496"/>
      <c r="D2166" s="496"/>
    </row>
    <row r="2167" spans="1:4" x14ac:dyDescent="0.2">
      <c r="A2167" s="496"/>
      <c r="D2167" s="496"/>
    </row>
    <row r="2168" spans="1:4" x14ac:dyDescent="0.2">
      <c r="A2168" s="496"/>
      <c r="D2168" s="496"/>
    </row>
    <row r="2169" spans="1:4" x14ac:dyDescent="0.2">
      <c r="A2169" s="496"/>
      <c r="D2169" s="496"/>
    </row>
    <row r="2170" spans="1:4" x14ac:dyDescent="0.2">
      <c r="A2170" s="496"/>
      <c r="D2170" s="496"/>
    </row>
    <row r="2171" spans="1:4" x14ac:dyDescent="0.2">
      <c r="A2171" s="496"/>
      <c r="D2171" s="496"/>
    </row>
    <row r="2172" spans="1:4" x14ac:dyDescent="0.2">
      <c r="A2172" s="496"/>
      <c r="D2172" s="496"/>
    </row>
    <row r="2173" spans="1:4" x14ac:dyDescent="0.2">
      <c r="A2173" s="496"/>
      <c r="D2173" s="496"/>
    </row>
    <row r="2174" spans="1:4" x14ac:dyDescent="0.2">
      <c r="A2174" s="496"/>
      <c r="D2174" s="496"/>
    </row>
    <row r="2175" spans="1:4" x14ac:dyDescent="0.2">
      <c r="A2175" s="496"/>
      <c r="D2175" s="496"/>
    </row>
    <row r="2176" spans="1:4" x14ac:dyDescent="0.2">
      <c r="A2176" s="496"/>
      <c r="D2176" s="496"/>
    </row>
    <row r="2177" spans="1:4" x14ac:dyDescent="0.2">
      <c r="A2177" s="496"/>
      <c r="D2177" s="496"/>
    </row>
    <row r="2178" spans="1:4" x14ac:dyDescent="0.2">
      <c r="A2178" s="496"/>
      <c r="D2178" s="496"/>
    </row>
    <row r="2179" spans="1:4" x14ac:dyDescent="0.2">
      <c r="A2179" s="496"/>
      <c r="D2179" s="496"/>
    </row>
    <row r="2180" spans="1:4" x14ac:dyDescent="0.2">
      <c r="A2180" s="496"/>
      <c r="D2180" s="496"/>
    </row>
    <row r="2181" spans="1:4" x14ac:dyDescent="0.2">
      <c r="A2181" s="496"/>
      <c r="D2181" s="496"/>
    </row>
    <row r="2182" spans="1:4" x14ac:dyDescent="0.2">
      <c r="A2182" s="496"/>
      <c r="D2182" s="496"/>
    </row>
    <row r="2183" spans="1:4" x14ac:dyDescent="0.2">
      <c r="A2183" s="496"/>
      <c r="D2183" s="496"/>
    </row>
    <row r="2184" spans="1:4" x14ac:dyDescent="0.2">
      <c r="A2184" s="496"/>
      <c r="D2184" s="496"/>
    </row>
    <row r="2185" spans="1:4" x14ac:dyDescent="0.2">
      <c r="A2185" s="496"/>
      <c r="D2185" s="496"/>
    </row>
    <row r="2186" spans="1:4" x14ac:dyDescent="0.2">
      <c r="A2186" s="496"/>
      <c r="D2186" s="496"/>
    </row>
    <row r="2187" spans="1:4" x14ac:dyDescent="0.2">
      <c r="A2187" s="496"/>
      <c r="D2187" s="496"/>
    </row>
    <row r="2188" spans="1:4" x14ac:dyDescent="0.2">
      <c r="A2188" s="496"/>
      <c r="D2188" s="496"/>
    </row>
    <row r="2189" spans="1:4" x14ac:dyDescent="0.2">
      <c r="A2189" s="496"/>
      <c r="D2189" s="496"/>
    </row>
    <row r="2190" spans="1:4" x14ac:dyDescent="0.2">
      <c r="A2190" s="496"/>
      <c r="D2190" s="496"/>
    </row>
    <row r="2191" spans="1:4" x14ac:dyDescent="0.2">
      <c r="A2191" s="496"/>
      <c r="D2191" s="496"/>
    </row>
    <row r="2192" spans="1:4" x14ac:dyDescent="0.2">
      <c r="A2192" s="496"/>
      <c r="D2192" s="496"/>
    </row>
    <row r="2193" spans="1:4" x14ac:dyDescent="0.2">
      <c r="A2193" s="496"/>
      <c r="D2193" s="496"/>
    </row>
    <row r="2194" spans="1:4" x14ac:dyDescent="0.2">
      <c r="A2194" s="496"/>
      <c r="D2194" s="496"/>
    </row>
    <row r="2195" spans="1:4" x14ac:dyDescent="0.2">
      <c r="A2195" s="496"/>
      <c r="D2195" s="496"/>
    </row>
    <row r="2196" spans="1:4" x14ac:dyDescent="0.2">
      <c r="A2196" s="496"/>
      <c r="D2196" s="496"/>
    </row>
    <row r="2197" spans="1:4" x14ac:dyDescent="0.2">
      <c r="A2197" s="496"/>
      <c r="D2197" s="496"/>
    </row>
    <row r="2198" spans="1:4" x14ac:dyDescent="0.2">
      <c r="A2198" s="496"/>
      <c r="D2198" s="496"/>
    </row>
    <row r="2199" spans="1:4" x14ac:dyDescent="0.2">
      <c r="A2199" s="496"/>
      <c r="D2199" s="496"/>
    </row>
    <row r="2200" spans="1:4" x14ac:dyDescent="0.2">
      <c r="A2200" s="496"/>
      <c r="D2200" s="496"/>
    </row>
    <row r="2201" spans="1:4" x14ac:dyDescent="0.2">
      <c r="A2201" s="496"/>
      <c r="D2201" s="496"/>
    </row>
    <row r="2202" spans="1:4" x14ac:dyDescent="0.2">
      <c r="A2202" s="496"/>
      <c r="D2202" s="496"/>
    </row>
    <row r="2203" spans="1:4" x14ac:dyDescent="0.2">
      <c r="A2203" s="496"/>
      <c r="D2203" s="496"/>
    </row>
    <row r="2204" spans="1:4" x14ac:dyDescent="0.2">
      <c r="A2204" s="496"/>
      <c r="D2204" s="496"/>
    </row>
    <row r="2205" spans="1:4" x14ac:dyDescent="0.2">
      <c r="A2205" s="496"/>
      <c r="D2205" s="496"/>
    </row>
    <row r="2206" spans="1:4" x14ac:dyDescent="0.2">
      <c r="A2206" s="496"/>
      <c r="D2206" s="496"/>
    </row>
    <row r="2207" spans="1:4" x14ac:dyDescent="0.2">
      <c r="A2207" s="496"/>
      <c r="D2207" s="496"/>
    </row>
    <row r="2208" spans="1:4" x14ac:dyDescent="0.2">
      <c r="A2208" s="496"/>
      <c r="D2208" s="496"/>
    </row>
    <row r="2209" spans="1:4" x14ac:dyDescent="0.2">
      <c r="A2209" s="496"/>
      <c r="D2209" s="496"/>
    </row>
    <row r="2210" spans="1:4" x14ac:dyDescent="0.2">
      <c r="A2210" s="496"/>
      <c r="D2210" s="496"/>
    </row>
    <row r="2211" spans="1:4" x14ac:dyDescent="0.2">
      <c r="A2211" s="496"/>
      <c r="D2211" s="496"/>
    </row>
    <row r="2212" spans="1:4" x14ac:dyDescent="0.2">
      <c r="A2212" s="496"/>
      <c r="D2212" s="496"/>
    </row>
    <row r="2213" spans="1:4" x14ac:dyDescent="0.2">
      <c r="A2213" s="496"/>
      <c r="D2213" s="496"/>
    </row>
    <row r="2214" spans="1:4" x14ac:dyDescent="0.2">
      <c r="A2214" s="496"/>
      <c r="D2214" s="496"/>
    </row>
    <row r="2215" spans="1:4" x14ac:dyDescent="0.2">
      <c r="A2215" s="496"/>
      <c r="D2215" s="496"/>
    </row>
    <row r="2216" spans="1:4" x14ac:dyDescent="0.2">
      <c r="A2216" s="496"/>
      <c r="D2216" s="496"/>
    </row>
    <row r="2217" spans="1:4" x14ac:dyDescent="0.2">
      <c r="A2217" s="496"/>
      <c r="D2217" s="496"/>
    </row>
    <row r="2218" spans="1:4" x14ac:dyDescent="0.2">
      <c r="A2218" s="496"/>
      <c r="D2218" s="496"/>
    </row>
    <row r="2219" spans="1:4" x14ac:dyDescent="0.2">
      <c r="A2219" s="496"/>
      <c r="D2219" s="496"/>
    </row>
    <row r="2220" spans="1:4" x14ac:dyDescent="0.2">
      <c r="A2220" s="496"/>
      <c r="D2220" s="496"/>
    </row>
    <row r="2221" spans="1:4" x14ac:dyDescent="0.2">
      <c r="A2221" s="496"/>
      <c r="D2221" s="496"/>
    </row>
    <row r="2222" spans="1:4" x14ac:dyDescent="0.2">
      <c r="A2222" s="496"/>
      <c r="D2222" s="496"/>
    </row>
    <row r="2223" spans="1:4" x14ac:dyDescent="0.2">
      <c r="A2223" s="496"/>
      <c r="D2223" s="496"/>
    </row>
    <row r="2224" spans="1:4" x14ac:dyDescent="0.2">
      <c r="A2224" s="496"/>
      <c r="D2224" s="496"/>
    </row>
    <row r="2225" spans="1:4" x14ac:dyDescent="0.2">
      <c r="A2225" s="496"/>
      <c r="D2225" s="496"/>
    </row>
    <row r="2226" spans="1:4" x14ac:dyDescent="0.2">
      <c r="A2226" s="496"/>
      <c r="D2226" s="496"/>
    </row>
    <row r="2227" spans="1:4" x14ac:dyDescent="0.2">
      <c r="A2227" s="496"/>
      <c r="D2227" s="496"/>
    </row>
    <row r="2228" spans="1:4" x14ac:dyDescent="0.2">
      <c r="A2228" s="496"/>
      <c r="D2228" s="496"/>
    </row>
    <row r="2229" spans="1:4" x14ac:dyDescent="0.2">
      <c r="A2229" s="496"/>
      <c r="D2229" s="496"/>
    </row>
    <row r="2230" spans="1:4" x14ac:dyDescent="0.2">
      <c r="A2230" s="496"/>
      <c r="D2230" s="496"/>
    </row>
    <row r="2231" spans="1:4" x14ac:dyDescent="0.2">
      <c r="A2231" s="496"/>
      <c r="D2231" s="496"/>
    </row>
    <row r="2232" spans="1:4" x14ac:dyDescent="0.2">
      <c r="A2232" s="496"/>
      <c r="D2232" s="496"/>
    </row>
    <row r="2233" spans="1:4" x14ac:dyDescent="0.2">
      <c r="A2233" s="496"/>
      <c r="D2233" s="496"/>
    </row>
    <row r="2234" spans="1:4" x14ac:dyDescent="0.2">
      <c r="A2234" s="496"/>
      <c r="D2234" s="496"/>
    </row>
    <row r="2235" spans="1:4" x14ac:dyDescent="0.2">
      <c r="A2235" s="496"/>
      <c r="D2235" s="496"/>
    </row>
    <row r="2236" spans="1:4" x14ac:dyDescent="0.2">
      <c r="A2236" s="496"/>
      <c r="D2236" s="496"/>
    </row>
    <row r="2237" spans="1:4" x14ac:dyDescent="0.2">
      <c r="A2237" s="496"/>
      <c r="D2237" s="496"/>
    </row>
    <row r="2238" spans="1:4" x14ac:dyDescent="0.2">
      <c r="A2238" s="496"/>
      <c r="D2238" s="496"/>
    </row>
    <row r="2239" spans="1:4" x14ac:dyDescent="0.2">
      <c r="A2239" s="496"/>
      <c r="D2239" s="496"/>
    </row>
    <row r="2240" spans="1:4" x14ac:dyDescent="0.2">
      <c r="A2240" s="496"/>
      <c r="D2240" s="496"/>
    </row>
    <row r="2241" spans="1:4" x14ac:dyDescent="0.2">
      <c r="A2241" s="496"/>
      <c r="D2241" s="496"/>
    </row>
    <row r="2242" spans="1:4" x14ac:dyDescent="0.2">
      <c r="A2242" s="496"/>
      <c r="D2242" s="496"/>
    </row>
    <row r="2243" spans="1:4" x14ac:dyDescent="0.2">
      <c r="A2243" s="496"/>
      <c r="D2243" s="496"/>
    </row>
    <row r="2244" spans="1:4" x14ac:dyDescent="0.2">
      <c r="A2244" s="496"/>
      <c r="D2244" s="496"/>
    </row>
    <row r="2245" spans="1:4" x14ac:dyDescent="0.2">
      <c r="A2245" s="496"/>
      <c r="D2245" s="496"/>
    </row>
    <row r="2246" spans="1:4" x14ac:dyDescent="0.2">
      <c r="A2246" s="496"/>
      <c r="D2246" s="496"/>
    </row>
    <row r="2247" spans="1:4" x14ac:dyDescent="0.2">
      <c r="A2247" s="496"/>
      <c r="D2247" s="496"/>
    </row>
    <row r="2248" spans="1:4" x14ac:dyDescent="0.2">
      <c r="A2248" s="496"/>
      <c r="D2248" s="496"/>
    </row>
    <row r="2249" spans="1:4" x14ac:dyDescent="0.2">
      <c r="A2249" s="496"/>
      <c r="D2249" s="496"/>
    </row>
    <row r="2250" spans="1:4" x14ac:dyDescent="0.2">
      <c r="A2250" s="496"/>
      <c r="D2250" s="496"/>
    </row>
    <row r="2251" spans="1:4" x14ac:dyDescent="0.2">
      <c r="A2251" s="496"/>
      <c r="D2251" s="496"/>
    </row>
    <row r="2252" spans="1:4" x14ac:dyDescent="0.2">
      <c r="A2252" s="496"/>
      <c r="D2252" s="496"/>
    </row>
    <row r="2253" spans="1:4" x14ac:dyDescent="0.2">
      <c r="A2253" s="496"/>
      <c r="D2253" s="496"/>
    </row>
    <row r="2254" spans="1:4" x14ac:dyDescent="0.2">
      <c r="A2254" s="496"/>
      <c r="D2254" s="496"/>
    </row>
    <row r="2255" spans="1:4" x14ac:dyDescent="0.2">
      <c r="A2255" s="496"/>
      <c r="D2255" s="496"/>
    </row>
    <row r="2256" spans="1:4" x14ac:dyDescent="0.2">
      <c r="A2256" s="496"/>
      <c r="D2256" s="496"/>
    </row>
    <row r="2257" spans="1:4" x14ac:dyDescent="0.2">
      <c r="A2257" s="496"/>
      <c r="D2257" s="496"/>
    </row>
    <row r="2258" spans="1:4" x14ac:dyDescent="0.2">
      <c r="A2258" s="496"/>
      <c r="D2258" s="496"/>
    </row>
    <row r="2259" spans="1:4" x14ac:dyDescent="0.2">
      <c r="A2259" s="496"/>
      <c r="D2259" s="496"/>
    </row>
    <row r="2260" spans="1:4" x14ac:dyDescent="0.2">
      <c r="A2260" s="496"/>
      <c r="D2260" s="496"/>
    </row>
    <row r="2261" spans="1:4" x14ac:dyDescent="0.2">
      <c r="A2261" s="496"/>
      <c r="D2261" s="496"/>
    </row>
    <row r="2262" spans="1:4" x14ac:dyDescent="0.2">
      <c r="A2262" s="496"/>
      <c r="D2262" s="496"/>
    </row>
    <row r="2263" spans="1:4" x14ac:dyDescent="0.2">
      <c r="A2263" s="496"/>
      <c r="D2263" s="496"/>
    </row>
    <row r="2264" spans="1:4" x14ac:dyDescent="0.2">
      <c r="A2264" s="496"/>
      <c r="D2264" s="496"/>
    </row>
    <row r="2265" spans="1:4" x14ac:dyDescent="0.2">
      <c r="A2265" s="496"/>
      <c r="D2265" s="496"/>
    </row>
    <row r="2266" spans="1:4" x14ac:dyDescent="0.2">
      <c r="A2266" s="496"/>
      <c r="D2266" s="496"/>
    </row>
    <row r="2267" spans="1:4" x14ac:dyDescent="0.2">
      <c r="A2267" s="496"/>
      <c r="D2267" s="496"/>
    </row>
    <row r="2268" spans="1:4" x14ac:dyDescent="0.2">
      <c r="A2268" s="496"/>
      <c r="D2268" s="496"/>
    </row>
    <row r="2269" spans="1:4" x14ac:dyDescent="0.2">
      <c r="A2269" s="496"/>
      <c r="D2269" s="496"/>
    </row>
    <row r="2270" spans="1:4" x14ac:dyDescent="0.2">
      <c r="A2270" s="496"/>
      <c r="D2270" s="496"/>
    </row>
    <row r="2271" spans="1:4" x14ac:dyDescent="0.2">
      <c r="A2271" s="496"/>
      <c r="D2271" s="496"/>
    </row>
    <row r="2272" spans="1:4" x14ac:dyDescent="0.2">
      <c r="A2272" s="496"/>
      <c r="D2272" s="496"/>
    </row>
    <row r="2273" spans="1:4" x14ac:dyDescent="0.2">
      <c r="A2273" s="496"/>
      <c r="D2273" s="496"/>
    </row>
    <row r="2274" spans="1:4" x14ac:dyDescent="0.2">
      <c r="A2274" s="496"/>
      <c r="D2274" s="496"/>
    </row>
    <row r="2275" spans="1:4" x14ac:dyDescent="0.2">
      <c r="A2275" s="496"/>
      <c r="D2275" s="496"/>
    </row>
    <row r="2276" spans="1:4" x14ac:dyDescent="0.2">
      <c r="A2276" s="496"/>
      <c r="D2276" s="496"/>
    </row>
    <row r="2277" spans="1:4" x14ac:dyDescent="0.2">
      <c r="A2277" s="496"/>
      <c r="D2277" s="496"/>
    </row>
    <row r="2278" spans="1:4" x14ac:dyDescent="0.2">
      <c r="A2278" s="496"/>
      <c r="D2278" s="496"/>
    </row>
    <row r="2279" spans="1:4" x14ac:dyDescent="0.2">
      <c r="A2279" s="496"/>
      <c r="D2279" s="496"/>
    </row>
    <row r="2280" spans="1:4" x14ac:dyDescent="0.2">
      <c r="A2280" s="496"/>
      <c r="D2280" s="496"/>
    </row>
    <row r="2281" spans="1:4" x14ac:dyDescent="0.2">
      <c r="A2281" s="496"/>
      <c r="D2281" s="496"/>
    </row>
    <row r="2282" spans="1:4" x14ac:dyDescent="0.2">
      <c r="A2282" s="496"/>
      <c r="D2282" s="496"/>
    </row>
    <row r="2283" spans="1:4" x14ac:dyDescent="0.2">
      <c r="A2283" s="496"/>
      <c r="D2283" s="496"/>
    </row>
    <row r="2284" spans="1:4" x14ac:dyDescent="0.2">
      <c r="A2284" s="496"/>
      <c r="D2284" s="496"/>
    </row>
    <row r="2285" spans="1:4" x14ac:dyDescent="0.2">
      <c r="A2285" s="496"/>
      <c r="D2285" s="496"/>
    </row>
    <row r="2286" spans="1:4" x14ac:dyDescent="0.2">
      <c r="A2286" s="496"/>
      <c r="D2286" s="496"/>
    </row>
    <row r="2287" spans="1:4" x14ac:dyDescent="0.2">
      <c r="A2287" s="496"/>
      <c r="D2287" s="496"/>
    </row>
    <row r="2288" spans="1:4" x14ac:dyDescent="0.2">
      <c r="A2288" s="496"/>
      <c r="D2288" s="496"/>
    </row>
    <row r="2289" spans="1:4" x14ac:dyDescent="0.2">
      <c r="A2289" s="496"/>
      <c r="D2289" s="496"/>
    </row>
    <row r="2290" spans="1:4" x14ac:dyDescent="0.2">
      <c r="A2290" s="496"/>
      <c r="D2290" s="496"/>
    </row>
    <row r="2291" spans="1:4" x14ac:dyDescent="0.2">
      <c r="A2291" s="496"/>
      <c r="D2291" s="496"/>
    </row>
    <row r="2292" spans="1:4" x14ac:dyDescent="0.2">
      <c r="A2292" s="496"/>
      <c r="D2292" s="496"/>
    </row>
    <row r="2293" spans="1:4" x14ac:dyDescent="0.2">
      <c r="A2293" s="496"/>
      <c r="D2293" s="496"/>
    </row>
    <row r="2294" spans="1:4" x14ac:dyDescent="0.2">
      <c r="A2294" s="496"/>
      <c r="D2294" s="496"/>
    </row>
    <row r="2295" spans="1:4" x14ac:dyDescent="0.2">
      <c r="A2295" s="496"/>
      <c r="D2295" s="496"/>
    </row>
    <row r="2296" spans="1:4" x14ac:dyDescent="0.2">
      <c r="A2296" s="496"/>
      <c r="D2296" s="496"/>
    </row>
    <row r="2297" spans="1:4" x14ac:dyDescent="0.2">
      <c r="A2297" s="496"/>
      <c r="D2297" s="496"/>
    </row>
    <row r="2298" spans="1:4" x14ac:dyDescent="0.2">
      <c r="A2298" s="496"/>
      <c r="D2298" s="496"/>
    </row>
    <row r="2299" spans="1:4" x14ac:dyDescent="0.2">
      <c r="A2299" s="496"/>
      <c r="D2299" s="496"/>
    </row>
    <row r="2300" spans="1:4" x14ac:dyDescent="0.2">
      <c r="A2300" s="496"/>
      <c r="D2300" s="496"/>
    </row>
    <row r="2301" spans="1:4" x14ac:dyDescent="0.2">
      <c r="A2301" s="496"/>
      <c r="D2301" s="496"/>
    </row>
    <row r="2302" spans="1:4" x14ac:dyDescent="0.2">
      <c r="A2302" s="496"/>
      <c r="D2302" s="496"/>
    </row>
    <row r="2303" spans="1:4" x14ac:dyDescent="0.2">
      <c r="A2303" s="496"/>
      <c r="D2303" s="496"/>
    </row>
    <row r="2304" spans="1:4" x14ac:dyDescent="0.2">
      <c r="A2304" s="496"/>
      <c r="D2304" s="496"/>
    </row>
    <row r="2305" spans="1:4" x14ac:dyDescent="0.2">
      <c r="A2305" s="496"/>
      <c r="D2305" s="496"/>
    </row>
    <row r="2306" spans="1:4" x14ac:dyDescent="0.2">
      <c r="A2306" s="496"/>
      <c r="D2306" s="496"/>
    </row>
    <row r="2307" spans="1:4" x14ac:dyDescent="0.2">
      <c r="A2307" s="496"/>
      <c r="D2307" s="496"/>
    </row>
    <row r="2308" spans="1:4" x14ac:dyDescent="0.2">
      <c r="A2308" s="496"/>
      <c r="D2308" s="496"/>
    </row>
    <row r="2309" spans="1:4" x14ac:dyDescent="0.2">
      <c r="A2309" s="496"/>
      <c r="D2309" s="496"/>
    </row>
    <row r="2310" spans="1:4" x14ac:dyDescent="0.2">
      <c r="A2310" s="496"/>
      <c r="D2310" s="496"/>
    </row>
    <row r="2311" spans="1:4" x14ac:dyDescent="0.2">
      <c r="A2311" s="496"/>
      <c r="D2311" s="496"/>
    </row>
    <row r="2312" spans="1:4" x14ac:dyDescent="0.2">
      <c r="A2312" s="496"/>
      <c r="D2312" s="496"/>
    </row>
    <row r="2313" spans="1:4" x14ac:dyDescent="0.2">
      <c r="A2313" s="496"/>
      <c r="D2313" s="496"/>
    </row>
    <row r="2314" spans="1:4" x14ac:dyDescent="0.2">
      <c r="A2314" s="496"/>
      <c r="D2314" s="496"/>
    </row>
    <row r="2315" spans="1:4" x14ac:dyDescent="0.2">
      <c r="A2315" s="496"/>
      <c r="D2315" s="496"/>
    </row>
    <row r="2316" spans="1:4" x14ac:dyDescent="0.2">
      <c r="A2316" s="496"/>
      <c r="D2316" s="496"/>
    </row>
    <row r="2317" spans="1:4" x14ac:dyDescent="0.2">
      <c r="A2317" s="496"/>
      <c r="D2317" s="496"/>
    </row>
    <row r="2318" spans="1:4" x14ac:dyDescent="0.2">
      <c r="A2318" s="496"/>
      <c r="D2318" s="496"/>
    </row>
    <row r="2319" spans="1:4" x14ac:dyDescent="0.2">
      <c r="A2319" s="496"/>
      <c r="D2319" s="496"/>
    </row>
    <row r="2320" spans="1:4" x14ac:dyDescent="0.2">
      <c r="A2320" s="496"/>
      <c r="D2320" s="496"/>
    </row>
    <row r="2321" spans="1:4" x14ac:dyDescent="0.2">
      <c r="A2321" s="496"/>
      <c r="D2321" s="496"/>
    </row>
    <row r="2322" spans="1:4" x14ac:dyDescent="0.2">
      <c r="A2322" s="496"/>
      <c r="D2322" s="496"/>
    </row>
    <row r="2323" spans="1:4" x14ac:dyDescent="0.2">
      <c r="A2323" s="496"/>
      <c r="D2323" s="496"/>
    </row>
    <row r="2324" spans="1:4" x14ac:dyDescent="0.2">
      <c r="A2324" s="496"/>
      <c r="D2324" s="496"/>
    </row>
    <row r="2325" spans="1:4" x14ac:dyDescent="0.2">
      <c r="A2325" s="496"/>
      <c r="D2325" s="496"/>
    </row>
    <row r="2326" spans="1:4" x14ac:dyDescent="0.2">
      <c r="A2326" s="496"/>
      <c r="D2326" s="496"/>
    </row>
    <row r="2327" spans="1:4" x14ac:dyDescent="0.2">
      <c r="A2327" s="496"/>
      <c r="D2327" s="496"/>
    </row>
    <row r="2328" spans="1:4" x14ac:dyDescent="0.2">
      <c r="A2328" s="496"/>
      <c r="D2328" s="496"/>
    </row>
    <row r="2329" spans="1:4" x14ac:dyDescent="0.2">
      <c r="A2329" s="496"/>
      <c r="D2329" s="496"/>
    </row>
    <row r="2330" spans="1:4" x14ac:dyDescent="0.2">
      <c r="A2330" s="496"/>
      <c r="D2330" s="496"/>
    </row>
    <row r="2331" spans="1:4" x14ac:dyDescent="0.2">
      <c r="A2331" s="496"/>
      <c r="D2331" s="496"/>
    </row>
    <row r="2332" spans="1:4" x14ac:dyDescent="0.2">
      <c r="A2332" s="496"/>
      <c r="D2332" s="496"/>
    </row>
    <row r="2333" spans="1:4" x14ac:dyDescent="0.2">
      <c r="A2333" s="496"/>
      <c r="D2333" s="496"/>
    </row>
    <row r="2334" spans="1:4" x14ac:dyDescent="0.2">
      <c r="A2334" s="496"/>
      <c r="D2334" s="496"/>
    </row>
    <row r="2335" spans="1:4" x14ac:dyDescent="0.2">
      <c r="A2335" s="496"/>
      <c r="D2335" s="496"/>
    </row>
    <row r="2336" spans="1:4" x14ac:dyDescent="0.2">
      <c r="A2336" s="496"/>
      <c r="D2336" s="496"/>
    </row>
    <row r="2337" spans="1:4" x14ac:dyDescent="0.2">
      <c r="A2337" s="496"/>
      <c r="D2337" s="496"/>
    </row>
    <row r="2338" spans="1:4" x14ac:dyDescent="0.2">
      <c r="A2338" s="496"/>
      <c r="D2338" s="496"/>
    </row>
    <row r="2339" spans="1:4" x14ac:dyDescent="0.2">
      <c r="A2339" s="496"/>
      <c r="D2339" s="496"/>
    </row>
    <row r="2340" spans="1:4" x14ac:dyDescent="0.2">
      <c r="A2340" s="496"/>
      <c r="D2340" s="496"/>
    </row>
    <row r="2341" spans="1:4" x14ac:dyDescent="0.2">
      <c r="A2341" s="496"/>
      <c r="D2341" s="496"/>
    </row>
    <row r="2342" spans="1:4" x14ac:dyDescent="0.2">
      <c r="A2342" s="496"/>
      <c r="D2342" s="496"/>
    </row>
    <row r="2343" spans="1:4" x14ac:dyDescent="0.2">
      <c r="A2343" s="496"/>
      <c r="D2343" s="496"/>
    </row>
    <row r="2344" spans="1:4" x14ac:dyDescent="0.2">
      <c r="A2344" s="496"/>
      <c r="D2344" s="496"/>
    </row>
    <row r="2345" spans="1:4" x14ac:dyDescent="0.2">
      <c r="A2345" s="496"/>
      <c r="D2345" s="496"/>
    </row>
    <row r="2346" spans="1:4" x14ac:dyDescent="0.2">
      <c r="A2346" s="496"/>
      <c r="D2346" s="496"/>
    </row>
    <row r="2347" spans="1:4" x14ac:dyDescent="0.2">
      <c r="A2347" s="496"/>
      <c r="D2347" s="496"/>
    </row>
    <row r="2348" spans="1:4" x14ac:dyDescent="0.2">
      <c r="A2348" s="496"/>
      <c r="D2348" s="496"/>
    </row>
    <row r="2349" spans="1:4" x14ac:dyDescent="0.2">
      <c r="A2349" s="496"/>
      <c r="D2349" s="496"/>
    </row>
    <row r="2350" spans="1:4" x14ac:dyDescent="0.2">
      <c r="A2350" s="496"/>
      <c r="D2350" s="496"/>
    </row>
    <row r="2351" spans="1:4" x14ac:dyDescent="0.2">
      <c r="A2351" s="496"/>
      <c r="D2351" s="496"/>
    </row>
    <row r="2352" spans="1:4" x14ac:dyDescent="0.2">
      <c r="A2352" s="496"/>
      <c r="D2352" s="496"/>
    </row>
    <row r="2353" spans="1:4" x14ac:dyDescent="0.2">
      <c r="A2353" s="496"/>
      <c r="D2353" s="496"/>
    </row>
    <row r="2354" spans="1:4" x14ac:dyDescent="0.2">
      <c r="A2354" s="496"/>
      <c r="D2354" s="496"/>
    </row>
    <row r="2355" spans="1:4" x14ac:dyDescent="0.2">
      <c r="A2355" s="496"/>
      <c r="D2355" s="496"/>
    </row>
    <row r="2356" spans="1:4" x14ac:dyDescent="0.2">
      <c r="A2356" s="496"/>
      <c r="D2356" s="496"/>
    </row>
    <row r="2357" spans="1:4" x14ac:dyDescent="0.2">
      <c r="A2357" s="496"/>
      <c r="D2357" s="496"/>
    </row>
    <row r="2358" spans="1:4" x14ac:dyDescent="0.2">
      <c r="A2358" s="496"/>
      <c r="D2358" s="496"/>
    </row>
    <row r="2359" spans="1:4" x14ac:dyDescent="0.2">
      <c r="A2359" s="496"/>
      <c r="D2359" s="496"/>
    </row>
    <row r="2360" spans="1:4" x14ac:dyDescent="0.2">
      <c r="A2360" s="496"/>
      <c r="D2360" s="496"/>
    </row>
    <row r="2361" spans="1:4" x14ac:dyDescent="0.2">
      <c r="A2361" s="496"/>
      <c r="D2361" s="496"/>
    </row>
    <row r="2362" spans="1:4" x14ac:dyDescent="0.2">
      <c r="A2362" s="496"/>
      <c r="D2362" s="496"/>
    </row>
    <row r="2363" spans="1:4" x14ac:dyDescent="0.2">
      <c r="A2363" s="496"/>
      <c r="D2363" s="496"/>
    </row>
    <row r="2364" spans="1:4" x14ac:dyDescent="0.2">
      <c r="A2364" s="496"/>
      <c r="D2364" s="496"/>
    </row>
    <row r="2365" spans="1:4" x14ac:dyDescent="0.2">
      <c r="A2365" s="496"/>
      <c r="D2365" s="496"/>
    </row>
    <row r="2366" spans="1:4" x14ac:dyDescent="0.2">
      <c r="A2366" s="496"/>
      <c r="D2366" s="496"/>
    </row>
    <row r="2367" spans="1:4" x14ac:dyDescent="0.2">
      <c r="A2367" s="496"/>
      <c r="D2367" s="496"/>
    </row>
    <row r="2368" spans="1:4" x14ac:dyDescent="0.2">
      <c r="A2368" s="496"/>
      <c r="D2368" s="496"/>
    </row>
    <row r="2369" spans="1:4" x14ac:dyDescent="0.2">
      <c r="A2369" s="496"/>
      <c r="D2369" s="496"/>
    </row>
    <row r="2370" spans="1:4" x14ac:dyDescent="0.2">
      <c r="A2370" s="496"/>
      <c r="D2370" s="496"/>
    </row>
    <row r="2371" spans="1:4" x14ac:dyDescent="0.2">
      <c r="A2371" s="496"/>
      <c r="D2371" s="496"/>
    </row>
    <row r="2372" spans="1:4" x14ac:dyDescent="0.2">
      <c r="A2372" s="496"/>
      <c r="D2372" s="496"/>
    </row>
    <row r="2373" spans="1:4" x14ac:dyDescent="0.2">
      <c r="A2373" s="496"/>
      <c r="D2373" s="496"/>
    </row>
    <row r="2374" spans="1:4" x14ac:dyDescent="0.2">
      <c r="A2374" s="496"/>
      <c r="D2374" s="496"/>
    </row>
    <row r="2375" spans="1:4" x14ac:dyDescent="0.2">
      <c r="A2375" s="496"/>
      <c r="D2375" s="496"/>
    </row>
    <row r="2376" spans="1:4" x14ac:dyDescent="0.2">
      <c r="A2376" s="496"/>
      <c r="D2376" s="496"/>
    </row>
    <row r="2377" spans="1:4" x14ac:dyDescent="0.2">
      <c r="A2377" s="496"/>
      <c r="D2377" s="496"/>
    </row>
    <row r="2378" spans="1:4" x14ac:dyDescent="0.2">
      <c r="A2378" s="496"/>
      <c r="D2378" s="496"/>
    </row>
    <row r="2379" spans="1:4" x14ac:dyDescent="0.2">
      <c r="A2379" s="496"/>
      <c r="D2379" s="496"/>
    </row>
    <row r="2380" spans="1:4" x14ac:dyDescent="0.2">
      <c r="A2380" s="496"/>
      <c r="D2380" s="496"/>
    </row>
    <row r="2381" spans="1:4" x14ac:dyDescent="0.2">
      <c r="A2381" s="496"/>
      <c r="D2381" s="496"/>
    </row>
    <row r="2382" spans="1:4" x14ac:dyDescent="0.2">
      <c r="A2382" s="496"/>
      <c r="D2382" s="496"/>
    </row>
    <row r="2383" spans="1:4" x14ac:dyDescent="0.2">
      <c r="A2383" s="496"/>
      <c r="D2383" s="496"/>
    </row>
    <row r="2384" spans="1:4" x14ac:dyDescent="0.2">
      <c r="A2384" s="496"/>
      <c r="D2384" s="496"/>
    </row>
    <row r="2385" spans="1:4" x14ac:dyDescent="0.2">
      <c r="A2385" s="496"/>
      <c r="D2385" s="496"/>
    </row>
    <row r="2386" spans="1:4" x14ac:dyDescent="0.2">
      <c r="A2386" s="496"/>
      <c r="D2386" s="496"/>
    </row>
    <row r="2387" spans="1:4" x14ac:dyDescent="0.2">
      <c r="A2387" s="496"/>
      <c r="D2387" s="496"/>
    </row>
    <row r="2388" spans="1:4" x14ac:dyDescent="0.2">
      <c r="A2388" s="496"/>
      <c r="D2388" s="496"/>
    </row>
    <row r="2389" spans="1:4" x14ac:dyDescent="0.2">
      <c r="A2389" s="496"/>
      <c r="D2389" s="496"/>
    </row>
    <row r="2390" spans="1:4" x14ac:dyDescent="0.2">
      <c r="A2390" s="496"/>
      <c r="D2390" s="496"/>
    </row>
    <row r="2391" spans="1:4" x14ac:dyDescent="0.2">
      <c r="A2391" s="496"/>
      <c r="D2391" s="496"/>
    </row>
    <row r="2392" spans="1:4" x14ac:dyDescent="0.2">
      <c r="A2392" s="496"/>
      <c r="D2392" s="496"/>
    </row>
    <row r="2393" spans="1:4" x14ac:dyDescent="0.2">
      <c r="A2393" s="496"/>
      <c r="D2393" s="496"/>
    </row>
    <row r="2394" spans="1:4" x14ac:dyDescent="0.2">
      <c r="A2394" s="496"/>
      <c r="D2394" s="496"/>
    </row>
    <row r="2395" spans="1:4" x14ac:dyDescent="0.2">
      <c r="A2395" s="496"/>
      <c r="D2395" s="496"/>
    </row>
    <row r="2396" spans="1:4" x14ac:dyDescent="0.2">
      <c r="A2396" s="496"/>
      <c r="D2396" s="496"/>
    </row>
    <row r="2397" spans="1:4" x14ac:dyDescent="0.2">
      <c r="A2397" s="496"/>
      <c r="D2397" s="496"/>
    </row>
    <row r="2398" spans="1:4" x14ac:dyDescent="0.2">
      <c r="A2398" s="496"/>
      <c r="D2398" s="496"/>
    </row>
    <row r="2399" spans="1:4" x14ac:dyDescent="0.2">
      <c r="A2399" s="496"/>
      <c r="D2399" s="496"/>
    </row>
    <row r="2400" spans="1:4" x14ac:dyDescent="0.2">
      <c r="A2400" s="496"/>
      <c r="D2400" s="496"/>
    </row>
    <row r="2401" spans="1:4" x14ac:dyDescent="0.2">
      <c r="A2401" s="496"/>
      <c r="D2401" s="496"/>
    </row>
    <row r="2402" spans="1:4" x14ac:dyDescent="0.2">
      <c r="A2402" s="496"/>
      <c r="D2402" s="496"/>
    </row>
    <row r="2403" spans="1:4" x14ac:dyDescent="0.2">
      <c r="A2403" s="496"/>
      <c r="D2403" s="496"/>
    </row>
    <row r="2404" spans="1:4" x14ac:dyDescent="0.2">
      <c r="A2404" s="496"/>
      <c r="D2404" s="496"/>
    </row>
    <row r="2405" spans="1:4" x14ac:dyDescent="0.2">
      <c r="A2405" s="496"/>
      <c r="D2405" s="496"/>
    </row>
    <row r="2406" spans="1:4" x14ac:dyDescent="0.2">
      <c r="A2406" s="496"/>
      <c r="D2406" s="496"/>
    </row>
    <row r="2407" spans="1:4" x14ac:dyDescent="0.2">
      <c r="A2407" s="496"/>
      <c r="D2407" s="496"/>
    </row>
    <row r="2408" spans="1:4" x14ac:dyDescent="0.2">
      <c r="A2408" s="496"/>
      <c r="D2408" s="496"/>
    </row>
    <row r="2409" spans="1:4" x14ac:dyDescent="0.2">
      <c r="A2409" s="496"/>
      <c r="D2409" s="496"/>
    </row>
    <row r="2410" spans="1:4" x14ac:dyDescent="0.2">
      <c r="A2410" s="496"/>
      <c r="D2410" s="496"/>
    </row>
    <row r="2411" spans="1:4" x14ac:dyDescent="0.2">
      <c r="A2411" s="496"/>
      <c r="D2411" s="496"/>
    </row>
    <row r="2412" spans="1:4" x14ac:dyDescent="0.2">
      <c r="A2412" s="496"/>
      <c r="D2412" s="496"/>
    </row>
    <row r="2413" spans="1:4" x14ac:dyDescent="0.2">
      <c r="A2413" s="496"/>
      <c r="D2413" s="496"/>
    </row>
    <row r="2414" spans="1:4" x14ac:dyDescent="0.2">
      <c r="A2414" s="496"/>
      <c r="D2414" s="496"/>
    </row>
    <row r="2415" spans="1:4" x14ac:dyDescent="0.2">
      <c r="A2415" s="496"/>
      <c r="D2415" s="496"/>
    </row>
    <row r="2416" spans="1:4" x14ac:dyDescent="0.2">
      <c r="A2416" s="496"/>
      <c r="D2416" s="496"/>
    </row>
    <row r="2417" spans="1:4" x14ac:dyDescent="0.2">
      <c r="A2417" s="496"/>
      <c r="D2417" s="496"/>
    </row>
    <row r="2418" spans="1:4" x14ac:dyDescent="0.2">
      <c r="A2418" s="496"/>
      <c r="D2418" s="496"/>
    </row>
    <row r="2419" spans="1:4" x14ac:dyDescent="0.2">
      <c r="A2419" s="496"/>
      <c r="D2419" s="496"/>
    </row>
    <row r="2420" spans="1:4" x14ac:dyDescent="0.2">
      <c r="A2420" s="496"/>
      <c r="D2420" s="496"/>
    </row>
    <row r="2421" spans="1:4" x14ac:dyDescent="0.2">
      <c r="A2421" s="496"/>
      <c r="D2421" s="496"/>
    </row>
    <row r="2422" spans="1:4" x14ac:dyDescent="0.2">
      <c r="A2422" s="496"/>
      <c r="D2422" s="496"/>
    </row>
    <row r="2423" spans="1:4" x14ac:dyDescent="0.2">
      <c r="A2423" s="496"/>
      <c r="D2423" s="496"/>
    </row>
    <row r="2424" spans="1:4" x14ac:dyDescent="0.2">
      <c r="A2424" s="496"/>
      <c r="D2424" s="496"/>
    </row>
    <row r="2425" spans="1:4" x14ac:dyDescent="0.2">
      <c r="A2425" s="496"/>
      <c r="D2425" s="496"/>
    </row>
    <row r="2426" spans="1:4" x14ac:dyDescent="0.2">
      <c r="A2426" s="496"/>
      <c r="D2426" s="496"/>
    </row>
    <row r="2427" spans="1:4" x14ac:dyDescent="0.2">
      <c r="A2427" s="496"/>
      <c r="D2427" s="496"/>
    </row>
    <row r="2428" spans="1:4" x14ac:dyDescent="0.2">
      <c r="A2428" s="496"/>
      <c r="D2428" s="496"/>
    </row>
    <row r="2429" spans="1:4" x14ac:dyDescent="0.2">
      <c r="A2429" s="496"/>
      <c r="D2429" s="496"/>
    </row>
    <row r="2430" spans="1:4" x14ac:dyDescent="0.2">
      <c r="A2430" s="496"/>
      <c r="D2430" s="496"/>
    </row>
    <row r="2431" spans="1:4" x14ac:dyDescent="0.2">
      <c r="A2431" s="496"/>
      <c r="D2431" s="496"/>
    </row>
    <row r="2432" spans="1:4" x14ac:dyDescent="0.2">
      <c r="A2432" s="496"/>
      <c r="D2432" s="496"/>
    </row>
    <row r="2433" spans="1:4" x14ac:dyDescent="0.2">
      <c r="A2433" s="496"/>
      <c r="D2433" s="496"/>
    </row>
    <row r="2434" spans="1:4" x14ac:dyDescent="0.2">
      <c r="A2434" s="496"/>
      <c r="D2434" s="496"/>
    </row>
    <row r="2435" spans="1:4" x14ac:dyDescent="0.2">
      <c r="A2435" s="496"/>
      <c r="D2435" s="496"/>
    </row>
    <row r="2436" spans="1:4" x14ac:dyDescent="0.2">
      <c r="A2436" s="496"/>
      <c r="D2436" s="496"/>
    </row>
    <row r="2437" spans="1:4" x14ac:dyDescent="0.2">
      <c r="A2437" s="496"/>
      <c r="D2437" s="496"/>
    </row>
    <row r="2438" spans="1:4" x14ac:dyDescent="0.2">
      <c r="A2438" s="496"/>
      <c r="D2438" s="496"/>
    </row>
    <row r="2439" spans="1:4" x14ac:dyDescent="0.2">
      <c r="A2439" s="496"/>
      <c r="D2439" s="496"/>
    </row>
    <row r="2440" spans="1:4" x14ac:dyDescent="0.2">
      <c r="A2440" s="496"/>
      <c r="D2440" s="496"/>
    </row>
    <row r="2441" spans="1:4" x14ac:dyDescent="0.2">
      <c r="A2441" s="496"/>
      <c r="D2441" s="496"/>
    </row>
    <row r="2442" spans="1:4" x14ac:dyDescent="0.2">
      <c r="A2442" s="496"/>
      <c r="D2442" s="496"/>
    </row>
    <row r="2443" spans="1:4" x14ac:dyDescent="0.2">
      <c r="A2443" s="496"/>
      <c r="D2443" s="496"/>
    </row>
    <row r="2444" spans="1:4" x14ac:dyDescent="0.2">
      <c r="A2444" s="496"/>
      <c r="D2444" s="496"/>
    </row>
    <row r="2445" spans="1:4" x14ac:dyDescent="0.2">
      <c r="A2445" s="496"/>
      <c r="D2445" s="496"/>
    </row>
    <row r="2446" spans="1:4" x14ac:dyDescent="0.2">
      <c r="A2446" s="496"/>
      <c r="D2446" s="496"/>
    </row>
    <row r="2447" spans="1:4" x14ac:dyDescent="0.2">
      <c r="A2447" s="496"/>
      <c r="D2447" s="496"/>
    </row>
    <row r="2448" spans="1:4" x14ac:dyDescent="0.2">
      <c r="A2448" s="496"/>
      <c r="D2448" s="496"/>
    </row>
    <row r="2449" spans="1:4" x14ac:dyDescent="0.2">
      <c r="A2449" s="496"/>
      <c r="D2449" s="496"/>
    </row>
    <row r="2450" spans="1:4" x14ac:dyDescent="0.2">
      <c r="A2450" s="496"/>
      <c r="D2450" s="496"/>
    </row>
    <row r="2451" spans="1:4" x14ac:dyDescent="0.2">
      <c r="A2451" s="496"/>
      <c r="D2451" s="496"/>
    </row>
    <row r="2452" spans="1:4" x14ac:dyDescent="0.2">
      <c r="A2452" s="496"/>
      <c r="D2452" s="496"/>
    </row>
    <row r="2453" spans="1:4" x14ac:dyDescent="0.2">
      <c r="A2453" s="496"/>
      <c r="D2453" s="496"/>
    </row>
    <row r="2454" spans="1:4" x14ac:dyDescent="0.2">
      <c r="A2454" s="496"/>
      <c r="D2454" s="496"/>
    </row>
    <row r="2455" spans="1:4" x14ac:dyDescent="0.2">
      <c r="A2455" s="496"/>
      <c r="D2455" s="496"/>
    </row>
    <row r="2456" spans="1:4" x14ac:dyDescent="0.2">
      <c r="A2456" s="496"/>
      <c r="D2456" s="496"/>
    </row>
    <row r="2457" spans="1:4" x14ac:dyDescent="0.2">
      <c r="A2457" s="496"/>
      <c r="D2457" s="496"/>
    </row>
    <row r="2458" spans="1:4" x14ac:dyDescent="0.2">
      <c r="A2458" s="496"/>
      <c r="D2458" s="496"/>
    </row>
    <row r="2459" spans="1:4" x14ac:dyDescent="0.2">
      <c r="A2459" s="496"/>
      <c r="D2459" s="496"/>
    </row>
    <row r="2460" spans="1:4" x14ac:dyDescent="0.2">
      <c r="A2460" s="496"/>
      <c r="D2460" s="496"/>
    </row>
    <row r="2461" spans="1:4" x14ac:dyDescent="0.2">
      <c r="A2461" s="496"/>
      <c r="D2461" s="496"/>
    </row>
    <row r="2462" spans="1:4" x14ac:dyDescent="0.2">
      <c r="A2462" s="496"/>
      <c r="D2462" s="496"/>
    </row>
    <row r="2463" spans="1:4" x14ac:dyDescent="0.2">
      <c r="A2463" s="496"/>
      <c r="D2463" s="496"/>
    </row>
    <row r="2464" spans="1:4" x14ac:dyDescent="0.2">
      <c r="A2464" s="496"/>
      <c r="D2464" s="496"/>
    </row>
    <row r="2465" spans="1:4" x14ac:dyDescent="0.2">
      <c r="A2465" s="496"/>
      <c r="D2465" s="496"/>
    </row>
    <row r="2466" spans="1:4" x14ac:dyDescent="0.2">
      <c r="A2466" s="496"/>
      <c r="D2466" s="496"/>
    </row>
    <row r="2467" spans="1:4" x14ac:dyDescent="0.2">
      <c r="A2467" s="496"/>
      <c r="D2467" s="496"/>
    </row>
    <row r="2468" spans="1:4" x14ac:dyDescent="0.2">
      <c r="A2468" s="496"/>
      <c r="D2468" s="496"/>
    </row>
    <row r="2469" spans="1:4" x14ac:dyDescent="0.2">
      <c r="A2469" s="496"/>
      <c r="D2469" s="496"/>
    </row>
    <row r="2470" spans="1:4" x14ac:dyDescent="0.2">
      <c r="A2470" s="496"/>
      <c r="D2470" s="496"/>
    </row>
    <row r="2471" spans="1:4" x14ac:dyDescent="0.2">
      <c r="A2471" s="496"/>
      <c r="D2471" s="496"/>
    </row>
    <row r="2472" spans="1:4" x14ac:dyDescent="0.2">
      <c r="A2472" s="496"/>
      <c r="D2472" s="496"/>
    </row>
    <row r="2473" spans="1:4" x14ac:dyDescent="0.2">
      <c r="A2473" s="496"/>
      <c r="D2473" s="496"/>
    </row>
    <row r="2474" spans="1:4" x14ac:dyDescent="0.2">
      <c r="A2474" s="496"/>
      <c r="D2474" s="496"/>
    </row>
    <row r="2475" spans="1:4" x14ac:dyDescent="0.2">
      <c r="A2475" s="496"/>
      <c r="D2475" s="496"/>
    </row>
    <row r="2476" spans="1:4" x14ac:dyDescent="0.2">
      <c r="A2476" s="496"/>
      <c r="D2476" s="496"/>
    </row>
    <row r="2477" spans="1:4" x14ac:dyDescent="0.2">
      <c r="A2477" s="496"/>
      <c r="D2477" s="496"/>
    </row>
    <row r="2478" spans="1:4" x14ac:dyDescent="0.2">
      <c r="A2478" s="496"/>
      <c r="D2478" s="496"/>
    </row>
    <row r="2479" spans="1:4" x14ac:dyDescent="0.2">
      <c r="A2479" s="496"/>
      <c r="D2479" s="496"/>
    </row>
    <row r="2480" spans="1:4" x14ac:dyDescent="0.2">
      <c r="A2480" s="496"/>
      <c r="D2480" s="496"/>
    </row>
    <row r="2481" spans="1:4" x14ac:dyDescent="0.2">
      <c r="A2481" s="496"/>
      <c r="D2481" s="496"/>
    </row>
    <row r="2482" spans="1:4" x14ac:dyDescent="0.2">
      <c r="A2482" s="496"/>
      <c r="D2482" s="496"/>
    </row>
    <row r="2483" spans="1:4" x14ac:dyDescent="0.2">
      <c r="A2483" s="496"/>
      <c r="D2483" s="496"/>
    </row>
    <row r="2484" spans="1:4" x14ac:dyDescent="0.2">
      <c r="A2484" s="496"/>
      <c r="D2484" s="496"/>
    </row>
    <row r="2485" spans="1:4" x14ac:dyDescent="0.2">
      <c r="A2485" s="496"/>
      <c r="D2485" s="496"/>
    </row>
    <row r="2486" spans="1:4" x14ac:dyDescent="0.2">
      <c r="A2486" s="496"/>
      <c r="D2486" s="496"/>
    </row>
    <row r="2487" spans="1:4" x14ac:dyDescent="0.2">
      <c r="A2487" s="496"/>
      <c r="D2487" s="496"/>
    </row>
    <row r="2488" spans="1:4" x14ac:dyDescent="0.2">
      <c r="A2488" s="496"/>
      <c r="D2488" s="496"/>
    </row>
    <row r="2489" spans="1:4" x14ac:dyDescent="0.2">
      <c r="A2489" s="496"/>
      <c r="D2489" s="496"/>
    </row>
    <row r="2490" spans="1:4" x14ac:dyDescent="0.2">
      <c r="A2490" s="496"/>
      <c r="D2490" s="496"/>
    </row>
    <row r="2491" spans="1:4" x14ac:dyDescent="0.2">
      <c r="A2491" s="496"/>
      <c r="D2491" s="496"/>
    </row>
    <row r="2492" spans="1:4" x14ac:dyDescent="0.2">
      <c r="A2492" s="496"/>
      <c r="D2492" s="496"/>
    </row>
    <row r="2493" spans="1:4" x14ac:dyDescent="0.2">
      <c r="A2493" s="496"/>
      <c r="D2493" s="496"/>
    </row>
    <row r="2494" spans="1:4" x14ac:dyDescent="0.2">
      <c r="A2494" s="496"/>
      <c r="D2494" s="496"/>
    </row>
    <row r="2495" spans="1:4" x14ac:dyDescent="0.2">
      <c r="A2495" s="496"/>
      <c r="D2495" s="496"/>
    </row>
    <row r="2496" spans="1:4" x14ac:dyDescent="0.2">
      <c r="A2496" s="496"/>
      <c r="D2496" s="496"/>
    </row>
    <row r="2497" spans="1:4" x14ac:dyDescent="0.2">
      <c r="A2497" s="496"/>
      <c r="D2497" s="496"/>
    </row>
    <row r="2498" spans="1:4" x14ac:dyDescent="0.2">
      <c r="A2498" s="496"/>
      <c r="D2498" s="496"/>
    </row>
    <row r="2499" spans="1:4" x14ac:dyDescent="0.2">
      <c r="A2499" s="496"/>
      <c r="D2499" s="496"/>
    </row>
    <row r="2500" spans="1:4" x14ac:dyDescent="0.2">
      <c r="A2500" s="496"/>
      <c r="D2500" s="496"/>
    </row>
    <row r="2501" spans="1:4" x14ac:dyDescent="0.2">
      <c r="A2501" s="496"/>
      <c r="D2501" s="496"/>
    </row>
    <row r="2502" spans="1:4" x14ac:dyDescent="0.2">
      <c r="A2502" s="496"/>
      <c r="D2502" s="496"/>
    </row>
    <row r="2503" spans="1:4" x14ac:dyDescent="0.2">
      <c r="A2503" s="496"/>
      <c r="D2503" s="496"/>
    </row>
    <row r="2504" spans="1:4" x14ac:dyDescent="0.2">
      <c r="A2504" s="496"/>
      <c r="D2504" s="496"/>
    </row>
    <row r="2505" spans="1:4" x14ac:dyDescent="0.2">
      <c r="A2505" s="496"/>
      <c r="D2505" s="496"/>
    </row>
    <row r="2506" spans="1:4" x14ac:dyDescent="0.2">
      <c r="A2506" s="496"/>
      <c r="D2506" s="496"/>
    </row>
    <row r="2507" spans="1:4" x14ac:dyDescent="0.2">
      <c r="A2507" s="496"/>
      <c r="D2507" s="496"/>
    </row>
    <row r="2508" spans="1:4" x14ac:dyDescent="0.2">
      <c r="A2508" s="496"/>
      <c r="D2508" s="496"/>
    </row>
    <row r="2509" spans="1:4" x14ac:dyDescent="0.2">
      <c r="A2509" s="496"/>
      <c r="D2509" s="496"/>
    </row>
    <row r="2510" spans="1:4" x14ac:dyDescent="0.2">
      <c r="A2510" s="496"/>
      <c r="D2510" s="496"/>
    </row>
    <row r="2511" spans="1:4" x14ac:dyDescent="0.2">
      <c r="A2511" s="496"/>
      <c r="D2511" s="496"/>
    </row>
    <row r="2512" spans="1:4" x14ac:dyDescent="0.2">
      <c r="A2512" s="496"/>
      <c r="D2512" s="496"/>
    </row>
    <row r="2513" spans="1:4" x14ac:dyDescent="0.2">
      <c r="A2513" s="496"/>
      <c r="D2513" s="496"/>
    </row>
    <row r="2514" spans="1:4" x14ac:dyDescent="0.2">
      <c r="A2514" s="496"/>
      <c r="D2514" s="496"/>
    </row>
    <row r="2515" spans="1:4" x14ac:dyDescent="0.2">
      <c r="A2515" s="496"/>
      <c r="D2515" s="496"/>
    </row>
    <row r="2516" spans="1:4" x14ac:dyDescent="0.2">
      <c r="A2516" s="496"/>
      <c r="D2516" s="496"/>
    </row>
    <row r="2517" spans="1:4" x14ac:dyDescent="0.2">
      <c r="A2517" s="496"/>
      <c r="D2517" s="496"/>
    </row>
    <row r="2518" spans="1:4" x14ac:dyDescent="0.2">
      <c r="A2518" s="496"/>
      <c r="D2518" s="496"/>
    </row>
    <row r="2519" spans="1:4" x14ac:dyDescent="0.2">
      <c r="A2519" s="496"/>
      <c r="D2519" s="496"/>
    </row>
    <row r="2520" spans="1:4" x14ac:dyDescent="0.2">
      <c r="A2520" s="496"/>
      <c r="D2520" s="496"/>
    </row>
    <row r="2521" spans="1:4" x14ac:dyDescent="0.2">
      <c r="A2521" s="496"/>
      <c r="D2521" s="496"/>
    </row>
    <row r="2522" spans="1:4" x14ac:dyDescent="0.2">
      <c r="A2522" s="496"/>
      <c r="D2522" s="496"/>
    </row>
    <row r="2523" spans="1:4" x14ac:dyDescent="0.2">
      <c r="A2523" s="496"/>
      <c r="D2523" s="496"/>
    </row>
    <row r="2524" spans="1:4" x14ac:dyDescent="0.2">
      <c r="A2524" s="496"/>
      <c r="D2524" s="496"/>
    </row>
    <row r="2525" spans="1:4" x14ac:dyDescent="0.2">
      <c r="A2525" s="496"/>
      <c r="D2525" s="496"/>
    </row>
    <row r="2526" spans="1:4" x14ac:dyDescent="0.2">
      <c r="A2526" s="496"/>
      <c r="D2526" s="496"/>
    </row>
    <row r="2527" spans="1:4" x14ac:dyDescent="0.2">
      <c r="A2527" s="496"/>
      <c r="D2527" s="496"/>
    </row>
    <row r="2528" spans="1:4" x14ac:dyDescent="0.2">
      <c r="A2528" s="496"/>
      <c r="D2528" s="496"/>
    </row>
    <row r="2529" spans="1:4" x14ac:dyDescent="0.2">
      <c r="A2529" s="496"/>
      <c r="D2529" s="496"/>
    </row>
    <row r="2530" spans="1:4" x14ac:dyDescent="0.2">
      <c r="A2530" s="496"/>
      <c r="D2530" s="496"/>
    </row>
    <row r="2531" spans="1:4" x14ac:dyDescent="0.2">
      <c r="A2531" s="496"/>
      <c r="D2531" s="496"/>
    </row>
    <row r="2532" spans="1:4" x14ac:dyDescent="0.2">
      <c r="A2532" s="496"/>
      <c r="D2532" s="496"/>
    </row>
    <row r="2533" spans="1:4" x14ac:dyDescent="0.2">
      <c r="A2533" s="496"/>
      <c r="D2533" s="496"/>
    </row>
    <row r="2534" spans="1:4" x14ac:dyDescent="0.2">
      <c r="A2534" s="496"/>
      <c r="D2534" s="496"/>
    </row>
    <row r="2535" spans="1:4" x14ac:dyDescent="0.2">
      <c r="A2535" s="496"/>
      <c r="D2535" s="496"/>
    </row>
    <row r="2536" spans="1:4" x14ac:dyDescent="0.2">
      <c r="A2536" s="496"/>
      <c r="D2536" s="496"/>
    </row>
    <row r="2537" spans="1:4" x14ac:dyDescent="0.2">
      <c r="A2537" s="496"/>
      <c r="D2537" s="496"/>
    </row>
    <row r="2538" spans="1:4" x14ac:dyDescent="0.2">
      <c r="A2538" s="496"/>
      <c r="D2538" s="496"/>
    </row>
    <row r="2539" spans="1:4" x14ac:dyDescent="0.2">
      <c r="A2539" s="496"/>
      <c r="D2539" s="496"/>
    </row>
    <row r="2540" spans="1:4" x14ac:dyDescent="0.2">
      <c r="A2540" s="496"/>
      <c r="D2540" s="496"/>
    </row>
    <row r="2541" spans="1:4" x14ac:dyDescent="0.2">
      <c r="A2541" s="496"/>
      <c r="D2541" s="496"/>
    </row>
    <row r="2542" spans="1:4" x14ac:dyDescent="0.2">
      <c r="A2542" s="496"/>
      <c r="D2542" s="496"/>
    </row>
    <row r="2543" spans="1:4" x14ac:dyDescent="0.2">
      <c r="A2543" s="496"/>
      <c r="D2543" s="496"/>
    </row>
    <row r="2544" spans="1:4" x14ac:dyDescent="0.2">
      <c r="A2544" s="496"/>
      <c r="D2544" s="496"/>
    </row>
    <row r="2545" spans="1:4" x14ac:dyDescent="0.2">
      <c r="A2545" s="496"/>
      <c r="D2545" s="496"/>
    </row>
    <row r="2546" spans="1:4" x14ac:dyDescent="0.2">
      <c r="A2546" s="496"/>
      <c r="D2546" s="496"/>
    </row>
    <row r="2547" spans="1:4" x14ac:dyDescent="0.2">
      <c r="A2547" s="496"/>
      <c r="D2547" s="496"/>
    </row>
    <row r="2548" spans="1:4" x14ac:dyDescent="0.2">
      <c r="A2548" s="496"/>
      <c r="D2548" s="496"/>
    </row>
    <row r="2549" spans="1:4" x14ac:dyDescent="0.2">
      <c r="A2549" s="496"/>
      <c r="D2549" s="496"/>
    </row>
    <row r="2550" spans="1:4" x14ac:dyDescent="0.2">
      <c r="A2550" s="496"/>
      <c r="D2550" s="496"/>
    </row>
    <row r="2551" spans="1:4" x14ac:dyDescent="0.2">
      <c r="A2551" s="496"/>
      <c r="D2551" s="496"/>
    </row>
    <row r="2552" spans="1:4" x14ac:dyDescent="0.2">
      <c r="A2552" s="496"/>
      <c r="D2552" s="496"/>
    </row>
    <row r="2553" spans="1:4" x14ac:dyDescent="0.2">
      <c r="A2553" s="496"/>
      <c r="D2553" s="496"/>
    </row>
    <row r="2554" spans="1:4" x14ac:dyDescent="0.2">
      <c r="A2554" s="496"/>
      <c r="D2554" s="496"/>
    </row>
    <row r="2555" spans="1:4" x14ac:dyDescent="0.2">
      <c r="A2555" s="496"/>
      <c r="D2555" s="496"/>
    </row>
    <row r="2556" spans="1:4" x14ac:dyDescent="0.2">
      <c r="A2556" s="496"/>
      <c r="D2556" s="496"/>
    </row>
    <row r="2557" spans="1:4" x14ac:dyDescent="0.2">
      <c r="A2557" s="496"/>
      <c r="D2557" s="496"/>
    </row>
    <row r="2558" spans="1:4" x14ac:dyDescent="0.2">
      <c r="A2558" s="496"/>
      <c r="D2558" s="496"/>
    </row>
    <row r="2559" spans="1:4" x14ac:dyDescent="0.2">
      <c r="A2559" s="496"/>
      <c r="D2559" s="496"/>
    </row>
    <row r="2560" spans="1:4" x14ac:dyDescent="0.2">
      <c r="A2560" s="496"/>
      <c r="D2560" s="496"/>
    </row>
    <row r="2561" spans="1:4" x14ac:dyDescent="0.2">
      <c r="A2561" s="496"/>
      <c r="D2561" s="496"/>
    </row>
    <row r="2562" spans="1:4" x14ac:dyDescent="0.2">
      <c r="A2562" s="496"/>
      <c r="D2562" s="496"/>
    </row>
    <row r="2563" spans="1:4" x14ac:dyDescent="0.2">
      <c r="A2563" s="496"/>
      <c r="D2563" s="496"/>
    </row>
    <row r="2564" spans="1:4" x14ac:dyDescent="0.2">
      <c r="A2564" s="496"/>
      <c r="D2564" s="496"/>
    </row>
    <row r="2565" spans="1:4" x14ac:dyDescent="0.2">
      <c r="A2565" s="496"/>
      <c r="D2565" s="496"/>
    </row>
    <row r="2566" spans="1:4" x14ac:dyDescent="0.2">
      <c r="A2566" s="496"/>
      <c r="D2566" s="496"/>
    </row>
    <row r="2567" spans="1:4" x14ac:dyDescent="0.2">
      <c r="A2567" s="496"/>
      <c r="D2567" s="496"/>
    </row>
    <row r="2568" spans="1:4" x14ac:dyDescent="0.2">
      <c r="A2568" s="496"/>
      <c r="D2568" s="496"/>
    </row>
    <row r="2569" spans="1:4" x14ac:dyDescent="0.2">
      <c r="A2569" s="496"/>
      <c r="D2569" s="496"/>
    </row>
    <row r="2570" spans="1:4" x14ac:dyDescent="0.2">
      <c r="A2570" s="496"/>
      <c r="D2570" s="496"/>
    </row>
    <row r="2571" spans="1:4" x14ac:dyDescent="0.2">
      <c r="A2571" s="496"/>
      <c r="D2571" s="496"/>
    </row>
    <row r="2572" spans="1:4" x14ac:dyDescent="0.2">
      <c r="A2572" s="496"/>
      <c r="D2572" s="496"/>
    </row>
    <row r="2573" spans="1:4" x14ac:dyDescent="0.2">
      <c r="A2573" s="496"/>
      <c r="D2573" s="496"/>
    </row>
    <row r="2574" spans="1:4" x14ac:dyDescent="0.2">
      <c r="A2574" s="496"/>
      <c r="D2574" s="496"/>
    </row>
    <row r="2575" spans="1:4" x14ac:dyDescent="0.2">
      <c r="A2575" s="496"/>
      <c r="D2575" s="496"/>
    </row>
    <row r="2576" spans="1:4" x14ac:dyDescent="0.2">
      <c r="A2576" s="496"/>
      <c r="D2576" s="496"/>
    </row>
    <row r="2577" spans="1:4" x14ac:dyDescent="0.2">
      <c r="A2577" s="496"/>
      <c r="D2577" s="496"/>
    </row>
    <row r="2578" spans="1:4" x14ac:dyDescent="0.2">
      <c r="A2578" s="496"/>
      <c r="D2578" s="496"/>
    </row>
    <row r="2579" spans="1:4" x14ac:dyDescent="0.2">
      <c r="A2579" s="496"/>
      <c r="D2579" s="496"/>
    </row>
    <row r="2580" spans="1:4" x14ac:dyDescent="0.2">
      <c r="A2580" s="496"/>
      <c r="D2580" s="496"/>
    </row>
    <row r="2581" spans="1:4" x14ac:dyDescent="0.2">
      <c r="A2581" s="496"/>
      <c r="D2581" s="496"/>
    </row>
    <row r="2582" spans="1:4" x14ac:dyDescent="0.2">
      <c r="A2582" s="496"/>
      <c r="D2582" s="496"/>
    </row>
    <row r="2583" spans="1:4" x14ac:dyDescent="0.2">
      <c r="A2583" s="496"/>
      <c r="D2583" s="496"/>
    </row>
    <row r="2584" spans="1:4" x14ac:dyDescent="0.2">
      <c r="A2584" s="496"/>
      <c r="D2584" s="496"/>
    </row>
    <row r="2585" spans="1:4" x14ac:dyDescent="0.2">
      <c r="A2585" s="496"/>
      <c r="D2585" s="496"/>
    </row>
    <row r="2586" spans="1:4" x14ac:dyDescent="0.2">
      <c r="A2586" s="496"/>
      <c r="D2586" s="496"/>
    </row>
    <row r="2587" spans="1:4" x14ac:dyDescent="0.2">
      <c r="A2587" s="496"/>
      <c r="D2587" s="496"/>
    </row>
    <row r="2588" spans="1:4" x14ac:dyDescent="0.2">
      <c r="A2588" s="496"/>
      <c r="D2588" s="496"/>
    </row>
    <row r="2589" spans="1:4" x14ac:dyDescent="0.2">
      <c r="A2589" s="496"/>
      <c r="D2589" s="496"/>
    </row>
    <row r="2590" spans="1:4" x14ac:dyDescent="0.2">
      <c r="A2590" s="496"/>
      <c r="D2590" s="496"/>
    </row>
    <row r="2591" spans="1:4" x14ac:dyDescent="0.2">
      <c r="A2591" s="496"/>
      <c r="D2591" s="496"/>
    </row>
    <row r="2592" spans="1:4" x14ac:dyDescent="0.2">
      <c r="A2592" s="496"/>
      <c r="D2592" s="496"/>
    </row>
    <row r="2593" spans="1:4" x14ac:dyDescent="0.2">
      <c r="A2593" s="496"/>
      <c r="D2593" s="496"/>
    </row>
    <row r="2594" spans="1:4" x14ac:dyDescent="0.2">
      <c r="A2594" s="496"/>
      <c r="D2594" s="496"/>
    </row>
    <row r="2595" spans="1:4" x14ac:dyDescent="0.2">
      <c r="A2595" s="496"/>
      <c r="D2595" s="496"/>
    </row>
    <row r="2596" spans="1:4" x14ac:dyDescent="0.2">
      <c r="A2596" s="496"/>
      <c r="D2596" s="496"/>
    </row>
    <row r="2597" spans="1:4" x14ac:dyDescent="0.2">
      <c r="A2597" s="496"/>
      <c r="D2597" s="496"/>
    </row>
    <row r="2598" spans="1:4" x14ac:dyDescent="0.2">
      <c r="A2598" s="496"/>
      <c r="D2598" s="496"/>
    </row>
    <row r="2599" spans="1:4" x14ac:dyDescent="0.2">
      <c r="A2599" s="496"/>
      <c r="D2599" s="496"/>
    </row>
    <row r="2600" spans="1:4" x14ac:dyDescent="0.2">
      <c r="A2600" s="496"/>
      <c r="D2600" s="496"/>
    </row>
    <row r="2601" spans="1:4" x14ac:dyDescent="0.2">
      <c r="A2601" s="496"/>
      <c r="D2601" s="496"/>
    </row>
    <row r="2602" spans="1:4" x14ac:dyDescent="0.2">
      <c r="A2602" s="496"/>
      <c r="D2602" s="496"/>
    </row>
    <row r="2603" spans="1:4" x14ac:dyDescent="0.2">
      <c r="A2603" s="496"/>
      <c r="D2603" s="496"/>
    </row>
    <row r="2604" spans="1:4" x14ac:dyDescent="0.2">
      <c r="A2604" s="496"/>
      <c r="D2604" s="496"/>
    </row>
    <row r="2605" spans="1:4" x14ac:dyDescent="0.2">
      <c r="A2605" s="496"/>
      <c r="D2605" s="496"/>
    </row>
    <row r="2606" spans="1:4" x14ac:dyDescent="0.2">
      <c r="A2606" s="496"/>
      <c r="D2606" s="496"/>
    </row>
    <row r="2607" spans="1:4" x14ac:dyDescent="0.2">
      <c r="A2607" s="496"/>
      <c r="D2607" s="496"/>
    </row>
    <row r="2608" spans="1:4" x14ac:dyDescent="0.2">
      <c r="A2608" s="496"/>
      <c r="D2608" s="496"/>
    </row>
    <row r="2609" spans="1:4" x14ac:dyDescent="0.2">
      <c r="A2609" s="496"/>
      <c r="D2609" s="496"/>
    </row>
    <row r="2610" spans="1:4" x14ac:dyDescent="0.2">
      <c r="A2610" s="496"/>
      <c r="D2610" s="496"/>
    </row>
    <row r="2611" spans="1:4" x14ac:dyDescent="0.2">
      <c r="A2611" s="496"/>
      <c r="D2611" s="496"/>
    </row>
    <row r="2612" spans="1:4" x14ac:dyDescent="0.2">
      <c r="A2612" s="496"/>
      <c r="D2612" s="496"/>
    </row>
    <row r="2613" spans="1:4" x14ac:dyDescent="0.2">
      <c r="A2613" s="496"/>
      <c r="D2613" s="496"/>
    </row>
    <row r="2614" spans="1:4" x14ac:dyDescent="0.2">
      <c r="A2614" s="496"/>
      <c r="D2614" s="496"/>
    </row>
    <row r="2615" spans="1:4" x14ac:dyDescent="0.2">
      <c r="A2615" s="496"/>
      <c r="D2615" s="496"/>
    </row>
    <row r="2616" spans="1:4" x14ac:dyDescent="0.2">
      <c r="A2616" s="496"/>
      <c r="D2616" s="496"/>
    </row>
    <row r="2617" spans="1:4" x14ac:dyDescent="0.2">
      <c r="A2617" s="496"/>
      <c r="D2617" s="496"/>
    </row>
    <row r="2618" spans="1:4" x14ac:dyDescent="0.2">
      <c r="A2618" s="496"/>
      <c r="D2618" s="496"/>
    </row>
    <row r="2619" spans="1:4" x14ac:dyDescent="0.2">
      <c r="A2619" s="496"/>
      <c r="D2619" s="496"/>
    </row>
    <row r="2620" spans="1:4" x14ac:dyDescent="0.2">
      <c r="A2620" s="496"/>
      <c r="D2620" s="496"/>
    </row>
    <row r="2621" spans="1:4" x14ac:dyDescent="0.2">
      <c r="A2621" s="496"/>
      <c r="D2621" s="496"/>
    </row>
    <row r="2622" spans="1:4" x14ac:dyDescent="0.2">
      <c r="A2622" s="496"/>
      <c r="D2622" s="496"/>
    </row>
    <row r="2623" spans="1:4" x14ac:dyDescent="0.2">
      <c r="A2623" s="496"/>
      <c r="D2623" s="496"/>
    </row>
    <row r="2624" spans="1:4" x14ac:dyDescent="0.2">
      <c r="A2624" s="496"/>
      <c r="D2624" s="496"/>
    </row>
    <row r="2625" spans="1:4" x14ac:dyDescent="0.2">
      <c r="A2625" s="496"/>
      <c r="D2625" s="496"/>
    </row>
    <row r="2626" spans="1:4" x14ac:dyDescent="0.2">
      <c r="A2626" s="496"/>
      <c r="D2626" s="496"/>
    </row>
    <row r="2627" spans="1:4" x14ac:dyDescent="0.2">
      <c r="A2627" s="496"/>
      <c r="D2627" s="496"/>
    </row>
    <row r="2628" spans="1:4" x14ac:dyDescent="0.2">
      <c r="A2628" s="496"/>
      <c r="D2628" s="496"/>
    </row>
    <row r="2629" spans="1:4" x14ac:dyDescent="0.2">
      <c r="A2629" s="496"/>
      <c r="D2629" s="496"/>
    </row>
    <row r="2630" spans="1:4" x14ac:dyDescent="0.2">
      <c r="A2630" s="496"/>
      <c r="D2630" s="496"/>
    </row>
    <row r="2631" spans="1:4" x14ac:dyDescent="0.2">
      <c r="A2631" s="496"/>
      <c r="D2631" s="496"/>
    </row>
    <row r="2632" spans="1:4" x14ac:dyDescent="0.2">
      <c r="A2632" s="496"/>
      <c r="D2632" s="496"/>
    </row>
    <row r="2633" spans="1:4" x14ac:dyDescent="0.2">
      <c r="A2633" s="496"/>
      <c r="D2633" s="496"/>
    </row>
    <row r="2634" spans="1:4" x14ac:dyDescent="0.2">
      <c r="A2634" s="496"/>
      <c r="D2634" s="496"/>
    </row>
    <row r="2635" spans="1:4" x14ac:dyDescent="0.2">
      <c r="A2635" s="496"/>
      <c r="D2635" s="496"/>
    </row>
    <row r="2636" spans="1:4" x14ac:dyDescent="0.2">
      <c r="A2636" s="496"/>
      <c r="D2636" s="496"/>
    </row>
    <row r="2637" spans="1:4" x14ac:dyDescent="0.2">
      <c r="A2637" s="496"/>
      <c r="D2637" s="496"/>
    </row>
    <row r="2638" spans="1:4" x14ac:dyDescent="0.2">
      <c r="A2638" s="496"/>
      <c r="D2638" s="496"/>
    </row>
    <row r="2639" spans="1:4" x14ac:dyDescent="0.2">
      <c r="A2639" s="496"/>
      <c r="D2639" s="496"/>
    </row>
    <row r="2640" spans="1:4" x14ac:dyDescent="0.2">
      <c r="A2640" s="496"/>
      <c r="D2640" s="496"/>
    </row>
    <row r="2641" spans="1:4" x14ac:dyDescent="0.2">
      <c r="A2641" s="496"/>
      <c r="D2641" s="496"/>
    </row>
    <row r="2642" spans="1:4" x14ac:dyDescent="0.2">
      <c r="A2642" s="496"/>
      <c r="D2642" s="496"/>
    </row>
    <row r="2643" spans="1:4" x14ac:dyDescent="0.2">
      <c r="A2643" s="496"/>
      <c r="D2643" s="496"/>
    </row>
    <row r="2644" spans="1:4" x14ac:dyDescent="0.2">
      <c r="A2644" s="496"/>
      <c r="D2644" s="496"/>
    </row>
    <row r="2645" spans="1:4" x14ac:dyDescent="0.2">
      <c r="A2645" s="496"/>
      <c r="D2645" s="496"/>
    </row>
    <row r="2646" spans="1:4" x14ac:dyDescent="0.2">
      <c r="A2646" s="496"/>
      <c r="D2646" s="496"/>
    </row>
    <row r="2647" spans="1:4" x14ac:dyDescent="0.2">
      <c r="A2647" s="496"/>
      <c r="D2647" s="496"/>
    </row>
    <row r="2648" spans="1:4" x14ac:dyDescent="0.2">
      <c r="A2648" s="496"/>
      <c r="D2648" s="496"/>
    </row>
    <row r="2649" spans="1:4" x14ac:dyDescent="0.2">
      <c r="A2649" s="496"/>
      <c r="D2649" s="496"/>
    </row>
    <row r="2650" spans="1:4" x14ac:dyDescent="0.2">
      <c r="A2650" s="496"/>
      <c r="D2650" s="496"/>
    </row>
    <row r="2651" spans="1:4" x14ac:dyDescent="0.2">
      <c r="A2651" s="496"/>
      <c r="D2651" s="496"/>
    </row>
    <row r="2652" spans="1:4" x14ac:dyDescent="0.2">
      <c r="A2652" s="496"/>
      <c r="D2652" s="496"/>
    </row>
    <row r="2653" spans="1:4" x14ac:dyDescent="0.2">
      <c r="A2653" s="496"/>
      <c r="D2653" s="496"/>
    </row>
    <row r="2654" spans="1:4" x14ac:dyDescent="0.2">
      <c r="A2654" s="496"/>
      <c r="D2654" s="496"/>
    </row>
    <row r="2655" spans="1:4" x14ac:dyDescent="0.2">
      <c r="A2655" s="496"/>
      <c r="D2655" s="496"/>
    </row>
    <row r="2656" spans="1:4" x14ac:dyDescent="0.2">
      <c r="A2656" s="496"/>
      <c r="D2656" s="496"/>
    </row>
    <row r="2657" spans="1:4" x14ac:dyDescent="0.2">
      <c r="A2657" s="496"/>
      <c r="D2657" s="496"/>
    </row>
    <row r="2658" spans="1:4" x14ac:dyDescent="0.2">
      <c r="A2658" s="496"/>
      <c r="D2658" s="496"/>
    </row>
    <row r="2659" spans="1:4" x14ac:dyDescent="0.2">
      <c r="A2659" s="496"/>
      <c r="D2659" s="496"/>
    </row>
    <row r="2660" spans="1:4" x14ac:dyDescent="0.2">
      <c r="A2660" s="496"/>
      <c r="D2660" s="496"/>
    </row>
    <row r="2661" spans="1:4" x14ac:dyDescent="0.2">
      <c r="A2661" s="496"/>
      <c r="D2661" s="496"/>
    </row>
    <row r="2662" spans="1:4" x14ac:dyDescent="0.2">
      <c r="A2662" s="496"/>
      <c r="D2662" s="496"/>
    </row>
    <row r="2663" spans="1:4" x14ac:dyDescent="0.2">
      <c r="A2663" s="496"/>
      <c r="D2663" s="496"/>
    </row>
    <row r="2664" spans="1:4" x14ac:dyDescent="0.2">
      <c r="A2664" s="496"/>
      <c r="D2664" s="496"/>
    </row>
    <row r="2665" spans="1:4" x14ac:dyDescent="0.2">
      <c r="A2665" s="496"/>
      <c r="D2665" s="496"/>
    </row>
    <row r="2666" spans="1:4" x14ac:dyDescent="0.2">
      <c r="A2666" s="496"/>
      <c r="D2666" s="496"/>
    </row>
    <row r="2667" spans="1:4" x14ac:dyDescent="0.2">
      <c r="A2667" s="496"/>
      <c r="D2667" s="496"/>
    </row>
    <row r="2668" spans="1:4" x14ac:dyDescent="0.2">
      <c r="A2668" s="496"/>
      <c r="D2668" s="496"/>
    </row>
    <row r="2669" spans="1:4" x14ac:dyDescent="0.2">
      <c r="A2669" s="496"/>
      <c r="D2669" s="496"/>
    </row>
    <row r="2670" spans="1:4" x14ac:dyDescent="0.2">
      <c r="A2670" s="496"/>
      <c r="D2670" s="496"/>
    </row>
    <row r="2671" spans="1:4" x14ac:dyDescent="0.2">
      <c r="A2671" s="496"/>
      <c r="D2671" s="496"/>
    </row>
    <row r="2672" spans="1:4" x14ac:dyDescent="0.2">
      <c r="A2672" s="496"/>
      <c r="D2672" s="496"/>
    </row>
    <row r="2673" spans="1:4" x14ac:dyDescent="0.2">
      <c r="A2673" s="496"/>
      <c r="D2673" s="496"/>
    </row>
    <row r="2674" spans="1:4" x14ac:dyDescent="0.2">
      <c r="A2674" s="496"/>
      <c r="D2674" s="496"/>
    </row>
    <row r="2675" spans="1:4" x14ac:dyDescent="0.2">
      <c r="A2675" s="496"/>
      <c r="D2675" s="496"/>
    </row>
    <row r="2676" spans="1:4" x14ac:dyDescent="0.2">
      <c r="A2676" s="496"/>
      <c r="D2676" s="496"/>
    </row>
    <row r="2677" spans="1:4" x14ac:dyDescent="0.2">
      <c r="A2677" s="496"/>
      <c r="D2677" s="496"/>
    </row>
    <row r="2678" spans="1:4" x14ac:dyDescent="0.2">
      <c r="A2678" s="496"/>
      <c r="D2678" s="496"/>
    </row>
    <row r="2679" spans="1:4" x14ac:dyDescent="0.2">
      <c r="A2679" s="496"/>
      <c r="D2679" s="496"/>
    </row>
    <row r="2680" spans="1:4" x14ac:dyDescent="0.2">
      <c r="A2680" s="496"/>
      <c r="D2680" s="496"/>
    </row>
    <row r="2681" spans="1:4" x14ac:dyDescent="0.2">
      <c r="A2681" s="496"/>
      <c r="D2681" s="496"/>
    </row>
    <row r="2682" spans="1:4" x14ac:dyDescent="0.2">
      <c r="A2682" s="496"/>
      <c r="D2682" s="496"/>
    </row>
    <row r="2683" spans="1:4" x14ac:dyDescent="0.2">
      <c r="A2683" s="496"/>
      <c r="D2683" s="496"/>
    </row>
    <row r="2684" spans="1:4" x14ac:dyDescent="0.2">
      <c r="A2684" s="496"/>
      <c r="D2684" s="496"/>
    </row>
    <row r="2685" spans="1:4" x14ac:dyDescent="0.2">
      <c r="A2685" s="496"/>
      <c r="D2685" s="496"/>
    </row>
    <row r="2686" spans="1:4" x14ac:dyDescent="0.2">
      <c r="A2686" s="496"/>
      <c r="D2686" s="496"/>
    </row>
    <row r="2687" spans="1:4" x14ac:dyDescent="0.2">
      <c r="A2687" s="496"/>
      <c r="D2687" s="496"/>
    </row>
    <row r="2688" spans="1:4" x14ac:dyDescent="0.2">
      <c r="A2688" s="496"/>
      <c r="D2688" s="496"/>
    </row>
    <row r="2689" spans="1:4" x14ac:dyDescent="0.2">
      <c r="A2689" s="496"/>
      <c r="D2689" s="496"/>
    </row>
    <row r="2690" spans="1:4" x14ac:dyDescent="0.2">
      <c r="A2690" s="496"/>
      <c r="D2690" s="496"/>
    </row>
    <row r="2691" spans="1:4" x14ac:dyDescent="0.2">
      <c r="A2691" s="496"/>
      <c r="D2691" s="496"/>
    </row>
    <row r="2692" spans="1:4" x14ac:dyDescent="0.2">
      <c r="A2692" s="496"/>
      <c r="D2692" s="496"/>
    </row>
    <row r="2693" spans="1:4" x14ac:dyDescent="0.2">
      <c r="A2693" s="496"/>
      <c r="D2693" s="496"/>
    </row>
    <row r="2694" spans="1:4" x14ac:dyDescent="0.2">
      <c r="A2694" s="496"/>
      <c r="D2694" s="496"/>
    </row>
    <row r="2695" spans="1:4" x14ac:dyDescent="0.2">
      <c r="A2695" s="496"/>
      <c r="D2695" s="496"/>
    </row>
    <row r="2696" spans="1:4" x14ac:dyDescent="0.2">
      <c r="A2696" s="496"/>
      <c r="D2696" s="496"/>
    </row>
    <row r="2697" spans="1:4" x14ac:dyDescent="0.2">
      <c r="A2697" s="496"/>
      <c r="D2697" s="496"/>
    </row>
    <row r="2698" spans="1:4" x14ac:dyDescent="0.2">
      <c r="A2698" s="496"/>
      <c r="D2698" s="496"/>
    </row>
    <row r="2699" spans="1:4" x14ac:dyDescent="0.2">
      <c r="A2699" s="496"/>
      <c r="D2699" s="496"/>
    </row>
    <row r="2700" spans="1:4" x14ac:dyDescent="0.2">
      <c r="A2700" s="496"/>
      <c r="D2700" s="496"/>
    </row>
    <row r="2701" spans="1:4" x14ac:dyDescent="0.2">
      <c r="A2701" s="496"/>
      <c r="D2701" s="496"/>
    </row>
    <row r="2702" spans="1:4" x14ac:dyDescent="0.2">
      <c r="A2702" s="496"/>
      <c r="D2702" s="496"/>
    </row>
    <row r="2703" spans="1:4" x14ac:dyDescent="0.2">
      <c r="A2703" s="496"/>
      <c r="D2703" s="496"/>
    </row>
    <row r="2704" spans="1:4" x14ac:dyDescent="0.2">
      <c r="A2704" s="496"/>
      <c r="D2704" s="496"/>
    </row>
    <row r="2705" spans="1:4" x14ac:dyDescent="0.2">
      <c r="A2705" s="496"/>
      <c r="D2705" s="496"/>
    </row>
    <row r="2706" spans="1:4" x14ac:dyDescent="0.2">
      <c r="A2706" s="496"/>
      <c r="D2706" s="496"/>
    </row>
    <row r="2707" spans="1:4" x14ac:dyDescent="0.2">
      <c r="A2707" s="496"/>
      <c r="D2707" s="496"/>
    </row>
    <row r="2708" spans="1:4" x14ac:dyDescent="0.2">
      <c r="A2708" s="496"/>
      <c r="D2708" s="496"/>
    </row>
    <row r="2709" spans="1:4" x14ac:dyDescent="0.2">
      <c r="A2709" s="496"/>
      <c r="D2709" s="496"/>
    </row>
    <row r="2710" spans="1:4" x14ac:dyDescent="0.2">
      <c r="A2710" s="496"/>
      <c r="D2710" s="496"/>
    </row>
    <row r="2711" spans="1:4" x14ac:dyDescent="0.2">
      <c r="A2711" s="496"/>
      <c r="D2711" s="496"/>
    </row>
    <row r="2712" spans="1:4" x14ac:dyDescent="0.2">
      <c r="A2712" s="496"/>
      <c r="D2712" s="496"/>
    </row>
    <row r="2713" spans="1:4" x14ac:dyDescent="0.2">
      <c r="A2713" s="496"/>
      <c r="D2713" s="496"/>
    </row>
    <row r="2714" spans="1:4" x14ac:dyDescent="0.2">
      <c r="A2714" s="496"/>
      <c r="D2714" s="496"/>
    </row>
    <row r="2715" spans="1:4" x14ac:dyDescent="0.2">
      <c r="A2715" s="496"/>
      <c r="D2715" s="496"/>
    </row>
    <row r="2716" spans="1:4" x14ac:dyDescent="0.2">
      <c r="A2716" s="496"/>
      <c r="D2716" s="496"/>
    </row>
    <row r="2717" spans="1:4" x14ac:dyDescent="0.2">
      <c r="A2717" s="496"/>
      <c r="D2717" s="496"/>
    </row>
    <row r="2718" spans="1:4" x14ac:dyDescent="0.2">
      <c r="A2718" s="496"/>
      <c r="D2718" s="496"/>
    </row>
    <row r="2719" spans="1:4" x14ac:dyDescent="0.2">
      <c r="A2719" s="496"/>
      <c r="D2719" s="496"/>
    </row>
    <row r="2720" spans="1:4" x14ac:dyDescent="0.2">
      <c r="A2720" s="496"/>
      <c r="D2720" s="496"/>
    </row>
    <row r="2721" spans="1:4" x14ac:dyDescent="0.2">
      <c r="A2721" s="496"/>
      <c r="D2721" s="496"/>
    </row>
    <row r="2722" spans="1:4" x14ac:dyDescent="0.2">
      <c r="A2722" s="496"/>
      <c r="D2722" s="496"/>
    </row>
    <row r="2723" spans="1:4" x14ac:dyDescent="0.2">
      <c r="A2723" s="496"/>
      <c r="D2723" s="496"/>
    </row>
    <row r="2724" spans="1:4" x14ac:dyDescent="0.2">
      <c r="A2724" s="496"/>
      <c r="D2724" s="496"/>
    </row>
    <row r="2725" spans="1:4" x14ac:dyDescent="0.2">
      <c r="A2725" s="496"/>
      <c r="D2725" s="496"/>
    </row>
    <row r="2726" spans="1:4" x14ac:dyDescent="0.2">
      <c r="A2726" s="496"/>
      <c r="D2726" s="496"/>
    </row>
    <row r="2727" spans="1:4" x14ac:dyDescent="0.2">
      <c r="A2727" s="496"/>
      <c r="D2727" s="496"/>
    </row>
    <row r="2728" spans="1:4" x14ac:dyDescent="0.2">
      <c r="A2728" s="496"/>
      <c r="D2728" s="496"/>
    </row>
    <row r="2729" spans="1:4" x14ac:dyDescent="0.2">
      <c r="A2729" s="496"/>
      <c r="D2729" s="496"/>
    </row>
    <row r="2730" spans="1:4" x14ac:dyDescent="0.2">
      <c r="A2730" s="496"/>
      <c r="D2730" s="496"/>
    </row>
    <row r="2731" spans="1:4" x14ac:dyDescent="0.2">
      <c r="A2731" s="496"/>
      <c r="D2731" s="496"/>
    </row>
    <row r="2732" spans="1:4" x14ac:dyDescent="0.2">
      <c r="A2732" s="496"/>
      <c r="D2732" s="496"/>
    </row>
    <row r="2733" spans="1:4" x14ac:dyDescent="0.2">
      <c r="A2733" s="496"/>
      <c r="D2733" s="496"/>
    </row>
    <row r="2734" spans="1:4" x14ac:dyDescent="0.2">
      <c r="A2734" s="496"/>
      <c r="D2734" s="496"/>
    </row>
    <row r="2735" spans="1:4" x14ac:dyDescent="0.2">
      <c r="A2735" s="496"/>
      <c r="D2735" s="496"/>
    </row>
    <row r="2736" spans="1:4" x14ac:dyDescent="0.2">
      <c r="A2736" s="496"/>
      <c r="D2736" s="496"/>
    </row>
    <row r="2737" spans="1:4" x14ac:dyDescent="0.2">
      <c r="A2737" s="496"/>
      <c r="D2737" s="496"/>
    </row>
    <row r="2738" spans="1:4" x14ac:dyDescent="0.2">
      <c r="A2738" s="496"/>
      <c r="D2738" s="496"/>
    </row>
    <row r="2739" spans="1:4" x14ac:dyDescent="0.2">
      <c r="A2739" s="496"/>
      <c r="D2739" s="496"/>
    </row>
    <row r="2740" spans="1:4" x14ac:dyDescent="0.2">
      <c r="A2740" s="496"/>
      <c r="D2740" s="496"/>
    </row>
    <row r="2741" spans="1:4" x14ac:dyDescent="0.2">
      <c r="A2741" s="496"/>
      <c r="D2741" s="496"/>
    </row>
    <row r="2742" spans="1:4" x14ac:dyDescent="0.2">
      <c r="A2742" s="496"/>
      <c r="D2742" s="496"/>
    </row>
    <row r="2743" spans="1:4" x14ac:dyDescent="0.2">
      <c r="A2743" s="496"/>
      <c r="D2743" s="496"/>
    </row>
    <row r="2744" spans="1:4" x14ac:dyDescent="0.2">
      <c r="A2744" s="496"/>
      <c r="D2744" s="496"/>
    </row>
    <row r="2745" spans="1:4" x14ac:dyDescent="0.2">
      <c r="A2745" s="496"/>
      <c r="D2745" s="496"/>
    </row>
    <row r="2746" spans="1:4" x14ac:dyDescent="0.2">
      <c r="A2746" s="496"/>
      <c r="D2746" s="496"/>
    </row>
    <row r="2747" spans="1:4" x14ac:dyDescent="0.2">
      <c r="A2747" s="496"/>
      <c r="D2747" s="496"/>
    </row>
    <row r="2748" spans="1:4" x14ac:dyDescent="0.2">
      <c r="A2748" s="496"/>
      <c r="D2748" s="496"/>
    </row>
    <row r="2749" spans="1:4" x14ac:dyDescent="0.2">
      <c r="A2749" s="496"/>
      <c r="D2749" s="496"/>
    </row>
    <row r="2750" spans="1:4" x14ac:dyDescent="0.2">
      <c r="A2750" s="496"/>
      <c r="D2750" s="496"/>
    </row>
    <row r="2751" spans="1:4" x14ac:dyDescent="0.2">
      <c r="A2751" s="496"/>
      <c r="D2751" s="496"/>
    </row>
    <row r="2752" spans="1:4" x14ac:dyDescent="0.2">
      <c r="A2752" s="496"/>
      <c r="D2752" s="496"/>
    </row>
    <row r="2753" spans="1:4" x14ac:dyDescent="0.2">
      <c r="A2753" s="496"/>
      <c r="D2753" s="496"/>
    </row>
    <row r="2754" spans="1:4" x14ac:dyDescent="0.2">
      <c r="A2754" s="496"/>
      <c r="D2754" s="496"/>
    </row>
    <row r="2755" spans="1:4" x14ac:dyDescent="0.2">
      <c r="A2755" s="496"/>
      <c r="D2755" s="496"/>
    </row>
    <row r="2756" spans="1:4" x14ac:dyDescent="0.2">
      <c r="A2756" s="496"/>
      <c r="D2756" s="496"/>
    </row>
    <row r="2757" spans="1:4" x14ac:dyDescent="0.2">
      <c r="A2757" s="496"/>
      <c r="D2757" s="496"/>
    </row>
    <row r="2758" spans="1:4" x14ac:dyDescent="0.2">
      <c r="A2758" s="496"/>
      <c r="D2758" s="496"/>
    </row>
    <row r="2759" spans="1:4" x14ac:dyDescent="0.2">
      <c r="A2759" s="496"/>
      <c r="D2759" s="496"/>
    </row>
    <row r="2760" spans="1:4" x14ac:dyDescent="0.2">
      <c r="A2760" s="496"/>
      <c r="D2760" s="496"/>
    </row>
    <row r="2761" spans="1:4" x14ac:dyDescent="0.2">
      <c r="A2761" s="496"/>
      <c r="D2761" s="496"/>
    </row>
    <row r="2762" spans="1:4" x14ac:dyDescent="0.2">
      <c r="A2762" s="496"/>
      <c r="D2762" s="496"/>
    </row>
    <row r="2763" spans="1:4" x14ac:dyDescent="0.2">
      <c r="A2763" s="496"/>
      <c r="D2763" s="496"/>
    </row>
    <row r="2764" spans="1:4" x14ac:dyDescent="0.2">
      <c r="A2764" s="496"/>
      <c r="D2764" s="496"/>
    </row>
    <row r="2765" spans="1:4" x14ac:dyDescent="0.2">
      <c r="A2765" s="496"/>
      <c r="D2765" s="496"/>
    </row>
    <row r="2766" spans="1:4" x14ac:dyDescent="0.2">
      <c r="A2766" s="496"/>
      <c r="D2766" s="496"/>
    </row>
    <row r="2767" spans="1:4" x14ac:dyDescent="0.2">
      <c r="A2767" s="496"/>
      <c r="D2767" s="496"/>
    </row>
    <row r="2768" spans="1:4" x14ac:dyDescent="0.2">
      <c r="A2768" s="496"/>
      <c r="D2768" s="496"/>
    </row>
    <row r="2769" spans="1:4" x14ac:dyDescent="0.2">
      <c r="A2769" s="496"/>
      <c r="D2769" s="496"/>
    </row>
    <row r="2770" spans="1:4" x14ac:dyDescent="0.2">
      <c r="A2770" s="496"/>
      <c r="D2770" s="496"/>
    </row>
    <row r="2771" spans="1:4" x14ac:dyDescent="0.2">
      <c r="A2771" s="496"/>
      <c r="D2771" s="496"/>
    </row>
    <row r="2772" spans="1:4" x14ac:dyDescent="0.2">
      <c r="A2772" s="496"/>
      <c r="D2772" s="496"/>
    </row>
    <row r="2773" spans="1:4" x14ac:dyDescent="0.2">
      <c r="A2773" s="496"/>
      <c r="D2773" s="496"/>
    </row>
    <row r="2774" spans="1:4" x14ac:dyDescent="0.2">
      <c r="A2774" s="496"/>
      <c r="D2774" s="496"/>
    </row>
    <row r="2775" spans="1:4" x14ac:dyDescent="0.2">
      <c r="A2775" s="496"/>
      <c r="D2775" s="496"/>
    </row>
    <row r="2776" spans="1:4" x14ac:dyDescent="0.2">
      <c r="A2776" s="496"/>
      <c r="D2776" s="496"/>
    </row>
    <row r="2777" spans="1:4" x14ac:dyDescent="0.2">
      <c r="A2777" s="496"/>
      <c r="D2777" s="496"/>
    </row>
    <row r="2778" spans="1:4" x14ac:dyDescent="0.2">
      <c r="A2778" s="496"/>
      <c r="D2778" s="496"/>
    </row>
    <row r="2779" spans="1:4" x14ac:dyDescent="0.2">
      <c r="A2779" s="496"/>
      <c r="D2779" s="496"/>
    </row>
    <row r="2780" spans="1:4" x14ac:dyDescent="0.2">
      <c r="A2780" s="496"/>
      <c r="D2780" s="496"/>
    </row>
    <row r="2781" spans="1:4" x14ac:dyDescent="0.2">
      <c r="A2781" s="496"/>
      <c r="D2781" s="496"/>
    </row>
    <row r="2782" spans="1:4" x14ac:dyDescent="0.2">
      <c r="A2782" s="496"/>
      <c r="D2782" s="496"/>
    </row>
    <row r="2783" spans="1:4" x14ac:dyDescent="0.2">
      <c r="A2783" s="496"/>
      <c r="D2783" s="496"/>
    </row>
    <row r="2784" spans="1:4" x14ac:dyDescent="0.2">
      <c r="A2784" s="496"/>
      <c r="D2784" s="496"/>
    </row>
    <row r="2785" spans="1:4" x14ac:dyDescent="0.2">
      <c r="A2785" s="496"/>
      <c r="D2785" s="496"/>
    </row>
    <row r="2786" spans="1:4" x14ac:dyDescent="0.2">
      <c r="A2786" s="496"/>
      <c r="D2786" s="496"/>
    </row>
    <row r="2787" spans="1:4" x14ac:dyDescent="0.2">
      <c r="A2787" s="496"/>
      <c r="D2787" s="496"/>
    </row>
    <row r="2788" spans="1:4" x14ac:dyDescent="0.2">
      <c r="A2788" s="496"/>
      <c r="D2788" s="496"/>
    </row>
    <row r="2789" spans="1:4" x14ac:dyDescent="0.2">
      <c r="A2789" s="496"/>
      <c r="D2789" s="496"/>
    </row>
    <row r="2790" spans="1:4" x14ac:dyDescent="0.2">
      <c r="A2790" s="496"/>
      <c r="D2790" s="496"/>
    </row>
    <row r="2791" spans="1:4" x14ac:dyDescent="0.2">
      <c r="A2791" s="496"/>
      <c r="D2791" s="496"/>
    </row>
    <row r="2792" spans="1:4" x14ac:dyDescent="0.2">
      <c r="A2792" s="496"/>
      <c r="D2792" s="496"/>
    </row>
    <row r="2793" spans="1:4" x14ac:dyDescent="0.2">
      <c r="A2793" s="496"/>
      <c r="D2793" s="496"/>
    </row>
    <row r="2794" spans="1:4" x14ac:dyDescent="0.2">
      <c r="A2794" s="496"/>
      <c r="D2794" s="496"/>
    </row>
    <row r="2795" spans="1:4" x14ac:dyDescent="0.2">
      <c r="A2795" s="496"/>
      <c r="D2795" s="496"/>
    </row>
    <row r="2796" spans="1:4" x14ac:dyDescent="0.2">
      <c r="A2796" s="496"/>
      <c r="D2796" s="496"/>
    </row>
    <row r="2797" spans="1:4" x14ac:dyDescent="0.2">
      <c r="A2797" s="496"/>
      <c r="D2797" s="496"/>
    </row>
    <row r="2798" spans="1:4" x14ac:dyDescent="0.2">
      <c r="A2798" s="496"/>
      <c r="D2798" s="496"/>
    </row>
    <row r="2799" spans="1:4" x14ac:dyDescent="0.2">
      <c r="A2799" s="496"/>
      <c r="D2799" s="496"/>
    </row>
    <row r="2800" spans="1:4" x14ac:dyDescent="0.2">
      <c r="A2800" s="496"/>
      <c r="D2800" s="496"/>
    </row>
    <row r="2801" spans="1:4" x14ac:dyDescent="0.2">
      <c r="A2801" s="496"/>
      <c r="D2801" s="496"/>
    </row>
    <row r="2802" spans="1:4" x14ac:dyDescent="0.2">
      <c r="A2802" s="496"/>
      <c r="D2802" s="496"/>
    </row>
    <row r="2803" spans="1:4" x14ac:dyDescent="0.2">
      <c r="A2803" s="496"/>
      <c r="D2803" s="496"/>
    </row>
    <row r="2804" spans="1:4" x14ac:dyDescent="0.2">
      <c r="A2804" s="496"/>
      <c r="D2804" s="496"/>
    </row>
    <row r="2805" spans="1:4" x14ac:dyDescent="0.2">
      <c r="A2805" s="496"/>
      <c r="D2805" s="496"/>
    </row>
    <row r="2806" spans="1:4" x14ac:dyDescent="0.2">
      <c r="A2806" s="496"/>
      <c r="D2806" s="496"/>
    </row>
    <row r="2807" spans="1:4" x14ac:dyDescent="0.2">
      <c r="A2807" s="496"/>
      <c r="D2807" s="496"/>
    </row>
    <row r="2808" spans="1:4" x14ac:dyDescent="0.2">
      <c r="A2808" s="496"/>
      <c r="D2808" s="496"/>
    </row>
    <row r="2809" spans="1:4" x14ac:dyDescent="0.2">
      <c r="A2809" s="496"/>
      <c r="D2809" s="496"/>
    </row>
    <row r="2810" spans="1:4" x14ac:dyDescent="0.2">
      <c r="A2810" s="496"/>
      <c r="D2810" s="496"/>
    </row>
    <row r="2811" spans="1:4" x14ac:dyDescent="0.2">
      <c r="A2811" s="496"/>
      <c r="D2811" s="496"/>
    </row>
    <row r="2812" spans="1:4" x14ac:dyDescent="0.2">
      <c r="A2812" s="496"/>
      <c r="D2812" s="496"/>
    </row>
    <row r="2813" spans="1:4" x14ac:dyDescent="0.2">
      <c r="A2813" s="496"/>
      <c r="D2813" s="496"/>
    </row>
    <row r="2814" spans="1:4" x14ac:dyDescent="0.2">
      <c r="A2814" s="496"/>
      <c r="D2814" s="496"/>
    </row>
    <row r="2815" spans="1:4" x14ac:dyDescent="0.2">
      <c r="A2815" s="496"/>
      <c r="D2815" s="496"/>
    </row>
    <row r="2816" spans="1:4" x14ac:dyDescent="0.2">
      <c r="A2816" s="496"/>
      <c r="D2816" s="496"/>
    </row>
    <row r="2817" spans="1:4" x14ac:dyDescent="0.2">
      <c r="A2817" s="496"/>
      <c r="D2817" s="496"/>
    </row>
    <row r="2818" spans="1:4" x14ac:dyDescent="0.2">
      <c r="A2818" s="496"/>
      <c r="D2818" s="496"/>
    </row>
    <row r="2819" spans="1:4" x14ac:dyDescent="0.2">
      <c r="A2819" s="496"/>
      <c r="D2819" s="496"/>
    </row>
    <row r="2820" spans="1:4" x14ac:dyDescent="0.2">
      <c r="A2820" s="496"/>
      <c r="D2820" s="496"/>
    </row>
    <row r="2821" spans="1:4" x14ac:dyDescent="0.2">
      <c r="A2821" s="496"/>
      <c r="D2821" s="496"/>
    </row>
    <row r="2822" spans="1:4" x14ac:dyDescent="0.2">
      <c r="A2822" s="496"/>
      <c r="D2822" s="496"/>
    </row>
    <row r="2823" spans="1:4" x14ac:dyDescent="0.2">
      <c r="A2823" s="496"/>
      <c r="D2823" s="496"/>
    </row>
    <row r="2824" spans="1:4" x14ac:dyDescent="0.2">
      <c r="A2824" s="496"/>
      <c r="D2824" s="496"/>
    </row>
    <row r="2825" spans="1:4" x14ac:dyDescent="0.2">
      <c r="A2825" s="496"/>
      <c r="D2825" s="496"/>
    </row>
    <row r="2826" spans="1:4" x14ac:dyDescent="0.2">
      <c r="A2826" s="496"/>
      <c r="D2826" s="496"/>
    </row>
    <row r="2827" spans="1:4" x14ac:dyDescent="0.2">
      <c r="A2827" s="496"/>
      <c r="D2827" s="496"/>
    </row>
    <row r="2828" spans="1:4" x14ac:dyDescent="0.2">
      <c r="A2828" s="496"/>
      <c r="D2828" s="496"/>
    </row>
    <row r="2829" spans="1:4" x14ac:dyDescent="0.2">
      <c r="A2829" s="496"/>
      <c r="D2829" s="496"/>
    </row>
    <row r="2830" spans="1:4" x14ac:dyDescent="0.2">
      <c r="A2830" s="496"/>
      <c r="D2830" s="496"/>
    </row>
    <row r="2831" spans="1:4" x14ac:dyDescent="0.2">
      <c r="A2831" s="496"/>
      <c r="D2831" s="496"/>
    </row>
    <row r="2832" spans="1:4" x14ac:dyDescent="0.2">
      <c r="A2832" s="496"/>
      <c r="D2832" s="496"/>
    </row>
    <row r="2833" spans="1:4" x14ac:dyDescent="0.2">
      <c r="A2833" s="496"/>
      <c r="D2833" s="496"/>
    </row>
    <row r="2834" spans="1:4" x14ac:dyDescent="0.2">
      <c r="A2834" s="496"/>
      <c r="D2834" s="496"/>
    </row>
    <row r="2835" spans="1:4" x14ac:dyDescent="0.2">
      <c r="A2835" s="496"/>
      <c r="D2835" s="496"/>
    </row>
    <row r="2836" spans="1:4" x14ac:dyDescent="0.2">
      <c r="A2836" s="496"/>
      <c r="D2836" s="496"/>
    </row>
    <row r="2837" spans="1:4" x14ac:dyDescent="0.2">
      <c r="A2837" s="496"/>
      <c r="D2837" s="496"/>
    </row>
    <row r="2838" spans="1:4" x14ac:dyDescent="0.2">
      <c r="A2838" s="496"/>
      <c r="D2838" s="496"/>
    </row>
    <row r="2839" spans="1:4" x14ac:dyDescent="0.2">
      <c r="A2839" s="496"/>
      <c r="D2839" s="496"/>
    </row>
    <row r="2840" spans="1:4" x14ac:dyDescent="0.2">
      <c r="A2840" s="496"/>
      <c r="D2840" s="496"/>
    </row>
    <row r="2841" spans="1:4" x14ac:dyDescent="0.2">
      <c r="A2841" s="496"/>
      <c r="D2841" s="496"/>
    </row>
    <row r="2842" spans="1:4" x14ac:dyDescent="0.2">
      <c r="A2842" s="496"/>
      <c r="D2842" s="496"/>
    </row>
    <row r="2843" spans="1:4" x14ac:dyDescent="0.2">
      <c r="A2843" s="496"/>
      <c r="D2843" s="496"/>
    </row>
    <row r="2844" spans="1:4" x14ac:dyDescent="0.2">
      <c r="A2844" s="496"/>
      <c r="D2844" s="496"/>
    </row>
    <row r="2845" spans="1:4" x14ac:dyDescent="0.2">
      <c r="A2845" s="496"/>
      <c r="D2845" s="496"/>
    </row>
    <row r="2846" spans="1:4" x14ac:dyDescent="0.2">
      <c r="A2846" s="496"/>
      <c r="D2846" s="496"/>
    </row>
    <row r="2847" spans="1:4" x14ac:dyDescent="0.2">
      <c r="A2847" s="496"/>
      <c r="D2847" s="496"/>
    </row>
    <row r="2848" spans="1:4" x14ac:dyDescent="0.2">
      <c r="A2848" s="496"/>
      <c r="D2848" s="496"/>
    </row>
    <row r="2849" spans="1:4" x14ac:dyDescent="0.2">
      <c r="A2849" s="496"/>
      <c r="D2849" s="496"/>
    </row>
    <row r="2850" spans="1:4" x14ac:dyDescent="0.2">
      <c r="A2850" s="496"/>
      <c r="D2850" s="496"/>
    </row>
    <row r="2851" spans="1:4" x14ac:dyDescent="0.2">
      <c r="A2851" s="496"/>
      <c r="D2851" s="496"/>
    </row>
    <row r="2852" spans="1:4" x14ac:dyDescent="0.2">
      <c r="A2852" s="496"/>
      <c r="D2852" s="496"/>
    </row>
    <row r="2853" spans="1:4" x14ac:dyDescent="0.2">
      <c r="A2853" s="496"/>
      <c r="D2853" s="496"/>
    </row>
    <row r="2854" spans="1:4" x14ac:dyDescent="0.2">
      <c r="A2854" s="496"/>
      <c r="D2854" s="496"/>
    </row>
    <row r="2855" spans="1:4" x14ac:dyDescent="0.2">
      <c r="A2855" s="496"/>
      <c r="D2855" s="496"/>
    </row>
    <row r="2856" spans="1:4" x14ac:dyDescent="0.2">
      <c r="A2856" s="496"/>
      <c r="D2856" s="496"/>
    </row>
    <row r="2857" spans="1:4" x14ac:dyDescent="0.2">
      <c r="A2857" s="496"/>
      <c r="D2857" s="496"/>
    </row>
    <row r="2858" spans="1:4" x14ac:dyDescent="0.2">
      <c r="A2858" s="496"/>
      <c r="D2858" s="496"/>
    </row>
    <row r="2859" spans="1:4" x14ac:dyDescent="0.2">
      <c r="A2859" s="496"/>
      <c r="D2859" s="496"/>
    </row>
    <row r="2860" spans="1:4" x14ac:dyDescent="0.2">
      <c r="A2860" s="496"/>
      <c r="D2860" s="496"/>
    </row>
    <row r="2861" spans="1:4" x14ac:dyDescent="0.2">
      <c r="A2861" s="496"/>
      <c r="D2861" s="496"/>
    </row>
    <row r="2862" spans="1:4" x14ac:dyDescent="0.2">
      <c r="A2862" s="496"/>
      <c r="D2862" s="496"/>
    </row>
    <row r="2863" spans="1:4" x14ac:dyDescent="0.2">
      <c r="A2863" s="496"/>
      <c r="D2863" s="496"/>
    </row>
    <row r="2864" spans="1:4" x14ac:dyDescent="0.2">
      <c r="A2864" s="496"/>
      <c r="D2864" s="496"/>
    </row>
    <row r="2865" spans="1:4" x14ac:dyDescent="0.2">
      <c r="A2865" s="496"/>
      <c r="D2865" s="496"/>
    </row>
    <row r="2866" spans="1:4" x14ac:dyDescent="0.2">
      <c r="A2866" s="496"/>
      <c r="D2866" s="496"/>
    </row>
    <row r="2867" spans="1:4" x14ac:dyDescent="0.2">
      <c r="A2867" s="496"/>
      <c r="D2867" s="496"/>
    </row>
    <row r="2868" spans="1:4" x14ac:dyDescent="0.2">
      <c r="A2868" s="496"/>
      <c r="D2868" s="496"/>
    </row>
    <row r="2869" spans="1:4" x14ac:dyDescent="0.2">
      <c r="A2869" s="496"/>
      <c r="D2869" s="496"/>
    </row>
    <row r="2870" spans="1:4" x14ac:dyDescent="0.2">
      <c r="A2870" s="496"/>
      <c r="D2870" s="496"/>
    </row>
    <row r="2871" spans="1:4" x14ac:dyDescent="0.2">
      <c r="A2871" s="496"/>
      <c r="D2871" s="496"/>
    </row>
    <row r="2872" spans="1:4" x14ac:dyDescent="0.2">
      <c r="A2872" s="496"/>
      <c r="D2872" s="496"/>
    </row>
    <row r="2873" spans="1:4" x14ac:dyDescent="0.2">
      <c r="A2873" s="496"/>
      <c r="D2873" s="496"/>
    </row>
    <row r="2874" spans="1:4" x14ac:dyDescent="0.2">
      <c r="A2874" s="496"/>
      <c r="D2874" s="496"/>
    </row>
    <row r="2875" spans="1:4" x14ac:dyDescent="0.2">
      <c r="A2875" s="496"/>
      <c r="D2875" s="496"/>
    </row>
    <row r="2876" spans="1:4" x14ac:dyDescent="0.2">
      <c r="A2876" s="496"/>
      <c r="D2876" s="496"/>
    </row>
    <row r="2877" spans="1:4" x14ac:dyDescent="0.2">
      <c r="A2877" s="496"/>
      <c r="D2877" s="496"/>
    </row>
    <row r="2878" spans="1:4" x14ac:dyDescent="0.2">
      <c r="A2878" s="496"/>
      <c r="D2878" s="496"/>
    </row>
    <row r="2879" spans="1:4" x14ac:dyDescent="0.2">
      <c r="A2879" s="496"/>
      <c r="D2879" s="496"/>
    </row>
    <row r="2880" spans="1:4" x14ac:dyDescent="0.2">
      <c r="A2880" s="496"/>
      <c r="D2880" s="496"/>
    </row>
    <row r="2881" spans="1:4" x14ac:dyDescent="0.2">
      <c r="A2881" s="496"/>
      <c r="D2881" s="496"/>
    </row>
    <row r="2882" spans="1:4" x14ac:dyDescent="0.2">
      <c r="A2882" s="496"/>
      <c r="D2882" s="496"/>
    </row>
    <row r="2883" spans="1:4" x14ac:dyDescent="0.2">
      <c r="A2883" s="496"/>
      <c r="D2883" s="496"/>
    </row>
    <row r="2884" spans="1:4" x14ac:dyDescent="0.2">
      <c r="A2884" s="496"/>
      <c r="D2884" s="496"/>
    </row>
    <row r="2885" spans="1:4" x14ac:dyDescent="0.2">
      <c r="A2885" s="496"/>
      <c r="D2885" s="496"/>
    </row>
    <row r="2886" spans="1:4" x14ac:dyDescent="0.2">
      <c r="A2886" s="496"/>
      <c r="D2886" s="496"/>
    </row>
    <row r="2887" spans="1:4" x14ac:dyDescent="0.2">
      <c r="A2887" s="496"/>
      <c r="D2887" s="496"/>
    </row>
    <row r="2888" spans="1:4" x14ac:dyDescent="0.2">
      <c r="A2888" s="496"/>
      <c r="D2888" s="496"/>
    </row>
    <row r="2889" spans="1:4" x14ac:dyDescent="0.2">
      <c r="A2889" s="496"/>
      <c r="D2889" s="496"/>
    </row>
    <row r="2890" spans="1:4" x14ac:dyDescent="0.2">
      <c r="A2890" s="496"/>
      <c r="D2890" s="496"/>
    </row>
    <row r="2891" spans="1:4" x14ac:dyDescent="0.2">
      <c r="A2891" s="496"/>
      <c r="D2891" s="496"/>
    </row>
    <row r="2892" spans="1:4" x14ac:dyDescent="0.2">
      <c r="A2892" s="496"/>
      <c r="D2892" s="496"/>
    </row>
    <row r="2893" spans="1:4" x14ac:dyDescent="0.2">
      <c r="A2893" s="496"/>
      <c r="D2893" s="496"/>
    </row>
    <row r="2894" spans="1:4" x14ac:dyDescent="0.2">
      <c r="A2894" s="496"/>
      <c r="D2894" s="496"/>
    </row>
    <row r="2895" spans="1:4" x14ac:dyDescent="0.2">
      <c r="A2895" s="496"/>
      <c r="D2895" s="496"/>
    </row>
    <row r="2896" spans="1:4" x14ac:dyDescent="0.2">
      <c r="A2896" s="496"/>
      <c r="D2896" s="496"/>
    </row>
    <row r="2897" spans="1:4" x14ac:dyDescent="0.2">
      <c r="A2897" s="496"/>
      <c r="D2897" s="496"/>
    </row>
    <row r="2898" spans="1:4" x14ac:dyDescent="0.2">
      <c r="A2898" s="496"/>
      <c r="D2898" s="496"/>
    </row>
    <row r="2899" spans="1:4" x14ac:dyDescent="0.2">
      <c r="A2899" s="496"/>
      <c r="D2899" s="496"/>
    </row>
    <row r="2900" spans="1:4" x14ac:dyDescent="0.2">
      <c r="A2900" s="496"/>
      <c r="D2900" s="496"/>
    </row>
    <row r="2901" spans="1:4" x14ac:dyDescent="0.2">
      <c r="A2901" s="496"/>
      <c r="D2901" s="496"/>
    </row>
    <row r="2902" spans="1:4" x14ac:dyDescent="0.2">
      <c r="A2902" s="496"/>
      <c r="D2902" s="496"/>
    </row>
    <row r="2903" spans="1:4" x14ac:dyDescent="0.2">
      <c r="A2903" s="496"/>
      <c r="D2903" s="496"/>
    </row>
    <row r="2904" spans="1:4" x14ac:dyDescent="0.2">
      <c r="A2904" s="496"/>
      <c r="D2904" s="496"/>
    </row>
    <row r="2905" spans="1:4" x14ac:dyDescent="0.2">
      <c r="A2905" s="496"/>
      <c r="D2905" s="496"/>
    </row>
    <row r="2906" spans="1:4" x14ac:dyDescent="0.2">
      <c r="A2906" s="496"/>
      <c r="D2906" s="496"/>
    </row>
    <row r="2907" spans="1:4" x14ac:dyDescent="0.2">
      <c r="A2907" s="496"/>
      <c r="D2907" s="496"/>
    </row>
    <row r="2908" spans="1:4" x14ac:dyDescent="0.2">
      <c r="A2908" s="496"/>
      <c r="D2908" s="496"/>
    </row>
    <row r="2909" spans="1:4" x14ac:dyDescent="0.2">
      <c r="A2909" s="496"/>
      <c r="D2909" s="496"/>
    </row>
    <row r="2910" spans="1:4" x14ac:dyDescent="0.2">
      <c r="A2910" s="496"/>
      <c r="D2910" s="496"/>
    </row>
    <row r="2911" spans="1:4" x14ac:dyDescent="0.2">
      <c r="A2911" s="496"/>
      <c r="D2911" s="496"/>
    </row>
    <row r="2912" spans="1:4" x14ac:dyDescent="0.2">
      <c r="A2912" s="496"/>
      <c r="D2912" s="496"/>
    </row>
    <row r="2913" spans="1:4" x14ac:dyDescent="0.2">
      <c r="A2913" s="496"/>
      <c r="D2913" s="496"/>
    </row>
    <row r="2914" spans="1:4" x14ac:dyDescent="0.2">
      <c r="A2914" s="496"/>
      <c r="D2914" s="496"/>
    </row>
    <row r="2915" spans="1:4" x14ac:dyDescent="0.2">
      <c r="A2915" s="496"/>
      <c r="D2915" s="496"/>
    </row>
    <row r="2916" spans="1:4" x14ac:dyDescent="0.2">
      <c r="A2916" s="496"/>
      <c r="D2916" s="496"/>
    </row>
    <row r="2917" spans="1:4" x14ac:dyDescent="0.2">
      <c r="A2917" s="496"/>
      <c r="D2917" s="496"/>
    </row>
    <row r="2918" spans="1:4" x14ac:dyDescent="0.2">
      <c r="A2918" s="496"/>
      <c r="D2918" s="496"/>
    </row>
    <row r="2919" spans="1:4" x14ac:dyDescent="0.2">
      <c r="A2919" s="496"/>
      <c r="D2919" s="496"/>
    </row>
    <row r="2920" spans="1:4" x14ac:dyDescent="0.2">
      <c r="A2920" s="496"/>
      <c r="D2920" s="496"/>
    </row>
    <row r="2921" spans="1:4" x14ac:dyDescent="0.2">
      <c r="A2921" s="496"/>
      <c r="D2921" s="496"/>
    </row>
    <row r="2922" spans="1:4" x14ac:dyDescent="0.2">
      <c r="A2922" s="496"/>
      <c r="D2922" s="496"/>
    </row>
    <row r="2923" spans="1:4" x14ac:dyDescent="0.2">
      <c r="A2923" s="496"/>
      <c r="D2923" s="496"/>
    </row>
    <row r="2924" spans="1:4" x14ac:dyDescent="0.2">
      <c r="A2924" s="496"/>
      <c r="D2924" s="496"/>
    </row>
    <row r="2925" spans="1:4" x14ac:dyDescent="0.2">
      <c r="A2925" s="496"/>
      <c r="D2925" s="496"/>
    </row>
    <row r="2926" spans="1:4" x14ac:dyDescent="0.2">
      <c r="A2926" s="496"/>
      <c r="D2926" s="496"/>
    </row>
    <row r="2927" spans="1:4" x14ac:dyDescent="0.2">
      <c r="A2927" s="496"/>
      <c r="D2927" s="496"/>
    </row>
    <row r="2928" spans="1:4" x14ac:dyDescent="0.2">
      <c r="A2928" s="496"/>
      <c r="D2928" s="496"/>
    </row>
    <row r="2929" spans="1:4" x14ac:dyDescent="0.2">
      <c r="A2929" s="496"/>
      <c r="D2929" s="496"/>
    </row>
    <row r="2930" spans="1:4" x14ac:dyDescent="0.2">
      <c r="A2930" s="496"/>
      <c r="D2930" s="496"/>
    </row>
    <row r="2931" spans="1:4" x14ac:dyDescent="0.2">
      <c r="A2931" s="496"/>
      <c r="D2931" s="496"/>
    </row>
    <row r="2932" spans="1:4" x14ac:dyDescent="0.2">
      <c r="A2932" s="496"/>
      <c r="D2932" s="496"/>
    </row>
    <row r="2933" spans="1:4" x14ac:dyDescent="0.2">
      <c r="A2933" s="496"/>
      <c r="D2933" s="496"/>
    </row>
    <row r="2934" spans="1:4" x14ac:dyDescent="0.2">
      <c r="A2934" s="496"/>
      <c r="D2934" s="496"/>
    </row>
    <row r="2935" spans="1:4" x14ac:dyDescent="0.2">
      <c r="A2935" s="496"/>
      <c r="D2935" s="496"/>
    </row>
    <row r="2936" spans="1:4" x14ac:dyDescent="0.2">
      <c r="A2936" s="496"/>
      <c r="D2936" s="496"/>
    </row>
    <row r="2937" spans="1:4" x14ac:dyDescent="0.2">
      <c r="A2937" s="496"/>
      <c r="D2937" s="496"/>
    </row>
    <row r="2938" spans="1:4" x14ac:dyDescent="0.2">
      <c r="A2938" s="496"/>
      <c r="D2938" s="496"/>
    </row>
    <row r="2939" spans="1:4" x14ac:dyDescent="0.2">
      <c r="A2939" s="496"/>
      <c r="D2939" s="496"/>
    </row>
    <row r="2940" spans="1:4" x14ac:dyDescent="0.2">
      <c r="A2940" s="496"/>
      <c r="D2940" s="496"/>
    </row>
    <row r="2941" spans="1:4" x14ac:dyDescent="0.2">
      <c r="A2941" s="496"/>
      <c r="D2941" s="496"/>
    </row>
    <row r="2942" spans="1:4" x14ac:dyDescent="0.2">
      <c r="A2942" s="496"/>
      <c r="D2942" s="496"/>
    </row>
    <row r="2943" spans="1:4" x14ac:dyDescent="0.2">
      <c r="A2943" s="496"/>
      <c r="D2943" s="496"/>
    </row>
    <row r="2944" spans="1:4" x14ac:dyDescent="0.2">
      <c r="A2944" s="496"/>
      <c r="D2944" s="496"/>
    </row>
    <row r="2945" spans="1:4" x14ac:dyDescent="0.2">
      <c r="A2945" s="496"/>
      <c r="D2945" s="496"/>
    </row>
    <row r="2946" spans="1:4" x14ac:dyDescent="0.2">
      <c r="A2946" s="496"/>
      <c r="D2946" s="496"/>
    </row>
    <row r="2947" spans="1:4" x14ac:dyDescent="0.2">
      <c r="A2947" s="496"/>
      <c r="D2947" s="496"/>
    </row>
    <row r="2948" spans="1:4" x14ac:dyDescent="0.2">
      <c r="A2948" s="496"/>
      <c r="D2948" s="496"/>
    </row>
    <row r="2949" spans="1:4" x14ac:dyDescent="0.2">
      <c r="A2949" s="496"/>
      <c r="D2949" s="496"/>
    </row>
    <row r="2950" spans="1:4" x14ac:dyDescent="0.2">
      <c r="A2950" s="496"/>
      <c r="D2950" s="496"/>
    </row>
    <row r="2951" spans="1:4" x14ac:dyDescent="0.2">
      <c r="A2951" s="496"/>
      <c r="D2951" s="496"/>
    </row>
    <row r="2952" spans="1:4" x14ac:dyDescent="0.2">
      <c r="A2952" s="496"/>
      <c r="D2952" s="496"/>
    </row>
    <row r="2953" spans="1:4" x14ac:dyDescent="0.2">
      <c r="A2953" s="496"/>
      <c r="D2953" s="496"/>
    </row>
    <row r="2954" spans="1:4" x14ac:dyDescent="0.2">
      <c r="A2954" s="496"/>
      <c r="D2954" s="496"/>
    </row>
    <row r="2955" spans="1:4" x14ac:dyDescent="0.2">
      <c r="A2955" s="496"/>
      <c r="D2955" s="496"/>
    </row>
    <row r="2956" spans="1:4" x14ac:dyDescent="0.2">
      <c r="A2956" s="496"/>
      <c r="D2956" s="496"/>
    </row>
    <row r="2957" spans="1:4" x14ac:dyDescent="0.2">
      <c r="A2957" s="496"/>
      <c r="D2957" s="496"/>
    </row>
    <row r="2958" spans="1:4" x14ac:dyDescent="0.2">
      <c r="A2958" s="496"/>
      <c r="D2958" s="496"/>
    </row>
    <row r="2959" spans="1:4" x14ac:dyDescent="0.2">
      <c r="A2959" s="496"/>
      <c r="D2959" s="496"/>
    </row>
    <row r="2960" spans="1:4" x14ac:dyDescent="0.2">
      <c r="A2960" s="496"/>
      <c r="D2960" s="496"/>
    </row>
    <row r="2961" spans="1:4" x14ac:dyDescent="0.2">
      <c r="A2961" s="496"/>
      <c r="D2961" s="496"/>
    </row>
    <row r="2962" spans="1:4" x14ac:dyDescent="0.2">
      <c r="A2962" s="496"/>
      <c r="D2962" s="496"/>
    </row>
    <row r="2963" spans="1:4" x14ac:dyDescent="0.2">
      <c r="A2963" s="496"/>
      <c r="D2963" s="496"/>
    </row>
    <row r="2964" spans="1:4" x14ac:dyDescent="0.2">
      <c r="A2964" s="496"/>
      <c r="D2964" s="496"/>
    </row>
    <row r="2965" spans="1:4" x14ac:dyDescent="0.2">
      <c r="A2965" s="496"/>
      <c r="D2965" s="496"/>
    </row>
    <row r="2966" spans="1:4" x14ac:dyDescent="0.2">
      <c r="A2966" s="496"/>
      <c r="D2966" s="496"/>
    </row>
    <row r="2967" spans="1:4" x14ac:dyDescent="0.2">
      <c r="A2967" s="496"/>
      <c r="D2967" s="496"/>
    </row>
    <row r="2968" spans="1:4" x14ac:dyDescent="0.2">
      <c r="A2968" s="496"/>
      <c r="D2968" s="496"/>
    </row>
    <row r="2969" spans="1:4" x14ac:dyDescent="0.2">
      <c r="A2969" s="496"/>
      <c r="D2969" s="496"/>
    </row>
    <row r="2970" spans="1:4" x14ac:dyDescent="0.2">
      <c r="A2970" s="496"/>
      <c r="D2970" s="496"/>
    </row>
    <row r="2971" spans="1:4" x14ac:dyDescent="0.2">
      <c r="A2971" s="496"/>
      <c r="D2971" s="496"/>
    </row>
    <row r="2972" spans="1:4" x14ac:dyDescent="0.2">
      <c r="A2972" s="496"/>
      <c r="D2972" s="496"/>
    </row>
    <row r="2973" spans="1:4" x14ac:dyDescent="0.2">
      <c r="A2973" s="496"/>
      <c r="D2973" s="496"/>
    </row>
    <row r="2974" spans="1:4" x14ac:dyDescent="0.2">
      <c r="A2974" s="496"/>
      <c r="D2974" s="496"/>
    </row>
    <row r="2975" spans="1:4" x14ac:dyDescent="0.2">
      <c r="A2975" s="496"/>
      <c r="D2975" s="496"/>
    </row>
    <row r="2976" spans="1:4" x14ac:dyDescent="0.2">
      <c r="A2976" s="496"/>
      <c r="D2976" s="496"/>
    </row>
    <row r="2977" spans="1:4" x14ac:dyDescent="0.2">
      <c r="A2977" s="496"/>
      <c r="D2977" s="496"/>
    </row>
    <row r="2978" spans="1:4" x14ac:dyDescent="0.2">
      <c r="A2978" s="496"/>
      <c r="D2978" s="496"/>
    </row>
    <row r="2979" spans="1:4" x14ac:dyDescent="0.2">
      <c r="A2979" s="496"/>
      <c r="D2979" s="496"/>
    </row>
    <row r="2980" spans="1:4" x14ac:dyDescent="0.2">
      <c r="A2980" s="496"/>
      <c r="D2980" s="496"/>
    </row>
    <row r="2981" spans="1:4" x14ac:dyDescent="0.2">
      <c r="A2981" s="496"/>
      <c r="D2981" s="496"/>
    </row>
    <row r="2982" spans="1:4" x14ac:dyDescent="0.2">
      <c r="A2982" s="496"/>
      <c r="D2982" s="496"/>
    </row>
    <row r="2983" spans="1:4" x14ac:dyDescent="0.2">
      <c r="A2983" s="496"/>
      <c r="D2983" s="496"/>
    </row>
    <row r="2984" spans="1:4" x14ac:dyDescent="0.2">
      <c r="A2984" s="496"/>
      <c r="D2984" s="496"/>
    </row>
    <row r="2985" spans="1:4" x14ac:dyDescent="0.2">
      <c r="A2985" s="496"/>
      <c r="D2985" s="496"/>
    </row>
    <row r="2986" spans="1:4" x14ac:dyDescent="0.2">
      <c r="A2986" s="496"/>
      <c r="D2986" s="496"/>
    </row>
    <row r="2987" spans="1:4" x14ac:dyDescent="0.2">
      <c r="A2987" s="496"/>
      <c r="D2987" s="496"/>
    </row>
    <row r="2988" spans="1:4" x14ac:dyDescent="0.2">
      <c r="A2988" s="496"/>
      <c r="D2988" s="496"/>
    </row>
    <row r="2989" spans="1:4" x14ac:dyDescent="0.2">
      <c r="A2989" s="496"/>
      <c r="D2989" s="496"/>
    </row>
    <row r="2990" spans="1:4" x14ac:dyDescent="0.2">
      <c r="A2990" s="496"/>
      <c r="D2990" s="496"/>
    </row>
    <row r="2991" spans="1:4" x14ac:dyDescent="0.2">
      <c r="A2991" s="496"/>
      <c r="D2991" s="496"/>
    </row>
    <row r="2992" spans="1:4" x14ac:dyDescent="0.2">
      <c r="A2992" s="496"/>
      <c r="D2992" s="496"/>
    </row>
    <row r="2993" spans="1:4" x14ac:dyDescent="0.2">
      <c r="A2993" s="496"/>
      <c r="D2993" s="496"/>
    </row>
    <row r="2994" spans="1:4" x14ac:dyDescent="0.2">
      <c r="A2994" s="496"/>
      <c r="D2994" s="496"/>
    </row>
    <row r="2995" spans="1:4" x14ac:dyDescent="0.2">
      <c r="A2995" s="496"/>
      <c r="D2995" s="496"/>
    </row>
    <row r="2996" spans="1:4" x14ac:dyDescent="0.2">
      <c r="A2996" s="496"/>
      <c r="D2996" s="496"/>
    </row>
    <row r="2997" spans="1:4" x14ac:dyDescent="0.2">
      <c r="A2997" s="496"/>
      <c r="D2997" s="496"/>
    </row>
    <row r="2998" spans="1:4" x14ac:dyDescent="0.2">
      <c r="A2998" s="496"/>
      <c r="D2998" s="496"/>
    </row>
    <row r="2999" spans="1:4" x14ac:dyDescent="0.2">
      <c r="A2999" s="496"/>
      <c r="D2999" s="496"/>
    </row>
    <row r="3000" spans="1:4" x14ac:dyDescent="0.2">
      <c r="A3000" s="496"/>
      <c r="D3000" s="496"/>
    </row>
    <row r="3001" spans="1:4" x14ac:dyDescent="0.2">
      <c r="A3001" s="496"/>
      <c r="D3001" s="496"/>
    </row>
    <row r="3002" spans="1:4" x14ac:dyDescent="0.2">
      <c r="A3002" s="496"/>
      <c r="D3002" s="496"/>
    </row>
    <row r="3003" spans="1:4" x14ac:dyDescent="0.2">
      <c r="A3003" s="496"/>
      <c r="D3003" s="496"/>
    </row>
    <row r="3004" spans="1:4" x14ac:dyDescent="0.2">
      <c r="A3004" s="496"/>
      <c r="D3004" s="496"/>
    </row>
    <row r="3005" spans="1:4" x14ac:dyDescent="0.2">
      <c r="A3005" s="496"/>
      <c r="D3005" s="496"/>
    </row>
    <row r="3006" spans="1:4" x14ac:dyDescent="0.2">
      <c r="A3006" s="496"/>
      <c r="D3006" s="496"/>
    </row>
    <row r="3007" spans="1:4" x14ac:dyDescent="0.2">
      <c r="A3007" s="496"/>
      <c r="D3007" s="496"/>
    </row>
    <row r="3008" spans="1:4" x14ac:dyDescent="0.2">
      <c r="A3008" s="496"/>
      <c r="D3008" s="496"/>
    </row>
    <row r="3009" spans="1:4" x14ac:dyDescent="0.2">
      <c r="A3009" s="496"/>
      <c r="D3009" s="496"/>
    </row>
    <row r="3010" spans="1:4" x14ac:dyDescent="0.2">
      <c r="A3010" s="496"/>
      <c r="D3010" s="496"/>
    </row>
    <row r="3011" spans="1:4" x14ac:dyDescent="0.2">
      <c r="A3011" s="496"/>
      <c r="D3011" s="496"/>
    </row>
    <row r="3012" spans="1:4" x14ac:dyDescent="0.2">
      <c r="A3012" s="496"/>
      <c r="D3012" s="496"/>
    </row>
    <row r="3013" spans="1:4" x14ac:dyDescent="0.2">
      <c r="A3013" s="496"/>
      <c r="D3013" s="496"/>
    </row>
    <row r="3014" spans="1:4" x14ac:dyDescent="0.2">
      <c r="A3014" s="496"/>
      <c r="D3014" s="496"/>
    </row>
    <row r="3015" spans="1:4" x14ac:dyDescent="0.2">
      <c r="A3015" s="496"/>
      <c r="D3015" s="496"/>
    </row>
    <row r="3016" spans="1:4" x14ac:dyDescent="0.2">
      <c r="A3016" s="496"/>
      <c r="D3016" s="496"/>
    </row>
    <row r="3017" spans="1:4" x14ac:dyDescent="0.2">
      <c r="A3017" s="496"/>
      <c r="D3017" s="496"/>
    </row>
    <row r="3018" spans="1:4" x14ac:dyDescent="0.2">
      <c r="A3018" s="496"/>
      <c r="D3018" s="496"/>
    </row>
    <row r="3019" spans="1:4" x14ac:dyDescent="0.2">
      <c r="A3019" s="496"/>
      <c r="D3019" s="496"/>
    </row>
    <row r="3020" spans="1:4" x14ac:dyDescent="0.2">
      <c r="A3020" s="496"/>
      <c r="D3020" s="496"/>
    </row>
    <row r="3021" spans="1:4" x14ac:dyDescent="0.2">
      <c r="A3021" s="496"/>
      <c r="D3021" s="496"/>
    </row>
    <row r="3022" spans="1:4" x14ac:dyDescent="0.2">
      <c r="A3022" s="496"/>
      <c r="D3022" s="496"/>
    </row>
    <row r="3023" spans="1:4" x14ac:dyDescent="0.2">
      <c r="A3023" s="496"/>
      <c r="D3023" s="496"/>
    </row>
    <row r="3024" spans="1:4" x14ac:dyDescent="0.2">
      <c r="A3024" s="496"/>
      <c r="D3024" s="496"/>
    </row>
    <row r="3025" spans="1:4" x14ac:dyDescent="0.2">
      <c r="A3025" s="496"/>
      <c r="D3025" s="496"/>
    </row>
    <row r="3026" spans="1:4" x14ac:dyDescent="0.2">
      <c r="A3026" s="496"/>
      <c r="D3026" s="496"/>
    </row>
    <row r="3027" spans="1:4" x14ac:dyDescent="0.2">
      <c r="A3027" s="496"/>
      <c r="D3027" s="496"/>
    </row>
    <row r="3028" spans="1:4" x14ac:dyDescent="0.2">
      <c r="A3028" s="496"/>
      <c r="D3028" s="496"/>
    </row>
    <row r="3029" spans="1:4" x14ac:dyDescent="0.2">
      <c r="A3029" s="496"/>
      <c r="D3029" s="496"/>
    </row>
    <row r="3030" spans="1:4" x14ac:dyDescent="0.2">
      <c r="A3030" s="496"/>
      <c r="D3030" s="496"/>
    </row>
    <row r="3031" spans="1:4" x14ac:dyDescent="0.2">
      <c r="A3031" s="496"/>
      <c r="D3031" s="496"/>
    </row>
    <row r="3032" spans="1:4" x14ac:dyDescent="0.2">
      <c r="A3032" s="496"/>
      <c r="D3032" s="496"/>
    </row>
    <row r="3033" spans="1:4" x14ac:dyDescent="0.2">
      <c r="A3033" s="496"/>
      <c r="D3033" s="496"/>
    </row>
    <row r="3034" spans="1:4" x14ac:dyDescent="0.2">
      <c r="A3034" s="496"/>
      <c r="D3034" s="496"/>
    </row>
    <row r="3035" spans="1:4" x14ac:dyDescent="0.2">
      <c r="A3035" s="496"/>
      <c r="D3035" s="496"/>
    </row>
    <row r="3036" spans="1:4" x14ac:dyDescent="0.2">
      <c r="A3036" s="496"/>
      <c r="D3036" s="496"/>
    </row>
    <row r="3037" spans="1:4" x14ac:dyDescent="0.2">
      <c r="A3037" s="496"/>
      <c r="D3037" s="496"/>
    </row>
    <row r="3038" spans="1:4" x14ac:dyDescent="0.2">
      <c r="A3038" s="496"/>
      <c r="D3038" s="496"/>
    </row>
    <row r="3039" spans="1:4" x14ac:dyDescent="0.2">
      <c r="A3039" s="496"/>
      <c r="D3039" s="496"/>
    </row>
    <row r="3040" spans="1:4" x14ac:dyDescent="0.2">
      <c r="A3040" s="496"/>
      <c r="D3040" s="496"/>
    </row>
    <row r="3041" spans="1:4" x14ac:dyDescent="0.2">
      <c r="A3041" s="496"/>
      <c r="D3041" s="496"/>
    </row>
    <row r="3042" spans="1:4" x14ac:dyDescent="0.2">
      <c r="A3042" s="496"/>
      <c r="D3042" s="496"/>
    </row>
    <row r="3043" spans="1:4" x14ac:dyDescent="0.2">
      <c r="A3043" s="496"/>
      <c r="D3043" s="496"/>
    </row>
    <row r="3044" spans="1:4" x14ac:dyDescent="0.2">
      <c r="A3044" s="496"/>
      <c r="D3044" s="496"/>
    </row>
    <row r="3045" spans="1:4" x14ac:dyDescent="0.2">
      <c r="A3045" s="496"/>
      <c r="D3045" s="496"/>
    </row>
    <row r="3046" spans="1:4" x14ac:dyDescent="0.2">
      <c r="A3046" s="496"/>
      <c r="D3046" s="496"/>
    </row>
    <row r="3047" spans="1:4" x14ac:dyDescent="0.2">
      <c r="A3047" s="496"/>
      <c r="D3047" s="496"/>
    </row>
    <row r="3048" spans="1:4" x14ac:dyDescent="0.2">
      <c r="A3048" s="496"/>
      <c r="D3048" s="496"/>
    </row>
    <row r="3049" spans="1:4" x14ac:dyDescent="0.2">
      <c r="A3049" s="496"/>
      <c r="D3049" s="496"/>
    </row>
    <row r="3050" spans="1:4" x14ac:dyDescent="0.2">
      <c r="A3050" s="496"/>
      <c r="D3050" s="496"/>
    </row>
    <row r="3051" spans="1:4" x14ac:dyDescent="0.2">
      <c r="A3051" s="496"/>
      <c r="D3051" s="496"/>
    </row>
    <row r="3052" spans="1:4" x14ac:dyDescent="0.2">
      <c r="A3052" s="496"/>
      <c r="D3052" s="496"/>
    </row>
    <row r="3053" spans="1:4" x14ac:dyDescent="0.2">
      <c r="A3053" s="496"/>
      <c r="D3053" s="496"/>
    </row>
    <row r="3054" spans="1:4" x14ac:dyDescent="0.2">
      <c r="A3054" s="496"/>
      <c r="D3054" s="496"/>
    </row>
    <row r="3055" spans="1:4" x14ac:dyDescent="0.2">
      <c r="A3055" s="496"/>
      <c r="D3055" s="496"/>
    </row>
    <row r="3056" spans="1:4" x14ac:dyDescent="0.2">
      <c r="A3056" s="496"/>
      <c r="D3056" s="496"/>
    </row>
    <row r="3057" spans="1:4" x14ac:dyDescent="0.2">
      <c r="A3057" s="496"/>
      <c r="D3057" s="496"/>
    </row>
    <row r="3058" spans="1:4" x14ac:dyDescent="0.2">
      <c r="A3058" s="496"/>
      <c r="D3058" s="496"/>
    </row>
    <row r="3059" spans="1:4" x14ac:dyDescent="0.2">
      <c r="A3059" s="496"/>
      <c r="D3059" s="496"/>
    </row>
    <row r="3060" spans="1:4" x14ac:dyDescent="0.2">
      <c r="A3060" s="496"/>
      <c r="D3060" s="496"/>
    </row>
    <row r="3061" spans="1:4" x14ac:dyDescent="0.2">
      <c r="A3061" s="496"/>
      <c r="D3061" s="496"/>
    </row>
    <row r="3062" spans="1:4" x14ac:dyDescent="0.2">
      <c r="A3062" s="496"/>
      <c r="D3062" s="496"/>
    </row>
    <row r="3063" spans="1:4" x14ac:dyDescent="0.2">
      <c r="A3063" s="496"/>
      <c r="D3063" s="496"/>
    </row>
    <row r="3064" spans="1:4" x14ac:dyDescent="0.2">
      <c r="A3064" s="496"/>
      <c r="D3064" s="496"/>
    </row>
    <row r="3065" spans="1:4" x14ac:dyDescent="0.2">
      <c r="A3065" s="496"/>
      <c r="D3065" s="496"/>
    </row>
    <row r="3066" spans="1:4" x14ac:dyDescent="0.2">
      <c r="A3066" s="496"/>
      <c r="D3066" s="496"/>
    </row>
    <row r="3067" spans="1:4" x14ac:dyDescent="0.2">
      <c r="A3067" s="496"/>
      <c r="D3067" s="496"/>
    </row>
    <row r="3068" spans="1:4" x14ac:dyDescent="0.2">
      <c r="A3068" s="496"/>
      <c r="D3068" s="496"/>
    </row>
    <row r="3069" spans="1:4" x14ac:dyDescent="0.2">
      <c r="A3069" s="496"/>
      <c r="D3069" s="496"/>
    </row>
    <row r="3070" spans="1:4" x14ac:dyDescent="0.2">
      <c r="A3070" s="496"/>
      <c r="D3070" s="496"/>
    </row>
    <row r="3071" spans="1:4" x14ac:dyDescent="0.2">
      <c r="A3071" s="496"/>
      <c r="D3071" s="496"/>
    </row>
    <row r="3072" spans="1:4" x14ac:dyDescent="0.2">
      <c r="A3072" s="496"/>
      <c r="D3072" s="496"/>
    </row>
    <row r="3073" spans="1:4" x14ac:dyDescent="0.2">
      <c r="A3073" s="496"/>
      <c r="D3073" s="496"/>
    </row>
    <row r="3074" spans="1:4" x14ac:dyDescent="0.2">
      <c r="A3074" s="496"/>
      <c r="D3074" s="496"/>
    </row>
    <row r="3075" spans="1:4" x14ac:dyDescent="0.2">
      <c r="A3075" s="496"/>
      <c r="D3075" s="496"/>
    </row>
    <row r="3076" spans="1:4" x14ac:dyDescent="0.2">
      <c r="A3076" s="496"/>
      <c r="D3076" s="496"/>
    </row>
    <row r="3077" spans="1:4" x14ac:dyDescent="0.2">
      <c r="A3077" s="496"/>
      <c r="D3077" s="496"/>
    </row>
    <row r="3078" spans="1:4" x14ac:dyDescent="0.2">
      <c r="A3078" s="496"/>
      <c r="D3078" s="496"/>
    </row>
    <row r="3079" spans="1:4" x14ac:dyDescent="0.2">
      <c r="A3079" s="496"/>
      <c r="D3079" s="496"/>
    </row>
    <row r="3080" spans="1:4" x14ac:dyDescent="0.2">
      <c r="A3080" s="496"/>
      <c r="D3080" s="496"/>
    </row>
    <row r="3081" spans="1:4" x14ac:dyDescent="0.2">
      <c r="A3081" s="496"/>
      <c r="D3081" s="496"/>
    </row>
    <row r="3082" spans="1:4" x14ac:dyDescent="0.2">
      <c r="A3082" s="496"/>
      <c r="D3082" s="496"/>
    </row>
    <row r="3083" spans="1:4" x14ac:dyDescent="0.2">
      <c r="A3083" s="496"/>
      <c r="D3083" s="496"/>
    </row>
    <row r="3084" spans="1:4" x14ac:dyDescent="0.2">
      <c r="A3084" s="496"/>
      <c r="D3084" s="496"/>
    </row>
    <row r="3085" spans="1:4" x14ac:dyDescent="0.2">
      <c r="A3085" s="496"/>
      <c r="D3085" s="496"/>
    </row>
    <row r="3086" spans="1:4" x14ac:dyDescent="0.2">
      <c r="A3086" s="496"/>
      <c r="D3086" s="496"/>
    </row>
    <row r="3087" spans="1:4" x14ac:dyDescent="0.2">
      <c r="A3087" s="496"/>
      <c r="D3087" s="496"/>
    </row>
    <row r="3088" spans="1:4" x14ac:dyDescent="0.2">
      <c r="A3088" s="496"/>
      <c r="D3088" s="496"/>
    </row>
    <row r="3089" spans="1:4" x14ac:dyDescent="0.2">
      <c r="A3089" s="496"/>
      <c r="D3089" s="496"/>
    </row>
    <row r="3090" spans="1:4" x14ac:dyDescent="0.2">
      <c r="A3090" s="496"/>
      <c r="D3090" s="496"/>
    </row>
    <row r="3091" spans="1:4" x14ac:dyDescent="0.2">
      <c r="A3091" s="496"/>
      <c r="D3091" s="496"/>
    </row>
    <row r="3092" spans="1:4" x14ac:dyDescent="0.2">
      <c r="A3092" s="496"/>
      <c r="D3092" s="496"/>
    </row>
    <row r="3093" spans="1:4" x14ac:dyDescent="0.2">
      <c r="A3093" s="496"/>
      <c r="D3093" s="496"/>
    </row>
    <row r="3094" spans="1:4" x14ac:dyDescent="0.2">
      <c r="A3094" s="496"/>
      <c r="D3094" s="496"/>
    </row>
    <row r="3095" spans="1:4" x14ac:dyDescent="0.2">
      <c r="A3095" s="496"/>
      <c r="D3095" s="496"/>
    </row>
    <row r="3096" spans="1:4" x14ac:dyDescent="0.2">
      <c r="A3096" s="496"/>
      <c r="D3096" s="496"/>
    </row>
    <row r="3097" spans="1:4" x14ac:dyDescent="0.2">
      <c r="A3097" s="496"/>
      <c r="D3097" s="496"/>
    </row>
    <row r="3098" spans="1:4" x14ac:dyDescent="0.2">
      <c r="A3098" s="496"/>
      <c r="D3098" s="496"/>
    </row>
    <row r="3099" spans="1:4" x14ac:dyDescent="0.2">
      <c r="A3099" s="496"/>
      <c r="D3099" s="496"/>
    </row>
    <row r="3100" spans="1:4" x14ac:dyDescent="0.2">
      <c r="A3100" s="496"/>
      <c r="D3100" s="496"/>
    </row>
    <row r="3101" spans="1:4" x14ac:dyDescent="0.2">
      <c r="A3101" s="496"/>
      <c r="D3101" s="496"/>
    </row>
    <row r="3102" spans="1:4" x14ac:dyDescent="0.2">
      <c r="A3102" s="496"/>
      <c r="D3102" s="496"/>
    </row>
    <row r="3103" spans="1:4" x14ac:dyDescent="0.2">
      <c r="A3103" s="496"/>
      <c r="D3103" s="496"/>
    </row>
    <row r="3104" spans="1:4" x14ac:dyDescent="0.2">
      <c r="A3104" s="496"/>
      <c r="D3104" s="496"/>
    </row>
    <row r="3105" spans="1:4" x14ac:dyDescent="0.2">
      <c r="A3105" s="496"/>
      <c r="D3105" s="496"/>
    </row>
    <row r="3106" spans="1:4" x14ac:dyDescent="0.2">
      <c r="A3106" s="496"/>
      <c r="D3106" s="496"/>
    </row>
    <row r="3107" spans="1:4" x14ac:dyDescent="0.2">
      <c r="A3107" s="496"/>
      <c r="D3107" s="496"/>
    </row>
    <row r="3108" spans="1:4" x14ac:dyDescent="0.2">
      <c r="A3108" s="496"/>
      <c r="D3108" s="496"/>
    </row>
    <row r="3109" spans="1:4" x14ac:dyDescent="0.2">
      <c r="A3109" s="496"/>
      <c r="D3109" s="496"/>
    </row>
    <row r="3110" spans="1:4" x14ac:dyDescent="0.2">
      <c r="A3110" s="496"/>
      <c r="D3110" s="496"/>
    </row>
    <row r="3111" spans="1:4" x14ac:dyDescent="0.2">
      <c r="A3111" s="496"/>
      <c r="D3111" s="496"/>
    </row>
    <row r="3112" spans="1:4" x14ac:dyDescent="0.2">
      <c r="A3112" s="496"/>
      <c r="D3112" s="496"/>
    </row>
    <row r="3113" spans="1:4" x14ac:dyDescent="0.2">
      <c r="A3113" s="496"/>
      <c r="D3113" s="496"/>
    </row>
    <row r="3114" spans="1:4" x14ac:dyDescent="0.2">
      <c r="A3114" s="496"/>
      <c r="D3114" s="496"/>
    </row>
    <row r="3115" spans="1:4" x14ac:dyDescent="0.2">
      <c r="A3115" s="496"/>
      <c r="D3115" s="496"/>
    </row>
    <row r="3116" spans="1:4" x14ac:dyDescent="0.2">
      <c r="A3116" s="496"/>
      <c r="D3116" s="496"/>
    </row>
    <row r="3117" spans="1:4" x14ac:dyDescent="0.2">
      <c r="A3117" s="496"/>
      <c r="D3117" s="496"/>
    </row>
    <row r="3118" spans="1:4" x14ac:dyDescent="0.2">
      <c r="A3118" s="496"/>
      <c r="D3118" s="496"/>
    </row>
    <row r="3119" spans="1:4" x14ac:dyDescent="0.2">
      <c r="A3119" s="496"/>
      <c r="D3119" s="496"/>
    </row>
    <row r="3120" spans="1:4" x14ac:dyDescent="0.2">
      <c r="A3120" s="496"/>
      <c r="D3120" s="496"/>
    </row>
    <row r="3121" spans="1:4" x14ac:dyDescent="0.2">
      <c r="A3121" s="496"/>
      <c r="D3121" s="496"/>
    </row>
    <row r="3122" spans="1:4" x14ac:dyDescent="0.2">
      <c r="A3122" s="496"/>
      <c r="D3122" s="496"/>
    </row>
    <row r="3123" spans="1:4" x14ac:dyDescent="0.2">
      <c r="A3123" s="496"/>
      <c r="D3123" s="496"/>
    </row>
    <row r="3124" spans="1:4" x14ac:dyDescent="0.2">
      <c r="A3124" s="496"/>
      <c r="D3124" s="496"/>
    </row>
    <row r="3125" spans="1:4" x14ac:dyDescent="0.2">
      <c r="A3125" s="496"/>
      <c r="D3125" s="496"/>
    </row>
    <row r="3126" spans="1:4" x14ac:dyDescent="0.2">
      <c r="A3126" s="496"/>
      <c r="D3126" s="496"/>
    </row>
    <row r="3127" spans="1:4" x14ac:dyDescent="0.2">
      <c r="A3127" s="496"/>
      <c r="D3127" s="496"/>
    </row>
    <row r="3128" spans="1:4" x14ac:dyDescent="0.2">
      <c r="A3128" s="496"/>
      <c r="D3128" s="496"/>
    </row>
    <row r="3129" spans="1:4" x14ac:dyDescent="0.2">
      <c r="A3129" s="496"/>
      <c r="D3129" s="496"/>
    </row>
    <row r="3130" spans="1:4" x14ac:dyDescent="0.2">
      <c r="A3130" s="496"/>
      <c r="D3130" s="496"/>
    </row>
    <row r="3131" spans="1:4" x14ac:dyDescent="0.2">
      <c r="A3131" s="496"/>
      <c r="D3131" s="496"/>
    </row>
    <row r="3132" spans="1:4" x14ac:dyDescent="0.2">
      <c r="A3132" s="496"/>
      <c r="D3132" s="496"/>
    </row>
    <row r="3133" spans="1:4" x14ac:dyDescent="0.2">
      <c r="A3133" s="496"/>
      <c r="D3133" s="496"/>
    </row>
    <row r="3134" spans="1:4" x14ac:dyDescent="0.2">
      <c r="A3134" s="496"/>
      <c r="D3134" s="496"/>
    </row>
    <row r="3135" spans="1:4" x14ac:dyDescent="0.2">
      <c r="A3135" s="496"/>
      <c r="D3135" s="496"/>
    </row>
    <row r="3136" spans="1:4" x14ac:dyDescent="0.2">
      <c r="A3136" s="496"/>
      <c r="D3136" s="496"/>
    </row>
    <row r="3137" spans="1:4" x14ac:dyDescent="0.2">
      <c r="A3137" s="496"/>
      <c r="D3137" s="496"/>
    </row>
    <row r="3138" spans="1:4" x14ac:dyDescent="0.2">
      <c r="A3138" s="496"/>
      <c r="D3138" s="496"/>
    </row>
    <row r="3139" spans="1:4" x14ac:dyDescent="0.2">
      <c r="A3139" s="496"/>
      <c r="D3139" s="496"/>
    </row>
    <row r="3140" spans="1:4" x14ac:dyDescent="0.2">
      <c r="A3140" s="496"/>
      <c r="D3140" s="496"/>
    </row>
    <row r="3141" spans="1:4" x14ac:dyDescent="0.2">
      <c r="A3141" s="496"/>
      <c r="D3141" s="496"/>
    </row>
    <row r="3142" spans="1:4" x14ac:dyDescent="0.2">
      <c r="A3142" s="496"/>
      <c r="D3142" s="496"/>
    </row>
    <row r="3143" spans="1:4" x14ac:dyDescent="0.2">
      <c r="A3143" s="496"/>
      <c r="D3143" s="496"/>
    </row>
    <row r="3144" spans="1:4" x14ac:dyDescent="0.2">
      <c r="A3144" s="496"/>
      <c r="D3144" s="496"/>
    </row>
    <row r="3145" spans="1:4" x14ac:dyDescent="0.2">
      <c r="A3145" s="496"/>
      <c r="D3145" s="496"/>
    </row>
    <row r="3146" spans="1:4" x14ac:dyDescent="0.2">
      <c r="A3146" s="496"/>
      <c r="D3146" s="496"/>
    </row>
    <row r="3147" spans="1:4" x14ac:dyDescent="0.2">
      <c r="A3147" s="496"/>
      <c r="D3147" s="496"/>
    </row>
    <row r="3148" spans="1:4" x14ac:dyDescent="0.2">
      <c r="A3148" s="496"/>
      <c r="D3148" s="496"/>
    </row>
    <row r="3149" spans="1:4" x14ac:dyDescent="0.2">
      <c r="A3149" s="496"/>
      <c r="D3149" s="496"/>
    </row>
    <row r="3150" spans="1:4" x14ac:dyDescent="0.2">
      <c r="A3150" s="496"/>
      <c r="D3150" s="496"/>
    </row>
    <row r="3151" spans="1:4" x14ac:dyDescent="0.2">
      <c r="A3151" s="496"/>
      <c r="D3151" s="496"/>
    </row>
    <row r="3152" spans="1:4" x14ac:dyDescent="0.2">
      <c r="A3152" s="496"/>
      <c r="D3152" s="496"/>
    </row>
    <row r="3153" spans="1:4" x14ac:dyDescent="0.2">
      <c r="A3153" s="496"/>
      <c r="D3153" s="496"/>
    </row>
    <row r="3154" spans="1:4" x14ac:dyDescent="0.2">
      <c r="A3154" s="496"/>
      <c r="D3154" s="496"/>
    </row>
    <row r="3155" spans="1:4" x14ac:dyDescent="0.2">
      <c r="A3155" s="496"/>
      <c r="D3155" s="496"/>
    </row>
    <row r="3156" spans="1:4" x14ac:dyDescent="0.2">
      <c r="A3156" s="496"/>
      <c r="D3156" s="496"/>
    </row>
    <row r="3157" spans="1:4" x14ac:dyDescent="0.2">
      <c r="A3157" s="496"/>
      <c r="D3157" s="496"/>
    </row>
    <row r="3158" spans="1:4" x14ac:dyDescent="0.2">
      <c r="A3158" s="496"/>
      <c r="D3158" s="496"/>
    </row>
    <row r="3159" spans="1:4" x14ac:dyDescent="0.2">
      <c r="A3159" s="496"/>
      <c r="D3159" s="496"/>
    </row>
    <row r="3160" spans="1:4" x14ac:dyDescent="0.2">
      <c r="A3160" s="496"/>
      <c r="D3160" s="496"/>
    </row>
    <row r="3161" spans="1:4" x14ac:dyDescent="0.2">
      <c r="A3161" s="496"/>
      <c r="D3161" s="496"/>
    </row>
    <row r="3162" spans="1:4" x14ac:dyDescent="0.2">
      <c r="A3162" s="496"/>
      <c r="D3162" s="496"/>
    </row>
    <row r="3163" spans="1:4" x14ac:dyDescent="0.2">
      <c r="A3163" s="496"/>
      <c r="D3163" s="496"/>
    </row>
    <row r="3164" spans="1:4" x14ac:dyDescent="0.2">
      <c r="A3164" s="496"/>
      <c r="D3164" s="496"/>
    </row>
    <row r="3165" spans="1:4" x14ac:dyDescent="0.2">
      <c r="A3165" s="496"/>
      <c r="D3165" s="496"/>
    </row>
    <row r="3166" spans="1:4" x14ac:dyDescent="0.2">
      <c r="A3166" s="496"/>
      <c r="D3166" s="496"/>
    </row>
    <row r="3167" spans="1:4" x14ac:dyDescent="0.2">
      <c r="A3167" s="496"/>
      <c r="D3167" s="496"/>
    </row>
    <row r="3168" spans="1:4" x14ac:dyDescent="0.2">
      <c r="A3168" s="496"/>
      <c r="D3168" s="496"/>
    </row>
    <row r="3169" spans="1:4" x14ac:dyDescent="0.2">
      <c r="A3169" s="496"/>
      <c r="D3169" s="496"/>
    </row>
    <row r="3170" spans="1:4" x14ac:dyDescent="0.2">
      <c r="A3170" s="496"/>
      <c r="D3170" s="496"/>
    </row>
    <row r="3171" spans="1:4" x14ac:dyDescent="0.2">
      <c r="A3171" s="496"/>
      <c r="D3171" s="496"/>
    </row>
    <row r="3172" spans="1:4" x14ac:dyDescent="0.2">
      <c r="A3172" s="496"/>
      <c r="D3172" s="496"/>
    </row>
    <row r="3173" spans="1:4" x14ac:dyDescent="0.2">
      <c r="A3173" s="496"/>
      <c r="D3173" s="496"/>
    </row>
    <row r="3174" spans="1:4" x14ac:dyDescent="0.2">
      <c r="A3174" s="496"/>
      <c r="D3174" s="496"/>
    </row>
    <row r="3175" spans="1:4" x14ac:dyDescent="0.2">
      <c r="A3175" s="496"/>
      <c r="D3175" s="496"/>
    </row>
    <row r="3176" spans="1:4" x14ac:dyDescent="0.2">
      <c r="A3176" s="496"/>
      <c r="D3176" s="496"/>
    </row>
    <row r="3177" spans="1:4" x14ac:dyDescent="0.2">
      <c r="A3177" s="496"/>
      <c r="D3177" s="496"/>
    </row>
    <row r="3178" spans="1:4" x14ac:dyDescent="0.2">
      <c r="A3178" s="496"/>
      <c r="D3178" s="496"/>
    </row>
    <row r="3179" spans="1:4" x14ac:dyDescent="0.2">
      <c r="A3179" s="496"/>
      <c r="D3179" s="496"/>
    </row>
    <row r="3180" spans="1:4" x14ac:dyDescent="0.2">
      <c r="A3180" s="496"/>
      <c r="D3180" s="496"/>
    </row>
    <row r="3181" spans="1:4" x14ac:dyDescent="0.2">
      <c r="A3181" s="496"/>
      <c r="D3181" s="496"/>
    </row>
    <row r="3182" spans="1:4" x14ac:dyDescent="0.2">
      <c r="A3182" s="496"/>
      <c r="D3182" s="496"/>
    </row>
    <row r="3183" spans="1:4" x14ac:dyDescent="0.2">
      <c r="A3183" s="496"/>
      <c r="D3183" s="496"/>
    </row>
    <row r="3184" spans="1:4" x14ac:dyDescent="0.2">
      <c r="A3184" s="496"/>
      <c r="D3184" s="496"/>
    </row>
    <row r="3185" spans="1:4" x14ac:dyDescent="0.2">
      <c r="A3185" s="496"/>
      <c r="D3185" s="496"/>
    </row>
    <row r="3186" spans="1:4" x14ac:dyDescent="0.2">
      <c r="A3186" s="496"/>
      <c r="D3186" s="496"/>
    </row>
    <row r="3187" spans="1:4" x14ac:dyDescent="0.2">
      <c r="A3187" s="496"/>
      <c r="D3187" s="496"/>
    </row>
    <row r="3188" spans="1:4" x14ac:dyDescent="0.2">
      <c r="A3188" s="496"/>
      <c r="D3188" s="496"/>
    </row>
    <row r="3189" spans="1:4" x14ac:dyDescent="0.2">
      <c r="A3189" s="496"/>
      <c r="D3189" s="496"/>
    </row>
    <row r="3190" spans="1:4" x14ac:dyDescent="0.2">
      <c r="A3190" s="496"/>
      <c r="D3190" s="496"/>
    </row>
    <row r="3191" spans="1:4" x14ac:dyDescent="0.2">
      <c r="A3191" s="496"/>
      <c r="D3191" s="496"/>
    </row>
    <row r="3192" spans="1:4" x14ac:dyDescent="0.2">
      <c r="A3192" s="496"/>
      <c r="D3192" s="496"/>
    </row>
    <row r="3193" spans="1:4" x14ac:dyDescent="0.2">
      <c r="A3193" s="496"/>
      <c r="D3193" s="496"/>
    </row>
    <row r="3194" spans="1:4" x14ac:dyDescent="0.2">
      <c r="A3194" s="496"/>
      <c r="D3194" s="496"/>
    </row>
    <row r="3195" spans="1:4" x14ac:dyDescent="0.2">
      <c r="A3195" s="496"/>
      <c r="D3195" s="496"/>
    </row>
    <row r="3196" spans="1:4" x14ac:dyDescent="0.2">
      <c r="A3196" s="496"/>
      <c r="D3196" s="496"/>
    </row>
    <row r="3197" spans="1:4" x14ac:dyDescent="0.2">
      <c r="A3197" s="496"/>
      <c r="D3197" s="496"/>
    </row>
    <row r="3198" spans="1:4" x14ac:dyDescent="0.2">
      <c r="A3198" s="496"/>
      <c r="D3198" s="496"/>
    </row>
    <row r="3199" spans="1:4" x14ac:dyDescent="0.2">
      <c r="A3199" s="496"/>
      <c r="D3199" s="496"/>
    </row>
    <row r="3200" spans="1:4" x14ac:dyDescent="0.2">
      <c r="A3200" s="496"/>
      <c r="D3200" s="496"/>
    </row>
    <row r="3201" spans="1:4" x14ac:dyDescent="0.2">
      <c r="A3201" s="496"/>
      <c r="D3201" s="496"/>
    </row>
    <row r="3202" spans="1:4" x14ac:dyDescent="0.2">
      <c r="A3202" s="496"/>
      <c r="D3202" s="496"/>
    </row>
    <row r="3203" spans="1:4" x14ac:dyDescent="0.2">
      <c r="A3203" s="496"/>
      <c r="D3203" s="496"/>
    </row>
    <row r="3204" spans="1:4" x14ac:dyDescent="0.2">
      <c r="A3204" s="496"/>
      <c r="D3204" s="496"/>
    </row>
    <row r="3205" spans="1:4" x14ac:dyDescent="0.2">
      <c r="A3205" s="496"/>
      <c r="D3205" s="496"/>
    </row>
    <row r="3206" spans="1:4" x14ac:dyDescent="0.2">
      <c r="A3206" s="496"/>
      <c r="D3206" s="496"/>
    </row>
    <row r="3207" spans="1:4" x14ac:dyDescent="0.2">
      <c r="A3207" s="496"/>
      <c r="D3207" s="496"/>
    </row>
    <row r="3208" spans="1:4" x14ac:dyDescent="0.2">
      <c r="A3208" s="496"/>
      <c r="D3208" s="496"/>
    </row>
    <row r="3209" spans="1:4" x14ac:dyDescent="0.2">
      <c r="A3209" s="496"/>
      <c r="D3209" s="496"/>
    </row>
    <row r="3210" spans="1:4" x14ac:dyDescent="0.2">
      <c r="A3210" s="496"/>
      <c r="D3210" s="496"/>
    </row>
    <row r="3211" spans="1:4" x14ac:dyDescent="0.2">
      <c r="A3211" s="496"/>
      <c r="D3211" s="496"/>
    </row>
    <row r="3212" spans="1:4" x14ac:dyDescent="0.2">
      <c r="A3212" s="496"/>
      <c r="D3212" s="496"/>
    </row>
    <row r="3213" spans="1:4" x14ac:dyDescent="0.2">
      <c r="A3213" s="496"/>
      <c r="D3213" s="496"/>
    </row>
    <row r="3214" spans="1:4" x14ac:dyDescent="0.2">
      <c r="A3214" s="496"/>
      <c r="D3214" s="496"/>
    </row>
    <row r="3215" spans="1:4" x14ac:dyDescent="0.2">
      <c r="A3215" s="496"/>
      <c r="D3215" s="496"/>
    </row>
    <row r="3216" spans="1:4" x14ac:dyDescent="0.2">
      <c r="A3216" s="496"/>
      <c r="D3216" s="496"/>
    </row>
    <row r="3217" spans="1:4" x14ac:dyDescent="0.2">
      <c r="A3217" s="496"/>
      <c r="D3217" s="496"/>
    </row>
    <row r="3218" spans="1:4" x14ac:dyDescent="0.2">
      <c r="A3218" s="496"/>
      <c r="D3218" s="496"/>
    </row>
    <row r="3219" spans="1:4" x14ac:dyDescent="0.2">
      <c r="A3219" s="496"/>
      <c r="D3219" s="496"/>
    </row>
    <row r="3220" spans="1:4" x14ac:dyDescent="0.2">
      <c r="A3220" s="496"/>
      <c r="D3220" s="496"/>
    </row>
    <row r="3221" spans="1:4" x14ac:dyDescent="0.2">
      <c r="A3221" s="496"/>
      <c r="D3221" s="496"/>
    </row>
    <row r="3222" spans="1:4" x14ac:dyDescent="0.2">
      <c r="A3222" s="496"/>
      <c r="D3222" s="496"/>
    </row>
    <row r="3223" spans="1:4" x14ac:dyDescent="0.2">
      <c r="A3223" s="496"/>
      <c r="D3223" s="496"/>
    </row>
    <row r="3224" spans="1:4" x14ac:dyDescent="0.2">
      <c r="A3224" s="496"/>
      <c r="D3224" s="496"/>
    </row>
    <row r="3225" spans="1:4" x14ac:dyDescent="0.2">
      <c r="A3225" s="496"/>
      <c r="D3225" s="496"/>
    </row>
    <row r="3226" spans="1:4" x14ac:dyDescent="0.2">
      <c r="A3226" s="496"/>
      <c r="D3226" s="496"/>
    </row>
    <row r="3227" spans="1:4" x14ac:dyDescent="0.2">
      <c r="A3227" s="496"/>
      <c r="D3227" s="496"/>
    </row>
    <row r="3228" spans="1:4" x14ac:dyDescent="0.2">
      <c r="A3228" s="496"/>
      <c r="D3228" s="496"/>
    </row>
    <row r="3229" spans="1:4" x14ac:dyDescent="0.2">
      <c r="A3229" s="496"/>
      <c r="D3229" s="496"/>
    </row>
    <row r="3230" spans="1:4" x14ac:dyDescent="0.2">
      <c r="A3230" s="496"/>
      <c r="D3230" s="496"/>
    </row>
    <row r="3231" spans="1:4" x14ac:dyDescent="0.2">
      <c r="A3231" s="496"/>
      <c r="D3231" s="496"/>
    </row>
    <row r="3232" spans="1:4" x14ac:dyDescent="0.2">
      <c r="A3232" s="496"/>
      <c r="D3232" s="496"/>
    </row>
    <row r="3233" spans="1:4" x14ac:dyDescent="0.2">
      <c r="A3233" s="496"/>
      <c r="D3233" s="496"/>
    </row>
    <row r="3234" spans="1:4" x14ac:dyDescent="0.2">
      <c r="A3234" s="496"/>
      <c r="D3234" s="496"/>
    </row>
    <row r="3235" spans="1:4" x14ac:dyDescent="0.2">
      <c r="A3235" s="496"/>
      <c r="D3235" s="496"/>
    </row>
    <row r="3236" spans="1:4" x14ac:dyDescent="0.2">
      <c r="A3236" s="496"/>
      <c r="D3236" s="496"/>
    </row>
    <row r="3237" spans="1:4" x14ac:dyDescent="0.2">
      <c r="A3237" s="496"/>
      <c r="D3237" s="496"/>
    </row>
    <row r="3238" spans="1:4" x14ac:dyDescent="0.2">
      <c r="A3238" s="496"/>
      <c r="D3238" s="496"/>
    </row>
    <row r="3239" spans="1:4" x14ac:dyDescent="0.2">
      <c r="A3239" s="496"/>
      <c r="D3239" s="496"/>
    </row>
    <row r="3240" spans="1:4" x14ac:dyDescent="0.2">
      <c r="A3240" s="496"/>
      <c r="D3240" s="496"/>
    </row>
    <row r="3241" spans="1:4" x14ac:dyDescent="0.2">
      <c r="A3241" s="496"/>
      <c r="D3241" s="496"/>
    </row>
    <row r="3242" spans="1:4" x14ac:dyDescent="0.2">
      <c r="A3242" s="496"/>
      <c r="D3242" s="496"/>
    </row>
    <row r="3243" spans="1:4" x14ac:dyDescent="0.2">
      <c r="A3243" s="496"/>
      <c r="D3243" s="496"/>
    </row>
    <row r="3244" spans="1:4" x14ac:dyDescent="0.2">
      <c r="A3244" s="496"/>
      <c r="D3244" s="496"/>
    </row>
    <row r="3245" spans="1:4" x14ac:dyDescent="0.2">
      <c r="A3245" s="496"/>
      <c r="D3245" s="496"/>
    </row>
    <row r="3246" spans="1:4" x14ac:dyDescent="0.2">
      <c r="A3246" s="496"/>
      <c r="D3246" s="496"/>
    </row>
    <row r="3247" spans="1:4" x14ac:dyDescent="0.2">
      <c r="A3247" s="496"/>
      <c r="D3247" s="496"/>
    </row>
    <row r="3248" spans="1:4" x14ac:dyDescent="0.2">
      <c r="A3248" s="496"/>
      <c r="D3248" s="496"/>
    </row>
    <row r="3249" spans="1:4" x14ac:dyDescent="0.2">
      <c r="A3249" s="496"/>
      <c r="D3249" s="496"/>
    </row>
    <row r="3250" spans="1:4" x14ac:dyDescent="0.2">
      <c r="A3250" s="496"/>
      <c r="D3250" s="496"/>
    </row>
    <row r="3251" spans="1:4" x14ac:dyDescent="0.2">
      <c r="A3251" s="496"/>
      <c r="D3251" s="496"/>
    </row>
    <row r="3252" spans="1:4" x14ac:dyDescent="0.2">
      <c r="A3252" s="496"/>
      <c r="D3252" s="496"/>
    </row>
    <row r="3253" spans="1:4" x14ac:dyDescent="0.2">
      <c r="A3253" s="496"/>
      <c r="D3253" s="496"/>
    </row>
    <row r="3254" spans="1:4" x14ac:dyDescent="0.2">
      <c r="A3254" s="496"/>
      <c r="D3254" s="496"/>
    </row>
    <row r="3255" spans="1:4" x14ac:dyDescent="0.2">
      <c r="A3255" s="496"/>
      <c r="D3255" s="496"/>
    </row>
    <row r="3256" spans="1:4" x14ac:dyDescent="0.2">
      <c r="A3256" s="496"/>
      <c r="D3256" s="496"/>
    </row>
    <row r="3257" spans="1:4" x14ac:dyDescent="0.2">
      <c r="A3257" s="496"/>
      <c r="D3257" s="496"/>
    </row>
    <row r="3258" spans="1:4" x14ac:dyDescent="0.2">
      <c r="A3258" s="496"/>
      <c r="D3258" s="496"/>
    </row>
    <row r="3259" spans="1:4" x14ac:dyDescent="0.2">
      <c r="A3259" s="496"/>
      <c r="D3259" s="496"/>
    </row>
    <row r="3260" spans="1:4" x14ac:dyDescent="0.2">
      <c r="A3260" s="496"/>
      <c r="D3260" s="496"/>
    </row>
    <row r="3261" spans="1:4" x14ac:dyDescent="0.2">
      <c r="A3261" s="496"/>
      <c r="D3261" s="496"/>
    </row>
    <row r="3262" spans="1:4" x14ac:dyDescent="0.2">
      <c r="A3262" s="496"/>
      <c r="D3262" s="496"/>
    </row>
    <row r="3263" spans="1:4" x14ac:dyDescent="0.2">
      <c r="A3263" s="496"/>
      <c r="D3263" s="496"/>
    </row>
    <row r="3264" spans="1:4" x14ac:dyDescent="0.2">
      <c r="A3264" s="496"/>
      <c r="D3264" s="496"/>
    </row>
    <row r="3265" spans="1:4" x14ac:dyDescent="0.2">
      <c r="A3265" s="496"/>
      <c r="D3265" s="496"/>
    </row>
    <row r="3266" spans="1:4" x14ac:dyDescent="0.2">
      <c r="A3266" s="496"/>
      <c r="D3266" s="496"/>
    </row>
    <row r="3267" spans="1:4" x14ac:dyDescent="0.2">
      <c r="A3267" s="496"/>
      <c r="D3267" s="496"/>
    </row>
    <row r="3268" spans="1:4" x14ac:dyDescent="0.2">
      <c r="A3268" s="496"/>
      <c r="D3268" s="496"/>
    </row>
    <row r="3269" spans="1:4" x14ac:dyDescent="0.2">
      <c r="A3269" s="496"/>
      <c r="D3269" s="496"/>
    </row>
    <row r="3270" spans="1:4" x14ac:dyDescent="0.2">
      <c r="A3270" s="496"/>
      <c r="D3270" s="496"/>
    </row>
    <row r="3271" spans="1:4" x14ac:dyDescent="0.2">
      <c r="A3271" s="496"/>
      <c r="D3271" s="496"/>
    </row>
    <row r="3272" spans="1:4" x14ac:dyDescent="0.2">
      <c r="A3272" s="496"/>
      <c r="D3272" s="496"/>
    </row>
    <row r="3273" spans="1:4" x14ac:dyDescent="0.2">
      <c r="A3273" s="496"/>
      <c r="D3273" s="496"/>
    </row>
    <row r="3274" spans="1:4" x14ac:dyDescent="0.2">
      <c r="A3274" s="496"/>
      <c r="D3274" s="496"/>
    </row>
    <row r="3275" spans="1:4" x14ac:dyDescent="0.2">
      <c r="A3275" s="496"/>
      <c r="D3275" s="496"/>
    </row>
    <row r="3276" spans="1:4" x14ac:dyDescent="0.2">
      <c r="A3276" s="496"/>
      <c r="D3276" s="496"/>
    </row>
    <row r="3277" spans="1:4" x14ac:dyDescent="0.2">
      <c r="A3277" s="496"/>
      <c r="D3277" s="496"/>
    </row>
    <row r="3278" spans="1:4" x14ac:dyDescent="0.2">
      <c r="A3278" s="496"/>
      <c r="D3278" s="496"/>
    </row>
    <row r="3279" spans="1:4" x14ac:dyDescent="0.2">
      <c r="A3279" s="496"/>
      <c r="D3279" s="496"/>
    </row>
    <row r="3280" spans="1:4" x14ac:dyDescent="0.2">
      <c r="A3280" s="496"/>
      <c r="D3280" s="496"/>
    </row>
    <row r="3281" spans="1:4" x14ac:dyDescent="0.2">
      <c r="A3281" s="496"/>
      <c r="D3281" s="496"/>
    </row>
    <row r="3282" spans="1:4" x14ac:dyDescent="0.2">
      <c r="A3282" s="496"/>
      <c r="D3282" s="496"/>
    </row>
    <row r="3283" spans="1:4" x14ac:dyDescent="0.2">
      <c r="A3283" s="496"/>
      <c r="D3283" s="496"/>
    </row>
    <row r="3284" spans="1:4" x14ac:dyDescent="0.2">
      <c r="A3284" s="496"/>
      <c r="D3284" s="496"/>
    </row>
    <row r="3285" spans="1:4" x14ac:dyDescent="0.2">
      <c r="A3285" s="496"/>
      <c r="D3285" s="496"/>
    </row>
    <row r="3286" spans="1:4" x14ac:dyDescent="0.2">
      <c r="A3286" s="496"/>
      <c r="D3286" s="496"/>
    </row>
    <row r="3287" spans="1:4" x14ac:dyDescent="0.2">
      <c r="A3287" s="496"/>
      <c r="D3287" s="496"/>
    </row>
    <row r="3288" spans="1:4" x14ac:dyDescent="0.2">
      <c r="A3288" s="496"/>
      <c r="D3288" s="496"/>
    </row>
    <row r="3289" spans="1:4" x14ac:dyDescent="0.2">
      <c r="A3289" s="496"/>
      <c r="D3289" s="496"/>
    </row>
    <row r="3290" spans="1:4" x14ac:dyDescent="0.2">
      <c r="A3290" s="496"/>
      <c r="D3290" s="496"/>
    </row>
    <row r="3291" spans="1:4" x14ac:dyDescent="0.2">
      <c r="A3291" s="496"/>
      <c r="D3291" s="496"/>
    </row>
    <row r="3292" spans="1:4" x14ac:dyDescent="0.2">
      <c r="A3292" s="496"/>
      <c r="D3292" s="496"/>
    </row>
    <row r="3293" spans="1:4" x14ac:dyDescent="0.2">
      <c r="A3293" s="496"/>
      <c r="D3293" s="496"/>
    </row>
    <row r="3294" spans="1:4" x14ac:dyDescent="0.2">
      <c r="A3294" s="496"/>
      <c r="D3294" s="496"/>
    </row>
    <row r="3295" spans="1:4" x14ac:dyDescent="0.2">
      <c r="A3295" s="496"/>
      <c r="D3295" s="496"/>
    </row>
    <row r="3296" spans="1:4" x14ac:dyDescent="0.2">
      <c r="A3296" s="496"/>
      <c r="D3296" s="496"/>
    </row>
    <row r="3297" spans="1:4" x14ac:dyDescent="0.2">
      <c r="A3297" s="496"/>
      <c r="D3297" s="496"/>
    </row>
    <row r="3298" spans="1:4" x14ac:dyDescent="0.2">
      <c r="A3298" s="496"/>
      <c r="D3298" s="496"/>
    </row>
    <row r="3299" spans="1:4" x14ac:dyDescent="0.2">
      <c r="A3299" s="496"/>
      <c r="D3299" s="496"/>
    </row>
    <row r="3300" spans="1:4" x14ac:dyDescent="0.2">
      <c r="A3300" s="496"/>
      <c r="D3300" s="496"/>
    </row>
    <row r="3301" spans="1:4" x14ac:dyDescent="0.2">
      <c r="A3301" s="496"/>
      <c r="D3301" s="496"/>
    </row>
    <row r="3302" spans="1:4" x14ac:dyDescent="0.2">
      <c r="A3302" s="496"/>
      <c r="D3302" s="496"/>
    </row>
    <row r="3303" spans="1:4" x14ac:dyDescent="0.2">
      <c r="A3303" s="496"/>
      <c r="D3303" s="496"/>
    </row>
    <row r="3304" spans="1:4" x14ac:dyDescent="0.2">
      <c r="A3304" s="496"/>
      <c r="D3304" s="496"/>
    </row>
    <row r="3305" spans="1:4" x14ac:dyDescent="0.2">
      <c r="A3305" s="496"/>
      <c r="D3305" s="496"/>
    </row>
    <row r="3306" spans="1:4" x14ac:dyDescent="0.2">
      <c r="A3306" s="496"/>
      <c r="D3306" s="496"/>
    </row>
    <row r="3307" spans="1:4" x14ac:dyDescent="0.2">
      <c r="A3307" s="496"/>
      <c r="D3307" s="496"/>
    </row>
    <row r="3308" spans="1:4" x14ac:dyDescent="0.2">
      <c r="A3308" s="496"/>
      <c r="D3308" s="496"/>
    </row>
    <row r="3309" spans="1:4" x14ac:dyDescent="0.2">
      <c r="A3309" s="496"/>
      <c r="D3309" s="496"/>
    </row>
    <row r="3310" spans="1:4" x14ac:dyDescent="0.2">
      <c r="A3310" s="496"/>
      <c r="D3310" s="496"/>
    </row>
    <row r="3311" spans="1:4" x14ac:dyDescent="0.2">
      <c r="A3311" s="496"/>
      <c r="D3311" s="496"/>
    </row>
    <row r="3312" spans="1:4" x14ac:dyDescent="0.2">
      <c r="A3312" s="496"/>
      <c r="D3312" s="496"/>
    </row>
    <row r="3313" spans="1:4" x14ac:dyDescent="0.2">
      <c r="A3313" s="496"/>
      <c r="D3313" s="496"/>
    </row>
    <row r="3314" spans="1:4" x14ac:dyDescent="0.2">
      <c r="A3314" s="496"/>
      <c r="D3314" s="496"/>
    </row>
    <row r="3315" spans="1:4" x14ac:dyDescent="0.2">
      <c r="A3315" s="496"/>
      <c r="D3315" s="496"/>
    </row>
    <row r="3316" spans="1:4" x14ac:dyDescent="0.2">
      <c r="A3316" s="496"/>
      <c r="D3316" s="496"/>
    </row>
    <row r="3317" spans="1:4" x14ac:dyDescent="0.2">
      <c r="A3317" s="496"/>
      <c r="D3317" s="496"/>
    </row>
    <row r="3318" spans="1:4" x14ac:dyDescent="0.2">
      <c r="A3318" s="496"/>
      <c r="D3318" s="496"/>
    </row>
    <row r="3319" spans="1:4" x14ac:dyDescent="0.2">
      <c r="A3319" s="496"/>
      <c r="D3319" s="496"/>
    </row>
    <row r="3320" spans="1:4" x14ac:dyDescent="0.2">
      <c r="A3320" s="496"/>
      <c r="D3320" s="496"/>
    </row>
    <row r="3321" spans="1:4" x14ac:dyDescent="0.2">
      <c r="A3321" s="496"/>
      <c r="D3321" s="496"/>
    </row>
    <row r="3322" spans="1:4" x14ac:dyDescent="0.2">
      <c r="A3322" s="496"/>
      <c r="D3322" s="496"/>
    </row>
    <row r="3323" spans="1:4" x14ac:dyDescent="0.2">
      <c r="A3323" s="496"/>
      <c r="D3323" s="496"/>
    </row>
    <row r="3324" spans="1:4" x14ac:dyDescent="0.2">
      <c r="A3324" s="496"/>
      <c r="D3324" s="496"/>
    </row>
    <row r="3325" spans="1:4" x14ac:dyDescent="0.2">
      <c r="A3325" s="496"/>
      <c r="D3325" s="496"/>
    </row>
    <row r="3326" spans="1:4" x14ac:dyDescent="0.2">
      <c r="A3326" s="496"/>
      <c r="D3326" s="496"/>
    </row>
    <row r="3327" spans="1:4" x14ac:dyDescent="0.2">
      <c r="A3327" s="496"/>
      <c r="D3327" s="496"/>
    </row>
    <row r="3328" spans="1:4" x14ac:dyDescent="0.2">
      <c r="A3328" s="496"/>
      <c r="D3328" s="496"/>
    </row>
    <row r="3329" spans="1:4" x14ac:dyDescent="0.2">
      <c r="A3329" s="496"/>
      <c r="D3329" s="496"/>
    </row>
    <row r="3330" spans="1:4" x14ac:dyDescent="0.2">
      <c r="A3330" s="496"/>
      <c r="D3330" s="496"/>
    </row>
    <row r="3331" spans="1:4" x14ac:dyDescent="0.2">
      <c r="A3331" s="496"/>
      <c r="D3331" s="496"/>
    </row>
    <row r="3332" spans="1:4" x14ac:dyDescent="0.2">
      <c r="A3332" s="496"/>
      <c r="D3332" s="496"/>
    </row>
    <row r="3333" spans="1:4" x14ac:dyDescent="0.2">
      <c r="A3333" s="496"/>
      <c r="D3333" s="496"/>
    </row>
    <row r="3334" spans="1:4" x14ac:dyDescent="0.2">
      <c r="A3334" s="496"/>
      <c r="D3334" s="496"/>
    </row>
    <row r="3335" spans="1:4" x14ac:dyDescent="0.2">
      <c r="A3335" s="496"/>
      <c r="D3335" s="496"/>
    </row>
    <row r="3336" spans="1:4" x14ac:dyDescent="0.2">
      <c r="A3336" s="496"/>
      <c r="D3336" s="496"/>
    </row>
    <row r="3337" spans="1:4" x14ac:dyDescent="0.2">
      <c r="A3337" s="496"/>
      <c r="D3337" s="496"/>
    </row>
    <row r="3338" spans="1:4" x14ac:dyDescent="0.2">
      <c r="A3338" s="496"/>
      <c r="D3338" s="496"/>
    </row>
    <row r="3339" spans="1:4" x14ac:dyDescent="0.2">
      <c r="A3339" s="496"/>
      <c r="D3339" s="496"/>
    </row>
    <row r="3340" spans="1:4" x14ac:dyDescent="0.2">
      <c r="A3340" s="496"/>
      <c r="D3340" s="496"/>
    </row>
    <row r="3341" spans="1:4" x14ac:dyDescent="0.2">
      <c r="A3341" s="496"/>
      <c r="D3341" s="496"/>
    </row>
    <row r="3342" spans="1:4" x14ac:dyDescent="0.2">
      <c r="A3342" s="496"/>
      <c r="D3342" s="496"/>
    </row>
    <row r="3343" spans="1:4" x14ac:dyDescent="0.2">
      <c r="A3343" s="496"/>
      <c r="D3343" s="496"/>
    </row>
    <row r="3344" spans="1:4" x14ac:dyDescent="0.2">
      <c r="A3344" s="496"/>
      <c r="D3344" s="496"/>
    </row>
    <row r="3345" spans="1:4" x14ac:dyDescent="0.2">
      <c r="A3345" s="496"/>
      <c r="D3345" s="496"/>
    </row>
    <row r="3346" spans="1:4" x14ac:dyDescent="0.2">
      <c r="A3346" s="496"/>
      <c r="D3346" s="496"/>
    </row>
    <row r="3347" spans="1:4" x14ac:dyDescent="0.2">
      <c r="A3347" s="496"/>
      <c r="D3347" s="496"/>
    </row>
    <row r="3348" spans="1:4" x14ac:dyDescent="0.2">
      <c r="A3348" s="496"/>
      <c r="D3348" s="496"/>
    </row>
    <row r="3349" spans="1:4" x14ac:dyDescent="0.2">
      <c r="A3349" s="496"/>
      <c r="D3349" s="496"/>
    </row>
    <row r="3350" spans="1:4" x14ac:dyDescent="0.2">
      <c r="A3350" s="496"/>
      <c r="D3350" s="496"/>
    </row>
    <row r="3351" spans="1:4" x14ac:dyDescent="0.2">
      <c r="A3351" s="496"/>
      <c r="D3351" s="496"/>
    </row>
    <row r="3352" spans="1:4" x14ac:dyDescent="0.2">
      <c r="A3352" s="496"/>
      <c r="D3352" s="496"/>
    </row>
    <row r="3353" spans="1:4" x14ac:dyDescent="0.2">
      <c r="A3353" s="496"/>
      <c r="D3353" s="496"/>
    </row>
    <row r="3354" spans="1:4" x14ac:dyDescent="0.2">
      <c r="A3354" s="496"/>
      <c r="D3354" s="496"/>
    </row>
    <row r="3355" spans="1:4" x14ac:dyDescent="0.2">
      <c r="A3355" s="496"/>
      <c r="D3355" s="496"/>
    </row>
    <row r="3356" spans="1:4" x14ac:dyDescent="0.2">
      <c r="A3356" s="496"/>
      <c r="D3356" s="496"/>
    </row>
    <row r="3357" spans="1:4" x14ac:dyDescent="0.2">
      <c r="A3357" s="496"/>
      <c r="D3357" s="496"/>
    </row>
    <row r="3358" spans="1:4" x14ac:dyDescent="0.2">
      <c r="A3358" s="496"/>
      <c r="D3358" s="496"/>
    </row>
    <row r="3359" spans="1:4" x14ac:dyDescent="0.2">
      <c r="A3359" s="496"/>
      <c r="D3359" s="496"/>
    </row>
    <row r="3360" spans="1:4" x14ac:dyDescent="0.2">
      <c r="A3360" s="496"/>
      <c r="D3360" s="496"/>
    </row>
    <row r="3361" spans="1:4" x14ac:dyDescent="0.2">
      <c r="A3361" s="496"/>
      <c r="D3361" s="496"/>
    </row>
    <row r="3362" spans="1:4" x14ac:dyDescent="0.2">
      <c r="A3362" s="496"/>
      <c r="D3362" s="496"/>
    </row>
    <row r="3363" spans="1:4" x14ac:dyDescent="0.2">
      <c r="A3363" s="496"/>
      <c r="D3363" s="496"/>
    </row>
    <row r="3364" spans="1:4" x14ac:dyDescent="0.2">
      <c r="A3364" s="496"/>
      <c r="D3364" s="496"/>
    </row>
    <row r="3365" spans="1:4" x14ac:dyDescent="0.2">
      <c r="A3365" s="496"/>
      <c r="D3365" s="496"/>
    </row>
    <row r="3366" spans="1:4" x14ac:dyDescent="0.2">
      <c r="A3366" s="496"/>
      <c r="D3366" s="496"/>
    </row>
    <row r="3367" spans="1:4" x14ac:dyDescent="0.2">
      <c r="A3367" s="496"/>
      <c r="D3367" s="496"/>
    </row>
    <row r="3368" spans="1:4" x14ac:dyDescent="0.2">
      <c r="A3368" s="496"/>
      <c r="D3368" s="496"/>
    </row>
    <row r="3369" spans="1:4" x14ac:dyDescent="0.2">
      <c r="A3369" s="496"/>
      <c r="D3369" s="496"/>
    </row>
    <row r="3370" spans="1:4" x14ac:dyDescent="0.2">
      <c r="A3370" s="496"/>
      <c r="D3370" s="496"/>
    </row>
    <row r="3371" spans="1:4" x14ac:dyDescent="0.2">
      <c r="A3371" s="496"/>
      <c r="D3371" s="496"/>
    </row>
    <row r="3372" spans="1:4" x14ac:dyDescent="0.2">
      <c r="A3372" s="496"/>
      <c r="D3372" s="496"/>
    </row>
    <row r="3373" spans="1:4" x14ac:dyDescent="0.2">
      <c r="A3373" s="496"/>
      <c r="D3373" s="496"/>
    </row>
    <row r="3374" spans="1:4" x14ac:dyDescent="0.2">
      <c r="A3374" s="496"/>
      <c r="D3374" s="496"/>
    </row>
    <row r="3375" spans="1:4" x14ac:dyDescent="0.2">
      <c r="A3375" s="496"/>
      <c r="D3375" s="496"/>
    </row>
    <row r="3376" spans="1:4" x14ac:dyDescent="0.2">
      <c r="A3376" s="496"/>
      <c r="D3376" s="496"/>
    </row>
    <row r="3377" spans="1:4" x14ac:dyDescent="0.2">
      <c r="A3377" s="496"/>
      <c r="D3377" s="496"/>
    </row>
    <row r="3378" spans="1:4" x14ac:dyDescent="0.2">
      <c r="A3378" s="496"/>
      <c r="D3378" s="496"/>
    </row>
    <row r="3379" spans="1:4" x14ac:dyDescent="0.2">
      <c r="A3379" s="496"/>
      <c r="D3379" s="496"/>
    </row>
    <row r="3380" spans="1:4" x14ac:dyDescent="0.2">
      <c r="A3380" s="496"/>
      <c r="D3380" s="496"/>
    </row>
    <row r="3381" spans="1:4" x14ac:dyDescent="0.2">
      <c r="A3381" s="496"/>
      <c r="D3381" s="496"/>
    </row>
    <row r="3382" spans="1:4" x14ac:dyDescent="0.2">
      <c r="A3382" s="496"/>
      <c r="D3382" s="496"/>
    </row>
    <row r="3383" spans="1:4" x14ac:dyDescent="0.2">
      <c r="A3383" s="496"/>
      <c r="D3383" s="496"/>
    </row>
    <row r="3384" spans="1:4" x14ac:dyDescent="0.2">
      <c r="A3384" s="496"/>
      <c r="D3384" s="496"/>
    </row>
    <row r="3385" spans="1:4" x14ac:dyDescent="0.2">
      <c r="A3385" s="496"/>
      <c r="D3385" s="496"/>
    </row>
    <row r="3386" spans="1:4" x14ac:dyDescent="0.2">
      <c r="A3386" s="496"/>
      <c r="D3386" s="496"/>
    </row>
    <row r="3387" spans="1:4" x14ac:dyDescent="0.2">
      <c r="A3387" s="496"/>
      <c r="D3387" s="496"/>
    </row>
    <row r="3388" spans="1:4" x14ac:dyDescent="0.2">
      <c r="A3388" s="496"/>
      <c r="D3388" s="496"/>
    </row>
    <row r="3389" spans="1:4" x14ac:dyDescent="0.2">
      <c r="A3389" s="496"/>
      <c r="D3389" s="496"/>
    </row>
    <row r="3390" spans="1:4" x14ac:dyDescent="0.2">
      <c r="A3390" s="496"/>
      <c r="D3390" s="496"/>
    </row>
    <row r="3391" spans="1:4" x14ac:dyDescent="0.2">
      <c r="A3391" s="496"/>
      <c r="D3391" s="496"/>
    </row>
    <row r="3392" spans="1:4" x14ac:dyDescent="0.2">
      <c r="A3392" s="496"/>
      <c r="D3392" s="496"/>
    </row>
    <row r="3393" spans="1:4" x14ac:dyDescent="0.2">
      <c r="A3393" s="496"/>
      <c r="D3393" s="496"/>
    </row>
    <row r="3394" spans="1:4" x14ac:dyDescent="0.2">
      <c r="A3394" s="496"/>
      <c r="D3394" s="496"/>
    </row>
    <row r="3395" spans="1:4" x14ac:dyDescent="0.2">
      <c r="A3395" s="496"/>
      <c r="D3395" s="496"/>
    </row>
    <row r="3396" spans="1:4" x14ac:dyDescent="0.2">
      <c r="A3396" s="496"/>
      <c r="D3396" s="496"/>
    </row>
    <row r="3397" spans="1:4" x14ac:dyDescent="0.2">
      <c r="A3397" s="496"/>
      <c r="D3397" s="496"/>
    </row>
    <row r="3398" spans="1:4" x14ac:dyDescent="0.2">
      <c r="A3398" s="496"/>
      <c r="D3398" s="496"/>
    </row>
    <row r="3399" spans="1:4" x14ac:dyDescent="0.2">
      <c r="A3399" s="496"/>
      <c r="D3399" s="496"/>
    </row>
    <row r="3400" spans="1:4" x14ac:dyDescent="0.2">
      <c r="A3400" s="496"/>
      <c r="D3400" s="496"/>
    </row>
    <row r="3401" spans="1:4" x14ac:dyDescent="0.2">
      <c r="A3401" s="496"/>
      <c r="D3401" s="496"/>
    </row>
    <row r="3402" spans="1:4" x14ac:dyDescent="0.2">
      <c r="A3402" s="496"/>
      <c r="D3402" s="496"/>
    </row>
    <row r="3403" spans="1:4" x14ac:dyDescent="0.2">
      <c r="A3403" s="496"/>
      <c r="D3403" s="496"/>
    </row>
    <row r="3404" spans="1:4" x14ac:dyDescent="0.2">
      <c r="A3404" s="496"/>
      <c r="D3404" s="496"/>
    </row>
    <row r="3405" spans="1:4" x14ac:dyDescent="0.2">
      <c r="A3405" s="496"/>
      <c r="D3405" s="496"/>
    </row>
    <row r="3406" spans="1:4" x14ac:dyDescent="0.2">
      <c r="A3406" s="496"/>
      <c r="D3406" s="496"/>
    </row>
    <row r="3407" spans="1:4" x14ac:dyDescent="0.2">
      <c r="A3407" s="496"/>
      <c r="D3407" s="496"/>
    </row>
    <row r="3408" spans="1:4" x14ac:dyDescent="0.2">
      <c r="A3408" s="496"/>
      <c r="D3408" s="496"/>
    </row>
    <row r="3409" spans="1:4" x14ac:dyDescent="0.2">
      <c r="A3409" s="496"/>
      <c r="D3409" s="496"/>
    </row>
    <row r="3410" spans="1:4" x14ac:dyDescent="0.2">
      <c r="A3410" s="496"/>
      <c r="D3410" s="496"/>
    </row>
    <row r="3411" spans="1:4" x14ac:dyDescent="0.2">
      <c r="A3411" s="496"/>
      <c r="D3411" s="496"/>
    </row>
    <row r="3412" spans="1:4" x14ac:dyDescent="0.2">
      <c r="A3412" s="496"/>
      <c r="D3412" s="496"/>
    </row>
    <row r="3413" spans="1:4" x14ac:dyDescent="0.2">
      <c r="A3413" s="496"/>
      <c r="D3413" s="496"/>
    </row>
    <row r="3414" spans="1:4" x14ac:dyDescent="0.2">
      <c r="A3414" s="496"/>
      <c r="D3414" s="496"/>
    </row>
    <row r="3415" spans="1:4" x14ac:dyDescent="0.2">
      <c r="A3415" s="496"/>
      <c r="D3415" s="496"/>
    </row>
    <row r="3416" spans="1:4" x14ac:dyDescent="0.2">
      <c r="A3416" s="496"/>
      <c r="D3416" s="496"/>
    </row>
    <row r="3417" spans="1:4" x14ac:dyDescent="0.2">
      <c r="A3417" s="496"/>
      <c r="D3417" s="496"/>
    </row>
    <row r="3418" spans="1:4" x14ac:dyDescent="0.2">
      <c r="A3418" s="496"/>
      <c r="D3418" s="496"/>
    </row>
    <row r="3419" spans="1:4" x14ac:dyDescent="0.2">
      <c r="A3419" s="496"/>
      <c r="D3419" s="496"/>
    </row>
    <row r="3420" spans="1:4" x14ac:dyDescent="0.2">
      <c r="A3420" s="496"/>
      <c r="D3420" s="496"/>
    </row>
    <row r="3421" spans="1:4" x14ac:dyDescent="0.2">
      <c r="A3421" s="496"/>
      <c r="D3421" s="496"/>
    </row>
    <row r="3422" spans="1:4" x14ac:dyDescent="0.2">
      <c r="A3422" s="496"/>
      <c r="D3422" s="496"/>
    </row>
    <row r="3423" spans="1:4" x14ac:dyDescent="0.2">
      <c r="A3423" s="496"/>
      <c r="D3423" s="496"/>
    </row>
    <row r="3424" spans="1:4" x14ac:dyDescent="0.2">
      <c r="A3424" s="496"/>
      <c r="D3424" s="496"/>
    </row>
    <row r="3425" spans="1:4" x14ac:dyDescent="0.2">
      <c r="A3425" s="496"/>
      <c r="D3425" s="496"/>
    </row>
    <row r="3426" spans="1:4" x14ac:dyDescent="0.2">
      <c r="A3426" s="496"/>
      <c r="D3426" s="496"/>
    </row>
    <row r="3427" spans="1:4" x14ac:dyDescent="0.2">
      <c r="A3427" s="496"/>
      <c r="D3427" s="496"/>
    </row>
    <row r="3428" spans="1:4" x14ac:dyDescent="0.2">
      <c r="A3428" s="496"/>
      <c r="D3428" s="496"/>
    </row>
    <row r="3429" spans="1:4" x14ac:dyDescent="0.2">
      <c r="A3429" s="496"/>
      <c r="D3429" s="496"/>
    </row>
    <row r="3430" spans="1:4" x14ac:dyDescent="0.2">
      <c r="A3430" s="496"/>
      <c r="D3430" s="496"/>
    </row>
    <row r="3431" spans="1:4" x14ac:dyDescent="0.2">
      <c r="A3431" s="496"/>
      <c r="D3431" s="496"/>
    </row>
    <row r="3432" spans="1:4" x14ac:dyDescent="0.2">
      <c r="A3432" s="496"/>
      <c r="D3432" s="496"/>
    </row>
    <row r="3433" spans="1:4" x14ac:dyDescent="0.2">
      <c r="A3433" s="496"/>
      <c r="D3433" s="496"/>
    </row>
    <row r="3434" spans="1:4" x14ac:dyDescent="0.2">
      <c r="A3434" s="496"/>
      <c r="D3434" s="496"/>
    </row>
    <row r="3435" spans="1:4" x14ac:dyDescent="0.2">
      <c r="A3435" s="496"/>
      <c r="D3435" s="496"/>
    </row>
    <row r="3436" spans="1:4" x14ac:dyDescent="0.2">
      <c r="A3436" s="496"/>
      <c r="D3436" s="496"/>
    </row>
    <row r="3437" spans="1:4" x14ac:dyDescent="0.2">
      <c r="A3437" s="496"/>
      <c r="D3437" s="496"/>
    </row>
    <row r="3438" spans="1:4" x14ac:dyDescent="0.2">
      <c r="A3438" s="496"/>
      <c r="D3438" s="496"/>
    </row>
    <row r="3439" spans="1:4" x14ac:dyDescent="0.2">
      <c r="A3439" s="496"/>
      <c r="D3439" s="496"/>
    </row>
    <row r="3440" spans="1:4" x14ac:dyDescent="0.2">
      <c r="A3440" s="496"/>
      <c r="D3440" s="496"/>
    </row>
    <row r="3441" spans="1:4" x14ac:dyDescent="0.2">
      <c r="A3441" s="496"/>
      <c r="D3441" s="496"/>
    </row>
    <row r="3442" spans="1:4" x14ac:dyDescent="0.2">
      <c r="A3442" s="496"/>
      <c r="D3442" s="496"/>
    </row>
    <row r="3443" spans="1:4" x14ac:dyDescent="0.2">
      <c r="A3443" s="496"/>
      <c r="D3443" s="496"/>
    </row>
    <row r="3444" spans="1:4" x14ac:dyDescent="0.2">
      <c r="A3444" s="496"/>
      <c r="D3444" s="496"/>
    </row>
    <row r="3445" spans="1:4" x14ac:dyDescent="0.2">
      <c r="A3445" s="496"/>
      <c r="D3445" s="496"/>
    </row>
    <row r="3446" spans="1:4" x14ac:dyDescent="0.2">
      <c r="A3446" s="496"/>
      <c r="D3446" s="496"/>
    </row>
    <row r="3447" spans="1:4" x14ac:dyDescent="0.2">
      <c r="A3447" s="496"/>
      <c r="D3447" s="496"/>
    </row>
    <row r="3448" spans="1:4" x14ac:dyDescent="0.2">
      <c r="A3448" s="496"/>
      <c r="D3448" s="496"/>
    </row>
    <row r="3449" spans="1:4" x14ac:dyDescent="0.2">
      <c r="A3449" s="496"/>
      <c r="D3449" s="496"/>
    </row>
    <row r="3450" spans="1:4" x14ac:dyDescent="0.2">
      <c r="A3450" s="496"/>
      <c r="D3450" s="496"/>
    </row>
    <row r="3451" spans="1:4" x14ac:dyDescent="0.2">
      <c r="A3451" s="496"/>
      <c r="D3451" s="496"/>
    </row>
    <row r="3452" spans="1:4" x14ac:dyDescent="0.2">
      <c r="A3452" s="496"/>
      <c r="D3452" s="496"/>
    </row>
    <row r="3453" spans="1:4" x14ac:dyDescent="0.2">
      <c r="A3453" s="496"/>
      <c r="D3453" s="496"/>
    </row>
    <row r="3454" spans="1:4" x14ac:dyDescent="0.2">
      <c r="A3454" s="496"/>
      <c r="D3454" s="496"/>
    </row>
    <row r="3455" spans="1:4" x14ac:dyDescent="0.2">
      <c r="A3455" s="496"/>
      <c r="D3455" s="496"/>
    </row>
    <row r="3456" spans="1:4" x14ac:dyDescent="0.2">
      <c r="A3456" s="496"/>
      <c r="D3456" s="496"/>
    </row>
    <row r="3457" spans="1:4" x14ac:dyDescent="0.2">
      <c r="A3457" s="496"/>
      <c r="D3457" s="496"/>
    </row>
    <row r="3458" spans="1:4" x14ac:dyDescent="0.2">
      <c r="A3458" s="496"/>
      <c r="D3458" s="496"/>
    </row>
    <row r="3459" spans="1:4" x14ac:dyDescent="0.2">
      <c r="A3459" s="496"/>
      <c r="D3459" s="496"/>
    </row>
    <row r="3460" spans="1:4" x14ac:dyDescent="0.2">
      <c r="A3460" s="496"/>
      <c r="D3460" s="496"/>
    </row>
    <row r="3461" spans="1:4" x14ac:dyDescent="0.2">
      <c r="A3461" s="496"/>
      <c r="D3461" s="496"/>
    </row>
    <row r="3462" spans="1:4" x14ac:dyDescent="0.2">
      <c r="A3462" s="496"/>
      <c r="D3462" s="496"/>
    </row>
    <row r="3463" spans="1:4" x14ac:dyDescent="0.2">
      <c r="A3463" s="496"/>
      <c r="D3463" s="496"/>
    </row>
    <row r="3464" spans="1:4" x14ac:dyDescent="0.2">
      <c r="A3464" s="496"/>
      <c r="D3464" s="496"/>
    </row>
    <row r="3465" spans="1:4" x14ac:dyDescent="0.2">
      <c r="A3465" s="496"/>
      <c r="D3465" s="496"/>
    </row>
    <row r="3466" spans="1:4" x14ac:dyDescent="0.2">
      <c r="A3466" s="496"/>
      <c r="D3466" s="496"/>
    </row>
    <row r="3467" spans="1:4" x14ac:dyDescent="0.2">
      <c r="A3467" s="496"/>
      <c r="D3467" s="496"/>
    </row>
    <row r="3468" spans="1:4" x14ac:dyDescent="0.2">
      <c r="A3468" s="496"/>
      <c r="D3468" s="496"/>
    </row>
    <row r="3469" spans="1:4" x14ac:dyDescent="0.2">
      <c r="A3469" s="496"/>
      <c r="D3469" s="496"/>
    </row>
    <row r="3470" spans="1:4" x14ac:dyDescent="0.2">
      <c r="A3470" s="496"/>
      <c r="D3470" s="496"/>
    </row>
    <row r="3471" spans="1:4" x14ac:dyDescent="0.2">
      <c r="A3471" s="496"/>
      <c r="D3471" s="496"/>
    </row>
    <row r="3472" spans="1:4" x14ac:dyDescent="0.2">
      <c r="A3472" s="496"/>
      <c r="D3472" s="496"/>
    </row>
    <row r="3473" spans="1:4" x14ac:dyDescent="0.2">
      <c r="A3473" s="496"/>
      <c r="D3473" s="496"/>
    </row>
    <row r="3474" spans="1:4" x14ac:dyDescent="0.2">
      <c r="A3474" s="496"/>
      <c r="D3474" s="496"/>
    </row>
    <row r="3475" spans="1:4" x14ac:dyDescent="0.2">
      <c r="A3475" s="496"/>
      <c r="D3475" s="496"/>
    </row>
    <row r="3476" spans="1:4" x14ac:dyDescent="0.2">
      <c r="A3476" s="496"/>
      <c r="D3476" s="496"/>
    </row>
    <row r="3477" spans="1:4" x14ac:dyDescent="0.2">
      <c r="A3477" s="496"/>
      <c r="D3477" s="496"/>
    </row>
    <row r="3478" spans="1:4" x14ac:dyDescent="0.2">
      <c r="A3478" s="496"/>
      <c r="D3478" s="496"/>
    </row>
    <row r="3479" spans="1:4" x14ac:dyDescent="0.2">
      <c r="A3479" s="496"/>
      <c r="D3479" s="496"/>
    </row>
    <row r="3480" spans="1:4" x14ac:dyDescent="0.2">
      <c r="A3480" s="496"/>
      <c r="D3480" s="496"/>
    </row>
    <row r="3481" spans="1:4" x14ac:dyDescent="0.2">
      <c r="A3481" s="496"/>
      <c r="D3481" s="496"/>
    </row>
    <row r="3482" spans="1:4" x14ac:dyDescent="0.2">
      <c r="A3482" s="496"/>
      <c r="D3482" s="496"/>
    </row>
    <row r="3483" spans="1:4" x14ac:dyDescent="0.2">
      <c r="A3483" s="496"/>
      <c r="D3483" s="496"/>
    </row>
    <row r="3484" spans="1:4" x14ac:dyDescent="0.2">
      <c r="A3484" s="496"/>
      <c r="D3484" s="496"/>
    </row>
    <row r="3485" spans="1:4" x14ac:dyDescent="0.2">
      <c r="A3485" s="496"/>
      <c r="D3485" s="496"/>
    </row>
    <row r="3486" spans="1:4" x14ac:dyDescent="0.2">
      <c r="A3486" s="496"/>
      <c r="D3486" s="496"/>
    </row>
    <row r="3487" spans="1:4" x14ac:dyDescent="0.2">
      <c r="A3487" s="496"/>
      <c r="D3487" s="496"/>
    </row>
    <row r="3488" spans="1:4" x14ac:dyDescent="0.2">
      <c r="A3488" s="496"/>
      <c r="D3488" s="496"/>
    </row>
    <row r="3489" spans="1:4" x14ac:dyDescent="0.2">
      <c r="A3489" s="496"/>
      <c r="D3489" s="496"/>
    </row>
    <row r="3490" spans="1:4" x14ac:dyDescent="0.2">
      <c r="A3490" s="496"/>
      <c r="D3490" s="496"/>
    </row>
    <row r="3491" spans="1:4" x14ac:dyDescent="0.2">
      <c r="A3491" s="496"/>
      <c r="D3491" s="496"/>
    </row>
    <row r="3492" spans="1:4" x14ac:dyDescent="0.2">
      <c r="A3492" s="496"/>
      <c r="D3492" s="496"/>
    </row>
    <row r="3493" spans="1:4" x14ac:dyDescent="0.2">
      <c r="A3493" s="496"/>
      <c r="D3493" s="496"/>
    </row>
    <row r="3494" spans="1:4" x14ac:dyDescent="0.2">
      <c r="A3494" s="496"/>
      <c r="D3494" s="496"/>
    </row>
    <row r="3495" spans="1:4" x14ac:dyDescent="0.2">
      <c r="A3495" s="496"/>
      <c r="D3495" s="496"/>
    </row>
    <row r="3496" spans="1:4" x14ac:dyDescent="0.2">
      <c r="A3496" s="496"/>
      <c r="D3496" s="496"/>
    </row>
    <row r="3497" spans="1:4" x14ac:dyDescent="0.2">
      <c r="A3497" s="496"/>
      <c r="D3497" s="496"/>
    </row>
    <row r="3498" spans="1:4" x14ac:dyDescent="0.2">
      <c r="A3498" s="496"/>
      <c r="D3498" s="496"/>
    </row>
    <row r="3499" spans="1:4" x14ac:dyDescent="0.2">
      <c r="A3499" s="496"/>
      <c r="D3499" s="496"/>
    </row>
    <row r="3500" spans="1:4" x14ac:dyDescent="0.2">
      <c r="A3500" s="496"/>
      <c r="D3500" s="496"/>
    </row>
    <row r="3501" spans="1:4" x14ac:dyDescent="0.2">
      <c r="A3501" s="496"/>
      <c r="D3501" s="496"/>
    </row>
    <row r="3502" spans="1:4" x14ac:dyDescent="0.2">
      <c r="A3502" s="496"/>
      <c r="D3502" s="496"/>
    </row>
    <row r="3503" spans="1:4" x14ac:dyDescent="0.2">
      <c r="A3503" s="496"/>
      <c r="D3503" s="496"/>
    </row>
    <row r="3504" spans="1:4" x14ac:dyDescent="0.2">
      <c r="A3504" s="496"/>
      <c r="D3504" s="496"/>
    </row>
    <row r="3505" spans="1:4" x14ac:dyDescent="0.2">
      <c r="A3505" s="496"/>
      <c r="D3505" s="496"/>
    </row>
    <row r="3506" spans="1:4" x14ac:dyDescent="0.2">
      <c r="A3506" s="496"/>
      <c r="D3506" s="496"/>
    </row>
    <row r="3507" spans="1:4" x14ac:dyDescent="0.2">
      <c r="A3507" s="496"/>
      <c r="D3507" s="496"/>
    </row>
    <row r="3508" spans="1:4" x14ac:dyDescent="0.2">
      <c r="A3508" s="496"/>
      <c r="D3508" s="496"/>
    </row>
    <row r="3509" spans="1:4" x14ac:dyDescent="0.2">
      <c r="A3509" s="496"/>
      <c r="D3509" s="496"/>
    </row>
    <row r="3510" spans="1:4" x14ac:dyDescent="0.2">
      <c r="A3510" s="496"/>
      <c r="D3510" s="496"/>
    </row>
    <row r="3511" spans="1:4" x14ac:dyDescent="0.2">
      <c r="A3511" s="496"/>
      <c r="D3511" s="496"/>
    </row>
    <row r="3512" spans="1:4" x14ac:dyDescent="0.2">
      <c r="A3512" s="496"/>
      <c r="D3512" s="496"/>
    </row>
    <row r="3513" spans="1:4" x14ac:dyDescent="0.2">
      <c r="A3513" s="496"/>
      <c r="D3513" s="496"/>
    </row>
    <row r="3514" spans="1:4" x14ac:dyDescent="0.2">
      <c r="A3514" s="496"/>
      <c r="D3514" s="496"/>
    </row>
    <row r="3515" spans="1:4" x14ac:dyDescent="0.2">
      <c r="A3515" s="496"/>
      <c r="D3515" s="496"/>
    </row>
    <row r="3516" spans="1:4" x14ac:dyDescent="0.2">
      <c r="A3516" s="496"/>
      <c r="D3516" s="496"/>
    </row>
    <row r="3517" spans="1:4" x14ac:dyDescent="0.2">
      <c r="A3517" s="496"/>
      <c r="D3517" s="496"/>
    </row>
    <row r="3518" spans="1:4" x14ac:dyDescent="0.2">
      <c r="A3518" s="496"/>
      <c r="D3518" s="496"/>
    </row>
    <row r="3519" spans="1:4" x14ac:dyDescent="0.2">
      <c r="A3519" s="496"/>
      <c r="D3519" s="496"/>
    </row>
    <row r="3520" spans="1:4" x14ac:dyDescent="0.2">
      <c r="A3520" s="496"/>
      <c r="D3520" s="496"/>
    </row>
    <row r="3521" spans="1:4" x14ac:dyDescent="0.2">
      <c r="A3521" s="496"/>
      <c r="D3521" s="496"/>
    </row>
    <row r="3522" spans="1:4" x14ac:dyDescent="0.2">
      <c r="A3522" s="496"/>
      <c r="D3522" s="496"/>
    </row>
    <row r="3523" spans="1:4" x14ac:dyDescent="0.2">
      <c r="A3523" s="496"/>
      <c r="D3523" s="496"/>
    </row>
    <row r="3524" spans="1:4" x14ac:dyDescent="0.2">
      <c r="A3524" s="496"/>
      <c r="D3524" s="496"/>
    </row>
    <row r="3525" spans="1:4" x14ac:dyDescent="0.2">
      <c r="A3525" s="496"/>
      <c r="D3525" s="496"/>
    </row>
    <row r="3526" spans="1:4" x14ac:dyDescent="0.2">
      <c r="A3526" s="496"/>
      <c r="D3526" s="496"/>
    </row>
    <row r="3527" spans="1:4" x14ac:dyDescent="0.2">
      <c r="A3527" s="496"/>
      <c r="D3527" s="496"/>
    </row>
    <row r="3528" spans="1:4" x14ac:dyDescent="0.2">
      <c r="A3528" s="496"/>
      <c r="D3528" s="496"/>
    </row>
    <row r="3529" spans="1:4" x14ac:dyDescent="0.2">
      <c r="A3529" s="496"/>
      <c r="D3529" s="496"/>
    </row>
    <row r="3530" spans="1:4" x14ac:dyDescent="0.2">
      <c r="A3530" s="496"/>
      <c r="D3530" s="496"/>
    </row>
    <row r="3531" spans="1:4" x14ac:dyDescent="0.2">
      <c r="A3531" s="496"/>
      <c r="D3531" s="496"/>
    </row>
    <row r="3532" spans="1:4" x14ac:dyDescent="0.2">
      <c r="A3532" s="496"/>
      <c r="D3532" s="496"/>
    </row>
    <row r="3533" spans="1:4" x14ac:dyDescent="0.2">
      <c r="A3533" s="496"/>
      <c r="D3533" s="496"/>
    </row>
    <row r="3534" spans="1:4" x14ac:dyDescent="0.2">
      <c r="A3534" s="496"/>
      <c r="D3534" s="496"/>
    </row>
    <row r="3535" spans="1:4" x14ac:dyDescent="0.2">
      <c r="A3535" s="496"/>
      <c r="D3535" s="496"/>
    </row>
    <row r="3536" spans="1:4" x14ac:dyDescent="0.2">
      <c r="A3536" s="496"/>
      <c r="D3536" s="496"/>
    </row>
    <row r="3537" spans="1:4" x14ac:dyDescent="0.2">
      <c r="A3537" s="496"/>
      <c r="D3537" s="496"/>
    </row>
    <row r="3538" spans="1:4" x14ac:dyDescent="0.2">
      <c r="A3538" s="496"/>
      <c r="D3538" s="496"/>
    </row>
    <row r="3539" spans="1:4" x14ac:dyDescent="0.2">
      <c r="A3539" s="496"/>
      <c r="D3539" s="496"/>
    </row>
    <row r="3540" spans="1:4" x14ac:dyDescent="0.2">
      <c r="A3540" s="496"/>
      <c r="D3540" s="496"/>
    </row>
    <row r="3541" spans="1:4" x14ac:dyDescent="0.2">
      <c r="A3541" s="496"/>
      <c r="D3541" s="496"/>
    </row>
    <row r="3542" spans="1:4" x14ac:dyDescent="0.2">
      <c r="A3542" s="496"/>
      <c r="D3542" s="496"/>
    </row>
    <row r="3543" spans="1:4" x14ac:dyDescent="0.2">
      <c r="A3543" s="496"/>
      <c r="D3543" s="496"/>
    </row>
    <row r="3544" spans="1:4" x14ac:dyDescent="0.2">
      <c r="A3544" s="496"/>
      <c r="D3544" s="496"/>
    </row>
    <row r="3545" spans="1:4" x14ac:dyDescent="0.2">
      <c r="A3545" s="496"/>
      <c r="D3545" s="496"/>
    </row>
    <row r="3546" spans="1:4" x14ac:dyDescent="0.2">
      <c r="A3546" s="496"/>
      <c r="D3546" s="496"/>
    </row>
    <row r="3547" spans="1:4" x14ac:dyDescent="0.2">
      <c r="A3547" s="496"/>
      <c r="D3547" s="496"/>
    </row>
    <row r="3548" spans="1:4" x14ac:dyDescent="0.2">
      <c r="A3548" s="496"/>
      <c r="D3548" s="496"/>
    </row>
    <row r="3549" spans="1:4" x14ac:dyDescent="0.2">
      <c r="A3549" s="496"/>
      <c r="D3549" s="496"/>
    </row>
    <row r="3550" spans="1:4" x14ac:dyDescent="0.2">
      <c r="A3550" s="496"/>
      <c r="D3550" s="496"/>
    </row>
    <row r="3551" spans="1:4" x14ac:dyDescent="0.2">
      <c r="A3551" s="496"/>
      <c r="D3551" s="496"/>
    </row>
    <row r="3552" spans="1:4" x14ac:dyDescent="0.2">
      <c r="A3552" s="496"/>
      <c r="D3552" s="496"/>
    </row>
    <row r="3553" spans="1:4" x14ac:dyDescent="0.2">
      <c r="A3553" s="496"/>
      <c r="D3553" s="496"/>
    </row>
    <row r="3554" spans="1:4" x14ac:dyDescent="0.2">
      <c r="A3554" s="496"/>
      <c r="D3554" s="496"/>
    </row>
    <row r="3555" spans="1:4" x14ac:dyDescent="0.2">
      <c r="A3555" s="496"/>
      <c r="D3555" s="496"/>
    </row>
    <row r="3556" spans="1:4" x14ac:dyDescent="0.2">
      <c r="A3556" s="496"/>
      <c r="D3556" s="496"/>
    </row>
    <row r="3557" spans="1:4" x14ac:dyDescent="0.2">
      <c r="A3557" s="496"/>
      <c r="D3557" s="496"/>
    </row>
    <row r="3558" spans="1:4" x14ac:dyDescent="0.2">
      <c r="A3558" s="496"/>
      <c r="D3558" s="496"/>
    </row>
    <row r="3559" spans="1:4" x14ac:dyDescent="0.2">
      <c r="A3559" s="496"/>
      <c r="D3559" s="496"/>
    </row>
    <row r="3560" spans="1:4" x14ac:dyDescent="0.2">
      <c r="A3560" s="496"/>
      <c r="D3560" s="496"/>
    </row>
    <row r="3561" spans="1:4" x14ac:dyDescent="0.2">
      <c r="A3561" s="496"/>
      <c r="D3561" s="496"/>
    </row>
    <row r="3562" spans="1:4" x14ac:dyDescent="0.2">
      <c r="A3562" s="496"/>
      <c r="D3562" s="496"/>
    </row>
    <row r="3563" spans="1:4" x14ac:dyDescent="0.2">
      <c r="A3563" s="496"/>
      <c r="D3563" s="496"/>
    </row>
    <row r="3564" spans="1:4" x14ac:dyDescent="0.2">
      <c r="A3564" s="496"/>
      <c r="D3564" s="496"/>
    </row>
    <row r="3565" spans="1:4" x14ac:dyDescent="0.2">
      <c r="A3565" s="496"/>
      <c r="D3565" s="496"/>
    </row>
    <row r="3566" spans="1:4" x14ac:dyDescent="0.2">
      <c r="A3566" s="496"/>
      <c r="D3566" s="496"/>
    </row>
    <row r="3567" spans="1:4" x14ac:dyDescent="0.2">
      <c r="A3567" s="496"/>
      <c r="D3567" s="496"/>
    </row>
    <row r="3568" spans="1:4" x14ac:dyDescent="0.2">
      <c r="A3568" s="496"/>
      <c r="D3568" s="496"/>
    </row>
    <row r="3569" spans="1:4" x14ac:dyDescent="0.2">
      <c r="A3569" s="496"/>
      <c r="D3569" s="496"/>
    </row>
    <row r="3570" spans="1:4" x14ac:dyDescent="0.2">
      <c r="A3570" s="496"/>
      <c r="D3570" s="496"/>
    </row>
    <row r="3571" spans="1:4" x14ac:dyDescent="0.2">
      <c r="A3571" s="496"/>
      <c r="D3571" s="496"/>
    </row>
    <row r="3572" spans="1:4" x14ac:dyDescent="0.2">
      <c r="A3572" s="496"/>
      <c r="D3572" s="496"/>
    </row>
    <row r="3573" spans="1:4" x14ac:dyDescent="0.2">
      <c r="A3573" s="496"/>
      <c r="D3573" s="496"/>
    </row>
    <row r="3574" spans="1:4" x14ac:dyDescent="0.2">
      <c r="A3574" s="496"/>
      <c r="D3574" s="496"/>
    </row>
    <row r="3575" spans="1:4" x14ac:dyDescent="0.2">
      <c r="A3575" s="496"/>
      <c r="D3575" s="496"/>
    </row>
    <row r="3576" spans="1:4" x14ac:dyDescent="0.2">
      <c r="A3576" s="496"/>
      <c r="D3576" s="496"/>
    </row>
    <row r="3577" spans="1:4" x14ac:dyDescent="0.2">
      <c r="A3577" s="496"/>
      <c r="D3577" s="496"/>
    </row>
    <row r="3578" spans="1:4" x14ac:dyDescent="0.2">
      <c r="A3578" s="496"/>
      <c r="D3578" s="496"/>
    </row>
    <row r="3579" spans="1:4" x14ac:dyDescent="0.2">
      <c r="A3579" s="496"/>
      <c r="D3579" s="496"/>
    </row>
    <row r="3580" spans="1:4" x14ac:dyDescent="0.2">
      <c r="A3580" s="496"/>
      <c r="D3580" s="496"/>
    </row>
    <row r="3581" spans="1:4" x14ac:dyDescent="0.2">
      <c r="A3581" s="496"/>
      <c r="D3581" s="496"/>
    </row>
    <row r="3582" spans="1:4" x14ac:dyDescent="0.2">
      <c r="A3582" s="496"/>
      <c r="D3582" s="496"/>
    </row>
    <row r="3583" spans="1:4" x14ac:dyDescent="0.2">
      <c r="A3583" s="496"/>
      <c r="D3583" s="496"/>
    </row>
    <row r="3584" spans="1:4" x14ac:dyDescent="0.2">
      <c r="A3584" s="496"/>
      <c r="D3584" s="496"/>
    </row>
    <row r="3585" spans="1:4" x14ac:dyDescent="0.2">
      <c r="A3585" s="496"/>
      <c r="D3585" s="496"/>
    </row>
    <row r="3586" spans="1:4" x14ac:dyDescent="0.2">
      <c r="A3586" s="496"/>
      <c r="D3586" s="496"/>
    </row>
    <row r="3587" spans="1:4" x14ac:dyDescent="0.2">
      <c r="A3587" s="496"/>
      <c r="D3587" s="496"/>
    </row>
    <row r="3588" spans="1:4" x14ac:dyDescent="0.2">
      <c r="A3588" s="496"/>
      <c r="D3588" s="496"/>
    </row>
    <row r="3589" spans="1:4" x14ac:dyDescent="0.2">
      <c r="A3589" s="496"/>
      <c r="D3589" s="496"/>
    </row>
    <row r="3590" spans="1:4" x14ac:dyDescent="0.2">
      <c r="A3590" s="496"/>
      <c r="D3590" s="496"/>
    </row>
    <row r="3591" spans="1:4" x14ac:dyDescent="0.2">
      <c r="A3591" s="496"/>
      <c r="D3591" s="496"/>
    </row>
    <row r="3592" spans="1:4" x14ac:dyDescent="0.2">
      <c r="A3592" s="496"/>
      <c r="D3592" s="496"/>
    </row>
    <row r="3593" spans="1:4" x14ac:dyDescent="0.2">
      <c r="A3593" s="496"/>
      <c r="D3593" s="496"/>
    </row>
    <row r="3594" spans="1:4" x14ac:dyDescent="0.2">
      <c r="A3594" s="496"/>
      <c r="D3594" s="496"/>
    </row>
    <row r="3595" spans="1:4" x14ac:dyDescent="0.2">
      <c r="A3595" s="496"/>
      <c r="D3595" s="496"/>
    </row>
    <row r="3596" spans="1:4" x14ac:dyDescent="0.2">
      <c r="A3596" s="496"/>
      <c r="D3596" s="496"/>
    </row>
    <row r="3597" spans="1:4" x14ac:dyDescent="0.2">
      <c r="A3597" s="496"/>
      <c r="D3597" s="496"/>
    </row>
    <row r="3598" spans="1:4" x14ac:dyDescent="0.2">
      <c r="A3598" s="496"/>
      <c r="D3598" s="496"/>
    </row>
    <row r="3599" spans="1:4" x14ac:dyDescent="0.2">
      <c r="A3599" s="496"/>
      <c r="D3599" s="496"/>
    </row>
    <row r="3600" spans="1:4" x14ac:dyDescent="0.2">
      <c r="A3600" s="496"/>
      <c r="D3600" s="496"/>
    </row>
    <row r="3601" spans="1:4" x14ac:dyDescent="0.2">
      <c r="A3601" s="496"/>
      <c r="D3601" s="496"/>
    </row>
    <row r="3602" spans="1:4" x14ac:dyDescent="0.2">
      <c r="A3602" s="496"/>
      <c r="D3602" s="496"/>
    </row>
    <row r="3603" spans="1:4" x14ac:dyDescent="0.2">
      <c r="A3603" s="496"/>
      <c r="D3603" s="496"/>
    </row>
    <row r="3604" spans="1:4" x14ac:dyDescent="0.2">
      <c r="A3604" s="496"/>
      <c r="D3604" s="496"/>
    </row>
    <row r="3605" spans="1:4" x14ac:dyDescent="0.2">
      <c r="A3605" s="496"/>
      <c r="D3605" s="496"/>
    </row>
    <row r="3606" spans="1:4" x14ac:dyDescent="0.2">
      <c r="A3606" s="496"/>
      <c r="D3606" s="496"/>
    </row>
    <row r="3607" spans="1:4" x14ac:dyDescent="0.2">
      <c r="A3607" s="496"/>
      <c r="D3607" s="496"/>
    </row>
    <row r="3608" spans="1:4" x14ac:dyDescent="0.2">
      <c r="A3608" s="496"/>
      <c r="D3608" s="496"/>
    </row>
    <row r="3609" spans="1:4" x14ac:dyDescent="0.2">
      <c r="A3609" s="496"/>
      <c r="D3609" s="496"/>
    </row>
    <row r="3610" spans="1:4" x14ac:dyDescent="0.2">
      <c r="A3610" s="496"/>
      <c r="D3610" s="496"/>
    </row>
    <row r="3611" spans="1:4" x14ac:dyDescent="0.2">
      <c r="A3611" s="496"/>
      <c r="D3611" s="496"/>
    </row>
    <row r="3612" spans="1:4" x14ac:dyDescent="0.2">
      <c r="A3612" s="496"/>
      <c r="D3612" s="496"/>
    </row>
    <row r="3613" spans="1:4" x14ac:dyDescent="0.2">
      <c r="A3613" s="496"/>
      <c r="D3613" s="496"/>
    </row>
    <row r="3614" spans="1:4" x14ac:dyDescent="0.2">
      <c r="A3614" s="496"/>
      <c r="D3614" s="496"/>
    </row>
    <row r="3615" spans="1:4" x14ac:dyDescent="0.2">
      <c r="A3615" s="496"/>
      <c r="D3615" s="496"/>
    </row>
    <row r="3616" spans="1:4" x14ac:dyDescent="0.2">
      <c r="A3616" s="496"/>
      <c r="D3616" s="496"/>
    </row>
    <row r="3617" spans="1:4" x14ac:dyDescent="0.2">
      <c r="A3617" s="496"/>
      <c r="D3617" s="496"/>
    </row>
    <row r="3618" spans="1:4" x14ac:dyDescent="0.2">
      <c r="A3618" s="496"/>
      <c r="D3618" s="496"/>
    </row>
    <row r="3619" spans="1:4" x14ac:dyDescent="0.2">
      <c r="A3619" s="496"/>
      <c r="D3619" s="496"/>
    </row>
    <row r="3620" spans="1:4" x14ac:dyDescent="0.2">
      <c r="A3620" s="496"/>
      <c r="D3620" s="496"/>
    </row>
    <row r="3621" spans="1:4" x14ac:dyDescent="0.2">
      <c r="A3621" s="496"/>
      <c r="D3621" s="496"/>
    </row>
    <row r="3622" spans="1:4" x14ac:dyDescent="0.2">
      <c r="A3622" s="496"/>
      <c r="D3622" s="496"/>
    </row>
    <row r="3623" spans="1:4" x14ac:dyDescent="0.2">
      <c r="A3623" s="496"/>
      <c r="D3623" s="496"/>
    </row>
    <row r="3624" spans="1:4" x14ac:dyDescent="0.2">
      <c r="A3624" s="496"/>
      <c r="D3624" s="496"/>
    </row>
    <row r="3625" spans="1:4" x14ac:dyDescent="0.2">
      <c r="A3625" s="496"/>
      <c r="D3625" s="496"/>
    </row>
    <row r="3626" spans="1:4" x14ac:dyDescent="0.2">
      <c r="A3626" s="496"/>
      <c r="D3626" s="496"/>
    </row>
    <row r="3627" spans="1:4" x14ac:dyDescent="0.2">
      <c r="A3627" s="496"/>
      <c r="D3627" s="496"/>
    </row>
    <row r="3628" spans="1:4" x14ac:dyDescent="0.2">
      <c r="A3628" s="496"/>
      <c r="D3628" s="496"/>
    </row>
    <row r="3629" spans="1:4" x14ac:dyDescent="0.2">
      <c r="A3629" s="496"/>
      <c r="D3629" s="496"/>
    </row>
    <row r="3630" spans="1:4" x14ac:dyDescent="0.2">
      <c r="A3630" s="496"/>
      <c r="D3630" s="496"/>
    </row>
    <row r="3631" spans="1:4" x14ac:dyDescent="0.2">
      <c r="A3631" s="496"/>
      <c r="D3631" s="496"/>
    </row>
    <row r="3632" spans="1:4" x14ac:dyDescent="0.2">
      <c r="A3632" s="496"/>
      <c r="D3632" s="496"/>
    </row>
    <row r="3633" spans="1:4" x14ac:dyDescent="0.2">
      <c r="A3633" s="496"/>
      <c r="D3633" s="496"/>
    </row>
    <row r="3634" spans="1:4" x14ac:dyDescent="0.2">
      <c r="A3634" s="496"/>
      <c r="D3634" s="496"/>
    </row>
    <row r="3635" spans="1:4" x14ac:dyDescent="0.2">
      <c r="A3635" s="496"/>
      <c r="D3635" s="496"/>
    </row>
    <row r="3636" spans="1:4" x14ac:dyDescent="0.2">
      <c r="A3636" s="496"/>
      <c r="D3636" s="496"/>
    </row>
    <row r="3637" spans="1:4" x14ac:dyDescent="0.2">
      <c r="A3637" s="496"/>
      <c r="D3637" s="496"/>
    </row>
    <row r="3638" spans="1:4" x14ac:dyDescent="0.2">
      <c r="A3638" s="496"/>
      <c r="D3638" s="496"/>
    </row>
    <row r="3639" spans="1:4" x14ac:dyDescent="0.2">
      <c r="A3639" s="496"/>
      <c r="D3639" s="496"/>
    </row>
    <row r="3640" spans="1:4" x14ac:dyDescent="0.2">
      <c r="A3640" s="496"/>
      <c r="D3640" s="496"/>
    </row>
    <row r="3641" spans="1:4" x14ac:dyDescent="0.2">
      <c r="A3641" s="496"/>
      <c r="D3641" s="496"/>
    </row>
    <row r="3642" spans="1:4" x14ac:dyDescent="0.2">
      <c r="A3642" s="496"/>
      <c r="D3642" s="496"/>
    </row>
    <row r="3643" spans="1:4" x14ac:dyDescent="0.2">
      <c r="A3643" s="496"/>
      <c r="D3643" s="496"/>
    </row>
    <row r="3644" spans="1:4" x14ac:dyDescent="0.2">
      <c r="A3644" s="496"/>
      <c r="D3644" s="496"/>
    </row>
    <row r="3645" spans="1:4" x14ac:dyDescent="0.2">
      <c r="A3645" s="496"/>
      <c r="D3645" s="496"/>
    </row>
    <row r="3646" spans="1:4" x14ac:dyDescent="0.2">
      <c r="A3646" s="496"/>
      <c r="D3646" s="496"/>
    </row>
    <row r="3647" spans="1:4" x14ac:dyDescent="0.2">
      <c r="A3647" s="496"/>
      <c r="D3647" s="496"/>
    </row>
    <row r="3648" spans="1:4" x14ac:dyDescent="0.2">
      <c r="A3648" s="496"/>
      <c r="D3648" s="496"/>
    </row>
    <row r="3649" spans="1:4" x14ac:dyDescent="0.2">
      <c r="A3649" s="496"/>
      <c r="D3649" s="496"/>
    </row>
    <row r="3650" spans="1:4" x14ac:dyDescent="0.2">
      <c r="A3650" s="496"/>
      <c r="D3650" s="496"/>
    </row>
    <row r="3651" spans="1:4" x14ac:dyDescent="0.2">
      <c r="A3651" s="496"/>
      <c r="D3651" s="496"/>
    </row>
    <row r="3652" spans="1:4" x14ac:dyDescent="0.2">
      <c r="A3652" s="496"/>
      <c r="D3652" s="496"/>
    </row>
    <row r="3653" spans="1:4" x14ac:dyDescent="0.2">
      <c r="A3653" s="496"/>
      <c r="D3653" s="496"/>
    </row>
    <row r="3654" spans="1:4" x14ac:dyDescent="0.2">
      <c r="A3654" s="496"/>
      <c r="D3654" s="496"/>
    </row>
    <row r="3655" spans="1:4" x14ac:dyDescent="0.2">
      <c r="A3655" s="496"/>
      <c r="D3655" s="496"/>
    </row>
    <row r="3656" spans="1:4" x14ac:dyDescent="0.2">
      <c r="A3656" s="496"/>
      <c r="D3656" s="496"/>
    </row>
    <row r="3657" spans="1:4" x14ac:dyDescent="0.2">
      <c r="A3657" s="496"/>
      <c r="D3657" s="496"/>
    </row>
    <row r="3658" spans="1:4" x14ac:dyDescent="0.2">
      <c r="A3658" s="496"/>
      <c r="D3658" s="496"/>
    </row>
    <row r="3659" spans="1:4" x14ac:dyDescent="0.2">
      <c r="A3659" s="496"/>
      <c r="D3659" s="496"/>
    </row>
    <row r="3660" spans="1:4" x14ac:dyDescent="0.2">
      <c r="A3660" s="496"/>
      <c r="D3660" s="496"/>
    </row>
    <row r="3661" spans="1:4" x14ac:dyDescent="0.2">
      <c r="A3661" s="496"/>
      <c r="D3661" s="496"/>
    </row>
    <row r="3662" spans="1:4" x14ac:dyDescent="0.2">
      <c r="A3662" s="496"/>
      <c r="D3662" s="496"/>
    </row>
    <row r="3663" spans="1:4" x14ac:dyDescent="0.2">
      <c r="A3663" s="496"/>
      <c r="D3663" s="496"/>
    </row>
    <row r="3664" spans="1:4" x14ac:dyDescent="0.2">
      <c r="A3664" s="496"/>
      <c r="D3664" s="496"/>
    </row>
    <row r="3665" spans="1:4" x14ac:dyDescent="0.2">
      <c r="A3665" s="496"/>
      <c r="D3665" s="496"/>
    </row>
    <row r="3666" spans="1:4" x14ac:dyDescent="0.2">
      <c r="A3666" s="496"/>
      <c r="D3666" s="496"/>
    </row>
    <row r="3667" spans="1:4" x14ac:dyDescent="0.2">
      <c r="A3667" s="496"/>
      <c r="D3667" s="496"/>
    </row>
    <row r="3668" spans="1:4" x14ac:dyDescent="0.2">
      <c r="A3668" s="496"/>
      <c r="D3668" s="496"/>
    </row>
    <row r="3669" spans="1:4" x14ac:dyDescent="0.2">
      <c r="A3669" s="496"/>
      <c r="D3669" s="496"/>
    </row>
    <row r="3670" spans="1:4" x14ac:dyDescent="0.2">
      <c r="A3670" s="496"/>
      <c r="D3670" s="496"/>
    </row>
    <row r="3671" spans="1:4" x14ac:dyDescent="0.2">
      <c r="A3671" s="496"/>
      <c r="D3671" s="496"/>
    </row>
    <row r="3672" spans="1:4" x14ac:dyDescent="0.2">
      <c r="A3672" s="496"/>
      <c r="D3672" s="496"/>
    </row>
    <row r="3673" spans="1:4" x14ac:dyDescent="0.2">
      <c r="A3673" s="496"/>
      <c r="D3673" s="496"/>
    </row>
    <row r="3674" spans="1:4" x14ac:dyDescent="0.2">
      <c r="A3674" s="496"/>
      <c r="D3674" s="496"/>
    </row>
    <row r="3675" spans="1:4" x14ac:dyDescent="0.2">
      <c r="A3675" s="496"/>
      <c r="D3675" s="496"/>
    </row>
    <row r="3676" spans="1:4" x14ac:dyDescent="0.2">
      <c r="A3676" s="496"/>
      <c r="D3676" s="496"/>
    </row>
    <row r="3677" spans="1:4" x14ac:dyDescent="0.2">
      <c r="A3677" s="496"/>
      <c r="D3677" s="496"/>
    </row>
    <row r="3678" spans="1:4" x14ac:dyDescent="0.2">
      <c r="A3678" s="496"/>
      <c r="D3678" s="496"/>
    </row>
    <row r="3679" spans="1:4" x14ac:dyDescent="0.2">
      <c r="A3679" s="496"/>
      <c r="D3679" s="496"/>
    </row>
    <row r="3680" spans="1:4" x14ac:dyDescent="0.2">
      <c r="A3680" s="496"/>
      <c r="D3680" s="496"/>
    </row>
    <row r="3681" spans="1:4" x14ac:dyDescent="0.2">
      <c r="A3681" s="496"/>
      <c r="D3681" s="496"/>
    </row>
    <row r="3682" spans="1:4" x14ac:dyDescent="0.2">
      <c r="A3682" s="496"/>
      <c r="D3682" s="496"/>
    </row>
    <row r="3683" spans="1:4" x14ac:dyDescent="0.2">
      <c r="A3683" s="496"/>
      <c r="D3683" s="496"/>
    </row>
    <row r="3684" spans="1:4" x14ac:dyDescent="0.2">
      <c r="A3684" s="496"/>
      <c r="D3684" s="496"/>
    </row>
    <row r="3685" spans="1:4" x14ac:dyDescent="0.2">
      <c r="A3685" s="496"/>
      <c r="D3685" s="496"/>
    </row>
    <row r="3686" spans="1:4" x14ac:dyDescent="0.2">
      <c r="A3686" s="496"/>
      <c r="D3686" s="496"/>
    </row>
    <row r="3687" spans="1:4" x14ac:dyDescent="0.2">
      <c r="A3687" s="496"/>
      <c r="D3687" s="496"/>
    </row>
    <row r="3688" spans="1:4" x14ac:dyDescent="0.2">
      <c r="A3688" s="496"/>
      <c r="D3688" s="496"/>
    </row>
    <row r="3689" spans="1:4" x14ac:dyDescent="0.2">
      <c r="A3689" s="496"/>
      <c r="D3689" s="496"/>
    </row>
    <row r="3690" spans="1:4" x14ac:dyDescent="0.2">
      <c r="A3690" s="496"/>
      <c r="D3690" s="496"/>
    </row>
    <row r="3691" spans="1:4" x14ac:dyDescent="0.2">
      <c r="A3691" s="496"/>
      <c r="D3691" s="496"/>
    </row>
    <row r="3692" spans="1:4" x14ac:dyDescent="0.2">
      <c r="A3692" s="496"/>
      <c r="D3692" s="496"/>
    </row>
    <row r="3693" spans="1:4" x14ac:dyDescent="0.2">
      <c r="A3693" s="496"/>
      <c r="D3693" s="496"/>
    </row>
    <row r="3694" spans="1:4" x14ac:dyDescent="0.2">
      <c r="A3694" s="496"/>
      <c r="D3694" s="496"/>
    </row>
    <row r="3695" spans="1:4" x14ac:dyDescent="0.2">
      <c r="A3695" s="496"/>
      <c r="D3695" s="496"/>
    </row>
    <row r="3696" spans="1:4" x14ac:dyDescent="0.2">
      <c r="A3696" s="496"/>
      <c r="D3696" s="496"/>
    </row>
    <row r="3697" spans="1:4" x14ac:dyDescent="0.2">
      <c r="A3697" s="496"/>
      <c r="D3697" s="496"/>
    </row>
    <row r="3698" spans="1:4" x14ac:dyDescent="0.2">
      <c r="A3698" s="496"/>
      <c r="D3698" s="496"/>
    </row>
    <row r="3699" spans="1:4" x14ac:dyDescent="0.2">
      <c r="A3699" s="496"/>
      <c r="D3699" s="496"/>
    </row>
    <row r="3700" spans="1:4" x14ac:dyDescent="0.2">
      <c r="A3700" s="496"/>
      <c r="D3700" s="496"/>
    </row>
    <row r="3701" spans="1:4" x14ac:dyDescent="0.2">
      <c r="A3701" s="496"/>
      <c r="D3701" s="496"/>
    </row>
    <row r="3702" spans="1:4" x14ac:dyDescent="0.2">
      <c r="A3702" s="496"/>
      <c r="D3702" s="496"/>
    </row>
    <row r="3703" spans="1:4" x14ac:dyDescent="0.2">
      <c r="A3703" s="496"/>
      <c r="D3703" s="496"/>
    </row>
    <row r="3704" spans="1:4" x14ac:dyDescent="0.2">
      <c r="A3704" s="496"/>
      <c r="D3704" s="496"/>
    </row>
    <row r="3705" spans="1:4" x14ac:dyDescent="0.2">
      <c r="A3705" s="496"/>
      <c r="D3705" s="496"/>
    </row>
    <row r="3706" spans="1:4" x14ac:dyDescent="0.2">
      <c r="A3706" s="496"/>
      <c r="D3706" s="496"/>
    </row>
    <row r="3707" spans="1:4" x14ac:dyDescent="0.2">
      <c r="A3707" s="496"/>
      <c r="D3707" s="496"/>
    </row>
    <row r="3708" spans="1:4" x14ac:dyDescent="0.2">
      <c r="A3708" s="496"/>
      <c r="D3708" s="496"/>
    </row>
    <row r="3709" spans="1:4" x14ac:dyDescent="0.2">
      <c r="A3709" s="496"/>
      <c r="D3709" s="496"/>
    </row>
    <row r="3710" spans="1:4" x14ac:dyDescent="0.2">
      <c r="A3710" s="496"/>
      <c r="D3710" s="496"/>
    </row>
    <row r="3711" spans="1:4" x14ac:dyDescent="0.2">
      <c r="A3711" s="496"/>
      <c r="D3711" s="496"/>
    </row>
    <row r="3712" spans="1:4" x14ac:dyDescent="0.2">
      <c r="A3712" s="496"/>
      <c r="D3712" s="496"/>
    </row>
    <row r="3713" spans="1:4" x14ac:dyDescent="0.2">
      <c r="A3713" s="496"/>
      <c r="D3713" s="496"/>
    </row>
    <row r="3714" spans="1:4" x14ac:dyDescent="0.2">
      <c r="A3714" s="496"/>
      <c r="D3714" s="496"/>
    </row>
    <row r="3715" spans="1:4" x14ac:dyDescent="0.2">
      <c r="A3715" s="496"/>
      <c r="D3715" s="496"/>
    </row>
    <row r="3716" spans="1:4" x14ac:dyDescent="0.2">
      <c r="A3716" s="496"/>
      <c r="D3716" s="496"/>
    </row>
    <row r="3717" spans="1:4" x14ac:dyDescent="0.2">
      <c r="A3717" s="496"/>
      <c r="D3717" s="496"/>
    </row>
    <row r="3718" spans="1:4" x14ac:dyDescent="0.2">
      <c r="A3718" s="496"/>
      <c r="D3718" s="496"/>
    </row>
    <row r="3719" spans="1:4" x14ac:dyDescent="0.2">
      <c r="A3719" s="496"/>
      <c r="D3719" s="496"/>
    </row>
    <row r="3720" spans="1:4" x14ac:dyDescent="0.2">
      <c r="A3720" s="496"/>
      <c r="D3720" s="496"/>
    </row>
    <row r="3721" spans="1:4" x14ac:dyDescent="0.2">
      <c r="A3721" s="496"/>
      <c r="D3721" s="496"/>
    </row>
    <row r="3722" spans="1:4" x14ac:dyDescent="0.2">
      <c r="A3722" s="496"/>
      <c r="D3722" s="496"/>
    </row>
    <row r="3723" spans="1:4" x14ac:dyDescent="0.2">
      <c r="A3723" s="496"/>
      <c r="D3723" s="496"/>
    </row>
    <row r="3724" spans="1:4" x14ac:dyDescent="0.2">
      <c r="A3724" s="496"/>
      <c r="D3724" s="496"/>
    </row>
    <row r="3725" spans="1:4" x14ac:dyDescent="0.2">
      <c r="A3725" s="496"/>
      <c r="D3725" s="496"/>
    </row>
    <row r="3726" spans="1:4" x14ac:dyDescent="0.2">
      <c r="A3726" s="496"/>
      <c r="D3726" s="496"/>
    </row>
    <row r="3727" spans="1:4" x14ac:dyDescent="0.2">
      <c r="A3727" s="496"/>
      <c r="D3727" s="496"/>
    </row>
    <row r="3728" spans="1:4" x14ac:dyDescent="0.2">
      <c r="A3728" s="496"/>
      <c r="D3728" s="496"/>
    </row>
    <row r="3729" spans="1:4" x14ac:dyDescent="0.2">
      <c r="A3729" s="496"/>
      <c r="D3729" s="496"/>
    </row>
    <row r="3730" spans="1:4" x14ac:dyDescent="0.2">
      <c r="A3730" s="496"/>
      <c r="D3730" s="496"/>
    </row>
    <row r="3731" spans="1:4" x14ac:dyDescent="0.2">
      <c r="A3731" s="496"/>
      <c r="D3731" s="496"/>
    </row>
    <row r="3732" spans="1:4" x14ac:dyDescent="0.2">
      <c r="A3732" s="496"/>
      <c r="D3732" s="496"/>
    </row>
    <row r="3733" spans="1:4" x14ac:dyDescent="0.2">
      <c r="A3733" s="496"/>
      <c r="D3733" s="496"/>
    </row>
    <row r="3734" spans="1:4" x14ac:dyDescent="0.2">
      <c r="A3734" s="496"/>
      <c r="D3734" s="496"/>
    </row>
    <row r="3735" spans="1:4" x14ac:dyDescent="0.2">
      <c r="A3735" s="496"/>
      <c r="D3735" s="496"/>
    </row>
    <row r="3736" spans="1:4" x14ac:dyDescent="0.2">
      <c r="A3736" s="496"/>
      <c r="D3736" s="496"/>
    </row>
    <row r="3737" spans="1:4" x14ac:dyDescent="0.2">
      <c r="A3737" s="496"/>
      <c r="D3737" s="496"/>
    </row>
    <row r="3738" spans="1:4" x14ac:dyDescent="0.2">
      <c r="A3738" s="496"/>
      <c r="D3738" s="496"/>
    </row>
    <row r="3739" spans="1:4" x14ac:dyDescent="0.2">
      <c r="A3739" s="496"/>
      <c r="D3739" s="496"/>
    </row>
    <row r="3740" spans="1:4" x14ac:dyDescent="0.2">
      <c r="A3740" s="496"/>
      <c r="D3740" s="496"/>
    </row>
    <row r="3741" spans="1:4" x14ac:dyDescent="0.2">
      <c r="A3741" s="496"/>
      <c r="D3741" s="496"/>
    </row>
    <row r="3742" spans="1:4" x14ac:dyDescent="0.2">
      <c r="A3742" s="496"/>
      <c r="D3742" s="496"/>
    </row>
    <row r="3743" spans="1:4" x14ac:dyDescent="0.2">
      <c r="A3743" s="496"/>
      <c r="D3743" s="496"/>
    </row>
    <row r="3744" spans="1:4" x14ac:dyDescent="0.2">
      <c r="A3744" s="496"/>
      <c r="D3744" s="496"/>
    </row>
    <row r="3745" spans="1:4" x14ac:dyDescent="0.2">
      <c r="A3745" s="496"/>
      <c r="D3745" s="496"/>
    </row>
    <row r="3746" spans="1:4" x14ac:dyDescent="0.2">
      <c r="A3746" s="496"/>
      <c r="D3746" s="496"/>
    </row>
    <row r="3747" spans="1:4" x14ac:dyDescent="0.2">
      <c r="A3747" s="496"/>
      <c r="D3747" s="496"/>
    </row>
    <row r="3748" spans="1:4" x14ac:dyDescent="0.2">
      <c r="A3748" s="496"/>
      <c r="D3748" s="496"/>
    </row>
    <row r="3749" spans="1:4" x14ac:dyDescent="0.2">
      <c r="A3749" s="496"/>
      <c r="D3749" s="496"/>
    </row>
    <row r="3750" spans="1:4" x14ac:dyDescent="0.2">
      <c r="A3750" s="496"/>
      <c r="D3750" s="496"/>
    </row>
    <row r="3751" spans="1:4" x14ac:dyDescent="0.2">
      <c r="A3751" s="496"/>
      <c r="D3751" s="496"/>
    </row>
    <row r="3752" spans="1:4" x14ac:dyDescent="0.2">
      <c r="A3752" s="496"/>
      <c r="D3752" s="496"/>
    </row>
    <row r="3753" spans="1:4" x14ac:dyDescent="0.2">
      <c r="A3753" s="496"/>
      <c r="D3753" s="496"/>
    </row>
    <row r="3754" spans="1:4" x14ac:dyDescent="0.2">
      <c r="A3754" s="496"/>
      <c r="D3754" s="496"/>
    </row>
    <row r="3755" spans="1:4" x14ac:dyDescent="0.2">
      <c r="A3755" s="496"/>
      <c r="D3755" s="496"/>
    </row>
    <row r="3756" spans="1:4" x14ac:dyDescent="0.2">
      <c r="A3756" s="496"/>
      <c r="D3756" s="496"/>
    </row>
    <row r="3757" spans="1:4" x14ac:dyDescent="0.2">
      <c r="A3757" s="496"/>
      <c r="D3757" s="496"/>
    </row>
    <row r="3758" spans="1:4" x14ac:dyDescent="0.2">
      <c r="A3758" s="496"/>
      <c r="D3758" s="496"/>
    </row>
    <row r="3759" spans="1:4" x14ac:dyDescent="0.2">
      <c r="A3759" s="496"/>
      <c r="D3759" s="496"/>
    </row>
    <row r="3760" spans="1:4" x14ac:dyDescent="0.2">
      <c r="A3760" s="496"/>
      <c r="D3760" s="496"/>
    </row>
    <row r="3761" spans="1:4" x14ac:dyDescent="0.2">
      <c r="A3761" s="496"/>
      <c r="D3761" s="496"/>
    </row>
    <row r="3762" spans="1:4" x14ac:dyDescent="0.2">
      <c r="A3762" s="496"/>
      <c r="D3762" s="496"/>
    </row>
    <row r="3763" spans="1:4" x14ac:dyDescent="0.2">
      <c r="A3763" s="496"/>
      <c r="D3763" s="496"/>
    </row>
    <row r="3764" spans="1:4" x14ac:dyDescent="0.2">
      <c r="A3764" s="496"/>
      <c r="D3764" s="496"/>
    </row>
    <row r="3765" spans="1:4" x14ac:dyDescent="0.2">
      <c r="A3765" s="496"/>
      <c r="D3765" s="496"/>
    </row>
    <row r="3766" spans="1:4" x14ac:dyDescent="0.2">
      <c r="A3766" s="496"/>
      <c r="D3766" s="496"/>
    </row>
    <row r="3767" spans="1:4" x14ac:dyDescent="0.2">
      <c r="A3767" s="496"/>
      <c r="D3767" s="496"/>
    </row>
    <row r="3768" spans="1:4" x14ac:dyDescent="0.2">
      <c r="A3768" s="496"/>
      <c r="D3768" s="496"/>
    </row>
    <row r="3769" spans="1:4" x14ac:dyDescent="0.2">
      <c r="A3769" s="496"/>
      <c r="D3769" s="496"/>
    </row>
    <row r="3770" spans="1:4" x14ac:dyDescent="0.2">
      <c r="A3770" s="496"/>
      <c r="D3770" s="496"/>
    </row>
    <row r="3771" spans="1:4" x14ac:dyDescent="0.2">
      <c r="A3771" s="496"/>
      <c r="D3771" s="496"/>
    </row>
    <row r="3772" spans="1:4" x14ac:dyDescent="0.2">
      <c r="A3772" s="496"/>
      <c r="D3772" s="496"/>
    </row>
    <row r="3773" spans="1:4" x14ac:dyDescent="0.2">
      <c r="A3773" s="496"/>
      <c r="D3773" s="496"/>
    </row>
    <row r="3774" spans="1:4" x14ac:dyDescent="0.2">
      <c r="A3774" s="496"/>
      <c r="D3774" s="496"/>
    </row>
    <row r="3775" spans="1:4" x14ac:dyDescent="0.2">
      <c r="A3775" s="496"/>
      <c r="D3775" s="496"/>
    </row>
    <row r="3776" spans="1:4" x14ac:dyDescent="0.2">
      <c r="A3776" s="496"/>
      <c r="D3776" s="496"/>
    </row>
    <row r="3777" spans="1:4" x14ac:dyDescent="0.2">
      <c r="A3777" s="496"/>
      <c r="D3777" s="496"/>
    </row>
    <row r="3778" spans="1:4" x14ac:dyDescent="0.2">
      <c r="A3778" s="496"/>
      <c r="D3778" s="496"/>
    </row>
    <row r="3779" spans="1:4" x14ac:dyDescent="0.2">
      <c r="A3779" s="496"/>
      <c r="D3779" s="496"/>
    </row>
    <row r="3780" spans="1:4" x14ac:dyDescent="0.2">
      <c r="A3780" s="496"/>
      <c r="D3780" s="496"/>
    </row>
    <row r="3781" spans="1:4" x14ac:dyDescent="0.2">
      <c r="A3781" s="496"/>
      <c r="D3781" s="496"/>
    </row>
    <row r="3782" spans="1:4" x14ac:dyDescent="0.2">
      <c r="A3782" s="496"/>
      <c r="D3782" s="496"/>
    </row>
    <row r="3783" spans="1:4" x14ac:dyDescent="0.2">
      <c r="A3783" s="496"/>
      <c r="D3783" s="496"/>
    </row>
    <row r="3784" spans="1:4" x14ac:dyDescent="0.2">
      <c r="A3784" s="496"/>
      <c r="D3784" s="496"/>
    </row>
    <row r="3785" spans="1:4" x14ac:dyDescent="0.2">
      <c r="A3785" s="496"/>
      <c r="D3785" s="496"/>
    </row>
    <row r="3786" spans="1:4" x14ac:dyDescent="0.2">
      <c r="A3786" s="496"/>
      <c r="D3786" s="496"/>
    </row>
    <row r="3787" spans="1:4" x14ac:dyDescent="0.2">
      <c r="A3787" s="496"/>
      <c r="D3787" s="496"/>
    </row>
    <row r="3788" spans="1:4" x14ac:dyDescent="0.2">
      <c r="A3788" s="496"/>
      <c r="D3788" s="496"/>
    </row>
    <row r="3789" spans="1:4" x14ac:dyDescent="0.2">
      <c r="A3789" s="496"/>
      <c r="D3789" s="496"/>
    </row>
    <row r="3790" spans="1:4" x14ac:dyDescent="0.2">
      <c r="A3790" s="496"/>
      <c r="D3790" s="496"/>
    </row>
    <row r="3791" spans="1:4" x14ac:dyDescent="0.2">
      <c r="A3791" s="496"/>
      <c r="D3791" s="496"/>
    </row>
    <row r="3792" spans="1:4" x14ac:dyDescent="0.2">
      <c r="A3792" s="496"/>
      <c r="D3792" s="496"/>
    </row>
    <row r="3793" spans="1:4" x14ac:dyDescent="0.2">
      <c r="A3793" s="496"/>
      <c r="D3793" s="496"/>
    </row>
    <row r="3794" spans="1:4" x14ac:dyDescent="0.2">
      <c r="A3794" s="496"/>
      <c r="D3794" s="496"/>
    </row>
    <row r="3795" spans="1:4" x14ac:dyDescent="0.2">
      <c r="A3795" s="496"/>
      <c r="D3795" s="496"/>
    </row>
    <row r="3796" spans="1:4" x14ac:dyDescent="0.2">
      <c r="A3796" s="496"/>
      <c r="D3796" s="496"/>
    </row>
    <row r="3797" spans="1:4" x14ac:dyDescent="0.2">
      <c r="A3797" s="496"/>
      <c r="D3797" s="496"/>
    </row>
    <row r="3798" spans="1:4" x14ac:dyDescent="0.2">
      <c r="A3798" s="496"/>
      <c r="D3798" s="496"/>
    </row>
    <row r="3799" spans="1:4" x14ac:dyDescent="0.2">
      <c r="A3799" s="496"/>
      <c r="D3799" s="496"/>
    </row>
    <row r="3800" spans="1:4" x14ac:dyDescent="0.2">
      <c r="A3800" s="496"/>
      <c r="D3800" s="496"/>
    </row>
    <row r="3801" spans="1:4" x14ac:dyDescent="0.2">
      <c r="A3801" s="496"/>
      <c r="D3801" s="496"/>
    </row>
    <row r="3802" spans="1:4" x14ac:dyDescent="0.2">
      <c r="A3802" s="496"/>
      <c r="D3802" s="496"/>
    </row>
    <row r="3803" spans="1:4" x14ac:dyDescent="0.2">
      <c r="A3803" s="496"/>
      <c r="D3803" s="496"/>
    </row>
    <row r="3804" spans="1:4" x14ac:dyDescent="0.2">
      <c r="A3804" s="496"/>
      <c r="D3804" s="496"/>
    </row>
    <row r="3805" spans="1:4" x14ac:dyDescent="0.2">
      <c r="A3805" s="496"/>
      <c r="D3805" s="496"/>
    </row>
    <row r="3806" spans="1:4" x14ac:dyDescent="0.2">
      <c r="A3806" s="496"/>
      <c r="D3806" s="496"/>
    </row>
    <row r="3807" spans="1:4" x14ac:dyDescent="0.2">
      <c r="A3807" s="496"/>
      <c r="D3807" s="496"/>
    </row>
    <row r="3808" spans="1:4" x14ac:dyDescent="0.2">
      <c r="A3808" s="496"/>
      <c r="D3808" s="496"/>
    </row>
    <row r="3809" spans="1:4" x14ac:dyDescent="0.2">
      <c r="A3809" s="496"/>
      <c r="D3809" s="496"/>
    </row>
    <row r="3810" spans="1:4" x14ac:dyDescent="0.2">
      <c r="A3810" s="496"/>
      <c r="D3810" s="496"/>
    </row>
    <row r="3811" spans="1:4" x14ac:dyDescent="0.2">
      <c r="A3811" s="496"/>
      <c r="D3811" s="496"/>
    </row>
    <row r="3812" spans="1:4" x14ac:dyDescent="0.2">
      <c r="A3812" s="496"/>
      <c r="D3812" s="496"/>
    </row>
    <row r="3813" spans="1:4" x14ac:dyDescent="0.2">
      <c r="A3813" s="496"/>
      <c r="D3813" s="496"/>
    </row>
    <row r="3814" spans="1:4" x14ac:dyDescent="0.2">
      <c r="A3814" s="496"/>
      <c r="D3814" s="496"/>
    </row>
    <row r="3815" spans="1:4" x14ac:dyDescent="0.2">
      <c r="A3815" s="496"/>
      <c r="D3815" s="496"/>
    </row>
    <row r="3816" spans="1:4" x14ac:dyDescent="0.2">
      <c r="A3816" s="496"/>
      <c r="D3816" s="496"/>
    </row>
    <row r="3817" spans="1:4" x14ac:dyDescent="0.2">
      <c r="A3817" s="496"/>
      <c r="D3817" s="496"/>
    </row>
    <row r="3818" spans="1:4" x14ac:dyDescent="0.2">
      <c r="A3818" s="496"/>
      <c r="D3818" s="496"/>
    </row>
    <row r="3819" spans="1:4" x14ac:dyDescent="0.2">
      <c r="A3819" s="496"/>
      <c r="D3819" s="496"/>
    </row>
    <row r="3820" spans="1:4" x14ac:dyDescent="0.2">
      <c r="A3820" s="496"/>
      <c r="D3820" s="496"/>
    </row>
    <row r="3821" spans="1:4" x14ac:dyDescent="0.2">
      <c r="A3821" s="496"/>
      <c r="D3821" s="496"/>
    </row>
    <row r="3822" spans="1:4" x14ac:dyDescent="0.2">
      <c r="A3822" s="496"/>
      <c r="D3822" s="496"/>
    </row>
    <row r="3823" spans="1:4" x14ac:dyDescent="0.2">
      <c r="A3823" s="496"/>
      <c r="D3823" s="496"/>
    </row>
    <row r="3824" spans="1:4" x14ac:dyDescent="0.2">
      <c r="A3824" s="496"/>
      <c r="D3824" s="496"/>
    </row>
    <row r="3825" spans="1:4" x14ac:dyDescent="0.2">
      <c r="A3825" s="496"/>
      <c r="D3825" s="496"/>
    </row>
    <row r="3826" spans="1:4" x14ac:dyDescent="0.2">
      <c r="A3826" s="496"/>
      <c r="D3826" s="496"/>
    </row>
    <row r="3827" spans="1:4" x14ac:dyDescent="0.2">
      <c r="A3827" s="496"/>
      <c r="D3827" s="496"/>
    </row>
    <row r="3828" spans="1:4" x14ac:dyDescent="0.2">
      <c r="A3828" s="496"/>
      <c r="D3828" s="496"/>
    </row>
    <row r="3829" spans="1:4" x14ac:dyDescent="0.2">
      <c r="A3829" s="496"/>
      <c r="D3829" s="496"/>
    </row>
    <row r="3830" spans="1:4" x14ac:dyDescent="0.2">
      <c r="A3830" s="496"/>
      <c r="D3830" s="496"/>
    </row>
    <row r="3831" spans="1:4" x14ac:dyDescent="0.2">
      <c r="A3831" s="496"/>
      <c r="D3831" s="496"/>
    </row>
    <row r="3832" spans="1:4" x14ac:dyDescent="0.2">
      <c r="A3832" s="496"/>
      <c r="D3832" s="496"/>
    </row>
    <row r="3833" spans="1:4" x14ac:dyDescent="0.2">
      <c r="A3833" s="496"/>
      <c r="D3833" s="496"/>
    </row>
    <row r="3834" spans="1:4" x14ac:dyDescent="0.2">
      <c r="A3834" s="496"/>
      <c r="D3834" s="496"/>
    </row>
    <row r="3835" spans="1:4" x14ac:dyDescent="0.2">
      <c r="A3835" s="496"/>
      <c r="D3835" s="496"/>
    </row>
    <row r="3836" spans="1:4" x14ac:dyDescent="0.2">
      <c r="A3836" s="496"/>
      <c r="D3836" s="496"/>
    </row>
    <row r="3837" spans="1:4" x14ac:dyDescent="0.2">
      <c r="A3837" s="496"/>
      <c r="D3837" s="496"/>
    </row>
    <row r="3838" spans="1:4" x14ac:dyDescent="0.2">
      <c r="A3838" s="496"/>
      <c r="D3838" s="496"/>
    </row>
    <row r="3839" spans="1:4" x14ac:dyDescent="0.2">
      <c r="A3839" s="496"/>
      <c r="D3839" s="496"/>
    </row>
    <row r="3840" spans="1:4" x14ac:dyDescent="0.2">
      <c r="A3840" s="496"/>
      <c r="D3840" s="496"/>
    </row>
    <row r="3841" spans="1:4" x14ac:dyDescent="0.2">
      <c r="A3841" s="496"/>
      <c r="D3841" s="496"/>
    </row>
    <row r="3842" spans="1:4" x14ac:dyDescent="0.2">
      <c r="A3842" s="496"/>
      <c r="D3842" s="496"/>
    </row>
    <row r="3843" spans="1:4" x14ac:dyDescent="0.2">
      <c r="A3843" s="496"/>
      <c r="D3843" s="496"/>
    </row>
    <row r="3844" spans="1:4" x14ac:dyDescent="0.2">
      <c r="A3844" s="496"/>
      <c r="D3844" s="496"/>
    </row>
    <row r="3845" spans="1:4" x14ac:dyDescent="0.2">
      <c r="A3845" s="496"/>
      <c r="D3845" s="496"/>
    </row>
    <row r="3846" spans="1:4" x14ac:dyDescent="0.2">
      <c r="A3846" s="496"/>
      <c r="D3846" s="496"/>
    </row>
    <row r="3847" spans="1:4" x14ac:dyDescent="0.2">
      <c r="A3847" s="496"/>
      <c r="D3847" s="496"/>
    </row>
    <row r="3848" spans="1:4" x14ac:dyDescent="0.2">
      <c r="A3848" s="496"/>
      <c r="D3848" s="496"/>
    </row>
    <row r="3849" spans="1:4" x14ac:dyDescent="0.2">
      <c r="A3849" s="496"/>
      <c r="D3849" s="496"/>
    </row>
    <row r="3850" spans="1:4" x14ac:dyDescent="0.2">
      <c r="A3850" s="496"/>
      <c r="D3850" s="496"/>
    </row>
    <row r="3851" spans="1:4" x14ac:dyDescent="0.2">
      <c r="A3851" s="496"/>
      <c r="D3851" s="496"/>
    </row>
    <row r="3852" spans="1:4" x14ac:dyDescent="0.2">
      <c r="A3852" s="496"/>
      <c r="D3852" s="496"/>
    </row>
    <row r="3853" spans="1:4" x14ac:dyDescent="0.2">
      <c r="A3853" s="496"/>
      <c r="D3853" s="496"/>
    </row>
    <row r="3854" spans="1:4" x14ac:dyDescent="0.2">
      <c r="A3854" s="496"/>
      <c r="D3854" s="496"/>
    </row>
    <row r="3855" spans="1:4" x14ac:dyDescent="0.2">
      <c r="A3855" s="496"/>
      <c r="D3855" s="496"/>
    </row>
    <row r="3856" spans="1:4" x14ac:dyDescent="0.2">
      <c r="A3856" s="496"/>
      <c r="D3856" s="496"/>
    </row>
    <row r="3857" spans="1:4" x14ac:dyDescent="0.2">
      <c r="A3857" s="496"/>
      <c r="D3857" s="496"/>
    </row>
    <row r="3858" spans="1:4" x14ac:dyDescent="0.2">
      <c r="A3858" s="496"/>
      <c r="D3858" s="496"/>
    </row>
    <row r="3859" spans="1:4" x14ac:dyDescent="0.2">
      <c r="A3859" s="496"/>
      <c r="D3859" s="496"/>
    </row>
    <row r="3860" spans="1:4" x14ac:dyDescent="0.2">
      <c r="A3860" s="496"/>
      <c r="D3860" s="496"/>
    </row>
    <row r="3861" spans="1:4" x14ac:dyDescent="0.2">
      <c r="A3861" s="496"/>
      <c r="D3861" s="496"/>
    </row>
    <row r="3862" spans="1:4" x14ac:dyDescent="0.2">
      <c r="A3862" s="496"/>
      <c r="D3862" s="496"/>
    </row>
    <row r="3863" spans="1:4" x14ac:dyDescent="0.2">
      <c r="A3863" s="496"/>
      <c r="D3863" s="496"/>
    </row>
    <row r="3864" spans="1:4" x14ac:dyDescent="0.2">
      <c r="A3864" s="496"/>
      <c r="D3864" s="496"/>
    </row>
    <row r="3865" spans="1:4" x14ac:dyDescent="0.2">
      <c r="A3865" s="496"/>
      <c r="D3865" s="496"/>
    </row>
    <row r="3866" spans="1:4" x14ac:dyDescent="0.2">
      <c r="A3866" s="496"/>
      <c r="D3866" s="496"/>
    </row>
    <row r="3867" spans="1:4" x14ac:dyDescent="0.2">
      <c r="A3867" s="496"/>
      <c r="D3867" s="496"/>
    </row>
    <row r="3868" spans="1:4" x14ac:dyDescent="0.2">
      <c r="A3868" s="496"/>
      <c r="D3868" s="496"/>
    </row>
    <row r="3869" spans="1:4" x14ac:dyDescent="0.2">
      <c r="A3869" s="496"/>
      <c r="D3869" s="496"/>
    </row>
    <row r="3870" spans="1:4" x14ac:dyDescent="0.2">
      <c r="A3870" s="496"/>
      <c r="D3870" s="496"/>
    </row>
    <row r="3871" spans="1:4" x14ac:dyDescent="0.2">
      <c r="A3871" s="496"/>
      <c r="D3871" s="496"/>
    </row>
    <row r="3872" spans="1:4" x14ac:dyDescent="0.2">
      <c r="A3872" s="496"/>
      <c r="D3872" s="496"/>
    </row>
    <row r="3873" spans="1:4" x14ac:dyDescent="0.2">
      <c r="A3873" s="496"/>
      <c r="D3873" s="496"/>
    </row>
    <row r="3874" spans="1:4" x14ac:dyDescent="0.2">
      <c r="A3874" s="496"/>
      <c r="D3874" s="496"/>
    </row>
    <row r="3875" spans="1:4" x14ac:dyDescent="0.2">
      <c r="A3875" s="496"/>
      <c r="D3875" s="496"/>
    </row>
    <row r="3876" spans="1:4" x14ac:dyDescent="0.2">
      <c r="A3876" s="496"/>
      <c r="D3876" s="496"/>
    </row>
    <row r="3877" spans="1:4" x14ac:dyDescent="0.2">
      <c r="A3877" s="496"/>
      <c r="D3877" s="496"/>
    </row>
    <row r="3878" spans="1:4" x14ac:dyDescent="0.2">
      <c r="A3878" s="496"/>
      <c r="D3878" s="496"/>
    </row>
    <row r="3879" spans="1:4" x14ac:dyDescent="0.2">
      <c r="A3879" s="496"/>
      <c r="D3879" s="496"/>
    </row>
    <row r="3880" spans="1:4" x14ac:dyDescent="0.2">
      <c r="A3880" s="496"/>
      <c r="D3880" s="496"/>
    </row>
    <row r="3881" spans="1:4" x14ac:dyDescent="0.2">
      <c r="A3881" s="496"/>
      <c r="D3881" s="496"/>
    </row>
    <row r="3882" spans="1:4" x14ac:dyDescent="0.2">
      <c r="A3882" s="496"/>
      <c r="D3882" s="496"/>
    </row>
    <row r="3883" spans="1:4" x14ac:dyDescent="0.2">
      <c r="A3883" s="496"/>
      <c r="D3883" s="496"/>
    </row>
    <row r="3884" spans="1:4" x14ac:dyDescent="0.2">
      <c r="A3884" s="496"/>
      <c r="D3884" s="496"/>
    </row>
    <row r="3885" spans="1:4" x14ac:dyDescent="0.2">
      <c r="A3885" s="496"/>
      <c r="D3885" s="496"/>
    </row>
    <row r="3886" spans="1:4" x14ac:dyDescent="0.2">
      <c r="A3886" s="496"/>
      <c r="D3886" s="496"/>
    </row>
    <row r="3887" spans="1:4" x14ac:dyDescent="0.2">
      <c r="A3887" s="496"/>
      <c r="D3887" s="496"/>
    </row>
    <row r="3888" spans="1:4" x14ac:dyDescent="0.2">
      <c r="A3888" s="496"/>
      <c r="D3888" s="496"/>
    </row>
    <row r="3889" spans="1:4" x14ac:dyDescent="0.2">
      <c r="A3889" s="496"/>
      <c r="D3889" s="496"/>
    </row>
    <row r="3890" spans="1:4" x14ac:dyDescent="0.2">
      <c r="A3890" s="496"/>
      <c r="D3890" s="496"/>
    </row>
    <row r="3891" spans="1:4" x14ac:dyDescent="0.2">
      <c r="A3891" s="496"/>
      <c r="D3891" s="496"/>
    </row>
    <row r="3892" spans="1:4" x14ac:dyDescent="0.2">
      <c r="A3892" s="496"/>
      <c r="D3892" s="496"/>
    </row>
    <row r="3893" spans="1:4" x14ac:dyDescent="0.2">
      <c r="A3893" s="496"/>
      <c r="D3893" s="496"/>
    </row>
    <row r="3894" spans="1:4" x14ac:dyDescent="0.2">
      <c r="A3894" s="496"/>
      <c r="D3894" s="496"/>
    </row>
    <row r="3895" spans="1:4" x14ac:dyDescent="0.2">
      <c r="A3895" s="496"/>
      <c r="D3895" s="496"/>
    </row>
    <row r="3896" spans="1:4" x14ac:dyDescent="0.2">
      <c r="A3896" s="496"/>
      <c r="D3896" s="496"/>
    </row>
    <row r="3897" spans="1:4" x14ac:dyDescent="0.2">
      <c r="A3897" s="496"/>
      <c r="D3897" s="496"/>
    </row>
    <row r="3898" spans="1:4" x14ac:dyDescent="0.2">
      <c r="A3898" s="496"/>
      <c r="D3898" s="496"/>
    </row>
    <row r="3899" spans="1:4" x14ac:dyDescent="0.2">
      <c r="A3899" s="496"/>
      <c r="D3899" s="496"/>
    </row>
    <row r="3900" spans="1:4" x14ac:dyDescent="0.2">
      <c r="A3900" s="496"/>
      <c r="D3900" s="496"/>
    </row>
    <row r="3901" spans="1:4" x14ac:dyDescent="0.2">
      <c r="A3901" s="496"/>
      <c r="D3901" s="496"/>
    </row>
    <row r="3902" spans="1:4" x14ac:dyDescent="0.2">
      <c r="A3902" s="496"/>
      <c r="D3902" s="496"/>
    </row>
    <row r="3903" spans="1:4" x14ac:dyDescent="0.2">
      <c r="A3903" s="496"/>
      <c r="D3903" s="496"/>
    </row>
    <row r="3904" spans="1:4" x14ac:dyDescent="0.2">
      <c r="A3904" s="496"/>
      <c r="D3904" s="496"/>
    </row>
    <row r="3905" spans="1:4" x14ac:dyDescent="0.2">
      <c r="A3905" s="496"/>
      <c r="D3905" s="496"/>
    </row>
    <row r="3906" spans="1:4" x14ac:dyDescent="0.2">
      <c r="A3906" s="496"/>
      <c r="D3906" s="496"/>
    </row>
    <row r="3907" spans="1:4" x14ac:dyDescent="0.2">
      <c r="A3907" s="496"/>
      <c r="D3907" s="496"/>
    </row>
    <row r="3908" spans="1:4" x14ac:dyDescent="0.2">
      <c r="A3908" s="496"/>
      <c r="D3908" s="496"/>
    </row>
    <row r="3909" spans="1:4" x14ac:dyDescent="0.2">
      <c r="A3909" s="496"/>
      <c r="D3909" s="496"/>
    </row>
    <row r="3910" spans="1:4" x14ac:dyDescent="0.2">
      <c r="A3910" s="496"/>
      <c r="D3910" s="496"/>
    </row>
    <row r="3911" spans="1:4" x14ac:dyDescent="0.2">
      <c r="A3911" s="496"/>
      <c r="D3911" s="496"/>
    </row>
    <row r="3912" spans="1:4" x14ac:dyDescent="0.2">
      <c r="A3912" s="496"/>
      <c r="D3912" s="496"/>
    </row>
    <row r="3913" spans="1:4" x14ac:dyDescent="0.2">
      <c r="A3913" s="496"/>
      <c r="D3913" s="496"/>
    </row>
    <row r="3914" spans="1:4" x14ac:dyDescent="0.2">
      <c r="A3914" s="496"/>
      <c r="D3914" s="496"/>
    </row>
    <row r="3915" spans="1:4" x14ac:dyDescent="0.2">
      <c r="A3915" s="496"/>
      <c r="D3915" s="496"/>
    </row>
    <row r="3916" spans="1:4" x14ac:dyDescent="0.2">
      <c r="A3916" s="496"/>
      <c r="D3916" s="496"/>
    </row>
    <row r="3917" spans="1:4" x14ac:dyDescent="0.2">
      <c r="A3917" s="496"/>
      <c r="D3917" s="496"/>
    </row>
    <row r="3918" spans="1:4" x14ac:dyDescent="0.2">
      <c r="A3918" s="496"/>
      <c r="D3918" s="496"/>
    </row>
    <row r="3919" spans="1:4" x14ac:dyDescent="0.2">
      <c r="A3919" s="496"/>
      <c r="D3919" s="496"/>
    </row>
    <row r="3920" spans="1:4" x14ac:dyDescent="0.2">
      <c r="A3920" s="496"/>
      <c r="D3920" s="496"/>
    </row>
    <row r="3921" spans="1:4" x14ac:dyDescent="0.2">
      <c r="A3921" s="496"/>
      <c r="D3921" s="496"/>
    </row>
    <row r="3922" spans="1:4" x14ac:dyDescent="0.2">
      <c r="A3922" s="496"/>
      <c r="D3922" s="496"/>
    </row>
    <row r="3923" spans="1:4" x14ac:dyDescent="0.2">
      <c r="A3923" s="496"/>
      <c r="D3923" s="496"/>
    </row>
    <row r="3924" spans="1:4" x14ac:dyDescent="0.2">
      <c r="A3924" s="496"/>
      <c r="D3924" s="496"/>
    </row>
    <row r="3925" spans="1:4" x14ac:dyDescent="0.2">
      <c r="A3925" s="496"/>
      <c r="D3925" s="496"/>
    </row>
    <row r="3926" spans="1:4" x14ac:dyDescent="0.2">
      <c r="A3926" s="496"/>
      <c r="D3926" s="496"/>
    </row>
    <row r="3927" spans="1:4" x14ac:dyDescent="0.2">
      <c r="A3927" s="496"/>
      <c r="D3927" s="496"/>
    </row>
    <row r="3928" spans="1:4" x14ac:dyDescent="0.2">
      <c r="A3928" s="496"/>
      <c r="D3928" s="496"/>
    </row>
    <row r="3929" spans="1:4" x14ac:dyDescent="0.2">
      <c r="A3929" s="496"/>
      <c r="D3929" s="496"/>
    </row>
    <row r="3930" spans="1:4" x14ac:dyDescent="0.2">
      <c r="A3930" s="496"/>
      <c r="D3930" s="496"/>
    </row>
    <row r="3931" spans="1:4" x14ac:dyDescent="0.2">
      <c r="A3931" s="496"/>
      <c r="D3931" s="496"/>
    </row>
    <row r="3932" spans="1:4" x14ac:dyDescent="0.2">
      <c r="A3932" s="496"/>
      <c r="D3932" s="496"/>
    </row>
    <row r="3933" spans="1:4" x14ac:dyDescent="0.2">
      <c r="A3933" s="496"/>
      <c r="D3933" s="496"/>
    </row>
    <row r="3934" spans="1:4" x14ac:dyDescent="0.2">
      <c r="A3934" s="496"/>
      <c r="D3934" s="496"/>
    </row>
    <row r="3935" spans="1:4" x14ac:dyDescent="0.2">
      <c r="A3935" s="496"/>
      <c r="D3935" s="496"/>
    </row>
    <row r="3936" spans="1:4" x14ac:dyDescent="0.2">
      <c r="A3936" s="496"/>
      <c r="D3936" s="496"/>
    </row>
    <row r="3937" spans="1:4" x14ac:dyDescent="0.2">
      <c r="A3937" s="496"/>
      <c r="D3937" s="496"/>
    </row>
    <row r="3938" spans="1:4" x14ac:dyDescent="0.2">
      <c r="A3938" s="496"/>
      <c r="D3938" s="496"/>
    </row>
    <row r="3939" spans="1:4" x14ac:dyDescent="0.2">
      <c r="A3939" s="496"/>
      <c r="D3939" s="496"/>
    </row>
    <row r="3940" spans="1:4" x14ac:dyDescent="0.2">
      <c r="A3940" s="496"/>
      <c r="D3940" s="496"/>
    </row>
    <row r="3941" spans="1:4" x14ac:dyDescent="0.2">
      <c r="A3941" s="496"/>
      <c r="D3941" s="496"/>
    </row>
    <row r="3942" spans="1:4" x14ac:dyDescent="0.2">
      <c r="A3942" s="496"/>
      <c r="D3942" s="496"/>
    </row>
    <row r="3943" spans="1:4" x14ac:dyDescent="0.2">
      <c r="A3943" s="496"/>
      <c r="D3943" s="496"/>
    </row>
    <row r="3944" spans="1:4" x14ac:dyDescent="0.2">
      <c r="A3944" s="496"/>
      <c r="D3944" s="496"/>
    </row>
    <row r="3945" spans="1:4" x14ac:dyDescent="0.2">
      <c r="A3945" s="496"/>
      <c r="D3945" s="496"/>
    </row>
    <row r="3946" spans="1:4" x14ac:dyDescent="0.2">
      <c r="A3946" s="496"/>
      <c r="D3946" s="496"/>
    </row>
    <row r="3947" spans="1:4" x14ac:dyDescent="0.2">
      <c r="A3947" s="496"/>
      <c r="D3947" s="496"/>
    </row>
    <row r="3948" spans="1:4" x14ac:dyDescent="0.2">
      <c r="A3948" s="496"/>
      <c r="D3948" s="496"/>
    </row>
    <row r="3949" spans="1:4" x14ac:dyDescent="0.2">
      <c r="A3949" s="496"/>
      <c r="D3949" s="496"/>
    </row>
    <row r="3950" spans="1:4" x14ac:dyDescent="0.2">
      <c r="A3950" s="496"/>
      <c r="D3950" s="496"/>
    </row>
    <row r="3951" spans="1:4" x14ac:dyDescent="0.2">
      <c r="A3951" s="496"/>
      <c r="D3951" s="496"/>
    </row>
    <row r="3952" spans="1:4" x14ac:dyDescent="0.2">
      <c r="A3952" s="496"/>
      <c r="D3952" s="496"/>
    </row>
    <row r="3953" spans="1:4" x14ac:dyDescent="0.2">
      <c r="A3953" s="496"/>
      <c r="D3953" s="496"/>
    </row>
    <row r="3954" spans="1:4" x14ac:dyDescent="0.2">
      <c r="A3954" s="496"/>
      <c r="D3954" s="496"/>
    </row>
    <row r="3955" spans="1:4" x14ac:dyDescent="0.2">
      <c r="A3955" s="496"/>
      <c r="D3955" s="496"/>
    </row>
    <row r="3956" spans="1:4" x14ac:dyDescent="0.2">
      <c r="A3956" s="496"/>
      <c r="D3956" s="496"/>
    </row>
    <row r="3957" spans="1:4" x14ac:dyDescent="0.2">
      <c r="A3957" s="496"/>
      <c r="D3957" s="496"/>
    </row>
    <row r="3958" spans="1:4" x14ac:dyDescent="0.2">
      <c r="A3958" s="496"/>
      <c r="D3958" s="496"/>
    </row>
    <row r="3959" spans="1:4" x14ac:dyDescent="0.2">
      <c r="A3959" s="496"/>
      <c r="D3959" s="496"/>
    </row>
    <row r="3960" spans="1:4" x14ac:dyDescent="0.2">
      <c r="A3960" s="496"/>
      <c r="D3960" s="496"/>
    </row>
    <row r="3961" spans="1:4" x14ac:dyDescent="0.2">
      <c r="A3961" s="496"/>
      <c r="D3961" s="496"/>
    </row>
    <row r="3962" spans="1:4" x14ac:dyDescent="0.2">
      <c r="A3962" s="496"/>
      <c r="D3962" s="496"/>
    </row>
    <row r="3963" spans="1:4" x14ac:dyDescent="0.2">
      <c r="A3963" s="496"/>
      <c r="D3963" s="496"/>
    </row>
    <row r="3964" spans="1:4" x14ac:dyDescent="0.2">
      <c r="A3964" s="496"/>
      <c r="D3964" s="496"/>
    </row>
    <row r="3965" spans="1:4" x14ac:dyDescent="0.2">
      <c r="A3965" s="496"/>
      <c r="D3965" s="496"/>
    </row>
    <row r="3966" spans="1:4" x14ac:dyDescent="0.2">
      <c r="A3966" s="496"/>
      <c r="D3966" s="496"/>
    </row>
    <row r="3967" spans="1:4" x14ac:dyDescent="0.2">
      <c r="A3967" s="496"/>
      <c r="D3967" s="496"/>
    </row>
    <row r="3968" spans="1:4" x14ac:dyDescent="0.2">
      <c r="A3968" s="496"/>
      <c r="D3968" s="496"/>
    </row>
    <row r="3969" spans="1:4" x14ac:dyDescent="0.2">
      <c r="A3969" s="496"/>
      <c r="D3969" s="496"/>
    </row>
    <row r="3970" spans="1:4" x14ac:dyDescent="0.2">
      <c r="A3970" s="496"/>
      <c r="D3970" s="496"/>
    </row>
    <row r="3971" spans="1:4" x14ac:dyDescent="0.2">
      <c r="A3971" s="496"/>
      <c r="D3971" s="496"/>
    </row>
    <row r="3972" spans="1:4" x14ac:dyDescent="0.2">
      <c r="A3972" s="496"/>
      <c r="D3972" s="496"/>
    </row>
    <row r="3973" spans="1:4" x14ac:dyDescent="0.2">
      <c r="A3973" s="496"/>
      <c r="D3973" s="496"/>
    </row>
    <row r="3974" spans="1:4" x14ac:dyDescent="0.2">
      <c r="A3974" s="496"/>
      <c r="D3974" s="496"/>
    </row>
    <row r="3975" spans="1:4" x14ac:dyDescent="0.2">
      <c r="A3975" s="496"/>
      <c r="D3975" s="496"/>
    </row>
    <row r="3976" spans="1:4" x14ac:dyDescent="0.2">
      <c r="A3976" s="496"/>
      <c r="D3976" s="496"/>
    </row>
    <row r="3977" spans="1:4" x14ac:dyDescent="0.2">
      <c r="A3977" s="496"/>
      <c r="D3977" s="496"/>
    </row>
    <row r="3978" spans="1:4" x14ac:dyDescent="0.2">
      <c r="A3978" s="496"/>
      <c r="D3978" s="496"/>
    </row>
    <row r="3979" spans="1:4" x14ac:dyDescent="0.2">
      <c r="A3979" s="496"/>
      <c r="D3979" s="496"/>
    </row>
    <row r="3980" spans="1:4" x14ac:dyDescent="0.2">
      <c r="A3980" s="496"/>
      <c r="D3980" s="496"/>
    </row>
    <row r="3981" spans="1:4" x14ac:dyDescent="0.2">
      <c r="A3981" s="496"/>
      <c r="D3981" s="496"/>
    </row>
    <row r="3982" spans="1:4" x14ac:dyDescent="0.2">
      <c r="A3982" s="496"/>
      <c r="D3982" s="496"/>
    </row>
    <row r="3983" spans="1:4" x14ac:dyDescent="0.2">
      <c r="A3983" s="496"/>
      <c r="D3983" s="496"/>
    </row>
    <row r="3984" spans="1:4" x14ac:dyDescent="0.2">
      <c r="A3984" s="496"/>
      <c r="D3984" s="496"/>
    </row>
    <row r="3985" spans="1:4" x14ac:dyDescent="0.2">
      <c r="A3985" s="496"/>
      <c r="D3985" s="496"/>
    </row>
    <row r="3986" spans="1:4" x14ac:dyDescent="0.2">
      <c r="A3986" s="496"/>
      <c r="D3986" s="496"/>
    </row>
    <row r="3987" spans="1:4" x14ac:dyDescent="0.2">
      <c r="A3987" s="496"/>
      <c r="D3987" s="496"/>
    </row>
    <row r="3988" spans="1:4" x14ac:dyDescent="0.2">
      <c r="A3988" s="496"/>
      <c r="D3988" s="496"/>
    </row>
    <row r="3989" spans="1:4" x14ac:dyDescent="0.2">
      <c r="A3989" s="496"/>
      <c r="D3989" s="496"/>
    </row>
    <row r="3990" spans="1:4" x14ac:dyDescent="0.2">
      <c r="A3990" s="496"/>
      <c r="D3990" s="496"/>
    </row>
    <row r="3991" spans="1:4" x14ac:dyDescent="0.2">
      <c r="A3991" s="496"/>
      <c r="D3991" s="496"/>
    </row>
    <row r="3992" spans="1:4" x14ac:dyDescent="0.2">
      <c r="A3992" s="496"/>
      <c r="D3992" s="496"/>
    </row>
    <row r="3993" spans="1:4" x14ac:dyDescent="0.2">
      <c r="A3993" s="496"/>
      <c r="D3993" s="496"/>
    </row>
    <row r="3994" spans="1:4" x14ac:dyDescent="0.2">
      <c r="A3994" s="496"/>
      <c r="D3994" s="496"/>
    </row>
    <row r="3995" spans="1:4" x14ac:dyDescent="0.2">
      <c r="A3995" s="496"/>
      <c r="D3995" s="496"/>
    </row>
    <row r="3996" spans="1:4" x14ac:dyDescent="0.2">
      <c r="A3996" s="496"/>
      <c r="D3996" s="496"/>
    </row>
    <row r="3997" spans="1:4" x14ac:dyDescent="0.2">
      <c r="A3997" s="496"/>
      <c r="D3997" s="496"/>
    </row>
    <row r="3998" spans="1:4" x14ac:dyDescent="0.2">
      <c r="A3998" s="496"/>
      <c r="D3998" s="496"/>
    </row>
    <row r="3999" spans="1:4" x14ac:dyDescent="0.2">
      <c r="A3999" s="496"/>
      <c r="D3999" s="496"/>
    </row>
    <row r="4000" spans="1:4" x14ac:dyDescent="0.2">
      <c r="A4000" s="496"/>
      <c r="D4000" s="496"/>
    </row>
    <row r="4001" spans="1:4" x14ac:dyDescent="0.2">
      <c r="A4001" s="496"/>
      <c r="D4001" s="496"/>
    </row>
    <row r="4002" spans="1:4" x14ac:dyDescent="0.2">
      <c r="A4002" s="496"/>
      <c r="D4002" s="496"/>
    </row>
    <row r="4003" spans="1:4" x14ac:dyDescent="0.2">
      <c r="A4003" s="496"/>
      <c r="D4003" s="496"/>
    </row>
    <row r="4004" spans="1:4" x14ac:dyDescent="0.2">
      <c r="A4004" s="496"/>
      <c r="D4004" s="496"/>
    </row>
    <row r="4005" spans="1:4" x14ac:dyDescent="0.2">
      <c r="A4005" s="496"/>
      <c r="D4005" s="496"/>
    </row>
    <row r="4006" spans="1:4" x14ac:dyDescent="0.2">
      <c r="A4006" s="496"/>
      <c r="D4006" s="496"/>
    </row>
    <row r="4007" spans="1:4" x14ac:dyDescent="0.2">
      <c r="A4007" s="496"/>
      <c r="D4007" s="496"/>
    </row>
    <row r="4008" spans="1:4" x14ac:dyDescent="0.2">
      <c r="A4008" s="496"/>
      <c r="D4008" s="496"/>
    </row>
    <row r="4009" spans="1:4" x14ac:dyDescent="0.2">
      <c r="A4009" s="496"/>
      <c r="D4009" s="496"/>
    </row>
    <row r="4010" spans="1:4" x14ac:dyDescent="0.2">
      <c r="A4010" s="496"/>
      <c r="D4010" s="496"/>
    </row>
    <row r="4011" spans="1:4" x14ac:dyDescent="0.2">
      <c r="A4011" s="496"/>
      <c r="D4011" s="496"/>
    </row>
    <row r="4012" spans="1:4" x14ac:dyDescent="0.2">
      <c r="A4012" s="496"/>
      <c r="D4012" s="496"/>
    </row>
    <row r="4013" spans="1:4" x14ac:dyDescent="0.2">
      <c r="A4013" s="496"/>
      <c r="D4013" s="496"/>
    </row>
    <row r="4014" spans="1:4" x14ac:dyDescent="0.2">
      <c r="A4014" s="496"/>
      <c r="D4014" s="496"/>
    </row>
    <row r="4015" spans="1:4" x14ac:dyDescent="0.2">
      <c r="A4015" s="496"/>
      <c r="D4015" s="496"/>
    </row>
    <row r="4016" spans="1:4" x14ac:dyDescent="0.2">
      <c r="A4016" s="496"/>
      <c r="D4016" s="496"/>
    </row>
    <row r="4017" spans="1:4" x14ac:dyDescent="0.2">
      <c r="A4017" s="496"/>
      <c r="D4017" s="496"/>
    </row>
    <row r="4018" spans="1:4" x14ac:dyDescent="0.2">
      <c r="A4018" s="496"/>
      <c r="D4018" s="496"/>
    </row>
    <row r="4019" spans="1:4" x14ac:dyDescent="0.2">
      <c r="A4019" s="496"/>
      <c r="D4019" s="496"/>
    </row>
    <row r="4020" spans="1:4" x14ac:dyDescent="0.2">
      <c r="A4020" s="496"/>
      <c r="D4020" s="496"/>
    </row>
    <row r="4021" spans="1:4" x14ac:dyDescent="0.2">
      <c r="A4021" s="496"/>
      <c r="D4021" s="496"/>
    </row>
    <row r="4022" spans="1:4" x14ac:dyDescent="0.2">
      <c r="A4022" s="496"/>
      <c r="D4022" s="496"/>
    </row>
    <row r="4023" spans="1:4" x14ac:dyDescent="0.2">
      <c r="A4023" s="496"/>
      <c r="D4023" s="496"/>
    </row>
    <row r="4024" spans="1:4" x14ac:dyDescent="0.2">
      <c r="A4024" s="496"/>
      <c r="D4024" s="496"/>
    </row>
    <row r="4025" spans="1:4" x14ac:dyDescent="0.2">
      <c r="A4025" s="496"/>
      <c r="D4025" s="496"/>
    </row>
    <row r="4026" spans="1:4" x14ac:dyDescent="0.2">
      <c r="A4026" s="496"/>
      <c r="D4026" s="496"/>
    </row>
    <row r="4027" spans="1:4" x14ac:dyDescent="0.2">
      <c r="A4027" s="496"/>
      <c r="D4027" s="496"/>
    </row>
    <row r="4028" spans="1:4" x14ac:dyDescent="0.2">
      <c r="A4028" s="496"/>
      <c r="D4028" s="496"/>
    </row>
    <row r="4029" spans="1:4" x14ac:dyDescent="0.2">
      <c r="A4029" s="496"/>
      <c r="D4029" s="496"/>
    </row>
    <row r="4030" spans="1:4" x14ac:dyDescent="0.2">
      <c r="A4030" s="496"/>
      <c r="D4030" s="496"/>
    </row>
    <row r="4031" spans="1:4" x14ac:dyDescent="0.2">
      <c r="A4031" s="496"/>
      <c r="D4031" s="496"/>
    </row>
    <row r="4032" spans="1:4" x14ac:dyDescent="0.2">
      <c r="A4032" s="496"/>
      <c r="D4032" s="496"/>
    </row>
    <row r="4033" spans="1:4" x14ac:dyDescent="0.2">
      <c r="A4033" s="496"/>
      <c r="D4033" s="496"/>
    </row>
    <row r="4034" spans="1:4" x14ac:dyDescent="0.2">
      <c r="A4034" s="496"/>
      <c r="D4034" s="496"/>
    </row>
    <row r="4035" spans="1:4" x14ac:dyDescent="0.2">
      <c r="A4035" s="496"/>
      <c r="D4035" s="496"/>
    </row>
    <row r="4036" spans="1:4" x14ac:dyDescent="0.2">
      <c r="A4036" s="496"/>
      <c r="D4036" s="496"/>
    </row>
    <row r="4037" spans="1:4" x14ac:dyDescent="0.2">
      <c r="A4037" s="496"/>
      <c r="D4037" s="496"/>
    </row>
    <row r="4038" spans="1:4" x14ac:dyDescent="0.2">
      <c r="A4038" s="496"/>
      <c r="D4038" s="496"/>
    </row>
    <row r="4039" spans="1:4" x14ac:dyDescent="0.2">
      <c r="A4039" s="496"/>
      <c r="D4039" s="496"/>
    </row>
    <row r="4040" spans="1:4" x14ac:dyDescent="0.2">
      <c r="A4040" s="496"/>
      <c r="D4040" s="496"/>
    </row>
    <row r="4041" spans="1:4" x14ac:dyDescent="0.2">
      <c r="A4041" s="496"/>
      <c r="D4041" s="496"/>
    </row>
    <row r="4042" spans="1:4" x14ac:dyDescent="0.2">
      <c r="A4042" s="496"/>
      <c r="D4042" s="496"/>
    </row>
    <row r="4043" spans="1:4" x14ac:dyDescent="0.2">
      <c r="A4043" s="496"/>
      <c r="D4043" s="496"/>
    </row>
    <row r="4044" spans="1:4" x14ac:dyDescent="0.2">
      <c r="A4044" s="496"/>
      <c r="D4044" s="496"/>
    </row>
    <row r="4045" spans="1:4" x14ac:dyDescent="0.2">
      <c r="A4045" s="496"/>
      <c r="D4045" s="496"/>
    </row>
    <row r="4046" spans="1:4" x14ac:dyDescent="0.2">
      <c r="A4046" s="496"/>
      <c r="D4046" s="496"/>
    </row>
    <row r="4047" spans="1:4" x14ac:dyDescent="0.2">
      <c r="A4047" s="496"/>
      <c r="D4047" s="496"/>
    </row>
    <row r="4048" spans="1:4" x14ac:dyDescent="0.2">
      <c r="A4048" s="496"/>
      <c r="D4048" s="496"/>
    </row>
    <row r="4049" spans="1:4" x14ac:dyDescent="0.2">
      <c r="A4049" s="496"/>
      <c r="D4049" s="496"/>
    </row>
    <row r="4050" spans="1:4" x14ac:dyDescent="0.2">
      <c r="A4050" s="496"/>
      <c r="D4050" s="496"/>
    </row>
    <row r="4051" spans="1:4" x14ac:dyDescent="0.2">
      <c r="A4051" s="496"/>
      <c r="D4051" s="496"/>
    </row>
    <row r="4052" spans="1:4" x14ac:dyDescent="0.2">
      <c r="A4052" s="496"/>
      <c r="D4052" s="496"/>
    </row>
    <row r="4053" spans="1:4" x14ac:dyDescent="0.2">
      <c r="A4053" s="496"/>
      <c r="D4053" s="496"/>
    </row>
    <row r="4054" spans="1:4" x14ac:dyDescent="0.2">
      <c r="A4054" s="496"/>
      <c r="D4054" s="496"/>
    </row>
    <row r="4055" spans="1:4" x14ac:dyDescent="0.2">
      <c r="A4055" s="496"/>
      <c r="D4055" s="496"/>
    </row>
    <row r="4056" spans="1:4" x14ac:dyDescent="0.2">
      <c r="A4056" s="496"/>
      <c r="D4056" s="496"/>
    </row>
    <row r="4057" spans="1:4" x14ac:dyDescent="0.2">
      <c r="A4057" s="496"/>
      <c r="D4057" s="496"/>
    </row>
    <row r="4058" spans="1:4" x14ac:dyDescent="0.2">
      <c r="A4058" s="496"/>
      <c r="D4058" s="496"/>
    </row>
    <row r="4059" spans="1:4" x14ac:dyDescent="0.2">
      <c r="A4059" s="496"/>
      <c r="D4059" s="496"/>
    </row>
    <row r="4060" spans="1:4" x14ac:dyDescent="0.2">
      <c r="A4060" s="496"/>
      <c r="D4060" s="496"/>
    </row>
    <row r="4061" spans="1:4" x14ac:dyDescent="0.2">
      <c r="A4061" s="496"/>
      <c r="D4061" s="496"/>
    </row>
    <row r="4062" spans="1:4" x14ac:dyDescent="0.2">
      <c r="A4062" s="496"/>
      <c r="D4062" s="496"/>
    </row>
    <row r="4063" spans="1:4" x14ac:dyDescent="0.2">
      <c r="A4063" s="496"/>
      <c r="D4063" s="496"/>
    </row>
    <row r="4064" spans="1:4" x14ac:dyDescent="0.2">
      <c r="A4064" s="496"/>
      <c r="D4064" s="496"/>
    </row>
    <row r="4065" spans="1:4" x14ac:dyDescent="0.2">
      <c r="A4065" s="496"/>
      <c r="D4065" s="496"/>
    </row>
    <row r="4066" spans="1:4" x14ac:dyDescent="0.2">
      <c r="A4066" s="496"/>
      <c r="D4066" s="496"/>
    </row>
    <row r="4067" spans="1:4" x14ac:dyDescent="0.2">
      <c r="A4067" s="496"/>
      <c r="D4067" s="496"/>
    </row>
    <row r="4068" spans="1:4" x14ac:dyDescent="0.2">
      <c r="A4068" s="496"/>
      <c r="D4068" s="496"/>
    </row>
    <row r="4069" spans="1:4" x14ac:dyDescent="0.2">
      <c r="A4069" s="496"/>
      <c r="D4069" s="496"/>
    </row>
    <row r="4070" spans="1:4" x14ac:dyDescent="0.2">
      <c r="A4070" s="496"/>
      <c r="D4070" s="496"/>
    </row>
    <row r="4071" spans="1:4" x14ac:dyDescent="0.2">
      <c r="A4071" s="496"/>
      <c r="D4071" s="496"/>
    </row>
    <row r="4072" spans="1:4" x14ac:dyDescent="0.2">
      <c r="A4072" s="496"/>
      <c r="D4072" s="496"/>
    </row>
    <row r="4073" spans="1:4" x14ac:dyDescent="0.2">
      <c r="A4073" s="496"/>
      <c r="D4073" s="496"/>
    </row>
    <row r="4074" spans="1:4" x14ac:dyDescent="0.2">
      <c r="A4074" s="496"/>
      <c r="D4074" s="496"/>
    </row>
    <row r="4075" spans="1:4" x14ac:dyDescent="0.2">
      <c r="A4075" s="496"/>
      <c r="D4075" s="496"/>
    </row>
    <row r="4076" spans="1:4" x14ac:dyDescent="0.2">
      <c r="A4076" s="496"/>
      <c r="D4076" s="496"/>
    </row>
    <row r="4077" spans="1:4" x14ac:dyDescent="0.2">
      <c r="A4077" s="496"/>
      <c r="D4077" s="496"/>
    </row>
    <row r="4078" spans="1:4" x14ac:dyDescent="0.2">
      <c r="A4078" s="496"/>
      <c r="D4078" s="496"/>
    </row>
    <row r="4079" spans="1:4" x14ac:dyDescent="0.2">
      <c r="A4079" s="496"/>
      <c r="D4079" s="496"/>
    </row>
    <row r="4080" spans="1:4" x14ac:dyDescent="0.2">
      <c r="A4080" s="496"/>
      <c r="D4080" s="496"/>
    </row>
    <row r="4081" spans="1:4" x14ac:dyDescent="0.2">
      <c r="A4081" s="496"/>
      <c r="D4081" s="496"/>
    </row>
    <row r="4082" spans="1:4" x14ac:dyDescent="0.2">
      <c r="A4082" s="496"/>
      <c r="D4082" s="496"/>
    </row>
    <row r="4083" spans="1:4" x14ac:dyDescent="0.2">
      <c r="A4083" s="496"/>
      <c r="D4083" s="496"/>
    </row>
    <row r="4084" spans="1:4" x14ac:dyDescent="0.2">
      <c r="A4084" s="496"/>
      <c r="D4084" s="496"/>
    </row>
    <row r="4085" spans="1:4" x14ac:dyDescent="0.2">
      <c r="A4085" s="496"/>
      <c r="D4085" s="496"/>
    </row>
    <row r="4086" spans="1:4" x14ac:dyDescent="0.2">
      <c r="A4086" s="496"/>
      <c r="D4086" s="496"/>
    </row>
    <row r="4087" spans="1:4" x14ac:dyDescent="0.2">
      <c r="A4087" s="496"/>
      <c r="D4087" s="496"/>
    </row>
    <row r="4088" spans="1:4" x14ac:dyDescent="0.2">
      <c r="A4088" s="496"/>
      <c r="D4088" s="496"/>
    </row>
    <row r="4089" spans="1:4" x14ac:dyDescent="0.2">
      <c r="A4089" s="496"/>
      <c r="D4089" s="496"/>
    </row>
    <row r="4090" spans="1:4" x14ac:dyDescent="0.2">
      <c r="A4090" s="496"/>
      <c r="D4090" s="496"/>
    </row>
    <row r="4091" spans="1:4" x14ac:dyDescent="0.2">
      <c r="A4091" s="496"/>
      <c r="D4091" s="496"/>
    </row>
    <row r="4092" spans="1:4" x14ac:dyDescent="0.2">
      <c r="A4092" s="496"/>
      <c r="D4092" s="496"/>
    </row>
    <row r="4093" spans="1:4" x14ac:dyDescent="0.2">
      <c r="A4093" s="496"/>
      <c r="D4093" s="496"/>
    </row>
    <row r="4094" spans="1:4" x14ac:dyDescent="0.2">
      <c r="A4094" s="496"/>
      <c r="D4094" s="496"/>
    </row>
    <row r="4095" spans="1:4" x14ac:dyDescent="0.2">
      <c r="A4095" s="496"/>
      <c r="D4095" s="496"/>
    </row>
    <row r="4096" spans="1:4" x14ac:dyDescent="0.2">
      <c r="A4096" s="496"/>
      <c r="D4096" s="496"/>
    </row>
    <row r="4097" spans="1:4" x14ac:dyDescent="0.2">
      <c r="A4097" s="496"/>
      <c r="D4097" s="496"/>
    </row>
    <row r="4098" spans="1:4" x14ac:dyDescent="0.2">
      <c r="A4098" s="496"/>
      <c r="D4098" s="496"/>
    </row>
    <row r="4099" spans="1:4" x14ac:dyDescent="0.2">
      <c r="A4099" s="496"/>
      <c r="D4099" s="496"/>
    </row>
    <row r="4100" spans="1:4" x14ac:dyDescent="0.2">
      <c r="A4100" s="496"/>
      <c r="D4100" s="496"/>
    </row>
    <row r="4101" spans="1:4" x14ac:dyDescent="0.2">
      <c r="A4101" s="496"/>
      <c r="D4101" s="496"/>
    </row>
    <row r="4102" spans="1:4" x14ac:dyDescent="0.2">
      <c r="A4102" s="496"/>
      <c r="D4102" s="496"/>
    </row>
    <row r="4103" spans="1:4" x14ac:dyDescent="0.2">
      <c r="A4103" s="496"/>
      <c r="D4103" s="496"/>
    </row>
    <row r="4104" spans="1:4" x14ac:dyDescent="0.2">
      <c r="A4104" s="496"/>
      <c r="D4104" s="496"/>
    </row>
    <row r="4105" spans="1:4" x14ac:dyDescent="0.2">
      <c r="A4105" s="496"/>
      <c r="D4105" s="496"/>
    </row>
    <row r="4106" spans="1:4" x14ac:dyDescent="0.2">
      <c r="A4106" s="496"/>
      <c r="D4106" s="496"/>
    </row>
    <row r="4107" spans="1:4" x14ac:dyDescent="0.2">
      <c r="A4107" s="496"/>
      <c r="D4107" s="496"/>
    </row>
    <row r="4108" spans="1:4" x14ac:dyDescent="0.2">
      <c r="A4108" s="496"/>
      <c r="D4108" s="496"/>
    </row>
    <row r="4109" spans="1:4" x14ac:dyDescent="0.2">
      <c r="A4109" s="496"/>
      <c r="D4109" s="496"/>
    </row>
    <row r="4110" spans="1:4" x14ac:dyDescent="0.2">
      <c r="A4110" s="496"/>
      <c r="D4110" s="496"/>
    </row>
    <row r="4111" spans="1:4" x14ac:dyDescent="0.2">
      <c r="A4111" s="496"/>
      <c r="D4111" s="496"/>
    </row>
    <row r="4112" spans="1:4" x14ac:dyDescent="0.2">
      <c r="A4112" s="496"/>
      <c r="D4112" s="496"/>
    </row>
    <row r="4113" spans="1:4" x14ac:dyDescent="0.2">
      <c r="A4113" s="496"/>
      <c r="D4113" s="496"/>
    </row>
    <row r="4114" spans="1:4" x14ac:dyDescent="0.2">
      <c r="A4114" s="496"/>
      <c r="D4114" s="496"/>
    </row>
    <row r="4115" spans="1:4" x14ac:dyDescent="0.2">
      <c r="A4115" s="496"/>
      <c r="D4115" s="496"/>
    </row>
    <row r="4116" spans="1:4" x14ac:dyDescent="0.2">
      <c r="A4116" s="496"/>
      <c r="D4116" s="496"/>
    </row>
    <row r="4117" spans="1:4" x14ac:dyDescent="0.2">
      <c r="A4117" s="496"/>
      <c r="D4117" s="496"/>
    </row>
    <row r="4118" spans="1:4" x14ac:dyDescent="0.2">
      <c r="A4118" s="496"/>
      <c r="D4118" s="496"/>
    </row>
    <row r="4119" spans="1:4" x14ac:dyDescent="0.2">
      <c r="A4119" s="496"/>
      <c r="D4119" s="496"/>
    </row>
    <row r="4120" spans="1:4" x14ac:dyDescent="0.2">
      <c r="A4120" s="496"/>
      <c r="D4120" s="496"/>
    </row>
    <row r="4121" spans="1:4" x14ac:dyDescent="0.2">
      <c r="A4121" s="496"/>
      <c r="D4121" s="496"/>
    </row>
    <row r="4122" spans="1:4" x14ac:dyDescent="0.2">
      <c r="A4122" s="496"/>
      <c r="D4122" s="496"/>
    </row>
    <row r="4123" spans="1:4" x14ac:dyDescent="0.2">
      <c r="A4123" s="496"/>
      <c r="D4123" s="496"/>
    </row>
    <row r="4124" spans="1:4" x14ac:dyDescent="0.2">
      <c r="A4124" s="496"/>
      <c r="D4124" s="496"/>
    </row>
    <row r="4125" spans="1:4" x14ac:dyDescent="0.2">
      <c r="A4125" s="496"/>
      <c r="D4125" s="496"/>
    </row>
    <row r="4126" spans="1:4" x14ac:dyDescent="0.2">
      <c r="A4126" s="496"/>
      <c r="D4126" s="496"/>
    </row>
    <row r="4127" spans="1:4" x14ac:dyDescent="0.2">
      <c r="A4127" s="496"/>
      <c r="D4127" s="496"/>
    </row>
    <row r="4128" spans="1:4" x14ac:dyDescent="0.2">
      <c r="A4128" s="496"/>
      <c r="D4128" s="496"/>
    </row>
    <row r="4129" spans="1:4" x14ac:dyDescent="0.2">
      <c r="A4129" s="496"/>
      <c r="D4129" s="496"/>
    </row>
    <row r="4130" spans="1:4" x14ac:dyDescent="0.2">
      <c r="A4130" s="496"/>
      <c r="D4130" s="496"/>
    </row>
    <row r="4131" spans="1:4" x14ac:dyDescent="0.2">
      <c r="A4131" s="496"/>
      <c r="D4131" s="496"/>
    </row>
    <row r="4132" spans="1:4" x14ac:dyDescent="0.2">
      <c r="A4132" s="496"/>
      <c r="D4132" s="496"/>
    </row>
    <row r="4133" spans="1:4" x14ac:dyDescent="0.2">
      <c r="A4133" s="496"/>
      <c r="D4133" s="496"/>
    </row>
    <row r="4134" spans="1:4" x14ac:dyDescent="0.2">
      <c r="A4134" s="496"/>
      <c r="D4134" s="496"/>
    </row>
    <row r="4135" spans="1:4" x14ac:dyDescent="0.2">
      <c r="A4135" s="496"/>
      <c r="D4135" s="496"/>
    </row>
    <row r="4136" spans="1:4" x14ac:dyDescent="0.2">
      <c r="A4136" s="496"/>
      <c r="D4136" s="496"/>
    </row>
    <row r="4137" spans="1:4" x14ac:dyDescent="0.2">
      <c r="A4137" s="496"/>
      <c r="D4137" s="496"/>
    </row>
    <row r="4138" spans="1:4" x14ac:dyDescent="0.2">
      <c r="A4138" s="496"/>
      <c r="D4138" s="496"/>
    </row>
    <row r="4139" spans="1:4" x14ac:dyDescent="0.2">
      <c r="A4139" s="496"/>
      <c r="D4139" s="496"/>
    </row>
    <row r="4140" spans="1:4" x14ac:dyDescent="0.2">
      <c r="A4140" s="496"/>
      <c r="D4140" s="496"/>
    </row>
    <row r="4141" spans="1:4" x14ac:dyDescent="0.2">
      <c r="A4141" s="496"/>
      <c r="D4141" s="496"/>
    </row>
    <row r="4142" spans="1:4" x14ac:dyDescent="0.2">
      <c r="A4142" s="496"/>
      <c r="D4142" s="496"/>
    </row>
    <row r="4143" spans="1:4" x14ac:dyDescent="0.2">
      <c r="A4143" s="496"/>
      <c r="D4143" s="496"/>
    </row>
    <row r="4144" spans="1:4" x14ac:dyDescent="0.2">
      <c r="A4144" s="496"/>
      <c r="D4144" s="496"/>
    </row>
    <row r="4145" spans="1:4" x14ac:dyDescent="0.2">
      <c r="A4145" s="496"/>
      <c r="D4145" s="496"/>
    </row>
    <row r="4146" spans="1:4" x14ac:dyDescent="0.2">
      <c r="A4146" s="496"/>
      <c r="D4146" s="496"/>
    </row>
    <row r="4147" spans="1:4" x14ac:dyDescent="0.2">
      <c r="A4147" s="496"/>
      <c r="D4147" s="496"/>
    </row>
    <row r="4148" spans="1:4" x14ac:dyDescent="0.2">
      <c r="A4148" s="496"/>
      <c r="D4148" s="496"/>
    </row>
    <row r="4149" spans="1:4" x14ac:dyDescent="0.2">
      <c r="A4149" s="496"/>
      <c r="D4149" s="496"/>
    </row>
    <row r="4150" spans="1:4" x14ac:dyDescent="0.2">
      <c r="A4150" s="496"/>
      <c r="D4150" s="496"/>
    </row>
    <row r="4151" spans="1:4" x14ac:dyDescent="0.2">
      <c r="A4151" s="496"/>
      <c r="D4151" s="496"/>
    </row>
    <row r="4152" spans="1:4" x14ac:dyDescent="0.2">
      <c r="A4152" s="496"/>
      <c r="D4152" s="496"/>
    </row>
    <row r="4153" spans="1:4" x14ac:dyDescent="0.2">
      <c r="A4153" s="496"/>
      <c r="D4153" s="496"/>
    </row>
    <row r="4154" spans="1:4" x14ac:dyDescent="0.2">
      <c r="A4154" s="496"/>
      <c r="D4154" s="496"/>
    </row>
    <row r="4155" spans="1:4" x14ac:dyDescent="0.2">
      <c r="A4155" s="496"/>
      <c r="D4155" s="496"/>
    </row>
    <row r="4156" spans="1:4" x14ac:dyDescent="0.2">
      <c r="A4156" s="496"/>
      <c r="D4156" s="496"/>
    </row>
    <row r="4157" spans="1:4" x14ac:dyDescent="0.2">
      <c r="A4157" s="496"/>
      <c r="D4157" s="496"/>
    </row>
    <row r="4158" spans="1:4" x14ac:dyDescent="0.2">
      <c r="A4158" s="496"/>
      <c r="D4158" s="496"/>
    </row>
    <row r="4159" spans="1:4" x14ac:dyDescent="0.2">
      <c r="A4159" s="496"/>
      <c r="D4159" s="496"/>
    </row>
    <row r="4160" spans="1:4" x14ac:dyDescent="0.2">
      <c r="A4160" s="496"/>
      <c r="D4160" s="496"/>
    </row>
    <row r="4161" spans="1:4" x14ac:dyDescent="0.2">
      <c r="A4161" s="496"/>
      <c r="D4161" s="496"/>
    </row>
    <row r="4162" spans="1:4" x14ac:dyDescent="0.2">
      <c r="A4162" s="496"/>
      <c r="D4162" s="496"/>
    </row>
    <row r="4163" spans="1:4" x14ac:dyDescent="0.2">
      <c r="A4163" s="496"/>
      <c r="D4163" s="496"/>
    </row>
    <row r="4164" spans="1:4" x14ac:dyDescent="0.2">
      <c r="A4164" s="496"/>
      <c r="D4164" s="496"/>
    </row>
    <row r="4165" spans="1:4" x14ac:dyDescent="0.2">
      <c r="A4165" s="496"/>
      <c r="D4165" s="496"/>
    </row>
    <row r="4166" spans="1:4" x14ac:dyDescent="0.2">
      <c r="A4166" s="496"/>
      <c r="D4166" s="496"/>
    </row>
    <row r="4167" spans="1:4" x14ac:dyDescent="0.2">
      <c r="A4167" s="496"/>
      <c r="D4167" s="496"/>
    </row>
    <row r="4168" spans="1:4" x14ac:dyDescent="0.2">
      <c r="A4168" s="496"/>
      <c r="D4168" s="496"/>
    </row>
    <row r="4169" spans="1:4" x14ac:dyDescent="0.2">
      <c r="A4169" s="496"/>
      <c r="D4169" s="496"/>
    </row>
    <row r="4170" spans="1:4" x14ac:dyDescent="0.2">
      <c r="A4170" s="496"/>
      <c r="D4170" s="496"/>
    </row>
    <row r="4171" spans="1:4" x14ac:dyDescent="0.2">
      <c r="A4171" s="496"/>
      <c r="D4171" s="496"/>
    </row>
    <row r="4172" spans="1:4" x14ac:dyDescent="0.2">
      <c r="A4172" s="496"/>
      <c r="D4172" s="496"/>
    </row>
    <row r="4173" spans="1:4" x14ac:dyDescent="0.2">
      <c r="A4173" s="496"/>
      <c r="D4173" s="496"/>
    </row>
    <row r="4174" spans="1:4" x14ac:dyDescent="0.2">
      <c r="A4174" s="496"/>
      <c r="D4174" s="496"/>
    </row>
    <row r="4175" spans="1:4" x14ac:dyDescent="0.2">
      <c r="A4175" s="496"/>
      <c r="D4175" s="496"/>
    </row>
    <row r="4176" spans="1:4" x14ac:dyDescent="0.2">
      <c r="A4176" s="496"/>
      <c r="D4176" s="496"/>
    </row>
    <row r="4177" spans="1:4" x14ac:dyDescent="0.2">
      <c r="A4177" s="496"/>
      <c r="D4177" s="496"/>
    </row>
    <row r="4178" spans="1:4" x14ac:dyDescent="0.2">
      <c r="A4178" s="496"/>
      <c r="D4178" s="496"/>
    </row>
    <row r="4179" spans="1:4" x14ac:dyDescent="0.2">
      <c r="A4179" s="496"/>
      <c r="D4179" s="496"/>
    </row>
    <row r="4180" spans="1:4" x14ac:dyDescent="0.2">
      <c r="A4180" s="496"/>
      <c r="D4180" s="496"/>
    </row>
    <row r="4181" spans="1:4" x14ac:dyDescent="0.2">
      <c r="A4181" s="496"/>
      <c r="D4181" s="496"/>
    </row>
    <row r="4182" spans="1:4" x14ac:dyDescent="0.2">
      <c r="A4182" s="496"/>
      <c r="D4182" s="496"/>
    </row>
    <row r="4183" spans="1:4" x14ac:dyDescent="0.2">
      <c r="A4183" s="496"/>
      <c r="D4183" s="496"/>
    </row>
    <row r="4184" spans="1:4" x14ac:dyDescent="0.2">
      <c r="A4184" s="496"/>
      <c r="D4184" s="496"/>
    </row>
    <row r="4185" spans="1:4" x14ac:dyDescent="0.2">
      <c r="A4185" s="496"/>
      <c r="D4185" s="496"/>
    </row>
    <row r="4186" spans="1:4" x14ac:dyDescent="0.2">
      <c r="A4186" s="496"/>
      <c r="D4186" s="496"/>
    </row>
    <row r="4187" spans="1:4" x14ac:dyDescent="0.2">
      <c r="A4187" s="496"/>
      <c r="D4187" s="496"/>
    </row>
    <row r="4188" spans="1:4" x14ac:dyDescent="0.2">
      <c r="A4188" s="496"/>
      <c r="D4188" s="496"/>
    </row>
    <row r="4189" spans="1:4" x14ac:dyDescent="0.2">
      <c r="A4189" s="496"/>
      <c r="D4189" s="496"/>
    </row>
    <row r="4190" spans="1:4" x14ac:dyDescent="0.2">
      <c r="A4190" s="496"/>
      <c r="D4190" s="496"/>
    </row>
    <row r="4191" spans="1:4" x14ac:dyDescent="0.2">
      <c r="A4191" s="496"/>
      <c r="D4191" s="496"/>
    </row>
    <row r="4192" spans="1:4" x14ac:dyDescent="0.2">
      <c r="A4192" s="496"/>
      <c r="D4192" s="496"/>
    </row>
    <row r="4193" spans="1:4" x14ac:dyDescent="0.2">
      <c r="A4193" s="496"/>
      <c r="D4193" s="496"/>
    </row>
    <row r="4194" spans="1:4" x14ac:dyDescent="0.2">
      <c r="A4194" s="496"/>
      <c r="D4194" s="496"/>
    </row>
    <row r="4195" spans="1:4" x14ac:dyDescent="0.2">
      <c r="A4195" s="496"/>
      <c r="D4195" s="496"/>
    </row>
    <row r="4196" spans="1:4" x14ac:dyDescent="0.2">
      <c r="A4196" s="496"/>
      <c r="D4196" s="496"/>
    </row>
    <row r="4197" spans="1:4" x14ac:dyDescent="0.2">
      <c r="A4197" s="496"/>
      <c r="D4197" s="496"/>
    </row>
    <row r="4198" spans="1:4" x14ac:dyDescent="0.2">
      <c r="A4198" s="496"/>
      <c r="D4198" s="496"/>
    </row>
    <row r="4199" spans="1:4" x14ac:dyDescent="0.2">
      <c r="A4199" s="496"/>
      <c r="D4199" s="496"/>
    </row>
    <row r="4200" spans="1:4" x14ac:dyDescent="0.2">
      <c r="A4200" s="496"/>
      <c r="D4200" s="496"/>
    </row>
    <row r="4201" spans="1:4" x14ac:dyDescent="0.2">
      <c r="A4201" s="496"/>
      <c r="D4201" s="496"/>
    </row>
    <row r="4202" spans="1:4" x14ac:dyDescent="0.2">
      <c r="A4202" s="496"/>
      <c r="D4202" s="496"/>
    </row>
    <row r="4203" spans="1:4" x14ac:dyDescent="0.2">
      <c r="A4203" s="496"/>
      <c r="D4203" s="496"/>
    </row>
    <row r="4204" spans="1:4" x14ac:dyDescent="0.2">
      <c r="A4204" s="496"/>
      <c r="D4204" s="496"/>
    </row>
    <row r="4205" spans="1:4" x14ac:dyDescent="0.2">
      <c r="A4205" s="496"/>
      <c r="D4205" s="496"/>
    </row>
    <row r="4206" spans="1:4" x14ac:dyDescent="0.2">
      <c r="A4206" s="496"/>
      <c r="D4206" s="496"/>
    </row>
    <row r="4207" spans="1:4" x14ac:dyDescent="0.2">
      <c r="A4207" s="496"/>
      <c r="D4207" s="496"/>
    </row>
    <row r="4208" spans="1:4" x14ac:dyDescent="0.2">
      <c r="A4208" s="496"/>
      <c r="D4208" s="496"/>
    </row>
    <row r="4209" spans="1:4" x14ac:dyDescent="0.2">
      <c r="A4209" s="496"/>
      <c r="D4209" s="496"/>
    </row>
    <row r="4210" spans="1:4" x14ac:dyDescent="0.2">
      <c r="A4210" s="496"/>
      <c r="D4210" s="496"/>
    </row>
    <row r="4211" spans="1:4" x14ac:dyDescent="0.2">
      <c r="A4211" s="496"/>
      <c r="D4211" s="496"/>
    </row>
    <row r="4212" spans="1:4" x14ac:dyDescent="0.2">
      <c r="A4212" s="496"/>
      <c r="D4212" s="496"/>
    </row>
    <row r="4213" spans="1:4" x14ac:dyDescent="0.2">
      <c r="A4213" s="496"/>
      <c r="D4213" s="496"/>
    </row>
    <row r="4214" spans="1:4" x14ac:dyDescent="0.2">
      <c r="A4214" s="496"/>
      <c r="D4214" s="496"/>
    </row>
    <row r="4215" spans="1:4" x14ac:dyDescent="0.2">
      <c r="A4215" s="496"/>
      <c r="D4215" s="496"/>
    </row>
    <row r="4216" spans="1:4" x14ac:dyDescent="0.2">
      <c r="A4216" s="496"/>
      <c r="D4216" s="496"/>
    </row>
    <row r="4217" spans="1:4" x14ac:dyDescent="0.2">
      <c r="A4217" s="496"/>
      <c r="D4217" s="496"/>
    </row>
    <row r="4218" spans="1:4" x14ac:dyDescent="0.2">
      <c r="A4218" s="496"/>
      <c r="D4218" s="496"/>
    </row>
    <row r="4219" spans="1:4" x14ac:dyDescent="0.2">
      <c r="A4219" s="496"/>
      <c r="D4219" s="496"/>
    </row>
    <row r="4220" spans="1:4" x14ac:dyDescent="0.2">
      <c r="A4220" s="496"/>
      <c r="D4220" s="496"/>
    </row>
    <row r="4221" spans="1:4" x14ac:dyDescent="0.2">
      <c r="A4221" s="496"/>
      <c r="D4221" s="496"/>
    </row>
    <row r="4222" spans="1:4" x14ac:dyDescent="0.2">
      <c r="A4222" s="496"/>
      <c r="D4222" s="496"/>
    </row>
    <row r="4223" spans="1:4" x14ac:dyDescent="0.2">
      <c r="A4223" s="496"/>
      <c r="D4223" s="496"/>
    </row>
    <row r="4224" spans="1:4" x14ac:dyDescent="0.2">
      <c r="A4224" s="496"/>
      <c r="D4224" s="496"/>
    </row>
    <row r="4225" spans="1:4" x14ac:dyDescent="0.2">
      <c r="A4225" s="496"/>
      <c r="D4225" s="496"/>
    </row>
    <row r="4226" spans="1:4" x14ac:dyDescent="0.2">
      <c r="A4226" s="496"/>
      <c r="D4226" s="496"/>
    </row>
    <row r="4227" spans="1:4" x14ac:dyDescent="0.2">
      <c r="A4227" s="496"/>
      <c r="D4227" s="496"/>
    </row>
    <row r="4228" spans="1:4" x14ac:dyDescent="0.2">
      <c r="A4228" s="496"/>
      <c r="D4228" s="496"/>
    </row>
    <row r="4229" spans="1:4" x14ac:dyDescent="0.2">
      <c r="A4229" s="496"/>
      <c r="D4229" s="496"/>
    </row>
    <row r="4230" spans="1:4" x14ac:dyDescent="0.2">
      <c r="A4230" s="496"/>
      <c r="D4230" s="496"/>
    </row>
    <row r="4231" spans="1:4" x14ac:dyDescent="0.2">
      <c r="A4231" s="496"/>
      <c r="D4231" s="496"/>
    </row>
    <row r="4232" spans="1:4" x14ac:dyDescent="0.2">
      <c r="A4232" s="496"/>
      <c r="D4232" s="496"/>
    </row>
    <row r="4233" spans="1:4" x14ac:dyDescent="0.2">
      <c r="A4233" s="496"/>
      <c r="D4233" s="496"/>
    </row>
    <row r="4234" spans="1:4" x14ac:dyDescent="0.2">
      <c r="A4234" s="496"/>
      <c r="D4234" s="496"/>
    </row>
    <row r="4235" spans="1:4" x14ac:dyDescent="0.2">
      <c r="A4235" s="496"/>
      <c r="D4235" s="496"/>
    </row>
    <row r="4236" spans="1:4" x14ac:dyDescent="0.2">
      <c r="A4236" s="496"/>
      <c r="D4236" s="496"/>
    </row>
    <row r="4237" spans="1:4" x14ac:dyDescent="0.2">
      <c r="A4237" s="496"/>
      <c r="D4237" s="496"/>
    </row>
    <row r="4238" spans="1:4" x14ac:dyDescent="0.2">
      <c r="A4238" s="496"/>
      <c r="D4238" s="496"/>
    </row>
    <row r="4239" spans="1:4" x14ac:dyDescent="0.2">
      <c r="A4239" s="496"/>
      <c r="D4239" s="496"/>
    </row>
    <row r="4240" spans="1:4" x14ac:dyDescent="0.2">
      <c r="A4240" s="496"/>
      <c r="D4240" s="496"/>
    </row>
    <row r="4241" spans="1:4" x14ac:dyDescent="0.2">
      <c r="A4241" s="496"/>
      <c r="D4241" s="496"/>
    </row>
    <row r="4242" spans="1:4" x14ac:dyDescent="0.2">
      <c r="A4242" s="496"/>
      <c r="D4242" s="496"/>
    </row>
    <row r="4243" spans="1:4" x14ac:dyDescent="0.2">
      <c r="A4243" s="496"/>
      <c r="D4243" s="496"/>
    </row>
    <row r="4244" spans="1:4" x14ac:dyDescent="0.2">
      <c r="A4244" s="496"/>
      <c r="D4244" s="496"/>
    </row>
    <row r="4245" spans="1:4" x14ac:dyDescent="0.2">
      <c r="A4245" s="496"/>
      <c r="D4245" s="496"/>
    </row>
    <row r="4246" spans="1:4" x14ac:dyDescent="0.2">
      <c r="A4246" s="496"/>
      <c r="D4246" s="496"/>
    </row>
    <row r="4247" spans="1:4" x14ac:dyDescent="0.2">
      <c r="A4247" s="496"/>
      <c r="D4247" s="496"/>
    </row>
    <row r="4248" spans="1:4" x14ac:dyDescent="0.2">
      <c r="A4248" s="496"/>
      <c r="D4248" s="496"/>
    </row>
    <row r="4249" spans="1:4" x14ac:dyDescent="0.2">
      <c r="A4249" s="496"/>
      <c r="D4249" s="496"/>
    </row>
    <row r="4250" spans="1:4" x14ac:dyDescent="0.2">
      <c r="A4250" s="496"/>
      <c r="D4250" s="496"/>
    </row>
    <row r="4251" spans="1:4" x14ac:dyDescent="0.2">
      <c r="A4251" s="496"/>
      <c r="D4251" s="496"/>
    </row>
    <row r="4252" spans="1:4" x14ac:dyDescent="0.2">
      <c r="A4252" s="496"/>
      <c r="D4252" s="496"/>
    </row>
    <row r="4253" spans="1:4" x14ac:dyDescent="0.2">
      <c r="A4253" s="496"/>
      <c r="D4253" s="496"/>
    </row>
    <row r="4254" spans="1:4" x14ac:dyDescent="0.2">
      <c r="A4254" s="496"/>
      <c r="D4254" s="496"/>
    </row>
    <row r="4255" spans="1:4" x14ac:dyDescent="0.2">
      <c r="A4255" s="496"/>
      <c r="D4255" s="496"/>
    </row>
    <row r="4256" spans="1:4" x14ac:dyDescent="0.2">
      <c r="A4256" s="496"/>
      <c r="D4256" s="496"/>
    </row>
    <row r="4257" spans="1:4" x14ac:dyDescent="0.2">
      <c r="A4257" s="496"/>
      <c r="D4257" s="496"/>
    </row>
    <row r="4258" spans="1:4" x14ac:dyDescent="0.2">
      <c r="A4258" s="496"/>
      <c r="D4258" s="496"/>
    </row>
    <row r="4259" spans="1:4" x14ac:dyDescent="0.2">
      <c r="A4259" s="496"/>
      <c r="D4259" s="496"/>
    </row>
    <row r="4260" spans="1:4" x14ac:dyDescent="0.2">
      <c r="A4260" s="496"/>
      <c r="D4260" s="496"/>
    </row>
    <row r="4261" spans="1:4" x14ac:dyDescent="0.2">
      <c r="A4261" s="496"/>
      <c r="D4261" s="496"/>
    </row>
    <row r="4262" spans="1:4" x14ac:dyDescent="0.2">
      <c r="A4262" s="496"/>
      <c r="D4262" s="496"/>
    </row>
    <row r="4263" spans="1:4" x14ac:dyDescent="0.2">
      <c r="A4263" s="496"/>
      <c r="D4263" s="496"/>
    </row>
    <row r="4264" spans="1:4" x14ac:dyDescent="0.2">
      <c r="A4264" s="496"/>
      <c r="D4264" s="496"/>
    </row>
    <row r="4265" spans="1:4" x14ac:dyDescent="0.2">
      <c r="A4265" s="496"/>
      <c r="D4265" s="496"/>
    </row>
    <row r="4266" spans="1:4" x14ac:dyDescent="0.2">
      <c r="A4266" s="496"/>
      <c r="D4266" s="496"/>
    </row>
    <row r="4267" spans="1:4" x14ac:dyDescent="0.2">
      <c r="A4267" s="496"/>
      <c r="D4267" s="496"/>
    </row>
    <row r="4268" spans="1:4" x14ac:dyDescent="0.2">
      <c r="A4268" s="496"/>
      <c r="D4268" s="496"/>
    </row>
    <row r="4269" spans="1:4" x14ac:dyDescent="0.2">
      <c r="A4269" s="496"/>
      <c r="D4269" s="496"/>
    </row>
    <row r="4270" spans="1:4" x14ac:dyDescent="0.2">
      <c r="A4270" s="496"/>
      <c r="D4270" s="496"/>
    </row>
    <row r="4271" spans="1:4" x14ac:dyDescent="0.2">
      <c r="A4271" s="496"/>
      <c r="D4271" s="496"/>
    </row>
    <row r="4272" spans="1:4" x14ac:dyDescent="0.2">
      <c r="A4272" s="496"/>
      <c r="D4272" s="496"/>
    </row>
    <row r="4273" spans="1:4" x14ac:dyDescent="0.2">
      <c r="A4273" s="496"/>
      <c r="D4273" s="496"/>
    </row>
    <row r="4274" spans="1:4" x14ac:dyDescent="0.2">
      <c r="A4274" s="496"/>
      <c r="D4274" s="496"/>
    </row>
    <row r="4275" spans="1:4" x14ac:dyDescent="0.2">
      <c r="A4275" s="496"/>
      <c r="D4275" s="496"/>
    </row>
    <row r="4276" spans="1:4" x14ac:dyDescent="0.2">
      <c r="A4276" s="496"/>
      <c r="D4276" s="496"/>
    </row>
    <row r="4277" spans="1:4" x14ac:dyDescent="0.2">
      <c r="A4277" s="496"/>
      <c r="D4277" s="496"/>
    </row>
    <row r="4278" spans="1:4" x14ac:dyDescent="0.2">
      <c r="A4278" s="496"/>
      <c r="D4278" s="496"/>
    </row>
    <row r="4279" spans="1:4" x14ac:dyDescent="0.2">
      <c r="A4279" s="496"/>
      <c r="D4279" s="496"/>
    </row>
    <row r="4280" spans="1:4" x14ac:dyDescent="0.2">
      <c r="A4280" s="496"/>
      <c r="D4280" s="496"/>
    </row>
    <row r="4281" spans="1:4" x14ac:dyDescent="0.2">
      <c r="A4281" s="496"/>
      <c r="D4281" s="496"/>
    </row>
    <row r="4282" spans="1:4" x14ac:dyDescent="0.2">
      <c r="A4282" s="496"/>
      <c r="D4282" s="496"/>
    </row>
    <row r="4283" spans="1:4" x14ac:dyDescent="0.2">
      <c r="A4283" s="496"/>
      <c r="D4283" s="496"/>
    </row>
    <row r="4284" spans="1:4" x14ac:dyDescent="0.2">
      <c r="A4284" s="496"/>
      <c r="D4284" s="496"/>
    </row>
    <row r="4285" spans="1:4" x14ac:dyDescent="0.2">
      <c r="A4285" s="496"/>
      <c r="D4285" s="496"/>
    </row>
    <row r="4286" spans="1:4" x14ac:dyDescent="0.2">
      <c r="A4286" s="496"/>
      <c r="D4286" s="496"/>
    </row>
    <row r="4287" spans="1:4" x14ac:dyDescent="0.2">
      <c r="A4287" s="496"/>
      <c r="D4287" s="496"/>
    </row>
    <row r="4288" spans="1:4" x14ac:dyDescent="0.2">
      <c r="A4288" s="496"/>
      <c r="D4288" s="496"/>
    </row>
    <row r="4289" spans="1:4" x14ac:dyDescent="0.2">
      <c r="A4289" s="496"/>
      <c r="D4289" s="496"/>
    </row>
    <row r="4290" spans="1:4" x14ac:dyDescent="0.2">
      <c r="A4290" s="496"/>
      <c r="D4290" s="496"/>
    </row>
    <row r="4291" spans="1:4" x14ac:dyDescent="0.2">
      <c r="A4291" s="496"/>
      <c r="D4291" s="496"/>
    </row>
    <row r="4292" spans="1:4" x14ac:dyDescent="0.2">
      <c r="A4292" s="496"/>
      <c r="D4292" s="496"/>
    </row>
    <row r="4293" spans="1:4" x14ac:dyDescent="0.2">
      <c r="A4293" s="496"/>
      <c r="D4293" s="496"/>
    </row>
    <row r="4294" spans="1:4" x14ac:dyDescent="0.2">
      <c r="A4294" s="496"/>
      <c r="D4294" s="496"/>
    </row>
    <row r="4295" spans="1:4" x14ac:dyDescent="0.2">
      <c r="A4295" s="496"/>
      <c r="D4295" s="496"/>
    </row>
    <row r="4296" spans="1:4" x14ac:dyDescent="0.2">
      <c r="A4296" s="496"/>
      <c r="D4296" s="496"/>
    </row>
    <row r="4297" spans="1:4" x14ac:dyDescent="0.2">
      <c r="A4297" s="496"/>
      <c r="D4297" s="496"/>
    </row>
    <row r="4298" spans="1:4" x14ac:dyDescent="0.2">
      <c r="A4298" s="496"/>
      <c r="D4298" s="496"/>
    </row>
    <row r="4299" spans="1:4" x14ac:dyDescent="0.2">
      <c r="A4299" s="496"/>
      <c r="D4299" s="496"/>
    </row>
    <row r="4300" spans="1:4" x14ac:dyDescent="0.2">
      <c r="A4300" s="496"/>
      <c r="D4300" s="496"/>
    </row>
    <row r="4301" spans="1:4" x14ac:dyDescent="0.2">
      <c r="A4301" s="496"/>
      <c r="D4301" s="496"/>
    </row>
    <row r="4302" spans="1:4" x14ac:dyDescent="0.2">
      <c r="A4302" s="496"/>
      <c r="D4302" s="496"/>
    </row>
    <row r="4303" spans="1:4" x14ac:dyDescent="0.2">
      <c r="A4303" s="496"/>
      <c r="D4303" s="496"/>
    </row>
    <row r="4304" spans="1:4" x14ac:dyDescent="0.2">
      <c r="A4304" s="496"/>
      <c r="D4304" s="496"/>
    </row>
    <row r="4305" spans="1:4" x14ac:dyDescent="0.2">
      <c r="A4305" s="496"/>
      <c r="D4305" s="496"/>
    </row>
    <row r="4306" spans="1:4" x14ac:dyDescent="0.2">
      <c r="A4306" s="496"/>
      <c r="D4306" s="496"/>
    </row>
    <row r="4307" spans="1:4" x14ac:dyDescent="0.2">
      <c r="A4307" s="496"/>
      <c r="D4307" s="496"/>
    </row>
    <row r="4308" spans="1:4" x14ac:dyDescent="0.2">
      <c r="A4308" s="496"/>
      <c r="D4308" s="496"/>
    </row>
    <row r="4309" spans="1:4" x14ac:dyDescent="0.2">
      <c r="A4309" s="496"/>
      <c r="D4309" s="496"/>
    </row>
    <row r="4310" spans="1:4" x14ac:dyDescent="0.2">
      <c r="A4310" s="496"/>
      <c r="D4310" s="496"/>
    </row>
    <row r="4311" spans="1:4" x14ac:dyDescent="0.2">
      <c r="A4311" s="496"/>
      <c r="D4311" s="496"/>
    </row>
    <row r="4312" spans="1:4" x14ac:dyDescent="0.2">
      <c r="A4312" s="496"/>
      <c r="D4312" s="496"/>
    </row>
    <row r="4313" spans="1:4" x14ac:dyDescent="0.2">
      <c r="A4313" s="496"/>
      <c r="D4313" s="496"/>
    </row>
    <row r="4314" spans="1:4" x14ac:dyDescent="0.2">
      <c r="A4314" s="496"/>
      <c r="D4314" s="496"/>
    </row>
    <row r="4315" spans="1:4" x14ac:dyDescent="0.2">
      <c r="A4315" s="496"/>
      <c r="D4315" s="496"/>
    </row>
    <row r="4316" spans="1:4" x14ac:dyDescent="0.2">
      <c r="A4316" s="496"/>
      <c r="D4316" s="496"/>
    </row>
    <row r="4317" spans="1:4" x14ac:dyDescent="0.2">
      <c r="A4317" s="496"/>
      <c r="D4317" s="496"/>
    </row>
    <row r="4318" spans="1:4" x14ac:dyDescent="0.2">
      <c r="A4318" s="496"/>
      <c r="D4318" s="496"/>
    </row>
    <row r="4319" spans="1:4" x14ac:dyDescent="0.2">
      <c r="A4319" s="496"/>
      <c r="D4319" s="496"/>
    </row>
    <row r="4320" spans="1:4" x14ac:dyDescent="0.2">
      <c r="A4320" s="496"/>
      <c r="D4320" s="496"/>
    </row>
    <row r="4321" spans="1:4" x14ac:dyDescent="0.2">
      <c r="A4321" s="496"/>
      <c r="D4321" s="496"/>
    </row>
    <row r="4322" spans="1:4" x14ac:dyDescent="0.2">
      <c r="A4322" s="496"/>
      <c r="D4322" s="496"/>
    </row>
    <row r="4323" spans="1:4" x14ac:dyDescent="0.2">
      <c r="A4323" s="496"/>
      <c r="D4323" s="496"/>
    </row>
    <row r="4324" spans="1:4" x14ac:dyDescent="0.2">
      <c r="A4324" s="496"/>
      <c r="D4324" s="496"/>
    </row>
    <row r="4325" spans="1:4" x14ac:dyDescent="0.2">
      <c r="A4325" s="496"/>
      <c r="D4325" s="496"/>
    </row>
    <row r="4326" spans="1:4" x14ac:dyDescent="0.2">
      <c r="A4326" s="496"/>
      <c r="D4326" s="496"/>
    </row>
    <row r="4327" spans="1:4" x14ac:dyDescent="0.2">
      <c r="A4327" s="496"/>
      <c r="D4327" s="496"/>
    </row>
    <row r="4328" spans="1:4" x14ac:dyDescent="0.2">
      <c r="A4328" s="496"/>
      <c r="D4328" s="496"/>
    </row>
    <row r="4329" spans="1:4" x14ac:dyDescent="0.2">
      <c r="A4329" s="496"/>
      <c r="D4329" s="496"/>
    </row>
    <row r="4330" spans="1:4" x14ac:dyDescent="0.2">
      <c r="A4330" s="496"/>
      <c r="D4330" s="496"/>
    </row>
    <row r="4331" spans="1:4" x14ac:dyDescent="0.2">
      <c r="A4331" s="496"/>
      <c r="D4331" s="496"/>
    </row>
    <row r="4332" spans="1:4" x14ac:dyDescent="0.2">
      <c r="A4332" s="496"/>
      <c r="D4332" s="496"/>
    </row>
    <row r="4333" spans="1:4" x14ac:dyDescent="0.2">
      <c r="A4333" s="496"/>
      <c r="D4333" s="496"/>
    </row>
    <row r="4334" spans="1:4" x14ac:dyDescent="0.2">
      <c r="A4334" s="496"/>
      <c r="D4334" s="496"/>
    </row>
    <row r="4335" spans="1:4" x14ac:dyDescent="0.2">
      <c r="A4335" s="496"/>
      <c r="D4335" s="496"/>
    </row>
    <row r="4336" spans="1:4" x14ac:dyDescent="0.2">
      <c r="A4336" s="496"/>
      <c r="D4336" s="496"/>
    </row>
    <row r="4337" spans="1:4" x14ac:dyDescent="0.2">
      <c r="A4337" s="496"/>
      <c r="D4337" s="496"/>
    </row>
    <row r="4338" spans="1:4" x14ac:dyDescent="0.2">
      <c r="A4338" s="496"/>
      <c r="D4338" s="496"/>
    </row>
    <row r="4339" spans="1:4" x14ac:dyDescent="0.2">
      <c r="A4339" s="496"/>
      <c r="D4339" s="496"/>
    </row>
    <row r="4340" spans="1:4" x14ac:dyDescent="0.2">
      <c r="A4340" s="496"/>
      <c r="D4340" s="496"/>
    </row>
    <row r="4341" spans="1:4" x14ac:dyDescent="0.2">
      <c r="A4341" s="496"/>
      <c r="D4341" s="496"/>
    </row>
    <row r="4342" spans="1:4" x14ac:dyDescent="0.2">
      <c r="A4342" s="496"/>
      <c r="D4342" s="496"/>
    </row>
    <row r="4343" spans="1:4" x14ac:dyDescent="0.2">
      <c r="A4343" s="496"/>
      <c r="D4343" s="496"/>
    </row>
    <row r="4344" spans="1:4" x14ac:dyDescent="0.2">
      <c r="A4344" s="496"/>
      <c r="D4344" s="496"/>
    </row>
    <row r="4345" spans="1:4" x14ac:dyDescent="0.2">
      <c r="A4345" s="496"/>
      <c r="D4345" s="496"/>
    </row>
    <row r="4346" spans="1:4" x14ac:dyDescent="0.2">
      <c r="A4346" s="496"/>
      <c r="D4346" s="496"/>
    </row>
    <row r="4347" spans="1:4" x14ac:dyDescent="0.2">
      <c r="A4347" s="496"/>
      <c r="D4347" s="496"/>
    </row>
    <row r="4348" spans="1:4" x14ac:dyDescent="0.2">
      <c r="A4348" s="496"/>
      <c r="D4348" s="496"/>
    </row>
    <row r="4349" spans="1:4" x14ac:dyDescent="0.2">
      <c r="A4349" s="496"/>
      <c r="D4349" s="496"/>
    </row>
    <row r="4350" spans="1:4" x14ac:dyDescent="0.2">
      <c r="A4350" s="496"/>
      <c r="D4350" s="496"/>
    </row>
    <row r="4351" spans="1:4" x14ac:dyDescent="0.2">
      <c r="A4351" s="496"/>
      <c r="D4351" s="496"/>
    </row>
    <row r="4352" spans="1:4" x14ac:dyDescent="0.2">
      <c r="A4352" s="496"/>
      <c r="D4352" s="496"/>
    </row>
    <row r="4353" spans="1:4" x14ac:dyDescent="0.2">
      <c r="A4353" s="496"/>
      <c r="D4353" s="496"/>
    </row>
    <row r="4354" spans="1:4" x14ac:dyDescent="0.2">
      <c r="A4354" s="496"/>
      <c r="D4354" s="496"/>
    </row>
    <row r="4355" spans="1:4" x14ac:dyDescent="0.2">
      <c r="A4355" s="496"/>
      <c r="D4355" s="496"/>
    </row>
    <row r="4356" spans="1:4" x14ac:dyDescent="0.2">
      <c r="A4356" s="496"/>
      <c r="D4356" s="496"/>
    </row>
    <row r="4357" spans="1:4" x14ac:dyDescent="0.2">
      <c r="A4357" s="496"/>
      <c r="D4357" s="496"/>
    </row>
    <row r="4358" spans="1:4" x14ac:dyDescent="0.2">
      <c r="A4358" s="496"/>
      <c r="D4358" s="496"/>
    </row>
    <row r="4359" spans="1:4" x14ac:dyDescent="0.2">
      <c r="A4359" s="496"/>
      <c r="D4359" s="496"/>
    </row>
    <row r="4360" spans="1:4" x14ac:dyDescent="0.2">
      <c r="A4360" s="496"/>
      <c r="D4360" s="496"/>
    </row>
    <row r="4361" spans="1:4" x14ac:dyDescent="0.2">
      <c r="A4361" s="496"/>
      <c r="D4361" s="496"/>
    </row>
    <row r="4362" spans="1:4" x14ac:dyDescent="0.2">
      <c r="A4362" s="496"/>
      <c r="D4362" s="496"/>
    </row>
    <row r="4363" spans="1:4" x14ac:dyDescent="0.2">
      <c r="A4363" s="496"/>
      <c r="D4363" s="496"/>
    </row>
    <row r="4364" spans="1:4" x14ac:dyDescent="0.2">
      <c r="A4364" s="496"/>
      <c r="D4364" s="496"/>
    </row>
    <row r="4365" spans="1:4" x14ac:dyDescent="0.2">
      <c r="A4365" s="496"/>
      <c r="D4365" s="496"/>
    </row>
    <row r="4366" spans="1:4" x14ac:dyDescent="0.2">
      <c r="A4366" s="496"/>
      <c r="D4366" s="496"/>
    </row>
    <row r="4367" spans="1:4" x14ac:dyDescent="0.2">
      <c r="A4367" s="496"/>
      <c r="D4367" s="496"/>
    </row>
    <row r="4368" spans="1:4" x14ac:dyDescent="0.2">
      <c r="A4368" s="496"/>
      <c r="D4368" s="496"/>
    </row>
    <row r="4369" spans="1:4" x14ac:dyDescent="0.2">
      <c r="A4369" s="496"/>
      <c r="D4369" s="496"/>
    </row>
    <row r="4370" spans="1:4" x14ac:dyDescent="0.2">
      <c r="A4370" s="496"/>
      <c r="D4370" s="496"/>
    </row>
    <row r="4371" spans="1:4" x14ac:dyDescent="0.2">
      <c r="A4371" s="496"/>
      <c r="D4371" s="496"/>
    </row>
    <row r="4372" spans="1:4" x14ac:dyDescent="0.2">
      <c r="A4372" s="496"/>
      <c r="D4372" s="496"/>
    </row>
    <row r="4373" spans="1:4" x14ac:dyDescent="0.2">
      <c r="A4373" s="496"/>
      <c r="D4373" s="496"/>
    </row>
    <row r="4374" spans="1:4" x14ac:dyDescent="0.2">
      <c r="A4374" s="496"/>
      <c r="D4374" s="496"/>
    </row>
    <row r="4375" spans="1:4" x14ac:dyDescent="0.2">
      <c r="A4375" s="496"/>
      <c r="D4375" s="496"/>
    </row>
    <row r="4376" spans="1:4" x14ac:dyDescent="0.2">
      <c r="A4376" s="496"/>
      <c r="D4376" s="496"/>
    </row>
    <row r="4377" spans="1:4" x14ac:dyDescent="0.2">
      <c r="A4377" s="496"/>
      <c r="D4377" s="496"/>
    </row>
    <row r="4378" spans="1:4" x14ac:dyDescent="0.2">
      <c r="A4378" s="496"/>
      <c r="D4378" s="496"/>
    </row>
    <row r="4379" spans="1:4" x14ac:dyDescent="0.2">
      <c r="A4379" s="496"/>
      <c r="D4379" s="496"/>
    </row>
    <row r="4380" spans="1:4" x14ac:dyDescent="0.2">
      <c r="A4380" s="496"/>
      <c r="D4380" s="496"/>
    </row>
    <row r="4381" spans="1:4" x14ac:dyDescent="0.2">
      <c r="A4381" s="496"/>
      <c r="D4381" s="496"/>
    </row>
    <row r="4382" spans="1:4" x14ac:dyDescent="0.2">
      <c r="A4382" s="496"/>
      <c r="D4382" s="496"/>
    </row>
    <row r="4383" spans="1:4" x14ac:dyDescent="0.2">
      <c r="A4383" s="496"/>
      <c r="D4383" s="496"/>
    </row>
    <row r="4384" spans="1:4" x14ac:dyDescent="0.2">
      <c r="A4384" s="496"/>
      <c r="D4384" s="496"/>
    </row>
    <row r="4385" spans="1:4" x14ac:dyDescent="0.2">
      <c r="A4385" s="496"/>
      <c r="D4385" s="496"/>
    </row>
    <row r="4386" spans="1:4" x14ac:dyDescent="0.2">
      <c r="A4386" s="496"/>
      <c r="D4386" s="496"/>
    </row>
    <row r="4387" spans="1:4" x14ac:dyDescent="0.2">
      <c r="A4387" s="496"/>
      <c r="D4387" s="496"/>
    </row>
    <row r="4388" spans="1:4" x14ac:dyDescent="0.2">
      <c r="A4388" s="496"/>
      <c r="D4388" s="496"/>
    </row>
    <row r="4389" spans="1:4" x14ac:dyDescent="0.2">
      <c r="A4389" s="496"/>
      <c r="D4389" s="496"/>
    </row>
    <row r="4390" spans="1:4" x14ac:dyDescent="0.2">
      <c r="A4390" s="496"/>
      <c r="D4390" s="496"/>
    </row>
    <row r="4391" spans="1:4" x14ac:dyDescent="0.2">
      <c r="A4391" s="496"/>
      <c r="D4391" s="496"/>
    </row>
    <row r="4392" spans="1:4" x14ac:dyDescent="0.2">
      <c r="A4392" s="496"/>
      <c r="D4392" s="496"/>
    </row>
    <row r="4393" spans="1:4" x14ac:dyDescent="0.2">
      <c r="A4393" s="496"/>
      <c r="D4393" s="496"/>
    </row>
    <row r="4394" spans="1:4" x14ac:dyDescent="0.2">
      <c r="A4394" s="496"/>
      <c r="D4394" s="496"/>
    </row>
    <row r="4395" spans="1:4" x14ac:dyDescent="0.2">
      <c r="A4395" s="496"/>
      <c r="D4395" s="496"/>
    </row>
    <row r="4396" spans="1:4" x14ac:dyDescent="0.2">
      <c r="A4396" s="496"/>
      <c r="D4396" s="496"/>
    </row>
    <row r="4397" spans="1:4" x14ac:dyDescent="0.2">
      <c r="A4397" s="496"/>
      <c r="D4397" s="496"/>
    </row>
    <row r="4398" spans="1:4" x14ac:dyDescent="0.2">
      <c r="A4398" s="496"/>
      <c r="D4398" s="496"/>
    </row>
    <row r="4399" spans="1:4" x14ac:dyDescent="0.2">
      <c r="A4399" s="496"/>
      <c r="D4399" s="496"/>
    </row>
    <row r="4400" spans="1:4" x14ac:dyDescent="0.2">
      <c r="A4400" s="496"/>
      <c r="D4400" s="496"/>
    </row>
    <row r="4401" spans="1:4" x14ac:dyDescent="0.2">
      <c r="A4401" s="496"/>
      <c r="D4401" s="496"/>
    </row>
    <row r="4402" spans="1:4" x14ac:dyDescent="0.2">
      <c r="A4402" s="496"/>
      <c r="D4402" s="496"/>
    </row>
    <row r="4403" spans="1:4" x14ac:dyDescent="0.2">
      <c r="A4403" s="496"/>
      <c r="D4403" s="496"/>
    </row>
    <row r="4404" spans="1:4" x14ac:dyDescent="0.2">
      <c r="A4404" s="496"/>
      <c r="D4404" s="496"/>
    </row>
    <row r="4405" spans="1:4" x14ac:dyDescent="0.2">
      <c r="A4405" s="496"/>
      <c r="D4405" s="496"/>
    </row>
    <row r="4406" spans="1:4" x14ac:dyDescent="0.2">
      <c r="A4406" s="496"/>
      <c r="D4406" s="496"/>
    </row>
    <row r="4407" spans="1:4" x14ac:dyDescent="0.2">
      <c r="A4407" s="496"/>
      <c r="D4407" s="496"/>
    </row>
    <row r="4408" spans="1:4" x14ac:dyDescent="0.2">
      <c r="A4408" s="496"/>
      <c r="D4408" s="496"/>
    </row>
    <row r="4409" spans="1:4" x14ac:dyDescent="0.2">
      <c r="A4409" s="496"/>
      <c r="D4409" s="496"/>
    </row>
    <row r="4410" spans="1:4" x14ac:dyDescent="0.2">
      <c r="A4410" s="496"/>
      <c r="D4410" s="496"/>
    </row>
    <row r="4411" spans="1:4" x14ac:dyDescent="0.2">
      <c r="A4411" s="496"/>
      <c r="D4411" s="496"/>
    </row>
    <row r="4412" spans="1:4" x14ac:dyDescent="0.2">
      <c r="A4412" s="496"/>
      <c r="D4412" s="496"/>
    </row>
    <row r="4413" spans="1:4" x14ac:dyDescent="0.2">
      <c r="A4413" s="496"/>
      <c r="D4413" s="496"/>
    </row>
    <row r="4414" spans="1:4" x14ac:dyDescent="0.2">
      <c r="A4414" s="496"/>
      <c r="D4414" s="496"/>
    </row>
    <row r="4415" spans="1:4" x14ac:dyDescent="0.2">
      <c r="A4415" s="496"/>
      <c r="D4415" s="496"/>
    </row>
    <row r="4416" spans="1:4" x14ac:dyDescent="0.2">
      <c r="A4416" s="496"/>
      <c r="D4416" s="496"/>
    </row>
    <row r="4417" spans="1:4" x14ac:dyDescent="0.2">
      <c r="A4417" s="496"/>
      <c r="D4417" s="496"/>
    </row>
    <row r="4418" spans="1:4" x14ac:dyDescent="0.2">
      <c r="A4418" s="496"/>
      <c r="D4418" s="496"/>
    </row>
    <row r="4419" spans="1:4" x14ac:dyDescent="0.2">
      <c r="A4419" s="496"/>
      <c r="D4419" s="496"/>
    </row>
    <row r="4420" spans="1:4" x14ac:dyDescent="0.2">
      <c r="A4420" s="496"/>
      <c r="D4420" s="496"/>
    </row>
    <row r="4421" spans="1:4" x14ac:dyDescent="0.2">
      <c r="A4421" s="496"/>
      <c r="D4421" s="496"/>
    </row>
    <row r="4422" spans="1:4" x14ac:dyDescent="0.2">
      <c r="A4422" s="496"/>
      <c r="D4422" s="496"/>
    </row>
    <row r="4423" spans="1:4" x14ac:dyDescent="0.2">
      <c r="A4423" s="496"/>
      <c r="D4423" s="496"/>
    </row>
    <row r="4424" spans="1:4" x14ac:dyDescent="0.2">
      <c r="A4424" s="496"/>
      <c r="D4424" s="496"/>
    </row>
    <row r="4425" spans="1:4" x14ac:dyDescent="0.2">
      <c r="A4425" s="496"/>
      <c r="D4425" s="496"/>
    </row>
    <row r="4426" spans="1:4" x14ac:dyDescent="0.2">
      <c r="A4426" s="496"/>
      <c r="D4426" s="496"/>
    </row>
    <row r="4427" spans="1:4" x14ac:dyDescent="0.2">
      <c r="A4427" s="496"/>
      <c r="D4427" s="496"/>
    </row>
    <row r="4428" spans="1:4" x14ac:dyDescent="0.2">
      <c r="A4428" s="496"/>
      <c r="D4428" s="496"/>
    </row>
    <row r="4429" spans="1:4" x14ac:dyDescent="0.2">
      <c r="A4429" s="496"/>
      <c r="D4429" s="496"/>
    </row>
    <row r="4430" spans="1:4" x14ac:dyDescent="0.2">
      <c r="A4430" s="496"/>
      <c r="D4430" s="496"/>
    </row>
    <row r="4431" spans="1:4" x14ac:dyDescent="0.2">
      <c r="A4431" s="496"/>
      <c r="D4431" s="496"/>
    </row>
    <row r="4432" spans="1:4" x14ac:dyDescent="0.2">
      <c r="A4432" s="496"/>
      <c r="D4432" s="496"/>
    </row>
    <row r="4433" spans="1:4" x14ac:dyDescent="0.2">
      <c r="A4433" s="496"/>
      <c r="D4433" s="496"/>
    </row>
    <row r="4434" spans="1:4" x14ac:dyDescent="0.2">
      <c r="A4434" s="496"/>
      <c r="D4434" s="496"/>
    </row>
    <row r="4435" spans="1:4" x14ac:dyDescent="0.2">
      <c r="A4435" s="496"/>
      <c r="D4435" s="496"/>
    </row>
    <row r="4436" spans="1:4" x14ac:dyDescent="0.2">
      <c r="A4436" s="496"/>
      <c r="D4436" s="496"/>
    </row>
    <row r="4437" spans="1:4" x14ac:dyDescent="0.2">
      <c r="A4437" s="496"/>
      <c r="D4437" s="496"/>
    </row>
    <row r="4438" spans="1:4" x14ac:dyDescent="0.2">
      <c r="A4438" s="496"/>
      <c r="D4438" s="496"/>
    </row>
    <row r="4439" spans="1:4" x14ac:dyDescent="0.2">
      <c r="A4439" s="496"/>
      <c r="D4439" s="496"/>
    </row>
    <row r="4440" spans="1:4" x14ac:dyDescent="0.2">
      <c r="A4440" s="496"/>
      <c r="D4440" s="496"/>
    </row>
    <row r="4441" spans="1:4" x14ac:dyDescent="0.2">
      <c r="A4441" s="496"/>
      <c r="D4441" s="496"/>
    </row>
    <row r="4442" spans="1:4" x14ac:dyDescent="0.2">
      <c r="A4442" s="496"/>
      <c r="D4442" s="496"/>
    </row>
    <row r="4443" spans="1:4" x14ac:dyDescent="0.2">
      <c r="A4443" s="496"/>
      <c r="D4443" s="496"/>
    </row>
    <row r="4444" spans="1:4" x14ac:dyDescent="0.2">
      <c r="A4444" s="496"/>
      <c r="D4444" s="496"/>
    </row>
    <row r="4445" spans="1:4" x14ac:dyDescent="0.2">
      <c r="A4445" s="496"/>
      <c r="D4445" s="496"/>
    </row>
    <row r="4446" spans="1:4" x14ac:dyDescent="0.2">
      <c r="A4446" s="496"/>
      <c r="D4446" s="496"/>
    </row>
    <row r="4447" spans="1:4" x14ac:dyDescent="0.2">
      <c r="A4447" s="496"/>
      <c r="D4447" s="496"/>
    </row>
    <row r="4448" spans="1:4" x14ac:dyDescent="0.2">
      <c r="A4448" s="496"/>
      <c r="D4448" s="496"/>
    </row>
    <row r="4449" spans="1:4" x14ac:dyDescent="0.2">
      <c r="A4449" s="496"/>
      <c r="D4449" s="496"/>
    </row>
    <row r="4450" spans="1:4" x14ac:dyDescent="0.2">
      <c r="A4450" s="496"/>
      <c r="D4450" s="496"/>
    </row>
    <row r="4451" spans="1:4" x14ac:dyDescent="0.2">
      <c r="A4451" s="496"/>
      <c r="D4451" s="496"/>
    </row>
    <row r="4452" spans="1:4" x14ac:dyDescent="0.2">
      <c r="A4452" s="496"/>
      <c r="D4452" s="496"/>
    </row>
    <row r="4453" spans="1:4" x14ac:dyDescent="0.2">
      <c r="A4453" s="496"/>
      <c r="D4453" s="496"/>
    </row>
    <row r="4454" spans="1:4" x14ac:dyDescent="0.2">
      <c r="A4454" s="496"/>
      <c r="D4454" s="496"/>
    </row>
    <row r="4455" spans="1:4" x14ac:dyDescent="0.2">
      <c r="A4455" s="496"/>
      <c r="D4455" s="496"/>
    </row>
    <row r="4456" spans="1:4" x14ac:dyDescent="0.2">
      <c r="A4456" s="496"/>
      <c r="D4456" s="496"/>
    </row>
    <row r="4457" spans="1:4" x14ac:dyDescent="0.2">
      <c r="A4457" s="496"/>
      <c r="D4457" s="496"/>
    </row>
    <row r="4458" spans="1:4" x14ac:dyDescent="0.2">
      <c r="A4458" s="496"/>
      <c r="D4458" s="496"/>
    </row>
    <row r="4459" spans="1:4" x14ac:dyDescent="0.2">
      <c r="A4459" s="496"/>
      <c r="D4459" s="496"/>
    </row>
    <row r="4460" spans="1:4" x14ac:dyDescent="0.2">
      <c r="A4460" s="496"/>
      <c r="D4460" s="496"/>
    </row>
    <row r="4461" spans="1:4" x14ac:dyDescent="0.2">
      <c r="A4461" s="496"/>
      <c r="D4461" s="496"/>
    </row>
    <row r="4462" spans="1:4" x14ac:dyDescent="0.2">
      <c r="A4462" s="496"/>
      <c r="D4462" s="496"/>
    </row>
    <row r="4463" spans="1:4" x14ac:dyDescent="0.2">
      <c r="A4463" s="496"/>
      <c r="D4463" s="496"/>
    </row>
    <row r="4464" spans="1:4" x14ac:dyDescent="0.2">
      <c r="A4464" s="496"/>
      <c r="D4464" s="496"/>
    </row>
    <row r="4465" spans="1:4" x14ac:dyDescent="0.2">
      <c r="A4465" s="496"/>
      <c r="D4465" s="496"/>
    </row>
    <row r="4466" spans="1:4" x14ac:dyDescent="0.2">
      <c r="A4466" s="496"/>
      <c r="D4466" s="496"/>
    </row>
    <row r="4467" spans="1:4" x14ac:dyDescent="0.2">
      <c r="A4467" s="496"/>
      <c r="D4467" s="496"/>
    </row>
    <row r="4468" spans="1:4" x14ac:dyDescent="0.2">
      <c r="A4468" s="496"/>
      <c r="D4468" s="496"/>
    </row>
    <row r="4469" spans="1:4" x14ac:dyDescent="0.2">
      <c r="A4469" s="496"/>
      <c r="D4469" s="496"/>
    </row>
    <row r="4470" spans="1:4" x14ac:dyDescent="0.2">
      <c r="A4470" s="496"/>
      <c r="D4470" s="496"/>
    </row>
    <row r="4471" spans="1:4" x14ac:dyDescent="0.2">
      <c r="A4471" s="496"/>
      <c r="D4471" s="496"/>
    </row>
    <row r="4472" spans="1:4" x14ac:dyDescent="0.2">
      <c r="A4472" s="496"/>
      <c r="D4472" s="496"/>
    </row>
    <row r="4473" spans="1:4" x14ac:dyDescent="0.2">
      <c r="A4473" s="496"/>
      <c r="D4473" s="496"/>
    </row>
    <row r="4474" spans="1:4" x14ac:dyDescent="0.2">
      <c r="A4474" s="496"/>
      <c r="D4474" s="496"/>
    </row>
    <row r="4475" spans="1:4" x14ac:dyDescent="0.2">
      <c r="A4475" s="496"/>
      <c r="D4475" s="496"/>
    </row>
    <row r="4476" spans="1:4" x14ac:dyDescent="0.2">
      <c r="A4476" s="496"/>
      <c r="D4476" s="496"/>
    </row>
    <row r="4477" spans="1:4" x14ac:dyDescent="0.2">
      <c r="A4477" s="496"/>
      <c r="D4477" s="496"/>
    </row>
    <row r="4478" spans="1:4" x14ac:dyDescent="0.2">
      <c r="A4478" s="496"/>
      <c r="D4478" s="496"/>
    </row>
    <row r="4479" spans="1:4" x14ac:dyDescent="0.2">
      <c r="A4479" s="496"/>
      <c r="D4479" s="496"/>
    </row>
    <row r="4480" spans="1:4" x14ac:dyDescent="0.2">
      <c r="A4480" s="496"/>
      <c r="D4480" s="496"/>
    </row>
    <row r="4481" spans="1:4" x14ac:dyDescent="0.2">
      <c r="A4481" s="496"/>
      <c r="D4481" s="496"/>
    </row>
    <row r="4482" spans="1:4" x14ac:dyDescent="0.2">
      <c r="A4482" s="496"/>
      <c r="D4482" s="496"/>
    </row>
    <row r="4483" spans="1:4" x14ac:dyDescent="0.2">
      <c r="A4483" s="496"/>
      <c r="D4483" s="496"/>
    </row>
    <row r="4484" spans="1:4" x14ac:dyDescent="0.2">
      <c r="A4484" s="496"/>
      <c r="D4484" s="496"/>
    </row>
    <row r="4485" spans="1:4" x14ac:dyDescent="0.2">
      <c r="A4485" s="496"/>
      <c r="D4485" s="496"/>
    </row>
    <row r="4486" spans="1:4" x14ac:dyDescent="0.2">
      <c r="A4486" s="496"/>
      <c r="D4486" s="496"/>
    </row>
    <row r="4487" spans="1:4" x14ac:dyDescent="0.2">
      <c r="A4487" s="496"/>
      <c r="D4487" s="496"/>
    </row>
    <row r="4488" spans="1:4" x14ac:dyDescent="0.2">
      <c r="A4488" s="496"/>
      <c r="D4488" s="496"/>
    </row>
    <row r="4489" spans="1:4" x14ac:dyDescent="0.2">
      <c r="A4489" s="496"/>
      <c r="D4489" s="496"/>
    </row>
    <row r="4490" spans="1:4" x14ac:dyDescent="0.2">
      <c r="A4490" s="496"/>
      <c r="D4490" s="496"/>
    </row>
    <row r="4491" spans="1:4" x14ac:dyDescent="0.2">
      <c r="A4491" s="496"/>
      <c r="D4491" s="496"/>
    </row>
    <row r="4492" spans="1:4" x14ac:dyDescent="0.2">
      <c r="A4492" s="496"/>
      <c r="D4492" s="496"/>
    </row>
    <row r="4493" spans="1:4" x14ac:dyDescent="0.2">
      <c r="A4493" s="496"/>
      <c r="D4493" s="496"/>
    </row>
    <row r="4494" spans="1:4" x14ac:dyDescent="0.2">
      <c r="A4494" s="496"/>
      <c r="D4494" s="496"/>
    </row>
    <row r="4495" spans="1:4" x14ac:dyDescent="0.2">
      <c r="A4495" s="496"/>
      <c r="D4495" s="496"/>
    </row>
    <row r="4496" spans="1:4" x14ac:dyDescent="0.2">
      <c r="A4496" s="496"/>
      <c r="D4496" s="496"/>
    </row>
    <row r="4497" spans="1:4" x14ac:dyDescent="0.2">
      <c r="A4497" s="496"/>
      <c r="D4497" s="496"/>
    </row>
    <row r="4498" spans="1:4" x14ac:dyDescent="0.2">
      <c r="A4498" s="496"/>
      <c r="D4498" s="496"/>
    </row>
    <row r="4499" spans="1:4" x14ac:dyDescent="0.2">
      <c r="A4499" s="496"/>
      <c r="D4499" s="496"/>
    </row>
    <row r="4500" spans="1:4" x14ac:dyDescent="0.2">
      <c r="A4500" s="496"/>
      <c r="D4500" s="496"/>
    </row>
    <row r="4501" spans="1:4" x14ac:dyDescent="0.2">
      <c r="A4501" s="496"/>
      <c r="D4501" s="496"/>
    </row>
    <row r="4502" spans="1:4" x14ac:dyDescent="0.2">
      <c r="A4502" s="496"/>
      <c r="D4502" s="496"/>
    </row>
    <row r="4503" spans="1:4" x14ac:dyDescent="0.2">
      <c r="A4503" s="496"/>
      <c r="D4503" s="496"/>
    </row>
    <row r="4504" spans="1:4" x14ac:dyDescent="0.2">
      <c r="A4504" s="496"/>
      <c r="D4504" s="496"/>
    </row>
    <row r="4505" spans="1:4" x14ac:dyDescent="0.2">
      <c r="A4505" s="496"/>
      <c r="D4505" s="496"/>
    </row>
    <row r="4506" spans="1:4" x14ac:dyDescent="0.2">
      <c r="A4506" s="496"/>
      <c r="D4506" s="496"/>
    </row>
    <row r="4507" spans="1:4" x14ac:dyDescent="0.2">
      <c r="A4507" s="496"/>
      <c r="D4507" s="496"/>
    </row>
    <row r="4508" spans="1:4" x14ac:dyDescent="0.2">
      <c r="A4508" s="496"/>
      <c r="D4508" s="496"/>
    </row>
    <row r="4509" spans="1:4" x14ac:dyDescent="0.2">
      <c r="A4509" s="496"/>
      <c r="D4509" s="496"/>
    </row>
    <row r="4510" spans="1:4" x14ac:dyDescent="0.2">
      <c r="A4510" s="496"/>
      <c r="D4510" s="496"/>
    </row>
    <row r="4511" spans="1:4" x14ac:dyDescent="0.2">
      <c r="A4511" s="496"/>
      <c r="D4511" s="496"/>
    </row>
    <row r="4512" spans="1:4" x14ac:dyDescent="0.2">
      <c r="A4512" s="496"/>
      <c r="D4512" s="496"/>
    </row>
    <row r="4513" spans="1:4" x14ac:dyDescent="0.2">
      <c r="A4513" s="496"/>
      <c r="D4513" s="496"/>
    </row>
    <row r="4514" spans="1:4" x14ac:dyDescent="0.2">
      <c r="A4514" s="496"/>
      <c r="D4514" s="496"/>
    </row>
    <row r="4515" spans="1:4" x14ac:dyDescent="0.2">
      <c r="A4515" s="496"/>
      <c r="D4515" s="496"/>
    </row>
    <row r="4516" spans="1:4" x14ac:dyDescent="0.2">
      <c r="A4516" s="496"/>
      <c r="D4516" s="496"/>
    </row>
    <row r="4517" spans="1:4" x14ac:dyDescent="0.2">
      <c r="A4517" s="496"/>
      <c r="D4517" s="496"/>
    </row>
    <row r="4518" spans="1:4" x14ac:dyDescent="0.2">
      <c r="A4518" s="496"/>
      <c r="D4518" s="496"/>
    </row>
    <row r="4519" spans="1:4" x14ac:dyDescent="0.2">
      <c r="A4519" s="496"/>
      <c r="D4519" s="496"/>
    </row>
    <row r="4520" spans="1:4" x14ac:dyDescent="0.2">
      <c r="A4520" s="496"/>
      <c r="D4520" s="496"/>
    </row>
    <row r="4521" spans="1:4" x14ac:dyDescent="0.2">
      <c r="A4521" s="496"/>
      <c r="D4521" s="496"/>
    </row>
    <row r="4522" spans="1:4" x14ac:dyDescent="0.2">
      <c r="A4522" s="496"/>
      <c r="D4522" s="496"/>
    </row>
    <row r="4523" spans="1:4" x14ac:dyDescent="0.2">
      <c r="A4523" s="496"/>
      <c r="D4523" s="496"/>
    </row>
    <row r="4524" spans="1:4" x14ac:dyDescent="0.2">
      <c r="A4524" s="496"/>
      <c r="D4524" s="496"/>
    </row>
    <row r="4525" spans="1:4" x14ac:dyDescent="0.2">
      <c r="A4525" s="496"/>
      <c r="D4525" s="496"/>
    </row>
    <row r="4526" spans="1:4" x14ac:dyDescent="0.2">
      <c r="A4526" s="496"/>
      <c r="D4526" s="496"/>
    </row>
    <row r="4527" spans="1:4" x14ac:dyDescent="0.2">
      <c r="A4527" s="496"/>
      <c r="D4527" s="496"/>
    </row>
    <row r="4528" spans="1:4" x14ac:dyDescent="0.2">
      <c r="A4528" s="496"/>
      <c r="D4528" s="496"/>
    </row>
    <row r="4529" spans="1:4" x14ac:dyDescent="0.2">
      <c r="A4529" s="496"/>
      <c r="D4529" s="496"/>
    </row>
    <row r="4530" spans="1:4" x14ac:dyDescent="0.2">
      <c r="A4530" s="496"/>
      <c r="D4530" s="496"/>
    </row>
    <row r="4531" spans="1:4" x14ac:dyDescent="0.2">
      <c r="A4531" s="496"/>
      <c r="D4531" s="496"/>
    </row>
    <row r="4532" spans="1:4" x14ac:dyDescent="0.2">
      <c r="A4532" s="496"/>
      <c r="D4532" s="496"/>
    </row>
    <row r="4533" spans="1:4" x14ac:dyDescent="0.2">
      <c r="A4533" s="496"/>
      <c r="D4533" s="496"/>
    </row>
    <row r="4534" spans="1:4" x14ac:dyDescent="0.2">
      <c r="A4534" s="496"/>
      <c r="D4534" s="496"/>
    </row>
    <row r="4535" spans="1:4" x14ac:dyDescent="0.2">
      <c r="A4535" s="496"/>
      <c r="D4535" s="496"/>
    </row>
    <row r="4536" spans="1:4" x14ac:dyDescent="0.2">
      <c r="A4536" s="496"/>
      <c r="D4536" s="496"/>
    </row>
    <row r="4537" spans="1:4" x14ac:dyDescent="0.2">
      <c r="A4537" s="496"/>
      <c r="D4537" s="496"/>
    </row>
    <row r="4538" spans="1:4" x14ac:dyDescent="0.2">
      <c r="A4538" s="496"/>
      <c r="D4538" s="496"/>
    </row>
    <row r="4539" spans="1:4" x14ac:dyDescent="0.2">
      <c r="A4539" s="496"/>
      <c r="D4539" s="496"/>
    </row>
    <row r="4540" spans="1:4" x14ac:dyDescent="0.2">
      <c r="A4540" s="496"/>
      <c r="D4540" s="496"/>
    </row>
    <row r="4541" spans="1:4" x14ac:dyDescent="0.2">
      <c r="A4541" s="496"/>
      <c r="D4541" s="496"/>
    </row>
    <row r="4542" spans="1:4" x14ac:dyDescent="0.2">
      <c r="A4542" s="496"/>
      <c r="D4542" s="496"/>
    </row>
    <row r="4543" spans="1:4" x14ac:dyDescent="0.2">
      <c r="A4543" s="496"/>
      <c r="D4543" s="496"/>
    </row>
    <row r="4544" spans="1:4" x14ac:dyDescent="0.2">
      <c r="A4544" s="496"/>
      <c r="D4544" s="496"/>
    </row>
    <row r="4545" spans="1:4" x14ac:dyDescent="0.2">
      <c r="A4545" s="496"/>
      <c r="D4545" s="496"/>
    </row>
    <row r="4546" spans="1:4" x14ac:dyDescent="0.2">
      <c r="A4546" s="496"/>
      <c r="D4546" s="496"/>
    </row>
    <row r="4547" spans="1:4" x14ac:dyDescent="0.2">
      <c r="A4547" s="496"/>
      <c r="D4547" s="496"/>
    </row>
    <row r="4548" spans="1:4" x14ac:dyDescent="0.2">
      <c r="A4548" s="496"/>
      <c r="D4548" s="496"/>
    </row>
    <row r="4549" spans="1:4" x14ac:dyDescent="0.2">
      <c r="A4549" s="496"/>
      <c r="D4549" s="496"/>
    </row>
    <row r="4550" spans="1:4" x14ac:dyDescent="0.2">
      <c r="A4550" s="496"/>
      <c r="D4550" s="496"/>
    </row>
    <row r="4551" spans="1:4" x14ac:dyDescent="0.2">
      <c r="A4551" s="496"/>
      <c r="D4551" s="496"/>
    </row>
    <row r="4552" spans="1:4" x14ac:dyDescent="0.2">
      <c r="A4552" s="496"/>
      <c r="D4552" s="496"/>
    </row>
    <row r="4553" spans="1:4" x14ac:dyDescent="0.2">
      <c r="A4553" s="496"/>
      <c r="D4553" s="496"/>
    </row>
    <row r="4554" spans="1:4" x14ac:dyDescent="0.2">
      <c r="A4554" s="496"/>
      <c r="D4554" s="496"/>
    </row>
    <row r="4555" spans="1:4" x14ac:dyDescent="0.2">
      <c r="A4555" s="496"/>
      <c r="D4555" s="496"/>
    </row>
    <row r="4556" spans="1:4" x14ac:dyDescent="0.2">
      <c r="A4556" s="496"/>
      <c r="D4556" s="496"/>
    </row>
    <row r="4557" spans="1:4" x14ac:dyDescent="0.2">
      <c r="A4557" s="496"/>
      <c r="D4557" s="496"/>
    </row>
    <row r="4558" spans="1:4" x14ac:dyDescent="0.2">
      <c r="A4558" s="496"/>
      <c r="D4558" s="496"/>
    </row>
    <row r="4559" spans="1:4" x14ac:dyDescent="0.2">
      <c r="A4559" s="496"/>
      <c r="D4559" s="496"/>
    </row>
    <row r="4560" spans="1:4" x14ac:dyDescent="0.2">
      <c r="A4560" s="496"/>
      <c r="D4560" s="496"/>
    </row>
    <row r="4561" spans="1:4" x14ac:dyDescent="0.2">
      <c r="A4561" s="496"/>
      <c r="D4561" s="496"/>
    </row>
    <row r="4562" spans="1:4" x14ac:dyDescent="0.2">
      <c r="A4562" s="496"/>
      <c r="D4562" s="496"/>
    </row>
    <row r="4563" spans="1:4" x14ac:dyDescent="0.2">
      <c r="A4563" s="496"/>
      <c r="D4563" s="496"/>
    </row>
    <row r="4564" spans="1:4" x14ac:dyDescent="0.2">
      <c r="A4564" s="496"/>
      <c r="D4564" s="496"/>
    </row>
    <row r="4565" spans="1:4" x14ac:dyDescent="0.2">
      <c r="A4565" s="496"/>
      <c r="D4565" s="496"/>
    </row>
    <row r="4566" spans="1:4" x14ac:dyDescent="0.2">
      <c r="A4566" s="496"/>
      <c r="D4566" s="496"/>
    </row>
    <row r="4567" spans="1:4" x14ac:dyDescent="0.2">
      <c r="A4567" s="496"/>
      <c r="D4567" s="496"/>
    </row>
    <row r="4568" spans="1:4" x14ac:dyDescent="0.2">
      <c r="A4568" s="496"/>
      <c r="D4568" s="496"/>
    </row>
    <row r="4569" spans="1:4" x14ac:dyDescent="0.2">
      <c r="A4569" s="496"/>
      <c r="D4569" s="496"/>
    </row>
    <row r="4570" spans="1:4" x14ac:dyDescent="0.2">
      <c r="A4570" s="496"/>
      <c r="D4570" s="496"/>
    </row>
    <row r="4571" spans="1:4" x14ac:dyDescent="0.2">
      <c r="A4571" s="496"/>
      <c r="D4571" s="496"/>
    </row>
    <row r="4572" spans="1:4" x14ac:dyDescent="0.2">
      <c r="A4572" s="496"/>
      <c r="D4572" s="496"/>
    </row>
    <row r="4573" spans="1:4" x14ac:dyDescent="0.2">
      <c r="A4573" s="496"/>
      <c r="D4573" s="496"/>
    </row>
    <row r="4574" spans="1:4" x14ac:dyDescent="0.2">
      <c r="A4574" s="496"/>
      <c r="D4574" s="496"/>
    </row>
    <row r="4575" spans="1:4" x14ac:dyDescent="0.2">
      <c r="A4575" s="496"/>
      <c r="D4575" s="496"/>
    </row>
    <row r="4576" spans="1:4" x14ac:dyDescent="0.2">
      <c r="A4576" s="496"/>
      <c r="D4576" s="496"/>
    </row>
    <row r="4577" spans="1:4" x14ac:dyDescent="0.2">
      <c r="A4577" s="496"/>
      <c r="D4577" s="496"/>
    </row>
    <row r="4578" spans="1:4" x14ac:dyDescent="0.2">
      <c r="A4578" s="496"/>
      <c r="D4578" s="496"/>
    </row>
    <row r="4579" spans="1:4" x14ac:dyDescent="0.2">
      <c r="A4579" s="496"/>
      <c r="D4579" s="496"/>
    </row>
    <row r="4580" spans="1:4" x14ac:dyDescent="0.2">
      <c r="A4580" s="496"/>
      <c r="D4580" s="496"/>
    </row>
    <row r="4581" spans="1:4" x14ac:dyDescent="0.2">
      <c r="A4581" s="496"/>
      <c r="D4581" s="496"/>
    </row>
    <row r="4582" spans="1:4" x14ac:dyDescent="0.2">
      <c r="A4582" s="496"/>
      <c r="D4582" s="496"/>
    </row>
    <row r="4583" spans="1:4" x14ac:dyDescent="0.2">
      <c r="A4583" s="496"/>
      <c r="D4583" s="496"/>
    </row>
    <row r="4584" spans="1:4" x14ac:dyDescent="0.2">
      <c r="A4584" s="496"/>
      <c r="D4584" s="496"/>
    </row>
    <row r="4585" spans="1:4" x14ac:dyDescent="0.2">
      <c r="A4585" s="496"/>
      <c r="D4585" s="496"/>
    </row>
    <row r="4586" spans="1:4" x14ac:dyDescent="0.2">
      <c r="A4586" s="496"/>
      <c r="D4586" s="496"/>
    </row>
    <row r="4587" spans="1:4" x14ac:dyDescent="0.2">
      <c r="A4587" s="496"/>
      <c r="D4587" s="496"/>
    </row>
    <row r="4588" spans="1:4" x14ac:dyDescent="0.2">
      <c r="A4588" s="496"/>
      <c r="D4588" s="496"/>
    </row>
    <row r="4589" spans="1:4" x14ac:dyDescent="0.2">
      <c r="A4589" s="496"/>
      <c r="D4589" s="496"/>
    </row>
    <row r="4590" spans="1:4" x14ac:dyDescent="0.2">
      <c r="A4590" s="496"/>
      <c r="D4590" s="496"/>
    </row>
    <row r="4591" spans="1:4" x14ac:dyDescent="0.2">
      <c r="A4591" s="496"/>
      <c r="D4591" s="496"/>
    </row>
    <row r="4592" spans="1:4" x14ac:dyDescent="0.2">
      <c r="A4592" s="496"/>
      <c r="D4592" s="496"/>
    </row>
    <row r="4593" spans="1:4" x14ac:dyDescent="0.2">
      <c r="A4593" s="496"/>
      <c r="D4593" s="496"/>
    </row>
    <row r="4594" spans="1:4" x14ac:dyDescent="0.2">
      <c r="A4594" s="496"/>
      <c r="D4594" s="496"/>
    </row>
    <row r="4595" spans="1:4" x14ac:dyDescent="0.2">
      <c r="A4595" s="496"/>
      <c r="D4595" s="496"/>
    </row>
    <row r="4596" spans="1:4" x14ac:dyDescent="0.2">
      <c r="A4596" s="496"/>
      <c r="D4596" s="496"/>
    </row>
    <row r="4597" spans="1:4" x14ac:dyDescent="0.2">
      <c r="A4597" s="496"/>
      <c r="D4597" s="496"/>
    </row>
    <row r="4598" spans="1:4" x14ac:dyDescent="0.2">
      <c r="A4598" s="496"/>
      <c r="D4598" s="496"/>
    </row>
    <row r="4599" spans="1:4" x14ac:dyDescent="0.2">
      <c r="A4599" s="496"/>
      <c r="D4599" s="496"/>
    </row>
    <row r="4600" spans="1:4" x14ac:dyDescent="0.2">
      <c r="A4600" s="496"/>
      <c r="D4600" s="496"/>
    </row>
    <row r="4601" spans="1:4" x14ac:dyDescent="0.2">
      <c r="A4601" s="496"/>
      <c r="D4601" s="496"/>
    </row>
    <row r="4602" spans="1:4" x14ac:dyDescent="0.2">
      <c r="A4602" s="496"/>
      <c r="D4602" s="496"/>
    </row>
    <row r="4603" spans="1:4" x14ac:dyDescent="0.2">
      <c r="A4603" s="496"/>
      <c r="D4603" s="496"/>
    </row>
    <row r="4604" spans="1:4" x14ac:dyDescent="0.2">
      <c r="A4604" s="496"/>
      <c r="D4604" s="496"/>
    </row>
    <row r="4605" spans="1:4" x14ac:dyDescent="0.2">
      <c r="A4605" s="496"/>
      <c r="D4605" s="496"/>
    </row>
    <row r="4606" spans="1:4" x14ac:dyDescent="0.2">
      <c r="A4606" s="496"/>
      <c r="D4606" s="496"/>
    </row>
    <row r="4607" spans="1:4" x14ac:dyDescent="0.2">
      <c r="A4607" s="496"/>
      <c r="D4607" s="496"/>
    </row>
    <row r="4608" spans="1:4" x14ac:dyDescent="0.2">
      <c r="A4608" s="496"/>
      <c r="D4608" s="496"/>
    </row>
    <row r="4609" spans="1:4" x14ac:dyDescent="0.2">
      <c r="A4609" s="496"/>
      <c r="D4609" s="496"/>
    </row>
    <row r="4610" spans="1:4" x14ac:dyDescent="0.2">
      <c r="A4610" s="496"/>
      <c r="D4610" s="496"/>
    </row>
    <row r="4611" spans="1:4" x14ac:dyDescent="0.2">
      <c r="A4611" s="496"/>
      <c r="D4611" s="496"/>
    </row>
    <row r="4612" spans="1:4" x14ac:dyDescent="0.2">
      <c r="A4612" s="496"/>
      <c r="D4612" s="496"/>
    </row>
    <row r="4613" spans="1:4" x14ac:dyDescent="0.2">
      <c r="A4613" s="496"/>
      <c r="D4613" s="496"/>
    </row>
    <row r="4614" spans="1:4" x14ac:dyDescent="0.2">
      <c r="A4614" s="496"/>
      <c r="D4614" s="496"/>
    </row>
    <row r="4615" spans="1:4" x14ac:dyDescent="0.2">
      <c r="A4615" s="496"/>
      <c r="D4615" s="496"/>
    </row>
    <row r="4616" spans="1:4" x14ac:dyDescent="0.2">
      <c r="A4616" s="496"/>
      <c r="D4616" s="496"/>
    </row>
    <row r="4617" spans="1:4" x14ac:dyDescent="0.2">
      <c r="A4617" s="496"/>
      <c r="D4617" s="496"/>
    </row>
    <row r="4618" spans="1:4" x14ac:dyDescent="0.2">
      <c r="A4618" s="496"/>
      <c r="D4618" s="496"/>
    </row>
    <row r="4619" spans="1:4" x14ac:dyDescent="0.2">
      <c r="A4619" s="496"/>
      <c r="D4619" s="496"/>
    </row>
    <row r="4620" spans="1:4" x14ac:dyDescent="0.2">
      <c r="A4620" s="496"/>
      <c r="D4620" s="496"/>
    </row>
    <row r="4621" spans="1:4" x14ac:dyDescent="0.2">
      <c r="A4621" s="496"/>
      <c r="D4621" s="496"/>
    </row>
    <row r="4622" spans="1:4" x14ac:dyDescent="0.2">
      <c r="A4622" s="496"/>
      <c r="D4622" s="496"/>
    </row>
    <row r="4623" spans="1:4" x14ac:dyDescent="0.2">
      <c r="A4623" s="496"/>
      <c r="D4623" s="496"/>
    </row>
    <row r="4624" spans="1:4" x14ac:dyDescent="0.2">
      <c r="A4624" s="496"/>
      <c r="D4624" s="496"/>
    </row>
    <row r="4625" spans="1:4" x14ac:dyDescent="0.2">
      <c r="A4625" s="496"/>
      <c r="D4625" s="496"/>
    </row>
    <row r="4626" spans="1:4" x14ac:dyDescent="0.2">
      <c r="A4626" s="496"/>
      <c r="D4626" s="496"/>
    </row>
    <row r="4627" spans="1:4" x14ac:dyDescent="0.2">
      <c r="A4627" s="496"/>
      <c r="D4627" s="496"/>
    </row>
    <row r="4628" spans="1:4" x14ac:dyDescent="0.2">
      <c r="A4628" s="496"/>
      <c r="D4628" s="496"/>
    </row>
    <row r="4629" spans="1:4" x14ac:dyDescent="0.2">
      <c r="A4629" s="496"/>
      <c r="D4629" s="496"/>
    </row>
    <row r="4630" spans="1:4" x14ac:dyDescent="0.2">
      <c r="A4630" s="496"/>
      <c r="D4630" s="496"/>
    </row>
    <row r="4631" spans="1:4" x14ac:dyDescent="0.2">
      <c r="A4631" s="496"/>
      <c r="D4631" s="496"/>
    </row>
    <row r="4632" spans="1:4" x14ac:dyDescent="0.2">
      <c r="A4632" s="496"/>
      <c r="D4632" s="496"/>
    </row>
    <row r="4633" spans="1:4" x14ac:dyDescent="0.2">
      <c r="A4633" s="496"/>
      <c r="D4633" s="496"/>
    </row>
    <row r="4634" spans="1:4" x14ac:dyDescent="0.2">
      <c r="A4634" s="496"/>
      <c r="D4634" s="496"/>
    </row>
    <row r="4635" spans="1:4" x14ac:dyDescent="0.2">
      <c r="A4635" s="496"/>
      <c r="D4635" s="496"/>
    </row>
    <row r="4636" spans="1:4" x14ac:dyDescent="0.2">
      <c r="A4636" s="496"/>
      <c r="D4636" s="496"/>
    </row>
    <row r="4637" spans="1:4" x14ac:dyDescent="0.2">
      <c r="A4637" s="496"/>
      <c r="D4637" s="496"/>
    </row>
    <row r="4638" spans="1:4" x14ac:dyDescent="0.2">
      <c r="A4638" s="496"/>
      <c r="D4638" s="496"/>
    </row>
    <row r="4639" spans="1:4" x14ac:dyDescent="0.2">
      <c r="A4639" s="496"/>
      <c r="D4639" s="496"/>
    </row>
    <row r="4640" spans="1:4" x14ac:dyDescent="0.2">
      <c r="A4640" s="496"/>
      <c r="D4640" s="496"/>
    </row>
    <row r="4641" spans="1:4" x14ac:dyDescent="0.2">
      <c r="A4641" s="496"/>
      <c r="D4641" s="496"/>
    </row>
    <row r="4642" spans="1:4" x14ac:dyDescent="0.2">
      <c r="A4642" s="496"/>
      <c r="D4642" s="496"/>
    </row>
    <row r="4643" spans="1:4" x14ac:dyDescent="0.2">
      <c r="A4643" s="496"/>
      <c r="D4643" s="496"/>
    </row>
    <row r="4644" spans="1:4" x14ac:dyDescent="0.2">
      <c r="A4644" s="496"/>
      <c r="D4644" s="496"/>
    </row>
    <row r="4645" spans="1:4" x14ac:dyDescent="0.2">
      <c r="A4645" s="496"/>
      <c r="D4645" s="496"/>
    </row>
    <row r="4646" spans="1:4" x14ac:dyDescent="0.2">
      <c r="A4646" s="496"/>
      <c r="D4646" s="496"/>
    </row>
    <row r="4647" spans="1:4" x14ac:dyDescent="0.2">
      <c r="A4647" s="496"/>
      <c r="D4647" s="496"/>
    </row>
    <row r="4648" spans="1:4" x14ac:dyDescent="0.2">
      <c r="A4648" s="496"/>
      <c r="D4648" s="496"/>
    </row>
    <row r="4649" spans="1:4" x14ac:dyDescent="0.2">
      <c r="A4649" s="496"/>
      <c r="D4649" s="496"/>
    </row>
    <row r="4650" spans="1:4" x14ac:dyDescent="0.2">
      <c r="A4650" s="496"/>
      <c r="D4650" s="496"/>
    </row>
    <row r="4651" spans="1:4" x14ac:dyDescent="0.2">
      <c r="A4651" s="496"/>
      <c r="D4651" s="496"/>
    </row>
    <row r="4652" spans="1:4" x14ac:dyDescent="0.2">
      <c r="A4652" s="496"/>
      <c r="D4652" s="496"/>
    </row>
    <row r="4653" spans="1:4" x14ac:dyDescent="0.2">
      <c r="A4653" s="496"/>
      <c r="D4653" s="496"/>
    </row>
    <row r="4654" spans="1:4" x14ac:dyDescent="0.2">
      <c r="A4654" s="496"/>
      <c r="D4654" s="496"/>
    </row>
    <row r="4655" spans="1:4" x14ac:dyDescent="0.2">
      <c r="A4655" s="496"/>
      <c r="D4655" s="496"/>
    </row>
    <row r="4656" spans="1:4" x14ac:dyDescent="0.2">
      <c r="A4656" s="496"/>
      <c r="D4656" s="496"/>
    </row>
    <row r="4657" spans="1:4" x14ac:dyDescent="0.2">
      <c r="A4657" s="496"/>
      <c r="D4657" s="496"/>
    </row>
    <row r="4658" spans="1:4" x14ac:dyDescent="0.2">
      <c r="A4658" s="496"/>
      <c r="D4658" s="496"/>
    </row>
    <row r="4659" spans="1:4" x14ac:dyDescent="0.2">
      <c r="A4659" s="496"/>
      <c r="D4659" s="496"/>
    </row>
    <row r="4660" spans="1:4" x14ac:dyDescent="0.2">
      <c r="A4660" s="496"/>
      <c r="D4660" s="496"/>
    </row>
    <row r="4661" spans="1:4" x14ac:dyDescent="0.2">
      <c r="A4661" s="496"/>
      <c r="D4661" s="496"/>
    </row>
    <row r="4662" spans="1:4" x14ac:dyDescent="0.2">
      <c r="A4662" s="496"/>
      <c r="D4662" s="496"/>
    </row>
    <row r="4663" spans="1:4" x14ac:dyDescent="0.2">
      <c r="A4663" s="496"/>
      <c r="D4663" s="496"/>
    </row>
    <row r="4664" spans="1:4" x14ac:dyDescent="0.2">
      <c r="A4664" s="496"/>
      <c r="D4664" s="496"/>
    </row>
    <row r="4665" spans="1:4" x14ac:dyDescent="0.2">
      <c r="A4665" s="496"/>
      <c r="D4665" s="496"/>
    </row>
    <row r="4666" spans="1:4" x14ac:dyDescent="0.2">
      <c r="A4666" s="496"/>
      <c r="D4666" s="496"/>
    </row>
    <row r="4667" spans="1:4" x14ac:dyDescent="0.2">
      <c r="A4667" s="496"/>
      <c r="D4667" s="496"/>
    </row>
    <row r="4668" spans="1:4" x14ac:dyDescent="0.2">
      <c r="A4668" s="496"/>
      <c r="D4668" s="496"/>
    </row>
    <row r="4669" spans="1:4" x14ac:dyDescent="0.2">
      <c r="A4669" s="496"/>
      <c r="D4669" s="496"/>
    </row>
    <row r="4670" spans="1:4" x14ac:dyDescent="0.2">
      <c r="A4670" s="496"/>
      <c r="D4670" s="496"/>
    </row>
    <row r="4671" spans="1:4" x14ac:dyDescent="0.2">
      <c r="A4671" s="496"/>
      <c r="D4671" s="496"/>
    </row>
    <row r="4672" spans="1:4" x14ac:dyDescent="0.2">
      <c r="A4672" s="496"/>
      <c r="D4672" s="496"/>
    </row>
    <row r="4673" spans="1:4" x14ac:dyDescent="0.2">
      <c r="A4673" s="496"/>
      <c r="D4673" s="496"/>
    </row>
    <row r="4674" spans="1:4" x14ac:dyDescent="0.2">
      <c r="A4674" s="496"/>
      <c r="D4674" s="496"/>
    </row>
    <row r="4675" spans="1:4" x14ac:dyDescent="0.2">
      <c r="A4675" s="496"/>
      <c r="D4675" s="496"/>
    </row>
    <row r="4676" spans="1:4" x14ac:dyDescent="0.2">
      <c r="A4676" s="496"/>
      <c r="D4676" s="496"/>
    </row>
    <row r="4677" spans="1:4" x14ac:dyDescent="0.2">
      <c r="A4677" s="496"/>
      <c r="D4677" s="496"/>
    </row>
    <row r="4678" spans="1:4" x14ac:dyDescent="0.2">
      <c r="A4678" s="496"/>
      <c r="D4678" s="496"/>
    </row>
    <row r="4679" spans="1:4" x14ac:dyDescent="0.2">
      <c r="A4679" s="496"/>
      <c r="D4679" s="496"/>
    </row>
    <row r="4680" spans="1:4" x14ac:dyDescent="0.2">
      <c r="A4680" s="496"/>
      <c r="D4680" s="496"/>
    </row>
    <row r="4681" spans="1:4" x14ac:dyDescent="0.2">
      <c r="A4681" s="496"/>
      <c r="D4681" s="496"/>
    </row>
    <row r="4682" spans="1:4" x14ac:dyDescent="0.2">
      <c r="A4682" s="496"/>
      <c r="D4682" s="496"/>
    </row>
    <row r="4683" spans="1:4" x14ac:dyDescent="0.2">
      <c r="A4683" s="496"/>
      <c r="D4683" s="496"/>
    </row>
    <row r="4684" spans="1:4" x14ac:dyDescent="0.2">
      <c r="A4684" s="496"/>
      <c r="D4684" s="496"/>
    </row>
    <row r="4685" spans="1:4" x14ac:dyDescent="0.2">
      <c r="A4685" s="496"/>
      <c r="D4685" s="496"/>
    </row>
    <row r="4686" spans="1:4" x14ac:dyDescent="0.2">
      <c r="A4686" s="496"/>
      <c r="D4686" s="496"/>
    </row>
    <row r="4687" spans="1:4" x14ac:dyDescent="0.2">
      <c r="A4687" s="496"/>
      <c r="D4687" s="496"/>
    </row>
    <row r="4688" spans="1:4" x14ac:dyDescent="0.2">
      <c r="A4688" s="496"/>
      <c r="D4688" s="496"/>
    </row>
    <row r="4689" spans="1:4" x14ac:dyDescent="0.2">
      <c r="A4689" s="496"/>
      <c r="D4689" s="496"/>
    </row>
    <row r="4690" spans="1:4" x14ac:dyDescent="0.2">
      <c r="A4690" s="496"/>
      <c r="D4690" s="496"/>
    </row>
    <row r="4691" spans="1:4" x14ac:dyDescent="0.2">
      <c r="A4691" s="496"/>
      <c r="D4691" s="496"/>
    </row>
    <row r="4692" spans="1:4" x14ac:dyDescent="0.2">
      <c r="A4692" s="496"/>
      <c r="D4692" s="496"/>
    </row>
    <row r="4693" spans="1:4" x14ac:dyDescent="0.2">
      <c r="A4693" s="496"/>
      <c r="D4693" s="496"/>
    </row>
    <row r="4694" spans="1:4" x14ac:dyDescent="0.2">
      <c r="A4694" s="496"/>
      <c r="D4694" s="496"/>
    </row>
    <row r="4695" spans="1:4" x14ac:dyDescent="0.2">
      <c r="A4695" s="496"/>
      <c r="D4695" s="496"/>
    </row>
    <row r="4696" spans="1:4" x14ac:dyDescent="0.2">
      <c r="A4696" s="496"/>
      <c r="D4696" s="496"/>
    </row>
    <row r="4697" spans="1:4" x14ac:dyDescent="0.2">
      <c r="A4697" s="496"/>
      <c r="D4697" s="496"/>
    </row>
    <row r="4698" spans="1:4" x14ac:dyDescent="0.2">
      <c r="A4698" s="496"/>
      <c r="D4698" s="496"/>
    </row>
    <row r="4699" spans="1:4" x14ac:dyDescent="0.2">
      <c r="A4699" s="496"/>
      <c r="D4699" s="496"/>
    </row>
    <row r="4700" spans="1:4" x14ac:dyDescent="0.2">
      <c r="A4700" s="496"/>
      <c r="D4700" s="496"/>
    </row>
    <row r="4701" spans="1:4" x14ac:dyDescent="0.2">
      <c r="A4701" s="496"/>
      <c r="D4701" s="496"/>
    </row>
    <row r="4702" spans="1:4" x14ac:dyDescent="0.2">
      <c r="A4702" s="496"/>
      <c r="D4702" s="496"/>
    </row>
    <row r="4703" spans="1:4" x14ac:dyDescent="0.2">
      <c r="A4703" s="496"/>
      <c r="D4703" s="496"/>
    </row>
    <row r="4704" spans="1:4" x14ac:dyDescent="0.2">
      <c r="A4704" s="496"/>
      <c r="D4704" s="496"/>
    </row>
    <row r="4705" spans="1:4" x14ac:dyDescent="0.2">
      <c r="A4705" s="496"/>
      <c r="D4705" s="496"/>
    </row>
    <row r="4706" spans="1:4" x14ac:dyDescent="0.2">
      <c r="A4706" s="496"/>
      <c r="D4706" s="496"/>
    </row>
    <row r="4707" spans="1:4" x14ac:dyDescent="0.2">
      <c r="A4707" s="496"/>
      <c r="D4707" s="496"/>
    </row>
    <row r="4708" spans="1:4" x14ac:dyDescent="0.2">
      <c r="A4708" s="496"/>
      <c r="D4708" s="496"/>
    </row>
    <row r="4709" spans="1:4" x14ac:dyDescent="0.2">
      <c r="A4709" s="496"/>
      <c r="D4709" s="496"/>
    </row>
    <row r="4710" spans="1:4" x14ac:dyDescent="0.2">
      <c r="A4710" s="496"/>
      <c r="D4710" s="496"/>
    </row>
    <row r="4711" spans="1:4" x14ac:dyDescent="0.2">
      <c r="A4711" s="496"/>
      <c r="D4711" s="496"/>
    </row>
    <row r="4712" spans="1:4" x14ac:dyDescent="0.2">
      <c r="A4712" s="496"/>
      <c r="D4712" s="496"/>
    </row>
    <row r="4713" spans="1:4" x14ac:dyDescent="0.2">
      <c r="A4713" s="496"/>
      <c r="D4713" s="496"/>
    </row>
    <row r="4714" spans="1:4" x14ac:dyDescent="0.2">
      <c r="A4714" s="496"/>
      <c r="D4714" s="496"/>
    </row>
    <row r="4715" spans="1:4" x14ac:dyDescent="0.2">
      <c r="A4715" s="496"/>
      <c r="D4715" s="496"/>
    </row>
    <row r="4716" spans="1:4" x14ac:dyDescent="0.2">
      <c r="A4716" s="496"/>
      <c r="D4716" s="496"/>
    </row>
    <row r="4717" spans="1:4" x14ac:dyDescent="0.2">
      <c r="A4717" s="496"/>
      <c r="D4717" s="496"/>
    </row>
    <row r="4718" spans="1:4" x14ac:dyDescent="0.2">
      <c r="A4718" s="496"/>
      <c r="D4718" s="496"/>
    </row>
    <row r="4719" spans="1:4" x14ac:dyDescent="0.2">
      <c r="A4719" s="496"/>
      <c r="D4719" s="496"/>
    </row>
    <row r="4720" spans="1:4" x14ac:dyDescent="0.2">
      <c r="A4720" s="496"/>
      <c r="D4720" s="496"/>
    </row>
    <row r="4721" spans="1:4" x14ac:dyDescent="0.2">
      <c r="A4721" s="496"/>
      <c r="D4721" s="496"/>
    </row>
    <row r="4722" spans="1:4" x14ac:dyDescent="0.2">
      <c r="A4722" s="496"/>
      <c r="D4722" s="496"/>
    </row>
    <row r="4723" spans="1:4" x14ac:dyDescent="0.2">
      <c r="A4723" s="496"/>
      <c r="D4723" s="496"/>
    </row>
    <row r="4724" spans="1:4" x14ac:dyDescent="0.2">
      <c r="A4724" s="496"/>
      <c r="D4724" s="496"/>
    </row>
    <row r="4725" spans="1:4" x14ac:dyDescent="0.2">
      <c r="A4725" s="496"/>
      <c r="D4725" s="496"/>
    </row>
    <row r="4726" spans="1:4" x14ac:dyDescent="0.2">
      <c r="A4726" s="496"/>
      <c r="D4726" s="496"/>
    </row>
    <row r="4727" spans="1:4" x14ac:dyDescent="0.2">
      <c r="A4727" s="496"/>
      <c r="D4727" s="496"/>
    </row>
    <row r="4728" spans="1:4" x14ac:dyDescent="0.2">
      <c r="A4728" s="496"/>
      <c r="D4728" s="496"/>
    </row>
    <row r="4729" spans="1:4" x14ac:dyDescent="0.2">
      <c r="A4729" s="496"/>
      <c r="D4729" s="496"/>
    </row>
    <row r="4730" spans="1:4" x14ac:dyDescent="0.2">
      <c r="A4730" s="496"/>
      <c r="D4730" s="496"/>
    </row>
    <row r="4731" spans="1:4" x14ac:dyDescent="0.2">
      <c r="A4731" s="496"/>
      <c r="D4731" s="496"/>
    </row>
    <row r="4732" spans="1:4" x14ac:dyDescent="0.2">
      <c r="A4732" s="496"/>
      <c r="D4732" s="496"/>
    </row>
    <row r="4733" spans="1:4" x14ac:dyDescent="0.2">
      <c r="A4733" s="496"/>
      <c r="D4733" s="496"/>
    </row>
    <row r="4734" spans="1:4" x14ac:dyDescent="0.2">
      <c r="A4734" s="496"/>
      <c r="D4734" s="496"/>
    </row>
    <row r="4735" spans="1:4" x14ac:dyDescent="0.2">
      <c r="A4735" s="496"/>
      <c r="D4735" s="496"/>
    </row>
    <row r="4736" spans="1:4" x14ac:dyDescent="0.2">
      <c r="A4736" s="496"/>
      <c r="D4736" s="496"/>
    </row>
    <row r="4737" spans="1:4" x14ac:dyDescent="0.2">
      <c r="A4737" s="496"/>
      <c r="D4737" s="496"/>
    </row>
    <row r="4738" spans="1:4" x14ac:dyDescent="0.2">
      <c r="A4738" s="496"/>
      <c r="D4738" s="496"/>
    </row>
    <row r="4739" spans="1:4" x14ac:dyDescent="0.2">
      <c r="A4739" s="496"/>
      <c r="D4739" s="496"/>
    </row>
    <row r="4740" spans="1:4" x14ac:dyDescent="0.2">
      <c r="A4740" s="496"/>
      <c r="D4740" s="496"/>
    </row>
    <row r="4741" spans="1:4" x14ac:dyDescent="0.2">
      <c r="A4741" s="496"/>
      <c r="D4741" s="496"/>
    </row>
    <row r="4742" spans="1:4" x14ac:dyDescent="0.2">
      <c r="A4742" s="496"/>
      <c r="D4742" s="496"/>
    </row>
    <row r="4743" spans="1:4" x14ac:dyDescent="0.2">
      <c r="A4743" s="496"/>
      <c r="D4743" s="496"/>
    </row>
    <row r="4744" spans="1:4" x14ac:dyDescent="0.2">
      <c r="A4744" s="496"/>
      <c r="D4744" s="496"/>
    </row>
    <row r="4745" spans="1:4" x14ac:dyDescent="0.2">
      <c r="A4745" s="496"/>
      <c r="D4745" s="496"/>
    </row>
    <row r="4746" spans="1:4" x14ac:dyDescent="0.2">
      <c r="A4746" s="496"/>
      <c r="D4746" s="496"/>
    </row>
    <row r="4747" spans="1:4" x14ac:dyDescent="0.2">
      <c r="A4747" s="496"/>
      <c r="D4747" s="496"/>
    </row>
    <row r="4748" spans="1:4" x14ac:dyDescent="0.2">
      <c r="A4748" s="496"/>
      <c r="D4748" s="496"/>
    </row>
    <row r="4749" spans="1:4" x14ac:dyDescent="0.2">
      <c r="A4749" s="496"/>
      <c r="D4749" s="496"/>
    </row>
    <row r="4750" spans="1:4" x14ac:dyDescent="0.2">
      <c r="A4750" s="496"/>
      <c r="D4750" s="496"/>
    </row>
    <row r="4751" spans="1:4" x14ac:dyDescent="0.2">
      <c r="A4751" s="496"/>
      <c r="D4751" s="496"/>
    </row>
    <row r="4752" spans="1:4" x14ac:dyDescent="0.2">
      <c r="A4752" s="496"/>
      <c r="D4752" s="496"/>
    </row>
    <row r="4753" spans="1:4" x14ac:dyDescent="0.2">
      <c r="A4753" s="496"/>
      <c r="D4753" s="496"/>
    </row>
    <row r="4754" spans="1:4" x14ac:dyDescent="0.2">
      <c r="A4754" s="496"/>
      <c r="D4754" s="496"/>
    </row>
    <row r="4755" spans="1:4" x14ac:dyDescent="0.2">
      <c r="A4755" s="496"/>
      <c r="D4755" s="496"/>
    </row>
    <row r="4756" spans="1:4" x14ac:dyDescent="0.2">
      <c r="A4756" s="496"/>
      <c r="D4756" s="496"/>
    </row>
    <row r="4757" spans="1:4" x14ac:dyDescent="0.2">
      <c r="A4757" s="496"/>
      <c r="D4757" s="496"/>
    </row>
    <row r="4758" spans="1:4" x14ac:dyDescent="0.2">
      <c r="A4758" s="496"/>
      <c r="D4758" s="496"/>
    </row>
    <row r="4759" spans="1:4" x14ac:dyDescent="0.2">
      <c r="A4759" s="496"/>
      <c r="D4759" s="496"/>
    </row>
    <row r="4760" spans="1:4" x14ac:dyDescent="0.2">
      <c r="A4760" s="496"/>
      <c r="D4760" s="496"/>
    </row>
    <row r="4761" spans="1:4" x14ac:dyDescent="0.2">
      <c r="A4761" s="496"/>
      <c r="D4761" s="496"/>
    </row>
    <row r="4762" spans="1:4" x14ac:dyDescent="0.2">
      <c r="A4762" s="496"/>
      <c r="D4762" s="496"/>
    </row>
    <row r="4763" spans="1:4" x14ac:dyDescent="0.2">
      <c r="A4763" s="496"/>
      <c r="D4763" s="496"/>
    </row>
    <row r="4764" spans="1:4" x14ac:dyDescent="0.2">
      <c r="A4764" s="496"/>
      <c r="D4764" s="496"/>
    </row>
    <row r="4765" spans="1:4" x14ac:dyDescent="0.2">
      <c r="A4765" s="496"/>
      <c r="D4765" s="496"/>
    </row>
    <row r="4766" spans="1:4" x14ac:dyDescent="0.2">
      <c r="A4766" s="496"/>
      <c r="D4766" s="496"/>
    </row>
    <row r="4767" spans="1:4" x14ac:dyDescent="0.2">
      <c r="A4767" s="496"/>
      <c r="D4767" s="496"/>
    </row>
    <row r="4768" spans="1:4" x14ac:dyDescent="0.2">
      <c r="A4768" s="496"/>
      <c r="D4768" s="496"/>
    </row>
    <row r="4769" spans="1:4" x14ac:dyDescent="0.2">
      <c r="A4769" s="496"/>
      <c r="D4769" s="496"/>
    </row>
    <row r="4770" spans="1:4" x14ac:dyDescent="0.2">
      <c r="A4770" s="496"/>
      <c r="D4770" s="496"/>
    </row>
    <row r="4771" spans="1:4" x14ac:dyDescent="0.2">
      <c r="A4771" s="496"/>
      <c r="D4771" s="496"/>
    </row>
    <row r="4772" spans="1:4" x14ac:dyDescent="0.2">
      <c r="A4772" s="496"/>
      <c r="D4772" s="496"/>
    </row>
    <row r="4773" spans="1:4" x14ac:dyDescent="0.2">
      <c r="A4773" s="496"/>
      <c r="D4773" s="496"/>
    </row>
    <row r="4774" spans="1:4" x14ac:dyDescent="0.2">
      <c r="A4774" s="496"/>
      <c r="D4774" s="496"/>
    </row>
    <row r="4775" spans="1:4" x14ac:dyDescent="0.2">
      <c r="A4775" s="496"/>
      <c r="D4775" s="496"/>
    </row>
    <row r="4776" spans="1:4" x14ac:dyDescent="0.2">
      <c r="A4776" s="496"/>
      <c r="D4776" s="496"/>
    </row>
    <row r="4777" spans="1:4" x14ac:dyDescent="0.2">
      <c r="A4777" s="496"/>
      <c r="D4777" s="496"/>
    </row>
    <row r="4778" spans="1:4" x14ac:dyDescent="0.2">
      <c r="A4778" s="496"/>
      <c r="D4778" s="496"/>
    </row>
    <row r="4779" spans="1:4" x14ac:dyDescent="0.2">
      <c r="A4779" s="496"/>
      <c r="D4779" s="496"/>
    </row>
    <row r="4780" spans="1:4" x14ac:dyDescent="0.2">
      <c r="A4780" s="496"/>
      <c r="D4780" s="496"/>
    </row>
    <row r="4781" spans="1:4" x14ac:dyDescent="0.2">
      <c r="A4781" s="496"/>
      <c r="D4781" s="496"/>
    </row>
    <row r="4782" spans="1:4" x14ac:dyDescent="0.2">
      <c r="A4782" s="496"/>
      <c r="D4782" s="496"/>
    </row>
    <row r="4783" spans="1:4" x14ac:dyDescent="0.2">
      <c r="A4783" s="496"/>
      <c r="D4783" s="496"/>
    </row>
    <row r="4784" spans="1:4" x14ac:dyDescent="0.2">
      <c r="A4784" s="496"/>
      <c r="D4784" s="496"/>
    </row>
    <row r="4785" spans="1:4" x14ac:dyDescent="0.2">
      <c r="A4785" s="496"/>
      <c r="D4785" s="496"/>
    </row>
    <row r="4786" spans="1:4" x14ac:dyDescent="0.2">
      <c r="A4786" s="496"/>
      <c r="D4786" s="496"/>
    </row>
    <row r="4787" spans="1:4" x14ac:dyDescent="0.2">
      <c r="A4787" s="496"/>
      <c r="D4787" s="496"/>
    </row>
    <row r="4788" spans="1:4" x14ac:dyDescent="0.2">
      <c r="A4788" s="496"/>
      <c r="D4788" s="496"/>
    </row>
    <row r="4789" spans="1:4" x14ac:dyDescent="0.2">
      <c r="A4789" s="496"/>
      <c r="D4789" s="496"/>
    </row>
    <row r="4790" spans="1:4" x14ac:dyDescent="0.2">
      <c r="A4790" s="496"/>
      <c r="D4790" s="496"/>
    </row>
    <row r="4791" spans="1:4" x14ac:dyDescent="0.2">
      <c r="A4791" s="496"/>
      <c r="D4791" s="496"/>
    </row>
    <row r="4792" spans="1:4" x14ac:dyDescent="0.2">
      <c r="A4792" s="496"/>
      <c r="D4792" s="496"/>
    </row>
    <row r="4793" spans="1:4" x14ac:dyDescent="0.2">
      <c r="A4793" s="496"/>
      <c r="D4793" s="496"/>
    </row>
    <row r="4794" spans="1:4" x14ac:dyDescent="0.2">
      <c r="A4794" s="496"/>
      <c r="D4794" s="496"/>
    </row>
    <row r="4795" spans="1:4" x14ac:dyDescent="0.2">
      <c r="A4795" s="496"/>
      <c r="D4795" s="496"/>
    </row>
    <row r="4796" spans="1:4" x14ac:dyDescent="0.2">
      <c r="A4796" s="496"/>
      <c r="D4796" s="496"/>
    </row>
    <row r="4797" spans="1:4" x14ac:dyDescent="0.2">
      <c r="A4797" s="496"/>
      <c r="D4797" s="496"/>
    </row>
    <row r="4798" spans="1:4" x14ac:dyDescent="0.2">
      <c r="A4798" s="496"/>
      <c r="D4798" s="496"/>
    </row>
    <row r="4799" spans="1:4" x14ac:dyDescent="0.2">
      <c r="A4799" s="496"/>
      <c r="D4799" s="496"/>
    </row>
    <row r="4800" spans="1:4" x14ac:dyDescent="0.2">
      <c r="A4800" s="496"/>
      <c r="D4800" s="496"/>
    </row>
    <row r="4801" spans="1:4" x14ac:dyDescent="0.2">
      <c r="A4801" s="496"/>
      <c r="D4801" s="496"/>
    </row>
    <row r="4802" spans="1:4" x14ac:dyDescent="0.2">
      <c r="A4802" s="496"/>
      <c r="D4802" s="496"/>
    </row>
    <row r="4803" spans="1:4" x14ac:dyDescent="0.2">
      <c r="A4803" s="496"/>
      <c r="D4803" s="496"/>
    </row>
    <row r="4804" spans="1:4" x14ac:dyDescent="0.2">
      <c r="A4804" s="496"/>
      <c r="D4804" s="496"/>
    </row>
    <row r="4805" spans="1:4" x14ac:dyDescent="0.2">
      <c r="A4805" s="496"/>
      <c r="D4805" s="496"/>
    </row>
    <row r="4806" spans="1:4" x14ac:dyDescent="0.2">
      <c r="A4806" s="496"/>
      <c r="D4806" s="496"/>
    </row>
    <row r="4807" spans="1:4" x14ac:dyDescent="0.2">
      <c r="A4807" s="496"/>
      <c r="D4807" s="496"/>
    </row>
    <row r="4808" spans="1:4" x14ac:dyDescent="0.2">
      <c r="A4808" s="496"/>
      <c r="D4808" s="496"/>
    </row>
    <row r="4809" spans="1:4" x14ac:dyDescent="0.2">
      <c r="A4809" s="496"/>
      <c r="D4809" s="496"/>
    </row>
    <row r="4810" spans="1:4" x14ac:dyDescent="0.2">
      <c r="A4810" s="496"/>
      <c r="D4810" s="496"/>
    </row>
    <row r="4811" spans="1:4" x14ac:dyDescent="0.2">
      <c r="A4811" s="496"/>
      <c r="D4811" s="496"/>
    </row>
    <row r="4812" spans="1:4" x14ac:dyDescent="0.2">
      <c r="A4812" s="496"/>
      <c r="D4812" s="496"/>
    </row>
    <row r="4813" spans="1:4" x14ac:dyDescent="0.2">
      <c r="A4813" s="496"/>
      <c r="D4813" s="496"/>
    </row>
    <row r="4814" spans="1:4" x14ac:dyDescent="0.2">
      <c r="A4814" s="496"/>
      <c r="D4814" s="496"/>
    </row>
    <row r="4815" spans="1:4" x14ac:dyDescent="0.2">
      <c r="A4815" s="496"/>
      <c r="D4815" s="496"/>
    </row>
    <row r="4816" spans="1:4" x14ac:dyDescent="0.2">
      <c r="A4816" s="496"/>
      <c r="D4816" s="496"/>
    </row>
    <row r="4817" spans="1:4" x14ac:dyDescent="0.2">
      <c r="A4817" s="496"/>
      <c r="D4817" s="496"/>
    </row>
    <row r="4818" spans="1:4" x14ac:dyDescent="0.2">
      <c r="A4818" s="496"/>
      <c r="D4818" s="496"/>
    </row>
    <row r="4819" spans="1:4" x14ac:dyDescent="0.2">
      <c r="A4819" s="496"/>
      <c r="D4819" s="496"/>
    </row>
    <row r="4820" spans="1:4" x14ac:dyDescent="0.2">
      <c r="A4820" s="496"/>
      <c r="D4820" s="496"/>
    </row>
    <row r="4821" spans="1:4" x14ac:dyDescent="0.2">
      <c r="A4821" s="496"/>
      <c r="D4821" s="496"/>
    </row>
    <row r="4822" spans="1:4" x14ac:dyDescent="0.2">
      <c r="A4822" s="496"/>
      <c r="D4822" s="496"/>
    </row>
    <row r="4823" spans="1:4" x14ac:dyDescent="0.2">
      <c r="A4823" s="496"/>
      <c r="D4823" s="496"/>
    </row>
    <row r="4824" spans="1:4" x14ac:dyDescent="0.2">
      <c r="A4824" s="496"/>
      <c r="D4824" s="496"/>
    </row>
    <row r="4825" spans="1:4" x14ac:dyDescent="0.2">
      <c r="A4825" s="496"/>
      <c r="D4825" s="496"/>
    </row>
    <row r="4826" spans="1:4" x14ac:dyDescent="0.2">
      <c r="A4826" s="496"/>
      <c r="D4826" s="496"/>
    </row>
    <row r="4827" spans="1:4" x14ac:dyDescent="0.2">
      <c r="A4827" s="496"/>
      <c r="D4827" s="496"/>
    </row>
    <row r="4828" spans="1:4" x14ac:dyDescent="0.2">
      <c r="A4828" s="496"/>
      <c r="D4828" s="496"/>
    </row>
    <row r="4829" spans="1:4" x14ac:dyDescent="0.2">
      <c r="A4829" s="496"/>
      <c r="D4829" s="496"/>
    </row>
    <row r="4830" spans="1:4" x14ac:dyDescent="0.2">
      <c r="A4830" s="496"/>
      <c r="D4830" s="496"/>
    </row>
    <row r="4831" spans="1:4" x14ac:dyDescent="0.2">
      <c r="A4831" s="496"/>
      <c r="D4831" s="496"/>
    </row>
    <row r="4832" spans="1:4" x14ac:dyDescent="0.2">
      <c r="A4832" s="496"/>
      <c r="D4832" s="496"/>
    </row>
    <row r="4833" spans="1:4" x14ac:dyDescent="0.2">
      <c r="A4833" s="496"/>
      <c r="D4833" s="496"/>
    </row>
    <row r="4834" spans="1:4" x14ac:dyDescent="0.2">
      <c r="A4834" s="496"/>
      <c r="D4834" s="496"/>
    </row>
    <row r="4835" spans="1:4" x14ac:dyDescent="0.2">
      <c r="A4835" s="496"/>
      <c r="D4835" s="496"/>
    </row>
    <row r="4836" spans="1:4" x14ac:dyDescent="0.2">
      <c r="A4836" s="496"/>
      <c r="D4836" s="496"/>
    </row>
    <row r="4837" spans="1:4" x14ac:dyDescent="0.2">
      <c r="A4837" s="496"/>
      <c r="D4837" s="496"/>
    </row>
    <row r="4838" spans="1:4" x14ac:dyDescent="0.2">
      <c r="A4838" s="496"/>
      <c r="D4838" s="496"/>
    </row>
    <row r="4839" spans="1:4" x14ac:dyDescent="0.2">
      <c r="A4839" s="496"/>
      <c r="D4839" s="496"/>
    </row>
    <row r="4840" spans="1:4" x14ac:dyDescent="0.2">
      <c r="A4840" s="496"/>
      <c r="D4840" s="496"/>
    </row>
    <row r="4841" spans="1:4" x14ac:dyDescent="0.2">
      <c r="A4841" s="496"/>
      <c r="D4841" s="496"/>
    </row>
    <row r="4842" spans="1:4" x14ac:dyDescent="0.2">
      <c r="A4842" s="496"/>
      <c r="D4842" s="496"/>
    </row>
    <row r="4843" spans="1:4" x14ac:dyDescent="0.2">
      <c r="A4843" s="496"/>
      <c r="D4843" s="496"/>
    </row>
    <row r="4844" spans="1:4" x14ac:dyDescent="0.2">
      <c r="A4844" s="496"/>
      <c r="D4844" s="496"/>
    </row>
    <row r="4845" spans="1:4" x14ac:dyDescent="0.2">
      <c r="A4845" s="496"/>
      <c r="D4845" s="496"/>
    </row>
    <row r="4846" spans="1:4" x14ac:dyDescent="0.2">
      <c r="A4846" s="496"/>
      <c r="D4846" s="496"/>
    </row>
    <row r="4847" spans="1:4" x14ac:dyDescent="0.2">
      <c r="A4847" s="496"/>
      <c r="D4847" s="496"/>
    </row>
    <row r="4848" spans="1:4" x14ac:dyDescent="0.2">
      <c r="A4848" s="496"/>
      <c r="D4848" s="496"/>
    </row>
    <row r="4849" spans="1:4" x14ac:dyDescent="0.2">
      <c r="A4849" s="496"/>
      <c r="D4849" s="496"/>
    </row>
    <row r="4850" spans="1:4" x14ac:dyDescent="0.2">
      <c r="A4850" s="496"/>
      <c r="D4850" s="496"/>
    </row>
    <row r="4851" spans="1:4" x14ac:dyDescent="0.2">
      <c r="A4851" s="496"/>
      <c r="D4851" s="496"/>
    </row>
    <row r="4852" spans="1:4" x14ac:dyDescent="0.2">
      <c r="A4852" s="496"/>
      <c r="D4852" s="496"/>
    </row>
    <row r="4853" spans="1:4" x14ac:dyDescent="0.2">
      <c r="A4853" s="496"/>
      <c r="D4853" s="496"/>
    </row>
    <row r="4854" spans="1:4" x14ac:dyDescent="0.2">
      <c r="A4854" s="496"/>
      <c r="D4854" s="496"/>
    </row>
    <row r="4855" spans="1:4" x14ac:dyDescent="0.2">
      <c r="A4855" s="496"/>
      <c r="D4855" s="496"/>
    </row>
    <row r="4856" spans="1:4" x14ac:dyDescent="0.2">
      <c r="A4856" s="496"/>
      <c r="D4856" s="496"/>
    </row>
    <row r="4857" spans="1:4" x14ac:dyDescent="0.2">
      <c r="A4857" s="496"/>
      <c r="D4857" s="496"/>
    </row>
    <row r="4858" spans="1:4" x14ac:dyDescent="0.2">
      <c r="A4858" s="496"/>
      <c r="D4858" s="496"/>
    </row>
    <row r="4859" spans="1:4" x14ac:dyDescent="0.2">
      <c r="A4859" s="496"/>
      <c r="D4859" s="496"/>
    </row>
    <row r="4860" spans="1:4" x14ac:dyDescent="0.2">
      <c r="A4860" s="496"/>
      <c r="D4860" s="496"/>
    </row>
    <row r="4861" spans="1:4" x14ac:dyDescent="0.2">
      <c r="A4861" s="496"/>
      <c r="D4861" s="496"/>
    </row>
    <row r="4862" spans="1:4" x14ac:dyDescent="0.2">
      <c r="A4862" s="496"/>
      <c r="D4862" s="496"/>
    </row>
    <row r="4863" spans="1:4" x14ac:dyDescent="0.2">
      <c r="A4863" s="496"/>
      <c r="D4863" s="496"/>
    </row>
    <row r="4864" spans="1:4" x14ac:dyDescent="0.2">
      <c r="A4864" s="496"/>
      <c r="D4864" s="496"/>
    </row>
    <row r="4865" spans="1:4" x14ac:dyDescent="0.2">
      <c r="A4865" s="496"/>
      <c r="D4865" s="496"/>
    </row>
    <row r="4866" spans="1:4" x14ac:dyDescent="0.2">
      <c r="A4866" s="496"/>
      <c r="D4866" s="496"/>
    </row>
    <row r="4867" spans="1:4" x14ac:dyDescent="0.2">
      <c r="A4867" s="496"/>
      <c r="D4867" s="496"/>
    </row>
    <row r="4868" spans="1:4" x14ac:dyDescent="0.2">
      <c r="A4868" s="496"/>
      <c r="D4868" s="496"/>
    </row>
    <row r="4869" spans="1:4" x14ac:dyDescent="0.2">
      <c r="A4869" s="496"/>
      <c r="D4869" s="496"/>
    </row>
    <row r="4870" spans="1:4" x14ac:dyDescent="0.2">
      <c r="A4870" s="496"/>
      <c r="D4870" s="496"/>
    </row>
    <row r="4871" spans="1:4" x14ac:dyDescent="0.2">
      <c r="A4871" s="496"/>
      <c r="D4871" s="496"/>
    </row>
    <row r="4872" spans="1:4" x14ac:dyDescent="0.2">
      <c r="A4872" s="496"/>
      <c r="D4872" s="496"/>
    </row>
    <row r="4873" spans="1:4" x14ac:dyDescent="0.2">
      <c r="A4873" s="496"/>
      <c r="D4873" s="496"/>
    </row>
    <row r="4874" spans="1:4" x14ac:dyDescent="0.2">
      <c r="A4874" s="496"/>
      <c r="D4874" s="496"/>
    </row>
    <row r="4875" spans="1:4" x14ac:dyDescent="0.2">
      <c r="A4875" s="496"/>
      <c r="D4875" s="496"/>
    </row>
    <row r="4876" spans="1:4" x14ac:dyDescent="0.2">
      <c r="A4876" s="496"/>
      <c r="D4876" s="496"/>
    </row>
    <row r="4877" spans="1:4" x14ac:dyDescent="0.2">
      <c r="A4877" s="496"/>
      <c r="D4877" s="496"/>
    </row>
    <row r="4878" spans="1:4" x14ac:dyDescent="0.2">
      <c r="A4878" s="496"/>
      <c r="D4878" s="496"/>
    </row>
    <row r="4879" spans="1:4" x14ac:dyDescent="0.2">
      <c r="A4879" s="496"/>
      <c r="D4879" s="496"/>
    </row>
    <row r="4880" spans="1:4" x14ac:dyDescent="0.2">
      <c r="A4880" s="496"/>
      <c r="D4880" s="496"/>
    </row>
    <row r="4881" spans="1:4" x14ac:dyDescent="0.2">
      <c r="A4881" s="496"/>
      <c r="D4881" s="496"/>
    </row>
    <row r="4882" spans="1:4" x14ac:dyDescent="0.2">
      <c r="A4882" s="496"/>
      <c r="D4882" s="496"/>
    </row>
    <row r="4883" spans="1:4" x14ac:dyDescent="0.2">
      <c r="A4883" s="496"/>
      <c r="D4883" s="496"/>
    </row>
    <row r="4884" spans="1:4" x14ac:dyDescent="0.2">
      <c r="A4884" s="496"/>
      <c r="D4884" s="496"/>
    </row>
    <row r="4885" spans="1:4" x14ac:dyDescent="0.2">
      <c r="A4885" s="496"/>
      <c r="D4885" s="496"/>
    </row>
    <row r="4886" spans="1:4" x14ac:dyDescent="0.2">
      <c r="A4886" s="496"/>
      <c r="D4886" s="496"/>
    </row>
    <row r="4887" spans="1:4" x14ac:dyDescent="0.2">
      <c r="A4887" s="496"/>
      <c r="D4887" s="496"/>
    </row>
    <row r="4888" spans="1:4" x14ac:dyDescent="0.2">
      <c r="A4888" s="496"/>
      <c r="D4888" s="496"/>
    </row>
    <row r="4889" spans="1:4" x14ac:dyDescent="0.2">
      <c r="A4889" s="496"/>
      <c r="D4889" s="496"/>
    </row>
    <row r="4890" spans="1:4" x14ac:dyDescent="0.2">
      <c r="A4890" s="496"/>
      <c r="D4890" s="496"/>
    </row>
    <row r="4891" spans="1:4" x14ac:dyDescent="0.2">
      <c r="A4891" s="496"/>
      <c r="D4891" s="496"/>
    </row>
    <row r="4892" spans="1:4" x14ac:dyDescent="0.2">
      <c r="A4892" s="496"/>
      <c r="D4892" s="496"/>
    </row>
    <row r="4893" spans="1:4" x14ac:dyDescent="0.2">
      <c r="A4893" s="496"/>
      <c r="D4893" s="496"/>
    </row>
    <row r="4894" spans="1:4" x14ac:dyDescent="0.2">
      <c r="A4894" s="496"/>
      <c r="D4894" s="496"/>
    </row>
    <row r="4895" spans="1:4" x14ac:dyDescent="0.2">
      <c r="A4895" s="496"/>
      <c r="D4895" s="496"/>
    </row>
    <row r="4896" spans="1:4" x14ac:dyDescent="0.2">
      <c r="A4896" s="496"/>
      <c r="D4896" s="496"/>
    </row>
    <row r="4897" spans="1:4" x14ac:dyDescent="0.2">
      <c r="A4897" s="496"/>
      <c r="D4897" s="496"/>
    </row>
    <row r="4898" spans="1:4" x14ac:dyDescent="0.2">
      <c r="A4898" s="496"/>
      <c r="D4898" s="496"/>
    </row>
    <row r="4899" spans="1:4" x14ac:dyDescent="0.2">
      <c r="A4899" s="496"/>
      <c r="D4899" s="496"/>
    </row>
    <row r="4900" spans="1:4" x14ac:dyDescent="0.2">
      <c r="A4900" s="496"/>
      <c r="D4900" s="496"/>
    </row>
    <row r="4901" spans="1:4" x14ac:dyDescent="0.2">
      <c r="A4901" s="496"/>
      <c r="D4901" s="496"/>
    </row>
    <row r="4902" spans="1:4" x14ac:dyDescent="0.2">
      <c r="A4902" s="496"/>
      <c r="D4902" s="496"/>
    </row>
    <row r="4903" spans="1:4" x14ac:dyDescent="0.2">
      <c r="A4903" s="496"/>
      <c r="D4903" s="496"/>
    </row>
    <row r="4904" spans="1:4" x14ac:dyDescent="0.2">
      <c r="A4904" s="496"/>
      <c r="D4904" s="496"/>
    </row>
    <row r="4905" spans="1:4" x14ac:dyDescent="0.2">
      <c r="A4905" s="496"/>
      <c r="D4905" s="496"/>
    </row>
    <row r="4906" spans="1:4" x14ac:dyDescent="0.2">
      <c r="A4906" s="496"/>
      <c r="D4906" s="496"/>
    </row>
    <row r="4907" spans="1:4" x14ac:dyDescent="0.2">
      <c r="A4907" s="496"/>
      <c r="D4907" s="496"/>
    </row>
    <row r="4908" spans="1:4" x14ac:dyDescent="0.2">
      <c r="A4908" s="496"/>
      <c r="D4908" s="496"/>
    </row>
    <row r="4909" spans="1:4" x14ac:dyDescent="0.2">
      <c r="A4909" s="496"/>
      <c r="D4909" s="496"/>
    </row>
    <row r="4910" spans="1:4" x14ac:dyDescent="0.2">
      <c r="A4910" s="496"/>
      <c r="D4910" s="496"/>
    </row>
    <row r="4911" spans="1:4" x14ac:dyDescent="0.2">
      <c r="A4911" s="496"/>
      <c r="D4911" s="496"/>
    </row>
    <row r="4912" spans="1:4" x14ac:dyDescent="0.2">
      <c r="A4912" s="496"/>
      <c r="D4912" s="496"/>
    </row>
    <row r="4913" spans="1:4" x14ac:dyDescent="0.2">
      <c r="A4913" s="496"/>
      <c r="D4913" s="496"/>
    </row>
    <row r="4914" spans="1:4" x14ac:dyDescent="0.2">
      <c r="A4914" s="496"/>
      <c r="D4914" s="496"/>
    </row>
    <row r="4915" spans="1:4" x14ac:dyDescent="0.2">
      <c r="A4915" s="496"/>
      <c r="D4915" s="496"/>
    </row>
    <row r="4916" spans="1:4" x14ac:dyDescent="0.2">
      <c r="A4916" s="496"/>
      <c r="D4916" s="496"/>
    </row>
    <row r="4917" spans="1:4" x14ac:dyDescent="0.2">
      <c r="A4917" s="496"/>
      <c r="D4917" s="496"/>
    </row>
    <row r="4918" spans="1:4" x14ac:dyDescent="0.2">
      <c r="A4918" s="496"/>
      <c r="D4918" s="496"/>
    </row>
    <row r="4919" spans="1:4" x14ac:dyDescent="0.2">
      <c r="A4919" s="496"/>
      <c r="D4919" s="496"/>
    </row>
    <row r="4920" spans="1:4" x14ac:dyDescent="0.2">
      <c r="A4920" s="496"/>
      <c r="D4920" s="496"/>
    </row>
    <row r="4921" spans="1:4" x14ac:dyDescent="0.2">
      <c r="A4921" s="496"/>
      <c r="D4921" s="496"/>
    </row>
    <row r="4922" spans="1:4" x14ac:dyDescent="0.2">
      <c r="A4922" s="496"/>
      <c r="D4922" s="496"/>
    </row>
    <row r="4923" spans="1:4" x14ac:dyDescent="0.2">
      <c r="A4923" s="496"/>
      <c r="D4923" s="496"/>
    </row>
    <row r="4924" spans="1:4" x14ac:dyDescent="0.2">
      <c r="A4924" s="496"/>
      <c r="D4924" s="496"/>
    </row>
    <row r="4925" spans="1:4" x14ac:dyDescent="0.2">
      <c r="A4925" s="496"/>
      <c r="D4925" s="496"/>
    </row>
    <row r="4926" spans="1:4" x14ac:dyDescent="0.2">
      <c r="A4926" s="496"/>
      <c r="D4926" s="496"/>
    </row>
    <row r="4927" spans="1:4" x14ac:dyDescent="0.2">
      <c r="A4927" s="496"/>
      <c r="D4927" s="496"/>
    </row>
    <row r="4928" spans="1:4" x14ac:dyDescent="0.2">
      <c r="A4928" s="496"/>
      <c r="D4928" s="496"/>
    </row>
    <row r="4929" spans="1:4" x14ac:dyDescent="0.2">
      <c r="A4929" s="496"/>
      <c r="D4929" s="496"/>
    </row>
    <row r="4930" spans="1:4" x14ac:dyDescent="0.2">
      <c r="A4930" s="496"/>
      <c r="D4930" s="496"/>
    </row>
    <row r="4931" spans="1:4" x14ac:dyDescent="0.2">
      <c r="A4931" s="496"/>
      <c r="D4931" s="496"/>
    </row>
    <row r="4932" spans="1:4" x14ac:dyDescent="0.2">
      <c r="A4932" s="496"/>
      <c r="D4932" s="496"/>
    </row>
    <row r="4933" spans="1:4" x14ac:dyDescent="0.2">
      <c r="A4933" s="496"/>
      <c r="D4933" s="496"/>
    </row>
    <row r="4934" spans="1:4" x14ac:dyDescent="0.2">
      <c r="A4934" s="496"/>
      <c r="D4934" s="496"/>
    </row>
    <row r="4935" spans="1:4" x14ac:dyDescent="0.2">
      <c r="A4935" s="496"/>
      <c r="D4935" s="496"/>
    </row>
    <row r="4936" spans="1:4" x14ac:dyDescent="0.2">
      <c r="A4936" s="496"/>
      <c r="D4936" s="496"/>
    </row>
    <row r="4937" spans="1:4" x14ac:dyDescent="0.2">
      <c r="A4937" s="496"/>
      <c r="D4937" s="496"/>
    </row>
    <row r="4938" spans="1:4" x14ac:dyDescent="0.2">
      <c r="A4938" s="496"/>
      <c r="D4938" s="496"/>
    </row>
    <row r="4939" spans="1:4" x14ac:dyDescent="0.2">
      <c r="A4939" s="496"/>
      <c r="D4939" s="496"/>
    </row>
    <row r="4940" spans="1:4" x14ac:dyDescent="0.2">
      <c r="A4940" s="496"/>
      <c r="D4940" s="496"/>
    </row>
    <row r="4941" spans="1:4" x14ac:dyDescent="0.2">
      <c r="A4941" s="496"/>
      <c r="D4941" s="496"/>
    </row>
    <row r="4942" spans="1:4" x14ac:dyDescent="0.2">
      <c r="A4942" s="496"/>
      <c r="D4942" s="496"/>
    </row>
    <row r="4943" spans="1:4" x14ac:dyDescent="0.2">
      <c r="A4943" s="496"/>
      <c r="D4943" s="496"/>
    </row>
    <row r="4944" spans="1:4" x14ac:dyDescent="0.2">
      <c r="A4944" s="496"/>
      <c r="D4944" s="496"/>
    </row>
    <row r="4945" spans="1:4" x14ac:dyDescent="0.2">
      <c r="A4945" s="496"/>
      <c r="D4945" s="496"/>
    </row>
    <row r="4946" spans="1:4" x14ac:dyDescent="0.2">
      <c r="A4946" s="496"/>
      <c r="D4946" s="496"/>
    </row>
    <row r="4947" spans="1:4" x14ac:dyDescent="0.2">
      <c r="A4947" s="496"/>
      <c r="D4947" s="496"/>
    </row>
    <row r="4948" spans="1:4" x14ac:dyDescent="0.2">
      <c r="A4948" s="496"/>
      <c r="D4948" s="496"/>
    </row>
    <row r="4949" spans="1:4" x14ac:dyDescent="0.2">
      <c r="A4949" s="496"/>
      <c r="D4949" s="496"/>
    </row>
    <row r="4950" spans="1:4" x14ac:dyDescent="0.2">
      <c r="A4950" s="496"/>
      <c r="D4950" s="496"/>
    </row>
    <row r="4951" spans="1:4" x14ac:dyDescent="0.2">
      <c r="A4951" s="496"/>
      <c r="D4951" s="496"/>
    </row>
    <row r="4952" spans="1:4" x14ac:dyDescent="0.2">
      <c r="A4952" s="496"/>
      <c r="D4952" s="496"/>
    </row>
    <row r="4953" spans="1:4" x14ac:dyDescent="0.2">
      <c r="A4953" s="496"/>
      <c r="D4953" s="496"/>
    </row>
    <row r="4954" spans="1:4" x14ac:dyDescent="0.2">
      <c r="A4954" s="496"/>
      <c r="D4954" s="496"/>
    </row>
    <row r="4955" spans="1:4" x14ac:dyDescent="0.2">
      <c r="A4955" s="496"/>
      <c r="D4955" s="496"/>
    </row>
    <row r="4956" spans="1:4" x14ac:dyDescent="0.2">
      <c r="A4956" s="496"/>
      <c r="D4956" s="496"/>
    </row>
    <row r="4957" spans="1:4" x14ac:dyDescent="0.2">
      <c r="A4957" s="496"/>
      <c r="D4957" s="496"/>
    </row>
    <row r="4958" spans="1:4" x14ac:dyDescent="0.2">
      <c r="A4958" s="496"/>
      <c r="D4958" s="496"/>
    </row>
    <row r="4959" spans="1:4" x14ac:dyDescent="0.2">
      <c r="A4959" s="496"/>
      <c r="D4959" s="496"/>
    </row>
    <row r="4960" spans="1:4" x14ac:dyDescent="0.2">
      <c r="A4960" s="496"/>
      <c r="D4960" s="496"/>
    </row>
    <row r="4961" spans="1:4" x14ac:dyDescent="0.2">
      <c r="A4961" s="496"/>
      <c r="D4961" s="496"/>
    </row>
    <row r="4962" spans="1:4" x14ac:dyDescent="0.2">
      <c r="A4962" s="496"/>
      <c r="D4962" s="496"/>
    </row>
    <row r="4963" spans="1:4" x14ac:dyDescent="0.2">
      <c r="A4963" s="496"/>
      <c r="D4963" s="496"/>
    </row>
    <row r="4964" spans="1:4" x14ac:dyDescent="0.2">
      <c r="A4964" s="496"/>
      <c r="D4964" s="496"/>
    </row>
    <row r="4965" spans="1:4" x14ac:dyDescent="0.2">
      <c r="A4965" s="496"/>
      <c r="D4965" s="496"/>
    </row>
    <row r="4966" spans="1:4" x14ac:dyDescent="0.2">
      <c r="A4966" s="496"/>
      <c r="D4966" s="496"/>
    </row>
    <row r="4967" spans="1:4" x14ac:dyDescent="0.2">
      <c r="A4967" s="496"/>
      <c r="D4967" s="496"/>
    </row>
    <row r="4968" spans="1:4" x14ac:dyDescent="0.2">
      <c r="A4968" s="496"/>
      <c r="D4968" s="496"/>
    </row>
    <row r="4969" spans="1:4" x14ac:dyDescent="0.2">
      <c r="A4969" s="496"/>
      <c r="D4969" s="496"/>
    </row>
    <row r="4970" spans="1:4" x14ac:dyDescent="0.2">
      <c r="A4970" s="496"/>
      <c r="D4970" s="496"/>
    </row>
    <row r="4971" spans="1:4" x14ac:dyDescent="0.2">
      <c r="A4971" s="496"/>
      <c r="D4971" s="496"/>
    </row>
    <row r="4972" spans="1:4" x14ac:dyDescent="0.2">
      <c r="A4972" s="496"/>
      <c r="D4972" s="496"/>
    </row>
    <row r="4973" spans="1:4" x14ac:dyDescent="0.2">
      <c r="A4973" s="496"/>
      <c r="D4973" s="496"/>
    </row>
    <row r="4974" spans="1:4" x14ac:dyDescent="0.2">
      <c r="A4974" s="496"/>
      <c r="D4974" s="496"/>
    </row>
    <row r="4975" spans="1:4" x14ac:dyDescent="0.2">
      <c r="A4975" s="496"/>
      <c r="D4975" s="496"/>
    </row>
    <row r="4976" spans="1:4" x14ac:dyDescent="0.2">
      <c r="A4976" s="496"/>
      <c r="D4976" s="496"/>
    </row>
    <row r="4977" spans="1:4" x14ac:dyDescent="0.2">
      <c r="A4977" s="496"/>
      <c r="D4977" s="496"/>
    </row>
    <row r="4978" spans="1:4" x14ac:dyDescent="0.2">
      <c r="A4978" s="496"/>
      <c r="D4978" s="496"/>
    </row>
    <row r="4979" spans="1:4" x14ac:dyDescent="0.2">
      <c r="A4979" s="496"/>
      <c r="D4979" s="496"/>
    </row>
    <row r="4980" spans="1:4" x14ac:dyDescent="0.2">
      <c r="A4980" s="496"/>
      <c r="D4980" s="496"/>
    </row>
    <row r="4981" spans="1:4" x14ac:dyDescent="0.2">
      <c r="A4981" s="496"/>
      <c r="D4981" s="496"/>
    </row>
    <row r="4982" spans="1:4" x14ac:dyDescent="0.2">
      <c r="A4982" s="496"/>
      <c r="D4982" s="496"/>
    </row>
    <row r="4983" spans="1:4" x14ac:dyDescent="0.2">
      <c r="A4983" s="496"/>
      <c r="D4983" s="496"/>
    </row>
    <row r="4984" spans="1:4" x14ac:dyDescent="0.2">
      <c r="A4984" s="496"/>
      <c r="D4984" s="496"/>
    </row>
    <row r="4985" spans="1:4" x14ac:dyDescent="0.2">
      <c r="A4985" s="496"/>
      <c r="D4985" s="496"/>
    </row>
    <row r="4986" spans="1:4" x14ac:dyDescent="0.2">
      <c r="A4986" s="496"/>
      <c r="D4986" s="496"/>
    </row>
    <row r="4987" spans="1:4" x14ac:dyDescent="0.2">
      <c r="A4987" s="496"/>
      <c r="D4987" s="496"/>
    </row>
    <row r="4988" spans="1:4" x14ac:dyDescent="0.2">
      <c r="A4988" s="496"/>
      <c r="D4988" s="496"/>
    </row>
    <row r="4989" spans="1:4" x14ac:dyDescent="0.2">
      <c r="A4989" s="496"/>
      <c r="D4989" s="496"/>
    </row>
    <row r="4990" spans="1:4" x14ac:dyDescent="0.2">
      <c r="A4990" s="496"/>
      <c r="D4990" s="496"/>
    </row>
    <row r="4991" spans="1:4" x14ac:dyDescent="0.2">
      <c r="A4991" s="496"/>
      <c r="D4991" s="496"/>
    </row>
    <row r="4992" spans="1:4" x14ac:dyDescent="0.2">
      <c r="A4992" s="496"/>
      <c r="D4992" s="496"/>
    </row>
    <row r="4993" spans="1:4" x14ac:dyDescent="0.2">
      <c r="A4993" s="496"/>
      <c r="D4993" s="496"/>
    </row>
    <row r="4994" spans="1:4" x14ac:dyDescent="0.2">
      <c r="A4994" s="496"/>
      <c r="D4994" s="496"/>
    </row>
    <row r="4995" spans="1:4" x14ac:dyDescent="0.2">
      <c r="A4995" s="496"/>
      <c r="D4995" s="496"/>
    </row>
    <row r="4996" spans="1:4" x14ac:dyDescent="0.2">
      <c r="A4996" s="496"/>
      <c r="D4996" s="496"/>
    </row>
    <row r="4997" spans="1:4" x14ac:dyDescent="0.2">
      <c r="A4997" s="496"/>
      <c r="D4997" s="496"/>
    </row>
    <row r="4998" spans="1:4" x14ac:dyDescent="0.2">
      <c r="A4998" s="496"/>
      <c r="D4998" s="496"/>
    </row>
    <row r="4999" spans="1:4" x14ac:dyDescent="0.2">
      <c r="A4999" s="496"/>
      <c r="D4999" s="496"/>
    </row>
    <row r="5000" spans="1:4" x14ac:dyDescent="0.2">
      <c r="A5000" s="496"/>
      <c r="D5000" s="496"/>
    </row>
    <row r="5001" spans="1:4" x14ac:dyDescent="0.2">
      <c r="A5001" s="496"/>
      <c r="D5001" s="496"/>
    </row>
    <row r="5002" spans="1:4" x14ac:dyDescent="0.2">
      <c r="A5002" s="496"/>
      <c r="D5002" s="496"/>
    </row>
    <row r="5003" spans="1:4" x14ac:dyDescent="0.2">
      <c r="A5003" s="496"/>
      <c r="D5003" s="496"/>
    </row>
    <row r="5004" spans="1:4" x14ac:dyDescent="0.2">
      <c r="A5004" s="496"/>
      <c r="D5004" s="496"/>
    </row>
    <row r="5005" spans="1:4" x14ac:dyDescent="0.2">
      <c r="A5005" s="496"/>
      <c r="D5005" s="496"/>
    </row>
    <row r="5006" spans="1:4" x14ac:dyDescent="0.2">
      <c r="A5006" s="496"/>
      <c r="D5006" s="496"/>
    </row>
    <row r="5007" spans="1:4" x14ac:dyDescent="0.2">
      <c r="A5007" s="496"/>
      <c r="D5007" s="496"/>
    </row>
    <row r="5008" spans="1:4" x14ac:dyDescent="0.2">
      <c r="A5008" s="496"/>
      <c r="D5008" s="496"/>
    </row>
    <row r="5009" spans="1:4" x14ac:dyDescent="0.2">
      <c r="A5009" s="496"/>
      <c r="D5009" s="496"/>
    </row>
    <row r="5010" spans="1:4" x14ac:dyDescent="0.2">
      <c r="A5010" s="496"/>
      <c r="D5010" s="496"/>
    </row>
    <row r="5011" spans="1:4" x14ac:dyDescent="0.2">
      <c r="A5011" s="496"/>
      <c r="D5011" s="496"/>
    </row>
    <row r="5012" spans="1:4" x14ac:dyDescent="0.2">
      <c r="A5012" s="496"/>
      <c r="D5012" s="496"/>
    </row>
    <row r="5013" spans="1:4" x14ac:dyDescent="0.2">
      <c r="A5013" s="496"/>
      <c r="D5013" s="496"/>
    </row>
    <row r="5014" spans="1:4" x14ac:dyDescent="0.2">
      <c r="A5014" s="496"/>
      <c r="D5014" s="496"/>
    </row>
    <row r="5015" spans="1:4" x14ac:dyDescent="0.2">
      <c r="A5015" s="496"/>
      <c r="D5015" s="496"/>
    </row>
    <row r="5016" spans="1:4" x14ac:dyDescent="0.2">
      <c r="A5016" s="496"/>
      <c r="D5016" s="496"/>
    </row>
    <row r="5017" spans="1:4" x14ac:dyDescent="0.2">
      <c r="A5017" s="496"/>
      <c r="D5017" s="496"/>
    </row>
    <row r="5018" spans="1:4" x14ac:dyDescent="0.2">
      <c r="A5018" s="496"/>
      <c r="D5018" s="496"/>
    </row>
    <row r="5019" spans="1:4" x14ac:dyDescent="0.2">
      <c r="A5019" s="496"/>
      <c r="D5019" s="496"/>
    </row>
    <row r="5020" spans="1:4" x14ac:dyDescent="0.2">
      <c r="A5020" s="496"/>
      <c r="D5020" s="496"/>
    </row>
    <row r="5021" spans="1:4" x14ac:dyDescent="0.2">
      <c r="A5021" s="496"/>
      <c r="D5021" s="496"/>
    </row>
    <row r="5022" spans="1:4" x14ac:dyDescent="0.2">
      <c r="A5022" s="496"/>
      <c r="D5022" s="496"/>
    </row>
    <row r="5023" spans="1:4" x14ac:dyDescent="0.2">
      <c r="A5023" s="496"/>
      <c r="D5023" s="496"/>
    </row>
    <row r="5024" spans="1:4" x14ac:dyDescent="0.2">
      <c r="A5024" s="496"/>
      <c r="D5024" s="496"/>
    </row>
    <row r="5025" spans="1:4" x14ac:dyDescent="0.2">
      <c r="A5025" s="496"/>
      <c r="D5025" s="496"/>
    </row>
    <row r="5026" spans="1:4" x14ac:dyDescent="0.2">
      <c r="A5026" s="496"/>
      <c r="D5026" s="496"/>
    </row>
    <row r="5027" spans="1:4" x14ac:dyDescent="0.2">
      <c r="A5027" s="496"/>
      <c r="D5027" s="496"/>
    </row>
    <row r="5028" spans="1:4" x14ac:dyDescent="0.2">
      <c r="A5028" s="496"/>
      <c r="D5028" s="496"/>
    </row>
    <row r="5029" spans="1:4" x14ac:dyDescent="0.2">
      <c r="A5029" s="496"/>
      <c r="D5029" s="496"/>
    </row>
    <row r="5030" spans="1:4" x14ac:dyDescent="0.2">
      <c r="A5030" s="496"/>
      <c r="D5030" s="496"/>
    </row>
    <row r="5031" spans="1:4" x14ac:dyDescent="0.2">
      <c r="A5031" s="496"/>
      <c r="D5031" s="496"/>
    </row>
    <row r="5032" spans="1:4" x14ac:dyDescent="0.2">
      <c r="A5032" s="496"/>
      <c r="D5032" s="496"/>
    </row>
    <row r="5033" spans="1:4" x14ac:dyDescent="0.2">
      <c r="A5033" s="496"/>
      <c r="D5033" s="496"/>
    </row>
    <row r="5034" spans="1:4" x14ac:dyDescent="0.2">
      <c r="A5034" s="496"/>
      <c r="D5034" s="496"/>
    </row>
    <row r="5035" spans="1:4" x14ac:dyDescent="0.2">
      <c r="A5035" s="496"/>
      <c r="D5035" s="496"/>
    </row>
    <row r="5036" spans="1:4" x14ac:dyDescent="0.2">
      <c r="A5036" s="496"/>
      <c r="D5036" s="496"/>
    </row>
    <row r="5037" spans="1:4" x14ac:dyDescent="0.2">
      <c r="A5037" s="496"/>
      <c r="D5037" s="496"/>
    </row>
    <row r="5038" spans="1:4" x14ac:dyDescent="0.2">
      <c r="A5038" s="496"/>
      <c r="D5038" s="496"/>
    </row>
    <row r="5039" spans="1:4" x14ac:dyDescent="0.2">
      <c r="A5039" s="496"/>
      <c r="D5039" s="496"/>
    </row>
    <row r="5040" spans="1:4" x14ac:dyDescent="0.2">
      <c r="A5040" s="496"/>
      <c r="D5040" s="496"/>
    </row>
    <row r="5041" spans="1:4" x14ac:dyDescent="0.2">
      <c r="A5041" s="496"/>
      <c r="D5041" s="496"/>
    </row>
    <row r="5042" spans="1:4" x14ac:dyDescent="0.2">
      <c r="A5042" s="496"/>
      <c r="D5042" s="496"/>
    </row>
    <row r="5043" spans="1:4" x14ac:dyDescent="0.2">
      <c r="A5043" s="496"/>
      <c r="D5043" s="496"/>
    </row>
    <row r="5044" spans="1:4" x14ac:dyDescent="0.2">
      <c r="A5044" s="496"/>
      <c r="D5044" s="496"/>
    </row>
    <row r="5045" spans="1:4" x14ac:dyDescent="0.2">
      <c r="A5045" s="496"/>
      <c r="D5045" s="496"/>
    </row>
    <row r="5046" spans="1:4" x14ac:dyDescent="0.2">
      <c r="A5046" s="496"/>
      <c r="D5046" s="496"/>
    </row>
    <row r="5047" spans="1:4" x14ac:dyDescent="0.2">
      <c r="A5047" s="496"/>
      <c r="D5047" s="496"/>
    </row>
    <row r="5048" spans="1:4" x14ac:dyDescent="0.2">
      <c r="A5048" s="496"/>
      <c r="D5048" s="496"/>
    </row>
    <row r="5049" spans="1:4" x14ac:dyDescent="0.2">
      <c r="A5049" s="496"/>
      <c r="D5049" s="496"/>
    </row>
    <row r="5050" spans="1:4" x14ac:dyDescent="0.2">
      <c r="A5050" s="496"/>
      <c r="D5050" s="496"/>
    </row>
    <row r="5051" spans="1:4" x14ac:dyDescent="0.2">
      <c r="A5051" s="496"/>
      <c r="D5051" s="496"/>
    </row>
    <row r="5052" spans="1:4" x14ac:dyDescent="0.2">
      <c r="A5052" s="496"/>
      <c r="D5052" s="496"/>
    </row>
    <row r="5053" spans="1:4" x14ac:dyDescent="0.2">
      <c r="A5053" s="496"/>
      <c r="D5053" s="496"/>
    </row>
    <row r="5054" spans="1:4" x14ac:dyDescent="0.2">
      <c r="A5054" s="496"/>
      <c r="D5054" s="496"/>
    </row>
    <row r="5055" spans="1:4" x14ac:dyDescent="0.2">
      <c r="A5055" s="496"/>
      <c r="D5055" s="496"/>
    </row>
    <row r="5056" spans="1:4" x14ac:dyDescent="0.2">
      <c r="A5056" s="496"/>
      <c r="D5056" s="496"/>
    </row>
    <row r="5057" spans="1:4" x14ac:dyDescent="0.2">
      <c r="A5057" s="496"/>
      <c r="D5057" s="496"/>
    </row>
    <row r="5058" spans="1:4" x14ac:dyDescent="0.2">
      <c r="A5058" s="496"/>
      <c r="D5058" s="496"/>
    </row>
    <row r="5059" spans="1:4" x14ac:dyDescent="0.2">
      <c r="A5059" s="496"/>
      <c r="D5059" s="496"/>
    </row>
    <row r="5060" spans="1:4" x14ac:dyDescent="0.2">
      <c r="A5060" s="496"/>
      <c r="D5060" s="496"/>
    </row>
    <row r="5061" spans="1:4" x14ac:dyDescent="0.2">
      <c r="A5061" s="496"/>
      <c r="D5061" s="496"/>
    </row>
    <row r="5062" spans="1:4" x14ac:dyDescent="0.2">
      <c r="A5062" s="496"/>
      <c r="D5062" s="496"/>
    </row>
    <row r="5063" spans="1:4" x14ac:dyDescent="0.2">
      <c r="A5063" s="496"/>
      <c r="D5063" s="496"/>
    </row>
    <row r="5064" spans="1:4" x14ac:dyDescent="0.2">
      <c r="A5064" s="496"/>
      <c r="D5064" s="496"/>
    </row>
    <row r="5065" spans="1:4" x14ac:dyDescent="0.2">
      <c r="A5065" s="496"/>
      <c r="D5065" s="496"/>
    </row>
    <row r="5066" spans="1:4" x14ac:dyDescent="0.2">
      <c r="A5066" s="496"/>
      <c r="D5066" s="496"/>
    </row>
    <row r="5067" spans="1:4" x14ac:dyDescent="0.2">
      <c r="A5067" s="496"/>
      <c r="D5067" s="496"/>
    </row>
    <row r="5068" spans="1:4" x14ac:dyDescent="0.2">
      <c r="A5068" s="496"/>
      <c r="D5068" s="496"/>
    </row>
    <row r="5069" spans="1:4" x14ac:dyDescent="0.2">
      <c r="A5069" s="496"/>
      <c r="D5069" s="496"/>
    </row>
    <row r="5070" spans="1:4" x14ac:dyDescent="0.2">
      <c r="A5070" s="496"/>
      <c r="D5070" s="496"/>
    </row>
    <row r="5071" spans="1:4" x14ac:dyDescent="0.2">
      <c r="A5071" s="496"/>
      <c r="D5071" s="496"/>
    </row>
    <row r="5072" spans="1:4" x14ac:dyDescent="0.2">
      <c r="A5072" s="496"/>
      <c r="D5072" s="496"/>
    </row>
    <row r="5073" spans="1:4" x14ac:dyDescent="0.2">
      <c r="A5073" s="496"/>
      <c r="D5073" s="496"/>
    </row>
    <row r="5074" spans="1:4" x14ac:dyDescent="0.2">
      <c r="A5074" s="496"/>
      <c r="D5074" s="496"/>
    </row>
    <row r="5075" spans="1:4" x14ac:dyDescent="0.2">
      <c r="A5075" s="496"/>
      <c r="D5075" s="496"/>
    </row>
    <row r="5076" spans="1:4" x14ac:dyDescent="0.2">
      <c r="A5076" s="496"/>
      <c r="D5076" s="496"/>
    </row>
    <row r="5077" spans="1:4" x14ac:dyDescent="0.2">
      <c r="A5077" s="496"/>
      <c r="D5077" s="496"/>
    </row>
    <row r="5078" spans="1:4" x14ac:dyDescent="0.2">
      <c r="A5078" s="496"/>
      <c r="D5078" s="496"/>
    </row>
    <row r="5079" spans="1:4" x14ac:dyDescent="0.2">
      <c r="A5079" s="496"/>
      <c r="D5079" s="496"/>
    </row>
    <row r="5080" spans="1:4" x14ac:dyDescent="0.2">
      <c r="A5080" s="496"/>
      <c r="D5080" s="496"/>
    </row>
    <row r="5081" spans="1:4" x14ac:dyDescent="0.2">
      <c r="A5081" s="496"/>
      <c r="D5081" s="496"/>
    </row>
    <row r="5082" spans="1:4" x14ac:dyDescent="0.2">
      <c r="A5082" s="496"/>
      <c r="D5082" s="496"/>
    </row>
    <row r="5083" spans="1:4" x14ac:dyDescent="0.2">
      <c r="A5083" s="496"/>
      <c r="D5083" s="496"/>
    </row>
    <row r="5084" spans="1:4" x14ac:dyDescent="0.2">
      <c r="A5084" s="496"/>
      <c r="D5084" s="496"/>
    </row>
    <row r="5085" spans="1:4" x14ac:dyDescent="0.2">
      <c r="A5085" s="496"/>
      <c r="D5085" s="496"/>
    </row>
    <row r="5086" spans="1:4" x14ac:dyDescent="0.2">
      <c r="A5086" s="496"/>
      <c r="D5086" s="496"/>
    </row>
    <row r="5087" spans="1:4" x14ac:dyDescent="0.2">
      <c r="A5087" s="496"/>
      <c r="D5087" s="496"/>
    </row>
    <row r="5088" spans="1:4" x14ac:dyDescent="0.2">
      <c r="A5088" s="496"/>
      <c r="D5088" s="496"/>
    </row>
    <row r="5089" spans="1:4" x14ac:dyDescent="0.2">
      <c r="A5089" s="496"/>
      <c r="D5089" s="496"/>
    </row>
    <row r="5090" spans="1:4" x14ac:dyDescent="0.2">
      <c r="A5090" s="496"/>
      <c r="D5090" s="496"/>
    </row>
    <row r="5091" spans="1:4" x14ac:dyDescent="0.2">
      <c r="A5091" s="496"/>
      <c r="D5091" s="496"/>
    </row>
    <row r="5092" spans="1:4" x14ac:dyDescent="0.2">
      <c r="A5092" s="496"/>
      <c r="D5092" s="496"/>
    </row>
    <row r="5093" spans="1:4" x14ac:dyDescent="0.2">
      <c r="A5093" s="496"/>
      <c r="D5093" s="496"/>
    </row>
    <row r="5094" spans="1:4" x14ac:dyDescent="0.2">
      <c r="A5094" s="496"/>
      <c r="D5094" s="496"/>
    </row>
    <row r="5095" spans="1:4" x14ac:dyDescent="0.2">
      <c r="A5095" s="496"/>
      <c r="D5095" s="496"/>
    </row>
    <row r="5096" spans="1:4" x14ac:dyDescent="0.2">
      <c r="A5096" s="496"/>
      <c r="D5096" s="496"/>
    </row>
    <row r="5097" spans="1:4" x14ac:dyDescent="0.2">
      <c r="A5097" s="496"/>
      <c r="D5097" s="496"/>
    </row>
    <row r="5098" spans="1:4" x14ac:dyDescent="0.2">
      <c r="A5098" s="496"/>
      <c r="D5098" s="496"/>
    </row>
    <row r="5099" spans="1:4" x14ac:dyDescent="0.2">
      <c r="A5099" s="496"/>
      <c r="D5099" s="496"/>
    </row>
    <row r="5100" spans="1:4" x14ac:dyDescent="0.2">
      <c r="A5100" s="496"/>
      <c r="D5100" s="496"/>
    </row>
    <row r="5101" spans="1:4" x14ac:dyDescent="0.2">
      <c r="A5101" s="496"/>
      <c r="D5101" s="496"/>
    </row>
    <row r="5102" spans="1:4" x14ac:dyDescent="0.2">
      <c r="A5102" s="496"/>
      <c r="D5102" s="496"/>
    </row>
    <row r="5103" spans="1:4" x14ac:dyDescent="0.2">
      <c r="A5103" s="496"/>
      <c r="D5103" s="496"/>
    </row>
    <row r="5104" spans="1:4" x14ac:dyDescent="0.2">
      <c r="A5104" s="496"/>
      <c r="D5104" s="496"/>
    </row>
    <row r="5105" spans="1:4" x14ac:dyDescent="0.2">
      <c r="A5105" s="496"/>
      <c r="D5105" s="496"/>
    </row>
    <row r="5106" spans="1:4" x14ac:dyDescent="0.2">
      <c r="A5106" s="496"/>
      <c r="D5106" s="496"/>
    </row>
    <row r="5107" spans="1:4" x14ac:dyDescent="0.2">
      <c r="A5107" s="496"/>
      <c r="D5107" s="496"/>
    </row>
    <row r="5108" spans="1:4" x14ac:dyDescent="0.2">
      <c r="A5108" s="496"/>
      <c r="D5108" s="496"/>
    </row>
    <row r="5109" spans="1:4" x14ac:dyDescent="0.2">
      <c r="A5109" s="496"/>
      <c r="D5109" s="496"/>
    </row>
    <row r="5110" spans="1:4" x14ac:dyDescent="0.2">
      <c r="A5110" s="496"/>
      <c r="D5110" s="496"/>
    </row>
    <row r="5111" spans="1:4" x14ac:dyDescent="0.2">
      <c r="A5111" s="496"/>
      <c r="D5111" s="496"/>
    </row>
    <row r="5112" spans="1:4" x14ac:dyDescent="0.2">
      <c r="A5112" s="496"/>
      <c r="D5112" s="496"/>
    </row>
    <row r="5113" spans="1:4" x14ac:dyDescent="0.2">
      <c r="A5113" s="496"/>
      <c r="D5113" s="496"/>
    </row>
    <row r="5114" spans="1:4" x14ac:dyDescent="0.2">
      <c r="A5114" s="496"/>
      <c r="D5114" s="496"/>
    </row>
    <row r="5115" spans="1:4" x14ac:dyDescent="0.2">
      <c r="A5115" s="496"/>
      <c r="D5115" s="496"/>
    </row>
    <row r="5116" spans="1:4" x14ac:dyDescent="0.2">
      <c r="A5116" s="496"/>
      <c r="D5116" s="496"/>
    </row>
    <row r="5117" spans="1:4" x14ac:dyDescent="0.2">
      <c r="A5117" s="496"/>
      <c r="D5117" s="496"/>
    </row>
    <row r="5118" spans="1:4" x14ac:dyDescent="0.2">
      <c r="A5118" s="496"/>
      <c r="D5118" s="496"/>
    </row>
    <row r="5119" spans="1:4" x14ac:dyDescent="0.2">
      <c r="A5119" s="496"/>
      <c r="D5119" s="496"/>
    </row>
    <row r="5120" spans="1:4" x14ac:dyDescent="0.2">
      <c r="A5120" s="496"/>
      <c r="D5120" s="496"/>
    </row>
    <row r="5121" spans="1:4" x14ac:dyDescent="0.2">
      <c r="A5121" s="496"/>
      <c r="D5121" s="496"/>
    </row>
    <row r="5122" spans="1:4" x14ac:dyDescent="0.2">
      <c r="A5122" s="496"/>
      <c r="D5122" s="496"/>
    </row>
    <row r="5123" spans="1:4" x14ac:dyDescent="0.2">
      <c r="A5123" s="496"/>
      <c r="D5123" s="496"/>
    </row>
    <row r="5124" spans="1:4" x14ac:dyDescent="0.2">
      <c r="A5124" s="496"/>
      <c r="D5124" s="496"/>
    </row>
    <row r="5125" spans="1:4" x14ac:dyDescent="0.2">
      <c r="A5125" s="496"/>
      <c r="D5125" s="496"/>
    </row>
    <row r="5126" spans="1:4" x14ac:dyDescent="0.2">
      <c r="A5126" s="496"/>
      <c r="D5126" s="496"/>
    </row>
    <row r="5127" spans="1:4" x14ac:dyDescent="0.2">
      <c r="A5127" s="496"/>
      <c r="D5127" s="496"/>
    </row>
    <row r="5128" spans="1:4" x14ac:dyDescent="0.2">
      <c r="A5128" s="496"/>
      <c r="D5128" s="496"/>
    </row>
    <row r="5129" spans="1:4" x14ac:dyDescent="0.2">
      <c r="A5129" s="496"/>
      <c r="D5129" s="496"/>
    </row>
    <row r="5130" spans="1:4" x14ac:dyDescent="0.2">
      <c r="A5130" s="496"/>
      <c r="D5130" s="496"/>
    </row>
    <row r="5131" spans="1:4" x14ac:dyDescent="0.2">
      <c r="A5131" s="496"/>
      <c r="D5131" s="496"/>
    </row>
    <row r="5132" spans="1:4" x14ac:dyDescent="0.2">
      <c r="A5132" s="496"/>
      <c r="D5132" s="496"/>
    </row>
    <row r="5133" spans="1:4" x14ac:dyDescent="0.2">
      <c r="A5133" s="496"/>
      <c r="D5133" s="496"/>
    </row>
    <row r="5134" spans="1:4" x14ac:dyDescent="0.2">
      <c r="A5134" s="496"/>
      <c r="D5134" s="496"/>
    </row>
    <row r="5135" spans="1:4" x14ac:dyDescent="0.2">
      <c r="A5135" s="496"/>
      <c r="D5135" s="496"/>
    </row>
    <row r="5136" spans="1:4" x14ac:dyDescent="0.2">
      <c r="A5136" s="496"/>
      <c r="D5136" s="496"/>
    </row>
    <row r="5137" spans="1:4" x14ac:dyDescent="0.2">
      <c r="A5137" s="496"/>
      <c r="D5137" s="496"/>
    </row>
    <row r="5138" spans="1:4" x14ac:dyDescent="0.2">
      <c r="A5138" s="496"/>
      <c r="D5138" s="496"/>
    </row>
    <row r="5139" spans="1:4" x14ac:dyDescent="0.2">
      <c r="A5139" s="496"/>
      <c r="D5139" s="496"/>
    </row>
    <row r="5140" spans="1:4" x14ac:dyDescent="0.2">
      <c r="A5140" s="496"/>
      <c r="D5140" s="496"/>
    </row>
    <row r="5141" spans="1:4" x14ac:dyDescent="0.2">
      <c r="A5141" s="496"/>
      <c r="D5141" s="496"/>
    </row>
    <row r="5142" spans="1:4" x14ac:dyDescent="0.2">
      <c r="A5142" s="496"/>
      <c r="D5142" s="496"/>
    </row>
    <row r="5143" spans="1:4" x14ac:dyDescent="0.2">
      <c r="A5143" s="496"/>
      <c r="D5143" s="496"/>
    </row>
    <row r="5144" spans="1:4" x14ac:dyDescent="0.2">
      <c r="A5144" s="496"/>
      <c r="D5144" s="496"/>
    </row>
    <row r="5145" spans="1:4" x14ac:dyDescent="0.2">
      <c r="A5145" s="496"/>
      <c r="D5145" s="496"/>
    </row>
    <row r="5146" spans="1:4" x14ac:dyDescent="0.2">
      <c r="A5146" s="496"/>
      <c r="D5146" s="496"/>
    </row>
    <row r="5147" spans="1:4" x14ac:dyDescent="0.2">
      <c r="A5147" s="496"/>
      <c r="D5147" s="496"/>
    </row>
    <row r="5148" spans="1:4" x14ac:dyDescent="0.2">
      <c r="A5148" s="496"/>
      <c r="D5148" s="496"/>
    </row>
    <row r="5149" spans="1:4" x14ac:dyDescent="0.2">
      <c r="A5149" s="496"/>
      <c r="D5149" s="496"/>
    </row>
    <row r="5150" spans="1:4" x14ac:dyDescent="0.2">
      <c r="A5150" s="496"/>
      <c r="D5150" s="496"/>
    </row>
    <row r="5151" spans="1:4" x14ac:dyDescent="0.2">
      <c r="A5151" s="496"/>
      <c r="D5151" s="496"/>
    </row>
    <row r="5152" spans="1:4" x14ac:dyDescent="0.2">
      <c r="A5152" s="496"/>
      <c r="D5152" s="496"/>
    </row>
    <row r="5153" spans="1:4" x14ac:dyDescent="0.2">
      <c r="A5153" s="496"/>
      <c r="D5153" s="496"/>
    </row>
    <row r="5154" spans="1:4" x14ac:dyDescent="0.2">
      <c r="A5154" s="496"/>
      <c r="D5154" s="496"/>
    </row>
    <row r="5155" spans="1:4" x14ac:dyDescent="0.2">
      <c r="A5155" s="496"/>
      <c r="D5155" s="496"/>
    </row>
    <row r="5156" spans="1:4" x14ac:dyDescent="0.2">
      <c r="A5156" s="496"/>
      <c r="D5156" s="496"/>
    </row>
    <row r="5157" spans="1:4" x14ac:dyDescent="0.2">
      <c r="A5157" s="496"/>
      <c r="D5157" s="496"/>
    </row>
    <row r="5158" spans="1:4" x14ac:dyDescent="0.2">
      <c r="A5158" s="496"/>
      <c r="D5158" s="496"/>
    </row>
    <row r="5159" spans="1:4" x14ac:dyDescent="0.2">
      <c r="A5159" s="496"/>
      <c r="D5159" s="496"/>
    </row>
    <row r="5160" spans="1:4" x14ac:dyDescent="0.2">
      <c r="A5160" s="496"/>
      <c r="D5160" s="496"/>
    </row>
    <row r="5161" spans="1:4" x14ac:dyDescent="0.2">
      <c r="A5161" s="496"/>
      <c r="D5161" s="496"/>
    </row>
    <row r="5162" spans="1:4" x14ac:dyDescent="0.2">
      <c r="A5162" s="496"/>
      <c r="D5162" s="496"/>
    </row>
    <row r="5163" spans="1:4" x14ac:dyDescent="0.2">
      <c r="A5163" s="496"/>
      <c r="D5163" s="496"/>
    </row>
    <row r="5164" spans="1:4" x14ac:dyDescent="0.2">
      <c r="A5164" s="496"/>
      <c r="D5164" s="496"/>
    </row>
    <row r="5165" spans="1:4" x14ac:dyDescent="0.2">
      <c r="A5165" s="496"/>
      <c r="D5165" s="496"/>
    </row>
    <row r="5166" spans="1:4" x14ac:dyDescent="0.2">
      <c r="A5166" s="496"/>
      <c r="D5166" s="496"/>
    </row>
    <row r="5167" spans="1:4" x14ac:dyDescent="0.2">
      <c r="A5167" s="496"/>
      <c r="D5167" s="496"/>
    </row>
    <row r="5168" spans="1:4" x14ac:dyDescent="0.2">
      <c r="A5168" s="496"/>
      <c r="D5168" s="496"/>
    </row>
    <row r="5169" spans="1:4" x14ac:dyDescent="0.2">
      <c r="A5169" s="496"/>
      <c r="D5169" s="496"/>
    </row>
    <row r="5170" spans="1:4" x14ac:dyDescent="0.2">
      <c r="A5170" s="496"/>
      <c r="D5170" s="496"/>
    </row>
    <row r="5171" spans="1:4" x14ac:dyDescent="0.2">
      <c r="A5171" s="496"/>
      <c r="D5171" s="496"/>
    </row>
    <row r="5172" spans="1:4" x14ac:dyDescent="0.2">
      <c r="A5172" s="496"/>
      <c r="D5172" s="496"/>
    </row>
    <row r="5173" spans="1:4" x14ac:dyDescent="0.2">
      <c r="A5173" s="496"/>
      <c r="D5173" s="496"/>
    </row>
    <row r="5174" spans="1:4" x14ac:dyDescent="0.2">
      <c r="A5174" s="496"/>
      <c r="D5174" s="496"/>
    </row>
    <row r="5175" spans="1:4" x14ac:dyDescent="0.2">
      <c r="A5175" s="496"/>
      <c r="D5175" s="496"/>
    </row>
    <row r="5176" spans="1:4" x14ac:dyDescent="0.2">
      <c r="A5176" s="496"/>
      <c r="D5176" s="496"/>
    </row>
    <row r="5177" spans="1:4" x14ac:dyDescent="0.2">
      <c r="A5177" s="496"/>
      <c r="D5177" s="496"/>
    </row>
    <row r="5178" spans="1:4" x14ac:dyDescent="0.2">
      <c r="A5178" s="496"/>
      <c r="D5178" s="496"/>
    </row>
    <row r="5179" spans="1:4" x14ac:dyDescent="0.2">
      <c r="A5179" s="496"/>
      <c r="D5179" s="496"/>
    </row>
    <row r="5180" spans="1:4" x14ac:dyDescent="0.2">
      <c r="A5180" s="496"/>
      <c r="D5180" s="496"/>
    </row>
    <row r="5181" spans="1:4" x14ac:dyDescent="0.2">
      <c r="A5181" s="496"/>
      <c r="D5181" s="496"/>
    </row>
    <row r="5182" spans="1:4" x14ac:dyDescent="0.2">
      <c r="A5182" s="496"/>
      <c r="D5182" s="496"/>
    </row>
    <row r="5183" spans="1:4" x14ac:dyDescent="0.2">
      <c r="A5183" s="496"/>
      <c r="D5183" s="496"/>
    </row>
    <row r="5184" spans="1:4" x14ac:dyDescent="0.2">
      <c r="A5184" s="496"/>
      <c r="D5184" s="496"/>
    </row>
    <row r="5185" spans="1:4" x14ac:dyDescent="0.2">
      <c r="A5185" s="496"/>
      <c r="D5185" s="496"/>
    </row>
    <row r="5186" spans="1:4" x14ac:dyDescent="0.2">
      <c r="A5186" s="496"/>
      <c r="D5186" s="496"/>
    </row>
    <row r="5187" spans="1:4" x14ac:dyDescent="0.2">
      <c r="A5187" s="496"/>
      <c r="D5187" s="496"/>
    </row>
    <row r="5188" spans="1:4" x14ac:dyDescent="0.2">
      <c r="A5188" s="496"/>
      <c r="D5188" s="496"/>
    </row>
    <row r="5189" spans="1:4" x14ac:dyDescent="0.2">
      <c r="A5189" s="496"/>
      <c r="D5189" s="496"/>
    </row>
    <row r="5190" spans="1:4" x14ac:dyDescent="0.2">
      <c r="A5190" s="496"/>
      <c r="D5190" s="496"/>
    </row>
    <row r="5191" spans="1:4" x14ac:dyDescent="0.2">
      <c r="A5191" s="496"/>
      <c r="D5191" s="496"/>
    </row>
    <row r="5192" spans="1:4" x14ac:dyDescent="0.2">
      <c r="A5192" s="496"/>
      <c r="D5192" s="496"/>
    </row>
    <row r="5193" spans="1:4" x14ac:dyDescent="0.2">
      <c r="A5193" s="496"/>
      <c r="D5193" s="496"/>
    </row>
    <row r="5194" spans="1:4" x14ac:dyDescent="0.2">
      <c r="A5194" s="496"/>
      <c r="D5194" s="496"/>
    </row>
    <row r="5195" spans="1:4" x14ac:dyDescent="0.2">
      <c r="A5195" s="496"/>
      <c r="D5195" s="496"/>
    </row>
    <row r="5196" spans="1:4" x14ac:dyDescent="0.2">
      <c r="A5196" s="496"/>
      <c r="D5196" s="496"/>
    </row>
    <row r="5197" spans="1:4" x14ac:dyDescent="0.2">
      <c r="A5197" s="496"/>
      <c r="D5197" s="496"/>
    </row>
    <row r="5198" spans="1:4" x14ac:dyDescent="0.2">
      <c r="A5198" s="496"/>
      <c r="D5198" s="496"/>
    </row>
    <row r="5199" spans="1:4" x14ac:dyDescent="0.2">
      <c r="A5199" s="496"/>
      <c r="D5199" s="496"/>
    </row>
    <row r="5200" spans="1:4" x14ac:dyDescent="0.2">
      <c r="A5200" s="496"/>
      <c r="D5200" s="496"/>
    </row>
    <row r="5201" spans="1:4" x14ac:dyDescent="0.2">
      <c r="A5201" s="496"/>
      <c r="D5201" s="496"/>
    </row>
    <row r="5202" spans="1:4" x14ac:dyDescent="0.2">
      <c r="A5202" s="496"/>
      <c r="D5202" s="496"/>
    </row>
    <row r="5203" spans="1:4" x14ac:dyDescent="0.2">
      <c r="A5203" s="496"/>
      <c r="D5203" s="496"/>
    </row>
    <row r="5204" spans="1:4" x14ac:dyDescent="0.2">
      <c r="A5204" s="496"/>
      <c r="D5204" s="496"/>
    </row>
    <row r="5205" spans="1:4" x14ac:dyDescent="0.2">
      <c r="A5205" s="496"/>
      <c r="D5205" s="496"/>
    </row>
    <row r="5206" spans="1:4" x14ac:dyDescent="0.2">
      <c r="A5206" s="496"/>
      <c r="D5206" s="496"/>
    </row>
    <row r="5207" spans="1:4" x14ac:dyDescent="0.2">
      <c r="A5207" s="496"/>
      <c r="D5207" s="496"/>
    </row>
    <row r="5208" spans="1:4" x14ac:dyDescent="0.2">
      <c r="A5208" s="496"/>
      <c r="D5208" s="496"/>
    </row>
    <row r="5209" spans="1:4" x14ac:dyDescent="0.2">
      <c r="A5209" s="496"/>
      <c r="D5209" s="496"/>
    </row>
    <row r="5210" spans="1:4" x14ac:dyDescent="0.2">
      <c r="A5210" s="496"/>
      <c r="D5210" s="496"/>
    </row>
    <row r="5211" spans="1:4" x14ac:dyDescent="0.2">
      <c r="A5211" s="496"/>
      <c r="D5211" s="496"/>
    </row>
    <row r="5212" spans="1:4" x14ac:dyDescent="0.2">
      <c r="A5212" s="496"/>
      <c r="D5212" s="496"/>
    </row>
    <row r="5213" spans="1:4" x14ac:dyDescent="0.2">
      <c r="A5213" s="496"/>
      <c r="D5213" s="496"/>
    </row>
    <row r="5214" spans="1:4" x14ac:dyDescent="0.2">
      <c r="A5214" s="496"/>
      <c r="D5214" s="496"/>
    </row>
    <row r="5215" spans="1:4" x14ac:dyDescent="0.2">
      <c r="A5215" s="496"/>
      <c r="D5215" s="496"/>
    </row>
    <row r="5216" spans="1:4" x14ac:dyDescent="0.2">
      <c r="A5216" s="496"/>
      <c r="D5216" s="496"/>
    </row>
    <row r="5217" spans="1:4" x14ac:dyDescent="0.2">
      <c r="A5217" s="496"/>
      <c r="D5217" s="496"/>
    </row>
    <row r="5218" spans="1:4" x14ac:dyDescent="0.2">
      <c r="A5218" s="496"/>
      <c r="D5218" s="496"/>
    </row>
    <row r="5219" spans="1:4" x14ac:dyDescent="0.2">
      <c r="A5219" s="496"/>
      <c r="D5219" s="496"/>
    </row>
    <row r="5220" spans="1:4" x14ac:dyDescent="0.2">
      <c r="A5220" s="496"/>
      <c r="D5220" s="496"/>
    </row>
    <row r="5221" spans="1:4" x14ac:dyDescent="0.2">
      <c r="A5221" s="496"/>
      <c r="D5221" s="496"/>
    </row>
    <row r="5222" spans="1:4" x14ac:dyDescent="0.2">
      <c r="A5222" s="496"/>
      <c r="D5222" s="496"/>
    </row>
    <row r="5223" spans="1:4" x14ac:dyDescent="0.2">
      <c r="A5223" s="496"/>
      <c r="D5223" s="496"/>
    </row>
    <row r="5224" spans="1:4" x14ac:dyDescent="0.2">
      <c r="A5224" s="496"/>
      <c r="D5224" s="496"/>
    </row>
    <row r="5225" spans="1:4" x14ac:dyDescent="0.2">
      <c r="A5225" s="496"/>
      <c r="D5225" s="496"/>
    </row>
    <row r="5226" spans="1:4" x14ac:dyDescent="0.2">
      <c r="A5226" s="496"/>
      <c r="D5226" s="496"/>
    </row>
    <row r="5227" spans="1:4" x14ac:dyDescent="0.2">
      <c r="A5227" s="496"/>
      <c r="D5227" s="496"/>
    </row>
    <row r="5228" spans="1:4" x14ac:dyDescent="0.2">
      <c r="A5228" s="496"/>
      <c r="D5228" s="496"/>
    </row>
    <row r="5229" spans="1:4" x14ac:dyDescent="0.2">
      <c r="A5229" s="496"/>
      <c r="D5229" s="496"/>
    </row>
    <row r="5230" spans="1:4" x14ac:dyDescent="0.2">
      <c r="A5230" s="496"/>
      <c r="D5230" s="496"/>
    </row>
    <row r="5231" spans="1:4" x14ac:dyDescent="0.2">
      <c r="A5231" s="496"/>
      <c r="D5231" s="496"/>
    </row>
    <row r="5232" spans="1:4" x14ac:dyDescent="0.2">
      <c r="A5232" s="496"/>
      <c r="D5232" s="496"/>
    </row>
    <row r="5233" spans="1:4" x14ac:dyDescent="0.2">
      <c r="A5233" s="496"/>
      <c r="D5233" s="496"/>
    </row>
    <row r="5234" spans="1:4" x14ac:dyDescent="0.2">
      <c r="A5234" s="496"/>
      <c r="D5234" s="496"/>
    </row>
    <row r="5235" spans="1:4" x14ac:dyDescent="0.2">
      <c r="A5235" s="496"/>
      <c r="D5235" s="496"/>
    </row>
    <row r="5236" spans="1:4" x14ac:dyDescent="0.2">
      <c r="A5236" s="496"/>
      <c r="D5236" s="496"/>
    </row>
    <row r="5237" spans="1:4" x14ac:dyDescent="0.2">
      <c r="A5237" s="496"/>
      <c r="D5237" s="496"/>
    </row>
    <row r="5238" spans="1:4" x14ac:dyDescent="0.2">
      <c r="A5238" s="496"/>
      <c r="D5238" s="496"/>
    </row>
    <row r="5239" spans="1:4" x14ac:dyDescent="0.2">
      <c r="A5239" s="496"/>
      <c r="D5239" s="496"/>
    </row>
    <row r="5240" spans="1:4" x14ac:dyDescent="0.2">
      <c r="A5240" s="496"/>
      <c r="D5240" s="496"/>
    </row>
    <row r="5241" spans="1:4" x14ac:dyDescent="0.2">
      <c r="A5241" s="496"/>
      <c r="D5241" s="496"/>
    </row>
    <row r="5242" spans="1:4" x14ac:dyDescent="0.2">
      <c r="A5242" s="496"/>
      <c r="D5242" s="496"/>
    </row>
    <row r="5243" spans="1:4" x14ac:dyDescent="0.2">
      <c r="A5243" s="496"/>
      <c r="D5243" s="496"/>
    </row>
    <row r="5244" spans="1:4" x14ac:dyDescent="0.2">
      <c r="A5244" s="496"/>
      <c r="D5244" s="496"/>
    </row>
    <row r="5245" spans="1:4" x14ac:dyDescent="0.2">
      <c r="A5245" s="496"/>
      <c r="D5245" s="496"/>
    </row>
    <row r="5246" spans="1:4" x14ac:dyDescent="0.2">
      <c r="A5246" s="496"/>
      <c r="D5246" s="496"/>
    </row>
    <row r="5247" spans="1:4" x14ac:dyDescent="0.2">
      <c r="A5247" s="496"/>
      <c r="D5247" s="496"/>
    </row>
    <row r="5248" spans="1:4" x14ac:dyDescent="0.2">
      <c r="A5248" s="496"/>
      <c r="D5248" s="496"/>
    </row>
    <row r="5249" spans="1:4" x14ac:dyDescent="0.2">
      <c r="A5249" s="496"/>
      <c r="D5249" s="496"/>
    </row>
    <row r="5250" spans="1:4" x14ac:dyDescent="0.2">
      <c r="A5250" s="496"/>
      <c r="D5250" s="496"/>
    </row>
    <row r="5251" spans="1:4" x14ac:dyDescent="0.2">
      <c r="A5251" s="496"/>
      <c r="D5251" s="496"/>
    </row>
    <row r="5252" spans="1:4" x14ac:dyDescent="0.2">
      <c r="A5252" s="496"/>
      <c r="D5252" s="496"/>
    </row>
    <row r="5253" spans="1:4" x14ac:dyDescent="0.2">
      <c r="A5253" s="496"/>
      <c r="D5253" s="496"/>
    </row>
    <row r="5254" spans="1:4" x14ac:dyDescent="0.2">
      <c r="A5254" s="496"/>
      <c r="D5254" s="496"/>
    </row>
    <row r="5255" spans="1:4" x14ac:dyDescent="0.2">
      <c r="A5255" s="496"/>
      <c r="D5255" s="496"/>
    </row>
    <row r="5256" spans="1:4" x14ac:dyDescent="0.2">
      <c r="A5256" s="496"/>
      <c r="D5256" s="496"/>
    </row>
    <row r="5257" spans="1:4" x14ac:dyDescent="0.2">
      <c r="A5257" s="496"/>
      <c r="D5257" s="496"/>
    </row>
    <row r="5258" spans="1:4" x14ac:dyDescent="0.2">
      <c r="A5258" s="496"/>
      <c r="D5258" s="496"/>
    </row>
    <row r="5259" spans="1:4" x14ac:dyDescent="0.2">
      <c r="A5259" s="496"/>
      <c r="D5259" s="496"/>
    </row>
    <row r="5260" spans="1:4" x14ac:dyDescent="0.2">
      <c r="A5260" s="496"/>
      <c r="D5260" s="496"/>
    </row>
    <row r="5261" spans="1:4" x14ac:dyDescent="0.2">
      <c r="A5261" s="496"/>
      <c r="D5261" s="496"/>
    </row>
    <row r="5262" spans="1:4" x14ac:dyDescent="0.2">
      <c r="A5262" s="496"/>
      <c r="D5262" s="496"/>
    </row>
    <row r="5263" spans="1:4" x14ac:dyDescent="0.2">
      <c r="A5263" s="496"/>
      <c r="D5263" s="496"/>
    </row>
    <row r="5264" spans="1:4" x14ac:dyDescent="0.2">
      <c r="A5264" s="496"/>
      <c r="D5264" s="496"/>
    </row>
    <row r="5265" spans="1:4" x14ac:dyDescent="0.2">
      <c r="A5265" s="496"/>
      <c r="D5265" s="496"/>
    </row>
    <row r="5266" spans="1:4" x14ac:dyDescent="0.2">
      <c r="A5266" s="496"/>
      <c r="D5266" s="496"/>
    </row>
    <row r="5267" spans="1:4" x14ac:dyDescent="0.2">
      <c r="A5267" s="496"/>
      <c r="D5267" s="496"/>
    </row>
    <row r="5268" spans="1:4" x14ac:dyDescent="0.2">
      <c r="A5268" s="496"/>
      <c r="D5268" s="496"/>
    </row>
    <row r="5269" spans="1:4" x14ac:dyDescent="0.2">
      <c r="A5269" s="496"/>
      <c r="D5269" s="496"/>
    </row>
    <row r="5270" spans="1:4" x14ac:dyDescent="0.2">
      <c r="A5270" s="496"/>
      <c r="D5270" s="496"/>
    </row>
    <row r="5271" spans="1:4" x14ac:dyDescent="0.2">
      <c r="A5271" s="496"/>
      <c r="D5271" s="496"/>
    </row>
    <row r="5272" spans="1:4" x14ac:dyDescent="0.2">
      <c r="A5272" s="496"/>
      <c r="D5272" s="496"/>
    </row>
    <row r="5273" spans="1:4" x14ac:dyDescent="0.2">
      <c r="A5273" s="496"/>
      <c r="D5273" s="496"/>
    </row>
    <row r="5274" spans="1:4" x14ac:dyDescent="0.2">
      <c r="A5274" s="496"/>
      <c r="D5274" s="496"/>
    </row>
    <row r="5275" spans="1:4" x14ac:dyDescent="0.2">
      <c r="A5275" s="496"/>
      <c r="D5275" s="496"/>
    </row>
    <row r="5276" spans="1:4" x14ac:dyDescent="0.2">
      <c r="A5276" s="496"/>
      <c r="D5276" s="496"/>
    </row>
    <row r="5277" spans="1:4" x14ac:dyDescent="0.2">
      <c r="A5277" s="496"/>
      <c r="D5277" s="496"/>
    </row>
    <row r="5278" spans="1:4" x14ac:dyDescent="0.2">
      <c r="A5278" s="496"/>
      <c r="D5278" s="496"/>
    </row>
    <row r="5279" spans="1:4" x14ac:dyDescent="0.2">
      <c r="A5279" s="496"/>
      <c r="D5279" s="496"/>
    </row>
    <row r="5280" spans="1:4" x14ac:dyDescent="0.2">
      <c r="A5280" s="496"/>
      <c r="D5280" s="496"/>
    </row>
    <row r="5281" spans="1:4" x14ac:dyDescent="0.2">
      <c r="A5281" s="496"/>
      <c r="D5281" s="496"/>
    </row>
    <row r="5282" spans="1:4" x14ac:dyDescent="0.2">
      <c r="A5282" s="496"/>
      <c r="D5282" s="496"/>
    </row>
    <row r="5283" spans="1:4" x14ac:dyDescent="0.2">
      <c r="A5283" s="496"/>
      <c r="D5283" s="496"/>
    </row>
    <row r="5284" spans="1:4" x14ac:dyDescent="0.2">
      <c r="A5284" s="496"/>
      <c r="D5284" s="496"/>
    </row>
    <row r="5285" spans="1:4" x14ac:dyDescent="0.2">
      <c r="A5285" s="496"/>
      <c r="D5285" s="496"/>
    </row>
    <row r="5286" spans="1:4" x14ac:dyDescent="0.2">
      <c r="A5286" s="496"/>
      <c r="D5286" s="496"/>
    </row>
    <row r="5287" spans="1:4" x14ac:dyDescent="0.2">
      <c r="A5287" s="496"/>
      <c r="D5287" s="496"/>
    </row>
    <row r="5288" spans="1:4" x14ac:dyDescent="0.2">
      <c r="A5288" s="496"/>
      <c r="D5288" s="496"/>
    </row>
    <row r="5289" spans="1:4" x14ac:dyDescent="0.2">
      <c r="A5289" s="496"/>
      <c r="D5289" s="496"/>
    </row>
    <row r="5290" spans="1:4" x14ac:dyDescent="0.2">
      <c r="A5290" s="496"/>
      <c r="D5290" s="496"/>
    </row>
    <row r="5291" spans="1:4" x14ac:dyDescent="0.2">
      <c r="A5291" s="496"/>
      <c r="D5291" s="496"/>
    </row>
    <row r="5292" spans="1:4" x14ac:dyDescent="0.2">
      <c r="A5292" s="496"/>
      <c r="D5292" s="496"/>
    </row>
    <row r="5293" spans="1:4" x14ac:dyDescent="0.2">
      <c r="A5293" s="496"/>
      <c r="D5293" s="496"/>
    </row>
    <row r="5294" spans="1:4" x14ac:dyDescent="0.2">
      <c r="A5294" s="496"/>
      <c r="D5294" s="496"/>
    </row>
    <row r="5295" spans="1:4" x14ac:dyDescent="0.2">
      <c r="A5295" s="496"/>
      <c r="D5295" s="496"/>
    </row>
    <row r="5296" spans="1:4" x14ac:dyDescent="0.2">
      <c r="A5296" s="496"/>
      <c r="D5296" s="496"/>
    </row>
    <row r="5297" spans="1:4" x14ac:dyDescent="0.2">
      <c r="A5297" s="496"/>
      <c r="D5297" s="496"/>
    </row>
    <row r="5298" spans="1:4" x14ac:dyDescent="0.2">
      <c r="A5298" s="496"/>
      <c r="D5298" s="496"/>
    </row>
    <row r="5299" spans="1:4" x14ac:dyDescent="0.2">
      <c r="A5299" s="496"/>
      <c r="D5299" s="496"/>
    </row>
    <row r="5300" spans="1:4" x14ac:dyDescent="0.2">
      <c r="A5300" s="496"/>
      <c r="D5300" s="496"/>
    </row>
    <row r="5301" spans="1:4" x14ac:dyDescent="0.2">
      <c r="A5301" s="496"/>
      <c r="D5301" s="496"/>
    </row>
    <row r="5302" spans="1:4" x14ac:dyDescent="0.2">
      <c r="A5302" s="496"/>
      <c r="D5302" s="496"/>
    </row>
    <row r="5303" spans="1:4" x14ac:dyDescent="0.2">
      <c r="A5303" s="496"/>
      <c r="D5303" s="496"/>
    </row>
    <row r="5304" spans="1:4" x14ac:dyDescent="0.2">
      <c r="A5304" s="496"/>
      <c r="D5304" s="496"/>
    </row>
    <row r="5305" spans="1:4" x14ac:dyDescent="0.2">
      <c r="A5305" s="496"/>
      <c r="D5305" s="496"/>
    </row>
    <row r="5306" spans="1:4" x14ac:dyDescent="0.2">
      <c r="A5306" s="496"/>
      <c r="D5306" s="496"/>
    </row>
    <row r="5307" spans="1:4" x14ac:dyDescent="0.2">
      <c r="A5307" s="496"/>
      <c r="D5307" s="496"/>
    </row>
    <row r="5308" spans="1:4" x14ac:dyDescent="0.2">
      <c r="A5308" s="496"/>
      <c r="D5308" s="496"/>
    </row>
    <row r="5309" spans="1:4" x14ac:dyDescent="0.2">
      <c r="A5309" s="496"/>
      <c r="D5309" s="496"/>
    </row>
    <row r="5310" spans="1:4" x14ac:dyDescent="0.2">
      <c r="A5310" s="496"/>
      <c r="D5310" s="496"/>
    </row>
    <row r="5311" spans="1:4" x14ac:dyDescent="0.2">
      <c r="A5311" s="496"/>
      <c r="D5311" s="496"/>
    </row>
    <row r="5312" spans="1:4" x14ac:dyDescent="0.2">
      <c r="A5312" s="496"/>
      <c r="D5312" s="496"/>
    </row>
    <row r="5313" spans="1:4" x14ac:dyDescent="0.2">
      <c r="A5313" s="496"/>
      <c r="D5313" s="496"/>
    </row>
    <row r="5314" spans="1:4" x14ac:dyDescent="0.2">
      <c r="A5314" s="496"/>
      <c r="D5314" s="496"/>
    </row>
    <row r="5315" spans="1:4" x14ac:dyDescent="0.2">
      <c r="A5315" s="496"/>
      <c r="D5315" s="496"/>
    </row>
    <row r="5316" spans="1:4" x14ac:dyDescent="0.2">
      <c r="A5316" s="496"/>
      <c r="D5316" s="496"/>
    </row>
    <row r="5317" spans="1:4" x14ac:dyDescent="0.2">
      <c r="A5317" s="496"/>
      <c r="D5317" s="496"/>
    </row>
    <row r="5318" spans="1:4" x14ac:dyDescent="0.2">
      <c r="A5318" s="496"/>
      <c r="D5318" s="496"/>
    </row>
    <row r="5319" spans="1:4" x14ac:dyDescent="0.2">
      <c r="A5319" s="496"/>
      <c r="D5319" s="496"/>
    </row>
    <row r="5320" spans="1:4" x14ac:dyDescent="0.2">
      <c r="A5320" s="496"/>
      <c r="D5320" s="496"/>
    </row>
    <row r="5321" spans="1:4" x14ac:dyDescent="0.2">
      <c r="A5321" s="496"/>
      <c r="D5321" s="496"/>
    </row>
    <row r="5322" spans="1:4" x14ac:dyDescent="0.2">
      <c r="A5322" s="496"/>
      <c r="D5322" s="496"/>
    </row>
    <row r="5323" spans="1:4" x14ac:dyDescent="0.2">
      <c r="A5323" s="496"/>
      <c r="D5323" s="496"/>
    </row>
    <row r="5324" spans="1:4" x14ac:dyDescent="0.2">
      <c r="A5324" s="496"/>
      <c r="D5324" s="496"/>
    </row>
    <row r="5325" spans="1:4" x14ac:dyDescent="0.2">
      <c r="A5325" s="496"/>
      <c r="D5325" s="496"/>
    </row>
    <row r="5326" spans="1:4" x14ac:dyDescent="0.2">
      <c r="A5326" s="496"/>
      <c r="D5326" s="496"/>
    </row>
    <row r="5327" spans="1:4" x14ac:dyDescent="0.2">
      <c r="A5327" s="496"/>
      <c r="D5327" s="496"/>
    </row>
    <row r="5328" spans="1:4" x14ac:dyDescent="0.2">
      <c r="A5328" s="496"/>
      <c r="D5328" s="496"/>
    </row>
    <row r="5329" spans="1:4" x14ac:dyDescent="0.2">
      <c r="A5329" s="496"/>
      <c r="D5329" s="496"/>
    </row>
    <row r="5330" spans="1:4" x14ac:dyDescent="0.2">
      <c r="A5330" s="496"/>
      <c r="D5330" s="496"/>
    </row>
    <row r="5331" spans="1:4" x14ac:dyDescent="0.2">
      <c r="A5331" s="496"/>
      <c r="D5331" s="496"/>
    </row>
    <row r="5332" spans="1:4" x14ac:dyDescent="0.2">
      <c r="A5332" s="496"/>
      <c r="D5332" s="496"/>
    </row>
    <row r="5333" spans="1:4" x14ac:dyDescent="0.2">
      <c r="A5333" s="496"/>
      <c r="D5333" s="496"/>
    </row>
    <row r="5334" spans="1:4" x14ac:dyDescent="0.2">
      <c r="A5334" s="496"/>
      <c r="D5334" s="496"/>
    </row>
    <row r="5335" spans="1:4" x14ac:dyDescent="0.2">
      <c r="A5335" s="496"/>
      <c r="D5335" s="496"/>
    </row>
    <row r="5336" spans="1:4" x14ac:dyDescent="0.2">
      <c r="A5336" s="496"/>
      <c r="D5336" s="496"/>
    </row>
    <row r="5337" spans="1:4" x14ac:dyDescent="0.2">
      <c r="A5337" s="496"/>
      <c r="D5337" s="496"/>
    </row>
    <row r="5338" spans="1:4" x14ac:dyDescent="0.2">
      <c r="A5338" s="496"/>
      <c r="D5338" s="496"/>
    </row>
    <row r="5339" spans="1:4" x14ac:dyDescent="0.2">
      <c r="A5339" s="496"/>
      <c r="D5339" s="496"/>
    </row>
    <row r="5340" spans="1:4" x14ac:dyDescent="0.2">
      <c r="A5340" s="496"/>
      <c r="D5340" s="496"/>
    </row>
    <row r="5341" spans="1:4" x14ac:dyDescent="0.2">
      <c r="A5341" s="496"/>
      <c r="D5341" s="496"/>
    </row>
    <row r="5342" spans="1:4" x14ac:dyDescent="0.2">
      <c r="A5342" s="496"/>
      <c r="D5342" s="496"/>
    </row>
    <row r="5343" spans="1:4" x14ac:dyDescent="0.2">
      <c r="A5343" s="496"/>
      <c r="D5343" s="496"/>
    </row>
    <row r="5344" spans="1:4" x14ac:dyDescent="0.2">
      <c r="A5344" s="496"/>
      <c r="D5344" s="496"/>
    </row>
    <row r="5345" spans="1:4" x14ac:dyDescent="0.2">
      <c r="A5345" s="496"/>
      <c r="D5345" s="496"/>
    </row>
    <row r="5346" spans="1:4" x14ac:dyDescent="0.2">
      <c r="A5346" s="496"/>
      <c r="D5346" s="496"/>
    </row>
    <row r="5347" spans="1:4" x14ac:dyDescent="0.2">
      <c r="A5347" s="496"/>
      <c r="D5347" s="496"/>
    </row>
    <row r="5348" spans="1:4" x14ac:dyDescent="0.2">
      <c r="A5348" s="496"/>
      <c r="D5348" s="496"/>
    </row>
    <row r="5349" spans="1:4" x14ac:dyDescent="0.2">
      <c r="A5349" s="496"/>
      <c r="D5349" s="496"/>
    </row>
    <row r="5350" spans="1:4" x14ac:dyDescent="0.2">
      <c r="A5350" s="496"/>
      <c r="D5350" s="496"/>
    </row>
    <row r="5351" spans="1:4" x14ac:dyDescent="0.2">
      <c r="A5351" s="496"/>
      <c r="D5351" s="496"/>
    </row>
    <row r="5352" spans="1:4" x14ac:dyDescent="0.2">
      <c r="A5352" s="496"/>
      <c r="D5352" s="496"/>
    </row>
    <row r="5353" spans="1:4" x14ac:dyDescent="0.2">
      <c r="A5353" s="496"/>
      <c r="D5353" s="496"/>
    </row>
    <row r="5354" spans="1:4" x14ac:dyDescent="0.2">
      <c r="A5354" s="496"/>
      <c r="D5354" s="496"/>
    </row>
    <row r="5355" spans="1:4" x14ac:dyDescent="0.2">
      <c r="A5355" s="496"/>
      <c r="D5355" s="496"/>
    </row>
    <row r="5356" spans="1:4" x14ac:dyDescent="0.2">
      <c r="A5356" s="496"/>
      <c r="D5356" s="496"/>
    </row>
    <row r="5357" spans="1:4" x14ac:dyDescent="0.2">
      <c r="A5357" s="496"/>
      <c r="D5357" s="496"/>
    </row>
    <row r="5358" spans="1:4" x14ac:dyDescent="0.2">
      <c r="A5358" s="496"/>
      <c r="D5358" s="496"/>
    </row>
    <row r="5359" spans="1:4" x14ac:dyDescent="0.2">
      <c r="A5359" s="496"/>
      <c r="D5359" s="496"/>
    </row>
    <row r="5360" spans="1:4" x14ac:dyDescent="0.2">
      <c r="A5360" s="496"/>
      <c r="D5360" s="496"/>
    </row>
    <row r="5361" spans="1:4" x14ac:dyDescent="0.2">
      <c r="A5361" s="496"/>
      <c r="D5361" s="496"/>
    </row>
    <row r="5362" spans="1:4" x14ac:dyDescent="0.2">
      <c r="A5362" s="496"/>
      <c r="D5362" s="496"/>
    </row>
    <row r="5363" spans="1:4" x14ac:dyDescent="0.2">
      <c r="A5363" s="496"/>
      <c r="D5363" s="496"/>
    </row>
    <row r="5364" spans="1:4" x14ac:dyDescent="0.2">
      <c r="A5364" s="496"/>
      <c r="D5364" s="496"/>
    </row>
    <row r="5365" spans="1:4" x14ac:dyDescent="0.2">
      <c r="A5365" s="496"/>
      <c r="D5365" s="496"/>
    </row>
    <row r="5366" spans="1:4" x14ac:dyDescent="0.2">
      <c r="A5366" s="496"/>
      <c r="D5366" s="496"/>
    </row>
    <row r="5367" spans="1:4" x14ac:dyDescent="0.2">
      <c r="A5367" s="496"/>
      <c r="D5367" s="496"/>
    </row>
    <row r="5368" spans="1:4" x14ac:dyDescent="0.2">
      <c r="A5368" s="496"/>
      <c r="D5368" s="496"/>
    </row>
    <row r="5369" spans="1:4" x14ac:dyDescent="0.2">
      <c r="A5369" s="496"/>
      <c r="D5369" s="496"/>
    </row>
    <row r="5370" spans="1:4" x14ac:dyDescent="0.2">
      <c r="A5370" s="496"/>
      <c r="D5370" s="496"/>
    </row>
    <row r="5371" spans="1:4" x14ac:dyDescent="0.2">
      <c r="A5371" s="496"/>
      <c r="D5371" s="496"/>
    </row>
    <row r="5372" spans="1:4" x14ac:dyDescent="0.2">
      <c r="A5372" s="496"/>
      <c r="D5372" s="496"/>
    </row>
    <row r="5373" spans="1:4" x14ac:dyDescent="0.2">
      <c r="A5373" s="496"/>
      <c r="D5373" s="496"/>
    </row>
    <row r="5374" spans="1:4" x14ac:dyDescent="0.2">
      <c r="A5374" s="496"/>
      <c r="D5374" s="496"/>
    </row>
    <row r="5375" spans="1:4" x14ac:dyDescent="0.2">
      <c r="A5375" s="496"/>
      <c r="D5375" s="496"/>
    </row>
    <row r="5376" spans="1:4" x14ac:dyDescent="0.2">
      <c r="A5376" s="496"/>
      <c r="D5376" s="496"/>
    </row>
    <row r="5377" spans="1:4" x14ac:dyDescent="0.2">
      <c r="A5377" s="496"/>
      <c r="D5377" s="496"/>
    </row>
    <row r="5378" spans="1:4" x14ac:dyDescent="0.2">
      <c r="A5378" s="496"/>
      <c r="D5378" s="496"/>
    </row>
    <row r="5379" spans="1:4" x14ac:dyDescent="0.2">
      <c r="A5379" s="496"/>
      <c r="D5379" s="496"/>
    </row>
    <row r="5380" spans="1:4" x14ac:dyDescent="0.2">
      <c r="A5380" s="496"/>
      <c r="D5380" s="496"/>
    </row>
    <row r="5381" spans="1:4" x14ac:dyDescent="0.2">
      <c r="A5381" s="496"/>
      <c r="D5381" s="496"/>
    </row>
    <row r="5382" spans="1:4" x14ac:dyDescent="0.2">
      <c r="A5382" s="496"/>
      <c r="D5382" s="496"/>
    </row>
    <row r="5383" spans="1:4" x14ac:dyDescent="0.2">
      <c r="A5383" s="496"/>
      <c r="D5383" s="496"/>
    </row>
    <row r="5384" spans="1:4" x14ac:dyDescent="0.2">
      <c r="A5384" s="496"/>
      <c r="D5384" s="496"/>
    </row>
    <row r="5385" spans="1:4" x14ac:dyDescent="0.2">
      <c r="A5385" s="496"/>
      <c r="D5385" s="496"/>
    </row>
    <row r="5386" spans="1:4" x14ac:dyDescent="0.2">
      <c r="A5386" s="496"/>
      <c r="D5386" s="496"/>
    </row>
    <row r="5387" spans="1:4" x14ac:dyDescent="0.2">
      <c r="A5387" s="496"/>
      <c r="D5387" s="496"/>
    </row>
    <row r="5388" spans="1:4" x14ac:dyDescent="0.2">
      <c r="A5388" s="496"/>
      <c r="D5388" s="496"/>
    </row>
    <row r="5389" spans="1:4" x14ac:dyDescent="0.2">
      <c r="A5389" s="496"/>
      <c r="D5389" s="496"/>
    </row>
    <row r="5390" spans="1:4" x14ac:dyDescent="0.2">
      <c r="A5390" s="496"/>
      <c r="D5390" s="496"/>
    </row>
    <row r="5391" spans="1:4" x14ac:dyDescent="0.2">
      <c r="A5391" s="496"/>
      <c r="D5391" s="496"/>
    </row>
    <row r="5392" spans="1:4" x14ac:dyDescent="0.2">
      <c r="A5392" s="496"/>
      <c r="D5392" s="496"/>
    </row>
    <row r="5393" spans="1:4" x14ac:dyDescent="0.2">
      <c r="A5393" s="496"/>
      <c r="D5393" s="496"/>
    </row>
    <row r="5394" spans="1:4" x14ac:dyDescent="0.2">
      <c r="A5394" s="496"/>
      <c r="D5394" s="496"/>
    </row>
    <row r="5395" spans="1:4" x14ac:dyDescent="0.2">
      <c r="A5395" s="496"/>
      <c r="D5395" s="496"/>
    </row>
    <row r="5396" spans="1:4" x14ac:dyDescent="0.2">
      <c r="A5396" s="496"/>
      <c r="D5396" s="496"/>
    </row>
    <row r="5397" spans="1:4" x14ac:dyDescent="0.2">
      <c r="A5397" s="496"/>
      <c r="D5397" s="496"/>
    </row>
    <row r="5398" spans="1:4" x14ac:dyDescent="0.2">
      <c r="A5398" s="496"/>
      <c r="D5398" s="496"/>
    </row>
    <row r="5399" spans="1:4" x14ac:dyDescent="0.2">
      <c r="A5399" s="496"/>
      <c r="D5399" s="496"/>
    </row>
    <row r="5400" spans="1:4" x14ac:dyDescent="0.2">
      <c r="A5400" s="496"/>
      <c r="D5400" s="496"/>
    </row>
    <row r="5401" spans="1:4" x14ac:dyDescent="0.2">
      <c r="A5401" s="496"/>
      <c r="D5401" s="496"/>
    </row>
    <row r="5402" spans="1:4" x14ac:dyDescent="0.2">
      <c r="A5402" s="496"/>
      <c r="D5402" s="496"/>
    </row>
    <row r="5403" spans="1:4" x14ac:dyDescent="0.2">
      <c r="A5403" s="496"/>
      <c r="D5403" s="496"/>
    </row>
    <row r="5404" spans="1:4" x14ac:dyDescent="0.2">
      <c r="A5404" s="496"/>
      <c r="D5404" s="496"/>
    </row>
    <row r="5405" spans="1:4" x14ac:dyDescent="0.2">
      <c r="A5405" s="496"/>
      <c r="D5405" s="496"/>
    </row>
    <row r="5406" spans="1:4" x14ac:dyDescent="0.2">
      <c r="A5406" s="496"/>
      <c r="D5406" s="496"/>
    </row>
    <row r="5407" spans="1:4" x14ac:dyDescent="0.2">
      <c r="A5407" s="496"/>
      <c r="D5407" s="496"/>
    </row>
    <row r="5408" spans="1:4" x14ac:dyDescent="0.2">
      <c r="A5408" s="496"/>
      <c r="D5408" s="496"/>
    </row>
    <row r="5409" spans="1:4" x14ac:dyDescent="0.2">
      <c r="A5409" s="496"/>
      <c r="D5409" s="496"/>
    </row>
    <row r="5410" spans="1:4" x14ac:dyDescent="0.2">
      <c r="A5410" s="496"/>
      <c r="D5410" s="496"/>
    </row>
    <row r="5411" spans="1:4" x14ac:dyDescent="0.2">
      <c r="A5411" s="496"/>
      <c r="D5411" s="496"/>
    </row>
    <row r="5412" spans="1:4" x14ac:dyDescent="0.2">
      <c r="A5412" s="496"/>
      <c r="D5412" s="496"/>
    </row>
    <row r="5413" spans="1:4" x14ac:dyDescent="0.2">
      <c r="A5413" s="496"/>
      <c r="D5413" s="496"/>
    </row>
    <row r="5414" spans="1:4" x14ac:dyDescent="0.2">
      <c r="A5414" s="496"/>
      <c r="D5414" s="496"/>
    </row>
    <row r="5415" spans="1:4" x14ac:dyDescent="0.2">
      <c r="A5415" s="496"/>
      <c r="D5415" s="496"/>
    </row>
    <row r="5416" spans="1:4" x14ac:dyDescent="0.2">
      <c r="A5416" s="496"/>
      <c r="D5416" s="496"/>
    </row>
    <row r="5417" spans="1:4" x14ac:dyDescent="0.2">
      <c r="A5417" s="496"/>
      <c r="D5417" s="496"/>
    </row>
    <row r="5418" spans="1:4" x14ac:dyDescent="0.2">
      <c r="A5418" s="496"/>
      <c r="D5418" s="496"/>
    </row>
    <row r="5419" spans="1:4" x14ac:dyDescent="0.2">
      <c r="A5419" s="496"/>
      <c r="D5419" s="496"/>
    </row>
    <row r="5420" spans="1:4" x14ac:dyDescent="0.2">
      <c r="A5420" s="496"/>
      <c r="D5420" s="496"/>
    </row>
    <row r="5421" spans="1:4" x14ac:dyDescent="0.2">
      <c r="A5421" s="496"/>
      <c r="D5421" s="496"/>
    </row>
    <row r="5422" spans="1:4" x14ac:dyDescent="0.2">
      <c r="A5422" s="496"/>
      <c r="D5422" s="496"/>
    </row>
    <row r="5423" spans="1:4" x14ac:dyDescent="0.2">
      <c r="A5423" s="496"/>
      <c r="D5423" s="496"/>
    </row>
    <row r="5424" spans="1:4" x14ac:dyDescent="0.2">
      <c r="A5424" s="496"/>
      <c r="D5424" s="496"/>
    </row>
    <row r="5425" spans="1:4" x14ac:dyDescent="0.2">
      <c r="A5425" s="496"/>
      <c r="D5425" s="496"/>
    </row>
    <row r="5426" spans="1:4" x14ac:dyDescent="0.2">
      <c r="A5426" s="496"/>
      <c r="D5426" s="496"/>
    </row>
    <row r="5427" spans="1:4" x14ac:dyDescent="0.2">
      <c r="A5427" s="496"/>
      <c r="D5427" s="496"/>
    </row>
    <row r="5428" spans="1:4" x14ac:dyDescent="0.2">
      <c r="A5428" s="496"/>
      <c r="D5428" s="496"/>
    </row>
    <row r="5429" spans="1:4" x14ac:dyDescent="0.2">
      <c r="A5429" s="496"/>
      <c r="D5429" s="496"/>
    </row>
    <row r="5430" spans="1:4" x14ac:dyDescent="0.2">
      <c r="A5430" s="496"/>
      <c r="D5430" s="496"/>
    </row>
    <row r="5431" spans="1:4" x14ac:dyDescent="0.2">
      <c r="A5431" s="496"/>
      <c r="D5431" s="496"/>
    </row>
    <row r="5432" spans="1:4" x14ac:dyDescent="0.2">
      <c r="A5432" s="496"/>
      <c r="D5432" s="496"/>
    </row>
    <row r="5433" spans="1:4" x14ac:dyDescent="0.2">
      <c r="A5433" s="496"/>
      <c r="D5433" s="496"/>
    </row>
    <row r="5434" spans="1:4" x14ac:dyDescent="0.2">
      <c r="A5434" s="496"/>
      <c r="D5434" s="496"/>
    </row>
    <row r="5435" spans="1:4" x14ac:dyDescent="0.2">
      <c r="A5435" s="496"/>
      <c r="D5435" s="496"/>
    </row>
    <row r="5436" spans="1:4" x14ac:dyDescent="0.2">
      <c r="A5436" s="496"/>
      <c r="D5436" s="496"/>
    </row>
    <row r="5437" spans="1:4" x14ac:dyDescent="0.2">
      <c r="A5437" s="496"/>
      <c r="D5437" s="496"/>
    </row>
    <row r="5438" spans="1:4" x14ac:dyDescent="0.2">
      <c r="A5438" s="496"/>
      <c r="D5438" s="496"/>
    </row>
    <row r="5439" spans="1:4" x14ac:dyDescent="0.2">
      <c r="A5439" s="496"/>
      <c r="D5439" s="496"/>
    </row>
    <row r="5440" spans="1:4" x14ac:dyDescent="0.2">
      <c r="A5440" s="496"/>
      <c r="D5440" s="496"/>
    </row>
    <row r="5441" spans="1:4" x14ac:dyDescent="0.2">
      <c r="A5441" s="496"/>
      <c r="D5441" s="496"/>
    </row>
    <row r="5442" spans="1:4" x14ac:dyDescent="0.2">
      <c r="A5442" s="496"/>
      <c r="D5442" s="496"/>
    </row>
    <row r="5443" spans="1:4" x14ac:dyDescent="0.2">
      <c r="A5443" s="496"/>
      <c r="D5443" s="496"/>
    </row>
    <row r="5444" spans="1:4" x14ac:dyDescent="0.2">
      <c r="A5444" s="496"/>
      <c r="D5444" s="496"/>
    </row>
    <row r="5445" spans="1:4" x14ac:dyDescent="0.2">
      <c r="A5445" s="496"/>
      <c r="D5445" s="496"/>
    </row>
    <row r="5446" spans="1:4" x14ac:dyDescent="0.2">
      <c r="A5446" s="496"/>
      <c r="D5446" s="496"/>
    </row>
    <row r="5447" spans="1:4" x14ac:dyDescent="0.2">
      <c r="A5447" s="496"/>
      <c r="D5447" s="496"/>
    </row>
    <row r="5448" spans="1:4" x14ac:dyDescent="0.2">
      <c r="A5448" s="496"/>
      <c r="D5448" s="496"/>
    </row>
    <row r="5449" spans="1:4" x14ac:dyDescent="0.2">
      <c r="A5449" s="496"/>
      <c r="D5449" s="496"/>
    </row>
    <row r="5450" spans="1:4" x14ac:dyDescent="0.2">
      <c r="A5450" s="496"/>
      <c r="D5450" s="496"/>
    </row>
    <row r="5451" spans="1:4" x14ac:dyDescent="0.2">
      <c r="A5451" s="496"/>
      <c r="D5451" s="496"/>
    </row>
    <row r="5452" spans="1:4" x14ac:dyDescent="0.2">
      <c r="A5452" s="496"/>
      <c r="D5452" s="496"/>
    </row>
    <row r="5453" spans="1:4" x14ac:dyDescent="0.2">
      <c r="A5453" s="496"/>
      <c r="D5453" s="496"/>
    </row>
    <row r="5454" spans="1:4" x14ac:dyDescent="0.2">
      <c r="A5454" s="496"/>
      <c r="D5454" s="496"/>
    </row>
    <row r="5455" spans="1:4" x14ac:dyDescent="0.2">
      <c r="A5455" s="496"/>
      <c r="D5455" s="496"/>
    </row>
    <row r="5456" spans="1:4" x14ac:dyDescent="0.2">
      <c r="A5456" s="496"/>
      <c r="D5456" s="496"/>
    </row>
    <row r="5457" spans="1:4" x14ac:dyDescent="0.2">
      <c r="A5457" s="496"/>
      <c r="D5457" s="496"/>
    </row>
    <row r="5458" spans="1:4" x14ac:dyDescent="0.2">
      <c r="A5458" s="496"/>
      <c r="D5458" s="496"/>
    </row>
    <row r="5459" spans="1:4" x14ac:dyDescent="0.2">
      <c r="A5459" s="496"/>
      <c r="D5459" s="496"/>
    </row>
    <row r="5460" spans="1:4" x14ac:dyDescent="0.2">
      <c r="A5460" s="496"/>
      <c r="D5460" s="496"/>
    </row>
    <row r="5461" spans="1:4" x14ac:dyDescent="0.2">
      <c r="A5461" s="496"/>
      <c r="D5461" s="496"/>
    </row>
    <row r="5462" spans="1:4" x14ac:dyDescent="0.2">
      <c r="A5462" s="496"/>
      <c r="D5462" s="496"/>
    </row>
    <row r="5463" spans="1:4" x14ac:dyDescent="0.2">
      <c r="A5463" s="496"/>
      <c r="D5463" s="496"/>
    </row>
    <row r="5464" spans="1:4" x14ac:dyDescent="0.2">
      <c r="A5464" s="496"/>
      <c r="D5464" s="496"/>
    </row>
    <row r="5465" spans="1:4" x14ac:dyDescent="0.2">
      <c r="A5465" s="496"/>
      <c r="D5465" s="496"/>
    </row>
    <row r="5466" spans="1:4" x14ac:dyDescent="0.2">
      <c r="A5466" s="496"/>
      <c r="D5466" s="496"/>
    </row>
    <row r="5467" spans="1:4" x14ac:dyDescent="0.2">
      <c r="A5467" s="496"/>
      <c r="D5467" s="496"/>
    </row>
    <row r="5468" spans="1:4" x14ac:dyDescent="0.2">
      <c r="A5468" s="496"/>
      <c r="D5468" s="496"/>
    </row>
    <row r="5469" spans="1:4" x14ac:dyDescent="0.2">
      <c r="A5469" s="496"/>
      <c r="D5469" s="496"/>
    </row>
    <row r="5470" spans="1:4" x14ac:dyDescent="0.2">
      <c r="A5470" s="496"/>
      <c r="D5470" s="496"/>
    </row>
    <row r="5471" spans="1:4" x14ac:dyDescent="0.2">
      <c r="A5471" s="496"/>
      <c r="D5471" s="496"/>
    </row>
    <row r="5472" spans="1:4" x14ac:dyDescent="0.2">
      <c r="A5472" s="496"/>
      <c r="D5472" s="496"/>
    </row>
    <row r="5473" spans="1:4" x14ac:dyDescent="0.2">
      <c r="A5473" s="496"/>
      <c r="D5473" s="496"/>
    </row>
    <row r="5474" spans="1:4" x14ac:dyDescent="0.2">
      <c r="A5474" s="496"/>
      <c r="D5474" s="496"/>
    </row>
    <row r="5475" spans="1:4" x14ac:dyDescent="0.2">
      <c r="A5475" s="496"/>
      <c r="D5475" s="496"/>
    </row>
    <row r="5476" spans="1:4" x14ac:dyDescent="0.2">
      <c r="A5476" s="496"/>
      <c r="D5476" s="496"/>
    </row>
    <row r="5477" spans="1:4" x14ac:dyDescent="0.2">
      <c r="A5477" s="496"/>
      <c r="D5477" s="496"/>
    </row>
    <row r="5478" spans="1:4" x14ac:dyDescent="0.2">
      <c r="A5478" s="496"/>
      <c r="D5478" s="496"/>
    </row>
    <row r="5479" spans="1:4" x14ac:dyDescent="0.2">
      <c r="A5479" s="496"/>
      <c r="D5479" s="496"/>
    </row>
    <row r="5480" spans="1:4" x14ac:dyDescent="0.2">
      <c r="A5480" s="496"/>
      <c r="D5480" s="496"/>
    </row>
    <row r="5481" spans="1:4" x14ac:dyDescent="0.2">
      <c r="A5481" s="496"/>
      <c r="D5481" s="496"/>
    </row>
    <row r="5482" spans="1:4" x14ac:dyDescent="0.2">
      <c r="A5482" s="496"/>
      <c r="D5482" s="496"/>
    </row>
    <row r="5483" spans="1:4" x14ac:dyDescent="0.2">
      <c r="A5483" s="496"/>
      <c r="D5483" s="496"/>
    </row>
    <row r="5484" spans="1:4" x14ac:dyDescent="0.2">
      <c r="A5484" s="496"/>
      <c r="D5484" s="496"/>
    </row>
    <row r="5485" spans="1:4" x14ac:dyDescent="0.2">
      <c r="A5485" s="496"/>
      <c r="D5485" s="496"/>
    </row>
    <row r="5486" spans="1:4" x14ac:dyDescent="0.2">
      <c r="A5486" s="496"/>
      <c r="D5486" s="496"/>
    </row>
    <row r="5487" spans="1:4" x14ac:dyDescent="0.2">
      <c r="A5487" s="496"/>
      <c r="D5487" s="496"/>
    </row>
    <row r="5488" spans="1:4" x14ac:dyDescent="0.2">
      <c r="A5488" s="496"/>
      <c r="D5488" s="496"/>
    </row>
    <row r="5489" spans="1:4" x14ac:dyDescent="0.2">
      <c r="A5489" s="496"/>
      <c r="D5489" s="496"/>
    </row>
    <row r="5490" spans="1:4" x14ac:dyDescent="0.2">
      <c r="A5490" s="496"/>
      <c r="D5490" s="496"/>
    </row>
    <row r="5491" spans="1:4" x14ac:dyDescent="0.2">
      <c r="A5491" s="496"/>
      <c r="D5491" s="496"/>
    </row>
    <row r="5492" spans="1:4" x14ac:dyDescent="0.2">
      <c r="A5492" s="496"/>
      <c r="D5492" s="496"/>
    </row>
    <row r="5493" spans="1:4" x14ac:dyDescent="0.2">
      <c r="A5493" s="496"/>
      <c r="D5493" s="496"/>
    </row>
    <row r="5494" spans="1:4" x14ac:dyDescent="0.2">
      <c r="A5494" s="496"/>
      <c r="D5494" s="496"/>
    </row>
    <row r="5495" spans="1:4" x14ac:dyDescent="0.2">
      <c r="A5495" s="496"/>
      <c r="D5495" s="496"/>
    </row>
    <row r="5496" spans="1:4" x14ac:dyDescent="0.2">
      <c r="A5496" s="496"/>
      <c r="D5496" s="496"/>
    </row>
    <row r="5497" spans="1:4" x14ac:dyDescent="0.2">
      <c r="A5497" s="496"/>
      <c r="D5497" s="496"/>
    </row>
    <row r="5498" spans="1:4" x14ac:dyDescent="0.2">
      <c r="A5498" s="496"/>
      <c r="D5498" s="496"/>
    </row>
    <row r="5499" spans="1:4" x14ac:dyDescent="0.2">
      <c r="A5499" s="496"/>
      <c r="D5499" s="496"/>
    </row>
    <row r="5500" spans="1:4" x14ac:dyDescent="0.2">
      <c r="A5500" s="496"/>
      <c r="D5500" s="496"/>
    </row>
    <row r="5501" spans="1:4" x14ac:dyDescent="0.2">
      <c r="A5501" s="496"/>
      <c r="D5501" s="496"/>
    </row>
    <row r="5502" spans="1:4" x14ac:dyDescent="0.2">
      <c r="A5502" s="496"/>
      <c r="D5502" s="496"/>
    </row>
    <row r="5503" spans="1:4" x14ac:dyDescent="0.2">
      <c r="A5503" s="496"/>
      <c r="D5503" s="496"/>
    </row>
    <row r="5504" spans="1:4" x14ac:dyDescent="0.2">
      <c r="A5504" s="496"/>
      <c r="D5504" s="496"/>
    </row>
    <row r="5505" spans="1:4" x14ac:dyDescent="0.2">
      <c r="A5505" s="496"/>
      <c r="D5505" s="496"/>
    </row>
    <row r="5506" spans="1:4" x14ac:dyDescent="0.2">
      <c r="A5506" s="496"/>
      <c r="D5506" s="496"/>
    </row>
    <row r="5507" spans="1:4" x14ac:dyDescent="0.2">
      <c r="A5507" s="496"/>
      <c r="D5507" s="496"/>
    </row>
    <row r="5508" spans="1:4" x14ac:dyDescent="0.2">
      <c r="A5508" s="496"/>
      <c r="D5508" s="496"/>
    </row>
    <row r="5509" spans="1:4" x14ac:dyDescent="0.2">
      <c r="A5509" s="496"/>
      <c r="D5509" s="496"/>
    </row>
    <row r="5510" spans="1:4" x14ac:dyDescent="0.2">
      <c r="A5510" s="496"/>
      <c r="D5510" s="496"/>
    </row>
    <row r="5511" spans="1:4" x14ac:dyDescent="0.2">
      <c r="A5511" s="496"/>
      <c r="D5511" s="496"/>
    </row>
    <row r="5512" spans="1:4" x14ac:dyDescent="0.2">
      <c r="A5512" s="496"/>
      <c r="D5512" s="496"/>
    </row>
    <row r="5513" spans="1:4" x14ac:dyDescent="0.2">
      <c r="A5513" s="496"/>
      <c r="D5513" s="496"/>
    </row>
    <row r="5514" spans="1:4" x14ac:dyDescent="0.2">
      <c r="A5514" s="496"/>
      <c r="D5514" s="496"/>
    </row>
    <row r="5515" spans="1:4" x14ac:dyDescent="0.2">
      <c r="A5515" s="496"/>
      <c r="D5515" s="496"/>
    </row>
    <row r="5516" spans="1:4" x14ac:dyDescent="0.2">
      <c r="A5516" s="496"/>
      <c r="D5516" s="496"/>
    </row>
    <row r="5517" spans="1:4" x14ac:dyDescent="0.2">
      <c r="A5517" s="496"/>
      <c r="D5517" s="496"/>
    </row>
    <row r="5518" spans="1:4" x14ac:dyDescent="0.2">
      <c r="A5518" s="496"/>
      <c r="D5518" s="496"/>
    </row>
    <row r="5519" spans="1:4" x14ac:dyDescent="0.2">
      <c r="A5519" s="496"/>
      <c r="D5519" s="496"/>
    </row>
    <row r="5520" spans="1:4" x14ac:dyDescent="0.2">
      <c r="A5520" s="496"/>
      <c r="D5520" s="496"/>
    </row>
    <row r="5521" spans="1:4" x14ac:dyDescent="0.2">
      <c r="A5521" s="496"/>
      <c r="D5521" s="496"/>
    </row>
    <row r="5522" spans="1:4" x14ac:dyDescent="0.2">
      <c r="A5522" s="496"/>
      <c r="D5522" s="496"/>
    </row>
    <row r="5523" spans="1:4" x14ac:dyDescent="0.2">
      <c r="A5523" s="496"/>
      <c r="D5523" s="496"/>
    </row>
    <row r="5524" spans="1:4" x14ac:dyDescent="0.2">
      <c r="A5524" s="496"/>
      <c r="D5524" s="496"/>
    </row>
    <row r="5525" spans="1:4" x14ac:dyDescent="0.2">
      <c r="A5525" s="496"/>
      <c r="D5525" s="496"/>
    </row>
    <row r="5526" spans="1:4" x14ac:dyDescent="0.2">
      <c r="A5526" s="496"/>
      <c r="D5526" s="496"/>
    </row>
    <row r="5527" spans="1:4" x14ac:dyDescent="0.2">
      <c r="A5527" s="496"/>
      <c r="D5527" s="496"/>
    </row>
    <row r="5528" spans="1:4" x14ac:dyDescent="0.2">
      <c r="A5528" s="496"/>
      <c r="D5528" s="496"/>
    </row>
    <row r="5529" spans="1:4" x14ac:dyDescent="0.2">
      <c r="A5529" s="496"/>
      <c r="D5529" s="496"/>
    </row>
    <row r="5530" spans="1:4" x14ac:dyDescent="0.2">
      <c r="A5530" s="496"/>
      <c r="D5530" s="496"/>
    </row>
    <row r="5531" spans="1:4" x14ac:dyDescent="0.2">
      <c r="A5531" s="496"/>
      <c r="D5531" s="496"/>
    </row>
    <row r="5532" spans="1:4" x14ac:dyDescent="0.2">
      <c r="A5532" s="496"/>
      <c r="D5532" s="496"/>
    </row>
    <row r="5533" spans="1:4" x14ac:dyDescent="0.2">
      <c r="A5533" s="496"/>
      <c r="D5533" s="496"/>
    </row>
    <row r="5534" spans="1:4" x14ac:dyDescent="0.2">
      <c r="A5534" s="496"/>
      <c r="D5534" s="496"/>
    </row>
    <row r="5535" spans="1:4" x14ac:dyDescent="0.2">
      <c r="A5535" s="496"/>
      <c r="D5535" s="496"/>
    </row>
    <row r="5536" spans="1:4" x14ac:dyDescent="0.2">
      <c r="A5536" s="496"/>
      <c r="D5536" s="496"/>
    </row>
    <row r="5537" spans="1:4" x14ac:dyDescent="0.2">
      <c r="A5537" s="496"/>
      <c r="D5537" s="496"/>
    </row>
    <row r="5538" spans="1:4" x14ac:dyDescent="0.2">
      <c r="A5538" s="496"/>
      <c r="D5538" s="496"/>
    </row>
    <row r="5539" spans="1:4" x14ac:dyDescent="0.2">
      <c r="A5539" s="496"/>
      <c r="D5539" s="496"/>
    </row>
    <row r="5540" spans="1:4" x14ac:dyDescent="0.2">
      <c r="A5540" s="496"/>
      <c r="D5540" s="496"/>
    </row>
    <row r="5541" spans="1:4" x14ac:dyDescent="0.2">
      <c r="A5541" s="496"/>
      <c r="D5541" s="496"/>
    </row>
    <row r="5542" spans="1:4" x14ac:dyDescent="0.2">
      <c r="A5542" s="496"/>
      <c r="D5542" s="496"/>
    </row>
    <row r="5543" spans="1:4" x14ac:dyDescent="0.2">
      <c r="A5543" s="496"/>
      <c r="D5543" s="496"/>
    </row>
    <row r="5544" spans="1:4" x14ac:dyDescent="0.2">
      <c r="A5544" s="496"/>
      <c r="D5544" s="496"/>
    </row>
    <row r="5545" spans="1:4" x14ac:dyDescent="0.2">
      <c r="A5545" s="496"/>
      <c r="D5545" s="496"/>
    </row>
    <row r="5546" spans="1:4" x14ac:dyDescent="0.2">
      <c r="A5546" s="496"/>
      <c r="D5546" s="496"/>
    </row>
    <row r="5547" spans="1:4" x14ac:dyDescent="0.2">
      <c r="A5547" s="496"/>
      <c r="D5547" s="496"/>
    </row>
    <row r="5548" spans="1:4" x14ac:dyDescent="0.2">
      <c r="A5548" s="496"/>
      <c r="D5548" s="496"/>
    </row>
    <row r="5549" spans="1:4" x14ac:dyDescent="0.2">
      <c r="A5549" s="496"/>
      <c r="D5549" s="496"/>
    </row>
    <row r="5550" spans="1:4" x14ac:dyDescent="0.2">
      <c r="A5550" s="496"/>
      <c r="D5550" s="496"/>
    </row>
    <row r="5551" spans="1:4" x14ac:dyDescent="0.2">
      <c r="A5551" s="496"/>
      <c r="D5551" s="496"/>
    </row>
    <row r="5552" spans="1:4" x14ac:dyDescent="0.2">
      <c r="A5552" s="496"/>
      <c r="D5552" s="496"/>
    </row>
    <row r="5553" spans="1:4" x14ac:dyDescent="0.2">
      <c r="A5553" s="496"/>
      <c r="D5553" s="496"/>
    </row>
    <row r="5554" spans="1:4" x14ac:dyDescent="0.2">
      <c r="A5554" s="496"/>
      <c r="D5554" s="496"/>
    </row>
    <row r="5555" spans="1:4" x14ac:dyDescent="0.2">
      <c r="A5555" s="496"/>
      <c r="D5555" s="496"/>
    </row>
    <row r="5556" spans="1:4" x14ac:dyDescent="0.2">
      <c r="A5556" s="496"/>
      <c r="D5556" s="496"/>
    </row>
    <row r="5557" spans="1:4" x14ac:dyDescent="0.2">
      <c r="A5557" s="496"/>
      <c r="D5557" s="496"/>
    </row>
    <row r="5558" spans="1:4" x14ac:dyDescent="0.2">
      <c r="A5558" s="496"/>
      <c r="D5558" s="496"/>
    </row>
    <row r="5559" spans="1:4" x14ac:dyDescent="0.2">
      <c r="A5559" s="496"/>
      <c r="D5559" s="496"/>
    </row>
    <row r="5560" spans="1:4" x14ac:dyDescent="0.2">
      <c r="A5560" s="496"/>
      <c r="D5560" s="496"/>
    </row>
    <row r="5561" spans="1:4" x14ac:dyDescent="0.2">
      <c r="A5561" s="496"/>
      <c r="D5561" s="496"/>
    </row>
    <row r="5562" spans="1:4" x14ac:dyDescent="0.2">
      <c r="A5562" s="496"/>
      <c r="D5562" s="496"/>
    </row>
    <row r="5563" spans="1:4" x14ac:dyDescent="0.2">
      <c r="A5563" s="496"/>
      <c r="D5563" s="496"/>
    </row>
    <row r="5564" spans="1:4" x14ac:dyDescent="0.2">
      <c r="A5564" s="496"/>
      <c r="D5564" s="496"/>
    </row>
    <row r="5565" spans="1:4" x14ac:dyDescent="0.2">
      <c r="A5565" s="496"/>
      <c r="D5565" s="496"/>
    </row>
    <row r="5566" spans="1:4" x14ac:dyDescent="0.2">
      <c r="A5566" s="496"/>
      <c r="D5566" s="496"/>
    </row>
    <row r="5567" spans="1:4" x14ac:dyDescent="0.2">
      <c r="A5567" s="496"/>
      <c r="D5567" s="496"/>
    </row>
    <row r="5568" spans="1:4" x14ac:dyDescent="0.2">
      <c r="A5568" s="496"/>
      <c r="D5568" s="496"/>
    </row>
    <row r="5569" spans="1:4" x14ac:dyDescent="0.2">
      <c r="A5569" s="496"/>
      <c r="D5569" s="496"/>
    </row>
    <row r="5570" spans="1:4" x14ac:dyDescent="0.2">
      <c r="A5570" s="496"/>
      <c r="D5570" s="496"/>
    </row>
    <row r="5571" spans="1:4" x14ac:dyDescent="0.2">
      <c r="A5571" s="496"/>
      <c r="D5571" s="496"/>
    </row>
    <row r="5572" spans="1:4" x14ac:dyDescent="0.2">
      <c r="A5572" s="496"/>
      <c r="D5572" s="496"/>
    </row>
    <row r="5573" spans="1:4" x14ac:dyDescent="0.2">
      <c r="A5573" s="496"/>
      <c r="D5573" s="496"/>
    </row>
    <row r="5574" spans="1:4" x14ac:dyDescent="0.2">
      <c r="A5574" s="496"/>
      <c r="D5574" s="496"/>
    </row>
    <row r="5575" spans="1:4" x14ac:dyDescent="0.2">
      <c r="A5575" s="496"/>
      <c r="D5575" s="496"/>
    </row>
    <row r="5576" spans="1:4" x14ac:dyDescent="0.2">
      <c r="A5576" s="496"/>
      <c r="D5576" s="496"/>
    </row>
    <row r="5577" spans="1:4" x14ac:dyDescent="0.2">
      <c r="A5577" s="496"/>
      <c r="D5577" s="496"/>
    </row>
    <row r="5578" spans="1:4" x14ac:dyDescent="0.2">
      <c r="A5578" s="496"/>
      <c r="D5578" s="496"/>
    </row>
    <row r="5579" spans="1:4" x14ac:dyDescent="0.2">
      <c r="A5579" s="496"/>
      <c r="D5579" s="496"/>
    </row>
    <row r="5580" spans="1:4" x14ac:dyDescent="0.2">
      <c r="A5580" s="496"/>
      <c r="D5580" s="496"/>
    </row>
    <row r="5581" spans="1:4" x14ac:dyDescent="0.2">
      <c r="A5581" s="496"/>
      <c r="D5581" s="496"/>
    </row>
    <row r="5582" spans="1:4" x14ac:dyDescent="0.2">
      <c r="A5582" s="496"/>
      <c r="D5582" s="496"/>
    </row>
    <row r="5583" spans="1:4" x14ac:dyDescent="0.2">
      <c r="A5583" s="496"/>
      <c r="D5583" s="496"/>
    </row>
    <row r="5584" spans="1:4" x14ac:dyDescent="0.2">
      <c r="A5584" s="496"/>
      <c r="D5584" s="496"/>
    </row>
    <row r="5585" spans="1:4" x14ac:dyDescent="0.2">
      <c r="A5585" s="496"/>
      <c r="D5585" s="496"/>
    </row>
    <row r="5586" spans="1:4" x14ac:dyDescent="0.2">
      <c r="A5586" s="496"/>
      <c r="D5586" s="496"/>
    </row>
    <row r="5587" spans="1:4" x14ac:dyDescent="0.2">
      <c r="A5587" s="496"/>
      <c r="D5587" s="496"/>
    </row>
    <row r="5588" spans="1:4" x14ac:dyDescent="0.2">
      <c r="A5588" s="496"/>
      <c r="D5588" s="496"/>
    </row>
    <row r="5589" spans="1:4" x14ac:dyDescent="0.2">
      <c r="A5589" s="496"/>
      <c r="D5589" s="496"/>
    </row>
    <row r="5590" spans="1:4" x14ac:dyDescent="0.2">
      <c r="A5590" s="496"/>
      <c r="D5590" s="496"/>
    </row>
    <row r="5591" spans="1:4" x14ac:dyDescent="0.2">
      <c r="A5591" s="496"/>
      <c r="D5591" s="496"/>
    </row>
    <row r="5592" spans="1:4" x14ac:dyDescent="0.2">
      <c r="A5592" s="496"/>
      <c r="D5592" s="496"/>
    </row>
    <row r="5593" spans="1:4" x14ac:dyDescent="0.2">
      <c r="A5593" s="496"/>
      <c r="D5593" s="496"/>
    </row>
    <row r="5594" spans="1:4" x14ac:dyDescent="0.2">
      <c r="A5594" s="496"/>
      <c r="D5594" s="496"/>
    </row>
    <row r="5595" spans="1:4" x14ac:dyDescent="0.2">
      <c r="A5595" s="496"/>
      <c r="D5595" s="496"/>
    </row>
    <row r="5596" spans="1:4" x14ac:dyDescent="0.2">
      <c r="A5596" s="496"/>
      <c r="D5596" s="496"/>
    </row>
    <row r="5597" spans="1:4" x14ac:dyDescent="0.2">
      <c r="A5597" s="496"/>
      <c r="D5597" s="496"/>
    </row>
    <row r="5598" spans="1:4" x14ac:dyDescent="0.2">
      <c r="A5598" s="496"/>
      <c r="D5598" s="496"/>
    </row>
    <row r="5599" spans="1:4" x14ac:dyDescent="0.2">
      <c r="A5599" s="496"/>
      <c r="D5599" s="496"/>
    </row>
    <row r="5600" spans="1:4" x14ac:dyDescent="0.2">
      <c r="A5600" s="496"/>
      <c r="D5600" s="496"/>
    </row>
    <row r="5601" spans="1:4" x14ac:dyDescent="0.2">
      <c r="A5601" s="496"/>
      <c r="D5601" s="496"/>
    </row>
    <row r="5602" spans="1:4" x14ac:dyDescent="0.2">
      <c r="A5602" s="496"/>
      <c r="D5602" s="496"/>
    </row>
    <row r="5603" spans="1:4" x14ac:dyDescent="0.2">
      <c r="A5603" s="496"/>
      <c r="D5603" s="496"/>
    </row>
    <row r="5604" spans="1:4" x14ac:dyDescent="0.2">
      <c r="A5604" s="496"/>
      <c r="D5604" s="496"/>
    </row>
    <row r="5605" spans="1:4" x14ac:dyDescent="0.2">
      <c r="A5605" s="496"/>
      <c r="D5605" s="496"/>
    </row>
    <row r="5606" spans="1:4" x14ac:dyDescent="0.2">
      <c r="A5606" s="496"/>
      <c r="D5606" s="496"/>
    </row>
    <row r="5607" spans="1:4" x14ac:dyDescent="0.2">
      <c r="A5607" s="496"/>
      <c r="D5607" s="496"/>
    </row>
    <row r="5608" spans="1:4" x14ac:dyDescent="0.2">
      <c r="A5608" s="496"/>
      <c r="D5608" s="496"/>
    </row>
    <row r="5609" spans="1:4" x14ac:dyDescent="0.2">
      <c r="A5609" s="496"/>
      <c r="D5609" s="496"/>
    </row>
    <row r="5610" spans="1:4" x14ac:dyDescent="0.2">
      <c r="A5610" s="496"/>
      <c r="D5610" s="496"/>
    </row>
    <row r="5611" spans="1:4" x14ac:dyDescent="0.2">
      <c r="A5611" s="496"/>
      <c r="D5611" s="496"/>
    </row>
    <row r="5612" spans="1:4" x14ac:dyDescent="0.2">
      <c r="A5612" s="496"/>
      <c r="D5612" s="496"/>
    </row>
    <row r="5613" spans="1:4" x14ac:dyDescent="0.2">
      <c r="A5613" s="496"/>
      <c r="D5613" s="496"/>
    </row>
    <row r="5614" spans="1:4" x14ac:dyDescent="0.2">
      <c r="A5614" s="496"/>
      <c r="D5614" s="496"/>
    </row>
    <row r="5615" spans="1:4" x14ac:dyDescent="0.2">
      <c r="A5615" s="496"/>
      <c r="D5615" s="496"/>
    </row>
    <row r="5616" spans="1:4" x14ac:dyDescent="0.2">
      <c r="A5616" s="496"/>
      <c r="D5616" s="496"/>
    </row>
    <row r="5617" spans="1:4" x14ac:dyDescent="0.2">
      <c r="A5617" s="496"/>
      <c r="D5617" s="496"/>
    </row>
    <row r="5618" spans="1:4" x14ac:dyDescent="0.2">
      <c r="A5618" s="496"/>
      <c r="D5618" s="496"/>
    </row>
    <row r="5619" spans="1:4" x14ac:dyDescent="0.2">
      <c r="A5619" s="496"/>
      <c r="D5619" s="496"/>
    </row>
    <row r="5620" spans="1:4" x14ac:dyDescent="0.2">
      <c r="A5620" s="496"/>
      <c r="D5620" s="496"/>
    </row>
    <row r="5621" spans="1:4" x14ac:dyDescent="0.2">
      <c r="A5621" s="496"/>
      <c r="D5621" s="496"/>
    </row>
    <row r="5622" spans="1:4" x14ac:dyDescent="0.2">
      <c r="A5622" s="496"/>
      <c r="D5622" s="496"/>
    </row>
    <row r="5623" spans="1:4" x14ac:dyDescent="0.2">
      <c r="A5623" s="496"/>
      <c r="D5623" s="496"/>
    </row>
    <row r="5624" spans="1:4" x14ac:dyDescent="0.2">
      <c r="A5624" s="496"/>
      <c r="D5624" s="496"/>
    </row>
    <row r="5625" spans="1:4" x14ac:dyDescent="0.2">
      <c r="A5625" s="496"/>
      <c r="D5625" s="496"/>
    </row>
    <row r="5626" spans="1:4" x14ac:dyDescent="0.2">
      <c r="A5626" s="496"/>
      <c r="D5626" s="496"/>
    </row>
    <row r="5627" spans="1:4" x14ac:dyDescent="0.2">
      <c r="A5627" s="496"/>
      <c r="D5627" s="496"/>
    </row>
    <row r="5628" spans="1:4" x14ac:dyDescent="0.2">
      <c r="A5628" s="496"/>
      <c r="D5628" s="496"/>
    </row>
    <row r="5629" spans="1:4" x14ac:dyDescent="0.2">
      <c r="A5629" s="496"/>
      <c r="D5629" s="496"/>
    </row>
    <row r="5630" spans="1:4" x14ac:dyDescent="0.2">
      <c r="A5630" s="496"/>
      <c r="D5630" s="496"/>
    </row>
    <row r="5631" spans="1:4" x14ac:dyDescent="0.2">
      <c r="A5631" s="496"/>
      <c r="D5631" s="496"/>
    </row>
    <row r="5632" spans="1:4" x14ac:dyDescent="0.2">
      <c r="A5632" s="496"/>
      <c r="D5632" s="496"/>
    </row>
    <row r="5633" spans="1:4" x14ac:dyDescent="0.2">
      <c r="A5633" s="496"/>
      <c r="D5633" s="496"/>
    </row>
    <row r="5634" spans="1:4" x14ac:dyDescent="0.2">
      <c r="A5634" s="496"/>
      <c r="D5634" s="496"/>
    </row>
    <row r="5635" spans="1:4" x14ac:dyDescent="0.2">
      <c r="A5635" s="496"/>
      <c r="D5635" s="496"/>
    </row>
    <row r="5636" spans="1:4" x14ac:dyDescent="0.2">
      <c r="A5636" s="496"/>
      <c r="D5636" s="496"/>
    </row>
    <row r="5637" spans="1:4" x14ac:dyDescent="0.2">
      <c r="A5637" s="496"/>
      <c r="D5637" s="496"/>
    </row>
    <row r="5638" spans="1:4" x14ac:dyDescent="0.2">
      <c r="A5638" s="496"/>
      <c r="D5638" s="496"/>
    </row>
    <row r="5639" spans="1:4" x14ac:dyDescent="0.2">
      <c r="A5639" s="496"/>
      <c r="D5639" s="496"/>
    </row>
    <row r="5640" spans="1:4" x14ac:dyDescent="0.2">
      <c r="A5640" s="496"/>
      <c r="D5640" s="496"/>
    </row>
    <row r="5641" spans="1:4" x14ac:dyDescent="0.2">
      <c r="A5641" s="496"/>
      <c r="D5641" s="496"/>
    </row>
    <row r="5642" spans="1:4" x14ac:dyDescent="0.2">
      <c r="A5642" s="496"/>
      <c r="D5642" s="496"/>
    </row>
    <row r="5643" spans="1:4" x14ac:dyDescent="0.2">
      <c r="A5643" s="496"/>
      <c r="D5643" s="496"/>
    </row>
    <row r="5644" spans="1:4" x14ac:dyDescent="0.2">
      <c r="A5644" s="496"/>
      <c r="D5644" s="496"/>
    </row>
    <row r="5645" spans="1:4" x14ac:dyDescent="0.2">
      <c r="A5645" s="496"/>
      <c r="D5645" s="496"/>
    </row>
    <row r="5646" spans="1:4" x14ac:dyDescent="0.2">
      <c r="A5646" s="496"/>
      <c r="D5646" s="496"/>
    </row>
    <row r="5647" spans="1:4" x14ac:dyDescent="0.2">
      <c r="A5647" s="496"/>
      <c r="D5647" s="496"/>
    </row>
    <row r="5648" spans="1:4" x14ac:dyDescent="0.2">
      <c r="A5648" s="496"/>
      <c r="D5648" s="496"/>
    </row>
    <row r="5649" spans="1:4" x14ac:dyDescent="0.2">
      <c r="A5649" s="496"/>
      <c r="D5649" s="496"/>
    </row>
    <row r="5650" spans="1:4" x14ac:dyDescent="0.2">
      <c r="A5650" s="496"/>
      <c r="D5650" s="496"/>
    </row>
    <row r="5651" spans="1:4" x14ac:dyDescent="0.2">
      <c r="A5651" s="496"/>
      <c r="D5651" s="496"/>
    </row>
    <row r="5652" spans="1:4" x14ac:dyDescent="0.2">
      <c r="A5652" s="496"/>
      <c r="D5652" s="496"/>
    </row>
    <row r="5653" spans="1:4" x14ac:dyDescent="0.2">
      <c r="A5653" s="496"/>
      <c r="D5653" s="496"/>
    </row>
    <row r="5654" spans="1:4" x14ac:dyDescent="0.2">
      <c r="A5654" s="496"/>
      <c r="D5654" s="496"/>
    </row>
    <row r="5655" spans="1:4" x14ac:dyDescent="0.2">
      <c r="A5655" s="496"/>
      <c r="D5655" s="496"/>
    </row>
    <row r="5656" spans="1:4" x14ac:dyDescent="0.2">
      <c r="A5656" s="496"/>
      <c r="D5656" s="496"/>
    </row>
    <row r="5657" spans="1:4" x14ac:dyDescent="0.2">
      <c r="A5657" s="496"/>
      <c r="D5657" s="496"/>
    </row>
    <row r="5658" spans="1:4" x14ac:dyDescent="0.2">
      <c r="A5658" s="496"/>
      <c r="D5658" s="496"/>
    </row>
    <row r="5659" spans="1:4" x14ac:dyDescent="0.2">
      <c r="A5659" s="496"/>
      <c r="D5659" s="496"/>
    </row>
    <row r="5660" spans="1:4" x14ac:dyDescent="0.2">
      <c r="A5660" s="496"/>
      <c r="D5660" s="496"/>
    </row>
    <row r="5661" spans="1:4" x14ac:dyDescent="0.2">
      <c r="A5661" s="496"/>
      <c r="D5661" s="496"/>
    </row>
    <row r="5662" spans="1:4" x14ac:dyDescent="0.2">
      <c r="A5662" s="496"/>
      <c r="D5662" s="496"/>
    </row>
    <row r="5663" spans="1:4" x14ac:dyDescent="0.2">
      <c r="A5663" s="496"/>
      <c r="D5663" s="496"/>
    </row>
    <row r="5664" spans="1:4" x14ac:dyDescent="0.2">
      <c r="A5664" s="496"/>
      <c r="D5664" s="496"/>
    </row>
    <row r="5665" spans="1:4" x14ac:dyDescent="0.2">
      <c r="A5665" s="496"/>
      <c r="D5665" s="496"/>
    </row>
    <row r="5666" spans="1:4" x14ac:dyDescent="0.2">
      <c r="A5666" s="496"/>
      <c r="D5666" s="496"/>
    </row>
    <row r="5667" spans="1:4" x14ac:dyDescent="0.2">
      <c r="A5667" s="496"/>
      <c r="D5667" s="496"/>
    </row>
    <row r="5668" spans="1:4" x14ac:dyDescent="0.2">
      <c r="A5668" s="496"/>
      <c r="D5668" s="496"/>
    </row>
    <row r="5669" spans="1:4" x14ac:dyDescent="0.2">
      <c r="A5669" s="496"/>
      <c r="D5669" s="496"/>
    </row>
    <row r="5670" spans="1:4" x14ac:dyDescent="0.2">
      <c r="A5670" s="496"/>
      <c r="D5670" s="496"/>
    </row>
    <row r="5671" spans="1:4" x14ac:dyDescent="0.2">
      <c r="A5671" s="496"/>
      <c r="D5671" s="496"/>
    </row>
    <row r="5672" spans="1:4" x14ac:dyDescent="0.2">
      <c r="A5672" s="496"/>
      <c r="D5672" s="496"/>
    </row>
    <row r="5673" spans="1:4" x14ac:dyDescent="0.2">
      <c r="A5673" s="496"/>
      <c r="D5673" s="496"/>
    </row>
    <row r="5674" spans="1:4" x14ac:dyDescent="0.2">
      <c r="A5674" s="496"/>
      <c r="D5674" s="496"/>
    </row>
    <row r="5675" spans="1:4" x14ac:dyDescent="0.2">
      <c r="A5675" s="496"/>
      <c r="D5675" s="496"/>
    </row>
    <row r="5676" spans="1:4" x14ac:dyDescent="0.2">
      <c r="A5676" s="496"/>
      <c r="D5676" s="496"/>
    </row>
    <row r="5677" spans="1:4" x14ac:dyDescent="0.2">
      <c r="A5677" s="496"/>
      <c r="D5677" s="496"/>
    </row>
    <row r="5678" spans="1:4" x14ac:dyDescent="0.2">
      <c r="A5678" s="496"/>
      <c r="D5678" s="496"/>
    </row>
    <row r="5679" spans="1:4" x14ac:dyDescent="0.2">
      <c r="A5679" s="496"/>
      <c r="D5679" s="496"/>
    </row>
    <row r="5680" spans="1:4" x14ac:dyDescent="0.2">
      <c r="A5680" s="496"/>
      <c r="D5680" s="496"/>
    </row>
    <row r="5681" spans="1:4" x14ac:dyDescent="0.2">
      <c r="A5681" s="496"/>
      <c r="D5681" s="496"/>
    </row>
    <row r="5682" spans="1:4" x14ac:dyDescent="0.2">
      <c r="A5682" s="496"/>
      <c r="D5682" s="496"/>
    </row>
    <row r="5683" spans="1:4" x14ac:dyDescent="0.2">
      <c r="A5683" s="496"/>
      <c r="D5683" s="496"/>
    </row>
    <row r="5684" spans="1:4" x14ac:dyDescent="0.2">
      <c r="A5684" s="496"/>
      <c r="D5684" s="496"/>
    </row>
    <row r="5685" spans="1:4" x14ac:dyDescent="0.2">
      <c r="A5685" s="496"/>
      <c r="D5685" s="496"/>
    </row>
    <row r="5686" spans="1:4" x14ac:dyDescent="0.2">
      <c r="A5686" s="496"/>
      <c r="D5686" s="496"/>
    </row>
    <row r="5687" spans="1:4" x14ac:dyDescent="0.2">
      <c r="A5687" s="496"/>
      <c r="D5687" s="496"/>
    </row>
    <row r="5688" spans="1:4" x14ac:dyDescent="0.2">
      <c r="A5688" s="496"/>
      <c r="D5688" s="496"/>
    </row>
    <row r="5689" spans="1:4" x14ac:dyDescent="0.2">
      <c r="A5689" s="496"/>
      <c r="D5689" s="496"/>
    </row>
    <row r="5690" spans="1:4" x14ac:dyDescent="0.2">
      <c r="A5690" s="496"/>
      <c r="D5690" s="496"/>
    </row>
    <row r="5691" spans="1:4" x14ac:dyDescent="0.2">
      <c r="A5691" s="496"/>
      <c r="D5691" s="496"/>
    </row>
    <row r="5692" spans="1:4" x14ac:dyDescent="0.2">
      <c r="A5692" s="496"/>
      <c r="D5692" s="496"/>
    </row>
    <row r="5693" spans="1:4" x14ac:dyDescent="0.2">
      <c r="A5693" s="496"/>
      <c r="D5693" s="496"/>
    </row>
    <row r="5694" spans="1:4" x14ac:dyDescent="0.2">
      <c r="A5694" s="496"/>
      <c r="D5694" s="496"/>
    </row>
    <row r="5695" spans="1:4" x14ac:dyDescent="0.2">
      <c r="A5695" s="496"/>
      <c r="D5695" s="496"/>
    </row>
    <row r="5696" spans="1:4" x14ac:dyDescent="0.2">
      <c r="A5696" s="496"/>
      <c r="D5696" s="496"/>
    </row>
    <row r="5697" spans="1:4" x14ac:dyDescent="0.2">
      <c r="A5697" s="496"/>
      <c r="D5697" s="496"/>
    </row>
    <row r="5698" spans="1:4" x14ac:dyDescent="0.2">
      <c r="A5698" s="496"/>
      <c r="D5698" s="496"/>
    </row>
    <row r="5699" spans="1:4" x14ac:dyDescent="0.2">
      <c r="A5699" s="496"/>
      <c r="D5699" s="496"/>
    </row>
    <row r="5700" spans="1:4" x14ac:dyDescent="0.2">
      <c r="A5700" s="496"/>
      <c r="D5700" s="496"/>
    </row>
    <row r="5701" spans="1:4" x14ac:dyDescent="0.2">
      <c r="A5701" s="496"/>
      <c r="D5701" s="496"/>
    </row>
    <row r="5702" spans="1:4" x14ac:dyDescent="0.2">
      <c r="A5702" s="496"/>
      <c r="D5702" s="496"/>
    </row>
    <row r="5703" spans="1:4" x14ac:dyDescent="0.2">
      <c r="A5703" s="496"/>
      <c r="D5703" s="496"/>
    </row>
    <row r="5704" spans="1:4" x14ac:dyDescent="0.2">
      <c r="A5704" s="496"/>
      <c r="D5704" s="496"/>
    </row>
    <row r="5705" spans="1:4" x14ac:dyDescent="0.2">
      <c r="A5705" s="496"/>
      <c r="D5705" s="496"/>
    </row>
    <row r="5706" spans="1:4" x14ac:dyDescent="0.2">
      <c r="A5706" s="496"/>
      <c r="D5706" s="496"/>
    </row>
    <row r="5707" spans="1:4" x14ac:dyDescent="0.2">
      <c r="A5707" s="496"/>
      <c r="D5707" s="496"/>
    </row>
    <row r="5708" spans="1:4" x14ac:dyDescent="0.2">
      <c r="A5708" s="496"/>
      <c r="D5708" s="496"/>
    </row>
    <row r="5709" spans="1:4" x14ac:dyDescent="0.2">
      <c r="A5709" s="496"/>
      <c r="D5709" s="496"/>
    </row>
    <row r="5710" spans="1:4" x14ac:dyDescent="0.2">
      <c r="A5710" s="496"/>
      <c r="D5710" s="496"/>
    </row>
    <row r="5711" spans="1:4" x14ac:dyDescent="0.2">
      <c r="A5711" s="496"/>
      <c r="D5711" s="496"/>
    </row>
    <row r="5712" spans="1:4" x14ac:dyDescent="0.2">
      <c r="A5712" s="496"/>
      <c r="D5712" s="496"/>
    </row>
    <row r="5713" spans="1:4" x14ac:dyDescent="0.2">
      <c r="A5713" s="496"/>
      <c r="D5713" s="496"/>
    </row>
    <row r="5714" spans="1:4" x14ac:dyDescent="0.2">
      <c r="A5714" s="496"/>
      <c r="D5714" s="496"/>
    </row>
    <row r="5715" spans="1:4" x14ac:dyDescent="0.2">
      <c r="A5715" s="496"/>
      <c r="D5715" s="496"/>
    </row>
    <row r="5716" spans="1:4" x14ac:dyDescent="0.2">
      <c r="A5716" s="496"/>
      <c r="D5716" s="496"/>
    </row>
    <row r="5717" spans="1:4" x14ac:dyDescent="0.2">
      <c r="A5717" s="496"/>
      <c r="D5717" s="496"/>
    </row>
    <row r="5718" spans="1:4" x14ac:dyDescent="0.2">
      <c r="A5718" s="496"/>
      <c r="D5718" s="496"/>
    </row>
    <row r="5719" spans="1:4" x14ac:dyDescent="0.2">
      <c r="A5719" s="496"/>
      <c r="D5719" s="496"/>
    </row>
    <row r="5720" spans="1:4" x14ac:dyDescent="0.2">
      <c r="A5720" s="496"/>
      <c r="D5720" s="496"/>
    </row>
    <row r="5721" spans="1:4" x14ac:dyDescent="0.2">
      <c r="A5721" s="496"/>
      <c r="D5721" s="496"/>
    </row>
    <row r="5722" spans="1:4" x14ac:dyDescent="0.2">
      <c r="A5722" s="496"/>
      <c r="D5722" s="496"/>
    </row>
    <row r="5723" spans="1:4" x14ac:dyDescent="0.2">
      <c r="A5723" s="496"/>
      <c r="D5723" s="496"/>
    </row>
    <row r="5724" spans="1:4" x14ac:dyDescent="0.2">
      <c r="A5724" s="496"/>
      <c r="D5724" s="496"/>
    </row>
    <row r="5725" spans="1:4" x14ac:dyDescent="0.2">
      <c r="A5725" s="496"/>
      <c r="D5725" s="496"/>
    </row>
    <row r="5726" spans="1:4" x14ac:dyDescent="0.2">
      <c r="A5726" s="496"/>
      <c r="D5726" s="496"/>
    </row>
    <row r="5727" spans="1:4" x14ac:dyDescent="0.2">
      <c r="A5727" s="496"/>
      <c r="D5727" s="496"/>
    </row>
    <row r="5728" spans="1:4" x14ac:dyDescent="0.2">
      <c r="A5728" s="496"/>
      <c r="D5728" s="496"/>
    </row>
    <row r="5729" spans="1:4" x14ac:dyDescent="0.2">
      <c r="A5729" s="496"/>
      <c r="D5729" s="496"/>
    </row>
    <row r="5730" spans="1:4" x14ac:dyDescent="0.2">
      <c r="A5730" s="496"/>
      <c r="D5730" s="496"/>
    </row>
    <row r="5731" spans="1:4" x14ac:dyDescent="0.2">
      <c r="A5731" s="496"/>
      <c r="D5731" s="496"/>
    </row>
    <row r="5732" spans="1:4" x14ac:dyDescent="0.2">
      <c r="A5732" s="496"/>
      <c r="D5732" s="496"/>
    </row>
    <row r="5733" spans="1:4" x14ac:dyDescent="0.2">
      <c r="A5733" s="496"/>
      <c r="D5733" s="496"/>
    </row>
    <row r="5734" spans="1:4" x14ac:dyDescent="0.2">
      <c r="A5734" s="496"/>
      <c r="D5734" s="496"/>
    </row>
    <row r="5735" spans="1:4" x14ac:dyDescent="0.2">
      <c r="A5735" s="496"/>
      <c r="D5735" s="496"/>
    </row>
    <row r="5736" spans="1:4" x14ac:dyDescent="0.2">
      <c r="A5736" s="496"/>
      <c r="D5736" s="496"/>
    </row>
    <row r="5737" spans="1:4" x14ac:dyDescent="0.2">
      <c r="A5737" s="496"/>
      <c r="D5737" s="496"/>
    </row>
    <row r="5738" spans="1:4" x14ac:dyDescent="0.2">
      <c r="A5738" s="496"/>
      <c r="D5738" s="496"/>
    </row>
    <row r="5739" spans="1:4" x14ac:dyDescent="0.2">
      <c r="A5739" s="496"/>
      <c r="D5739" s="496"/>
    </row>
    <row r="5740" spans="1:4" x14ac:dyDescent="0.2">
      <c r="A5740" s="496"/>
      <c r="D5740" s="496"/>
    </row>
    <row r="5741" spans="1:4" x14ac:dyDescent="0.2">
      <c r="A5741" s="496"/>
      <c r="D5741" s="496"/>
    </row>
    <row r="5742" spans="1:4" x14ac:dyDescent="0.2">
      <c r="A5742" s="496"/>
      <c r="D5742" s="496"/>
    </row>
    <row r="5743" spans="1:4" x14ac:dyDescent="0.2">
      <c r="A5743" s="496"/>
      <c r="D5743" s="496"/>
    </row>
    <row r="5744" spans="1:4" x14ac:dyDescent="0.2">
      <c r="A5744" s="496"/>
      <c r="D5744" s="496"/>
    </row>
    <row r="5745" spans="1:4" x14ac:dyDescent="0.2">
      <c r="A5745" s="496"/>
      <c r="D5745" s="496"/>
    </row>
    <row r="5746" spans="1:4" x14ac:dyDescent="0.2">
      <c r="A5746" s="496"/>
      <c r="D5746" s="496"/>
    </row>
    <row r="5747" spans="1:4" x14ac:dyDescent="0.2">
      <c r="A5747" s="496"/>
      <c r="D5747" s="496"/>
    </row>
    <row r="5748" spans="1:4" x14ac:dyDescent="0.2">
      <c r="A5748" s="496"/>
      <c r="D5748" s="496"/>
    </row>
    <row r="5749" spans="1:4" x14ac:dyDescent="0.2">
      <c r="A5749" s="496"/>
      <c r="D5749" s="496"/>
    </row>
    <row r="5750" spans="1:4" x14ac:dyDescent="0.2">
      <c r="A5750" s="496"/>
      <c r="D5750" s="496"/>
    </row>
    <row r="5751" spans="1:4" x14ac:dyDescent="0.2">
      <c r="A5751" s="496"/>
      <c r="D5751" s="496"/>
    </row>
    <row r="5752" spans="1:4" x14ac:dyDescent="0.2">
      <c r="A5752" s="496"/>
      <c r="D5752" s="496"/>
    </row>
    <row r="5753" spans="1:4" x14ac:dyDescent="0.2">
      <c r="A5753" s="496"/>
      <c r="D5753" s="496"/>
    </row>
    <row r="5754" spans="1:4" x14ac:dyDescent="0.2">
      <c r="A5754" s="496"/>
      <c r="D5754" s="496"/>
    </row>
    <row r="5755" spans="1:4" x14ac:dyDescent="0.2">
      <c r="A5755" s="496"/>
      <c r="D5755" s="496"/>
    </row>
    <row r="5756" spans="1:4" x14ac:dyDescent="0.2">
      <c r="A5756" s="496"/>
      <c r="D5756" s="496"/>
    </row>
    <row r="5757" spans="1:4" x14ac:dyDescent="0.2">
      <c r="A5757" s="496"/>
      <c r="D5757" s="496"/>
    </row>
    <row r="5758" spans="1:4" x14ac:dyDescent="0.2">
      <c r="A5758" s="496"/>
      <c r="D5758" s="496"/>
    </row>
    <row r="5759" spans="1:4" x14ac:dyDescent="0.2">
      <c r="A5759" s="496"/>
      <c r="D5759" s="496"/>
    </row>
    <row r="5760" spans="1:4" x14ac:dyDescent="0.2">
      <c r="A5760" s="496"/>
      <c r="D5760" s="496"/>
    </row>
    <row r="5761" spans="1:4" x14ac:dyDescent="0.2">
      <c r="A5761" s="496"/>
      <c r="D5761" s="496"/>
    </row>
    <row r="5762" spans="1:4" x14ac:dyDescent="0.2">
      <c r="A5762" s="496"/>
      <c r="D5762" s="496"/>
    </row>
    <row r="5763" spans="1:4" x14ac:dyDescent="0.2">
      <c r="A5763" s="496"/>
      <c r="D5763" s="496"/>
    </row>
    <row r="5764" spans="1:4" x14ac:dyDescent="0.2">
      <c r="A5764" s="496"/>
      <c r="D5764" s="496"/>
    </row>
    <row r="5765" spans="1:4" x14ac:dyDescent="0.2">
      <c r="A5765" s="496"/>
      <c r="D5765" s="496"/>
    </row>
    <row r="5766" spans="1:4" x14ac:dyDescent="0.2">
      <c r="A5766" s="496"/>
      <c r="D5766" s="496"/>
    </row>
    <row r="5767" spans="1:4" x14ac:dyDescent="0.2">
      <c r="A5767" s="496"/>
      <c r="D5767" s="496"/>
    </row>
    <row r="5768" spans="1:4" x14ac:dyDescent="0.2">
      <c r="A5768" s="496"/>
      <c r="D5768" s="496"/>
    </row>
    <row r="5769" spans="1:4" x14ac:dyDescent="0.2">
      <c r="A5769" s="496"/>
      <c r="D5769" s="496"/>
    </row>
    <row r="5770" spans="1:4" x14ac:dyDescent="0.2">
      <c r="A5770" s="496"/>
      <c r="D5770" s="496"/>
    </row>
    <row r="5771" spans="1:4" x14ac:dyDescent="0.2">
      <c r="A5771" s="496"/>
      <c r="D5771" s="496"/>
    </row>
    <row r="5772" spans="1:4" x14ac:dyDescent="0.2">
      <c r="A5772" s="496"/>
      <c r="D5772" s="496"/>
    </row>
    <row r="5773" spans="1:4" x14ac:dyDescent="0.2">
      <c r="A5773" s="496"/>
      <c r="D5773" s="496"/>
    </row>
    <row r="5774" spans="1:4" x14ac:dyDescent="0.2">
      <c r="A5774" s="496"/>
      <c r="D5774" s="496"/>
    </row>
    <row r="5775" spans="1:4" x14ac:dyDescent="0.2">
      <c r="A5775" s="496"/>
      <c r="D5775" s="496"/>
    </row>
    <row r="5776" spans="1:4" x14ac:dyDescent="0.2">
      <c r="A5776" s="496"/>
      <c r="D5776" s="496"/>
    </row>
    <row r="5777" spans="1:4" x14ac:dyDescent="0.2">
      <c r="A5777" s="496"/>
      <c r="D5777" s="496"/>
    </row>
    <row r="5778" spans="1:4" x14ac:dyDescent="0.2">
      <c r="A5778" s="496"/>
      <c r="D5778" s="496"/>
    </row>
    <row r="5779" spans="1:4" x14ac:dyDescent="0.2">
      <c r="A5779" s="496"/>
      <c r="D5779" s="496"/>
    </row>
    <row r="5780" spans="1:4" x14ac:dyDescent="0.2">
      <c r="A5780" s="496"/>
      <c r="D5780" s="496"/>
    </row>
    <row r="5781" spans="1:4" x14ac:dyDescent="0.2">
      <c r="A5781" s="496"/>
      <c r="D5781" s="496"/>
    </row>
    <row r="5782" spans="1:4" x14ac:dyDescent="0.2">
      <c r="A5782" s="496"/>
      <c r="D5782" s="496"/>
    </row>
    <row r="5783" spans="1:4" x14ac:dyDescent="0.2">
      <c r="A5783" s="496"/>
      <c r="D5783" s="496"/>
    </row>
    <row r="5784" spans="1:4" x14ac:dyDescent="0.2">
      <c r="A5784" s="496"/>
      <c r="D5784" s="496"/>
    </row>
    <row r="5785" spans="1:4" x14ac:dyDescent="0.2">
      <c r="A5785" s="496"/>
      <c r="D5785" s="496"/>
    </row>
    <row r="5786" spans="1:4" x14ac:dyDescent="0.2">
      <c r="A5786" s="496"/>
      <c r="D5786" s="496"/>
    </row>
    <row r="5787" spans="1:4" x14ac:dyDescent="0.2">
      <c r="A5787" s="496"/>
      <c r="D5787" s="496"/>
    </row>
    <row r="5788" spans="1:4" x14ac:dyDescent="0.2">
      <c r="A5788" s="496"/>
      <c r="D5788" s="496"/>
    </row>
    <row r="5789" spans="1:4" x14ac:dyDescent="0.2">
      <c r="A5789" s="496"/>
      <c r="D5789" s="496"/>
    </row>
    <row r="5790" spans="1:4" x14ac:dyDescent="0.2">
      <c r="A5790" s="496"/>
      <c r="D5790" s="496"/>
    </row>
    <row r="5791" spans="1:4" x14ac:dyDescent="0.2">
      <c r="A5791" s="496"/>
      <c r="D5791" s="496"/>
    </row>
    <row r="5792" spans="1:4" x14ac:dyDescent="0.2">
      <c r="A5792" s="496"/>
      <c r="D5792" s="496"/>
    </row>
    <row r="5793" spans="1:4" x14ac:dyDescent="0.2">
      <c r="A5793" s="496"/>
      <c r="D5793" s="496"/>
    </row>
    <row r="5794" spans="1:4" x14ac:dyDescent="0.2">
      <c r="A5794" s="496"/>
      <c r="D5794" s="496"/>
    </row>
    <row r="5795" spans="1:4" x14ac:dyDescent="0.2">
      <c r="A5795" s="496"/>
      <c r="D5795" s="496"/>
    </row>
    <row r="5796" spans="1:4" x14ac:dyDescent="0.2">
      <c r="A5796" s="496"/>
      <c r="D5796" s="496"/>
    </row>
    <row r="5797" spans="1:4" x14ac:dyDescent="0.2">
      <c r="A5797" s="496"/>
      <c r="D5797" s="496"/>
    </row>
    <row r="5798" spans="1:4" x14ac:dyDescent="0.2">
      <c r="A5798" s="496"/>
      <c r="D5798" s="496"/>
    </row>
    <row r="5799" spans="1:4" x14ac:dyDescent="0.2">
      <c r="A5799" s="496"/>
      <c r="D5799" s="496"/>
    </row>
    <row r="5800" spans="1:4" x14ac:dyDescent="0.2">
      <c r="A5800" s="496"/>
      <c r="D5800" s="496"/>
    </row>
    <row r="5801" spans="1:4" x14ac:dyDescent="0.2">
      <c r="A5801" s="496"/>
      <c r="D5801" s="496"/>
    </row>
    <row r="5802" spans="1:4" x14ac:dyDescent="0.2">
      <c r="A5802" s="496"/>
      <c r="D5802" s="496"/>
    </row>
    <row r="5803" spans="1:4" x14ac:dyDescent="0.2">
      <c r="A5803" s="496"/>
      <c r="D5803" s="496"/>
    </row>
    <row r="5804" spans="1:4" x14ac:dyDescent="0.2">
      <c r="A5804" s="496"/>
      <c r="D5804" s="496"/>
    </row>
    <row r="5805" spans="1:4" x14ac:dyDescent="0.2">
      <c r="A5805" s="496"/>
      <c r="D5805" s="496"/>
    </row>
    <row r="5806" spans="1:4" x14ac:dyDescent="0.2">
      <c r="A5806" s="496"/>
      <c r="D5806" s="496"/>
    </row>
    <row r="5807" spans="1:4" x14ac:dyDescent="0.2">
      <c r="A5807" s="496"/>
      <c r="D5807" s="496"/>
    </row>
    <row r="5808" spans="1:4" x14ac:dyDescent="0.2">
      <c r="A5808" s="496"/>
      <c r="D5808" s="496"/>
    </row>
    <row r="5809" spans="1:4" x14ac:dyDescent="0.2">
      <c r="A5809" s="496"/>
      <c r="D5809" s="496"/>
    </row>
    <row r="5810" spans="1:4" x14ac:dyDescent="0.2">
      <c r="A5810" s="496"/>
      <c r="D5810" s="496"/>
    </row>
    <row r="5811" spans="1:4" x14ac:dyDescent="0.2">
      <c r="A5811" s="496"/>
      <c r="D5811" s="496"/>
    </row>
    <row r="5812" spans="1:4" x14ac:dyDescent="0.2">
      <c r="A5812" s="496"/>
      <c r="D5812" s="496"/>
    </row>
    <row r="5813" spans="1:4" x14ac:dyDescent="0.2">
      <c r="A5813" s="496"/>
      <c r="D5813" s="496"/>
    </row>
    <row r="5814" spans="1:4" x14ac:dyDescent="0.2">
      <c r="A5814" s="496"/>
      <c r="D5814" s="496"/>
    </row>
    <row r="5815" spans="1:4" x14ac:dyDescent="0.2">
      <c r="A5815" s="496"/>
      <c r="D5815" s="496"/>
    </row>
    <row r="5816" spans="1:4" x14ac:dyDescent="0.2">
      <c r="A5816" s="496"/>
      <c r="D5816" s="496"/>
    </row>
    <row r="5817" spans="1:4" x14ac:dyDescent="0.2">
      <c r="A5817" s="496"/>
      <c r="D5817" s="496"/>
    </row>
    <row r="5818" spans="1:4" x14ac:dyDescent="0.2">
      <c r="A5818" s="496"/>
      <c r="D5818" s="496"/>
    </row>
    <row r="5819" spans="1:4" x14ac:dyDescent="0.2">
      <c r="A5819" s="496"/>
      <c r="D5819" s="496"/>
    </row>
    <row r="5820" spans="1:4" x14ac:dyDescent="0.2">
      <c r="A5820" s="496"/>
      <c r="D5820" s="496"/>
    </row>
    <row r="5821" spans="1:4" x14ac:dyDescent="0.2">
      <c r="A5821" s="496"/>
      <c r="D5821" s="496"/>
    </row>
    <row r="5822" spans="1:4" x14ac:dyDescent="0.2">
      <c r="A5822" s="496"/>
      <c r="D5822" s="496"/>
    </row>
    <row r="5823" spans="1:4" x14ac:dyDescent="0.2">
      <c r="A5823" s="496"/>
      <c r="D5823" s="496"/>
    </row>
    <row r="5824" spans="1:4" x14ac:dyDescent="0.2">
      <c r="A5824" s="496"/>
      <c r="D5824" s="496"/>
    </row>
    <row r="5825" spans="1:4" x14ac:dyDescent="0.2">
      <c r="A5825" s="496"/>
      <c r="D5825" s="496"/>
    </row>
    <row r="5826" spans="1:4" x14ac:dyDescent="0.2">
      <c r="A5826" s="496"/>
      <c r="D5826" s="496"/>
    </row>
    <row r="5827" spans="1:4" x14ac:dyDescent="0.2">
      <c r="A5827" s="496"/>
      <c r="D5827" s="496"/>
    </row>
    <row r="5828" spans="1:4" x14ac:dyDescent="0.2">
      <c r="A5828" s="496"/>
      <c r="D5828" s="496"/>
    </row>
    <row r="5829" spans="1:4" x14ac:dyDescent="0.2">
      <c r="A5829" s="496"/>
      <c r="D5829" s="496"/>
    </row>
    <row r="5830" spans="1:4" x14ac:dyDescent="0.2">
      <c r="A5830" s="496"/>
      <c r="D5830" s="496"/>
    </row>
    <row r="5831" spans="1:4" x14ac:dyDescent="0.2">
      <c r="A5831" s="496"/>
      <c r="D5831" s="496"/>
    </row>
    <row r="5832" spans="1:4" x14ac:dyDescent="0.2">
      <c r="A5832" s="496"/>
      <c r="D5832" s="496"/>
    </row>
    <row r="5833" spans="1:4" x14ac:dyDescent="0.2">
      <c r="A5833" s="496"/>
      <c r="D5833" s="496"/>
    </row>
    <row r="5834" spans="1:4" x14ac:dyDescent="0.2">
      <c r="A5834" s="496"/>
      <c r="D5834" s="496"/>
    </row>
    <row r="5835" spans="1:4" x14ac:dyDescent="0.2">
      <c r="A5835" s="496"/>
      <c r="D5835" s="496"/>
    </row>
    <row r="5836" spans="1:4" x14ac:dyDescent="0.2">
      <c r="A5836" s="496"/>
      <c r="D5836" s="496"/>
    </row>
    <row r="5837" spans="1:4" x14ac:dyDescent="0.2">
      <c r="A5837" s="496"/>
      <c r="D5837" s="496"/>
    </row>
    <row r="5838" spans="1:4" x14ac:dyDescent="0.2">
      <c r="A5838" s="496"/>
      <c r="D5838" s="496"/>
    </row>
    <row r="5839" spans="1:4" x14ac:dyDescent="0.2">
      <c r="A5839" s="496"/>
      <c r="D5839" s="496"/>
    </row>
    <row r="5840" spans="1:4" x14ac:dyDescent="0.2">
      <c r="A5840" s="496"/>
      <c r="D5840" s="496"/>
    </row>
    <row r="5841" spans="1:4" x14ac:dyDescent="0.2">
      <c r="A5841" s="496"/>
      <c r="D5841" s="496"/>
    </row>
    <row r="5842" spans="1:4" x14ac:dyDescent="0.2">
      <c r="A5842" s="496"/>
      <c r="D5842" s="496"/>
    </row>
    <row r="5843" spans="1:4" x14ac:dyDescent="0.2">
      <c r="A5843" s="496"/>
      <c r="D5843" s="496"/>
    </row>
    <row r="5844" spans="1:4" x14ac:dyDescent="0.2">
      <c r="A5844" s="496"/>
      <c r="D5844" s="496"/>
    </row>
    <row r="5845" spans="1:4" x14ac:dyDescent="0.2">
      <c r="A5845" s="496"/>
      <c r="D5845" s="496"/>
    </row>
    <row r="5846" spans="1:4" x14ac:dyDescent="0.2">
      <c r="A5846" s="496"/>
      <c r="D5846" s="496"/>
    </row>
    <row r="5847" spans="1:4" x14ac:dyDescent="0.2">
      <c r="A5847" s="496"/>
      <c r="D5847" s="496"/>
    </row>
    <row r="5848" spans="1:4" x14ac:dyDescent="0.2">
      <c r="A5848" s="496"/>
      <c r="D5848" s="496"/>
    </row>
    <row r="5849" spans="1:4" x14ac:dyDescent="0.2">
      <c r="A5849" s="496"/>
      <c r="D5849" s="496"/>
    </row>
    <row r="5850" spans="1:4" x14ac:dyDescent="0.2">
      <c r="A5850" s="496"/>
      <c r="D5850" s="496"/>
    </row>
    <row r="5851" spans="1:4" x14ac:dyDescent="0.2">
      <c r="A5851" s="496"/>
      <c r="D5851" s="496"/>
    </row>
    <row r="5852" spans="1:4" x14ac:dyDescent="0.2">
      <c r="A5852" s="496"/>
      <c r="D5852" s="496"/>
    </row>
    <row r="5853" spans="1:4" x14ac:dyDescent="0.2">
      <c r="A5853" s="496"/>
      <c r="D5853" s="496"/>
    </row>
    <row r="5854" spans="1:4" x14ac:dyDescent="0.2">
      <c r="A5854" s="496"/>
      <c r="D5854" s="496"/>
    </row>
    <row r="5855" spans="1:4" x14ac:dyDescent="0.2">
      <c r="A5855" s="496"/>
      <c r="D5855" s="496"/>
    </row>
    <row r="5856" spans="1:4" x14ac:dyDescent="0.2">
      <c r="A5856" s="496"/>
      <c r="D5856" s="496"/>
    </row>
    <row r="5857" spans="1:4" x14ac:dyDescent="0.2">
      <c r="A5857" s="496"/>
      <c r="D5857" s="496"/>
    </row>
    <row r="5858" spans="1:4" x14ac:dyDescent="0.2">
      <c r="A5858" s="496"/>
      <c r="D5858" s="496"/>
    </row>
    <row r="5859" spans="1:4" x14ac:dyDescent="0.2">
      <c r="A5859" s="496"/>
      <c r="D5859" s="496"/>
    </row>
    <row r="5860" spans="1:4" x14ac:dyDescent="0.2">
      <c r="A5860" s="496"/>
      <c r="D5860" s="496"/>
    </row>
    <row r="5861" spans="1:4" x14ac:dyDescent="0.2">
      <c r="A5861" s="496"/>
      <c r="D5861" s="496"/>
    </row>
    <row r="5862" spans="1:4" x14ac:dyDescent="0.2">
      <c r="A5862" s="496"/>
      <c r="D5862" s="496"/>
    </row>
    <row r="5863" spans="1:4" x14ac:dyDescent="0.2">
      <c r="A5863" s="496"/>
      <c r="D5863" s="496"/>
    </row>
    <row r="5864" spans="1:4" x14ac:dyDescent="0.2">
      <c r="A5864" s="496"/>
      <c r="D5864" s="496"/>
    </row>
    <row r="5865" spans="1:4" x14ac:dyDescent="0.2">
      <c r="A5865" s="496"/>
      <c r="D5865" s="496"/>
    </row>
    <row r="5866" spans="1:4" x14ac:dyDescent="0.2">
      <c r="A5866" s="496"/>
      <c r="D5866" s="496"/>
    </row>
    <row r="5867" spans="1:4" x14ac:dyDescent="0.2">
      <c r="A5867" s="496"/>
      <c r="D5867" s="496"/>
    </row>
    <row r="5868" spans="1:4" x14ac:dyDescent="0.2">
      <c r="A5868" s="496"/>
      <c r="D5868" s="496"/>
    </row>
    <row r="5869" spans="1:4" x14ac:dyDescent="0.2">
      <c r="A5869" s="496"/>
      <c r="D5869" s="496"/>
    </row>
    <row r="5870" spans="1:4" x14ac:dyDescent="0.2">
      <c r="A5870" s="496"/>
      <c r="D5870" s="496"/>
    </row>
    <row r="5871" spans="1:4" x14ac:dyDescent="0.2">
      <c r="A5871" s="496"/>
      <c r="D5871" s="496"/>
    </row>
    <row r="5872" spans="1:4" x14ac:dyDescent="0.2">
      <c r="A5872" s="496"/>
      <c r="D5872" s="496"/>
    </row>
    <row r="5873" spans="1:4" x14ac:dyDescent="0.2">
      <c r="A5873" s="496"/>
      <c r="D5873" s="496"/>
    </row>
    <row r="5874" spans="1:4" x14ac:dyDescent="0.2">
      <c r="A5874" s="496"/>
      <c r="D5874" s="496"/>
    </row>
    <row r="5875" spans="1:4" x14ac:dyDescent="0.2">
      <c r="A5875" s="496"/>
      <c r="D5875" s="496"/>
    </row>
    <row r="5876" spans="1:4" x14ac:dyDescent="0.2">
      <c r="A5876" s="496"/>
      <c r="D5876" s="496"/>
    </row>
    <row r="5877" spans="1:4" x14ac:dyDescent="0.2">
      <c r="A5877" s="496"/>
      <c r="D5877" s="496"/>
    </row>
    <row r="5878" spans="1:4" x14ac:dyDescent="0.2">
      <c r="A5878" s="496"/>
      <c r="D5878" s="496"/>
    </row>
    <row r="5879" spans="1:4" x14ac:dyDescent="0.2">
      <c r="A5879" s="496"/>
      <c r="D5879" s="496"/>
    </row>
    <row r="5880" spans="1:4" x14ac:dyDescent="0.2">
      <c r="A5880" s="496"/>
      <c r="D5880" s="496"/>
    </row>
    <row r="5881" spans="1:4" x14ac:dyDescent="0.2">
      <c r="A5881" s="496"/>
      <c r="D5881" s="496"/>
    </row>
    <row r="5882" spans="1:4" x14ac:dyDescent="0.2">
      <c r="A5882" s="496"/>
      <c r="D5882" s="496"/>
    </row>
    <row r="5883" spans="1:4" x14ac:dyDescent="0.2">
      <c r="A5883" s="496"/>
      <c r="D5883" s="496"/>
    </row>
    <row r="5884" spans="1:4" x14ac:dyDescent="0.2">
      <c r="A5884" s="496"/>
      <c r="D5884" s="496"/>
    </row>
    <row r="5885" spans="1:4" x14ac:dyDescent="0.2">
      <c r="A5885" s="496"/>
      <c r="D5885" s="496"/>
    </row>
    <row r="5886" spans="1:4" x14ac:dyDescent="0.2">
      <c r="A5886" s="496"/>
      <c r="D5886" s="496"/>
    </row>
    <row r="5887" spans="1:4" x14ac:dyDescent="0.2">
      <c r="A5887" s="496"/>
      <c r="D5887" s="496"/>
    </row>
    <row r="5888" spans="1:4" x14ac:dyDescent="0.2">
      <c r="A5888" s="496"/>
      <c r="D5888" s="496"/>
    </row>
    <row r="5889" spans="1:4" x14ac:dyDescent="0.2">
      <c r="A5889" s="496"/>
      <c r="D5889" s="496"/>
    </row>
    <row r="5890" spans="1:4" x14ac:dyDescent="0.2">
      <c r="A5890" s="496"/>
      <c r="D5890" s="496"/>
    </row>
    <row r="5891" spans="1:4" x14ac:dyDescent="0.2">
      <c r="A5891" s="496"/>
      <c r="D5891" s="496"/>
    </row>
    <row r="5892" spans="1:4" x14ac:dyDescent="0.2">
      <c r="A5892" s="496"/>
      <c r="D5892" s="496"/>
    </row>
    <row r="5893" spans="1:4" x14ac:dyDescent="0.2">
      <c r="A5893" s="496"/>
      <c r="D5893" s="496"/>
    </row>
    <row r="5894" spans="1:4" x14ac:dyDescent="0.2">
      <c r="A5894" s="496"/>
      <c r="D5894" s="496"/>
    </row>
    <row r="5895" spans="1:4" x14ac:dyDescent="0.2">
      <c r="A5895" s="496"/>
      <c r="D5895" s="496"/>
    </row>
    <row r="5896" spans="1:4" x14ac:dyDescent="0.2">
      <c r="A5896" s="496"/>
      <c r="D5896" s="496"/>
    </row>
    <row r="5897" spans="1:4" x14ac:dyDescent="0.2">
      <c r="A5897" s="496"/>
      <c r="D5897" s="496"/>
    </row>
    <row r="5898" spans="1:4" x14ac:dyDescent="0.2">
      <c r="A5898" s="496"/>
      <c r="D5898" s="496"/>
    </row>
    <row r="5899" spans="1:4" x14ac:dyDescent="0.2">
      <c r="A5899" s="496"/>
      <c r="D5899" s="496"/>
    </row>
    <row r="5900" spans="1:4" x14ac:dyDescent="0.2">
      <c r="A5900" s="496"/>
      <c r="D5900" s="496"/>
    </row>
    <row r="5901" spans="1:4" x14ac:dyDescent="0.2">
      <c r="A5901" s="496"/>
      <c r="D5901" s="496"/>
    </row>
    <row r="5902" spans="1:4" x14ac:dyDescent="0.2">
      <c r="A5902" s="496"/>
      <c r="D5902" s="496"/>
    </row>
    <row r="5903" spans="1:4" x14ac:dyDescent="0.2">
      <c r="A5903" s="496"/>
      <c r="D5903" s="496"/>
    </row>
    <row r="5904" spans="1:4" x14ac:dyDescent="0.2">
      <c r="A5904" s="496"/>
      <c r="D5904" s="496"/>
    </row>
    <row r="5905" spans="1:4" x14ac:dyDescent="0.2">
      <c r="A5905" s="496"/>
      <c r="D5905" s="496"/>
    </row>
    <row r="5906" spans="1:4" x14ac:dyDescent="0.2">
      <c r="A5906" s="496"/>
      <c r="D5906" s="496"/>
    </row>
    <row r="5907" spans="1:4" x14ac:dyDescent="0.2">
      <c r="A5907" s="496"/>
      <c r="D5907" s="496"/>
    </row>
    <row r="5908" spans="1:4" x14ac:dyDescent="0.2">
      <c r="A5908" s="496"/>
      <c r="D5908" s="496"/>
    </row>
    <row r="5909" spans="1:4" x14ac:dyDescent="0.2">
      <c r="A5909" s="496"/>
      <c r="D5909" s="496"/>
    </row>
    <row r="5910" spans="1:4" x14ac:dyDescent="0.2">
      <c r="A5910" s="496"/>
      <c r="D5910" s="496"/>
    </row>
    <row r="5911" spans="1:4" x14ac:dyDescent="0.2">
      <c r="A5911" s="496"/>
      <c r="D5911" s="496"/>
    </row>
    <row r="5912" spans="1:4" x14ac:dyDescent="0.2">
      <c r="A5912" s="496"/>
      <c r="D5912" s="496"/>
    </row>
    <row r="5913" spans="1:4" x14ac:dyDescent="0.2">
      <c r="A5913" s="496"/>
      <c r="D5913" s="496"/>
    </row>
    <row r="5914" spans="1:4" x14ac:dyDescent="0.2">
      <c r="A5914" s="496"/>
      <c r="D5914" s="496"/>
    </row>
    <row r="5915" spans="1:4" x14ac:dyDescent="0.2">
      <c r="A5915" s="496"/>
      <c r="D5915" s="496"/>
    </row>
    <row r="5916" spans="1:4" x14ac:dyDescent="0.2">
      <c r="A5916" s="496"/>
      <c r="D5916" s="496"/>
    </row>
    <row r="5917" spans="1:4" x14ac:dyDescent="0.2">
      <c r="A5917" s="496"/>
      <c r="D5917" s="496"/>
    </row>
    <row r="5918" spans="1:4" x14ac:dyDescent="0.2">
      <c r="A5918" s="496"/>
      <c r="D5918" s="496"/>
    </row>
    <row r="5919" spans="1:4" x14ac:dyDescent="0.2">
      <c r="A5919" s="496"/>
      <c r="D5919" s="496"/>
    </row>
    <row r="5920" spans="1:4" x14ac:dyDescent="0.2">
      <c r="A5920" s="496"/>
      <c r="D5920" s="496"/>
    </row>
    <row r="5921" spans="1:4" x14ac:dyDescent="0.2">
      <c r="A5921" s="496"/>
      <c r="D5921" s="496"/>
    </row>
    <row r="5922" spans="1:4" x14ac:dyDescent="0.2">
      <c r="A5922" s="496"/>
      <c r="D5922" s="496"/>
    </row>
    <row r="5923" spans="1:4" x14ac:dyDescent="0.2">
      <c r="A5923" s="496"/>
      <c r="D5923" s="496"/>
    </row>
    <row r="5924" spans="1:4" x14ac:dyDescent="0.2">
      <c r="A5924" s="496"/>
      <c r="D5924" s="496"/>
    </row>
    <row r="5925" spans="1:4" x14ac:dyDescent="0.2">
      <c r="A5925" s="496"/>
      <c r="D5925" s="496"/>
    </row>
    <row r="5926" spans="1:4" x14ac:dyDescent="0.2">
      <c r="A5926" s="496"/>
      <c r="D5926" s="496"/>
    </row>
    <row r="5927" spans="1:4" x14ac:dyDescent="0.2">
      <c r="A5927" s="496"/>
      <c r="D5927" s="496"/>
    </row>
    <row r="5928" spans="1:4" x14ac:dyDescent="0.2">
      <c r="A5928" s="496"/>
      <c r="D5928" s="496"/>
    </row>
    <row r="5929" spans="1:4" x14ac:dyDescent="0.2">
      <c r="A5929" s="496"/>
      <c r="D5929" s="496"/>
    </row>
    <row r="5930" spans="1:4" x14ac:dyDescent="0.2">
      <c r="A5930" s="496"/>
      <c r="D5930" s="496"/>
    </row>
    <row r="5931" spans="1:4" x14ac:dyDescent="0.2">
      <c r="A5931" s="496"/>
      <c r="D5931" s="496"/>
    </row>
    <row r="5932" spans="1:4" x14ac:dyDescent="0.2">
      <c r="A5932" s="496"/>
      <c r="D5932" s="496"/>
    </row>
    <row r="5933" spans="1:4" x14ac:dyDescent="0.2">
      <c r="A5933" s="496"/>
      <c r="D5933" s="496"/>
    </row>
    <row r="5934" spans="1:4" x14ac:dyDescent="0.2">
      <c r="A5934" s="496"/>
      <c r="D5934" s="496"/>
    </row>
    <row r="5935" spans="1:4" x14ac:dyDescent="0.2">
      <c r="A5935" s="496"/>
      <c r="D5935" s="496"/>
    </row>
    <row r="5936" spans="1:4" x14ac:dyDescent="0.2">
      <c r="A5936" s="496"/>
      <c r="D5936" s="496"/>
    </row>
    <row r="5937" spans="1:4" x14ac:dyDescent="0.2">
      <c r="A5937" s="496"/>
      <c r="D5937" s="496"/>
    </row>
    <row r="5938" spans="1:4" x14ac:dyDescent="0.2">
      <c r="A5938" s="496"/>
      <c r="D5938" s="496"/>
    </row>
    <row r="5939" spans="1:4" x14ac:dyDescent="0.2">
      <c r="A5939" s="496"/>
      <c r="D5939" s="496"/>
    </row>
    <row r="5940" spans="1:4" x14ac:dyDescent="0.2">
      <c r="A5940" s="496"/>
      <c r="D5940" s="496"/>
    </row>
    <row r="5941" spans="1:4" x14ac:dyDescent="0.2">
      <c r="A5941" s="496"/>
      <c r="D5941" s="496"/>
    </row>
    <row r="5942" spans="1:4" x14ac:dyDescent="0.2">
      <c r="A5942" s="496"/>
      <c r="D5942" s="496"/>
    </row>
    <row r="5943" spans="1:4" x14ac:dyDescent="0.2">
      <c r="A5943" s="496"/>
      <c r="D5943" s="496"/>
    </row>
    <row r="5944" spans="1:4" x14ac:dyDescent="0.2">
      <c r="A5944" s="496"/>
      <c r="D5944" s="496"/>
    </row>
    <row r="5945" spans="1:4" x14ac:dyDescent="0.2">
      <c r="A5945" s="496"/>
      <c r="D5945" s="496"/>
    </row>
    <row r="5946" spans="1:4" x14ac:dyDescent="0.2">
      <c r="A5946" s="496"/>
      <c r="D5946" s="496"/>
    </row>
    <row r="5947" spans="1:4" x14ac:dyDescent="0.2">
      <c r="A5947" s="496"/>
      <c r="D5947" s="496"/>
    </row>
    <row r="5948" spans="1:4" x14ac:dyDescent="0.2">
      <c r="A5948" s="496"/>
      <c r="D5948" s="496"/>
    </row>
    <row r="5949" spans="1:4" x14ac:dyDescent="0.2">
      <c r="A5949" s="496"/>
      <c r="D5949" s="496"/>
    </row>
    <row r="5950" spans="1:4" x14ac:dyDescent="0.2">
      <c r="A5950" s="496"/>
      <c r="D5950" s="496"/>
    </row>
    <row r="5951" spans="1:4" x14ac:dyDescent="0.2">
      <c r="A5951" s="496"/>
      <c r="D5951" s="496"/>
    </row>
    <row r="5952" spans="1:4" x14ac:dyDescent="0.2">
      <c r="A5952" s="496"/>
      <c r="D5952" s="496"/>
    </row>
    <row r="5953" spans="1:4" x14ac:dyDescent="0.2">
      <c r="A5953" s="496"/>
      <c r="D5953" s="496"/>
    </row>
    <row r="5954" spans="1:4" x14ac:dyDescent="0.2">
      <c r="A5954" s="496"/>
      <c r="D5954" s="496"/>
    </row>
    <row r="5955" spans="1:4" x14ac:dyDescent="0.2">
      <c r="A5955" s="496"/>
      <c r="D5955" s="496"/>
    </row>
    <row r="5956" spans="1:4" x14ac:dyDescent="0.2">
      <c r="A5956" s="496"/>
      <c r="D5956" s="496"/>
    </row>
    <row r="5957" spans="1:4" x14ac:dyDescent="0.2">
      <c r="A5957" s="496"/>
      <c r="D5957" s="496"/>
    </row>
    <row r="5958" spans="1:4" x14ac:dyDescent="0.2">
      <c r="A5958" s="496"/>
      <c r="D5958" s="496"/>
    </row>
    <row r="5959" spans="1:4" x14ac:dyDescent="0.2">
      <c r="A5959" s="496"/>
      <c r="D5959" s="496"/>
    </row>
    <row r="5960" spans="1:4" x14ac:dyDescent="0.2">
      <c r="A5960" s="496"/>
      <c r="D5960" s="496"/>
    </row>
    <row r="5961" spans="1:4" x14ac:dyDescent="0.2">
      <c r="A5961" s="496"/>
      <c r="D5961" s="496"/>
    </row>
    <row r="5962" spans="1:4" x14ac:dyDescent="0.2">
      <c r="A5962" s="496"/>
      <c r="D5962" s="496"/>
    </row>
    <row r="5963" spans="1:4" x14ac:dyDescent="0.2">
      <c r="A5963" s="496"/>
      <c r="D5963" s="496"/>
    </row>
    <row r="5964" spans="1:4" x14ac:dyDescent="0.2">
      <c r="A5964" s="496"/>
      <c r="D5964" s="496"/>
    </row>
    <row r="5965" spans="1:4" x14ac:dyDescent="0.2">
      <c r="A5965" s="496"/>
      <c r="D5965" s="496"/>
    </row>
    <row r="5966" spans="1:4" x14ac:dyDescent="0.2">
      <c r="A5966" s="496"/>
      <c r="D5966" s="496"/>
    </row>
    <row r="5967" spans="1:4" x14ac:dyDescent="0.2">
      <c r="A5967" s="496"/>
      <c r="D5967" s="496"/>
    </row>
    <row r="5968" spans="1:4" x14ac:dyDescent="0.2">
      <c r="A5968" s="496"/>
      <c r="D5968" s="496"/>
    </row>
    <row r="5969" spans="1:4" x14ac:dyDescent="0.2">
      <c r="A5969" s="496"/>
      <c r="D5969" s="496"/>
    </row>
    <row r="5970" spans="1:4" x14ac:dyDescent="0.2">
      <c r="A5970" s="496"/>
      <c r="D5970" s="496"/>
    </row>
    <row r="5971" spans="1:4" x14ac:dyDescent="0.2">
      <c r="A5971" s="496"/>
      <c r="D5971" s="496"/>
    </row>
    <row r="5972" spans="1:4" x14ac:dyDescent="0.2">
      <c r="A5972" s="496"/>
      <c r="D5972" s="496"/>
    </row>
    <row r="5973" spans="1:4" x14ac:dyDescent="0.2">
      <c r="A5973" s="496"/>
      <c r="D5973" s="496"/>
    </row>
    <row r="5974" spans="1:4" x14ac:dyDescent="0.2">
      <c r="A5974" s="496"/>
      <c r="D5974" s="496"/>
    </row>
    <row r="5975" spans="1:4" x14ac:dyDescent="0.2">
      <c r="A5975" s="496"/>
      <c r="D5975" s="496"/>
    </row>
    <row r="5976" spans="1:4" x14ac:dyDescent="0.2">
      <c r="A5976" s="496"/>
      <c r="D5976" s="496"/>
    </row>
    <row r="5977" spans="1:4" x14ac:dyDescent="0.2">
      <c r="A5977" s="496"/>
      <c r="D5977" s="496"/>
    </row>
    <row r="5978" spans="1:4" x14ac:dyDescent="0.2">
      <c r="A5978" s="496"/>
      <c r="D5978" s="496"/>
    </row>
    <row r="5979" spans="1:4" x14ac:dyDescent="0.2">
      <c r="A5979" s="496"/>
      <c r="D5979" s="496"/>
    </row>
    <row r="5980" spans="1:4" x14ac:dyDescent="0.2">
      <c r="A5980" s="496"/>
      <c r="D5980" s="496"/>
    </row>
    <row r="5981" spans="1:4" x14ac:dyDescent="0.2">
      <c r="A5981" s="496"/>
      <c r="D5981" s="496"/>
    </row>
    <row r="5982" spans="1:4" x14ac:dyDescent="0.2">
      <c r="A5982" s="496"/>
      <c r="D5982" s="496"/>
    </row>
    <row r="5983" spans="1:4" x14ac:dyDescent="0.2">
      <c r="A5983" s="496"/>
      <c r="D5983" s="496"/>
    </row>
    <row r="5984" spans="1:4" x14ac:dyDescent="0.2">
      <c r="A5984" s="496"/>
      <c r="D5984" s="496"/>
    </row>
    <row r="5985" spans="1:4" x14ac:dyDescent="0.2">
      <c r="A5985" s="496"/>
      <c r="D5985" s="496"/>
    </row>
    <row r="5986" spans="1:4" x14ac:dyDescent="0.2">
      <c r="A5986" s="496"/>
      <c r="D5986" s="496"/>
    </row>
    <row r="5987" spans="1:4" x14ac:dyDescent="0.2">
      <c r="A5987" s="496"/>
      <c r="D5987" s="496"/>
    </row>
    <row r="5988" spans="1:4" x14ac:dyDescent="0.2">
      <c r="A5988" s="496"/>
      <c r="D5988" s="496"/>
    </row>
    <row r="5989" spans="1:4" x14ac:dyDescent="0.2">
      <c r="A5989" s="496"/>
      <c r="D5989" s="496"/>
    </row>
    <row r="5990" spans="1:4" x14ac:dyDescent="0.2">
      <c r="A5990" s="496"/>
      <c r="D5990" s="496"/>
    </row>
    <row r="5991" spans="1:4" x14ac:dyDescent="0.2">
      <c r="A5991" s="496"/>
      <c r="D5991" s="496"/>
    </row>
    <row r="5992" spans="1:4" x14ac:dyDescent="0.2">
      <c r="A5992" s="496"/>
      <c r="D5992" s="496"/>
    </row>
    <row r="5993" spans="1:4" x14ac:dyDescent="0.2">
      <c r="A5993" s="496"/>
      <c r="D5993" s="496"/>
    </row>
    <row r="5994" spans="1:4" x14ac:dyDescent="0.2">
      <c r="A5994" s="496"/>
      <c r="D5994" s="496"/>
    </row>
    <row r="5995" spans="1:4" x14ac:dyDescent="0.2">
      <c r="A5995" s="496"/>
      <c r="D5995" s="496"/>
    </row>
    <row r="5996" spans="1:4" x14ac:dyDescent="0.2">
      <c r="A5996" s="496"/>
      <c r="D5996" s="496"/>
    </row>
    <row r="5997" spans="1:4" x14ac:dyDescent="0.2">
      <c r="A5997" s="496"/>
      <c r="D5997" s="496"/>
    </row>
    <row r="5998" spans="1:4" x14ac:dyDescent="0.2">
      <c r="A5998" s="496"/>
      <c r="D5998" s="496"/>
    </row>
    <row r="5999" spans="1:4" x14ac:dyDescent="0.2">
      <c r="A5999" s="496"/>
      <c r="D5999" s="496"/>
    </row>
    <row r="6000" spans="1:4" x14ac:dyDescent="0.2">
      <c r="A6000" s="496"/>
      <c r="D6000" s="496"/>
    </row>
    <row r="6001" spans="1:4" x14ac:dyDescent="0.2">
      <c r="A6001" s="496"/>
      <c r="D6001" s="496"/>
    </row>
    <row r="6002" spans="1:4" x14ac:dyDescent="0.2">
      <c r="A6002" s="496"/>
      <c r="D6002" s="496"/>
    </row>
    <row r="6003" spans="1:4" x14ac:dyDescent="0.2">
      <c r="A6003" s="496"/>
      <c r="D6003" s="496"/>
    </row>
    <row r="6004" spans="1:4" x14ac:dyDescent="0.2">
      <c r="A6004" s="496"/>
      <c r="D6004" s="496"/>
    </row>
    <row r="6005" spans="1:4" x14ac:dyDescent="0.2">
      <c r="A6005" s="496"/>
      <c r="D6005" s="496"/>
    </row>
    <row r="6006" spans="1:4" x14ac:dyDescent="0.2">
      <c r="A6006" s="496"/>
      <c r="D6006" s="496"/>
    </row>
    <row r="6007" spans="1:4" x14ac:dyDescent="0.2">
      <c r="A6007" s="496"/>
      <c r="D6007" s="496"/>
    </row>
    <row r="6008" spans="1:4" x14ac:dyDescent="0.2">
      <c r="A6008" s="496"/>
      <c r="D6008" s="496"/>
    </row>
    <row r="6009" spans="1:4" x14ac:dyDescent="0.2">
      <c r="A6009" s="496"/>
      <c r="D6009" s="496"/>
    </row>
    <row r="6010" spans="1:4" x14ac:dyDescent="0.2">
      <c r="A6010" s="496"/>
      <c r="D6010" s="496"/>
    </row>
    <row r="6011" spans="1:4" x14ac:dyDescent="0.2">
      <c r="A6011" s="496"/>
      <c r="D6011" s="496"/>
    </row>
    <row r="6012" spans="1:4" x14ac:dyDescent="0.2">
      <c r="A6012" s="496"/>
      <c r="D6012" s="496"/>
    </row>
    <row r="6013" spans="1:4" x14ac:dyDescent="0.2">
      <c r="A6013" s="496"/>
      <c r="D6013" s="496"/>
    </row>
    <row r="6014" spans="1:4" x14ac:dyDescent="0.2">
      <c r="A6014" s="496"/>
      <c r="D6014" s="496"/>
    </row>
    <row r="6015" spans="1:4" x14ac:dyDescent="0.2">
      <c r="A6015" s="496"/>
      <c r="D6015" s="496"/>
    </row>
    <row r="6016" spans="1:4" x14ac:dyDescent="0.2">
      <c r="A6016" s="496"/>
      <c r="D6016" s="496"/>
    </row>
    <row r="6017" spans="1:4" x14ac:dyDescent="0.2">
      <c r="A6017" s="496"/>
      <c r="D6017" s="496"/>
    </row>
    <row r="6018" spans="1:4" x14ac:dyDescent="0.2">
      <c r="A6018" s="496"/>
      <c r="D6018" s="496"/>
    </row>
    <row r="6019" spans="1:4" x14ac:dyDescent="0.2">
      <c r="A6019" s="496"/>
      <c r="D6019" s="496"/>
    </row>
    <row r="6020" spans="1:4" x14ac:dyDescent="0.2">
      <c r="A6020" s="496"/>
      <c r="D6020" s="496"/>
    </row>
    <row r="6021" spans="1:4" x14ac:dyDescent="0.2">
      <c r="A6021" s="496"/>
      <c r="D6021" s="496"/>
    </row>
    <row r="6022" spans="1:4" x14ac:dyDescent="0.2">
      <c r="A6022" s="496"/>
      <c r="D6022" s="496"/>
    </row>
    <row r="6023" spans="1:4" x14ac:dyDescent="0.2">
      <c r="A6023" s="496"/>
      <c r="D6023" s="496"/>
    </row>
    <row r="6024" spans="1:4" x14ac:dyDescent="0.2">
      <c r="A6024" s="496"/>
      <c r="D6024" s="496"/>
    </row>
    <row r="6025" spans="1:4" x14ac:dyDescent="0.2">
      <c r="A6025" s="496"/>
      <c r="D6025" s="496"/>
    </row>
    <row r="6026" spans="1:4" x14ac:dyDescent="0.2">
      <c r="A6026" s="496"/>
      <c r="D6026" s="496"/>
    </row>
    <row r="6027" spans="1:4" x14ac:dyDescent="0.2">
      <c r="A6027" s="496"/>
      <c r="D6027" s="496"/>
    </row>
    <row r="6028" spans="1:4" x14ac:dyDescent="0.2">
      <c r="A6028" s="496"/>
      <c r="D6028" s="496"/>
    </row>
    <row r="6029" spans="1:4" x14ac:dyDescent="0.2">
      <c r="A6029" s="496"/>
      <c r="D6029" s="496"/>
    </row>
    <row r="6030" spans="1:4" x14ac:dyDescent="0.2">
      <c r="A6030" s="496"/>
      <c r="D6030" s="496"/>
    </row>
    <row r="6031" spans="1:4" x14ac:dyDescent="0.2">
      <c r="A6031" s="496"/>
      <c r="D6031" s="496"/>
    </row>
    <row r="6032" spans="1:4" x14ac:dyDescent="0.2">
      <c r="A6032" s="496"/>
      <c r="D6032" s="496"/>
    </row>
    <row r="6033" spans="1:4" x14ac:dyDescent="0.2">
      <c r="A6033" s="496"/>
      <c r="D6033" s="496"/>
    </row>
    <row r="6034" spans="1:4" x14ac:dyDescent="0.2">
      <c r="A6034" s="496"/>
      <c r="D6034" s="496"/>
    </row>
    <row r="6035" spans="1:4" x14ac:dyDescent="0.2">
      <c r="A6035" s="496"/>
      <c r="D6035" s="496"/>
    </row>
    <row r="6036" spans="1:4" x14ac:dyDescent="0.2">
      <c r="A6036" s="496"/>
      <c r="D6036" s="496"/>
    </row>
    <row r="6037" spans="1:4" x14ac:dyDescent="0.2">
      <c r="A6037" s="496"/>
      <c r="D6037" s="496"/>
    </row>
    <row r="6038" spans="1:4" x14ac:dyDescent="0.2">
      <c r="A6038" s="496"/>
      <c r="D6038" s="496"/>
    </row>
    <row r="6039" spans="1:4" x14ac:dyDescent="0.2">
      <c r="A6039" s="496"/>
      <c r="D6039" s="496"/>
    </row>
    <row r="6040" spans="1:4" x14ac:dyDescent="0.2">
      <c r="A6040" s="496"/>
      <c r="D6040" s="496"/>
    </row>
    <row r="6041" spans="1:4" x14ac:dyDescent="0.2">
      <c r="A6041" s="496"/>
      <c r="D6041" s="496"/>
    </row>
    <row r="6042" spans="1:4" x14ac:dyDescent="0.2">
      <c r="A6042" s="496"/>
      <c r="D6042" s="496"/>
    </row>
    <row r="6043" spans="1:4" x14ac:dyDescent="0.2">
      <c r="A6043" s="496"/>
      <c r="D6043" s="496"/>
    </row>
    <row r="6044" spans="1:4" x14ac:dyDescent="0.2">
      <c r="A6044" s="496"/>
      <c r="D6044" s="496"/>
    </row>
    <row r="6045" spans="1:4" x14ac:dyDescent="0.2">
      <c r="A6045" s="496"/>
      <c r="D6045" s="496"/>
    </row>
    <row r="6046" spans="1:4" x14ac:dyDescent="0.2">
      <c r="A6046" s="496"/>
      <c r="D6046" s="496"/>
    </row>
    <row r="6047" spans="1:4" x14ac:dyDescent="0.2">
      <c r="A6047" s="496"/>
      <c r="D6047" s="496"/>
    </row>
    <row r="6048" spans="1:4" x14ac:dyDescent="0.2">
      <c r="A6048" s="496"/>
      <c r="D6048" s="496"/>
    </row>
    <row r="6049" spans="1:4" x14ac:dyDescent="0.2">
      <c r="A6049" s="496"/>
      <c r="D6049" s="496"/>
    </row>
    <row r="6050" spans="1:4" x14ac:dyDescent="0.2">
      <c r="A6050" s="496"/>
      <c r="D6050" s="496"/>
    </row>
    <row r="6051" spans="1:4" x14ac:dyDescent="0.2">
      <c r="A6051" s="496"/>
      <c r="D6051" s="496"/>
    </row>
    <row r="6052" spans="1:4" x14ac:dyDescent="0.2">
      <c r="A6052" s="496"/>
      <c r="D6052" s="496"/>
    </row>
    <row r="6053" spans="1:4" x14ac:dyDescent="0.2">
      <c r="A6053" s="496"/>
      <c r="D6053" s="496"/>
    </row>
    <row r="6054" spans="1:4" x14ac:dyDescent="0.2">
      <c r="A6054" s="496"/>
      <c r="D6054" s="496"/>
    </row>
    <row r="6055" spans="1:4" x14ac:dyDescent="0.2">
      <c r="A6055" s="496"/>
      <c r="D6055" s="496"/>
    </row>
    <row r="6056" spans="1:4" x14ac:dyDescent="0.2">
      <c r="A6056" s="496"/>
      <c r="D6056" s="496"/>
    </row>
    <row r="6057" spans="1:4" x14ac:dyDescent="0.2">
      <c r="A6057" s="496"/>
      <c r="D6057" s="496"/>
    </row>
    <row r="6058" spans="1:4" x14ac:dyDescent="0.2">
      <c r="A6058" s="496"/>
      <c r="D6058" s="496"/>
    </row>
    <row r="6059" spans="1:4" x14ac:dyDescent="0.2">
      <c r="A6059" s="496"/>
      <c r="D6059" s="496"/>
    </row>
    <row r="6060" spans="1:4" x14ac:dyDescent="0.2">
      <c r="A6060" s="496"/>
      <c r="D6060" s="496"/>
    </row>
    <row r="6061" spans="1:4" x14ac:dyDescent="0.2">
      <c r="A6061" s="496"/>
      <c r="D6061" s="496"/>
    </row>
    <row r="6062" spans="1:4" x14ac:dyDescent="0.2">
      <c r="A6062" s="496"/>
      <c r="D6062" s="496"/>
    </row>
    <row r="6063" spans="1:4" x14ac:dyDescent="0.2">
      <c r="A6063" s="496"/>
      <c r="D6063" s="496"/>
    </row>
    <row r="6064" spans="1:4" x14ac:dyDescent="0.2">
      <c r="A6064" s="496"/>
      <c r="D6064" s="496"/>
    </row>
    <row r="6065" spans="1:4" x14ac:dyDescent="0.2">
      <c r="A6065" s="496"/>
      <c r="D6065" s="496"/>
    </row>
    <row r="6066" spans="1:4" x14ac:dyDescent="0.2">
      <c r="A6066" s="496"/>
      <c r="D6066" s="496"/>
    </row>
    <row r="6067" spans="1:4" x14ac:dyDescent="0.2">
      <c r="A6067" s="496"/>
      <c r="D6067" s="496"/>
    </row>
    <row r="6068" spans="1:4" x14ac:dyDescent="0.2">
      <c r="A6068" s="496"/>
      <c r="D6068" s="496"/>
    </row>
    <row r="6069" spans="1:4" x14ac:dyDescent="0.2">
      <c r="A6069" s="496"/>
      <c r="D6069" s="496"/>
    </row>
    <row r="6070" spans="1:4" x14ac:dyDescent="0.2">
      <c r="A6070" s="496"/>
      <c r="D6070" s="496"/>
    </row>
    <row r="6071" spans="1:4" x14ac:dyDescent="0.2">
      <c r="A6071" s="496"/>
      <c r="D6071" s="496"/>
    </row>
    <row r="6072" spans="1:4" x14ac:dyDescent="0.2">
      <c r="A6072" s="496"/>
      <c r="D6072" s="496"/>
    </row>
    <row r="6073" spans="1:4" x14ac:dyDescent="0.2">
      <c r="A6073" s="496"/>
      <c r="D6073" s="496"/>
    </row>
    <row r="6074" spans="1:4" x14ac:dyDescent="0.2">
      <c r="A6074" s="496"/>
      <c r="D6074" s="496"/>
    </row>
    <row r="6075" spans="1:4" x14ac:dyDescent="0.2">
      <c r="A6075" s="496"/>
      <c r="D6075" s="496"/>
    </row>
    <row r="6076" spans="1:4" x14ac:dyDescent="0.2">
      <c r="A6076" s="496"/>
      <c r="D6076" s="496"/>
    </row>
    <row r="6077" spans="1:4" x14ac:dyDescent="0.2">
      <c r="A6077" s="496"/>
      <c r="D6077" s="496"/>
    </row>
    <row r="6078" spans="1:4" x14ac:dyDescent="0.2">
      <c r="A6078" s="496"/>
      <c r="D6078" s="496"/>
    </row>
    <row r="6079" spans="1:4" x14ac:dyDescent="0.2">
      <c r="A6079" s="496"/>
      <c r="D6079" s="496"/>
    </row>
    <row r="6080" spans="1:4" x14ac:dyDescent="0.2">
      <c r="A6080" s="496"/>
      <c r="D6080" s="496"/>
    </row>
    <row r="6081" spans="1:4" x14ac:dyDescent="0.2">
      <c r="A6081" s="496"/>
      <c r="D6081" s="496"/>
    </row>
    <row r="6082" spans="1:4" x14ac:dyDescent="0.2">
      <c r="A6082" s="496"/>
      <c r="D6082" s="496"/>
    </row>
    <row r="6083" spans="1:4" x14ac:dyDescent="0.2">
      <c r="A6083" s="496"/>
      <c r="D6083" s="496"/>
    </row>
    <row r="6084" spans="1:4" x14ac:dyDescent="0.2">
      <c r="A6084" s="496"/>
      <c r="D6084" s="496"/>
    </row>
    <row r="6085" spans="1:4" x14ac:dyDescent="0.2">
      <c r="A6085" s="496"/>
      <c r="D6085" s="496"/>
    </row>
    <row r="6086" spans="1:4" x14ac:dyDescent="0.2">
      <c r="A6086" s="496"/>
      <c r="D6086" s="496"/>
    </row>
    <row r="6087" spans="1:4" x14ac:dyDescent="0.2">
      <c r="A6087" s="496"/>
      <c r="D6087" s="496"/>
    </row>
    <row r="6088" spans="1:4" x14ac:dyDescent="0.2">
      <c r="A6088" s="496"/>
      <c r="D6088" s="496"/>
    </row>
    <row r="6089" spans="1:4" x14ac:dyDescent="0.2">
      <c r="A6089" s="496"/>
      <c r="D6089" s="496"/>
    </row>
    <row r="6090" spans="1:4" x14ac:dyDescent="0.2">
      <c r="A6090" s="496"/>
      <c r="D6090" s="496"/>
    </row>
    <row r="6091" spans="1:4" x14ac:dyDescent="0.2">
      <c r="A6091" s="496"/>
      <c r="D6091" s="496"/>
    </row>
    <row r="6092" spans="1:4" x14ac:dyDescent="0.2">
      <c r="A6092" s="496"/>
      <c r="D6092" s="496"/>
    </row>
    <row r="6093" spans="1:4" x14ac:dyDescent="0.2">
      <c r="A6093" s="496"/>
      <c r="D6093" s="496"/>
    </row>
    <row r="6094" spans="1:4" x14ac:dyDescent="0.2">
      <c r="A6094" s="496"/>
      <c r="D6094" s="496"/>
    </row>
    <row r="6095" spans="1:4" x14ac:dyDescent="0.2">
      <c r="A6095" s="496"/>
      <c r="D6095" s="496"/>
    </row>
    <row r="6096" spans="1:4" x14ac:dyDescent="0.2">
      <c r="A6096" s="496"/>
      <c r="D6096" s="496"/>
    </row>
    <row r="6097" spans="1:4" x14ac:dyDescent="0.2">
      <c r="A6097" s="496"/>
      <c r="D6097" s="496"/>
    </row>
    <row r="6098" spans="1:4" x14ac:dyDescent="0.2">
      <c r="A6098" s="496"/>
      <c r="D6098" s="496"/>
    </row>
    <row r="6099" spans="1:4" x14ac:dyDescent="0.2">
      <c r="A6099" s="496"/>
      <c r="D6099" s="496"/>
    </row>
    <row r="6100" spans="1:4" x14ac:dyDescent="0.2">
      <c r="A6100" s="496"/>
      <c r="D6100" s="496"/>
    </row>
    <row r="6101" spans="1:4" x14ac:dyDescent="0.2">
      <c r="A6101" s="496"/>
      <c r="D6101" s="496"/>
    </row>
    <row r="6102" spans="1:4" x14ac:dyDescent="0.2">
      <c r="A6102" s="496"/>
      <c r="D6102" s="496"/>
    </row>
    <row r="6103" spans="1:4" x14ac:dyDescent="0.2">
      <c r="A6103" s="496"/>
      <c r="D6103" s="496"/>
    </row>
    <row r="6104" spans="1:4" x14ac:dyDescent="0.2">
      <c r="A6104" s="496"/>
      <c r="D6104" s="496"/>
    </row>
    <row r="6105" spans="1:4" x14ac:dyDescent="0.2">
      <c r="A6105" s="496"/>
      <c r="D6105" s="496"/>
    </row>
    <row r="6106" spans="1:4" x14ac:dyDescent="0.2">
      <c r="A6106" s="496"/>
      <c r="D6106" s="496"/>
    </row>
    <row r="6107" spans="1:4" x14ac:dyDescent="0.2">
      <c r="A6107" s="496"/>
      <c r="D6107" s="496"/>
    </row>
    <row r="6108" spans="1:4" x14ac:dyDescent="0.2">
      <c r="A6108" s="496"/>
      <c r="D6108" s="496"/>
    </row>
    <row r="6109" spans="1:4" x14ac:dyDescent="0.2">
      <c r="A6109" s="496"/>
      <c r="D6109" s="496"/>
    </row>
    <row r="6110" spans="1:4" x14ac:dyDescent="0.2">
      <c r="A6110" s="496"/>
      <c r="D6110" s="496"/>
    </row>
    <row r="6111" spans="1:4" x14ac:dyDescent="0.2">
      <c r="A6111" s="496"/>
      <c r="D6111" s="496"/>
    </row>
    <row r="6112" spans="1:4" x14ac:dyDescent="0.2">
      <c r="A6112" s="496"/>
      <c r="D6112" s="496"/>
    </row>
    <row r="6113" spans="1:4" x14ac:dyDescent="0.2">
      <c r="A6113" s="496"/>
      <c r="D6113" s="496"/>
    </row>
    <row r="6114" spans="1:4" x14ac:dyDescent="0.2">
      <c r="A6114" s="496"/>
      <c r="D6114" s="496"/>
    </row>
    <row r="6115" spans="1:4" x14ac:dyDescent="0.2">
      <c r="A6115" s="496"/>
      <c r="D6115" s="496"/>
    </row>
    <row r="6116" spans="1:4" x14ac:dyDescent="0.2">
      <c r="A6116" s="496"/>
      <c r="D6116" s="496"/>
    </row>
    <row r="6117" spans="1:4" x14ac:dyDescent="0.2">
      <c r="A6117" s="496"/>
      <c r="D6117" s="496"/>
    </row>
    <row r="6118" spans="1:4" x14ac:dyDescent="0.2">
      <c r="A6118" s="496"/>
      <c r="D6118" s="496"/>
    </row>
    <row r="6119" spans="1:4" x14ac:dyDescent="0.2">
      <c r="A6119" s="496"/>
      <c r="D6119" s="496"/>
    </row>
    <row r="6120" spans="1:4" x14ac:dyDescent="0.2">
      <c r="A6120" s="496"/>
      <c r="D6120" s="496"/>
    </row>
    <row r="6121" spans="1:4" x14ac:dyDescent="0.2">
      <c r="A6121" s="496"/>
      <c r="D6121" s="496"/>
    </row>
    <row r="6122" spans="1:4" x14ac:dyDescent="0.2">
      <c r="A6122" s="496"/>
      <c r="D6122" s="496"/>
    </row>
    <row r="6123" spans="1:4" x14ac:dyDescent="0.2">
      <c r="A6123" s="496"/>
      <c r="D6123" s="496"/>
    </row>
    <row r="6124" spans="1:4" x14ac:dyDescent="0.2">
      <c r="A6124" s="496"/>
      <c r="D6124" s="496"/>
    </row>
    <row r="6125" spans="1:4" x14ac:dyDescent="0.2">
      <c r="A6125" s="496"/>
      <c r="D6125" s="496"/>
    </row>
    <row r="6126" spans="1:4" x14ac:dyDescent="0.2">
      <c r="A6126" s="496"/>
      <c r="D6126" s="496"/>
    </row>
    <row r="6127" spans="1:4" x14ac:dyDescent="0.2">
      <c r="A6127" s="496"/>
      <c r="D6127" s="496"/>
    </row>
    <row r="6128" spans="1:4" x14ac:dyDescent="0.2">
      <c r="A6128" s="496"/>
      <c r="D6128" s="496"/>
    </row>
    <row r="6129" spans="1:4" x14ac:dyDescent="0.2">
      <c r="A6129" s="496"/>
      <c r="D6129" s="496"/>
    </row>
    <row r="6130" spans="1:4" x14ac:dyDescent="0.2">
      <c r="A6130" s="496"/>
      <c r="D6130" s="496"/>
    </row>
    <row r="6131" spans="1:4" x14ac:dyDescent="0.2">
      <c r="A6131" s="496"/>
      <c r="D6131" s="496"/>
    </row>
    <row r="6132" spans="1:4" x14ac:dyDescent="0.2">
      <c r="A6132" s="496"/>
      <c r="D6132" s="496"/>
    </row>
    <row r="6133" spans="1:4" x14ac:dyDescent="0.2">
      <c r="A6133" s="496"/>
      <c r="D6133" s="496"/>
    </row>
    <row r="6134" spans="1:4" x14ac:dyDescent="0.2">
      <c r="A6134" s="496"/>
      <c r="D6134" s="496"/>
    </row>
    <row r="6135" spans="1:4" x14ac:dyDescent="0.2">
      <c r="A6135" s="496"/>
      <c r="D6135" s="496"/>
    </row>
    <row r="6136" spans="1:4" x14ac:dyDescent="0.2">
      <c r="A6136" s="496"/>
      <c r="D6136" s="496"/>
    </row>
    <row r="6137" spans="1:4" x14ac:dyDescent="0.2">
      <c r="A6137" s="496"/>
      <c r="D6137" s="496"/>
    </row>
    <row r="6138" spans="1:4" x14ac:dyDescent="0.2">
      <c r="A6138" s="496"/>
      <c r="D6138" s="496"/>
    </row>
    <row r="6139" spans="1:4" x14ac:dyDescent="0.2">
      <c r="A6139" s="496"/>
      <c r="D6139" s="496"/>
    </row>
    <row r="6140" spans="1:4" x14ac:dyDescent="0.2">
      <c r="A6140" s="496"/>
      <c r="D6140" s="496"/>
    </row>
    <row r="6141" spans="1:4" x14ac:dyDescent="0.2">
      <c r="A6141" s="496"/>
      <c r="D6141" s="496"/>
    </row>
    <row r="6142" spans="1:4" x14ac:dyDescent="0.2">
      <c r="A6142" s="496"/>
      <c r="D6142" s="496"/>
    </row>
    <row r="6143" spans="1:4" x14ac:dyDescent="0.2">
      <c r="A6143" s="496"/>
      <c r="D6143" s="496"/>
    </row>
    <row r="6144" spans="1:4" x14ac:dyDescent="0.2">
      <c r="A6144" s="496"/>
      <c r="D6144" s="496"/>
    </row>
    <row r="6145" spans="1:4" x14ac:dyDescent="0.2">
      <c r="A6145" s="496"/>
      <c r="D6145" s="496"/>
    </row>
    <row r="6146" spans="1:4" x14ac:dyDescent="0.2">
      <c r="A6146" s="496"/>
      <c r="D6146" s="496"/>
    </row>
    <row r="6147" spans="1:4" x14ac:dyDescent="0.2">
      <c r="A6147" s="496"/>
      <c r="D6147" s="496"/>
    </row>
    <row r="6148" spans="1:4" x14ac:dyDescent="0.2">
      <c r="A6148" s="496"/>
      <c r="D6148" s="496"/>
    </row>
    <row r="6149" spans="1:4" x14ac:dyDescent="0.2">
      <c r="A6149" s="496"/>
      <c r="D6149" s="496"/>
    </row>
    <row r="6150" spans="1:4" x14ac:dyDescent="0.2">
      <c r="A6150" s="496"/>
      <c r="D6150" s="496"/>
    </row>
    <row r="6151" spans="1:4" x14ac:dyDescent="0.2">
      <c r="A6151" s="496"/>
      <c r="D6151" s="496"/>
    </row>
    <row r="6152" spans="1:4" x14ac:dyDescent="0.2">
      <c r="A6152" s="496"/>
      <c r="D6152" s="496"/>
    </row>
    <row r="6153" spans="1:4" x14ac:dyDescent="0.2">
      <c r="A6153" s="496"/>
      <c r="D6153" s="496"/>
    </row>
    <row r="6154" spans="1:4" x14ac:dyDescent="0.2">
      <c r="A6154" s="496"/>
      <c r="D6154" s="496"/>
    </row>
    <row r="6155" spans="1:4" x14ac:dyDescent="0.2">
      <c r="A6155" s="496"/>
      <c r="D6155" s="496"/>
    </row>
    <row r="6156" spans="1:4" x14ac:dyDescent="0.2">
      <c r="A6156" s="496"/>
      <c r="D6156" s="496"/>
    </row>
    <row r="6157" spans="1:4" x14ac:dyDescent="0.2">
      <c r="A6157" s="496"/>
      <c r="D6157" s="496"/>
    </row>
    <row r="6158" spans="1:4" x14ac:dyDescent="0.2">
      <c r="A6158" s="496"/>
      <c r="D6158" s="496"/>
    </row>
    <row r="6159" spans="1:4" x14ac:dyDescent="0.2">
      <c r="A6159" s="496"/>
      <c r="D6159" s="496"/>
    </row>
    <row r="6160" spans="1:4" x14ac:dyDescent="0.2">
      <c r="A6160" s="496"/>
      <c r="D6160" s="496"/>
    </row>
    <row r="6161" spans="1:4" x14ac:dyDescent="0.2">
      <c r="A6161" s="496"/>
      <c r="D6161" s="496"/>
    </row>
    <row r="6162" spans="1:4" x14ac:dyDescent="0.2">
      <c r="A6162" s="496"/>
      <c r="D6162" s="496"/>
    </row>
    <row r="6163" spans="1:4" x14ac:dyDescent="0.2">
      <c r="A6163" s="496"/>
      <c r="D6163" s="496"/>
    </row>
    <row r="6164" spans="1:4" x14ac:dyDescent="0.2">
      <c r="A6164" s="496"/>
      <c r="D6164" s="496"/>
    </row>
    <row r="6165" spans="1:4" x14ac:dyDescent="0.2">
      <c r="A6165" s="496"/>
      <c r="D6165" s="496"/>
    </row>
    <row r="6166" spans="1:4" x14ac:dyDescent="0.2">
      <c r="A6166" s="496"/>
      <c r="D6166" s="496"/>
    </row>
    <row r="6167" spans="1:4" x14ac:dyDescent="0.2">
      <c r="A6167" s="496"/>
      <c r="D6167" s="496"/>
    </row>
    <row r="6168" spans="1:4" x14ac:dyDescent="0.2">
      <c r="A6168" s="496"/>
      <c r="D6168" s="496"/>
    </row>
    <row r="6169" spans="1:4" x14ac:dyDescent="0.2">
      <c r="A6169" s="496"/>
      <c r="D6169" s="496"/>
    </row>
    <row r="6170" spans="1:4" x14ac:dyDescent="0.2">
      <c r="A6170" s="496"/>
      <c r="D6170" s="496"/>
    </row>
    <row r="6171" spans="1:4" x14ac:dyDescent="0.2">
      <c r="A6171" s="496"/>
      <c r="D6171" s="496"/>
    </row>
    <row r="6172" spans="1:4" x14ac:dyDescent="0.2">
      <c r="A6172" s="496"/>
      <c r="D6172" s="496"/>
    </row>
    <row r="6173" spans="1:4" x14ac:dyDescent="0.2">
      <c r="A6173" s="496"/>
      <c r="D6173" s="496"/>
    </row>
    <row r="6174" spans="1:4" x14ac:dyDescent="0.2">
      <c r="A6174" s="496"/>
      <c r="D6174" s="496"/>
    </row>
    <row r="6175" spans="1:4" x14ac:dyDescent="0.2">
      <c r="A6175" s="496"/>
      <c r="D6175" s="496"/>
    </row>
    <row r="6176" spans="1:4" x14ac:dyDescent="0.2">
      <c r="A6176" s="496"/>
      <c r="D6176" s="496"/>
    </row>
    <row r="6177" spans="1:4" x14ac:dyDescent="0.2">
      <c r="A6177" s="496"/>
      <c r="D6177" s="496"/>
    </row>
    <row r="6178" spans="1:4" x14ac:dyDescent="0.2">
      <c r="A6178" s="496"/>
      <c r="D6178" s="496"/>
    </row>
    <row r="6179" spans="1:4" x14ac:dyDescent="0.2">
      <c r="A6179" s="496"/>
      <c r="D6179" s="496"/>
    </row>
    <row r="6180" spans="1:4" x14ac:dyDescent="0.2">
      <c r="A6180" s="496"/>
      <c r="D6180" s="496"/>
    </row>
    <row r="6181" spans="1:4" x14ac:dyDescent="0.2">
      <c r="A6181" s="496"/>
      <c r="D6181" s="496"/>
    </row>
    <row r="6182" spans="1:4" x14ac:dyDescent="0.2">
      <c r="A6182" s="496"/>
      <c r="D6182" s="496"/>
    </row>
    <row r="6183" spans="1:4" x14ac:dyDescent="0.2">
      <c r="A6183" s="496"/>
      <c r="D6183" s="496"/>
    </row>
    <row r="6184" spans="1:4" x14ac:dyDescent="0.2">
      <c r="A6184" s="496"/>
      <c r="D6184" s="496"/>
    </row>
    <row r="6185" spans="1:4" x14ac:dyDescent="0.2">
      <c r="A6185" s="496"/>
      <c r="D6185" s="496"/>
    </row>
    <row r="6186" spans="1:4" x14ac:dyDescent="0.2">
      <c r="A6186" s="496"/>
      <c r="D6186" s="496"/>
    </row>
    <row r="6187" spans="1:4" x14ac:dyDescent="0.2">
      <c r="A6187" s="496"/>
      <c r="D6187" s="496"/>
    </row>
    <row r="6188" spans="1:4" x14ac:dyDescent="0.2">
      <c r="A6188" s="496"/>
      <c r="D6188" s="496"/>
    </row>
    <row r="6189" spans="1:4" x14ac:dyDescent="0.2">
      <c r="A6189" s="496"/>
      <c r="D6189" s="496"/>
    </row>
    <row r="6190" spans="1:4" x14ac:dyDescent="0.2">
      <c r="A6190" s="496"/>
      <c r="D6190" s="496"/>
    </row>
    <row r="6191" spans="1:4" x14ac:dyDescent="0.2">
      <c r="A6191" s="496"/>
      <c r="D6191" s="496"/>
    </row>
    <row r="6192" spans="1:4" x14ac:dyDescent="0.2">
      <c r="A6192" s="496"/>
      <c r="D6192" s="496"/>
    </row>
    <row r="6193" spans="1:4" x14ac:dyDescent="0.2">
      <c r="A6193" s="496"/>
      <c r="D6193" s="496"/>
    </row>
    <row r="6194" spans="1:4" x14ac:dyDescent="0.2">
      <c r="A6194" s="496"/>
      <c r="D6194" s="496"/>
    </row>
    <row r="6195" spans="1:4" x14ac:dyDescent="0.2">
      <c r="A6195" s="496"/>
      <c r="D6195" s="496"/>
    </row>
    <row r="6196" spans="1:4" x14ac:dyDescent="0.2">
      <c r="A6196" s="496"/>
      <c r="D6196" s="496"/>
    </row>
    <row r="6197" spans="1:4" x14ac:dyDescent="0.2">
      <c r="A6197" s="496"/>
      <c r="D6197" s="496"/>
    </row>
    <row r="6198" spans="1:4" x14ac:dyDescent="0.2">
      <c r="A6198" s="496"/>
      <c r="D6198" s="496"/>
    </row>
    <row r="6199" spans="1:4" x14ac:dyDescent="0.2">
      <c r="A6199" s="496"/>
      <c r="D6199" s="496"/>
    </row>
    <row r="6200" spans="1:4" x14ac:dyDescent="0.2">
      <c r="A6200" s="496"/>
      <c r="D6200" s="496"/>
    </row>
    <row r="6201" spans="1:4" x14ac:dyDescent="0.2">
      <c r="A6201" s="496"/>
      <c r="D6201" s="496"/>
    </row>
    <row r="6202" spans="1:4" x14ac:dyDescent="0.2">
      <c r="A6202" s="496"/>
      <c r="D6202" s="496"/>
    </row>
    <row r="6203" spans="1:4" x14ac:dyDescent="0.2">
      <c r="A6203" s="496"/>
      <c r="D6203" s="496"/>
    </row>
    <row r="6204" spans="1:4" x14ac:dyDescent="0.2">
      <c r="A6204" s="496"/>
      <c r="D6204" s="496"/>
    </row>
    <row r="6205" spans="1:4" x14ac:dyDescent="0.2">
      <c r="A6205" s="496"/>
      <c r="D6205" s="496"/>
    </row>
    <row r="6206" spans="1:4" x14ac:dyDescent="0.2">
      <c r="A6206" s="496"/>
      <c r="D6206" s="496"/>
    </row>
    <row r="6207" spans="1:4" x14ac:dyDescent="0.2">
      <c r="A6207" s="496"/>
      <c r="D6207" s="496"/>
    </row>
    <row r="6208" spans="1:4" x14ac:dyDescent="0.2">
      <c r="A6208" s="496"/>
      <c r="D6208" s="496"/>
    </row>
    <row r="6209" spans="1:4" x14ac:dyDescent="0.2">
      <c r="A6209" s="496"/>
      <c r="D6209" s="496"/>
    </row>
    <row r="6210" spans="1:4" x14ac:dyDescent="0.2">
      <c r="A6210" s="496"/>
      <c r="D6210" s="496"/>
    </row>
    <row r="6211" spans="1:4" x14ac:dyDescent="0.2">
      <c r="A6211" s="496"/>
      <c r="D6211" s="496"/>
    </row>
    <row r="6212" spans="1:4" x14ac:dyDescent="0.2">
      <c r="A6212" s="496"/>
      <c r="D6212" s="496"/>
    </row>
    <row r="6213" spans="1:4" x14ac:dyDescent="0.2">
      <c r="A6213" s="496"/>
      <c r="D6213" s="496"/>
    </row>
    <row r="6214" spans="1:4" x14ac:dyDescent="0.2">
      <c r="A6214" s="496"/>
      <c r="D6214" s="496"/>
    </row>
    <row r="6215" spans="1:4" x14ac:dyDescent="0.2">
      <c r="A6215" s="496"/>
      <c r="D6215" s="496"/>
    </row>
    <row r="6216" spans="1:4" x14ac:dyDescent="0.2">
      <c r="A6216" s="496"/>
      <c r="D6216" s="496"/>
    </row>
    <row r="6217" spans="1:4" x14ac:dyDescent="0.2">
      <c r="A6217" s="496"/>
      <c r="D6217" s="496"/>
    </row>
    <row r="6218" spans="1:4" x14ac:dyDescent="0.2">
      <c r="A6218" s="496"/>
      <c r="D6218" s="496"/>
    </row>
    <row r="6219" spans="1:4" x14ac:dyDescent="0.2">
      <c r="A6219" s="496"/>
      <c r="D6219" s="496"/>
    </row>
    <row r="6220" spans="1:4" x14ac:dyDescent="0.2">
      <c r="A6220" s="496"/>
      <c r="D6220" s="496"/>
    </row>
    <row r="6221" spans="1:4" x14ac:dyDescent="0.2">
      <c r="A6221" s="496"/>
      <c r="D6221" s="496"/>
    </row>
    <row r="6222" spans="1:4" x14ac:dyDescent="0.2">
      <c r="A6222" s="496"/>
      <c r="D6222" s="496"/>
    </row>
    <row r="6223" spans="1:4" x14ac:dyDescent="0.2">
      <c r="A6223" s="496"/>
      <c r="D6223" s="496"/>
    </row>
    <row r="6224" spans="1:4" x14ac:dyDescent="0.2">
      <c r="A6224" s="496"/>
      <c r="D6224" s="496"/>
    </row>
    <row r="6225" spans="1:4" x14ac:dyDescent="0.2">
      <c r="A6225" s="496"/>
      <c r="D6225" s="496"/>
    </row>
    <row r="6226" spans="1:4" x14ac:dyDescent="0.2">
      <c r="A6226" s="496"/>
      <c r="D6226" s="496"/>
    </row>
    <row r="6227" spans="1:4" x14ac:dyDescent="0.2">
      <c r="A6227" s="496"/>
      <c r="D6227" s="496"/>
    </row>
    <row r="6228" spans="1:4" x14ac:dyDescent="0.2">
      <c r="A6228" s="496"/>
      <c r="D6228" s="496"/>
    </row>
    <row r="6229" spans="1:4" x14ac:dyDescent="0.2">
      <c r="A6229" s="496"/>
      <c r="D6229" s="496"/>
    </row>
    <row r="6230" spans="1:4" x14ac:dyDescent="0.2">
      <c r="A6230" s="496"/>
      <c r="D6230" s="496"/>
    </row>
    <row r="6231" spans="1:4" x14ac:dyDescent="0.2">
      <c r="A6231" s="496"/>
      <c r="D6231" s="496"/>
    </row>
    <row r="6232" spans="1:4" x14ac:dyDescent="0.2">
      <c r="A6232" s="496"/>
      <c r="D6232" s="496"/>
    </row>
    <row r="6233" spans="1:4" x14ac:dyDescent="0.2">
      <c r="A6233" s="496"/>
      <c r="D6233" s="496"/>
    </row>
    <row r="6234" spans="1:4" x14ac:dyDescent="0.2">
      <c r="A6234" s="496"/>
      <c r="D6234" s="496"/>
    </row>
    <row r="6235" spans="1:4" x14ac:dyDescent="0.2">
      <c r="A6235" s="496"/>
      <c r="D6235" s="496"/>
    </row>
    <row r="6236" spans="1:4" x14ac:dyDescent="0.2">
      <c r="A6236" s="496"/>
      <c r="D6236" s="496"/>
    </row>
    <row r="6237" spans="1:4" x14ac:dyDescent="0.2">
      <c r="A6237" s="496"/>
      <c r="D6237" s="496"/>
    </row>
    <row r="6238" spans="1:4" x14ac:dyDescent="0.2">
      <c r="A6238" s="496"/>
      <c r="D6238" s="496"/>
    </row>
    <row r="6239" spans="1:4" x14ac:dyDescent="0.2">
      <c r="A6239" s="496"/>
      <c r="D6239" s="496"/>
    </row>
    <row r="6240" spans="1:4" x14ac:dyDescent="0.2">
      <c r="A6240" s="496"/>
      <c r="D6240" s="496"/>
    </row>
    <row r="6241" spans="1:4" x14ac:dyDescent="0.2">
      <c r="A6241" s="496"/>
      <c r="D6241" s="496"/>
    </row>
    <row r="6242" spans="1:4" x14ac:dyDescent="0.2">
      <c r="A6242" s="496"/>
      <c r="D6242" s="496"/>
    </row>
    <row r="6243" spans="1:4" x14ac:dyDescent="0.2">
      <c r="A6243" s="496"/>
      <c r="D6243" s="496"/>
    </row>
    <row r="6244" spans="1:4" x14ac:dyDescent="0.2">
      <c r="A6244" s="496"/>
      <c r="D6244" s="496"/>
    </row>
    <row r="6245" spans="1:4" x14ac:dyDescent="0.2">
      <c r="A6245" s="496"/>
      <c r="D6245" s="496"/>
    </row>
    <row r="6246" spans="1:4" x14ac:dyDescent="0.2">
      <c r="A6246" s="496"/>
      <c r="D6246" s="496"/>
    </row>
    <row r="6247" spans="1:4" x14ac:dyDescent="0.2">
      <c r="A6247" s="496"/>
      <c r="D6247" s="496"/>
    </row>
    <row r="6248" spans="1:4" x14ac:dyDescent="0.2">
      <c r="A6248" s="496"/>
      <c r="D6248" s="496"/>
    </row>
    <row r="6249" spans="1:4" x14ac:dyDescent="0.2">
      <c r="A6249" s="496"/>
      <c r="D6249" s="496"/>
    </row>
    <row r="6250" spans="1:4" x14ac:dyDescent="0.2">
      <c r="A6250" s="496"/>
      <c r="D6250" s="496"/>
    </row>
    <row r="6251" spans="1:4" x14ac:dyDescent="0.2">
      <c r="A6251" s="496"/>
      <c r="D6251" s="496"/>
    </row>
    <row r="6252" spans="1:4" x14ac:dyDescent="0.2">
      <c r="A6252" s="496"/>
      <c r="D6252" s="496"/>
    </row>
    <row r="6253" spans="1:4" x14ac:dyDescent="0.2">
      <c r="A6253" s="496"/>
      <c r="D6253" s="496"/>
    </row>
    <row r="6254" spans="1:4" x14ac:dyDescent="0.2">
      <c r="A6254" s="496"/>
      <c r="D6254" s="496"/>
    </row>
    <row r="6255" spans="1:4" x14ac:dyDescent="0.2">
      <c r="A6255" s="496"/>
      <c r="D6255" s="496"/>
    </row>
    <row r="6256" spans="1:4" x14ac:dyDescent="0.2">
      <c r="A6256" s="496"/>
      <c r="D6256" s="496"/>
    </row>
    <row r="6257" spans="1:4" x14ac:dyDescent="0.2">
      <c r="A6257" s="496"/>
      <c r="D6257" s="496"/>
    </row>
    <row r="6258" spans="1:4" x14ac:dyDescent="0.2">
      <c r="A6258" s="496"/>
      <c r="D6258" s="496"/>
    </row>
    <row r="6259" spans="1:4" x14ac:dyDescent="0.2">
      <c r="A6259" s="496"/>
      <c r="D6259" s="496"/>
    </row>
    <row r="6260" spans="1:4" x14ac:dyDescent="0.2">
      <c r="A6260" s="496"/>
      <c r="D6260" s="496"/>
    </row>
    <row r="6261" spans="1:4" x14ac:dyDescent="0.2">
      <c r="A6261" s="496"/>
      <c r="D6261" s="496"/>
    </row>
    <row r="6262" spans="1:4" x14ac:dyDescent="0.2">
      <c r="A6262" s="496"/>
      <c r="D6262" s="496"/>
    </row>
    <row r="6263" spans="1:4" x14ac:dyDescent="0.2">
      <c r="A6263" s="496"/>
      <c r="D6263" s="496"/>
    </row>
    <row r="6264" spans="1:4" x14ac:dyDescent="0.2">
      <c r="A6264" s="496"/>
      <c r="D6264" s="496"/>
    </row>
    <row r="6265" spans="1:4" x14ac:dyDescent="0.2">
      <c r="A6265" s="496"/>
      <c r="D6265" s="496"/>
    </row>
    <row r="6266" spans="1:4" x14ac:dyDescent="0.2">
      <c r="A6266" s="496"/>
      <c r="D6266" s="496"/>
    </row>
    <row r="6267" spans="1:4" x14ac:dyDescent="0.2">
      <c r="A6267" s="496"/>
      <c r="D6267" s="496"/>
    </row>
    <row r="6268" spans="1:4" x14ac:dyDescent="0.2">
      <c r="A6268" s="496"/>
      <c r="D6268" s="496"/>
    </row>
    <row r="6269" spans="1:4" x14ac:dyDescent="0.2">
      <c r="A6269" s="496"/>
      <c r="D6269" s="496"/>
    </row>
    <row r="6270" spans="1:4" x14ac:dyDescent="0.2">
      <c r="A6270" s="496"/>
      <c r="D6270" s="496"/>
    </row>
    <row r="6271" spans="1:4" x14ac:dyDescent="0.2">
      <c r="A6271" s="496"/>
      <c r="D6271" s="496"/>
    </row>
    <row r="6272" spans="1:4" x14ac:dyDescent="0.2">
      <c r="A6272" s="496"/>
      <c r="D6272" s="496"/>
    </row>
    <row r="6273" spans="1:4" x14ac:dyDescent="0.2">
      <c r="A6273" s="496"/>
      <c r="D6273" s="496"/>
    </row>
    <row r="6274" spans="1:4" x14ac:dyDescent="0.2">
      <c r="A6274" s="496"/>
      <c r="D6274" s="496"/>
    </row>
    <row r="6275" spans="1:4" x14ac:dyDescent="0.2">
      <c r="A6275" s="496"/>
      <c r="D6275" s="496"/>
    </row>
    <row r="6276" spans="1:4" x14ac:dyDescent="0.2">
      <c r="A6276" s="496"/>
      <c r="D6276" s="496"/>
    </row>
    <row r="6277" spans="1:4" x14ac:dyDescent="0.2">
      <c r="A6277" s="496"/>
      <c r="D6277" s="496"/>
    </row>
    <row r="6278" spans="1:4" x14ac:dyDescent="0.2">
      <c r="A6278" s="496"/>
      <c r="D6278" s="496"/>
    </row>
    <row r="6279" spans="1:4" x14ac:dyDescent="0.2">
      <c r="A6279" s="496"/>
      <c r="D6279" s="496"/>
    </row>
    <row r="6280" spans="1:4" x14ac:dyDescent="0.2">
      <c r="A6280" s="496"/>
      <c r="D6280" s="496"/>
    </row>
    <row r="6281" spans="1:4" x14ac:dyDescent="0.2">
      <c r="A6281" s="496"/>
      <c r="D6281" s="496"/>
    </row>
    <row r="6282" spans="1:4" x14ac:dyDescent="0.2">
      <c r="A6282" s="496"/>
      <c r="D6282" s="496"/>
    </row>
    <row r="6283" spans="1:4" x14ac:dyDescent="0.2">
      <c r="A6283" s="496"/>
      <c r="D6283" s="496"/>
    </row>
    <row r="6284" spans="1:4" x14ac:dyDescent="0.2">
      <c r="A6284" s="496"/>
      <c r="D6284" s="496"/>
    </row>
    <row r="6285" spans="1:4" x14ac:dyDescent="0.2">
      <c r="A6285" s="496"/>
      <c r="D6285" s="496"/>
    </row>
    <row r="6286" spans="1:4" x14ac:dyDescent="0.2">
      <c r="A6286" s="496"/>
      <c r="D6286" s="496"/>
    </row>
    <row r="6287" spans="1:4" x14ac:dyDescent="0.2">
      <c r="A6287" s="496"/>
      <c r="D6287" s="496"/>
    </row>
    <row r="6288" spans="1:4" x14ac:dyDescent="0.2">
      <c r="A6288" s="496"/>
      <c r="D6288" s="496"/>
    </row>
    <row r="6289" spans="1:4" x14ac:dyDescent="0.2">
      <c r="A6289" s="496"/>
      <c r="D6289" s="496"/>
    </row>
    <row r="6290" spans="1:4" x14ac:dyDescent="0.2">
      <c r="A6290" s="496"/>
      <c r="D6290" s="496"/>
    </row>
    <row r="6291" spans="1:4" x14ac:dyDescent="0.2">
      <c r="A6291" s="496"/>
      <c r="D6291" s="496"/>
    </row>
    <row r="6292" spans="1:4" x14ac:dyDescent="0.2">
      <c r="A6292" s="496"/>
      <c r="D6292" s="496"/>
    </row>
    <row r="6293" spans="1:4" x14ac:dyDescent="0.2">
      <c r="A6293" s="496"/>
      <c r="D6293" s="496"/>
    </row>
    <row r="6294" spans="1:4" x14ac:dyDescent="0.2">
      <c r="A6294" s="496"/>
      <c r="D6294" s="496"/>
    </row>
    <row r="6295" spans="1:4" x14ac:dyDescent="0.2">
      <c r="A6295" s="496"/>
      <c r="D6295" s="496"/>
    </row>
    <row r="6296" spans="1:4" x14ac:dyDescent="0.2">
      <c r="A6296" s="496"/>
      <c r="D6296" s="496"/>
    </row>
    <row r="6297" spans="1:4" x14ac:dyDescent="0.2">
      <c r="A6297" s="496"/>
      <c r="D6297" s="496"/>
    </row>
    <row r="6298" spans="1:4" x14ac:dyDescent="0.2">
      <c r="A6298" s="496"/>
      <c r="D6298" s="496"/>
    </row>
    <row r="6299" spans="1:4" x14ac:dyDescent="0.2">
      <c r="A6299" s="496"/>
      <c r="D6299" s="496"/>
    </row>
    <row r="6300" spans="1:4" x14ac:dyDescent="0.2">
      <c r="A6300" s="496"/>
      <c r="D6300" s="496"/>
    </row>
    <row r="6301" spans="1:4" x14ac:dyDescent="0.2">
      <c r="A6301" s="496"/>
      <c r="D6301" s="496"/>
    </row>
    <row r="6302" spans="1:4" x14ac:dyDescent="0.2">
      <c r="A6302" s="496"/>
      <c r="D6302" s="496"/>
    </row>
    <row r="6303" spans="1:4" x14ac:dyDescent="0.2">
      <c r="A6303" s="496"/>
      <c r="D6303" s="496"/>
    </row>
    <row r="6304" spans="1:4" x14ac:dyDescent="0.2">
      <c r="A6304" s="496"/>
      <c r="D6304" s="496"/>
    </row>
    <row r="6305" spans="1:4" x14ac:dyDescent="0.2">
      <c r="A6305" s="496"/>
      <c r="D6305" s="496"/>
    </row>
    <row r="6306" spans="1:4" x14ac:dyDescent="0.2">
      <c r="A6306" s="496"/>
      <c r="D6306" s="496"/>
    </row>
    <row r="6307" spans="1:4" x14ac:dyDescent="0.2">
      <c r="A6307" s="496"/>
      <c r="D6307" s="496"/>
    </row>
    <row r="6308" spans="1:4" x14ac:dyDescent="0.2">
      <c r="A6308" s="496"/>
      <c r="D6308" s="496"/>
    </row>
    <row r="6309" spans="1:4" x14ac:dyDescent="0.2">
      <c r="A6309" s="496"/>
      <c r="D6309" s="496"/>
    </row>
    <row r="6310" spans="1:4" x14ac:dyDescent="0.2">
      <c r="A6310" s="496"/>
      <c r="D6310" s="496"/>
    </row>
    <row r="6311" spans="1:4" x14ac:dyDescent="0.2">
      <c r="A6311" s="496"/>
      <c r="D6311" s="496"/>
    </row>
    <row r="6312" spans="1:4" x14ac:dyDescent="0.2">
      <c r="A6312" s="496"/>
      <c r="D6312" s="496"/>
    </row>
    <row r="6313" spans="1:4" x14ac:dyDescent="0.2">
      <c r="A6313" s="496"/>
      <c r="D6313" s="496"/>
    </row>
    <row r="6314" spans="1:4" x14ac:dyDescent="0.2">
      <c r="A6314" s="496"/>
      <c r="D6314" s="496"/>
    </row>
    <row r="6315" spans="1:4" x14ac:dyDescent="0.2">
      <c r="A6315" s="496"/>
      <c r="D6315" s="496"/>
    </row>
    <row r="6316" spans="1:4" x14ac:dyDescent="0.2">
      <c r="A6316" s="496"/>
      <c r="D6316" s="496"/>
    </row>
    <row r="6317" spans="1:4" x14ac:dyDescent="0.2">
      <c r="A6317" s="496"/>
      <c r="D6317" s="496"/>
    </row>
    <row r="6318" spans="1:4" x14ac:dyDescent="0.2">
      <c r="A6318" s="496"/>
      <c r="D6318" s="496"/>
    </row>
    <row r="6319" spans="1:4" x14ac:dyDescent="0.2">
      <c r="A6319" s="496"/>
      <c r="D6319" s="496"/>
    </row>
    <row r="6320" spans="1:4" x14ac:dyDescent="0.2">
      <c r="A6320" s="496"/>
      <c r="D6320" s="496"/>
    </row>
    <row r="6321" spans="1:4" x14ac:dyDescent="0.2">
      <c r="A6321" s="496"/>
      <c r="D6321" s="496"/>
    </row>
    <row r="6322" spans="1:4" x14ac:dyDescent="0.2">
      <c r="A6322" s="496"/>
      <c r="D6322" s="496"/>
    </row>
    <row r="6323" spans="1:4" x14ac:dyDescent="0.2">
      <c r="A6323" s="496"/>
      <c r="D6323" s="496"/>
    </row>
    <row r="6324" spans="1:4" x14ac:dyDescent="0.2">
      <c r="A6324" s="496"/>
      <c r="D6324" s="496"/>
    </row>
    <row r="6325" spans="1:4" x14ac:dyDescent="0.2">
      <c r="A6325" s="496"/>
      <c r="D6325" s="496"/>
    </row>
    <row r="6326" spans="1:4" x14ac:dyDescent="0.2">
      <c r="A6326" s="496"/>
      <c r="D6326" s="496"/>
    </row>
    <row r="6327" spans="1:4" x14ac:dyDescent="0.2">
      <c r="A6327" s="496"/>
      <c r="D6327" s="496"/>
    </row>
    <row r="6328" spans="1:4" x14ac:dyDescent="0.2">
      <c r="A6328" s="496"/>
      <c r="D6328" s="496"/>
    </row>
    <row r="6329" spans="1:4" x14ac:dyDescent="0.2">
      <c r="A6329" s="496"/>
      <c r="D6329" s="496"/>
    </row>
    <row r="6330" spans="1:4" x14ac:dyDescent="0.2">
      <c r="A6330" s="496"/>
      <c r="D6330" s="496"/>
    </row>
    <row r="6331" spans="1:4" x14ac:dyDescent="0.2">
      <c r="A6331" s="496"/>
      <c r="D6331" s="496"/>
    </row>
    <row r="6332" spans="1:4" x14ac:dyDescent="0.2">
      <c r="A6332" s="496"/>
      <c r="D6332" s="496"/>
    </row>
    <row r="6333" spans="1:4" x14ac:dyDescent="0.2">
      <c r="A6333" s="496"/>
      <c r="D6333" s="496"/>
    </row>
    <row r="6334" spans="1:4" x14ac:dyDescent="0.2">
      <c r="A6334" s="496"/>
      <c r="D6334" s="496"/>
    </row>
    <row r="6335" spans="1:4" x14ac:dyDescent="0.2">
      <c r="A6335" s="496"/>
      <c r="D6335" s="496"/>
    </row>
    <row r="6336" spans="1:4" x14ac:dyDescent="0.2">
      <c r="A6336" s="496"/>
      <c r="D6336" s="496"/>
    </row>
    <row r="6337" spans="1:4" x14ac:dyDescent="0.2">
      <c r="A6337" s="496"/>
      <c r="D6337" s="496"/>
    </row>
    <row r="6338" spans="1:4" x14ac:dyDescent="0.2">
      <c r="A6338" s="496"/>
      <c r="D6338" s="496"/>
    </row>
    <row r="6339" spans="1:4" x14ac:dyDescent="0.2">
      <c r="A6339" s="496"/>
      <c r="D6339" s="496"/>
    </row>
    <row r="6340" spans="1:4" x14ac:dyDescent="0.2">
      <c r="A6340" s="496"/>
      <c r="D6340" s="496"/>
    </row>
    <row r="6341" spans="1:4" x14ac:dyDescent="0.2">
      <c r="A6341" s="496"/>
      <c r="D6341" s="496"/>
    </row>
    <row r="6342" spans="1:4" x14ac:dyDescent="0.2">
      <c r="A6342" s="496"/>
      <c r="D6342" s="496"/>
    </row>
    <row r="6343" spans="1:4" x14ac:dyDescent="0.2">
      <c r="A6343" s="496"/>
      <c r="D6343" s="496"/>
    </row>
    <row r="6344" spans="1:4" x14ac:dyDescent="0.2">
      <c r="A6344" s="496"/>
      <c r="D6344" s="496"/>
    </row>
    <row r="6345" spans="1:4" x14ac:dyDescent="0.2">
      <c r="A6345" s="496"/>
      <c r="D6345" s="496"/>
    </row>
    <row r="6346" spans="1:4" x14ac:dyDescent="0.2">
      <c r="A6346" s="496"/>
      <c r="D6346" s="496"/>
    </row>
    <row r="6347" spans="1:4" x14ac:dyDescent="0.2">
      <c r="A6347" s="496"/>
      <c r="D6347" s="496"/>
    </row>
    <row r="6348" spans="1:4" x14ac:dyDescent="0.2">
      <c r="A6348" s="496"/>
      <c r="D6348" s="496"/>
    </row>
    <row r="6349" spans="1:4" x14ac:dyDescent="0.2">
      <c r="A6349" s="496"/>
      <c r="D6349" s="496"/>
    </row>
    <row r="6350" spans="1:4" x14ac:dyDescent="0.2">
      <c r="A6350" s="496"/>
      <c r="D6350" s="496"/>
    </row>
    <row r="6351" spans="1:4" x14ac:dyDescent="0.2">
      <c r="A6351" s="496"/>
      <c r="D6351" s="496"/>
    </row>
    <row r="6352" spans="1:4" x14ac:dyDescent="0.2">
      <c r="A6352" s="496"/>
      <c r="D6352" s="496"/>
    </row>
    <row r="6353" spans="1:4" x14ac:dyDescent="0.2">
      <c r="A6353" s="496"/>
      <c r="D6353" s="496"/>
    </row>
    <row r="6354" spans="1:4" x14ac:dyDescent="0.2">
      <c r="A6354" s="496"/>
      <c r="D6354" s="496"/>
    </row>
    <row r="6355" spans="1:4" x14ac:dyDescent="0.2">
      <c r="A6355" s="496"/>
      <c r="D6355" s="496"/>
    </row>
    <row r="6356" spans="1:4" x14ac:dyDescent="0.2">
      <c r="A6356" s="496"/>
      <c r="D6356" s="496"/>
    </row>
    <row r="6357" spans="1:4" x14ac:dyDescent="0.2">
      <c r="A6357" s="496"/>
      <c r="D6357" s="496"/>
    </row>
    <row r="6358" spans="1:4" x14ac:dyDescent="0.2">
      <c r="A6358" s="496"/>
      <c r="D6358" s="496"/>
    </row>
    <row r="6359" spans="1:4" x14ac:dyDescent="0.2">
      <c r="A6359" s="496"/>
      <c r="D6359" s="496"/>
    </row>
    <row r="6360" spans="1:4" x14ac:dyDescent="0.2">
      <c r="A6360" s="496"/>
      <c r="D6360" s="496"/>
    </row>
    <row r="6361" spans="1:4" x14ac:dyDescent="0.2">
      <c r="A6361" s="496"/>
      <c r="D6361" s="496"/>
    </row>
    <row r="6362" spans="1:4" x14ac:dyDescent="0.2">
      <c r="A6362" s="496"/>
      <c r="D6362" s="496"/>
    </row>
    <row r="6363" spans="1:4" x14ac:dyDescent="0.2">
      <c r="A6363" s="496"/>
      <c r="D6363" s="496"/>
    </row>
    <row r="6364" spans="1:4" x14ac:dyDescent="0.2">
      <c r="A6364" s="496"/>
      <c r="D6364" s="496"/>
    </row>
    <row r="6365" spans="1:4" x14ac:dyDescent="0.2">
      <c r="A6365" s="496"/>
      <c r="D6365" s="496"/>
    </row>
    <row r="6366" spans="1:4" x14ac:dyDescent="0.2">
      <c r="A6366" s="496"/>
      <c r="D6366" s="496"/>
    </row>
    <row r="6367" spans="1:4" x14ac:dyDescent="0.2">
      <c r="A6367" s="496"/>
      <c r="D6367" s="496"/>
    </row>
    <row r="6368" spans="1:4" x14ac:dyDescent="0.2">
      <c r="A6368" s="496"/>
      <c r="D6368" s="496"/>
    </row>
    <row r="6369" spans="1:4" x14ac:dyDescent="0.2">
      <c r="A6369" s="496"/>
      <c r="D6369" s="496"/>
    </row>
    <row r="6370" spans="1:4" x14ac:dyDescent="0.2">
      <c r="A6370" s="496"/>
      <c r="D6370" s="496"/>
    </row>
    <row r="6371" spans="1:4" x14ac:dyDescent="0.2">
      <c r="A6371" s="496"/>
      <c r="D6371" s="496"/>
    </row>
    <row r="6372" spans="1:4" x14ac:dyDescent="0.2">
      <c r="A6372" s="496"/>
      <c r="D6372" s="496"/>
    </row>
    <row r="6373" spans="1:4" x14ac:dyDescent="0.2">
      <c r="A6373" s="496"/>
      <c r="D6373" s="496"/>
    </row>
    <row r="6374" spans="1:4" x14ac:dyDescent="0.2">
      <c r="A6374" s="496"/>
      <c r="D6374" s="496"/>
    </row>
    <row r="6375" spans="1:4" x14ac:dyDescent="0.2">
      <c r="A6375" s="496"/>
      <c r="D6375" s="496"/>
    </row>
    <row r="6376" spans="1:4" x14ac:dyDescent="0.2">
      <c r="A6376" s="496"/>
      <c r="D6376" s="496"/>
    </row>
    <row r="6377" spans="1:4" x14ac:dyDescent="0.2">
      <c r="A6377" s="496"/>
      <c r="D6377" s="496"/>
    </row>
    <row r="6378" spans="1:4" x14ac:dyDescent="0.2">
      <c r="A6378" s="496"/>
      <c r="D6378" s="496"/>
    </row>
    <row r="6379" spans="1:4" x14ac:dyDescent="0.2">
      <c r="A6379" s="496"/>
      <c r="D6379" s="496"/>
    </row>
    <row r="6380" spans="1:4" x14ac:dyDescent="0.2">
      <c r="A6380" s="496"/>
      <c r="D6380" s="496"/>
    </row>
    <row r="6381" spans="1:4" x14ac:dyDescent="0.2">
      <c r="A6381" s="496"/>
      <c r="D6381" s="496"/>
    </row>
    <row r="6382" spans="1:4" x14ac:dyDescent="0.2">
      <c r="A6382" s="496"/>
      <c r="D6382" s="496"/>
    </row>
    <row r="6383" spans="1:4" x14ac:dyDescent="0.2">
      <c r="A6383" s="496"/>
      <c r="D6383" s="496"/>
    </row>
    <row r="6384" spans="1:4" x14ac:dyDescent="0.2">
      <c r="A6384" s="496"/>
      <c r="D6384" s="496"/>
    </row>
    <row r="6385" spans="1:4" x14ac:dyDescent="0.2">
      <c r="A6385" s="496"/>
      <c r="D6385" s="496"/>
    </row>
    <row r="6386" spans="1:4" x14ac:dyDescent="0.2">
      <c r="A6386" s="496"/>
      <c r="D6386" s="496"/>
    </row>
    <row r="6387" spans="1:4" x14ac:dyDescent="0.2">
      <c r="A6387" s="496"/>
      <c r="D6387" s="496"/>
    </row>
    <row r="6388" spans="1:4" x14ac:dyDescent="0.2">
      <c r="A6388" s="496"/>
      <c r="D6388" s="496"/>
    </row>
    <row r="6389" spans="1:4" x14ac:dyDescent="0.2">
      <c r="A6389" s="496"/>
      <c r="D6389" s="496"/>
    </row>
    <row r="6390" spans="1:4" x14ac:dyDescent="0.2">
      <c r="A6390" s="496"/>
      <c r="D6390" s="496"/>
    </row>
    <row r="6391" spans="1:4" x14ac:dyDescent="0.2">
      <c r="A6391" s="496"/>
      <c r="D6391" s="496"/>
    </row>
    <row r="6392" spans="1:4" x14ac:dyDescent="0.2">
      <c r="A6392" s="496"/>
      <c r="D6392" s="496"/>
    </row>
    <row r="6393" spans="1:4" x14ac:dyDescent="0.2">
      <c r="A6393" s="496"/>
      <c r="D6393" s="496"/>
    </row>
    <row r="6394" spans="1:4" x14ac:dyDescent="0.2">
      <c r="A6394" s="496"/>
      <c r="D6394" s="496"/>
    </row>
    <row r="6395" spans="1:4" x14ac:dyDescent="0.2">
      <c r="A6395" s="496"/>
      <c r="D6395" s="496"/>
    </row>
    <row r="6396" spans="1:4" x14ac:dyDescent="0.2">
      <c r="A6396" s="496"/>
      <c r="D6396" s="496"/>
    </row>
    <row r="6397" spans="1:4" x14ac:dyDescent="0.2">
      <c r="A6397" s="496"/>
      <c r="D6397" s="496"/>
    </row>
    <row r="6398" spans="1:4" x14ac:dyDescent="0.2">
      <c r="A6398" s="496"/>
      <c r="D6398" s="496"/>
    </row>
    <row r="6399" spans="1:4" x14ac:dyDescent="0.2">
      <c r="A6399" s="496"/>
      <c r="D6399" s="496"/>
    </row>
    <row r="6400" spans="1:4" x14ac:dyDescent="0.2">
      <c r="A6400" s="496"/>
      <c r="D6400" s="496"/>
    </row>
    <row r="6401" spans="1:4" x14ac:dyDescent="0.2">
      <c r="A6401" s="496"/>
      <c r="D6401" s="496"/>
    </row>
    <row r="6402" spans="1:4" x14ac:dyDescent="0.2">
      <c r="A6402" s="496"/>
      <c r="D6402" s="496"/>
    </row>
    <row r="6403" spans="1:4" x14ac:dyDescent="0.2">
      <c r="A6403" s="496"/>
      <c r="D6403" s="496"/>
    </row>
    <row r="6404" spans="1:4" x14ac:dyDescent="0.2">
      <c r="A6404" s="496"/>
      <c r="D6404" s="496"/>
    </row>
    <row r="6405" spans="1:4" x14ac:dyDescent="0.2">
      <c r="A6405" s="496"/>
      <c r="D6405" s="496"/>
    </row>
    <row r="6406" spans="1:4" x14ac:dyDescent="0.2">
      <c r="A6406" s="496"/>
      <c r="D6406" s="496"/>
    </row>
    <row r="6407" spans="1:4" x14ac:dyDescent="0.2">
      <c r="A6407" s="496"/>
      <c r="D6407" s="496"/>
    </row>
    <row r="6408" spans="1:4" x14ac:dyDescent="0.2">
      <c r="A6408" s="496"/>
      <c r="D6408" s="496"/>
    </row>
    <row r="6409" spans="1:4" x14ac:dyDescent="0.2">
      <c r="A6409" s="496"/>
      <c r="D6409" s="496"/>
    </row>
    <row r="6410" spans="1:4" x14ac:dyDescent="0.2">
      <c r="A6410" s="496"/>
      <c r="D6410" s="496"/>
    </row>
    <row r="6411" spans="1:4" x14ac:dyDescent="0.2">
      <c r="A6411" s="496"/>
      <c r="D6411" s="496"/>
    </row>
    <row r="6412" spans="1:4" x14ac:dyDescent="0.2">
      <c r="A6412" s="496"/>
      <c r="D6412" s="496"/>
    </row>
    <row r="6413" spans="1:4" x14ac:dyDescent="0.2">
      <c r="A6413" s="496"/>
      <c r="D6413" s="496"/>
    </row>
    <row r="6414" spans="1:4" x14ac:dyDescent="0.2">
      <c r="A6414" s="496"/>
      <c r="D6414" s="496"/>
    </row>
    <row r="6415" spans="1:4" x14ac:dyDescent="0.2">
      <c r="A6415" s="496"/>
      <c r="D6415" s="496"/>
    </row>
    <row r="6416" spans="1:4" x14ac:dyDescent="0.2">
      <c r="A6416" s="496"/>
      <c r="D6416" s="496"/>
    </row>
    <row r="6417" spans="1:4" x14ac:dyDescent="0.2">
      <c r="A6417" s="496"/>
      <c r="D6417" s="496"/>
    </row>
    <row r="6418" spans="1:4" x14ac:dyDescent="0.2">
      <c r="A6418" s="496"/>
      <c r="D6418" s="496"/>
    </row>
    <row r="6419" spans="1:4" x14ac:dyDescent="0.2">
      <c r="A6419" s="496"/>
      <c r="D6419" s="496"/>
    </row>
    <row r="6420" spans="1:4" x14ac:dyDescent="0.2">
      <c r="A6420" s="496"/>
      <c r="D6420" s="496"/>
    </row>
    <row r="6421" spans="1:4" x14ac:dyDescent="0.2">
      <c r="A6421" s="496"/>
      <c r="D6421" s="496"/>
    </row>
    <row r="6422" spans="1:4" x14ac:dyDescent="0.2">
      <c r="A6422" s="496"/>
      <c r="D6422" s="496"/>
    </row>
    <row r="6423" spans="1:4" x14ac:dyDescent="0.2">
      <c r="A6423" s="496"/>
      <c r="D6423" s="496"/>
    </row>
    <row r="6424" spans="1:4" x14ac:dyDescent="0.2">
      <c r="A6424" s="496"/>
      <c r="D6424" s="496"/>
    </row>
    <row r="6425" spans="1:4" x14ac:dyDescent="0.2">
      <c r="A6425" s="496"/>
      <c r="D6425" s="496"/>
    </row>
    <row r="6426" spans="1:4" x14ac:dyDescent="0.2">
      <c r="A6426" s="496"/>
      <c r="D6426" s="496"/>
    </row>
    <row r="6427" spans="1:4" x14ac:dyDescent="0.2">
      <c r="A6427" s="496"/>
      <c r="D6427" s="496"/>
    </row>
    <row r="6428" spans="1:4" x14ac:dyDescent="0.2">
      <c r="A6428" s="496"/>
      <c r="D6428" s="496"/>
    </row>
    <row r="6429" spans="1:4" x14ac:dyDescent="0.2">
      <c r="A6429" s="496"/>
      <c r="D6429" s="496"/>
    </row>
    <row r="6430" spans="1:4" x14ac:dyDescent="0.2">
      <c r="A6430" s="496"/>
      <c r="D6430" s="496"/>
    </row>
    <row r="6431" spans="1:4" x14ac:dyDescent="0.2">
      <c r="A6431" s="496"/>
      <c r="D6431" s="496"/>
    </row>
    <row r="6432" spans="1:4" x14ac:dyDescent="0.2">
      <c r="A6432" s="496"/>
      <c r="D6432" s="496"/>
    </row>
    <row r="6433" spans="1:4" x14ac:dyDescent="0.2">
      <c r="A6433" s="496"/>
      <c r="D6433" s="496"/>
    </row>
    <row r="6434" spans="1:4" x14ac:dyDescent="0.2">
      <c r="A6434" s="496"/>
      <c r="D6434" s="496"/>
    </row>
    <row r="6435" spans="1:4" x14ac:dyDescent="0.2">
      <c r="A6435" s="496"/>
      <c r="D6435" s="496"/>
    </row>
    <row r="6436" spans="1:4" x14ac:dyDescent="0.2">
      <c r="A6436" s="496"/>
      <c r="D6436" s="496"/>
    </row>
    <row r="6437" spans="1:4" x14ac:dyDescent="0.2">
      <c r="A6437" s="496"/>
      <c r="D6437" s="496"/>
    </row>
    <row r="6438" spans="1:4" x14ac:dyDescent="0.2">
      <c r="A6438" s="496"/>
      <c r="D6438" s="496"/>
    </row>
    <row r="6439" spans="1:4" x14ac:dyDescent="0.2">
      <c r="A6439" s="496"/>
      <c r="D6439" s="496"/>
    </row>
    <row r="6440" spans="1:4" x14ac:dyDescent="0.2">
      <c r="A6440" s="496"/>
      <c r="D6440" s="496"/>
    </row>
    <row r="6441" spans="1:4" x14ac:dyDescent="0.2">
      <c r="A6441" s="496"/>
      <c r="D6441" s="496"/>
    </row>
    <row r="6442" spans="1:4" x14ac:dyDescent="0.2">
      <c r="A6442" s="496"/>
      <c r="D6442" s="496"/>
    </row>
    <row r="6443" spans="1:4" x14ac:dyDescent="0.2">
      <c r="A6443" s="496"/>
      <c r="D6443" s="496"/>
    </row>
    <row r="6444" spans="1:4" x14ac:dyDescent="0.2">
      <c r="A6444" s="496"/>
      <c r="D6444" s="496"/>
    </row>
    <row r="6445" spans="1:4" x14ac:dyDescent="0.2">
      <c r="A6445" s="496"/>
      <c r="D6445" s="496"/>
    </row>
    <row r="6446" spans="1:4" x14ac:dyDescent="0.2">
      <c r="A6446" s="496"/>
      <c r="D6446" s="496"/>
    </row>
    <row r="6447" spans="1:4" x14ac:dyDescent="0.2">
      <c r="A6447" s="496"/>
      <c r="D6447" s="496"/>
    </row>
    <row r="6448" spans="1:4" x14ac:dyDescent="0.2">
      <c r="A6448" s="496"/>
      <c r="D6448" s="496"/>
    </row>
    <row r="6449" spans="1:4" x14ac:dyDescent="0.2">
      <c r="A6449" s="496"/>
      <c r="D6449" s="496"/>
    </row>
    <row r="6450" spans="1:4" x14ac:dyDescent="0.2">
      <c r="A6450" s="496"/>
      <c r="D6450" s="496"/>
    </row>
    <row r="6451" spans="1:4" x14ac:dyDescent="0.2">
      <c r="A6451" s="496"/>
      <c r="D6451" s="496"/>
    </row>
    <row r="6452" spans="1:4" x14ac:dyDescent="0.2">
      <c r="A6452" s="496"/>
      <c r="D6452" s="496"/>
    </row>
    <row r="6453" spans="1:4" x14ac:dyDescent="0.2">
      <c r="A6453" s="496"/>
      <c r="D6453" s="496"/>
    </row>
    <row r="6454" spans="1:4" x14ac:dyDescent="0.2">
      <c r="A6454" s="496"/>
      <c r="D6454" s="496"/>
    </row>
    <row r="6455" spans="1:4" x14ac:dyDescent="0.2">
      <c r="A6455" s="496"/>
      <c r="D6455" s="496"/>
    </row>
    <row r="6456" spans="1:4" x14ac:dyDescent="0.2">
      <c r="A6456" s="496"/>
      <c r="D6456" s="496"/>
    </row>
    <row r="6457" spans="1:4" x14ac:dyDescent="0.2">
      <c r="A6457" s="496"/>
      <c r="D6457" s="496"/>
    </row>
    <row r="6458" spans="1:4" x14ac:dyDescent="0.2">
      <c r="A6458" s="496"/>
      <c r="D6458" s="496"/>
    </row>
    <row r="6459" spans="1:4" x14ac:dyDescent="0.2">
      <c r="A6459" s="496"/>
      <c r="D6459" s="496"/>
    </row>
    <row r="6460" spans="1:4" x14ac:dyDescent="0.2">
      <c r="A6460" s="496"/>
      <c r="D6460" s="496"/>
    </row>
    <row r="6461" spans="1:4" x14ac:dyDescent="0.2">
      <c r="A6461" s="496"/>
      <c r="D6461" s="496"/>
    </row>
    <row r="6462" spans="1:4" x14ac:dyDescent="0.2">
      <c r="A6462" s="496"/>
      <c r="D6462" s="496"/>
    </row>
    <row r="6463" spans="1:4" x14ac:dyDescent="0.2">
      <c r="A6463" s="496"/>
      <c r="D6463" s="496"/>
    </row>
    <row r="6464" spans="1:4" x14ac:dyDescent="0.2">
      <c r="A6464" s="496"/>
      <c r="D6464" s="496"/>
    </row>
    <row r="6465" spans="1:4" x14ac:dyDescent="0.2">
      <c r="A6465" s="496"/>
      <c r="D6465" s="496"/>
    </row>
    <row r="6466" spans="1:4" x14ac:dyDescent="0.2">
      <c r="A6466" s="496"/>
      <c r="D6466" s="496"/>
    </row>
    <row r="6467" spans="1:4" x14ac:dyDescent="0.2">
      <c r="A6467" s="496"/>
      <c r="D6467" s="496"/>
    </row>
    <row r="6468" spans="1:4" x14ac:dyDescent="0.2">
      <c r="A6468" s="496"/>
      <c r="D6468" s="496"/>
    </row>
    <row r="6469" spans="1:4" x14ac:dyDescent="0.2">
      <c r="A6469" s="496"/>
      <c r="D6469" s="496"/>
    </row>
    <row r="6470" spans="1:4" x14ac:dyDescent="0.2">
      <c r="A6470" s="496"/>
      <c r="D6470" s="496"/>
    </row>
    <row r="6471" spans="1:4" x14ac:dyDescent="0.2">
      <c r="A6471" s="496"/>
      <c r="D6471" s="496"/>
    </row>
    <row r="6472" spans="1:4" x14ac:dyDescent="0.2">
      <c r="A6472" s="496"/>
      <c r="D6472" s="496"/>
    </row>
    <row r="6473" spans="1:4" x14ac:dyDescent="0.2">
      <c r="A6473" s="496"/>
      <c r="D6473" s="496"/>
    </row>
    <row r="6474" spans="1:4" x14ac:dyDescent="0.2">
      <c r="A6474" s="496"/>
      <c r="D6474" s="496"/>
    </row>
    <row r="6475" spans="1:4" x14ac:dyDescent="0.2">
      <c r="A6475" s="496"/>
      <c r="D6475" s="496"/>
    </row>
    <row r="6476" spans="1:4" x14ac:dyDescent="0.2">
      <c r="A6476" s="496"/>
      <c r="D6476" s="496"/>
    </row>
    <row r="6477" spans="1:4" x14ac:dyDescent="0.2">
      <c r="A6477" s="496"/>
      <c r="D6477" s="496"/>
    </row>
    <row r="6478" spans="1:4" x14ac:dyDescent="0.2">
      <c r="A6478" s="496"/>
      <c r="D6478" s="496"/>
    </row>
    <row r="6479" spans="1:4" x14ac:dyDescent="0.2">
      <c r="A6479" s="496"/>
      <c r="D6479" s="496"/>
    </row>
    <row r="6480" spans="1:4" x14ac:dyDescent="0.2">
      <c r="A6480" s="496"/>
      <c r="D6480" s="496"/>
    </row>
    <row r="6481" spans="1:4" x14ac:dyDescent="0.2">
      <c r="A6481" s="496"/>
      <c r="D6481" s="496"/>
    </row>
    <row r="6482" spans="1:4" x14ac:dyDescent="0.2">
      <c r="A6482" s="496"/>
      <c r="D6482" s="496"/>
    </row>
    <row r="6483" spans="1:4" x14ac:dyDescent="0.2">
      <c r="A6483" s="496"/>
      <c r="D6483" s="496"/>
    </row>
    <row r="6484" spans="1:4" x14ac:dyDescent="0.2">
      <c r="A6484" s="496"/>
      <c r="D6484" s="496"/>
    </row>
    <row r="6485" spans="1:4" x14ac:dyDescent="0.2">
      <c r="A6485" s="496"/>
      <c r="D6485" s="496"/>
    </row>
    <row r="6486" spans="1:4" x14ac:dyDescent="0.2">
      <c r="A6486" s="496"/>
      <c r="D6486" s="496"/>
    </row>
    <row r="6487" spans="1:4" x14ac:dyDescent="0.2">
      <c r="A6487" s="496"/>
      <c r="D6487" s="496"/>
    </row>
    <row r="6488" spans="1:4" x14ac:dyDescent="0.2">
      <c r="A6488" s="496"/>
      <c r="D6488" s="496"/>
    </row>
    <row r="6489" spans="1:4" x14ac:dyDescent="0.2">
      <c r="A6489" s="496"/>
      <c r="D6489" s="496"/>
    </row>
    <row r="6490" spans="1:4" x14ac:dyDescent="0.2">
      <c r="A6490" s="496"/>
      <c r="D6490" s="496"/>
    </row>
    <row r="6491" spans="1:4" x14ac:dyDescent="0.2">
      <c r="A6491" s="496"/>
      <c r="D6491" s="496"/>
    </row>
    <row r="6492" spans="1:4" x14ac:dyDescent="0.2">
      <c r="A6492" s="496"/>
      <c r="D6492" s="496"/>
    </row>
    <row r="6493" spans="1:4" x14ac:dyDescent="0.2">
      <c r="A6493" s="496"/>
      <c r="D6493" s="496"/>
    </row>
    <row r="6494" spans="1:4" x14ac:dyDescent="0.2">
      <c r="A6494" s="496"/>
      <c r="D6494" s="496"/>
    </row>
    <row r="6495" spans="1:4" x14ac:dyDescent="0.2">
      <c r="A6495" s="496"/>
      <c r="D6495" s="496"/>
    </row>
    <row r="6496" spans="1:4" x14ac:dyDescent="0.2">
      <c r="A6496" s="496"/>
      <c r="D6496" s="496"/>
    </row>
    <row r="6497" spans="1:4" x14ac:dyDescent="0.2">
      <c r="A6497" s="496"/>
      <c r="D6497" s="496"/>
    </row>
    <row r="6498" spans="1:4" x14ac:dyDescent="0.2">
      <c r="A6498" s="496"/>
      <c r="D6498" s="496"/>
    </row>
    <row r="6499" spans="1:4" x14ac:dyDescent="0.2">
      <c r="A6499" s="496"/>
      <c r="D6499" s="496"/>
    </row>
    <row r="6500" spans="1:4" x14ac:dyDescent="0.2">
      <c r="A6500" s="496"/>
      <c r="D6500" s="496"/>
    </row>
    <row r="6501" spans="1:4" x14ac:dyDescent="0.2">
      <c r="A6501" s="496"/>
      <c r="D6501" s="496"/>
    </row>
    <row r="6502" spans="1:4" x14ac:dyDescent="0.2">
      <c r="A6502" s="496"/>
      <c r="D6502" s="496"/>
    </row>
    <row r="6503" spans="1:4" x14ac:dyDescent="0.2">
      <c r="A6503" s="496"/>
      <c r="D6503" s="496"/>
    </row>
    <row r="6504" spans="1:4" x14ac:dyDescent="0.2">
      <c r="A6504" s="496"/>
      <c r="D6504" s="496"/>
    </row>
    <row r="6505" spans="1:4" x14ac:dyDescent="0.2">
      <c r="A6505" s="496"/>
      <c r="D6505" s="496"/>
    </row>
    <row r="6506" spans="1:4" x14ac:dyDescent="0.2">
      <c r="A6506" s="496"/>
      <c r="D6506" s="496"/>
    </row>
    <row r="6507" spans="1:4" x14ac:dyDescent="0.2">
      <c r="A6507" s="496"/>
      <c r="D6507" s="496"/>
    </row>
    <row r="6508" spans="1:4" x14ac:dyDescent="0.2">
      <c r="A6508" s="496"/>
      <c r="D6508" s="496"/>
    </row>
    <row r="6509" spans="1:4" x14ac:dyDescent="0.2">
      <c r="A6509" s="496"/>
      <c r="D6509" s="496"/>
    </row>
    <row r="6510" spans="1:4" x14ac:dyDescent="0.2">
      <c r="A6510" s="496"/>
      <c r="D6510" s="496"/>
    </row>
    <row r="6511" spans="1:4" x14ac:dyDescent="0.2">
      <c r="A6511" s="496"/>
      <c r="D6511" s="496"/>
    </row>
    <row r="6512" spans="1:4" x14ac:dyDescent="0.2">
      <c r="A6512" s="496"/>
      <c r="D6512" s="496"/>
    </row>
    <row r="6513" spans="1:4" x14ac:dyDescent="0.2">
      <c r="A6513" s="496"/>
      <c r="D6513" s="496"/>
    </row>
    <row r="6514" spans="1:4" x14ac:dyDescent="0.2">
      <c r="A6514" s="496"/>
      <c r="D6514" s="496"/>
    </row>
    <row r="6515" spans="1:4" x14ac:dyDescent="0.2">
      <c r="A6515" s="496"/>
      <c r="D6515" s="496"/>
    </row>
    <row r="6516" spans="1:4" x14ac:dyDescent="0.2">
      <c r="A6516" s="496"/>
      <c r="D6516" s="496"/>
    </row>
    <row r="6517" spans="1:4" x14ac:dyDescent="0.2">
      <c r="A6517" s="496"/>
      <c r="D6517" s="496"/>
    </row>
    <row r="6518" spans="1:4" x14ac:dyDescent="0.2">
      <c r="A6518" s="496"/>
      <c r="D6518" s="496"/>
    </row>
    <row r="6519" spans="1:4" x14ac:dyDescent="0.2">
      <c r="A6519" s="496"/>
      <c r="D6519" s="496"/>
    </row>
    <row r="6520" spans="1:4" x14ac:dyDescent="0.2">
      <c r="A6520" s="496"/>
      <c r="D6520" s="496"/>
    </row>
    <row r="6521" spans="1:4" x14ac:dyDescent="0.2">
      <c r="A6521" s="496"/>
      <c r="D6521" s="496"/>
    </row>
    <row r="6522" spans="1:4" x14ac:dyDescent="0.2">
      <c r="A6522" s="496"/>
      <c r="D6522" s="496"/>
    </row>
    <row r="6523" spans="1:4" x14ac:dyDescent="0.2">
      <c r="A6523" s="496"/>
      <c r="D6523" s="496"/>
    </row>
    <row r="6524" spans="1:4" x14ac:dyDescent="0.2">
      <c r="A6524" s="496"/>
      <c r="D6524" s="496"/>
    </row>
    <row r="6525" spans="1:4" x14ac:dyDescent="0.2">
      <c r="A6525" s="496"/>
      <c r="D6525" s="496"/>
    </row>
    <row r="6526" spans="1:4" x14ac:dyDescent="0.2">
      <c r="A6526" s="496"/>
      <c r="D6526" s="496"/>
    </row>
    <row r="6527" spans="1:4" x14ac:dyDescent="0.2">
      <c r="A6527" s="496"/>
      <c r="D6527" s="496"/>
    </row>
    <row r="6528" spans="1:4" x14ac:dyDescent="0.2">
      <c r="A6528" s="496"/>
      <c r="D6528" s="496"/>
    </row>
    <row r="6529" spans="1:4" x14ac:dyDescent="0.2">
      <c r="A6529" s="496"/>
      <c r="D6529" s="496"/>
    </row>
    <row r="6530" spans="1:4" x14ac:dyDescent="0.2">
      <c r="A6530" s="496"/>
      <c r="D6530" s="496"/>
    </row>
    <row r="6531" spans="1:4" x14ac:dyDescent="0.2">
      <c r="A6531" s="496"/>
      <c r="D6531" s="496"/>
    </row>
    <row r="6532" spans="1:4" x14ac:dyDescent="0.2">
      <c r="A6532" s="496"/>
      <c r="D6532" s="496"/>
    </row>
    <row r="6533" spans="1:4" x14ac:dyDescent="0.2">
      <c r="A6533" s="496"/>
      <c r="D6533" s="496"/>
    </row>
    <row r="6534" spans="1:4" x14ac:dyDescent="0.2">
      <c r="A6534" s="496"/>
      <c r="D6534" s="496"/>
    </row>
    <row r="6535" spans="1:4" x14ac:dyDescent="0.2">
      <c r="A6535" s="496"/>
      <c r="D6535" s="496"/>
    </row>
    <row r="6536" spans="1:4" x14ac:dyDescent="0.2">
      <c r="A6536" s="496"/>
      <c r="D6536" s="496"/>
    </row>
    <row r="6537" spans="1:4" x14ac:dyDescent="0.2">
      <c r="A6537" s="496"/>
      <c r="D6537" s="496"/>
    </row>
    <row r="6538" spans="1:4" x14ac:dyDescent="0.2">
      <c r="A6538" s="496"/>
      <c r="D6538" s="496"/>
    </row>
    <row r="6539" spans="1:4" x14ac:dyDescent="0.2">
      <c r="A6539" s="496"/>
      <c r="D6539" s="496"/>
    </row>
    <row r="6540" spans="1:4" x14ac:dyDescent="0.2">
      <c r="A6540" s="496"/>
      <c r="D6540" s="496"/>
    </row>
    <row r="6541" spans="1:4" x14ac:dyDescent="0.2">
      <c r="A6541" s="496"/>
      <c r="D6541" s="496"/>
    </row>
    <row r="6542" spans="1:4" x14ac:dyDescent="0.2">
      <c r="A6542" s="496"/>
      <c r="D6542" s="496"/>
    </row>
    <row r="6543" spans="1:4" x14ac:dyDescent="0.2">
      <c r="A6543" s="496"/>
      <c r="D6543" s="496"/>
    </row>
    <row r="6544" spans="1:4" x14ac:dyDescent="0.2">
      <c r="A6544" s="496"/>
      <c r="D6544" s="496"/>
    </row>
    <row r="6545" spans="1:4" x14ac:dyDescent="0.2">
      <c r="A6545" s="496"/>
      <c r="D6545" s="496"/>
    </row>
    <row r="6546" spans="1:4" x14ac:dyDescent="0.2">
      <c r="A6546" s="496"/>
      <c r="D6546" s="496"/>
    </row>
    <row r="6547" spans="1:4" x14ac:dyDescent="0.2">
      <c r="A6547" s="496"/>
      <c r="D6547" s="496"/>
    </row>
    <row r="6548" spans="1:4" x14ac:dyDescent="0.2">
      <c r="A6548" s="496"/>
      <c r="D6548" s="496"/>
    </row>
    <row r="6549" spans="1:4" x14ac:dyDescent="0.2">
      <c r="A6549" s="496"/>
      <c r="D6549" s="496"/>
    </row>
    <row r="6550" spans="1:4" x14ac:dyDescent="0.2">
      <c r="A6550" s="496"/>
      <c r="D6550" s="496"/>
    </row>
    <row r="6551" spans="1:4" x14ac:dyDescent="0.2">
      <c r="A6551" s="496"/>
      <c r="D6551" s="496"/>
    </row>
    <row r="6552" spans="1:4" x14ac:dyDescent="0.2">
      <c r="A6552" s="496"/>
      <c r="D6552" s="496"/>
    </row>
    <row r="6553" spans="1:4" x14ac:dyDescent="0.2">
      <c r="A6553" s="496"/>
      <c r="D6553" s="496"/>
    </row>
    <row r="6554" spans="1:4" x14ac:dyDescent="0.2">
      <c r="A6554" s="496"/>
      <c r="D6554" s="496"/>
    </row>
    <row r="6555" spans="1:4" x14ac:dyDescent="0.2">
      <c r="A6555" s="496"/>
      <c r="D6555" s="496"/>
    </row>
    <row r="6556" spans="1:4" x14ac:dyDescent="0.2">
      <c r="A6556" s="496"/>
      <c r="D6556" s="496"/>
    </row>
    <row r="6557" spans="1:4" x14ac:dyDescent="0.2">
      <c r="A6557" s="496"/>
      <c r="D6557" s="496"/>
    </row>
    <row r="6558" spans="1:4" x14ac:dyDescent="0.2">
      <c r="A6558" s="496"/>
      <c r="D6558" s="496"/>
    </row>
    <row r="6559" spans="1:4" x14ac:dyDescent="0.2">
      <c r="A6559" s="496"/>
      <c r="D6559" s="496"/>
    </row>
    <row r="6560" spans="1:4" x14ac:dyDescent="0.2">
      <c r="A6560" s="496"/>
      <c r="D6560" s="496"/>
    </row>
    <row r="6561" spans="1:4" x14ac:dyDescent="0.2">
      <c r="A6561" s="496"/>
      <c r="D6561" s="496"/>
    </row>
    <row r="6562" spans="1:4" x14ac:dyDescent="0.2">
      <c r="A6562" s="496"/>
      <c r="D6562" s="496"/>
    </row>
    <row r="6563" spans="1:4" x14ac:dyDescent="0.2">
      <c r="A6563" s="496"/>
      <c r="D6563" s="496"/>
    </row>
    <row r="6564" spans="1:4" x14ac:dyDescent="0.2">
      <c r="A6564" s="496"/>
      <c r="D6564" s="496"/>
    </row>
    <row r="6565" spans="1:4" x14ac:dyDescent="0.2">
      <c r="A6565" s="496"/>
      <c r="D6565" s="496"/>
    </row>
    <row r="6566" spans="1:4" x14ac:dyDescent="0.2">
      <c r="A6566" s="496"/>
      <c r="D6566" s="496"/>
    </row>
    <row r="6567" spans="1:4" x14ac:dyDescent="0.2">
      <c r="A6567" s="496"/>
      <c r="D6567" s="496"/>
    </row>
    <row r="6568" spans="1:4" x14ac:dyDescent="0.2">
      <c r="A6568" s="496"/>
      <c r="D6568" s="496"/>
    </row>
    <row r="6569" spans="1:4" x14ac:dyDescent="0.2">
      <c r="A6569" s="496"/>
      <c r="D6569" s="496"/>
    </row>
    <row r="6570" spans="1:4" x14ac:dyDescent="0.2">
      <c r="A6570" s="496"/>
      <c r="D6570" s="496"/>
    </row>
    <row r="6571" spans="1:4" x14ac:dyDescent="0.2">
      <c r="A6571" s="496"/>
      <c r="D6571" s="496"/>
    </row>
    <row r="6572" spans="1:4" x14ac:dyDescent="0.2">
      <c r="A6572" s="496"/>
      <c r="D6572" s="496"/>
    </row>
    <row r="6573" spans="1:4" x14ac:dyDescent="0.2">
      <c r="A6573" s="496"/>
      <c r="D6573" s="496"/>
    </row>
    <row r="6574" spans="1:4" x14ac:dyDescent="0.2">
      <c r="A6574" s="496"/>
      <c r="D6574" s="496"/>
    </row>
    <row r="6575" spans="1:4" x14ac:dyDescent="0.2">
      <c r="A6575" s="496"/>
      <c r="D6575" s="496"/>
    </row>
    <row r="6576" spans="1:4" x14ac:dyDescent="0.2">
      <c r="A6576" s="496"/>
      <c r="D6576" s="496"/>
    </row>
    <row r="6577" spans="1:4" x14ac:dyDescent="0.2">
      <c r="A6577" s="496"/>
      <c r="D6577" s="496"/>
    </row>
    <row r="6578" spans="1:4" x14ac:dyDescent="0.2">
      <c r="A6578" s="496"/>
      <c r="D6578" s="496"/>
    </row>
    <row r="6579" spans="1:4" x14ac:dyDescent="0.2">
      <c r="A6579" s="496"/>
      <c r="D6579" s="496"/>
    </row>
    <row r="6580" spans="1:4" x14ac:dyDescent="0.2">
      <c r="A6580" s="496"/>
      <c r="D6580" s="496"/>
    </row>
    <row r="6581" spans="1:4" x14ac:dyDescent="0.2">
      <c r="A6581" s="496"/>
      <c r="D6581" s="496"/>
    </row>
    <row r="6582" spans="1:4" x14ac:dyDescent="0.2">
      <c r="A6582" s="496"/>
      <c r="D6582" s="496"/>
    </row>
    <row r="6583" spans="1:4" x14ac:dyDescent="0.2">
      <c r="A6583" s="496"/>
      <c r="D6583" s="496"/>
    </row>
    <row r="6584" spans="1:4" x14ac:dyDescent="0.2">
      <c r="A6584" s="496"/>
      <c r="D6584" s="496"/>
    </row>
    <row r="6585" spans="1:4" x14ac:dyDescent="0.2">
      <c r="A6585" s="496"/>
      <c r="D6585" s="496"/>
    </row>
    <row r="6586" spans="1:4" x14ac:dyDescent="0.2">
      <c r="A6586" s="496"/>
      <c r="D6586" s="496"/>
    </row>
    <row r="6587" spans="1:4" x14ac:dyDescent="0.2">
      <c r="A6587" s="496"/>
      <c r="D6587" s="496"/>
    </row>
    <row r="6588" spans="1:4" x14ac:dyDescent="0.2">
      <c r="A6588" s="496"/>
      <c r="D6588" s="496"/>
    </row>
    <row r="6589" spans="1:4" x14ac:dyDescent="0.2">
      <c r="A6589" s="496"/>
      <c r="D6589" s="496"/>
    </row>
    <row r="6590" spans="1:4" x14ac:dyDescent="0.2">
      <c r="A6590" s="496"/>
      <c r="D6590" s="496"/>
    </row>
    <row r="6591" spans="1:4" x14ac:dyDescent="0.2">
      <c r="A6591" s="496"/>
      <c r="D6591" s="496"/>
    </row>
    <row r="6592" spans="1:4" x14ac:dyDescent="0.2">
      <c r="A6592" s="496"/>
      <c r="D6592" s="496"/>
    </row>
    <row r="6593" spans="1:4" x14ac:dyDescent="0.2">
      <c r="A6593" s="496"/>
      <c r="D6593" s="496"/>
    </row>
    <row r="6594" spans="1:4" x14ac:dyDescent="0.2">
      <c r="A6594" s="496"/>
      <c r="D6594" s="496"/>
    </row>
    <row r="6595" spans="1:4" x14ac:dyDescent="0.2">
      <c r="A6595" s="496"/>
      <c r="D6595" s="496"/>
    </row>
    <row r="6596" spans="1:4" x14ac:dyDescent="0.2">
      <c r="A6596" s="496"/>
      <c r="D6596" s="496"/>
    </row>
    <row r="6597" spans="1:4" x14ac:dyDescent="0.2">
      <c r="A6597" s="496"/>
      <c r="D6597" s="496"/>
    </row>
    <row r="6598" spans="1:4" x14ac:dyDescent="0.2">
      <c r="A6598" s="496"/>
      <c r="D6598" s="496"/>
    </row>
    <row r="6599" spans="1:4" x14ac:dyDescent="0.2">
      <c r="A6599" s="496"/>
      <c r="D6599" s="496"/>
    </row>
    <row r="6600" spans="1:4" x14ac:dyDescent="0.2">
      <c r="A6600" s="496"/>
      <c r="D6600" s="496"/>
    </row>
    <row r="6601" spans="1:4" x14ac:dyDescent="0.2">
      <c r="A6601" s="496"/>
      <c r="D6601" s="496"/>
    </row>
    <row r="6602" spans="1:4" x14ac:dyDescent="0.2">
      <c r="A6602" s="496"/>
      <c r="D6602" s="496"/>
    </row>
    <row r="6603" spans="1:4" x14ac:dyDescent="0.2">
      <c r="A6603" s="496"/>
      <c r="D6603" s="496"/>
    </row>
    <row r="6604" spans="1:4" x14ac:dyDescent="0.2">
      <c r="A6604" s="496"/>
      <c r="D6604" s="496"/>
    </row>
    <row r="6605" spans="1:4" x14ac:dyDescent="0.2">
      <c r="A6605" s="496"/>
      <c r="D6605" s="496"/>
    </row>
    <row r="6606" spans="1:4" x14ac:dyDescent="0.2">
      <c r="A6606" s="496"/>
      <c r="D6606" s="496"/>
    </row>
    <row r="6607" spans="1:4" x14ac:dyDescent="0.2">
      <c r="A6607" s="496"/>
      <c r="D6607" s="496"/>
    </row>
    <row r="6608" spans="1:4" x14ac:dyDescent="0.2">
      <c r="A6608" s="496"/>
      <c r="D6608" s="496"/>
    </row>
    <row r="6609" spans="1:4" x14ac:dyDescent="0.2">
      <c r="A6609" s="496"/>
      <c r="D6609" s="496"/>
    </row>
    <row r="6610" spans="1:4" x14ac:dyDescent="0.2">
      <c r="A6610" s="496"/>
      <c r="D6610" s="496"/>
    </row>
    <row r="6611" spans="1:4" x14ac:dyDescent="0.2">
      <c r="A6611" s="496"/>
      <c r="D6611" s="496"/>
    </row>
    <row r="6612" spans="1:4" x14ac:dyDescent="0.2">
      <c r="A6612" s="496"/>
      <c r="D6612" s="496"/>
    </row>
    <row r="6613" spans="1:4" x14ac:dyDescent="0.2">
      <c r="A6613" s="496"/>
      <c r="D6613" s="496"/>
    </row>
    <row r="6614" spans="1:4" x14ac:dyDescent="0.2">
      <c r="A6614" s="496"/>
      <c r="D6614" s="496"/>
    </row>
    <row r="6615" spans="1:4" x14ac:dyDescent="0.2">
      <c r="A6615" s="496"/>
      <c r="D6615" s="496"/>
    </row>
    <row r="6616" spans="1:4" x14ac:dyDescent="0.2">
      <c r="A6616" s="496"/>
      <c r="D6616" s="496"/>
    </row>
    <row r="6617" spans="1:4" x14ac:dyDescent="0.2">
      <c r="A6617" s="496"/>
      <c r="D6617" s="496"/>
    </row>
    <row r="6618" spans="1:4" x14ac:dyDescent="0.2">
      <c r="A6618" s="496"/>
      <c r="D6618" s="496"/>
    </row>
    <row r="6619" spans="1:4" x14ac:dyDescent="0.2">
      <c r="A6619" s="496"/>
      <c r="D6619" s="496"/>
    </row>
    <row r="6620" spans="1:4" x14ac:dyDescent="0.2">
      <c r="A6620" s="496"/>
      <c r="D6620" s="496"/>
    </row>
    <row r="6621" spans="1:4" x14ac:dyDescent="0.2">
      <c r="A6621" s="496"/>
      <c r="D6621" s="496"/>
    </row>
    <row r="6622" spans="1:4" x14ac:dyDescent="0.2">
      <c r="A6622" s="496"/>
      <c r="D6622" s="496"/>
    </row>
    <row r="6623" spans="1:4" x14ac:dyDescent="0.2">
      <c r="A6623" s="496"/>
      <c r="D6623" s="496"/>
    </row>
    <row r="6624" spans="1:4" x14ac:dyDescent="0.2">
      <c r="A6624" s="496"/>
      <c r="D6624" s="496"/>
    </row>
    <row r="6625" spans="1:4" x14ac:dyDescent="0.2">
      <c r="A6625" s="496"/>
      <c r="D6625" s="496"/>
    </row>
    <row r="6626" spans="1:4" x14ac:dyDescent="0.2">
      <c r="A6626" s="496"/>
      <c r="D6626" s="496"/>
    </row>
    <row r="6627" spans="1:4" x14ac:dyDescent="0.2">
      <c r="A6627" s="496"/>
      <c r="D6627" s="496"/>
    </row>
    <row r="6628" spans="1:4" x14ac:dyDescent="0.2">
      <c r="A6628" s="496"/>
      <c r="D6628" s="496"/>
    </row>
    <row r="6629" spans="1:4" x14ac:dyDescent="0.2">
      <c r="A6629" s="496"/>
      <c r="D6629" s="496"/>
    </row>
    <row r="6630" spans="1:4" x14ac:dyDescent="0.2">
      <c r="A6630" s="496"/>
      <c r="D6630" s="496"/>
    </row>
    <row r="6631" spans="1:4" x14ac:dyDescent="0.2">
      <c r="A6631" s="496"/>
      <c r="D6631" s="496"/>
    </row>
    <row r="6632" spans="1:4" x14ac:dyDescent="0.2">
      <c r="A6632" s="496"/>
      <c r="D6632" s="496"/>
    </row>
    <row r="6633" spans="1:4" x14ac:dyDescent="0.2">
      <c r="A6633" s="496"/>
      <c r="D6633" s="496"/>
    </row>
    <row r="6634" spans="1:4" x14ac:dyDescent="0.2">
      <c r="A6634" s="496"/>
      <c r="D6634" s="496"/>
    </row>
    <row r="6635" spans="1:4" x14ac:dyDescent="0.2">
      <c r="A6635" s="496"/>
      <c r="D6635" s="496"/>
    </row>
    <row r="6636" spans="1:4" x14ac:dyDescent="0.2">
      <c r="A6636" s="496"/>
      <c r="D6636" s="496"/>
    </row>
    <row r="6637" spans="1:4" x14ac:dyDescent="0.2">
      <c r="A6637" s="496"/>
      <c r="D6637" s="496"/>
    </row>
    <row r="6638" spans="1:4" x14ac:dyDescent="0.2">
      <c r="A6638" s="496"/>
      <c r="D6638" s="496"/>
    </row>
    <row r="6639" spans="1:4" x14ac:dyDescent="0.2">
      <c r="A6639" s="496"/>
      <c r="D6639" s="496"/>
    </row>
    <row r="6640" spans="1:4" x14ac:dyDescent="0.2">
      <c r="A6640" s="496"/>
      <c r="D6640" s="496"/>
    </row>
    <row r="6641" spans="1:4" x14ac:dyDescent="0.2">
      <c r="A6641" s="496"/>
      <c r="D6641" s="496"/>
    </row>
    <row r="6642" spans="1:4" x14ac:dyDescent="0.2">
      <c r="A6642" s="496"/>
      <c r="D6642" s="496"/>
    </row>
    <row r="6643" spans="1:4" x14ac:dyDescent="0.2">
      <c r="A6643" s="496"/>
      <c r="D6643" s="496"/>
    </row>
    <row r="6644" spans="1:4" x14ac:dyDescent="0.2">
      <c r="A6644" s="496"/>
      <c r="D6644" s="496"/>
    </row>
    <row r="6645" spans="1:4" x14ac:dyDescent="0.2">
      <c r="A6645" s="496"/>
      <c r="D6645" s="496"/>
    </row>
    <row r="6646" spans="1:4" x14ac:dyDescent="0.2">
      <c r="A6646" s="496"/>
      <c r="D6646" s="496"/>
    </row>
    <row r="6647" spans="1:4" x14ac:dyDescent="0.2">
      <c r="A6647" s="496"/>
      <c r="D6647" s="496"/>
    </row>
    <row r="6648" spans="1:4" x14ac:dyDescent="0.2">
      <c r="A6648" s="496"/>
      <c r="D6648" s="496"/>
    </row>
    <row r="6649" spans="1:4" x14ac:dyDescent="0.2">
      <c r="A6649" s="496"/>
      <c r="D6649" s="496"/>
    </row>
    <row r="6650" spans="1:4" x14ac:dyDescent="0.2">
      <c r="A6650" s="496"/>
      <c r="D6650" s="496"/>
    </row>
    <row r="6651" spans="1:4" x14ac:dyDescent="0.2">
      <c r="A6651" s="496"/>
      <c r="D6651" s="496"/>
    </row>
    <row r="6652" spans="1:4" x14ac:dyDescent="0.2">
      <c r="A6652" s="496"/>
      <c r="D6652" s="496"/>
    </row>
    <row r="6653" spans="1:4" x14ac:dyDescent="0.2">
      <c r="A6653" s="496"/>
      <c r="D6653" s="496"/>
    </row>
    <row r="6654" spans="1:4" x14ac:dyDescent="0.2">
      <c r="A6654" s="496"/>
      <c r="D6654" s="496"/>
    </row>
    <row r="6655" spans="1:4" x14ac:dyDescent="0.2">
      <c r="A6655" s="496"/>
      <c r="D6655" s="496"/>
    </row>
    <row r="6656" spans="1:4" x14ac:dyDescent="0.2">
      <c r="A6656" s="496"/>
      <c r="D6656" s="496"/>
    </row>
    <row r="6657" spans="1:4" x14ac:dyDescent="0.2">
      <c r="A6657" s="496"/>
      <c r="D6657" s="496"/>
    </row>
    <row r="6658" spans="1:4" x14ac:dyDescent="0.2">
      <c r="A6658" s="496"/>
      <c r="D6658" s="496"/>
    </row>
    <row r="6659" spans="1:4" x14ac:dyDescent="0.2">
      <c r="A6659" s="496"/>
      <c r="D6659" s="496"/>
    </row>
    <row r="6660" spans="1:4" x14ac:dyDescent="0.2">
      <c r="A6660" s="496"/>
      <c r="D6660" s="496"/>
    </row>
    <row r="6661" spans="1:4" x14ac:dyDescent="0.2">
      <c r="A6661" s="496"/>
      <c r="D6661" s="496"/>
    </row>
    <row r="6662" spans="1:4" x14ac:dyDescent="0.2">
      <c r="A6662" s="496"/>
      <c r="D6662" s="496"/>
    </row>
    <row r="6663" spans="1:4" x14ac:dyDescent="0.2">
      <c r="A6663" s="496"/>
      <c r="D6663" s="496"/>
    </row>
    <row r="6664" spans="1:4" x14ac:dyDescent="0.2">
      <c r="A6664" s="496"/>
      <c r="D6664" s="496"/>
    </row>
    <row r="6665" spans="1:4" x14ac:dyDescent="0.2">
      <c r="A6665" s="496"/>
      <c r="D6665" s="496"/>
    </row>
    <row r="6666" spans="1:4" x14ac:dyDescent="0.2">
      <c r="A6666" s="496"/>
      <c r="D6666" s="496"/>
    </row>
    <row r="6667" spans="1:4" x14ac:dyDescent="0.2">
      <c r="A6667" s="496"/>
      <c r="D6667" s="496"/>
    </row>
    <row r="6668" spans="1:4" x14ac:dyDescent="0.2">
      <c r="A6668" s="496"/>
      <c r="D6668" s="496"/>
    </row>
    <row r="6669" spans="1:4" x14ac:dyDescent="0.2">
      <c r="A6669" s="496"/>
      <c r="D6669" s="496"/>
    </row>
    <row r="6670" spans="1:4" x14ac:dyDescent="0.2">
      <c r="A6670" s="496"/>
      <c r="D6670" s="496"/>
    </row>
    <row r="6671" spans="1:4" x14ac:dyDescent="0.2">
      <c r="A6671" s="496"/>
      <c r="D6671" s="496"/>
    </row>
    <row r="6672" spans="1:4" x14ac:dyDescent="0.2">
      <c r="A6672" s="496"/>
      <c r="D6672" s="496"/>
    </row>
    <row r="6673" spans="1:4" x14ac:dyDescent="0.2">
      <c r="A6673" s="496"/>
      <c r="D6673" s="496"/>
    </row>
    <row r="6674" spans="1:4" x14ac:dyDescent="0.2">
      <c r="A6674" s="496"/>
      <c r="D6674" s="496"/>
    </row>
    <row r="6675" spans="1:4" x14ac:dyDescent="0.2">
      <c r="A6675" s="496"/>
      <c r="D6675" s="496"/>
    </row>
    <row r="6676" spans="1:4" x14ac:dyDescent="0.2">
      <c r="A6676" s="496"/>
      <c r="D6676" s="496"/>
    </row>
    <row r="6677" spans="1:4" x14ac:dyDescent="0.2">
      <c r="A6677" s="496"/>
      <c r="D6677" s="496"/>
    </row>
    <row r="6678" spans="1:4" x14ac:dyDescent="0.2">
      <c r="A6678" s="496"/>
      <c r="D6678" s="496"/>
    </row>
    <row r="6679" spans="1:4" x14ac:dyDescent="0.2">
      <c r="A6679" s="496"/>
      <c r="D6679" s="496"/>
    </row>
    <row r="6680" spans="1:4" x14ac:dyDescent="0.2">
      <c r="A6680" s="496"/>
      <c r="D6680" s="496"/>
    </row>
    <row r="6681" spans="1:4" x14ac:dyDescent="0.2">
      <c r="A6681" s="496"/>
      <c r="D6681" s="496"/>
    </row>
    <row r="6682" spans="1:4" x14ac:dyDescent="0.2">
      <c r="A6682" s="496"/>
      <c r="D6682" s="496"/>
    </row>
    <row r="6683" spans="1:4" x14ac:dyDescent="0.2">
      <c r="A6683" s="496"/>
      <c r="D6683" s="496"/>
    </row>
    <row r="6684" spans="1:4" x14ac:dyDescent="0.2">
      <c r="A6684" s="496"/>
      <c r="D6684" s="496"/>
    </row>
    <row r="6685" spans="1:4" x14ac:dyDescent="0.2">
      <c r="A6685" s="496"/>
      <c r="D6685" s="496"/>
    </row>
    <row r="6686" spans="1:4" x14ac:dyDescent="0.2">
      <c r="A6686" s="496"/>
      <c r="D6686" s="496"/>
    </row>
    <row r="6687" spans="1:4" x14ac:dyDescent="0.2">
      <c r="A6687" s="496"/>
      <c r="D6687" s="496"/>
    </row>
    <row r="6688" spans="1:4" x14ac:dyDescent="0.2">
      <c r="A6688" s="496"/>
      <c r="D6688" s="496"/>
    </row>
    <row r="6689" spans="1:4" x14ac:dyDescent="0.2">
      <c r="A6689" s="496"/>
      <c r="D6689" s="496"/>
    </row>
    <row r="6690" spans="1:4" x14ac:dyDescent="0.2">
      <c r="A6690" s="496"/>
      <c r="D6690" s="496"/>
    </row>
    <row r="6691" spans="1:4" x14ac:dyDescent="0.2">
      <c r="A6691" s="496"/>
      <c r="D6691" s="496"/>
    </row>
    <row r="6692" spans="1:4" x14ac:dyDescent="0.2">
      <c r="A6692" s="496"/>
      <c r="D6692" s="496"/>
    </row>
    <row r="6693" spans="1:4" x14ac:dyDescent="0.2">
      <c r="A6693" s="496"/>
      <c r="D6693" s="496"/>
    </row>
    <row r="6694" spans="1:4" x14ac:dyDescent="0.2">
      <c r="A6694" s="496"/>
      <c r="D6694" s="496"/>
    </row>
    <row r="6695" spans="1:4" x14ac:dyDescent="0.2">
      <c r="A6695" s="496"/>
      <c r="D6695" s="496"/>
    </row>
    <row r="6696" spans="1:4" x14ac:dyDescent="0.2">
      <c r="A6696" s="496"/>
      <c r="D6696" s="496"/>
    </row>
    <row r="6697" spans="1:4" x14ac:dyDescent="0.2">
      <c r="A6697" s="496"/>
      <c r="D6697" s="496"/>
    </row>
    <row r="6698" spans="1:4" x14ac:dyDescent="0.2">
      <c r="A6698" s="496"/>
      <c r="D6698" s="496"/>
    </row>
    <row r="6699" spans="1:4" x14ac:dyDescent="0.2">
      <c r="A6699" s="496"/>
      <c r="D6699" s="496"/>
    </row>
    <row r="6700" spans="1:4" x14ac:dyDescent="0.2">
      <c r="A6700" s="496"/>
      <c r="D6700" s="496"/>
    </row>
    <row r="6701" spans="1:4" x14ac:dyDescent="0.2">
      <c r="A6701" s="496"/>
      <c r="D6701" s="496"/>
    </row>
    <row r="6702" spans="1:4" x14ac:dyDescent="0.2">
      <c r="A6702" s="496"/>
      <c r="D6702" s="496"/>
    </row>
    <row r="6703" spans="1:4" x14ac:dyDescent="0.2">
      <c r="A6703" s="496"/>
      <c r="D6703" s="496"/>
    </row>
    <row r="6704" spans="1:4" x14ac:dyDescent="0.2">
      <c r="A6704" s="496"/>
      <c r="D6704" s="496"/>
    </row>
    <row r="6705" spans="1:4" x14ac:dyDescent="0.2">
      <c r="A6705" s="496"/>
      <c r="D6705" s="496"/>
    </row>
    <row r="6706" spans="1:4" x14ac:dyDescent="0.2">
      <c r="A6706" s="496"/>
      <c r="D6706" s="496"/>
    </row>
    <row r="6707" spans="1:4" x14ac:dyDescent="0.2">
      <c r="A6707" s="496"/>
      <c r="D6707" s="496"/>
    </row>
    <row r="6708" spans="1:4" x14ac:dyDescent="0.2">
      <c r="A6708" s="496"/>
      <c r="D6708" s="496"/>
    </row>
    <row r="6709" spans="1:4" x14ac:dyDescent="0.2">
      <c r="A6709" s="496"/>
      <c r="D6709" s="496"/>
    </row>
    <row r="6710" spans="1:4" x14ac:dyDescent="0.2">
      <c r="A6710" s="496"/>
      <c r="D6710" s="496"/>
    </row>
    <row r="6711" spans="1:4" x14ac:dyDescent="0.2">
      <c r="A6711" s="496"/>
      <c r="D6711" s="496"/>
    </row>
    <row r="6712" spans="1:4" x14ac:dyDescent="0.2">
      <c r="A6712" s="496"/>
      <c r="D6712" s="496"/>
    </row>
    <row r="6713" spans="1:4" x14ac:dyDescent="0.2">
      <c r="A6713" s="496"/>
      <c r="D6713" s="496"/>
    </row>
    <row r="6714" spans="1:4" x14ac:dyDescent="0.2">
      <c r="A6714" s="496"/>
      <c r="D6714" s="496"/>
    </row>
    <row r="6715" spans="1:4" x14ac:dyDescent="0.2">
      <c r="A6715" s="496"/>
      <c r="D6715" s="496"/>
    </row>
    <row r="6716" spans="1:4" x14ac:dyDescent="0.2">
      <c r="A6716" s="496"/>
      <c r="D6716" s="496"/>
    </row>
    <row r="6717" spans="1:4" x14ac:dyDescent="0.2">
      <c r="A6717" s="496"/>
      <c r="D6717" s="496"/>
    </row>
    <row r="6718" spans="1:4" x14ac:dyDescent="0.2">
      <c r="A6718" s="496"/>
      <c r="D6718" s="496"/>
    </row>
    <row r="6719" spans="1:4" x14ac:dyDescent="0.2">
      <c r="A6719" s="496"/>
      <c r="D6719" s="496"/>
    </row>
    <row r="6720" spans="1:4" x14ac:dyDescent="0.2">
      <c r="A6720" s="496"/>
      <c r="D6720" s="496"/>
    </row>
    <row r="6721" spans="1:4" x14ac:dyDescent="0.2">
      <c r="A6721" s="496"/>
      <c r="D6721" s="496"/>
    </row>
    <row r="6722" spans="1:4" x14ac:dyDescent="0.2">
      <c r="A6722" s="496"/>
      <c r="D6722" s="496"/>
    </row>
    <row r="6723" spans="1:4" x14ac:dyDescent="0.2">
      <c r="A6723" s="496"/>
      <c r="D6723" s="496"/>
    </row>
    <row r="6724" spans="1:4" x14ac:dyDescent="0.2">
      <c r="A6724" s="496"/>
      <c r="D6724" s="496"/>
    </row>
    <row r="6725" spans="1:4" x14ac:dyDescent="0.2">
      <c r="A6725" s="496"/>
      <c r="D6725" s="496"/>
    </row>
    <row r="6726" spans="1:4" x14ac:dyDescent="0.2">
      <c r="A6726" s="496"/>
      <c r="D6726" s="496"/>
    </row>
    <row r="6727" spans="1:4" x14ac:dyDescent="0.2">
      <c r="A6727" s="496"/>
      <c r="D6727" s="496"/>
    </row>
    <row r="6728" spans="1:4" x14ac:dyDescent="0.2">
      <c r="A6728" s="496"/>
      <c r="D6728" s="496"/>
    </row>
    <row r="6729" spans="1:4" x14ac:dyDescent="0.2">
      <c r="A6729" s="496"/>
      <c r="D6729" s="496"/>
    </row>
    <row r="6730" spans="1:4" x14ac:dyDescent="0.2">
      <c r="A6730" s="496"/>
      <c r="D6730" s="496"/>
    </row>
    <row r="6731" spans="1:4" x14ac:dyDescent="0.2">
      <c r="A6731" s="496"/>
      <c r="D6731" s="496"/>
    </row>
    <row r="6732" spans="1:4" x14ac:dyDescent="0.2">
      <c r="A6732" s="496"/>
      <c r="D6732" s="496"/>
    </row>
    <row r="6733" spans="1:4" x14ac:dyDescent="0.2">
      <c r="A6733" s="496"/>
      <c r="D6733" s="496"/>
    </row>
    <row r="6734" spans="1:4" x14ac:dyDescent="0.2">
      <c r="A6734" s="496"/>
      <c r="D6734" s="496"/>
    </row>
    <row r="6735" spans="1:4" x14ac:dyDescent="0.2">
      <c r="A6735" s="496"/>
      <c r="D6735" s="496"/>
    </row>
    <row r="6736" spans="1:4" x14ac:dyDescent="0.2">
      <c r="A6736" s="496"/>
      <c r="D6736" s="496"/>
    </row>
    <row r="6737" spans="1:4" x14ac:dyDescent="0.2">
      <c r="A6737" s="496"/>
      <c r="D6737" s="496"/>
    </row>
    <row r="6738" spans="1:4" x14ac:dyDescent="0.2">
      <c r="A6738" s="496"/>
      <c r="D6738" s="496"/>
    </row>
    <row r="6739" spans="1:4" x14ac:dyDescent="0.2">
      <c r="A6739" s="496"/>
      <c r="D6739" s="496"/>
    </row>
    <row r="6740" spans="1:4" x14ac:dyDescent="0.2">
      <c r="A6740" s="496"/>
      <c r="D6740" s="496"/>
    </row>
    <row r="6741" spans="1:4" x14ac:dyDescent="0.2">
      <c r="A6741" s="496"/>
      <c r="D6741" s="496"/>
    </row>
    <row r="6742" spans="1:4" x14ac:dyDescent="0.2">
      <c r="A6742" s="496"/>
      <c r="D6742" s="496"/>
    </row>
    <row r="6743" spans="1:4" x14ac:dyDescent="0.2">
      <c r="A6743" s="496"/>
      <c r="D6743" s="496"/>
    </row>
    <row r="6744" spans="1:4" x14ac:dyDescent="0.2">
      <c r="A6744" s="496"/>
      <c r="D6744" s="496"/>
    </row>
    <row r="6745" spans="1:4" x14ac:dyDescent="0.2">
      <c r="A6745" s="496"/>
      <c r="D6745" s="496"/>
    </row>
    <row r="6746" spans="1:4" x14ac:dyDescent="0.2">
      <c r="A6746" s="496"/>
      <c r="D6746" s="496"/>
    </row>
    <row r="6747" spans="1:4" x14ac:dyDescent="0.2">
      <c r="A6747" s="496"/>
      <c r="D6747" s="496"/>
    </row>
    <row r="6748" spans="1:4" x14ac:dyDescent="0.2">
      <c r="A6748" s="496"/>
      <c r="D6748" s="496"/>
    </row>
    <row r="6749" spans="1:4" x14ac:dyDescent="0.2">
      <c r="A6749" s="496"/>
      <c r="D6749" s="496"/>
    </row>
    <row r="6750" spans="1:4" x14ac:dyDescent="0.2">
      <c r="A6750" s="496"/>
      <c r="D6750" s="496"/>
    </row>
    <row r="6751" spans="1:4" x14ac:dyDescent="0.2">
      <c r="A6751" s="496"/>
      <c r="D6751" s="496"/>
    </row>
    <row r="6752" spans="1:4" x14ac:dyDescent="0.2">
      <c r="A6752" s="496"/>
      <c r="D6752" s="496"/>
    </row>
    <row r="6753" spans="1:4" x14ac:dyDescent="0.2">
      <c r="A6753" s="496"/>
      <c r="D6753" s="496"/>
    </row>
    <row r="6754" spans="1:4" x14ac:dyDescent="0.2">
      <c r="A6754" s="496"/>
      <c r="D6754" s="496"/>
    </row>
    <row r="6755" spans="1:4" x14ac:dyDescent="0.2">
      <c r="A6755" s="496"/>
      <c r="D6755" s="496"/>
    </row>
    <row r="6756" spans="1:4" x14ac:dyDescent="0.2">
      <c r="A6756" s="496"/>
      <c r="D6756" s="496"/>
    </row>
    <row r="6757" spans="1:4" x14ac:dyDescent="0.2">
      <c r="A6757" s="496"/>
      <c r="D6757" s="496"/>
    </row>
    <row r="6758" spans="1:4" x14ac:dyDescent="0.2">
      <c r="A6758" s="496"/>
      <c r="D6758" s="496"/>
    </row>
    <row r="6759" spans="1:4" x14ac:dyDescent="0.2">
      <c r="A6759" s="496"/>
      <c r="D6759" s="496"/>
    </row>
    <row r="6760" spans="1:4" x14ac:dyDescent="0.2">
      <c r="A6760" s="496"/>
      <c r="D6760" s="496"/>
    </row>
    <row r="6761" spans="1:4" x14ac:dyDescent="0.2">
      <c r="A6761" s="496"/>
      <c r="D6761" s="496"/>
    </row>
    <row r="6762" spans="1:4" x14ac:dyDescent="0.2">
      <c r="A6762" s="496"/>
      <c r="D6762" s="496"/>
    </row>
    <row r="6763" spans="1:4" x14ac:dyDescent="0.2">
      <c r="A6763" s="496"/>
      <c r="D6763" s="496"/>
    </row>
    <row r="6764" spans="1:4" x14ac:dyDescent="0.2">
      <c r="A6764" s="496"/>
      <c r="D6764" s="496"/>
    </row>
    <row r="6765" spans="1:4" x14ac:dyDescent="0.2">
      <c r="A6765" s="496"/>
      <c r="D6765" s="496"/>
    </row>
    <row r="6766" spans="1:4" x14ac:dyDescent="0.2">
      <c r="A6766" s="496"/>
      <c r="D6766" s="496"/>
    </row>
    <row r="6767" spans="1:4" x14ac:dyDescent="0.2">
      <c r="A6767" s="496"/>
      <c r="D6767" s="496"/>
    </row>
    <row r="6768" spans="1:4" x14ac:dyDescent="0.2">
      <c r="A6768" s="496"/>
      <c r="D6768" s="496"/>
    </row>
    <row r="6769" spans="1:4" x14ac:dyDescent="0.2">
      <c r="A6769" s="496"/>
      <c r="D6769" s="496"/>
    </row>
    <row r="6770" spans="1:4" x14ac:dyDescent="0.2">
      <c r="A6770" s="496"/>
      <c r="D6770" s="496"/>
    </row>
    <row r="6771" spans="1:4" x14ac:dyDescent="0.2">
      <c r="A6771" s="496"/>
      <c r="D6771" s="496"/>
    </row>
    <row r="6772" spans="1:4" x14ac:dyDescent="0.2">
      <c r="A6772" s="496"/>
      <c r="D6772" s="496"/>
    </row>
    <row r="6773" spans="1:4" x14ac:dyDescent="0.2">
      <c r="A6773" s="496"/>
      <c r="D6773" s="496"/>
    </row>
    <row r="6774" spans="1:4" x14ac:dyDescent="0.2">
      <c r="A6774" s="496"/>
      <c r="D6774" s="496"/>
    </row>
    <row r="6775" spans="1:4" x14ac:dyDescent="0.2">
      <c r="A6775" s="496"/>
      <c r="D6775" s="496"/>
    </row>
    <row r="6776" spans="1:4" x14ac:dyDescent="0.2">
      <c r="A6776" s="496"/>
      <c r="D6776" s="496"/>
    </row>
    <row r="6777" spans="1:4" x14ac:dyDescent="0.2">
      <c r="A6777" s="496"/>
      <c r="D6777" s="496"/>
    </row>
    <row r="6778" spans="1:4" x14ac:dyDescent="0.2">
      <c r="A6778" s="496"/>
      <c r="D6778" s="496"/>
    </row>
    <row r="6779" spans="1:4" x14ac:dyDescent="0.2">
      <c r="A6779" s="496"/>
      <c r="D6779" s="496"/>
    </row>
    <row r="6780" spans="1:4" x14ac:dyDescent="0.2">
      <c r="A6780" s="496"/>
      <c r="D6780" s="496"/>
    </row>
    <row r="6781" spans="1:4" x14ac:dyDescent="0.2">
      <c r="A6781" s="496"/>
      <c r="D6781" s="496"/>
    </row>
    <row r="6782" spans="1:4" x14ac:dyDescent="0.2">
      <c r="A6782" s="496"/>
      <c r="D6782" s="496"/>
    </row>
    <row r="6783" spans="1:4" x14ac:dyDescent="0.2">
      <c r="A6783" s="496"/>
      <c r="D6783" s="496"/>
    </row>
    <row r="6784" spans="1:4" x14ac:dyDescent="0.2">
      <c r="A6784" s="496"/>
      <c r="D6784" s="496"/>
    </row>
    <row r="6785" spans="1:4" x14ac:dyDescent="0.2">
      <c r="A6785" s="496"/>
      <c r="D6785" s="496"/>
    </row>
    <row r="6786" spans="1:4" x14ac:dyDescent="0.2">
      <c r="A6786" s="496"/>
      <c r="D6786" s="496"/>
    </row>
    <row r="6787" spans="1:4" x14ac:dyDescent="0.2">
      <c r="A6787" s="496"/>
      <c r="D6787" s="496"/>
    </row>
    <row r="6788" spans="1:4" x14ac:dyDescent="0.2">
      <c r="A6788" s="496"/>
      <c r="D6788" s="496"/>
    </row>
    <row r="6789" spans="1:4" x14ac:dyDescent="0.2">
      <c r="A6789" s="496"/>
      <c r="D6789" s="496"/>
    </row>
    <row r="6790" spans="1:4" x14ac:dyDescent="0.2">
      <c r="A6790" s="496"/>
      <c r="D6790" s="496"/>
    </row>
    <row r="6791" spans="1:4" x14ac:dyDescent="0.2">
      <c r="A6791" s="496"/>
      <c r="D6791" s="496"/>
    </row>
    <row r="6792" spans="1:4" x14ac:dyDescent="0.2">
      <c r="A6792" s="496"/>
      <c r="D6792" s="496"/>
    </row>
    <row r="6793" spans="1:4" x14ac:dyDescent="0.2">
      <c r="A6793" s="496"/>
      <c r="D6793" s="496"/>
    </row>
    <row r="6794" spans="1:4" x14ac:dyDescent="0.2">
      <c r="A6794" s="496"/>
      <c r="D6794" s="496"/>
    </row>
    <row r="6795" spans="1:4" x14ac:dyDescent="0.2">
      <c r="A6795" s="496"/>
      <c r="D6795" s="496"/>
    </row>
    <row r="6796" spans="1:4" x14ac:dyDescent="0.2">
      <c r="A6796" s="496"/>
      <c r="D6796" s="496"/>
    </row>
    <row r="6797" spans="1:4" x14ac:dyDescent="0.2">
      <c r="A6797" s="496"/>
      <c r="D6797" s="496"/>
    </row>
    <row r="6798" spans="1:4" x14ac:dyDescent="0.2">
      <c r="A6798" s="496"/>
      <c r="D6798" s="496"/>
    </row>
    <row r="6799" spans="1:4" x14ac:dyDescent="0.2">
      <c r="A6799" s="496"/>
      <c r="D6799" s="496"/>
    </row>
    <row r="6800" spans="1:4" x14ac:dyDescent="0.2">
      <c r="A6800" s="496"/>
      <c r="D6800" s="496"/>
    </row>
    <row r="6801" spans="1:4" x14ac:dyDescent="0.2">
      <c r="A6801" s="496"/>
      <c r="D6801" s="496"/>
    </row>
    <row r="6802" spans="1:4" x14ac:dyDescent="0.2">
      <c r="A6802" s="496"/>
      <c r="D6802" s="496"/>
    </row>
    <row r="6803" spans="1:4" x14ac:dyDescent="0.2">
      <c r="A6803" s="496"/>
      <c r="D6803" s="496"/>
    </row>
    <row r="6804" spans="1:4" x14ac:dyDescent="0.2">
      <c r="A6804" s="496"/>
      <c r="D6804" s="496"/>
    </row>
    <row r="6805" spans="1:4" x14ac:dyDescent="0.2">
      <c r="A6805" s="496"/>
      <c r="D6805" s="496"/>
    </row>
    <row r="6806" spans="1:4" x14ac:dyDescent="0.2">
      <c r="A6806" s="496"/>
      <c r="D6806" s="496"/>
    </row>
    <row r="6807" spans="1:4" x14ac:dyDescent="0.2">
      <c r="A6807" s="496"/>
      <c r="D6807" s="496"/>
    </row>
    <row r="6808" spans="1:4" x14ac:dyDescent="0.2">
      <c r="A6808" s="496"/>
      <c r="D6808" s="496"/>
    </row>
    <row r="6809" spans="1:4" x14ac:dyDescent="0.2">
      <c r="A6809" s="496"/>
      <c r="D6809" s="496"/>
    </row>
    <row r="6810" spans="1:4" x14ac:dyDescent="0.2">
      <c r="A6810" s="496"/>
      <c r="D6810" s="496"/>
    </row>
    <row r="6811" spans="1:4" x14ac:dyDescent="0.2">
      <c r="A6811" s="496"/>
      <c r="D6811" s="496"/>
    </row>
    <row r="6812" spans="1:4" x14ac:dyDescent="0.2">
      <c r="A6812" s="496"/>
      <c r="D6812" s="496"/>
    </row>
    <row r="6813" spans="1:4" x14ac:dyDescent="0.2">
      <c r="A6813" s="496"/>
      <c r="D6813" s="496"/>
    </row>
    <row r="6814" spans="1:4" x14ac:dyDescent="0.2">
      <c r="A6814" s="496"/>
      <c r="D6814" s="496"/>
    </row>
    <row r="6815" spans="1:4" x14ac:dyDescent="0.2">
      <c r="A6815" s="496"/>
      <c r="D6815" s="496"/>
    </row>
    <row r="6816" spans="1:4" x14ac:dyDescent="0.2">
      <c r="A6816" s="496"/>
      <c r="D6816" s="496"/>
    </row>
    <row r="6817" spans="1:4" x14ac:dyDescent="0.2">
      <c r="A6817" s="496"/>
      <c r="D6817" s="496"/>
    </row>
    <row r="6818" spans="1:4" x14ac:dyDescent="0.2">
      <c r="A6818" s="496"/>
      <c r="D6818" s="496"/>
    </row>
    <row r="6819" spans="1:4" x14ac:dyDescent="0.2">
      <c r="A6819" s="496"/>
      <c r="D6819" s="496"/>
    </row>
    <row r="6820" spans="1:4" x14ac:dyDescent="0.2">
      <c r="A6820" s="496"/>
      <c r="D6820" s="496"/>
    </row>
    <row r="6821" spans="1:4" x14ac:dyDescent="0.2">
      <c r="A6821" s="496"/>
      <c r="D6821" s="496"/>
    </row>
    <row r="6822" spans="1:4" x14ac:dyDescent="0.2">
      <c r="A6822" s="496"/>
      <c r="D6822" s="496"/>
    </row>
    <row r="6823" spans="1:4" x14ac:dyDescent="0.2">
      <c r="A6823" s="496"/>
      <c r="D6823" s="496"/>
    </row>
    <row r="6824" spans="1:4" x14ac:dyDescent="0.2">
      <c r="A6824" s="496"/>
      <c r="D6824" s="496"/>
    </row>
    <row r="6825" spans="1:4" x14ac:dyDescent="0.2">
      <c r="A6825" s="496"/>
      <c r="D6825" s="496"/>
    </row>
    <row r="6826" spans="1:4" x14ac:dyDescent="0.2">
      <c r="A6826" s="496"/>
      <c r="D6826" s="496"/>
    </row>
    <row r="6827" spans="1:4" x14ac:dyDescent="0.2">
      <c r="A6827" s="496"/>
      <c r="D6827" s="496"/>
    </row>
    <row r="6828" spans="1:4" x14ac:dyDescent="0.2">
      <c r="A6828" s="496"/>
      <c r="D6828" s="496"/>
    </row>
    <row r="6829" spans="1:4" x14ac:dyDescent="0.2">
      <c r="A6829" s="496"/>
      <c r="D6829" s="496"/>
    </row>
    <row r="6830" spans="1:4" x14ac:dyDescent="0.2">
      <c r="A6830" s="496"/>
      <c r="D6830" s="496"/>
    </row>
    <row r="6831" spans="1:4" x14ac:dyDescent="0.2">
      <c r="A6831" s="496"/>
      <c r="D6831" s="496"/>
    </row>
    <row r="6832" spans="1:4" x14ac:dyDescent="0.2">
      <c r="A6832" s="496"/>
      <c r="D6832" s="496"/>
    </row>
    <row r="6833" spans="1:4" x14ac:dyDescent="0.2">
      <c r="A6833" s="496"/>
      <c r="D6833" s="496"/>
    </row>
    <row r="6834" spans="1:4" x14ac:dyDescent="0.2">
      <c r="A6834" s="496"/>
      <c r="D6834" s="496"/>
    </row>
    <row r="6835" spans="1:4" x14ac:dyDescent="0.2">
      <c r="A6835" s="496"/>
      <c r="D6835" s="496"/>
    </row>
    <row r="6836" spans="1:4" x14ac:dyDescent="0.2">
      <c r="A6836" s="496"/>
      <c r="D6836" s="496"/>
    </row>
    <row r="6837" spans="1:4" x14ac:dyDescent="0.2">
      <c r="A6837" s="496"/>
      <c r="D6837" s="496"/>
    </row>
    <row r="6838" spans="1:4" x14ac:dyDescent="0.2">
      <c r="A6838" s="496"/>
      <c r="D6838" s="496"/>
    </row>
    <row r="6839" spans="1:4" x14ac:dyDescent="0.2">
      <c r="A6839" s="496"/>
      <c r="D6839" s="496"/>
    </row>
    <row r="6840" spans="1:4" x14ac:dyDescent="0.2">
      <c r="A6840" s="496"/>
      <c r="D6840" s="496"/>
    </row>
    <row r="6841" spans="1:4" x14ac:dyDescent="0.2">
      <c r="A6841" s="496"/>
      <c r="D6841" s="496"/>
    </row>
    <row r="6842" spans="1:4" x14ac:dyDescent="0.2">
      <c r="A6842" s="496"/>
      <c r="D6842" s="496"/>
    </row>
    <row r="6843" spans="1:4" x14ac:dyDescent="0.2">
      <c r="A6843" s="496"/>
      <c r="D6843" s="496"/>
    </row>
    <row r="6844" spans="1:4" x14ac:dyDescent="0.2">
      <c r="A6844" s="496"/>
      <c r="D6844" s="496"/>
    </row>
    <row r="6845" spans="1:4" x14ac:dyDescent="0.2">
      <c r="A6845" s="496"/>
      <c r="D6845" s="496"/>
    </row>
    <row r="6846" spans="1:4" x14ac:dyDescent="0.2">
      <c r="A6846" s="496"/>
      <c r="D6846" s="496"/>
    </row>
    <row r="6847" spans="1:4" x14ac:dyDescent="0.2">
      <c r="A6847" s="496"/>
      <c r="D6847" s="496"/>
    </row>
    <row r="6848" spans="1:4" x14ac:dyDescent="0.2">
      <c r="A6848" s="496"/>
      <c r="D6848" s="496"/>
    </row>
    <row r="6849" spans="1:4" x14ac:dyDescent="0.2">
      <c r="A6849" s="496"/>
      <c r="D6849" s="496"/>
    </row>
    <row r="6850" spans="1:4" x14ac:dyDescent="0.2">
      <c r="A6850" s="496"/>
      <c r="D6850" s="496"/>
    </row>
    <row r="6851" spans="1:4" x14ac:dyDescent="0.2">
      <c r="A6851" s="496"/>
      <c r="D6851" s="496"/>
    </row>
    <row r="6852" spans="1:4" x14ac:dyDescent="0.2">
      <c r="A6852" s="496"/>
      <c r="D6852" s="496"/>
    </row>
    <row r="6853" spans="1:4" x14ac:dyDescent="0.2">
      <c r="A6853" s="496"/>
      <c r="D6853" s="496"/>
    </row>
    <row r="6854" spans="1:4" x14ac:dyDescent="0.2">
      <c r="A6854" s="496"/>
      <c r="D6854" s="496"/>
    </row>
    <row r="6855" spans="1:4" x14ac:dyDescent="0.2">
      <c r="A6855" s="496"/>
      <c r="D6855" s="496"/>
    </row>
    <row r="6856" spans="1:4" x14ac:dyDescent="0.2">
      <c r="A6856" s="496"/>
      <c r="D6856" s="496"/>
    </row>
    <row r="6857" spans="1:4" x14ac:dyDescent="0.2">
      <c r="A6857" s="496"/>
      <c r="D6857" s="496"/>
    </row>
    <row r="6858" spans="1:4" x14ac:dyDescent="0.2">
      <c r="A6858" s="496"/>
      <c r="D6858" s="496"/>
    </row>
    <row r="6859" spans="1:4" x14ac:dyDescent="0.2">
      <c r="A6859" s="496"/>
      <c r="D6859" s="496"/>
    </row>
    <row r="6860" spans="1:4" x14ac:dyDescent="0.2">
      <c r="A6860" s="496"/>
      <c r="D6860" s="496"/>
    </row>
    <row r="6861" spans="1:4" x14ac:dyDescent="0.2">
      <c r="A6861" s="496"/>
      <c r="D6861" s="496"/>
    </row>
    <row r="6862" spans="1:4" x14ac:dyDescent="0.2">
      <c r="A6862" s="496"/>
      <c r="D6862" s="496"/>
    </row>
    <row r="6863" spans="1:4" x14ac:dyDescent="0.2">
      <c r="A6863" s="496"/>
      <c r="D6863" s="496"/>
    </row>
    <row r="6864" spans="1:4" x14ac:dyDescent="0.2">
      <c r="A6864" s="496"/>
      <c r="D6864" s="496"/>
    </row>
    <row r="6865" spans="1:4" x14ac:dyDescent="0.2">
      <c r="A6865" s="496"/>
      <c r="D6865" s="496"/>
    </row>
    <row r="6866" spans="1:4" x14ac:dyDescent="0.2">
      <c r="A6866" s="496"/>
      <c r="D6866" s="496"/>
    </row>
    <row r="6867" spans="1:4" x14ac:dyDescent="0.2">
      <c r="A6867" s="496"/>
      <c r="D6867" s="496"/>
    </row>
    <row r="6868" spans="1:4" x14ac:dyDescent="0.2">
      <c r="A6868" s="496"/>
      <c r="D6868" s="496"/>
    </row>
    <row r="6869" spans="1:4" x14ac:dyDescent="0.2">
      <c r="A6869" s="496"/>
      <c r="D6869" s="496"/>
    </row>
    <row r="6870" spans="1:4" x14ac:dyDescent="0.2">
      <c r="A6870" s="496"/>
      <c r="D6870" s="496"/>
    </row>
    <row r="6871" spans="1:4" x14ac:dyDescent="0.2">
      <c r="A6871" s="496"/>
      <c r="D6871" s="496"/>
    </row>
    <row r="6872" spans="1:4" x14ac:dyDescent="0.2">
      <c r="A6872" s="496"/>
      <c r="D6872" s="496"/>
    </row>
    <row r="6873" spans="1:4" x14ac:dyDescent="0.2">
      <c r="A6873" s="496"/>
      <c r="D6873" s="496"/>
    </row>
    <row r="6874" spans="1:4" x14ac:dyDescent="0.2">
      <c r="A6874" s="496"/>
      <c r="D6874" s="496"/>
    </row>
    <row r="6875" spans="1:4" x14ac:dyDescent="0.2">
      <c r="A6875" s="496"/>
      <c r="D6875" s="496"/>
    </row>
    <row r="6876" spans="1:4" x14ac:dyDescent="0.2">
      <c r="A6876" s="496"/>
      <c r="D6876" s="496"/>
    </row>
    <row r="6877" spans="1:4" x14ac:dyDescent="0.2">
      <c r="A6877" s="496"/>
      <c r="D6877" s="496"/>
    </row>
    <row r="6878" spans="1:4" x14ac:dyDescent="0.2">
      <c r="A6878" s="496"/>
      <c r="D6878" s="496"/>
    </row>
    <row r="6879" spans="1:4" x14ac:dyDescent="0.2">
      <c r="A6879" s="496"/>
      <c r="D6879" s="496"/>
    </row>
    <row r="6880" spans="1:4" x14ac:dyDescent="0.2">
      <c r="A6880" s="496"/>
      <c r="D6880" s="496"/>
    </row>
    <row r="6881" spans="1:4" x14ac:dyDescent="0.2">
      <c r="A6881" s="496"/>
      <c r="D6881" s="496"/>
    </row>
    <row r="6882" spans="1:4" x14ac:dyDescent="0.2">
      <c r="A6882" s="496"/>
      <c r="D6882" s="496"/>
    </row>
    <row r="6883" spans="1:4" x14ac:dyDescent="0.2">
      <c r="A6883" s="496"/>
      <c r="D6883" s="496"/>
    </row>
    <row r="6884" spans="1:4" x14ac:dyDescent="0.2">
      <c r="A6884" s="496"/>
      <c r="D6884" s="496"/>
    </row>
    <row r="6885" spans="1:4" x14ac:dyDescent="0.2">
      <c r="A6885" s="496"/>
      <c r="D6885" s="496"/>
    </row>
    <row r="6886" spans="1:4" x14ac:dyDescent="0.2">
      <c r="A6886" s="496"/>
      <c r="D6886" s="496"/>
    </row>
    <row r="6887" spans="1:4" x14ac:dyDescent="0.2">
      <c r="A6887" s="496"/>
      <c r="D6887" s="496"/>
    </row>
    <row r="6888" spans="1:4" x14ac:dyDescent="0.2">
      <c r="A6888" s="496"/>
      <c r="D6888" s="496"/>
    </row>
    <row r="6889" spans="1:4" x14ac:dyDescent="0.2">
      <c r="A6889" s="496"/>
      <c r="D6889" s="496"/>
    </row>
    <row r="6890" spans="1:4" x14ac:dyDescent="0.2">
      <c r="A6890" s="496"/>
      <c r="D6890" s="496"/>
    </row>
    <row r="6891" spans="1:4" x14ac:dyDescent="0.2">
      <c r="A6891" s="496"/>
      <c r="D6891" s="496"/>
    </row>
    <row r="6892" spans="1:4" x14ac:dyDescent="0.2">
      <c r="A6892" s="496"/>
      <c r="D6892" s="496"/>
    </row>
    <row r="6893" spans="1:4" x14ac:dyDescent="0.2">
      <c r="A6893" s="496"/>
      <c r="D6893" s="496"/>
    </row>
    <row r="6894" spans="1:4" x14ac:dyDescent="0.2">
      <c r="A6894" s="496"/>
      <c r="D6894" s="496"/>
    </row>
    <row r="6895" spans="1:4" x14ac:dyDescent="0.2">
      <c r="A6895" s="496"/>
      <c r="D6895" s="496"/>
    </row>
    <row r="6896" spans="1:4" x14ac:dyDescent="0.2">
      <c r="A6896" s="496"/>
      <c r="D6896" s="496"/>
    </row>
    <row r="6897" spans="1:4" x14ac:dyDescent="0.2">
      <c r="A6897" s="496"/>
      <c r="D6897" s="496"/>
    </row>
    <row r="6898" spans="1:4" x14ac:dyDescent="0.2">
      <c r="A6898" s="496"/>
      <c r="D6898" s="496"/>
    </row>
    <row r="6899" spans="1:4" x14ac:dyDescent="0.2">
      <c r="A6899" s="496"/>
      <c r="D6899" s="496"/>
    </row>
    <row r="6900" spans="1:4" x14ac:dyDescent="0.2">
      <c r="A6900" s="496"/>
      <c r="D6900" s="496"/>
    </row>
    <row r="6901" spans="1:4" x14ac:dyDescent="0.2">
      <c r="A6901" s="496"/>
      <c r="D6901" s="496"/>
    </row>
    <row r="6902" spans="1:4" x14ac:dyDescent="0.2">
      <c r="A6902" s="496"/>
      <c r="D6902" s="496"/>
    </row>
    <row r="6903" spans="1:4" x14ac:dyDescent="0.2">
      <c r="A6903" s="496"/>
      <c r="D6903" s="496"/>
    </row>
    <row r="6904" spans="1:4" x14ac:dyDescent="0.2">
      <c r="A6904" s="496"/>
      <c r="D6904" s="496"/>
    </row>
    <row r="6905" spans="1:4" x14ac:dyDescent="0.2">
      <c r="A6905" s="496"/>
      <c r="D6905" s="496"/>
    </row>
    <row r="6906" spans="1:4" x14ac:dyDescent="0.2">
      <c r="A6906" s="496"/>
      <c r="D6906" s="496"/>
    </row>
    <row r="6907" spans="1:4" x14ac:dyDescent="0.2">
      <c r="A6907" s="496"/>
      <c r="D6907" s="496"/>
    </row>
    <row r="6908" spans="1:4" x14ac:dyDescent="0.2">
      <c r="A6908" s="496"/>
      <c r="D6908" s="496"/>
    </row>
    <row r="6909" spans="1:4" x14ac:dyDescent="0.2">
      <c r="A6909" s="496"/>
      <c r="D6909" s="496"/>
    </row>
    <row r="6910" spans="1:4" x14ac:dyDescent="0.2">
      <c r="A6910" s="496"/>
      <c r="D6910" s="496"/>
    </row>
    <row r="6911" spans="1:4" x14ac:dyDescent="0.2">
      <c r="A6911" s="496"/>
      <c r="D6911" s="496"/>
    </row>
    <row r="6912" spans="1:4" x14ac:dyDescent="0.2">
      <c r="A6912" s="496"/>
      <c r="D6912" s="496"/>
    </row>
    <row r="6913" spans="1:4" x14ac:dyDescent="0.2">
      <c r="A6913" s="496"/>
      <c r="D6913" s="496"/>
    </row>
    <row r="6914" spans="1:4" x14ac:dyDescent="0.2">
      <c r="A6914" s="496"/>
      <c r="D6914" s="496"/>
    </row>
    <row r="6915" spans="1:4" x14ac:dyDescent="0.2">
      <c r="A6915" s="496"/>
      <c r="D6915" s="496"/>
    </row>
    <row r="6916" spans="1:4" x14ac:dyDescent="0.2">
      <c r="A6916" s="496"/>
      <c r="D6916" s="496"/>
    </row>
    <row r="6917" spans="1:4" x14ac:dyDescent="0.2">
      <c r="A6917" s="496"/>
      <c r="D6917" s="496"/>
    </row>
    <row r="6918" spans="1:4" x14ac:dyDescent="0.2">
      <c r="A6918" s="496"/>
      <c r="D6918" s="496"/>
    </row>
    <row r="6919" spans="1:4" x14ac:dyDescent="0.2">
      <c r="A6919" s="496"/>
      <c r="D6919" s="496"/>
    </row>
    <row r="6920" spans="1:4" x14ac:dyDescent="0.2">
      <c r="A6920" s="496"/>
      <c r="D6920" s="496"/>
    </row>
    <row r="6921" spans="1:4" x14ac:dyDescent="0.2">
      <c r="A6921" s="496"/>
      <c r="D6921" s="496"/>
    </row>
    <row r="6922" spans="1:4" x14ac:dyDescent="0.2">
      <c r="A6922" s="496"/>
      <c r="D6922" s="496"/>
    </row>
    <row r="6923" spans="1:4" x14ac:dyDescent="0.2">
      <c r="A6923" s="496"/>
      <c r="D6923" s="496"/>
    </row>
    <row r="6924" spans="1:4" x14ac:dyDescent="0.2">
      <c r="A6924" s="496"/>
      <c r="D6924" s="496"/>
    </row>
    <row r="6925" spans="1:4" x14ac:dyDescent="0.2">
      <c r="A6925" s="496"/>
      <c r="D6925" s="496"/>
    </row>
    <row r="6926" spans="1:4" x14ac:dyDescent="0.2">
      <c r="A6926" s="496"/>
      <c r="D6926" s="496"/>
    </row>
    <row r="6927" spans="1:4" x14ac:dyDescent="0.2">
      <c r="A6927" s="496"/>
      <c r="D6927" s="496"/>
    </row>
    <row r="6928" spans="1:4" x14ac:dyDescent="0.2">
      <c r="A6928" s="496"/>
      <c r="D6928" s="496"/>
    </row>
    <row r="6929" spans="1:4" x14ac:dyDescent="0.2">
      <c r="A6929" s="496"/>
      <c r="D6929" s="496"/>
    </row>
    <row r="6930" spans="1:4" x14ac:dyDescent="0.2">
      <c r="A6930" s="496"/>
      <c r="D6930" s="496"/>
    </row>
    <row r="6931" spans="1:4" x14ac:dyDescent="0.2">
      <c r="A6931" s="496"/>
      <c r="D6931" s="496"/>
    </row>
    <row r="6932" spans="1:4" x14ac:dyDescent="0.2">
      <c r="A6932" s="496"/>
      <c r="D6932" s="496"/>
    </row>
    <row r="6933" spans="1:4" x14ac:dyDescent="0.2">
      <c r="A6933" s="496"/>
      <c r="D6933" s="496"/>
    </row>
    <row r="6934" spans="1:4" x14ac:dyDescent="0.2">
      <c r="A6934" s="496"/>
      <c r="D6934" s="496"/>
    </row>
    <row r="6935" spans="1:4" x14ac:dyDescent="0.2">
      <c r="A6935" s="496"/>
      <c r="D6935" s="496"/>
    </row>
    <row r="6936" spans="1:4" x14ac:dyDescent="0.2">
      <c r="A6936" s="496"/>
      <c r="D6936" s="496"/>
    </row>
    <row r="6937" spans="1:4" x14ac:dyDescent="0.2">
      <c r="A6937" s="496"/>
      <c r="D6937" s="496"/>
    </row>
    <row r="6938" spans="1:4" x14ac:dyDescent="0.2">
      <c r="A6938" s="496"/>
      <c r="D6938" s="496"/>
    </row>
    <row r="6939" spans="1:4" x14ac:dyDescent="0.2">
      <c r="A6939" s="496"/>
      <c r="D6939" s="496"/>
    </row>
    <row r="6940" spans="1:4" x14ac:dyDescent="0.2">
      <c r="A6940" s="496"/>
      <c r="D6940" s="496"/>
    </row>
    <row r="6941" spans="1:4" x14ac:dyDescent="0.2">
      <c r="A6941" s="496"/>
      <c r="D6941" s="496"/>
    </row>
    <row r="6942" spans="1:4" x14ac:dyDescent="0.2">
      <c r="A6942" s="496"/>
      <c r="D6942" s="496"/>
    </row>
    <row r="6943" spans="1:4" x14ac:dyDescent="0.2">
      <c r="A6943" s="496"/>
      <c r="D6943" s="496"/>
    </row>
    <row r="6944" spans="1:4" x14ac:dyDescent="0.2">
      <c r="A6944" s="496"/>
      <c r="D6944" s="496"/>
    </row>
    <row r="6945" spans="1:4" x14ac:dyDescent="0.2">
      <c r="A6945" s="496"/>
      <c r="D6945" s="496"/>
    </row>
    <row r="6946" spans="1:4" x14ac:dyDescent="0.2">
      <c r="A6946" s="496"/>
      <c r="D6946" s="496"/>
    </row>
    <row r="6947" spans="1:4" x14ac:dyDescent="0.2">
      <c r="A6947" s="496"/>
      <c r="D6947" s="496"/>
    </row>
    <row r="6948" spans="1:4" x14ac:dyDescent="0.2">
      <c r="A6948" s="496"/>
      <c r="D6948" s="496"/>
    </row>
    <row r="6949" spans="1:4" x14ac:dyDescent="0.2">
      <c r="A6949" s="496"/>
      <c r="D6949" s="496"/>
    </row>
    <row r="6950" spans="1:4" x14ac:dyDescent="0.2">
      <c r="A6950" s="496"/>
      <c r="D6950" s="496"/>
    </row>
    <row r="6951" spans="1:4" x14ac:dyDescent="0.2">
      <c r="A6951" s="496"/>
      <c r="D6951" s="496"/>
    </row>
    <row r="6952" spans="1:4" x14ac:dyDescent="0.2">
      <c r="A6952" s="496"/>
      <c r="D6952" s="496"/>
    </row>
    <row r="6953" spans="1:4" x14ac:dyDescent="0.2">
      <c r="A6953" s="496"/>
      <c r="D6953" s="496"/>
    </row>
    <row r="6954" spans="1:4" x14ac:dyDescent="0.2">
      <c r="A6954" s="496"/>
      <c r="D6954" s="496"/>
    </row>
    <row r="6955" spans="1:4" x14ac:dyDescent="0.2">
      <c r="A6955" s="496"/>
      <c r="D6955" s="496"/>
    </row>
    <row r="6956" spans="1:4" x14ac:dyDescent="0.2">
      <c r="A6956" s="496"/>
      <c r="D6956" s="496"/>
    </row>
    <row r="6957" spans="1:4" x14ac:dyDescent="0.2">
      <c r="A6957" s="496"/>
      <c r="D6957" s="496"/>
    </row>
    <row r="6958" spans="1:4" x14ac:dyDescent="0.2">
      <c r="A6958" s="496"/>
      <c r="D6958" s="496"/>
    </row>
    <row r="6959" spans="1:4" x14ac:dyDescent="0.2">
      <c r="A6959" s="496"/>
      <c r="D6959" s="496"/>
    </row>
    <row r="6960" spans="1:4" x14ac:dyDescent="0.2">
      <c r="A6960" s="496"/>
      <c r="D6960" s="496"/>
    </row>
    <row r="6961" spans="1:4" x14ac:dyDescent="0.2">
      <c r="A6961" s="496"/>
      <c r="D6961" s="496"/>
    </row>
    <row r="6962" spans="1:4" x14ac:dyDescent="0.2">
      <c r="A6962" s="496"/>
      <c r="D6962" s="496"/>
    </row>
    <row r="6963" spans="1:4" x14ac:dyDescent="0.2">
      <c r="A6963" s="496"/>
      <c r="D6963" s="496"/>
    </row>
    <row r="6964" spans="1:4" x14ac:dyDescent="0.2">
      <c r="A6964" s="496"/>
      <c r="D6964" s="496"/>
    </row>
    <row r="6965" spans="1:4" x14ac:dyDescent="0.2">
      <c r="A6965" s="496"/>
      <c r="D6965" s="496"/>
    </row>
    <row r="6966" spans="1:4" x14ac:dyDescent="0.2">
      <c r="A6966" s="496"/>
      <c r="D6966" s="496"/>
    </row>
    <row r="6967" spans="1:4" x14ac:dyDescent="0.2">
      <c r="A6967" s="496"/>
      <c r="D6967" s="496"/>
    </row>
    <row r="6968" spans="1:4" x14ac:dyDescent="0.2">
      <c r="A6968" s="496"/>
      <c r="D6968" s="496"/>
    </row>
    <row r="6969" spans="1:4" x14ac:dyDescent="0.2">
      <c r="A6969" s="496"/>
      <c r="D6969" s="496"/>
    </row>
    <row r="6970" spans="1:4" x14ac:dyDescent="0.2">
      <c r="A6970" s="496"/>
      <c r="D6970" s="496"/>
    </row>
    <row r="6971" spans="1:4" x14ac:dyDescent="0.2">
      <c r="A6971" s="496"/>
      <c r="D6971" s="496"/>
    </row>
    <row r="6972" spans="1:4" x14ac:dyDescent="0.2">
      <c r="A6972" s="496"/>
      <c r="D6972" s="496"/>
    </row>
    <row r="6973" spans="1:4" x14ac:dyDescent="0.2">
      <c r="A6973" s="496"/>
      <c r="D6973" s="496"/>
    </row>
    <row r="6974" spans="1:4" x14ac:dyDescent="0.2">
      <c r="A6974" s="496"/>
      <c r="D6974" s="496"/>
    </row>
    <row r="6975" spans="1:4" x14ac:dyDescent="0.2">
      <c r="A6975" s="496"/>
      <c r="D6975" s="496"/>
    </row>
    <row r="6976" spans="1:4" x14ac:dyDescent="0.2">
      <c r="A6976" s="496"/>
      <c r="D6976" s="496"/>
    </row>
    <row r="6977" spans="1:4" x14ac:dyDescent="0.2">
      <c r="A6977" s="496"/>
      <c r="D6977" s="496"/>
    </row>
    <row r="6978" spans="1:4" x14ac:dyDescent="0.2">
      <c r="A6978" s="496"/>
      <c r="D6978" s="496"/>
    </row>
    <row r="6979" spans="1:4" x14ac:dyDescent="0.2">
      <c r="A6979" s="496"/>
      <c r="D6979" s="496"/>
    </row>
    <row r="6980" spans="1:4" x14ac:dyDescent="0.2">
      <c r="A6980" s="496"/>
      <c r="D6980" s="496"/>
    </row>
    <row r="6981" spans="1:4" x14ac:dyDescent="0.2">
      <c r="A6981" s="496"/>
      <c r="D6981" s="496"/>
    </row>
    <row r="6982" spans="1:4" x14ac:dyDescent="0.2">
      <c r="A6982" s="496"/>
      <c r="D6982" s="496"/>
    </row>
    <row r="6983" spans="1:4" x14ac:dyDescent="0.2">
      <c r="A6983" s="496"/>
      <c r="D6983" s="496"/>
    </row>
    <row r="6984" spans="1:4" x14ac:dyDescent="0.2">
      <c r="A6984" s="496"/>
      <c r="D6984" s="496"/>
    </row>
    <row r="6985" spans="1:4" x14ac:dyDescent="0.2">
      <c r="A6985" s="496"/>
      <c r="D6985" s="496"/>
    </row>
    <row r="6986" spans="1:4" x14ac:dyDescent="0.2">
      <c r="A6986" s="496"/>
      <c r="D6986" s="496"/>
    </row>
    <row r="6987" spans="1:4" x14ac:dyDescent="0.2">
      <c r="A6987" s="496"/>
      <c r="D6987" s="496"/>
    </row>
    <row r="6988" spans="1:4" x14ac:dyDescent="0.2">
      <c r="A6988" s="496"/>
      <c r="D6988" s="496"/>
    </row>
    <row r="6989" spans="1:4" x14ac:dyDescent="0.2">
      <c r="A6989" s="496"/>
      <c r="D6989" s="496"/>
    </row>
    <row r="6990" spans="1:4" x14ac:dyDescent="0.2">
      <c r="A6990" s="496"/>
      <c r="D6990" s="496"/>
    </row>
    <row r="6991" spans="1:4" x14ac:dyDescent="0.2">
      <c r="A6991" s="496"/>
      <c r="D6991" s="496"/>
    </row>
    <row r="6992" spans="1:4" x14ac:dyDescent="0.2">
      <c r="A6992" s="496"/>
      <c r="D6992" s="496"/>
    </row>
    <row r="6993" spans="1:4" x14ac:dyDescent="0.2">
      <c r="A6993" s="496"/>
      <c r="D6993" s="496"/>
    </row>
    <row r="6994" spans="1:4" x14ac:dyDescent="0.2">
      <c r="A6994" s="496"/>
      <c r="D6994" s="496"/>
    </row>
    <row r="6995" spans="1:4" x14ac:dyDescent="0.2">
      <c r="A6995" s="496"/>
      <c r="D6995" s="496"/>
    </row>
    <row r="6996" spans="1:4" x14ac:dyDescent="0.2">
      <c r="A6996" s="496"/>
      <c r="D6996" s="496"/>
    </row>
    <row r="6997" spans="1:4" x14ac:dyDescent="0.2">
      <c r="A6997" s="496"/>
      <c r="D6997" s="496"/>
    </row>
    <row r="6998" spans="1:4" x14ac:dyDescent="0.2">
      <c r="A6998" s="496"/>
      <c r="D6998" s="496"/>
    </row>
    <row r="6999" spans="1:4" x14ac:dyDescent="0.2">
      <c r="A6999" s="496"/>
      <c r="D6999" s="496"/>
    </row>
    <row r="7000" spans="1:4" x14ac:dyDescent="0.2">
      <c r="A7000" s="496"/>
      <c r="D7000" s="496"/>
    </row>
    <row r="7001" spans="1:4" x14ac:dyDescent="0.2">
      <c r="A7001" s="496"/>
      <c r="D7001" s="496"/>
    </row>
    <row r="7002" spans="1:4" x14ac:dyDescent="0.2">
      <c r="A7002" s="496"/>
      <c r="D7002" s="496"/>
    </row>
    <row r="7003" spans="1:4" x14ac:dyDescent="0.2">
      <c r="A7003" s="496"/>
      <c r="D7003" s="496"/>
    </row>
    <row r="7004" spans="1:4" x14ac:dyDescent="0.2">
      <c r="A7004" s="496"/>
      <c r="D7004" s="496"/>
    </row>
    <row r="7005" spans="1:4" x14ac:dyDescent="0.2">
      <c r="A7005" s="496"/>
      <c r="D7005" s="496"/>
    </row>
    <row r="7006" spans="1:4" x14ac:dyDescent="0.2">
      <c r="A7006" s="496"/>
      <c r="D7006" s="496"/>
    </row>
    <row r="7007" spans="1:4" x14ac:dyDescent="0.2">
      <c r="A7007" s="496"/>
      <c r="D7007" s="496"/>
    </row>
    <row r="7008" spans="1:4" x14ac:dyDescent="0.2">
      <c r="A7008" s="496"/>
      <c r="D7008" s="496"/>
    </row>
    <row r="7009" spans="1:4" x14ac:dyDescent="0.2">
      <c r="A7009" s="496"/>
      <c r="D7009" s="496"/>
    </row>
    <row r="7010" spans="1:4" x14ac:dyDescent="0.2">
      <c r="A7010" s="496"/>
      <c r="D7010" s="496"/>
    </row>
    <row r="7011" spans="1:4" x14ac:dyDescent="0.2">
      <c r="A7011" s="496"/>
      <c r="D7011" s="496"/>
    </row>
    <row r="7012" spans="1:4" x14ac:dyDescent="0.2">
      <c r="A7012" s="496"/>
      <c r="D7012" s="496"/>
    </row>
    <row r="7013" spans="1:4" x14ac:dyDescent="0.2">
      <c r="A7013" s="496"/>
      <c r="D7013" s="496"/>
    </row>
    <row r="7014" spans="1:4" x14ac:dyDescent="0.2">
      <c r="A7014" s="496"/>
      <c r="D7014" s="496"/>
    </row>
    <row r="7015" spans="1:4" x14ac:dyDescent="0.2">
      <c r="A7015" s="496"/>
      <c r="D7015" s="496"/>
    </row>
    <row r="7016" spans="1:4" x14ac:dyDescent="0.2">
      <c r="A7016" s="496"/>
      <c r="D7016" s="496"/>
    </row>
    <row r="7017" spans="1:4" x14ac:dyDescent="0.2">
      <c r="A7017" s="496"/>
      <c r="D7017" s="496"/>
    </row>
    <row r="7018" spans="1:4" x14ac:dyDescent="0.2">
      <c r="A7018" s="496"/>
      <c r="D7018" s="496"/>
    </row>
    <row r="7019" spans="1:4" x14ac:dyDescent="0.2">
      <c r="A7019" s="496"/>
      <c r="D7019" s="496"/>
    </row>
    <row r="7020" spans="1:4" x14ac:dyDescent="0.2">
      <c r="A7020" s="496"/>
      <c r="D7020" s="496"/>
    </row>
    <row r="7021" spans="1:4" x14ac:dyDescent="0.2">
      <c r="A7021" s="496"/>
      <c r="D7021" s="496"/>
    </row>
    <row r="7022" spans="1:4" x14ac:dyDescent="0.2">
      <c r="A7022" s="496"/>
      <c r="D7022" s="496"/>
    </row>
    <row r="7023" spans="1:4" x14ac:dyDescent="0.2">
      <c r="A7023" s="496"/>
      <c r="D7023" s="496"/>
    </row>
    <row r="7024" spans="1:4" x14ac:dyDescent="0.2">
      <c r="A7024" s="496"/>
      <c r="D7024" s="496"/>
    </row>
    <row r="7025" spans="1:4" x14ac:dyDescent="0.2">
      <c r="A7025" s="496"/>
      <c r="D7025" s="496"/>
    </row>
    <row r="7026" spans="1:4" x14ac:dyDescent="0.2">
      <c r="A7026" s="496"/>
      <c r="D7026" s="496"/>
    </row>
    <row r="7027" spans="1:4" x14ac:dyDescent="0.2">
      <c r="A7027" s="496"/>
      <c r="D7027" s="496"/>
    </row>
    <row r="7028" spans="1:4" x14ac:dyDescent="0.2">
      <c r="A7028" s="496"/>
      <c r="D7028" s="496"/>
    </row>
    <row r="7029" spans="1:4" x14ac:dyDescent="0.2">
      <c r="A7029" s="496"/>
      <c r="D7029" s="496"/>
    </row>
    <row r="7030" spans="1:4" x14ac:dyDescent="0.2">
      <c r="A7030" s="496"/>
      <c r="D7030" s="496"/>
    </row>
    <row r="7031" spans="1:4" x14ac:dyDescent="0.2">
      <c r="A7031" s="496"/>
      <c r="D7031" s="496"/>
    </row>
    <row r="7032" spans="1:4" x14ac:dyDescent="0.2">
      <c r="A7032" s="496"/>
      <c r="D7032" s="496"/>
    </row>
    <row r="7033" spans="1:4" x14ac:dyDescent="0.2">
      <c r="A7033" s="496"/>
      <c r="D7033" s="496"/>
    </row>
    <row r="7034" spans="1:4" x14ac:dyDescent="0.2">
      <c r="A7034" s="496"/>
      <c r="D7034" s="496"/>
    </row>
    <row r="7035" spans="1:4" x14ac:dyDescent="0.2">
      <c r="A7035" s="496"/>
      <c r="D7035" s="496"/>
    </row>
    <row r="7036" spans="1:4" x14ac:dyDescent="0.2">
      <c r="A7036" s="496"/>
      <c r="D7036" s="496"/>
    </row>
    <row r="7037" spans="1:4" x14ac:dyDescent="0.2">
      <c r="A7037" s="496"/>
      <c r="D7037" s="496"/>
    </row>
    <row r="7038" spans="1:4" x14ac:dyDescent="0.2">
      <c r="A7038" s="496"/>
      <c r="D7038" s="496"/>
    </row>
    <row r="7039" spans="1:4" x14ac:dyDescent="0.2">
      <c r="A7039" s="496"/>
      <c r="D7039" s="496"/>
    </row>
    <row r="7040" spans="1:4" x14ac:dyDescent="0.2">
      <c r="A7040" s="496"/>
      <c r="D7040" s="496"/>
    </row>
    <row r="7041" spans="1:4" x14ac:dyDescent="0.2">
      <c r="A7041" s="496"/>
      <c r="D7041" s="496"/>
    </row>
    <row r="7042" spans="1:4" x14ac:dyDescent="0.2">
      <c r="A7042" s="496"/>
      <c r="D7042" s="496"/>
    </row>
    <row r="7043" spans="1:4" x14ac:dyDescent="0.2">
      <c r="A7043" s="496"/>
      <c r="D7043" s="496"/>
    </row>
    <row r="7044" spans="1:4" x14ac:dyDescent="0.2">
      <c r="A7044" s="496"/>
      <c r="D7044" s="496"/>
    </row>
    <row r="7045" spans="1:4" x14ac:dyDescent="0.2">
      <c r="A7045" s="496"/>
      <c r="D7045" s="496"/>
    </row>
    <row r="7046" spans="1:4" x14ac:dyDescent="0.2">
      <c r="A7046" s="496"/>
      <c r="D7046" s="496"/>
    </row>
    <row r="7047" spans="1:4" x14ac:dyDescent="0.2">
      <c r="A7047" s="496"/>
      <c r="D7047" s="496"/>
    </row>
    <row r="7048" spans="1:4" x14ac:dyDescent="0.2">
      <c r="A7048" s="496"/>
      <c r="D7048" s="496"/>
    </row>
    <row r="7049" spans="1:4" x14ac:dyDescent="0.2">
      <c r="A7049" s="496"/>
      <c r="D7049" s="496"/>
    </row>
    <row r="7050" spans="1:4" x14ac:dyDescent="0.2">
      <c r="A7050" s="496"/>
      <c r="D7050" s="496"/>
    </row>
    <row r="7051" spans="1:4" x14ac:dyDescent="0.2">
      <c r="A7051" s="496"/>
      <c r="D7051" s="496"/>
    </row>
    <row r="7052" spans="1:4" x14ac:dyDescent="0.2">
      <c r="A7052" s="496"/>
      <c r="D7052" s="496"/>
    </row>
    <row r="7053" spans="1:4" x14ac:dyDescent="0.2">
      <c r="A7053" s="496"/>
      <c r="D7053" s="496"/>
    </row>
    <row r="7054" spans="1:4" x14ac:dyDescent="0.2">
      <c r="A7054" s="496"/>
      <c r="D7054" s="496"/>
    </row>
    <row r="7055" spans="1:4" x14ac:dyDescent="0.2">
      <c r="A7055" s="496"/>
      <c r="D7055" s="496"/>
    </row>
    <row r="7056" spans="1:4" x14ac:dyDescent="0.2">
      <c r="A7056" s="496"/>
      <c r="D7056" s="496"/>
    </row>
    <row r="7057" spans="1:4" x14ac:dyDescent="0.2">
      <c r="A7057" s="496"/>
      <c r="D7057" s="496"/>
    </row>
    <row r="7058" spans="1:4" x14ac:dyDescent="0.2">
      <c r="A7058" s="496"/>
      <c r="D7058" s="496"/>
    </row>
    <row r="7059" spans="1:4" x14ac:dyDescent="0.2">
      <c r="A7059" s="496"/>
      <c r="D7059" s="496"/>
    </row>
    <row r="7060" spans="1:4" x14ac:dyDescent="0.2">
      <c r="A7060" s="496"/>
      <c r="D7060" s="496"/>
    </row>
    <row r="7061" spans="1:4" x14ac:dyDescent="0.2">
      <c r="A7061" s="496"/>
      <c r="D7061" s="496"/>
    </row>
    <row r="7062" spans="1:4" x14ac:dyDescent="0.2">
      <c r="A7062" s="496"/>
      <c r="D7062" s="496"/>
    </row>
    <row r="7063" spans="1:4" x14ac:dyDescent="0.2">
      <c r="A7063" s="496"/>
      <c r="D7063" s="496"/>
    </row>
    <row r="7064" spans="1:4" x14ac:dyDescent="0.2">
      <c r="A7064" s="496"/>
      <c r="D7064" s="496"/>
    </row>
    <row r="7065" spans="1:4" x14ac:dyDescent="0.2">
      <c r="A7065" s="496"/>
      <c r="D7065" s="496"/>
    </row>
    <row r="7066" spans="1:4" x14ac:dyDescent="0.2">
      <c r="A7066" s="496"/>
      <c r="D7066" s="496"/>
    </row>
    <row r="7067" spans="1:4" x14ac:dyDescent="0.2">
      <c r="A7067" s="496"/>
      <c r="D7067" s="496"/>
    </row>
    <row r="7068" spans="1:4" x14ac:dyDescent="0.2">
      <c r="A7068" s="496"/>
      <c r="D7068" s="496"/>
    </row>
    <row r="7069" spans="1:4" x14ac:dyDescent="0.2">
      <c r="A7069" s="496"/>
      <c r="D7069" s="496"/>
    </row>
    <row r="7070" spans="1:4" x14ac:dyDescent="0.2">
      <c r="A7070" s="496"/>
      <c r="D7070" s="496"/>
    </row>
    <row r="7071" spans="1:4" x14ac:dyDescent="0.2">
      <c r="A7071" s="496"/>
      <c r="D7071" s="496"/>
    </row>
    <row r="7072" spans="1:4" x14ac:dyDescent="0.2">
      <c r="A7072" s="496"/>
      <c r="D7072" s="496"/>
    </row>
    <row r="7073" spans="1:4" x14ac:dyDescent="0.2">
      <c r="A7073" s="496"/>
      <c r="D7073" s="496"/>
    </row>
    <row r="7074" spans="1:4" x14ac:dyDescent="0.2">
      <c r="A7074" s="496"/>
      <c r="D7074" s="496"/>
    </row>
    <row r="7075" spans="1:4" x14ac:dyDescent="0.2">
      <c r="A7075" s="496"/>
      <c r="D7075" s="496"/>
    </row>
    <row r="7076" spans="1:4" x14ac:dyDescent="0.2">
      <c r="A7076" s="496"/>
      <c r="D7076" s="496"/>
    </row>
    <row r="7077" spans="1:4" x14ac:dyDescent="0.2">
      <c r="A7077" s="496"/>
      <c r="D7077" s="496"/>
    </row>
    <row r="7078" spans="1:4" x14ac:dyDescent="0.2">
      <c r="A7078" s="496"/>
      <c r="D7078" s="496"/>
    </row>
    <row r="7079" spans="1:4" x14ac:dyDescent="0.2">
      <c r="A7079" s="496"/>
      <c r="D7079" s="496"/>
    </row>
    <row r="7080" spans="1:4" x14ac:dyDescent="0.2">
      <c r="A7080" s="496"/>
      <c r="D7080" s="496"/>
    </row>
    <row r="7081" spans="1:4" x14ac:dyDescent="0.2">
      <c r="A7081" s="496"/>
      <c r="D7081" s="496"/>
    </row>
    <row r="7082" spans="1:4" x14ac:dyDescent="0.2">
      <c r="A7082" s="496"/>
      <c r="D7082" s="496"/>
    </row>
    <row r="7083" spans="1:4" x14ac:dyDescent="0.2">
      <c r="A7083" s="496"/>
      <c r="D7083" s="496"/>
    </row>
    <row r="7084" spans="1:4" x14ac:dyDescent="0.2">
      <c r="A7084" s="496"/>
      <c r="D7084" s="496"/>
    </row>
    <row r="7085" spans="1:4" x14ac:dyDescent="0.2">
      <c r="A7085" s="496"/>
      <c r="D7085" s="496"/>
    </row>
    <row r="7086" spans="1:4" x14ac:dyDescent="0.2">
      <c r="A7086" s="496"/>
      <c r="D7086" s="496"/>
    </row>
    <row r="7087" spans="1:4" x14ac:dyDescent="0.2">
      <c r="A7087" s="496"/>
      <c r="D7087" s="496"/>
    </row>
    <row r="7088" spans="1:4" x14ac:dyDescent="0.2">
      <c r="A7088" s="496"/>
      <c r="D7088" s="496"/>
    </row>
    <row r="7089" spans="1:4" x14ac:dyDescent="0.2">
      <c r="A7089" s="496"/>
      <c r="D7089" s="496"/>
    </row>
    <row r="7090" spans="1:4" x14ac:dyDescent="0.2">
      <c r="A7090" s="496"/>
      <c r="D7090" s="496"/>
    </row>
    <row r="7091" spans="1:4" x14ac:dyDescent="0.2">
      <c r="A7091" s="496"/>
      <c r="D7091" s="496"/>
    </row>
    <row r="7092" spans="1:4" x14ac:dyDescent="0.2">
      <c r="A7092" s="496"/>
      <c r="D7092" s="496"/>
    </row>
    <row r="7093" spans="1:4" x14ac:dyDescent="0.2">
      <c r="A7093" s="496"/>
      <c r="D7093" s="496"/>
    </row>
    <row r="7094" spans="1:4" x14ac:dyDescent="0.2">
      <c r="A7094" s="496"/>
      <c r="D7094" s="496"/>
    </row>
    <row r="7095" spans="1:4" x14ac:dyDescent="0.2">
      <c r="A7095" s="496"/>
      <c r="D7095" s="496"/>
    </row>
    <row r="7096" spans="1:4" x14ac:dyDescent="0.2">
      <c r="A7096" s="496"/>
      <c r="D7096" s="496"/>
    </row>
    <row r="7097" spans="1:4" x14ac:dyDescent="0.2">
      <c r="A7097" s="496"/>
      <c r="D7097" s="496"/>
    </row>
    <row r="7098" spans="1:4" x14ac:dyDescent="0.2">
      <c r="A7098" s="496"/>
      <c r="D7098" s="496"/>
    </row>
    <row r="7099" spans="1:4" x14ac:dyDescent="0.2">
      <c r="A7099" s="496"/>
      <c r="D7099" s="496"/>
    </row>
    <row r="7100" spans="1:4" x14ac:dyDescent="0.2">
      <c r="A7100" s="496"/>
      <c r="D7100" s="496"/>
    </row>
    <row r="7101" spans="1:4" x14ac:dyDescent="0.2">
      <c r="A7101" s="496"/>
      <c r="D7101" s="496"/>
    </row>
    <row r="7102" spans="1:4" x14ac:dyDescent="0.2">
      <c r="A7102" s="496"/>
      <c r="D7102" s="496"/>
    </row>
    <row r="7103" spans="1:4" x14ac:dyDescent="0.2">
      <c r="A7103" s="496"/>
      <c r="D7103" s="496"/>
    </row>
    <row r="7104" spans="1:4" x14ac:dyDescent="0.2">
      <c r="A7104" s="496"/>
      <c r="D7104" s="496"/>
    </row>
    <row r="7105" spans="1:4" x14ac:dyDescent="0.2">
      <c r="A7105" s="496"/>
      <c r="D7105" s="496"/>
    </row>
    <row r="7106" spans="1:4" x14ac:dyDescent="0.2">
      <c r="A7106" s="496"/>
      <c r="D7106" s="496"/>
    </row>
    <row r="7107" spans="1:4" x14ac:dyDescent="0.2">
      <c r="A7107" s="496"/>
      <c r="D7107" s="496"/>
    </row>
    <row r="7108" spans="1:4" x14ac:dyDescent="0.2">
      <c r="A7108" s="496"/>
      <c r="D7108" s="496"/>
    </row>
    <row r="7109" spans="1:4" x14ac:dyDescent="0.2">
      <c r="A7109" s="496"/>
      <c r="D7109" s="496"/>
    </row>
    <row r="7110" spans="1:4" x14ac:dyDescent="0.2">
      <c r="A7110" s="496"/>
      <c r="D7110" s="496"/>
    </row>
    <row r="7111" spans="1:4" x14ac:dyDescent="0.2">
      <c r="A7111" s="496"/>
      <c r="D7111" s="496"/>
    </row>
    <row r="7112" spans="1:4" x14ac:dyDescent="0.2">
      <c r="A7112" s="496"/>
      <c r="D7112" s="496"/>
    </row>
    <row r="7113" spans="1:4" x14ac:dyDescent="0.2">
      <c r="A7113" s="496"/>
      <c r="D7113" s="496"/>
    </row>
    <row r="7114" spans="1:4" x14ac:dyDescent="0.2">
      <c r="A7114" s="496"/>
      <c r="D7114" s="496"/>
    </row>
    <row r="7115" spans="1:4" x14ac:dyDescent="0.2">
      <c r="A7115" s="496"/>
      <c r="D7115" s="496"/>
    </row>
    <row r="7116" spans="1:4" x14ac:dyDescent="0.2">
      <c r="A7116" s="496"/>
      <c r="D7116" s="496"/>
    </row>
    <row r="7117" spans="1:4" x14ac:dyDescent="0.2">
      <c r="A7117" s="496"/>
      <c r="D7117" s="496"/>
    </row>
    <row r="7118" spans="1:4" x14ac:dyDescent="0.2">
      <c r="A7118" s="496"/>
      <c r="D7118" s="496"/>
    </row>
    <row r="7119" spans="1:4" x14ac:dyDescent="0.2">
      <c r="A7119" s="496"/>
      <c r="D7119" s="496"/>
    </row>
    <row r="7120" spans="1:4" x14ac:dyDescent="0.2">
      <c r="A7120" s="496"/>
      <c r="D7120" s="496"/>
    </row>
    <row r="7121" spans="1:4" x14ac:dyDescent="0.2">
      <c r="A7121" s="496"/>
      <c r="D7121" s="496"/>
    </row>
    <row r="7122" spans="1:4" x14ac:dyDescent="0.2">
      <c r="A7122" s="496"/>
      <c r="D7122" s="496"/>
    </row>
    <row r="7123" spans="1:4" x14ac:dyDescent="0.2">
      <c r="A7123" s="496"/>
      <c r="D7123" s="496"/>
    </row>
    <row r="7124" spans="1:4" x14ac:dyDescent="0.2">
      <c r="A7124" s="496"/>
      <c r="D7124" s="496"/>
    </row>
    <row r="7125" spans="1:4" x14ac:dyDescent="0.2">
      <c r="A7125" s="496"/>
      <c r="D7125" s="496"/>
    </row>
    <row r="7126" spans="1:4" x14ac:dyDescent="0.2">
      <c r="A7126" s="496"/>
      <c r="D7126" s="496"/>
    </row>
    <row r="7127" spans="1:4" x14ac:dyDescent="0.2">
      <c r="A7127" s="496"/>
      <c r="D7127" s="496"/>
    </row>
    <row r="7128" spans="1:4" x14ac:dyDescent="0.2">
      <c r="A7128" s="496"/>
      <c r="D7128" s="496"/>
    </row>
    <row r="7129" spans="1:4" x14ac:dyDescent="0.2">
      <c r="A7129" s="496"/>
      <c r="D7129" s="496"/>
    </row>
    <row r="7130" spans="1:4" x14ac:dyDescent="0.2">
      <c r="A7130" s="496"/>
      <c r="D7130" s="496"/>
    </row>
    <row r="7131" spans="1:4" x14ac:dyDescent="0.2">
      <c r="A7131" s="496"/>
      <c r="D7131" s="496"/>
    </row>
    <row r="7132" spans="1:4" x14ac:dyDescent="0.2">
      <c r="A7132" s="496"/>
      <c r="D7132" s="496"/>
    </row>
    <row r="7133" spans="1:4" x14ac:dyDescent="0.2">
      <c r="A7133" s="496"/>
      <c r="D7133" s="496"/>
    </row>
    <row r="7134" spans="1:4" x14ac:dyDescent="0.2">
      <c r="A7134" s="496"/>
      <c r="D7134" s="496"/>
    </row>
    <row r="7135" spans="1:4" x14ac:dyDescent="0.2">
      <c r="A7135" s="496"/>
      <c r="D7135" s="496"/>
    </row>
    <row r="7136" spans="1:4" x14ac:dyDescent="0.2">
      <c r="A7136" s="496"/>
      <c r="D7136" s="496"/>
    </row>
    <row r="7137" spans="1:4" x14ac:dyDescent="0.2">
      <c r="A7137" s="496"/>
      <c r="D7137" s="496"/>
    </row>
    <row r="7138" spans="1:4" x14ac:dyDescent="0.2">
      <c r="A7138" s="496"/>
      <c r="D7138" s="496"/>
    </row>
    <row r="7139" spans="1:4" x14ac:dyDescent="0.2">
      <c r="A7139" s="496"/>
      <c r="D7139" s="496"/>
    </row>
    <row r="7140" spans="1:4" x14ac:dyDescent="0.2">
      <c r="A7140" s="496"/>
      <c r="D7140" s="496"/>
    </row>
    <row r="7141" spans="1:4" x14ac:dyDescent="0.2">
      <c r="A7141" s="496"/>
      <c r="D7141" s="496"/>
    </row>
    <row r="7142" spans="1:4" x14ac:dyDescent="0.2">
      <c r="A7142" s="496"/>
      <c r="D7142" s="496"/>
    </row>
    <row r="7143" spans="1:4" x14ac:dyDescent="0.2">
      <c r="A7143" s="496"/>
      <c r="D7143" s="496"/>
    </row>
    <row r="7144" spans="1:4" x14ac:dyDescent="0.2">
      <c r="A7144" s="496"/>
      <c r="D7144" s="496"/>
    </row>
    <row r="7145" spans="1:4" x14ac:dyDescent="0.2">
      <c r="A7145" s="496"/>
      <c r="D7145" s="496"/>
    </row>
    <row r="7146" spans="1:4" x14ac:dyDescent="0.2">
      <c r="A7146" s="496"/>
      <c r="D7146" s="496"/>
    </row>
    <row r="7147" spans="1:4" x14ac:dyDescent="0.2">
      <c r="A7147" s="496"/>
      <c r="D7147" s="496"/>
    </row>
    <row r="7148" spans="1:4" x14ac:dyDescent="0.2">
      <c r="A7148" s="496"/>
      <c r="D7148" s="496"/>
    </row>
    <row r="7149" spans="1:4" x14ac:dyDescent="0.2">
      <c r="A7149" s="496"/>
      <c r="D7149" s="496"/>
    </row>
    <row r="7150" spans="1:4" x14ac:dyDescent="0.2">
      <c r="A7150" s="496"/>
      <c r="D7150" s="496"/>
    </row>
    <row r="7151" spans="1:4" x14ac:dyDescent="0.2">
      <c r="A7151" s="496"/>
      <c r="D7151" s="496"/>
    </row>
    <row r="7152" spans="1:4" x14ac:dyDescent="0.2">
      <c r="A7152" s="496"/>
      <c r="D7152" s="496"/>
    </row>
    <row r="7153" spans="1:4" x14ac:dyDescent="0.2">
      <c r="A7153" s="496"/>
      <c r="D7153" s="496"/>
    </row>
    <row r="7154" spans="1:4" x14ac:dyDescent="0.2">
      <c r="A7154" s="496"/>
      <c r="D7154" s="496"/>
    </row>
    <row r="7155" spans="1:4" x14ac:dyDescent="0.2">
      <c r="A7155" s="496"/>
      <c r="D7155" s="496"/>
    </row>
    <row r="7156" spans="1:4" x14ac:dyDescent="0.2">
      <c r="A7156" s="496"/>
      <c r="D7156" s="496"/>
    </row>
    <row r="7157" spans="1:4" x14ac:dyDescent="0.2">
      <c r="A7157" s="496"/>
      <c r="D7157" s="496"/>
    </row>
    <row r="7158" spans="1:4" x14ac:dyDescent="0.2">
      <c r="A7158" s="496"/>
      <c r="D7158" s="496"/>
    </row>
    <row r="7159" spans="1:4" x14ac:dyDescent="0.2">
      <c r="A7159" s="496"/>
      <c r="D7159" s="496"/>
    </row>
    <row r="7160" spans="1:4" x14ac:dyDescent="0.2">
      <c r="A7160" s="496"/>
      <c r="D7160" s="496"/>
    </row>
    <row r="7161" spans="1:4" x14ac:dyDescent="0.2">
      <c r="A7161" s="496"/>
      <c r="D7161" s="496"/>
    </row>
    <row r="7162" spans="1:4" x14ac:dyDescent="0.2">
      <c r="A7162" s="496"/>
      <c r="D7162" s="496"/>
    </row>
    <row r="7163" spans="1:4" x14ac:dyDescent="0.2">
      <c r="A7163" s="496"/>
      <c r="D7163" s="496"/>
    </row>
    <row r="7164" spans="1:4" x14ac:dyDescent="0.2">
      <c r="A7164" s="496"/>
      <c r="D7164" s="496"/>
    </row>
    <row r="7165" spans="1:4" x14ac:dyDescent="0.2">
      <c r="A7165" s="496"/>
      <c r="D7165" s="496"/>
    </row>
    <row r="7166" spans="1:4" x14ac:dyDescent="0.2">
      <c r="A7166" s="496"/>
      <c r="D7166" s="496"/>
    </row>
    <row r="7167" spans="1:4" x14ac:dyDescent="0.2">
      <c r="A7167" s="496"/>
      <c r="D7167" s="496"/>
    </row>
    <row r="7168" spans="1:4" x14ac:dyDescent="0.2">
      <c r="A7168" s="496"/>
      <c r="D7168" s="496"/>
    </row>
    <row r="7169" spans="1:4" x14ac:dyDescent="0.2">
      <c r="A7169" s="496"/>
      <c r="D7169" s="496"/>
    </row>
    <row r="7170" spans="1:4" x14ac:dyDescent="0.2">
      <c r="A7170" s="496"/>
      <c r="D7170" s="496"/>
    </row>
    <row r="7171" spans="1:4" x14ac:dyDescent="0.2">
      <c r="A7171" s="496"/>
      <c r="D7171" s="496"/>
    </row>
    <row r="7172" spans="1:4" x14ac:dyDescent="0.2">
      <c r="A7172" s="496"/>
      <c r="D7172" s="496"/>
    </row>
    <row r="7173" spans="1:4" x14ac:dyDescent="0.2">
      <c r="A7173" s="496"/>
      <c r="D7173" s="496"/>
    </row>
    <row r="7174" spans="1:4" x14ac:dyDescent="0.2">
      <c r="A7174" s="496"/>
      <c r="D7174" s="496"/>
    </row>
    <row r="7175" spans="1:4" x14ac:dyDescent="0.2">
      <c r="A7175" s="496"/>
      <c r="D7175" s="496"/>
    </row>
    <row r="7176" spans="1:4" x14ac:dyDescent="0.2">
      <c r="A7176" s="496"/>
      <c r="D7176" s="496"/>
    </row>
    <row r="7177" spans="1:4" x14ac:dyDescent="0.2">
      <c r="A7177" s="496"/>
      <c r="D7177" s="496"/>
    </row>
    <row r="7178" spans="1:4" x14ac:dyDescent="0.2">
      <c r="A7178" s="496"/>
      <c r="D7178" s="496"/>
    </row>
    <row r="7179" spans="1:4" x14ac:dyDescent="0.2">
      <c r="A7179" s="496"/>
      <c r="D7179" s="496"/>
    </row>
    <row r="7180" spans="1:4" x14ac:dyDescent="0.2">
      <c r="A7180" s="496"/>
      <c r="D7180" s="496"/>
    </row>
    <row r="7181" spans="1:4" x14ac:dyDescent="0.2">
      <c r="A7181" s="496"/>
      <c r="D7181" s="496"/>
    </row>
    <row r="7182" spans="1:4" x14ac:dyDescent="0.2">
      <c r="A7182" s="496"/>
      <c r="D7182" s="496"/>
    </row>
    <row r="7183" spans="1:4" x14ac:dyDescent="0.2">
      <c r="A7183" s="496"/>
      <c r="D7183" s="496"/>
    </row>
    <row r="7184" spans="1:4" x14ac:dyDescent="0.2">
      <c r="A7184" s="496"/>
      <c r="D7184" s="496"/>
    </row>
    <row r="7185" spans="1:4" x14ac:dyDescent="0.2">
      <c r="A7185" s="496"/>
      <c r="D7185" s="496"/>
    </row>
    <row r="7186" spans="1:4" x14ac:dyDescent="0.2">
      <c r="A7186" s="496"/>
      <c r="D7186" s="496"/>
    </row>
    <row r="7187" spans="1:4" x14ac:dyDescent="0.2">
      <c r="A7187" s="496"/>
      <c r="D7187" s="496"/>
    </row>
    <row r="7188" spans="1:4" x14ac:dyDescent="0.2">
      <c r="A7188" s="496"/>
      <c r="D7188" s="496"/>
    </row>
    <row r="7189" spans="1:4" x14ac:dyDescent="0.2">
      <c r="A7189" s="496"/>
      <c r="D7189" s="496"/>
    </row>
    <row r="7190" spans="1:4" x14ac:dyDescent="0.2">
      <c r="A7190" s="496"/>
      <c r="D7190" s="496"/>
    </row>
    <row r="7191" spans="1:4" x14ac:dyDescent="0.2">
      <c r="A7191" s="496"/>
      <c r="D7191" s="496"/>
    </row>
    <row r="7192" spans="1:4" x14ac:dyDescent="0.2">
      <c r="A7192" s="496"/>
      <c r="D7192" s="496"/>
    </row>
    <row r="7193" spans="1:4" x14ac:dyDescent="0.2">
      <c r="A7193" s="496"/>
      <c r="D7193" s="496"/>
    </row>
    <row r="7194" spans="1:4" x14ac:dyDescent="0.2">
      <c r="A7194" s="496"/>
      <c r="D7194" s="496"/>
    </row>
    <row r="7195" spans="1:4" x14ac:dyDescent="0.2">
      <c r="A7195" s="496"/>
      <c r="D7195" s="496"/>
    </row>
    <row r="7196" spans="1:4" x14ac:dyDescent="0.2">
      <c r="A7196" s="496"/>
      <c r="D7196" s="496"/>
    </row>
    <row r="7197" spans="1:4" x14ac:dyDescent="0.2">
      <c r="A7197" s="496"/>
      <c r="D7197" s="496"/>
    </row>
    <row r="7198" spans="1:4" x14ac:dyDescent="0.2">
      <c r="A7198" s="496"/>
      <c r="D7198" s="496"/>
    </row>
    <row r="7199" spans="1:4" x14ac:dyDescent="0.2">
      <c r="A7199" s="496"/>
      <c r="D7199" s="496"/>
    </row>
    <row r="7200" spans="1:4" x14ac:dyDescent="0.2">
      <c r="A7200" s="496"/>
      <c r="D7200" s="496"/>
    </row>
    <row r="7201" spans="1:4" x14ac:dyDescent="0.2">
      <c r="A7201" s="496"/>
      <c r="D7201" s="496"/>
    </row>
    <row r="7202" spans="1:4" x14ac:dyDescent="0.2">
      <c r="A7202" s="496"/>
      <c r="D7202" s="496"/>
    </row>
    <row r="7203" spans="1:4" x14ac:dyDescent="0.2">
      <c r="A7203" s="496"/>
      <c r="D7203" s="496"/>
    </row>
    <row r="7204" spans="1:4" x14ac:dyDescent="0.2">
      <c r="A7204" s="496"/>
      <c r="D7204" s="496"/>
    </row>
    <row r="7205" spans="1:4" x14ac:dyDescent="0.2">
      <c r="A7205" s="496"/>
      <c r="D7205" s="496"/>
    </row>
    <row r="7206" spans="1:4" x14ac:dyDescent="0.2">
      <c r="A7206" s="496"/>
      <c r="D7206" s="496"/>
    </row>
    <row r="7207" spans="1:4" x14ac:dyDescent="0.2">
      <c r="A7207" s="496"/>
      <c r="D7207" s="496"/>
    </row>
    <row r="7208" spans="1:4" x14ac:dyDescent="0.2">
      <c r="A7208" s="496"/>
      <c r="D7208" s="496"/>
    </row>
    <row r="7209" spans="1:4" x14ac:dyDescent="0.2">
      <c r="A7209" s="496"/>
      <c r="D7209" s="496"/>
    </row>
    <row r="7210" spans="1:4" x14ac:dyDescent="0.2">
      <c r="A7210" s="496"/>
      <c r="D7210" s="496"/>
    </row>
    <row r="7211" spans="1:4" x14ac:dyDescent="0.2">
      <c r="A7211" s="496"/>
      <c r="D7211" s="496"/>
    </row>
    <row r="7212" spans="1:4" x14ac:dyDescent="0.2">
      <c r="A7212" s="496"/>
      <c r="D7212" s="496"/>
    </row>
    <row r="7213" spans="1:4" x14ac:dyDescent="0.2">
      <c r="A7213" s="496"/>
      <c r="D7213" s="496"/>
    </row>
    <row r="7214" spans="1:4" x14ac:dyDescent="0.2">
      <c r="A7214" s="496"/>
      <c r="D7214" s="496"/>
    </row>
    <row r="7215" spans="1:4" x14ac:dyDescent="0.2">
      <c r="A7215" s="496"/>
      <c r="D7215" s="496"/>
    </row>
    <row r="7216" spans="1:4" x14ac:dyDescent="0.2">
      <c r="A7216" s="496"/>
      <c r="D7216" s="496"/>
    </row>
    <row r="7217" spans="1:4" x14ac:dyDescent="0.2">
      <c r="A7217" s="496"/>
      <c r="D7217" s="496"/>
    </row>
    <row r="7218" spans="1:4" x14ac:dyDescent="0.2">
      <c r="A7218" s="496"/>
      <c r="D7218" s="496"/>
    </row>
    <row r="7219" spans="1:4" x14ac:dyDescent="0.2">
      <c r="A7219" s="496"/>
      <c r="D7219" s="496"/>
    </row>
    <row r="7220" spans="1:4" x14ac:dyDescent="0.2">
      <c r="A7220" s="496"/>
      <c r="D7220" s="496"/>
    </row>
    <row r="7221" spans="1:4" x14ac:dyDescent="0.2">
      <c r="A7221" s="496"/>
      <c r="D7221" s="496"/>
    </row>
    <row r="7222" spans="1:4" x14ac:dyDescent="0.2">
      <c r="A7222" s="496"/>
      <c r="D7222" s="496"/>
    </row>
    <row r="7223" spans="1:4" x14ac:dyDescent="0.2">
      <c r="A7223" s="496"/>
      <c r="D7223" s="496"/>
    </row>
    <row r="7224" spans="1:4" x14ac:dyDescent="0.2">
      <c r="A7224" s="496"/>
      <c r="D7224" s="496"/>
    </row>
    <row r="7225" spans="1:4" x14ac:dyDescent="0.2">
      <c r="A7225" s="496"/>
      <c r="D7225" s="496"/>
    </row>
    <row r="7226" spans="1:4" x14ac:dyDescent="0.2">
      <c r="A7226" s="496"/>
      <c r="D7226" s="496"/>
    </row>
    <row r="7227" spans="1:4" x14ac:dyDescent="0.2">
      <c r="A7227" s="496"/>
      <c r="D7227" s="496"/>
    </row>
    <row r="7228" spans="1:4" x14ac:dyDescent="0.2">
      <c r="A7228" s="496"/>
      <c r="D7228" s="496"/>
    </row>
    <row r="7229" spans="1:4" x14ac:dyDescent="0.2">
      <c r="A7229" s="496"/>
      <c r="D7229" s="496"/>
    </row>
    <row r="7230" spans="1:4" x14ac:dyDescent="0.2">
      <c r="A7230" s="496"/>
      <c r="D7230" s="496"/>
    </row>
    <row r="7231" spans="1:4" x14ac:dyDescent="0.2">
      <c r="A7231" s="496"/>
      <c r="D7231" s="496"/>
    </row>
    <row r="7232" spans="1:4" x14ac:dyDescent="0.2">
      <c r="A7232" s="496"/>
      <c r="D7232" s="496"/>
    </row>
    <row r="7233" spans="1:4" x14ac:dyDescent="0.2">
      <c r="A7233" s="496"/>
      <c r="D7233" s="496"/>
    </row>
    <row r="7234" spans="1:4" x14ac:dyDescent="0.2">
      <c r="A7234" s="496"/>
      <c r="D7234" s="496"/>
    </row>
    <row r="7235" spans="1:4" x14ac:dyDescent="0.2">
      <c r="A7235" s="496"/>
      <c r="D7235" s="496"/>
    </row>
    <row r="7236" spans="1:4" x14ac:dyDescent="0.2">
      <c r="A7236" s="496"/>
      <c r="D7236" s="496"/>
    </row>
    <row r="7237" spans="1:4" x14ac:dyDescent="0.2">
      <c r="A7237" s="496"/>
      <c r="D7237" s="496"/>
    </row>
    <row r="7238" spans="1:4" x14ac:dyDescent="0.2">
      <c r="A7238" s="496"/>
      <c r="D7238" s="496"/>
    </row>
    <row r="7239" spans="1:4" x14ac:dyDescent="0.2">
      <c r="A7239" s="496"/>
      <c r="D7239" s="496"/>
    </row>
    <row r="7240" spans="1:4" x14ac:dyDescent="0.2">
      <c r="A7240" s="496"/>
      <c r="D7240" s="496"/>
    </row>
    <row r="7241" spans="1:4" x14ac:dyDescent="0.2">
      <c r="A7241" s="496"/>
      <c r="D7241" s="496"/>
    </row>
    <row r="7242" spans="1:4" x14ac:dyDescent="0.2">
      <c r="A7242" s="496"/>
      <c r="D7242" s="496"/>
    </row>
    <row r="7243" spans="1:4" x14ac:dyDescent="0.2">
      <c r="A7243" s="496"/>
      <c r="D7243" s="496"/>
    </row>
    <row r="7244" spans="1:4" x14ac:dyDescent="0.2">
      <c r="A7244" s="496"/>
      <c r="D7244" s="496"/>
    </row>
    <row r="7245" spans="1:4" x14ac:dyDescent="0.2">
      <c r="A7245" s="496"/>
      <c r="D7245" s="496"/>
    </row>
    <row r="7246" spans="1:4" x14ac:dyDescent="0.2">
      <c r="A7246" s="496"/>
      <c r="D7246" s="496"/>
    </row>
    <row r="7247" spans="1:4" x14ac:dyDescent="0.2">
      <c r="A7247" s="496"/>
      <c r="D7247" s="496"/>
    </row>
    <row r="7248" spans="1:4" x14ac:dyDescent="0.2">
      <c r="A7248" s="496"/>
      <c r="D7248" s="496"/>
    </row>
    <row r="7249" spans="1:4" x14ac:dyDescent="0.2">
      <c r="A7249" s="496"/>
      <c r="D7249" s="496"/>
    </row>
    <row r="7250" spans="1:4" x14ac:dyDescent="0.2">
      <c r="A7250" s="496"/>
      <c r="D7250" s="496"/>
    </row>
    <row r="7251" spans="1:4" x14ac:dyDescent="0.2">
      <c r="A7251" s="496"/>
      <c r="D7251" s="496"/>
    </row>
    <row r="7252" spans="1:4" x14ac:dyDescent="0.2">
      <c r="A7252" s="496"/>
      <c r="D7252" s="496"/>
    </row>
    <row r="7253" spans="1:4" x14ac:dyDescent="0.2">
      <c r="A7253" s="496"/>
      <c r="D7253" s="496"/>
    </row>
    <row r="7254" spans="1:4" x14ac:dyDescent="0.2">
      <c r="A7254" s="496"/>
      <c r="D7254" s="496"/>
    </row>
    <row r="7255" spans="1:4" x14ac:dyDescent="0.2">
      <c r="A7255" s="496"/>
      <c r="D7255" s="496"/>
    </row>
    <row r="7256" spans="1:4" x14ac:dyDescent="0.2">
      <c r="A7256" s="496"/>
      <c r="D7256" s="496"/>
    </row>
    <row r="7257" spans="1:4" x14ac:dyDescent="0.2">
      <c r="A7257" s="496"/>
      <c r="D7257" s="496"/>
    </row>
    <row r="7258" spans="1:4" x14ac:dyDescent="0.2">
      <c r="A7258" s="496"/>
      <c r="D7258" s="496"/>
    </row>
    <row r="7259" spans="1:4" x14ac:dyDescent="0.2">
      <c r="A7259" s="496"/>
      <c r="D7259" s="496"/>
    </row>
    <row r="7260" spans="1:4" x14ac:dyDescent="0.2">
      <c r="A7260" s="496"/>
      <c r="D7260" s="496"/>
    </row>
    <row r="7261" spans="1:4" x14ac:dyDescent="0.2">
      <c r="A7261" s="496"/>
      <c r="D7261" s="496"/>
    </row>
    <row r="7262" spans="1:4" x14ac:dyDescent="0.2">
      <c r="A7262" s="496"/>
      <c r="D7262" s="496"/>
    </row>
    <row r="7263" spans="1:4" x14ac:dyDescent="0.2">
      <c r="A7263" s="496"/>
      <c r="D7263" s="496"/>
    </row>
    <row r="7264" spans="1:4" x14ac:dyDescent="0.2">
      <c r="A7264" s="496"/>
      <c r="D7264" s="496"/>
    </row>
    <row r="7265" spans="1:4" x14ac:dyDescent="0.2">
      <c r="A7265" s="496"/>
      <c r="D7265" s="496"/>
    </row>
    <row r="7266" spans="1:4" x14ac:dyDescent="0.2">
      <c r="A7266" s="496"/>
      <c r="D7266" s="496"/>
    </row>
    <row r="7267" spans="1:4" x14ac:dyDescent="0.2">
      <c r="A7267" s="496"/>
      <c r="D7267" s="496"/>
    </row>
    <row r="7268" spans="1:4" x14ac:dyDescent="0.2">
      <c r="A7268" s="496"/>
      <c r="D7268" s="496"/>
    </row>
    <row r="7269" spans="1:4" x14ac:dyDescent="0.2">
      <c r="A7269" s="496"/>
      <c r="D7269" s="496"/>
    </row>
    <row r="7270" spans="1:4" x14ac:dyDescent="0.2">
      <c r="A7270" s="496"/>
      <c r="D7270" s="496"/>
    </row>
    <row r="7271" spans="1:4" x14ac:dyDescent="0.2">
      <c r="A7271" s="496"/>
      <c r="D7271" s="496"/>
    </row>
    <row r="7272" spans="1:4" x14ac:dyDescent="0.2">
      <c r="A7272" s="496"/>
      <c r="D7272" s="496"/>
    </row>
    <row r="7273" spans="1:4" x14ac:dyDescent="0.2">
      <c r="A7273" s="496"/>
      <c r="D7273" s="496"/>
    </row>
    <row r="7274" spans="1:4" x14ac:dyDescent="0.2">
      <c r="A7274" s="496"/>
      <c r="D7274" s="496"/>
    </row>
    <row r="7275" spans="1:4" x14ac:dyDescent="0.2">
      <c r="A7275" s="496"/>
      <c r="D7275" s="496"/>
    </row>
    <row r="7276" spans="1:4" x14ac:dyDescent="0.2">
      <c r="A7276" s="496"/>
      <c r="D7276" s="496"/>
    </row>
    <row r="7277" spans="1:4" x14ac:dyDescent="0.2">
      <c r="A7277" s="496"/>
      <c r="D7277" s="496"/>
    </row>
    <row r="7278" spans="1:4" x14ac:dyDescent="0.2">
      <c r="A7278" s="496"/>
      <c r="D7278" s="496"/>
    </row>
    <row r="7279" spans="1:4" x14ac:dyDescent="0.2">
      <c r="A7279" s="496"/>
      <c r="D7279" s="496"/>
    </row>
    <row r="7280" spans="1:4" x14ac:dyDescent="0.2">
      <c r="A7280" s="496"/>
      <c r="D7280" s="496"/>
    </row>
    <row r="7281" spans="1:4" x14ac:dyDescent="0.2">
      <c r="A7281" s="496"/>
      <c r="D7281" s="496"/>
    </row>
    <row r="7282" spans="1:4" x14ac:dyDescent="0.2">
      <c r="A7282" s="496"/>
      <c r="D7282" s="496"/>
    </row>
    <row r="7283" spans="1:4" x14ac:dyDescent="0.2">
      <c r="A7283" s="496"/>
      <c r="D7283" s="496"/>
    </row>
    <row r="7284" spans="1:4" x14ac:dyDescent="0.2">
      <c r="A7284" s="496"/>
      <c r="D7284" s="496"/>
    </row>
    <row r="7285" spans="1:4" x14ac:dyDescent="0.2">
      <c r="A7285" s="496"/>
      <c r="D7285" s="496"/>
    </row>
    <row r="7286" spans="1:4" x14ac:dyDescent="0.2">
      <c r="A7286" s="496"/>
      <c r="D7286" s="496"/>
    </row>
    <row r="7287" spans="1:4" x14ac:dyDescent="0.2">
      <c r="A7287" s="496"/>
      <c r="D7287" s="496"/>
    </row>
    <row r="7288" spans="1:4" x14ac:dyDescent="0.2">
      <c r="A7288" s="496"/>
      <c r="D7288" s="496"/>
    </row>
    <row r="7289" spans="1:4" x14ac:dyDescent="0.2">
      <c r="A7289" s="496"/>
      <c r="D7289" s="496"/>
    </row>
    <row r="7290" spans="1:4" x14ac:dyDescent="0.2">
      <c r="A7290" s="496"/>
      <c r="D7290" s="496"/>
    </row>
    <row r="7291" spans="1:4" x14ac:dyDescent="0.2">
      <c r="A7291" s="496"/>
      <c r="D7291" s="496"/>
    </row>
    <row r="7292" spans="1:4" x14ac:dyDescent="0.2">
      <c r="A7292" s="496"/>
      <c r="D7292" s="496"/>
    </row>
    <row r="7293" spans="1:4" x14ac:dyDescent="0.2">
      <c r="A7293" s="496"/>
      <c r="D7293" s="496"/>
    </row>
    <row r="7294" spans="1:4" x14ac:dyDescent="0.2">
      <c r="A7294" s="496"/>
      <c r="D7294" s="496"/>
    </row>
    <row r="7295" spans="1:4" x14ac:dyDescent="0.2">
      <c r="A7295" s="496"/>
      <c r="D7295" s="496"/>
    </row>
    <row r="7296" spans="1:4" x14ac:dyDescent="0.2">
      <c r="A7296" s="496"/>
      <c r="D7296" s="496"/>
    </row>
    <row r="7297" spans="1:4" x14ac:dyDescent="0.2">
      <c r="A7297" s="496"/>
      <c r="D7297" s="496"/>
    </row>
    <row r="7298" spans="1:4" x14ac:dyDescent="0.2">
      <c r="A7298" s="496"/>
      <c r="D7298" s="496"/>
    </row>
    <row r="7299" spans="1:4" x14ac:dyDescent="0.2">
      <c r="A7299" s="496"/>
      <c r="D7299" s="496"/>
    </row>
    <row r="7300" spans="1:4" x14ac:dyDescent="0.2">
      <c r="A7300" s="496"/>
      <c r="D7300" s="496"/>
    </row>
    <row r="7301" spans="1:4" x14ac:dyDescent="0.2">
      <c r="A7301" s="496"/>
      <c r="D7301" s="496"/>
    </row>
    <row r="7302" spans="1:4" x14ac:dyDescent="0.2">
      <c r="A7302" s="496"/>
      <c r="D7302" s="496"/>
    </row>
    <row r="7303" spans="1:4" x14ac:dyDescent="0.2">
      <c r="A7303" s="496"/>
      <c r="D7303" s="496"/>
    </row>
    <row r="7304" spans="1:4" x14ac:dyDescent="0.2">
      <c r="A7304" s="496"/>
      <c r="D7304" s="496"/>
    </row>
    <row r="7305" spans="1:4" x14ac:dyDescent="0.2">
      <c r="A7305" s="496"/>
      <c r="D7305" s="496"/>
    </row>
    <row r="7306" spans="1:4" x14ac:dyDescent="0.2">
      <c r="A7306" s="496"/>
      <c r="D7306" s="496"/>
    </row>
    <row r="7307" spans="1:4" x14ac:dyDescent="0.2">
      <c r="A7307" s="496"/>
      <c r="D7307" s="496"/>
    </row>
    <row r="7308" spans="1:4" x14ac:dyDescent="0.2">
      <c r="A7308" s="496"/>
      <c r="D7308" s="496"/>
    </row>
    <row r="7309" spans="1:4" x14ac:dyDescent="0.2">
      <c r="A7309" s="496"/>
      <c r="D7309" s="496"/>
    </row>
    <row r="7310" spans="1:4" x14ac:dyDescent="0.2">
      <c r="A7310" s="496"/>
      <c r="D7310" s="496"/>
    </row>
    <row r="7311" spans="1:4" x14ac:dyDescent="0.2">
      <c r="A7311" s="496"/>
      <c r="D7311" s="496"/>
    </row>
    <row r="7312" spans="1:4" x14ac:dyDescent="0.2">
      <c r="A7312" s="496"/>
      <c r="D7312" s="496"/>
    </row>
    <row r="7313" spans="1:4" x14ac:dyDescent="0.2">
      <c r="A7313" s="496"/>
      <c r="D7313" s="496"/>
    </row>
    <row r="7314" spans="1:4" x14ac:dyDescent="0.2">
      <c r="A7314" s="496"/>
      <c r="D7314" s="496"/>
    </row>
    <row r="7315" spans="1:4" x14ac:dyDescent="0.2">
      <c r="A7315" s="496"/>
      <c r="D7315" s="496"/>
    </row>
    <row r="7316" spans="1:4" x14ac:dyDescent="0.2">
      <c r="A7316" s="496"/>
      <c r="D7316" s="496"/>
    </row>
    <row r="7317" spans="1:4" x14ac:dyDescent="0.2">
      <c r="A7317" s="496"/>
      <c r="D7317" s="496"/>
    </row>
    <row r="7318" spans="1:4" x14ac:dyDescent="0.2">
      <c r="A7318" s="496"/>
      <c r="D7318" s="496"/>
    </row>
    <row r="7319" spans="1:4" x14ac:dyDescent="0.2">
      <c r="A7319" s="496"/>
      <c r="D7319" s="496"/>
    </row>
    <row r="7320" spans="1:4" x14ac:dyDescent="0.2">
      <c r="A7320" s="496"/>
      <c r="D7320" s="496"/>
    </row>
    <row r="7321" spans="1:4" x14ac:dyDescent="0.2">
      <c r="A7321" s="496"/>
      <c r="D7321" s="496"/>
    </row>
    <row r="7322" spans="1:4" x14ac:dyDescent="0.2">
      <c r="A7322" s="496"/>
      <c r="D7322" s="496"/>
    </row>
    <row r="7323" spans="1:4" x14ac:dyDescent="0.2">
      <c r="A7323" s="496"/>
      <c r="D7323" s="496"/>
    </row>
    <row r="7324" spans="1:4" x14ac:dyDescent="0.2">
      <c r="A7324" s="496"/>
      <c r="D7324" s="496"/>
    </row>
    <row r="7325" spans="1:4" x14ac:dyDescent="0.2">
      <c r="A7325" s="496"/>
      <c r="D7325" s="496"/>
    </row>
    <row r="7326" spans="1:4" x14ac:dyDescent="0.2">
      <c r="A7326" s="496"/>
      <c r="D7326" s="496"/>
    </row>
    <row r="7327" spans="1:4" x14ac:dyDescent="0.2">
      <c r="A7327" s="496"/>
      <c r="D7327" s="496"/>
    </row>
    <row r="7328" spans="1:4" x14ac:dyDescent="0.2">
      <c r="A7328" s="496"/>
      <c r="D7328" s="496"/>
    </row>
    <row r="7329" spans="1:4" x14ac:dyDescent="0.2">
      <c r="A7329" s="496"/>
      <c r="D7329" s="496"/>
    </row>
    <row r="7330" spans="1:4" x14ac:dyDescent="0.2">
      <c r="A7330" s="496"/>
      <c r="D7330" s="496"/>
    </row>
    <row r="7331" spans="1:4" x14ac:dyDescent="0.2">
      <c r="A7331" s="496"/>
      <c r="D7331" s="496"/>
    </row>
    <row r="7332" spans="1:4" x14ac:dyDescent="0.2">
      <c r="A7332" s="496"/>
      <c r="D7332" s="496"/>
    </row>
    <row r="7333" spans="1:4" x14ac:dyDescent="0.2">
      <c r="A7333" s="496"/>
      <c r="D7333" s="496"/>
    </row>
    <row r="7334" spans="1:4" x14ac:dyDescent="0.2">
      <c r="A7334" s="496"/>
      <c r="D7334" s="496"/>
    </row>
    <row r="7335" spans="1:4" x14ac:dyDescent="0.2">
      <c r="A7335" s="496"/>
      <c r="D7335" s="496"/>
    </row>
    <row r="7336" spans="1:4" x14ac:dyDescent="0.2">
      <c r="A7336" s="496"/>
      <c r="D7336" s="496"/>
    </row>
    <row r="7337" spans="1:4" x14ac:dyDescent="0.2">
      <c r="A7337" s="496"/>
      <c r="D7337" s="496"/>
    </row>
    <row r="7338" spans="1:4" x14ac:dyDescent="0.2">
      <c r="A7338" s="496"/>
      <c r="D7338" s="496"/>
    </row>
    <row r="7339" spans="1:4" x14ac:dyDescent="0.2">
      <c r="A7339" s="496"/>
      <c r="D7339" s="496"/>
    </row>
    <row r="7340" spans="1:4" x14ac:dyDescent="0.2">
      <c r="A7340" s="496"/>
      <c r="D7340" s="496"/>
    </row>
    <row r="7341" spans="1:4" x14ac:dyDescent="0.2">
      <c r="A7341" s="496"/>
      <c r="D7341" s="496"/>
    </row>
    <row r="7342" spans="1:4" x14ac:dyDescent="0.2">
      <c r="A7342" s="496"/>
      <c r="D7342" s="496"/>
    </row>
    <row r="7343" spans="1:4" x14ac:dyDescent="0.2">
      <c r="A7343" s="496"/>
      <c r="D7343" s="496"/>
    </row>
    <row r="7344" spans="1:4" x14ac:dyDescent="0.2">
      <c r="A7344" s="496"/>
      <c r="D7344" s="496"/>
    </row>
    <row r="7345" spans="1:4" x14ac:dyDescent="0.2">
      <c r="A7345" s="496"/>
      <c r="D7345" s="496"/>
    </row>
    <row r="7346" spans="1:4" x14ac:dyDescent="0.2">
      <c r="A7346" s="496"/>
      <c r="D7346" s="496"/>
    </row>
    <row r="7347" spans="1:4" x14ac:dyDescent="0.2">
      <c r="A7347" s="496"/>
      <c r="D7347" s="496"/>
    </row>
    <row r="7348" spans="1:4" x14ac:dyDescent="0.2">
      <c r="A7348" s="496"/>
      <c r="D7348" s="496"/>
    </row>
    <row r="7349" spans="1:4" x14ac:dyDescent="0.2">
      <c r="A7349" s="496"/>
      <c r="D7349" s="496"/>
    </row>
    <row r="7350" spans="1:4" x14ac:dyDescent="0.2">
      <c r="A7350" s="496"/>
      <c r="D7350" s="496"/>
    </row>
    <row r="7351" spans="1:4" x14ac:dyDescent="0.2">
      <c r="A7351" s="496"/>
      <c r="D7351" s="496"/>
    </row>
    <row r="7352" spans="1:4" x14ac:dyDescent="0.2">
      <c r="A7352" s="496"/>
      <c r="D7352" s="496"/>
    </row>
    <row r="7353" spans="1:4" x14ac:dyDescent="0.2">
      <c r="A7353" s="496"/>
      <c r="D7353" s="496"/>
    </row>
    <row r="7354" spans="1:4" x14ac:dyDescent="0.2">
      <c r="A7354" s="496"/>
      <c r="D7354" s="496"/>
    </row>
    <row r="7355" spans="1:4" x14ac:dyDescent="0.2">
      <c r="A7355" s="496"/>
      <c r="D7355" s="496"/>
    </row>
    <row r="7356" spans="1:4" x14ac:dyDescent="0.2">
      <c r="A7356" s="496"/>
      <c r="D7356" s="496"/>
    </row>
    <row r="7357" spans="1:4" x14ac:dyDescent="0.2">
      <c r="A7357" s="496"/>
      <c r="D7357" s="496"/>
    </row>
    <row r="7358" spans="1:4" x14ac:dyDescent="0.2">
      <c r="A7358" s="496"/>
      <c r="D7358" s="496"/>
    </row>
    <row r="7359" spans="1:4" x14ac:dyDescent="0.2">
      <c r="A7359" s="496"/>
      <c r="D7359" s="496"/>
    </row>
    <row r="7360" spans="1:4" x14ac:dyDescent="0.2">
      <c r="A7360" s="496"/>
      <c r="D7360" s="496"/>
    </row>
    <row r="7361" spans="1:4" x14ac:dyDescent="0.2">
      <c r="A7361" s="496"/>
      <c r="D7361" s="496"/>
    </row>
    <row r="7362" spans="1:4" x14ac:dyDescent="0.2">
      <c r="A7362" s="496"/>
      <c r="D7362" s="496"/>
    </row>
    <row r="7363" spans="1:4" x14ac:dyDescent="0.2">
      <c r="A7363" s="496"/>
      <c r="D7363" s="496"/>
    </row>
    <row r="7364" spans="1:4" x14ac:dyDescent="0.2">
      <c r="A7364" s="496"/>
      <c r="D7364" s="496"/>
    </row>
    <row r="7365" spans="1:4" x14ac:dyDescent="0.2">
      <c r="A7365" s="496"/>
      <c r="D7365" s="496"/>
    </row>
    <row r="7366" spans="1:4" x14ac:dyDescent="0.2">
      <c r="A7366" s="496"/>
      <c r="D7366" s="496"/>
    </row>
    <row r="7367" spans="1:4" x14ac:dyDescent="0.2">
      <c r="A7367" s="496"/>
      <c r="D7367" s="496"/>
    </row>
    <row r="7368" spans="1:4" x14ac:dyDescent="0.2">
      <c r="A7368" s="496"/>
      <c r="D7368" s="496"/>
    </row>
    <row r="7369" spans="1:4" x14ac:dyDescent="0.2">
      <c r="A7369" s="496"/>
      <c r="D7369" s="496"/>
    </row>
    <row r="7370" spans="1:4" x14ac:dyDescent="0.2">
      <c r="A7370" s="496"/>
      <c r="D7370" s="496"/>
    </row>
    <row r="7371" spans="1:4" x14ac:dyDescent="0.2">
      <c r="A7371" s="496"/>
      <c r="D7371" s="496"/>
    </row>
    <row r="7372" spans="1:4" x14ac:dyDescent="0.2">
      <c r="A7372" s="496"/>
      <c r="D7372" s="496"/>
    </row>
    <row r="7373" spans="1:4" x14ac:dyDescent="0.2">
      <c r="A7373" s="496"/>
      <c r="D7373" s="496"/>
    </row>
    <row r="7374" spans="1:4" x14ac:dyDescent="0.2">
      <c r="A7374" s="496"/>
      <c r="D7374" s="496"/>
    </row>
    <row r="7375" spans="1:4" x14ac:dyDescent="0.2">
      <c r="A7375" s="496"/>
      <c r="D7375" s="496"/>
    </row>
    <row r="7376" spans="1:4" x14ac:dyDescent="0.2">
      <c r="A7376" s="496"/>
      <c r="D7376" s="496"/>
    </row>
    <row r="7377" spans="1:4" x14ac:dyDescent="0.2">
      <c r="A7377" s="496"/>
      <c r="D7377" s="496"/>
    </row>
    <row r="7378" spans="1:4" x14ac:dyDescent="0.2">
      <c r="A7378" s="496"/>
      <c r="D7378" s="496"/>
    </row>
    <row r="7379" spans="1:4" x14ac:dyDescent="0.2">
      <c r="A7379" s="496"/>
      <c r="D7379" s="496"/>
    </row>
    <row r="7380" spans="1:4" x14ac:dyDescent="0.2">
      <c r="A7380" s="496"/>
      <c r="D7380" s="496"/>
    </row>
    <row r="7381" spans="1:4" x14ac:dyDescent="0.2">
      <c r="A7381" s="496"/>
      <c r="D7381" s="496"/>
    </row>
    <row r="7382" spans="1:4" x14ac:dyDescent="0.2">
      <c r="A7382" s="496"/>
      <c r="D7382" s="496"/>
    </row>
    <row r="7383" spans="1:4" x14ac:dyDescent="0.2">
      <c r="A7383" s="496"/>
      <c r="D7383" s="496"/>
    </row>
    <row r="7384" spans="1:4" x14ac:dyDescent="0.2">
      <c r="A7384" s="496"/>
      <c r="D7384" s="496"/>
    </row>
    <row r="7385" spans="1:4" x14ac:dyDescent="0.2">
      <c r="A7385" s="496"/>
      <c r="D7385" s="496"/>
    </row>
    <row r="7386" spans="1:4" x14ac:dyDescent="0.2">
      <c r="A7386" s="496"/>
      <c r="D7386" s="496"/>
    </row>
    <row r="7387" spans="1:4" x14ac:dyDescent="0.2">
      <c r="A7387" s="496"/>
      <c r="D7387" s="496"/>
    </row>
    <row r="7388" spans="1:4" x14ac:dyDescent="0.2">
      <c r="A7388" s="496"/>
      <c r="D7388" s="496"/>
    </row>
    <row r="7389" spans="1:4" x14ac:dyDescent="0.2">
      <c r="A7389" s="496"/>
      <c r="D7389" s="496"/>
    </row>
    <row r="7390" spans="1:4" x14ac:dyDescent="0.2">
      <c r="A7390" s="496"/>
      <c r="D7390" s="496"/>
    </row>
    <row r="7391" spans="1:4" x14ac:dyDescent="0.2">
      <c r="A7391" s="496"/>
      <c r="D7391" s="496"/>
    </row>
    <row r="7392" spans="1:4" x14ac:dyDescent="0.2">
      <c r="A7392" s="496"/>
      <c r="D7392" s="496"/>
    </row>
    <row r="7393" spans="1:4" x14ac:dyDescent="0.2">
      <c r="A7393" s="496"/>
      <c r="D7393" s="496"/>
    </row>
    <row r="7394" spans="1:4" x14ac:dyDescent="0.2">
      <c r="A7394" s="496"/>
      <c r="D7394" s="496"/>
    </row>
    <row r="7395" spans="1:4" x14ac:dyDescent="0.2">
      <c r="A7395" s="496"/>
      <c r="D7395" s="496"/>
    </row>
    <row r="7396" spans="1:4" x14ac:dyDescent="0.2">
      <c r="A7396" s="496"/>
      <c r="D7396" s="496"/>
    </row>
    <row r="7397" spans="1:4" x14ac:dyDescent="0.2">
      <c r="A7397" s="496"/>
      <c r="D7397" s="496"/>
    </row>
    <row r="7398" spans="1:4" x14ac:dyDescent="0.2">
      <c r="A7398" s="496"/>
      <c r="D7398" s="496"/>
    </row>
    <row r="7399" spans="1:4" x14ac:dyDescent="0.2">
      <c r="A7399" s="496"/>
      <c r="D7399" s="496"/>
    </row>
    <row r="7400" spans="1:4" x14ac:dyDescent="0.2">
      <c r="A7400" s="496"/>
      <c r="D7400" s="496"/>
    </row>
    <row r="7401" spans="1:4" x14ac:dyDescent="0.2">
      <c r="A7401" s="496"/>
      <c r="D7401" s="496"/>
    </row>
    <row r="7402" spans="1:4" x14ac:dyDescent="0.2">
      <c r="A7402" s="496"/>
      <c r="D7402" s="496"/>
    </row>
    <row r="7403" spans="1:4" x14ac:dyDescent="0.2">
      <c r="A7403" s="496"/>
      <c r="D7403" s="496"/>
    </row>
    <row r="7404" spans="1:4" x14ac:dyDescent="0.2">
      <c r="A7404" s="496"/>
      <c r="D7404" s="496"/>
    </row>
    <row r="7405" spans="1:4" x14ac:dyDescent="0.2">
      <c r="A7405" s="496"/>
      <c r="D7405" s="496"/>
    </row>
    <row r="7406" spans="1:4" x14ac:dyDescent="0.2">
      <c r="A7406" s="496"/>
      <c r="D7406" s="496"/>
    </row>
    <row r="7407" spans="1:4" x14ac:dyDescent="0.2">
      <c r="A7407" s="496"/>
      <c r="D7407" s="496"/>
    </row>
    <row r="7408" spans="1:4" x14ac:dyDescent="0.2">
      <c r="A7408" s="496"/>
      <c r="D7408" s="496"/>
    </row>
    <row r="7409" spans="1:4" x14ac:dyDescent="0.2">
      <c r="A7409" s="496"/>
      <c r="D7409" s="496"/>
    </row>
    <row r="7410" spans="1:4" x14ac:dyDescent="0.2">
      <c r="A7410" s="496"/>
      <c r="D7410" s="496"/>
    </row>
    <row r="7411" spans="1:4" x14ac:dyDescent="0.2">
      <c r="A7411" s="496"/>
      <c r="D7411" s="496"/>
    </row>
    <row r="7412" spans="1:4" x14ac:dyDescent="0.2">
      <c r="A7412" s="496"/>
      <c r="D7412" s="496"/>
    </row>
    <row r="7413" spans="1:4" x14ac:dyDescent="0.2">
      <c r="A7413" s="496"/>
      <c r="D7413" s="496"/>
    </row>
    <row r="7414" spans="1:4" x14ac:dyDescent="0.2">
      <c r="A7414" s="496"/>
      <c r="D7414" s="496"/>
    </row>
    <row r="7415" spans="1:4" x14ac:dyDescent="0.2">
      <c r="A7415" s="496"/>
      <c r="D7415" s="496"/>
    </row>
    <row r="7416" spans="1:4" x14ac:dyDescent="0.2">
      <c r="A7416" s="496"/>
      <c r="D7416" s="496"/>
    </row>
    <row r="7417" spans="1:4" x14ac:dyDescent="0.2">
      <c r="A7417" s="496"/>
      <c r="D7417" s="496"/>
    </row>
    <row r="7418" spans="1:4" x14ac:dyDescent="0.2">
      <c r="A7418" s="496"/>
      <c r="D7418" s="496"/>
    </row>
    <row r="7419" spans="1:4" x14ac:dyDescent="0.2">
      <c r="A7419" s="496"/>
      <c r="D7419" s="496"/>
    </row>
    <row r="7420" spans="1:4" x14ac:dyDescent="0.2">
      <c r="A7420" s="496"/>
      <c r="D7420" s="496"/>
    </row>
    <row r="7421" spans="1:4" x14ac:dyDescent="0.2">
      <c r="A7421" s="496"/>
      <c r="D7421" s="496"/>
    </row>
    <row r="7422" spans="1:4" x14ac:dyDescent="0.2">
      <c r="A7422" s="496"/>
      <c r="D7422" s="496"/>
    </row>
    <row r="7423" spans="1:4" x14ac:dyDescent="0.2">
      <c r="A7423" s="496"/>
      <c r="D7423" s="496"/>
    </row>
    <row r="7424" spans="1:4" x14ac:dyDescent="0.2">
      <c r="A7424" s="496"/>
      <c r="D7424" s="496"/>
    </row>
    <row r="7425" spans="1:4" x14ac:dyDescent="0.2">
      <c r="A7425" s="496"/>
      <c r="D7425" s="496"/>
    </row>
    <row r="7426" spans="1:4" x14ac:dyDescent="0.2">
      <c r="A7426" s="496"/>
      <c r="D7426" s="496"/>
    </row>
    <row r="7427" spans="1:4" x14ac:dyDescent="0.2">
      <c r="A7427" s="496"/>
      <c r="D7427" s="496"/>
    </row>
    <row r="7428" spans="1:4" x14ac:dyDescent="0.2">
      <c r="A7428" s="496"/>
      <c r="D7428" s="496"/>
    </row>
    <row r="7429" spans="1:4" x14ac:dyDescent="0.2">
      <c r="A7429" s="496"/>
      <c r="D7429" s="496"/>
    </row>
    <row r="7430" spans="1:4" x14ac:dyDescent="0.2">
      <c r="A7430" s="496"/>
      <c r="D7430" s="496"/>
    </row>
    <row r="7431" spans="1:4" x14ac:dyDescent="0.2">
      <c r="A7431" s="496"/>
      <c r="D7431" s="496"/>
    </row>
    <row r="7432" spans="1:4" x14ac:dyDescent="0.2">
      <c r="A7432" s="496"/>
      <c r="D7432" s="496"/>
    </row>
    <row r="7433" spans="1:4" x14ac:dyDescent="0.2">
      <c r="A7433" s="496"/>
      <c r="D7433" s="496"/>
    </row>
    <row r="7434" spans="1:4" x14ac:dyDescent="0.2">
      <c r="A7434" s="496"/>
      <c r="D7434" s="496"/>
    </row>
    <row r="7435" spans="1:4" x14ac:dyDescent="0.2">
      <c r="A7435" s="496"/>
      <c r="D7435" s="496"/>
    </row>
    <row r="7436" spans="1:4" x14ac:dyDescent="0.2">
      <c r="A7436" s="496"/>
      <c r="D7436" s="496"/>
    </row>
    <row r="7437" spans="1:4" x14ac:dyDescent="0.2">
      <c r="A7437" s="496"/>
      <c r="D7437" s="496"/>
    </row>
    <row r="7438" spans="1:4" x14ac:dyDescent="0.2">
      <c r="A7438" s="496"/>
      <c r="D7438" s="496"/>
    </row>
    <row r="7439" spans="1:4" x14ac:dyDescent="0.2">
      <c r="A7439" s="496"/>
      <c r="D7439" s="496"/>
    </row>
    <row r="7440" spans="1:4" x14ac:dyDescent="0.2">
      <c r="A7440" s="496"/>
      <c r="D7440" s="496"/>
    </row>
    <row r="7441" spans="1:4" x14ac:dyDescent="0.2">
      <c r="A7441" s="496"/>
      <c r="D7441" s="496"/>
    </row>
    <row r="7442" spans="1:4" x14ac:dyDescent="0.2">
      <c r="A7442" s="496"/>
      <c r="D7442" s="496"/>
    </row>
    <row r="7443" spans="1:4" x14ac:dyDescent="0.2">
      <c r="A7443" s="496"/>
      <c r="D7443" s="496"/>
    </row>
    <row r="7444" spans="1:4" x14ac:dyDescent="0.2">
      <c r="A7444" s="496"/>
      <c r="D7444" s="496"/>
    </row>
    <row r="7445" spans="1:4" x14ac:dyDescent="0.2">
      <c r="A7445" s="496"/>
      <c r="D7445" s="496"/>
    </row>
    <row r="7446" spans="1:4" x14ac:dyDescent="0.2">
      <c r="A7446" s="496"/>
      <c r="D7446" s="496"/>
    </row>
    <row r="7447" spans="1:4" x14ac:dyDescent="0.2">
      <c r="A7447" s="496"/>
      <c r="D7447" s="496"/>
    </row>
    <row r="7448" spans="1:4" x14ac:dyDescent="0.2">
      <c r="A7448" s="496"/>
      <c r="D7448" s="496"/>
    </row>
    <row r="7449" spans="1:4" x14ac:dyDescent="0.2">
      <c r="A7449" s="496"/>
      <c r="D7449" s="496"/>
    </row>
    <row r="7450" spans="1:4" x14ac:dyDescent="0.2">
      <c r="A7450" s="496"/>
      <c r="D7450" s="496"/>
    </row>
    <row r="7451" spans="1:4" x14ac:dyDescent="0.2">
      <c r="A7451" s="496"/>
      <c r="D7451" s="496"/>
    </row>
    <row r="7452" spans="1:4" x14ac:dyDescent="0.2">
      <c r="A7452" s="496"/>
      <c r="D7452" s="496"/>
    </row>
    <row r="7453" spans="1:4" x14ac:dyDescent="0.2">
      <c r="A7453" s="496"/>
      <c r="D7453" s="496"/>
    </row>
    <row r="7454" spans="1:4" x14ac:dyDescent="0.2">
      <c r="A7454" s="496"/>
      <c r="D7454" s="496"/>
    </row>
    <row r="7455" spans="1:4" x14ac:dyDescent="0.2">
      <c r="A7455" s="496"/>
      <c r="D7455" s="496"/>
    </row>
    <row r="7456" spans="1:4" x14ac:dyDescent="0.2">
      <c r="A7456" s="496"/>
      <c r="D7456" s="496"/>
    </row>
    <row r="7457" spans="1:4" x14ac:dyDescent="0.2">
      <c r="A7457" s="496"/>
      <c r="D7457" s="496"/>
    </row>
    <row r="7458" spans="1:4" x14ac:dyDescent="0.2">
      <c r="A7458" s="496"/>
      <c r="D7458" s="496"/>
    </row>
    <row r="7459" spans="1:4" x14ac:dyDescent="0.2">
      <c r="A7459" s="496"/>
      <c r="D7459" s="496"/>
    </row>
    <row r="7460" spans="1:4" x14ac:dyDescent="0.2">
      <c r="A7460" s="496"/>
      <c r="D7460" s="496"/>
    </row>
    <row r="7461" spans="1:4" x14ac:dyDescent="0.2">
      <c r="A7461" s="496"/>
      <c r="D7461" s="496"/>
    </row>
    <row r="7462" spans="1:4" x14ac:dyDescent="0.2">
      <c r="A7462" s="496"/>
      <c r="D7462" s="496"/>
    </row>
    <row r="7463" spans="1:4" x14ac:dyDescent="0.2">
      <c r="A7463" s="496"/>
      <c r="D7463" s="496"/>
    </row>
    <row r="7464" spans="1:4" x14ac:dyDescent="0.2">
      <c r="A7464" s="496"/>
      <c r="D7464" s="496"/>
    </row>
    <row r="7465" spans="1:4" x14ac:dyDescent="0.2">
      <c r="A7465" s="496"/>
      <c r="D7465" s="496"/>
    </row>
    <row r="7466" spans="1:4" x14ac:dyDescent="0.2">
      <c r="A7466" s="496"/>
      <c r="D7466" s="496"/>
    </row>
    <row r="7467" spans="1:4" x14ac:dyDescent="0.2">
      <c r="A7467" s="496"/>
      <c r="D7467" s="496"/>
    </row>
    <row r="7468" spans="1:4" x14ac:dyDescent="0.2">
      <c r="A7468" s="496"/>
      <c r="D7468" s="496"/>
    </row>
    <row r="7469" spans="1:4" x14ac:dyDescent="0.2">
      <c r="A7469" s="496"/>
      <c r="D7469" s="496"/>
    </row>
    <row r="7470" spans="1:4" x14ac:dyDescent="0.2">
      <c r="A7470" s="496"/>
      <c r="D7470" s="496"/>
    </row>
    <row r="7471" spans="1:4" x14ac:dyDescent="0.2">
      <c r="A7471" s="496"/>
      <c r="D7471" s="496"/>
    </row>
    <row r="7472" spans="1:4" x14ac:dyDescent="0.2">
      <c r="A7472" s="496"/>
      <c r="D7472" s="496"/>
    </row>
    <row r="7473" spans="1:4" x14ac:dyDescent="0.2">
      <c r="A7473" s="496"/>
      <c r="D7473" s="496"/>
    </row>
    <row r="7474" spans="1:4" x14ac:dyDescent="0.2">
      <c r="A7474" s="496"/>
      <c r="D7474" s="496"/>
    </row>
    <row r="7475" spans="1:4" x14ac:dyDescent="0.2">
      <c r="A7475" s="496"/>
      <c r="D7475" s="496"/>
    </row>
    <row r="7476" spans="1:4" x14ac:dyDescent="0.2">
      <c r="A7476" s="496"/>
      <c r="D7476" s="496"/>
    </row>
    <row r="7477" spans="1:4" x14ac:dyDescent="0.2">
      <c r="A7477" s="496"/>
      <c r="D7477" s="496"/>
    </row>
    <row r="7478" spans="1:4" x14ac:dyDescent="0.2">
      <c r="A7478" s="496"/>
      <c r="D7478" s="496"/>
    </row>
    <row r="7479" spans="1:4" x14ac:dyDescent="0.2">
      <c r="A7479" s="496"/>
      <c r="D7479" s="496"/>
    </row>
    <row r="7480" spans="1:4" x14ac:dyDescent="0.2">
      <c r="A7480" s="496"/>
      <c r="D7480" s="496"/>
    </row>
    <row r="7481" spans="1:4" x14ac:dyDescent="0.2">
      <c r="A7481" s="496"/>
      <c r="D7481" s="496"/>
    </row>
    <row r="7482" spans="1:4" x14ac:dyDescent="0.2">
      <c r="A7482" s="496"/>
      <c r="D7482" s="496"/>
    </row>
    <row r="7483" spans="1:4" x14ac:dyDescent="0.2">
      <c r="A7483" s="496"/>
      <c r="D7483" s="496"/>
    </row>
    <row r="7484" spans="1:4" x14ac:dyDescent="0.2">
      <c r="A7484" s="496"/>
      <c r="D7484" s="496"/>
    </row>
    <row r="7485" spans="1:4" x14ac:dyDescent="0.2">
      <c r="A7485" s="496"/>
      <c r="D7485" s="496"/>
    </row>
    <row r="7486" spans="1:4" x14ac:dyDescent="0.2">
      <c r="A7486" s="496"/>
      <c r="D7486" s="496"/>
    </row>
    <row r="7487" spans="1:4" x14ac:dyDescent="0.2">
      <c r="A7487" s="496"/>
      <c r="D7487" s="496"/>
    </row>
    <row r="7488" spans="1:4" x14ac:dyDescent="0.2">
      <c r="A7488" s="496"/>
      <c r="D7488" s="496"/>
    </row>
    <row r="7489" spans="1:4" x14ac:dyDescent="0.2">
      <c r="A7489" s="496"/>
      <c r="D7489" s="496"/>
    </row>
    <row r="7490" spans="1:4" x14ac:dyDescent="0.2">
      <c r="A7490" s="496"/>
      <c r="D7490" s="496"/>
    </row>
    <row r="7491" spans="1:4" x14ac:dyDescent="0.2">
      <c r="A7491" s="496"/>
      <c r="D7491" s="496"/>
    </row>
    <row r="7492" spans="1:4" x14ac:dyDescent="0.2">
      <c r="A7492" s="496"/>
      <c r="D7492" s="496"/>
    </row>
    <row r="7493" spans="1:4" x14ac:dyDescent="0.2">
      <c r="A7493" s="496"/>
      <c r="D7493" s="496"/>
    </row>
    <row r="7494" spans="1:4" x14ac:dyDescent="0.2">
      <c r="A7494" s="496"/>
      <c r="D7494" s="496"/>
    </row>
    <row r="7495" spans="1:4" x14ac:dyDescent="0.2">
      <c r="A7495" s="496"/>
      <c r="D7495" s="496"/>
    </row>
    <row r="7496" spans="1:4" x14ac:dyDescent="0.2">
      <c r="A7496" s="496"/>
      <c r="D7496" s="496"/>
    </row>
    <row r="7497" spans="1:4" x14ac:dyDescent="0.2">
      <c r="A7497" s="496"/>
      <c r="D7497" s="496"/>
    </row>
    <row r="7498" spans="1:4" x14ac:dyDescent="0.2">
      <c r="A7498" s="496"/>
      <c r="D7498" s="496"/>
    </row>
    <row r="7499" spans="1:4" x14ac:dyDescent="0.2">
      <c r="A7499" s="496"/>
      <c r="D7499" s="496"/>
    </row>
    <row r="7500" spans="1:4" x14ac:dyDescent="0.2">
      <c r="A7500" s="496"/>
      <c r="D7500" s="496"/>
    </row>
    <row r="7501" spans="1:4" x14ac:dyDescent="0.2">
      <c r="A7501" s="496"/>
      <c r="D7501" s="496"/>
    </row>
    <row r="7502" spans="1:4" x14ac:dyDescent="0.2">
      <c r="A7502" s="496"/>
      <c r="D7502" s="496"/>
    </row>
    <row r="7503" spans="1:4" x14ac:dyDescent="0.2">
      <c r="A7503" s="496"/>
      <c r="D7503" s="496"/>
    </row>
    <row r="7504" spans="1:4" x14ac:dyDescent="0.2">
      <c r="A7504" s="496"/>
      <c r="D7504" s="496"/>
    </row>
    <row r="7505" spans="1:4" x14ac:dyDescent="0.2">
      <c r="A7505" s="496"/>
      <c r="D7505" s="496"/>
    </row>
    <row r="7506" spans="1:4" x14ac:dyDescent="0.2">
      <c r="A7506" s="496"/>
      <c r="D7506" s="496"/>
    </row>
    <row r="7507" spans="1:4" x14ac:dyDescent="0.2">
      <c r="A7507" s="496"/>
      <c r="D7507" s="496"/>
    </row>
    <row r="7508" spans="1:4" x14ac:dyDescent="0.2">
      <c r="A7508" s="496"/>
      <c r="D7508" s="496"/>
    </row>
    <row r="7509" spans="1:4" x14ac:dyDescent="0.2">
      <c r="A7509" s="496"/>
      <c r="D7509" s="496"/>
    </row>
    <row r="7510" spans="1:4" x14ac:dyDescent="0.2">
      <c r="A7510" s="496"/>
      <c r="D7510" s="496"/>
    </row>
    <row r="7511" spans="1:4" x14ac:dyDescent="0.2">
      <c r="A7511" s="496"/>
      <c r="D7511" s="496"/>
    </row>
    <row r="7512" spans="1:4" x14ac:dyDescent="0.2">
      <c r="A7512" s="496"/>
      <c r="D7512" s="496"/>
    </row>
    <row r="7513" spans="1:4" x14ac:dyDescent="0.2">
      <c r="A7513" s="496"/>
      <c r="D7513" s="496"/>
    </row>
    <row r="7514" spans="1:4" x14ac:dyDescent="0.2">
      <c r="A7514" s="496"/>
      <c r="D7514" s="496"/>
    </row>
    <row r="7515" spans="1:4" x14ac:dyDescent="0.2">
      <c r="A7515" s="496"/>
      <c r="D7515" s="496"/>
    </row>
    <row r="7516" spans="1:4" x14ac:dyDescent="0.2">
      <c r="A7516" s="496"/>
      <c r="D7516" s="496"/>
    </row>
    <row r="7517" spans="1:4" x14ac:dyDescent="0.2">
      <c r="A7517" s="496"/>
      <c r="D7517" s="496"/>
    </row>
    <row r="7518" spans="1:4" x14ac:dyDescent="0.2">
      <c r="A7518" s="496"/>
      <c r="D7518" s="496"/>
    </row>
    <row r="7519" spans="1:4" x14ac:dyDescent="0.2">
      <c r="A7519" s="496"/>
      <c r="D7519" s="496"/>
    </row>
    <row r="7520" spans="1:4" x14ac:dyDescent="0.2">
      <c r="A7520" s="496"/>
      <c r="D7520" s="496"/>
    </row>
    <row r="7521" spans="1:4" x14ac:dyDescent="0.2">
      <c r="A7521" s="496"/>
      <c r="D7521" s="496"/>
    </row>
    <row r="7522" spans="1:4" x14ac:dyDescent="0.2">
      <c r="A7522" s="496"/>
      <c r="D7522" s="496"/>
    </row>
    <row r="7523" spans="1:4" x14ac:dyDescent="0.2">
      <c r="A7523" s="496"/>
      <c r="D7523" s="496"/>
    </row>
    <row r="7524" spans="1:4" x14ac:dyDescent="0.2">
      <c r="A7524" s="496"/>
      <c r="D7524" s="496"/>
    </row>
    <row r="7525" spans="1:4" x14ac:dyDescent="0.2">
      <c r="A7525" s="496"/>
      <c r="D7525" s="496"/>
    </row>
    <row r="7526" spans="1:4" x14ac:dyDescent="0.2">
      <c r="A7526" s="496"/>
      <c r="D7526" s="496"/>
    </row>
    <row r="7527" spans="1:4" x14ac:dyDescent="0.2">
      <c r="A7527" s="496"/>
      <c r="D7527" s="496"/>
    </row>
    <row r="7528" spans="1:4" x14ac:dyDescent="0.2">
      <c r="A7528" s="496"/>
      <c r="D7528" s="496"/>
    </row>
    <row r="7529" spans="1:4" x14ac:dyDescent="0.2">
      <c r="A7529" s="496"/>
      <c r="D7529" s="496"/>
    </row>
    <row r="7530" spans="1:4" x14ac:dyDescent="0.2">
      <c r="A7530" s="496"/>
      <c r="D7530" s="496"/>
    </row>
    <row r="7531" spans="1:4" x14ac:dyDescent="0.2">
      <c r="A7531" s="496"/>
      <c r="D7531" s="496"/>
    </row>
    <row r="7532" spans="1:4" x14ac:dyDescent="0.2">
      <c r="A7532" s="496"/>
      <c r="D7532" s="496"/>
    </row>
    <row r="7533" spans="1:4" x14ac:dyDescent="0.2">
      <c r="A7533" s="496"/>
      <c r="D7533" s="496"/>
    </row>
    <row r="7534" spans="1:4" x14ac:dyDescent="0.2">
      <c r="A7534" s="496"/>
      <c r="D7534" s="496"/>
    </row>
    <row r="7535" spans="1:4" x14ac:dyDescent="0.2">
      <c r="A7535" s="496"/>
      <c r="D7535" s="496"/>
    </row>
    <row r="7536" spans="1:4" x14ac:dyDescent="0.2">
      <c r="A7536" s="496"/>
      <c r="D7536" s="496"/>
    </row>
    <row r="7537" spans="1:4" x14ac:dyDescent="0.2">
      <c r="A7537" s="496"/>
      <c r="D7537" s="496"/>
    </row>
    <row r="7538" spans="1:4" x14ac:dyDescent="0.2">
      <c r="A7538" s="496"/>
      <c r="D7538" s="496"/>
    </row>
    <row r="7539" spans="1:4" x14ac:dyDescent="0.2">
      <c r="A7539" s="496"/>
      <c r="D7539" s="496"/>
    </row>
    <row r="7540" spans="1:4" x14ac:dyDescent="0.2">
      <c r="A7540" s="496"/>
      <c r="D7540" s="496"/>
    </row>
    <row r="7541" spans="1:4" x14ac:dyDescent="0.2">
      <c r="A7541" s="496"/>
      <c r="D7541" s="496"/>
    </row>
    <row r="7542" spans="1:4" x14ac:dyDescent="0.2">
      <c r="A7542" s="496"/>
      <c r="D7542" s="496"/>
    </row>
    <row r="7543" spans="1:4" x14ac:dyDescent="0.2">
      <c r="A7543" s="496"/>
      <c r="D7543" s="496"/>
    </row>
    <row r="7544" spans="1:4" x14ac:dyDescent="0.2">
      <c r="A7544" s="496"/>
      <c r="D7544" s="496"/>
    </row>
    <row r="7545" spans="1:4" x14ac:dyDescent="0.2">
      <c r="A7545" s="496"/>
      <c r="D7545" s="496"/>
    </row>
    <row r="7546" spans="1:4" x14ac:dyDescent="0.2">
      <c r="A7546" s="496"/>
      <c r="D7546" s="496"/>
    </row>
    <row r="7547" spans="1:4" x14ac:dyDescent="0.2">
      <c r="A7547" s="496"/>
      <c r="D7547" s="496"/>
    </row>
    <row r="7548" spans="1:4" x14ac:dyDescent="0.2">
      <c r="A7548" s="496"/>
      <c r="D7548" s="496"/>
    </row>
    <row r="7549" spans="1:4" x14ac:dyDescent="0.2">
      <c r="A7549" s="496"/>
      <c r="D7549" s="496"/>
    </row>
    <row r="7550" spans="1:4" x14ac:dyDescent="0.2">
      <c r="A7550" s="496"/>
      <c r="D7550" s="496"/>
    </row>
    <row r="7551" spans="1:4" x14ac:dyDescent="0.2">
      <c r="A7551" s="496"/>
      <c r="D7551" s="496"/>
    </row>
    <row r="7552" spans="1:4" x14ac:dyDescent="0.2">
      <c r="A7552" s="496"/>
      <c r="D7552" s="496"/>
    </row>
    <row r="7553" spans="1:4" x14ac:dyDescent="0.2">
      <c r="A7553" s="496"/>
      <c r="D7553" s="496"/>
    </row>
    <row r="7554" spans="1:4" x14ac:dyDescent="0.2">
      <c r="A7554" s="496"/>
      <c r="D7554" s="496"/>
    </row>
    <row r="7555" spans="1:4" x14ac:dyDescent="0.2">
      <c r="A7555" s="496"/>
      <c r="D7555" s="496"/>
    </row>
    <row r="7556" spans="1:4" x14ac:dyDescent="0.2">
      <c r="A7556" s="496"/>
      <c r="D7556" s="496"/>
    </row>
    <row r="7557" spans="1:4" x14ac:dyDescent="0.2">
      <c r="A7557" s="496"/>
      <c r="D7557" s="496"/>
    </row>
    <row r="7558" spans="1:4" x14ac:dyDescent="0.2">
      <c r="A7558" s="496"/>
      <c r="D7558" s="496"/>
    </row>
    <row r="7559" spans="1:4" x14ac:dyDescent="0.2">
      <c r="A7559" s="496"/>
      <c r="D7559" s="496"/>
    </row>
    <row r="7560" spans="1:4" x14ac:dyDescent="0.2">
      <c r="A7560" s="496"/>
      <c r="D7560" s="496"/>
    </row>
    <row r="7561" spans="1:4" x14ac:dyDescent="0.2">
      <c r="A7561" s="496"/>
      <c r="D7561" s="496"/>
    </row>
    <row r="7562" spans="1:4" x14ac:dyDescent="0.2">
      <c r="A7562" s="496"/>
      <c r="D7562" s="496"/>
    </row>
    <row r="7563" spans="1:4" x14ac:dyDescent="0.2">
      <c r="A7563" s="496"/>
      <c r="D7563" s="496"/>
    </row>
    <row r="7564" spans="1:4" x14ac:dyDescent="0.2">
      <c r="A7564" s="496"/>
      <c r="D7564" s="496"/>
    </row>
    <row r="7565" spans="1:4" x14ac:dyDescent="0.2">
      <c r="A7565" s="496"/>
      <c r="D7565" s="496"/>
    </row>
    <row r="7566" spans="1:4" x14ac:dyDescent="0.2">
      <c r="A7566" s="496"/>
      <c r="D7566" s="496"/>
    </row>
    <row r="7567" spans="1:4" x14ac:dyDescent="0.2">
      <c r="A7567" s="496"/>
      <c r="D7567" s="496"/>
    </row>
    <row r="7568" spans="1:4" x14ac:dyDescent="0.2">
      <c r="A7568" s="496"/>
      <c r="D7568" s="496"/>
    </row>
    <row r="7569" spans="1:4" x14ac:dyDescent="0.2">
      <c r="A7569" s="496"/>
      <c r="D7569" s="496"/>
    </row>
    <row r="7570" spans="1:4" x14ac:dyDescent="0.2">
      <c r="A7570" s="496"/>
      <c r="D7570" s="496"/>
    </row>
    <row r="7571" spans="1:4" x14ac:dyDescent="0.2">
      <c r="A7571" s="496"/>
      <c r="D7571" s="496"/>
    </row>
    <row r="7572" spans="1:4" x14ac:dyDescent="0.2">
      <c r="A7572" s="496"/>
      <c r="D7572" s="496"/>
    </row>
    <row r="7573" spans="1:4" x14ac:dyDescent="0.2">
      <c r="A7573" s="496"/>
      <c r="D7573" s="496"/>
    </row>
    <row r="7574" spans="1:4" x14ac:dyDescent="0.2">
      <c r="A7574" s="496"/>
      <c r="D7574" s="496"/>
    </row>
    <row r="7575" spans="1:4" x14ac:dyDescent="0.2">
      <c r="A7575" s="496"/>
      <c r="D7575" s="496"/>
    </row>
    <row r="7576" spans="1:4" x14ac:dyDescent="0.2">
      <c r="A7576" s="496"/>
      <c r="D7576" s="496"/>
    </row>
    <row r="7577" spans="1:4" x14ac:dyDescent="0.2">
      <c r="A7577" s="496"/>
      <c r="D7577" s="496"/>
    </row>
    <row r="7578" spans="1:4" x14ac:dyDescent="0.2">
      <c r="A7578" s="496"/>
      <c r="D7578" s="496"/>
    </row>
    <row r="7579" spans="1:4" x14ac:dyDescent="0.2">
      <c r="A7579" s="496"/>
      <c r="D7579" s="496"/>
    </row>
    <row r="7580" spans="1:4" x14ac:dyDescent="0.2">
      <c r="A7580" s="496"/>
      <c r="D7580" s="496"/>
    </row>
    <row r="7581" spans="1:4" x14ac:dyDescent="0.2">
      <c r="A7581" s="496"/>
      <c r="D7581" s="496"/>
    </row>
    <row r="7582" spans="1:4" x14ac:dyDescent="0.2">
      <c r="A7582" s="496"/>
      <c r="D7582" s="496"/>
    </row>
    <row r="7583" spans="1:4" x14ac:dyDescent="0.2">
      <c r="A7583" s="496"/>
      <c r="D7583" s="496"/>
    </row>
    <row r="7584" spans="1:4" x14ac:dyDescent="0.2">
      <c r="A7584" s="496"/>
      <c r="D7584" s="496"/>
    </row>
    <row r="7585" spans="1:4" x14ac:dyDescent="0.2">
      <c r="A7585" s="496"/>
      <c r="D7585" s="496"/>
    </row>
    <row r="7586" spans="1:4" x14ac:dyDescent="0.2">
      <c r="A7586" s="496"/>
      <c r="D7586" s="496"/>
    </row>
    <row r="7587" spans="1:4" x14ac:dyDescent="0.2">
      <c r="A7587" s="496"/>
      <c r="D7587" s="496"/>
    </row>
    <row r="7588" spans="1:4" x14ac:dyDescent="0.2">
      <c r="A7588" s="496"/>
      <c r="D7588" s="496"/>
    </row>
    <row r="7589" spans="1:4" x14ac:dyDescent="0.2">
      <c r="A7589" s="496"/>
      <c r="D7589" s="496"/>
    </row>
    <row r="7590" spans="1:4" x14ac:dyDescent="0.2">
      <c r="A7590" s="496"/>
      <c r="D7590" s="496"/>
    </row>
    <row r="7591" spans="1:4" x14ac:dyDescent="0.2">
      <c r="A7591" s="496"/>
      <c r="D7591" s="496"/>
    </row>
    <row r="7592" spans="1:4" x14ac:dyDescent="0.2">
      <c r="A7592" s="496"/>
      <c r="D7592" s="496"/>
    </row>
    <row r="7593" spans="1:4" x14ac:dyDescent="0.2">
      <c r="A7593" s="496"/>
      <c r="D7593" s="496"/>
    </row>
    <row r="7594" spans="1:4" x14ac:dyDescent="0.2">
      <c r="A7594" s="496"/>
      <c r="D7594" s="496"/>
    </row>
    <row r="7595" spans="1:4" x14ac:dyDescent="0.2">
      <c r="A7595" s="496"/>
      <c r="D7595" s="496"/>
    </row>
    <row r="7596" spans="1:4" x14ac:dyDescent="0.2">
      <c r="A7596" s="496"/>
      <c r="D7596" s="496"/>
    </row>
    <row r="7597" spans="1:4" x14ac:dyDescent="0.2">
      <c r="A7597" s="496"/>
      <c r="D7597" s="496"/>
    </row>
    <row r="7598" spans="1:4" x14ac:dyDescent="0.2">
      <c r="A7598" s="496"/>
      <c r="D7598" s="496"/>
    </row>
    <row r="7599" spans="1:4" x14ac:dyDescent="0.2">
      <c r="A7599" s="496"/>
      <c r="D7599" s="496"/>
    </row>
    <row r="7600" spans="1:4" x14ac:dyDescent="0.2">
      <c r="A7600" s="496"/>
      <c r="D7600" s="496"/>
    </row>
    <row r="7601" spans="1:4" x14ac:dyDescent="0.2">
      <c r="A7601" s="496"/>
      <c r="D7601" s="496"/>
    </row>
    <row r="7602" spans="1:4" x14ac:dyDescent="0.2">
      <c r="A7602" s="496"/>
      <c r="D7602" s="496"/>
    </row>
    <row r="7603" spans="1:4" x14ac:dyDescent="0.2">
      <c r="A7603" s="496"/>
      <c r="D7603" s="496"/>
    </row>
    <row r="7604" spans="1:4" x14ac:dyDescent="0.2">
      <c r="A7604" s="496"/>
      <c r="D7604" s="496"/>
    </row>
    <row r="7605" spans="1:4" x14ac:dyDescent="0.2">
      <c r="A7605" s="496"/>
      <c r="D7605" s="496"/>
    </row>
    <row r="7606" spans="1:4" x14ac:dyDescent="0.2">
      <c r="A7606" s="496"/>
      <c r="D7606" s="496"/>
    </row>
    <row r="7607" spans="1:4" x14ac:dyDescent="0.2">
      <c r="A7607" s="496"/>
      <c r="D7607" s="496"/>
    </row>
    <row r="7608" spans="1:4" x14ac:dyDescent="0.2">
      <c r="A7608" s="496"/>
      <c r="D7608" s="496"/>
    </row>
    <row r="7609" spans="1:4" x14ac:dyDescent="0.2">
      <c r="A7609" s="496"/>
      <c r="D7609" s="496"/>
    </row>
    <row r="7610" spans="1:4" x14ac:dyDescent="0.2">
      <c r="A7610" s="496"/>
      <c r="D7610" s="496"/>
    </row>
    <row r="7611" spans="1:4" x14ac:dyDescent="0.2">
      <c r="A7611" s="496"/>
      <c r="D7611" s="496"/>
    </row>
    <row r="7612" spans="1:4" x14ac:dyDescent="0.2">
      <c r="A7612" s="496"/>
      <c r="D7612" s="496"/>
    </row>
    <row r="7613" spans="1:4" x14ac:dyDescent="0.2">
      <c r="A7613" s="496"/>
      <c r="D7613" s="496"/>
    </row>
    <row r="7614" spans="1:4" x14ac:dyDescent="0.2">
      <c r="A7614" s="496"/>
      <c r="D7614" s="496"/>
    </row>
    <row r="7615" spans="1:4" x14ac:dyDescent="0.2">
      <c r="A7615" s="496"/>
      <c r="D7615" s="496"/>
    </row>
    <row r="7616" spans="1:4" x14ac:dyDescent="0.2">
      <c r="A7616" s="496"/>
      <c r="D7616" s="496"/>
    </row>
    <row r="7617" spans="1:4" x14ac:dyDescent="0.2">
      <c r="A7617" s="496"/>
      <c r="D7617" s="496"/>
    </row>
    <row r="7618" spans="1:4" x14ac:dyDescent="0.2">
      <c r="A7618" s="496"/>
      <c r="D7618" s="496"/>
    </row>
    <row r="7619" spans="1:4" x14ac:dyDescent="0.2">
      <c r="A7619" s="496"/>
      <c r="D7619" s="496"/>
    </row>
    <row r="7620" spans="1:4" x14ac:dyDescent="0.2">
      <c r="A7620" s="496"/>
      <c r="D7620" s="496"/>
    </row>
    <row r="7621" spans="1:4" x14ac:dyDescent="0.2">
      <c r="A7621" s="496"/>
      <c r="D7621" s="496"/>
    </row>
    <row r="7622" spans="1:4" x14ac:dyDescent="0.2">
      <c r="A7622" s="496"/>
      <c r="D7622" s="496"/>
    </row>
    <row r="7623" spans="1:4" x14ac:dyDescent="0.2">
      <c r="A7623" s="496"/>
      <c r="D7623" s="496"/>
    </row>
    <row r="7624" spans="1:4" x14ac:dyDescent="0.2">
      <c r="A7624" s="496"/>
      <c r="D7624" s="496"/>
    </row>
    <row r="7625" spans="1:4" x14ac:dyDescent="0.2">
      <c r="A7625" s="496"/>
      <c r="D7625" s="496"/>
    </row>
    <row r="7626" spans="1:4" x14ac:dyDescent="0.2">
      <c r="A7626" s="496"/>
      <c r="D7626" s="496"/>
    </row>
    <row r="7627" spans="1:4" x14ac:dyDescent="0.2">
      <c r="A7627" s="496"/>
      <c r="D7627" s="496"/>
    </row>
    <row r="7628" spans="1:4" x14ac:dyDescent="0.2">
      <c r="A7628" s="496"/>
      <c r="D7628" s="496"/>
    </row>
    <row r="7629" spans="1:4" x14ac:dyDescent="0.2">
      <c r="A7629" s="496"/>
      <c r="D7629" s="496"/>
    </row>
    <row r="7630" spans="1:4" x14ac:dyDescent="0.2">
      <c r="A7630" s="496"/>
      <c r="D7630" s="496"/>
    </row>
    <row r="7631" spans="1:4" x14ac:dyDescent="0.2">
      <c r="A7631" s="496"/>
      <c r="D7631" s="496"/>
    </row>
    <row r="7632" spans="1:4" x14ac:dyDescent="0.2">
      <c r="A7632" s="496"/>
      <c r="D7632" s="496"/>
    </row>
    <row r="7633" spans="1:4" x14ac:dyDescent="0.2">
      <c r="A7633" s="496"/>
      <c r="D7633" s="496"/>
    </row>
    <row r="7634" spans="1:4" x14ac:dyDescent="0.2">
      <c r="A7634" s="496"/>
      <c r="D7634" s="496"/>
    </row>
    <row r="7635" spans="1:4" x14ac:dyDescent="0.2">
      <c r="A7635" s="496"/>
      <c r="D7635" s="496"/>
    </row>
    <row r="7636" spans="1:4" x14ac:dyDescent="0.2">
      <c r="A7636" s="496"/>
      <c r="D7636" s="496"/>
    </row>
    <row r="7637" spans="1:4" x14ac:dyDescent="0.2">
      <c r="A7637" s="496"/>
      <c r="D7637" s="496"/>
    </row>
    <row r="7638" spans="1:4" x14ac:dyDescent="0.2">
      <c r="A7638" s="496"/>
      <c r="D7638" s="496"/>
    </row>
    <row r="7639" spans="1:4" x14ac:dyDescent="0.2">
      <c r="A7639" s="496"/>
      <c r="D7639" s="496"/>
    </row>
    <row r="7640" spans="1:4" x14ac:dyDescent="0.2">
      <c r="A7640" s="496"/>
      <c r="D7640" s="496"/>
    </row>
    <row r="7641" spans="1:4" x14ac:dyDescent="0.2">
      <c r="A7641" s="496"/>
      <c r="D7641" s="496"/>
    </row>
    <row r="7642" spans="1:4" x14ac:dyDescent="0.2">
      <c r="A7642" s="496"/>
      <c r="D7642" s="496"/>
    </row>
    <row r="7643" spans="1:4" x14ac:dyDescent="0.2">
      <c r="A7643" s="496"/>
      <c r="D7643" s="496"/>
    </row>
    <row r="7644" spans="1:4" x14ac:dyDescent="0.2">
      <c r="A7644" s="496"/>
      <c r="D7644" s="496"/>
    </row>
    <row r="7645" spans="1:4" x14ac:dyDescent="0.2">
      <c r="A7645" s="496"/>
      <c r="D7645" s="496"/>
    </row>
    <row r="7646" spans="1:4" x14ac:dyDescent="0.2">
      <c r="A7646" s="496"/>
      <c r="D7646" s="496"/>
    </row>
    <row r="7647" spans="1:4" x14ac:dyDescent="0.2">
      <c r="A7647" s="496"/>
      <c r="D7647" s="496"/>
    </row>
    <row r="7648" spans="1:4" x14ac:dyDescent="0.2">
      <c r="A7648" s="496"/>
      <c r="D7648" s="496"/>
    </row>
    <row r="7649" spans="1:4" x14ac:dyDescent="0.2">
      <c r="A7649" s="496"/>
      <c r="D7649" s="496"/>
    </row>
    <row r="7650" spans="1:4" x14ac:dyDescent="0.2">
      <c r="A7650" s="496"/>
      <c r="D7650" s="496"/>
    </row>
    <row r="7651" spans="1:4" x14ac:dyDescent="0.2">
      <c r="A7651" s="496"/>
      <c r="D7651" s="496"/>
    </row>
    <row r="7652" spans="1:4" x14ac:dyDescent="0.2">
      <c r="A7652" s="496"/>
      <c r="D7652" s="496"/>
    </row>
    <row r="7653" spans="1:4" x14ac:dyDescent="0.2">
      <c r="A7653" s="496"/>
      <c r="D7653" s="496"/>
    </row>
    <row r="7654" spans="1:4" x14ac:dyDescent="0.2">
      <c r="A7654" s="496"/>
      <c r="D7654" s="496"/>
    </row>
    <row r="7655" spans="1:4" x14ac:dyDescent="0.2">
      <c r="A7655" s="496"/>
      <c r="D7655" s="496"/>
    </row>
    <row r="7656" spans="1:4" x14ac:dyDescent="0.2">
      <c r="A7656" s="496"/>
      <c r="D7656" s="496"/>
    </row>
    <row r="7657" spans="1:4" x14ac:dyDescent="0.2">
      <c r="A7657" s="496"/>
      <c r="D7657" s="496"/>
    </row>
    <row r="7658" spans="1:4" x14ac:dyDescent="0.2">
      <c r="A7658" s="496"/>
      <c r="D7658" s="496"/>
    </row>
    <row r="7659" spans="1:4" x14ac:dyDescent="0.2">
      <c r="A7659" s="496"/>
      <c r="D7659" s="496"/>
    </row>
    <row r="7660" spans="1:4" x14ac:dyDescent="0.2">
      <c r="A7660" s="496"/>
      <c r="D7660" s="496"/>
    </row>
    <row r="7661" spans="1:4" x14ac:dyDescent="0.2">
      <c r="A7661" s="496"/>
      <c r="D7661" s="496"/>
    </row>
    <row r="7662" spans="1:4" x14ac:dyDescent="0.2">
      <c r="A7662" s="496"/>
      <c r="D7662" s="496"/>
    </row>
    <row r="7663" spans="1:4" x14ac:dyDescent="0.2">
      <c r="A7663" s="496"/>
      <c r="D7663" s="496"/>
    </row>
    <row r="7664" spans="1:4" x14ac:dyDescent="0.2">
      <c r="A7664" s="496"/>
      <c r="D7664" s="496"/>
    </row>
    <row r="7665" spans="1:4" x14ac:dyDescent="0.2">
      <c r="A7665" s="496"/>
      <c r="D7665" s="496"/>
    </row>
    <row r="7666" spans="1:4" x14ac:dyDescent="0.2">
      <c r="A7666" s="496"/>
      <c r="D7666" s="496"/>
    </row>
    <row r="7667" spans="1:4" x14ac:dyDescent="0.2">
      <c r="A7667" s="496"/>
      <c r="D7667" s="496"/>
    </row>
    <row r="7668" spans="1:4" x14ac:dyDescent="0.2">
      <c r="A7668" s="496"/>
      <c r="D7668" s="496"/>
    </row>
    <row r="7669" spans="1:4" x14ac:dyDescent="0.2">
      <c r="A7669" s="496"/>
      <c r="D7669" s="496"/>
    </row>
    <row r="7670" spans="1:4" x14ac:dyDescent="0.2">
      <c r="A7670" s="496"/>
      <c r="D7670" s="496"/>
    </row>
    <row r="7671" spans="1:4" x14ac:dyDescent="0.2">
      <c r="A7671" s="496"/>
      <c r="D7671" s="496"/>
    </row>
    <row r="7672" spans="1:4" x14ac:dyDescent="0.2">
      <c r="A7672" s="496"/>
      <c r="D7672" s="496"/>
    </row>
    <row r="7673" spans="1:4" x14ac:dyDescent="0.2">
      <c r="A7673" s="496"/>
      <c r="D7673" s="496"/>
    </row>
    <row r="7674" spans="1:4" x14ac:dyDescent="0.2">
      <c r="A7674" s="496"/>
      <c r="D7674" s="496"/>
    </row>
    <row r="7675" spans="1:4" x14ac:dyDescent="0.2">
      <c r="A7675" s="496"/>
      <c r="D7675" s="496"/>
    </row>
    <row r="7676" spans="1:4" x14ac:dyDescent="0.2">
      <c r="A7676" s="496"/>
      <c r="D7676" s="496"/>
    </row>
    <row r="7677" spans="1:4" x14ac:dyDescent="0.2">
      <c r="A7677" s="496"/>
      <c r="D7677" s="496"/>
    </row>
    <row r="7678" spans="1:4" x14ac:dyDescent="0.2">
      <c r="A7678" s="496"/>
      <c r="D7678" s="496"/>
    </row>
    <row r="7679" spans="1:4" x14ac:dyDescent="0.2">
      <c r="A7679" s="496"/>
      <c r="D7679" s="496"/>
    </row>
    <row r="7680" spans="1:4" x14ac:dyDescent="0.2">
      <c r="A7680" s="496"/>
      <c r="D7680" s="496"/>
    </row>
    <row r="7681" spans="1:4" x14ac:dyDescent="0.2">
      <c r="A7681" s="496"/>
      <c r="D7681" s="496"/>
    </row>
    <row r="7682" spans="1:4" x14ac:dyDescent="0.2">
      <c r="A7682" s="496"/>
      <c r="D7682" s="496"/>
    </row>
    <row r="7683" spans="1:4" x14ac:dyDescent="0.2">
      <c r="A7683" s="496"/>
      <c r="D7683" s="496"/>
    </row>
    <row r="7684" spans="1:4" x14ac:dyDescent="0.2">
      <c r="A7684" s="496"/>
      <c r="D7684" s="496"/>
    </row>
    <row r="7685" spans="1:4" x14ac:dyDescent="0.2">
      <c r="A7685" s="496"/>
      <c r="D7685" s="496"/>
    </row>
    <row r="7686" spans="1:4" x14ac:dyDescent="0.2">
      <c r="A7686" s="496"/>
      <c r="D7686" s="496"/>
    </row>
    <row r="7687" spans="1:4" x14ac:dyDescent="0.2">
      <c r="A7687" s="496"/>
      <c r="D7687" s="496"/>
    </row>
    <row r="7688" spans="1:4" x14ac:dyDescent="0.2">
      <c r="A7688" s="496"/>
      <c r="D7688" s="496"/>
    </row>
    <row r="7689" spans="1:4" x14ac:dyDescent="0.2">
      <c r="A7689" s="496"/>
      <c r="D7689" s="496"/>
    </row>
    <row r="7690" spans="1:4" x14ac:dyDescent="0.2">
      <c r="A7690" s="496"/>
      <c r="D7690" s="496"/>
    </row>
    <row r="7691" spans="1:4" x14ac:dyDescent="0.2">
      <c r="A7691" s="496"/>
      <c r="D7691" s="496"/>
    </row>
    <row r="7692" spans="1:4" x14ac:dyDescent="0.2">
      <c r="A7692" s="496"/>
      <c r="D7692" s="496"/>
    </row>
    <row r="7693" spans="1:4" x14ac:dyDescent="0.2">
      <c r="A7693" s="496"/>
      <c r="D7693" s="496"/>
    </row>
    <row r="7694" spans="1:4" x14ac:dyDescent="0.2">
      <c r="A7694" s="496"/>
      <c r="D7694" s="496"/>
    </row>
    <row r="7695" spans="1:4" x14ac:dyDescent="0.2">
      <c r="A7695" s="496"/>
      <c r="D7695" s="496"/>
    </row>
    <row r="7696" spans="1:4" x14ac:dyDescent="0.2">
      <c r="A7696" s="496"/>
      <c r="D7696" s="496"/>
    </row>
    <row r="7697" spans="1:4" x14ac:dyDescent="0.2">
      <c r="A7697" s="496"/>
      <c r="D7697" s="496"/>
    </row>
    <row r="7698" spans="1:4" x14ac:dyDescent="0.2">
      <c r="A7698" s="496"/>
      <c r="D7698" s="496"/>
    </row>
    <row r="7699" spans="1:4" x14ac:dyDescent="0.2">
      <c r="A7699" s="496"/>
      <c r="D7699" s="496"/>
    </row>
    <row r="7700" spans="1:4" x14ac:dyDescent="0.2">
      <c r="A7700" s="496"/>
      <c r="D7700" s="496"/>
    </row>
    <row r="7701" spans="1:4" x14ac:dyDescent="0.2">
      <c r="A7701" s="496"/>
      <c r="D7701" s="496"/>
    </row>
    <row r="7702" spans="1:4" x14ac:dyDescent="0.2">
      <c r="A7702" s="496"/>
      <c r="D7702" s="496"/>
    </row>
    <row r="7703" spans="1:4" x14ac:dyDescent="0.2">
      <c r="A7703" s="496"/>
      <c r="D7703" s="496"/>
    </row>
    <row r="7704" spans="1:4" x14ac:dyDescent="0.2">
      <c r="A7704" s="496"/>
      <c r="D7704" s="496"/>
    </row>
    <row r="7705" spans="1:4" x14ac:dyDescent="0.2">
      <c r="A7705" s="496"/>
      <c r="D7705" s="496"/>
    </row>
    <row r="7706" spans="1:4" x14ac:dyDescent="0.2">
      <c r="A7706" s="496"/>
      <c r="D7706" s="496"/>
    </row>
    <row r="7707" spans="1:4" x14ac:dyDescent="0.2">
      <c r="A7707" s="496"/>
      <c r="D7707" s="496"/>
    </row>
    <row r="7708" spans="1:4" x14ac:dyDescent="0.2">
      <c r="A7708" s="496"/>
      <c r="D7708" s="496"/>
    </row>
    <row r="7709" spans="1:4" x14ac:dyDescent="0.2">
      <c r="A7709" s="496"/>
      <c r="D7709" s="496"/>
    </row>
    <row r="7710" spans="1:4" x14ac:dyDescent="0.2">
      <c r="A7710" s="496"/>
      <c r="D7710" s="496"/>
    </row>
    <row r="7711" spans="1:4" x14ac:dyDescent="0.2">
      <c r="A7711" s="496"/>
      <c r="D7711" s="496"/>
    </row>
    <row r="7712" spans="1:4" x14ac:dyDescent="0.2">
      <c r="A7712" s="496"/>
      <c r="D7712" s="496"/>
    </row>
    <row r="7713" spans="1:4" x14ac:dyDescent="0.2">
      <c r="A7713" s="496"/>
      <c r="D7713" s="496"/>
    </row>
    <row r="7714" spans="1:4" x14ac:dyDescent="0.2">
      <c r="A7714" s="496"/>
      <c r="D7714" s="496"/>
    </row>
    <row r="7715" spans="1:4" x14ac:dyDescent="0.2">
      <c r="A7715" s="496"/>
      <c r="D7715" s="496"/>
    </row>
    <row r="7716" spans="1:4" x14ac:dyDescent="0.2">
      <c r="A7716" s="496"/>
      <c r="D7716" s="496"/>
    </row>
    <row r="7717" spans="1:4" x14ac:dyDescent="0.2">
      <c r="A7717" s="496"/>
      <c r="D7717" s="496"/>
    </row>
    <row r="7718" spans="1:4" x14ac:dyDescent="0.2">
      <c r="A7718" s="496"/>
      <c r="D7718" s="496"/>
    </row>
    <row r="7719" spans="1:4" x14ac:dyDescent="0.2">
      <c r="A7719" s="496"/>
      <c r="D7719" s="496"/>
    </row>
    <row r="7720" spans="1:4" x14ac:dyDescent="0.2">
      <c r="A7720" s="496"/>
      <c r="D7720" s="496"/>
    </row>
    <row r="7721" spans="1:4" x14ac:dyDescent="0.2">
      <c r="A7721" s="496"/>
      <c r="D7721" s="496"/>
    </row>
    <row r="7722" spans="1:4" x14ac:dyDescent="0.2">
      <c r="A7722" s="496"/>
      <c r="D7722" s="496"/>
    </row>
    <row r="7723" spans="1:4" x14ac:dyDescent="0.2">
      <c r="A7723" s="496"/>
      <c r="D7723" s="496"/>
    </row>
    <row r="7724" spans="1:4" x14ac:dyDescent="0.2">
      <c r="A7724" s="496"/>
      <c r="D7724" s="496"/>
    </row>
    <row r="7725" spans="1:4" x14ac:dyDescent="0.2">
      <c r="A7725" s="496"/>
      <c r="D7725" s="496"/>
    </row>
    <row r="7726" spans="1:4" x14ac:dyDescent="0.2">
      <c r="A7726" s="496"/>
      <c r="D7726" s="496"/>
    </row>
    <row r="7727" spans="1:4" x14ac:dyDescent="0.2">
      <c r="A7727" s="496"/>
      <c r="D7727" s="496"/>
    </row>
    <row r="7728" spans="1:4" x14ac:dyDescent="0.2">
      <c r="A7728" s="496"/>
      <c r="D7728" s="496"/>
    </row>
    <row r="7729" spans="1:4" x14ac:dyDescent="0.2">
      <c r="A7729" s="496"/>
      <c r="D7729" s="496"/>
    </row>
    <row r="7730" spans="1:4" x14ac:dyDescent="0.2">
      <c r="A7730" s="496"/>
      <c r="D7730" s="496"/>
    </row>
    <row r="7731" spans="1:4" x14ac:dyDescent="0.2">
      <c r="A7731" s="496"/>
      <c r="D7731" s="496"/>
    </row>
    <row r="7732" spans="1:4" x14ac:dyDescent="0.2">
      <c r="A7732" s="496"/>
      <c r="D7732" s="496"/>
    </row>
    <row r="7733" spans="1:4" x14ac:dyDescent="0.2">
      <c r="A7733" s="496"/>
      <c r="D7733" s="496"/>
    </row>
    <row r="7734" spans="1:4" x14ac:dyDescent="0.2">
      <c r="A7734" s="496"/>
      <c r="D7734" s="496"/>
    </row>
    <row r="7735" spans="1:4" x14ac:dyDescent="0.2">
      <c r="A7735" s="496"/>
      <c r="D7735" s="496"/>
    </row>
    <row r="7736" spans="1:4" x14ac:dyDescent="0.2">
      <c r="A7736" s="496"/>
      <c r="D7736" s="496"/>
    </row>
    <row r="7737" spans="1:4" x14ac:dyDescent="0.2">
      <c r="A7737" s="496"/>
      <c r="D7737" s="496"/>
    </row>
    <row r="7738" spans="1:4" x14ac:dyDescent="0.2">
      <c r="A7738" s="496"/>
      <c r="D7738" s="496"/>
    </row>
    <row r="7739" spans="1:4" x14ac:dyDescent="0.2">
      <c r="A7739" s="496"/>
      <c r="D7739" s="496"/>
    </row>
    <row r="7740" spans="1:4" x14ac:dyDescent="0.2">
      <c r="A7740" s="496"/>
      <c r="D7740" s="496"/>
    </row>
    <row r="7741" spans="1:4" x14ac:dyDescent="0.2">
      <c r="A7741" s="496"/>
      <c r="D7741" s="496"/>
    </row>
    <row r="7742" spans="1:4" x14ac:dyDescent="0.2">
      <c r="A7742" s="496"/>
      <c r="D7742" s="496"/>
    </row>
    <row r="7743" spans="1:4" x14ac:dyDescent="0.2">
      <c r="A7743" s="496"/>
      <c r="D7743" s="496"/>
    </row>
    <row r="7744" spans="1:4" x14ac:dyDescent="0.2">
      <c r="A7744" s="496"/>
      <c r="D7744" s="496"/>
    </row>
    <row r="7745" spans="1:4" x14ac:dyDescent="0.2">
      <c r="A7745" s="496"/>
      <c r="D7745" s="496"/>
    </row>
    <row r="7746" spans="1:4" x14ac:dyDescent="0.2">
      <c r="A7746" s="496"/>
      <c r="D7746" s="496"/>
    </row>
    <row r="7747" spans="1:4" x14ac:dyDescent="0.2">
      <c r="A7747" s="496"/>
      <c r="D7747" s="496"/>
    </row>
    <row r="7748" spans="1:4" x14ac:dyDescent="0.2">
      <c r="A7748" s="496"/>
      <c r="D7748" s="496"/>
    </row>
    <row r="7749" spans="1:4" x14ac:dyDescent="0.2">
      <c r="A7749" s="496"/>
      <c r="D7749" s="496"/>
    </row>
    <row r="7750" spans="1:4" x14ac:dyDescent="0.2">
      <c r="A7750" s="496"/>
      <c r="D7750" s="496"/>
    </row>
    <row r="7751" spans="1:4" x14ac:dyDescent="0.2">
      <c r="A7751" s="496"/>
      <c r="D7751" s="496"/>
    </row>
    <row r="7752" spans="1:4" x14ac:dyDescent="0.2">
      <c r="A7752" s="496"/>
      <c r="D7752" s="496"/>
    </row>
    <row r="7753" spans="1:4" x14ac:dyDescent="0.2">
      <c r="A7753" s="496"/>
      <c r="D7753" s="496"/>
    </row>
    <row r="7754" spans="1:4" x14ac:dyDescent="0.2">
      <c r="A7754" s="496"/>
      <c r="D7754" s="496"/>
    </row>
    <row r="7755" spans="1:4" x14ac:dyDescent="0.2">
      <c r="A7755" s="496"/>
      <c r="D7755" s="496"/>
    </row>
    <row r="7756" spans="1:4" x14ac:dyDescent="0.2">
      <c r="A7756" s="496"/>
      <c r="D7756" s="496"/>
    </row>
    <row r="7757" spans="1:4" x14ac:dyDescent="0.2">
      <c r="A7757" s="496"/>
      <c r="D7757" s="496"/>
    </row>
    <row r="7758" spans="1:4" x14ac:dyDescent="0.2">
      <c r="A7758" s="496"/>
      <c r="D7758" s="496"/>
    </row>
    <row r="7759" spans="1:4" x14ac:dyDescent="0.2">
      <c r="A7759" s="496"/>
      <c r="D7759" s="496"/>
    </row>
    <row r="7760" spans="1:4" x14ac:dyDescent="0.2">
      <c r="A7760" s="496"/>
      <c r="D7760" s="496"/>
    </row>
    <row r="7761" spans="1:4" x14ac:dyDescent="0.2">
      <c r="A7761" s="496"/>
      <c r="D7761" s="496"/>
    </row>
    <row r="7762" spans="1:4" x14ac:dyDescent="0.2">
      <c r="A7762" s="496"/>
      <c r="D7762" s="496"/>
    </row>
    <row r="7763" spans="1:4" x14ac:dyDescent="0.2">
      <c r="A7763" s="496"/>
      <c r="D7763" s="496"/>
    </row>
    <row r="7764" spans="1:4" x14ac:dyDescent="0.2">
      <c r="A7764" s="496"/>
      <c r="D7764" s="496"/>
    </row>
    <row r="7765" spans="1:4" x14ac:dyDescent="0.2">
      <c r="A7765" s="496"/>
      <c r="D7765" s="496"/>
    </row>
    <row r="7766" spans="1:4" x14ac:dyDescent="0.2">
      <c r="A7766" s="496"/>
      <c r="D7766" s="496"/>
    </row>
    <row r="7767" spans="1:4" x14ac:dyDescent="0.2">
      <c r="A7767" s="496"/>
      <c r="D7767" s="496"/>
    </row>
    <row r="7768" spans="1:4" x14ac:dyDescent="0.2">
      <c r="A7768" s="496"/>
      <c r="D7768" s="496"/>
    </row>
    <row r="7769" spans="1:4" x14ac:dyDescent="0.2">
      <c r="A7769" s="496"/>
      <c r="D7769" s="496"/>
    </row>
    <row r="7770" spans="1:4" x14ac:dyDescent="0.2">
      <c r="A7770" s="496"/>
      <c r="D7770" s="496"/>
    </row>
    <row r="7771" spans="1:4" x14ac:dyDescent="0.2">
      <c r="A7771" s="496"/>
      <c r="D7771" s="496"/>
    </row>
    <row r="7772" spans="1:4" x14ac:dyDescent="0.2">
      <c r="A7772" s="496"/>
      <c r="D7772" s="496"/>
    </row>
    <row r="7773" spans="1:4" x14ac:dyDescent="0.2">
      <c r="A7773" s="496"/>
      <c r="D7773" s="496"/>
    </row>
    <row r="7774" spans="1:4" x14ac:dyDescent="0.2">
      <c r="A7774" s="496"/>
      <c r="D7774" s="496"/>
    </row>
    <row r="7775" spans="1:4" x14ac:dyDescent="0.2">
      <c r="A7775" s="496"/>
      <c r="D7775" s="496"/>
    </row>
    <row r="7776" spans="1:4" x14ac:dyDescent="0.2">
      <c r="A7776" s="496"/>
      <c r="D7776" s="496"/>
    </row>
    <row r="7777" spans="1:4" x14ac:dyDescent="0.2">
      <c r="A7777" s="496"/>
      <c r="D7777" s="496"/>
    </row>
    <row r="7778" spans="1:4" x14ac:dyDescent="0.2">
      <c r="A7778" s="496"/>
      <c r="D7778" s="496"/>
    </row>
    <row r="7779" spans="1:4" x14ac:dyDescent="0.2">
      <c r="A7779" s="496"/>
      <c r="D7779" s="496"/>
    </row>
    <row r="7780" spans="1:4" x14ac:dyDescent="0.2">
      <c r="A7780" s="496"/>
      <c r="D7780" s="496"/>
    </row>
    <row r="7781" spans="1:4" x14ac:dyDescent="0.2">
      <c r="A7781" s="496"/>
      <c r="D7781" s="496"/>
    </row>
    <row r="7782" spans="1:4" x14ac:dyDescent="0.2">
      <c r="A7782" s="496"/>
      <c r="D7782" s="496"/>
    </row>
    <row r="7783" spans="1:4" x14ac:dyDescent="0.2">
      <c r="A7783" s="496"/>
      <c r="D7783" s="496"/>
    </row>
    <row r="7784" spans="1:4" x14ac:dyDescent="0.2">
      <c r="A7784" s="496"/>
      <c r="D7784" s="496"/>
    </row>
    <row r="7785" spans="1:4" x14ac:dyDescent="0.2">
      <c r="A7785" s="496"/>
      <c r="D7785" s="496"/>
    </row>
    <row r="7786" spans="1:4" x14ac:dyDescent="0.2">
      <c r="A7786" s="496"/>
      <c r="D7786" s="496"/>
    </row>
    <row r="7787" spans="1:4" x14ac:dyDescent="0.2">
      <c r="A7787" s="496"/>
      <c r="D7787" s="496"/>
    </row>
    <row r="7788" spans="1:4" x14ac:dyDescent="0.2">
      <c r="A7788" s="496"/>
      <c r="D7788" s="496"/>
    </row>
    <row r="7789" spans="1:4" x14ac:dyDescent="0.2">
      <c r="A7789" s="496"/>
      <c r="D7789" s="496"/>
    </row>
    <row r="7790" spans="1:4" x14ac:dyDescent="0.2">
      <c r="A7790" s="496"/>
      <c r="D7790" s="496"/>
    </row>
    <row r="7791" spans="1:4" x14ac:dyDescent="0.2">
      <c r="A7791" s="496"/>
      <c r="D7791" s="496"/>
    </row>
    <row r="7792" spans="1:4" x14ac:dyDescent="0.2">
      <c r="A7792" s="496"/>
      <c r="D7792" s="496"/>
    </row>
    <row r="7793" spans="1:4" x14ac:dyDescent="0.2">
      <c r="A7793" s="496"/>
      <c r="D7793" s="496"/>
    </row>
    <row r="7794" spans="1:4" x14ac:dyDescent="0.2">
      <c r="A7794" s="496"/>
      <c r="D7794" s="496"/>
    </row>
    <row r="7795" spans="1:4" x14ac:dyDescent="0.2">
      <c r="A7795" s="496"/>
      <c r="D7795" s="496"/>
    </row>
    <row r="7796" spans="1:4" x14ac:dyDescent="0.2">
      <c r="A7796" s="496"/>
      <c r="D7796" s="496"/>
    </row>
    <row r="7797" spans="1:4" x14ac:dyDescent="0.2">
      <c r="A7797" s="496"/>
      <c r="D7797" s="496"/>
    </row>
    <row r="7798" spans="1:4" x14ac:dyDescent="0.2">
      <c r="A7798" s="496"/>
      <c r="D7798" s="496"/>
    </row>
    <row r="7799" spans="1:4" x14ac:dyDescent="0.2">
      <c r="A7799" s="496"/>
      <c r="D7799" s="496"/>
    </row>
    <row r="7800" spans="1:4" x14ac:dyDescent="0.2">
      <c r="A7800" s="496"/>
      <c r="D7800" s="496"/>
    </row>
    <row r="7801" spans="1:4" x14ac:dyDescent="0.2">
      <c r="A7801" s="496"/>
      <c r="D7801" s="496"/>
    </row>
    <row r="7802" spans="1:4" x14ac:dyDescent="0.2">
      <c r="A7802" s="496"/>
      <c r="D7802" s="496"/>
    </row>
    <row r="7803" spans="1:4" x14ac:dyDescent="0.2">
      <c r="A7803" s="496"/>
      <c r="D7803" s="496"/>
    </row>
    <row r="7804" spans="1:4" x14ac:dyDescent="0.2">
      <c r="A7804" s="496"/>
      <c r="D7804" s="496"/>
    </row>
    <row r="7805" spans="1:4" x14ac:dyDescent="0.2">
      <c r="A7805" s="496"/>
      <c r="D7805" s="496"/>
    </row>
    <row r="7806" spans="1:4" x14ac:dyDescent="0.2">
      <c r="A7806" s="496"/>
      <c r="D7806" s="496"/>
    </row>
    <row r="7807" spans="1:4" x14ac:dyDescent="0.2">
      <c r="A7807" s="496"/>
      <c r="D7807" s="496"/>
    </row>
    <row r="7808" spans="1:4" x14ac:dyDescent="0.2">
      <c r="A7808" s="496"/>
      <c r="D7808" s="496"/>
    </row>
    <row r="7809" spans="1:4" x14ac:dyDescent="0.2">
      <c r="A7809" s="496"/>
      <c r="D7809" s="496"/>
    </row>
    <row r="7810" spans="1:4" x14ac:dyDescent="0.2">
      <c r="A7810" s="496"/>
      <c r="D7810" s="496"/>
    </row>
    <row r="7811" spans="1:4" x14ac:dyDescent="0.2">
      <c r="A7811" s="496"/>
      <c r="D7811" s="496"/>
    </row>
    <row r="7812" spans="1:4" x14ac:dyDescent="0.2">
      <c r="A7812" s="496"/>
      <c r="D7812" s="496"/>
    </row>
    <row r="7813" spans="1:4" x14ac:dyDescent="0.2">
      <c r="A7813" s="496"/>
      <c r="D7813" s="496"/>
    </row>
    <row r="7814" spans="1:4" x14ac:dyDescent="0.2">
      <c r="A7814" s="496"/>
      <c r="D7814" s="496"/>
    </row>
    <row r="7815" spans="1:4" x14ac:dyDescent="0.2">
      <c r="A7815" s="496"/>
      <c r="D7815" s="496"/>
    </row>
    <row r="7816" spans="1:4" x14ac:dyDescent="0.2">
      <c r="A7816" s="496"/>
      <c r="D7816" s="496"/>
    </row>
    <row r="7817" spans="1:4" x14ac:dyDescent="0.2">
      <c r="A7817" s="496"/>
      <c r="D7817" s="496"/>
    </row>
    <row r="7818" spans="1:4" x14ac:dyDescent="0.2">
      <c r="A7818" s="496"/>
      <c r="D7818" s="496"/>
    </row>
    <row r="7819" spans="1:4" x14ac:dyDescent="0.2">
      <c r="A7819" s="496"/>
      <c r="D7819" s="496"/>
    </row>
    <row r="7820" spans="1:4" x14ac:dyDescent="0.2">
      <c r="A7820" s="496"/>
      <c r="D7820" s="496"/>
    </row>
    <row r="7821" spans="1:4" x14ac:dyDescent="0.2">
      <c r="A7821" s="496"/>
      <c r="D7821" s="496"/>
    </row>
    <row r="7822" spans="1:4" x14ac:dyDescent="0.2">
      <c r="A7822" s="496"/>
      <c r="D7822" s="496"/>
    </row>
    <row r="7823" spans="1:4" x14ac:dyDescent="0.2">
      <c r="A7823" s="496"/>
      <c r="D7823" s="496"/>
    </row>
    <row r="7824" spans="1:4" x14ac:dyDescent="0.2">
      <c r="A7824" s="496"/>
      <c r="D7824" s="496"/>
    </row>
    <row r="7825" spans="1:4" x14ac:dyDescent="0.2">
      <c r="A7825" s="496"/>
      <c r="D7825" s="496"/>
    </row>
    <row r="7826" spans="1:4" x14ac:dyDescent="0.2">
      <c r="A7826" s="496"/>
      <c r="D7826" s="496"/>
    </row>
    <row r="7827" spans="1:4" x14ac:dyDescent="0.2">
      <c r="A7827" s="496"/>
      <c r="D7827" s="496"/>
    </row>
    <row r="7828" spans="1:4" x14ac:dyDescent="0.2">
      <c r="A7828" s="496"/>
      <c r="D7828" s="496"/>
    </row>
    <row r="7829" spans="1:4" x14ac:dyDescent="0.2">
      <c r="A7829" s="496"/>
      <c r="D7829" s="496"/>
    </row>
    <row r="7830" spans="1:4" x14ac:dyDescent="0.2">
      <c r="A7830" s="496"/>
      <c r="D7830" s="496"/>
    </row>
    <row r="7831" spans="1:4" x14ac:dyDescent="0.2">
      <c r="A7831" s="496"/>
      <c r="D7831" s="496"/>
    </row>
    <row r="7832" spans="1:4" x14ac:dyDescent="0.2">
      <c r="A7832" s="496"/>
      <c r="D7832" s="496"/>
    </row>
    <row r="7833" spans="1:4" x14ac:dyDescent="0.2">
      <c r="A7833" s="496"/>
      <c r="D7833" s="496"/>
    </row>
    <row r="7834" spans="1:4" x14ac:dyDescent="0.2">
      <c r="A7834" s="496"/>
      <c r="D7834" s="496"/>
    </row>
    <row r="7835" spans="1:4" x14ac:dyDescent="0.2">
      <c r="A7835" s="496"/>
      <c r="D7835" s="496"/>
    </row>
    <row r="7836" spans="1:4" x14ac:dyDescent="0.2">
      <c r="A7836" s="496"/>
      <c r="D7836" s="496"/>
    </row>
    <row r="7837" spans="1:4" x14ac:dyDescent="0.2">
      <c r="A7837" s="496"/>
      <c r="D7837" s="496"/>
    </row>
    <row r="7838" spans="1:4" x14ac:dyDescent="0.2">
      <c r="A7838" s="496"/>
      <c r="D7838" s="496"/>
    </row>
    <row r="7839" spans="1:4" x14ac:dyDescent="0.2">
      <c r="A7839" s="496"/>
      <c r="D7839" s="496"/>
    </row>
    <row r="7840" spans="1:4" x14ac:dyDescent="0.2">
      <c r="A7840" s="496"/>
      <c r="D7840" s="496"/>
    </row>
    <row r="7841" spans="1:4" x14ac:dyDescent="0.2">
      <c r="A7841" s="496"/>
      <c r="D7841" s="496"/>
    </row>
    <row r="7842" spans="1:4" x14ac:dyDescent="0.2">
      <c r="A7842" s="496"/>
      <c r="D7842" s="496"/>
    </row>
    <row r="7843" spans="1:4" x14ac:dyDescent="0.2">
      <c r="A7843" s="496"/>
      <c r="D7843" s="496"/>
    </row>
    <row r="7844" spans="1:4" x14ac:dyDescent="0.2">
      <c r="A7844" s="496"/>
      <c r="D7844" s="496"/>
    </row>
    <row r="7845" spans="1:4" x14ac:dyDescent="0.2">
      <c r="A7845" s="496"/>
      <c r="D7845" s="496"/>
    </row>
    <row r="7846" spans="1:4" x14ac:dyDescent="0.2">
      <c r="A7846" s="496"/>
      <c r="D7846" s="496"/>
    </row>
    <row r="7847" spans="1:4" x14ac:dyDescent="0.2">
      <c r="A7847" s="496"/>
      <c r="D7847" s="496"/>
    </row>
    <row r="7848" spans="1:4" x14ac:dyDescent="0.2">
      <c r="A7848" s="496"/>
      <c r="D7848" s="496"/>
    </row>
    <row r="7849" spans="1:4" x14ac:dyDescent="0.2">
      <c r="A7849" s="496"/>
      <c r="D7849" s="496"/>
    </row>
    <row r="7850" spans="1:4" x14ac:dyDescent="0.2">
      <c r="A7850" s="496"/>
      <c r="D7850" s="496"/>
    </row>
    <row r="7851" spans="1:4" x14ac:dyDescent="0.2">
      <c r="A7851" s="496"/>
      <c r="D7851" s="496"/>
    </row>
    <row r="7852" spans="1:4" x14ac:dyDescent="0.2">
      <c r="A7852" s="496"/>
      <c r="D7852" s="496"/>
    </row>
    <row r="7853" spans="1:4" x14ac:dyDescent="0.2">
      <c r="A7853" s="496"/>
      <c r="D7853" s="496"/>
    </row>
    <row r="7854" spans="1:4" x14ac:dyDescent="0.2">
      <c r="A7854" s="496"/>
      <c r="D7854" s="496"/>
    </row>
    <row r="7855" spans="1:4" x14ac:dyDescent="0.2">
      <c r="A7855" s="496"/>
      <c r="D7855" s="496"/>
    </row>
    <row r="7856" spans="1:4" x14ac:dyDescent="0.2">
      <c r="A7856" s="496"/>
      <c r="D7856" s="496"/>
    </row>
    <row r="7857" spans="1:4" x14ac:dyDescent="0.2">
      <c r="A7857" s="496"/>
      <c r="D7857" s="496"/>
    </row>
    <row r="7858" spans="1:4" x14ac:dyDescent="0.2">
      <c r="A7858" s="496"/>
      <c r="D7858" s="496"/>
    </row>
    <row r="7859" spans="1:4" x14ac:dyDescent="0.2">
      <c r="A7859" s="496"/>
      <c r="D7859" s="496"/>
    </row>
    <row r="7860" spans="1:4" x14ac:dyDescent="0.2">
      <c r="A7860" s="496"/>
      <c r="D7860" s="496"/>
    </row>
    <row r="7861" spans="1:4" x14ac:dyDescent="0.2">
      <c r="A7861" s="496"/>
      <c r="D7861" s="496"/>
    </row>
    <row r="7862" spans="1:4" x14ac:dyDescent="0.2">
      <c r="A7862" s="496"/>
      <c r="D7862" s="496"/>
    </row>
    <row r="7863" spans="1:4" x14ac:dyDescent="0.2">
      <c r="A7863" s="496"/>
      <c r="D7863" s="496"/>
    </row>
    <row r="7864" spans="1:4" x14ac:dyDescent="0.2">
      <c r="A7864" s="496"/>
      <c r="D7864" s="496"/>
    </row>
    <row r="7865" spans="1:4" x14ac:dyDescent="0.2">
      <c r="A7865" s="496"/>
      <c r="D7865" s="496"/>
    </row>
    <row r="7866" spans="1:4" x14ac:dyDescent="0.2">
      <c r="A7866" s="496"/>
      <c r="D7866" s="496"/>
    </row>
    <row r="7867" spans="1:4" x14ac:dyDescent="0.2">
      <c r="A7867" s="496"/>
      <c r="D7867" s="496"/>
    </row>
    <row r="7868" spans="1:4" x14ac:dyDescent="0.2">
      <c r="A7868" s="496"/>
      <c r="D7868" s="496"/>
    </row>
    <row r="7869" spans="1:4" x14ac:dyDescent="0.2">
      <c r="A7869" s="496"/>
      <c r="D7869" s="496"/>
    </row>
    <row r="7870" spans="1:4" x14ac:dyDescent="0.2">
      <c r="A7870" s="496"/>
      <c r="D7870" s="496"/>
    </row>
    <row r="7871" spans="1:4" x14ac:dyDescent="0.2">
      <c r="A7871" s="496"/>
      <c r="D7871" s="496"/>
    </row>
    <row r="7872" spans="1:4" x14ac:dyDescent="0.2">
      <c r="A7872" s="496"/>
      <c r="D7872" s="496"/>
    </row>
    <row r="7873" spans="1:4" x14ac:dyDescent="0.2">
      <c r="A7873" s="496"/>
      <c r="D7873" s="496"/>
    </row>
    <row r="7874" spans="1:4" x14ac:dyDescent="0.2">
      <c r="A7874" s="496"/>
      <c r="D7874" s="496"/>
    </row>
    <row r="7875" spans="1:4" x14ac:dyDescent="0.2">
      <c r="A7875" s="496"/>
      <c r="D7875" s="496"/>
    </row>
    <row r="7876" spans="1:4" x14ac:dyDescent="0.2">
      <c r="A7876" s="496"/>
      <c r="D7876" s="496"/>
    </row>
    <row r="7877" spans="1:4" x14ac:dyDescent="0.2">
      <c r="A7877" s="496"/>
      <c r="D7877" s="496"/>
    </row>
    <row r="7878" spans="1:4" x14ac:dyDescent="0.2">
      <c r="A7878" s="496"/>
      <c r="D7878" s="496"/>
    </row>
    <row r="7879" spans="1:4" x14ac:dyDescent="0.2">
      <c r="A7879" s="496"/>
      <c r="D7879" s="496"/>
    </row>
    <row r="7880" spans="1:4" x14ac:dyDescent="0.2">
      <c r="A7880" s="496"/>
      <c r="D7880" s="496"/>
    </row>
    <row r="7881" spans="1:4" x14ac:dyDescent="0.2">
      <c r="A7881" s="496"/>
      <c r="D7881" s="496"/>
    </row>
    <row r="7882" spans="1:4" x14ac:dyDescent="0.2">
      <c r="A7882" s="496"/>
      <c r="D7882" s="496"/>
    </row>
    <row r="7883" spans="1:4" x14ac:dyDescent="0.2">
      <c r="A7883" s="496"/>
      <c r="D7883" s="496"/>
    </row>
    <row r="7884" spans="1:4" x14ac:dyDescent="0.2">
      <c r="A7884" s="496"/>
      <c r="D7884" s="496"/>
    </row>
    <row r="7885" spans="1:4" x14ac:dyDescent="0.2">
      <c r="A7885" s="496"/>
      <c r="D7885" s="496"/>
    </row>
    <row r="7886" spans="1:4" x14ac:dyDescent="0.2">
      <c r="A7886" s="496"/>
      <c r="D7886" s="496"/>
    </row>
    <row r="7887" spans="1:4" x14ac:dyDescent="0.2">
      <c r="A7887" s="496"/>
      <c r="D7887" s="496"/>
    </row>
    <row r="7888" spans="1:4" x14ac:dyDescent="0.2">
      <c r="A7888" s="496"/>
      <c r="D7888" s="496"/>
    </row>
    <row r="7889" spans="1:4" x14ac:dyDescent="0.2">
      <c r="A7889" s="496"/>
      <c r="D7889" s="496"/>
    </row>
    <row r="7890" spans="1:4" x14ac:dyDescent="0.2">
      <c r="A7890" s="496"/>
      <c r="D7890" s="496"/>
    </row>
    <row r="7891" spans="1:4" x14ac:dyDescent="0.2">
      <c r="A7891" s="496"/>
      <c r="D7891" s="496"/>
    </row>
    <row r="7892" spans="1:4" x14ac:dyDescent="0.2">
      <c r="A7892" s="496"/>
      <c r="D7892" s="496"/>
    </row>
    <row r="7893" spans="1:4" x14ac:dyDescent="0.2">
      <c r="A7893" s="496"/>
      <c r="D7893" s="496"/>
    </row>
    <row r="7894" spans="1:4" x14ac:dyDescent="0.2">
      <c r="A7894" s="496"/>
      <c r="D7894" s="496"/>
    </row>
    <row r="7895" spans="1:4" x14ac:dyDescent="0.2">
      <c r="A7895" s="496"/>
      <c r="D7895" s="496"/>
    </row>
    <row r="7896" spans="1:4" x14ac:dyDescent="0.2">
      <c r="A7896" s="496"/>
      <c r="D7896" s="496"/>
    </row>
    <row r="7897" spans="1:4" x14ac:dyDescent="0.2">
      <c r="A7897" s="496"/>
      <c r="D7897" s="496"/>
    </row>
    <row r="7898" spans="1:4" x14ac:dyDescent="0.2">
      <c r="A7898" s="496"/>
      <c r="D7898" s="496"/>
    </row>
    <row r="7899" spans="1:4" x14ac:dyDescent="0.2">
      <c r="A7899" s="496"/>
      <c r="D7899" s="496"/>
    </row>
    <row r="7900" spans="1:4" x14ac:dyDescent="0.2">
      <c r="A7900" s="496"/>
      <c r="D7900" s="496"/>
    </row>
    <row r="7901" spans="1:4" x14ac:dyDescent="0.2">
      <c r="A7901" s="496"/>
      <c r="D7901" s="496"/>
    </row>
    <row r="7902" spans="1:4" x14ac:dyDescent="0.2">
      <c r="A7902" s="496"/>
      <c r="D7902" s="496"/>
    </row>
    <row r="7903" spans="1:4" x14ac:dyDescent="0.2">
      <c r="A7903" s="496"/>
      <c r="D7903" s="496"/>
    </row>
    <row r="7904" spans="1:4" x14ac:dyDescent="0.2">
      <c r="A7904" s="496"/>
      <c r="D7904" s="496"/>
    </row>
    <row r="7905" spans="1:4" x14ac:dyDescent="0.2">
      <c r="A7905" s="496"/>
      <c r="D7905" s="496"/>
    </row>
    <row r="7906" spans="1:4" x14ac:dyDescent="0.2">
      <c r="A7906" s="496"/>
      <c r="D7906" s="496"/>
    </row>
    <row r="7907" spans="1:4" x14ac:dyDescent="0.2">
      <c r="A7907" s="496"/>
      <c r="D7907" s="496"/>
    </row>
    <row r="7908" spans="1:4" x14ac:dyDescent="0.2">
      <c r="A7908" s="496"/>
      <c r="D7908" s="496"/>
    </row>
    <row r="7909" spans="1:4" x14ac:dyDescent="0.2">
      <c r="A7909" s="496"/>
      <c r="D7909" s="496"/>
    </row>
    <row r="7910" spans="1:4" x14ac:dyDescent="0.2">
      <c r="A7910" s="496"/>
      <c r="D7910" s="496"/>
    </row>
    <row r="7911" spans="1:4" x14ac:dyDescent="0.2">
      <c r="A7911" s="496"/>
      <c r="D7911" s="496"/>
    </row>
    <row r="7912" spans="1:4" x14ac:dyDescent="0.2">
      <c r="A7912" s="496"/>
      <c r="D7912" s="496"/>
    </row>
    <row r="7913" spans="1:4" x14ac:dyDescent="0.2">
      <c r="A7913" s="496"/>
      <c r="D7913" s="496"/>
    </row>
    <row r="7914" spans="1:4" x14ac:dyDescent="0.2">
      <c r="A7914" s="496"/>
      <c r="D7914" s="496"/>
    </row>
    <row r="7915" spans="1:4" x14ac:dyDescent="0.2">
      <c r="A7915" s="496"/>
      <c r="D7915" s="496"/>
    </row>
    <row r="7916" spans="1:4" x14ac:dyDescent="0.2">
      <c r="A7916" s="496"/>
      <c r="D7916" s="496"/>
    </row>
    <row r="7917" spans="1:4" x14ac:dyDescent="0.2">
      <c r="A7917" s="496"/>
      <c r="D7917" s="496"/>
    </row>
    <row r="7918" spans="1:4" x14ac:dyDescent="0.2">
      <c r="A7918" s="496"/>
      <c r="D7918" s="496"/>
    </row>
    <row r="7919" spans="1:4" x14ac:dyDescent="0.2">
      <c r="A7919" s="496"/>
      <c r="D7919" s="496"/>
    </row>
    <row r="7920" spans="1:4" x14ac:dyDescent="0.2">
      <c r="A7920" s="496"/>
      <c r="D7920" s="496"/>
    </row>
    <row r="7921" spans="1:4" x14ac:dyDescent="0.2">
      <c r="A7921" s="496"/>
      <c r="D7921" s="496"/>
    </row>
    <row r="7922" spans="1:4" x14ac:dyDescent="0.2">
      <c r="A7922" s="496"/>
      <c r="D7922" s="496"/>
    </row>
    <row r="7923" spans="1:4" x14ac:dyDescent="0.2">
      <c r="A7923" s="496"/>
      <c r="D7923" s="496"/>
    </row>
    <row r="7924" spans="1:4" x14ac:dyDescent="0.2">
      <c r="A7924" s="496"/>
      <c r="D7924" s="496"/>
    </row>
    <row r="7925" spans="1:4" x14ac:dyDescent="0.2">
      <c r="A7925" s="496"/>
      <c r="D7925" s="496"/>
    </row>
    <row r="7926" spans="1:4" x14ac:dyDescent="0.2">
      <c r="A7926" s="496"/>
      <c r="D7926" s="496"/>
    </row>
    <row r="7927" spans="1:4" x14ac:dyDescent="0.2">
      <c r="A7927" s="496"/>
      <c r="D7927" s="496"/>
    </row>
    <row r="7928" spans="1:4" x14ac:dyDescent="0.2">
      <c r="A7928" s="496"/>
      <c r="D7928" s="496"/>
    </row>
    <row r="7929" spans="1:4" x14ac:dyDescent="0.2">
      <c r="A7929" s="496"/>
      <c r="D7929" s="496"/>
    </row>
    <row r="7930" spans="1:4" x14ac:dyDescent="0.2">
      <c r="A7930" s="496"/>
      <c r="D7930" s="496"/>
    </row>
    <row r="7931" spans="1:4" x14ac:dyDescent="0.2">
      <c r="A7931" s="496"/>
      <c r="D7931" s="496"/>
    </row>
    <row r="7932" spans="1:4" x14ac:dyDescent="0.2">
      <c r="A7932" s="496"/>
      <c r="D7932" s="496"/>
    </row>
    <row r="7933" spans="1:4" x14ac:dyDescent="0.2">
      <c r="A7933" s="496"/>
      <c r="D7933" s="496"/>
    </row>
    <row r="7934" spans="1:4" x14ac:dyDescent="0.2">
      <c r="A7934" s="496"/>
      <c r="D7934" s="496"/>
    </row>
    <row r="7935" spans="1:4" x14ac:dyDescent="0.2">
      <c r="A7935" s="496"/>
      <c r="D7935" s="496"/>
    </row>
    <row r="7936" spans="1:4" x14ac:dyDescent="0.2">
      <c r="A7936" s="496"/>
      <c r="D7936" s="496"/>
    </row>
    <row r="7937" spans="1:4" x14ac:dyDescent="0.2">
      <c r="A7937" s="496"/>
      <c r="D7937" s="496"/>
    </row>
    <row r="7938" spans="1:4" x14ac:dyDescent="0.2">
      <c r="A7938" s="496"/>
      <c r="D7938" s="496"/>
    </row>
    <row r="7939" spans="1:4" x14ac:dyDescent="0.2">
      <c r="A7939" s="496"/>
      <c r="D7939" s="496"/>
    </row>
    <row r="7940" spans="1:4" x14ac:dyDescent="0.2">
      <c r="A7940" s="496"/>
      <c r="D7940" s="496"/>
    </row>
    <row r="7941" spans="1:4" x14ac:dyDescent="0.2">
      <c r="A7941" s="496"/>
      <c r="D7941" s="496"/>
    </row>
    <row r="7942" spans="1:4" x14ac:dyDescent="0.2">
      <c r="A7942" s="496"/>
      <c r="D7942" s="496"/>
    </row>
    <row r="7943" spans="1:4" x14ac:dyDescent="0.2">
      <c r="A7943" s="496"/>
      <c r="D7943" s="496"/>
    </row>
    <row r="7944" spans="1:4" x14ac:dyDescent="0.2">
      <c r="A7944" s="496"/>
      <c r="D7944" s="496"/>
    </row>
    <row r="7945" spans="1:4" x14ac:dyDescent="0.2">
      <c r="A7945" s="496"/>
      <c r="D7945" s="496"/>
    </row>
    <row r="7946" spans="1:4" x14ac:dyDescent="0.2">
      <c r="A7946" s="496"/>
      <c r="D7946" s="496"/>
    </row>
    <row r="7947" spans="1:4" x14ac:dyDescent="0.2">
      <c r="A7947" s="496"/>
      <c r="D7947" s="496"/>
    </row>
    <row r="7948" spans="1:4" x14ac:dyDescent="0.2">
      <c r="A7948" s="496"/>
      <c r="D7948" s="496"/>
    </row>
    <row r="7949" spans="1:4" x14ac:dyDescent="0.2">
      <c r="A7949" s="496"/>
      <c r="D7949" s="496"/>
    </row>
    <row r="7950" spans="1:4" x14ac:dyDescent="0.2">
      <c r="A7950" s="496"/>
      <c r="D7950" s="496"/>
    </row>
    <row r="7951" spans="1:4" x14ac:dyDescent="0.2">
      <c r="A7951" s="496"/>
      <c r="D7951" s="496"/>
    </row>
    <row r="7952" spans="1:4" x14ac:dyDescent="0.2">
      <c r="A7952" s="496"/>
      <c r="D7952" s="496"/>
    </row>
    <row r="7953" spans="1:4" x14ac:dyDescent="0.2">
      <c r="A7953" s="496"/>
      <c r="D7953" s="496"/>
    </row>
    <row r="7954" spans="1:4" x14ac:dyDescent="0.2">
      <c r="A7954" s="496"/>
      <c r="D7954" s="496"/>
    </row>
    <row r="7955" spans="1:4" x14ac:dyDescent="0.2">
      <c r="A7955" s="496"/>
      <c r="D7955" s="496"/>
    </row>
    <row r="7956" spans="1:4" x14ac:dyDescent="0.2">
      <c r="A7956" s="496"/>
      <c r="D7956" s="496"/>
    </row>
    <row r="7957" spans="1:4" x14ac:dyDescent="0.2">
      <c r="A7957" s="496"/>
      <c r="D7957" s="496"/>
    </row>
    <row r="7958" spans="1:4" x14ac:dyDescent="0.2">
      <c r="A7958" s="496"/>
      <c r="D7958" s="496"/>
    </row>
    <row r="7959" spans="1:4" x14ac:dyDescent="0.2">
      <c r="A7959" s="496"/>
      <c r="D7959" s="496"/>
    </row>
    <row r="7960" spans="1:4" x14ac:dyDescent="0.2">
      <c r="A7960" s="496"/>
      <c r="D7960" s="496"/>
    </row>
    <row r="7961" spans="1:4" x14ac:dyDescent="0.2">
      <c r="A7961" s="496"/>
      <c r="D7961" s="496"/>
    </row>
    <row r="7962" spans="1:4" x14ac:dyDescent="0.2">
      <c r="A7962" s="496"/>
      <c r="D7962" s="496"/>
    </row>
    <row r="7963" spans="1:4" x14ac:dyDescent="0.2">
      <c r="A7963" s="496"/>
      <c r="D7963" s="496"/>
    </row>
    <row r="7964" spans="1:4" x14ac:dyDescent="0.2">
      <c r="A7964" s="496"/>
      <c r="D7964" s="496"/>
    </row>
    <row r="7965" spans="1:4" x14ac:dyDescent="0.2">
      <c r="A7965" s="496"/>
      <c r="D7965" s="496"/>
    </row>
    <row r="7966" spans="1:4" x14ac:dyDescent="0.2">
      <c r="A7966" s="496"/>
      <c r="D7966" s="496"/>
    </row>
    <row r="7967" spans="1:4" x14ac:dyDescent="0.2">
      <c r="A7967" s="496"/>
      <c r="D7967" s="496"/>
    </row>
    <row r="7968" spans="1:4" x14ac:dyDescent="0.2">
      <c r="A7968" s="496"/>
      <c r="D7968" s="496"/>
    </row>
    <row r="7969" spans="1:4" x14ac:dyDescent="0.2">
      <c r="A7969" s="496"/>
      <c r="D7969" s="496"/>
    </row>
    <row r="7970" spans="1:4" x14ac:dyDescent="0.2">
      <c r="A7970" s="496"/>
      <c r="D7970" s="496"/>
    </row>
    <row r="7971" spans="1:4" x14ac:dyDescent="0.2">
      <c r="A7971" s="496"/>
      <c r="D7971" s="496"/>
    </row>
    <row r="7972" spans="1:4" x14ac:dyDescent="0.2">
      <c r="A7972" s="496"/>
      <c r="D7972" s="496"/>
    </row>
    <row r="7973" spans="1:4" x14ac:dyDescent="0.2">
      <c r="A7973" s="496"/>
      <c r="D7973" s="496"/>
    </row>
    <row r="7974" spans="1:4" x14ac:dyDescent="0.2">
      <c r="A7974" s="496"/>
      <c r="D7974" s="496"/>
    </row>
    <row r="7975" spans="1:4" x14ac:dyDescent="0.2">
      <c r="A7975" s="496"/>
      <c r="D7975" s="496"/>
    </row>
    <row r="7976" spans="1:4" x14ac:dyDescent="0.2">
      <c r="A7976" s="496"/>
      <c r="D7976" s="496"/>
    </row>
    <row r="7977" spans="1:4" x14ac:dyDescent="0.2">
      <c r="A7977" s="496"/>
      <c r="D7977" s="496"/>
    </row>
    <row r="7978" spans="1:4" x14ac:dyDescent="0.2">
      <c r="A7978" s="496"/>
      <c r="D7978" s="496"/>
    </row>
    <row r="7979" spans="1:4" x14ac:dyDescent="0.2">
      <c r="A7979" s="496"/>
      <c r="D7979" s="496"/>
    </row>
    <row r="7980" spans="1:4" x14ac:dyDescent="0.2">
      <c r="A7980" s="496"/>
      <c r="D7980" s="496"/>
    </row>
    <row r="7981" spans="1:4" x14ac:dyDescent="0.2">
      <c r="A7981" s="496"/>
      <c r="D7981" s="496"/>
    </row>
    <row r="7982" spans="1:4" x14ac:dyDescent="0.2">
      <c r="A7982" s="496"/>
      <c r="D7982" s="496"/>
    </row>
    <row r="7983" spans="1:4" x14ac:dyDescent="0.2">
      <c r="A7983" s="496"/>
      <c r="D7983" s="496"/>
    </row>
    <row r="7984" spans="1:4" x14ac:dyDescent="0.2">
      <c r="A7984" s="496"/>
      <c r="D7984" s="496"/>
    </row>
    <row r="7985" spans="1:4" x14ac:dyDescent="0.2">
      <c r="A7985" s="496"/>
      <c r="D7985" s="496"/>
    </row>
    <row r="7986" spans="1:4" x14ac:dyDescent="0.2">
      <c r="A7986" s="496"/>
      <c r="D7986" s="496"/>
    </row>
    <row r="7987" spans="1:4" x14ac:dyDescent="0.2">
      <c r="A7987" s="496"/>
      <c r="D7987" s="496"/>
    </row>
    <row r="7988" spans="1:4" x14ac:dyDescent="0.2">
      <c r="A7988" s="496"/>
      <c r="D7988" s="496"/>
    </row>
    <row r="7989" spans="1:4" x14ac:dyDescent="0.2">
      <c r="A7989" s="496"/>
      <c r="D7989" s="496"/>
    </row>
    <row r="7990" spans="1:4" x14ac:dyDescent="0.2">
      <c r="A7990" s="496"/>
      <c r="D7990" s="496"/>
    </row>
    <row r="7991" spans="1:4" x14ac:dyDescent="0.2">
      <c r="A7991" s="496"/>
      <c r="D7991" s="496"/>
    </row>
    <row r="7992" spans="1:4" x14ac:dyDescent="0.2">
      <c r="A7992" s="496"/>
      <c r="D7992" s="496"/>
    </row>
    <row r="7993" spans="1:4" x14ac:dyDescent="0.2">
      <c r="A7993" s="496"/>
      <c r="D7993" s="496"/>
    </row>
    <row r="7994" spans="1:4" x14ac:dyDescent="0.2">
      <c r="A7994" s="496"/>
      <c r="D7994" s="496"/>
    </row>
    <row r="7995" spans="1:4" x14ac:dyDescent="0.2">
      <c r="A7995" s="496"/>
      <c r="D7995" s="496"/>
    </row>
    <row r="7996" spans="1:4" x14ac:dyDescent="0.2">
      <c r="A7996" s="496"/>
      <c r="D7996" s="496"/>
    </row>
    <row r="7997" spans="1:4" x14ac:dyDescent="0.2">
      <c r="A7997" s="496"/>
      <c r="D7997" s="496"/>
    </row>
    <row r="7998" spans="1:4" x14ac:dyDescent="0.2">
      <c r="A7998" s="496"/>
      <c r="D7998" s="496"/>
    </row>
    <row r="7999" spans="1:4" x14ac:dyDescent="0.2">
      <c r="A7999" s="496"/>
      <c r="D7999" s="496"/>
    </row>
    <row r="8000" spans="1:4" x14ac:dyDescent="0.2">
      <c r="A8000" s="496"/>
      <c r="D8000" s="496"/>
    </row>
    <row r="8001" spans="1:4" x14ac:dyDescent="0.2">
      <c r="A8001" s="496"/>
      <c r="D8001" s="496"/>
    </row>
    <row r="8002" spans="1:4" x14ac:dyDescent="0.2">
      <c r="A8002" s="496"/>
      <c r="D8002" s="496"/>
    </row>
    <row r="8003" spans="1:4" x14ac:dyDescent="0.2">
      <c r="A8003" s="496"/>
      <c r="D8003" s="496"/>
    </row>
    <row r="8004" spans="1:4" x14ac:dyDescent="0.2">
      <c r="A8004" s="496"/>
      <c r="D8004" s="496"/>
    </row>
    <row r="8005" spans="1:4" x14ac:dyDescent="0.2">
      <c r="A8005" s="496"/>
      <c r="D8005" s="496"/>
    </row>
    <row r="8006" spans="1:4" x14ac:dyDescent="0.2">
      <c r="A8006" s="496"/>
      <c r="D8006" s="496"/>
    </row>
    <row r="8007" spans="1:4" x14ac:dyDescent="0.2">
      <c r="A8007" s="496"/>
      <c r="D8007" s="496"/>
    </row>
    <row r="8008" spans="1:4" x14ac:dyDescent="0.2">
      <c r="A8008" s="496"/>
      <c r="D8008" s="496"/>
    </row>
    <row r="8009" spans="1:4" x14ac:dyDescent="0.2">
      <c r="A8009" s="496"/>
      <c r="D8009" s="496"/>
    </row>
    <row r="8010" spans="1:4" x14ac:dyDescent="0.2">
      <c r="A8010" s="496"/>
      <c r="D8010" s="496"/>
    </row>
    <row r="8011" spans="1:4" x14ac:dyDescent="0.2">
      <c r="A8011" s="496"/>
      <c r="D8011" s="496"/>
    </row>
    <row r="8012" spans="1:4" x14ac:dyDescent="0.2">
      <c r="A8012" s="496"/>
      <c r="D8012" s="496"/>
    </row>
    <row r="8013" spans="1:4" x14ac:dyDescent="0.2">
      <c r="A8013" s="496"/>
      <c r="D8013" s="496"/>
    </row>
    <row r="8014" spans="1:4" x14ac:dyDescent="0.2">
      <c r="A8014" s="496"/>
      <c r="D8014" s="496"/>
    </row>
    <row r="8015" spans="1:4" x14ac:dyDescent="0.2">
      <c r="A8015" s="496"/>
      <c r="D8015" s="496"/>
    </row>
    <row r="8016" spans="1:4" x14ac:dyDescent="0.2">
      <c r="A8016" s="496"/>
      <c r="D8016" s="496"/>
    </row>
    <row r="8017" spans="1:4" x14ac:dyDescent="0.2">
      <c r="A8017" s="496"/>
      <c r="D8017" s="496"/>
    </row>
    <row r="8018" spans="1:4" x14ac:dyDescent="0.2">
      <c r="A8018" s="496"/>
      <c r="D8018" s="496"/>
    </row>
    <row r="8019" spans="1:4" x14ac:dyDescent="0.2">
      <c r="A8019" s="496"/>
      <c r="D8019" s="496"/>
    </row>
    <row r="8020" spans="1:4" x14ac:dyDescent="0.2">
      <c r="A8020" s="496"/>
      <c r="D8020" s="496"/>
    </row>
    <row r="8021" spans="1:4" x14ac:dyDescent="0.2">
      <c r="A8021" s="496"/>
      <c r="D8021" s="496"/>
    </row>
    <row r="8022" spans="1:4" x14ac:dyDescent="0.2">
      <c r="A8022" s="496"/>
      <c r="D8022" s="496"/>
    </row>
    <row r="8023" spans="1:4" x14ac:dyDescent="0.2">
      <c r="A8023" s="496"/>
      <c r="D8023" s="496"/>
    </row>
    <row r="8024" spans="1:4" x14ac:dyDescent="0.2">
      <c r="A8024" s="496"/>
      <c r="D8024" s="496"/>
    </row>
    <row r="8025" spans="1:4" x14ac:dyDescent="0.2">
      <c r="A8025" s="496"/>
      <c r="D8025" s="496"/>
    </row>
    <row r="8026" spans="1:4" x14ac:dyDescent="0.2">
      <c r="A8026" s="496"/>
      <c r="D8026" s="496"/>
    </row>
    <row r="8027" spans="1:4" x14ac:dyDescent="0.2">
      <c r="A8027" s="496"/>
      <c r="D8027" s="496"/>
    </row>
    <row r="8028" spans="1:4" x14ac:dyDescent="0.2">
      <c r="A8028" s="496"/>
      <c r="D8028" s="496"/>
    </row>
    <row r="8029" spans="1:4" x14ac:dyDescent="0.2">
      <c r="A8029" s="496"/>
      <c r="D8029" s="496"/>
    </row>
    <row r="8030" spans="1:4" x14ac:dyDescent="0.2">
      <c r="A8030" s="496"/>
      <c r="D8030" s="496"/>
    </row>
    <row r="8031" spans="1:4" x14ac:dyDescent="0.2">
      <c r="A8031" s="496"/>
      <c r="D8031" s="496"/>
    </row>
    <row r="8032" spans="1:4" x14ac:dyDescent="0.2">
      <c r="A8032" s="496"/>
      <c r="D8032" s="496"/>
    </row>
    <row r="8033" spans="1:4" x14ac:dyDescent="0.2">
      <c r="A8033" s="496"/>
      <c r="D8033" s="496"/>
    </row>
    <row r="8034" spans="1:4" x14ac:dyDescent="0.2">
      <c r="A8034" s="496"/>
      <c r="D8034" s="496"/>
    </row>
    <row r="8035" spans="1:4" x14ac:dyDescent="0.2">
      <c r="A8035" s="496"/>
      <c r="D8035" s="496"/>
    </row>
    <row r="8036" spans="1:4" x14ac:dyDescent="0.2">
      <c r="A8036" s="496"/>
      <c r="D8036" s="496"/>
    </row>
    <row r="8037" spans="1:4" x14ac:dyDescent="0.2">
      <c r="A8037" s="496"/>
      <c r="D8037" s="496"/>
    </row>
    <row r="8038" spans="1:4" x14ac:dyDescent="0.2">
      <c r="A8038" s="496"/>
      <c r="D8038" s="496"/>
    </row>
    <row r="8039" spans="1:4" x14ac:dyDescent="0.2">
      <c r="A8039" s="496"/>
      <c r="D8039" s="496"/>
    </row>
    <row r="8040" spans="1:4" x14ac:dyDescent="0.2">
      <c r="A8040" s="496"/>
      <c r="D8040" s="496"/>
    </row>
    <row r="8041" spans="1:4" x14ac:dyDescent="0.2">
      <c r="A8041" s="496"/>
      <c r="D8041" s="496"/>
    </row>
    <row r="8042" spans="1:4" x14ac:dyDescent="0.2">
      <c r="A8042" s="496"/>
      <c r="D8042" s="496"/>
    </row>
    <row r="8043" spans="1:4" x14ac:dyDescent="0.2">
      <c r="A8043" s="496"/>
      <c r="D8043" s="496"/>
    </row>
    <row r="8044" spans="1:4" x14ac:dyDescent="0.2">
      <c r="A8044" s="496"/>
      <c r="D8044" s="496"/>
    </row>
    <row r="8045" spans="1:4" x14ac:dyDescent="0.2">
      <c r="A8045" s="496"/>
      <c r="D8045" s="496"/>
    </row>
    <row r="8046" spans="1:4" x14ac:dyDescent="0.2">
      <c r="A8046" s="496"/>
      <c r="D8046" s="496"/>
    </row>
    <row r="8047" spans="1:4" x14ac:dyDescent="0.2">
      <c r="A8047" s="496"/>
      <c r="D8047" s="496"/>
    </row>
    <row r="8048" spans="1:4" x14ac:dyDescent="0.2">
      <c r="A8048" s="496"/>
      <c r="D8048" s="496"/>
    </row>
    <row r="8049" spans="1:4" x14ac:dyDescent="0.2">
      <c r="A8049" s="496"/>
      <c r="D8049" s="496"/>
    </row>
    <row r="8050" spans="1:4" x14ac:dyDescent="0.2">
      <c r="A8050" s="496"/>
      <c r="D8050" s="496"/>
    </row>
    <row r="8051" spans="1:4" x14ac:dyDescent="0.2">
      <c r="A8051" s="496"/>
      <c r="D8051" s="496"/>
    </row>
    <row r="8052" spans="1:4" x14ac:dyDescent="0.2">
      <c r="A8052" s="496"/>
      <c r="D8052" s="496"/>
    </row>
    <row r="8053" spans="1:4" x14ac:dyDescent="0.2">
      <c r="A8053" s="496"/>
      <c r="D8053" s="496"/>
    </row>
    <row r="8054" spans="1:4" x14ac:dyDescent="0.2">
      <c r="A8054" s="496"/>
      <c r="D8054" s="496"/>
    </row>
    <row r="8055" spans="1:4" x14ac:dyDescent="0.2">
      <c r="A8055" s="496"/>
      <c r="D8055" s="496"/>
    </row>
    <row r="8056" spans="1:4" x14ac:dyDescent="0.2">
      <c r="A8056" s="496"/>
      <c r="D8056" s="496"/>
    </row>
    <row r="8057" spans="1:4" x14ac:dyDescent="0.2">
      <c r="A8057" s="496"/>
      <c r="D8057" s="496"/>
    </row>
    <row r="8058" spans="1:4" x14ac:dyDescent="0.2">
      <c r="A8058" s="496"/>
      <c r="D8058" s="496"/>
    </row>
    <row r="8059" spans="1:4" x14ac:dyDescent="0.2">
      <c r="A8059" s="496"/>
      <c r="D8059" s="496"/>
    </row>
    <row r="8060" spans="1:4" x14ac:dyDescent="0.2">
      <c r="A8060" s="496"/>
      <c r="D8060" s="496"/>
    </row>
    <row r="8061" spans="1:4" x14ac:dyDescent="0.2">
      <c r="A8061" s="496"/>
      <c r="D8061" s="496"/>
    </row>
    <row r="8062" spans="1:4" x14ac:dyDescent="0.2">
      <c r="A8062" s="496"/>
      <c r="D8062" s="496"/>
    </row>
    <row r="8063" spans="1:4" x14ac:dyDescent="0.2">
      <c r="A8063" s="496"/>
      <c r="D8063" s="496"/>
    </row>
    <row r="8064" spans="1:4" x14ac:dyDescent="0.2">
      <c r="A8064" s="496"/>
      <c r="D8064" s="496"/>
    </row>
    <row r="8065" spans="1:4" x14ac:dyDescent="0.2">
      <c r="A8065" s="496"/>
      <c r="D8065" s="496"/>
    </row>
    <row r="8066" spans="1:4" x14ac:dyDescent="0.2">
      <c r="A8066" s="496"/>
      <c r="D8066" s="496"/>
    </row>
    <row r="8067" spans="1:4" x14ac:dyDescent="0.2">
      <c r="A8067" s="496"/>
      <c r="D8067" s="496"/>
    </row>
    <row r="8068" spans="1:4" x14ac:dyDescent="0.2">
      <c r="A8068" s="496"/>
      <c r="D8068" s="496"/>
    </row>
    <row r="8069" spans="1:4" x14ac:dyDescent="0.2">
      <c r="A8069" s="496"/>
      <c r="D8069" s="496"/>
    </row>
    <row r="8070" spans="1:4" x14ac:dyDescent="0.2">
      <c r="A8070" s="496"/>
      <c r="D8070" s="496"/>
    </row>
    <row r="8071" spans="1:4" x14ac:dyDescent="0.2">
      <c r="A8071" s="496"/>
      <c r="D8071" s="496"/>
    </row>
    <row r="8072" spans="1:4" x14ac:dyDescent="0.2">
      <c r="A8072" s="496"/>
      <c r="D8072" s="496"/>
    </row>
    <row r="8073" spans="1:4" x14ac:dyDescent="0.2">
      <c r="A8073" s="496"/>
      <c r="D8073" s="496"/>
    </row>
    <row r="8074" spans="1:4" x14ac:dyDescent="0.2">
      <c r="A8074" s="496"/>
      <c r="D8074" s="496"/>
    </row>
    <row r="8075" spans="1:4" x14ac:dyDescent="0.2">
      <c r="A8075" s="496"/>
      <c r="D8075" s="496"/>
    </row>
    <row r="8076" spans="1:4" x14ac:dyDescent="0.2">
      <c r="A8076" s="496"/>
      <c r="D8076" s="496"/>
    </row>
    <row r="8077" spans="1:4" x14ac:dyDescent="0.2">
      <c r="A8077" s="496"/>
      <c r="D8077" s="496"/>
    </row>
    <row r="8078" spans="1:4" x14ac:dyDescent="0.2">
      <c r="A8078" s="496"/>
      <c r="D8078" s="496"/>
    </row>
    <row r="8079" spans="1:4" x14ac:dyDescent="0.2">
      <c r="A8079" s="496"/>
      <c r="D8079" s="496"/>
    </row>
    <row r="8080" spans="1:4" x14ac:dyDescent="0.2">
      <c r="A8080" s="496"/>
      <c r="D8080" s="496"/>
    </row>
    <row r="8081" spans="1:4" x14ac:dyDescent="0.2">
      <c r="A8081" s="496"/>
      <c r="D8081" s="496"/>
    </row>
    <row r="8082" spans="1:4" x14ac:dyDescent="0.2">
      <c r="A8082" s="496"/>
      <c r="D8082" s="496"/>
    </row>
    <row r="8083" spans="1:4" x14ac:dyDescent="0.2">
      <c r="A8083" s="496"/>
      <c r="D8083" s="496"/>
    </row>
    <row r="8084" spans="1:4" x14ac:dyDescent="0.2">
      <c r="A8084" s="496"/>
      <c r="D8084" s="496"/>
    </row>
    <row r="8085" spans="1:4" x14ac:dyDescent="0.2">
      <c r="A8085" s="496"/>
      <c r="D8085" s="496"/>
    </row>
    <row r="8086" spans="1:4" x14ac:dyDescent="0.2">
      <c r="A8086" s="496"/>
      <c r="D8086" s="496"/>
    </row>
    <row r="8087" spans="1:4" x14ac:dyDescent="0.2">
      <c r="A8087" s="496"/>
      <c r="D8087" s="496"/>
    </row>
    <row r="8088" spans="1:4" x14ac:dyDescent="0.2">
      <c r="A8088" s="496"/>
      <c r="D8088" s="496"/>
    </row>
    <row r="8089" spans="1:4" x14ac:dyDescent="0.2">
      <c r="A8089" s="496"/>
      <c r="D8089" s="496"/>
    </row>
    <row r="8090" spans="1:4" x14ac:dyDescent="0.2">
      <c r="A8090" s="496"/>
      <c r="D8090" s="496"/>
    </row>
    <row r="8091" spans="1:4" x14ac:dyDescent="0.2">
      <c r="A8091" s="496"/>
      <c r="D8091" s="496"/>
    </row>
    <row r="8092" spans="1:4" x14ac:dyDescent="0.2">
      <c r="A8092" s="496"/>
      <c r="D8092" s="496"/>
    </row>
    <row r="8093" spans="1:4" x14ac:dyDescent="0.2">
      <c r="A8093" s="496"/>
      <c r="D8093" s="496"/>
    </row>
    <row r="8094" spans="1:4" x14ac:dyDescent="0.2">
      <c r="A8094" s="496"/>
      <c r="D8094" s="496"/>
    </row>
    <row r="8095" spans="1:4" x14ac:dyDescent="0.2">
      <c r="A8095" s="496"/>
      <c r="D8095" s="496"/>
    </row>
    <row r="8096" spans="1:4" x14ac:dyDescent="0.2">
      <c r="A8096" s="496"/>
      <c r="D8096" s="496"/>
    </row>
    <row r="8097" spans="1:4" x14ac:dyDescent="0.2">
      <c r="A8097" s="496"/>
      <c r="D8097" s="496"/>
    </row>
    <row r="8098" spans="1:4" x14ac:dyDescent="0.2">
      <c r="A8098" s="496"/>
      <c r="D8098" s="496"/>
    </row>
    <row r="8099" spans="1:4" x14ac:dyDescent="0.2">
      <c r="A8099" s="496"/>
      <c r="D8099" s="496"/>
    </row>
    <row r="8100" spans="1:4" x14ac:dyDescent="0.2">
      <c r="A8100" s="496"/>
      <c r="D8100" s="496"/>
    </row>
    <row r="8101" spans="1:4" x14ac:dyDescent="0.2">
      <c r="A8101" s="496"/>
      <c r="D8101" s="496"/>
    </row>
    <row r="8102" spans="1:4" x14ac:dyDescent="0.2">
      <c r="A8102" s="496"/>
      <c r="D8102" s="496"/>
    </row>
    <row r="8103" spans="1:4" x14ac:dyDescent="0.2">
      <c r="A8103" s="496"/>
      <c r="D8103" s="496"/>
    </row>
    <row r="8104" spans="1:4" x14ac:dyDescent="0.2">
      <c r="A8104" s="496"/>
      <c r="D8104" s="496"/>
    </row>
    <row r="8105" spans="1:4" x14ac:dyDescent="0.2">
      <c r="A8105" s="496"/>
      <c r="D8105" s="496"/>
    </row>
    <row r="8106" spans="1:4" x14ac:dyDescent="0.2">
      <c r="A8106" s="496"/>
      <c r="D8106" s="496"/>
    </row>
    <row r="8107" spans="1:4" x14ac:dyDescent="0.2">
      <c r="A8107" s="496"/>
      <c r="D8107" s="496"/>
    </row>
    <row r="8108" spans="1:4" x14ac:dyDescent="0.2">
      <c r="A8108" s="496"/>
      <c r="D8108" s="496"/>
    </row>
    <row r="8109" spans="1:4" x14ac:dyDescent="0.2">
      <c r="A8109" s="496"/>
      <c r="D8109" s="496"/>
    </row>
    <row r="8110" spans="1:4" x14ac:dyDescent="0.2">
      <c r="A8110" s="496"/>
      <c r="D8110" s="496"/>
    </row>
    <row r="8111" spans="1:4" x14ac:dyDescent="0.2">
      <c r="A8111" s="496"/>
      <c r="D8111" s="496"/>
    </row>
    <row r="8112" spans="1:4" x14ac:dyDescent="0.2">
      <c r="A8112" s="496"/>
      <c r="D8112" s="496"/>
    </row>
    <row r="8113" spans="1:4" x14ac:dyDescent="0.2">
      <c r="A8113" s="496"/>
      <c r="D8113" s="496"/>
    </row>
    <row r="8114" spans="1:4" x14ac:dyDescent="0.2">
      <c r="A8114" s="496"/>
      <c r="D8114" s="496"/>
    </row>
    <row r="8115" spans="1:4" x14ac:dyDescent="0.2">
      <c r="A8115" s="496"/>
      <c r="D8115" s="496"/>
    </row>
    <row r="8116" spans="1:4" x14ac:dyDescent="0.2">
      <c r="A8116" s="496"/>
      <c r="D8116" s="496"/>
    </row>
    <row r="8117" spans="1:4" x14ac:dyDescent="0.2">
      <c r="A8117" s="496"/>
      <c r="D8117" s="496"/>
    </row>
    <row r="8118" spans="1:4" x14ac:dyDescent="0.2">
      <c r="A8118" s="496"/>
      <c r="D8118" s="496"/>
    </row>
    <row r="8119" spans="1:4" x14ac:dyDescent="0.2">
      <c r="A8119" s="496"/>
      <c r="D8119" s="496"/>
    </row>
    <row r="8120" spans="1:4" x14ac:dyDescent="0.2">
      <c r="A8120" s="496"/>
      <c r="D8120" s="496"/>
    </row>
    <row r="8121" spans="1:4" x14ac:dyDescent="0.2">
      <c r="A8121" s="496"/>
      <c r="D8121" s="496"/>
    </row>
    <row r="8122" spans="1:4" x14ac:dyDescent="0.2">
      <c r="A8122" s="496"/>
      <c r="D8122" s="496"/>
    </row>
    <row r="8123" spans="1:4" x14ac:dyDescent="0.2">
      <c r="A8123" s="496"/>
      <c r="D8123" s="496"/>
    </row>
    <row r="8124" spans="1:4" x14ac:dyDescent="0.2">
      <c r="A8124" s="496"/>
      <c r="D8124" s="496"/>
    </row>
    <row r="8125" spans="1:4" x14ac:dyDescent="0.2">
      <c r="A8125" s="496"/>
      <c r="D8125" s="496"/>
    </row>
    <row r="8126" spans="1:4" x14ac:dyDescent="0.2">
      <c r="A8126" s="496"/>
      <c r="D8126" s="496"/>
    </row>
    <row r="8127" spans="1:4" x14ac:dyDescent="0.2">
      <c r="A8127" s="496"/>
      <c r="D8127" s="496"/>
    </row>
    <row r="8128" spans="1:4" x14ac:dyDescent="0.2">
      <c r="A8128" s="496"/>
      <c r="D8128" s="496"/>
    </row>
    <row r="8129" spans="1:4" x14ac:dyDescent="0.2">
      <c r="A8129" s="496"/>
      <c r="D8129" s="496"/>
    </row>
    <row r="8130" spans="1:4" x14ac:dyDescent="0.2">
      <c r="A8130" s="496"/>
      <c r="D8130" s="496"/>
    </row>
    <row r="8131" spans="1:4" x14ac:dyDescent="0.2">
      <c r="A8131" s="496"/>
      <c r="D8131" s="496"/>
    </row>
    <row r="8132" spans="1:4" x14ac:dyDescent="0.2">
      <c r="A8132" s="496"/>
      <c r="D8132" s="496"/>
    </row>
    <row r="8133" spans="1:4" x14ac:dyDescent="0.2">
      <c r="A8133" s="496"/>
      <c r="D8133" s="496"/>
    </row>
    <row r="8134" spans="1:4" x14ac:dyDescent="0.2">
      <c r="A8134" s="496"/>
      <c r="D8134" s="496"/>
    </row>
    <row r="8135" spans="1:4" x14ac:dyDescent="0.2">
      <c r="A8135" s="496"/>
      <c r="D8135" s="496"/>
    </row>
    <row r="8136" spans="1:4" x14ac:dyDescent="0.2">
      <c r="A8136" s="496"/>
      <c r="D8136" s="496"/>
    </row>
    <row r="8137" spans="1:4" x14ac:dyDescent="0.2">
      <c r="A8137" s="496"/>
      <c r="D8137" s="496"/>
    </row>
    <row r="8138" spans="1:4" x14ac:dyDescent="0.2">
      <c r="A8138" s="496"/>
      <c r="D8138" s="496"/>
    </row>
    <row r="8139" spans="1:4" x14ac:dyDescent="0.2">
      <c r="A8139" s="496"/>
      <c r="D8139" s="496"/>
    </row>
    <row r="8140" spans="1:4" x14ac:dyDescent="0.2">
      <c r="A8140" s="496"/>
      <c r="D8140" s="496"/>
    </row>
    <row r="8141" spans="1:4" x14ac:dyDescent="0.2">
      <c r="A8141" s="496"/>
      <c r="D8141" s="496"/>
    </row>
    <row r="8142" spans="1:4" x14ac:dyDescent="0.2">
      <c r="A8142" s="496"/>
      <c r="D8142" s="496"/>
    </row>
    <row r="8143" spans="1:4" x14ac:dyDescent="0.2">
      <c r="A8143" s="496"/>
      <c r="D8143" s="496"/>
    </row>
    <row r="8144" spans="1:4" x14ac:dyDescent="0.2">
      <c r="A8144" s="496"/>
      <c r="D8144" s="496"/>
    </row>
    <row r="8145" spans="1:4" x14ac:dyDescent="0.2">
      <c r="A8145" s="496"/>
      <c r="D8145" s="496"/>
    </row>
    <row r="8146" spans="1:4" x14ac:dyDescent="0.2">
      <c r="A8146" s="496"/>
      <c r="D8146" s="496"/>
    </row>
    <row r="8147" spans="1:4" x14ac:dyDescent="0.2">
      <c r="A8147" s="496"/>
      <c r="D8147" s="496"/>
    </row>
    <row r="8148" spans="1:4" x14ac:dyDescent="0.2">
      <c r="A8148" s="496"/>
      <c r="D8148" s="496"/>
    </row>
    <row r="8149" spans="1:4" x14ac:dyDescent="0.2">
      <c r="A8149" s="496"/>
      <c r="D8149" s="496"/>
    </row>
    <row r="8150" spans="1:4" x14ac:dyDescent="0.2">
      <c r="A8150" s="496"/>
      <c r="D8150" s="496"/>
    </row>
    <row r="8151" spans="1:4" x14ac:dyDescent="0.2">
      <c r="A8151" s="496"/>
      <c r="D8151" s="496"/>
    </row>
    <row r="8152" spans="1:4" x14ac:dyDescent="0.2">
      <c r="A8152" s="496"/>
      <c r="D8152" s="496"/>
    </row>
    <row r="8153" spans="1:4" x14ac:dyDescent="0.2">
      <c r="A8153" s="496"/>
      <c r="D8153" s="496"/>
    </row>
    <row r="8154" spans="1:4" x14ac:dyDescent="0.2">
      <c r="A8154" s="496"/>
      <c r="D8154" s="496"/>
    </row>
    <row r="8155" spans="1:4" x14ac:dyDescent="0.2">
      <c r="A8155" s="496"/>
      <c r="D8155" s="496"/>
    </row>
    <row r="8156" spans="1:4" x14ac:dyDescent="0.2">
      <c r="A8156" s="496"/>
      <c r="D8156" s="496"/>
    </row>
    <row r="8157" spans="1:4" x14ac:dyDescent="0.2">
      <c r="A8157" s="496"/>
      <c r="D8157" s="496"/>
    </row>
    <row r="8158" spans="1:4" x14ac:dyDescent="0.2">
      <c r="A8158" s="496"/>
      <c r="D8158" s="496"/>
    </row>
    <row r="8159" spans="1:4" x14ac:dyDescent="0.2">
      <c r="A8159" s="496"/>
      <c r="D8159" s="496"/>
    </row>
    <row r="8160" spans="1:4" x14ac:dyDescent="0.2">
      <c r="A8160" s="496"/>
      <c r="D8160" s="496"/>
    </row>
    <row r="8161" spans="1:4" x14ac:dyDescent="0.2">
      <c r="A8161" s="496"/>
      <c r="D8161" s="496"/>
    </row>
    <row r="8162" spans="1:4" x14ac:dyDescent="0.2">
      <c r="A8162" s="496"/>
      <c r="D8162" s="496"/>
    </row>
    <row r="8163" spans="1:4" x14ac:dyDescent="0.2">
      <c r="A8163" s="496"/>
      <c r="D8163" s="496"/>
    </row>
    <row r="8164" spans="1:4" x14ac:dyDescent="0.2">
      <c r="A8164" s="496"/>
      <c r="D8164" s="496"/>
    </row>
    <row r="8165" spans="1:4" x14ac:dyDescent="0.2">
      <c r="A8165" s="496"/>
      <c r="D8165" s="496"/>
    </row>
    <row r="8166" spans="1:4" x14ac:dyDescent="0.2">
      <c r="A8166" s="496"/>
      <c r="D8166" s="496"/>
    </row>
    <row r="8167" spans="1:4" x14ac:dyDescent="0.2">
      <c r="A8167" s="496"/>
      <c r="D8167" s="496"/>
    </row>
    <row r="8168" spans="1:4" x14ac:dyDescent="0.2">
      <c r="A8168" s="496"/>
      <c r="D8168" s="496"/>
    </row>
    <row r="8169" spans="1:4" x14ac:dyDescent="0.2">
      <c r="A8169" s="496"/>
      <c r="D8169" s="496"/>
    </row>
    <row r="8170" spans="1:4" x14ac:dyDescent="0.2">
      <c r="A8170" s="496"/>
      <c r="D8170" s="496"/>
    </row>
    <row r="8171" spans="1:4" x14ac:dyDescent="0.2">
      <c r="A8171" s="496"/>
      <c r="D8171" s="496"/>
    </row>
    <row r="8172" spans="1:4" x14ac:dyDescent="0.2">
      <c r="A8172" s="496"/>
      <c r="D8172" s="496"/>
    </row>
    <row r="8173" spans="1:4" x14ac:dyDescent="0.2">
      <c r="A8173" s="496"/>
      <c r="D8173" s="496"/>
    </row>
    <row r="8174" spans="1:4" x14ac:dyDescent="0.2">
      <c r="A8174" s="496"/>
      <c r="D8174" s="496"/>
    </row>
    <row r="8175" spans="1:4" x14ac:dyDescent="0.2">
      <c r="A8175" s="496"/>
      <c r="D8175" s="496"/>
    </row>
    <row r="8176" spans="1:4" x14ac:dyDescent="0.2">
      <c r="A8176" s="496"/>
      <c r="D8176" s="496"/>
    </row>
    <row r="8177" spans="1:4" x14ac:dyDescent="0.2">
      <c r="A8177" s="496"/>
      <c r="D8177" s="496"/>
    </row>
    <row r="8178" spans="1:4" x14ac:dyDescent="0.2">
      <c r="A8178" s="496"/>
      <c r="D8178" s="496"/>
    </row>
    <row r="8179" spans="1:4" x14ac:dyDescent="0.2">
      <c r="A8179" s="496"/>
      <c r="D8179" s="496"/>
    </row>
    <row r="8180" spans="1:4" x14ac:dyDescent="0.2">
      <c r="A8180" s="496"/>
      <c r="D8180" s="496"/>
    </row>
    <row r="8181" spans="1:4" x14ac:dyDescent="0.2">
      <c r="A8181" s="496"/>
      <c r="D8181" s="496"/>
    </row>
    <row r="8182" spans="1:4" x14ac:dyDescent="0.2">
      <c r="A8182" s="496"/>
      <c r="D8182" s="496"/>
    </row>
    <row r="8183" spans="1:4" x14ac:dyDescent="0.2">
      <c r="A8183" s="496"/>
      <c r="D8183" s="496"/>
    </row>
    <row r="8184" spans="1:4" x14ac:dyDescent="0.2">
      <c r="A8184" s="496"/>
      <c r="D8184" s="496"/>
    </row>
    <row r="8185" spans="1:4" x14ac:dyDescent="0.2">
      <c r="A8185" s="496"/>
      <c r="D8185" s="496"/>
    </row>
    <row r="8186" spans="1:4" x14ac:dyDescent="0.2">
      <c r="A8186" s="496"/>
      <c r="D8186" s="496"/>
    </row>
    <row r="8187" spans="1:4" x14ac:dyDescent="0.2">
      <c r="A8187" s="496"/>
      <c r="D8187" s="496"/>
    </row>
    <row r="8188" spans="1:4" x14ac:dyDescent="0.2">
      <c r="A8188" s="496"/>
      <c r="D8188" s="496"/>
    </row>
    <row r="8189" spans="1:4" x14ac:dyDescent="0.2">
      <c r="A8189" s="496"/>
      <c r="D8189" s="496"/>
    </row>
    <row r="8190" spans="1:4" x14ac:dyDescent="0.2">
      <c r="A8190" s="496"/>
      <c r="D8190" s="496"/>
    </row>
    <row r="8191" spans="1:4" x14ac:dyDescent="0.2">
      <c r="A8191" s="496"/>
      <c r="D8191" s="496"/>
    </row>
    <row r="8192" spans="1:4" x14ac:dyDescent="0.2">
      <c r="A8192" s="496"/>
      <c r="D8192" s="496"/>
    </row>
    <row r="8193" spans="1:4" x14ac:dyDescent="0.2">
      <c r="A8193" s="496"/>
      <c r="D8193" s="496"/>
    </row>
    <row r="8194" spans="1:4" x14ac:dyDescent="0.2">
      <c r="A8194" s="496"/>
      <c r="D8194" s="496"/>
    </row>
    <row r="8195" spans="1:4" x14ac:dyDescent="0.2">
      <c r="A8195" s="496"/>
      <c r="D8195" s="496"/>
    </row>
    <row r="8196" spans="1:4" x14ac:dyDescent="0.2">
      <c r="A8196" s="496"/>
      <c r="D8196" s="496"/>
    </row>
    <row r="8197" spans="1:4" x14ac:dyDescent="0.2">
      <c r="A8197" s="496"/>
      <c r="D8197" s="496"/>
    </row>
    <row r="8198" spans="1:4" x14ac:dyDescent="0.2">
      <c r="A8198" s="496"/>
      <c r="D8198" s="496"/>
    </row>
    <row r="8199" spans="1:4" x14ac:dyDescent="0.2">
      <c r="A8199" s="496"/>
      <c r="D8199" s="496"/>
    </row>
    <row r="8200" spans="1:4" x14ac:dyDescent="0.2">
      <c r="A8200" s="496"/>
      <c r="D8200" s="496"/>
    </row>
    <row r="8201" spans="1:4" x14ac:dyDescent="0.2">
      <c r="A8201" s="496"/>
      <c r="D8201" s="496"/>
    </row>
    <row r="8202" spans="1:4" x14ac:dyDescent="0.2">
      <c r="A8202" s="496"/>
      <c r="D8202" s="496"/>
    </row>
    <row r="8203" spans="1:4" x14ac:dyDescent="0.2">
      <c r="A8203" s="496"/>
      <c r="D8203" s="496"/>
    </row>
    <row r="8204" spans="1:4" x14ac:dyDescent="0.2">
      <c r="A8204" s="496"/>
      <c r="D8204" s="496"/>
    </row>
    <row r="8205" spans="1:4" x14ac:dyDescent="0.2">
      <c r="A8205" s="496"/>
      <c r="D8205" s="496"/>
    </row>
    <row r="8206" spans="1:4" x14ac:dyDescent="0.2">
      <c r="A8206" s="496"/>
      <c r="D8206" s="496"/>
    </row>
    <row r="8207" spans="1:4" x14ac:dyDescent="0.2">
      <c r="A8207" s="496"/>
      <c r="D8207" s="496"/>
    </row>
    <row r="8208" spans="1:4" x14ac:dyDescent="0.2">
      <c r="A8208" s="496"/>
      <c r="D8208" s="496"/>
    </row>
    <row r="8209" spans="1:4" x14ac:dyDescent="0.2">
      <c r="A8209" s="496"/>
      <c r="D8209" s="496"/>
    </row>
    <row r="8210" spans="1:4" x14ac:dyDescent="0.2">
      <c r="A8210" s="496"/>
      <c r="D8210" s="496"/>
    </row>
    <row r="8211" spans="1:4" x14ac:dyDescent="0.2">
      <c r="A8211" s="496"/>
      <c r="D8211" s="496"/>
    </row>
    <row r="8212" spans="1:4" x14ac:dyDescent="0.2">
      <c r="A8212" s="496"/>
      <c r="D8212" s="496"/>
    </row>
    <row r="8213" spans="1:4" x14ac:dyDescent="0.2">
      <c r="A8213" s="496"/>
      <c r="D8213" s="496"/>
    </row>
    <row r="8214" spans="1:4" x14ac:dyDescent="0.2">
      <c r="A8214" s="496"/>
      <c r="D8214" s="496"/>
    </row>
    <row r="8215" spans="1:4" x14ac:dyDescent="0.2">
      <c r="A8215" s="496"/>
      <c r="D8215" s="496"/>
    </row>
    <row r="8216" spans="1:4" x14ac:dyDescent="0.2">
      <c r="A8216" s="496"/>
      <c r="D8216" s="496"/>
    </row>
    <row r="8217" spans="1:4" x14ac:dyDescent="0.2">
      <c r="A8217" s="496"/>
      <c r="D8217" s="496"/>
    </row>
    <row r="8218" spans="1:4" x14ac:dyDescent="0.2">
      <c r="A8218" s="496"/>
      <c r="D8218" s="496"/>
    </row>
    <row r="8219" spans="1:4" x14ac:dyDescent="0.2">
      <c r="A8219" s="496"/>
      <c r="D8219" s="496"/>
    </row>
    <row r="8220" spans="1:4" x14ac:dyDescent="0.2">
      <c r="A8220" s="496"/>
      <c r="D8220" s="496"/>
    </row>
    <row r="8221" spans="1:4" x14ac:dyDescent="0.2">
      <c r="A8221" s="496"/>
      <c r="D8221" s="496"/>
    </row>
    <row r="8222" spans="1:4" x14ac:dyDescent="0.2">
      <c r="A8222" s="496"/>
      <c r="D8222" s="496"/>
    </row>
    <row r="8223" spans="1:4" x14ac:dyDescent="0.2">
      <c r="A8223" s="496"/>
      <c r="D8223" s="496"/>
    </row>
    <row r="8224" spans="1:4" x14ac:dyDescent="0.2">
      <c r="A8224" s="496"/>
      <c r="D8224" s="496"/>
    </row>
    <row r="8225" spans="1:4" x14ac:dyDescent="0.2">
      <c r="A8225" s="496"/>
      <c r="D8225" s="496"/>
    </row>
    <row r="8226" spans="1:4" x14ac:dyDescent="0.2">
      <c r="A8226" s="496"/>
      <c r="D8226" s="496"/>
    </row>
    <row r="8227" spans="1:4" x14ac:dyDescent="0.2">
      <c r="A8227" s="496"/>
      <c r="D8227" s="496"/>
    </row>
    <row r="8228" spans="1:4" x14ac:dyDescent="0.2">
      <c r="A8228" s="496"/>
      <c r="D8228" s="496"/>
    </row>
    <row r="8229" spans="1:4" x14ac:dyDescent="0.2">
      <c r="A8229" s="496"/>
      <c r="D8229" s="496"/>
    </row>
    <row r="8230" spans="1:4" x14ac:dyDescent="0.2">
      <c r="A8230" s="496"/>
      <c r="D8230" s="496"/>
    </row>
    <row r="8231" spans="1:4" x14ac:dyDescent="0.2">
      <c r="A8231" s="496"/>
      <c r="D8231" s="496"/>
    </row>
    <row r="8232" spans="1:4" x14ac:dyDescent="0.2">
      <c r="A8232" s="496"/>
      <c r="D8232" s="496"/>
    </row>
    <row r="8233" spans="1:4" x14ac:dyDescent="0.2">
      <c r="A8233" s="496"/>
      <c r="D8233" s="496"/>
    </row>
    <row r="8234" spans="1:4" x14ac:dyDescent="0.2">
      <c r="A8234" s="496"/>
      <c r="D8234" s="496"/>
    </row>
    <row r="8235" spans="1:4" x14ac:dyDescent="0.2">
      <c r="A8235" s="496"/>
      <c r="D8235" s="496"/>
    </row>
    <row r="8236" spans="1:4" x14ac:dyDescent="0.2">
      <c r="A8236" s="496"/>
      <c r="D8236" s="496"/>
    </row>
    <row r="8237" spans="1:4" x14ac:dyDescent="0.2">
      <c r="A8237" s="496"/>
      <c r="D8237" s="496"/>
    </row>
    <row r="8238" spans="1:4" x14ac:dyDescent="0.2">
      <c r="A8238" s="496"/>
      <c r="D8238" s="496"/>
    </row>
    <row r="8239" spans="1:4" x14ac:dyDescent="0.2">
      <c r="A8239" s="496"/>
      <c r="D8239" s="496"/>
    </row>
    <row r="8240" spans="1:4" x14ac:dyDescent="0.2">
      <c r="A8240" s="496"/>
      <c r="D8240" s="496"/>
    </row>
    <row r="8241" spans="1:4" x14ac:dyDescent="0.2">
      <c r="A8241" s="496"/>
      <c r="D8241" s="496"/>
    </row>
    <row r="8242" spans="1:4" x14ac:dyDescent="0.2">
      <c r="A8242" s="496"/>
      <c r="D8242" s="496"/>
    </row>
    <row r="8243" spans="1:4" x14ac:dyDescent="0.2">
      <c r="A8243" s="496"/>
      <c r="D8243" s="496"/>
    </row>
    <row r="8244" spans="1:4" x14ac:dyDescent="0.2">
      <c r="A8244" s="496"/>
      <c r="D8244" s="496"/>
    </row>
    <row r="8245" spans="1:4" x14ac:dyDescent="0.2">
      <c r="A8245" s="496"/>
      <c r="D8245" s="496"/>
    </row>
    <row r="8246" spans="1:4" x14ac:dyDescent="0.2">
      <c r="A8246" s="496"/>
      <c r="D8246" s="496"/>
    </row>
    <row r="8247" spans="1:4" x14ac:dyDescent="0.2">
      <c r="A8247" s="496"/>
      <c r="D8247" s="496"/>
    </row>
    <row r="8248" spans="1:4" x14ac:dyDescent="0.2">
      <c r="A8248" s="496"/>
      <c r="D8248" s="496"/>
    </row>
    <row r="8249" spans="1:4" x14ac:dyDescent="0.2">
      <c r="A8249" s="496"/>
      <c r="D8249" s="496"/>
    </row>
    <row r="8250" spans="1:4" x14ac:dyDescent="0.2">
      <c r="A8250" s="496"/>
      <c r="D8250" s="496"/>
    </row>
    <row r="8251" spans="1:4" x14ac:dyDescent="0.2">
      <c r="A8251" s="496"/>
      <c r="D8251" s="496"/>
    </row>
    <row r="8252" spans="1:4" x14ac:dyDescent="0.2">
      <c r="A8252" s="496"/>
      <c r="D8252" s="496"/>
    </row>
    <row r="8253" spans="1:4" x14ac:dyDescent="0.2">
      <c r="A8253" s="496"/>
      <c r="D8253" s="496"/>
    </row>
    <row r="8254" spans="1:4" x14ac:dyDescent="0.2">
      <c r="A8254" s="496"/>
      <c r="D8254" s="496"/>
    </row>
    <row r="8255" spans="1:4" x14ac:dyDescent="0.2">
      <c r="A8255" s="496"/>
      <c r="D8255" s="496"/>
    </row>
    <row r="8256" spans="1:4" x14ac:dyDescent="0.2">
      <c r="A8256" s="496"/>
      <c r="D8256" s="496"/>
    </row>
    <row r="8257" spans="1:4" x14ac:dyDescent="0.2">
      <c r="A8257" s="496"/>
      <c r="D8257" s="496"/>
    </row>
    <row r="8258" spans="1:4" x14ac:dyDescent="0.2">
      <c r="A8258" s="496"/>
      <c r="D8258" s="496"/>
    </row>
    <row r="8259" spans="1:4" x14ac:dyDescent="0.2">
      <c r="A8259" s="496"/>
      <c r="D8259" s="496"/>
    </row>
    <row r="8260" spans="1:4" x14ac:dyDescent="0.2">
      <c r="A8260" s="496"/>
      <c r="D8260" s="496"/>
    </row>
    <row r="8261" spans="1:4" x14ac:dyDescent="0.2">
      <c r="A8261" s="496"/>
      <c r="D8261" s="496"/>
    </row>
    <row r="8262" spans="1:4" x14ac:dyDescent="0.2">
      <c r="A8262" s="496"/>
      <c r="D8262" s="496"/>
    </row>
    <row r="8263" spans="1:4" x14ac:dyDescent="0.2">
      <c r="A8263" s="496"/>
      <c r="D8263" s="496"/>
    </row>
    <row r="8264" spans="1:4" x14ac:dyDescent="0.2">
      <c r="A8264" s="496"/>
      <c r="D8264" s="496"/>
    </row>
    <row r="8265" spans="1:4" x14ac:dyDescent="0.2">
      <c r="A8265" s="496"/>
      <c r="D8265" s="496"/>
    </row>
    <row r="8266" spans="1:4" x14ac:dyDescent="0.2">
      <c r="A8266" s="496"/>
      <c r="D8266" s="496"/>
    </row>
    <row r="8267" spans="1:4" x14ac:dyDescent="0.2">
      <c r="A8267" s="496"/>
      <c r="D8267" s="496"/>
    </row>
    <row r="8268" spans="1:4" x14ac:dyDescent="0.2">
      <c r="A8268" s="496"/>
      <c r="D8268" s="496"/>
    </row>
    <row r="8269" spans="1:4" x14ac:dyDescent="0.2">
      <c r="A8269" s="496"/>
      <c r="D8269" s="496"/>
    </row>
    <row r="8270" spans="1:4" x14ac:dyDescent="0.2">
      <c r="A8270" s="496"/>
      <c r="D8270" s="496"/>
    </row>
    <row r="8271" spans="1:4" x14ac:dyDescent="0.2">
      <c r="A8271" s="496"/>
      <c r="D8271" s="496"/>
    </row>
    <row r="8272" spans="1:4" x14ac:dyDescent="0.2">
      <c r="A8272" s="496"/>
      <c r="D8272" s="496"/>
    </row>
    <row r="8273" spans="1:4" x14ac:dyDescent="0.2">
      <c r="A8273" s="496"/>
      <c r="D8273" s="496"/>
    </row>
    <row r="8274" spans="1:4" x14ac:dyDescent="0.2">
      <c r="A8274" s="496"/>
      <c r="D8274" s="496"/>
    </row>
    <row r="8275" spans="1:4" x14ac:dyDescent="0.2">
      <c r="A8275" s="496"/>
      <c r="D8275" s="496"/>
    </row>
    <row r="8276" spans="1:4" x14ac:dyDescent="0.2">
      <c r="A8276" s="496"/>
      <c r="D8276" s="496"/>
    </row>
    <row r="8277" spans="1:4" x14ac:dyDescent="0.2">
      <c r="A8277" s="496"/>
      <c r="D8277" s="496"/>
    </row>
    <row r="8278" spans="1:4" x14ac:dyDescent="0.2">
      <c r="A8278" s="496"/>
      <c r="D8278" s="496"/>
    </row>
    <row r="8279" spans="1:4" x14ac:dyDescent="0.2">
      <c r="A8279" s="496"/>
      <c r="D8279" s="496"/>
    </row>
    <row r="8280" spans="1:4" x14ac:dyDescent="0.2">
      <c r="A8280" s="496"/>
      <c r="D8280" s="496"/>
    </row>
    <row r="8281" spans="1:4" x14ac:dyDescent="0.2">
      <c r="A8281" s="496"/>
      <c r="D8281" s="496"/>
    </row>
    <row r="8282" spans="1:4" x14ac:dyDescent="0.2">
      <c r="A8282" s="496"/>
      <c r="D8282" s="496"/>
    </row>
    <row r="8283" spans="1:4" x14ac:dyDescent="0.2">
      <c r="A8283" s="496"/>
      <c r="D8283" s="496"/>
    </row>
    <row r="8284" spans="1:4" x14ac:dyDescent="0.2">
      <c r="A8284" s="496"/>
      <c r="D8284" s="496"/>
    </row>
    <row r="8285" spans="1:4" x14ac:dyDescent="0.2">
      <c r="A8285" s="496"/>
      <c r="D8285" s="496"/>
    </row>
    <row r="8286" spans="1:4" x14ac:dyDescent="0.2">
      <c r="A8286" s="496"/>
      <c r="D8286" s="496"/>
    </row>
    <row r="8287" spans="1:4" x14ac:dyDescent="0.2">
      <c r="A8287" s="496"/>
      <c r="D8287" s="496"/>
    </row>
    <row r="8288" spans="1:4" x14ac:dyDescent="0.2">
      <c r="A8288" s="496"/>
      <c r="D8288" s="496"/>
    </row>
    <row r="8289" spans="1:4" x14ac:dyDescent="0.2">
      <c r="A8289" s="496"/>
      <c r="D8289" s="496"/>
    </row>
    <row r="8290" spans="1:4" x14ac:dyDescent="0.2">
      <c r="A8290" s="496"/>
      <c r="D8290" s="496"/>
    </row>
    <row r="8291" spans="1:4" x14ac:dyDescent="0.2">
      <c r="A8291" s="496"/>
      <c r="D8291" s="496"/>
    </row>
    <row r="8292" spans="1:4" x14ac:dyDescent="0.2">
      <c r="A8292" s="496"/>
      <c r="D8292" s="496"/>
    </row>
    <row r="8293" spans="1:4" x14ac:dyDescent="0.2">
      <c r="A8293" s="496"/>
      <c r="D8293" s="496"/>
    </row>
    <row r="8294" spans="1:4" x14ac:dyDescent="0.2">
      <c r="A8294" s="496"/>
      <c r="D8294" s="496"/>
    </row>
    <row r="8295" spans="1:4" x14ac:dyDescent="0.2">
      <c r="A8295" s="496"/>
      <c r="D8295" s="496"/>
    </row>
    <row r="8296" spans="1:4" x14ac:dyDescent="0.2">
      <c r="A8296" s="496"/>
      <c r="D8296" s="496"/>
    </row>
    <row r="8297" spans="1:4" x14ac:dyDescent="0.2">
      <c r="A8297" s="496"/>
      <c r="D8297" s="496"/>
    </row>
    <row r="8298" spans="1:4" x14ac:dyDescent="0.2">
      <c r="A8298" s="496"/>
      <c r="D8298" s="496"/>
    </row>
    <row r="8299" spans="1:4" x14ac:dyDescent="0.2">
      <c r="A8299" s="496"/>
      <c r="D8299" s="496"/>
    </row>
    <row r="8300" spans="1:4" x14ac:dyDescent="0.2">
      <c r="A8300" s="496"/>
      <c r="D8300" s="496"/>
    </row>
    <row r="8301" spans="1:4" x14ac:dyDescent="0.2">
      <c r="A8301" s="496"/>
      <c r="D8301" s="496"/>
    </row>
    <row r="8302" spans="1:4" x14ac:dyDescent="0.2">
      <c r="A8302" s="496"/>
      <c r="D8302" s="496"/>
    </row>
    <row r="8303" spans="1:4" x14ac:dyDescent="0.2">
      <c r="A8303" s="496"/>
      <c r="D8303" s="496"/>
    </row>
    <row r="8304" spans="1:4" x14ac:dyDescent="0.2">
      <c r="A8304" s="496"/>
      <c r="D8304" s="496"/>
    </row>
    <row r="8305" spans="1:4" x14ac:dyDescent="0.2">
      <c r="A8305" s="496"/>
      <c r="D8305" s="496"/>
    </row>
    <row r="8306" spans="1:4" x14ac:dyDescent="0.2">
      <c r="A8306" s="496"/>
      <c r="D8306" s="496"/>
    </row>
    <row r="8307" spans="1:4" x14ac:dyDescent="0.2">
      <c r="A8307" s="496"/>
      <c r="D8307" s="496"/>
    </row>
    <row r="8308" spans="1:4" x14ac:dyDescent="0.2">
      <c r="A8308" s="496"/>
      <c r="D8308" s="496"/>
    </row>
    <row r="8309" spans="1:4" x14ac:dyDescent="0.2">
      <c r="A8309" s="496"/>
      <c r="D8309" s="496"/>
    </row>
    <row r="8310" spans="1:4" x14ac:dyDescent="0.2">
      <c r="A8310" s="496"/>
      <c r="D8310" s="496"/>
    </row>
    <row r="8311" spans="1:4" x14ac:dyDescent="0.2">
      <c r="A8311" s="496"/>
      <c r="D8311" s="496"/>
    </row>
    <row r="8312" spans="1:4" x14ac:dyDescent="0.2">
      <c r="A8312" s="496"/>
      <c r="D8312" s="496"/>
    </row>
    <row r="8313" spans="1:4" x14ac:dyDescent="0.2">
      <c r="A8313" s="496"/>
      <c r="D8313" s="496"/>
    </row>
    <row r="8314" spans="1:4" x14ac:dyDescent="0.2">
      <c r="A8314" s="496"/>
      <c r="D8314" s="496"/>
    </row>
    <row r="8315" spans="1:4" x14ac:dyDescent="0.2">
      <c r="A8315" s="496"/>
      <c r="D8315" s="496"/>
    </row>
    <row r="8316" spans="1:4" x14ac:dyDescent="0.2">
      <c r="A8316" s="496"/>
      <c r="D8316" s="496"/>
    </row>
    <row r="8317" spans="1:4" x14ac:dyDescent="0.2">
      <c r="A8317" s="496"/>
      <c r="D8317" s="496"/>
    </row>
    <row r="8318" spans="1:4" x14ac:dyDescent="0.2">
      <c r="A8318" s="496"/>
      <c r="D8318" s="496"/>
    </row>
    <row r="8319" spans="1:4" x14ac:dyDescent="0.2">
      <c r="A8319" s="496"/>
      <c r="D8319" s="496"/>
    </row>
    <row r="8320" spans="1:4" x14ac:dyDescent="0.2">
      <c r="A8320" s="496"/>
      <c r="D8320" s="496"/>
    </row>
    <row r="8321" spans="1:4" x14ac:dyDescent="0.2">
      <c r="A8321" s="496"/>
      <c r="D8321" s="496"/>
    </row>
    <row r="8322" spans="1:4" x14ac:dyDescent="0.2">
      <c r="A8322" s="496"/>
      <c r="D8322" s="496"/>
    </row>
    <row r="8323" spans="1:4" x14ac:dyDescent="0.2">
      <c r="A8323" s="496"/>
      <c r="D8323" s="496"/>
    </row>
    <row r="8324" spans="1:4" x14ac:dyDescent="0.2">
      <c r="A8324" s="496"/>
      <c r="D8324" s="496"/>
    </row>
    <row r="8325" spans="1:4" x14ac:dyDescent="0.2">
      <c r="A8325" s="496"/>
      <c r="D8325" s="496"/>
    </row>
    <row r="8326" spans="1:4" x14ac:dyDescent="0.2">
      <c r="A8326" s="496"/>
      <c r="D8326" s="496"/>
    </row>
    <row r="8327" spans="1:4" x14ac:dyDescent="0.2">
      <c r="A8327" s="496"/>
      <c r="D8327" s="496"/>
    </row>
    <row r="8328" spans="1:4" x14ac:dyDescent="0.2">
      <c r="A8328" s="496"/>
      <c r="D8328" s="496"/>
    </row>
    <row r="8329" spans="1:4" x14ac:dyDescent="0.2">
      <c r="A8329" s="496"/>
      <c r="D8329" s="496"/>
    </row>
    <row r="8330" spans="1:4" x14ac:dyDescent="0.2">
      <c r="A8330" s="496"/>
      <c r="D8330" s="496"/>
    </row>
    <row r="8331" spans="1:4" x14ac:dyDescent="0.2">
      <c r="A8331" s="496"/>
      <c r="D8331" s="496"/>
    </row>
    <row r="8332" spans="1:4" x14ac:dyDescent="0.2">
      <c r="A8332" s="496"/>
      <c r="D8332" s="496"/>
    </row>
    <row r="8333" spans="1:4" x14ac:dyDescent="0.2">
      <c r="A8333" s="496"/>
      <c r="D8333" s="496"/>
    </row>
    <row r="8334" spans="1:4" x14ac:dyDescent="0.2">
      <c r="A8334" s="496"/>
      <c r="D8334" s="496"/>
    </row>
    <row r="8335" spans="1:4" x14ac:dyDescent="0.2">
      <c r="A8335" s="496"/>
      <c r="D8335" s="496"/>
    </row>
    <row r="8336" spans="1:4" x14ac:dyDescent="0.2">
      <c r="A8336" s="496"/>
      <c r="D8336" s="496"/>
    </row>
    <row r="8337" spans="1:4" x14ac:dyDescent="0.2">
      <c r="A8337" s="496"/>
      <c r="D8337" s="496"/>
    </row>
    <row r="8338" spans="1:4" x14ac:dyDescent="0.2">
      <c r="A8338" s="496"/>
      <c r="D8338" s="496"/>
    </row>
    <row r="8339" spans="1:4" x14ac:dyDescent="0.2">
      <c r="A8339" s="496"/>
      <c r="D8339" s="496"/>
    </row>
    <row r="8340" spans="1:4" x14ac:dyDescent="0.2">
      <c r="A8340" s="496"/>
      <c r="D8340" s="496"/>
    </row>
    <row r="8341" spans="1:4" x14ac:dyDescent="0.2">
      <c r="A8341" s="496"/>
      <c r="D8341" s="496"/>
    </row>
    <row r="8342" spans="1:4" x14ac:dyDescent="0.2">
      <c r="A8342" s="496"/>
      <c r="D8342" s="496"/>
    </row>
    <row r="8343" spans="1:4" x14ac:dyDescent="0.2">
      <c r="A8343" s="496"/>
      <c r="D8343" s="496"/>
    </row>
    <row r="8344" spans="1:4" x14ac:dyDescent="0.2">
      <c r="A8344" s="496"/>
      <c r="D8344" s="496"/>
    </row>
    <row r="8345" spans="1:4" x14ac:dyDescent="0.2">
      <c r="A8345" s="496"/>
      <c r="D8345" s="496"/>
    </row>
    <row r="8346" spans="1:4" x14ac:dyDescent="0.2">
      <c r="A8346" s="496"/>
      <c r="D8346" s="496"/>
    </row>
    <row r="8347" spans="1:4" x14ac:dyDescent="0.2">
      <c r="A8347" s="496"/>
      <c r="D8347" s="496"/>
    </row>
    <row r="8348" spans="1:4" x14ac:dyDescent="0.2">
      <c r="A8348" s="496"/>
      <c r="D8348" s="496"/>
    </row>
    <row r="8349" spans="1:4" x14ac:dyDescent="0.2">
      <c r="A8349" s="496"/>
      <c r="D8349" s="496"/>
    </row>
    <row r="8350" spans="1:4" x14ac:dyDescent="0.2">
      <c r="A8350" s="496"/>
      <c r="D8350" s="496"/>
    </row>
    <row r="8351" spans="1:4" x14ac:dyDescent="0.2">
      <c r="A8351" s="496"/>
      <c r="D8351" s="496"/>
    </row>
    <row r="8352" spans="1:4" x14ac:dyDescent="0.2">
      <c r="A8352" s="496"/>
      <c r="D8352" s="496"/>
    </row>
    <row r="8353" spans="1:4" x14ac:dyDescent="0.2">
      <c r="A8353" s="496"/>
      <c r="D8353" s="496"/>
    </row>
    <row r="8354" spans="1:4" x14ac:dyDescent="0.2">
      <c r="A8354" s="496"/>
      <c r="D8354" s="496"/>
    </row>
    <row r="8355" spans="1:4" x14ac:dyDescent="0.2">
      <c r="A8355" s="496"/>
      <c r="D8355" s="496"/>
    </row>
    <row r="8356" spans="1:4" x14ac:dyDescent="0.2">
      <c r="A8356" s="496"/>
      <c r="D8356" s="496"/>
    </row>
    <row r="8357" spans="1:4" x14ac:dyDescent="0.2">
      <c r="A8357" s="496"/>
      <c r="D8357" s="496"/>
    </row>
    <row r="8358" spans="1:4" x14ac:dyDescent="0.2">
      <c r="A8358" s="496"/>
      <c r="D8358" s="496"/>
    </row>
    <row r="8359" spans="1:4" x14ac:dyDescent="0.2">
      <c r="A8359" s="496"/>
      <c r="D8359" s="496"/>
    </row>
    <row r="8360" spans="1:4" x14ac:dyDescent="0.2">
      <c r="A8360" s="496"/>
      <c r="D8360" s="496"/>
    </row>
    <row r="8361" spans="1:4" x14ac:dyDescent="0.2">
      <c r="A8361" s="496"/>
      <c r="D8361" s="496"/>
    </row>
    <row r="8362" spans="1:4" x14ac:dyDescent="0.2">
      <c r="A8362" s="496"/>
      <c r="D8362" s="496"/>
    </row>
    <row r="8363" spans="1:4" x14ac:dyDescent="0.2">
      <c r="A8363" s="496"/>
      <c r="D8363" s="496"/>
    </row>
    <row r="8364" spans="1:4" x14ac:dyDescent="0.2">
      <c r="A8364" s="496"/>
      <c r="D8364" s="496"/>
    </row>
    <row r="8365" spans="1:4" x14ac:dyDescent="0.2">
      <c r="A8365" s="496"/>
      <c r="D8365" s="496"/>
    </row>
    <row r="8366" spans="1:4" x14ac:dyDescent="0.2">
      <c r="A8366" s="496"/>
      <c r="D8366" s="496"/>
    </row>
    <row r="8367" spans="1:4" x14ac:dyDescent="0.2">
      <c r="A8367" s="496"/>
      <c r="D8367" s="496"/>
    </row>
    <row r="8368" spans="1:4" x14ac:dyDescent="0.2">
      <c r="A8368" s="496"/>
      <c r="D8368" s="496"/>
    </row>
    <row r="8369" spans="1:4" x14ac:dyDescent="0.2">
      <c r="A8369" s="496"/>
      <c r="D8369" s="496"/>
    </row>
    <row r="8370" spans="1:4" x14ac:dyDescent="0.2">
      <c r="A8370" s="496"/>
      <c r="D8370" s="496"/>
    </row>
    <row r="8371" spans="1:4" x14ac:dyDescent="0.2">
      <c r="A8371" s="496"/>
      <c r="D8371" s="496"/>
    </row>
    <row r="8372" spans="1:4" x14ac:dyDescent="0.2">
      <c r="A8372" s="496"/>
      <c r="D8372" s="496"/>
    </row>
    <row r="8373" spans="1:4" x14ac:dyDescent="0.2">
      <c r="A8373" s="496"/>
      <c r="D8373" s="496"/>
    </row>
    <row r="8374" spans="1:4" x14ac:dyDescent="0.2">
      <c r="A8374" s="496"/>
      <c r="D8374" s="496"/>
    </row>
    <row r="8375" spans="1:4" x14ac:dyDescent="0.2">
      <c r="A8375" s="496"/>
      <c r="D8375" s="496"/>
    </row>
    <row r="8376" spans="1:4" x14ac:dyDescent="0.2">
      <c r="A8376" s="496"/>
      <c r="D8376" s="496"/>
    </row>
    <row r="8377" spans="1:4" x14ac:dyDescent="0.2">
      <c r="A8377" s="496"/>
      <c r="D8377" s="496"/>
    </row>
    <row r="8378" spans="1:4" x14ac:dyDescent="0.2">
      <c r="A8378" s="496"/>
      <c r="D8378" s="496"/>
    </row>
    <row r="8379" spans="1:4" x14ac:dyDescent="0.2">
      <c r="A8379" s="496"/>
      <c r="D8379" s="496"/>
    </row>
    <row r="8380" spans="1:4" x14ac:dyDescent="0.2">
      <c r="A8380" s="496"/>
      <c r="D8380" s="496"/>
    </row>
    <row r="8381" spans="1:4" x14ac:dyDescent="0.2">
      <c r="A8381" s="496"/>
      <c r="D8381" s="496"/>
    </row>
    <row r="8382" spans="1:4" x14ac:dyDescent="0.2">
      <c r="A8382" s="496"/>
      <c r="D8382" s="496"/>
    </row>
    <row r="8383" spans="1:4" x14ac:dyDescent="0.2">
      <c r="A8383" s="496"/>
      <c r="D8383" s="496"/>
    </row>
    <row r="8384" spans="1:4" x14ac:dyDescent="0.2">
      <c r="A8384" s="496"/>
      <c r="D8384" s="496"/>
    </row>
    <row r="8385" spans="1:4" x14ac:dyDescent="0.2">
      <c r="A8385" s="496"/>
      <c r="D8385" s="496"/>
    </row>
    <row r="8386" spans="1:4" x14ac:dyDescent="0.2">
      <c r="A8386" s="496"/>
      <c r="D8386" s="496"/>
    </row>
    <row r="8387" spans="1:4" x14ac:dyDescent="0.2">
      <c r="A8387" s="496"/>
      <c r="D8387" s="496"/>
    </row>
    <row r="8388" spans="1:4" x14ac:dyDescent="0.2">
      <c r="A8388" s="496"/>
      <c r="D8388" s="496"/>
    </row>
    <row r="8389" spans="1:4" x14ac:dyDescent="0.2">
      <c r="A8389" s="496"/>
      <c r="D8389" s="496"/>
    </row>
    <row r="8390" spans="1:4" x14ac:dyDescent="0.2">
      <c r="A8390" s="496"/>
      <c r="D8390" s="496"/>
    </row>
    <row r="8391" spans="1:4" x14ac:dyDescent="0.2">
      <c r="A8391" s="496"/>
      <c r="D8391" s="496"/>
    </row>
    <row r="8392" spans="1:4" x14ac:dyDescent="0.2">
      <c r="A8392" s="496"/>
      <c r="D8392" s="496"/>
    </row>
    <row r="8393" spans="1:4" x14ac:dyDescent="0.2">
      <c r="A8393" s="496"/>
      <c r="D8393" s="496"/>
    </row>
    <row r="8394" spans="1:4" x14ac:dyDescent="0.2">
      <c r="A8394" s="496"/>
      <c r="D8394" s="496"/>
    </row>
    <row r="8395" spans="1:4" x14ac:dyDescent="0.2">
      <c r="A8395" s="496"/>
      <c r="D8395" s="496"/>
    </row>
    <row r="8396" spans="1:4" x14ac:dyDescent="0.2">
      <c r="A8396" s="496"/>
      <c r="D8396" s="496"/>
    </row>
    <row r="8397" spans="1:4" x14ac:dyDescent="0.2">
      <c r="A8397" s="496"/>
      <c r="D8397" s="496"/>
    </row>
    <row r="8398" spans="1:4" x14ac:dyDescent="0.2">
      <c r="A8398" s="496"/>
      <c r="D8398" s="496"/>
    </row>
    <row r="8399" spans="1:4" x14ac:dyDescent="0.2">
      <c r="A8399" s="496"/>
      <c r="D8399" s="496"/>
    </row>
    <row r="8400" spans="1:4" x14ac:dyDescent="0.2">
      <c r="A8400" s="496"/>
      <c r="D8400" s="496"/>
    </row>
    <row r="8401" spans="1:4" x14ac:dyDescent="0.2">
      <c r="A8401" s="496"/>
      <c r="D8401" s="496"/>
    </row>
    <row r="8402" spans="1:4" x14ac:dyDescent="0.2">
      <c r="A8402" s="496"/>
      <c r="D8402" s="496"/>
    </row>
    <row r="8403" spans="1:4" x14ac:dyDescent="0.2">
      <c r="A8403" s="496"/>
      <c r="D8403" s="496"/>
    </row>
    <row r="8404" spans="1:4" x14ac:dyDescent="0.2">
      <c r="A8404" s="496"/>
      <c r="D8404" s="496"/>
    </row>
    <row r="8405" spans="1:4" x14ac:dyDescent="0.2">
      <c r="A8405" s="496"/>
      <c r="D8405" s="496"/>
    </row>
    <row r="8406" spans="1:4" x14ac:dyDescent="0.2">
      <c r="A8406" s="496"/>
      <c r="D8406" s="496"/>
    </row>
    <row r="8407" spans="1:4" x14ac:dyDescent="0.2">
      <c r="A8407" s="496"/>
      <c r="D8407" s="496"/>
    </row>
    <row r="8408" spans="1:4" x14ac:dyDescent="0.2">
      <c r="A8408" s="496"/>
      <c r="D8408" s="496"/>
    </row>
    <row r="8409" spans="1:4" x14ac:dyDescent="0.2">
      <c r="A8409" s="496"/>
      <c r="D8409" s="496"/>
    </row>
    <row r="8410" spans="1:4" x14ac:dyDescent="0.2">
      <c r="A8410" s="496"/>
      <c r="D8410" s="496"/>
    </row>
    <row r="8411" spans="1:4" x14ac:dyDescent="0.2">
      <c r="A8411" s="496"/>
      <c r="D8411" s="496"/>
    </row>
    <row r="8412" spans="1:4" x14ac:dyDescent="0.2">
      <c r="A8412" s="496"/>
      <c r="D8412" s="496"/>
    </row>
    <row r="8413" spans="1:4" x14ac:dyDescent="0.2">
      <c r="A8413" s="496"/>
      <c r="D8413" s="496"/>
    </row>
    <row r="8414" spans="1:4" x14ac:dyDescent="0.2">
      <c r="A8414" s="496"/>
      <c r="D8414" s="496"/>
    </row>
    <row r="8415" spans="1:4" x14ac:dyDescent="0.2">
      <c r="A8415" s="496"/>
      <c r="D8415" s="496"/>
    </row>
    <row r="8416" spans="1:4" x14ac:dyDescent="0.2">
      <c r="A8416" s="496"/>
      <c r="D8416" s="496"/>
    </row>
    <row r="8417" spans="1:4" x14ac:dyDescent="0.2">
      <c r="A8417" s="496"/>
      <c r="D8417" s="496"/>
    </row>
    <row r="8418" spans="1:4" x14ac:dyDescent="0.2">
      <c r="A8418" s="496"/>
      <c r="D8418" s="496"/>
    </row>
    <row r="8419" spans="1:4" x14ac:dyDescent="0.2">
      <c r="A8419" s="496"/>
      <c r="D8419" s="496"/>
    </row>
    <row r="8420" spans="1:4" x14ac:dyDescent="0.2">
      <c r="A8420" s="496"/>
      <c r="D8420" s="496"/>
    </row>
    <row r="8421" spans="1:4" x14ac:dyDescent="0.2">
      <c r="A8421" s="496"/>
      <c r="D8421" s="496"/>
    </row>
    <row r="8422" spans="1:4" x14ac:dyDescent="0.2">
      <c r="A8422" s="496"/>
      <c r="D8422" s="496"/>
    </row>
    <row r="8423" spans="1:4" x14ac:dyDescent="0.2">
      <c r="A8423" s="496"/>
      <c r="D8423" s="496"/>
    </row>
    <row r="8424" spans="1:4" x14ac:dyDescent="0.2">
      <c r="A8424" s="496"/>
      <c r="D8424" s="496"/>
    </row>
    <row r="8425" spans="1:4" x14ac:dyDescent="0.2">
      <c r="A8425" s="496"/>
      <c r="D8425" s="496"/>
    </row>
    <row r="8426" spans="1:4" x14ac:dyDescent="0.2">
      <c r="A8426" s="496"/>
      <c r="D8426" s="496"/>
    </row>
    <row r="8427" spans="1:4" x14ac:dyDescent="0.2">
      <c r="A8427" s="496"/>
      <c r="D8427" s="496"/>
    </row>
    <row r="8428" spans="1:4" x14ac:dyDescent="0.2">
      <c r="A8428" s="496"/>
      <c r="D8428" s="496"/>
    </row>
    <row r="8429" spans="1:4" x14ac:dyDescent="0.2">
      <c r="A8429" s="496"/>
      <c r="D8429" s="496"/>
    </row>
    <row r="8430" spans="1:4" x14ac:dyDescent="0.2">
      <c r="A8430" s="496"/>
      <c r="D8430" s="496"/>
    </row>
    <row r="8431" spans="1:4" x14ac:dyDescent="0.2">
      <c r="A8431" s="496"/>
      <c r="D8431" s="496"/>
    </row>
    <row r="8432" spans="1:4" x14ac:dyDescent="0.2">
      <c r="A8432" s="496"/>
      <c r="D8432" s="496"/>
    </row>
    <row r="8433" spans="1:4" x14ac:dyDescent="0.2">
      <c r="A8433" s="496"/>
      <c r="D8433" s="496"/>
    </row>
    <row r="8434" spans="1:4" x14ac:dyDescent="0.2">
      <c r="A8434" s="496"/>
      <c r="D8434" s="496"/>
    </row>
    <row r="8435" spans="1:4" x14ac:dyDescent="0.2">
      <c r="A8435" s="496"/>
      <c r="D8435" s="496"/>
    </row>
    <row r="8436" spans="1:4" x14ac:dyDescent="0.2">
      <c r="A8436" s="496"/>
      <c r="D8436" s="496"/>
    </row>
    <row r="8437" spans="1:4" x14ac:dyDescent="0.2">
      <c r="A8437" s="496"/>
      <c r="D8437" s="496"/>
    </row>
    <row r="8438" spans="1:4" x14ac:dyDescent="0.2">
      <c r="A8438" s="496"/>
      <c r="D8438" s="496"/>
    </row>
    <row r="8439" spans="1:4" x14ac:dyDescent="0.2">
      <c r="A8439" s="496"/>
      <c r="D8439" s="496"/>
    </row>
    <row r="8440" spans="1:4" x14ac:dyDescent="0.2">
      <c r="A8440" s="496"/>
      <c r="D8440" s="496"/>
    </row>
    <row r="8441" spans="1:4" x14ac:dyDescent="0.2">
      <c r="A8441" s="496"/>
      <c r="D8441" s="496"/>
    </row>
    <row r="8442" spans="1:4" x14ac:dyDescent="0.2">
      <c r="A8442" s="496"/>
      <c r="D8442" s="496"/>
    </row>
    <row r="8443" spans="1:4" x14ac:dyDescent="0.2">
      <c r="A8443" s="496"/>
      <c r="D8443" s="496"/>
    </row>
    <row r="8444" spans="1:4" x14ac:dyDescent="0.2">
      <c r="A8444" s="496"/>
      <c r="D8444" s="496"/>
    </row>
    <row r="8445" spans="1:4" x14ac:dyDescent="0.2">
      <c r="A8445" s="496"/>
      <c r="D8445" s="496"/>
    </row>
    <row r="8446" spans="1:4" x14ac:dyDescent="0.2">
      <c r="A8446" s="496"/>
      <c r="D8446" s="496"/>
    </row>
    <row r="8447" spans="1:4" x14ac:dyDescent="0.2">
      <c r="A8447" s="496"/>
      <c r="D8447" s="496"/>
    </row>
    <row r="8448" spans="1:4" x14ac:dyDescent="0.2">
      <c r="A8448" s="496"/>
      <c r="D8448" s="496"/>
    </row>
    <row r="8449" spans="1:4" x14ac:dyDescent="0.2">
      <c r="A8449" s="496"/>
      <c r="D8449" s="496"/>
    </row>
    <row r="8450" spans="1:4" x14ac:dyDescent="0.2">
      <c r="A8450" s="496"/>
      <c r="D8450" s="496"/>
    </row>
    <row r="8451" spans="1:4" x14ac:dyDescent="0.2">
      <c r="A8451" s="496"/>
      <c r="D8451" s="496"/>
    </row>
    <row r="8452" spans="1:4" x14ac:dyDescent="0.2">
      <c r="A8452" s="496"/>
      <c r="D8452" s="496"/>
    </row>
    <row r="8453" spans="1:4" x14ac:dyDescent="0.2">
      <c r="A8453" s="496"/>
      <c r="D8453" s="496"/>
    </row>
    <row r="8454" spans="1:4" x14ac:dyDescent="0.2">
      <c r="A8454" s="496"/>
      <c r="D8454" s="496"/>
    </row>
    <row r="8455" spans="1:4" x14ac:dyDescent="0.2">
      <c r="A8455" s="496"/>
      <c r="D8455" s="496"/>
    </row>
    <row r="8456" spans="1:4" x14ac:dyDescent="0.2">
      <c r="A8456" s="496"/>
      <c r="D8456" s="496"/>
    </row>
    <row r="8457" spans="1:4" x14ac:dyDescent="0.2">
      <c r="A8457" s="496"/>
      <c r="D8457" s="496"/>
    </row>
    <row r="8458" spans="1:4" x14ac:dyDescent="0.2">
      <c r="A8458" s="496"/>
      <c r="D8458" s="496"/>
    </row>
    <row r="8459" spans="1:4" x14ac:dyDescent="0.2">
      <c r="A8459" s="496"/>
      <c r="D8459" s="496"/>
    </row>
    <row r="8460" spans="1:4" x14ac:dyDescent="0.2">
      <c r="A8460" s="496"/>
      <c r="D8460" s="496"/>
    </row>
    <row r="8461" spans="1:4" x14ac:dyDescent="0.2">
      <c r="A8461" s="496"/>
      <c r="D8461" s="496"/>
    </row>
    <row r="8462" spans="1:4" x14ac:dyDescent="0.2">
      <c r="A8462" s="496"/>
      <c r="D8462" s="496"/>
    </row>
    <row r="8463" spans="1:4" x14ac:dyDescent="0.2">
      <c r="A8463" s="496"/>
      <c r="D8463" s="496"/>
    </row>
    <row r="8464" spans="1:4" x14ac:dyDescent="0.2">
      <c r="A8464" s="496"/>
      <c r="D8464" s="496"/>
    </row>
    <row r="8465" spans="1:4" x14ac:dyDescent="0.2">
      <c r="A8465" s="496"/>
      <c r="D8465" s="496"/>
    </row>
    <row r="8466" spans="1:4" x14ac:dyDescent="0.2">
      <c r="A8466" s="496"/>
      <c r="D8466" s="496"/>
    </row>
    <row r="8467" spans="1:4" x14ac:dyDescent="0.2">
      <c r="A8467" s="496"/>
      <c r="D8467" s="496"/>
    </row>
    <row r="8468" spans="1:4" x14ac:dyDescent="0.2">
      <c r="A8468" s="496"/>
      <c r="D8468" s="496"/>
    </row>
    <row r="8469" spans="1:4" x14ac:dyDescent="0.2">
      <c r="A8469" s="496"/>
      <c r="D8469" s="496"/>
    </row>
    <row r="8470" spans="1:4" x14ac:dyDescent="0.2">
      <c r="A8470" s="496"/>
      <c r="D8470" s="496"/>
    </row>
    <row r="8471" spans="1:4" x14ac:dyDescent="0.2">
      <c r="A8471" s="496"/>
      <c r="D8471" s="496"/>
    </row>
    <row r="8472" spans="1:4" x14ac:dyDescent="0.2">
      <c r="A8472" s="496"/>
      <c r="D8472" s="496"/>
    </row>
    <row r="8473" spans="1:4" x14ac:dyDescent="0.2">
      <c r="A8473" s="496"/>
      <c r="D8473" s="496"/>
    </row>
    <row r="8474" spans="1:4" x14ac:dyDescent="0.2">
      <c r="A8474" s="496"/>
      <c r="D8474" s="496"/>
    </row>
    <row r="8475" spans="1:4" x14ac:dyDescent="0.2">
      <c r="A8475" s="496"/>
      <c r="D8475" s="496"/>
    </row>
    <row r="8476" spans="1:4" x14ac:dyDescent="0.2">
      <c r="A8476" s="496"/>
      <c r="D8476" s="496"/>
    </row>
    <row r="8477" spans="1:4" x14ac:dyDescent="0.2">
      <c r="A8477" s="496"/>
      <c r="D8477" s="496"/>
    </row>
    <row r="8478" spans="1:4" x14ac:dyDescent="0.2">
      <c r="A8478" s="496"/>
      <c r="D8478" s="496"/>
    </row>
    <row r="8479" spans="1:4" x14ac:dyDescent="0.2">
      <c r="A8479" s="496"/>
      <c r="D8479" s="496"/>
    </row>
    <row r="8480" spans="1:4" x14ac:dyDescent="0.2">
      <c r="A8480" s="496"/>
      <c r="D8480" s="496"/>
    </row>
    <row r="8481" spans="1:4" x14ac:dyDescent="0.2">
      <c r="A8481" s="496"/>
      <c r="D8481" s="496"/>
    </row>
    <row r="8482" spans="1:4" x14ac:dyDescent="0.2">
      <c r="A8482" s="496"/>
      <c r="D8482" s="496"/>
    </row>
    <row r="8483" spans="1:4" x14ac:dyDescent="0.2">
      <c r="A8483" s="496"/>
      <c r="D8483" s="496"/>
    </row>
    <row r="8484" spans="1:4" x14ac:dyDescent="0.2">
      <c r="A8484" s="496"/>
      <c r="D8484" s="496"/>
    </row>
    <row r="8485" spans="1:4" x14ac:dyDescent="0.2">
      <c r="A8485" s="496"/>
      <c r="D8485" s="496"/>
    </row>
    <row r="8486" spans="1:4" x14ac:dyDescent="0.2">
      <c r="A8486" s="496"/>
      <c r="D8486" s="496"/>
    </row>
    <row r="8487" spans="1:4" x14ac:dyDescent="0.2">
      <c r="A8487" s="496"/>
      <c r="D8487" s="496"/>
    </row>
    <row r="8488" spans="1:4" x14ac:dyDescent="0.2">
      <c r="A8488" s="496"/>
      <c r="D8488" s="496"/>
    </row>
    <row r="8489" spans="1:4" x14ac:dyDescent="0.2">
      <c r="A8489" s="496"/>
      <c r="D8489" s="496"/>
    </row>
    <row r="8490" spans="1:4" x14ac:dyDescent="0.2">
      <c r="A8490" s="496"/>
      <c r="D8490" s="496"/>
    </row>
    <row r="8491" spans="1:4" x14ac:dyDescent="0.2">
      <c r="A8491" s="496"/>
      <c r="D8491" s="496"/>
    </row>
    <row r="8492" spans="1:4" x14ac:dyDescent="0.2">
      <c r="A8492" s="496"/>
      <c r="D8492" s="496"/>
    </row>
    <row r="8493" spans="1:4" x14ac:dyDescent="0.2">
      <c r="A8493" s="496"/>
      <c r="D8493" s="496"/>
    </row>
    <row r="8494" spans="1:4" x14ac:dyDescent="0.2">
      <c r="A8494" s="496"/>
      <c r="D8494" s="496"/>
    </row>
    <row r="8495" spans="1:4" x14ac:dyDescent="0.2">
      <c r="A8495" s="496"/>
      <c r="D8495" s="496"/>
    </row>
    <row r="8496" spans="1:4" x14ac:dyDescent="0.2">
      <c r="A8496" s="496"/>
      <c r="D8496" s="496"/>
    </row>
    <row r="8497" spans="1:4" x14ac:dyDescent="0.2">
      <c r="A8497" s="496"/>
      <c r="D8497" s="496"/>
    </row>
    <row r="8498" spans="1:4" x14ac:dyDescent="0.2">
      <c r="A8498" s="496"/>
      <c r="D8498" s="496"/>
    </row>
    <row r="8499" spans="1:4" x14ac:dyDescent="0.2">
      <c r="A8499" s="496"/>
      <c r="D8499" s="496"/>
    </row>
    <row r="8500" spans="1:4" x14ac:dyDescent="0.2">
      <c r="A8500" s="496"/>
      <c r="D8500" s="496"/>
    </row>
    <row r="8501" spans="1:4" x14ac:dyDescent="0.2">
      <c r="A8501" s="496"/>
      <c r="D8501" s="496"/>
    </row>
    <row r="8502" spans="1:4" x14ac:dyDescent="0.2">
      <c r="A8502" s="496"/>
      <c r="D8502" s="496"/>
    </row>
    <row r="8503" spans="1:4" x14ac:dyDescent="0.2">
      <c r="A8503" s="496"/>
      <c r="D8503" s="496"/>
    </row>
    <row r="8504" spans="1:4" x14ac:dyDescent="0.2">
      <c r="A8504" s="496"/>
      <c r="D8504" s="496"/>
    </row>
    <row r="8505" spans="1:4" x14ac:dyDescent="0.2">
      <c r="A8505" s="496"/>
      <c r="D8505" s="496"/>
    </row>
    <row r="8506" spans="1:4" x14ac:dyDescent="0.2">
      <c r="A8506" s="496"/>
      <c r="D8506" s="496"/>
    </row>
    <row r="8507" spans="1:4" x14ac:dyDescent="0.2">
      <c r="A8507" s="496"/>
      <c r="D8507" s="496"/>
    </row>
    <row r="8508" spans="1:4" x14ac:dyDescent="0.2">
      <c r="A8508" s="496"/>
      <c r="D8508" s="496"/>
    </row>
    <row r="8509" spans="1:4" x14ac:dyDescent="0.2">
      <c r="A8509" s="496"/>
      <c r="D8509" s="496"/>
    </row>
    <row r="8510" spans="1:4" x14ac:dyDescent="0.2">
      <c r="A8510" s="496"/>
      <c r="D8510" s="496"/>
    </row>
    <row r="8511" spans="1:4" x14ac:dyDescent="0.2">
      <c r="A8511" s="496"/>
      <c r="D8511" s="496"/>
    </row>
    <row r="8512" spans="1:4" x14ac:dyDescent="0.2">
      <c r="A8512" s="496"/>
      <c r="D8512" s="496"/>
    </row>
    <row r="8513" spans="1:4" x14ac:dyDescent="0.2">
      <c r="A8513" s="496"/>
      <c r="D8513" s="496"/>
    </row>
    <row r="8514" spans="1:4" x14ac:dyDescent="0.2">
      <c r="A8514" s="496"/>
      <c r="D8514" s="496"/>
    </row>
    <row r="8515" spans="1:4" x14ac:dyDescent="0.2">
      <c r="A8515" s="496"/>
      <c r="D8515" s="496"/>
    </row>
    <row r="8516" spans="1:4" x14ac:dyDescent="0.2">
      <c r="A8516" s="496"/>
      <c r="D8516" s="496"/>
    </row>
    <row r="8517" spans="1:4" x14ac:dyDescent="0.2">
      <c r="A8517" s="496"/>
      <c r="D8517" s="496"/>
    </row>
    <row r="8518" spans="1:4" x14ac:dyDescent="0.2">
      <c r="A8518" s="496"/>
      <c r="D8518" s="496"/>
    </row>
    <row r="8519" spans="1:4" x14ac:dyDescent="0.2">
      <c r="A8519" s="496"/>
      <c r="D8519" s="496"/>
    </row>
    <row r="8520" spans="1:4" x14ac:dyDescent="0.2">
      <c r="A8520" s="496"/>
      <c r="D8520" s="496"/>
    </row>
    <row r="8521" spans="1:4" x14ac:dyDescent="0.2">
      <c r="A8521" s="496"/>
      <c r="D8521" s="496"/>
    </row>
    <row r="8522" spans="1:4" x14ac:dyDescent="0.2">
      <c r="A8522" s="496"/>
      <c r="D8522" s="496"/>
    </row>
    <row r="8523" spans="1:4" x14ac:dyDescent="0.2">
      <c r="A8523" s="496"/>
      <c r="D8523" s="496"/>
    </row>
    <row r="8524" spans="1:4" x14ac:dyDescent="0.2">
      <c r="A8524" s="496"/>
      <c r="D8524" s="496"/>
    </row>
    <row r="8525" spans="1:4" x14ac:dyDescent="0.2">
      <c r="A8525" s="496"/>
      <c r="D8525" s="496"/>
    </row>
    <row r="8526" spans="1:4" x14ac:dyDescent="0.2">
      <c r="A8526" s="496"/>
      <c r="D8526" s="496"/>
    </row>
    <row r="8527" spans="1:4" x14ac:dyDescent="0.2">
      <c r="A8527" s="496"/>
      <c r="D8527" s="496"/>
    </row>
    <row r="8528" spans="1:4" x14ac:dyDescent="0.2">
      <c r="A8528" s="496"/>
      <c r="D8528" s="496"/>
    </row>
    <row r="8529" spans="1:4" x14ac:dyDescent="0.2">
      <c r="A8529" s="496"/>
      <c r="D8529" s="496"/>
    </row>
    <row r="8530" spans="1:4" x14ac:dyDescent="0.2">
      <c r="A8530" s="496"/>
      <c r="D8530" s="496"/>
    </row>
    <row r="8531" spans="1:4" x14ac:dyDescent="0.2">
      <c r="A8531" s="496"/>
      <c r="D8531" s="496"/>
    </row>
    <row r="8532" spans="1:4" x14ac:dyDescent="0.2">
      <c r="A8532" s="496"/>
      <c r="D8532" s="496"/>
    </row>
    <row r="8533" spans="1:4" x14ac:dyDescent="0.2">
      <c r="A8533" s="496"/>
      <c r="D8533" s="496"/>
    </row>
    <row r="8534" spans="1:4" x14ac:dyDescent="0.2">
      <c r="A8534" s="496"/>
      <c r="D8534" s="496"/>
    </row>
    <row r="8535" spans="1:4" x14ac:dyDescent="0.2">
      <c r="A8535" s="496"/>
      <c r="D8535" s="496"/>
    </row>
    <row r="8536" spans="1:4" x14ac:dyDescent="0.2">
      <c r="A8536" s="496"/>
      <c r="D8536" s="496"/>
    </row>
    <row r="8537" spans="1:4" x14ac:dyDescent="0.2">
      <c r="A8537" s="496"/>
      <c r="D8537" s="496"/>
    </row>
    <row r="8538" spans="1:4" x14ac:dyDescent="0.2">
      <c r="A8538" s="496"/>
      <c r="D8538" s="496"/>
    </row>
    <row r="8539" spans="1:4" x14ac:dyDescent="0.2">
      <c r="A8539" s="496"/>
      <c r="D8539" s="496"/>
    </row>
    <row r="8540" spans="1:4" x14ac:dyDescent="0.2">
      <c r="A8540" s="496"/>
      <c r="D8540" s="496"/>
    </row>
    <row r="8541" spans="1:4" x14ac:dyDescent="0.2">
      <c r="A8541" s="496"/>
      <c r="D8541" s="496"/>
    </row>
    <row r="8542" spans="1:4" x14ac:dyDescent="0.2">
      <c r="A8542" s="496"/>
      <c r="D8542" s="496"/>
    </row>
    <row r="8543" spans="1:4" x14ac:dyDescent="0.2">
      <c r="A8543" s="496"/>
      <c r="D8543" s="496"/>
    </row>
    <row r="8544" spans="1:4" x14ac:dyDescent="0.2">
      <c r="A8544" s="496"/>
      <c r="D8544" s="496"/>
    </row>
    <row r="8545" spans="1:4" x14ac:dyDescent="0.2">
      <c r="A8545" s="496"/>
      <c r="D8545" s="496"/>
    </row>
    <row r="8546" spans="1:4" x14ac:dyDescent="0.2">
      <c r="A8546" s="496"/>
      <c r="D8546" s="496"/>
    </row>
    <row r="8547" spans="1:4" x14ac:dyDescent="0.2">
      <c r="A8547" s="496"/>
      <c r="D8547" s="496"/>
    </row>
    <row r="8548" spans="1:4" x14ac:dyDescent="0.2">
      <c r="A8548" s="496"/>
      <c r="D8548" s="496"/>
    </row>
    <row r="8549" spans="1:4" x14ac:dyDescent="0.2">
      <c r="A8549" s="496"/>
      <c r="D8549" s="496"/>
    </row>
    <row r="8550" spans="1:4" x14ac:dyDescent="0.2">
      <c r="A8550" s="496"/>
      <c r="D8550" s="496"/>
    </row>
    <row r="8551" spans="1:4" x14ac:dyDescent="0.2">
      <c r="A8551" s="496"/>
      <c r="D8551" s="496"/>
    </row>
    <row r="8552" spans="1:4" x14ac:dyDescent="0.2">
      <c r="A8552" s="496"/>
      <c r="D8552" s="496"/>
    </row>
    <row r="8553" spans="1:4" x14ac:dyDescent="0.2">
      <c r="A8553" s="496"/>
      <c r="D8553" s="496"/>
    </row>
    <row r="8554" spans="1:4" x14ac:dyDescent="0.2">
      <c r="A8554" s="496"/>
      <c r="D8554" s="496"/>
    </row>
    <row r="8555" spans="1:4" x14ac:dyDescent="0.2">
      <c r="A8555" s="496"/>
      <c r="D8555" s="496"/>
    </row>
    <row r="8556" spans="1:4" x14ac:dyDescent="0.2">
      <c r="A8556" s="496"/>
      <c r="D8556" s="496"/>
    </row>
    <row r="8557" spans="1:4" x14ac:dyDescent="0.2">
      <c r="A8557" s="496"/>
      <c r="D8557" s="496"/>
    </row>
    <row r="8558" spans="1:4" x14ac:dyDescent="0.2">
      <c r="A8558" s="496"/>
      <c r="D8558" s="496"/>
    </row>
    <row r="8559" spans="1:4" x14ac:dyDescent="0.2">
      <c r="A8559" s="496"/>
      <c r="D8559" s="496"/>
    </row>
    <row r="8560" spans="1:4" x14ac:dyDescent="0.2">
      <c r="A8560" s="496"/>
      <c r="D8560" s="496"/>
    </row>
    <row r="8561" spans="1:4" x14ac:dyDescent="0.2">
      <c r="A8561" s="496"/>
      <c r="D8561" s="496"/>
    </row>
    <row r="8562" spans="1:4" x14ac:dyDescent="0.2">
      <c r="A8562" s="496"/>
      <c r="D8562" s="496"/>
    </row>
    <row r="8563" spans="1:4" x14ac:dyDescent="0.2">
      <c r="A8563" s="496"/>
      <c r="D8563" s="496"/>
    </row>
    <row r="8564" spans="1:4" x14ac:dyDescent="0.2">
      <c r="A8564" s="496"/>
      <c r="D8564" s="496"/>
    </row>
    <row r="8565" spans="1:4" x14ac:dyDescent="0.2">
      <c r="A8565" s="496"/>
      <c r="D8565" s="496"/>
    </row>
    <row r="8566" spans="1:4" x14ac:dyDescent="0.2">
      <c r="A8566" s="496"/>
      <c r="D8566" s="496"/>
    </row>
    <row r="8567" spans="1:4" x14ac:dyDescent="0.2">
      <c r="A8567" s="496"/>
      <c r="D8567" s="496"/>
    </row>
    <row r="8568" spans="1:4" x14ac:dyDescent="0.2">
      <c r="A8568" s="496"/>
      <c r="D8568" s="496"/>
    </row>
    <row r="8569" spans="1:4" x14ac:dyDescent="0.2">
      <c r="A8569" s="496"/>
      <c r="D8569" s="496"/>
    </row>
    <row r="8570" spans="1:4" x14ac:dyDescent="0.2">
      <c r="A8570" s="496"/>
      <c r="D8570" s="496"/>
    </row>
    <row r="8571" spans="1:4" x14ac:dyDescent="0.2">
      <c r="A8571" s="496"/>
      <c r="D8571" s="496"/>
    </row>
    <row r="8572" spans="1:4" x14ac:dyDescent="0.2">
      <c r="A8572" s="496"/>
      <c r="D8572" s="496"/>
    </row>
    <row r="8573" spans="1:4" x14ac:dyDescent="0.2">
      <c r="A8573" s="496"/>
      <c r="D8573" s="496"/>
    </row>
    <row r="8574" spans="1:4" x14ac:dyDescent="0.2">
      <c r="A8574" s="496"/>
      <c r="D8574" s="496"/>
    </row>
    <row r="8575" spans="1:4" x14ac:dyDescent="0.2">
      <c r="A8575" s="496"/>
      <c r="D8575" s="496"/>
    </row>
    <row r="8576" spans="1:4" x14ac:dyDescent="0.2">
      <c r="A8576" s="496"/>
      <c r="D8576" s="496"/>
    </row>
    <row r="8577" spans="1:4" x14ac:dyDescent="0.2">
      <c r="A8577" s="496"/>
      <c r="D8577" s="496"/>
    </row>
    <row r="8578" spans="1:4" x14ac:dyDescent="0.2">
      <c r="A8578" s="496"/>
      <c r="D8578" s="496"/>
    </row>
    <row r="8579" spans="1:4" x14ac:dyDescent="0.2">
      <c r="A8579" s="496"/>
      <c r="D8579" s="496"/>
    </row>
    <row r="8580" spans="1:4" x14ac:dyDescent="0.2">
      <c r="A8580" s="496"/>
      <c r="D8580" s="496"/>
    </row>
    <row r="8581" spans="1:4" x14ac:dyDescent="0.2">
      <c r="A8581" s="496"/>
      <c r="D8581" s="496"/>
    </row>
    <row r="8582" spans="1:4" x14ac:dyDescent="0.2">
      <c r="A8582" s="496"/>
      <c r="D8582" s="496"/>
    </row>
    <row r="8583" spans="1:4" x14ac:dyDescent="0.2">
      <c r="A8583" s="496"/>
      <c r="D8583" s="496"/>
    </row>
    <row r="8584" spans="1:4" x14ac:dyDescent="0.2">
      <c r="A8584" s="496"/>
      <c r="D8584" s="496"/>
    </row>
    <row r="8585" spans="1:4" x14ac:dyDescent="0.2">
      <c r="A8585" s="496"/>
      <c r="D8585" s="496"/>
    </row>
    <row r="8586" spans="1:4" x14ac:dyDescent="0.2">
      <c r="A8586" s="496"/>
      <c r="D8586" s="496"/>
    </row>
    <row r="8587" spans="1:4" x14ac:dyDescent="0.2">
      <c r="A8587" s="496"/>
      <c r="D8587" s="496"/>
    </row>
    <row r="8588" spans="1:4" x14ac:dyDescent="0.2">
      <c r="A8588" s="496"/>
      <c r="D8588" s="496"/>
    </row>
    <row r="8589" spans="1:4" x14ac:dyDescent="0.2">
      <c r="A8589" s="496"/>
      <c r="D8589" s="496"/>
    </row>
    <row r="8590" spans="1:4" x14ac:dyDescent="0.2">
      <c r="A8590" s="496"/>
      <c r="D8590" s="496"/>
    </row>
    <row r="8591" spans="1:4" x14ac:dyDescent="0.2">
      <c r="A8591" s="496"/>
      <c r="D8591" s="496"/>
    </row>
    <row r="8592" spans="1:4" x14ac:dyDescent="0.2">
      <c r="A8592" s="496"/>
      <c r="D8592" s="496"/>
    </row>
    <row r="8593" spans="1:4" x14ac:dyDescent="0.2">
      <c r="A8593" s="496"/>
      <c r="D8593" s="496"/>
    </row>
    <row r="8594" spans="1:4" x14ac:dyDescent="0.2">
      <c r="A8594" s="496"/>
      <c r="D8594" s="496"/>
    </row>
    <row r="8595" spans="1:4" x14ac:dyDescent="0.2">
      <c r="A8595" s="496"/>
      <c r="D8595" s="496"/>
    </row>
    <row r="8596" spans="1:4" x14ac:dyDescent="0.2">
      <c r="A8596" s="496"/>
      <c r="D8596" s="496"/>
    </row>
    <row r="8597" spans="1:4" x14ac:dyDescent="0.2">
      <c r="A8597" s="496"/>
      <c r="D8597" s="496"/>
    </row>
    <row r="8598" spans="1:4" x14ac:dyDescent="0.2">
      <c r="A8598" s="496"/>
      <c r="D8598" s="496"/>
    </row>
    <row r="8599" spans="1:4" x14ac:dyDescent="0.2">
      <c r="A8599" s="496"/>
      <c r="D8599" s="496"/>
    </row>
    <row r="8600" spans="1:4" x14ac:dyDescent="0.2">
      <c r="A8600" s="496"/>
      <c r="D8600" s="496"/>
    </row>
    <row r="8601" spans="1:4" x14ac:dyDescent="0.2">
      <c r="A8601" s="496"/>
      <c r="D8601" s="496"/>
    </row>
    <row r="8602" spans="1:4" x14ac:dyDescent="0.2">
      <c r="A8602" s="496"/>
      <c r="D8602" s="496"/>
    </row>
    <row r="8603" spans="1:4" x14ac:dyDescent="0.2">
      <c r="A8603" s="496"/>
      <c r="D8603" s="496"/>
    </row>
    <row r="8604" spans="1:4" x14ac:dyDescent="0.2">
      <c r="A8604" s="496"/>
      <c r="D8604" s="496"/>
    </row>
    <row r="8605" spans="1:4" x14ac:dyDescent="0.2">
      <c r="A8605" s="496"/>
      <c r="D8605" s="496"/>
    </row>
    <row r="8606" spans="1:4" x14ac:dyDescent="0.2">
      <c r="A8606" s="496"/>
      <c r="D8606" s="496"/>
    </row>
    <row r="8607" spans="1:4" x14ac:dyDescent="0.2">
      <c r="A8607" s="496"/>
      <c r="D8607" s="496"/>
    </row>
    <row r="8608" spans="1:4" x14ac:dyDescent="0.2">
      <c r="A8608" s="496"/>
      <c r="D8608" s="496"/>
    </row>
    <row r="8609" spans="1:4" x14ac:dyDescent="0.2">
      <c r="A8609" s="496"/>
      <c r="D8609" s="496"/>
    </row>
    <row r="8610" spans="1:4" x14ac:dyDescent="0.2">
      <c r="A8610" s="496"/>
      <c r="D8610" s="496"/>
    </row>
    <row r="8611" spans="1:4" x14ac:dyDescent="0.2">
      <c r="A8611" s="496"/>
      <c r="D8611" s="496"/>
    </row>
    <row r="8612" spans="1:4" x14ac:dyDescent="0.2">
      <c r="A8612" s="496"/>
      <c r="D8612" s="496"/>
    </row>
    <row r="8613" spans="1:4" x14ac:dyDescent="0.2">
      <c r="A8613" s="496"/>
      <c r="D8613" s="496"/>
    </row>
    <row r="8614" spans="1:4" x14ac:dyDescent="0.2">
      <c r="A8614" s="496"/>
      <c r="D8614" s="496"/>
    </row>
    <row r="8615" spans="1:4" x14ac:dyDescent="0.2">
      <c r="A8615" s="496"/>
      <c r="D8615" s="496"/>
    </row>
    <row r="8616" spans="1:4" x14ac:dyDescent="0.2">
      <c r="A8616" s="496"/>
      <c r="D8616" s="496"/>
    </row>
    <row r="8617" spans="1:4" x14ac:dyDescent="0.2">
      <c r="A8617" s="496"/>
      <c r="D8617" s="496"/>
    </row>
    <row r="8618" spans="1:4" x14ac:dyDescent="0.2">
      <c r="A8618" s="496"/>
      <c r="D8618" s="496"/>
    </row>
    <row r="8619" spans="1:4" x14ac:dyDescent="0.2">
      <c r="A8619" s="496"/>
      <c r="D8619" s="496"/>
    </row>
    <row r="8620" spans="1:4" x14ac:dyDescent="0.2">
      <c r="A8620" s="496"/>
      <c r="D8620" s="496"/>
    </row>
    <row r="8621" spans="1:4" x14ac:dyDescent="0.2">
      <c r="A8621" s="496"/>
      <c r="D8621" s="496"/>
    </row>
    <row r="8622" spans="1:4" x14ac:dyDescent="0.2">
      <c r="A8622" s="496"/>
      <c r="D8622" s="496"/>
    </row>
    <row r="8623" spans="1:4" x14ac:dyDescent="0.2">
      <c r="A8623" s="496"/>
      <c r="D8623" s="496"/>
    </row>
    <row r="8624" spans="1:4" x14ac:dyDescent="0.2">
      <c r="A8624" s="496"/>
      <c r="D8624" s="496"/>
    </row>
    <row r="8625" spans="1:4" x14ac:dyDescent="0.2">
      <c r="A8625" s="496"/>
      <c r="D8625" s="496"/>
    </row>
    <row r="8626" spans="1:4" x14ac:dyDescent="0.2">
      <c r="A8626" s="496"/>
      <c r="D8626" s="496"/>
    </row>
    <row r="8627" spans="1:4" x14ac:dyDescent="0.2">
      <c r="A8627" s="496"/>
      <c r="D8627" s="496"/>
    </row>
    <row r="8628" spans="1:4" x14ac:dyDescent="0.2">
      <c r="A8628" s="496"/>
      <c r="D8628" s="496"/>
    </row>
    <row r="8629" spans="1:4" x14ac:dyDescent="0.2">
      <c r="A8629" s="496"/>
      <c r="D8629" s="496"/>
    </row>
    <row r="8630" spans="1:4" x14ac:dyDescent="0.2">
      <c r="A8630" s="496"/>
      <c r="D8630" s="496"/>
    </row>
    <row r="8631" spans="1:4" x14ac:dyDescent="0.2">
      <c r="A8631" s="496"/>
      <c r="D8631" s="496"/>
    </row>
    <row r="8632" spans="1:4" x14ac:dyDescent="0.2">
      <c r="A8632" s="496"/>
      <c r="D8632" s="496"/>
    </row>
    <row r="8633" spans="1:4" x14ac:dyDescent="0.2">
      <c r="A8633" s="496"/>
      <c r="D8633" s="496"/>
    </row>
    <row r="8634" spans="1:4" x14ac:dyDescent="0.2">
      <c r="A8634" s="496"/>
      <c r="D8634" s="496"/>
    </row>
    <row r="8635" spans="1:4" x14ac:dyDescent="0.2">
      <c r="A8635" s="496"/>
      <c r="D8635" s="496"/>
    </row>
    <row r="8636" spans="1:4" x14ac:dyDescent="0.2">
      <c r="A8636" s="496"/>
      <c r="D8636" s="496"/>
    </row>
    <row r="8637" spans="1:4" x14ac:dyDescent="0.2">
      <c r="A8637" s="496"/>
      <c r="D8637" s="496"/>
    </row>
    <row r="8638" spans="1:4" x14ac:dyDescent="0.2">
      <c r="A8638" s="496"/>
      <c r="D8638" s="496"/>
    </row>
    <row r="8639" spans="1:4" x14ac:dyDescent="0.2">
      <c r="A8639" s="496"/>
      <c r="D8639" s="496"/>
    </row>
    <row r="8640" spans="1:4" x14ac:dyDescent="0.2">
      <c r="A8640" s="496"/>
      <c r="D8640" s="496"/>
    </row>
    <row r="8641" spans="1:4" x14ac:dyDescent="0.2">
      <c r="A8641" s="496"/>
      <c r="D8641" s="496"/>
    </row>
    <row r="8642" spans="1:4" x14ac:dyDescent="0.2">
      <c r="A8642" s="496"/>
      <c r="D8642" s="496"/>
    </row>
    <row r="8643" spans="1:4" x14ac:dyDescent="0.2">
      <c r="A8643" s="496"/>
      <c r="D8643" s="496"/>
    </row>
    <row r="8644" spans="1:4" x14ac:dyDescent="0.2">
      <c r="A8644" s="496"/>
      <c r="D8644" s="496"/>
    </row>
    <row r="8645" spans="1:4" x14ac:dyDescent="0.2">
      <c r="A8645" s="496"/>
      <c r="D8645" s="496"/>
    </row>
    <row r="8646" spans="1:4" x14ac:dyDescent="0.2">
      <c r="A8646" s="496"/>
      <c r="D8646" s="496"/>
    </row>
    <row r="8647" spans="1:4" x14ac:dyDescent="0.2">
      <c r="A8647" s="496"/>
      <c r="D8647" s="496"/>
    </row>
    <row r="8648" spans="1:4" x14ac:dyDescent="0.2">
      <c r="A8648" s="496"/>
      <c r="D8648" s="496"/>
    </row>
    <row r="8649" spans="1:4" x14ac:dyDescent="0.2">
      <c r="A8649" s="496"/>
      <c r="D8649" s="496"/>
    </row>
    <row r="8650" spans="1:4" x14ac:dyDescent="0.2">
      <c r="A8650" s="496"/>
      <c r="D8650" s="496"/>
    </row>
    <row r="8651" spans="1:4" x14ac:dyDescent="0.2">
      <c r="A8651" s="496"/>
      <c r="D8651" s="496"/>
    </row>
    <row r="8652" spans="1:4" x14ac:dyDescent="0.2">
      <c r="A8652" s="496"/>
      <c r="D8652" s="496"/>
    </row>
    <row r="8653" spans="1:4" x14ac:dyDescent="0.2">
      <c r="A8653" s="496"/>
      <c r="D8653" s="496"/>
    </row>
    <row r="8654" spans="1:4" x14ac:dyDescent="0.2">
      <c r="A8654" s="496"/>
      <c r="D8654" s="496"/>
    </row>
    <row r="8655" spans="1:4" x14ac:dyDescent="0.2">
      <c r="A8655" s="496"/>
      <c r="D8655" s="496"/>
    </row>
    <row r="8656" spans="1:4" x14ac:dyDescent="0.2">
      <c r="A8656" s="496"/>
      <c r="D8656" s="496"/>
    </row>
    <row r="8657" spans="1:4" x14ac:dyDescent="0.2">
      <c r="A8657" s="496"/>
      <c r="D8657" s="496"/>
    </row>
    <row r="8658" spans="1:4" x14ac:dyDescent="0.2">
      <c r="A8658" s="496"/>
      <c r="D8658" s="496"/>
    </row>
    <row r="8659" spans="1:4" x14ac:dyDescent="0.2">
      <c r="A8659" s="496"/>
      <c r="D8659" s="496"/>
    </row>
    <row r="8660" spans="1:4" x14ac:dyDescent="0.2">
      <c r="A8660" s="496"/>
      <c r="D8660" s="496"/>
    </row>
    <row r="8661" spans="1:4" x14ac:dyDescent="0.2">
      <c r="A8661" s="496"/>
      <c r="D8661" s="496"/>
    </row>
    <row r="8662" spans="1:4" x14ac:dyDescent="0.2">
      <c r="A8662" s="496"/>
      <c r="D8662" s="496"/>
    </row>
    <row r="8663" spans="1:4" x14ac:dyDescent="0.2">
      <c r="A8663" s="496"/>
      <c r="D8663" s="496"/>
    </row>
    <row r="8664" spans="1:4" x14ac:dyDescent="0.2">
      <c r="A8664" s="496"/>
      <c r="D8664" s="496"/>
    </row>
    <row r="8665" spans="1:4" x14ac:dyDescent="0.2">
      <c r="A8665" s="496"/>
      <c r="D8665" s="496"/>
    </row>
    <row r="8666" spans="1:4" x14ac:dyDescent="0.2">
      <c r="A8666" s="496"/>
      <c r="D8666" s="496"/>
    </row>
    <row r="8667" spans="1:4" x14ac:dyDescent="0.2">
      <c r="A8667" s="496"/>
      <c r="D8667" s="496"/>
    </row>
    <row r="8668" spans="1:4" x14ac:dyDescent="0.2">
      <c r="A8668" s="496"/>
      <c r="D8668" s="496"/>
    </row>
    <row r="8669" spans="1:4" x14ac:dyDescent="0.2">
      <c r="A8669" s="496"/>
      <c r="D8669" s="496"/>
    </row>
    <row r="8670" spans="1:4" x14ac:dyDescent="0.2">
      <c r="A8670" s="496"/>
      <c r="D8670" s="496"/>
    </row>
    <row r="8671" spans="1:4" x14ac:dyDescent="0.2">
      <c r="A8671" s="496"/>
      <c r="D8671" s="496"/>
    </row>
    <row r="8672" spans="1:4" x14ac:dyDescent="0.2">
      <c r="A8672" s="496"/>
      <c r="D8672" s="496"/>
    </row>
    <row r="8673" spans="1:4" x14ac:dyDescent="0.2">
      <c r="A8673" s="496"/>
      <c r="D8673" s="496"/>
    </row>
    <row r="8674" spans="1:4" x14ac:dyDescent="0.2">
      <c r="A8674" s="496"/>
      <c r="D8674" s="496"/>
    </row>
    <row r="8675" spans="1:4" x14ac:dyDescent="0.2">
      <c r="A8675" s="496"/>
      <c r="D8675" s="496"/>
    </row>
    <row r="8676" spans="1:4" x14ac:dyDescent="0.2">
      <c r="A8676" s="496"/>
      <c r="D8676" s="496"/>
    </row>
    <row r="8677" spans="1:4" x14ac:dyDescent="0.2">
      <c r="A8677" s="496"/>
      <c r="D8677" s="496"/>
    </row>
    <row r="8678" spans="1:4" x14ac:dyDescent="0.2">
      <c r="A8678" s="496"/>
      <c r="D8678" s="496"/>
    </row>
    <row r="8679" spans="1:4" x14ac:dyDescent="0.2">
      <c r="A8679" s="496"/>
      <c r="D8679" s="496"/>
    </row>
    <row r="8680" spans="1:4" x14ac:dyDescent="0.2">
      <c r="A8680" s="496"/>
      <c r="D8680" s="496"/>
    </row>
    <row r="8681" spans="1:4" x14ac:dyDescent="0.2">
      <c r="A8681" s="496"/>
      <c r="D8681" s="496"/>
    </row>
    <row r="8682" spans="1:4" x14ac:dyDescent="0.2">
      <c r="A8682" s="496"/>
      <c r="D8682" s="496"/>
    </row>
    <row r="8683" spans="1:4" x14ac:dyDescent="0.2">
      <c r="A8683" s="496"/>
      <c r="D8683" s="496"/>
    </row>
    <row r="8684" spans="1:4" x14ac:dyDescent="0.2">
      <c r="A8684" s="496"/>
      <c r="D8684" s="496"/>
    </row>
    <row r="8685" spans="1:4" x14ac:dyDescent="0.2">
      <c r="A8685" s="496"/>
      <c r="D8685" s="496"/>
    </row>
    <row r="8686" spans="1:4" x14ac:dyDescent="0.2">
      <c r="A8686" s="496"/>
      <c r="D8686" s="496"/>
    </row>
    <row r="8687" spans="1:4" x14ac:dyDescent="0.2">
      <c r="A8687" s="496"/>
      <c r="D8687" s="496"/>
    </row>
    <row r="8688" spans="1:4" x14ac:dyDescent="0.2">
      <c r="A8688" s="496"/>
      <c r="D8688" s="496"/>
    </row>
    <row r="8689" spans="1:4" x14ac:dyDescent="0.2">
      <c r="A8689" s="496"/>
      <c r="D8689" s="496"/>
    </row>
    <row r="8690" spans="1:4" x14ac:dyDescent="0.2">
      <c r="A8690" s="496"/>
      <c r="D8690" s="496"/>
    </row>
    <row r="8691" spans="1:4" x14ac:dyDescent="0.2">
      <c r="A8691" s="496"/>
      <c r="D8691" s="496"/>
    </row>
    <row r="8692" spans="1:4" x14ac:dyDescent="0.2">
      <c r="A8692" s="496"/>
      <c r="D8692" s="496"/>
    </row>
    <row r="8693" spans="1:4" x14ac:dyDescent="0.2">
      <c r="A8693" s="496"/>
      <c r="D8693" s="496"/>
    </row>
    <row r="8694" spans="1:4" x14ac:dyDescent="0.2">
      <c r="A8694" s="496"/>
      <c r="D8694" s="496"/>
    </row>
    <row r="8695" spans="1:4" x14ac:dyDescent="0.2">
      <c r="A8695" s="496"/>
      <c r="D8695" s="496"/>
    </row>
    <row r="8696" spans="1:4" x14ac:dyDescent="0.2">
      <c r="A8696" s="496"/>
      <c r="D8696" s="496"/>
    </row>
    <row r="8697" spans="1:4" x14ac:dyDescent="0.2">
      <c r="A8697" s="496"/>
      <c r="D8697" s="496"/>
    </row>
    <row r="8698" spans="1:4" x14ac:dyDescent="0.2">
      <c r="A8698" s="496"/>
      <c r="D8698" s="496"/>
    </row>
    <row r="8699" spans="1:4" x14ac:dyDescent="0.2">
      <c r="A8699" s="496"/>
      <c r="D8699" s="496"/>
    </row>
    <row r="8700" spans="1:4" x14ac:dyDescent="0.2">
      <c r="A8700" s="496"/>
      <c r="D8700" s="496"/>
    </row>
    <row r="8701" spans="1:4" x14ac:dyDescent="0.2">
      <c r="A8701" s="496"/>
      <c r="D8701" s="496"/>
    </row>
    <row r="8702" spans="1:4" x14ac:dyDescent="0.2">
      <c r="A8702" s="496"/>
      <c r="D8702" s="496"/>
    </row>
    <row r="8703" spans="1:4" x14ac:dyDescent="0.2">
      <c r="A8703" s="496"/>
      <c r="D8703" s="496"/>
    </row>
    <row r="8704" spans="1:4" x14ac:dyDescent="0.2">
      <c r="A8704" s="496"/>
      <c r="D8704" s="496"/>
    </row>
    <row r="8705" spans="1:4" x14ac:dyDescent="0.2">
      <c r="A8705" s="496"/>
      <c r="D8705" s="496"/>
    </row>
    <row r="8706" spans="1:4" x14ac:dyDescent="0.2">
      <c r="A8706" s="496"/>
      <c r="D8706" s="496"/>
    </row>
    <row r="8707" spans="1:4" x14ac:dyDescent="0.2">
      <c r="A8707" s="496"/>
      <c r="D8707" s="496"/>
    </row>
    <row r="8708" spans="1:4" x14ac:dyDescent="0.2">
      <c r="A8708" s="496"/>
      <c r="D8708" s="496"/>
    </row>
    <row r="8709" spans="1:4" x14ac:dyDescent="0.2">
      <c r="A8709" s="496"/>
      <c r="D8709" s="496"/>
    </row>
    <row r="8710" spans="1:4" x14ac:dyDescent="0.2">
      <c r="A8710" s="496"/>
      <c r="D8710" s="496"/>
    </row>
    <row r="8711" spans="1:4" x14ac:dyDescent="0.2">
      <c r="A8711" s="496"/>
      <c r="D8711" s="496"/>
    </row>
    <row r="8712" spans="1:4" x14ac:dyDescent="0.2">
      <c r="A8712" s="496"/>
      <c r="D8712" s="496"/>
    </row>
    <row r="8713" spans="1:4" x14ac:dyDescent="0.2">
      <c r="A8713" s="496"/>
      <c r="D8713" s="496"/>
    </row>
    <row r="8714" spans="1:4" x14ac:dyDescent="0.2">
      <c r="A8714" s="496"/>
      <c r="D8714" s="496"/>
    </row>
    <row r="8715" spans="1:4" x14ac:dyDescent="0.2">
      <c r="A8715" s="496"/>
      <c r="D8715" s="496"/>
    </row>
    <row r="8716" spans="1:4" x14ac:dyDescent="0.2">
      <c r="A8716" s="496"/>
      <c r="D8716" s="496"/>
    </row>
    <row r="8717" spans="1:4" x14ac:dyDescent="0.2">
      <c r="A8717" s="496"/>
      <c r="D8717" s="496"/>
    </row>
    <row r="8718" spans="1:4" x14ac:dyDescent="0.2">
      <c r="A8718" s="496"/>
      <c r="D8718" s="496"/>
    </row>
    <row r="8719" spans="1:4" x14ac:dyDescent="0.2">
      <c r="A8719" s="496"/>
      <c r="D8719" s="496"/>
    </row>
    <row r="8720" spans="1:4" x14ac:dyDescent="0.2">
      <c r="A8720" s="496"/>
      <c r="D8720" s="496"/>
    </row>
    <row r="8721" spans="1:4" x14ac:dyDescent="0.2">
      <c r="A8721" s="496"/>
      <c r="D8721" s="496"/>
    </row>
    <row r="8722" spans="1:4" x14ac:dyDescent="0.2">
      <c r="A8722" s="496"/>
      <c r="D8722" s="496"/>
    </row>
    <row r="8723" spans="1:4" x14ac:dyDescent="0.2">
      <c r="A8723" s="496"/>
      <c r="D8723" s="496"/>
    </row>
    <row r="8724" spans="1:4" x14ac:dyDescent="0.2">
      <c r="A8724" s="496"/>
      <c r="D8724" s="496"/>
    </row>
    <row r="8725" spans="1:4" x14ac:dyDescent="0.2">
      <c r="A8725" s="496"/>
      <c r="D8725" s="496"/>
    </row>
    <row r="8726" spans="1:4" x14ac:dyDescent="0.2">
      <c r="A8726" s="496"/>
      <c r="D8726" s="496"/>
    </row>
    <row r="8727" spans="1:4" x14ac:dyDescent="0.2">
      <c r="A8727" s="496"/>
      <c r="D8727" s="496"/>
    </row>
    <row r="8728" spans="1:4" x14ac:dyDescent="0.2">
      <c r="A8728" s="496"/>
      <c r="D8728" s="496"/>
    </row>
    <row r="8729" spans="1:4" x14ac:dyDescent="0.2">
      <c r="A8729" s="496"/>
      <c r="D8729" s="496"/>
    </row>
    <row r="8730" spans="1:4" x14ac:dyDescent="0.2">
      <c r="A8730" s="496"/>
      <c r="D8730" s="496"/>
    </row>
    <row r="8731" spans="1:4" x14ac:dyDescent="0.2">
      <c r="A8731" s="496"/>
      <c r="D8731" s="496"/>
    </row>
    <row r="8732" spans="1:4" x14ac:dyDescent="0.2">
      <c r="A8732" s="496"/>
      <c r="D8732" s="496"/>
    </row>
    <row r="8733" spans="1:4" x14ac:dyDescent="0.2">
      <c r="A8733" s="496"/>
      <c r="D8733" s="496"/>
    </row>
    <row r="8734" spans="1:4" x14ac:dyDescent="0.2">
      <c r="A8734" s="496"/>
      <c r="D8734" s="496"/>
    </row>
    <row r="8735" spans="1:4" x14ac:dyDescent="0.2">
      <c r="A8735" s="496"/>
      <c r="D8735" s="496"/>
    </row>
    <row r="8736" spans="1:4" x14ac:dyDescent="0.2">
      <c r="A8736" s="496"/>
      <c r="D8736" s="496"/>
    </row>
    <row r="8737" spans="1:4" x14ac:dyDescent="0.2">
      <c r="A8737" s="496"/>
      <c r="D8737" s="496"/>
    </row>
    <row r="8738" spans="1:4" x14ac:dyDescent="0.2">
      <c r="A8738" s="496"/>
      <c r="D8738" s="496"/>
    </row>
    <row r="8739" spans="1:4" x14ac:dyDescent="0.2">
      <c r="A8739" s="496"/>
      <c r="D8739" s="496"/>
    </row>
    <row r="8740" spans="1:4" x14ac:dyDescent="0.2">
      <c r="A8740" s="496"/>
      <c r="D8740" s="496"/>
    </row>
    <row r="8741" spans="1:4" x14ac:dyDescent="0.2">
      <c r="A8741" s="496"/>
      <c r="D8741" s="496"/>
    </row>
    <row r="8742" spans="1:4" x14ac:dyDescent="0.2">
      <c r="A8742" s="496"/>
      <c r="D8742" s="496"/>
    </row>
    <row r="8743" spans="1:4" x14ac:dyDescent="0.2">
      <c r="A8743" s="496"/>
      <c r="D8743" s="496"/>
    </row>
    <row r="8744" spans="1:4" x14ac:dyDescent="0.2">
      <c r="A8744" s="496"/>
      <c r="D8744" s="496"/>
    </row>
    <row r="8745" spans="1:4" x14ac:dyDescent="0.2">
      <c r="A8745" s="496"/>
      <c r="D8745" s="496"/>
    </row>
    <row r="8746" spans="1:4" x14ac:dyDescent="0.2">
      <c r="A8746" s="496"/>
      <c r="D8746" s="496"/>
    </row>
    <row r="8747" spans="1:4" x14ac:dyDescent="0.2">
      <c r="A8747" s="496"/>
      <c r="D8747" s="496"/>
    </row>
    <row r="8748" spans="1:4" x14ac:dyDescent="0.2">
      <c r="A8748" s="496"/>
      <c r="D8748" s="496"/>
    </row>
    <row r="8749" spans="1:4" x14ac:dyDescent="0.2">
      <c r="A8749" s="496"/>
      <c r="D8749" s="496"/>
    </row>
    <row r="8750" spans="1:4" x14ac:dyDescent="0.2">
      <c r="A8750" s="496"/>
      <c r="D8750" s="496"/>
    </row>
    <row r="8751" spans="1:4" x14ac:dyDescent="0.2">
      <c r="A8751" s="496"/>
      <c r="D8751" s="496"/>
    </row>
    <row r="8752" spans="1:4" x14ac:dyDescent="0.2">
      <c r="A8752" s="496"/>
      <c r="D8752" s="496"/>
    </row>
    <row r="8753" spans="1:4" x14ac:dyDescent="0.2">
      <c r="A8753" s="496"/>
      <c r="D8753" s="496"/>
    </row>
    <row r="8754" spans="1:4" x14ac:dyDescent="0.2">
      <c r="A8754" s="496"/>
      <c r="D8754" s="496"/>
    </row>
    <row r="8755" spans="1:4" x14ac:dyDescent="0.2">
      <c r="A8755" s="496"/>
      <c r="D8755" s="496"/>
    </row>
    <row r="8756" spans="1:4" x14ac:dyDescent="0.2">
      <c r="A8756" s="496"/>
      <c r="D8756" s="496"/>
    </row>
    <row r="8757" spans="1:4" x14ac:dyDescent="0.2">
      <c r="A8757" s="496"/>
      <c r="D8757" s="496"/>
    </row>
    <row r="8758" spans="1:4" x14ac:dyDescent="0.2">
      <c r="A8758" s="496"/>
      <c r="D8758" s="496"/>
    </row>
    <row r="8759" spans="1:4" x14ac:dyDescent="0.2">
      <c r="A8759" s="496"/>
      <c r="D8759" s="496"/>
    </row>
    <row r="8760" spans="1:4" x14ac:dyDescent="0.2">
      <c r="A8760" s="496"/>
      <c r="D8760" s="496"/>
    </row>
    <row r="8761" spans="1:4" x14ac:dyDescent="0.2">
      <c r="A8761" s="496"/>
      <c r="D8761" s="496"/>
    </row>
    <row r="8762" spans="1:4" x14ac:dyDescent="0.2">
      <c r="A8762" s="496"/>
      <c r="D8762" s="496"/>
    </row>
    <row r="8763" spans="1:4" x14ac:dyDescent="0.2">
      <c r="A8763" s="496"/>
      <c r="D8763" s="496"/>
    </row>
    <row r="8764" spans="1:4" x14ac:dyDescent="0.2">
      <c r="A8764" s="496"/>
      <c r="D8764" s="496"/>
    </row>
    <row r="8765" spans="1:4" x14ac:dyDescent="0.2">
      <c r="A8765" s="496"/>
      <c r="D8765" s="496"/>
    </row>
    <row r="8766" spans="1:4" x14ac:dyDescent="0.2">
      <c r="A8766" s="496"/>
      <c r="D8766" s="496"/>
    </row>
    <row r="8767" spans="1:4" x14ac:dyDescent="0.2">
      <c r="A8767" s="496"/>
      <c r="D8767" s="496"/>
    </row>
    <row r="8768" spans="1:4" x14ac:dyDescent="0.2">
      <c r="A8768" s="496"/>
      <c r="D8768" s="496"/>
    </row>
    <row r="8769" spans="1:4" x14ac:dyDescent="0.2">
      <c r="A8769" s="496"/>
      <c r="D8769" s="496"/>
    </row>
    <row r="8770" spans="1:4" x14ac:dyDescent="0.2">
      <c r="A8770" s="496"/>
      <c r="D8770" s="496"/>
    </row>
    <row r="8771" spans="1:4" x14ac:dyDescent="0.2">
      <c r="A8771" s="496"/>
      <c r="D8771" s="496"/>
    </row>
    <row r="8772" spans="1:4" x14ac:dyDescent="0.2">
      <c r="A8772" s="496"/>
      <c r="D8772" s="496"/>
    </row>
    <row r="8773" spans="1:4" x14ac:dyDescent="0.2">
      <c r="A8773" s="496"/>
      <c r="D8773" s="496"/>
    </row>
    <row r="8774" spans="1:4" x14ac:dyDescent="0.2">
      <c r="A8774" s="496"/>
      <c r="D8774" s="496"/>
    </row>
    <row r="8775" spans="1:4" x14ac:dyDescent="0.2">
      <c r="A8775" s="496"/>
      <c r="D8775" s="496"/>
    </row>
    <row r="8776" spans="1:4" x14ac:dyDescent="0.2">
      <c r="A8776" s="496"/>
      <c r="D8776" s="496"/>
    </row>
    <row r="8777" spans="1:4" x14ac:dyDescent="0.2">
      <c r="A8777" s="496"/>
      <c r="D8777" s="496"/>
    </row>
    <row r="8778" spans="1:4" x14ac:dyDescent="0.2">
      <c r="A8778" s="496"/>
      <c r="D8778" s="496"/>
    </row>
    <row r="8779" spans="1:4" x14ac:dyDescent="0.2">
      <c r="A8779" s="496"/>
      <c r="D8779" s="496"/>
    </row>
    <row r="8780" spans="1:4" x14ac:dyDescent="0.2">
      <c r="A8780" s="496"/>
      <c r="D8780" s="496"/>
    </row>
    <row r="8781" spans="1:4" x14ac:dyDescent="0.2">
      <c r="A8781" s="496"/>
      <c r="D8781" s="496"/>
    </row>
    <row r="8782" spans="1:4" x14ac:dyDescent="0.2">
      <c r="A8782" s="496"/>
      <c r="D8782" s="496"/>
    </row>
    <row r="8783" spans="1:4" x14ac:dyDescent="0.2">
      <c r="A8783" s="496"/>
      <c r="D8783" s="496"/>
    </row>
    <row r="8784" spans="1:4" x14ac:dyDescent="0.2">
      <c r="A8784" s="496"/>
      <c r="D8784" s="496"/>
    </row>
    <row r="8785" spans="1:4" x14ac:dyDescent="0.2">
      <c r="A8785" s="496"/>
      <c r="D8785" s="496"/>
    </row>
    <row r="8786" spans="1:4" x14ac:dyDescent="0.2">
      <c r="A8786" s="496"/>
      <c r="D8786" s="496"/>
    </row>
    <row r="8787" spans="1:4" x14ac:dyDescent="0.2">
      <c r="A8787" s="496"/>
      <c r="D8787" s="496"/>
    </row>
    <row r="8788" spans="1:4" x14ac:dyDescent="0.2">
      <c r="A8788" s="496"/>
      <c r="D8788" s="496"/>
    </row>
    <row r="8789" spans="1:4" x14ac:dyDescent="0.2">
      <c r="A8789" s="496"/>
      <c r="D8789" s="496"/>
    </row>
    <row r="8790" spans="1:4" x14ac:dyDescent="0.2">
      <c r="A8790" s="496"/>
      <c r="D8790" s="496"/>
    </row>
    <row r="8791" spans="1:4" x14ac:dyDescent="0.2">
      <c r="A8791" s="496"/>
      <c r="D8791" s="496"/>
    </row>
    <row r="8792" spans="1:4" x14ac:dyDescent="0.2">
      <c r="A8792" s="496"/>
      <c r="D8792" s="496"/>
    </row>
    <row r="8793" spans="1:4" x14ac:dyDescent="0.2">
      <c r="A8793" s="496"/>
      <c r="D8793" s="496"/>
    </row>
    <row r="8794" spans="1:4" x14ac:dyDescent="0.2">
      <c r="A8794" s="496"/>
      <c r="D8794" s="496"/>
    </row>
    <row r="8795" spans="1:4" x14ac:dyDescent="0.2">
      <c r="A8795" s="496"/>
      <c r="D8795" s="496"/>
    </row>
    <row r="8796" spans="1:4" x14ac:dyDescent="0.2">
      <c r="A8796" s="496"/>
      <c r="D8796" s="496"/>
    </row>
    <row r="8797" spans="1:4" x14ac:dyDescent="0.2">
      <c r="A8797" s="496"/>
      <c r="D8797" s="496"/>
    </row>
    <row r="8798" spans="1:4" x14ac:dyDescent="0.2">
      <c r="A8798" s="496"/>
      <c r="D8798" s="496"/>
    </row>
    <row r="8799" spans="1:4" x14ac:dyDescent="0.2">
      <c r="A8799" s="496"/>
      <c r="D8799" s="496"/>
    </row>
    <row r="8800" spans="1:4" x14ac:dyDescent="0.2">
      <c r="A8800" s="496"/>
      <c r="D8800" s="496"/>
    </row>
    <row r="8801" spans="1:4" x14ac:dyDescent="0.2">
      <c r="A8801" s="496"/>
      <c r="D8801" s="496"/>
    </row>
    <row r="8802" spans="1:4" x14ac:dyDescent="0.2">
      <c r="A8802" s="496"/>
      <c r="D8802" s="496"/>
    </row>
    <row r="8803" spans="1:4" x14ac:dyDescent="0.2">
      <c r="A8803" s="496"/>
      <c r="D8803" s="496"/>
    </row>
    <row r="8804" spans="1:4" x14ac:dyDescent="0.2">
      <c r="A8804" s="496"/>
      <c r="D8804" s="496"/>
    </row>
    <row r="8805" spans="1:4" x14ac:dyDescent="0.2">
      <c r="A8805" s="496"/>
      <c r="D8805" s="496"/>
    </row>
    <row r="8806" spans="1:4" x14ac:dyDescent="0.2">
      <c r="A8806" s="496"/>
      <c r="D8806" s="496"/>
    </row>
    <row r="8807" spans="1:4" x14ac:dyDescent="0.2">
      <c r="A8807" s="496"/>
      <c r="D8807" s="496"/>
    </row>
    <row r="8808" spans="1:4" x14ac:dyDescent="0.2">
      <c r="A8808" s="496"/>
      <c r="D8808" s="496"/>
    </row>
    <row r="8809" spans="1:4" x14ac:dyDescent="0.2">
      <c r="A8809" s="496"/>
      <c r="D8809" s="496"/>
    </row>
    <row r="8810" spans="1:4" x14ac:dyDescent="0.2">
      <c r="A8810" s="496"/>
      <c r="D8810" s="496"/>
    </row>
    <row r="8811" spans="1:4" x14ac:dyDescent="0.2">
      <c r="A8811" s="496"/>
      <c r="D8811" s="496"/>
    </row>
    <row r="8812" spans="1:4" x14ac:dyDescent="0.2">
      <c r="A8812" s="496"/>
      <c r="D8812" s="496"/>
    </row>
    <row r="8813" spans="1:4" x14ac:dyDescent="0.2">
      <c r="A8813" s="496"/>
      <c r="D8813" s="496"/>
    </row>
    <row r="8814" spans="1:4" x14ac:dyDescent="0.2">
      <c r="A8814" s="496"/>
      <c r="D8814" s="496"/>
    </row>
    <row r="8815" spans="1:4" x14ac:dyDescent="0.2">
      <c r="A8815" s="496"/>
      <c r="D8815" s="496"/>
    </row>
    <row r="8816" spans="1:4" x14ac:dyDescent="0.2">
      <c r="A8816" s="496"/>
      <c r="D8816" s="496"/>
    </row>
    <row r="8817" spans="1:4" x14ac:dyDescent="0.2">
      <c r="A8817" s="496"/>
      <c r="D8817" s="496"/>
    </row>
    <row r="8818" spans="1:4" x14ac:dyDescent="0.2">
      <c r="A8818" s="496"/>
      <c r="D8818" s="496"/>
    </row>
    <row r="8819" spans="1:4" x14ac:dyDescent="0.2">
      <c r="A8819" s="496"/>
      <c r="D8819" s="496"/>
    </row>
    <row r="8820" spans="1:4" x14ac:dyDescent="0.2">
      <c r="A8820" s="496"/>
      <c r="D8820" s="496"/>
    </row>
    <row r="8821" spans="1:4" x14ac:dyDescent="0.2">
      <c r="A8821" s="496"/>
      <c r="D8821" s="496"/>
    </row>
    <row r="8822" spans="1:4" x14ac:dyDescent="0.2">
      <c r="A8822" s="496"/>
      <c r="D8822" s="496"/>
    </row>
    <row r="8823" spans="1:4" x14ac:dyDescent="0.2">
      <c r="A8823" s="496"/>
      <c r="D8823" s="496"/>
    </row>
    <row r="8824" spans="1:4" x14ac:dyDescent="0.2">
      <c r="A8824" s="496"/>
      <c r="D8824" s="496"/>
    </row>
    <row r="8825" spans="1:4" x14ac:dyDescent="0.2">
      <c r="A8825" s="496"/>
      <c r="D8825" s="496"/>
    </row>
    <row r="8826" spans="1:4" x14ac:dyDescent="0.2">
      <c r="A8826" s="496"/>
      <c r="D8826" s="496"/>
    </row>
    <row r="8827" spans="1:4" x14ac:dyDescent="0.2">
      <c r="A8827" s="496"/>
      <c r="D8827" s="496"/>
    </row>
    <row r="8828" spans="1:4" x14ac:dyDescent="0.2">
      <c r="A8828" s="496"/>
      <c r="D8828" s="496"/>
    </row>
    <row r="8829" spans="1:4" x14ac:dyDescent="0.2">
      <c r="A8829" s="496"/>
      <c r="D8829" s="496"/>
    </row>
    <row r="8830" spans="1:4" x14ac:dyDescent="0.2">
      <c r="A8830" s="496"/>
      <c r="D8830" s="496"/>
    </row>
    <row r="8831" spans="1:4" x14ac:dyDescent="0.2">
      <c r="A8831" s="496"/>
      <c r="D8831" s="496"/>
    </row>
    <row r="8832" spans="1:4" x14ac:dyDescent="0.2">
      <c r="A8832" s="496"/>
      <c r="D8832" s="496"/>
    </row>
    <row r="8833" spans="1:4" x14ac:dyDescent="0.2">
      <c r="A8833" s="496"/>
      <c r="D8833" s="496"/>
    </row>
    <row r="8834" spans="1:4" x14ac:dyDescent="0.2">
      <c r="A8834" s="496"/>
      <c r="D8834" s="496"/>
    </row>
    <row r="8835" spans="1:4" x14ac:dyDescent="0.2">
      <c r="A8835" s="496"/>
      <c r="D8835" s="496"/>
    </row>
    <row r="8836" spans="1:4" x14ac:dyDescent="0.2">
      <c r="A8836" s="496"/>
      <c r="D8836" s="496"/>
    </row>
    <row r="8837" spans="1:4" x14ac:dyDescent="0.2">
      <c r="A8837" s="496"/>
      <c r="D8837" s="496"/>
    </row>
    <row r="8838" spans="1:4" x14ac:dyDescent="0.2">
      <c r="A8838" s="496"/>
      <c r="D8838" s="496"/>
    </row>
    <row r="8839" spans="1:4" x14ac:dyDescent="0.2">
      <c r="A8839" s="496"/>
      <c r="D8839" s="496"/>
    </row>
    <row r="8840" spans="1:4" x14ac:dyDescent="0.2">
      <c r="A8840" s="496"/>
      <c r="D8840" s="496"/>
    </row>
    <row r="8841" spans="1:4" x14ac:dyDescent="0.2">
      <c r="A8841" s="496"/>
      <c r="D8841" s="496"/>
    </row>
    <row r="8842" spans="1:4" x14ac:dyDescent="0.2">
      <c r="A8842" s="496"/>
      <c r="D8842" s="496"/>
    </row>
    <row r="8843" spans="1:4" x14ac:dyDescent="0.2">
      <c r="A8843" s="496"/>
      <c r="D8843" s="496"/>
    </row>
    <row r="8844" spans="1:4" x14ac:dyDescent="0.2">
      <c r="A8844" s="496"/>
      <c r="D8844" s="496"/>
    </row>
    <row r="8845" spans="1:4" x14ac:dyDescent="0.2">
      <c r="A8845" s="496"/>
      <c r="D8845" s="496"/>
    </row>
    <row r="8846" spans="1:4" x14ac:dyDescent="0.2">
      <c r="A8846" s="496"/>
      <c r="D8846" s="496"/>
    </row>
    <row r="8847" spans="1:4" x14ac:dyDescent="0.2">
      <c r="A8847" s="496"/>
      <c r="D8847" s="496"/>
    </row>
    <row r="8848" spans="1:4" x14ac:dyDescent="0.2">
      <c r="A8848" s="496"/>
      <c r="D8848" s="496"/>
    </row>
    <row r="8849" spans="1:4" x14ac:dyDescent="0.2">
      <c r="A8849" s="496"/>
      <c r="D8849" s="496"/>
    </row>
    <row r="8850" spans="1:4" x14ac:dyDescent="0.2">
      <c r="A8850" s="496"/>
      <c r="D8850" s="496"/>
    </row>
    <row r="8851" spans="1:4" x14ac:dyDescent="0.2">
      <c r="A8851" s="496"/>
      <c r="D8851" s="496"/>
    </row>
    <row r="8852" spans="1:4" x14ac:dyDescent="0.2">
      <c r="A8852" s="496"/>
      <c r="D8852" s="496"/>
    </row>
    <row r="8853" spans="1:4" x14ac:dyDescent="0.2">
      <c r="A8853" s="496"/>
      <c r="D8853" s="496"/>
    </row>
    <row r="8854" spans="1:4" x14ac:dyDescent="0.2">
      <c r="A8854" s="496"/>
      <c r="D8854" s="496"/>
    </row>
    <row r="8855" spans="1:4" x14ac:dyDescent="0.2">
      <c r="A8855" s="496"/>
      <c r="D8855" s="496"/>
    </row>
    <row r="8856" spans="1:4" x14ac:dyDescent="0.2">
      <c r="A8856" s="496"/>
      <c r="D8856" s="496"/>
    </row>
    <row r="8857" spans="1:4" x14ac:dyDescent="0.2">
      <c r="A8857" s="496"/>
      <c r="D8857" s="496"/>
    </row>
    <row r="8858" spans="1:4" x14ac:dyDescent="0.2">
      <c r="A8858" s="496"/>
      <c r="D8858" s="496"/>
    </row>
    <row r="8859" spans="1:4" x14ac:dyDescent="0.2">
      <c r="A8859" s="496"/>
      <c r="D8859" s="496"/>
    </row>
    <row r="8860" spans="1:4" x14ac:dyDescent="0.2">
      <c r="A8860" s="496"/>
      <c r="D8860" s="496"/>
    </row>
    <row r="8861" spans="1:4" x14ac:dyDescent="0.2">
      <c r="A8861" s="496"/>
      <c r="D8861" s="496"/>
    </row>
    <row r="8862" spans="1:4" x14ac:dyDescent="0.2">
      <c r="A8862" s="496"/>
      <c r="D8862" s="496"/>
    </row>
    <row r="8863" spans="1:4" x14ac:dyDescent="0.2">
      <c r="A8863" s="496"/>
      <c r="D8863" s="496"/>
    </row>
    <row r="8864" spans="1:4" x14ac:dyDescent="0.2">
      <c r="A8864" s="496"/>
      <c r="D8864" s="496"/>
    </row>
    <row r="8865" spans="1:4" x14ac:dyDescent="0.2">
      <c r="A8865" s="496"/>
      <c r="D8865" s="496"/>
    </row>
    <row r="8866" spans="1:4" x14ac:dyDescent="0.2">
      <c r="A8866" s="496"/>
      <c r="D8866" s="496"/>
    </row>
    <row r="8867" spans="1:4" x14ac:dyDescent="0.2">
      <c r="A8867" s="496"/>
      <c r="D8867" s="496"/>
    </row>
    <row r="8868" spans="1:4" x14ac:dyDescent="0.2">
      <c r="A8868" s="496"/>
      <c r="D8868" s="496"/>
    </row>
    <row r="8869" spans="1:4" x14ac:dyDescent="0.2">
      <c r="A8869" s="496"/>
      <c r="D8869" s="496"/>
    </row>
    <row r="8870" spans="1:4" x14ac:dyDescent="0.2">
      <c r="A8870" s="496"/>
      <c r="D8870" s="496"/>
    </row>
    <row r="8871" spans="1:4" x14ac:dyDescent="0.2">
      <c r="A8871" s="496"/>
      <c r="D8871" s="496"/>
    </row>
    <row r="8872" spans="1:4" x14ac:dyDescent="0.2">
      <c r="A8872" s="496"/>
      <c r="D8872" s="496"/>
    </row>
    <row r="8873" spans="1:4" x14ac:dyDescent="0.2">
      <c r="A8873" s="496"/>
      <c r="D8873" s="496"/>
    </row>
    <row r="8874" spans="1:4" x14ac:dyDescent="0.2">
      <c r="A8874" s="496"/>
      <c r="D8874" s="496"/>
    </row>
    <row r="8875" spans="1:4" x14ac:dyDescent="0.2">
      <c r="A8875" s="496"/>
      <c r="D8875" s="496"/>
    </row>
    <row r="8876" spans="1:4" x14ac:dyDescent="0.2">
      <c r="A8876" s="496"/>
      <c r="D8876" s="496"/>
    </row>
    <row r="8877" spans="1:4" x14ac:dyDescent="0.2">
      <c r="A8877" s="496"/>
      <c r="D8877" s="496"/>
    </row>
    <row r="8878" spans="1:4" x14ac:dyDescent="0.2">
      <c r="A8878" s="496"/>
      <c r="D8878" s="496"/>
    </row>
    <row r="8879" spans="1:4" x14ac:dyDescent="0.2">
      <c r="A8879" s="496"/>
      <c r="D8879" s="496"/>
    </row>
    <row r="8880" spans="1:4" x14ac:dyDescent="0.2">
      <c r="A8880" s="496"/>
      <c r="D8880" s="496"/>
    </row>
    <row r="8881" spans="1:4" x14ac:dyDescent="0.2">
      <c r="A8881" s="496"/>
      <c r="D8881" s="496"/>
    </row>
    <row r="8882" spans="1:4" x14ac:dyDescent="0.2">
      <c r="A8882" s="496"/>
      <c r="D8882" s="496"/>
    </row>
    <row r="8883" spans="1:4" x14ac:dyDescent="0.2">
      <c r="A8883" s="496"/>
      <c r="D8883" s="496"/>
    </row>
    <row r="8884" spans="1:4" x14ac:dyDescent="0.2">
      <c r="A8884" s="496"/>
      <c r="D8884" s="496"/>
    </row>
    <row r="8885" spans="1:4" x14ac:dyDescent="0.2">
      <c r="A8885" s="496"/>
      <c r="D8885" s="496"/>
    </row>
    <row r="8886" spans="1:4" x14ac:dyDescent="0.2">
      <c r="A8886" s="496"/>
      <c r="D8886" s="496"/>
    </row>
    <row r="8887" spans="1:4" x14ac:dyDescent="0.2">
      <c r="A8887" s="496"/>
      <c r="D8887" s="496"/>
    </row>
    <row r="8888" spans="1:4" x14ac:dyDescent="0.2">
      <c r="A8888" s="496"/>
      <c r="D8888" s="496"/>
    </row>
    <row r="8889" spans="1:4" x14ac:dyDescent="0.2">
      <c r="A8889" s="496"/>
      <c r="D8889" s="496"/>
    </row>
    <row r="8890" spans="1:4" x14ac:dyDescent="0.2">
      <c r="A8890" s="496"/>
      <c r="D8890" s="496"/>
    </row>
    <row r="8891" spans="1:4" x14ac:dyDescent="0.2">
      <c r="A8891" s="496"/>
      <c r="D8891" s="496"/>
    </row>
    <row r="8892" spans="1:4" x14ac:dyDescent="0.2">
      <c r="A8892" s="496"/>
      <c r="D8892" s="496"/>
    </row>
    <row r="8893" spans="1:4" x14ac:dyDescent="0.2">
      <c r="A8893" s="496"/>
      <c r="D8893" s="496"/>
    </row>
    <row r="8894" spans="1:4" x14ac:dyDescent="0.2">
      <c r="A8894" s="496"/>
      <c r="D8894" s="496"/>
    </row>
    <row r="8895" spans="1:4" x14ac:dyDescent="0.2">
      <c r="A8895" s="496"/>
      <c r="D8895" s="496"/>
    </row>
    <row r="8896" spans="1:4" x14ac:dyDescent="0.2">
      <c r="A8896" s="496"/>
      <c r="D8896" s="496"/>
    </row>
    <row r="8897" spans="1:4" x14ac:dyDescent="0.2">
      <c r="A8897" s="496"/>
      <c r="D8897" s="496"/>
    </row>
    <row r="8898" spans="1:4" x14ac:dyDescent="0.2">
      <c r="A8898" s="496"/>
      <c r="D8898" s="496"/>
    </row>
    <row r="8899" spans="1:4" x14ac:dyDescent="0.2">
      <c r="A8899" s="496"/>
      <c r="D8899" s="496"/>
    </row>
    <row r="8900" spans="1:4" x14ac:dyDescent="0.2">
      <c r="A8900" s="496"/>
      <c r="D8900" s="496"/>
    </row>
    <row r="8901" spans="1:4" x14ac:dyDescent="0.2">
      <c r="A8901" s="496"/>
      <c r="D8901" s="496"/>
    </row>
    <row r="8902" spans="1:4" x14ac:dyDescent="0.2">
      <c r="A8902" s="496"/>
      <c r="D8902" s="496"/>
    </row>
    <row r="8903" spans="1:4" x14ac:dyDescent="0.2">
      <c r="A8903" s="496"/>
      <c r="D8903" s="496"/>
    </row>
    <row r="8904" spans="1:4" x14ac:dyDescent="0.2">
      <c r="A8904" s="496"/>
      <c r="D8904" s="496"/>
    </row>
    <row r="8905" spans="1:4" x14ac:dyDescent="0.2">
      <c r="A8905" s="496"/>
      <c r="D8905" s="496"/>
    </row>
    <row r="8906" spans="1:4" x14ac:dyDescent="0.2">
      <c r="A8906" s="496"/>
      <c r="D8906" s="496"/>
    </row>
    <row r="8907" spans="1:4" x14ac:dyDescent="0.2">
      <c r="A8907" s="496"/>
      <c r="D8907" s="496"/>
    </row>
    <row r="8908" spans="1:4" x14ac:dyDescent="0.2">
      <c r="A8908" s="496"/>
      <c r="D8908" s="496"/>
    </row>
    <row r="8909" spans="1:4" x14ac:dyDescent="0.2">
      <c r="A8909" s="496"/>
      <c r="D8909" s="496"/>
    </row>
    <row r="8910" spans="1:4" x14ac:dyDescent="0.2">
      <c r="A8910" s="496"/>
      <c r="D8910" s="496"/>
    </row>
    <row r="8911" spans="1:4" x14ac:dyDescent="0.2">
      <c r="A8911" s="496"/>
      <c r="D8911" s="496"/>
    </row>
    <row r="8912" spans="1:4" x14ac:dyDescent="0.2">
      <c r="A8912" s="496"/>
      <c r="D8912" s="496"/>
    </row>
    <row r="8913" spans="1:4" x14ac:dyDescent="0.2">
      <c r="A8913" s="496"/>
      <c r="D8913" s="496"/>
    </row>
    <row r="8914" spans="1:4" x14ac:dyDescent="0.2">
      <c r="A8914" s="496"/>
      <c r="D8914" s="496"/>
    </row>
    <row r="8915" spans="1:4" x14ac:dyDescent="0.2">
      <c r="A8915" s="496"/>
      <c r="D8915" s="496"/>
    </row>
    <row r="8916" spans="1:4" x14ac:dyDescent="0.2">
      <c r="A8916" s="496"/>
      <c r="D8916" s="496"/>
    </row>
    <row r="8917" spans="1:4" x14ac:dyDescent="0.2">
      <c r="A8917" s="496"/>
      <c r="D8917" s="496"/>
    </row>
    <row r="8918" spans="1:4" x14ac:dyDescent="0.2">
      <c r="A8918" s="496"/>
      <c r="D8918" s="496"/>
    </row>
    <row r="8919" spans="1:4" x14ac:dyDescent="0.2">
      <c r="A8919" s="496"/>
      <c r="D8919" s="496"/>
    </row>
    <row r="8920" spans="1:4" x14ac:dyDescent="0.2">
      <c r="A8920" s="496"/>
      <c r="D8920" s="496"/>
    </row>
    <row r="8921" spans="1:4" x14ac:dyDescent="0.2">
      <c r="A8921" s="496"/>
      <c r="D8921" s="496"/>
    </row>
    <row r="8922" spans="1:4" x14ac:dyDescent="0.2">
      <c r="A8922" s="496"/>
      <c r="D8922" s="496"/>
    </row>
    <row r="8923" spans="1:4" x14ac:dyDescent="0.2">
      <c r="A8923" s="496"/>
      <c r="D8923" s="496"/>
    </row>
    <row r="8924" spans="1:4" x14ac:dyDescent="0.2">
      <c r="A8924" s="496"/>
      <c r="D8924" s="496"/>
    </row>
    <row r="8925" spans="1:4" x14ac:dyDescent="0.2">
      <c r="A8925" s="496"/>
      <c r="D8925" s="496"/>
    </row>
    <row r="8926" spans="1:4" x14ac:dyDescent="0.2">
      <c r="A8926" s="496"/>
      <c r="D8926" s="496"/>
    </row>
    <row r="8927" spans="1:4" x14ac:dyDescent="0.2">
      <c r="A8927" s="496"/>
      <c r="D8927" s="496"/>
    </row>
    <row r="8928" spans="1:4" x14ac:dyDescent="0.2">
      <c r="A8928" s="496"/>
      <c r="D8928" s="496"/>
    </row>
    <row r="8929" spans="1:4" x14ac:dyDescent="0.2">
      <c r="A8929" s="496"/>
      <c r="D8929" s="496"/>
    </row>
    <row r="8930" spans="1:4" x14ac:dyDescent="0.2">
      <c r="A8930" s="496"/>
      <c r="D8930" s="496"/>
    </row>
    <row r="8931" spans="1:4" x14ac:dyDescent="0.2">
      <c r="A8931" s="496"/>
      <c r="D8931" s="496"/>
    </row>
    <row r="8932" spans="1:4" x14ac:dyDescent="0.2">
      <c r="A8932" s="496"/>
      <c r="D8932" s="496"/>
    </row>
    <row r="8933" spans="1:4" x14ac:dyDescent="0.2">
      <c r="A8933" s="496"/>
      <c r="D8933" s="496"/>
    </row>
    <row r="8934" spans="1:4" x14ac:dyDescent="0.2">
      <c r="A8934" s="496"/>
      <c r="D8934" s="496"/>
    </row>
    <row r="8935" spans="1:4" x14ac:dyDescent="0.2">
      <c r="A8935" s="496"/>
      <c r="D8935" s="496"/>
    </row>
    <row r="8936" spans="1:4" x14ac:dyDescent="0.2">
      <c r="A8936" s="496"/>
      <c r="D8936" s="496"/>
    </row>
    <row r="8937" spans="1:4" x14ac:dyDescent="0.2">
      <c r="A8937" s="496"/>
      <c r="D8937" s="496"/>
    </row>
    <row r="8938" spans="1:4" x14ac:dyDescent="0.2">
      <c r="A8938" s="496"/>
      <c r="D8938" s="496"/>
    </row>
    <row r="8939" spans="1:4" x14ac:dyDescent="0.2">
      <c r="A8939" s="496"/>
      <c r="D8939" s="496"/>
    </row>
    <row r="8940" spans="1:4" x14ac:dyDescent="0.2">
      <c r="A8940" s="496"/>
      <c r="D8940" s="496"/>
    </row>
    <row r="8941" spans="1:4" x14ac:dyDescent="0.2">
      <c r="A8941" s="496"/>
      <c r="D8941" s="496"/>
    </row>
    <row r="8942" spans="1:4" x14ac:dyDescent="0.2">
      <c r="A8942" s="496"/>
      <c r="D8942" s="496"/>
    </row>
    <row r="8943" spans="1:4" x14ac:dyDescent="0.2">
      <c r="A8943" s="496"/>
      <c r="D8943" s="496"/>
    </row>
    <row r="8944" spans="1:4" x14ac:dyDescent="0.2">
      <c r="A8944" s="496"/>
      <c r="D8944" s="496"/>
    </row>
    <row r="8945" spans="1:4" x14ac:dyDescent="0.2">
      <c r="A8945" s="496"/>
      <c r="D8945" s="496"/>
    </row>
    <row r="8946" spans="1:4" x14ac:dyDescent="0.2">
      <c r="A8946" s="496"/>
      <c r="D8946" s="496"/>
    </row>
    <row r="8947" spans="1:4" x14ac:dyDescent="0.2">
      <c r="A8947" s="496"/>
      <c r="D8947" s="496"/>
    </row>
    <row r="8948" spans="1:4" x14ac:dyDescent="0.2">
      <c r="A8948" s="496"/>
      <c r="D8948" s="496"/>
    </row>
    <row r="8949" spans="1:4" x14ac:dyDescent="0.2">
      <c r="A8949" s="496"/>
      <c r="D8949" s="496"/>
    </row>
    <row r="8950" spans="1:4" x14ac:dyDescent="0.2">
      <c r="A8950" s="496"/>
      <c r="D8950" s="496"/>
    </row>
    <row r="8951" spans="1:4" x14ac:dyDescent="0.2">
      <c r="A8951" s="496"/>
      <c r="D8951" s="496"/>
    </row>
    <row r="8952" spans="1:4" x14ac:dyDescent="0.2">
      <c r="A8952" s="496"/>
      <c r="D8952" s="496"/>
    </row>
    <row r="8953" spans="1:4" x14ac:dyDescent="0.2">
      <c r="A8953" s="496"/>
      <c r="D8953" s="496"/>
    </row>
    <row r="8954" spans="1:4" x14ac:dyDescent="0.2">
      <c r="A8954" s="496"/>
      <c r="D8954" s="496"/>
    </row>
    <row r="8955" spans="1:4" x14ac:dyDescent="0.2">
      <c r="A8955" s="496"/>
      <c r="D8955" s="496"/>
    </row>
    <row r="8956" spans="1:4" x14ac:dyDescent="0.2">
      <c r="A8956" s="496"/>
      <c r="D8956" s="496"/>
    </row>
    <row r="8957" spans="1:4" x14ac:dyDescent="0.2">
      <c r="A8957" s="496"/>
      <c r="D8957" s="496"/>
    </row>
    <row r="8958" spans="1:4" x14ac:dyDescent="0.2">
      <c r="A8958" s="496"/>
      <c r="D8958" s="496"/>
    </row>
    <row r="8959" spans="1:4" x14ac:dyDescent="0.2">
      <c r="A8959" s="496"/>
      <c r="D8959" s="496"/>
    </row>
    <row r="8960" spans="1:4" x14ac:dyDescent="0.2">
      <c r="A8960" s="496"/>
      <c r="D8960" s="496"/>
    </row>
    <row r="8961" spans="1:4" x14ac:dyDescent="0.2">
      <c r="A8961" s="496"/>
      <c r="D8961" s="496"/>
    </row>
    <row r="8962" spans="1:4" x14ac:dyDescent="0.2">
      <c r="A8962" s="496"/>
      <c r="D8962" s="496"/>
    </row>
    <row r="8963" spans="1:4" x14ac:dyDescent="0.2">
      <c r="A8963" s="496"/>
      <c r="D8963" s="496"/>
    </row>
    <row r="8964" spans="1:4" x14ac:dyDescent="0.2">
      <c r="A8964" s="496"/>
      <c r="D8964" s="496"/>
    </row>
    <row r="8965" spans="1:4" x14ac:dyDescent="0.2">
      <c r="A8965" s="496"/>
      <c r="D8965" s="496"/>
    </row>
    <row r="8966" spans="1:4" x14ac:dyDescent="0.2">
      <c r="A8966" s="496"/>
      <c r="D8966" s="496"/>
    </row>
    <row r="8967" spans="1:4" x14ac:dyDescent="0.2">
      <c r="A8967" s="496"/>
      <c r="D8967" s="496"/>
    </row>
    <row r="8968" spans="1:4" x14ac:dyDescent="0.2">
      <c r="A8968" s="496"/>
      <c r="D8968" s="496"/>
    </row>
    <row r="8969" spans="1:4" x14ac:dyDescent="0.2">
      <c r="A8969" s="496"/>
      <c r="D8969" s="496"/>
    </row>
    <row r="8970" spans="1:4" x14ac:dyDescent="0.2">
      <c r="A8970" s="496"/>
      <c r="D8970" s="496"/>
    </row>
    <row r="8971" spans="1:4" x14ac:dyDescent="0.2">
      <c r="A8971" s="496"/>
      <c r="D8971" s="496"/>
    </row>
    <row r="8972" spans="1:4" x14ac:dyDescent="0.2">
      <c r="A8972" s="496"/>
      <c r="D8972" s="496"/>
    </row>
    <row r="8973" spans="1:4" x14ac:dyDescent="0.2">
      <c r="A8973" s="496"/>
      <c r="D8973" s="496"/>
    </row>
    <row r="8974" spans="1:4" x14ac:dyDescent="0.2">
      <c r="A8974" s="496"/>
      <c r="D8974" s="496"/>
    </row>
    <row r="8975" spans="1:4" x14ac:dyDescent="0.2">
      <c r="A8975" s="496"/>
      <c r="D8975" s="496"/>
    </row>
    <row r="8976" spans="1:4" x14ac:dyDescent="0.2">
      <c r="A8976" s="496"/>
      <c r="D8976" s="496"/>
    </row>
    <row r="8977" spans="1:4" x14ac:dyDescent="0.2">
      <c r="A8977" s="496"/>
      <c r="D8977" s="496"/>
    </row>
    <row r="8978" spans="1:4" x14ac:dyDescent="0.2">
      <c r="A8978" s="496"/>
      <c r="D8978" s="496"/>
    </row>
    <row r="8979" spans="1:4" x14ac:dyDescent="0.2">
      <c r="A8979" s="496"/>
      <c r="D8979" s="496"/>
    </row>
    <row r="8980" spans="1:4" x14ac:dyDescent="0.2">
      <c r="A8980" s="496"/>
      <c r="D8980" s="496"/>
    </row>
    <row r="8981" spans="1:4" x14ac:dyDescent="0.2">
      <c r="A8981" s="496"/>
      <c r="D8981" s="496"/>
    </row>
    <row r="8982" spans="1:4" x14ac:dyDescent="0.2">
      <c r="A8982" s="496"/>
      <c r="D8982" s="496"/>
    </row>
    <row r="8983" spans="1:4" x14ac:dyDescent="0.2">
      <c r="A8983" s="496"/>
      <c r="D8983" s="496"/>
    </row>
    <row r="8984" spans="1:4" x14ac:dyDescent="0.2">
      <c r="A8984" s="496"/>
      <c r="D8984" s="496"/>
    </row>
    <row r="8985" spans="1:4" x14ac:dyDescent="0.2">
      <c r="A8985" s="496"/>
      <c r="D8985" s="496"/>
    </row>
    <row r="8986" spans="1:4" x14ac:dyDescent="0.2">
      <c r="A8986" s="496"/>
      <c r="D8986" s="496"/>
    </row>
    <row r="8987" spans="1:4" x14ac:dyDescent="0.2">
      <c r="A8987" s="496"/>
      <c r="D8987" s="496"/>
    </row>
    <row r="8988" spans="1:4" x14ac:dyDescent="0.2">
      <c r="A8988" s="496"/>
      <c r="D8988" s="496"/>
    </row>
    <row r="8989" spans="1:4" x14ac:dyDescent="0.2">
      <c r="A8989" s="496"/>
      <c r="D8989" s="496"/>
    </row>
    <row r="8990" spans="1:4" x14ac:dyDescent="0.2">
      <c r="A8990" s="496"/>
      <c r="D8990" s="496"/>
    </row>
    <row r="8991" spans="1:4" x14ac:dyDescent="0.2">
      <c r="A8991" s="496"/>
      <c r="D8991" s="496"/>
    </row>
    <row r="8992" spans="1:4" x14ac:dyDescent="0.2">
      <c r="A8992" s="496"/>
      <c r="D8992" s="496"/>
    </row>
    <row r="8993" spans="1:4" x14ac:dyDescent="0.2">
      <c r="A8993" s="496"/>
      <c r="D8993" s="496"/>
    </row>
    <row r="8994" spans="1:4" x14ac:dyDescent="0.2">
      <c r="A8994" s="496"/>
      <c r="D8994" s="496"/>
    </row>
    <row r="8995" spans="1:4" x14ac:dyDescent="0.2">
      <c r="A8995" s="496"/>
      <c r="D8995" s="496"/>
    </row>
    <row r="8996" spans="1:4" x14ac:dyDescent="0.2">
      <c r="A8996" s="496"/>
      <c r="D8996" s="496"/>
    </row>
    <row r="8997" spans="1:4" x14ac:dyDescent="0.2">
      <c r="A8997" s="496"/>
      <c r="D8997" s="496"/>
    </row>
    <row r="8998" spans="1:4" x14ac:dyDescent="0.2">
      <c r="A8998" s="496"/>
      <c r="D8998" s="496"/>
    </row>
    <row r="8999" spans="1:4" x14ac:dyDescent="0.2">
      <c r="A8999" s="496"/>
      <c r="D8999" s="496"/>
    </row>
    <row r="9000" spans="1:4" x14ac:dyDescent="0.2">
      <c r="A9000" s="496"/>
      <c r="D9000" s="496"/>
    </row>
    <row r="9001" spans="1:4" x14ac:dyDescent="0.2">
      <c r="A9001" s="496"/>
      <c r="D9001" s="496"/>
    </row>
    <row r="9002" spans="1:4" x14ac:dyDescent="0.2">
      <c r="A9002" s="496"/>
      <c r="D9002" s="496"/>
    </row>
    <row r="9003" spans="1:4" x14ac:dyDescent="0.2">
      <c r="A9003" s="496"/>
      <c r="D9003" s="496"/>
    </row>
    <row r="9004" spans="1:4" x14ac:dyDescent="0.2">
      <c r="A9004" s="496"/>
      <c r="D9004" s="496"/>
    </row>
    <row r="9005" spans="1:4" x14ac:dyDescent="0.2">
      <c r="A9005" s="496"/>
      <c r="D9005" s="496"/>
    </row>
    <row r="9006" spans="1:4" x14ac:dyDescent="0.2">
      <c r="A9006" s="496"/>
      <c r="D9006" s="496"/>
    </row>
    <row r="9007" spans="1:4" x14ac:dyDescent="0.2">
      <c r="A9007" s="496"/>
      <c r="D9007" s="496"/>
    </row>
    <row r="9008" spans="1:4" x14ac:dyDescent="0.2">
      <c r="A9008" s="496"/>
      <c r="D9008" s="496"/>
    </row>
    <row r="9009" spans="1:4" x14ac:dyDescent="0.2">
      <c r="A9009" s="496"/>
      <c r="D9009" s="496"/>
    </row>
    <row r="9010" spans="1:4" x14ac:dyDescent="0.2">
      <c r="A9010" s="496"/>
      <c r="D9010" s="496"/>
    </row>
    <row r="9011" spans="1:4" x14ac:dyDescent="0.2">
      <c r="A9011" s="496"/>
      <c r="D9011" s="496"/>
    </row>
    <row r="9012" spans="1:4" x14ac:dyDescent="0.2">
      <c r="A9012" s="496"/>
      <c r="D9012" s="496"/>
    </row>
    <row r="9013" spans="1:4" x14ac:dyDescent="0.2">
      <c r="A9013" s="496"/>
      <c r="D9013" s="496"/>
    </row>
    <row r="9014" spans="1:4" x14ac:dyDescent="0.2">
      <c r="A9014" s="496"/>
      <c r="D9014" s="496"/>
    </row>
    <row r="9015" spans="1:4" x14ac:dyDescent="0.2">
      <c r="A9015" s="496"/>
      <c r="D9015" s="496"/>
    </row>
    <row r="9016" spans="1:4" x14ac:dyDescent="0.2">
      <c r="A9016" s="496"/>
      <c r="D9016" s="496"/>
    </row>
    <row r="9017" spans="1:4" x14ac:dyDescent="0.2">
      <c r="A9017" s="496"/>
      <c r="D9017" s="496"/>
    </row>
    <row r="9018" spans="1:4" x14ac:dyDescent="0.2">
      <c r="A9018" s="496"/>
      <c r="D9018" s="496"/>
    </row>
    <row r="9019" spans="1:4" x14ac:dyDescent="0.2">
      <c r="A9019" s="496"/>
      <c r="D9019" s="496"/>
    </row>
    <row r="9020" spans="1:4" x14ac:dyDescent="0.2">
      <c r="A9020" s="496"/>
      <c r="D9020" s="496"/>
    </row>
    <row r="9021" spans="1:4" x14ac:dyDescent="0.2">
      <c r="A9021" s="496"/>
      <c r="D9021" s="496"/>
    </row>
    <row r="9022" spans="1:4" x14ac:dyDescent="0.2">
      <c r="A9022" s="496"/>
      <c r="D9022" s="496"/>
    </row>
    <row r="9023" spans="1:4" x14ac:dyDescent="0.2">
      <c r="A9023" s="496"/>
      <c r="D9023" s="496"/>
    </row>
    <row r="9024" spans="1:4" x14ac:dyDescent="0.2">
      <c r="A9024" s="496"/>
      <c r="D9024" s="496"/>
    </row>
    <row r="9025" spans="1:4" x14ac:dyDescent="0.2">
      <c r="A9025" s="496"/>
      <c r="D9025" s="496"/>
    </row>
    <row r="9026" spans="1:4" x14ac:dyDescent="0.2">
      <c r="A9026" s="496"/>
      <c r="D9026" s="496"/>
    </row>
    <row r="9027" spans="1:4" x14ac:dyDescent="0.2">
      <c r="A9027" s="496"/>
      <c r="D9027" s="496"/>
    </row>
    <row r="9028" spans="1:4" x14ac:dyDescent="0.2">
      <c r="A9028" s="496"/>
      <c r="D9028" s="496"/>
    </row>
    <row r="9029" spans="1:4" x14ac:dyDescent="0.2">
      <c r="A9029" s="496"/>
      <c r="D9029" s="496"/>
    </row>
    <row r="9030" spans="1:4" x14ac:dyDescent="0.2">
      <c r="A9030" s="496"/>
      <c r="D9030" s="496"/>
    </row>
    <row r="9031" spans="1:4" x14ac:dyDescent="0.2">
      <c r="A9031" s="496"/>
      <c r="D9031" s="496"/>
    </row>
    <row r="9032" spans="1:4" x14ac:dyDescent="0.2">
      <c r="A9032" s="496"/>
      <c r="D9032" s="496"/>
    </row>
    <row r="9033" spans="1:4" x14ac:dyDescent="0.2">
      <c r="A9033" s="496"/>
      <c r="D9033" s="496"/>
    </row>
    <row r="9034" spans="1:4" x14ac:dyDescent="0.2">
      <c r="A9034" s="496"/>
      <c r="D9034" s="496"/>
    </row>
    <row r="9035" spans="1:4" x14ac:dyDescent="0.2">
      <c r="A9035" s="496"/>
      <c r="D9035" s="496"/>
    </row>
    <row r="9036" spans="1:4" x14ac:dyDescent="0.2">
      <c r="A9036" s="496"/>
      <c r="D9036" s="496"/>
    </row>
    <row r="9037" spans="1:4" x14ac:dyDescent="0.2">
      <c r="A9037" s="496"/>
      <c r="D9037" s="496"/>
    </row>
    <row r="9038" spans="1:4" x14ac:dyDescent="0.2">
      <c r="A9038" s="496"/>
      <c r="D9038" s="496"/>
    </row>
    <row r="9039" spans="1:4" x14ac:dyDescent="0.2">
      <c r="A9039" s="496"/>
      <c r="D9039" s="496"/>
    </row>
    <row r="9040" spans="1:4" x14ac:dyDescent="0.2">
      <c r="A9040" s="496"/>
      <c r="D9040" s="496"/>
    </row>
    <row r="9041" spans="1:4" x14ac:dyDescent="0.2">
      <c r="A9041" s="496"/>
      <c r="D9041" s="496"/>
    </row>
    <row r="9042" spans="1:4" x14ac:dyDescent="0.2">
      <c r="A9042" s="496"/>
      <c r="D9042" s="496"/>
    </row>
    <row r="9043" spans="1:4" x14ac:dyDescent="0.2">
      <c r="A9043" s="496"/>
      <c r="D9043" s="496"/>
    </row>
    <row r="9044" spans="1:4" x14ac:dyDescent="0.2">
      <c r="A9044" s="496"/>
      <c r="D9044" s="496"/>
    </row>
    <row r="9045" spans="1:4" x14ac:dyDescent="0.2">
      <c r="A9045" s="496"/>
      <c r="D9045" s="496"/>
    </row>
    <row r="9046" spans="1:4" x14ac:dyDescent="0.2">
      <c r="A9046" s="496"/>
      <c r="D9046" s="496"/>
    </row>
    <row r="9047" spans="1:4" x14ac:dyDescent="0.2">
      <c r="A9047" s="496"/>
      <c r="D9047" s="496"/>
    </row>
    <row r="9048" spans="1:4" x14ac:dyDescent="0.2">
      <c r="A9048" s="496"/>
      <c r="D9048" s="496"/>
    </row>
    <row r="9049" spans="1:4" x14ac:dyDescent="0.2">
      <c r="A9049" s="496"/>
      <c r="D9049" s="496"/>
    </row>
    <row r="9050" spans="1:4" x14ac:dyDescent="0.2">
      <c r="A9050" s="496"/>
      <c r="D9050" s="496"/>
    </row>
    <row r="9051" spans="1:4" x14ac:dyDescent="0.2">
      <c r="A9051" s="496"/>
      <c r="D9051" s="496"/>
    </row>
    <row r="9052" spans="1:4" x14ac:dyDescent="0.2">
      <c r="A9052" s="496"/>
      <c r="D9052" s="496"/>
    </row>
    <row r="9053" spans="1:4" x14ac:dyDescent="0.2">
      <c r="A9053" s="496"/>
      <c r="D9053" s="496"/>
    </row>
    <row r="9054" spans="1:4" x14ac:dyDescent="0.2">
      <c r="A9054" s="496"/>
      <c r="D9054" s="496"/>
    </row>
    <row r="9055" spans="1:4" x14ac:dyDescent="0.2">
      <c r="A9055" s="496"/>
      <c r="D9055" s="496"/>
    </row>
    <row r="9056" spans="1:4" x14ac:dyDescent="0.2">
      <c r="A9056" s="496"/>
      <c r="D9056" s="496"/>
    </row>
    <row r="9057" spans="1:4" x14ac:dyDescent="0.2">
      <c r="A9057" s="496"/>
      <c r="D9057" s="496"/>
    </row>
    <row r="9058" spans="1:4" x14ac:dyDescent="0.2">
      <c r="A9058" s="496"/>
      <c r="D9058" s="496"/>
    </row>
    <row r="9059" spans="1:4" x14ac:dyDescent="0.2">
      <c r="A9059" s="496"/>
      <c r="D9059" s="496"/>
    </row>
    <row r="9060" spans="1:4" x14ac:dyDescent="0.2">
      <c r="A9060" s="496"/>
      <c r="D9060" s="496"/>
    </row>
    <row r="9061" spans="1:4" x14ac:dyDescent="0.2">
      <c r="A9061" s="496"/>
      <c r="D9061" s="496"/>
    </row>
    <row r="9062" spans="1:4" x14ac:dyDescent="0.2">
      <c r="A9062" s="496"/>
      <c r="D9062" s="496"/>
    </row>
    <row r="9063" spans="1:4" x14ac:dyDescent="0.2">
      <c r="A9063" s="496"/>
      <c r="D9063" s="496"/>
    </row>
    <row r="9064" spans="1:4" x14ac:dyDescent="0.2">
      <c r="A9064" s="496"/>
      <c r="D9064" s="496"/>
    </row>
    <row r="9065" spans="1:4" x14ac:dyDescent="0.2">
      <c r="A9065" s="496"/>
      <c r="D9065" s="496"/>
    </row>
    <row r="9066" spans="1:4" x14ac:dyDescent="0.2">
      <c r="A9066" s="496"/>
      <c r="D9066" s="496"/>
    </row>
    <row r="9067" spans="1:4" x14ac:dyDescent="0.2">
      <c r="A9067" s="496"/>
      <c r="D9067" s="496"/>
    </row>
    <row r="9068" spans="1:4" x14ac:dyDescent="0.2">
      <c r="A9068" s="496"/>
      <c r="D9068" s="496"/>
    </row>
    <row r="9069" spans="1:4" x14ac:dyDescent="0.2">
      <c r="A9069" s="496"/>
      <c r="D9069" s="496"/>
    </row>
    <row r="9070" spans="1:4" x14ac:dyDescent="0.2">
      <c r="A9070" s="496"/>
      <c r="D9070" s="496"/>
    </row>
    <row r="9071" spans="1:4" x14ac:dyDescent="0.2">
      <c r="A9071" s="496"/>
      <c r="D9071" s="496"/>
    </row>
    <row r="9072" spans="1:4" x14ac:dyDescent="0.2">
      <c r="A9072" s="496"/>
      <c r="D9072" s="496"/>
    </row>
    <row r="9073" spans="1:4" x14ac:dyDescent="0.2">
      <c r="A9073" s="496"/>
      <c r="D9073" s="496"/>
    </row>
    <row r="9074" spans="1:4" x14ac:dyDescent="0.2">
      <c r="A9074" s="496"/>
      <c r="D9074" s="496"/>
    </row>
    <row r="9075" spans="1:4" x14ac:dyDescent="0.2">
      <c r="A9075" s="496"/>
      <c r="D9075" s="496"/>
    </row>
    <row r="9076" spans="1:4" x14ac:dyDescent="0.2">
      <c r="A9076" s="496"/>
      <c r="D9076" s="496"/>
    </row>
    <row r="9077" spans="1:4" x14ac:dyDescent="0.2">
      <c r="A9077" s="496"/>
      <c r="D9077" s="496"/>
    </row>
    <row r="9078" spans="1:4" x14ac:dyDescent="0.2">
      <c r="A9078" s="496"/>
      <c r="D9078" s="496"/>
    </row>
    <row r="9079" spans="1:4" x14ac:dyDescent="0.2">
      <c r="A9079" s="496"/>
      <c r="D9079" s="496"/>
    </row>
    <row r="9080" spans="1:4" x14ac:dyDescent="0.2">
      <c r="A9080" s="496"/>
      <c r="D9080" s="496"/>
    </row>
    <row r="9081" spans="1:4" x14ac:dyDescent="0.2">
      <c r="A9081" s="496"/>
      <c r="D9081" s="496"/>
    </row>
    <row r="9082" spans="1:4" x14ac:dyDescent="0.2">
      <c r="A9082" s="496"/>
      <c r="D9082" s="496"/>
    </row>
    <row r="9083" spans="1:4" x14ac:dyDescent="0.2">
      <c r="A9083" s="496"/>
      <c r="D9083" s="496"/>
    </row>
    <row r="9084" spans="1:4" x14ac:dyDescent="0.2">
      <c r="A9084" s="496"/>
      <c r="D9084" s="496"/>
    </row>
    <row r="9085" spans="1:4" x14ac:dyDescent="0.2">
      <c r="A9085" s="496"/>
      <c r="D9085" s="496"/>
    </row>
    <row r="9086" spans="1:4" x14ac:dyDescent="0.2">
      <c r="A9086" s="496"/>
      <c r="D9086" s="496"/>
    </row>
    <row r="9087" spans="1:4" x14ac:dyDescent="0.2">
      <c r="A9087" s="496"/>
      <c r="D9087" s="496"/>
    </row>
    <row r="9088" spans="1:4" x14ac:dyDescent="0.2">
      <c r="A9088" s="496"/>
      <c r="D9088" s="496"/>
    </row>
    <row r="9089" spans="1:4" x14ac:dyDescent="0.2">
      <c r="A9089" s="496"/>
      <c r="D9089" s="496"/>
    </row>
    <row r="9090" spans="1:4" x14ac:dyDescent="0.2">
      <c r="A9090" s="496"/>
      <c r="D9090" s="496"/>
    </row>
    <row r="9091" spans="1:4" x14ac:dyDescent="0.2">
      <c r="A9091" s="496"/>
      <c r="D9091" s="496"/>
    </row>
    <row r="9092" spans="1:4" x14ac:dyDescent="0.2">
      <c r="A9092" s="496"/>
      <c r="D9092" s="496"/>
    </row>
    <row r="9093" spans="1:4" x14ac:dyDescent="0.2">
      <c r="A9093" s="496"/>
      <c r="D9093" s="496"/>
    </row>
    <row r="9094" spans="1:4" x14ac:dyDescent="0.2">
      <c r="A9094" s="496"/>
      <c r="D9094" s="496"/>
    </row>
    <row r="9095" spans="1:4" x14ac:dyDescent="0.2">
      <c r="A9095" s="496"/>
      <c r="D9095" s="496"/>
    </row>
    <row r="9096" spans="1:4" x14ac:dyDescent="0.2">
      <c r="A9096" s="496"/>
      <c r="D9096" s="496"/>
    </row>
    <row r="9097" spans="1:4" x14ac:dyDescent="0.2">
      <c r="A9097" s="496"/>
      <c r="D9097" s="496"/>
    </row>
    <row r="9098" spans="1:4" x14ac:dyDescent="0.2">
      <c r="A9098" s="496"/>
      <c r="D9098" s="496"/>
    </row>
    <row r="9099" spans="1:4" x14ac:dyDescent="0.2">
      <c r="A9099" s="496"/>
      <c r="D9099" s="496"/>
    </row>
    <row r="9100" spans="1:4" x14ac:dyDescent="0.2">
      <c r="A9100" s="496"/>
      <c r="D9100" s="496"/>
    </row>
    <row r="9101" spans="1:4" x14ac:dyDescent="0.2">
      <c r="A9101" s="496"/>
      <c r="D9101" s="496"/>
    </row>
    <row r="9102" spans="1:4" x14ac:dyDescent="0.2">
      <c r="A9102" s="496"/>
      <c r="D9102" s="496"/>
    </row>
    <row r="9103" spans="1:4" x14ac:dyDescent="0.2">
      <c r="A9103" s="496"/>
      <c r="D9103" s="496"/>
    </row>
    <row r="9104" spans="1:4" x14ac:dyDescent="0.2">
      <c r="A9104" s="496"/>
      <c r="D9104" s="496"/>
    </row>
    <row r="9105" spans="1:4" x14ac:dyDescent="0.2">
      <c r="A9105" s="496"/>
      <c r="D9105" s="496"/>
    </row>
    <row r="9106" spans="1:4" x14ac:dyDescent="0.2">
      <c r="A9106" s="496"/>
      <c r="D9106" s="496"/>
    </row>
    <row r="9107" spans="1:4" x14ac:dyDescent="0.2">
      <c r="A9107" s="496"/>
      <c r="D9107" s="496"/>
    </row>
    <row r="9108" spans="1:4" x14ac:dyDescent="0.2">
      <c r="A9108" s="496"/>
      <c r="D9108" s="496"/>
    </row>
    <row r="9109" spans="1:4" x14ac:dyDescent="0.2">
      <c r="A9109" s="496"/>
      <c r="D9109" s="496"/>
    </row>
    <row r="9110" spans="1:4" x14ac:dyDescent="0.2">
      <c r="A9110" s="496"/>
      <c r="D9110" s="496"/>
    </row>
    <row r="9111" spans="1:4" x14ac:dyDescent="0.2">
      <c r="A9111" s="496"/>
      <c r="D9111" s="496"/>
    </row>
    <row r="9112" spans="1:4" x14ac:dyDescent="0.2">
      <c r="A9112" s="496"/>
      <c r="D9112" s="496"/>
    </row>
    <row r="9113" spans="1:4" x14ac:dyDescent="0.2">
      <c r="A9113" s="496"/>
      <c r="D9113" s="496"/>
    </row>
    <row r="9114" spans="1:4" x14ac:dyDescent="0.2">
      <c r="A9114" s="496"/>
      <c r="D9114" s="496"/>
    </row>
    <row r="9115" spans="1:4" x14ac:dyDescent="0.2">
      <c r="A9115" s="496"/>
      <c r="D9115" s="496"/>
    </row>
    <row r="9116" spans="1:4" x14ac:dyDescent="0.2">
      <c r="A9116" s="496"/>
      <c r="D9116" s="496"/>
    </row>
    <row r="9117" spans="1:4" x14ac:dyDescent="0.2">
      <c r="A9117" s="496"/>
      <c r="D9117" s="496"/>
    </row>
    <row r="9118" spans="1:4" x14ac:dyDescent="0.2">
      <c r="A9118" s="496"/>
      <c r="D9118" s="496"/>
    </row>
    <row r="9119" spans="1:4" x14ac:dyDescent="0.2">
      <c r="A9119" s="496"/>
      <c r="D9119" s="496"/>
    </row>
    <row r="9120" spans="1:4" x14ac:dyDescent="0.2">
      <c r="A9120" s="496"/>
      <c r="D9120" s="496"/>
    </row>
    <row r="9121" spans="1:4" x14ac:dyDescent="0.2">
      <c r="A9121" s="496"/>
      <c r="D9121" s="496"/>
    </row>
    <row r="9122" spans="1:4" x14ac:dyDescent="0.2">
      <c r="A9122" s="496"/>
      <c r="D9122" s="496"/>
    </row>
    <row r="9123" spans="1:4" x14ac:dyDescent="0.2">
      <c r="A9123" s="496"/>
      <c r="D9123" s="496"/>
    </row>
    <row r="9124" spans="1:4" x14ac:dyDescent="0.2">
      <c r="A9124" s="496"/>
      <c r="D9124" s="496"/>
    </row>
    <row r="9125" spans="1:4" x14ac:dyDescent="0.2">
      <c r="A9125" s="496"/>
      <c r="D9125" s="496"/>
    </row>
    <row r="9126" spans="1:4" x14ac:dyDescent="0.2">
      <c r="A9126" s="496"/>
      <c r="D9126" s="496"/>
    </row>
    <row r="9127" spans="1:4" x14ac:dyDescent="0.2">
      <c r="A9127" s="496"/>
      <c r="D9127" s="496"/>
    </row>
    <row r="9128" spans="1:4" x14ac:dyDescent="0.2">
      <c r="A9128" s="496"/>
      <c r="D9128" s="496"/>
    </row>
    <row r="9129" spans="1:4" x14ac:dyDescent="0.2">
      <c r="A9129" s="496"/>
      <c r="D9129" s="496"/>
    </row>
    <row r="9130" spans="1:4" x14ac:dyDescent="0.2">
      <c r="A9130" s="496"/>
      <c r="D9130" s="496"/>
    </row>
    <row r="9131" spans="1:4" x14ac:dyDescent="0.2">
      <c r="A9131" s="496"/>
      <c r="D9131" s="496"/>
    </row>
    <row r="9132" spans="1:4" x14ac:dyDescent="0.2">
      <c r="A9132" s="496"/>
      <c r="D9132" s="496"/>
    </row>
    <row r="9133" spans="1:4" x14ac:dyDescent="0.2">
      <c r="A9133" s="496"/>
      <c r="D9133" s="496"/>
    </row>
    <row r="9134" spans="1:4" x14ac:dyDescent="0.2">
      <c r="A9134" s="496"/>
      <c r="D9134" s="496"/>
    </row>
    <row r="9135" spans="1:4" x14ac:dyDescent="0.2">
      <c r="A9135" s="496"/>
      <c r="D9135" s="496"/>
    </row>
    <row r="9136" spans="1:4" x14ac:dyDescent="0.2">
      <c r="A9136" s="496"/>
      <c r="D9136" s="496"/>
    </row>
    <row r="9137" spans="1:4" x14ac:dyDescent="0.2">
      <c r="A9137" s="496"/>
      <c r="D9137" s="496"/>
    </row>
    <row r="9138" spans="1:4" x14ac:dyDescent="0.2">
      <c r="A9138" s="496"/>
      <c r="D9138" s="496"/>
    </row>
    <row r="9139" spans="1:4" x14ac:dyDescent="0.2">
      <c r="A9139" s="496"/>
      <c r="D9139" s="496"/>
    </row>
    <row r="9140" spans="1:4" x14ac:dyDescent="0.2">
      <c r="A9140" s="496"/>
      <c r="D9140" s="496"/>
    </row>
    <row r="9141" spans="1:4" x14ac:dyDescent="0.2">
      <c r="A9141" s="496"/>
      <c r="D9141" s="496"/>
    </row>
    <row r="9142" spans="1:4" x14ac:dyDescent="0.2">
      <c r="A9142" s="496"/>
      <c r="D9142" s="496"/>
    </row>
    <row r="9143" spans="1:4" x14ac:dyDescent="0.2">
      <c r="A9143" s="496"/>
      <c r="D9143" s="496"/>
    </row>
    <row r="9144" spans="1:4" x14ac:dyDescent="0.2">
      <c r="A9144" s="496"/>
      <c r="D9144" s="496"/>
    </row>
    <row r="9145" spans="1:4" x14ac:dyDescent="0.2">
      <c r="A9145" s="496"/>
      <c r="D9145" s="496"/>
    </row>
    <row r="9146" spans="1:4" x14ac:dyDescent="0.2">
      <c r="A9146" s="496"/>
      <c r="D9146" s="496"/>
    </row>
    <row r="9147" spans="1:4" x14ac:dyDescent="0.2">
      <c r="A9147" s="496"/>
      <c r="D9147" s="496"/>
    </row>
    <row r="9148" spans="1:4" x14ac:dyDescent="0.2">
      <c r="A9148" s="496"/>
      <c r="D9148" s="496"/>
    </row>
    <row r="9149" spans="1:4" x14ac:dyDescent="0.2">
      <c r="A9149" s="496"/>
      <c r="D9149" s="496"/>
    </row>
    <row r="9150" spans="1:4" x14ac:dyDescent="0.2">
      <c r="A9150" s="496"/>
      <c r="D9150" s="496"/>
    </row>
    <row r="9151" spans="1:4" x14ac:dyDescent="0.2">
      <c r="A9151" s="496"/>
      <c r="D9151" s="496"/>
    </row>
    <row r="9152" spans="1:4" x14ac:dyDescent="0.2">
      <c r="A9152" s="496"/>
      <c r="D9152" s="496"/>
    </row>
    <row r="9153" spans="1:4" x14ac:dyDescent="0.2">
      <c r="A9153" s="496"/>
      <c r="D9153" s="496"/>
    </row>
    <row r="9154" spans="1:4" x14ac:dyDescent="0.2">
      <c r="A9154" s="496"/>
      <c r="D9154" s="496"/>
    </row>
    <row r="9155" spans="1:4" x14ac:dyDescent="0.2">
      <c r="A9155" s="496"/>
      <c r="D9155" s="496"/>
    </row>
    <row r="9156" spans="1:4" x14ac:dyDescent="0.2">
      <c r="A9156" s="496"/>
      <c r="D9156" s="496"/>
    </row>
    <row r="9157" spans="1:4" x14ac:dyDescent="0.2">
      <c r="A9157" s="496"/>
      <c r="D9157" s="496"/>
    </row>
    <row r="9158" spans="1:4" x14ac:dyDescent="0.2">
      <c r="A9158" s="496"/>
      <c r="D9158" s="496"/>
    </row>
    <row r="9159" spans="1:4" x14ac:dyDescent="0.2">
      <c r="A9159" s="496"/>
      <c r="D9159" s="496"/>
    </row>
    <row r="9160" spans="1:4" x14ac:dyDescent="0.2">
      <c r="A9160" s="496"/>
      <c r="D9160" s="496"/>
    </row>
    <row r="9161" spans="1:4" x14ac:dyDescent="0.2">
      <c r="A9161" s="496"/>
      <c r="D9161" s="496"/>
    </row>
    <row r="9162" spans="1:4" x14ac:dyDescent="0.2">
      <c r="A9162" s="496"/>
      <c r="D9162" s="496"/>
    </row>
    <row r="9163" spans="1:4" x14ac:dyDescent="0.2">
      <c r="A9163" s="496"/>
      <c r="D9163" s="496"/>
    </row>
    <row r="9164" spans="1:4" x14ac:dyDescent="0.2">
      <c r="A9164" s="496"/>
      <c r="D9164" s="496"/>
    </row>
    <row r="9165" spans="1:4" x14ac:dyDescent="0.2">
      <c r="A9165" s="496"/>
      <c r="D9165" s="496"/>
    </row>
    <row r="9166" spans="1:4" x14ac:dyDescent="0.2">
      <c r="A9166" s="496"/>
      <c r="D9166" s="496"/>
    </row>
    <row r="9167" spans="1:4" x14ac:dyDescent="0.2">
      <c r="A9167" s="496"/>
      <c r="D9167" s="496"/>
    </row>
    <row r="9168" spans="1:4" x14ac:dyDescent="0.2">
      <c r="A9168" s="496"/>
      <c r="D9168" s="496"/>
    </row>
    <row r="9169" spans="1:4" x14ac:dyDescent="0.2">
      <c r="A9169" s="496"/>
      <c r="D9169" s="496"/>
    </row>
    <row r="9170" spans="1:4" x14ac:dyDescent="0.2">
      <c r="A9170" s="496"/>
      <c r="D9170" s="496"/>
    </row>
    <row r="9171" spans="1:4" x14ac:dyDescent="0.2">
      <c r="A9171" s="496"/>
      <c r="D9171" s="496"/>
    </row>
    <row r="9172" spans="1:4" x14ac:dyDescent="0.2">
      <c r="A9172" s="496"/>
      <c r="D9172" s="496"/>
    </row>
    <row r="9173" spans="1:4" x14ac:dyDescent="0.2">
      <c r="A9173" s="496"/>
      <c r="D9173" s="496"/>
    </row>
    <row r="9174" spans="1:4" x14ac:dyDescent="0.2">
      <c r="A9174" s="496"/>
      <c r="D9174" s="496"/>
    </row>
    <row r="9175" spans="1:4" x14ac:dyDescent="0.2">
      <c r="A9175" s="496"/>
      <c r="D9175" s="496"/>
    </row>
    <row r="9176" spans="1:4" x14ac:dyDescent="0.2">
      <c r="A9176" s="496"/>
      <c r="D9176" s="496"/>
    </row>
    <row r="9177" spans="1:4" x14ac:dyDescent="0.2">
      <c r="A9177" s="496"/>
      <c r="D9177" s="496"/>
    </row>
    <row r="9178" spans="1:4" x14ac:dyDescent="0.2">
      <c r="A9178" s="496"/>
      <c r="D9178" s="496"/>
    </row>
    <row r="9179" spans="1:4" x14ac:dyDescent="0.2">
      <c r="A9179" s="496"/>
      <c r="D9179" s="496"/>
    </row>
    <row r="9180" spans="1:4" x14ac:dyDescent="0.2">
      <c r="A9180" s="496"/>
      <c r="D9180" s="496"/>
    </row>
    <row r="9181" spans="1:4" x14ac:dyDescent="0.2">
      <c r="A9181" s="496"/>
      <c r="D9181" s="496"/>
    </row>
    <row r="9182" spans="1:4" x14ac:dyDescent="0.2">
      <c r="A9182" s="496"/>
      <c r="D9182" s="496"/>
    </row>
    <row r="9183" spans="1:4" x14ac:dyDescent="0.2">
      <c r="A9183" s="496"/>
      <c r="D9183" s="496"/>
    </row>
    <row r="9184" spans="1:4" x14ac:dyDescent="0.2">
      <c r="A9184" s="496"/>
      <c r="D9184" s="496"/>
    </row>
    <row r="9185" spans="1:4" x14ac:dyDescent="0.2">
      <c r="A9185" s="496"/>
      <c r="D9185" s="496"/>
    </row>
    <row r="9186" spans="1:4" x14ac:dyDescent="0.2">
      <c r="A9186" s="496"/>
      <c r="D9186" s="496"/>
    </row>
    <row r="9187" spans="1:4" x14ac:dyDescent="0.2">
      <c r="A9187" s="496"/>
      <c r="D9187" s="496"/>
    </row>
    <row r="9188" spans="1:4" x14ac:dyDescent="0.2">
      <c r="A9188" s="496"/>
      <c r="D9188" s="496"/>
    </row>
    <row r="9189" spans="1:4" x14ac:dyDescent="0.2">
      <c r="A9189" s="496"/>
      <c r="D9189" s="496"/>
    </row>
    <row r="9190" spans="1:4" x14ac:dyDescent="0.2">
      <c r="A9190" s="496"/>
      <c r="D9190" s="496"/>
    </row>
    <row r="9191" spans="1:4" x14ac:dyDescent="0.2">
      <c r="A9191" s="496"/>
      <c r="D9191" s="496"/>
    </row>
    <row r="9192" spans="1:4" x14ac:dyDescent="0.2">
      <c r="A9192" s="496"/>
      <c r="D9192" s="496"/>
    </row>
    <row r="9193" spans="1:4" x14ac:dyDescent="0.2">
      <c r="A9193" s="496"/>
      <c r="D9193" s="496"/>
    </row>
    <row r="9194" spans="1:4" x14ac:dyDescent="0.2">
      <c r="A9194" s="496"/>
      <c r="D9194" s="496"/>
    </row>
    <row r="9195" spans="1:4" x14ac:dyDescent="0.2">
      <c r="A9195" s="496"/>
      <c r="D9195" s="496"/>
    </row>
    <row r="9196" spans="1:4" x14ac:dyDescent="0.2">
      <c r="A9196" s="496"/>
      <c r="D9196" s="496"/>
    </row>
    <row r="9197" spans="1:4" x14ac:dyDescent="0.2">
      <c r="A9197" s="496"/>
      <c r="D9197" s="496"/>
    </row>
    <row r="9198" spans="1:4" x14ac:dyDescent="0.2">
      <c r="A9198" s="496"/>
      <c r="D9198" s="496"/>
    </row>
    <row r="9199" spans="1:4" x14ac:dyDescent="0.2">
      <c r="A9199" s="496"/>
      <c r="D9199" s="496"/>
    </row>
    <row r="9200" spans="1:4" x14ac:dyDescent="0.2">
      <c r="A9200" s="496"/>
      <c r="D9200" s="496"/>
    </row>
    <row r="9201" spans="1:4" x14ac:dyDescent="0.2">
      <c r="A9201" s="496"/>
      <c r="D9201" s="496"/>
    </row>
    <row r="9202" spans="1:4" x14ac:dyDescent="0.2">
      <c r="A9202" s="496"/>
      <c r="D9202" s="496"/>
    </row>
    <row r="9203" spans="1:4" x14ac:dyDescent="0.2">
      <c r="A9203" s="496"/>
      <c r="D9203" s="496"/>
    </row>
    <row r="9204" spans="1:4" x14ac:dyDescent="0.2">
      <c r="A9204" s="496"/>
      <c r="D9204" s="496"/>
    </row>
    <row r="9205" spans="1:4" x14ac:dyDescent="0.2">
      <c r="A9205" s="496"/>
      <c r="D9205" s="496"/>
    </row>
    <row r="9206" spans="1:4" x14ac:dyDescent="0.2">
      <c r="A9206" s="496"/>
      <c r="D9206" s="496"/>
    </row>
    <row r="9207" spans="1:4" x14ac:dyDescent="0.2">
      <c r="A9207" s="496"/>
      <c r="D9207" s="496"/>
    </row>
    <row r="9208" spans="1:4" x14ac:dyDescent="0.2">
      <c r="A9208" s="496"/>
      <c r="D9208" s="496"/>
    </row>
    <row r="9209" spans="1:4" x14ac:dyDescent="0.2">
      <c r="A9209" s="496"/>
      <c r="D9209" s="496"/>
    </row>
    <row r="9210" spans="1:4" x14ac:dyDescent="0.2">
      <c r="A9210" s="496"/>
      <c r="D9210" s="496"/>
    </row>
    <row r="9211" spans="1:4" x14ac:dyDescent="0.2">
      <c r="A9211" s="496"/>
      <c r="D9211" s="496"/>
    </row>
    <row r="9212" spans="1:4" x14ac:dyDescent="0.2">
      <c r="A9212" s="496"/>
      <c r="D9212" s="496"/>
    </row>
    <row r="9213" spans="1:4" x14ac:dyDescent="0.2">
      <c r="A9213" s="496"/>
      <c r="D9213" s="496"/>
    </row>
    <row r="9214" spans="1:4" x14ac:dyDescent="0.2">
      <c r="A9214" s="496"/>
      <c r="D9214" s="496"/>
    </row>
    <row r="9215" spans="1:4" x14ac:dyDescent="0.2">
      <c r="A9215" s="496"/>
      <c r="D9215" s="496"/>
    </row>
    <row r="9216" spans="1:4" x14ac:dyDescent="0.2">
      <c r="A9216" s="496"/>
      <c r="D9216" s="496"/>
    </row>
    <row r="9217" spans="1:4" x14ac:dyDescent="0.2">
      <c r="A9217" s="496"/>
      <c r="D9217" s="496"/>
    </row>
    <row r="9218" spans="1:4" x14ac:dyDescent="0.2">
      <c r="A9218" s="496"/>
      <c r="D9218" s="496"/>
    </row>
    <row r="9219" spans="1:4" x14ac:dyDescent="0.2">
      <c r="A9219" s="496"/>
      <c r="D9219" s="496"/>
    </row>
    <row r="9220" spans="1:4" x14ac:dyDescent="0.2">
      <c r="A9220" s="496"/>
      <c r="D9220" s="496"/>
    </row>
    <row r="9221" spans="1:4" x14ac:dyDescent="0.2">
      <c r="A9221" s="496"/>
      <c r="D9221" s="496"/>
    </row>
    <row r="9222" spans="1:4" x14ac:dyDescent="0.2">
      <c r="A9222" s="496"/>
      <c r="D9222" s="496"/>
    </row>
    <row r="9223" spans="1:4" x14ac:dyDescent="0.2">
      <c r="A9223" s="496"/>
      <c r="D9223" s="496"/>
    </row>
    <row r="9224" spans="1:4" x14ac:dyDescent="0.2">
      <c r="A9224" s="496"/>
      <c r="D9224" s="496"/>
    </row>
    <row r="9225" spans="1:4" x14ac:dyDescent="0.2">
      <c r="A9225" s="496"/>
      <c r="D9225" s="496"/>
    </row>
    <row r="9226" spans="1:4" x14ac:dyDescent="0.2">
      <c r="A9226" s="496"/>
      <c r="D9226" s="496"/>
    </row>
    <row r="9227" spans="1:4" x14ac:dyDescent="0.2">
      <c r="A9227" s="496"/>
      <c r="D9227" s="496"/>
    </row>
    <row r="9228" spans="1:4" x14ac:dyDescent="0.2">
      <c r="A9228" s="496"/>
      <c r="D9228" s="496"/>
    </row>
    <row r="9229" spans="1:4" x14ac:dyDescent="0.2">
      <c r="A9229" s="496"/>
      <c r="D9229" s="496"/>
    </row>
    <row r="9230" spans="1:4" x14ac:dyDescent="0.2">
      <c r="A9230" s="496"/>
      <c r="D9230" s="496"/>
    </row>
    <row r="9231" spans="1:4" x14ac:dyDescent="0.2">
      <c r="A9231" s="496"/>
      <c r="D9231" s="496"/>
    </row>
    <row r="9232" spans="1:4" x14ac:dyDescent="0.2">
      <c r="A9232" s="496"/>
      <c r="D9232" s="496"/>
    </row>
    <row r="9233" spans="1:4" x14ac:dyDescent="0.2">
      <c r="A9233" s="496"/>
      <c r="D9233" s="496"/>
    </row>
    <row r="9234" spans="1:4" x14ac:dyDescent="0.2">
      <c r="A9234" s="496"/>
      <c r="D9234" s="496"/>
    </row>
    <row r="9235" spans="1:4" x14ac:dyDescent="0.2">
      <c r="A9235" s="496"/>
      <c r="D9235" s="496"/>
    </row>
    <row r="9236" spans="1:4" x14ac:dyDescent="0.2">
      <c r="A9236" s="496"/>
      <c r="D9236" s="496"/>
    </row>
    <row r="9237" spans="1:4" x14ac:dyDescent="0.2">
      <c r="A9237" s="496"/>
      <c r="D9237" s="496"/>
    </row>
    <row r="9238" spans="1:4" x14ac:dyDescent="0.2">
      <c r="A9238" s="496"/>
      <c r="D9238" s="496"/>
    </row>
    <row r="9239" spans="1:4" x14ac:dyDescent="0.2">
      <c r="A9239" s="496"/>
      <c r="D9239" s="496"/>
    </row>
    <row r="9240" spans="1:4" x14ac:dyDescent="0.2">
      <c r="A9240" s="496"/>
      <c r="D9240" s="496"/>
    </row>
    <row r="9241" spans="1:4" x14ac:dyDescent="0.2">
      <c r="A9241" s="496"/>
      <c r="D9241" s="496"/>
    </row>
    <row r="9242" spans="1:4" x14ac:dyDescent="0.2">
      <c r="A9242" s="496"/>
      <c r="D9242" s="496"/>
    </row>
    <row r="9243" spans="1:4" x14ac:dyDescent="0.2">
      <c r="A9243" s="496"/>
      <c r="D9243" s="496"/>
    </row>
    <row r="9244" spans="1:4" x14ac:dyDescent="0.2">
      <c r="A9244" s="496"/>
      <c r="D9244" s="496"/>
    </row>
    <row r="9245" spans="1:4" x14ac:dyDescent="0.2">
      <c r="A9245" s="496"/>
      <c r="D9245" s="496"/>
    </row>
    <row r="9246" spans="1:4" x14ac:dyDescent="0.2">
      <c r="A9246" s="496"/>
      <c r="D9246" s="496"/>
    </row>
    <row r="9247" spans="1:4" x14ac:dyDescent="0.2">
      <c r="A9247" s="496"/>
      <c r="D9247" s="496"/>
    </row>
    <row r="9248" spans="1:4" x14ac:dyDescent="0.2">
      <c r="A9248" s="496"/>
      <c r="D9248" s="496"/>
    </row>
    <row r="9249" spans="1:4" x14ac:dyDescent="0.2">
      <c r="A9249" s="496"/>
      <c r="D9249" s="496"/>
    </row>
    <row r="9250" spans="1:4" x14ac:dyDescent="0.2">
      <c r="A9250" s="496"/>
      <c r="D9250" s="496"/>
    </row>
    <row r="9251" spans="1:4" x14ac:dyDescent="0.2">
      <c r="A9251" s="496"/>
      <c r="D9251" s="496"/>
    </row>
    <row r="9252" spans="1:4" x14ac:dyDescent="0.2">
      <c r="A9252" s="496"/>
      <c r="D9252" s="496"/>
    </row>
    <row r="9253" spans="1:4" x14ac:dyDescent="0.2">
      <c r="A9253" s="496"/>
      <c r="D9253" s="496"/>
    </row>
    <row r="9254" spans="1:4" x14ac:dyDescent="0.2">
      <c r="A9254" s="496"/>
      <c r="D9254" s="496"/>
    </row>
    <row r="9255" spans="1:4" x14ac:dyDescent="0.2">
      <c r="A9255" s="496"/>
      <c r="D9255" s="496"/>
    </row>
    <row r="9256" spans="1:4" x14ac:dyDescent="0.2">
      <c r="A9256" s="496"/>
      <c r="D9256" s="496"/>
    </row>
    <row r="9257" spans="1:4" x14ac:dyDescent="0.2">
      <c r="A9257" s="496"/>
      <c r="D9257" s="496"/>
    </row>
    <row r="9258" spans="1:4" x14ac:dyDescent="0.2">
      <c r="A9258" s="496"/>
      <c r="D9258" s="496"/>
    </row>
    <row r="9259" spans="1:4" x14ac:dyDescent="0.2">
      <c r="A9259" s="496"/>
      <c r="D9259" s="496"/>
    </row>
    <row r="9260" spans="1:4" x14ac:dyDescent="0.2">
      <c r="A9260" s="496"/>
      <c r="D9260" s="496"/>
    </row>
    <row r="9261" spans="1:4" x14ac:dyDescent="0.2">
      <c r="A9261" s="496"/>
      <c r="D9261" s="496"/>
    </row>
    <row r="9262" spans="1:4" x14ac:dyDescent="0.2">
      <c r="A9262" s="496"/>
      <c r="D9262" s="496"/>
    </row>
    <row r="9263" spans="1:4" x14ac:dyDescent="0.2">
      <c r="A9263" s="496"/>
      <c r="D9263" s="496"/>
    </row>
    <row r="9264" spans="1:4" x14ac:dyDescent="0.2">
      <c r="A9264" s="496"/>
      <c r="D9264" s="496"/>
    </row>
    <row r="9265" spans="1:4" x14ac:dyDescent="0.2">
      <c r="A9265" s="496"/>
      <c r="D9265" s="496"/>
    </row>
    <row r="9266" spans="1:4" x14ac:dyDescent="0.2">
      <c r="A9266" s="496"/>
      <c r="D9266" s="496"/>
    </row>
    <row r="9267" spans="1:4" x14ac:dyDescent="0.2">
      <c r="A9267" s="496"/>
      <c r="D9267" s="496"/>
    </row>
    <row r="9268" spans="1:4" x14ac:dyDescent="0.2">
      <c r="A9268" s="496"/>
      <c r="D9268" s="496"/>
    </row>
    <row r="9269" spans="1:4" x14ac:dyDescent="0.2">
      <c r="A9269" s="496"/>
      <c r="D9269" s="496"/>
    </row>
    <row r="9270" spans="1:4" x14ac:dyDescent="0.2">
      <c r="A9270" s="496"/>
      <c r="D9270" s="496"/>
    </row>
    <row r="9271" spans="1:4" x14ac:dyDescent="0.2">
      <c r="A9271" s="496"/>
      <c r="D9271" s="496"/>
    </row>
    <row r="9272" spans="1:4" x14ac:dyDescent="0.2">
      <c r="A9272" s="496"/>
      <c r="D9272" s="496"/>
    </row>
    <row r="9273" spans="1:4" x14ac:dyDescent="0.2">
      <c r="A9273" s="496"/>
      <c r="D9273" s="496"/>
    </row>
    <row r="9274" spans="1:4" x14ac:dyDescent="0.2">
      <c r="A9274" s="496"/>
      <c r="D9274" s="496"/>
    </row>
    <row r="9275" spans="1:4" x14ac:dyDescent="0.2">
      <c r="A9275" s="496"/>
      <c r="D9275" s="496"/>
    </row>
    <row r="9276" spans="1:4" x14ac:dyDescent="0.2">
      <c r="A9276" s="496"/>
      <c r="D9276" s="496"/>
    </row>
    <row r="9277" spans="1:4" x14ac:dyDescent="0.2">
      <c r="A9277" s="496"/>
      <c r="D9277" s="496"/>
    </row>
    <row r="9278" spans="1:4" x14ac:dyDescent="0.2">
      <c r="A9278" s="496"/>
      <c r="D9278" s="496"/>
    </row>
    <row r="9279" spans="1:4" x14ac:dyDescent="0.2">
      <c r="A9279" s="496"/>
      <c r="D9279" s="496"/>
    </row>
    <row r="9280" spans="1:4" x14ac:dyDescent="0.2">
      <c r="A9280" s="496"/>
      <c r="D9280" s="496"/>
    </row>
    <row r="9281" spans="1:4" x14ac:dyDescent="0.2">
      <c r="A9281" s="496"/>
      <c r="D9281" s="496"/>
    </row>
    <row r="9282" spans="1:4" x14ac:dyDescent="0.2">
      <c r="A9282" s="496"/>
      <c r="D9282" s="496"/>
    </row>
    <row r="9283" spans="1:4" x14ac:dyDescent="0.2">
      <c r="A9283" s="496"/>
      <c r="D9283" s="496"/>
    </row>
    <row r="9284" spans="1:4" x14ac:dyDescent="0.2">
      <c r="A9284" s="496"/>
      <c r="D9284" s="496"/>
    </row>
    <row r="9285" spans="1:4" x14ac:dyDescent="0.2">
      <c r="A9285" s="496"/>
      <c r="D9285" s="496"/>
    </row>
    <row r="9286" spans="1:4" x14ac:dyDescent="0.2">
      <c r="A9286" s="496"/>
      <c r="D9286" s="496"/>
    </row>
    <row r="9287" spans="1:4" x14ac:dyDescent="0.2">
      <c r="A9287" s="496"/>
      <c r="D9287" s="496"/>
    </row>
    <row r="9288" spans="1:4" x14ac:dyDescent="0.2">
      <c r="A9288" s="496"/>
      <c r="D9288" s="496"/>
    </row>
    <row r="9289" spans="1:4" x14ac:dyDescent="0.2">
      <c r="A9289" s="496"/>
      <c r="D9289" s="496"/>
    </row>
    <row r="9290" spans="1:4" x14ac:dyDescent="0.2">
      <c r="A9290" s="496"/>
      <c r="D9290" s="496"/>
    </row>
    <row r="9291" spans="1:4" x14ac:dyDescent="0.2">
      <c r="A9291" s="496"/>
      <c r="D9291" s="496"/>
    </row>
    <row r="9292" spans="1:4" x14ac:dyDescent="0.2">
      <c r="A9292" s="496"/>
      <c r="D9292" s="496"/>
    </row>
    <row r="9293" spans="1:4" x14ac:dyDescent="0.2">
      <c r="A9293" s="496"/>
      <c r="D9293" s="496"/>
    </row>
    <row r="9294" spans="1:4" x14ac:dyDescent="0.2">
      <c r="A9294" s="496"/>
      <c r="D9294" s="496"/>
    </row>
    <row r="9295" spans="1:4" x14ac:dyDescent="0.2">
      <c r="A9295" s="496"/>
      <c r="D9295" s="496"/>
    </row>
    <row r="9296" spans="1:4" x14ac:dyDescent="0.2">
      <c r="A9296" s="496"/>
      <c r="D9296" s="496"/>
    </row>
    <row r="9297" spans="1:4" x14ac:dyDescent="0.2">
      <c r="A9297" s="496"/>
      <c r="D9297" s="496"/>
    </row>
    <row r="9298" spans="1:4" x14ac:dyDescent="0.2">
      <c r="A9298" s="496"/>
      <c r="D9298" s="496"/>
    </row>
    <row r="9299" spans="1:4" x14ac:dyDescent="0.2">
      <c r="A9299" s="496"/>
      <c r="D9299" s="496"/>
    </row>
    <row r="9300" spans="1:4" x14ac:dyDescent="0.2">
      <c r="A9300" s="496"/>
      <c r="D9300" s="496"/>
    </row>
    <row r="9301" spans="1:4" x14ac:dyDescent="0.2">
      <c r="A9301" s="496"/>
      <c r="D9301" s="496"/>
    </row>
    <row r="9302" spans="1:4" x14ac:dyDescent="0.2">
      <c r="A9302" s="496"/>
      <c r="D9302" s="496"/>
    </row>
    <row r="9303" spans="1:4" x14ac:dyDescent="0.2">
      <c r="A9303" s="496"/>
      <c r="D9303" s="496"/>
    </row>
    <row r="9304" spans="1:4" x14ac:dyDescent="0.2">
      <c r="A9304" s="496"/>
      <c r="D9304" s="496"/>
    </row>
    <row r="9305" spans="1:4" x14ac:dyDescent="0.2">
      <c r="A9305" s="496"/>
      <c r="D9305" s="496"/>
    </row>
    <row r="9306" spans="1:4" x14ac:dyDescent="0.2">
      <c r="A9306" s="496"/>
      <c r="D9306" s="496"/>
    </row>
    <row r="9307" spans="1:4" x14ac:dyDescent="0.2">
      <c r="A9307" s="496"/>
      <c r="D9307" s="496"/>
    </row>
    <row r="9308" spans="1:4" x14ac:dyDescent="0.2">
      <c r="A9308" s="496"/>
      <c r="D9308" s="496"/>
    </row>
    <row r="9309" spans="1:4" x14ac:dyDescent="0.2">
      <c r="A9309" s="496"/>
      <c r="D9309" s="496"/>
    </row>
    <row r="9310" spans="1:4" x14ac:dyDescent="0.2">
      <c r="A9310" s="496"/>
      <c r="D9310" s="496"/>
    </row>
    <row r="9311" spans="1:4" x14ac:dyDescent="0.2">
      <c r="A9311" s="496"/>
      <c r="D9311" s="496"/>
    </row>
    <row r="9312" spans="1:4" x14ac:dyDescent="0.2">
      <c r="A9312" s="496"/>
      <c r="D9312" s="496"/>
    </row>
    <row r="9313" spans="1:4" x14ac:dyDescent="0.2">
      <c r="A9313" s="496"/>
      <c r="D9313" s="496"/>
    </row>
    <row r="9314" spans="1:4" x14ac:dyDescent="0.2">
      <c r="A9314" s="496"/>
      <c r="D9314" s="496"/>
    </row>
    <row r="9315" spans="1:4" x14ac:dyDescent="0.2">
      <c r="A9315" s="496"/>
      <c r="D9315" s="496"/>
    </row>
    <row r="9316" spans="1:4" x14ac:dyDescent="0.2">
      <c r="A9316" s="496"/>
      <c r="D9316" s="496"/>
    </row>
    <row r="9317" spans="1:4" x14ac:dyDescent="0.2">
      <c r="A9317" s="496"/>
      <c r="D9317" s="496"/>
    </row>
    <row r="9318" spans="1:4" x14ac:dyDescent="0.2">
      <c r="A9318" s="496"/>
      <c r="D9318" s="496"/>
    </row>
    <row r="9319" spans="1:4" x14ac:dyDescent="0.2">
      <c r="A9319" s="496"/>
      <c r="D9319" s="496"/>
    </row>
    <row r="9320" spans="1:4" x14ac:dyDescent="0.2">
      <c r="A9320" s="496"/>
      <c r="D9320" s="496"/>
    </row>
    <row r="9321" spans="1:4" x14ac:dyDescent="0.2">
      <c r="A9321" s="496"/>
      <c r="D9321" s="496"/>
    </row>
    <row r="9322" spans="1:4" x14ac:dyDescent="0.2">
      <c r="A9322" s="496"/>
      <c r="D9322" s="496"/>
    </row>
    <row r="9323" spans="1:4" x14ac:dyDescent="0.2">
      <c r="A9323" s="496"/>
      <c r="D9323" s="496"/>
    </row>
    <row r="9324" spans="1:4" x14ac:dyDescent="0.2">
      <c r="A9324" s="496"/>
      <c r="D9324" s="496"/>
    </row>
    <row r="9325" spans="1:4" x14ac:dyDescent="0.2">
      <c r="A9325" s="496"/>
      <c r="D9325" s="496"/>
    </row>
    <row r="9326" spans="1:4" x14ac:dyDescent="0.2">
      <c r="A9326" s="496"/>
      <c r="D9326" s="496"/>
    </row>
    <row r="9327" spans="1:4" x14ac:dyDescent="0.2">
      <c r="A9327" s="496"/>
      <c r="D9327" s="496"/>
    </row>
    <row r="9328" spans="1:4" x14ac:dyDescent="0.2">
      <c r="A9328" s="496"/>
      <c r="D9328" s="496"/>
    </row>
    <row r="9329" spans="1:4" x14ac:dyDescent="0.2">
      <c r="A9329" s="496"/>
      <c r="D9329" s="496"/>
    </row>
    <row r="9330" spans="1:4" x14ac:dyDescent="0.2">
      <c r="A9330" s="496"/>
      <c r="D9330" s="496"/>
    </row>
    <row r="9331" spans="1:4" x14ac:dyDescent="0.2">
      <c r="A9331" s="496"/>
      <c r="D9331" s="496"/>
    </row>
    <row r="9332" spans="1:4" x14ac:dyDescent="0.2">
      <c r="A9332" s="496"/>
      <c r="D9332" s="496"/>
    </row>
    <row r="9333" spans="1:4" x14ac:dyDescent="0.2">
      <c r="A9333" s="496"/>
      <c r="D9333" s="496"/>
    </row>
    <row r="9334" spans="1:4" x14ac:dyDescent="0.2">
      <c r="A9334" s="496"/>
      <c r="D9334" s="496"/>
    </row>
    <row r="9335" spans="1:4" x14ac:dyDescent="0.2">
      <c r="A9335" s="496"/>
      <c r="D9335" s="496"/>
    </row>
    <row r="9336" spans="1:4" x14ac:dyDescent="0.2">
      <c r="A9336" s="496"/>
      <c r="D9336" s="496"/>
    </row>
    <row r="9337" spans="1:4" x14ac:dyDescent="0.2">
      <c r="A9337" s="496"/>
      <c r="D9337" s="496"/>
    </row>
    <row r="9338" spans="1:4" x14ac:dyDescent="0.2">
      <c r="A9338" s="496"/>
      <c r="D9338" s="496"/>
    </row>
    <row r="9339" spans="1:4" x14ac:dyDescent="0.2">
      <c r="A9339" s="496"/>
      <c r="D9339" s="496"/>
    </row>
    <row r="9340" spans="1:4" x14ac:dyDescent="0.2">
      <c r="A9340" s="496"/>
      <c r="D9340" s="496"/>
    </row>
    <row r="9341" spans="1:4" x14ac:dyDescent="0.2">
      <c r="A9341" s="496"/>
      <c r="D9341" s="496"/>
    </row>
    <row r="9342" spans="1:4" x14ac:dyDescent="0.2">
      <c r="A9342" s="496"/>
      <c r="D9342" s="496"/>
    </row>
    <row r="9343" spans="1:4" x14ac:dyDescent="0.2">
      <c r="A9343" s="496"/>
      <c r="D9343" s="496"/>
    </row>
    <row r="9344" spans="1:4" x14ac:dyDescent="0.2">
      <c r="A9344" s="496"/>
      <c r="D9344" s="496"/>
    </row>
    <row r="9345" spans="1:4" x14ac:dyDescent="0.2">
      <c r="A9345" s="496"/>
      <c r="D9345" s="496"/>
    </row>
    <row r="9346" spans="1:4" x14ac:dyDescent="0.2">
      <c r="A9346" s="496"/>
      <c r="D9346" s="496"/>
    </row>
    <row r="9347" spans="1:4" x14ac:dyDescent="0.2">
      <c r="A9347" s="496"/>
      <c r="D9347" s="496"/>
    </row>
    <row r="9348" spans="1:4" x14ac:dyDescent="0.2">
      <c r="A9348" s="496"/>
      <c r="D9348" s="496"/>
    </row>
    <row r="9349" spans="1:4" x14ac:dyDescent="0.2">
      <c r="A9349" s="496"/>
      <c r="D9349" s="496"/>
    </row>
    <row r="9350" spans="1:4" x14ac:dyDescent="0.2">
      <c r="A9350" s="496"/>
      <c r="D9350" s="496"/>
    </row>
    <row r="9351" spans="1:4" x14ac:dyDescent="0.2">
      <c r="A9351" s="496"/>
      <c r="D9351" s="496"/>
    </row>
    <row r="9352" spans="1:4" x14ac:dyDescent="0.2">
      <c r="A9352" s="496"/>
      <c r="D9352" s="496"/>
    </row>
    <row r="9353" spans="1:4" x14ac:dyDescent="0.2">
      <c r="A9353" s="496"/>
      <c r="D9353" s="496"/>
    </row>
    <row r="9354" spans="1:4" x14ac:dyDescent="0.2">
      <c r="A9354" s="496"/>
      <c r="D9354" s="496"/>
    </row>
    <row r="9355" spans="1:4" x14ac:dyDescent="0.2">
      <c r="A9355" s="496"/>
      <c r="D9355" s="496"/>
    </row>
    <row r="9356" spans="1:4" x14ac:dyDescent="0.2">
      <c r="A9356" s="496"/>
      <c r="D9356" s="496"/>
    </row>
    <row r="9357" spans="1:4" x14ac:dyDescent="0.2">
      <c r="A9357" s="496"/>
      <c r="D9357" s="496"/>
    </row>
    <row r="9358" spans="1:4" x14ac:dyDescent="0.2">
      <c r="A9358" s="496"/>
      <c r="D9358" s="496"/>
    </row>
    <row r="9359" spans="1:4" x14ac:dyDescent="0.2">
      <c r="A9359" s="496"/>
      <c r="D9359" s="496"/>
    </row>
    <row r="9360" spans="1:4" x14ac:dyDescent="0.2">
      <c r="A9360" s="496"/>
      <c r="D9360" s="496"/>
    </row>
    <row r="9361" spans="1:4" x14ac:dyDescent="0.2">
      <c r="A9361" s="496"/>
      <c r="D9361" s="496"/>
    </row>
    <row r="9362" spans="1:4" x14ac:dyDescent="0.2">
      <c r="A9362" s="496"/>
      <c r="D9362" s="496"/>
    </row>
    <row r="9363" spans="1:4" x14ac:dyDescent="0.2">
      <c r="A9363" s="496"/>
      <c r="D9363" s="496"/>
    </row>
    <row r="9364" spans="1:4" x14ac:dyDescent="0.2">
      <c r="A9364" s="496"/>
      <c r="D9364" s="496"/>
    </row>
    <row r="9365" spans="1:4" x14ac:dyDescent="0.2">
      <c r="A9365" s="496"/>
      <c r="D9365" s="496"/>
    </row>
    <row r="9366" spans="1:4" x14ac:dyDescent="0.2">
      <c r="A9366" s="496"/>
      <c r="D9366" s="496"/>
    </row>
    <row r="9367" spans="1:4" x14ac:dyDescent="0.2">
      <c r="A9367" s="496"/>
      <c r="D9367" s="496"/>
    </row>
    <row r="9368" spans="1:4" x14ac:dyDescent="0.2">
      <c r="A9368" s="496"/>
      <c r="D9368" s="496"/>
    </row>
    <row r="9369" spans="1:4" x14ac:dyDescent="0.2">
      <c r="A9369" s="496"/>
      <c r="D9369" s="496"/>
    </row>
    <row r="9370" spans="1:4" x14ac:dyDescent="0.2">
      <c r="A9370" s="496"/>
      <c r="D9370" s="496"/>
    </row>
    <row r="9371" spans="1:4" x14ac:dyDescent="0.2">
      <c r="A9371" s="496"/>
      <c r="D9371" s="496"/>
    </row>
    <row r="9372" spans="1:4" x14ac:dyDescent="0.2">
      <c r="A9372" s="496"/>
      <c r="D9372" s="496"/>
    </row>
    <row r="9373" spans="1:4" x14ac:dyDescent="0.2">
      <c r="A9373" s="496"/>
      <c r="D9373" s="496"/>
    </row>
    <row r="9374" spans="1:4" x14ac:dyDescent="0.2">
      <c r="A9374" s="496"/>
      <c r="D9374" s="496"/>
    </row>
    <row r="9375" spans="1:4" x14ac:dyDescent="0.2">
      <c r="A9375" s="496"/>
      <c r="D9375" s="496"/>
    </row>
    <row r="9376" spans="1:4" x14ac:dyDescent="0.2">
      <c r="A9376" s="496"/>
      <c r="D9376" s="496"/>
    </row>
    <row r="9377" spans="1:4" x14ac:dyDescent="0.2">
      <c r="A9377" s="496"/>
      <c r="D9377" s="496"/>
    </row>
    <row r="9378" spans="1:4" x14ac:dyDescent="0.2">
      <c r="A9378" s="496"/>
      <c r="D9378" s="496"/>
    </row>
    <row r="9379" spans="1:4" x14ac:dyDescent="0.2">
      <c r="A9379" s="496"/>
      <c r="D9379" s="496"/>
    </row>
    <row r="9380" spans="1:4" x14ac:dyDescent="0.2">
      <c r="A9380" s="496"/>
      <c r="D9380" s="496"/>
    </row>
    <row r="9381" spans="1:4" x14ac:dyDescent="0.2">
      <c r="A9381" s="496"/>
      <c r="D9381" s="496"/>
    </row>
    <row r="9382" spans="1:4" x14ac:dyDescent="0.2">
      <c r="A9382" s="496"/>
      <c r="D9382" s="496"/>
    </row>
    <row r="9383" spans="1:4" x14ac:dyDescent="0.2">
      <c r="A9383" s="496"/>
      <c r="D9383" s="496"/>
    </row>
    <row r="9384" spans="1:4" x14ac:dyDescent="0.2">
      <c r="A9384" s="496"/>
      <c r="D9384" s="496"/>
    </row>
    <row r="9385" spans="1:4" x14ac:dyDescent="0.2">
      <c r="A9385" s="496"/>
      <c r="D9385" s="496"/>
    </row>
    <row r="9386" spans="1:4" x14ac:dyDescent="0.2">
      <c r="A9386" s="496"/>
      <c r="D9386" s="496"/>
    </row>
    <row r="9387" spans="1:4" x14ac:dyDescent="0.2">
      <c r="A9387" s="496"/>
      <c r="D9387" s="496"/>
    </row>
    <row r="9388" spans="1:4" x14ac:dyDescent="0.2">
      <c r="A9388" s="496"/>
      <c r="D9388" s="496"/>
    </row>
    <row r="9389" spans="1:4" x14ac:dyDescent="0.2">
      <c r="A9389" s="496"/>
      <c r="D9389" s="496"/>
    </row>
    <row r="9390" spans="1:4" x14ac:dyDescent="0.2">
      <c r="A9390" s="496"/>
      <c r="D9390" s="496"/>
    </row>
    <row r="9391" spans="1:4" x14ac:dyDescent="0.2">
      <c r="A9391" s="496"/>
      <c r="D9391" s="496"/>
    </row>
    <row r="9392" spans="1:4" x14ac:dyDescent="0.2">
      <c r="A9392" s="496"/>
      <c r="D9392" s="496"/>
    </row>
    <row r="9393" spans="1:4" x14ac:dyDescent="0.2">
      <c r="A9393" s="496"/>
      <c r="D9393" s="496"/>
    </row>
    <row r="9394" spans="1:4" x14ac:dyDescent="0.2">
      <c r="A9394" s="496"/>
      <c r="D9394" s="496"/>
    </row>
    <row r="9395" spans="1:4" x14ac:dyDescent="0.2">
      <c r="A9395" s="496"/>
      <c r="D9395" s="496"/>
    </row>
    <row r="9396" spans="1:4" x14ac:dyDescent="0.2">
      <c r="A9396" s="496"/>
      <c r="D9396" s="496"/>
    </row>
    <row r="9397" spans="1:4" x14ac:dyDescent="0.2">
      <c r="A9397" s="496"/>
      <c r="D9397" s="496"/>
    </row>
    <row r="9398" spans="1:4" x14ac:dyDescent="0.2">
      <c r="A9398" s="496"/>
      <c r="D9398" s="496"/>
    </row>
    <row r="9399" spans="1:4" x14ac:dyDescent="0.2">
      <c r="A9399" s="496"/>
      <c r="D9399" s="496"/>
    </row>
    <row r="9400" spans="1:4" x14ac:dyDescent="0.2">
      <c r="A9400" s="496"/>
      <c r="D9400" s="496"/>
    </row>
    <row r="9401" spans="1:4" x14ac:dyDescent="0.2">
      <c r="A9401" s="496"/>
      <c r="D9401" s="496"/>
    </row>
    <row r="9402" spans="1:4" x14ac:dyDescent="0.2">
      <c r="A9402" s="496"/>
      <c r="D9402" s="496"/>
    </row>
    <row r="9403" spans="1:4" x14ac:dyDescent="0.2">
      <c r="A9403" s="496"/>
      <c r="D9403" s="496"/>
    </row>
    <row r="9404" spans="1:4" x14ac:dyDescent="0.2">
      <c r="A9404" s="496"/>
      <c r="D9404" s="496"/>
    </row>
    <row r="9405" spans="1:4" x14ac:dyDescent="0.2">
      <c r="A9405" s="496"/>
      <c r="D9405" s="496"/>
    </row>
    <row r="9406" spans="1:4" x14ac:dyDescent="0.2">
      <c r="A9406" s="496"/>
      <c r="D9406" s="496"/>
    </row>
    <row r="9407" spans="1:4" x14ac:dyDescent="0.2">
      <c r="A9407" s="496"/>
      <c r="D9407" s="496"/>
    </row>
    <row r="9408" spans="1:4" x14ac:dyDescent="0.2">
      <c r="A9408" s="496"/>
      <c r="D9408" s="496"/>
    </row>
    <row r="9409" spans="1:4" x14ac:dyDescent="0.2">
      <c r="A9409" s="496"/>
      <c r="D9409" s="496"/>
    </row>
    <row r="9410" spans="1:4" x14ac:dyDescent="0.2">
      <c r="A9410" s="496"/>
      <c r="D9410" s="496"/>
    </row>
    <row r="9411" spans="1:4" x14ac:dyDescent="0.2">
      <c r="A9411" s="496"/>
      <c r="D9411" s="496"/>
    </row>
    <row r="9412" spans="1:4" x14ac:dyDescent="0.2">
      <c r="A9412" s="496"/>
      <c r="D9412" s="496"/>
    </row>
    <row r="9413" spans="1:4" x14ac:dyDescent="0.2">
      <c r="A9413" s="496"/>
      <c r="D9413" s="496"/>
    </row>
    <row r="9414" spans="1:4" x14ac:dyDescent="0.2">
      <c r="A9414" s="496"/>
      <c r="D9414" s="496"/>
    </row>
    <row r="9415" spans="1:4" x14ac:dyDescent="0.2">
      <c r="A9415" s="496"/>
      <c r="D9415" s="496"/>
    </row>
    <row r="9416" spans="1:4" x14ac:dyDescent="0.2">
      <c r="A9416" s="496"/>
      <c r="D9416" s="496"/>
    </row>
    <row r="9417" spans="1:4" x14ac:dyDescent="0.2">
      <c r="A9417" s="496"/>
      <c r="D9417" s="496"/>
    </row>
    <row r="9418" spans="1:4" x14ac:dyDescent="0.2">
      <c r="A9418" s="496"/>
      <c r="D9418" s="496"/>
    </row>
    <row r="9419" spans="1:4" x14ac:dyDescent="0.2">
      <c r="A9419" s="496"/>
      <c r="D9419" s="496"/>
    </row>
    <row r="9420" spans="1:4" x14ac:dyDescent="0.2">
      <c r="A9420" s="496"/>
      <c r="D9420" s="496"/>
    </row>
    <row r="9421" spans="1:4" x14ac:dyDescent="0.2">
      <c r="A9421" s="496"/>
      <c r="D9421" s="496"/>
    </row>
    <row r="9422" spans="1:4" x14ac:dyDescent="0.2">
      <c r="A9422" s="496"/>
      <c r="D9422" s="496"/>
    </row>
    <row r="9423" spans="1:4" x14ac:dyDescent="0.2">
      <c r="A9423" s="496"/>
      <c r="D9423" s="496"/>
    </row>
    <row r="9424" spans="1:4" x14ac:dyDescent="0.2">
      <c r="A9424" s="496"/>
      <c r="D9424" s="496"/>
    </row>
    <row r="9425" spans="1:4" x14ac:dyDescent="0.2">
      <c r="A9425" s="496"/>
      <c r="D9425" s="496"/>
    </row>
    <row r="9426" spans="1:4" x14ac:dyDescent="0.2">
      <c r="A9426" s="496"/>
      <c r="D9426" s="496"/>
    </row>
    <row r="9427" spans="1:4" x14ac:dyDescent="0.2">
      <c r="A9427" s="496"/>
      <c r="D9427" s="496"/>
    </row>
    <row r="9428" spans="1:4" x14ac:dyDescent="0.2">
      <c r="A9428" s="496"/>
      <c r="D9428" s="496"/>
    </row>
    <row r="9429" spans="1:4" x14ac:dyDescent="0.2">
      <c r="A9429" s="496"/>
      <c r="D9429" s="496"/>
    </row>
    <row r="9430" spans="1:4" x14ac:dyDescent="0.2">
      <c r="A9430" s="496"/>
      <c r="D9430" s="496"/>
    </row>
    <row r="9431" spans="1:4" x14ac:dyDescent="0.2">
      <c r="A9431" s="496"/>
      <c r="D9431" s="496"/>
    </row>
    <row r="9432" spans="1:4" x14ac:dyDescent="0.2">
      <c r="A9432" s="496"/>
      <c r="D9432" s="496"/>
    </row>
    <row r="9433" spans="1:4" x14ac:dyDescent="0.2">
      <c r="A9433" s="496"/>
      <c r="D9433" s="496"/>
    </row>
    <row r="9434" spans="1:4" x14ac:dyDescent="0.2">
      <c r="A9434" s="496"/>
      <c r="D9434" s="496"/>
    </row>
    <row r="9435" spans="1:4" x14ac:dyDescent="0.2">
      <c r="A9435" s="496"/>
      <c r="D9435" s="496"/>
    </row>
    <row r="9436" spans="1:4" x14ac:dyDescent="0.2">
      <c r="A9436" s="496"/>
      <c r="D9436" s="496"/>
    </row>
    <row r="9437" spans="1:4" x14ac:dyDescent="0.2">
      <c r="A9437" s="496"/>
      <c r="D9437" s="496"/>
    </row>
    <row r="9438" spans="1:4" x14ac:dyDescent="0.2">
      <c r="A9438" s="496"/>
      <c r="D9438" s="496"/>
    </row>
    <row r="9439" spans="1:4" x14ac:dyDescent="0.2">
      <c r="A9439" s="496"/>
      <c r="D9439" s="496"/>
    </row>
    <row r="9440" spans="1:4" x14ac:dyDescent="0.2">
      <c r="A9440" s="496"/>
      <c r="D9440" s="496"/>
    </row>
    <row r="9441" spans="1:4" x14ac:dyDescent="0.2">
      <c r="A9441" s="496"/>
      <c r="D9441" s="496"/>
    </row>
    <row r="9442" spans="1:4" x14ac:dyDescent="0.2">
      <c r="A9442" s="496"/>
      <c r="D9442" s="496"/>
    </row>
    <row r="9443" spans="1:4" x14ac:dyDescent="0.2">
      <c r="A9443" s="496"/>
      <c r="D9443" s="496"/>
    </row>
    <row r="9444" spans="1:4" x14ac:dyDescent="0.2">
      <c r="A9444" s="496"/>
      <c r="D9444" s="496"/>
    </row>
    <row r="9445" spans="1:4" x14ac:dyDescent="0.2">
      <c r="A9445" s="496"/>
      <c r="D9445" s="496"/>
    </row>
    <row r="9446" spans="1:4" x14ac:dyDescent="0.2">
      <c r="A9446" s="496"/>
      <c r="D9446" s="496"/>
    </row>
    <row r="9447" spans="1:4" x14ac:dyDescent="0.2">
      <c r="A9447" s="496"/>
      <c r="D9447" s="496"/>
    </row>
    <row r="9448" spans="1:4" x14ac:dyDescent="0.2">
      <c r="A9448" s="496"/>
      <c r="D9448" s="496"/>
    </row>
    <row r="9449" spans="1:4" x14ac:dyDescent="0.2">
      <c r="A9449" s="496"/>
      <c r="D9449" s="496"/>
    </row>
    <row r="9450" spans="1:4" x14ac:dyDescent="0.2">
      <c r="A9450" s="496"/>
      <c r="D9450" s="496"/>
    </row>
    <row r="9451" spans="1:4" x14ac:dyDescent="0.2">
      <c r="A9451" s="496"/>
      <c r="D9451" s="496"/>
    </row>
    <row r="9452" spans="1:4" x14ac:dyDescent="0.2">
      <c r="A9452" s="496"/>
      <c r="D9452" s="496"/>
    </row>
    <row r="9453" spans="1:4" x14ac:dyDescent="0.2">
      <c r="A9453" s="496"/>
      <c r="D9453" s="496"/>
    </row>
    <row r="9454" spans="1:4" x14ac:dyDescent="0.2">
      <c r="A9454" s="496"/>
      <c r="D9454" s="496"/>
    </row>
    <row r="9455" spans="1:4" x14ac:dyDescent="0.2">
      <c r="A9455" s="496"/>
      <c r="D9455" s="496"/>
    </row>
    <row r="9456" spans="1:4" x14ac:dyDescent="0.2">
      <c r="A9456" s="496"/>
      <c r="D9456" s="496"/>
    </row>
    <row r="9457" spans="1:4" x14ac:dyDescent="0.2">
      <c r="A9457" s="496"/>
      <c r="D9457" s="496"/>
    </row>
    <row r="9458" spans="1:4" x14ac:dyDescent="0.2">
      <c r="A9458" s="496"/>
      <c r="D9458" s="496"/>
    </row>
    <row r="9459" spans="1:4" x14ac:dyDescent="0.2">
      <c r="A9459" s="496"/>
      <c r="D9459" s="496"/>
    </row>
    <row r="9460" spans="1:4" x14ac:dyDescent="0.2">
      <c r="A9460" s="496"/>
      <c r="D9460" s="496"/>
    </row>
    <row r="9461" spans="1:4" x14ac:dyDescent="0.2">
      <c r="A9461" s="496"/>
      <c r="D9461" s="496"/>
    </row>
    <row r="9462" spans="1:4" x14ac:dyDescent="0.2">
      <c r="A9462" s="496"/>
      <c r="D9462" s="496"/>
    </row>
    <row r="9463" spans="1:4" x14ac:dyDescent="0.2">
      <c r="A9463" s="496"/>
      <c r="D9463" s="496"/>
    </row>
    <row r="9464" spans="1:4" x14ac:dyDescent="0.2">
      <c r="A9464" s="496"/>
      <c r="D9464" s="496"/>
    </row>
    <row r="9465" spans="1:4" x14ac:dyDescent="0.2">
      <c r="A9465" s="496"/>
      <c r="D9465" s="496"/>
    </row>
    <row r="9466" spans="1:4" x14ac:dyDescent="0.2">
      <c r="A9466" s="496"/>
      <c r="D9466" s="496"/>
    </row>
    <row r="9467" spans="1:4" x14ac:dyDescent="0.2">
      <c r="A9467" s="496"/>
      <c r="D9467" s="496"/>
    </row>
    <row r="9468" spans="1:4" x14ac:dyDescent="0.2">
      <c r="A9468" s="496"/>
      <c r="D9468" s="496"/>
    </row>
    <row r="9469" spans="1:4" x14ac:dyDescent="0.2">
      <c r="A9469" s="496"/>
      <c r="D9469" s="496"/>
    </row>
    <row r="9470" spans="1:4" x14ac:dyDescent="0.2">
      <c r="A9470" s="496"/>
      <c r="D9470" s="496"/>
    </row>
    <row r="9471" spans="1:4" x14ac:dyDescent="0.2">
      <c r="A9471" s="496"/>
      <c r="D9471" s="496"/>
    </row>
    <row r="9472" spans="1:4" x14ac:dyDescent="0.2">
      <c r="A9472" s="496"/>
      <c r="D9472" s="496"/>
    </row>
    <row r="9473" spans="1:4" x14ac:dyDescent="0.2">
      <c r="A9473" s="496"/>
      <c r="D9473" s="496"/>
    </row>
    <row r="9474" spans="1:4" x14ac:dyDescent="0.2">
      <c r="A9474" s="496"/>
      <c r="D9474" s="496"/>
    </row>
    <row r="9475" spans="1:4" x14ac:dyDescent="0.2">
      <c r="A9475" s="496"/>
      <c r="D9475" s="496"/>
    </row>
    <row r="9476" spans="1:4" x14ac:dyDescent="0.2">
      <c r="A9476" s="496"/>
      <c r="D9476" s="496"/>
    </row>
    <row r="9477" spans="1:4" x14ac:dyDescent="0.2">
      <c r="A9477" s="496"/>
      <c r="D9477" s="496"/>
    </row>
    <row r="9478" spans="1:4" x14ac:dyDescent="0.2">
      <c r="A9478" s="496"/>
      <c r="D9478" s="496"/>
    </row>
    <row r="9479" spans="1:4" x14ac:dyDescent="0.2">
      <c r="A9479" s="496"/>
      <c r="D9479" s="496"/>
    </row>
    <row r="9480" spans="1:4" x14ac:dyDescent="0.2">
      <c r="A9480" s="496"/>
      <c r="D9480" s="496"/>
    </row>
    <row r="9481" spans="1:4" x14ac:dyDescent="0.2">
      <c r="A9481" s="496"/>
      <c r="D9481" s="496"/>
    </row>
    <row r="9482" spans="1:4" x14ac:dyDescent="0.2">
      <c r="A9482" s="496"/>
      <c r="D9482" s="496"/>
    </row>
    <row r="9483" spans="1:4" x14ac:dyDescent="0.2">
      <c r="A9483" s="496"/>
      <c r="D9483" s="496"/>
    </row>
    <row r="9484" spans="1:4" x14ac:dyDescent="0.2">
      <c r="A9484" s="496"/>
      <c r="D9484" s="496"/>
    </row>
    <row r="9485" spans="1:4" x14ac:dyDescent="0.2">
      <c r="A9485" s="496"/>
      <c r="D9485" s="496"/>
    </row>
    <row r="9486" spans="1:4" x14ac:dyDescent="0.2">
      <c r="A9486" s="496"/>
      <c r="D9486" s="496"/>
    </row>
    <row r="9487" spans="1:4" x14ac:dyDescent="0.2">
      <c r="A9487" s="496"/>
      <c r="D9487" s="496"/>
    </row>
    <row r="9488" spans="1:4" x14ac:dyDescent="0.2">
      <c r="A9488" s="496"/>
      <c r="D9488" s="496"/>
    </row>
    <row r="9489" spans="1:4" x14ac:dyDescent="0.2">
      <c r="A9489" s="496"/>
      <c r="D9489" s="496"/>
    </row>
    <row r="9490" spans="1:4" x14ac:dyDescent="0.2">
      <c r="A9490" s="496"/>
      <c r="D9490" s="496"/>
    </row>
    <row r="9491" spans="1:4" x14ac:dyDescent="0.2">
      <c r="A9491" s="496"/>
      <c r="D9491" s="496"/>
    </row>
    <row r="9492" spans="1:4" x14ac:dyDescent="0.2">
      <c r="A9492" s="496"/>
      <c r="D9492" s="496"/>
    </row>
    <row r="9493" spans="1:4" x14ac:dyDescent="0.2">
      <c r="A9493" s="496"/>
      <c r="D9493" s="496"/>
    </row>
    <row r="9494" spans="1:4" x14ac:dyDescent="0.2">
      <c r="A9494" s="496"/>
      <c r="D9494" s="496"/>
    </row>
    <row r="9495" spans="1:4" x14ac:dyDescent="0.2">
      <c r="A9495" s="496"/>
      <c r="D9495" s="496"/>
    </row>
    <row r="9496" spans="1:4" x14ac:dyDescent="0.2">
      <c r="A9496" s="496"/>
      <c r="D9496" s="496"/>
    </row>
    <row r="9497" spans="1:4" x14ac:dyDescent="0.2">
      <c r="A9497" s="496"/>
      <c r="D9497" s="496"/>
    </row>
    <row r="9498" spans="1:4" x14ac:dyDescent="0.2">
      <c r="A9498" s="496"/>
      <c r="D9498" s="496"/>
    </row>
    <row r="9499" spans="1:4" x14ac:dyDescent="0.2">
      <c r="A9499" s="496"/>
      <c r="D9499" s="496"/>
    </row>
    <row r="9500" spans="1:4" x14ac:dyDescent="0.2">
      <c r="A9500" s="496"/>
      <c r="D9500" s="496"/>
    </row>
    <row r="9501" spans="1:4" x14ac:dyDescent="0.2">
      <c r="A9501" s="496"/>
      <c r="D9501" s="496"/>
    </row>
    <row r="9502" spans="1:4" x14ac:dyDescent="0.2">
      <c r="A9502" s="496"/>
      <c r="D9502" s="496"/>
    </row>
    <row r="9503" spans="1:4" x14ac:dyDescent="0.2">
      <c r="A9503" s="496"/>
      <c r="D9503" s="496"/>
    </row>
    <row r="9504" spans="1:4" x14ac:dyDescent="0.2">
      <c r="A9504" s="496"/>
      <c r="D9504" s="496"/>
    </row>
    <row r="9505" spans="1:4" x14ac:dyDescent="0.2">
      <c r="A9505" s="496"/>
      <c r="D9505" s="496"/>
    </row>
    <row r="9506" spans="1:4" x14ac:dyDescent="0.2">
      <c r="A9506" s="496"/>
      <c r="D9506" s="496"/>
    </row>
    <row r="9507" spans="1:4" x14ac:dyDescent="0.2">
      <c r="A9507" s="496"/>
      <c r="D9507" s="496"/>
    </row>
    <row r="9508" spans="1:4" x14ac:dyDescent="0.2">
      <c r="A9508" s="496"/>
      <c r="D9508" s="496"/>
    </row>
    <row r="9509" spans="1:4" x14ac:dyDescent="0.2">
      <c r="A9509" s="496"/>
      <c r="D9509" s="496"/>
    </row>
    <row r="9510" spans="1:4" x14ac:dyDescent="0.2">
      <c r="A9510" s="496"/>
      <c r="D9510" s="496"/>
    </row>
    <row r="9511" spans="1:4" x14ac:dyDescent="0.2">
      <c r="A9511" s="496"/>
      <c r="D9511" s="496"/>
    </row>
    <row r="9512" spans="1:4" x14ac:dyDescent="0.2">
      <c r="A9512" s="496"/>
      <c r="D9512" s="496"/>
    </row>
    <row r="9513" spans="1:4" x14ac:dyDescent="0.2">
      <c r="A9513" s="496"/>
      <c r="D9513" s="496"/>
    </row>
    <row r="9514" spans="1:4" x14ac:dyDescent="0.2">
      <c r="A9514" s="496"/>
      <c r="D9514" s="496"/>
    </row>
    <row r="9515" spans="1:4" x14ac:dyDescent="0.2">
      <c r="A9515" s="496"/>
      <c r="D9515" s="496"/>
    </row>
    <row r="9516" spans="1:4" x14ac:dyDescent="0.2">
      <c r="A9516" s="496"/>
      <c r="D9516" s="496"/>
    </row>
    <row r="9517" spans="1:4" x14ac:dyDescent="0.2">
      <c r="A9517" s="496"/>
      <c r="D9517" s="496"/>
    </row>
    <row r="9518" spans="1:4" x14ac:dyDescent="0.2">
      <c r="A9518" s="496"/>
      <c r="D9518" s="496"/>
    </row>
    <row r="9519" spans="1:4" x14ac:dyDescent="0.2">
      <c r="A9519" s="496"/>
      <c r="D9519" s="496"/>
    </row>
    <row r="9520" spans="1:4" x14ac:dyDescent="0.2">
      <c r="A9520" s="496"/>
      <c r="D9520" s="496"/>
    </row>
    <row r="9521" spans="1:4" x14ac:dyDescent="0.2">
      <c r="A9521" s="496"/>
      <c r="D9521" s="496"/>
    </row>
    <row r="9522" spans="1:4" x14ac:dyDescent="0.2">
      <c r="A9522" s="496"/>
      <c r="D9522" s="496"/>
    </row>
    <row r="9523" spans="1:4" x14ac:dyDescent="0.2">
      <c r="A9523" s="496"/>
      <c r="D9523" s="496"/>
    </row>
    <row r="9524" spans="1:4" x14ac:dyDescent="0.2">
      <c r="A9524" s="496"/>
      <c r="D9524" s="496"/>
    </row>
    <row r="9525" spans="1:4" x14ac:dyDescent="0.2">
      <c r="A9525" s="496"/>
      <c r="D9525" s="496"/>
    </row>
    <row r="9526" spans="1:4" x14ac:dyDescent="0.2">
      <c r="A9526" s="496"/>
      <c r="D9526" s="496"/>
    </row>
    <row r="9527" spans="1:4" x14ac:dyDescent="0.2">
      <c r="A9527" s="496"/>
      <c r="D9527" s="496"/>
    </row>
    <row r="9528" spans="1:4" x14ac:dyDescent="0.2">
      <c r="A9528" s="496"/>
      <c r="D9528" s="496"/>
    </row>
    <row r="9529" spans="1:4" x14ac:dyDescent="0.2">
      <c r="A9529" s="496"/>
      <c r="D9529" s="496"/>
    </row>
    <row r="9530" spans="1:4" x14ac:dyDescent="0.2">
      <c r="A9530" s="496"/>
      <c r="D9530" s="496"/>
    </row>
    <row r="9531" spans="1:4" x14ac:dyDescent="0.2">
      <c r="A9531" s="496"/>
      <c r="D9531" s="496"/>
    </row>
    <row r="9532" spans="1:4" x14ac:dyDescent="0.2">
      <c r="A9532" s="496"/>
      <c r="D9532" s="496"/>
    </row>
    <row r="9533" spans="1:4" x14ac:dyDescent="0.2">
      <c r="A9533" s="496"/>
      <c r="D9533" s="496"/>
    </row>
    <row r="9534" spans="1:4" x14ac:dyDescent="0.2">
      <c r="A9534" s="496"/>
      <c r="D9534" s="496"/>
    </row>
    <row r="9535" spans="1:4" x14ac:dyDescent="0.2">
      <c r="A9535" s="496"/>
      <c r="D9535" s="496"/>
    </row>
    <row r="9536" spans="1:4" x14ac:dyDescent="0.2">
      <c r="A9536" s="496"/>
      <c r="D9536" s="496"/>
    </row>
    <row r="9537" spans="1:4" x14ac:dyDescent="0.2">
      <c r="A9537" s="496"/>
      <c r="D9537" s="496"/>
    </row>
    <row r="9538" spans="1:4" x14ac:dyDescent="0.2">
      <c r="A9538" s="496"/>
      <c r="D9538" s="496"/>
    </row>
    <row r="9539" spans="1:4" x14ac:dyDescent="0.2">
      <c r="A9539" s="496"/>
      <c r="D9539" s="496"/>
    </row>
    <row r="9540" spans="1:4" x14ac:dyDescent="0.2">
      <c r="A9540" s="496"/>
      <c r="D9540" s="496"/>
    </row>
    <row r="9541" spans="1:4" x14ac:dyDescent="0.2">
      <c r="A9541" s="496"/>
      <c r="D9541" s="496"/>
    </row>
    <row r="9542" spans="1:4" x14ac:dyDescent="0.2">
      <c r="A9542" s="496"/>
      <c r="D9542" s="496"/>
    </row>
    <row r="9543" spans="1:4" x14ac:dyDescent="0.2">
      <c r="A9543" s="496"/>
      <c r="D9543" s="496"/>
    </row>
    <row r="9544" spans="1:4" x14ac:dyDescent="0.2">
      <c r="A9544" s="496"/>
      <c r="D9544" s="496"/>
    </row>
    <row r="9545" spans="1:4" x14ac:dyDescent="0.2">
      <c r="A9545" s="496"/>
      <c r="D9545" s="496"/>
    </row>
    <row r="9546" spans="1:4" x14ac:dyDescent="0.2">
      <c r="A9546" s="496"/>
      <c r="D9546" s="496"/>
    </row>
    <row r="9547" spans="1:4" x14ac:dyDescent="0.2">
      <c r="A9547" s="496"/>
      <c r="D9547" s="496"/>
    </row>
    <row r="9548" spans="1:4" x14ac:dyDescent="0.2">
      <c r="A9548" s="496"/>
      <c r="D9548" s="496"/>
    </row>
    <row r="9549" spans="1:4" x14ac:dyDescent="0.2">
      <c r="A9549" s="496"/>
      <c r="D9549" s="496"/>
    </row>
    <row r="9550" spans="1:4" x14ac:dyDescent="0.2">
      <c r="A9550" s="496"/>
      <c r="D9550" s="496"/>
    </row>
    <row r="9551" spans="1:4" x14ac:dyDescent="0.2">
      <c r="A9551" s="496"/>
      <c r="D9551" s="496"/>
    </row>
    <row r="9552" spans="1:4" x14ac:dyDescent="0.2">
      <c r="A9552" s="496"/>
      <c r="D9552" s="496"/>
    </row>
    <row r="9553" spans="1:4" x14ac:dyDescent="0.2">
      <c r="A9553" s="496"/>
      <c r="D9553" s="496"/>
    </row>
    <row r="9554" spans="1:4" x14ac:dyDescent="0.2">
      <c r="A9554" s="496"/>
      <c r="D9554" s="496"/>
    </row>
    <row r="9555" spans="1:4" x14ac:dyDescent="0.2">
      <c r="A9555" s="496"/>
      <c r="D9555" s="496"/>
    </row>
    <row r="9556" spans="1:4" x14ac:dyDescent="0.2">
      <c r="A9556" s="496"/>
      <c r="D9556" s="496"/>
    </row>
    <row r="9557" spans="1:4" x14ac:dyDescent="0.2">
      <c r="A9557" s="496"/>
      <c r="D9557" s="496"/>
    </row>
    <row r="9558" spans="1:4" x14ac:dyDescent="0.2">
      <c r="A9558" s="496"/>
      <c r="D9558" s="496"/>
    </row>
    <row r="9559" spans="1:4" x14ac:dyDescent="0.2">
      <c r="A9559" s="496"/>
      <c r="D9559" s="496"/>
    </row>
    <row r="9560" spans="1:4" x14ac:dyDescent="0.2">
      <c r="A9560" s="496"/>
      <c r="D9560" s="496"/>
    </row>
    <row r="9561" spans="1:4" x14ac:dyDescent="0.2">
      <c r="A9561" s="496"/>
      <c r="D9561" s="496"/>
    </row>
    <row r="9562" spans="1:4" x14ac:dyDescent="0.2">
      <c r="A9562" s="496"/>
      <c r="D9562" s="496"/>
    </row>
    <row r="9563" spans="1:4" x14ac:dyDescent="0.2">
      <c r="A9563" s="496"/>
      <c r="D9563" s="496"/>
    </row>
    <row r="9564" spans="1:4" x14ac:dyDescent="0.2">
      <c r="A9564" s="496"/>
      <c r="D9564" s="496"/>
    </row>
    <row r="9565" spans="1:4" x14ac:dyDescent="0.2">
      <c r="A9565" s="496"/>
      <c r="D9565" s="496"/>
    </row>
    <row r="9566" spans="1:4" x14ac:dyDescent="0.2">
      <c r="A9566" s="496"/>
      <c r="D9566" s="496"/>
    </row>
    <row r="9567" spans="1:4" x14ac:dyDescent="0.2">
      <c r="A9567" s="496"/>
      <c r="D9567" s="496"/>
    </row>
    <row r="9568" spans="1:4" x14ac:dyDescent="0.2">
      <c r="A9568" s="496"/>
      <c r="D9568" s="496"/>
    </row>
    <row r="9569" spans="1:4" x14ac:dyDescent="0.2">
      <c r="A9569" s="496"/>
      <c r="D9569" s="496"/>
    </row>
    <row r="9570" spans="1:4" x14ac:dyDescent="0.2">
      <c r="A9570" s="496"/>
      <c r="D9570" s="496"/>
    </row>
    <row r="9571" spans="1:4" x14ac:dyDescent="0.2">
      <c r="A9571" s="496"/>
      <c r="D9571" s="496"/>
    </row>
    <row r="9572" spans="1:4" x14ac:dyDescent="0.2">
      <c r="A9572" s="496"/>
      <c r="D9572" s="496"/>
    </row>
    <row r="9573" spans="1:4" x14ac:dyDescent="0.2">
      <c r="A9573" s="496"/>
      <c r="D9573" s="496"/>
    </row>
    <row r="9574" spans="1:4" x14ac:dyDescent="0.2">
      <c r="A9574" s="496"/>
      <c r="D9574" s="496"/>
    </row>
    <row r="9575" spans="1:4" x14ac:dyDescent="0.2">
      <c r="A9575" s="496"/>
      <c r="D9575" s="496"/>
    </row>
    <row r="9576" spans="1:4" x14ac:dyDescent="0.2">
      <c r="A9576" s="496"/>
      <c r="D9576" s="496"/>
    </row>
    <row r="9577" spans="1:4" x14ac:dyDescent="0.2">
      <c r="A9577" s="496"/>
      <c r="D9577" s="496"/>
    </row>
    <row r="9578" spans="1:4" x14ac:dyDescent="0.2">
      <c r="A9578" s="496"/>
      <c r="D9578" s="496"/>
    </row>
    <row r="9579" spans="1:4" x14ac:dyDescent="0.2">
      <c r="A9579" s="496"/>
      <c r="D9579" s="496"/>
    </row>
    <row r="9580" spans="1:4" x14ac:dyDescent="0.2">
      <c r="A9580" s="496"/>
      <c r="D9580" s="496"/>
    </row>
    <row r="9581" spans="1:4" x14ac:dyDescent="0.2">
      <c r="A9581" s="496"/>
      <c r="D9581" s="496"/>
    </row>
    <row r="9582" spans="1:4" x14ac:dyDescent="0.2">
      <c r="A9582" s="496"/>
      <c r="D9582" s="496"/>
    </row>
    <row r="9583" spans="1:4" x14ac:dyDescent="0.2">
      <c r="A9583" s="496"/>
      <c r="D9583" s="496"/>
    </row>
    <row r="9584" spans="1:4" x14ac:dyDescent="0.2">
      <c r="A9584" s="496"/>
      <c r="D9584" s="496"/>
    </row>
    <row r="9585" spans="1:4" x14ac:dyDescent="0.2">
      <c r="A9585" s="496"/>
      <c r="D9585" s="496"/>
    </row>
    <row r="9586" spans="1:4" x14ac:dyDescent="0.2">
      <c r="A9586" s="496"/>
      <c r="D9586" s="496"/>
    </row>
    <row r="9587" spans="1:4" x14ac:dyDescent="0.2">
      <c r="A9587" s="496"/>
      <c r="D9587" s="496"/>
    </row>
    <row r="9588" spans="1:4" x14ac:dyDescent="0.2">
      <c r="A9588" s="496"/>
      <c r="D9588" s="496"/>
    </row>
    <row r="9589" spans="1:4" x14ac:dyDescent="0.2">
      <c r="A9589" s="496"/>
      <c r="D9589" s="496"/>
    </row>
    <row r="9590" spans="1:4" x14ac:dyDescent="0.2">
      <c r="A9590" s="496"/>
      <c r="D9590" s="496"/>
    </row>
    <row r="9591" spans="1:4" x14ac:dyDescent="0.2">
      <c r="A9591" s="496"/>
      <c r="D9591" s="496"/>
    </row>
    <row r="9592" spans="1:4" x14ac:dyDescent="0.2">
      <c r="A9592" s="496"/>
      <c r="D9592" s="496"/>
    </row>
    <row r="9593" spans="1:4" x14ac:dyDescent="0.2">
      <c r="A9593" s="496"/>
      <c r="D9593" s="496"/>
    </row>
    <row r="9594" spans="1:4" x14ac:dyDescent="0.2">
      <c r="A9594" s="496"/>
      <c r="D9594" s="496"/>
    </row>
    <row r="9595" spans="1:4" x14ac:dyDescent="0.2">
      <c r="A9595" s="496"/>
      <c r="D9595" s="496"/>
    </row>
    <row r="9596" spans="1:4" x14ac:dyDescent="0.2">
      <c r="A9596" s="496"/>
      <c r="D9596" s="496"/>
    </row>
    <row r="9597" spans="1:4" x14ac:dyDescent="0.2">
      <c r="A9597" s="496"/>
      <c r="D9597" s="496"/>
    </row>
    <row r="9598" spans="1:4" x14ac:dyDescent="0.2">
      <c r="A9598" s="496"/>
      <c r="D9598" s="496"/>
    </row>
    <row r="9599" spans="1:4" x14ac:dyDescent="0.2">
      <c r="A9599" s="496"/>
      <c r="D9599" s="496"/>
    </row>
    <row r="9600" spans="1:4" x14ac:dyDescent="0.2">
      <c r="A9600" s="496"/>
      <c r="D9600" s="496"/>
    </row>
    <row r="9601" spans="1:4" x14ac:dyDescent="0.2">
      <c r="A9601" s="496"/>
      <c r="D9601" s="496"/>
    </row>
    <row r="9602" spans="1:4" x14ac:dyDescent="0.2">
      <c r="A9602" s="496"/>
      <c r="D9602" s="496"/>
    </row>
    <row r="9603" spans="1:4" x14ac:dyDescent="0.2">
      <c r="A9603" s="496"/>
      <c r="D9603" s="496"/>
    </row>
    <row r="9604" spans="1:4" x14ac:dyDescent="0.2">
      <c r="A9604" s="496"/>
      <c r="D9604" s="496"/>
    </row>
    <row r="9605" spans="1:4" x14ac:dyDescent="0.2">
      <c r="A9605" s="496"/>
      <c r="D9605" s="496"/>
    </row>
    <row r="9606" spans="1:4" x14ac:dyDescent="0.2">
      <c r="A9606" s="496"/>
      <c r="D9606" s="496"/>
    </row>
    <row r="9607" spans="1:4" x14ac:dyDescent="0.2">
      <c r="A9607" s="496"/>
      <c r="D9607" s="496"/>
    </row>
    <row r="9608" spans="1:4" x14ac:dyDescent="0.2">
      <c r="A9608" s="496"/>
      <c r="D9608" s="496"/>
    </row>
    <row r="9609" spans="1:4" x14ac:dyDescent="0.2">
      <c r="A9609" s="496"/>
      <c r="D9609" s="496"/>
    </row>
    <row r="9610" spans="1:4" x14ac:dyDescent="0.2">
      <c r="A9610" s="496"/>
      <c r="D9610" s="496"/>
    </row>
    <row r="9611" spans="1:4" x14ac:dyDescent="0.2">
      <c r="A9611" s="496"/>
      <c r="D9611" s="496"/>
    </row>
    <row r="9612" spans="1:4" x14ac:dyDescent="0.2">
      <c r="A9612" s="496"/>
      <c r="D9612" s="496"/>
    </row>
    <row r="9613" spans="1:4" x14ac:dyDescent="0.2">
      <c r="A9613" s="496"/>
      <c r="D9613" s="496"/>
    </row>
    <row r="9614" spans="1:4" x14ac:dyDescent="0.2">
      <c r="A9614" s="496"/>
      <c r="D9614" s="496"/>
    </row>
    <row r="9615" spans="1:4" x14ac:dyDescent="0.2">
      <c r="A9615" s="496"/>
      <c r="D9615" s="496"/>
    </row>
    <row r="9616" spans="1:4" x14ac:dyDescent="0.2">
      <c r="A9616" s="496"/>
      <c r="D9616" s="496"/>
    </row>
    <row r="9617" spans="1:4" x14ac:dyDescent="0.2">
      <c r="A9617" s="496"/>
      <c r="D9617" s="496"/>
    </row>
    <row r="9618" spans="1:4" x14ac:dyDescent="0.2">
      <c r="A9618" s="496"/>
      <c r="D9618" s="496"/>
    </row>
    <row r="9619" spans="1:4" x14ac:dyDescent="0.2">
      <c r="A9619" s="496"/>
      <c r="D9619" s="496"/>
    </row>
    <row r="9620" spans="1:4" x14ac:dyDescent="0.2">
      <c r="A9620" s="496"/>
      <c r="D9620" s="496"/>
    </row>
    <row r="9621" spans="1:4" x14ac:dyDescent="0.2">
      <c r="A9621" s="496"/>
      <c r="D9621" s="496"/>
    </row>
    <row r="9622" spans="1:4" x14ac:dyDescent="0.2">
      <c r="A9622" s="496"/>
      <c r="D9622" s="496"/>
    </row>
    <row r="9623" spans="1:4" x14ac:dyDescent="0.2">
      <c r="A9623" s="496"/>
      <c r="D9623" s="496"/>
    </row>
    <row r="9624" spans="1:4" x14ac:dyDescent="0.2">
      <c r="A9624" s="496"/>
      <c r="D9624" s="496"/>
    </row>
    <row r="9625" spans="1:4" x14ac:dyDescent="0.2">
      <c r="A9625" s="496"/>
      <c r="D9625" s="496"/>
    </row>
    <row r="9626" spans="1:4" x14ac:dyDescent="0.2">
      <c r="A9626" s="496"/>
      <c r="D9626" s="496"/>
    </row>
    <row r="9627" spans="1:4" x14ac:dyDescent="0.2">
      <c r="A9627" s="496"/>
      <c r="D9627" s="496"/>
    </row>
    <row r="9628" spans="1:4" x14ac:dyDescent="0.2">
      <c r="A9628" s="496"/>
      <c r="D9628" s="496"/>
    </row>
    <row r="9629" spans="1:4" x14ac:dyDescent="0.2">
      <c r="A9629" s="496"/>
      <c r="D9629" s="496"/>
    </row>
    <row r="9630" spans="1:4" x14ac:dyDescent="0.2">
      <c r="A9630" s="496"/>
      <c r="D9630" s="496"/>
    </row>
    <row r="9631" spans="1:4" x14ac:dyDescent="0.2">
      <c r="A9631" s="496"/>
      <c r="D9631" s="496"/>
    </row>
    <row r="9632" spans="1:4" x14ac:dyDescent="0.2">
      <c r="A9632" s="496"/>
      <c r="D9632" s="496"/>
    </row>
    <row r="9633" spans="1:4" x14ac:dyDescent="0.2">
      <c r="A9633" s="496"/>
      <c r="D9633" s="496"/>
    </row>
    <row r="9634" spans="1:4" x14ac:dyDescent="0.2">
      <c r="A9634" s="496"/>
      <c r="D9634" s="496"/>
    </row>
    <row r="9635" spans="1:4" x14ac:dyDescent="0.2">
      <c r="A9635" s="496"/>
      <c r="D9635" s="496"/>
    </row>
    <row r="9636" spans="1:4" x14ac:dyDescent="0.2">
      <c r="A9636" s="496"/>
      <c r="D9636" s="496"/>
    </row>
    <row r="9637" spans="1:4" x14ac:dyDescent="0.2">
      <c r="A9637" s="496"/>
      <c r="D9637" s="496"/>
    </row>
    <row r="9638" spans="1:4" x14ac:dyDescent="0.2">
      <c r="A9638" s="496"/>
      <c r="D9638" s="496"/>
    </row>
    <row r="9639" spans="1:4" x14ac:dyDescent="0.2">
      <c r="A9639" s="496"/>
      <c r="D9639" s="496"/>
    </row>
    <row r="9640" spans="1:4" x14ac:dyDescent="0.2">
      <c r="A9640" s="496"/>
      <c r="D9640" s="496"/>
    </row>
    <row r="9641" spans="1:4" x14ac:dyDescent="0.2">
      <c r="A9641" s="496"/>
      <c r="D9641" s="496"/>
    </row>
    <row r="9642" spans="1:4" x14ac:dyDescent="0.2">
      <c r="A9642" s="496"/>
      <c r="D9642" s="496"/>
    </row>
    <row r="9643" spans="1:4" x14ac:dyDescent="0.2">
      <c r="A9643" s="496"/>
      <c r="D9643" s="496"/>
    </row>
    <row r="9644" spans="1:4" x14ac:dyDescent="0.2">
      <c r="A9644" s="496"/>
      <c r="D9644" s="496"/>
    </row>
    <row r="9645" spans="1:4" x14ac:dyDescent="0.2">
      <c r="A9645" s="496"/>
      <c r="D9645" s="496"/>
    </row>
    <row r="9646" spans="1:4" x14ac:dyDescent="0.2">
      <c r="A9646" s="496"/>
      <c r="D9646" s="496"/>
    </row>
    <row r="9647" spans="1:4" x14ac:dyDescent="0.2">
      <c r="A9647" s="496"/>
      <c r="D9647" s="496"/>
    </row>
    <row r="9648" spans="1:4" x14ac:dyDescent="0.2">
      <c r="A9648" s="496"/>
      <c r="D9648" s="496"/>
    </row>
    <row r="9649" spans="1:4" x14ac:dyDescent="0.2">
      <c r="A9649" s="496"/>
      <c r="D9649" s="496"/>
    </row>
    <row r="9650" spans="1:4" x14ac:dyDescent="0.2">
      <c r="A9650" s="496"/>
      <c r="D9650" s="496"/>
    </row>
    <row r="9651" spans="1:4" x14ac:dyDescent="0.2">
      <c r="A9651" s="496"/>
      <c r="D9651" s="496"/>
    </row>
    <row r="9652" spans="1:4" x14ac:dyDescent="0.2">
      <c r="A9652" s="496"/>
      <c r="D9652" s="496"/>
    </row>
    <row r="9653" spans="1:4" x14ac:dyDescent="0.2">
      <c r="A9653" s="496"/>
      <c r="D9653" s="496"/>
    </row>
    <row r="9654" spans="1:4" x14ac:dyDescent="0.2">
      <c r="A9654" s="496"/>
      <c r="D9654" s="496"/>
    </row>
    <row r="9655" spans="1:4" x14ac:dyDescent="0.2">
      <c r="A9655" s="496"/>
      <c r="D9655" s="496"/>
    </row>
    <row r="9656" spans="1:4" x14ac:dyDescent="0.2">
      <c r="A9656" s="496"/>
      <c r="D9656" s="496"/>
    </row>
    <row r="9657" spans="1:4" x14ac:dyDescent="0.2">
      <c r="A9657" s="496"/>
      <c r="D9657" s="496"/>
    </row>
    <row r="9658" spans="1:4" x14ac:dyDescent="0.2">
      <c r="A9658" s="496"/>
      <c r="D9658" s="496"/>
    </row>
    <row r="9659" spans="1:4" x14ac:dyDescent="0.2">
      <c r="A9659" s="496"/>
      <c r="D9659" s="496"/>
    </row>
    <row r="9660" spans="1:4" x14ac:dyDescent="0.2">
      <c r="A9660" s="496"/>
      <c r="D9660" s="496"/>
    </row>
    <row r="9661" spans="1:4" x14ac:dyDescent="0.2">
      <c r="A9661" s="496"/>
      <c r="D9661" s="496"/>
    </row>
    <row r="9662" spans="1:4" x14ac:dyDescent="0.2">
      <c r="A9662" s="496"/>
      <c r="D9662" s="496"/>
    </row>
    <row r="9663" spans="1:4" x14ac:dyDescent="0.2">
      <c r="A9663" s="496"/>
      <c r="D9663" s="496"/>
    </row>
    <row r="9664" spans="1:4" x14ac:dyDescent="0.2">
      <c r="A9664" s="496"/>
      <c r="D9664" s="496"/>
    </row>
    <row r="9665" spans="1:4" x14ac:dyDescent="0.2">
      <c r="A9665" s="496"/>
      <c r="D9665" s="496"/>
    </row>
    <row r="9666" spans="1:4" x14ac:dyDescent="0.2">
      <c r="A9666" s="496"/>
      <c r="D9666" s="496"/>
    </row>
    <row r="9667" spans="1:4" x14ac:dyDescent="0.2">
      <c r="A9667" s="496"/>
      <c r="D9667" s="496"/>
    </row>
    <row r="9668" spans="1:4" x14ac:dyDescent="0.2">
      <c r="A9668" s="496"/>
      <c r="D9668" s="496"/>
    </row>
    <row r="9669" spans="1:4" x14ac:dyDescent="0.2">
      <c r="A9669" s="496"/>
      <c r="D9669" s="496"/>
    </row>
    <row r="9670" spans="1:4" x14ac:dyDescent="0.2">
      <c r="A9670" s="496"/>
      <c r="D9670" s="496"/>
    </row>
    <row r="9671" spans="1:4" x14ac:dyDescent="0.2">
      <c r="A9671" s="496"/>
      <c r="D9671" s="496"/>
    </row>
    <row r="9672" spans="1:4" x14ac:dyDescent="0.2">
      <c r="A9672" s="496"/>
      <c r="D9672" s="496"/>
    </row>
    <row r="9673" spans="1:4" x14ac:dyDescent="0.2">
      <c r="A9673" s="496"/>
      <c r="D9673" s="496"/>
    </row>
    <row r="9674" spans="1:4" x14ac:dyDescent="0.2">
      <c r="A9674" s="496"/>
      <c r="D9674" s="496"/>
    </row>
    <row r="9675" spans="1:4" x14ac:dyDescent="0.2">
      <c r="A9675" s="496"/>
      <c r="D9675" s="496"/>
    </row>
    <row r="9676" spans="1:4" x14ac:dyDescent="0.2">
      <c r="A9676" s="496"/>
      <c r="D9676" s="496"/>
    </row>
    <row r="9677" spans="1:4" x14ac:dyDescent="0.2">
      <c r="A9677" s="496"/>
      <c r="D9677" s="496"/>
    </row>
    <row r="9678" spans="1:4" x14ac:dyDescent="0.2">
      <c r="A9678" s="496"/>
      <c r="D9678" s="496"/>
    </row>
    <row r="9679" spans="1:4" x14ac:dyDescent="0.2">
      <c r="A9679" s="496"/>
      <c r="D9679" s="496"/>
    </row>
    <row r="9680" spans="1:4" x14ac:dyDescent="0.2">
      <c r="A9680" s="496"/>
      <c r="D9680" s="496"/>
    </row>
    <row r="9681" spans="1:4" x14ac:dyDescent="0.2">
      <c r="A9681" s="496"/>
      <c r="D9681" s="496"/>
    </row>
    <row r="9682" spans="1:4" x14ac:dyDescent="0.2">
      <c r="A9682" s="496"/>
      <c r="D9682" s="496"/>
    </row>
    <row r="9683" spans="1:4" x14ac:dyDescent="0.2">
      <c r="A9683" s="496"/>
      <c r="D9683" s="496"/>
    </row>
    <row r="9684" spans="1:4" x14ac:dyDescent="0.2">
      <c r="A9684" s="496"/>
      <c r="D9684" s="496"/>
    </row>
    <row r="9685" spans="1:4" x14ac:dyDescent="0.2">
      <c r="A9685" s="496"/>
      <c r="D9685" s="496"/>
    </row>
    <row r="9686" spans="1:4" x14ac:dyDescent="0.2">
      <c r="A9686" s="496"/>
      <c r="D9686" s="496"/>
    </row>
    <row r="9687" spans="1:4" x14ac:dyDescent="0.2">
      <c r="A9687" s="496"/>
      <c r="D9687" s="496"/>
    </row>
    <row r="9688" spans="1:4" x14ac:dyDescent="0.2">
      <c r="A9688" s="496"/>
      <c r="D9688" s="496"/>
    </row>
    <row r="9689" spans="1:4" x14ac:dyDescent="0.2">
      <c r="A9689" s="496"/>
      <c r="D9689" s="496"/>
    </row>
    <row r="9690" spans="1:4" x14ac:dyDescent="0.2">
      <c r="A9690" s="496"/>
      <c r="D9690" s="496"/>
    </row>
    <row r="9691" spans="1:4" x14ac:dyDescent="0.2">
      <c r="A9691" s="496"/>
      <c r="D9691" s="496"/>
    </row>
    <row r="9692" spans="1:4" x14ac:dyDescent="0.2">
      <c r="A9692" s="496"/>
      <c r="D9692" s="496"/>
    </row>
    <row r="9693" spans="1:4" x14ac:dyDescent="0.2">
      <c r="A9693" s="496"/>
      <c r="D9693" s="496"/>
    </row>
    <row r="9694" spans="1:4" x14ac:dyDescent="0.2">
      <c r="A9694" s="496"/>
      <c r="D9694" s="496"/>
    </row>
    <row r="9695" spans="1:4" x14ac:dyDescent="0.2">
      <c r="A9695" s="496"/>
      <c r="D9695" s="496"/>
    </row>
    <row r="9696" spans="1:4" x14ac:dyDescent="0.2">
      <c r="A9696" s="496"/>
      <c r="D9696" s="496"/>
    </row>
    <row r="9697" spans="1:4" x14ac:dyDescent="0.2">
      <c r="A9697" s="496"/>
      <c r="D9697" s="496"/>
    </row>
    <row r="9698" spans="1:4" x14ac:dyDescent="0.2">
      <c r="A9698" s="496"/>
      <c r="D9698" s="496"/>
    </row>
    <row r="9699" spans="1:4" x14ac:dyDescent="0.2">
      <c r="A9699" s="496"/>
      <c r="D9699" s="496"/>
    </row>
    <row r="9700" spans="1:4" x14ac:dyDescent="0.2">
      <c r="A9700" s="496"/>
      <c r="D9700" s="496"/>
    </row>
    <row r="9701" spans="1:4" x14ac:dyDescent="0.2">
      <c r="A9701" s="496"/>
      <c r="D9701" s="496"/>
    </row>
    <row r="9702" spans="1:4" x14ac:dyDescent="0.2">
      <c r="A9702" s="496"/>
      <c r="D9702" s="496"/>
    </row>
    <row r="9703" spans="1:4" x14ac:dyDescent="0.2">
      <c r="A9703" s="496"/>
      <c r="D9703" s="496"/>
    </row>
    <row r="9704" spans="1:4" x14ac:dyDescent="0.2">
      <c r="A9704" s="496"/>
      <c r="D9704" s="496"/>
    </row>
    <row r="9705" spans="1:4" x14ac:dyDescent="0.2">
      <c r="A9705" s="496"/>
      <c r="D9705" s="496"/>
    </row>
    <row r="9706" spans="1:4" x14ac:dyDescent="0.2">
      <c r="A9706" s="496"/>
      <c r="D9706" s="496"/>
    </row>
    <row r="9707" spans="1:4" x14ac:dyDescent="0.2">
      <c r="A9707" s="496"/>
      <c r="D9707" s="496"/>
    </row>
    <row r="9708" spans="1:4" x14ac:dyDescent="0.2">
      <c r="A9708" s="496"/>
      <c r="D9708" s="496"/>
    </row>
    <row r="9709" spans="1:4" x14ac:dyDescent="0.2">
      <c r="A9709" s="496"/>
      <c r="D9709" s="496"/>
    </row>
    <row r="9710" spans="1:4" x14ac:dyDescent="0.2">
      <c r="A9710" s="496"/>
      <c r="D9710" s="496"/>
    </row>
    <row r="9711" spans="1:4" x14ac:dyDescent="0.2">
      <c r="A9711" s="496"/>
      <c r="D9711" s="496"/>
    </row>
    <row r="9712" spans="1:4" x14ac:dyDescent="0.2">
      <c r="A9712" s="496"/>
      <c r="D9712" s="496"/>
    </row>
    <row r="9713" spans="1:4" x14ac:dyDescent="0.2">
      <c r="A9713" s="496"/>
      <c r="D9713" s="496"/>
    </row>
    <row r="9714" spans="1:4" x14ac:dyDescent="0.2">
      <c r="A9714" s="496"/>
      <c r="D9714" s="496"/>
    </row>
    <row r="9715" spans="1:4" x14ac:dyDescent="0.2">
      <c r="A9715" s="496"/>
      <c r="D9715" s="496"/>
    </row>
    <row r="9716" spans="1:4" x14ac:dyDescent="0.2">
      <c r="A9716" s="496"/>
      <c r="D9716" s="496"/>
    </row>
    <row r="9717" spans="1:4" x14ac:dyDescent="0.2">
      <c r="A9717" s="496"/>
      <c r="D9717" s="496"/>
    </row>
    <row r="9718" spans="1:4" x14ac:dyDescent="0.2">
      <c r="A9718" s="496"/>
      <c r="D9718" s="496"/>
    </row>
    <row r="9719" spans="1:4" x14ac:dyDescent="0.2">
      <c r="A9719" s="496"/>
      <c r="D9719" s="496"/>
    </row>
    <row r="9720" spans="1:4" x14ac:dyDescent="0.2">
      <c r="A9720" s="496"/>
      <c r="D9720" s="496"/>
    </row>
    <row r="9721" spans="1:4" x14ac:dyDescent="0.2">
      <c r="A9721" s="496"/>
      <c r="D9721" s="496"/>
    </row>
    <row r="9722" spans="1:4" x14ac:dyDescent="0.2">
      <c r="A9722" s="496"/>
      <c r="D9722" s="496"/>
    </row>
    <row r="9723" spans="1:4" x14ac:dyDescent="0.2">
      <c r="A9723" s="496"/>
      <c r="D9723" s="496"/>
    </row>
    <row r="9724" spans="1:4" x14ac:dyDescent="0.2">
      <c r="A9724" s="496"/>
      <c r="D9724" s="496"/>
    </row>
    <row r="9725" spans="1:4" x14ac:dyDescent="0.2">
      <c r="A9725" s="496"/>
      <c r="D9725" s="496"/>
    </row>
    <row r="9726" spans="1:4" x14ac:dyDescent="0.2">
      <c r="A9726" s="496"/>
      <c r="D9726" s="496"/>
    </row>
    <row r="9727" spans="1:4" x14ac:dyDescent="0.2">
      <c r="A9727" s="496"/>
      <c r="D9727" s="496"/>
    </row>
    <row r="9728" spans="1:4" x14ac:dyDescent="0.2">
      <c r="A9728" s="496"/>
      <c r="D9728" s="496"/>
    </row>
    <row r="9729" spans="1:4" x14ac:dyDescent="0.2">
      <c r="A9729" s="496"/>
      <c r="D9729" s="496"/>
    </row>
    <row r="9730" spans="1:4" x14ac:dyDescent="0.2">
      <c r="A9730" s="496"/>
      <c r="D9730" s="496"/>
    </row>
    <row r="9731" spans="1:4" x14ac:dyDescent="0.2">
      <c r="A9731" s="496"/>
      <c r="D9731" s="496"/>
    </row>
    <row r="9732" spans="1:4" x14ac:dyDescent="0.2">
      <c r="A9732" s="496"/>
      <c r="D9732" s="496"/>
    </row>
    <row r="9733" spans="1:4" x14ac:dyDescent="0.2">
      <c r="A9733" s="496"/>
      <c r="D9733" s="496"/>
    </row>
    <row r="9734" spans="1:4" x14ac:dyDescent="0.2">
      <c r="A9734" s="496"/>
      <c r="D9734" s="496"/>
    </row>
    <row r="9735" spans="1:4" x14ac:dyDescent="0.2">
      <c r="A9735" s="496"/>
      <c r="D9735" s="496"/>
    </row>
    <row r="9736" spans="1:4" x14ac:dyDescent="0.2">
      <c r="A9736" s="496"/>
      <c r="D9736" s="496"/>
    </row>
    <row r="9737" spans="1:4" x14ac:dyDescent="0.2">
      <c r="A9737" s="496"/>
      <c r="D9737" s="496"/>
    </row>
    <row r="9738" spans="1:4" x14ac:dyDescent="0.2">
      <c r="A9738" s="496"/>
      <c r="D9738" s="496"/>
    </row>
    <row r="9739" spans="1:4" x14ac:dyDescent="0.2">
      <c r="A9739" s="496"/>
      <c r="D9739" s="496"/>
    </row>
    <row r="9740" spans="1:4" x14ac:dyDescent="0.2">
      <c r="A9740" s="496"/>
      <c r="D9740" s="496"/>
    </row>
    <row r="9741" spans="1:4" x14ac:dyDescent="0.2">
      <c r="A9741" s="496"/>
      <c r="D9741" s="496"/>
    </row>
    <row r="9742" spans="1:4" x14ac:dyDescent="0.2">
      <c r="A9742" s="496"/>
      <c r="D9742" s="496"/>
    </row>
    <row r="9743" spans="1:4" x14ac:dyDescent="0.2">
      <c r="A9743" s="496"/>
      <c r="D9743" s="496"/>
    </row>
    <row r="9744" spans="1:4" x14ac:dyDescent="0.2">
      <c r="A9744" s="496"/>
      <c r="D9744" s="496"/>
    </row>
    <row r="9745" spans="1:4" x14ac:dyDescent="0.2">
      <c r="A9745" s="496"/>
      <c r="D9745" s="496"/>
    </row>
    <row r="9746" spans="1:4" x14ac:dyDescent="0.2">
      <c r="A9746" s="496"/>
      <c r="D9746" s="496"/>
    </row>
    <row r="9747" spans="1:4" x14ac:dyDescent="0.2">
      <c r="A9747" s="496"/>
      <c r="D9747" s="496"/>
    </row>
    <row r="9748" spans="1:4" x14ac:dyDescent="0.2">
      <c r="A9748" s="496"/>
      <c r="D9748" s="496"/>
    </row>
    <row r="9749" spans="1:4" x14ac:dyDescent="0.2">
      <c r="A9749" s="496"/>
      <c r="D9749" s="496"/>
    </row>
    <row r="9750" spans="1:4" x14ac:dyDescent="0.2">
      <c r="A9750" s="496"/>
      <c r="D9750" s="496"/>
    </row>
    <row r="9751" spans="1:4" x14ac:dyDescent="0.2">
      <c r="A9751" s="496"/>
      <c r="D9751" s="496"/>
    </row>
    <row r="9752" spans="1:4" x14ac:dyDescent="0.2">
      <c r="A9752" s="496"/>
      <c r="D9752" s="496"/>
    </row>
    <row r="9753" spans="1:4" x14ac:dyDescent="0.2">
      <c r="A9753" s="496"/>
      <c r="D9753" s="496"/>
    </row>
    <row r="9754" spans="1:4" x14ac:dyDescent="0.2">
      <c r="A9754" s="496"/>
      <c r="D9754" s="496"/>
    </row>
    <row r="9755" spans="1:4" x14ac:dyDescent="0.2">
      <c r="A9755" s="496"/>
      <c r="D9755" s="496"/>
    </row>
    <row r="9756" spans="1:4" x14ac:dyDescent="0.2">
      <c r="A9756" s="496"/>
      <c r="D9756" s="496"/>
    </row>
    <row r="9757" spans="1:4" x14ac:dyDescent="0.2">
      <c r="A9757" s="496"/>
      <c r="D9757" s="496"/>
    </row>
    <row r="9758" spans="1:4" x14ac:dyDescent="0.2">
      <c r="A9758" s="496"/>
      <c r="D9758" s="496"/>
    </row>
    <row r="9759" spans="1:4" x14ac:dyDescent="0.2">
      <c r="A9759" s="496"/>
      <c r="D9759" s="496"/>
    </row>
    <row r="9760" spans="1:4" x14ac:dyDescent="0.2">
      <c r="A9760" s="496"/>
      <c r="D9760" s="496"/>
    </row>
    <row r="9761" spans="1:4" x14ac:dyDescent="0.2">
      <c r="A9761" s="496"/>
      <c r="D9761" s="496"/>
    </row>
    <row r="9762" spans="1:4" x14ac:dyDescent="0.2">
      <c r="A9762" s="496"/>
      <c r="D9762" s="496"/>
    </row>
    <row r="9763" spans="1:4" x14ac:dyDescent="0.2">
      <c r="A9763" s="496"/>
      <c r="D9763" s="496"/>
    </row>
    <row r="9764" spans="1:4" x14ac:dyDescent="0.2">
      <c r="A9764" s="496"/>
      <c r="D9764" s="496"/>
    </row>
    <row r="9765" spans="1:4" x14ac:dyDescent="0.2">
      <c r="A9765" s="496"/>
      <c r="D9765" s="496"/>
    </row>
    <row r="9766" spans="1:4" x14ac:dyDescent="0.2">
      <c r="A9766" s="496"/>
      <c r="D9766" s="496"/>
    </row>
    <row r="9767" spans="1:4" x14ac:dyDescent="0.2">
      <c r="A9767" s="496"/>
      <c r="D9767" s="496"/>
    </row>
    <row r="9768" spans="1:4" x14ac:dyDescent="0.2">
      <c r="A9768" s="496"/>
      <c r="D9768" s="496"/>
    </row>
    <row r="9769" spans="1:4" x14ac:dyDescent="0.2">
      <c r="A9769" s="496"/>
      <c r="D9769" s="496"/>
    </row>
    <row r="9770" spans="1:4" x14ac:dyDescent="0.2">
      <c r="A9770" s="496"/>
      <c r="D9770" s="496"/>
    </row>
    <row r="9771" spans="1:4" x14ac:dyDescent="0.2">
      <c r="A9771" s="496"/>
      <c r="D9771" s="496"/>
    </row>
    <row r="9772" spans="1:4" x14ac:dyDescent="0.2">
      <c r="A9772" s="496"/>
      <c r="D9772" s="496"/>
    </row>
    <row r="9773" spans="1:4" x14ac:dyDescent="0.2">
      <c r="A9773" s="496"/>
      <c r="D9773" s="496"/>
    </row>
    <row r="9774" spans="1:4" x14ac:dyDescent="0.2">
      <c r="A9774" s="496"/>
      <c r="D9774" s="496"/>
    </row>
    <row r="9775" spans="1:4" x14ac:dyDescent="0.2">
      <c r="A9775" s="496"/>
      <c r="D9775" s="496"/>
    </row>
    <row r="9776" spans="1:4" x14ac:dyDescent="0.2">
      <c r="A9776" s="496"/>
      <c r="D9776" s="496"/>
    </row>
    <row r="9777" spans="1:4" x14ac:dyDescent="0.2">
      <c r="A9777" s="496"/>
      <c r="D9777" s="496"/>
    </row>
    <row r="9778" spans="1:4" x14ac:dyDescent="0.2">
      <c r="A9778" s="496"/>
      <c r="D9778" s="496"/>
    </row>
    <row r="9779" spans="1:4" x14ac:dyDescent="0.2">
      <c r="A9779" s="496"/>
      <c r="D9779" s="496"/>
    </row>
    <row r="9780" spans="1:4" x14ac:dyDescent="0.2">
      <c r="A9780" s="496"/>
      <c r="D9780" s="496"/>
    </row>
    <row r="9781" spans="1:4" x14ac:dyDescent="0.2">
      <c r="A9781" s="496"/>
      <c r="D9781" s="496"/>
    </row>
    <row r="9782" spans="1:4" x14ac:dyDescent="0.2">
      <c r="A9782" s="496"/>
      <c r="D9782" s="496"/>
    </row>
    <row r="9783" spans="1:4" x14ac:dyDescent="0.2">
      <c r="A9783" s="496"/>
      <c r="D9783" s="496"/>
    </row>
    <row r="9784" spans="1:4" x14ac:dyDescent="0.2">
      <c r="A9784" s="496"/>
      <c r="D9784" s="496"/>
    </row>
    <row r="9785" spans="1:4" x14ac:dyDescent="0.2">
      <c r="A9785" s="496"/>
      <c r="D9785" s="496"/>
    </row>
    <row r="9786" spans="1:4" x14ac:dyDescent="0.2">
      <c r="A9786" s="496"/>
      <c r="D9786" s="496"/>
    </row>
    <row r="9787" spans="1:4" x14ac:dyDescent="0.2">
      <c r="A9787" s="496"/>
      <c r="D9787" s="496"/>
    </row>
    <row r="9788" spans="1:4" x14ac:dyDescent="0.2">
      <c r="A9788" s="496"/>
      <c r="D9788" s="496"/>
    </row>
    <row r="9789" spans="1:4" x14ac:dyDescent="0.2">
      <c r="A9789" s="496"/>
      <c r="D9789" s="496"/>
    </row>
    <row r="9790" spans="1:4" x14ac:dyDescent="0.2">
      <c r="A9790" s="496"/>
      <c r="D9790" s="496"/>
    </row>
    <row r="9791" spans="1:4" x14ac:dyDescent="0.2">
      <c r="A9791" s="496"/>
      <c r="D9791" s="496"/>
    </row>
    <row r="9792" spans="1:4" x14ac:dyDescent="0.2">
      <c r="A9792" s="496"/>
      <c r="D9792" s="496"/>
    </row>
    <row r="9793" spans="1:4" x14ac:dyDescent="0.2">
      <c r="A9793" s="496"/>
      <c r="D9793" s="496"/>
    </row>
    <row r="9794" spans="1:4" x14ac:dyDescent="0.2">
      <c r="A9794" s="496"/>
      <c r="D9794" s="496"/>
    </row>
    <row r="9795" spans="1:4" x14ac:dyDescent="0.2">
      <c r="A9795" s="496"/>
      <c r="D9795" s="496"/>
    </row>
    <row r="9796" spans="1:4" x14ac:dyDescent="0.2">
      <c r="A9796" s="496"/>
      <c r="D9796" s="496"/>
    </row>
    <row r="9797" spans="1:4" x14ac:dyDescent="0.2">
      <c r="A9797" s="496"/>
      <c r="D9797" s="496"/>
    </row>
    <row r="9798" spans="1:4" x14ac:dyDescent="0.2">
      <c r="A9798" s="496"/>
      <c r="D9798" s="496"/>
    </row>
    <row r="9799" spans="1:4" x14ac:dyDescent="0.2">
      <c r="A9799" s="496"/>
      <c r="D9799" s="496"/>
    </row>
    <row r="9800" spans="1:4" x14ac:dyDescent="0.2">
      <c r="A9800" s="496"/>
      <c r="D9800" s="496"/>
    </row>
    <row r="9801" spans="1:4" x14ac:dyDescent="0.2">
      <c r="A9801" s="496"/>
      <c r="D9801" s="496"/>
    </row>
    <row r="9802" spans="1:4" x14ac:dyDescent="0.2">
      <c r="A9802" s="496"/>
      <c r="D9802" s="496"/>
    </row>
    <row r="9803" spans="1:4" x14ac:dyDescent="0.2">
      <c r="A9803" s="496"/>
      <c r="D9803" s="496"/>
    </row>
    <row r="9804" spans="1:4" x14ac:dyDescent="0.2">
      <c r="A9804" s="496"/>
      <c r="D9804" s="496"/>
    </row>
    <row r="9805" spans="1:4" x14ac:dyDescent="0.2">
      <c r="A9805" s="496"/>
      <c r="D9805" s="496"/>
    </row>
    <row r="9806" spans="1:4" x14ac:dyDescent="0.2">
      <c r="A9806" s="496"/>
      <c r="D9806" s="496"/>
    </row>
    <row r="9807" spans="1:4" x14ac:dyDescent="0.2">
      <c r="A9807" s="496"/>
      <c r="D9807" s="496"/>
    </row>
    <row r="9808" spans="1:4" x14ac:dyDescent="0.2">
      <c r="A9808" s="496"/>
      <c r="D9808" s="496"/>
    </row>
    <row r="9809" spans="1:4" x14ac:dyDescent="0.2">
      <c r="A9809" s="496"/>
      <c r="D9809" s="496"/>
    </row>
    <row r="9810" spans="1:4" x14ac:dyDescent="0.2">
      <c r="A9810" s="496"/>
      <c r="D9810" s="496"/>
    </row>
    <row r="9811" spans="1:4" x14ac:dyDescent="0.2">
      <c r="A9811" s="496"/>
      <c r="D9811" s="496"/>
    </row>
    <row r="9812" spans="1:4" x14ac:dyDescent="0.2">
      <c r="A9812" s="496"/>
      <c r="D9812" s="496"/>
    </row>
    <row r="9813" spans="1:4" x14ac:dyDescent="0.2">
      <c r="A9813" s="496"/>
      <c r="D9813" s="496"/>
    </row>
    <row r="9814" spans="1:4" x14ac:dyDescent="0.2">
      <c r="A9814" s="496"/>
      <c r="D9814" s="496"/>
    </row>
    <row r="9815" spans="1:4" x14ac:dyDescent="0.2">
      <c r="A9815" s="496"/>
      <c r="D9815" s="496"/>
    </row>
    <row r="9816" spans="1:4" x14ac:dyDescent="0.2">
      <c r="A9816" s="496"/>
      <c r="D9816" s="496"/>
    </row>
    <row r="9817" spans="1:4" x14ac:dyDescent="0.2">
      <c r="A9817" s="496"/>
      <c r="D9817" s="496"/>
    </row>
    <row r="9818" spans="1:4" x14ac:dyDescent="0.2">
      <c r="A9818" s="496"/>
      <c r="D9818" s="496"/>
    </row>
    <row r="9819" spans="1:4" x14ac:dyDescent="0.2">
      <c r="A9819" s="496"/>
      <c r="D9819" s="496"/>
    </row>
    <row r="9820" spans="1:4" x14ac:dyDescent="0.2">
      <c r="A9820" s="496"/>
      <c r="D9820" s="496"/>
    </row>
    <row r="9821" spans="1:4" x14ac:dyDescent="0.2">
      <c r="A9821" s="496"/>
      <c r="D9821" s="496"/>
    </row>
    <row r="9822" spans="1:4" x14ac:dyDescent="0.2">
      <c r="A9822" s="496"/>
      <c r="D9822" s="496"/>
    </row>
    <row r="9823" spans="1:4" x14ac:dyDescent="0.2">
      <c r="A9823" s="496"/>
      <c r="D9823" s="496"/>
    </row>
    <row r="9824" spans="1:4" x14ac:dyDescent="0.2">
      <c r="A9824" s="496"/>
      <c r="D9824" s="496"/>
    </row>
    <row r="9825" spans="1:4" x14ac:dyDescent="0.2">
      <c r="A9825" s="496"/>
      <c r="D9825" s="496"/>
    </row>
    <row r="9826" spans="1:4" x14ac:dyDescent="0.2">
      <c r="A9826" s="496"/>
      <c r="D9826" s="496"/>
    </row>
    <row r="9827" spans="1:4" x14ac:dyDescent="0.2">
      <c r="A9827" s="496"/>
      <c r="D9827" s="496"/>
    </row>
    <row r="9828" spans="1:4" x14ac:dyDescent="0.2">
      <c r="A9828" s="496"/>
      <c r="D9828" s="496"/>
    </row>
    <row r="9829" spans="1:4" x14ac:dyDescent="0.2">
      <c r="A9829" s="496"/>
      <c r="D9829" s="496"/>
    </row>
    <row r="9830" spans="1:4" x14ac:dyDescent="0.2">
      <c r="A9830" s="496"/>
      <c r="D9830" s="496"/>
    </row>
    <row r="9831" spans="1:4" x14ac:dyDescent="0.2">
      <c r="A9831" s="496"/>
      <c r="D9831" s="496"/>
    </row>
    <row r="9832" spans="1:4" x14ac:dyDescent="0.2">
      <c r="A9832" s="496"/>
      <c r="D9832" s="496"/>
    </row>
    <row r="9833" spans="1:4" x14ac:dyDescent="0.2">
      <c r="A9833" s="496"/>
      <c r="D9833" s="496"/>
    </row>
    <row r="9834" spans="1:4" x14ac:dyDescent="0.2">
      <c r="A9834" s="496"/>
      <c r="D9834" s="496"/>
    </row>
    <row r="9835" spans="1:4" x14ac:dyDescent="0.2">
      <c r="A9835" s="496"/>
      <c r="D9835" s="496"/>
    </row>
    <row r="9836" spans="1:4" x14ac:dyDescent="0.2">
      <c r="A9836" s="496"/>
      <c r="D9836" s="496"/>
    </row>
    <row r="9837" spans="1:4" x14ac:dyDescent="0.2">
      <c r="A9837" s="496"/>
      <c r="D9837" s="496"/>
    </row>
    <row r="9838" spans="1:4" x14ac:dyDescent="0.2">
      <c r="A9838" s="496"/>
      <c r="D9838" s="496"/>
    </row>
    <row r="9839" spans="1:4" x14ac:dyDescent="0.2">
      <c r="A9839" s="496"/>
      <c r="D9839" s="496"/>
    </row>
    <row r="9840" spans="1:4" x14ac:dyDescent="0.2">
      <c r="A9840" s="496"/>
      <c r="D9840" s="496"/>
    </row>
    <row r="9841" spans="1:4" x14ac:dyDescent="0.2">
      <c r="A9841" s="496"/>
      <c r="D9841" s="496"/>
    </row>
    <row r="9842" spans="1:4" x14ac:dyDescent="0.2">
      <c r="A9842" s="496"/>
      <c r="D9842" s="496"/>
    </row>
    <row r="9843" spans="1:4" x14ac:dyDescent="0.2">
      <c r="A9843" s="496"/>
      <c r="D9843" s="496"/>
    </row>
    <row r="9844" spans="1:4" x14ac:dyDescent="0.2">
      <c r="A9844" s="496"/>
      <c r="D9844" s="496"/>
    </row>
    <row r="9845" spans="1:4" x14ac:dyDescent="0.2">
      <c r="A9845" s="496"/>
      <c r="D9845" s="496"/>
    </row>
    <row r="9846" spans="1:4" x14ac:dyDescent="0.2">
      <c r="A9846" s="496"/>
      <c r="D9846" s="496"/>
    </row>
    <row r="9847" spans="1:4" x14ac:dyDescent="0.2">
      <c r="A9847" s="496"/>
      <c r="D9847" s="496"/>
    </row>
    <row r="9848" spans="1:4" x14ac:dyDescent="0.2">
      <c r="A9848" s="496"/>
      <c r="D9848" s="496"/>
    </row>
    <row r="9849" spans="1:4" x14ac:dyDescent="0.2">
      <c r="A9849" s="496"/>
      <c r="D9849" s="496"/>
    </row>
    <row r="9850" spans="1:4" x14ac:dyDescent="0.2">
      <c r="A9850" s="496"/>
      <c r="D9850" s="496"/>
    </row>
    <row r="9851" spans="1:4" x14ac:dyDescent="0.2">
      <c r="A9851" s="496"/>
      <c r="D9851" s="496"/>
    </row>
    <row r="9852" spans="1:4" x14ac:dyDescent="0.2">
      <c r="A9852" s="496"/>
      <c r="D9852" s="496"/>
    </row>
    <row r="9853" spans="1:4" x14ac:dyDescent="0.2">
      <c r="A9853" s="496"/>
      <c r="D9853" s="496"/>
    </row>
    <row r="9854" spans="1:4" x14ac:dyDescent="0.2">
      <c r="A9854" s="496"/>
      <c r="D9854" s="496"/>
    </row>
    <row r="9855" spans="1:4" x14ac:dyDescent="0.2">
      <c r="A9855" s="496"/>
      <c r="D9855" s="496"/>
    </row>
    <row r="9856" spans="1:4" x14ac:dyDescent="0.2">
      <c r="A9856" s="496"/>
      <c r="D9856" s="496"/>
    </row>
    <row r="9857" spans="1:4" x14ac:dyDescent="0.2">
      <c r="A9857" s="496"/>
      <c r="D9857" s="496"/>
    </row>
    <row r="9858" spans="1:4" x14ac:dyDescent="0.2">
      <c r="A9858" s="496"/>
      <c r="D9858" s="496"/>
    </row>
    <row r="9859" spans="1:4" x14ac:dyDescent="0.2">
      <c r="A9859" s="496"/>
      <c r="D9859" s="496"/>
    </row>
    <row r="9860" spans="1:4" x14ac:dyDescent="0.2">
      <c r="A9860" s="496"/>
      <c r="D9860" s="496"/>
    </row>
    <row r="9861" spans="1:4" x14ac:dyDescent="0.2">
      <c r="A9861" s="496"/>
      <c r="D9861" s="496"/>
    </row>
    <row r="9862" spans="1:4" x14ac:dyDescent="0.2">
      <c r="A9862" s="496"/>
      <c r="D9862" s="496"/>
    </row>
    <row r="9863" spans="1:4" x14ac:dyDescent="0.2">
      <c r="A9863" s="496"/>
      <c r="D9863" s="496"/>
    </row>
    <row r="9864" spans="1:4" x14ac:dyDescent="0.2">
      <c r="A9864" s="496"/>
      <c r="D9864" s="496"/>
    </row>
    <row r="9865" spans="1:4" x14ac:dyDescent="0.2">
      <c r="A9865" s="496"/>
      <c r="D9865" s="496"/>
    </row>
    <row r="9866" spans="1:4" x14ac:dyDescent="0.2">
      <c r="A9866" s="496"/>
      <c r="D9866" s="496"/>
    </row>
    <row r="9867" spans="1:4" x14ac:dyDescent="0.2">
      <c r="A9867" s="496"/>
      <c r="D9867" s="496"/>
    </row>
    <row r="9868" spans="1:4" x14ac:dyDescent="0.2">
      <c r="A9868" s="496"/>
      <c r="D9868" s="496"/>
    </row>
    <row r="9869" spans="1:4" x14ac:dyDescent="0.2">
      <c r="A9869" s="496"/>
      <c r="D9869" s="496"/>
    </row>
    <row r="9870" spans="1:4" x14ac:dyDescent="0.2">
      <c r="A9870" s="496"/>
      <c r="D9870" s="496"/>
    </row>
    <row r="9871" spans="1:4" x14ac:dyDescent="0.2">
      <c r="A9871" s="496"/>
      <c r="D9871" s="496"/>
    </row>
    <row r="9872" spans="1:4" x14ac:dyDescent="0.2">
      <c r="A9872" s="496"/>
      <c r="D9872" s="496"/>
    </row>
    <row r="9873" spans="1:4" x14ac:dyDescent="0.2">
      <c r="A9873" s="496"/>
      <c r="D9873" s="496"/>
    </row>
    <row r="9874" spans="1:4" x14ac:dyDescent="0.2">
      <c r="A9874" s="496"/>
      <c r="D9874" s="496"/>
    </row>
    <row r="9875" spans="1:4" x14ac:dyDescent="0.2">
      <c r="A9875" s="496"/>
      <c r="D9875" s="496"/>
    </row>
    <row r="9876" spans="1:4" x14ac:dyDescent="0.2">
      <c r="A9876" s="496"/>
      <c r="D9876" s="496"/>
    </row>
    <row r="9877" spans="1:4" x14ac:dyDescent="0.2">
      <c r="A9877" s="496"/>
      <c r="D9877" s="496"/>
    </row>
    <row r="9878" spans="1:4" x14ac:dyDescent="0.2">
      <c r="A9878" s="496"/>
      <c r="D9878" s="496"/>
    </row>
    <row r="9879" spans="1:4" x14ac:dyDescent="0.2">
      <c r="A9879" s="496"/>
      <c r="D9879" s="496"/>
    </row>
    <row r="9880" spans="1:4" x14ac:dyDescent="0.2">
      <c r="A9880" s="496"/>
      <c r="D9880" s="496"/>
    </row>
    <row r="9881" spans="1:4" x14ac:dyDescent="0.2">
      <c r="A9881" s="496"/>
      <c r="D9881" s="496"/>
    </row>
    <row r="9882" spans="1:4" x14ac:dyDescent="0.2">
      <c r="A9882" s="496"/>
      <c r="D9882" s="496"/>
    </row>
    <row r="9883" spans="1:4" x14ac:dyDescent="0.2">
      <c r="A9883" s="496"/>
      <c r="D9883" s="496"/>
    </row>
    <row r="9884" spans="1:4" x14ac:dyDescent="0.2">
      <c r="A9884" s="496"/>
      <c r="D9884" s="496"/>
    </row>
    <row r="9885" spans="1:4" x14ac:dyDescent="0.2">
      <c r="A9885" s="496"/>
      <c r="D9885" s="496"/>
    </row>
    <row r="9886" spans="1:4" x14ac:dyDescent="0.2">
      <c r="A9886" s="496"/>
      <c r="D9886" s="496"/>
    </row>
    <row r="9887" spans="1:4" x14ac:dyDescent="0.2">
      <c r="A9887" s="496"/>
      <c r="D9887" s="496"/>
    </row>
    <row r="9888" spans="1:4" x14ac:dyDescent="0.2">
      <c r="A9888" s="496"/>
      <c r="D9888" s="496"/>
    </row>
    <row r="9889" spans="1:4" x14ac:dyDescent="0.2">
      <c r="A9889" s="496"/>
      <c r="D9889" s="496"/>
    </row>
    <row r="9890" spans="1:4" x14ac:dyDescent="0.2">
      <c r="A9890" s="496"/>
      <c r="D9890" s="496"/>
    </row>
    <row r="9891" spans="1:4" x14ac:dyDescent="0.2">
      <c r="A9891" s="496"/>
      <c r="D9891" s="496"/>
    </row>
    <row r="9892" spans="1:4" x14ac:dyDescent="0.2">
      <c r="A9892" s="496"/>
      <c r="D9892" s="496"/>
    </row>
    <row r="9893" spans="1:4" x14ac:dyDescent="0.2">
      <c r="A9893" s="496"/>
      <c r="D9893" s="496"/>
    </row>
    <row r="9894" spans="1:4" x14ac:dyDescent="0.2">
      <c r="A9894" s="496"/>
      <c r="D9894" s="496"/>
    </row>
    <row r="9895" spans="1:4" x14ac:dyDescent="0.2">
      <c r="A9895" s="496"/>
      <c r="D9895" s="496"/>
    </row>
    <row r="9896" spans="1:4" x14ac:dyDescent="0.2">
      <c r="A9896" s="496"/>
      <c r="D9896" s="496"/>
    </row>
    <row r="9897" spans="1:4" x14ac:dyDescent="0.2">
      <c r="A9897" s="496"/>
      <c r="D9897" s="496"/>
    </row>
    <row r="9898" spans="1:4" x14ac:dyDescent="0.2">
      <c r="A9898" s="496"/>
      <c r="D9898" s="496"/>
    </row>
    <row r="9899" spans="1:4" x14ac:dyDescent="0.2">
      <c r="A9899" s="496"/>
      <c r="D9899" s="496"/>
    </row>
    <row r="9900" spans="1:4" x14ac:dyDescent="0.2">
      <c r="A9900" s="496"/>
      <c r="D9900" s="496"/>
    </row>
    <row r="9901" spans="1:4" x14ac:dyDescent="0.2">
      <c r="A9901" s="496"/>
      <c r="D9901" s="496"/>
    </row>
    <row r="9902" spans="1:4" x14ac:dyDescent="0.2">
      <c r="A9902" s="496"/>
      <c r="D9902" s="496"/>
    </row>
    <row r="9903" spans="1:4" x14ac:dyDescent="0.2">
      <c r="A9903" s="496"/>
      <c r="D9903" s="496"/>
    </row>
    <row r="9904" spans="1:4" x14ac:dyDescent="0.2">
      <c r="A9904" s="496"/>
      <c r="D9904" s="496"/>
    </row>
    <row r="9905" spans="1:4" x14ac:dyDescent="0.2">
      <c r="A9905" s="496"/>
      <c r="D9905" s="496"/>
    </row>
    <row r="9906" spans="1:4" x14ac:dyDescent="0.2">
      <c r="A9906" s="496"/>
      <c r="D9906" s="496"/>
    </row>
    <row r="9907" spans="1:4" x14ac:dyDescent="0.2">
      <c r="A9907" s="496"/>
      <c r="D9907" s="496"/>
    </row>
    <row r="9908" spans="1:4" x14ac:dyDescent="0.2">
      <c r="A9908" s="496"/>
      <c r="D9908" s="496"/>
    </row>
    <row r="9909" spans="1:4" x14ac:dyDescent="0.2">
      <c r="A9909" s="496"/>
      <c r="D9909" s="496"/>
    </row>
    <row r="9910" spans="1:4" x14ac:dyDescent="0.2">
      <c r="A9910" s="496"/>
      <c r="D9910" s="496"/>
    </row>
    <row r="9911" spans="1:4" x14ac:dyDescent="0.2">
      <c r="A9911" s="496"/>
      <c r="D9911" s="496"/>
    </row>
    <row r="9912" spans="1:4" x14ac:dyDescent="0.2">
      <c r="A9912" s="496"/>
      <c r="D9912" s="496"/>
    </row>
    <row r="9913" spans="1:4" x14ac:dyDescent="0.2">
      <c r="A9913" s="496"/>
      <c r="D9913" s="496"/>
    </row>
    <row r="9914" spans="1:4" x14ac:dyDescent="0.2">
      <c r="A9914" s="496"/>
      <c r="D9914" s="496"/>
    </row>
    <row r="9915" spans="1:4" x14ac:dyDescent="0.2">
      <c r="A9915" s="496"/>
      <c r="D9915" s="496"/>
    </row>
    <row r="9916" spans="1:4" x14ac:dyDescent="0.2">
      <c r="A9916" s="496"/>
      <c r="D9916" s="496"/>
    </row>
    <row r="9917" spans="1:4" x14ac:dyDescent="0.2">
      <c r="A9917" s="496"/>
      <c r="D9917" s="496"/>
    </row>
    <row r="9918" spans="1:4" x14ac:dyDescent="0.2">
      <c r="A9918" s="496"/>
      <c r="D9918" s="496"/>
    </row>
    <row r="9919" spans="1:4" x14ac:dyDescent="0.2">
      <c r="A9919" s="496"/>
      <c r="D9919" s="496"/>
    </row>
    <row r="9920" spans="1:4" x14ac:dyDescent="0.2">
      <c r="A9920" s="496"/>
      <c r="D9920" s="496"/>
    </row>
    <row r="9921" spans="1:4" x14ac:dyDescent="0.2">
      <c r="A9921" s="496"/>
      <c r="D9921" s="496"/>
    </row>
    <row r="9922" spans="1:4" x14ac:dyDescent="0.2">
      <c r="A9922" s="496"/>
      <c r="D9922" s="496"/>
    </row>
    <row r="9923" spans="1:4" x14ac:dyDescent="0.2">
      <c r="A9923" s="496"/>
      <c r="D9923" s="496"/>
    </row>
    <row r="9924" spans="1:4" x14ac:dyDescent="0.2">
      <c r="A9924" s="496"/>
      <c r="D9924" s="496"/>
    </row>
    <row r="9925" spans="1:4" x14ac:dyDescent="0.2">
      <c r="A9925" s="496"/>
      <c r="D9925" s="496"/>
    </row>
    <row r="9926" spans="1:4" x14ac:dyDescent="0.2">
      <c r="A9926" s="496"/>
      <c r="D9926" s="496"/>
    </row>
    <row r="9927" spans="1:4" x14ac:dyDescent="0.2">
      <c r="A9927" s="496"/>
      <c r="D9927" s="496"/>
    </row>
    <row r="9928" spans="1:4" x14ac:dyDescent="0.2">
      <c r="A9928" s="496"/>
      <c r="D9928" s="496"/>
    </row>
    <row r="9929" spans="1:4" x14ac:dyDescent="0.2">
      <c r="A9929" s="496"/>
      <c r="D9929" s="496"/>
    </row>
    <row r="9930" spans="1:4" x14ac:dyDescent="0.2">
      <c r="A9930" s="496"/>
      <c r="D9930" s="496"/>
    </row>
    <row r="9931" spans="1:4" x14ac:dyDescent="0.2">
      <c r="A9931" s="496"/>
      <c r="D9931" s="496"/>
    </row>
    <row r="9932" spans="1:4" x14ac:dyDescent="0.2">
      <c r="A9932" s="496"/>
      <c r="D9932" s="496"/>
    </row>
    <row r="9933" spans="1:4" x14ac:dyDescent="0.2">
      <c r="A9933" s="496"/>
      <c r="D9933" s="496"/>
    </row>
    <row r="9934" spans="1:4" x14ac:dyDescent="0.2">
      <c r="A9934" s="496"/>
      <c r="D9934" s="496"/>
    </row>
    <row r="9935" spans="1:4" x14ac:dyDescent="0.2">
      <c r="A9935" s="496"/>
      <c r="D9935" s="496"/>
    </row>
    <row r="9936" spans="1:4" x14ac:dyDescent="0.2">
      <c r="A9936" s="496"/>
      <c r="D9936" s="496"/>
    </row>
    <row r="9937" spans="1:4" x14ac:dyDescent="0.2">
      <c r="A9937" s="496"/>
      <c r="D9937" s="496"/>
    </row>
    <row r="9938" spans="1:4" x14ac:dyDescent="0.2">
      <c r="A9938" s="496"/>
      <c r="D9938" s="496"/>
    </row>
    <row r="9939" spans="1:4" x14ac:dyDescent="0.2">
      <c r="A9939" s="496"/>
      <c r="D9939" s="496"/>
    </row>
    <row r="9940" spans="1:4" x14ac:dyDescent="0.2">
      <c r="A9940" s="496"/>
      <c r="D9940" s="496"/>
    </row>
    <row r="9941" spans="1:4" x14ac:dyDescent="0.2">
      <c r="A9941" s="496"/>
      <c r="D9941" s="496"/>
    </row>
    <row r="9942" spans="1:4" x14ac:dyDescent="0.2">
      <c r="A9942" s="496"/>
      <c r="D9942" s="496"/>
    </row>
    <row r="9943" spans="1:4" x14ac:dyDescent="0.2">
      <c r="A9943" s="496"/>
      <c r="D9943" s="496"/>
    </row>
    <row r="9944" spans="1:4" x14ac:dyDescent="0.2">
      <c r="A9944" s="496"/>
      <c r="D9944" s="496"/>
    </row>
    <row r="9945" spans="1:4" x14ac:dyDescent="0.2">
      <c r="A9945" s="496"/>
      <c r="D9945" s="496"/>
    </row>
    <row r="9946" spans="1:4" x14ac:dyDescent="0.2">
      <c r="A9946" s="496"/>
      <c r="D9946" s="496"/>
    </row>
    <row r="9947" spans="1:4" x14ac:dyDescent="0.2">
      <c r="A9947" s="496"/>
      <c r="D9947" s="496"/>
    </row>
    <row r="9948" spans="1:4" x14ac:dyDescent="0.2">
      <c r="A9948" s="496"/>
      <c r="D9948" s="496"/>
    </row>
    <row r="9949" spans="1:4" x14ac:dyDescent="0.2">
      <c r="A9949" s="496"/>
      <c r="D9949" s="496"/>
    </row>
    <row r="9950" spans="1:4" x14ac:dyDescent="0.2">
      <c r="A9950" s="496"/>
      <c r="D9950" s="496"/>
    </row>
    <row r="9951" spans="1:4" x14ac:dyDescent="0.2">
      <c r="A9951" s="496"/>
      <c r="D9951" s="496"/>
    </row>
    <row r="9952" spans="1:4" x14ac:dyDescent="0.2">
      <c r="A9952" s="496"/>
      <c r="D9952" s="496"/>
    </row>
    <row r="9953" spans="1:4" x14ac:dyDescent="0.2">
      <c r="A9953" s="496"/>
      <c r="D9953" s="496"/>
    </row>
    <row r="9954" spans="1:4" x14ac:dyDescent="0.2">
      <c r="A9954" s="496"/>
      <c r="D9954" s="496"/>
    </row>
    <row r="9955" spans="1:4" x14ac:dyDescent="0.2">
      <c r="A9955" s="496"/>
      <c r="D9955" s="496"/>
    </row>
    <row r="9956" spans="1:4" x14ac:dyDescent="0.2">
      <c r="A9956" s="496"/>
      <c r="D9956" s="496"/>
    </row>
    <row r="9957" spans="1:4" x14ac:dyDescent="0.2">
      <c r="A9957" s="496"/>
      <c r="D9957" s="496"/>
    </row>
    <row r="9958" spans="1:4" x14ac:dyDescent="0.2">
      <c r="A9958" s="496"/>
      <c r="D9958" s="496"/>
    </row>
    <row r="9959" spans="1:4" x14ac:dyDescent="0.2">
      <c r="A9959" s="496"/>
      <c r="D9959" s="496"/>
    </row>
    <row r="9960" spans="1:4" x14ac:dyDescent="0.2">
      <c r="A9960" s="496"/>
      <c r="D9960" s="496"/>
    </row>
    <row r="9961" spans="1:4" x14ac:dyDescent="0.2">
      <c r="A9961" s="496"/>
      <c r="D9961" s="496"/>
    </row>
    <row r="9962" spans="1:4" x14ac:dyDescent="0.2">
      <c r="A9962" s="496"/>
      <c r="D9962" s="496"/>
    </row>
    <row r="9963" spans="1:4" x14ac:dyDescent="0.2">
      <c r="A9963" s="496"/>
      <c r="D9963" s="496"/>
    </row>
    <row r="9964" spans="1:4" x14ac:dyDescent="0.2">
      <c r="A9964" s="496"/>
      <c r="D9964" s="496"/>
    </row>
    <row r="9965" spans="1:4" x14ac:dyDescent="0.2">
      <c r="A9965" s="496"/>
      <c r="D9965" s="496"/>
    </row>
    <row r="9966" spans="1:4" x14ac:dyDescent="0.2">
      <c r="A9966" s="496"/>
      <c r="D9966" s="496"/>
    </row>
    <row r="9967" spans="1:4" x14ac:dyDescent="0.2">
      <c r="A9967" s="496"/>
      <c r="D9967" s="496"/>
    </row>
    <row r="9968" spans="1:4" x14ac:dyDescent="0.2">
      <c r="A9968" s="496"/>
      <c r="D9968" s="496"/>
    </row>
    <row r="9969" spans="1:4" x14ac:dyDescent="0.2">
      <c r="A9969" s="496"/>
      <c r="D9969" s="496"/>
    </row>
    <row r="9970" spans="1:4" x14ac:dyDescent="0.2">
      <c r="A9970" s="496"/>
      <c r="D9970" s="496"/>
    </row>
    <row r="9971" spans="1:4" x14ac:dyDescent="0.2">
      <c r="A9971" s="496"/>
      <c r="D9971" s="496"/>
    </row>
    <row r="9972" spans="1:4" x14ac:dyDescent="0.2">
      <c r="A9972" s="496"/>
      <c r="D9972" s="496"/>
    </row>
    <row r="9973" spans="1:4" x14ac:dyDescent="0.2">
      <c r="A9973" s="496"/>
      <c r="D9973" s="496"/>
    </row>
    <row r="9974" spans="1:4" x14ac:dyDescent="0.2">
      <c r="A9974" s="496"/>
      <c r="D9974" s="496"/>
    </row>
    <row r="9975" spans="1:4" x14ac:dyDescent="0.2">
      <c r="A9975" s="496"/>
      <c r="D9975" s="496"/>
    </row>
    <row r="9976" spans="1:4" x14ac:dyDescent="0.2">
      <c r="A9976" s="496"/>
      <c r="D9976" s="496"/>
    </row>
    <row r="9977" spans="1:4" x14ac:dyDescent="0.2">
      <c r="A9977" s="496"/>
      <c r="D9977" s="496"/>
    </row>
    <row r="9978" spans="1:4" x14ac:dyDescent="0.2">
      <c r="A9978" s="496"/>
      <c r="D9978" s="496"/>
    </row>
    <row r="9979" spans="1:4" x14ac:dyDescent="0.2">
      <c r="A9979" s="496"/>
      <c r="D9979" s="496"/>
    </row>
    <row r="9980" spans="1:4" x14ac:dyDescent="0.2">
      <c r="A9980" s="496"/>
      <c r="D9980" s="496"/>
    </row>
    <row r="9981" spans="1:4" x14ac:dyDescent="0.2">
      <c r="A9981" s="496"/>
      <c r="D9981" s="496"/>
    </row>
    <row r="9982" spans="1:4" x14ac:dyDescent="0.2">
      <c r="A9982" s="496"/>
      <c r="D9982" s="496"/>
    </row>
    <row r="9983" spans="1:4" x14ac:dyDescent="0.2">
      <c r="A9983" s="496"/>
      <c r="D9983" s="496"/>
    </row>
    <row r="9984" spans="1:4" x14ac:dyDescent="0.2">
      <c r="A9984" s="496"/>
      <c r="D9984" s="496"/>
    </row>
    <row r="9985" spans="1:4" x14ac:dyDescent="0.2">
      <c r="A9985" s="496"/>
      <c r="D9985" s="496"/>
    </row>
    <row r="9986" spans="1:4" x14ac:dyDescent="0.2">
      <c r="A9986" s="496"/>
      <c r="D9986" s="496"/>
    </row>
    <row r="9987" spans="1:4" x14ac:dyDescent="0.2">
      <c r="A9987" s="496"/>
      <c r="D9987" s="496"/>
    </row>
    <row r="9988" spans="1:4" x14ac:dyDescent="0.2">
      <c r="A9988" s="496"/>
      <c r="D9988" s="496"/>
    </row>
    <row r="9989" spans="1:4" x14ac:dyDescent="0.2">
      <c r="A9989" s="496"/>
      <c r="D9989" s="496"/>
    </row>
    <row r="9990" spans="1:4" x14ac:dyDescent="0.2">
      <c r="A9990" s="496"/>
      <c r="D9990" s="496"/>
    </row>
    <row r="9991" spans="1:4" x14ac:dyDescent="0.2">
      <c r="A9991" s="496"/>
      <c r="D9991" s="496"/>
    </row>
    <row r="9992" spans="1:4" x14ac:dyDescent="0.2">
      <c r="A9992" s="496"/>
      <c r="D9992" s="496"/>
    </row>
    <row r="9993" spans="1:4" x14ac:dyDescent="0.2">
      <c r="A9993" s="496"/>
      <c r="D9993" s="496"/>
    </row>
    <row r="9994" spans="1:4" x14ac:dyDescent="0.2">
      <c r="A9994" s="496"/>
      <c r="D9994" s="496"/>
    </row>
    <row r="9995" spans="1:4" x14ac:dyDescent="0.2">
      <c r="A9995" s="496"/>
      <c r="D9995" s="496"/>
    </row>
    <row r="9996" spans="1:4" x14ac:dyDescent="0.2">
      <c r="A9996" s="496"/>
      <c r="D9996" s="496"/>
    </row>
    <row r="9997" spans="1:4" x14ac:dyDescent="0.2">
      <c r="A9997" s="496"/>
      <c r="D9997" s="496"/>
    </row>
    <row r="9998" spans="1:4" x14ac:dyDescent="0.2">
      <c r="A9998" s="496"/>
      <c r="D9998" s="496"/>
    </row>
    <row r="9999" spans="1:4" x14ac:dyDescent="0.2">
      <c r="A9999" s="496"/>
      <c r="D9999" s="496"/>
    </row>
    <row r="10000" spans="1:4" x14ac:dyDescent="0.2">
      <c r="A10000" s="496"/>
      <c r="D10000" s="496"/>
    </row>
    <row r="10001" spans="1:4" x14ac:dyDescent="0.2">
      <c r="A10001" s="496"/>
      <c r="D10001" s="496"/>
    </row>
    <row r="10002" spans="1:4" x14ac:dyDescent="0.2">
      <c r="A10002" s="496"/>
      <c r="D10002" s="496"/>
    </row>
    <row r="10003" spans="1:4" x14ac:dyDescent="0.2">
      <c r="A10003" s="496"/>
      <c r="D10003" s="496"/>
    </row>
    <row r="10004" spans="1:4" x14ac:dyDescent="0.2">
      <c r="A10004" s="496"/>
      <c r="D10004" s="496"/>
    </row>
    <row r="10005" spans="1:4" x14ac:dyDescent="0.2">
      <c r="A10005" s="496"/>
      <c r="D10005" s="496"/>
    </row>
    <row r="10006" spans="1:4" x14ac:dyDescent="0.2">
      <c r="A10006" s="496"/>
      <c r="D10006" s="496"/>
    </row>
    <row r="10007" spans="1:4" x14ac:dyDescent="0.2">
      <c r="A10007" s="496"/>
      <c r="D10007" s="496"/>
    </row>
    <row r="10008" spans="1:4" x14ac:dyDescent="0.2">
      <c r="A10008" s="496"/>
      <c r="D10008" s="496"/>
    </row>
    <row r="10009" spans="1:4" x14ac:dyDescent="0.2">
      <c r="A10009" s="496"/>
      <c r="D10009" s="496"/>
    </row>
    <row r="10010" spans="1:4" x14ac:dyDescent="0.2">
      <c r="A10010" s="496"/>
      <c r="D10010" s="496"/>
    </row>
    <row r="10011" spans="1:4" x14ac:dyDescent="0.2">
      <c r="A10011" s="496"/>
      <c r="D10011" s="496"/>
    </row>
    <row r="10012" spans="1:4" x14ac:dyDescent="0.2">
      <c r="A10012" s="496"/>
      <c r="D10012" s="496"/>
    </row>
    <row r="10013" spans="1:4" x14ac:dyDescent="0.2">
      <c r="A10013" s="496"/>
      <c r="D10013" s="496"/>
    </row>
    <row r="10014" spans="1:4" x14ac:dyDescent="0.2">
      <c r="A10014" s="496"/>
      <c r="D10014" s="496"/>
    </row>
    <row r="10015" spans="1:4" x14ac:dyDescent="0.2">
      <c r="A10015" s="496"/>
      <c r="D10015" s="496"/>
    </row>
    <row r="10016" spans="1:4" x14ac:dyDescent="0.2">
      <c r="A10016" s="496"/>
      <c r="D10016" s="496"/>
    </row>
    <row r="10017" spans="1:4" x14ac:dyDescent="0.2">
      <c r="A10017" s="496"/>
      <c r="D10017" s="496"/>
    </row>
    <row r="10018" spans="1:4" x14ac:dyDescent="0.2">
      <c r="A10018" s="496"/>
      <c r="D10018" s="496"/>
    </row>
    <row r="10019" spans="1:4" x14ac:dyDescent="0.2">
      <c r="A10019" s="496"/>
      <c r="D10019" s="496"/>
    </row>
    <row r="10020" spans="1:4" x14ac:dyDescent="0.2">
      <c r="A10020" s="496"/>
      <c r="D10020" s="496"/>
    </row>
    <row r="10021" spans="1:4" x14ac:dyDescent="0.2">
      <c r="A10021" s="496"/>
      <c r="D10021" s="496"/>
    </row>
    <row r="10022" spans="1:4" x14ac:dyDescent="0.2">
      <c r="A10022" s="496"/>
      <c r="D10022" s="496"/>
    </row>
    <row r="10023" spans="1:4" x14ac:dyDescent="0.2">
      <c r="A10023" s="496"/>
      <c r="D10023" s="496"/>
    </row>
    <row r="10024" spans="1:4" x14ac:dyDescent="0.2">
      <c r="A10024" s="496"/>
      <c r="D10024" s="496"/>
    </row>
    <row r="10025" spans="1:4" x14ac:dyDescent="0.2">
      <c r="A10025" s="496"/>
      <c r="D10025" s="496"/>
    </row>
    <row r="10026" spans="1:4" x14ac:dyDescent="0.2">
      <c r="A10026" s="496"/>
      <c r="D10026" s="496"/>
    </row>
    <row r="10027" spans="1:4" x14ac:dyDescent="0.2">
      <c r="A10027" s="496"/>
      <c r="D10027" s="496"/>
    </row>
    <row r="10028" spans="1:4" x14ac:dyDescent="0.2">
      <c r="A10028" s="496"/>
      <c r="D10028" s="496"/>
    </row>
    <row r="10029" spans="1:4" x14ac:dyDescent="0.2">
      <c r="A10029" s="496"/>
      <c r="D10029" s="496"/>
    </row>
    <row r="10030" spans="1:4" x14ac:dyDescent="0.2">
      <c r="A10030" s="496"/>
      <c r="D10030" s="496"/>
    </row>
    <row r="10031" spans="1:4" x14ac:dyDescent="0.2">
      <c r="A10031" s="496"/>
      <c r="D10031" s="496"/>
    </row>
    <row r="10032" spans="1:4" x14ac:dyDescent="0.2">
      <c r="A10032" s="496"/>
      <c r="D10032" s="496"/>
    </row>
    <row r="10033" spans="1:4" x14ac:dyDescent="0.2">
      <c r="A10033" s="496"/>
      <c r="D10033" s="496"/>
    </row>
    <row r="10034" spans="1:4" x14ac:dyDescent="0.2">
      <c r="A10034" s="496"/>
      <c r="D10034" s="496"/>
    </row>
    <row r="10035" spans="1:4" x14ac:dyDescent="0.2">
      <c r="A10035" s="496"/>
      <c r="D10035" s="496"/>
    </row>
    <row r="10036" spans="1:4" x14ac:dyDescent="0.2">
      <c r="A10036" s="496"/>
      <c r="D10036" s="496"/>
    </row>
    <row r="10037" spans="1:4" x14ac:dyDescent="0.2">
      <c r="A10037" s="496"/>
      <c r="D10037" s="496"/>
    </row>
    <row r="10038" spans="1:4" x14ac:dyDescent="0.2">
      <c r="A10038" s="496"/>
      <c r="D10038" s="496"/>
    </row>
    <row r="10039" spans="1:4" x14ac:dyDescent="0.2">
      <c r="A10039" s="496"/>
      <c r="D10039" s="496"/>
    </row>
    <row r="10040" spans="1:4" x14ac:dyDescent="0.2">
      <c r="A10040" s="496"/>
      <c r="D10040" s="496"/>
    </row>
    <row r="10041" spans="1:4" x14ac:dyDescent="0.2">
      <c r="A10041" s="496"/>
      <c r="D10041" s="496"/>
    </row>
    <row r="10042" spans="1:4" x14ac:dyDescent="0.2">
      <c r="A10042" s="496"/>
      <c r="D10042" s="496"/>
    </row>
    <row r="10043" spans="1:4" x14ac:dyDescent="0.2">
      <c r="A10043" s="496"/>
      <c r="D10043" s="496"/>
    </row>
    <row r="10044" spans="1:4" x14ac:dyDescent="0.2">
      <c r="A10044" s="496"/>
      <c r="D10044" s="496"/>
    </row>
    <row r="10045" spans="1:4" x14ac:dyDescent="0.2">
      <c r="A10045" s="496"/>
      <c r="D10045" s="496"/>
    </row>
    <row r="10046" spans="1:4" x14ac:dyDescent="0.2">
      <c r="A10046" s="496"/>
      <c r="D10046" s="496"/>
    </row>
    <row r="10047" spans="1:4" x14ac:dyDescent="0.2">
      <c r="A10047" s="496"/>
      <c r="D10047" s="496"/>
    </row>
    <row r="10048" spans="1:4" x14ac:dyDescent="0.2">
      <c r="A10048" s="496"/>
      <c r="D10048" s="496"/>
    </row>
    <row r="10049" spans="1:4" x14ac:dyDescent="0.2">
      <c r="A10049" s="496"/>
      <c r="D10049" s="496"/>
    </row>
    <row r="10050" spans="1:4" x14ac:dyDescent="0.2">
      <c r="A10050" s="496"/>
      <c r="D10050" s="496"/>
    </row>
    <row r="10051" spans="1:4" x14ac:dyDescent="0.2">
      <c r="A10051" s="496"/>
      <c r="D10051" s="496"/>
    </row>
    <row r="10052" spans="1:4" x14ac:dyDescent="0.2">
      <c r="A10052" s="496"/>
      <c r="D10052" s="496"/>
    </row>
    <row r="10053" spans="1:4" x14ac:dyDescent="0.2">
      <c r="A10053" s="496"/>
      <c r="D10053" s="496"/>
    </row>
    <row r="10054" spans="1:4" x14ac:dyDescent="0.2">
      <c r="A10054" s="496"/>
      <c r="D10054" s="496"/>
    </row>
    <row r="10055" spans="1:4" x14ac:dyDescent="0.2">
      <c r="A10055" s="496"/>
      <c r="D10055" s="496"/>
    </row>
    <row r="10056" spans="1:4" x14ac:dyDescent="0.2">
      <c r="A10056" s="496"/>
      <c r="D10056" s="496"/>
    </row>
    <row r="10057" spans="1:4" x14ac:dyDescent="0.2">
      <c r="A10057" s="496"/>
      <c r="D10057" s="496"/>
    </row>
    <row r="10058" spans="1:4" x14ac:dyDescent="0.2">
      <c r="A10058" s="496"/>
      <c r="D10058" s="496"/>
    </row>
    <row r="10059" spans="1:4" x14ac:dyDescent="0.2">
      <c r="A10059" s="496"/>
      <c r="D10059" s="496"/>
    </row>
    <row r="10060" spans="1:4" x14ac:dyDescent="0.2">
      <c r="A10060" s="496"/>
      <c r="D10060" s="496"/>
    </row>
    <row r="10061" spans="1:4" x14ac:dyDescent="0.2">
      <c r="A10061" s="496"/>
      <c r="D10061" s="496"/>
    </row>
    <row r="10062" spans="1:4" x14ac:dyDescent="0.2">
      <c r="A10062" s="496"/>
      <c r="D10062" s="496"/>
    </row>
    <row r="10063" spans="1:4" x14ac:dyDescent="0.2">
      <c r="A10063" s="496"/>
      <c r="D10063" s="496"/>
    </row>
    <row r="10064" spans="1:4" x14ac:dyDescent="0.2">
      <c r="A10064" s="496"/>
      <c r="D10064" s="496"/>
    </row>
    <row r="10065" spans="1:4" x14ac:dyDescent="0.2">
      <c r="A10065" s="496"/>
      <c r="D10065" s="496"/>
    </row>
    <row r="10066" spans="1:4" x14ac:dyDescent="0.2">
      <c r="A10066" s="496"/>
      <c r="D10066" s="496"/>
    </row>
    <row r="10067" spans="1:4" x14ac:dyDescent="0.2">
      <c r="A10067" s="496"/>
      <c r="D10067" s="496"/>
    </row>
    <row r="10068" spans="1:4" x14ac:dyDescent="0.2">
      <c r="A10068" s="496"/>
      <c r="D10068" s="496"/>
    </row>
    <row r="10069" spans="1:4" x14ac:dyDescent="0.2">
      <c r="A10069" s="496"/>
      <c r="D10069" s="496"/>
    </row>
    <row r="10070" spans="1:4" x14ac:dyDescent="0.2">
      <c r="A10070" s="496"/>
      <c r="D10070" s="496"/>
    </row>
    <row r="10071" spans="1:4" x14ac:dyDescent="0.2">
      <c r="A10071" s="496"/>
      <c r="D10071" s="496"/>
    </row>
    <row r="10072" spans="1:4" x14ac:dyDescent="0.2">
      <c r="A10072" s="496"/>
      <c r="D10072" s="496"/>
    </row>
    <row r="10073" spans="1:4" x14ac:dyDescent="0.2">
      <c r="A10073" s="496"/>
      <c r="D10073" s="496"/>
    </row>
    <row r="10074" spans="1:4" x14ac:dyDescent="0.2">
      <c r="A10074" s="496"/>
      <c r="D10074" s="496"/>
    </row>
    <row r="10075" spans="1:4" x14ac:dyDescent="0.2">
      <c r="A10075" s="496"/>
      <c r="D10075" s="496"/>
    </row>
    <row r="10076" spans="1:4" x14ac:dyDescent="0.2">
      <c r="A10076" s="496"/>
      <c r="D10076" s="496"/>
    </row>
    <row r="10077" spans="1:4" x14ac:dyDescent="0.2">
      <c r="A10077" s="496"/>
      <c r="D10077" s="496"/>
    </row>
    <row r="10078" spans="1:4" x14ac:dyDescent="0.2">
      <c r="A10078" s="496"/>
      <c r="D10078" s="496"/>
    </row>
    <row r="10079" spans="1:4" x14ac:dyDescent="0.2">
      <c r="A10079" s="496"/>
      <c r="D10079" s="496"/>
    </row>
    <row r="10080" spans="1:4" x14ac:dyDescent="0.2">
      <c r="A10080" s="496"/>
      <c r="D10080" s="496"/>
    </row>
    <row r="10081" spans="1:4" x14ac:dyDescent="0.2">
      <c r="A10081" s="496"/>
      <c r="D10081" s="496"/>
    </row>
    <row r="10082" spans="1:4" x14ac:dyDescent="0.2">
      <c r="A10082" s="496"/>
      <c r="D10082" s="496"/>
    </row>
    <row r="10083" spans="1:4" x14ac:dyDescent="0.2">
      <c r="A10083" s="496"/>
      <c r="D10083" s="496"/>
    </row>
    <row r="10084" spans="1:4" x14ac:dyDescent="0.2">
      <c r="A10084" s="496"/>
      <c r="D10084" s="496"/>
    </row>
    <row r="10085" spans="1:4" x14ac:dyDescent="0.2">
      <c r="A10085" s="496"/>
      <c r="D10085" s="496"/>
    </row>
    <row r="10086" spans="1:4" x14ac:dyDescent="0.2">
      <c r="A10086" s="496"/>
      <c r="D10086" s="496"/>
    </row>
    <row r="10087" spans="1:4" x14ac:dyDescent="0.2">
      <c r="A10087" s="496"/>
      <c r="D10087" s="496"/>
    </row>
    <row r="10088" spans="1:4" x14ac:dyDescent="0.2">
      <c r="A10088" s="496"/>
      <c r="D10088" s="496"/>
    </row>
    <row r="10089" spans="1:4" x14ac:dyDescent="0.2">
      <c r="A10089" s="496"/>
      <c r="D10089" s="496"/>
    </row>
    <row r="10090" spans="1:4" x14ac:dyDescent="0.2">
      <c r="A10090" s="496"/>
      <c r="D10090" s="496"/>
    </row>
    <row r="10091" spans="1:4" x14ac:dyDescent="0.2">
      <c r="A10091" s="496"/>
      <c r="D10091" s="496"/>
    </row>
    <row r="10092" spans="1:4" x14ac:dyDescent="0.2">
      <c r="A10092" s="496"/>
      <c r="D10092" s="496"/>
    </row>
    <row r="10093" spans="1:4" x14ac:dyDescent="0.2">
      <c r="A10093" s="496"/>
      <c r="D10093" s="496"/>
    </row>
    <row r="10094" spans="1:4" x14ac:dyDescent="0.2">
      <c r="A10094" s="496"/>
      <c r="D10094" s="496"/>
    </row>
    <row r="10095" spans="1:4" x14ac:dyDescent="0.2">
      <c r="A10095" s="496"/>
      <c r="D10095" s="496"/>
    </row>
    <row r="10096" spans="1:4" x14ac:dyDescent="0.2">
      <c r="A10096" s="496"/>
      <c r="D10096" s="496"/>
    </row>
    <row r="10097" spans="1:4" x14ac:dyDescent="0.2">
      <c r="A10097" s="496"/>
      <c r="D10097" s="496"/>
    </row>
    <row r="10098" spans="1:4" x14ac:dyDescent="0.2">
      <c r="A10098" s="496"/>
      <c r="D10098" s="496"/>
    </row>
    <row r="10099" spans="1:4" x14ac:dyDescent="0.2">
      <c r="A10099" s="496"/>
      <c r="D10099" s="496"/>
    </row>
    <row r="10100" spans="1:4" x14ac:dyDescent="0.2">
      <c r="A10100" s="496"/>
      <c r="D10100" s="496"/>
    </row>
    <row r="10101" spans="1:4" x14ac:dyDescent="0.2">
      <c r="A10101" s="496"/>
      <c r="D10101" s="496"/>
    </row>
    <row r="10102" spans="1:4" x14ac:dyDescent="0.2">
      <c r="A10102" s="496"/>
      <c r="D10102" s="496"/>
    </row>
    <row r="10103" spans="1:4" x14ac:dyDescent="0.2">
      <c r="A10103" s="496"/>
      <c r="D10103" s="496"/>
    </row>
    <row r="10104" spans="1:4" x14ac:dyDescent="0.2">
      <c r="A10104" s="496"/>
      <c r="D10104" s="496"/>
    </row>
    <row r="10105" spans="1:4" x14ac:dyDescent="0.2">
      <c r="A10105" s="496"/>
      <c r="D10105" s="496"/>
    </row>
    <row r="10106" spans="1:4" x14ac:dyDescent="0.2">
      <c r="A10106" s="496"/>
      <c r="D10106" s="496"/>
    </row>
    <row r="10107" spans="1:4" x14ac:dyDescent="0.2">
      <c r="A10107" s="496"/>
      <c r="D10107" s="496"/>
    </row>
    <row r="10108" spans="1:4" x14ac:dyDescent="0.2">
      <c r="A10108" s="496"/>
      <c r="D10108" s="496"/>
    </row>
    <row r="10109" spans="1:4" x14ac:dyDescent="0.2">
      <c r="A10109" s="496"/>
      <c r="D10109" s="496"/>
    </row>
    <row r="10110" spans="1:4" x14ac:dyDescent="0.2">
      <c r="A10110" s="496"/>
      <c r="D10110" s="496"/>
    </row>
    <row r="10111" spans="1:4" x14ac:dyDescent="0.2">
      <c r="A10111" s="496"/>
      <c r="D10111" s="496"/>
    </row>
    <row r="10112" spans="1:4" x14ac:dyDescent="0.2">
      <c r="A10112" s="496"/>
      <c r="D10112" s="496"/>
    </row>
    <row r="10113" spans="1:4" x14ac:dyDescent="0.2">
      <c r="A10113" s="496"/>
      <c r="D10113" s="496"/>
    </row>
    <row r="10114" spans="1:4" x14ac:dyDescent="0.2">
      <c r="A10114" s="496"/>
      <c r="D10114" s="496"/>
    </row>
    <row r="10115" spans="1:4" x14ac:dyDescent="0.2">
      <c r="A10115" s="496"/>
      <c r="D10115" s="496"/>
    </row>
    <row r="10116" spans="1:4" x14ac:dyDescent="0.2">
      <c r="A10116" s="496"/>
      <c r="D10116" s="496"/>
    </row>
    <row r="10117" spans="1:4" x14ac:dyDescent="0.2">
      <c r="A10117" s="496"/>
      <c r="D10117" s="496"/>
    </row>
    <row r="10118" spans="1:4" x14ac:dyDescent="0.2">
      <c r="A10118" s="496"/>
      <c r="D10118" s="496"/>
    </row>
    <row r="10119" spans="1:4" x14ac:dyDescent="0.2">
      <c r="A10119" s="496"/>
      <c r="D10119" s="496"/>
    </row>
    <row r="10120" spans="1:4" x14ac:dyDescent="0.2">
      <c r="A10120" s="496"/>
      <c r="D10120" s="496"/>
    </row>
    <row r="10121" spans="1:4" x14ac:dyDescent="0.2">
      <c r="A10121" s="496"/>
      <c r="D10121" s="496"/>
    </row>
    <row r="10122" spans="1:4" x14ac:dyDescent="0.2">
      <c r="A10122" s="496"/>
      <c r="D10122" s="496"/>
    </row>
    <row r="10123" spans="1:4" x14ac:dyDescent="0.2">
      <c r="A10123" s="496"/>
      <c r="D10123" s="496"/>
    </row>
    <row r="10124" spans="1:4" x14ac:dyDescent="0.2">
      <c r="A10124" s="496"/>
      <c r="D10124" s="496"/>
    </row>
    <row r="10125" spans="1:4" x14ac:dyDescent="0.2">
      <c r="A10125" s="496"/>
      <c r="D10125" s="496"/>
    </row>
    <row r="10126" spans="1:4" x14ac:dyDescent="0.2">
      <c r="A10126" s="496"/>
      <c r="D10126" s="496"/>
    </row>
    <row r="10127" spans="1:4" x14ac:dyDescent="0.2">
      <c r="A10127" s="496"/>
      <c r="D10127" s="496"/>
    </row>
    <row r="10128" spans="1:4" x14ac:dyDescent="0.2">
      <c r="A10128" s="496"/>
      <c r="D10128" s="496"/>
    </row>
    <row r="10129" spans="1:4" x14ac:dyDescent="0.2">
      <c r="A10129" s="496"/>
      <c r="D10129" s="496"/>
    </row>
    <row r="10130" spans="1:4" x14ac:dyDescent="0.2">
      <c r="A10130" s="496"/>
      <c r="D10130" s="496"/>
    </row>
    <row r="10131" spans="1:4" x14ac:dyDescent="0.2">
      <c r="A10131" s="496"/>
      <c r="D10131" s="496"/>
    </row>
    <row r="10132" spans="1:4" x14ac:dyDescent="0.2">
      <c r="A10132" s="496"/>
      <c r="D10132" s="496"/>
    </row>
    <row r="10133" spans="1:4" x14ac:dyDescent="0.2">
      <c r="A10133" s="496"/>
      <c r="D10133" s="496"/>
    </row>
    <row r="10134" spans="1:4" x14ac:dyDescent="0.2">
      <c r="A10134" s="496"/>
      <c r="D10134" s="496"/>
    </row>
    <row r="10135" spans="1:4" x14ac:dyDescent="0.2">
      <c r="A10135" s="496"/>
      <c r="D10135" s="496"/>
    </row>
    <row r="10136" spans="1:4" x14ac:dyDescent="0.2">
      <c r="A10136" s="496"/>
      <c r="D10136" s="496"/>
    </row>
    <row r="10137" spans="1:4" x14ac:dyDescent="0.2">
      <c r="A10137" s="496"/>
      <c r="D10137" s="496"/>
    </row>
    <row r="10138" spans="1:4" x14ac:dyDescent="0.2">
      <c r="A10138" s="496"/>
      <c r="D10138" s="496"/>
    </row>
    <row r="10139" spans="1:4" x14ac:dyDescent="0.2">
      <c r="A10139" s="496"/>
      <c r="D10139" s="496"/>
    </row>
    <row r="10140" spans="1:4" x14ac:dyDescent="0.2">
      <c r="A10140" s="496"/>
      <c r="D10140" s="496"/>
    </row>
    <row r="10141" spans="1:4" x14ac:dyDescent="0.2">
      <c r="A10141" s="496"/>
      <c r="D10141" s="496"/>
    </row>
    <row r="10142" spans="1:4" x14ac:dyDescent="0.2">
      <c r="A10142" s="496"/>
      <c r="D10142" s="496"/>
    </row>
    <row r="10143" spans="1:4" x14ac:dyDescent="0.2">
      <c r="A10143" s="496"/>
      <c r="D10143" s="496"/>
    </row>
    <row r="10144" spans="1:4" x14ac:dyDescent="0.2">
      <c r="A10144" s="496"/>
      <c r="D10144" s="496"/>
    </row>
    <row r="10145" spans="1:4" x14ac:dyDescent="0.2">
      <c r="A10145" s="496"/>
      <c r="D10145" s="496"/>
    </row>
    <row r="10146" spans="1:4" x14ac:dyDescent="0.2">
      <c r="A10146" s="496"/>
      <c r="D10146" s="496"/>
    </row>
    <row r="10147" spans="1:4" x14ac:dyDescent="0.2">
      <c r="A10147" s="496"/>
      <c r="D10147" s="496"/>
    </row>
    <row r="10148" spans="1:4" x14ac:dyDescent="0.2">
      <c r="A10148" s="496"/>
      <c r="D10148" s="496"/>
    </row>
    <row r="10149" spans="1:4" x14ac:dyDescent="0.2">
      <c r="A10149" s="496"/>
      <c r="D10149" s="496"/>
    </row>
    <row r="10150" spans="1:4" x14ac:dyDescent="0.2">
      <c r="A10150" s="496"/>
      <c r="D10150" s="496"/>
    </row>
    <row r="10151" spans="1:4" x14ac:dyDescent="0.2">
      <c r="A10151" s="496"/>
      <c r="D10151" s="496"/>
    </row>
    <row r="10152" spans="1:4" x14ac:dyDescent="0.2">
      <c r="A10152" s="496"/>
      <c r="D10152" s="496"/>
    </row>
    <row r="10153" spans="1:4" x14ac:dyDescent="0.2">
      <c r="A10153" s="496"/>
      <c r="D10153" s="496"/>
    </row>
    <row r="10154" spans="1:4" x14ac:dyDescent="0.2">
      <c r="A10154" s="496"/>
      <c r="D10154" s="496"/>
    </row>
    <row r="10155" spans="1:4" x14ac:dyDescent="0.2">
      <c r="A10155" s="496"/>
      <c r="D10155" s="496"/>
    </row>
    <row r="10156" spans="1:4" x14ac:dyDescent="0.2">
      <c r="A10156" s="496"/>
      <c r="D10156" s="496"/>
    </row>
    <row r="10157" spans="1:4" x14ac:dyDescent="0.2">
      <c r="A10157" s="496"/>
      <c r="D10157" s="496"/>
    </row>
    <row r="10158" spans="1:4" x14ac:dyDescent="0.2">
      <c r="A10158" s="496"/>
      <c r="D10158" s="496"/>
    </row>
    <row r="10159" spans="1:4" x14ac:dyDescent="0.2">
      <c r="A10159" s="496"/>
      <c r="D10159" s="496"/>
    </row>
    <row r="10160" spans="1:4" x14ac:dyDescent="0.2">
      <c r="A10160" s="496"/>
      <c r="D10160" s="496"/>
    </row>
    <row r="10161" spans="1:4" x14ac:dyDescent="0.2">
      <c r="A10161" s="496"/>
      <c r="D10161" s="496"/>
    </row>
    <row r="10162" spans="1:4" x14ac:dyDescent="0.2">
      <c r="A10162" s="496"/>
      <c r="D10162" s="496"/>
    </row>
    <row r="10163" spans="1:4" x14ac:dyDescent="0.2">
      <c r="A10163" s="496"/>
      <c r="D10163" s="496"/>
    </row>
    <row r="10164" spans="1:4" x14ac:dyDescent="0.2">
      <c r="A10164" s="496"/>
      <c r="D10164" s="496"/>
    </row>
    <row r="10165" spans="1:4" x14ac:dyDescent="0.2">
      <c r="A10165" s="496"/>
      <c r="D10165" s="496"/>
    </row>
    <row r="10166" spans="1:4" x14ac:dyDescent="0.2">
      <c r="A10166" s="496"/>
      <c r="D10166" s="496"/>
    </row>
    <row r="10167" spans="1:4" x14ac:dyDescent="0.2">
      <c r="A10167" s="496"/>
      <c r="D10167" s="496"/>
    </row>
    <row r="10168" spans="1:4" x14ac:dyDescent="0.2">
      <c r="A10168" s="496"/>
      <c r="D10168" s="496"/>
    </row>
    <row r="10169" spans="1:4" x14ac:dyDescent="0.2">
      <c r="A10169" s="496"/>
      <c r="D10169" s="496"/>
    </row>
    <row r="10170" spans="1:4" x14ac:dyDescent="0.2">
      <c r="A10170" s="496"/>
      <c r="D10170" s="496"/>
    </row>
    <row r="10171" spans="1:4" x14ac:dyDescent="0.2">
      <c r="A10171" s="496"/>
      <c r="D10171" s="496"/>
    </row>
    <row r="10172" spans="1:4" x14ac:dyDescent="0.2">
      <c r="A10172" s="496"/>
      <c r="D10172" s="496"/>
    </row>
    <row r="10173" spans="1:4" x14ac:dyDescent="0.2">
      <c r="A10173" s="496"/>
      <c r="D10173" s="496"/>
    </row>
    <row r="10174" spans="1:4" x14ac:dyDescent="0.2">
      <c r="A10174" s="496"/>
      <c r="D10174" s="496"/>
    </row>
    <row r="10175" spans="1:4" x14ac:dyDescent="0.2">
      <c r="A10175" s="496"/>
      <c r="D10175" s="496"/>
    </row>
    <row r="10176" spans="1:4" x14ac:dyDescent="0.2">
      <c r="A10176" s="496"/>
      <c r="D10176" s="496"/>
    </row>
    <row r="10177" spans="1:4" x14ac:dyDescent="0.2">
      <c r="A10177" s="496"/>
      <c r="D10177" s="496"/>
    </row>
    <row r="10178" spans="1:4" x14ac:dyDescent="0.2">
      <c r="A10178" s="496"/>
      <c r="D10178" s="496"/>
    </row>
    <row r="10179" spans="1:4" x14ac:dyDescent="0.2">
      <c r="A10179" s="496"/>
      <c r="D10179" s="496"/>
    </row>
    <row r="10180" spans="1:4" x14ac:dyDescent="0.2">
      <c r="A10180" s="496"/>
      <c r="D10180" s="496"/>
    </row>
    <row r="10181" spans="1:4" x14ac:dyDescent="0.2">
      <c r="A10181" s="496"/>
      <c r="D10181" s="496"/>
    </row>
    <row r="10182" spans="1:4" x14ac:dyDescent="0.2">
      <c r="A10182" s="496"/>
      <c r="D10182" s="496"/>
    </row>
    <row r="10183" spans="1:4" x14ac:dyDescent="0.2">
      <c r="A10183" s="496"/>
      <c r="D10183" s="496"/>
    </row>
    <row r="10184" spans="1:4" x14ac:dyDescent="0.2">
      <c r="A10184" s="496"/>
      <c r="D10184" s="496"/>
    </row>
    <row r="10185" spans="1:4" x14ac:dyDescent="0.2">
      <c r="A10185" s="496"/>
      <c r="D10185" s="496"/>
    </row>
    <row r="10186" spans="1:4" x14ac:dyDescent="0.2">
      <c r="A10186" s="496"/>
      <c r="D10186" s="496"/>
    </row>
    <row r="10187" spans="1:4" x14ac:dyDescent="0.2">
      <c r="A10187" s="496"/>
      <c r="D10187" s="496"/>
    </row>
    <row r="10188" spans="1:4" x14ac:dyDescent="0.2">
      <c r="A10188" s="496"/>
      <c r="D10188" s="496"/>
    </row>
    <row r="10189" spans="1:4" x14ac:dyDescent="0.2">
      <c r="A10189" s="496"/>
      <c r="D10189" s="496"/>
    </row>
    <row r="10190" spans="1:4" x14ac:dyDescent="0.2">
      <c r="A10190" s="496"/>
      <c r="D10190" s="496"/>
    </row>
    <row r="10191" spans="1:4" x14ac:dyDescent="0.2">
      <c r="A10191" s="496"/>
      <c r="D10191" s="496"/>
    </row>
    <row r="10192" spans="1:4" x14ac:dyDescent="0.2">
      <c r="A10192" s="496"/>
      <c r="D10192" s="496"/>
    </row>
    <row r="10193" spans="1:4" x14ac:dyDescent="0.2">
      <c r="A10193" s="496"/>
      <c r="D10193" s="496"/>
    </row>
    <row r="10194" spans="1:4" x14ac:dyDescent="0.2">
      <c r="A10194" s="496"/>
      <c r="D10194" s="496"/>
    </row>
    <row r="10195" spans="1:4" x14ac:dyDescent="0.2">
      <c r="A10195" s="496"/>
      <c r="D10195" s="496"/>
    </row>
    <row r="10196" spans="1:4" x14ac:dyDescent="0.2">
      <c r="A10196" s="496"/>
      <c r="D10196" s="496"/>
    </row>
    <row r="10197" spans="1:4" x14ac:dyDescent="0.2">
      <c r="A10197" s="496"/>
      <c r="D10197" s="496"/>
    </row>
    <row r="10198" spans="1:4" x14ac:dyDescent="0.2">
      <c r="A10198" s="496"/>
      <c r="D10198" s="496"/>
    </row>
    <row r="10199" spans="1:4" x14ac:dyDescent="0.2">
      <c r="A10199" s="496"/>
      <c r="D10199" s="496"/>
    </row>
    <row r="10200" spans="1:4" x14ac:dyDescent="0.2">
      <c r="A10200" s="496"/>
      <c r="D10200" s="496"/>
    </row>
    <row r="10201" spans="1:4" x14ac:dyDescent="0.2">
      <c r="A10201" s="496"/>
      <c r="D10201" s="496"/>
    </row>
    <row r="10202" spans="1:4" x14ac:dyDescent="0.2">
      <c r="A10202" s="496"/>
      <c r="D10202" s="496"/>
    </row>
    <row r="10203" spans="1:4" x14ac:dyDescent="0.2">
      <c r="A10203" s="496"/>
      <c r="D10203" s="496"/>
    </row>
    <row r="10204" spans="1:4" x14ac:dyDescent="0.2">
      <c r="A10204" s="496"/>
      <c r="D10204" s="496"/>
    </row>
    <row r="10205" spans="1:4" x14ac:dyDescent="0.2">
      <c r="A10205" s="496"/>
      <c r="D10205" s="496"/>
    </row>
    <row r="10206" spans="1:4" x14ac:dyDescent="0.2">
      <c r="A10206" s="496"/>
      <c r="D10206" s="496"/>
    </row>
    <row r="10207" spans="1:4" x14ac:dyDescent="0.2">
      <c r="A10207" s="496"/>
      <c r="D10207" s="496"/>
    </row>
    <row r="10208" spans="1:4" x14ac:dyDescent="0.2">
      <c r="A10208" s="496"/>
      <c r="D10208" s="496"/>
    </row>
    <row r="10209" spans="1:4" x14ac:dyDescent="0.2">
      <c r="A10209" s="496"/>
      <c r="D10209" s="496"/>
    </row>
    <row r="10210" spans="1:4" x14ac:dyDescent="0.2">
      <c r="A10210" s="496"/>
      <c r="D10210" s="496"/>
    </row>
    <row r="10211" spans="1:4" x14ac:dyDescent="0.2">
      <c r="A10211" s="496"/>
      <c r="D10211" s="496"/>
    </row>
    <row r="10212" spans="1:4" x14ac:dyDescent="0.2">
      <c r="A10212" s="496"/>
      <c r="D10212" s="496"/>
    </row>
    <row r="10213" spans="1:4" x14ac:dyDescent="0.2">
      <c r="A10213" s="496"/>
      <c r="D10213" s="496"/>
    </row>
    <row r="10214" spans="1:4" x14ac:dyDescent="0.2">
      <c r="A10214" s="496"/>
      <c r="D10214" s="496"/>
    </row>
    <row r="10215" spans="1:4" x14ac:dyDescent="0.2">
      <c r="A10215" s="496"/>
      <c r="D10215" s="496"/>
    </row>
    <row r="10216" spans="1:4" x14ac:dyDescent="0.2">
      <c r="A10216" s="496"/>
      <c r="D10216" s="496"/>
    </row>
    <row r="10217" spans="1:4" x14ac:dyDescent="0.2">
      <c r="A10217" s="496"/>
      <c r="D10217" s="496"/>
    </row>
    <row r="10218" spans="1:4" x14ac:dyDescent="0.2">
      <c r="A10218" s="496"/>
      <c r="D10218" s="496"/>
    </row>
    <row r="10219" spans="1:4" x14ac:dyDescent="0.2">
      <c r="A10219" s="496"/>
      <c r="D10219" s="496"/>
    </row>
    <row r="10220" spans="1:4" x14ac:dyDescent="0.2">
      <c r="A10220" s="496"/>
      <c r="D10220" s="496"/>
    </row>
    <row r="10221" spans="1:4" x14ac:dyDescent="0.2">
      <c r="A10221" s="496"/>
      <c r="D10221" s="496"/>
    </row>
    <row r="10222" spans="1:4" x14ac:dyDescent="0.2">
      <c r="A10222" s="496"/>
      <c r="D10222" s="496"/>
    </row>
    <row r="10223" spans="1:4" x14ac:dyDescent="0.2">
      <c r="A10223" s="496"/>
      <c r="D10223" s="496"/>
    </row>
    <row r="10224" spans="1:4" x14ac:dyDescent="0.2">
      <c r="A10224" s="496"/>
      <c r="D10224" s="496"/>
    </row>
    <row r="10225" spans="1:4" x14ac:dyDescent="0.2">
      <c r="A10225" s="496"/>
      <c r="D10225" s="496"/>
    </row>
    <row r="10226" spans="1:4" x14ac:dyDescent="0.2">
      <c r="A10226" s="496"/>
      <c r="D10226" s="496"/>
    </row>
    <row r="10227" spans="1:4" x14ac:dyDescent="0.2">
      <c r="A10227" s="496"/>
      <c r="D10227" s="496"/>
    </row>
    <row r="10228" spans="1:4" x14ac:dyDescent="0.2">
      <c r="A10228" s="496"/>
      <c r="D10228" s="496"/>
    </row>
    <row r="10229" spans="1:4" x14ac:dyDescent="0.2">
      <c r="A10229" s="496"/>
      <c r="D10229" s="496"/>
    </row>
    <row r="10230" spans="1:4" x14ac:dyDescent="0.2">
      <c r="A10230" s="496"/>
      <c r="D10230" s="496"/>
    </row>
    <row r="10231" spans="1:4" x14ac:dyDescent="0.2">
      <c r="A10231" s="496"/>
      <c r="D10231" s="496"/>
    </row>
    <row r="10232" spans="1:4" x14ac:dyDescent="0.2">
      <c r="A10232" s="496"/>
      <c r="D10232" s="496"/>
    </row>
    <row r="10233" spans="1:4" x14ac:dyDescent="0.2">
      <c r="A10233" s="496"/>
      <c r="D10233" s="496"/>
    </row>
    <row r="10234" spans="1:4" x14ac:dyDescent="0.2">
      <c r="A10234" s="496"/>
      <c r="D10234" s="496"/>
    </row>
    <row r="10235" spans="1:4" x14ac:dyDescent="0.2">
      <c r="A10235" s="496"/>
      <c r="D10235" s="496"/>
    </row>
    <row r="10236" spans="1:4" x14ac:dyDescent="0.2">
      <c r="A10236" s="496"/>
      <c r="D10236" s="496"/>
    </row>
    <row r="10237" spans="1:4" x14ac:dyDescent="0.2">
      <c r="A10237" s="496"/>
      <c r="D10237" s="496"/>
    </row>
    <row r="10238" spans="1:4" x14ac:dyDescent="0.2">
      <c r="A10238" s="496"/>
      <c r="D10238" s="496"/>
    </row>
    <row r="10239" spans="1:4" x14ac:dyDescent="0.2">
      <c r="A10239" s="496"/>
      <c r="D10239" s="496"/>
    </row>
    <row r="10240" spans="1:4" x14ac:dyDescent="0.2">
      <c r="A10240" s="496"/>
      <c r="D10240" s="496"/>
    </row>
    <row r="10241" spans="1:4" x14ac:dyDescent="0.2">
      <c r="A10241" s="496"/>
      <c r="D10241" s="496"/>
    </row>
    <row r="10242" spans="1:4" x14ac:dyDescent="0.2">
      <c r="A10242" s="496"/>
      <c r="D10242" s="496"/>
    </row>
    <row r="10243" spans="1:4" x14ac:dyDescent="0.2">
      <c r="A10243" s="496"/>
      <c r="D10243" s="496"/>
    </row>
    <row r="10244" spans="1:4" x14ac:dyDescent="0.2">
      <c r="A10244" s="496"/>
      <c r="D10244" s="496"/>
    </row>
    <row r="10245" spans="1:4" x14ac:dyDescent="0.2">
      <c r="A10245" s="496"/>
      <c r="D10245" s="496"/>
    </row>
    <row r="10246" spans="1:4" x14ac:dyDescent="0.2">
      <c r="A10246" s="496"/>
      <c r="D10246" s="496"/>
    </row>
    <row r="10247" spans="1:4" x14ac:dyDescent="0.2">
      <c r="A10247" s="496"/>
      <c r="D10247" s="496"/>
    </row>
    <row r="10248" spans="1:4" x14ac:dyDescent="0.2">
      <c r="A10248" s="496"/>
      <c r="D10248" s="496"/>
    </row>
    <row r="10249" spans="1:4" x14ac:dyDescent="0.2">
      <c r="A10249" s="496"/>
      <c r="D10249" s="496"/>
    </row>
    <row r="10250" spans="1:4" x14ac:dyDescent="0.2">
      <c r="A10250" s="496"/>
      <c r="D10250" s="496"/>
    </row>
    <row r="10251" spans="1:4" x14ac:dyDescent="0.2">
      <c r="A10251" s="496"/>
      <c r="D10251" s="496"/>
    </row>
    <row r="10252" spans="1:4" x14ac:dyDescent="0.2">
      <c r="A10252" s="496"/>
      <c r="D10252" s="496"/>
    </row>
    <row r="10253" spans="1:4" x14ac:dyDescent="0.2">
      <c r="A10253" s="496"/>
      <c r="D10253" s="496"/>
    </row>
    <row r="10254" spans="1:4" x14ac:dyDescent="0.2">
      <c r="A10254" s="496"/>
      <c r="D10254" s="496"/>
    </row>
    <row r="10255" spans="1:4" x14ac:dyDescent="0.2">
      <c r="A10255" s="496"/>
      <c r="D10255" s="496"/>
    </row>
    <row r="10256" spans="1:4" x14ac:dyDescent="0.2">
      <c r="A10256" s="496"/>
      <c r="D10256" s="496"/>
    </row>
    <row r="10257" spans="1:4" x14ac:dyDescent="0.2">
      <c r="A10257" s="496"/>
      <c r="D10257" s="496"/>
    </row>
    <row r="10258" spans="1:4" x14ac:dyDescent="0.2">
      <c r="A10258" s="496"/>
      <c r="D10258" s="496"/>
    </row>
    <row r="10259" spans="1:4" x14ac:dyDescent="0.2">
      <c r="A10259" s="496"/>
      <c r="D10259" s="496"/>
    </row>
    <row r="10260" spans="1:4" x14ac:dyDescent="0.2">
      <c r="A10260" s="496"/>
      <c r="D10260" s="496"/>
    </row>
    <row r="10261" spans="1:4" x14ac:dyDescent="0.2">
      <c r="A10261" s="496"/>
      <c r="D10261" s="496"/>
    </row>
    <row r="10262" spans="1:4" x14ac:dyDescent="0.2">
      <c r="A10262" s="496"/>
      <c r="D10262" s="496"/>
    </row>
    <row r="10263" spans="1:4" x14ac:dyDescent="0.2">
      <c r="A10263" s="496"/>
      <c r="D10263" s="496"/>
    </row>
    <row r="10264" spans="1:4" x14ac:dyDescent="0.2">
      <c r="A10264" s="496"/>
      <c r="D10264" s="496"/>
    </row>
    <row r="10265" spans="1:4" x14ac:dyDescent="0.2">
      <c r="A10265" s="496"/>
      <c r="D10265" s="496"/>
    </row>
    <row r="10266" spans="1:4" x14ac:dyDescent="0.2">
      <c r="A10266" s="496"/>
      <c r="D10266" s="496"/>
    </row>
    <row r="10267" spans="1:4" x14ac:dyDescent="0.2">
      <c r="A10267" s="496"/>
      <c r="D10267" s="496"/>
    </row>
    <row r="10268" spans="1:4" x14ac:dyDescent="0.2">
      <c r="A10268" s="496"/>
      <c r="D10268" s="496"/>
    </row>
    <row r="10269" spans="1:4" x14ac:dyDescent="0.2">
      <c r="A10269" s="496"/>
      <c r="D10269" s="496"/>
    </row>
    <row r="10270" spans="1:4" x14ac:dyDescent="0.2">
      <c r="A10270" s="496"/>
      <c r="D10270" s="496"/>
    </row>
    <row r="10271" spans="1:4" x14ac:dyDescent="0.2">
      <c r="A10271" s="496"/>
      <c r="D10271" s="496"/>
    </row>
    <row r="10272" spans="1:4" x14ac:dyDescent="0.2">
      <c r="A10272" s="496"/>
      <c r="D10272" s="496"/>
    </row>
    <row r="10273" spans="1:4" x14ac:dyDescent="0.2">
      <c r="A10273" s="496"/>
      <c r="D10273" s="496"/>
    </row>
    <row r="10274" spans="1:4" x14ac:dyDescent="0.2">
      <c r="A10274" s="496"/>
      <c r="D10274" s="496"/>
    </row>
    <row r="10275" spans="1:4" x14ac:dyDescent="0.2">
      <c r="A10275" s="496"/>
      <c r="D10275" s="496"/>
    </row>
    <row r="10276" spans="1:4" x14ac:dyDescent="0.2">
      <c r="A10276" s="496"/>
      <c r="D10276" s="496"/>
    </row>
    <row r="10277" spans="1:4" x14ac:dyDescent="0.2">
      <c r="A10277" s="496"/>
      <c r="D10277" s="496"/>
    </row>
    <row r="10278" spans="1:4" x14ac:dyDescent="0.2">
      <c r="A10278" s="496"/>
      <c r="D10278" s="496"/>
    </row>
    <row r="10279" spans="1:4" x14ac:dyDescent="0.2">
      <c r="A10279" s="496"/>
      <c r="D10279" s="496"/>
    </row>
    <row r="10280" spans="1:4" x14ac:dyDescent="0.2">
      <c r="A10280" s="496"/>
      <c r="D10280" s="496"/>
    </row>
    <row r="10281" spans="1:4" x14ac:dyDescent="0.2">
      <c r="A10281" s="496"/>
      <c r="D10281" s="496"/>
    </row>
    <row r="10282" spans="1:4" x14ac:dyDescent="0.2">
      <c r="A10282" s="496"/>
      <c r="D10282" s="496"/>
    </row>
    <row r="10283" spans="1:4" x14ac:dyDescent="0.2">
      <c r="A10283" s="496"/>
      <c r="D10283" s="496"/>
    </row>
    <row r="10284" spans="1:4" x14ac:dyDescent="0.2">
      <c r="A10284" s="496"/>
      <c r="D10284" s="496"/>
    </row>
    <row r="10285" spans="1:4" x14ac:dyDescent="0.2">
      <c r="A10285" s="496"/>
      <c r="D10285" s="496"/>
    </row>
    <row r="10286" spans="1:4" x14ac:dyDescent="0.2">
      <c r="A10286" s="496"/>
      <c r="D10286" s="496"/>
    </row>
    <row r="10287" spans="1:4" x14ac:dyDescent="0.2">
      <c r="A10287" s="496"/>
      <c r="D10287" s="496"/>
    </row>
    <row r="10288" spans="1:4" x14ac:dyDescent="0.2">
      <c r="A10288" s="496"/>
      <c r="D10288" s="496"/>
    </row>
    <row r="10289" spans="1:4" x14ac:dyDescent="0.2">
      <c r="A10289" s="496"/>
      <c r="D10289" s="496"/>
    </row>
    <row r="10290" spans="1:4" x14ac:dyDescent="0.2">
      <c r="A10290" s="496"/>
      <c r="D10290" s="496"/>
    </row>
    <row r="10291" spans="1:4" x14ac:dyDescent="0.2">
      <c r="A10291" s="496"/>
      <c r="D10291" s="496"/>
    </row>
    <row r="10292" spans="1:4" x14ac:dyDescent="0.2">
      <c r="A10292" s="496"/>
      <c r="D10292" s="496"/>
    </row>
    <row r="10293" spans="1:4" x14ac:dyDescent="0.2">
      <c r="A10293" s="496"/>
      <c r="D10293" s="496"/>
    </row>
    <row r="10294" spans="1:4" x14ac:dyDescent="0.2">
      <c r="A10294" s="496"/>
      <c r="D10294" s="496"/>
    </row>
    <row r="10295" spans="1:4" x14ac:dyDescent="0.2">
      <c r="A10295" s="496"/>
      <c r="D10295" s="496"/>
    </row>
    <row r="10296" spans="1:4" x14ac:dyDescent="0.2">
      <c r="A10296" s="496"/>
      <c r="D10296" s="496"/>
    </row>
    <row r="10297" spans="1:4" x14ac:dyDescent="0.2">
      <c r="A10297" s="496"/>
      <c r="D10297" s="496"/>
    </row>
    <row r="10298" spans="1:4" x14ac:dyDescent="0.2">
      <c r="A10298" s="496"/>
      <c r="D10298" s="496"/>
    </row>
    <row r="10299" spans="1:4" x14ac:dyDescent="0.2">
      <c r="A10299" s="496"/>
      <c r="D10299" s="496"/>
    </row>
    <row r="10300" spans="1:4" x14ac:dyDescent="0.2">
      <c r="A10300" s="496"/>
      <c r="D10300" s="496"/>
    </row>
    <row r="10301" spans="1:4" x14ac:dyDescent="0.2">
      <c r="A10301" s="496"/>
      <c r="D10301" s="496"/>
    </row>
    <row r="10302" spans="1:4" x14ac:dyDescent="0.2">
      <c r="A10302" s="496"/>
      <c r="D10302" s="496"/>
    </row>
    <row r="10303" spans="1:4" x14ac:dyDescent="0.2">
      <c r="A10303" s="496"/>
      <c r="D10303" s="496"/>
    </row>
    <row r="10304" spans="1:4" x14ac:dyDescent="0.2">
      <c r="A10304" s="496"/>
      <c r="D10304" s="496"/>
    </row>
    <row r="10305" spans="1:4" x14ac:dyDescent="0.2">
      <c r="A10305" s="496"/>
      <c r="D10305" s="496"/>
    </row>
    <row r="10306" spans="1:4" x14ac:dyDescent="0.2">
      <c r="A10306" s="496"/>
      <c r="D10306" s="496"/>
    </row>
    <row r="10307" spans="1:4" x14ac:dyDescent="0.2">
      <c r="A10307" s="496"/>
      <c r="D10307" s="496"/>
    </row>
    <row r="10308" spans="1:4" x14ac:dyDescent="0.2">
      <c r="A10308" s="496"/>
      <c r="D10308" s="496"/>
    </row>
    <row r="10309" spans="1:4" x14ac:dyDescent="0.2">
      <c r="A10309" s="496"/>
      <c r="D10309" s="496"/>
    </row>
    <row r="10310" spans="1:4" x14ac:dyDescent="0.2">
      <c r="A10310" s="496"/>
      <c r="D10310" s="496"/>
    </row>
    <row r="10311" spans="1:4" x14ac:dyDescent="0.2">
      <c r="A10311" s="496"/>
      <c r="D10311" s="496"/>
    </row>
    <row r="10312" spans="1:4" x14ac:dyDescent="0.2">
      <c r="A10312" s="496"/>
      <c r="D10312" s="496"/>
    </row>
    <row r="10313" spans="1:4" x14ac:dyDescent="0.2">
      <c r="A10313" s="496"/>
      <c r="D10313" s="496"/>
    </row>
    <row r="10314" spans="1:4" x14ac:dyDescent="0.2">
      <c r="A10314" s="496"/>
      <c r="D10314" s="496"/>
    </row>
    <row r="10315" spans="1:4" x14ac:dyDescent="0.2">
      <c r="A10315" s="496"/>
      <c r="D10315" s="496"/>
    </row>
    <row r="10316" spans="1:4" x14ac:dyDescent="0.2">
      <c r="A10316" s="496"/>
      <c r="D10316" s="496"/>
    </row>
    <row r="10317" spans="1:4" x14ac:dyDescent="0.2">
      <c r="A10317" s="496"/>
      <c r="D10317" s="496"/>
    </row>
    <row r="10318" spans="1:4" x14ac:dyDescent="0.2">
      <c r="A10318" s="496"/>
      <c r="D10318" s="496"/>
    </row>
    <row r="10319" spans="1:4" x14ac:dyDescent="0.2">
      <c r="A10319" s="496"/>
      <c r="D10319" s="496"/>
    </row>
    <row r="10320" spans="1:4" x14ac:dyDescent="0.2">
      <c r="A10320" s="496"/>
      <c r="D10320" s="496"/>
    </row>
    <row r="10321" spans="1:4" x14ac:dyDescent="0.2">
      <c r="A10321" s="496"/>
      <c r="D10321" s="496"/>
    </row>
    <row r="10322" spans="1:4" x14ac:dyDescent="0.2">
      <c r="A10322" s="496"/>
      <c r="D10322" s="496"/>
    </row>
    <row r="10323" spans="1:4" x14ac:dyDescent="0.2">
      <c r="A10323" s="496"/>
      <c r="D10323" s="496"/>
    </row>
    <row r="10324" spans="1:4" x14ac:dyDescent="0.2">
      <c r="A10324" s="496"/>
      <c r="D10324" s="496"/>
    </row>
    <row r="10325" spans="1:4" x14ac:dyDescent="0.2">
      <c r="A10325" s="496"/>
      <c r="D10325" s="496"/>
    </row>
    <row r="10326" spans="1:4" x14ac:dyDescent="0.2">
      <c r="A10326" s="496"/>
      <c r="D10326" s="496"/>
    </row>
    <row r="10327" spans="1:4" x14ac:dyDescent="0.2">
      <c r="A10327" s="496"/>
      <c r="D10327" s="496"/>
    </row>
    <row r="10328" spans="1:4" x14ac:dyDescent="0.2">
      <c r="A10328" s="496"/>
      <c r="D10328" s="496"/>
    </row>
    <row r="10329" spans="1:4" x14ac:dyDescent="0.2">
      <c r="A10329" s="496"/>
      <c r="D10329" s="496"/>
    </row>
    <row r="10330" spans="1:4" x14ac:dyDescent="0.2">
      <c r="A10330" s="496"/>
      <c r="D10330" s="496"/>
    </row>
    <row r="10331" spans="1:4" x14ac:dyDescent="0.2">
      <c r="A10331" s="496"/>
      <c r="D10331" s="496"/>
    </row>
    <row r="10332" spans="1:4" x14ac:dyDescent="0.2">
      <c r="A10332" s="496"/>
      <c r="D10332" s="496"/>
    </row>
    <row r="10333" spans="1:4" x14ac:dyDescent="0.2">
      <c r="A10333" s="496"/>
      <c r="D10333" s="496"/>
    </row>
    <row r="10334" spans="1:4" x14ac:dyDescent="0.2">
      <c r="A10334" s="496"/>
      <c r="D10334" s="496"/>
    </row>
    <row r="10335" spans="1:4" x14ac:dyDescent="0.2">
      <c r="A10335" s="496"/>
      <c r="D10335" s="496"/>
    </row>
    <row r="10336" spans="1:4" x14ac:dyDescent="0.2">
      <c r="A10336" s="496"/>
      <c r="D10336" s="496"/>
    </row>
    <row r="10337" spans="1:4" x14ac:dyDescent="0.2">
      <c r="A10337" s="496"/>
      <c r="D10337" s="496"/>
    </row>
    <row r="10338" spans="1:4" x14ac:dyDescent="0.2">
      <c r="A10338" s="496"/>
      <c r="D10338" s="496"/>
    </row>
    <row r="10339" spans="1:4" x14ac:dyDescent="0.2">
      <c r="A10339" s="496"/>
      <c r="D10339" s="496"/>
    </row>
    <row r="10340" spans="1:4" x14ac:dyDescent="0.2">
      <c r="A10340" s="496"/>
      <c r="D10340" s="496"/>
    </row>
    <row r="10341" spans="1:4" x14ac:dyDescent="0.2">
      <c r="A10341" s="496"/>
      <c r="D10341" s="496"/>
    </row>
    <row r="10342" spans="1:4" x14ac:dyDescent="0.2">
      <c r="A10342" s="496"/>
      <c r="D10342" s="496"/>
    </row>
    <row r="10343" spans="1:4" x14ac:dyDescent="0.2">
      <c r="A10343" s="496"/>
      <c r="D10343" s="496"/>
    </row>
    <row r="10344" spans="1:4" x14ac:dyDescent="0.2">
      <c r="A10344" s="496"/>
      <c r="D10344" s="496"/>
    </row>
    <row r="10345" spans="1:4" x14ac:dyDescent="0.2">
      <c r="A10345" s="496"/>
      <c r="D10345" s="496"/>
    </row>
    <row r="10346" spans="1:4" x14ac:dyDescent="0.2">
      <c r="A10346" s="496"/>
      <c r="D10346" s="496"/>
    </row>
    <row r="10347" spans="1:4" x14ac:dyDescent="0.2">
      <c r="A10347" s="496"/>
      <c r="D10347" s="496"/>
    </row>
    <row r="10348" spans="1:4" x14ac:dyDescent="0.2">
      <c r="A10348" s="496"/>
      <c r="D10348" s="496"/>
    </row>
    <row r="10349" spans="1:4" x14ac:dyDescent="0.2">
      <c r="A10349" s="496"/>
      <c r="D10349" s="496"/>
    </row>
    <row r="10350" spans="1:4" x14ac:dyDescent="0.2">
      <c r="A10350" s="496"/>
      <c r="D10350" s="496"/>
    </row>
    <row r="10351" spans="1:4" x14ac:dyDescent="0.2">
      <c r="A10351" s="496"/>
      <c r="D10351" s="496"/>
    </row>
    <row r="10352" spans="1:4" x14ac:dyDescent="0.2">
      <c r="A10352" s="496"/>
      <c r="D10352" s="496"/>
    </row>
    <row r="10353" spans="1:4" x14ac:dyDescent="0.2">
      <c r="A10353" s="496"/>
      <c r="D10353" s="496"/>
    </row>
    <row r="10354" spans="1:4" x14ac:dyDescent="0.2">
      <c r="A10354" s="496"/>
      <c r="D10354" s="496"/>
    </row>
    <row r="10355" spans="1:4" x14ac:dyDescent="0.2">
      <c r="A10355" s="496"/>
      <c r="D10355" s="496"/>
    </row>
    <row r="10356" spans="1:4" x14ac:dyDescent="0.2">
      <c r="A10356" s="496"/>
      <c r="D10356" s="496"/>
    </row>
    <row r="10357" spans="1:4" x14ac:dyDescent="0.2">
      <c r="A10357" s="496"/>
      <c r="D10357" s="496"/>
    </row>
    <row r="10358" spans="1:4" x14ac:dyDescent="0.2">
      <c r="A10358" s="496"/>
      <c r="D10358" s="496"/>
    </row>
    <row r="10359" spans="1:4" x14ac:dyDescent="0.2">
      <c r="A10359" s="496"/>
      <c r="D10359" s="496"/>
    </row>
    <row r="10360" spans="1:4" x14ac:dyDescent="0.2">
      <c r="A10360" s="496"/>
      <c r="D10360" s="496"/>
    </row>
    <row r="10361" spans="1:4" x14ac:dyDescent="0.2">
      <c r="A10361" s="496"/>
      <c r="D10361" s="496"/>
    </row>
    <row r="10362" spans="1:4" x14ac:dyDescent="0.2">
      <c r="A10362" s="496"/>
      <c r="D10362" s="496"/>
    </row>
    <row r="10363" spans="1:4" x14ac:dyDescent="0.2">
      <c r="A10363" s="496"/>
      <c r="D10363" s="496"/>
    </row>
    <row r="10364" spans="1:4" x14ac:dyDescent="0.2">
      <c r="A10364" s="496"/>
      <c r="D10364" s="496"/>
    </row>
    <row r="10365" spans="1:4" x14ac:dyDescent="0.2">
      <c r="A10365" s="496"/>
      <c r="D10365" s="496"/>
    </row>
    <row r="10366" spans="1:4" x14ac:dyDescent="0.2">
      <c r="A10366" s="496"/>
      <c r="D10366" s="496"/>
    </row>
    <row r="10367" spans="1:4" x14ac:dyDescent="0.2">
      <c r="A10367" s="496"/>
      <c r="D10367" s="496"/>
    </row>
    <row r="10368" spans="1:4" x14ac:dyDescent="0.2">
      <c r="A10368" s="496"/>
      <c r="D10368" s="496"/>
    </row>
    <row r="10369" spans="1:4" x14ac:dyDescent="0.2">
      <c r="A10369" s="496"/>
      <c r="D10369" s="496"/>
    </row>
    <row r="10370" spans="1:4" x14ac:dyDescent="0.2">
      <c r="A10370" s="496"/>
      <c r="D10370" s="496"/>
    </row>
    <row r="10371" spans="1:4" x14ac:dyDescent="0.2">
      <c r="A10371" s="496"/>
      <c r="D10371" s="496"/>
    </row>
    <row r="10372" spans="1:4" x14ac:dyDescent="0.2">
      <c r="A10372" s="496"/>
      <c r="D10372" s="496"/>
    </row>
    <row r="10373" spans="1:4" x14ac:dyDescent="0.2">
      <c r="A10373" s="496"/>
      <c r="D10373" s="496"/>
    </row>
    <row r="10374" spans="1:4" x14ac:dyDescent="0.2">
      <c r="A10374" s="496"/>
      <c r="D10374" s="496"/>
    </row>
    <row r="10375" spans="1:4" x14ac:dyDescent="0.2">
      <c r="A10375" s="496"/>
      <c r="D10375" s="496"/>
    </row>
    <row r="10376" spans="1:4" x14ac:dyDescent="0.2">
      <c r="A10376" s="496"/>
      <c r="D10376" s="496"/>
    </row>
    <row r="10377" spans="1:4" x14ac:dyDescent="0.2">
      <c r="A10377" s="496"/>
      <c r="D10377" s="496"/>
    </row>
    <row r="10378" spans="1:4" x14ac:dyDescent="0.2">
      <c r="A10378" s="496"/>
      <c r="D10378" s="496"/>
    </row>
    <row r="10379" spans="1:4" x14ac:dyDescent="0.2">
      <c r="A10379" s="496"/>
      <c r="D10379" s="496"/>
    </row>
    <row r="10380" spans="1:4" x14ac:dyDescent="0.2">
      <c r="A10380" s="496"/>
      <c r="D10380" s="496"/>
    </row>
    <row r="10381" spans="1:4" x14ac:dyDescent="0.2">
      <c r="A10381" s="496"/>
      <c r="D10381" s="496"/>
    </row>
    <row r="10382" spans="1:4" x14ac:dyDescent="0.2">
      <c r="A10382" s="496"/>
      <c r="D10382" s="496"/>
    </row>
    <row r="10383" spans="1:4" x14ac:dyDescent="0.2">
      <c r="A10383" s="496"/>
      <c r="D10383" s="496"/>
    </row>
    <row r="10384" spans="1:4" x14ac:dyDescent="0.2">
      <c r="A10384" s="496"/>
      <c r="D10384" s="496"/>
    </row>
    <row r="10385" spans="1:4" x14ac:dyDescent="0.2">
      <c r="A10385" s="496"/>
      <c r="D10385" s="496"/>
    </row>
    <row r="10386" spans="1:4" x14ac:dyDescent="0.2">
      <c r="A10386" s="496"/>
      <c r="D10386" s="496"/>
    </row>
    <row r="10387" spans="1:4" x14ac:dyDescent="0.2">
      <c r="A10387" s="496"/>
      <c r="D10387" s="496"/>
    </row>
    <row r="10388" spans="1:4" x14ac:dyDescent="0.2">
      <c r="A10388" s="496"/>
      <c r="D10388" s="496"/>
    </row>
    <row r="10389" spans="1:4" x14ac:dyDescent="0.2">
      <c r="A10389" s="496"/>
      <c r="D10389" s="496"/>
    </row>
    <row r="10390" spans="1:4" x14ac:dyDescent="0.2">
      <c r="A10390" s="496"/>
      <c r="D10390" s="496"/>
    </row>
    <row r="10391" spans="1:4" x14ac:dyDescent="0.2">
      <c r="A10391" s="496"/>
      <c r="D10391" s="496"/>
    </row>
    <row r="10392" spans="1:4" x14ac:dyDescent="0.2">
      <c r="A10392" s="496"/>
      <c r="D10392" s="496"/>
    </row>
    <row r="10393" spans="1:4" x14ac:dyDescent="0.2">
      <c r="A10393" s="496"/>
      <c r="D10393" s="496"/>
    </row>
    <row r="10394" spans="1:4" x14ac:dyDescent="0.2">
      <c r="A10394" s="496"/>
      <c r="D10394" s="496"/>
    </row>
    <row r="10395" spans="1:4" x14ac:dyDescent="0.2">
      <c r="A10395" s="496"/>
      <c r="D10395" s="496"/>
    </row>
    <row r="10396" spans="1:4" x14ac:dyDescent="0.2">
      <c r="A10396" s="496"/>
      <c r="D10396" s="496"/>
    </row>
    <row r="10397" spans="1:4" x14ac:dyDescent="0.2">
      <c r="A10397" s="496"/>
      <c r="D10397" s="496"/>
    </row>
    <row r="10398" spans="1:4" x14ac:dyDescent="0.2">
      <c r="A10398" s="496"/>
      <c r="D10398" s="496"/>
    </row>
    <row r="10399" spans="1:4" x14ac:dyDescent="0.2">
      <c r="A10399" s="496"/>
      <c r="D10399" s="496"/>
    </row>
    <row r="10400" spans="1:4" x14ac:dyDescent="0.2">
      <c r="A10400" s="496"/>
      <c r="D10400" s="496"/>
    </row>
    <row r="10401" spans="1:4" x14ac:dyDescent="0.2">
      <c r="A10401" s="496"/>
      <c r="D10401" s="496"/>
    </row>
    <row r="10402" spans="1:4" x14ac:dyDescent="0.2">
      <c r="A10402" s="496"/>
      <c r="D10402" s="496"/>
    </row>
    <row r="10403" spans="1:4" x14ac:dyDescent="0.2">
      <c r="A10403" s="496"/>
      <c r="D10403" s="496"/>
    </row>
    <row r="10404" spans="1:4" x14ac:dyDescent="0.2">
      <c r="A10404" s="496"/>
      <c r="D10404" s="496"/>
    </row>
    <row r="10405" spans="1:4" x14ac:dyDescent="0.2">
      <c r="A10405" s="496"/>
      <c r="D10405" s="496"/>
    </row>
    <row r="10406" spans="1:4" x14ac:dyDescent="0.2">
      <c r="A10406" s="496"/>
      <c r="D10406" s="496"/>
    </row>
    <row r="10407" spans="1:4" x14ac:dyDescent="0.2">
      <c r="A10407" s="496"/>
      <c r="D10407" s="496"/>
    </row>
    <row r="10408" spans="1:4" x14ac:dyDescent="0.2">
      <c r="A10408" s="496"/>
      <c r="D10408" s="496"/>
    </row>
    <row r="10409" spans="1:4" x14ac:dyDescent="0.2">
      <c r="A10409" s="496"/>
      <c r="D10409" s="496"/>
    </row>
    <row r="10410" spans="1:4" x14ac:dyDescent="0.2">
      <c r="A10410" s="496"/>
      <c r="D10410" s="496"/>
    </row>
    <row r="10411" spans="1:4" x14ac:dyDescent="0.2">
      <c r="A10411" s="496"/>
      <c r="D10411" s="496"/>
    </row>
    <row r="10412" spans="1:4" x14ac:dyDescent="0.2">
      <c r="A10412" s="496"/>
      <c r="D10412" s="496"/>
    </row>
    <row r="10413" spans="1:4" x14ac:dyDescent="0.2">
      <c r="A10413" s="496"/>
      <c r="D10413" s="496"/>
    </row>
    <row r="10414" spans="1:4" x14ac:dyDescent="0.2">
      <c r="A10414" s="496"/>
      <c r="D10414" s="496"/>
    </row>
    <row r="10415" spans="1:4" x14ac:dyDescent="0.2">
      <c r="A10415" s="496"/>
      <c r="D10415" s="496"/>
    </row>
    <row r="10416" spans="1:4" x14ac:dyDescent="0.2">
      <c r="A10416" s="496"/>
      <c r="D10416" s="496"/>
    </row>
    <row r="10417" spans="1:4" x14ac:dyDescent="0.2">
      <c r="A10417" s="496"/>
      <c r="D10417" s="496"/>
    </row>
    <row r="10418" spans="1:4" x14ac:dyDescent="0.2">
      <c r="A10418" s="496"/>
      <c r="D10418" s="496"/>
    </row>
    <row r="10419" spans="1:4" x14ac:dyDescent="0.2">
      <c r="A10419" s="496"/>
      <c r="D10419" s="496"/>
    </row>
    <row r="10420" spans="1:4" x14ac:dyDescent="0.2">
      <c r="A10420" s="496"/>
      <c r="D10420" s="496"/>
    </row>
    <row r="10421" spans="1:4" x14ac:dyDescent="0.2">
      <c r="A10421" s="496"/>
      <c r="D10421" s="496"/>
    </row>
    <row r="10422" spans="1:4" x14ac:dyDescent="0.2">
      <c r="A10422" s="496"/>
      <c r="D10422" s="496"/>
    </row>
    <row r="10423" spans="1:4" x14ac:dyDescent="0.2">
      <c r="A10423" s="496"/>
      <c r="D10423" s="496"/>
    </row>
    <row r="10424" spans="1:4" x14ac:dyDescent="0.2">
      <c r="A10424" s="496"/>
      <c r="D10424" s="496"/>
    </row>
    <row r="10425" spans="1:4" x14ac:dyDescent="0.2">
      <c r="A10425" s="496"/>
      <c r="D10425" s="496"/>
    </row>
    <row r="10426" spans="1:4" x14ac:dyDescent="0.2">
      <c r="A10426" s="496"/>
      <c r="D10426" s="496"/>
    </row>
    <row r="10427" spans="1:4" x14ac:dyDescent="0.2">
      <c r="A10427" s="496"/>
      <c r="D10427" s="496"/>
    </row>
    <row r="10428" spans="1:4" x14ac:dyDescent="0.2">
      <c r="A10428" s="496"/>
      <c r="D10428" s="496"/>
    </row>
    <row r="10429" spans="1:4" x14ac:dyDescent="0.2">
      <c r="A10429" s="496"/>
      <c r="D10429" s="496"/>
    </row>
    <row r="10430" spans="1:4" x14ac:dyDescent="0.2">
      <c r="A10430" s="496"/>
      <c r="D10430" s="496"/>
    </row>
    <row r="10431" spans="1:4" x14ac:dyDescent="0.2">
      <c r="A10431" s="496"/>
      <c r="D10431" s="496"/>
    </row>
    <row r="10432" spans="1:4" x14ac:dyDescent="0.2">
      <c r="A10432" s="496"/>
      <c r="D10432" s="496"/>
    </row>
    <row r="10433" spans="1:4" x14ac:dyDescent="0.2">
      <c r="A10433" s="496"/>
      <c r="D10433" s="496"/>
    </row>
    <row r="10434" spans="1:4" x14ac:dyDescent="0.2">
      <c r="A10434" s="496"/>
      <c r="D10434" s="496"/>
    </row>
    <row r="10435" spans="1:4" x14ac:dyDescent="0.2">
      <c r="A10435" s="496"/>
      <c r="D10435" s="496"/>
    </row>
    <row r="10436" spans="1:4" x14ac:dyDescent="0.2">
      <c r="A10436" s="496"/>
      <c r="D10436" s="496"/>
    </row>
    <row r="10437" spans="1:4" x14ac:dyDescent="0.2">
      <c r="A10437" s="496"/>
      <c r="D10437" s="496"/>
    </row>
    <row r="10438" spans="1:4" x14ac:dyDescent="0.2">
      <c r="A10438" s="496"/>
      <c r="D10438" s="496"/>
    </row>
    <row r="10439" spans="1:4" x14ac:dyDescent="0.2">
      <c r="A10439" s="496"/>
      <c r="D10439" s="496"/>
    </row>
    <row r="10440" spans="1:4" x14ac:dyDescent="0.2">
      <c r="A10440" s="496"/>
      <c r="D10440" s="496"/>
    </row>
    <row r="10441" spans="1:4" x14ac:dyDescent="0.2">
      <c r="A10441" s="496"/>
      <c r="D10441" s="496"/>
    </row>
    <row r="10442" spans="1:4" x14ac:dyDescent="0.2">
      <c r="A10442" s="496"/>
      <c r="D10442" s="496"/>
    </row>
    <row r="10443" spans="1:4" x14ac:dyDescent="0.2">
      <c r="A10443" s="496"/>
      <c r="D10443" s="496"/>
    </row>
    <row r="10444" spans="1:4" x14ac:dyDescent="0.2">
      <c r="A10444" s="496"/>
      <c r="D10444" s="496"/>
    </row>
    <row r="10445" spans="1:4" x14ac:dyDescent="0.2">
      <c r="A10445" s="496"/>
      <c r="D10445" s="496"/>
    </row>
    <row r="10446" spans="1:4" x14ac:dyDescent="0.2">
      <c r="A10446" s="496"/>
      <c r="D10446" s="496"/>
    </row>
    <row r="10447" spans="1:4" x14ac:dyDescent="0.2">
      <c r="A10447" s="496"/>
      <c r="D10447" s="496"/>
    </row>
    <row r="10448" spans="1:4" x14ac:dyDescent="0.2">
      <c r="A10448" s="496"/>
      <c r="D10448" s="496"/>
    </row>
    <row r="10449" spans="1:4" x14ac:dyDescent="0.2">
      <c r="A10449" s="496"/>
      <c r="D10449" s="496"/>
    </row>
    <row r="10450" spans="1:4" x14ac:dyDescent="0.2">
      <c r="A10450" s="496"/>
      <c r="D10450" s="496"/>
    </row>
    <row r="10451" spans="1:4" x14ac:dyDescent="0.2">
      <c r="A10451" s="496"/>
      <c r="D10451" s="496"/>
    </row>
    <row r="10452" spans="1:4" x14ac:dyDescent="0.2">
      <c r="A10452" s="496"/>
      <c r="D10452" s="496"/>
    </row>
    <row r="10453" spans="1:4" x14ac:dyDescent="0.2">
      <c r="A10453" s="496"/>
      <c r="D10453" s="496"/>
    </row>
    <row r="10454" spans="1:4" x14ac:dyDescent="0.2">
      <c r="A10454" s="496"/>
      <c r="D10454" s="496"/>
    </row>
    <row r="10455" spans="1:4" x14ac:dyDescent="0.2">
      <c r="A10455" s="496"/>
      <c r="D10455" s="496"/>
    </row>
    <row r="10456" spans="1:4" x14ac:dyDescent="0.2">
      <c r="A10456" s="496"/>
      <c r="D10456" s="496"/>
    </row>
    <row r="10457" spans="1:4" x14ac:dyDescent="0.2">
      <c r="A10457" s="496"/>
      <c r="D10457" s="496"/>
    </row>
    <row r="10458" spans="1:4" x14ac:dyDescent="0.2">
      <c r="A10458" s="496"/>
      <c r="D10458" s="496"/>
    </row>
    <row r="10459" spans="1:4" x14ac:dyDescent="0.2">
      <c r="A10459" s="496"/>
      <c r="D10459" s="496"/>
    </row>
    <row r="10460" spans="1:4" x14ac:dyDescent="0.2">
      <c r="A10460" s="496"/>
      <c r="D10460" s="496"/>
    </row>
    <row r="10461" spans="1:4" x14ac:dyDescent="0.2">
      <c r="A10461" s="496"/>
      <c r="D10461" s="496"/>
    </row>
    <row r="10462" spans="1:4" x14ac:dyDescent="0.2">
      <c r="A10462" s="496"/>
      <c r="D10462" s="496"/>
    </row>
    <row r="10463" spans="1:4" x14ac:dyDescent="0.2">
      <c r="A10463" s="496"/>
      <c r="D10463" s="496"/>
    </row>
    <row r="10464" spans="1:4" x14ac:dyDescent="0.2">
      <c r="A10464" s="496"/>
      <c r="D10464" s="496"/>
    </row>
    <row r="10465" spans="1:4" x14ac:dyDescent="0.2">
      <c r="A10465" s="496"/>
      <c r="D10465" s="496"/>
    </row>
    <row r="10466" spans="1:4" x14ac:dyDescent="0.2">
      <c r="A10466" s="496"/>
      <c r="D10466" s="496"/>
    </row>
    <row r="10467" spans="1:4" x14ac:dyDescent="0.2">
      <c r="A10467" s="496"/>
      <c r="D10467" s="496"/>
    </row>
    <row r="10468" spans="1:4" x14ac:dyDescent="0.2">
      <c r="A10468" s="496"/>
      <c r="D10468" s="496"/>
    </row>
    <row r="10469" spans="1:4" x14ac:dyDescent="0.2">
      <c r="A10469" s="496"/>
      <c r="D10469" s="496"/>
    </row>
    <row r="10470" spans="1:4" x14ac:dyDescent="0.2">
      <c r="A10470" s="496"/>
      <c r="D10470" s="496"/>
    </row>
    <row r="10471" spans="1:4" x14ac:dyDescent="0.2">
      <c r="A10471" s="496"/>
      <c r="D10471" s="496"/>
    </row>
    <row r="10472" spans="1:4" x14ac:dyDescent="0.2">
      <c r="A10472" s="496"/>
      <c r="D10472" s="496"/>
    </row>
    <row r="10473" spans="1:4" x14ac:dyDescent="0.2">
      <c r="A10473" s="496"/>
      <c r="D10473" s="496"/>
    </row>
    <row r="10474" spans="1:4" x14ac:dyDescent="0.2">
      <c r="A10474" s="496"/>
      <c r="D10474" s="496"/>
    </row>
    <row r="10475" spans="1:4" x14ac:dyDescent="0.2">
      <c r="A10475" s="496"/>
      <c r="D10475" s="496"/>
    </row>
    <row r="10476" spans="1:4" x14ac:dyDescent="0.2">
      <c r="A10476" s="496"/>
      <c r="D10476" s="496"/>
    </row>
    <row r="10477" spans="1:4" x14ac:dyDescent="0.2">
      <c r="A10477" s="496"/>
      <c r="D10477" s="496"/>
    </row>
    <row r="10478" spans="1:4" x14ac:dyDescent="0.2">
      <c r="A10478" s="496"/>
      <c r="D10478" s="496"/>
    </row>
    <row r="10479" spans="1:4" x14ac:dyDescent="0.2">
      <c r="A10479" s="496"/>
      <c r="D10479" s="496"/>
    </row>
    <row r="10480" spans="1:4" x14ac:dyDescent="0.2">
      <c r="A10480" s="496"/>
      <c r="D10480" s="496"/>
    </row>
    <row r="10481" spans="1:4" x14ac:dyDescent="0.2">
      <c r="A10481" s="496"/>
      <c r="D10481" s="496"/>
    </row>
    <row r="10482" spans="1:4" x14ac:dyDescent="0.2">
      <c r="A10482" s="496"/>
      <c r="D10482" s="496"/>
    </row>
    <row r="10483" spans="1:4" x14ac:dyDescent="0.2">
      <c r="A10483" s="496"/>
      <c r="D10483" s="496"/>
    </row>
    <row r="10484" spans="1:4" x14ac:dyDescent="0.2">
      <c r="A10484" s="496"/>
      <c r="D10484" s="496"/>
    </row>
    <row r="10485" spans="1:4" x14ac:dyDescent="0.2">
      <c r="A10485" s="496"/>
      <c r="D10485" s="496"/>
    </row>
    <row r="10486" spans="1:4" x14ac:dyDescent="0.2">
      <c r="A10486" s="496"/>
      <c r="D10486" s="496"/>
    </row>
    <row r="10487" spans="1:4" x14ac:dyDescent="0.2">
      <c r="A10487" s="496"/>
      <c r="D10487" s="496"/>
    </row>
    <row r="10488" spans="1:4" x14ac:dyDescent="0.2">
      <c r="A10488" s="496"/>
      <c r="D10488" s="496"/>
    </row>
    <row r="10489" spans="1:4" x14ac:dyDescent="0.2">
      <c r="A10489" s="496"/>
      <c r="D10489" s="496"/>
    </row>
    <row r="10490" spans="1:4" x14ac:dyDescent="0.2">
      <c r="A10490" s="496"/>
      <c r="D10490" s="496"/>
    </row>
    <row r="10491" spans="1:4" x14ac:dyDescent="0.2">
      <c r="A10491" s="496"/>
      <c r="D10491" s="496"/>
    </row>
    <row r="10492" spans="1:4" x14ac:dyDescent="0.2">
      <c r="A10492" s="496"/>
      <c r="D10492" s="496"/>
    </row>
    <row r="10493" spans="1:4" x14ac:dyDescent="0.2">
      <c r="A10493" s="496"/>
      <c r="D10493" s="496"/>
    </row>
    <row r="10494" spans="1:4" x14ac:dyDescent="0.2">
      <c r="A10494" s="496"/>
      <c r="D10494" s="496"/>
    </row>
    <row r="10495" spans="1:4" x14ac:dyDescent="0.2">
      <c r="A10495" s="496"/>
      <c r="D10495" s="496"/>
    </row>
    <row r="10496" spans="1:4" x14ac:dyDescent="0.2">
      <c r="A10496" s="496"/>
      <c r="D10496" s="496"/>
    </row>
    <row r="10497" spans="1:4" x14ac:dyDescent="0.2">
      <c r="A10497" s="496"/>
      <c r="D10497" s="496"/>
    </row>
    <row r="10498" spans="1:4" x14ac:dyDescent="0.2">
      <c r="A10498" s="496"/>
      <c r="D10498" s="496"/>
    </row>
    <row r="10499" spans="1:4" x14ac:dyDescent="0.2">
      <c r="A10499" s="496"/>
      <c r="D10499" s="496"/>
    </row>
    <row r="10500" spans="1:4" x14ac:dyDescent="0.2">
      <c r="A10500" s="496"/>
      <c r="D10500" s="496"/>
    </row>
    <row r="10501" spans="1:4" x14ac:dyDescent="0.2">
      <c r="A10501" s="496"/>
      <c r="D10501" s="496"/>
    </row>
    <row r="10502" spans="1:4" x14ac:dyDescent="0.2">
      <c r="A10502" s="496"/>
      <c r="D10502" s="496"/>
    </row>
    <row r="10503" spans="1:4" x14ac:dyDescent="0.2">
      <c r="A10503" s="496"/>
      <c r="D10503" s="496"/>
    </row>
    <row r="10504" spans="1:4" x14ac:dyDescent="0.2">
      <c r="A10504" s="496"/>
      <c r="D10504" s="496"/>
    </row>
    <row r="10505" spans="1:4" x14ac:dyDescent="0.2">
      <c r="A10505" s="496"/>
      <c r="D10505" s="496"/>
    </row>
    <row r="10506" spans="1:4" x14ac:dyDescent="0.2">
      <c r="A10506" s="496"/>
      <c r="D10506" s="496"/>
    </row>
    <row r="10507" spans="1:4" x14ac:dyDescent="0.2">
      <c r="A10507" s="496"/>
      <c r="D10507" s="496"/>
    </row>
    <row r="10508" spans="1:4" x14ac:dyDescent="0.2">
      <c r="A10508" s="496"/>
      <c r="D10508" s="496"/>
    </row>
    <row r="10509" spans="1:4" x14ac:dyDescent="0.2">
      <c r="A10509" s="496"/>
      <c r="D10509" s="496"/>
    </row>
    <row r="10510" spans="1:4" x14ac:dyDescent="0.2">
      <c r="A10510" s="496"/>
      <c r="D10510" s="496"/>
    </row>
    <row r="10511" spans="1:4" x14ac:dyDescent="0.2">
      <c r="A10511" s="496"/>
      <c r="D10511" s="496"/>
    </row>
    <row r="10512" spans="1:4" x14ac:dyDescent="0.2">
      <c r="A10512" s="496"/>
      <c r="D10512" s="496"/>
    </row>
    <row r="10513" spans="1:4" x14ac:dyDescent="0.2">
      <c r="A10513" s="496"/>
      <c r="D10513" s="496"/>
    </row>
    <row r="10514" spans="1:4" x14ac:dyDescent="0.2">
      <c r="A10514" s="496"/>
      <c r="D10514" s="496"/>
    </row>
    <row r="10515" spans="1:4" x14ac:dyDescent="0.2">
      <c r="A10515" s="496"/>
      <c r="D10515" s="496"/>
    </row>
    <row r="10516" spans="1:4" x14ac:dyDescent="0.2">
      <c r="A10516" s="496"/>
      <c r="D10516" s="496"/>
    </row>
    <row r="10517" spans="1:4" x14ac:dyDescent="0.2">
      <c r="A10517" s="496"/>
      <c r="D10517" s="496"/>
    </row>
    <row r="10518" spans="1:4" x14ac:dyDescent="0.2">
      <c r="A10518" s="496"/>
      <c r="D10518" s="496"/>
    </row>
    <row r="10519" spans="1:4" x14ac:dyDescent="0.2">
      <c r="A10519" s="496"/>
      <c r="D10519" s="496"/>
    </row>
    <row r="10520" spans="1:4" x14ac:dyDescent="0.2">
      <c r="A10520" s="496"/>
      <c r="D10520" s="496"/>
    </row>
    <row r="10521" spans="1:4" x14ac:dyDescent="0.2">
      <c r="A10521" s="496"/>
      <c r="D10521" s="496"/>
    </row>
    <row r="10522" spans="1:4" x14ac:dyDescent="0.2">
      <c r="A10522" s="496"/>
      <c r="D10522" s="496"/>
    </row>
    <row r="10523" spans="1:4" x14ac:dyDescent="0.2">
      <c r="A10523" s="496"/>
      <c r="D10523" s="496"/>
    </row>
    <row r="10524" spans="1:4" x14ac:dyDescent="0.2">
      <c r="A10524" s="496"/>
      <c r="D10524" s="496"/>
    </row>
    <row r="10525" spans="1:4" x14ac:dyDescent="0.2">
      <c r="A10525" s="496"/>
      <c r="D10525" s="496"/>
    </row>
    <row r="10526" spans="1:4" x14ac:dyDescent="0.2">
      <c r="A10526" s="496"/>
      <c r="D10526" s="496"/>
    </row>
    <row r="10527" spans="1:4" x14ac:dyDescent="0.2">
      <c r="A10527" s="496"/>
      <c r="D10527" s="496"/>
    </row>
    <row r="10528" spans="1:4" x14ac:dyDescent="0.2">
      <c r="A10528" s="496"/>
      <c r="D10528" s="496"/>
    </row>
    <row r="10529" spans="1:4" x14ac:dyDescent="0.2">
      <c r="A10529" s="496"/>
      <c r="D10529" s="496"/>
    </row>
    <row r="10530" spans="1:4" x14ac:dyDescent="0.2">
      <c r="A10530" s="496"/>
      <c r="D10530" s="496"/>
    </row>
    <row r="10531" spans="1:4" x14ac:dyDescent="0.2">
      <c r="A10531" s="496"/>
      <c r="D10531" s="496"/>
    </row>
    <row r="10532" spans="1:4" x14ac:dyDescent="0.2">
      <c r="A10532" s="496"/>
      <c r="D10532" s="496"/>
    </row>
    <row r="10533" spans="1:4" x14ac:dyDescent="0.2">
      <c r="A10533" s="496"/>
      <c r="D10533" s="496"/>
    </row>
    <row r="10534" spans="1:4" x14ac:dyDescent="0.2">
      <c r="A10534" s="496"/>
      <c r="D10534" s="496"/>
    </row>
    <row r="10535" spans="1:4" x14ac:dyDescent="0.2">
      <c r="A10535" s="496"/>
      <c r="D10535" s="496"/>
    </row>
    <row r="10536" spans="1:4" x14ac:dyDescent="0.2">
      <c r="A10536" s="496"/>
      <c r="D10536" s="496"/>
    </row>
    <row r="10537" spans="1:4" x14ac:dyDescent="0.2">
      <c r="A10537" s="496"/>
      <c r="D10537" s="496"/>
    </row>
    <row r="10538" spans="1:4" x14ac:dyDescent="0.2">
      <c r="A10538" s="496"/>
      <c r="D10538" s="496"/>
    </row>
    <row r="10539" spans="1:4" x14ac:dyDescent="0.2">
      <c r="A10539" s="496"/>
      <c r="D10539" s="496"/>
    </row>
    <row r="10540" spans="1:4" x14ac:dyDescent="0.2">
      <c r="A10540" s="496"/>
      <c r="D10540" s="496"/>
    </row>
    <row r="10541" spans="1:4" x14ac:dyDescent="0.2">
      <c r="A10541" s="496"/>
      <c r="D10541" s="496"/>
    </row>
    <row r="10542" spans="1:4" x14ac:dyDescent="0.2">
      <c r="A10542" s="496"/>
      <c r="D10542" s="496"/>
    </row>
    <row r="10543" spans="1:4" x14ac:dyDescent="0.2">
      <c r="A10543" s="496"/>
      <c r="D10543" s="496"/>
    </row>
    <row r="10544" spans="1:4" x14ac:dyDescent="0.2">
      <c r="A10544" s="496"/>
      <c r="D10544" s="496"/>
    </row>
    <row r="10545" spans="1:4" x14ac:dyDescent="0.2">
      <c r="A10545" s="496"/>
      <c r="D10545" s="496"/>
    </row>
    <row r="10546" spans="1:4" x14ac:dyDescent="0.2">
      <c r="A10546" s="496"/>
      <c r="D10546" s="496"/>
    </row>
    <row r="10547" spans="1:4" x14ac:dyDescent="0.2">
      <c r="A10547" s="496"/>
      <c r="D10547" s="496"/>
    </row>
    <row r="10548" spans="1:4" x14ac:dyDescent="0.2">
      <c r="A10548" s="496"/>
      <c r="D10548" s="496"/>
    </row>
    <row r="10549" spans="1:4" x14ac:dyDescent="0.2">
      <c r="A10549" s="496"/>
      <c r="D10549" s="496"/>
    </row>
    <row r="10550" spans="1:4" x14ac:dyDescent="0.2">
      <c r="A10550" s="496"/>
      <c r="D10550" s="496"/>
    </row>
    <row r="10551" spans="1:4" x14ac:dyDescent="0.2">
      <c r="A10551" s="496"/>
      <c r="D10551" s="496"/>
    </row>
    <row r="10552" spans="1:4" x14ac:dyDescent="0.2">
      <c r="A10552" s="496"/>
      <c r="D10552" s="496"/>
    </row>
    <row r="10553" spans="1:4" x14ac:dyDescent="0.2">
      <c r="A10553" s="496"/>
      <c r="D10553" s="496"/>
    </row>
    <row r="10554" spans="1:4" x14ac:dyDescent="0.2">
      <c r="A10554" s="496"/>
      <c r="D10554" s="496"/>
    </row>
    <row r="10555" spans="1:4" x14ac:dyDescent="0.2">
      <c r="A10555" s="496"/>
      <c r="D10555" s="496"/>
    </row>
    <row r="10556" spans="1:4" x14ac:dyDescent="0.2">
      <c r="A10556" s="496"/>
      <c r="D10556" s="496"/>
    </row>
    <row r="10557" spans="1:4" x14ac:dyDescent="0.2">
      <c r="A10557" s="496"/>
      <c r="D10557" s="496"/>
    </row>
    <row r="10558" spans="1:4" x14ac:dyDescent="0.2">
      <c r="A10558" s="496"/>
      <c r="D10558" s="496"/>
    </row>
    <row r="10559" spans="1:4" x14ac:dyDescent="0.2">
      <c r="A10559" s="496"/>
      <c r="D10559" s="496"/>
    </row>
    <row r="10560" spans="1:4" x14ac:dyDescent="0.2">
      <c r="A10560" s="496"/>
      <c r="D10560" s="496"/>
    </row>
    <row r="10561" spans="1:4" x14ac:dyDescent="0.2">
      <c r="A10561" s="496"/>
      <c r="D10561" s="496"/>
    </row>
    <row r="10562" spans="1:4" x14ac:dyDescent="0.2">
      <c r="A10562" s="496"/>
      <c r="D10562" s="496"/>
    </row>
    <row r="10563" spans="1:4" x14ac:dyDescent="0.2">
      <c r="A10563" s="496"/>
      <c r="D10563" s="496"/>
    </row>
    <row r="10564" spans="1:4" x14ac:dyDescent="0.2">
      <c r="A10564" s="496"/>
      <c r="D10564" s="496"/>
    </row>
    <row r="10565" spans="1:4" x14ac:dyDescent="0.2">
      <c r="A10565" s="496"/>
      <c r="D10565" s="496"/>
    </row>
    <row r="10566" spans="1:4" x14ac:dyDescent="0.2">
      <c r="A10566" s="496"/>
      <c r="D10566" s="496"/>
    </row>
    <row r="10567" spans="1:4" x14ac:dyDescent="0.2">
      <c r="A10567" s="496"/>
      <c r="D10567" s="496"/>
    </row>
    <row r="10568" spans="1:4" x14ac:dyDescent="0.2">
      <c r="A10568" s="496"/>
      <c r="D10568" s="496"/>
    </row>
    <row r="10569" spans="1:4" x14ac:dyDescent="0.2">
      <c r="A10569" s="496"/>
      <c r="D10569" s="496"/>
    </row>
    <row r="10570" spans="1:4" x14ac:dyDescent="0.2">
      <c r="A10570" s="496"/>
      <c r="D10570" s="496"/>
    </row>
    <row r="10571" spans="1:4" x14ac:dyDescent="0.2">
      <c r="A10571" s="496"/>
      <c r="D10571" s="496"/>
    </row>
    <row r="10572" spans="1:4" x14ac:dyDescent="0.2">
      <c r="A10572" s="496"/>
      <c r="D10572" s="496"/>
    </row>
    <row r="10573" spans="1:4" x14ac:dyDescent="0.2">
      <c r="A10573" s="496"/>
      <c r="D10573" s="496"/>
    </row>
    <row r="10574" spans="1:4" x14ac:dyDescent="0.2">
      <c r="A10574" s="496"/>
      <c r="D10574" s="496"/>
    </row>
    <row r="10575" spans="1:4" x14ac:dyDescent="0.2">
      <c r="A10575" s="496"/>
      <c r="D10575" s="496"/>
    </row>
    <row r="10576" spans="1:4" x14ac:dyDescent="0.2">
      <c r="A10576" s="496"/>
      <c r="D10576" s="496"/>
    </row>
    <row r="10577" spans="1:4" x14ac:dyDescent="0.2">
      <c r="A10577" s="496"/>
      <c r="D10577" s="496"/>
    </row>
    <row r="10578" spans="1:4" x14ac:dyDescent="0.2">
      <c r="A10578" s="496"/>
      <c r="D10578" s="496"/>
    </row>
    <row r="10579" spans="1:4" x14ac:dyDescent="0.2">
      <c r="A10579" s="496"/>
      <c r="D10579" s="496"/>
    </row>
    <row r="10580" spans="1:4" x14ac:dyDescent="0.2">
      <c r="A10580" s="496"/>
      <c r="D10580" s="496"/>
    </row>
    <row r="10581" spans="1:4" x14ac:dyDescent="0.2">
      <c r="A10581" s="496"/>
      <c r="D10581" s="496"/>
    </row>
    <row r="10582" spans="1:4" x14ac:dyDescent="0.2">
      <c r="A10582" s="496"/>
      <c r="D10582" s="496"/>
    </row>
    <row r="10583" spans="1:4" x14ac:dyDescent="0.2">
      <c r="A10583" s="496"/>
      <c r="D10583" s="496"/>
    </row>
    <row r="10584" spans="1:4" x14ac:dyDescent="0.2">
      <c r="A10584" s="496"/>
      <c r="D10584" s="496"/>
    </row>
    <row r="10585" spans="1:4" x14ac:dyDescent="0.2">
      <c r="A10585" s="496"/>
      <c r="D10585" s="496"/>
    </row>
    <row r="10586" spans="1:4" x14ac:dyDescent="0.2">
      <c r="A10586" s="496"/>
      <c r="D10586" s="496"/>
    </row>
    <row r="10587" spans="1:4" x14ac:dyDescent="0.2">
      <c r="A10587" s="496"/>
      <c r="D10587" s="496"/>
    </row>
    <row r="10588" spans="1:4" x14ac:dyDescent="0.2">
      <c r="A10588" s="496"/>
      <c r="D10588" s="496"/>
    </row>
    <row r="10589" spans="1:4" x14ac:dyDescent="0.2">
      <c r="A10589" s="496"/>
      <c r="D10589" s="496"/>
    </row>
    <row r="10590" spans="1:4" x14ac:dyDescent="0.2">
      <c r="A10590" s="496"/>
      <c r="D10590" s="496"/>
    </row>
    <row r="10591" spans="1:4" x14ac:dyDescent="0.2">
      <c r="A10591" s="496"/>
      <c r="D10591" s="496"/>
    </row>
    <row r="10592" spans="1:4" x14ac:dyDescent="0.2">
      <c r="A10592" s="496"/>
      <c r="D10592" s="496"/>
    </row>
    <row r="10593" spans="1:4" x14ac:dyDescent="0.2">
      <c r="A10593" s="496"/>
      <c r="D10593" s="496"/>
    </row>
    <row r="10594" spans="1:4" x14ac:dyDescent="0.2">
      <c r="A10594" s="496"/>
      <c r="D10594" s="496"/>
    </row>
    <row r="10595" spans="1:4" x14ac:dyDescent="0.2">
      <c r="A10595" s="496"/>
      <c r="D10595" s="496"/>
    </row>
    <row r="10596" spans="1:4" x14ac:dyDescent="0.2">
      <c r="A10596" s="496"/>
      <c r="D10596" s="496"/>
    </row>
    <row r="10597" spans="1:4" x14ac:dyDescent="0.2">
      <c r="A10597" s="496"/>
      <c r="D10597" s="496"/>
    </row>
    <row r="10598" spans="1:4" x14ac:dyDescent="0.2">
      <c r="A10598" s="496"/>
      <c r="D10598" s="496"/>
    </row>
    <row r="10599" spans="1:4" x14ac:dyDescent="0.2">
      <c r="A10599" s="496"/>
      <c r="D10599" s="496"/>
    </row>
    <row r="10600" spans="1:4" x14ac:dyDescent="0.2">
      <c r="A10600" s="496"/>
      <c r="D10600" s="496"/>
    </row>
    <row r="10601" spans="1:4" x14ac:dyDescent="0.2">
      <c r="A10601" s="496"/>
      <c r="D10601" s="496"/>
    </row>
    <row r="10602" spans="1:4" x14ac:dyDescent="0.2">
      <c r="A10602" s="496"/>
      <c r="D10602" s="496"/>
    </row>
    <row r="10603" spans="1:4" x14ac:dyDescent="0.2">
      <c r="A10603" s="496"/>
      <c r="D10603" s="496"/>
    </row>
    <row r="10604" spans="1:4" x14ac:dyDescent="0.2">
      <c r="A10604" s="496"/>
      <c r="D10604" s="496"/>
    </row>
    <row r="10605" spans="1:4" x14ac:dyDescent="0.2">
      <c r="A10605" s="496"/>
      <c r="D10605" s="496"/>
    </row>
    <row r="10606" spans="1:4" x14ac:dyDescent="0.2">
      <c r="A10606" s="496"/>
      <c r="D10606" s="496"/>
    </row>
    <row r="10607" spans="1:4" x14ac:dyDescent="0.2">
      <c r="A10607" s="496"/>
      <c r="D10607" s="496"/>
    </row>
    <row r="10608" spans="1:4" x14ac:dyDescent="0.2">
      <c r="A10608" s="496"/>
      <c r="D10608" s="496"/>
    </row>
    <row r="10609" spans="1:4" x14ac:dyDescent="0.2">
      <c r="A10609" s="496"/>
      <c r="D10609" s="496"/>
    </row>
    <row r="10610" spans="1:4" x14ac:dyDescent="0.2">
      <c r="A10610" s="496"/>
      <c r="D10610" s="496"/>
    </row>
    <row r="10611" spans="1:4" x14ac:dyDescent="0.2">
      <c r="A10611" s="496"/>
      <c r="D10611" s="496"/>
    </row>
    <row r="10612" spans="1:4" x14ac:dyDescent="0.2">
      <c r="A10612" s="496"/>
      <c r="D10612" s="496"/>
    </row>
    <row r="10613" spans="1:4" x14ac:dyDescent="0.2">
      <c r="A10613" s="496"/>
      <c r="D10613" s="496"/>
    </row>
    <row r="10614" spans="1:4" x14ac:dyDescent="0.2">
      <c r="A10614" s="496"/>
      <c r="D10614" s="496"/>
    </row>
    <row r="10615" spans="1:4" x14ac:dyDescent="0.2">
      <c r="A10615" s="496"/>
      <c r="D10615" s="496"/>
    </row>
    <row r="10616" spans="1:4" x14ac:dyDescent="0.2">
      <c r="A10616" s="496"/>
      <c r="D10616" s="496"/>
    </row>
    <row r="10617" spans="1:4" x14ac:dyDescent="0.2">
      <c r="A10617" s="496"/>
      <c r="D10617" s="496"/>
    </row>
    <row r="10618" spans="1:4" x14ac:dyDescent="0.2">
      <c r="A10618" s="496"/>
      <c r="D10618" s="496"/>
    </row>
    <row r="10619" spans="1:4" x14ac:dyDescent="0.2">
      <c r="A10619" s="496"/>
      <c r="D10619" s="496"/>
    </row>
    <row r="10620" spans="1:4" x14ac:dyDescent="0.2">
      <c r="A10620" s="496"/>
      <c r="D10620" s="496"/>
    </row>
    <row r="10621" spans="1:4" x14ac:dyDescent="0.2">
      <c r="A10621" s="496"/>
      <c r="D10621" s="496"/>
    </row>
    <row r="10622" spans="1:4" x14ac:dyDescent="0.2">
      <c r="A10622" s="496"/>
      <c r="D10622" s="496"/>
    </row>
    <row r="10623" spans="1:4" x14ac:dyDescent="0.2">
      <c r="A10623" s="496"/>
      <c r="D10623" s="496"/>
    </row>
    <row r="10624" spans="1:4" x14ac:dyDescent="0.2">
      <c r="A10624" s="496"/>
      <c r="D10624" s="496"/>
    </row>
    <row r="10625" spans="1:4" x14ac:dyDescent="0.2">
      <c r="A10625" s="496"/>
      <c r="D10625" s="496"/>
    </row>
    <row r="10626" spans="1:4" x14ac:dyDescent="0.2">
      <c r="A10626" s="496"/>
      <c r="D10626" s="496"/>
    </row>
    <row r="10627" spans="1:4" x14ac:dyDescent="0.2">
      <c r="A10627" s="496"/>
      <c r="D10627" s="496"/>
    </row>
    <row r="10628" spans="1:4" x14ac:dyDescent="0.2">
      <c r="A10628" s="496"/>
      <c r="D10628" s="496"/>
    </row>
    <row r="10629" spans="1:4" x14ac:dyDescent="0.2">
      <c r="A10629" s="496"/>
      <c r="D10629" s="496"/>
    </row>
    <row r="10630" spans="1:4" x14ac:dyDescent="0.2">
      <c r="A10630" s="496"/>
      <c r="D10630" s="496"/>
    </row>
    <row r="10631" spans="1:4" x14ac:dyDescent="0.2">
      <c r="A10631" s="496"/>
      <c r="D10631" s="496"/>
    </row>
    <row r="10632" spans="1:4" x14ac:dyDescent="0.2">
      <c r="A10632" s="496"/>
      <c r="D10632" s="496"/>
    </row>
    <row r="10633" spans="1:4" x14ac:dyDescent="0.2">
      <c r="A10633" s="496"/>
      <c r="D10633" s="496"/>
    </row>
    <row r="10634" spans="1:4" x14ac:dyDescent="0.2">
      <c r="A10634" s="496"/>
      <c r="D10634" s="496"/>
    </row>
    <row r="10635" spans="1:4" x14ac:dyDescent="0.2">
      <c r="A10635" s="496"/>
      <c r="D10635" s="496"/>
    </row>
    <row r="10636" spans="1:4" x14ac:dyDescent="0.2">
      <c r="A10636" s="496"/>
      <c r="D10636" s="496"/>
    </row>
    <row r="10637" spans="1:4" x14ac:dyDescent="0.2">
      <c r="A10637" s="496"/>
      <c r="D10637" s="496"/>
    </row>
    <row r="10638" spans="1:4" x14ac:dyDescent="0.2">
      <c r="A10638" s="496"/>
      <c r="D10638" s="496"/>
    </row>
    <row r="10639" spans="1:4" x14ac:dyDescent="0.2">
      <c r="A10639" s="496"/>
      <c r="D10639" s="496"/>
    </row>
    <row r="10640" spans="1:4" x14ac:dyDescent="0.2">
      <c r="A10640" s="496"/>
      <c r="D10640" s="496"/>
    </row>
    <row r="10641" spans="1:4" x14ac:dyDescent="0.2">
      <c r="A10641" s="496"/>
      <c r="D10641" s="496"/>
    </row>
    <row r="10642" spans="1:4" x14ac:dyDescent="0.2">
      <c r="A10642" s="496"/>
      <c r="D10642" s="496"/>
    </row>
    <row r="10643" spans="1:4" x14ac:dyDescent="0.2">
      <c r="A10643" s="496"/>
      <c r="D10643" s="496"/>
    </row>
    <row r="10644" spans="1:4" x14ac:dyDescent="0.2">
      <c r="A10644" s="496"/>
      <c r="D10644" s="496"/>
    </row>
    <row r="10645" spans="1:4" x14ac:dyDescent="0.2">
      <c r="A10645" s="496"/>
      <c r="D10645" s="496"/>
    </row>
    <row r="10646" spans="1:4" x14ac:dyDescent="0.2">
      <c r="A10646" s="496"/>
      <c r="D10646" s="496"/>
    </row>
    <row r="10647" spans="1:4" x14ac:dyDescent="0.2">
      <c r="A10647" s="496"/>
      <c r="D10647" s="496"/>
    </row>
    <row r="10648" spans="1:4" x14ac:dyDescent="0.2">
      <c r="A10648" s="496"/>
      <c r="D10648" s="496"/>
    </row>
    <row r="10649" spans="1:4" x14ac:dyDescent="0.2">
      <c r="A10649" s="496"/>
      <c r="D10649" s="496"/>
    </row>
    <row r="10650" spans="1:4" x14ac:dyDescent="0.2">
      <c r="A10650" s="496"/>
      <c r="D10650" s="496"/>
    </row>
    <row r="10651" spans="1:4" x14ac:dyDescent="0.2">
      <c r="A10651" s="496"/>
      <c r="D10651" s="496"/>
    </row>
    <row r="10652" spans="1:4" x14ac:dyDescent="0.2">
      <c r="A10652" s="496"/>
      <c r="D10652" s="496"/>
    </row>
    <row r="10653" spans="1:4" x14ac:dyDescent="0.2">
      <c r="A10653" s="496"/>
      <c r="D10653" s="496"/>
    </row>
    <row r="10654" spans="1:4" x14ac:dyDescent="0.2">
      <c r="A10654" s="496"/>
      <c r="D10654" s="496"/>
    </row>
    <row r="10655" spans="1:4" x14ac:dyDescent="0.2">
      <c r="A10655" s="496"/>
      <c r="D10655" s="496"/>
    </row>
    <row r="10656" spans="1:4" x14ac:dyDescent="0.2">
      <c r="A10656" s="496"/>
      <c r="D10656" s="496"/>
    </row>
    <row r="10657" spans="1:4" x14ac:dyDescent="0.2">
      <c r="A10657" s="496"/>
      <c r="D10657" s="496"/>
    </row>
    <row r="10658" spans="1:4" x14ac:dyDescent="0.2">
      <c r="A10658" s="496"/>
      <c r="D10658" s="496"/>
    </row>
    <row r="10659" spans="1:4" x14ac:dyDescent="0.2">
      <c r="A10659" s="496"/>
      <c r="D10659" s="496"/>
    </row>
    <row r="10660" spans="1:4" x14ac:dyDescent="0.2">
      <c r="A10660" s="496"/>
      <c r="D10660" s="496"/>
    </row>
    <row r="10661" spans="1:4" x14ac:dyDescent="0.2">
      <c r="A10661" s="496"/>
      <c r="D10661" s="496"/>
    </row>
    <row r="10662" spans="1:4" x14ac:dyDescent="0.2">
      <c r="A10662" s="496"/>
      <c r="D10662" s="496"/>
    </row>
    <row r="10663" spans="1:4" x14ac:dyDescent="0.2">
      <c r="A10663" s="496"/>
      <c r="D10663" s="496"/>
    </row>
    <row r="10664" spans="1:4" x14ac:dyDescent="0.2">
      <c r="A10664" s="496"/>
      <c r="D10664" s="496"/>
    </row>
    <row r="10665" spans="1:4" x14ac:dyDescent="0.2">
      <c r="A10665" s="496"/>
      <c r="D10665" s="496"/>
    </row>
    <row r="10666" spans="1:4" x14ac:dyDescent="0.2">
      <c r="A10666" s="496"/>
      <c r="D10666" s="496"/>
    </row>
    <row r="10667" spans="1:4" x14ac:dyDescent="0.2">
      <c r="A10667" s="496"/>
      <c r="D10667" s="496"/>
    </row>
    <row r="10668" spans="1:4" x14ac:dyDescent="0.2">
      <c r="A10668" s="496"/>
      <c r="D10668" s="496"/>
    </row>
    <row r="10669" spans="1:4" x14ac:dyDescent="0.2">
      <c r="A10669" s="496"/>
      <c r="D10669" s="496"/>
    </row>
    <row r="10670" spans="1:4" x14ac:dyDescent="0.2">
      <c r="A10670" s="496"/>
      <c r="D10670" s="496"/>
    </row>
    <row r="10671" spans="1:4" x14ac:dyDescent="0.2">
      <c r="A10671" s="496"/>
      <c r="D10671" s="496"/>
    </row>
    <row r="10672" spans="1:4" x14ac:dyDescent="0.2">
      <c r="A10672" s="496"/>
      <c r="D10672" s="496"/>
    </row>
    <row r="10673" spans="1:4" x14ac:dyDescent="0.2">
      <c r="A10673" s="496"/>
      <c r="D10673" s="496"/>
    </row>
    <row r="10674" spans="1:4" x14ac:dyDescent="0.2">
      <c r="A10674" s="496"/>
      <c r="D10674" s="496"/>
    </row>
    <row r="10675" spans="1:4" x14ac:dyDescent="0.2">
      <c r="A10675" s="496"/>
      <c r="D10675" s="496"/>
    </row>
    <row r="10676" spans="1:4" x14ac:dyDescent="0.2">
      <c r="A10676" s="496"/>
      <c r="D10676" s="496"/>
    </row>
    <row r="10677" spans="1:4" x14ac:dyDescent="0.2">
      <c r="A10677" s="496"/>
      <c r="D10677" s="496"/>
    </row>
    <row r="10678" spans="1:4" x14ac:dyDescent="0.2">
      <c r="A10678" s="496"/>
      <c r="D10678" s="496"/>
    </row>
    <row r="10679" spans="1:4" x14ac:dyDescent="0.2">
      <c r="A10679" s="496"/>
      <c r="D10679" s="496"/>
    </row>
    <row r="10680" spans="1:4" x14ac:dyDescent="0.2">
      <c r="A10680" s="496"/>
      <c r="D10680" s="496"/>
    </row>
    <row r="10681" spans="1:4" x14ac:dyDescent="0.2">
      <c r="A10681" s="496"/>
      <c r="D10681" s="496"/>
    </row>
    <row r="10682" spans="1:4" x14ac:dyDescent="0.2">
      <c r="A10682" s="496"/>
      <c r="D10682" s="496"/>
    </row>
    <row r="10683" spans="1:4" x14ac:dyDescent="0.2">
      <c r="A10683" s="496"/>
      <c r="D10683" s="496"/>
    </row>
    <row r="10684" spans="1:4" x14ac:dyDescent="0.2">
      <c r="A10684" s="496"/>
      <c r="D10684" s="496"/>
    </row>
    <row r="10685" spans="1:4" x14ac:dyDescent="0.2">
      <c r="A10685" s="496"/>
      <c r="D10685" s="496"/>
    </row>
    <row r="10686" spans="1:4" x14ac:dyDescent="0.2">
      <c r="A10686" s="496"/>
      <c r="D10686" s="496"/>
    </row>
    <row r="10687" spans="1:4" x14ac:dyDescent="0.2">
      <c r="A10687" s="496"/>
      <c r="D10687" s="496"/>
    </row>
    <row r="10688" spans="1:4" x14ac:dyDescent="0.2">
      <c r="A10688" s="496"/>
      <c r="D10688" s="496"/>
    </row>
    <row r="10689" spans="1:4" x14ac:dyDescent="0.2">
      <c r="A10689" s="496"/>
      <c r="D10689" s="496"/>
    </row>
    <row r="10690" spans="1:4" x14ac:dyDescent="0.2">
      <c r="A10690" s="496"/>
      <c r="D10690" s="496"/>
    </row>
    <row r="10691" spans="1:4" x14ac:dyDescent="0.2">
      <c r="A10691" s="496"/>
      <c r="D10691" s="496"/>
    </row>
    <row r="10692" spans="1:4" x14ac:dyDescent="0.2">
      <c r="A10692" s="496"/>
      <c r="D10692" s="496"/>
    </row>
    <row r="10693" spans="1:4" x14ac:dyDescent="0.2">
      <c r="A10693" s="496"/>
      <c r="D10693" s="496"/>
    </row>
    <row r="10694" spans="1:4" x14ac:dyDescent="0.2">
      <c r="A10694" s="496"/>
      <c r="D10694" s="496"/>
    </row>
    <row r="10695" spans="1:4" x14ac:dyDescent="0.2">
      <c r="A10695" s="496"/>
      <c r="D10695" s="496"/>
    </row>
    <row r="10696" spans="1:4" x14ac:dyDescent="0.2">
      <c r="A10696" s="496"/>
      <c r="D10696" s="496"/>
    </row>
    <row r="10697" spans="1:4" x14ac:dyDescent="0.2">
      <c r="A10697" s="496"/>
      <c r="D10697" s="496"/>
    </row>
    <row r="10698" spans="1:4" x14ac:dyDescent="0.2">
      <c r="A10698" s="496"/>
      <c r="D10698" s="496"/>
    </row>
    <row r="10699" spans="1:4" x14ac:dyDescent="0.2">
      <c r="A10699" s="496"/>
      <c r="D10699" s="496"/>
    </row>
    <row r="10700" spans="1:4" x14ac:dyDescent="0.2">
      <c r="A10700" s="496"/>
      <c r="D10700" s="496"/>
    </row>
    <row r="10701" spans="1:4" x14ac:dyDescent="0.2">
      <c r="A10701" s="496"/>
      <c r="D10701" s="496"/>
    </row>
    <row r="10702" spans="1:4" x14ac:dyDescent="0.2">
      <c r="A10702" s="496"/>
      <c r="D10702" s="496"/>
    </row>
    <row r="10703" spans="1:4" x14ac:dyDescent="0.2">
      <c r="A10703" s="496"/>
      <c r="D10703" s="496"/>
    </row>
    <row r="10704" spans="1:4" x14ac:dyDescent="0.2">
      <c r="A10704" s="496"/>
      <c r="D10704" s="496"/>
    </row>
    <row r="10705" spans="1:4" x14ac:dyDescent="0.2">
      <c r="A10705" s="496"/>
      <c r="D10705" s="496"/>
    </row>
    <row r="10706" spans="1:4" x14ac:dyDescent="0.2">
      <c r="A10706" s="496"/>
      <c r="D10706" s="496"/>
    </row>
    <row r="10707" spans="1:4" x14ac:dyDescent="0.2">
      <c r="A10707" s="496"/>
      <c r="D10707" s="496"/>
    </row>
    <row r="10708" spans="1:4" x14ac:dyDescent="0.2">
      <c r="A10708" s="496"/>
      <c r="D10708" s="496"/>
    </row>
    <row r="10709" spans="1:4" x14ac:dyDescent="0.2">
      <c r="A10709" s="496"/>
      <c r="D10709" s="496"/>
    </row>
    <row r="10710" spans="1:4" x14ac:dyDescent="0.2">
      <c r="A10710" s="496"/>
      <c r="D10710" s="496"/>
    </row>
    <row r="10711" spans="1:4" x14ac:dyDescent="0.2">
      <c r="A10711" s="496"/>
      <c r="D10711" s="496"/>
    </row>
    <row r="10712" spans="1:4" x14ac:dyDescent="0.2">
      <c r="A10712" s="496"/>
      <c r="D10712" s="496"/>
    </row>
    <row r="10713" spans="1:4" x14ac:dyDescent="0.2">
      <c r="A10713" s="496"/>
      <c r="D10713" s="496"/>
    </row>
    <row r="10714" spans="1:4" x14ac:dyDescent="0.2">
      <c r="A10714" s="496"/>
      <c r="D10714" s="496"/>
    </row>
    <row r="10715" spans="1:4" x14ac:dyDescent="0.2">
      <c r="A10715" s="496"/>
      <c r="D10715" s="496"/>
    </row>
    <row r="10716" spans="1:4" x14ac:dyDescent="0.2">
      <c r="A10716" s="496"/>
      <c r="D10716" s="496"/>
    </row>
    <row r="10717" spans="1:4" x14ac:dyDescent="0.2">
      <c r="A10717" s="496"/>
      <c r="D10717" s="496"/>
    </row>
    <row r="10718" spans="1:4" x14ac:dyDescent="0.2">
      <c r="A10718" s="496"/>
      <c r="D10718" s="496"/>
    </row>
    <row r="10719" spans="1:4" x14ac:dyDescent="0.2">
      <c r="A10719" s="496"/>
      <c r="D10719" s="496"/>
    </row>
    <row r="10720" spans="1:4" x14ac:dyDescent="0.2">
      <c r="A10720" s="496"/>
      <c r="D10720" s="496"/>
    </row>
    <row r="10721" spans="1:4" x14ac:dyDescent="0.2">
      <c r="A10721" s="496"/>
      <c r="D10721" s="496"/>
    </row>
    <row r="10722" spans="1:4" x14ac:dyDescent="0.2">
      <c r="A10722" s="496"/>
      <c r="D10722" s="496"/>
    </row>
    <row r="10723" spans="1:4" x14ac:dyDescent="0.2">
      <c r="A10723" s="496"/>
      <c r="D10723" s="496"/>
    </row>
    <row r="10724" spans="1:4" x14ac:dyDescent="0.2">
      <c r="A10724" s="496"/>
      <c r="D10724" s="496"/>
    </row>
    <row r="10725" spans="1:4" x14ac:dyDescent="0.2">
      <c r="A10725" s="496"/>
      <c r="D10725" s="496"/>
    </row>
    <row r="10726" spans="1:4" x14ac:dyDescent="0.2">
      <c r="A10726" s="496"/>
      <c r="D10726" s="496"/>
    </row>
    <row r="10727" spans="1:4" x14ac:dyDescent="0.2">
      <c r="A10727" s="496"/>
      <c r="D10727" s="496"/>
    </row>
    <row r="10728" spans="1:4" x14ac:dyDescent="0.2">
      <c r="A10728" s="496"/>
      <c r="D10728" s="496"/>
    </row>
    <row r="10729" spans="1:4" x14ac:dyDescent="0.2">
      <c r="A10729" s="496"/>
      <c r="D10729" s="496"/>
    </row>
    <row r="10730" spans="1:4" x14ac:dyDescent="0.2">
      <c r="A10730" s="496"/>
      <c r="D10730" s="496"/>
    </row>
    <row r="10731" spans="1:4" x14ac:dyDescent="0.2">
      <c r="A10731" s="496"/>
      <c r="D10731" s="496"/>
    </row>
    <row r="10732" spans="1:4" x14ac:dyDescent="0.2">
      <c r="A10732" s="496"/>
      <c r="D10732" s="496"/>
    </row>
    <row r="10733" spans="1:4" x14ac:dyDescent="0.2">
      <c r="A10733" s="496"/>
      <c r="D10733" s="496"/>
    </row>
    <row r="10734" spans="1:4" x14ac:dyDescent="0.2">
      <c r="A10734" s="496"/>
      <c r="D10734" s="496"/>
    </row>
    <row r="10735" spans="1:4" x14ac:dyDescent="0.2">
      <c r="A10735" s="496"/>
      <c r="D10735" s="496"/>
    </row>
    <row r="10736" spans="1:4" x14ac:dyDescent="0.2">
      <c r="A10736" s="496"/>
      <c r="D10736" s="496"/>
    </row>
    <row r="10737" spans="1:4" x14ac:dyDescent="0.2">
      <c r="A10737" s="496"/>
      <c r="D10737" s="496"/>
    </row>
    <row r="10738" spans="1:4" x14ac:dyDescent="0.2">
      <c r="A10738" s="496"/>
      <c r="D10738" s="496"/>
    </row>
    <row r="10739" spans="1:4" x14ac:dyDescent="0.2">
      <c r="A10739" s="496"/>
      <c r="D10739" s="496"/>
    </row>
    <row r="10740" spans="1:4" x14ac:dyDescent="0.2">
      <c r="A10740" s="496"/>
      <c r="D10740" s="496"/>
    </row>
    <row r="10741" spans="1:4" x14ac:dyDescent="0.2">
      <c r="A10741" s="496"/>
      <c r="D10741" s="496"/>
    </row>
    <row r="10742" spans="1:4" x14ac:dyDescent="0.2">
      <c r="A10742" s="496"/>
      <c r="D10742" s="496"/>
    </row>
    <row r="10743" spans="1:4" x14ac:dyDescent="0.2">
      <c r="A10743" s="496"/>
      <c r="D10743" s="496"/>
    </row>
    <row r="10744" spans="1:4" x14ac:dyDescent="0.2">
      <c r="A10744" s="496"/>
      <c r="D10744" s="496"/>
    </row>
    <row r="10745" spans="1:4" x14ac:dyDescent="0.2">
      <c r="A10745" s="496"/>
      <c r="D10745" s="496"/>
    </row>
    <row r="10746" spans="1:4" x14ac:dyDescent="0.2">
      <c r="A10746" s="496"/>
      <c r="D10746" s="496"/>
    </row>
    <row r="10747" spans="1:4" x14ac:dyDescent="0.2">
      <c r="A10747" s="496"/>
      <c r="D10747" s="496"/>
    </row>
    <row r="10748" spans="1:4" x14ac:dyDescent="0.2">
      <c r="A10748" s="496"/>
      <c r="D10748" s="496"/>
    </row>
    <row r="10749" spans="1:4" x14ac:dyDescent="0.2">
      <c r="A10749" s="496"/>
      <c r="D10749" s="496"/>
    </row>
    <row r="10750" spans="1:4" x14ac:dyDescent="0.2">
      <c r="A10750" s="496"/>
      <c r="D10750" s="496"/>
    </row>
    <row r="10751" spans="1:4" x14ac:dyDescent="0.2">
      <c r="A10751" s="496"/>
      <c r="D10751" s="496"/>
    </row>
    <row r="10752" spans="1:4" x14ac:dyDescent="0.2">
      <c r="A10752" s="496"/>
      <c r="D10752" s="496"/>
    </row>
    <row r="10753" spans="1:4" x14ac:dyDescent="0.2">
      <c r="A10753" s="496"/>
      <c r="D10753" s="496"/>
    </row>
    <row r="10754" spans="1:4" x14ac:dyDescent="0.2">
      <c r="A10754" s="496"/>
      <c r="D10754" s="496"/>
    </row>
    <row r="10755" spans="1:4" x14ac:dyDescent="0.2">
      <c r="A10755" s="496"/>
      <c r="D10755" s="496"/>
    </row>
    <row r="10756" spans="1:4" x14ac:dyDescent="0.2">
      <c r="A10756" s="496"/>
      <c r="D10756" s="496"/>
    </row>
    <row r="10757" spans="1:4" x14ac:dyDescent="0.2">
      <c r="A10757" s="496"/>
      <c r="D10757" s="496"/>
    </row>
    <row r="10758" spans="1:4" x14ac:dyDescent="0.2">
      <c r="A10758" s="496"/>
      <c r="D10758" s="496"/>
    </row>
    <row r="10759" spans="1:4" x14ac:dyDescent="0.2">
      <c r="A10759" s="496"/>
      <c r="D10759" s="496"/>
    </row>
    <row r="10760" spans="1:4" x14ac:dyDescent="0.2">
      <c r="A10760" s="496"/>
      <c r="D10760" s="496"/>
    </row>
    <row r="10761" spans="1:4" x14ac:dyDescent="0.2">
      <c r="A10761" s="496"/>
      <c r="D10761" s="496"/>
    </row>
    <row r="10762" spans="1:4" x14ac:dyDescent="0.2">
      <c r="A10762" s="496"/>
      <c r="D10762" s="496"/>
    </row>
    <row r="10763" spans="1:4" x14ac:dyDescent="0.2">
      <c r="A10763" s="496"/>
      <c r="D10763" s="496"/>
    </row>
    <row r="10764" spans="1:4" x14ac:dyDescent="0.2">
      <c r="A10764" s="496"/>
      <c r="D10764" s="496"/>
    </row>
    <row r="10765" spans="1:4" x14ac:dyDescent="0.2">
      <c r="A10765" s="496"/>
      <c r="D10765" s="496"/>
    </row>
    <row r="10766" spans="1:4" x14ac:dyDescent="0.2">
      <c r="A10766" s="496"/>
      <c r="D10766" s="496"/>
    </row>
    <row r="10767" spans="1:4" x14ac:dyDescent="0.2">
      <c r="A10767" s="496"/>
      <c r="D10767" s="496"/>
    </row>
    <row r="10768" spans="1:4" x14ac:dyDescent="0.2">
      <c r="A10768" s="496"/>
      <c r="D10768" s="496"/>
    </row>
    <row r="10769" spans="1:4" x14ac:dyDescent="0.2">
      <c r="A10769" s="496"/>
      <c r="D10769" s="496"/>
    </row>
    <row r="10770" spans="1:4" x14ac:dyDescent="0.2">
      <c r="A10770" s="496"/>
      <c r="D10770" s="496"/>
    </row>
    <row r="10771" spans="1:4" x14ac:dyDescent="0.2">
      <c r="A10771" s="496"/>
      <c r="D10771" s="496"/>
    </row>
    <row r="10772" spans="1:4" x14ac:dyDescent="0.2">
      <c r="A10772" s="496"/>
      <c r="D10772" s="496"/>
    </row>
    <row r="10773" spans="1:4" x14ac:dyDescent="0.2">
      <c r="A10773" s="496"/>
      <c r="D10773" s="496"/>
    </row>
    <row r="10774" spans="1:4" x14ac:dyDescent="0.2">
      <c r="A10774" s="496"/>
      <c r="D10774" s="496"/>
    </row>
    <row r="10775" spans="1:4" x14ac:dyDescent="0.2">
      <c r="A10775" s="496"/>
      <c r="D10775" s="496"/>
    </row>
    <row r="10776" spans="1:4" x14ac:dyDescent="0.2">
      <c r="A10776" s="496"/>
      <c r="D10776" s="496"/>
    </row>
    <row r="10777" spans="1:4" x14ac:dyDescent="0.2">
      <c r="A10777" s="496"/>
      <c r="D10777" s="496"/>
    </row>
    <row r="10778" spans="1:4" x14ac:dyDescent="0.2">
      <c r="A10778" s="496"/>
      <c r="D10778" s="496"/>
    </row>
    <row r="10779" spans="1:4" x14ac:dyDescent="0.2">
      <c r="A10779" s="496"/>
      <c r="D10779" s="496"/>
    </row>
    <row r="10780" spans="1:4" x14ac:dyDescent="0.2">
      <c r="A10780" s="496"/>
      <c r="D10780" s="496"/>
    </row>
    <row r="10781" spans="1:4" x14ac:dyDescent="0.2">
      <c r="A10781" s="496"/>
      <c r="D10781" s="496"/>
    </row>
    <row r="10782" spans="1:4" x14ac:dyDescent="0.2">
      <c r="A10782" s="496"/>
      <c r="D10782" s="496"/>
    </row>
    <row r="10783" spans="1:4" x14ac:dyDescent="0.2">
      <c r="A10783" s="496"/>
      <c r="D10783" s="496"/>
    </row>
    <row r="10784" spans="1:4" x14ac:dyDescent="0.2">
      <c r="A10784" s="496"/>
      <c r="D10784" s="496"/>
    </row>
    <row r="10785" spans="1:4" x14ac:dyDescent="0.2">
      <c r="A10785" s="496"/>
      <c r="D10785" s="496"/>
    </row>
    <row r="10786" spans="1:4" x14ac:dyDescent="0.2">
      <c r="A10786" s="496"/>
      <c r="D10786" s="496"/>
    </row>
    <row r="10787" spans="1:4" x14ac:dyDescent="0.2">
      <c r="A10787" s="496"/>
      <c r="D10787" s="496"/>
    </row>
    <row r="10788" spans="1:4" x14ac:dyDescent="0.2">
      <c r="A10788" s="496"/>
      <c r="D10788" s="496"/>
    </row>
    <row r="10789" spans="1:4" x14ac:dyDescent="0.2">
      <c r="A10789" s="496"/>
      <c r="D10789" s="496"/>
    </row>
    <row r="10790" spans="1:4" x14ac:dyDescent="0.2">
      <c r="A10790" s="496"/>
      <c r="D10790" s="496"/>
    </row>
    <row r="10791" spans="1:4" x14ac:dyDescent="0.2">
      <c r="A10791" s="496"/>
      <c r="D10791" s="496"/>
    </row>
    <row r="10792" spans="1:4" x14ac:dyDescent="0.2">
      <c r="A10792" s="496"/>
      <c r="D10792" s="496"/>
    </row>
    <row r="10793" spans="1:4" x14ac:dyDescent="0.2">
      <c r="A10793" s="496"/>
      <c r="D10793" s="496"/>
    </row>
    <row r="10794" spans="1:4" x14ac:dyDescent="0.2">
      <c r="A10794" s="496"/>
      <c r="D10794" s="496"/>
    </row>
    <row r="10795" spans="1:4" x14ac:dyDescent="0.2">
      <c r="A10795" s="496"/>
      <c r="D10795" s="496"/>
    </row>
    <row r="10796" spans="1:4" x14ac:dyDescent="0.2">
      <c r="A10796" s="496"/>
      <c r="D10796" s="496"/>
    </row>
    <row r="10797" spans="1:4" x14ac:dyDescent="0.2">
      <c r="A10797" s="496"/>
      <c r="D10797" s="496"/>
    </row>
    <row r="10798" spans="1:4" x14ac:dyDescent="0.2">
      <c r="A10798" s="496"/>
      <c r="D10798" s="496"/>
    </row>
    <row r="10799" spans="1:4" x14ac:dyDescent="0.2">
      <c r="A10799" s="496"/>
      <c r="D10799" s="496"/>
    </row>
    <row r="10800" spans="1:4" x14ac:dyDescent="0.2">
      <c r="A10800" s="496"/>
      <c r="D10800" s="496"/>
    </row>
    <row r="10801" spans="1:4" x14ac:dyDescent="0.2">
      <c r="A10801" s="496"/>
      <c r="D10801" s="496"/>
    </row>
    <row r="10802" spans="1:4" x14ac:dyDescent="0.2">
      <c r="A10802" s="496"/>
      <c r="D10802" s="496"/>
    </row>
    <row r="10803" spans="1:4" x14ac:dyDescent="0.2">
      <c r="A10803" s="496"/>
      <c r="D10803" s="496"/>
    </row>
    <row r="10804" spans="1:4" x14ac:dyDescent="0.2">
      <c r="A10804" s="496"/>
      <c r="D10804" s="496"/>
    </row>
    <row r="10805" spans="1:4" x14ac:dyDescent="0.2">
      <c r="A10805" s="496"/>
      <c r="D10805" s="496"/>
    </row>
    <row r="10806" spans="1:4" x14ac:dyDescent="0.2">
      <c r="A10806" s="496"/>
      <c r="D10806" s="496"/>
    </row>
    <row r="10807" spans="1:4" x14ac:dyDescent="0.2">
      <c r="A10807" s="496"/>
      <c r="D10807" s="496"/>
    </row>
    <row r="10808" spans="1:4" x14ac:dyDescent="0.2">
      <c r="A10808" s="496"/>
      <c r="D10808" s="496"/>
    </row>
    <row r="10809" spans="1:4" x14ac:dyDescent="0.2">
      <c r="A10809" s="496"/>
      <c r="D10809" s="496"/>
    </row>
    <row r="10810" spans="1:4" x14ac:dyDescent="0.2">
      <c r="A10810" s="496"/>
      <c r="D10810" s="496"/>
    </row>
    <row r="10811" spans="1:4" x14ac:dyDescent="0.2">
      <c r="A10811" s="496"/>
      <c r="D10811" s="496"/>
    </row>
    <row r="10812" spans="1:4" x14ac:dyDescent="0.2">
      <c r="A10812" s="496"/>
      <c r="D10812" s="496"/>
    </row>
    <row r="10813" spans="1:4" x14ac:dyDescent="0.2">
      <c r="A10813" s="496"/>
      <c r="D10813" s="496"/>
    </row>
    <row r="10814" spans="1:4" x14ac:dyDescent="0.2">
      <c r="A10814" s="496"/>
      <c r="D10814" s="496"/>
    </row>
    <row r="10815" spans="1:4" x14ac:dyDescent="0.2">
      <c r="A10815" s="496"/>
      <c r="D10815" s="496"/>
    </row>
    <row r="10816" spans="1:4" x14ac:dyDescent="0.2">
      <c r="A10816" s="496"/>
      <c r="D10816" s="496"/>
    </row>
    <row r="10817" spans="1:4" x14ac:dyDescent="0.2">
      <c r="A10817" s="496"/>
      <c r="D10817" s="496"/>
    </row>
    <row r="10818" spans="1:4" x14ac:dyDescent="0.2">
      <c r="A10818" s="496"/>
      <c r="D10818" s="496"/>
    </row>
    <row r="10819" spans="1:4" x14ac:dyDescent="0.2">
      <c r="A10819" s="496"/>
      <c r="D10819" s="496"/>
    </row>
    <row r="10820" spans="1:4" x14ac:dyDescent="0.2">
      <c r="A10820" s="496"/>
      <c r="D10820" s="496"/>
    </row>
    <row r="10821" spans="1:4" x14ac:dyDescent="0.2">
      <c r="A10821" s="496"/>
      <c r="D10821" s="496"/>
    </row>
    <row r="10822" spans="1:4" x14ac:dyDescent="0.2">
      <c r="A10822" s="496"/>
      <c r="D10822" s="496"/>
    </row>
    <row r="10823" spans="1:4" x14ac:dyDescent="0.2">
      <c r="A10823" s="496"/>
      <c r="D10823" s="496"/>
    </row>
    <row r="10824" spans="1:4" x14ac:dyDescent="0.2">
      <c r="A10824" s="496"/>
      <c r="D10824" s="496"/>
    </row>
    <row r="10825" spans="1:4" x14ac:dyDescent="0.2">
      <c r="A10825" s="496"/>
      <c r="D10825" s="496"/>
    </row>
    <row r="10826" spans="1:4" x14ac:dyDescent="0.2">
      <c r="A10826" s="496"/>
      <c r="D10826" s="496"/>
    </row>
    <row r="10827" spans="1:4" x14ac:dyDescent="0.2">
      <c r="A10827" s="496"/>
      <c r="D10827" s="496"/>
    </row>
    <row r="10828" spans="1:4" x14ac:dyDescent="0.2">
      <c r="A10828" s="496"/>
      <c r="D10828" s="496"/>
    </row>
    <row r="10829" spans="1:4" x14ac:dyDescent="0.2">
      <c r="A10829" s="496"/>
      <c r="D10829" s="496"/>
    </row>
    <row r="10830" spans="1:4" x14ac:dyDescent="0.2">
      <c r="A10830" s="496"/>
      <c r="D10830" s="496"/>
    </row>
    <row r="10831" spans="1:4" x14ac:dyDescent="0.2">
      <c r="A10831" s="496"/>
      <c r="D10831" s="496"/>
    </row>
    <row r="10832" spans="1:4" x14ac:dyDescent="0.2">
      <c r="A10832" s="496"/>
      <c r="D10832" s="496"/>
    </row>
    <row r="10833" spans="1:4" x14ac:dyDescent="0.2">
      <c r="A10833" s="496"/>
      <c r="D10833" s="496"/>
    </row>
    <row r="10834" spans="1:4" x14ac:dyDescent="0.2">
      <c r="A10834" s="496"/>
      <c r="D10834" s="496"/>
    </row>
    <row r="10835" spans="1:4" x14ac:dyDescent="0.2">
      <c r="A10835" s="496"/>
      <c r="D10835" s="496"/>
    </row>
    <row r="10836" spans="1:4" x14ac:dyDescent="0.2">
      <c r="A10836" s="496"/>
      <c r="D10836" s="496"/>
    </row>
    <row r="10837" spans="1:4" x14ac:dyDescent="0.2">
      <c r="A10837" s="496"/>
      <c r="D10837" s="496"/>
    </row>
    <row r="10838" spans="1:4" x14ac:dyDescent="0.2">
      <c r="A10838" s="496"/>
      <c r="D10838" s="496"/>
    </row>
    <row r="10839" spans="1:4" x14ac:dyDescent="0.2">
      <c r="A10839" s="496"/>
      <c r="D10839" s="496"/>
    </row>
    <row r="10840" spans="1:4" x14ac:dyDescent="0.2">
      <c r="A10840" s="496"/>
      <c r="D10840" s="496"/>
    </row>
    <row r="10841" spans="1:4" x14ac:dyDescent="0.2">
      <c r="A10841" s="496"/>
      <c r="D10841" s="496"/>
    </row>
    <row r="10842" spans="1:4" x14ac:dyDescent="0.2">
      <c r="A10842" s="496"/>
      <c r="D10842" s="496"/>
    </row>
    <row r="10843" spans="1:4" x14ac:dyDescent="0.2">
      <c r="A10843" s="496"/>
      <c r="D10843" s="496"/>
    </row>
    <row r="10844" spans="1:4" x14ac:dyDescent="0.2">
      <c r="A10844" s="496"/>
      <c r="D10844" s="496"/>
    </row>
    <row r="10845" spans="1:4" x14ac:dyDescent="0.2">
      <c r="A10845" s="496"/>
      <c r="D10845" s="496"/>
    </row>
    <row r="10846" spans="1:4" x14ac:dyDescent="0.2">
      <c r="A10846" s="496"/>
      <c r="D10846" s="496"/>
    </row>
    <row r="10847" spans="1:4" x14ac:dyDescent="0.2">
      <c r="A10847" s="496"/>
      <c r="D10847" s="496"/>
    </row>
    <row r="10848" spans="1:4" x14ac:dyDescent="0.2">
      <c r="A10848" s="496"/>
      <c r="D10848" s="496"/>
    </row>
    <row r="10849" spans="1:4" x14ac:dyDescent="0.2">
      <c r="A10849" s="496"/>
      <c r="D10849" s="496"/>
    </row>
    <row r="10850" spans="1:4" x14ac:dyDescent="0.2">
      <c r="A10850" s="496"/>
      <c r="D10850" s="496"/>
    </row>
    <row r="10851" spans="1:4" x14ac:dyDescent="0.2">
      <c r="A10851" s="496"/>
      <c r="D10851" s="496"/>
    </row>
    <row r="10852" spans="1:4" x14ac:dyDescent="0.2">
      <c r="A10852" s="496"/>
      <c r="D10852" s="496"/>
    </row>
    <row r="10853" spans="1:4" x14ac:dyDescent="0.2">
      <c r="A10853" s="496"/>
      <c r="D10853" s="496"/>
    </row>
    <row r="10854" spans="1:4" x14ac:dyDescent="0.2">
      <c r="A10854" s="496"/>
      <c r="D10854" s="496"/>
    </row>
    <row r="10855" spans="1:4" x14ac:dyDescent="0.2">
      <c r="A10855" s="496"/>
      <c r="D10855" s="496"/>
    </row>
    <row r="10856" spans="1:4" x14ac:dyDescent="0.2">
      <c r="A10856" s="496"/>
      <c r="D10856" s="496"/>
    </row>
    <row r="10857" spans="1:4" x14ac:dyDescent="0.2">
      <c r="A10857" s="496"/>
      <c r="D10857" s="496"/>
    </row>
    <row r="10858" spans="1:4" x14ac:dyDescent="0.2">
      <c r="A10858" s="496"/>
      <c r="D10858" s="496"/>
    </row>
    <row r="10859" spans="1:4" x14ac:dyDescent="0.2">
      <c r="A10859" s="496"/>
      <c r="D10859" s="496"/>
    </row>
    <row r="10860" spans="1:4" x14ac:dyDescent="0.2">
      <c r="A10860" s="496"/>
      <c r="D10860" s="496"/>
    </row>
    <row r="10861" spans="1:4" x14ac:dyDescent="0.2">
      <c r="A10861" s="496"/>
      <c r="D10861" s="496"/>
    </row>
    <row r="10862" spans="1:4" x14ac:dyDescent="0.2">
      <c r="A10862" s="496"/>
      <c r="D10862" s="496"/>
    </row>
    <row r="10863" spans="1:4" x14ac:dyDescent="0.2">
      <c r="A10863" s="496"/>
      <c r="D10863" s="496"/>
    </row>
    <row r="10864" spans="1:4" x14ac:dyDescent="0.2">
      <c r="A10864" s="496"/>
      <c r="D10864" s="496"/>
    </row>
    <row r="10865" spans="1:4" x14ac:dyDescent="0.2">
      <c r="A10865" s="496"/>
      <c r="D10865" s="496"/>
    </row>
    <row r="10866" spans="1:4" x14ac:dyDescent="0.2">
      <c r="A10866" s="496"/>
      <c r="D10866" s="496"/>
    </row>
    <row r="10867" spans="1:4" x14ac:dyDescent="0.2">
      <c r="A10867" s="496"/>
      <c r="D10867" s="496"/>
    </row>
    <row r="10868" spans="1:4" x14ac:dyDescent="0.2">
      <c r="A10868" s="496"/>
      <c r="D10868" s="496"/>
    </row>
    <row r="10869" spans="1:4" x14ac:dyDescent="0.2">
      <c r="A10869" s="496"/>
      <c r="D10869" s="496"/>
    </row>
    <row r="10870" spans="1:4" x14ac:dyDescent="0.2">
      <c r="A10870" s="496"/>
      <c r="D10870" s="496"/>
    </row>
    <row r="10871" spans="1:4" x14ac:dyDescent="0.2">
      <c r="A10871" s="496"/>
      <c r="D10871" s="496"/>
    </row>
    <row r="10872" spans="1:4" x14ac:dyDescent="0.2">
      <c r="A10872" s="496"/>
      <c r="D10872" s="496"/>
    </row>
    <row r="10873" spans="1:4" x14ac:dyDescent="0.2">
      <c r="A10873" s="496"/>
      <c r="D10873" s="496"/>
    </row>
    <row r="10874" spans="1:4" x14ac:dyDescent="0.2">
      <c r="A10874" s="496"/>
      <c r="D10874" s="496"/>
    </row>
    <row r="10875" spans="1:4" x14ac:dyDescent="0.2">
      <c r="A10875" s="496"/>
      <c r="D10875" s="496"/>
    </row>
    <row r="10876" spans="1:4" x14ac:dyDescent="0.2">
      <c r="A10876" s="496"/>
      <c r="D10876" s="496"/>
    </row>
    <row r="10877" spans="1:4" x14ac:dyDescent="0.2">
      <c r="A10877" s="496"/>
      <c r="D10877" s="496"/>
    </row>
    <row r="10878" spans="1:4" x14ac:dyDescent="0.2">
      <c r="A10878" s="496"/>
      <c r="D10878" s="496"/>
    </row>
    <row r="10879" spans="1:4" x14ac:dyDescent="0.2">
      <c r="A10879" s="496"/>
      <c r="D10879" s="496"/>
    </row>
    <row r="10880" spans="1:4" x14ac:dyDescent="0.2">
      <c r="A10880" s="496"/>
      <c r="D10880" s="496"/>
    </row>
    <row r="10881" spans="1:4" x14ac:dyDescent="0.2">
      <c r="A10881" s="496"/>
      <c r="D10881" s="496"/>
    </row>
    <row r="10882" spans="1:4" x14ac:dyDescent="0.2">
      <c r="A10882" s="496"/>
      <c r="D10882" s="496"/>
    </row>
    <row r="10883" spans="1:4" x14ac:dyDescent="0.2">
      <c r="A10883" s="496"/>
      <c r="D10883" s="496"/>
    </row>
    <row r="10884" spans="1:4" x14ac:dyDescent="0.2">
      <c r="A10884" s="496"/>
      <c r="D10884" s="496"/>
    </row>
    <row r="10885" spans="1:4" x14ac:dyDescent="0.2">
      <c r="A10885" s="496"/>
      <c r="D10885" s="496"/>
    </row>
    <row r="10886" spans="1:4" x14ac:dyDescent="0.2">
      <c r="A10886" s="496"/>
      <c r="D10886" s="496"/>
    </row>
    <row r="10887" spans="1:4" x14ac:dyDescent="0.2">
      <c r="A10887" s="496"/>
      <c r="D10887" s="496"/>
    </row>
    <row r="10888" spans="1:4" x14ac:dyDescent="0.2">
      <c r="A10888" s="496"/>
      <c r="D10888" s="496"/>
    </row>
    <row r="10889" spans="1:4" x14ac:dyDescent="0.2">
      <c r="A10889" s="496"/>
      <c r="D10889" s="496"/>
    </row>
    <row r="10890" spans="1:4" x14ac:dyDescent="0.2">
      <c r="A10890" s="496"/>
      <c r="D10890" s="496"/>
    </row>
    <row r="10891" spans="1:4" x14ac:dyDescent="0.2">
      <c r="A10891" s="496"/>
      <c r="D10891" s="496"/>
    </row>
    <row r="10892" spans="1:4" x14ac:dyDescent="0.2">
      <c r="A10892" s="496"/>
      <c r="D10892" s="496"/>
    </row>
    <row r="10893" spans="1:4" x14ac:dyDescent="0.2">
      <c r="A10893" s="496"/>
      <c r="D10893" s="496"/>
    </row>
    <row r="10894" spans="1:4" x14ac:dyDescent="0.2">
      <c r="A10894" s="496"/>
      <c r="D10894" s="496"/>
    </row>
    <row r="10895" spans="1:4" x14ac:dyDescent="0.2">
      <c r="A10895" s="496"/>
      <c r="D10895" s="496"/>
    </row>
    <row r="10896" spans="1:4" x14ac:dyDescent="0.2">
      <c r="A10896" s="496"/>
      <c r="D10896" s="496"/>
    </row>
    <row r="10897" spans="1:4" x14ac:dyDescent="0.2">
      <c r="A10897" s="496"/>
      <c r="D10897" s="496"/>
    </row>
    <row r="10898" spans="1:4" x14ac:dyDescent="0.2">
      <c r="A10898" s="496"/>
      <c r="D10898" s="496"/>
    </row>
    <row r="10899" spans="1:4" x14ac:dyDescent="0.2">
      <c r="A10899" s="496"/>
      <c r="D10899" s="496"/>
    </row>
    <row r="10900" spans="1:4" x14ac:dyDescent="0.2">
      <c r="A10900" s="496"/>
      <c r="D10900" s="496"/>
    </row>
    <row r="10901" spans="1:4" x14ac:dyDescent="0.2">
      <c r="A10901" s="496"/>
      <c r="D10901" s="496"/>
    </row>
    <row r="10902" spans="1:4" x14ac:dyDescent="0.2">
      <c r="A10902" s="496"/>
      <c r="D10902" s="496"/>
    </row>
    <row r="10903" spans="1:4" x14ac:dyDescent="0.2">
      <c r="A10903" s="496"/>
      <c r="D10903" s="496"/>
    </row>
    <row r="10904" spans="1:4" x14ac:dyDescent="0.2">
      <c r="A10904" s="496"/>
      <c r="D10904" s="496"/>
    </row>
    <row r="10905" spans="1:4" x14ac:dyDescent="0.2">
      <c r="A10905" s="496"/>
      <c r="D10905" s="496"/>
    </row>
    <row r="10906" spans="1:4" x14ac:dyDescent="0.2">
      <c r="A10906" s="496"/>
      <c r="D10906" s="496"/>
    </row>
    <row r="10907" spans="1:4" x14ac:dyDescent="0.2">
      <c r="A10907" s="496"/>
      <c r="D10907" s="496"/>
    </row>
    <row r="10908" spans="1:4" x14ac:dyDescent="0.2">
      <c r="A10908" s="496"/>
      <c r="D10908" s="496"/>
    </row>
    <row r="10909" spans="1:4" x14ac:dyDescent="0.2">
      <c r="A10909" s="496"/>
      <c r="D10909" s="496"/>
    </row>
    <row r="10910" spans="1:4" x14ac:dyDescent="0.2">
      <c r="A10910" s="496"/>
      <c r="D10910" s="496"/>
    </row>
    <row r="10911" spans="1:4" x14ac:dyDescent="0.2">
      <c r="A10911" s="496"/>
      <c r="D10911" s="496"/>
    </row>
    <row r="10912" spans="1:4" x14ac:dyDescent="0.2">
      <c r="A10912" s="496"/>
      <c r="D10912" s="496"/>
    </row>
    <row r="10913" spans="1:4" x14ac:dyDescent="0.2">
      <c r="A10913" s="496"/>
      <c r="D10913" s="496"/>
    </row>
    <row r="10914" spans="1:4" x14ac:dyDescent="0.2">
      <c r="A10914" s="496"/>
      <c r="D10914" s="496"/>
    </row>
    <row r="10915" spans="1:4" x14ac:dyDescent="0.2">
      <c r="A10915" s="496"/>
      <c r="D10915" s="496"/>
    </row>
    <row r="10916" spans="1:4" x14ac:dyDescent="0.2">
      <c r="A10916" s="496"/>
      <c r="D10916" s="496"/>
    </row>
    <row r="10917" spans="1:4" x14ac:dyDescent="0.2">
      <c r="A10917" s="496"/>
      <c r="D10917" s="496"/>
    </row>
    <row r="10918" spans="1:4" x14ac:dyDescent="0.2">
      <c r="A10918" s="496"/>
      <c r="D10918" s="496"/>
    </row>
    <row r="10919" spans="1:4" x14ac:dyDescent="0.2">
      <c r="A10919" s="496"/>
      <c r="D10919" s="496"/>
    </row>
    <row r="10920" spans="1:4" x14ac:dyDescent="0.2">
      <c r="A10920" s="496"/>
      <c r="D10920" s="496"/>
    </row>
    <row r="10921" spans="1:4" x14ac:dyDescent="0.2">
      <c r="A10921" s="496"/>
      <c r="D10921" s="496"/>
    </row>
    <row r="10922" spans="1:4" x14ac:dyDescent="0.2">
      <c r="A10922" s="496"/>
      <c r="D10922" s="496"/>
    </row>
    <row r="10923" spans="1:4" x14ac:dyDescent="0.2">
      <c r="A10923" s="496"/>
      <c r="D10923" s="496"/>
    </row>
    <row r="10924" spans="1:4" x14ac:dyDescent="0.2">
      <c r="A10924" s="496"/>
      <c r="D10924" s="496"/>
    </row>
    <row r="10925" spans="1:4" x14ac:dyDescent="0.2">
      <c r="A10925" s="496"/>
      <c r="D10925" s="496"/>
    </row>
    <row r="10926" spans="1:4" x14ac:dyDescent="0.2">
      <c r="A10926" s="496"/>
      <c r="D10926" s="496"/>
    </row>
    <row r="10927" spans="1:4" x14ac:dyDescent="0.2">
      <c r="A10927" s="496"/>
      <c r="D10927" s="496"/>
    </row>
    <row r="10928" spans="1:4" x14ac:dyDescent="0.2">
      <c r="A10928" s="496"/>
      <c r="D10928" s="496"/>
    </row>
    <row r="10929" spans="1:4" x14ac:dyDescent="0.2">
      <c r="A10929" s="496"/>
      <c r="D10929" s="496"/>
    </row>
    <row r="10930" spans="1:4" x14ac:dyDescent="0.2">
      <c r="A10930" s="496"/>
      <c r="D10930" s="496"/>
    </row>
    <row r="10931" spans="1:4" x14ac:dyDescent="0.2">
      <c r="A10931" s="496"/>
      <c r="D10931" s="496"/>
    </row>
    <row r="10932" spans="1:4" x14ac:dyDescent="0.2">
      <c r="A10932" s="496"/>
      <c r="D10932" s="496"/>
    </row>
    <row r="10933" spans="1:4" x14ac:dyDescent="0.2">
      <c r="A10933" s="496"/>
      <c r="D10933" s="496"/>
    </row>
    <row r="10934" spans="1:4" x14ac:dyDescent="0.2">
      <c r="A10934" s="496"/>
      <c r="D10934" s="496"/>
    </row>
    <row r="10935" spans="1:4" x14ac:dyDescent="0.2">
      <c r="A10935" s="496"/>
      <c r="D10935" s="496"/>
    </row>
    <row r="10936" spans="1:4" x14ac:dyDescent="0.2">
      <c r="A10936" s="496"/>
      <c r="D10936" s="496"/>
    </row>
    <row r="10937" spans="1:4" x14ac:dyDescent="0.2">
      <c r="A10937" s="496"/>
      <c r="D10937" s="496"/>
    </row>
    <row r="10938" spans="1:4" x14ac:dyDescent="0.2">
      <c r="A10938" s="496"/>
      <c r="D10938" s="496"/>
    </row>
    <row r="10939" spans="1:4" x14ac:dyDescent="0.2">
      <c r="A10939" s="496"/>
      <c r="D10939" s="496"/>
    </row>
    <row r="10940" spans="1:4" x14ac:dyDescent="0.2">
      <c r="A10940" s="496"/>
      <c r="D10940" s="496"/>
    </row>
    <row r="10941" spans="1:4" x14ac:dyDescent="0.2">
      <c r="A10941" s="496"/>
      <c r="D10941" s="496"/>
    </row>
    <row r="10942" spans="1:4" x14ac:dyDescent="0.2">
      <c r="A10942" s="496"/>
      <c r="D10942" s="496"/>
    </row>
    <row r="10943" spans="1:4" x14ac:dyDescent="0.2">
      <c r="A10943" s="496"/>
      <c r="D10943" s="496"/>
    </row>
    <row r="10944" spans="1:4" x14ac:dyDescent="0.2">
      <c r="A10944" s="496"/>
      <c r="D10944" s="496"/>
    </row>
    <row r="10945" spans="1:4" x14ac:dyDescent="0.2">
      <c r="A10945" s="496"/>
      <c r="D10945" s="496"/>
    </row>
    <row r="10946" spans="1:4" x14ac:dyDescent="0.2">
      <c r="A10946" s="496"/>
      <c r="D10946" s="496"/>
    </row>
    <row r="10947" spans="1:4" x14ac:dyDescent="0.2">
      <c r="A10947" s="496"/>
      <c r="D10947" s="496"/>
    </row>
    <row r="10948" spans="1:4" x14ac:dyDescent="0.2">
      <c r="A10948" s="496"/>
      <c r="D10948" s="496"/>
    </row>
    <row r="10949" spans="1:4" x14ac:dyDescent="0.2">
      <c r="A10949" s="496"/>
      <c r="D10949" s="496"/>
    </row>
    <row r="10950" spans="1:4" x14ac:dyDescent="0.2">
      <c r="A10950" s="496"/>
      <c r="D10950" s="496"/>
    </row>
    <row r="10951" spans="1:4" x14ac:dyDescent="0.2">
      <c r="A10951" s="496"/>
      <c r="D10951" s="496"/>
    </row>
    <row r="10952" spans="1:4" x14ac:dyDescent="0.2">
      <c r="A10952" s="496"/>
      <c r="D10952" s="496"/>
    </row>
    <row r="10953" spans="1:4" x14ac:dyDescent="0.2">
      <c r="A10953" s="496"/>
      <c r="D10953" s="496"/>
    </row>
    <row r="10954" spans="1:4" x14ac:dyDescent="0.2">
      <c r="A10954" s="496"/>
      <c r="D10954" s="496"/>
    </row>
    <row r="10955" spans="1:4" x14ac:dyDescent="0.2">
      <c r="A10955" s="496"/>
      <c r="D10955" s="496"/>
    </row>
    <row r="10956" spans="1:4" x14ac:dyDescent="0.2">
      <c r="A10956" s="496"/>
      <c r="D10956" s="496"/>
    </row>
    <row r="10957" spans="1:4" x14ac:dyDescent="0.2">
      <c r="A10957" s="496"/>
      <c r="D10957" s="496"/>
    </row>
    <row r="10958" spans="1:4" x14ac:dyDescent="0.2">
      <c r="A10958" s="496"/>
      <c r="D10958" s="496"/>
    </row>
    <row r="10959" spans="1:4" x14ac:dyDescent="0.2">
      <c r="A10959" s="496"/>
      <c r="D10959" s="496"/>
    </row>
    <row r="10960" spans="1:4" x14ac:dyDescent="0.2">
      <c r="A10960" s="496"/>
      <c r="D10960" s="496"/>
    </row>
    <row r="10961" spans="1:4" x14ac:dyDescent="0.2">
      <c r="A10961" s="496"/>
      <c r="D10961" s="496"/>
    </row>
    <row r="10962" spans="1:4" x14ac:dyDescent="0.2">
      <c r="A10962" s="496"/>
      <c r="D10962" s="496"/>
    </row>
    <row r="10963" spans="1:4" x14ac:dyDescent="0.2">
      <c r="A10963" s="496"/>
      <c r="D10963" s="496"/>
    </row>
    <row r="10964" spans="1:4" x14ac:dyDescent="0.2">
      <c r="A10964" s="496"/>
      <c r="D10964" s="496"/>
    </row>
    <row r="10965" spans="1:4" x14ac:dyDescent="0.2">
      <c r="A10965" s="496"/>
      <c r="D10965" s="496"/>
    </row>
    <row r="10966" spans="1:4" x14ac:dyDescent="0.2">
      <c r="A10966" s="496"/>
      <c r="D10966" s="496"/>
    </row>
    <row r="10967" spans="1:4" x14ac:dyDescent="0.2">
      <c r="A10967" s="496"/>
      <c r="D10967" s="496"/>
    </row>
    <row r="10968" spans="1:4" x14ac:dyDescent="0.2">
      <c r="A10968" s="496"/>
      <c r="D10968" s="496"/>
    </row>
    <row r="10969" spans="1:4" x14ac:dyDescent="0.2">
      <c r="A10969" s="496"/>
      <c r="D10969" s="496"/>
    </row>
    <row r="10970" spans="1:4" x14ac:dyDescent="0.2">
      <c r="A10970" s="496"/>
      <c r="D10970" s="496"/>
    </row>
    <row r="10971" spans="1:4" x14ac:dyDescent="0.2">
      <c r="A10971" s="496"/>
      <c r="D10971" s="496"/>
    </row>
    <row r="10972" spans="1:4" x14ac:dyDescent="0.2">
      <c r="A10972" s="496"/>
      <c r="D10972" s="496"/>
    </row>
    <row r="10973" spans="1:4" x14ac:dyDescent="0.2">
      <c r="A10973" s="496"/>
      <c r="D10973" s="496"/>
    </row>
    <row r="10974" spans="1:4" x14ac:dyDescent="0.2">
      <c r="A10974" s="496"/>
      <c r="D10974" s="496"/>
    </row>
    <row r="10975" spans="1:4" x14ac:dyDescent="0.2">
      <c r="A10975" s="496"/>
      <c r="D10975" s="496"/>
    </row>
    <row r="10976" spans="1:4" x14ac:dyDescent="0.2">
      <c r="A10976" s="496"/>
      <c r="D10976" s="496"/>
    </row>
    <row r="10977" spans="1:4" x14ac:dyDescent="0.2">
      <c r="A10977" s="496"/>
      <c r="D10977" s="496"/>
    </row>
    <row r="10978" spans="1:4" x14ac:dyDescent="0.2">
      <c r="A10978" s="496"/>
      <c r="D10978" s="496"/>
    </row>
    <row r="10979" spans="1:4" x14ac:dyDescent="0.2">
      <c r="A10979" s="496"/>
      <c r="D10979" s="496"/>
    </row>
    <row r="10980" spans="1:4" x14ac:dyDescent="0.2">
      <c r="A10980" s="496"/>
      <c r="D10980" s="496"/>
    </row>
    <row r="10981" spans="1:4" x14ac:dyDescent="0.2">
      <c r="A10981" s="496"/>
      <c r="D10981" s="496"/>
    </row>
    <row r="10982" spans="1:4" x14ac:dyDescent="0.2">
      <c r="A10982" s="496"/>
      <c r="D10982" s="496"/>
    </row>
    <row r="10983" spans="1:4" x14ac:dyDescent="0.2">
      <c r="A10983" s="496"/>
      <c r="D10983" s="496"/>
    </row>
    <row r="10984" spans="1:4" x14ac:dyDescent="0.2">
      <c r="A10984" s="496"/>
      <c r="D10984" s="496"/>
    </row>
    <row r="10985" spans="1:4" x14ac:dyDescent="0.2">
      <c r="A10985" s="496"/>
      <c r="D10985" s="496"/>
    </row>
    <row r="10986" spans="1:4" x14ac:dyDescent="0.2">
      <c r="A10986" s="496"/>
      <c r="D10986" s="496"/>
    </row>
    <row r="10987" spans="1:4" x14ac:dyDescent="0.2">
      <c r="A10987" s="496"/>
      <c r="D10987" s="496"/>
    </row>
    <row r="10988" spans="1:4" x14ac:dyDescent="0.2">
      <c r="A10988" s="496"/>
      <c r="D10988" s="496"/>
    </row>
    <row r="10989" spans="1:4" x14ac:dyDescent="0.2">
      <c r="A10989" s="496"/>
      <c r="D10989" s="496"/>
    </row>
    <row r="10990" spans="1:4" x14ac:dyDescent="0.2">
      <c r="A10990" s="496"/>
      <c r="D10990" s="496"/>
    </row>
    <row r="10991" spans="1:4" x14ac:dyDescent="0.2">
      <c r="A10991" s="496"/>
      <c r="D10991" s="496"/>
    </row>
    <row r="10992" spans="1:4" x14ac:dyDescent="0.2">
      <c r="A10992" s="496"/>
      <c r="D10992" s="496"/>
    </row>
    <row r="10993" spans="1:4" x14ac:dyDescent="0.2">
      <c r="A10993" s="496"/>
      <c r="D10993" s="496"/>
    </row>
    <row r="10994" spans="1:4" x14ac:dyDescent="0.2">
      <c r="A10994" s="496"/>
      <c r="D10994" s="496"/>
    </row>
    <row r="10995" spans="1:4" x14ac:dyDescent="0.2">
      <c r="A10995" s="496"/>
      <c r="D10995" s="496"/>
    </row>
    <row r="10996" spans="1:4" x14ac:dyDescent="0.2">
      <c r="A10996" s="496"/>
      <c r="D10996" s="496"/>
    </row>
    <row r="10997" spans="1:4" x14ac:dyDescent="0.2">
      <c r="A10997" s="496"/>
      <c r="D10997" s="496"/>
    </row>
    <row r="10998" spans="1:4" x14ac:dyDescent="0.2">
      <c r="A10998" s="496"/>
      <c r="D10998" s="496"/>
    </row>
    <row r="10999" spans="1:4" x14ac:dyDescent="0.2">
      <c r="A10999" s="496"/>
      <c r="D10999" s="496"/>
    </row>
    <row r="11000" spans="1:4" x14ac:dyDescent="0.2">
      <c r="A11000" s="496"/>
      <c r="D11000" s="496"/>
    </row>
    <row r="11001" spans="1:4" x14ac:dyDescent="0.2">
      <c r="A11001" s="496"/>
      <c r="D11001" s="496"/>
    </row>
    <row r="11002" spans="1:4" x14ac:dyDescent="0.2">
      <c r="A11002" s="496"/>
      <c r="D11002" s="496"/>
    </row>
    <row r="11003" spans="1:4" x14ac:dyDescent="0.2">
      <c r="A11003" s="496"/>
      <c r="D11003" s="496"/>
    </row>
    <row r="11004" spans="1:4" x14ac:dyDescent="0.2">
      <c r="A11004" s="496"/>
      <c r="D11004" s="496"/>
    </row>
    <row r="11005" spans="1:4" x14ac:dyDescent="0.2">
      <c r="A11005" s="496"/>
      <c r="D11005" s="496"/>
    </row>
    <row r="11006" spans="1:4" x14ac:dyDescent="0.2">
      <c r="A11006" s="496"/>
      <c r="D11006" s="496"/>
    </row>
    <row r="11007" spans="1:4" x14ac:dyDescent="0.2">
      <c r="A11007" s="496"/>
      <c r="D11007" s="496"/>
    </row>
    <row r="11008" spans="1:4" x14ac:dyDescent="0.2">
      <c r="A11008" s="496"/>
      <c r="D11008" s="496"/>
    </row>
    <row r="11009" spans="1:4" x14ac:dyDescent="0.2">
      <c r="A11009" s="496"/>
      <c r="D11009" s="496"/>
    </row>
    <row r="11010" spans="1:4" x14ac:dyDescent="0.2">
      <c r="A11010" s="496"/>
      <c r="D11010" s="496"/>
    </row>
    <row r="11011" spans="1:4" x14ac:dyDescent="0.2">
      <c r="A11011" s="496"/>
      <c r="D11011" s="496"/>
    </row>
    <row r="11012" spans="1:4" x14ac:dyDescent="0.2">
      <c r="A11012" s="496"/>
      <c r="D11012" s="496"/>
    </row>
    <row r="11013" spans="1:4" x14ac:dyDescent="0.2">
      <c r="A11013" s="496"/>
      <c r="D11013" s="496"/>
    </row>
    <row r="11014" spans="1:4" x14ac:dyDescent="0.2">
      <c r="A11014" s="496"/>
      <c r="D11014" s="496"/>
    </row>
    <row r="11015" spans="1:4" x14ac:dyDescent="0.2">
      <c r="A11015" s="496"/>
      <c r="D11015" s="496"/>
    </row>
    <row r="11016" spans="1:4" x14ac:dyDescent="0.2">
      <c r="A11016" s="496"/>
      <c r="D11016" s="496"/>
    </row>
    <row r="11017" spans="1:4" x14ac:dyDescent="0.2">
      <c r="A11017" s="496"/>
      <c r="D11017" s="496"/>
    </row>
    <row r="11018" spans="1:4" x14ac:dyDescent="0.2">
      <c r="A11018" s="496"/>
      <c r="D11018" s="496"/>
    </row>
    <row r="11019" spans="1:4" x14ac:dyDescent="0.2">
      <c r="A11019" s="496"/>
      <c r="D11019" s="496"/>
    </row>
    <row r="11020" spans="1:4" x14ac:dyDescent="0.2">
      <c r="A11020" s="496"/>
      <c r="D11020" s="496"/>
    </row>
    <row r="11021" spans="1:4" x14ac:dyDescent="0.2">
      <c r="A11021" s="496"/>
      <c r="D11021" s="496"/>
    </row>
    <row r="11022" spans="1:4" x14ac:dyDescent="0.2">
      <c r="A11022" s="496"/>
      <c r="D11022" s="496"/>
    </row>
    <row r="11023" spans="1:4" x14ac:dyDescent="0.2">
      <c r="A11023" s="496"/>
      <c r="D11023" s="496"/>
    </row>
    <row r="11024" spans="1:4" x14ac:dyDescent="0.2">
      <c r="A11024" s="496"/>
      <c r="D11024" s="496"/>
    </row>
    <row r="11025" spans="1:4" x14ac:dyDescent="0.2">
      <c r="A11025" s="496"/>
      <c r="D11025" s="496"/>
    </row>
    <row r="11026" spans="1:4" x14ac:dyDescent="0.2">
      <c r="A11026" s="496"/>
      <c r="D11026" s="496"/>
    </row>
    <row r="11027" spans="1:4" x14ac:dyDescent="0.2">
      <c r="A11027" s="496"/>
      <c r="D11027" s="496"/>
    </row>
    <row r="11028" spans="1:4" x14ac:dyDescent="0.2">
      <c r="A11028" s="496"/>
      <c r="D11028" s="496"/>
    </row>
    <row r="11029" spans="1:4" x14ac:dyDescent="0.2">
      <c r="A11029" s="496"/>
      <c r="D11029" s="496"/>
    </row>
    <row r="11030" spans="1:4" x14ac:dyDescent="0.2">
      <c r="A11030" s="496"/>
      <c r="D11030" s="496"/>
    </row>
    <row r="11031" spans="1:4" x14ac:dyDescent="0.2">
      <c r="A11031" s="496"/>
      <c r="D11031" s="496"/>
    </row>
    <row r="11032" spans="1:4" x14ac:dyDescent="0.2">
      <c r="A11032" s="496"/>
      <c r="D11032" s="496"/>
    </row>
    <row r="11033" spans="1:4" x14ac:dyDescent="0.2">
      <c r="A11033" s="496"/>
      <c r="D11033" s="496"/>
    </row>
    <row r="11034" spans="1:4" x14ac:dyDescent="0.2">
      <c r="A11034" s="496"/>
      <c r="D11034" s="496"/>
    </row>
    <row r="11035" spans="1:4" x14ac:dyDescent="0.2">
      <c r="A11035" s="496"/>
      <c r="D11035" s="496"/>
    </row>
    <row r="11036" spans="1:4" x14ac:dyDescent="0.2">
      <c r="A11036" s="496"/>
      <c r="D11036" s="496"/>
    </row>
    <row r="11037" spans="1:4" x14ac:dyDescent="0.2">
      <c r="A11037" s="496"/>
      <c r="D11037" s="496"/>
    </row>
    <row r="11038" spans="1:4" x14ac:dyDescent="0.2">
      <c r="A11038" s="496"/>
      <c r="D11038" s="496"/>
    </row>
    <row r="11039" spans="1:4" x14ac:dyDescent="0.2">
      <c r="A11039" s="496"/>
      <c r="D11039" s="496"/>
    </row>
    <row r="11040" spans="1:4" x14ac:dyDescent="0.2">
      <c r="A11040" s="496"/>
      <c r="D11040" s="496"/>
    </row>
    <row r="11041" spans="1:4" x14ac:dyDescent="0.2">
      <c r="A11041" s="496"/>
      <c r="D11041" s="496"/>
    </row>
    <row r="11042" spans="1:4" x14ac:dyDescent="0.2">
      <c r="A11042" s="496"/>
      <c r="D11042" s="496"/>
    </row>
    <row r="11043" spans="1:4" x14ac:dyDescent="0.2">
      <c r="A11043" s="496"/>
      <c r="D11043" s="496"/>
    </row>
    <row r="11044" spans="1:4" x14ac:dyDescent="0.2">
      <c r="A11044" s="496"/>
      <c r="D11044" s="496"/>
    </row>
    <row r="11045" spans="1:4" x14ac:dyDescent="0.2">
      <c r="A11045" s="496"/>
      <c r="D11045" s="496"/>
    </row>
    <row r="11046" spans="1:4" x14ac:dyDescent="0.2">
      <c r="A11046" s="496"/>
      <c r="D11046" s="496"/>
    </row>
    <row r="11047" spans="1:4" x14ac:dyDescent="0.2">
      <c r="A11047" s="496"/>
      <c r="D11047" s="496"/>
    </row>
    <row r="11048" spans="1:4" x14ac:dyDescent="0.2">
      <c r="A11048" s="496"/>
      <c r="D11048" s="496"/>
    </row>
    <row r="11049" spans="1:4" x14ac:dyDescent="0.2">
      <c r="A11049" s="496"/>
      <c r="D11049" s="496"/>
    </row>
    <row r="11050" spans="1:4" x14ac:dyDescent="0.2">
      <c r="A11050" s="496"/>
      <c r="D11050" s="496"/>
    </row>
    <row r="11051" spans="1:4" x14ac:dyDescent="0.2">
      <c r="A11051" s="496"/>
      <c r="D11051" s="496"/>
    </row>
    <row r="11052" spans="1:4" x14ac:dyDescent="0.2">
      <c r="A11052" s="496"/>
      <c r="D11052" s="496"/>
    </row>
    <row r="11053" spans="1:4" x14ac:dyDescent="0.2">
      <c r="A11053" s="496"/>
      <c r="D11053" s="496"/>
    </row>
    <row r="11054" spans="1:4" x14ac:dyDescent="0.2">
      <c r="A11054" s="496"/>
      <c r="D11054" s="496"/>
    </row>
    <row r="11055" spans="1:4" x14ac:dyDescent="0.2">
      <c r="A11055" s="496"/>
      <c r="D11055" s="496"/>
    </row>
    <row r="11056" spans="1:4" x14ac:dyDescent="0.2">
      <c r="A11056" s="496"/>
      <c r="D11056" s="496"/>
    </row>
    <row r="11057" spans="1:4" x14ac:dyDescent="0.2">
      <c r="A11057" s="496"/>
      <c r="D11057" s="496"/>
    </row>
    <row r="11058" spans="1:4" x14ac:dyDescent="0.2">
      <c r="A11058" s="496"/>
      <c r="D11058" s="496"/>
    </row>
    <row r="11059" spans="1:4" x14ac:dyDescent="0.2">
      <c r="A11059" s="496"/>
      <c r="D11059" s="496"/>
    </row>
    <row r="11060" spans="1:4" x14ac:dyDescent="0.2">
      <c r="A11060" s="496"/>
      <c r="D11060" s="496"/>
    </row>
    <row r="11061" spans="1:4" x14ac:dyDescent="0.2">
      <c r="A11061" s="496"/>
      <c r="D11061" s="496"/>
    </row>
    <row r="11062" spans="1:4" x14ac:dyDescent="0.2">
      <c r="A11062" s="496"/>
      <c r="D11062" s="496"/>
    </row>
    <row r="11063" spans="1:4" x14ac:dyDescent="0.2">
      <c r="A11063" s="496"/>
      <c r="D11063" s="496"/>
    </row>
    <row r="11064" spans="1:4" x14ac:dyDescent="0.2">
      <c r="A11064" s="496"/>
      <c r="D11064" s="496"/>
    </row>
    <row r="11065" spans="1:4" x14ac:dyDescent="0.2">
      <c r="A11065" s="496"/>
      <c r="D11065" s="496"/>
    </row>
    <row r="11066" spans="1:4" x14ac:dyDescent="0.2">
      <c r="A11066" s="496"/>
      <c r="D11066" s="496"/>
    </row>
    <row r="11067" spans="1:4" x14ac:dyDescent="0.2">
      <c r="A11067" s="496"/>
      <c r="D11067" s="496"/>
    </row>
    <row r="11068" spans="1:4" x14ac:dyDescent="0.2">
      <c r="A11068" s="496"/>
      <c r="D11068" s="496"/>
    </row>
    <row r="11069" spans="1:4" x14ac:dyDescent="0.2">
      <c r="A11069" s="496"/>
      <c r="D11069" s="496"/>
    </row>
    <row r="11070" spans="1:4" x14ac:dyDescent="0.2">
      <c r="A11070" s="496"/>
      <c r="D11070" s="496"/>
    </row>
    <row r="11071" spans="1:4" x14ac:dyDescent="0.2">
      <c r="A11071" s="496"/>
      <c r="D11071" s="496"/>
    </row>
    <row r="11072" spans="1:4" x14ac:dyDescent="0.2">
      <c r="A11072" s="496"/>
      <c r="D11072" s="496"/>
    </row>
    <row r="11073" spans="1:4" x14ac:dyDescent="0.2">
      <c r="A11073" s="496"/>
      <c r="D11073" s="496"/>
    </row>
    <row r="11074" spans="1:4" x14ac:dyDescent="0.2">
      <c r="A11074" s="496"/>
      <c r="D11074" s="496"/>
    </row>
    <row r="11075" spans="1:4" x14ac:dyDescent="0.2">
      <c r="A11075" s="496"/>
      <c r="D11075" s="496"/>
    </row>
    <row r="11076" spans="1:4" x14ac:dyDescent="0.2">
      <c r="A11076" s="496"/>
      <c r="D11076" s="496"/>
    </row>
    <row r="11077" spans="1:4" x14ac:dyDescent="0.2">
      <c r="A11077" s="496"/>
      <c r="D11077" s="496"/>
    </row>
    <row r="11078" spans="1:4" x14ac:dyDescent="0.2">
      <c r="A11078" s="496"/>
      <c r="D11078" s="496"/>
    </row>
    <row r="11079" spans="1:4" x14ac:dyDescent="0.2">
      <c r="A11079" s="496"/>
      <c r="D11079" s="496"/>
    </row>
    <row r="11080" spans="1:4" x14ac:dyDescent="0.2">
      <c r="A11080" s="496"/>
      <c r="D11080" s="496"/>
    </row>
    <row r="11081" spans="1:4" x14ac:dyDescent="0.2">
      <c r="A11081" s="496"/>
      <c r="D11081" s="496"/>
    </row>
    <row r="11082" spans="1:4" x14ac:dyDescent="0.2">
      <c r="A11082" s="496"/>
      <c r="D11082" s="496"/>
    </row>
    <row r="11083" spans="1:4" x14ac:dyDescent="0.2">
      <c r="A11083" s="496"/>
      <c r="D11083" s="496"/>
    </row>
    <row r="11084" spans="1:4" x14ac:dyDescent="0.2">
      <c r="A11084" s="496"/>
      <c r="D11084" s="496"/>
    </row>
    <row r="11085" spans="1:4" x14ac:dyDescent="0.2">
      <c r="A11085" s="496"/>
      <c r="D11085" s="496"/>
    </row>
    <row r="11086" spans="1:4" x14ac:dyDescent="0.2">
      <c r="A11086" s="496"/>
      <c r="D11086" s="496"/>
    </row>
    <row r="11087" spans="1:4" x14ac:dyDescent="0.2">
      <c r="A11087" s="496"/>
      <c r="D11087" s="496"/>
    </row>
    <row r="11088" spans="1:4" x14ac:dyDescent="0.2">
      <c r="A11088" s="496"/>
      <c r="D11088" s="496"/>
    </row>
    <row r="11089" spans="1:4" x14ac:dyDescent="0.2">
      <c r="A11089" s="496"/>
      <c r="D11089" s="496"/>
    </row>
    <row r="11090" spans="1:4" x14ac:dyDescent="0.2">
      <c r="A11090" s="496"/>
      <c r="D11090" s="496"/>
    </row>
    <row r="11091" spans="1:4" x14ac:dyDescent="0.2">
      <c r="A11091" s="496"/>
      <c r="D11091" s="496"/>
    </row>
    <row r="11092" spans="1:4" x14ac:dyDescent="0.2">
      <c r="A11092" s="496"/>
      <c r="D11092" s="496"/>
    </row>
    <row r="11093" spans="1:4" x14ac:dyDescent="0.2">
      <c r="A11093" s="496"/>
      <c r="D11093" s="496"/>
    </row>
    <row r="11094" spans="1:4" x14ac:dyDescent="0.2">
      <c r="A11094" s="496"/>
      <c r="D11094" s="496"/>
    </row>
    <row r="11095" spans="1:4" x14ac:dyDescent="0.2">
      <c r="A11095" s="496"/>
      <c r="D11095" s="496"/>
    </row>
    <row r="11096" spans="1:4" x14ac:dyDescent="0.2">
      <c r="A11096" s="496"/>
      <c r="D11096" s="496"/>
    </row>
    <row r="11097" spans="1:4" x14ac:dyDescent="0.2">
      <c r="A11097" s="496"/>
      <c r="D11097" s="496"/>
    </row>
    <row r="11098" spans="1:4" x14ac:dyDescent="0.2">
      <c r="A11098" s="496"/>
      <c r="D11098" s="496"/>
    </row>
    <row r="11099" spans="1:4" x14ac:dyDescent="0.2">
      <c r="A11099" s="496"/>
      <c r="D11099" s="496"/>
    </row>
    <row r="11100" spans="1:4" x14ac:dyDescent="0.2">
      <c r="A11100" s="496"/>
      <c r="D11100" s="496"/>
    </row>
    <row r="11101" spans="1:4" x14ac:dyDescent="0.2">
      <c r="A11101" s="496"/>
      <c r="D11101" s="496"/>
    </row>
    <row r="11102" spans="1:4" x14ac:dyDescent="0.2">
      <c r="A11102" s="496"/>
      <c r="D11102" s="496"/>
    </row>
    <row r="11103" spans="1:4" x14ac:dyDescent="0.2">
      <c r="A11103" s="496"/>
      <c r="D11103" s="496"/>
    </row>
    <row r="11104" spans="1:4" x14ac:dyDescent="0.2">
      <c r="A11104" s="496"/>
      <c r="D11104" s="496"/>
    </row>
    <row r="11105" spans="1:4" x14ac:dyDescent="0.2">
      <c r="A11105" s="496"/>
      <c r="D11105" s="496"/>
    </row>
    <row r="11106" spans="1:4" x14ac:dyDescent="0.2">
      <c r="A11106" s="496"/>
      <c r="D11106" s="496"/>
    </row>
    <row r="11107" spans="1:4" x14ac:dyDescent="0.2">
      <c r="A11107" s="496"/>
      <c r="D11107" s="496"/>
    </row>
    <row r="11108" spans="1:4" x14ac:dyDescent="0.2">
      <c r="A11108" s="496"/>
      <c r="D11108" s="496"/>
    </row>
    <row r="11109" spans="1:4" x14ac:dyDescent="0.2">
      <c r="A11109" s="496"/>
      <c r="D11109" s="496"/>
    </row>
    <row r="11110" spans="1:4" x14ac:dyDescent="0.2">
      <c r="A11110" s="496"/>
      <c r="D11110" s="496"/>
    </row>
    <row r="11111" spans="1:4" x14ac:dyDescent="0.2">
      <c r="A11111" s="496"/>
      <c r="D11111" s="496"/>
    </row>
    <row r="11112" spans="1:4" x14ac:dyDescent="0.2">
      <c r="A11112" s="496"/>
      <c r="D11112" s="496"/>
    </row>
    <row r="11113" spans="1:4" x14ac:dyDescent="0.2">
      <c r="A11113" s="496"/>
      <c r="D11113" s="496"/>
    </row>
    <row r="11114" spans="1:4" x14ac:dyDescent="0.2">
      <c r="A11114" s="496"/>
      <c r="D11114" s="496"/>
    </row>
    <row r="11115" spans="1:4" x14ac:dyDescent="0.2">
      <c r="A11115" s="496"/>
      <c r="D11115" s="496"/>
    </row>
    <row r="11116" spans="1:4" x14ac:dyDescent="0.2">
      <c r="A11116" s="496"/>
      <c r="D11116" s="496"/>
    </row>
    <row r="11117" spans="1:4" x14ac:dyDescent="0.2">
      <c r="A11117" s="496"/>
      <c r="D11117" s="496"/>
    </row>
    <row r="11118" spans="1:4" x14ac:dyDescent="0.2">
      <c r="A11118" s="496"/>
      <c r="D11118" s="496"/>
    </row>
    <row r="11119" spans="1:4" x14ac:dyDescent="0.2">
      <c r="A11119" s="496"/>
      <c r="D11119" s="496"/>
    </row>
    <row r="11120" spans="1:4" x14ac:dyDescent="0.2">
      <c r="A11120" s="496"/>
      <c r="D11120" s="496"/>
    </row>
    <row r="11121" spans="1:4" x14ac:dyDescent="0.2">
      <c r="A11121" s="496"/>
      <c r="D11121" s="496"/>
    </row>
    <row r="11122" spans="1:4" x14ac:dyDescent="0.2">
      <c r="A11122" s="496"/>
      <c r="D11122" s="496"/>
    </row>
    <row r="11123" spans="1:4" x14ac:dyDescent="0.2">
      <c r="A11123" s="496"/>
      <c r="D11123" s="496"/>
    </row>
    <row r="11124" spans="1:4" x14ac:dyDescent="0.2">
      <c r="A11124" s="496"/>
      <c r="D11124" s="496"/>
    </row>
    <row r="11125" spans="1:4" x14ac:dyDescent="0.2">
      <c r="A11125" s="496"/>
      <c r="D11125" s="496"/>
    </row>
    <row r="11126" spans="1:4" x14ac:dyDescent="0.2">
      <c r="A11126" s="496"/>
      <c r="D11126" s="496"/>
    </row>
    <row r="11127" spans="1:4" x14ac:dyDescent="0.2">
      <c r="A11127" s="496"/>
      <c r="D11127" s="496"/>
    </row>
    <row r="11128" spans="1:4" x14ac:dyDescent="0.2">
      <c r="A11128" s="496"/>
      <c r="D11128" s="496"/>
    </row>
    <row r="11129" spans="1:4" x14ac:dyDescent="0.2">
      <c r="A11129" s="496"/>
      <c r="D11129" s="496"/>
    </row>
    <row r="11130" spans="1:4" x14ac:dyDescent="0.2">
      <c r="A11130" s="496"/>
      <c r="D11130" s="496"/>
    </row>
    <row r="11131" spans="1:4" x14ac:dyDescent="0.2">
      <c r="A11131" s="496"/>
      <c r="D11131" s="496"/>
    </row>
    <row r="11132" spans="1:4" x14ac:dyDescent="0.2">
      <c r="A11132" s="496"/>
      <c r="D11132" s="496"/>
    </row>
    <row r="11133" spans="1:4" x14ac:dyDescent="0.2">
      <c r="A11133" s="496"/>
      <c r="D11133" s="496"/>
    </row>
    <row r="11134" spans="1:4" x14ac:dyDescent="0.2">
      <c r="A11134" s="496"/>
      <c r="D11134" s="496"/>
    </row>
    <row r="11135" spans="1:4" x14ac:dyDescent="0.2">
      <c r="A11135" s="496"/>
      <c r="D11135" s="496"/>
    </row>
    <row r="11136" spans="1:4" x14ac:dyDescent="0.2">
      <c r="A11136" s="496"/>
      <c r="D11136" s="496"/>
    </row>
    <row r="11137" spans="1:4" x14ac:dyDescent="0.2">
      <c r="A11137" s="496"/>
      <c r="D11137" s="496"/>
    </row>
    <row r="11138" spans="1:4" x14ac:dyDescent="0.2">
      <c r="A11138" s="496"/>
      <c r="D11138" s="496"/>
    </row>
    <row r="11139" spans="1:4" x14ac:dyDescent="0.2">
      <c r="A11139" s="496"/>
      <c r="D11139" s="496"/>
    </row>
    <row r="11140" spans="1:4" x14ac:dyDescent="0.2">
      <c r="A11140" s="496"/>
      <c r="D11140" s="496"/>
    </row>
    <row r="11141" spans="1:4" x14ac:dyDescent="0.2">
      <c r="A11141" s="496"/>
      <c r="D11141" s="496"/>
    </row>
    <row r="11142" spans="1:4" x14ac:dyDescent="0.2">
      <c r="A11142" s="496"/>
      <c r="D11142" s="496"/>
    </row>
    <row r="11143" spans="1:4" x14ac:dyDescent="0.2">
      <c r="A11143" s="496"/>
      <c r="D11143" s="496"/>
    </row>
    <row r="11144" spans="1:4" x14ac:dyDescent="0.2">
      <c r="A11144" s="496"/>
      <c r="D11144" s="496"/>
    </row>
    <row r="11145" spans="1:4" x14ac:dyDescent="0.2">
      <c r="A11145" s="496"/>
      <c r="D11145" s="496"/>
    </row>
    <row r="11146" spans="1:4" x14ac:dyDescent="0.2">
      <c r="A11146" s="496"/>
      <c r="D11146" s="496"/>
    </row>
    <row r="11147" spans="1:4" x14ac:dyDescent="0.2">
      <c r="A11147" s="496"/>
      <c r="D11147" s="496"/>
    </row>
    <row r="11148" spans="1:4" x14ac:dyDescent="0.2">
      <c r="A11148" s="496"/>
      <c r="D11148" s="496"/>
    </row>
    <row r="11149" spans="1:4" x14ac:dyDescent="0.2">
      <c r="A11149" s="496"/>
      <c r="D11149" s="496"/>
    </row>
    <row r="11150" spans="1:4" x14ac:dyDescent="0.2">
      <c r="A11150" s="496"/>
      <c r="D11150" s="496"/>
    </row>
    <row r="11151" spans="1:4" x14ac:dyDescent="0.2">
      <c r="A11151" s="496"/>
      <c r="D11151" s="496"/>
    </row>
    <row r="11152" spans="1:4" x14ac:dyDescent="0.2">
      <c r="A11152" s="496"/>
      <c r="D11152" s="496"/>
    </row>
    <row r="11153" spans="1:4" x14ac:dyDescent="0.2">
      <c r="A11153" s="496"/>
      <c r="D11153" s="496"/>
    </row>
    <row r="11154" spans="1:4" x14ac:dyDescent="0.2">
      <c r="A11154" s="496"/>
      <c r="D11154" s="496"/>
    </row>
    <row r="11155" spans="1:4" x14ac:dyDescent="0.2">
      <c r="A11155" s="496"/>
      <c r="D11155" s="496"/>
    </row>
    <row r="11156" spans="1:4" x14ac:dyDescent="0.2">
      <c r="A11156" s="496"/>
      <c r="D11156" s="496"/>
    </row>
    <row r="11157" spans="1:4" x14ac:dyDescent="0.2">
      <c r="A11157" s="496"/>
      <c r="D11157" s="496"/>
    </row>
    <row r="11158" spans="1:4" x14ac:dyDescent="0.2">
      <c r="A11158" s="496"/>
      <c r="D11158" s="496"/>
    </row>
    <row r="11159" spans="1:4" x14ac:dyDescent="0.2">
      <c r="A11159" s="496"/>
      <c r="D11159" s="496"/>
    </row>
    <row r="11160" spans="1:4" x14ac:dyDescent="0.2">
      <c r="A11160" s="496"/>
      <c r="D11160" s="496"/>
    </row>
    <row r="11161" spans="1:4" x14ac:dyDescent="0.2">
      <c r="A11161" s="496"/>
      <c r="D11161" s="496"/>
    </row>
    <row r="11162" spans="1:4" x14ac:dyDescent="0.2">
      <c r="A11162" s="496"/>
      <c r="D11162" s="496"/>
    </row>
    <row r="11163" spans="1:4" x14ac:dyDescent="0.2">
      <c r="A11163" s="496"/>
      <c r="D11163" s="496"/>
    </row>
    <row r="11164" spans="1:4" x14ac:dyDescent="0.2">
      <c r="A11164" s="496"/>
      <c r="D11164" s="496"/>
    </row>
    <row r="11165" spans="1:4" x14ac:dyDescent="0.2">
      <c r="A11165" s="496"/>
      <c r="D11165" s="496"/>
    </row>
    <row r="11166" spans="1:4" x14ac:dyDescent="0.2">
      <c r="A11166" s="496"/>
      <c r="D11166" s="496"/>
    </row>
    <row r="11167" spans="1:4" x14ac:dyDescent="0.2">
      <c r="A11167" s="496"/>
      <c r="D11167" s="496"/>
    </row>
    <row r="11168" spans="1:4" x14ac:dyDescent="0.2">
      <c r="A11168" s="496"/>
      <c r="D11168" s="496"/>
    </row>
    <row r="11169" spans="1:4" x14ac:dyDescent="0.2">
      <c r="A11169" s="496"/>
      <c r="D11169" s="496"/>
    </row>
    <row r="11170" spans="1:4" x14ac:dyDescent="0.2">
      <c r="A11170" s="496"/>
      <c r="D11170" s="496"/>
    </row>
    <row r="11171" spans="1:4" x14ac:dyDescent="0.2">
      <c r="A11171" s="496"/>
      <c r="D11171" s="496"/>
    </row>
    <row r="11172" spans="1:4" x14ac:dyDescent="0.2">
      <c r="A11172" s="496"/>
      <c r="D11172" s="496"/>
    </row>
    <row r="11173" spans="1:4" x14ac:dyDescent="0.2">
      <c r="A11173" s="496"/>
      <c r="D11173" s="496"/>
    </row>
    <row r="11174" spans="1:4" x14ac:dyDescent="0.2">
      <c r="A11174" s="496"/>
      <c r="D11174" s="496"/>
    </row>
    <row r="11175" spans="1:4" x14ac:dyDescent="0.2">
      <c r="A11175" s="496"/>
      <c r="D11175" s="496"/>
    </row>
    <row r="11176" spans="1:4" x14ac:dyDescent="0.2">
      <c r="A11176" s="496"/>
      <c r="D11176" s="496"/>
    </row>
    <row r="11177" spans="1:4" x14ac:dyDescent="0.2">
      <c r="A11177" s="496"/>
      <c r="D11177" s="496"/>
    </row>
    <row r="11178" spans="1:4" x14ac:dyDescent="0.2">
      <c r="A11178" s="496"/>
      <c r="D11178" s="496"/>
    </row>
    <row r="11179" spans="1:4" x14ac:dyDescent="0.2">
      <c r="A11179" s="496"/>
      <c r="D11179" s="496"/>
    </row>
    <row r="11180" spans="1:4" x14ac:dyDescent="0.2">
      <c r="A11180" s="496"/>
      <c r="D11180" s="496"/>
    </row>
    <row r="11181" spans="1:4" x14ac:dyDescent="0.2">
      <c r="A11181" s="496"/>
      <c r="D11181" s="496"/>
    </row>
    <row r="11182" spans="1:4" x14ac:dyDescent="0.2">
      <c r="A11182" s="496"/>
      <c r="D11182" s="496"/>
    </row>
    <row r="11183" spans="1:4" x14ac:dyDescent="0.2">
      <c r="A11183" s="496"/>
      <c r="D11183" s="496"/>
    </row>
    <row r="11184" spans="1:4" x14ac:dyDescent="0.2">
      <c r="A11184" s="496"/>
      <c r="D11184" s="496"/>
    </row>
    <row r="11185" spans="1:4" x14ac:dyDescent="0.2">
      <c r="A11185" s="496"/>
      <c r="D11185" s="496"/>
    </row>
    <row r="11186" spans="1:4" x14ac:dyDescent="0.2">
      <c r="A11186" s="496"/>
      <c r="D11186" s="496"/>
    </row>
    <row r="11187" spans="1:4" x14ac:dyDescent="0.2">
      <c r="A11187" s="496"/>
      <c r="D11187" s="496"/>
    </row>
    <row r="11188" spans="1:4" x14ac:dyDescent="0.2">
      <c r="A11188" s="496"/>
      <c r="D11188" s="496"/>
    </row>
    <row r="11189" spans="1:4" x14ac:dyDescent="0.2">
      <c r="A11189" s="496"/>
      <c r="D11189" s="496"/>
    </row>
    <row r="11190" spans="1:4" x14ac:dyDescent="0.2">
      <c r="A11190" s="496"/>
      <c r="D11190" s="496"/>
    </row>
    <row r="11191" spans="1:4" x14ac:dyDescent="0.2">
      <c r="A11191" s="496"/>
      <c r="D11191" s="496"/>
    </row>
    <row r="11192" spans="1:4" x14ac:dyDescent="0.2">
      <c r="A11192" s="496"/>
      <c r="D11192" s="496"/>
    </row>
    <row r="11193" spans="1:4" x14ac:dyDescent="0.2">
      <c r="A11193" s="496"/>
      <c r="D11193" s="496"/>
    </row>
    <row r="11194" spans="1:4" x14ac:dyDescent="0.2">
      <c r="A11194" s="496"/>
      <c r="D11194" s="496"/>
    </row>
    <row r="11195" spans="1:4" x14ac:dyDescent="0.2">
      <c r="A11195" s="496"/>
      <c r="D11195" s="496"/>
    </row>
    <row r="11196" spans="1:4" x14ac:dyDescent="0.2">
      <c r="A11196" s="496"/>
      <c r="D11196" s="496"/>
    </row>
    <row r="11197" spans="1:4" x14ac:dyDescent="0.2">
      <c r="A11197" s="496"/>
      <c r="D11197" s="496"/>
    </row>
    <row r="11198" spans="1:4" x14ac:dyDescent="0.2">
      <c r="A11198" s="496"/>
      <c r="D11198" s="496"/>
    </row>
    <row r="11199" spans="1:4" x14ac:dyDescent="0.2">
      <c r="A11199" s="496"/>
      <c r="D11199" s="496"/>
    </row>
    <row r="11200" spans="1:4" x14ac:dyDescent="0.2">
      <c r="A11200" s="496"/>
      <c r="D11200" s="496"/>
    </row>
    <row r="11201" spans="1:4" x14ac:dyDescent="0.2">
      <c r="A11201" s="496"/>
      <c r="D11201" s="496"/>
    </row>
    <row r="11202" spans="1:4" x14ac:dyDescent="0.2">
      <c r="A11202" s="496"/>
      <c r="D11202" s="496"/>
    </row>
    <row r="11203" spans="1:4" x14ac:dyDescent="0.2">
      <c r="A11203" s="496"/>
      <c r="D11203" s="496"/>
    </row>
    <row r="11204" spans="1:4" x14ac:dyDescent="0.2">
      <c r="A11204" s="496"/>
      <c r="D11204" s="496"/>
    </row>
    <row r="11205" spans="1:4" x14ac:dyDescent="0.2">
      <c r="A11205" s="496"/>
      <c r="D11205" s="496"/>
    </row>
    <row r="11206" spans="1:4" x14ac:dyDescent="0.2">
      <c r="A11206" s="496"/>
      <c r="D11206" s="496"/>
    </row>
    <row r="11207" spans="1:4" x14ac:dyDescent="0.2">
      <c r="A11207" s="496"/>
      <c r="D11207" s="496"/>
    </row>
    <row r="11208" spans="1:4" x14ac:dyDescent="0.2">
      <c r="A11208" s="496"/>
      <c r="D11208" s="496"/>
    </row>
    <row r="11209" spans="1:4" x14ac:dyDescent="0.2">
      <c r="A11209" s="496"/>
      <c r="D11209" s="496"/>
    </row>
    <row r="11210" spans="1:4" x14ac:dyDescent="0.2">
      <c r="A11210" s="496"/>
      <c r="D11210" s="496"/>
    </row>
    <row r="11211" spans="1:4" x14ac:dyDescent="0.2">
      <c r="A11211" s="496"/>
      <c r="D11211" s="496"/>
    </row>
    <row r="11212" spans="1:4" x14ac:dyDescent="0.2">
      <c r="A11212" s="496"/>
      <c r="D11212" s="496"/>
    </row>
    <row r="11213" spans="1:4" x14ac:dyDescent="0.2">
      <c r="A11213" s="496"/>
      <c r="D11213" s="496"/>
    </row>
    <row r="11214" spans="1:4" x14ac:dyDescent="0.2">
      <c r="A11214" s="496"/>
      <c r="D11214" s="496"/>
    </row>
    <row r="11215" spans="1:4" x14ac:dyDescent="0.2">
      <c r="A11215" s="496"/>
      <c r="D11215" s="496"/>
    </row>
    <row r="11216" spans="1:4" x14ac:dyDescent="0.2">
      <c r="A11216" s="496"/>
      <c r="D11216" s="496"/>
    </row>
    <row r="11217" spans="1:4" x14ac:dyDescent="0.2">
      <c r="A11217" s="496"/>
      <c r="D11217" s="496"/>
    </row>
    <row r="11218" spans="1:4" x14ac:dyDescent="0.2">
      <c r="A11218" s="496"/>
      <c r="D11218" s="496"/>
    </row>
    <row r="11219" spans="1:4" x14ac:dyDescent="0.2">
      <c r="A11219" s="496"/>
      <c r="D11219" s="496"/>
    </row>
    <row r="11220" spans="1:4" x14ac:dyDescent="0.2">
      <c r="A11220" s="496"/>
      <c r="D11220" s="496"/>
    </row>
    <row r="11221" spans="1:4" x14ac:dyDescent="0.2">
      <c r="A11221" s="496"/>
      <c r="D11221" s="496"/>
    </row>
    <row r="11222" spans="1:4" x14ac:dyDescent="0.2">
      <c r="A11222" s="496"/>
      <c r="D11222" s="496"/>
    </row>
    <row r="11223" spans="1:4" x14ac:dyDescent="0.2">
      <c r="A11223" s="496"/>
      <c r="D11223" s="496"/>
    </row>
    <row r="11224" spans="1:4" x14ac:dyDescent="0.2">
      <c r="A11224" s="496"/>
      <c r="D11224" s="496"/>
    </row>
    <row r="11225" spans="1:4" x14ac:dyDescent="0.2">
      <c r="A11225" s="496"/>
      <c r="D11225" s="496"/>
    </row>
    <row r="11226" spans="1:4" x14ac:dyDescent="0.2">
      <c r="A11226" s="496"/>
      <c r="D11226" s="496"/>
    </row>
    <row r="11227" spans="1:4" x14ac:dyDescent="0.2">
      <c r="A11227" s="496"/>
      <c r="D11227" s="496"/>
    </row>
    <row r="11228" spans="1:4" x14ac:dyDescent="0.2">
      <c r="A11228" s="496"/>
      <c r="D11228" s="496"/>
    </row>
    <row r="11229" spans="1:4" x14ac:dyDescent="0.2">
      <c r="A11229" s="496"/>
      <c r="D11229" s="496"/>
    </row>
    <row r="11230" spans="1:4" x14ac:dyDescent="0.2">
      <c r="A11230" s="496"/>
      <c r="D11230" s="496"/>
    </row>
    <row r="11231" spans="1:4" x14ac:dyDescent="0.2">
      <c r="A11231" s="496"/>
      <c r="D11231" s="496"/>
    </row>
    <row r="11232" spans="1:4" x14ac:dyDescent="0.2">
      <c r="A11232" s="496"/>
      <c r="D11232" s="496"/>
    </row>
    <row r="11233" spans="1:4" x14ac:dyDescent="0.2">
      <c r="A11233" s="496"/>
      <c r="D11233" s="496"/>
    </row>
    <row r="11234" spans="1:4" x14ac:dyDescent="0.2">
      <c r="A11234" s="496"/>
      <c r="D11234" s="496"/>
    </row>
    <row r="11235" spans="1:4" x14ac:dyDescent="0.2">
      <c r="A11235" s="496"/>
      <c r="D11235" s="496"/>
    </row>
    <row r="11236" spans="1:4" x14ac:dyDescent="0.2">
      <c r="A11236" s="496"/>
      <c r="D11236" s="496"/>
    </row>
    <row r="11237" spans="1:4" x14ac:dyDescent="0.2">
      <c r="A11237" s="496"/>
      <c r="D11237" s="496"/>
    </row>
    <row r="11238" spans="1:4" x14ac:dyDescent="0.2">
      <c r="A11238" s="496"/>
      <c r="D11238" s="496"/>
    </row>
    <row r="11239" spans="1:4" x14ac:dyDescent="0.2">
      <c r="A11239" s="496"/>
      <c r="D11239" s="496"/>
    </row>
    <row r="11240" spans="1:4" x14ac:dyDescent="0.2">
      <c r="A11240" s="496"/>
      <c r="D11240" s="496"/>
    </row>
    <row r="11241" spans="1:4" x14ac:dyDescent="0.2">
      <c r="A11241" s="496"/>
      <c r="D11241" s="496"/>
    </row>
    <row r="11242" spans="1:4" x14ac:dyDescent="0.2">
      <c r="A11242" s="496"/>
      <c r="D11242" s="496"/>
    </row>
    <row r="11243" spans="1:4" x14ac:dyDescent="0.2">
      <c r="A11243" s="496"/>
      <c r="D11243" s="496"/>
    </row>
    <row r="11244" spans="1:4" x14ac:dyDescent="0.2">
      <c r="A11244" s="496"/>
      <c r="D11244" s="496"/>
    </row>
    <row r="11245" spans="1:4" x14ac:dyDescent="0.2">
      <c r="A11245" s="496"/>
      <c r="D11245" s="496"/>
    </row>
    <row r="11246" spans="1:4" x14ac:dyDescent="0.2">
      <c r="A11246" s="496"/>
      <c r="D11246" s="496"/>
    </row>
    <row r="11247" spans="1:4" x14ac:dyDescent="0.2">
      <c r="A11247" s="496"/>
      <c r="D11247" s="496"/>
    </row>
    <row r="11248" spans="1:4" x14ac:dyDescent="0.2">
      <c r="A11248" s="496"/>
      <c r="D11248" s="496"/>
    </row>
    <row r="11249" spans="1:4" x14ac:dyDescent="0.2">
      <c r="A11249" s="496"/>
      <c r="D11249" s="496"/>
    </row>
    <row r="11250" spans="1:4" x14ac:dyDescent="0.2">
      <c r="A11250" s="496"/>
      <c r="D11250" s="496"/>
    </row>
    <row r="11251" spans="1:4" x14ac:dyDescent="0.2">
      <c r="A11251" s="496"/>
      <c r="D11251" s="496"/>
    </row>
    <row r="11252" spans="1:4" x14ac:dyDescent="0.2">
      <c r="A11252" s="496"/>
      <c r="D11252" s="496"/>
    </row>
    <row r="11253" spans="1:4" x14ac:dyDescent="0.2">
      <c r="A11253" s="496"/>
      <c r="D11253" s="496"/>
    </row>
    <row r="11254" spans="1:4" x14ac:dyDescent="0.2">
      <c r="A11254" s="496"/>
      <c r="D11254" s="496"/>
    </row>
    <row r="11255" spans="1:4" x14ac:dyDescent="0.2">
      <c r="A11255" s="496"/>
      <c r="D11255" s="496"/>
    </row>
    <row r="11256" spans="1:4" x14ac:dyDescent="0.2">
      <c r="A11256" s="496"/>
      <c r="D11256" s="496"/>
    </row>
    <row r="11257" spans="1:4" x14ac:dyDescent="0.2">
      <c r="A11257" s="496"/>
      <c r="D11257" s="496"/>
    </row>
    <row r="11258" spans="1:4" x14ac:dyDescent="0.2">
      <c r="A11258" s="496"/>
      <c r="D11258" s="496"/>
    </row>
    <row r="11259" spans="1:4" x14ac:dyDescent="0.2">
      <c r="A11259" s="496"/>
      <c r="D11259" s="496"/>
    </row>
    <row r="11260" spans="1:4" x14ac:dyDescent="0.2">
      <c r="A11260" s="496"/>
      <c r="D11260" s="496"/>
    </row>
    <row r="11261" spans="1:4" x14ac:dyDescent="0.2">
      <c r="A11261" s="496"/>
      <c r="D11261" s="496"/>
    </row>
    <row r="11262" spans="1:4" x14ac:dyDescent="0.2">
      <c r="A11262" s="496"/>
      <c r="D11262" s="496"/>
    </row>
    <row r="11263" spans="1:4" x14ac:dyDescent="0.2">
      <c r="A11263" s="496"/>
      <c r="D11263" s="496"/>
    </row>
    <row r="11264" spans="1:4" x14ac:dyDescent="0.2">
      <c r="A11264" s="496"/>
      <c r="D11264" s="496"/>
    </row>
    <row r="11265" spans="1:4" x14ac:dyDescent="0.2">
      <c r="A11265" s="496"/>
      <c r="D11265" s="496"/>
    </row>
    <row r="11266" spans="1:4" x14ac:dyDescent="0.2">
      <c r="A11266" s="496"/>
      <c r="D11266" s="496"/>
    </row>
    <row r="11267" spans="1:4" x14ac:dyDescent="0.2">
      <c r="A11267" s="496"/>
      <c r="D11267" s="496"/>
    </row>
    <row r="11268" spans="1:4" x14ac:dyDescent="0.2">
      <c r="A11268" s="496"/>
      <c r="D11268" s="496"/>
    </row>
    <row r="11269" spans="1:4" x14ac:dyDescent="0.2">
      <c r="A11269" s="496"/>
      <c r="D11269" s="496"/>
    </row>
    <row r="11270" spans="1:4" x14ac:dyDescent="0.2">
      <c r="A11270" s="496"/>
      <c r="D11270" s="496"/>
    </row>
    <row r="11271" spans="1:4" x14ac:dyDescent="0.2">
      <c r="A11271" s="496"/>
      <c r="D11271" s="496"/>
    </row>
    <row r="11272" spans="1:4" x14ac:dyDescent="0.2">
      <c r="A11272" s="496"/>
      <c r="D11272" s="496"/>
    </row>
    <row r="11273" spans="1:4" x14ac:dyDescent="0.2">
      <c r="A11273" s="496"/>
      <c r="D11273" s="496"/>
    </row>
    <row r="11274" spans="1:4" x14ac:dyDescent="0.2">
      <c r="A11274" s="496"/>
      <c r="D11274" s="496"/>
    </row>
    <row r="11275" spans="1:4" x14ac:dyDescent="0.2">
      <c r="A11275" s="496"/>
      <c r="D11275" s="496"/>
    </row>
    <row r="11276" spans="1:4" x14ac:dyDescent="0.2">
      <c r="A11276" s="496"/>
      <c r="D11276" s="496"/>
    </row>
    <row r="11277" spans="1:4" x14ac:dyDescent="0.2">
      <c r="A11277" s="496"/>
      <c r="D11277" s="496"/>
    </row>
    <row r="11278" spans="1:4" x14ac:dyDescent="0.2">
      <c r="A11278" s="496"/>
      <c r="D11278" s="496"/>
    </row>
    <row r="11279" spans="1:4" x14ac:dyDescent="0.2">
      <c r="A11279" s="496"/>
      <c r="D11279" s="496"/>
    </row>
    <row r="11280" spans="1:4" x14ac:dyDescent="0.2">
      <c r="A11280" s="496"/>
      <c r="D11280" s="496"/>
    </row>
    <row r="11281" spans="1:4" x14ac:dyDescent="0.2">
      <c r="A11281" s="496"/>
      <c r="D11281" s="496"/>
    </row>
    <row r="11282" spans="1:4" x14ac:dyDescent="0.2">
      <c r="A11282" s="496"/>
      <c r="D11282" s="496"/>
    </row>
    <row r="11283" spans="1:4" x14ac:dyDescent="0.2">
      <c r="A11283" s="496"/>
      <c r="D11283" s="496"/>
    </row>
    <row r="11284" spans="1:4" x14ac:dyDescent="0.2">
      <c r="A11284" s="496"/>
      <c r="D11284" s="496"/>
    </row>
    <row r="11285" spans="1:4" x14ac:dyDescent="0.2">
      <c r="A11285" s="496"/>
      <c r="D11285" s="496"/>
    </row>
    <row r="11286" spans="1:4" x14ac:dyDescent="0.2">
      <c r="A11286" s="496"/>
      <c r="D11286" s="496"/>
    </row>
    <row r="11287" spans="1:4" x14ac:dyDescent="0.2">
      <c r="A11287" s="496"/>
      <c r="D11287" s="496"/>
    </row>
    <row r="11288" spans="1:4" x14ac:dyDescent="0.2">
      <c r="A11288" s="496"/>
      <c r="D11288" s="496"/>
    </row>
    <row r="11289" spans="1:4" x14ac:dyDescent="0.2">
      <c r="A11289" s="496"/>
      <c r="D11289" s="496"/>
    </row>
    <row r="11290" spans="1:4" x14ac:dyDescent="0.2">
      <c r="A11290" s="496"/>
      <c r="D11290" s="496"/>
    </row>
    <row r="11291" spans="1:4" x14ac:dyDescent="0.2">
      <c r="A11291" s="496"/>
      <c r="D11291" s="496"/>
    </row>
    <row r="11292" spans="1:4" x14ac:dyDescent="0.2">
      <c r="A11292" s="496"/>
      <c r="D11292" s="496"/>
    </row>
    <row r="11293" spans="1:4" x14ac:dyDescent="0.2">
      <c r="A11293" s="496"/>
      <c r="D11293" s="496"/>
    </row>
    <row r="11294" spans="1:4" x14ac:dyDescent="0.2">
      <c r="A11294" s="496"/>
      <c r="D11294" s="496"/>
    </row>
    <row r="11295" spans="1:4" x14ac:dyDescent="0.2">
      <c r="A11295" s="496"/>
      <c r="D11295" s="496"/>
    </row>
    <row r="11296" spans="1:4" x14ac:dyDescent="0.2">
      <c r="A11296" s="496"/>
      <c r="D11296" s="496"/>
    </row>
    <row r="11297" spans="1:4" x14ac:dyDescent="0.2">
      <c r="A11297" s="496"/>
      <c r="D11297" s="496"/>
    </row>
    <row r="11298" spans="1:4" x14ac:dyDescent="0.2">
      <c r="A11298" s="496"/>
      <c r="D11298" s="496"/>
    </row>
    <row r="11299" spans="1:4" x14ac:dyDescent="0.2">
      <c r="A11299" s="496"/>
      <c r="D11299" s="496"/>
    </row>
    <row r="11300" spans="1:4" x14ac:dyDescent="0.2">
      <c r="A11300" s="496"/>
      <c r="D11300" s="496"/>
    </row>
    <row r="11301" spans="1:4" x14ac:dyDescent="0.2">
      <c r="A11301" s="496"/>
      <c r="D11301" s="496"/>
    </row>
    <row r="11302" spans="1:4" x14ac:dyDescent="0.2">
      <c r="A11302" s="496"/>
      <c r="D11302" s="496"/>
    </row>
    <row r="11303" spans="1:4" x14ac:dyDescent="0.2">
      <c r="A11303" s="496"/>
      <c r="D11303" s="496"/>
    </row>
    <row r="11304" spans="1:4" x14ac:dyDescent="0.2">
      <c r="A11304" s="496"/>
      <c r="D11304" s="496"/>
    </row>
    <row r="11305" spans="1:4" x14ac:dyDescent="0.2">
      <c r="A11305" s="496"/>
      <c r="D11305" s="496"/>
    </row>
    <row r="11306" spans="1:4" x14ac:dyDescent="0.2">
      <c r="A11306" s="496"/>
      <c r="D11306" s="496"/>
    </row>
    <row r="11307" spans="1:4" x14ac:dyDescent="0.2">
      <c r="A11307" s="496"/>
      <c r="D11307" s="496"/>
    </row>
    <row r="11308" spans="1:4" x14ac:dyDescent="0.2">
      <c r="A11308" s="496"/>
      <c r="D11308" s="496"/>
    </row>
    <row r="11309" spans="1:4" x14ac:dyDescent="0.2">
      <c r="A11309" s="496"/>
      <c r="D11309" s="496"/>
    </row>
    <row r="11310" spans="1:4" x14ac:dyDescent="0.2">
      <c r="A11310" s="496"/>
      <c r="D11310" s="496"/>
    </row>
    <row r="11311" spans="1:4" x14ac:dyDescent="0.2">
      <c r="A11311" s="496"/>
      <c r="D11311" s="496"/>
    </row>
    <row r="11312" spans="1:4" x14ac:dyDescent="0.2">
      <c r="A11312" s="496"/>
      <c r="D11312" s="496"/>
    </row>
    <row r="11313" spans="1:4" x14ac:dyDescent="0.2">
      <c r="A11313" s="496"/>
      <c r="D11313" s="496"/>
    </row>
    <row r="11314" spans="1:4" x14ac:dyDescent="0.2">
      <c r="A11314" s="496"/>
      <c r="D11314" s="496"/>
    </row>
    <row r="11315" spans="1:4" x14ac:dyDescent="0.2">
      <c r="A11315" s="496"/>
      <c r="D11315" s="496"/>
    </row>
    <row r="11316" spans="1:4" x14ac:dyDescent="0.2">
      <c r="A11316" s="496"/>
      <c r="D11316" s="496"/>
    </row>
    <row r="11317" spans="1:4" x14ac:dyDescent="0.2">
      <c r="A11317" s="496"/>
      <c r="D11317" s="496"/>
    </row>
    <row r="11318" spans="1:4" x14ac:dyDescent="0.2">
      <c r="A11318" s="496"/>
      <c r="D11318" s="496"/>
    </row>
    <row r="11319" spans="1:4" x14ac:dyDescent="0.2">
      <c r="A11319" s="496"/>
      <c r="D11319" s="496"/>
    </row>
    <row r="11320" spans="1:4" x14ac:dyDescent="0.2">
      <c r="A11320" s="496"/>
      <c r="D11320" s="496"/>
    </row>
    <row r="11321" spans="1:4" x14ac:dyDescent="0.2">
      <c r="A11321" s="496"/>
      <c r="D11321" s="496"/>
    </row>
    <row r="11322" spans="1:4" x14ac:dyDescent="0.2">
      <c r="A11322" s="496"/>
      <c r="D11322" s="496"/>
    </row>
    <row r="11323" spans="1:4" x14ac:dyDescent="0.2">
      <c r="A11323" s="496"/>
      <c r="D11323" s="496"/>
    </row>
    <row r="11324" spans="1:4" x14ac:dyDescent="0.2">
      <c r="A11324" s="496"/>
      <c r="D11324" s="496"/>
    </row>
    <row r="11325" spans="1:4" x14ac:dyDescent="0.2">
      <c r="A11325" s="496"/>
      <c r="D11325" s="496"/>
    </row>
    <row r="11326" spans="1:4" x14ac:dyDescent="0.2">
      <c r="A11326" s="496"/>
      <c r="D11326" s="496"/>
    </row>
    <row r="11327" spans="1:4" x14ac:dyDescent="0.2">
      <c r="A11327" s="496"/>
      <c r="D11327" s="496"/>
    </row>
    <row r="11328" spans="1:4" x14ac:dyDescent="0.2">
      <c r="A11328" s="496"/>
      <c r="D11328" s="496"/>
    </row>
    <row r="11329" spans="1:4" x14ac:dyDescent="0.2">
      <c r="A11329" s="496"/>
      <c r="D11329" s="496"/>
    </row>
    <row r="11330" spans="1:4" x14ac:dyDescent="0.2">
      <c r="A11330" s="496"/>
      <c r="D11330" s="496"/>
    </row>
    <row r="11331" spans="1:4" x14ac:dyDescent="0.2">
      <c r="A11331" s="496"/>
      <c r="D11331" s="496"/>
    </row>
    <row r="11332" spans="1:4" x14ac:dyDescent="0.2">
      <c r="A11332" s="496"/>
      <c r="D11332" s="496"/>
    </row>
    <row r="11333" spans="1:4" x14ac:dyDescent="0.2">
      <c r="A11333" s="496"/>
      <c r="D11333" s="496"/>
    </row>
    <row r="11334" spans="1:4" x14ac:dyDescent="0.2">
      <c r="A11334" s="496"/>
      <c r="D11334" s="496"/>
    </row>
    <row r="11335" spans="1:4" x14ac:dyDescent="0.2">
      <c r="A11335" s="496"/>
      <c r="D11335" s="496"/>
    </row>
    <row r="11336" spans="1:4" x14ac:dyDescent="0.2">
      <c r="A11336" s="496"/>
      <c r="D11336" s="496"/>
    </row>
    <row r="11337" spans="1:4" x14ac:dyDescent="0.2">
      <c r="A11337" s="496"/>
      <c r="D11337" s="496"/>
    </row>
    <row r="11338" spans="1:4" x14ac:dyDescent="0.2">
      <c r="A11338" s="496"/>
      <c r="D11338" s="496"/>
    </row>
    <row r="11339" spans="1:4" x14ac:dyDescent="0.2">
      <c r="A11339" s="496"/>
      <c r="D11339" s="496"/>
    </row>
    <row r="11340" spans="1:4" x14ac:dyDescent="0.2">
      <c r="A11340" s="496"/>
      <c r="D11340" s="496"/>
    </row>
    <row r="11341" spans="1:4" x14ac:dyDescent="0.2">
      <c r="A11341" s="496"/>
      <c r="D11341" s="496"/>
    </row>
    <row r="11342" spans="1:4" x14ac:dyDescent="0.2">
      <c r="A11342" s="496"/>
      <c r="D11342" s="496"/>
    </row>
    <row r="11343" spans="1:4" x14ac:dyDescent="0.2">
      <c r="A11343" s="496"/>
      <c r="D11343" s="496"/>
    </row>
    <row r="11344" spans="1:4" x14ac:dyDescent="0.2">
      <c r="A11344" s="496"/>
      <c r="D11344" s="496"/>
    </row>
    <row r="11345" spans="1:4" x14ac:dyDescent="0.2">
      <c r="A11345" s="496"/>
      <c r="D11345" s="496"/>
    </row>
    <row r="11346" spans="1:4" x14ac:dyDescent="0.2">
      <c r="A11346" s="496"/>
      <c r="D11346" s="496"/>
    </row>
    <row r="11347" spans="1:4" x14ac:dyDescent="0.2">
      <c r="A11347" s="496"/>
      <c r="D11347" s="496"/>
    </row>
    <row r="11348" spans="1:4" x14ac:dyDescent="0.2">
      <c r="A11348" s="496"/>
      <c r="D11348" s="496"/>
    </row>
    <row r="11349" spans="1:4" x14ac:dyDescent="0.2">
      <c r="A11349" s="496"/>
      <c r="D11349" s="496"/>
    </row>
    <row r="11350" spans="1:4" x14ac:dyDescent="0.2">
      <c r="A11350" s="496"/>
      <c r="D11350" s="496"/>
    </row>
    <row r="11351" spans="1:4" x14ac:dyDescent="0.2">
      <c r="A11351" s="496"/>
      <c r="D11351" s="496"/>
    </row>
    <row r="11352" spans="1:4" x14ac:dyDescent="0.2">
      <c r="A11352" s="496"/>
      <c r="D11352" s="496"/>
    </row>
    <row r="11353" spans="1:4" x14ac:dyDescent="0.2">
      <c r="A11353" s="496"/>
      <c r="D11353" s="496"/>
    </row>
    <row r="11354" spans="1:4" x14ac:dyDescent="0.2">
      <c r="A11354" s="496"/>
      <c r="D11354" s="496"/>
    </row>
    <row r="11355" spans="1:4" x14ac:dyDescent="0.2">
      <c r="A11355" s="496"/>
      <c r="D11355" s="496"/>
    </row>
    <row r="11356" spans="1:4" x14ac:dyDescent="0.2">
      <c r="A11356" s="496"/>
      <c r="D11356" s="496"/>
    </row>
    <row r="11357" spans="1:4" x14ac:dyDescent="0.2">
      <c r="A11357" s="496"/>
      <c r="D11357" s="496"/>
    </row>
    <row r="11358" spans="1:4" x14ac:dyDescent="0.2">
      <c r="A11358" s="496"/>
      <c r="D11358" s="496"/>
    </row>
    <row r="11359" spans="1:4" x14ac:dyDescent="0.2">
      <c r="A11359" s="496"/>
      <c r="D11359" s="496"/>
    </row>
    <row r="11360" spans="1:4" x14ac:dyDescent="0.2">
      <c r="A11360" s="496"/>
      <c r="D11360" s="496"/>
    </row>
    <row r="11361" spans="1:4" x14ac:dyDescent="0.2">
      <c r="A11361" s="496"/>
      <c r="D11361" s="496"/>
    </row>
    <row r="11362" spans="1:4" x14ac:dyDescent="0.2">
      <c r="A11362" s="496"/>
      <c r="D11362" s="496"/>
    </row>
    <row r="11363" spans="1:4" x14ac:dyDescent="0.2">
      <c r="A11363" s="496"/>
      <c r="D11363" s="496"/>
    </row>
    <row r="11364" spans="1:4" x14ac:dyDescent="0.2">
      <c r="A11364" s="496"/>
      <c r="D11364" s="496"/>
    </row>
    <row r="11365" spans="1:4" x14ac:dyDescent="0.2">
      <c r="A11365" s="496"/>
      <c r="D11365" s="496"/>
    </row>
    <row r="11366" spans="1:4" x14ac:dyDescent="0.2">
      <c r="A11366" s="496"/>
      <c r="D11366" s="496"/>
    </row>
    <row r="11367" spans="1:4" x14ac:dyDescent="0.2">
      <c r="A11367" s="496"/>
      <c r="D11367" s="496"/>
    </row>
    <row r="11368" spans="1:4" x14ac:dyDescent="0.2">
      <c r="A11368" s="496"/>
      <c r="D11368" s="496"/>
    </row>
    <row r="11369" spans="1:4" x14ac:dyDescent="0.2">
      <c r="A11369" s="496"/>
      <c r="D11369" s="496"/>
    </row>
    <row r="11370" spans="1:4" x14ac:dyDescent="0.2">
      <c r="A11370" s="496"/>
      <c r="D11370" s="496"/>
    </row>
    <row r="11371" spans="1:4" x14ac:dyDescent="0.2">
      <c r="A11371" s="496"/>
      <c r="D11371" s="496"/>
    </row>
    <row r="11372" spans="1:4" x14ac:dyDescent="0.2">
      <c r="A11372" s="496"/>
      <c r="D11372" s="496"/>
    </row>
    <row r="11373" spans="1:4" x14ac:dyDescent="0.2">
      <c r="A11373" s="496"/>
      <c r="D11373" s="496"/>
    </row>
    <row r="11374" spans="1:4" x14ac:dyDescent="0.2">
      <c r="A11374" s="496"/>
      <c r="D11374" s="496"/>
    </row>
    <row r="11375" spans="1:4" x14ac:dyDescent="0.2">
      <c r="A11375" s="496"/>
      <c r="D11375" s="496"/>
    </row>
    <row r="11376" spans="1:4" x14ac:dyDescent="0.2">
      <c r="A11376" s="496"/>
      <c r="D11376" s="496"/>
    </row>
    <row r="11377" spans="1:4" x14ac:dyDescent="0.2">
      <c r="A11377" s="496"/>
      <c r="D11377" s="496"/>
    </row>
    <row r="11378" spans="1:4" x14ac:dyDescent="0.2">
      <c r="A11378" s="496"/>
      <c r="D11378" s="496"/>
    </row>
    <row r="11379" spans="1:4" x14ac:dyDescent="0.2">
      <c r="A11379" s="496"/>
      <c r="D11379" s="496"/>
    </row>
    <row r="11380" spans="1:4" x14ac:dyDescent="0.2">
      <c r="A11380" s="496"/>
      <c r="D11380" s="496"/>
    </row>
    <row r="11381" spans="1:4" x14ac:dyDescent="0.2">
      <c r="A11381" s="496"/>
      <c r="D11381" s="496"/>
    </row>
    <row r="11382" spans="1:4" x14ac:dyDescent="0.2">
      <c r="A11382" s="496"/>
      <c r="D11382" s="496"/>
    </row>
    <row r="11383" spans="1:4" x14ac:dyDescent="0.2">
      <c r="A11383" s="496"/>
      <c r="D11383" s="496"/>
    </row>
    <row r="11384" spans="1:4" x14ac:dyDescent="0.2">
      <c r="A11384" s="496"/>
      <c r="D11384" s="496"/>
    </row>
    <row r="11385" spans="1:4" x14ac:dyDescent="0.2">
      <c r="A11385" s="496"/>
      <c r="D11385" s="496"/>
    </row>
    <row r="11386" spans="1:4" x14ac:dyDescent="0.2">
      <c r="A11386" s="496"/>
      <c r="D11386" s="496"/>
    </row>
    <row r="11387" spans="1:4" x14ac:dyDescent="0.2">
      <c r="A11387" s="496"/>
      <c r="D11387" s="496"/>
    </row>
    <row r="11388" spans="1:4" x14ac:dyDescent="0.2">
      <c r="A11388" s="496"/>
      <c r="D11388" s="496"/>
    </row>
    <row r="11389" spans="1:4" x14ac:dyDescent="0.2">
      <c r="A11389" s="496"/>
      <c r="D11389" s="496"/>
    </row>
    <row r="11390" spans="1:4" x14ac:dyDescent="0.2">
      <c r="A11390" s="496"/>
      <c r="D11390" s="496"/>
    </row>
    <row r="11391" spans="1:4" x14ac:dyDescent="0.2">
      <c r="A11391" s="496"/>
      <c r="D11391" s="496"/>
    </row>
    <row r="11392" spans="1:4" x14ac:dyDescent="0.2">
      <c r="A11392" s="496"/>
      <c r="D11392" s="496"/>
    </row>
    <row r="11393" spans="1:4" x14ac:dyDescent="0.2">
      <c r="A11393" s="496"/>
      <c r="D11393" s="496"/>
    </row>
    <row r="11394" spans="1:4" x14ac:dyDescent="0.2">
      <c r="A11394" s="496"/>
      <c r="D11394" s="496"/>
    </row>
    <row r="11395" spans="1:4" x14ac:dyDescent="0.2">
      <c r="A11395" s="496"/>
      <c r="D11395" s="496"/>
    </row>
    <row r="11396" spans="1:4" x14ac:dyDescent="0.2">
      <c r="A11396" s="496"/>
      <c r="D11396" s="496"/>
    </row>
    <row r="11397" spans="1:4" x14ac:dyDescent="0.2">
      <c r="A11397" s="496"/>
      <c r="D11397" s="496"/>
    </row>
    <row r="11398" spans="1:4" x14ac:dyDescent="0.2">
      <c r="A11398" s="496"/>
      <c r="D11398" s="496"/>
    </row>
    <row r="11399" spans="1:4" x14ac:dyDescent="0.2">
      <c r="A11399" s="496"/>
      <c r="D11399" s="496"/>
    </row>
    <row r="11400" spans="1:4" x14ac:dyDescent="0.2">
      <c r="A11400" s="496"/>
      <c r="D11400" s="496"/>
    </row>
    <row r="11401" spans="1:4" x14ac:dyDescent="0.2">
      <c r="A11401" s="496"/>
      <c r="D11401" s="496"/>
    </row>
    <row r="11402" spans="1:4" x14ac:dyDescent="0.2">
      <c r="A11402" s="496"/>
      <c r="D11402" s="496"/>
    </row>
    <row r="11403" spans="1:4" x14ac:dyDescent="0.2">
      <c r="A11403" s="496"/>
      <c r="D11403" s="496"/>
    </row>
    <row r="11404" spans="1:4" x14ac:dyDescent="0.2">
      <c r="A11404" s="496"/>
      <c r="D11404" s="496"/>
    </row>
    <row r="11405" spans="1:4" x14ac:dyDescent="0.2">
      <c r="A11405" s="496"/>
      <c r="D11405" s="496"/>
    </row>
    <row r="11406" spans="1:4" x14ac:dyDescent="0.2">
      <c r="A11406" s="496"/>
      <c r="D11406" s="496"/>
    </row>
    <row r="11407" spans="1:4" x14ac:dyDescent="0.2">
      <c r="A11407" s="496"/>
      <c r="D11407" s="496"/>
    </row>
    <row r="11408" spans="1:4" x14ac:dyDescent="0.2">
      <c r="A11408" s="496"/>
      <c r="D11408" s="496"/>
    </row>
    <row r="11409" spans="1:4" x14ac:dyDescent="0.2">
      <c r="A11409" s="496"/>
      <c r="D11409" s="496"/>
    </row>
    <row r="11410" spans="1:4" x14ac:dyDescent="0.2">
      <c r="A11410" s="496"/>
      <c r="D11410" s="496"/>
    </row>
    <row r="11411" spans="1:4" x14ac:dyDescent="0.2">
      <c r="A11411" s="496"/>
      <c r="D11411" s="496"/>
    </row>
    <row r="11412" spans="1:4" x14ac:dyDescent="0.2">
      <c r="A11412" s="496"/>
      <c r="D11412" s="496"/>
    </row>
    <row r="11413" spans="1:4" x14ac:dyDescent="0.2">
      <c r="A11413" s="496"/>
      <c r="D11413" s="496"/>
    </row>
    <row r="11414" spans="1:4" x14ac:dyDescent="0.2">
      <c r="A11414" s="496"/>
      <c r="D11414" s="496"/>
    </row>
    <row r="11415" spans="1:4" x14ac:dyDescent="0.2">
      <c r="A11415" s="496"/>
      <c r="D11415" s="496"/>
    </row>
    <row r="11416" spans="1:4" x14ac:dyDescent="0.2">
      <c r="A11416" s="496"/>
      <c r="D11416" s="496"/>
    </row>
    <row r="11417" spans="1:4" x14ac:dyDescent="0.2">
      <c r="A11417" s="496"/>
      <c r="D11417" s="496"/>
    </row>
    <row r="11418" spans="1:4" x14ac:dyDescent="0.2">
      <c r="A11418" s="496"/>
      <c r="D11418" s="496"/>
    </row>
    <row r="11419" spans="1:4" x14ac:dyDescent="0.2">
      <c r="A11419" s="496"/>
      <c r="D11419" s="496"/>
    </row>
    <row r="11420" spans="1:4" x14ac:dyDescent="0.2">
      <c r="A11420" s="496"/>
      <c r="D11420" s="496"/>
    </row>
    <row r="11421" spans="1:4" x14ac:dyDescent="0.2">
      <c r="A11421" s="496"/>
      <c r="D11421" s="496"/>
    </row>
    <row r="11422" spans="1:4" x14ac:dyDescent="0.2">
      <c r="A11422" s="496"/>
      <c r="D11422" s="496"/>
    </row>
    <row r="11423" spans="1:4" x14ac:dyDescent="0.2">
      <c r="A11423" s="496"/>
      <c r="D11423" s="496"/>
    </row>
    <row r="11424" spans="1:4" x14ac:dyDescent="0.2">
      <c r="A11424" s="496"/>
      <c r="D11424" s="496"/>
    </row>
    <row r="11425" spans="1:4" x14ac:dyDescent="0.2">
      <c r="A11425" s="496"/>
      <c r="D11425" s="496"/>
    </row>
    <row r="11426" spans="1:4" x14ac:dyDescent="0.2">
      <c r="A11426" s="496"/>
      <c r="D11426" s="496"/>
    </row>
    <row r="11427" spans="1:4" x14ac:dyDescent="0.2">
      <c r="A11427" s="496"/>
      <c r="D11427" s="496"/>
    </row>
    <row r="11428" spans="1:4" x14ac:dyDescent="0.2">
      <c r="A11428" s="496"/>
      <c r="D11428" s="496"/>
    </row>
    <row r="11429" spans="1:4" x14ac:dyDescent="0.2">
      <c r="A11429" s="496"/>
      <c r="D11429" s="496"/>
    </row>
    <row r="11430" spans="1:4" x14ac:dyDescent="0.2">
      <c r="A11430" s="496"/>
      <c r="D11430" s="496"/>
    </row>
    <row r="11431" spans="1:4" x14ac:dyDescent="0.2">
      <c r="A11431" s="496"/>
      <c r="D11431" s="496"/>
    </row>
    <row r="11432" spans="1:4" x14ac:dyDescent="0.2">
      <c r="A11432" s="496"/>
      <c r="D11432" s="496"/>
    </row>
    <row r="11433" spans="1:4" x14ac:dyDescent="0.2">
      <c r="A11433" s="496"/>
      <c r="D11433" s="496"/>
    </row>
    <row r="11434" spans="1:4" x14ac:dyDescent="0.2">
      <c r="A11434" s="496"/>
      <c r="D11434" s="496"/>
    </row>
    <row r="11435" spans="1:4" x14ac:dyDescent="0.2">
      <c r="A11435" s="496"/>
      <c r="D11435" s="496"/>
    </row>
    <row r="11436" spans="1:4" x14ac:dyDescent="0.2">
      <c r="A11436" s="496"/>
      <c r="D11436" s="496"/>
    </row>
    <row r="11437" spans="1:4" x14ac:dyDescent="0.2">
      <c r="A11437" s="496"/>
      <c r="D11437" s="496"/>
    </row>
    <row r="11438" spans="1:4" x14ac:dyDescent="0.2">
      <c r="A11438" s="496"/>
      <c r="D11438" s="496"/>
    </row>
    <row r="11439" spans="1:4" x14ac:dyDescent="0.2">
      <c r="A11439" s="496"/>
      <c r="D11439" s="496"/>
    </row>
    <row r="11440" spans="1:4" x14ac:dyDescent="0.2">
      <c r="A11440" s="496"/>
      <c r="D11440" s="496"/>
    </row>
    <row r="11441" spans="1:4" x14ac:dyDescent="0.2">
      <c r="A11441" s="496"/>
      <c r="D11441" s="496"/>
    </row>
    <row r="11442" spans="1:4" x14ac:dyDescent="0.2">
      <c r="A11442" s="496"/>
      <c r="D11442" s="496"/>
    </row>
    <row r="11443" spans="1:4" x14ac:dyDescent="0.2">
      <c r="A11443" s="496"/>
      <c r="D11443" s="496"/>
    </row>
    <row r="11444" spans="1:4" x14ac:dyDescent="0.2">
      <c r="A11444" s="496"/>
      <c r="D11444" s="496"/>
    </row>
    <row r="11445" spans="1:4" x14ac:dyDescent="0.2">
      <c r="A11445" s="496"/>
      <c r="D11445" s="496"/>
    </row>
    <row r="11446" spans="1:4" x14ac:dyDescent="0.2">
      <c r="A11446" s="496"/>
      <c r="D11446" s="496"/>
    </row>
    <row r="11447" spans="1:4" x14ac:dyDescent="0.2">
      <c r="A11447" s="496"/>
      <c r="D11447" s="496"/>
    </row>
    <row r="11448" spans="1:4" x14ac:dyDescent="0.2">
      <c r="A11448" s="496"/>
      <c r="D11448" s="496"/>
    </row>
    <row r="11449" spans="1:4" x14ac:dyDescent="0.2">
      <c r="A11449" s="496"/>
      <c r="D11449" s="496"/>
    </row>
    <row r="11450" spans="1:4" x14ac:dyDescent="0.2">
      <c r="A11450" s="496"/>
      <c r="D11450" s="496"/>
    </row>
    <row r="11451" spans="1:4" x14ac:dyDescent="0.2">
      <c r="A11451" s="496"/>
      <c r="D11451" s="496"/>
    </row>
    <row r="11452" spans="1:4" x14ac:dyDescent="0.2">
      <c r="A11452" s="496"/>
      <c r="D11452" s="496"/>
    </row>
    <row r="11453" spans="1:4" x14ac:dyDescent="0.2">
      <c r="A11453" s="496"/>
      <c r="D11453" s="496"/>
    </row>
    <row r="11454" spans="1:4" x14ac:dyDescent="0.2">
      <c r="A11454" s="496"/>
      <c r="D11454" s="496"/>
    </row>
    <row r="11455" spans="1:4" x14ac:dyDescent="0.2">
      <c r="A11455" s="496"/>
      <c r="D11455" s="496"/>
    </row>
    <row r="11456" spans="1:4" x14ac:dyDescent="0.2">
      <c r="A11456" s="496"/>
      <c r="D11456" s="496"/>
    </row>
    <row r="11457" spans="1:4" x14ac:dyDescent="0.2">
      <c r="A11457" s="496"/>
      <c r="D11457" s="496"/>
    </row>
    <row r="11458" spans="1:4" x14ac:dyDescent="0.2">
      <c r="A11458" s="496"/>
      <c r="D11458" s="496"/>
    </row>
    <row r="11459" spans="1:4" x14ac:dyDescent="0.2">
      <c r="A11459" s="496"/>
      <c r="D11459" s="496"/>
    </row>
    <row r="11460" spans="1:4" x14ac:dyDescent="0.2">
      <c r="A11460" s="496"/>
      <c r="D11460" s="496"/>
    </row>
    <row r="11461" spans="1:4" x14ac:dyDescent="0.2">
      <c r="A11461" s="496"/>
      <c r="D11461" s="496"/>
    </row>
    <row r="11462" spans="1:4" x14ac:dyDescent="0.2">
      <c r="A11462" s="496"/>
      <c r="D11462" s="496"/>
    </row>
    <row r="11463" spans="1:4" x14ac:dyDescent="0.2">
      <c r="A11463" s="496"/>
      <c r="D11463" s="496"/>
    </row>
    <row r="11464" spans="1:4" x14ac:dyDescent="0.2">
      <c r="A11464" s="496"/>
      <c r="D11464" s="496"/>
    </row>
    <row r="11465" spans="1:4" x14ac:dyDescent="0.2">
      <c r="A11465" s="496"/>
      <c r="D11465" s="496"/>
    </row>
    <row r="11466" spans="1:4" x14ac:dyDescent="0.2">
      <c r="A11466" s="496"/>
      <c r="D11466" s="496"/>
    </row>
    <row r="11467" spans="1:4" x14ac:dyDescent="0.2">
      <c r="A11467" s="496"/>
      <c r="D11467" s="496"/>
    </row>
    <row r="11468" spans="1:4" x14ac:dyDescent="0.2">
      <c r="A11468" s="496"/>
      <c r="D11468" s="496"/>
    </row>
    <row r="11469" spans="1:4" x14ac:dyDescent="0.2">
      <c r="A11469" s="496"/>
      <c r="D11469" s="496"/>
    </row>
    <row r="11470" spans="1:4" x14ac:dyDescent="0.2">
      <c r="A11470" s="496"/>
      <c r="D11470" s="496"/>
    </row>
    <row r="11471" spans="1:4" x14ac:dyDescent="0.2">
      <c r="A11471" s="496"/>
      <c r="D11471" s="496"/>
    </row>
    <row r="11472" spans="1:4" x14ac:dyDescent="0.2">
      <c r="A11472" s="496"/>
      <c r="D11472" s="496"/>
    </row>
    <row r="11473" spans="1:4" x14ac:dyDescent="0.2">
      <c r="A11473" s="496"/>
      <c r="D11473" s="496"/>
    </row>
    <row r="11474" spans="1:4" x14ac:dyDescent="0.2">
      <c r="A11474" s="496"/>
      <c r="D11474" s="496"/>
    </row>
    <row r="11475" spans="1:4" x14ac:dyDescent="0.2">
      <c r="A11475" s="496"/>
      <c r="D11475" s="496"/>
    </row>
    <row r="11476" spans="1:4" x14ac:dyDescent="0.2">
      <c r="A11476" s="496"/>
      <c r="D11476" s="496"/>
    </row>
    <row r="11477" spans="1:4" x14ac:dyDescent="0.2">
      <c r="A11477" s="496"/>
      <c r="D11477" s="496"/>
    </row>
    <row r="11478" spans="1:4" x14ac:dyDescent="0.2">
      <c r="A11478" s="496"/>
      <c r="D11478" s="496"/>
    </row>
    <row r="11479" spans="1:4" x14ac:dyDescent="0.2">
      <c r="A11479" s="496"/>
      <c r="D11479" s="496"/>
    </row>
    <row r="11480" spans="1:4" x14ac:dyDescent="0.2">
      <c r="A11480" s="496"/>
      <c r="D11480" s="496"/>
    </row>
    <row r="11481" spans="1:4" x14ac:dyDescent="0.2">
      <c r="A11481" s="496"/>
      <c r="D11481" s="496"/>
    </row>
    <row r="11482" spans="1:4" x14ac:dyDescent="0.2">
      <c r="A11482" s="496"/>
      <c r="D11482" s="496"/>
    </row>
    <row r="11483" spans="1:4" x14ac:dyDescent="0.2">
      <c r="A11483" s="496"/>
      <c r="D11483" s="496"/>
    </row>
    <row r="11484" spans="1:4" x14ac:dyDescent="0.2">
      <c r="A11484" s="496"/>
      <c r="D11484" s="496"/>
    </row>
    <row r="11485" spans="1:4" x14ac:dyDescent="0.2">
      <c r="A11485" s="496"/>
      <c r="D11485" s="496"/>
    </row>
    <row r="11486" spans="1:4" x14ac:dyDescent="0.2">
      <c r="A11486" s="496"/>
      <c r="D11486" s="496"/>
    </row>
    <row r="11487" spans="1:4" x14ac:dyDescent="0.2">
      <c r="A11487" s="496"/>
      <c r="D11487" s="496"/>
    </row>
    <row r="11488" spans="1:4" x14ac:dyDescent="0.2">
      <c r="A11488" s="496"/>
      <c r="D11488" s="496"/>
    </row>
    <row r="11489" spans="1:4" x14ac:dyDescent="0.2">
      <c r="A11489" s="496"/>
      <c r="D11489" s="496"/>
    </row>
    <row r="11490" spans="1:4" x14ac:dyDescent="0.2">
      <c r="A11490" s="496"/>
      <c r="D11490" s="496"/>
    </row>
    <row r="11491" spans="1:4" x14ac:dyDescent="0.2">
      <c r="A11491" s="496"/>
      <c r="D11491" s="496"/>
    </row>
    <row r="11492" spans="1:4" x14ac:dyDescent="0.2">
      <c r="A11492" s="496"/>
      <c r="D11492" s="496"/>
    </row>
    <row r="11493" spans="1:4" x14ac:dyDescent="0.2">
      <c r="A11493" s="496"/>
      <c r="D11493" s="496"/>
    </row>
    <row r="11494" spans="1:4" x14ac:dyDescent="0.2">
      <c r="A11494" s="496"/>
      <c r="D11494" s="496"/>
    </row>
    <row r="11495" spans="1:4" x14ac:dyDescent="0.2">
      <c r="A11495" s="496"/>
      <c r="D11495" s="496"/>
    </row>
    <row r="11496" spans="1:4" x14ac:dyDescent="0.2">
      <c r="A11496" s="496"/>
      <c r="D11496" s="496"/>
    </row>
    <row r="11497" spans="1:4" x14ac:dyDescent="0.2">
      <c r="A11497" s="496"/>
      <c r="D11497" s="496"/>
    </row>
    <row r="11498" spans="1:4" x14ac:dyDescent="0.2">
      <c r="A11498" s="496"/>
      <c r="D11498" s="496"/>
    </row>
    <row r="11499" spans="1:4" x14ac:dyDescent="0.2">
      <c r="A11499" s="496"/>
      <c r="D11499" s="496"/>
    </row>
    <row r="11500" spans="1:4" x14ac:dyDescent="0.2">
      <c r="A11500" s="496"/>
      <c r="D11500" s="496"/>
    </row>
    <row r="11501" spans="1:4" x14ac:dyDescent="0.2">
      <c r="A11501" s="496"/>
      <c r="D11501" s="496"/>
    </row>
    <row r="11502" spans="1:4" x14ac:dyDescent="0.2">
      <c r="A11502" s="496"/>
      <c r="D11502" s="496"/>
    </row>
    <row r="11503" spans="1:4" x14ac:dyDescent="0.2">
      <c r="A11503" s="496"/>
      <c r="D11503" s="496"/>
    </row>
    <row r="11504" spans="1:4" x14ac:dyDescent="0.2">
      <c r="A11504" s="496"/>
      <c r="D11504" s="496"/>
    </row>
    <row r="11505" spans="1:4" x14ac:dyDescent="0.2">
      <c r="A11505" s="496"/>
      <c r="D11505" s="496"/>
    </row>
    <row r="11506" spans="1:4" x14ac:dyDescent="0.2">
      <c r="A11506" s="496"/>
      <c r="D11506" s="496"/>
    </row>
    <row r="11507" spans="1:4" x14ac:dyDescent="0.2">
      <c r="A11507" s="496"/>
      <c r="D11507" s="496"/>
    </row>
    <row r="11508" spans="1:4" x14ac:dyDescent="0.2">
      <c r="A11508" s="496"/>
      <c r="D11508" s="496"/>
    </row>
    <row r="11509" spans="1:4" x14ac:dyDescent="0.2">
      <c r="A11509" s="496"/>
      <c r="D11509" s="496"/>
    </row>
    <row r="11510" spans="1:4" x14ac:dyDescent="0.2">
      <c r="A11510" s="496"/>
      <c r="D11510" s="496"/>
    </row>
    <row r="11511" spans="1:4" x14ac:dyDescent="0.2">
      <c r="A11511" s="496"/>
      <c r="D11511" s="496"/>
    </row>
    <row r="11512" spans="1:4" x14ac:dyDescent="0.2">
      <c r="A11512" s="496"/>
      <c r="D11512" s="496"/>
    </row>
    <row r="11513" spans="1:4" x14ac:dyDescent="0.2">
      <c r="A11513" s="496"/>
      <c r="D11513" s="496"/>
    </row>
    <row r="11514" spans="1:4" x14ac:dyDescent="0.2">
      <c r="A11514" s="496"/>
      <c r="D11514" s="496"/>
    </row>
    <row r="11515" spans="1:4" x14ac:dyDescent="0.2">
      <c r="A11515" s="496"/>
      <c r="D11515" s="496"/>
    </row>
    <row r="11516" spans="1:4" x14ac:dyDescent="0.2">
      <c r="A11516" s="496"/>
      <c r="D11516" s="496"/>
    </row>
    <row r="11517" spans="1:4" x14ac:dyDescent="0.2">
      <c r="A11517" s="496"/>
      <c r="D11517" s="496"/>
    </row>
    <row r="11518" spans="1:4" x14ac:dyDescent="0.2">
      <c r="A11518" s="496"/>
      <c r="D11518" s="496"/>
    </row>
    <row r="11519" spans="1:4" x14ac:dyDescent="0.2">
      <c r="A11519" s="496"/>
      <c r="D11519" s="496"/>
    </row>
    <row r="11520" spans="1:4" x14ac:dyDescent="0.2">
      <c r="A11520" s="496"/>
      <c r="D11520" s="496"/>
    </row>
    <row r="11521" spans="1:4" x14ac:dyDescent="0.2">
      <c r="A11521" s="496"/>
      <c r="D11521" s="496"/>
    </row>
    <row r="11522" spans="1:4" x14ac:dyDescent="0.2">
      <c r="A11522" s="496"/>
      <c r="D11522" s="496"/>
    </row>
    <row r="11523" spans="1:4" x14ac:dyDescent="0.2">
      <c r="A11523" s="496"/>
      <c r="D11523" s="496"/>
    </row>
    <row r="11524" spans="1:4" x14ac:dyDescent="0.2">
      <c r="A11524" s="496"/>
      <c r="D11524" s="496"/>
    </row>
    <row r="11525" spans="1:4" x14ac:dyDescent="0.2">
      <c r="A11525" s="496"/>
      <c r="D11525" s="496"/>
    </row>
    <row r="11526" spans="1:4" x14ac:dyDescent="0.2">
      <c r="A11526" s="496"/>
      <c r="D11526" s="496"/>
    </row>
    <row r="11527" spans="1:4" x14ac:dyDescent="0.2">
      <c r="A11527" s="496"/>
      <c r="D11527" s="496"/>
    </row>
    <row r="11528" spans="1:4" x14ac:dyDescent="0.2">
      <c r="A11528" s="496"/>
      <c r="D11528" s="496"/>
    </row>
    <row r="11529" spans="1:4" x14ac:dyDescent="0.2">
      <c r="A11529" s="496"/>
      <c r="D11529" s="496"/>
    </row>
    <row r="11530" spans="1:4" x14ac:dyDescent="0.2">
      <c r="A11530" s="496"/>
      <c r="D11530" s="496"/>
    </row>
    <row r="11531" spans="1:4" x14ac:dyDescent="0.2">
      <c r="A11531" s="496"/>
      <c r="D11531" s="496"/>
    </row>
    <row r="11532" spans="1:4" x14ac:dyDescent="0.2">
      <c r="A11532" s="496"/>
      <c r="D11532" s="496"/>
    </row>
    <row r="11533" spans="1:4" x14ac:dyDescent="0.2">
      <c r="A11533" s="496"/>
      <c r="D11533" s="496"/>
    </row>
    <row r="11534" spans="1:4" x14ac:dyDescent="0.2">
      <c r="A11534" s="496"/>
      <c r="D11534" s="496"/>
    </row>
    <row r="11535" spans="1:4" x14ac:dyDescent="0.2">
      <c r="A11535" s="496"/>
      <c r="D11535" s="496"/>
    </row>
    <row r="11536" spans="1:4" x14ac:dyDescent="0.2">
      <c r="A11536" s="496"/>
      <c r="D11536" s="496"/>
    </row>
    <row r="11537" spans="1:4" x14ac:dyDescent="0.2">
      <c r="A11537" s="496"/>
      <c r="D11537" s="496"/>
    </row>
    <row r="11538" spans="1:4" x14ac:dyDescent="0.2">
      <c r="A11538" s="496"/>
      <c r="D11538" s="496"/>
    </row>
    <row r="11539" spans="1:4" x14ac:dyDescent="0.2">
      <c r="A11539" s="496"/>
      <c r="D11539" s="496"/>
    </row>
    <row r="11540" spans="1:4" x14ac:dyDescent="0.2">
      <c r="A11540" s="496"/>
      <c r="D11540" s="496"/>
    </row>
    <row r="11541" spans="1:4" x14ac:dyDescent="0.2">
      <c r="A11541" s="496"/>
      <c r="D11541" s="496"/>
    </row>
    <row r="11542" spans="1:4" x14ac:dyDescent="0.2">
      <c r="A11542" s="496"/>
      <c r="D11542" s="496"/>
    </row>
    <row r="11543" spans="1:4" x14ac:dyDescent="0.2">
      <c r="A11543" s="496"/>
      <c r="D11543" s="496"/>
    </row>
    <row r="11544" spans="1:4" x14ac:dyDescent="0.2">
      <c r="A11544" s="496"/>
      <c r="D11544" s="496"/>
    </row>
    <row r="11545" spans="1:4" x14ac:dyDescent="0.2">
      <c r="A11545" s="496"/>
      <c r="D11545" s="496"/>
    </row>
    <row r="11546" spans="1:4" x14ac:dyDescent="0.2">
      <c r="A11546" s="496"/>
      <c r="D11546" s="496"/>
    </row>
    <row r="11547" spans="1:4" x14ac:dyDescent="0.2">
      <c r="A11547" s="496"/>
      <c r="D11547" s="496"/>
    </row>
    <row r="11548" spans="1:4" x14ac:dyDescent="0.2">
      <c r="A11548" s="496"/>
      <c r="D11548" s="496"/>
    </row>
    <row r="11549" spans="1:4" x14ac:dyDescent="0.2">
      <c r="A11549" s="496"/>
      <c r="D11549" s="496"/>
    </row>
    <row r="11550" spans="1:4" x14ac:dyDescent="0.2">
      <c r="A11550" s="496"/>
      <c r="D11550" s="496"/>
    </row>
    <row r="11551" spans="1:4" x14ac:dyDescent="0.2">
      <c r="A11551" s="496"/>
      <c r="D11551" s="496"/>
    </row>
    <row r="11552" spans="1:4" x14ac:dyDescent="0.2">
      <c r="A11552" s="496"/>
      <c r="D11552" s="496"/>
    </row>
    <row r="11553" spans="1:4" x14ac:dyDescent="0.2">
      <c r="A11553" s="496"/>
      <c r="D11553" s="496"/>
    </row>
    <row r="11554" spans="1:4" x14ac:dyDescent="0.2">
      <c r="A11554" s="496"/>
      <c r="D11554" s="496"/>
    </row>
    <row r="11555" spans="1:4" x14ac:dyDescent="0.2">
      <c r="A11555" s="496"/>
      <c r="D11555" s="496"/>
    </row>
    <row r="11556" spans="1:4" x14ac:dyDescent="0.2">
      <c r="A11556" s="496"/>
      <c r="D11556" s="496"/>
    </row>
    <row r="11557" spans="1:4" x14ac:dyDescent="0.2">
      <c r="A11557" s="496"/>
      <c r="D11557" s="496"/>
    </row>
    <row r="11558" spans="1:4" x14ac:dyDescent="0.2">
      <c r="A11558" s="496"/>
      <c r="D11558" s="496"/>
    </row>
    <row r="11559" spans="1:4" x14ac:dyDescent="0.2">
      <c r="A11559" s="496"/>
      <c r="D11559" s="496"/>
    </row>
    <row r="11560" spans="1:4" x14ac:dyDescent="0.2">
      <c r="A11560" s="496"/>
      <c r="D11560" s="496"/>
    </row>
    <row r="11561" spans="1:4" x14ac:dyDescent="0.2">
      <c r="A11561" s="496"/>
      <c r="D11561" s="496"/>
    </row>
    <row r="11562" spans="1:4" x14ac:dyDescent="0.2">
      <c r="A11562" s="496"/>
      <c r="D11562" s="496"/>
    </row>
    <row r="11563" spans="1:4" x14ac:dyDescent="0.2">
      <c r="A11563" s="496"/>
      <c r="D11563" s="496"/>
    </row>
    <row r="11564" spans="1:4" x14ac:dyDescent="0.2">
      <c r="A11564" s="496"/>
      <c r="D11564" s="496"/>
    </row>
    <row r="11565" spans="1:4" x14ac:dyDescent="0.2">
      <c r="A11565" s="496"/>
      <c r="D11565" s="496"/>
    </row>
    <row r="11566" spans="1:4" x14ac:dyDescent="0.2">
      <c r="A11566" s="496"/>
      <c r="D11566" s="496"/>
    </row>
    <row r="11567" spans="1:4" x14ac:dyDescent="0.2">
      <c r="A11567" s="496"/>
      <c r="D11567" s="496"/>
    </row>
    <row r="11568" spans="1:4" x14ac:dyDescent="0.2">
      <c r="A11568" s="496"/>
      <c r="D11568" s="496"/>
    </row>
    <row r="11569" spans="1:4" x14ac:dyDescent="0.2">
      <c r="A11569" s="496"/>
      <c r="D11569" s="496"/>
    </row>
    <row r="11570" spans="1:4" x14ac:dyDescent="0.2">
      <c r="A11570" s="496"/>
      <c r="D11570" s="496"/>
    </row>
    <row r="11571" spans="1:4" x14ac:dyDescent="0.2">
      <c r="A11571" s="496"/>
      <c r="D11571" s="496"/>
    </row>
    <row r="11572" spans="1:4" x14ac:dyDescent="0.2">
      <c r="A11572" s="496"/>
      <c r="D11572" s="496"/>
    </row>
    <row r="11573" spans="1:4" x14ac:dyDescent="0.2">
      <c r="A11573" s="496"/>
      <c r="D11573" s="496"/>
    </row>
    <row r="11574" spans="1:4" x14ac:dyDescent="0.2">
      <c r="A11574" s="496"/>
      <c r="D11574" s="496"/>
    </row>
    <row r="11575" spans="1:4" x14ac:dyDescent="0.2">
      <c r="A11575" s="496"/>
      <c r="D11575" s="496"/>
    </row>
    <row r="11576" spans="1:4" x14ac:dyDescent="0.2">
      <c r="A11576" s="496"/>
      <c r="D11576" s="496"/>
    </row>
    <row r="11577" spans="1:4" x14ac:dyDescent="0.2">
      <c r="A11577" s="496"/>
      <c r="D11577" s="496"/>
    </row>
    <row r="11578" spans="1:4" x14ac:dyDescent="0.2">
      <c r="A11578" s="496"/>
      <c r="D11578" s="496"/>
    </row>
    <row r="11579" spans="1:4" x14ac:dyDescent="0.2">
      <c r="A11579" s="496"/>
      <c r="D11579" s="496"/>
    </row>
    <row r="11580" spans="1:4" x14ac:dyDescent="0.2">
      <c r="A11580" s="496"/>
      <c r="D11580" s="496"/>
    </row>
    <row r="11581" spans="1:4" x14ac:dyDescent="0.2">
      <c r="A11581" s="496"/>
      <c r="D11581" s="496"/>
    </row>
    <row r="11582" spans="1:4" x14ac:dyDescent="0.2">
      <c r="A11582" s="496"/>
      <c r="D11582" s="496"/>
    </row>
    <row r="11583" spans="1:4" x14ac:dyDescent="0.2">
      <c r="A11583" s="496"/>
      <c r="D11583" s="496"/>
    </row>
    <row r="11584" spans="1:4" x14ac:dyDescent="0.2">
      <c r="A11584" s="496"/>
      <c r="D11584" s="496"/>
    </row>
    <row r="11585" spans="1:4" x14ac:dyDescent="0.2">
      <c r="A11585" s="496"/>
      <c r="D11585" s="496"/>
    </row>
    <row r="11586" spans="1:4" x14ac:dyDescent="0.2">
      <c r="A11586" s="496"/>
      <c r="D11586" s="496"/>
    </row>
    <row r="11587" spans="1:4" x14ac:dyDescent="0.2">
      <c r="A11587" s="496"/>
      <c r="D11587" s="496"/>
    </row>
    <row r="11588" spans="1:4" x14ac:dyDescent="0.2">
      <c r="A11588" s="496"/>
      <c r="D11588" s="496"/>
    </row>
    <row r="11589" spans="1:4" x14ac:dyDescent="0.2">
      <c r="A11589" s="496"/>
      <c r="D11589" s="496"/>
    </row>
    <row r="11590" spans="1:4" x14ac:dyDescent="0.2">
      <c r="A11590" s="496"/>
      <c r="D11590" s="496"/>
    </row>
    <row r="11591" spans="1:4" x14ac:dyDescent="0.2">
      <c r="A11591" s="496"/>
      <c r="D11591" s="496"/>
    </row>
    <row r="11592" spans="1:4" x14ac:dyDescent="0.2">
      <c r="A11592" s="496"/>
      <c r="D11592" s="496"/>
    </row>
    <row r="11593" spans="1:4" x14ac:dyDescent="0.2">
      <c r="A11593" s="496"/>
      <c r="D11593" s="496"/>
    </row>
    <row r="11594" spans="1:4" x14ac:dyDescent="0.2">
      <c r="A11594" s="496"/>
      <c r="D11594" s="496"/>
    </row>
    <row r="11595" spans="1:4" x14ac:dyDescent="0.2">
      <c r="A11595" s="496"/>
      <c r="D11595" s="496"/>
    </row>
    <row r="11596" spans="1:4" x14ac:dyDescent="0.2">
      <c r="A11596" s="496"/>
      <c r="D11596" s="496"/>
    </row>
    <row r="11597" spans="1:4" x14ac:dyDescent="0.2">
      <c r="A11597" s="496"/>
      <c r="D11597" s="496"/>
    </row>
    <row r="11598" spans="1:4" x14ac:dyDescent="0.2">
      <c r="A11598" s="496"/>
      <c r="D11598" s="496"/>
    </row>
    <row r="11599" spans="1:4" x14ac:dyDescent="0.2">
      <c r="A11599" s="496"/>
      <c r="D11599" s="496"/>
    </row>
    <row r="11600" spans="1:4" x14ac:dyDescent="0.2">
      <c r="A11600" s="496"/>
      <c r="D11600" s="496"/>
    </row>
    <row r="11601" spans="1:4" x14ac:dyDescent="0.2">
      <c r="A11601" s="496"/>
      <c r="D11601" s="496"/>
    </row>
    <row r="11602" spans="1:4" x14ac:dyDescent="0.2">
      <c r="A11602" s="496"/>
      <c r="D11602" s="496"/>
    </row>
    <row r="11603" spans="1:4" x14ac:dyDescent="0.2">
      <c r="A11603" s="496"/>
      <c r="D11603" s="496"/>
    </row>
    <row r="11604" spans="1:4" x14ac:dyDescent="0.2">
      <c r="A11604" s="496"/>
      <c r="D11604" s="496"/>
    </row>
    <row r="11605" spans="1:4" x14ac:dyDescent="0.2">
      <c r="A11605" s="496"/>
      <c r="D11605" s="496"/>
    </row>
    <row r="11606" spans="1:4" x14ac:dyDescent="0.2">
      <c r="A11606" s="496"/>
      <c r="D11606" s="496"/>
    </row>
    <row r="11607" spans="1:4" x14ac:dyDescent="0.2">
      <c r="A11607" s="496"/>
      <c r="D11607" s="496"/>
    </row>
    <row r="11608" spans="1:4" x14ac:dyDescent="0.2">
      <c r="A11608" s="496"/>
      <c r="D11608" s="496"/>
    </row>
    <row r="11609" spans="1:4" x14ac:dyDescent="0.2">
      <c r="A11609" s="496"/>
      <c r="D11609" s="496"/>
    </row>
    <row r="11610" spans="1:4" x14ac:dyDescent="0.2">
      <c r="A11610" s="496"/>
      <c r="D11610" s="496"/>
    </row>
    <row r="11611" spans="1:4" x14ac:dyDescent="0.2">
      <c r="A11611" s="496"/>
      <c r="D11611" s="496"/>
    </row>
    <row r="11612" spans="1:4" x14ac:dyDescent="0.2">
      <c r="A11612" s="496"/>
      <c r="D11612" s="496"/>
    </row>
    <row r="11613" spans="1:4" x14ac:dyDescent="0.2">
      <c r="A11613" s="496"/>
      <c r="D11613" s="496"/>
    </row>
    <row r="11614" spans="1:4" x14ac:dyDescent="0.2">
      <c r="A11614" s="496"/>
      <c r="D11614" s="496"/>
    </row>
    <row r="11615" spans="1:4" x14ac:dyDescent="0.2">
      <c r="A11615" s="496"/>
      <c r="D11615" s="496"/>
    </row>
    <row r="11616" spans="1:4" x14ac:dyDescent="0.2">
      <c r="A11616" s="496"/>
      <c r="D11616" s="496"/>
    </row>
    <row r="11617" spans="1:4" x14ac:dyDescent="0.2">
      <c r="A11617" s="496"/>
      <c r="D11617" s="496"/>
    </row>
    <row r="11618" spans="1:4" x14ac:dyDescent="0.2">
      <c r="A11618" s="496"/>
      <c r="D11618" s="496"/>
    </row>
    <row r="11619" spans="1:4" x14ac:dyDescent="0.2">
      <c r="A11619" s="496"/>
      <c r="D11619" s="496"/>
    </row>
    <row r="11620" spans="1:4" x14ac:dyDescent="0.2">
      <c r="A11620" s="496"/>
      <c r="D11620" s="496"/>
    </row>
    <row r="11621" spans="1:4" x14ac:dyDescent="0.2">
      <c r="A11621" s="496"/>
      <c r="D11621" s="496"/>
    </row>
    <row r="11622" spans="1:4" x14ac:dyDescent="0.2">
      <c r="A11622" s="496"/>
      <c r="D11622" s="496"/>
    </row>
    <row r="11623" spans="1:4" x14ac:dyDescent="0.2">
      <c r="A11623" s="496"/>
      <c r="D11623" s="496"/>
    </row>
    <row r="11624" spans="1:4" x14ac:dyDescent="0.2">
      <c r="A11624" s="496"/>
      <c r="D11624" s="496"/>
    </row>
    <row r="11625" spans="1:4" x14ac:dyDescent="0.2">
      <c r="A11625" s="496"/>
      <c r="D11625" s="496"/>
    </row>
    <row r="11626" spans="1:4" x14ac:dyDescent="0.2">
      <c r="A11626" s="496"/>
      <c r="D11626" s="496"/>
    </row>
    <row r="11627" spans="1:4" x14ac:dyDescent="0.2">
      <c r="A11627" s="496"/>
      <c r="D11627" s="496"/>
    </row>
    <row r="11628" spans="1:4" x14ac:dyDescent="0.2">
      <c r="A11628" s="496"/>
      <c r="D11628" s="496"/>
    </row>
    <row r="11629" spans="1:4" x14ac:dyDescent="0.2">
      <c r="A11629" s="496"/>
      <c r="D11629" s="496"/>
    </row>
    <row r="11630" spans="1:4" x14ac:dyDescent="0.2">
      <c r="A11630" s="496"/>
      <c r="D11630" s="496"/>
    </row>
    <row r="11631" spans="1:4" x14ac:dyDescent="0.2">
      <c r="A11631" s="496"/>
      <c r="D11631" s="496"/>
    </row>
    <row r="11632" spans="1:4" x14ac:dyDescent="0.2">
      <c r="A11632" s="496"/>
      <c r="D11632" s="496"/>
    </row>
    <row r="11633" spans="1:4" x14ac:dyDescent="0.2">
      <c r="A11633" s="496"/>
      <c r="D11633" s="496"/>
    </row>
    <row r="11634" spans="1:4" x14ac:dyDescent="0.2">
      <c r="A11634" s="496"/>
      <c r="D11634" s="496"/>
    </row>
    <row r="11635" spans="1:4" x14ac:dyDescent="0.2">
      <c r="A11635" s="496"/>
      <c r="D11635" s="496"/>
    </row>
    <row r="11636" spans="1:4" x14ac:dyDescent="0.2">
      <c r="A11636" s="496"/>
      <c r="D11636" s="496"/>
    </row>
    <row r="11637" spans="1:4" x14ac:dyDescent="0.2">
      <c r="A11637" s="496"/>
      <c r="D11637" s="496"/>
    </row>
    <row r="11638" spans="1:4" x14ac:dyDescent="0.2">
      <c r="A11638" s="496"/>
      <c r="D11638" s="496"/>
    </row>
    <row r="11639" spans="1:4" x14ac:dyDescent="0.2">
      <c r="A11639" s="496"/>
      <c r="D11639" s="496"/>
    </row>
    <row r="11640" spans="1:4" x14ac:dyDescent="0.2">
      <c r="A11640" s="496"/>
      <c r="D11640" s="496"/>
    </row>
    <row r="11641" spans="1:4" x14ac:dyDescent="0.2">
      <c r="A11641" s="496"/>
      <c r="D11641" s="496"/>
    </row>
    <row r="11642" spans="1:4" x14ac:dyDescent="0.2">
      <c r="A11642" s="496"/>
      <c r="D11642" s="496"/>
    </row>
    <row r="11643" spans="1:4" x14ac:dyDescent="0.2">
      <c r="A11643" s="496"/>
      <c r="D11643" s="496"/>
    </row>
    <row r="11644" spans="1:4" x14ac:dyDescent="0.2">
      <c r="A11644" s="496"/>
      <c r="D11644" s="496"/>
    </row>
    <row r="11645" spans="1:4" x14ac:dyDescent="0.2">
      <c r="A11645" s="496"/>
      <c r="D11645" s="496"/>
    </row>
    <row r="11646" spans="1:4" x14ac:dyDescent="0.2">
      <c r="A11646" s="496"/>
      <c r="D11646" s="496"/>
    </row>
    <row r="11647" spans="1:4" x14ac:dyDescent="0.2">
      <c r="A11647" s="496"/>
      <c r="D11647" s="496"/>
    </row>
    <row r="11648" spans="1:4" x14ac:dyDescent="0.2">
      <c r="A11648" s="496"/>
      <c r="D11648" s="496"/>
    </row>
    <row r="11649" spans="1:4" x14ac:dyDescent="0.2">
      <c r="A11649" s="496"/>
      <c r="D11649" s="496"/>
    </row>
    <row r="11650" spans="1:4" x14ac:dyDescent="0.2">
      <c r="A11650" s="496"/>
      <c r="D11650" s="496"/>
    </row>
    <row r="11651" spans="1:4" x14ac:dyDescent="0.2">
      <c r="A11651" s="496"/>
      <c r="D11651" s="496"/>
    </row>
    <row r="11652" spans="1:4" x14ac:dyDescent="0.2">
      <c r="A11652" s="496"/>
      <c r="D11652" s="496"/>
    </row>
    <row r="11653" spans="1:4" x14ac:dyDescent="0.2">
      <c r="A11653" s="496"/>
      <c r="D11653" s="496"/>
    </row>
    <row r="11654" spans="1:4" x14ac:dyDescent="0.2">
      <c r="A11654" s="496"/>
      <c r="D11654" s="496"/>
    </row>
    <row r="11655" spans="1:4" x14ac:dyDescent="0.2">
      <c r="A11655" s="496"/>
      <c r="D11655" s="496"/>
    </row>
    <row r="11656" spans="1:4" x14ac:dyDescent="0.2">
      <c r="A11656" s="496"/>
      <c r="D11656" s="496"/>
    </row>
    <row r="11657" spans="1:4" x14ac:dyDescent="0.2">
      <c r="A11657" s="496"/>
      <c r="D11657" s="496"/>
    </row>
    <row r="11658" spans="1:4" x14ac:dyDescent="0.2">
      <c r="A11658" s="496"/>
      <c r="D11658" s="496"/>
    </row>
    <row r="11659" spans="1:4" x14ac:dyDescent="0.2">
      <c r="A11659" s="496"/>
      <c r="D11659" s="496"/>
    </row>
    <row r="11660" spans="1:4" x14ac:dyDescent="0.2">
      <c r="A11660" s="496"/>
      <c r="D11660" s="496"/>
    </row>
    <row r="11661" spans="1:4" x14ac:dyDescent="0.2">
      <c r="A11661" s="496"/>
      <c r="D11661" s="496"/>
    </row>
    <row r="11662" spans="1:4" x14ac:dyDescent="0.2">
      <c r="A11662" s="496"/>
      <c r="D11662" s="496"/>
    </row>
    <row r="11663" spans="1:4" x14ac:dyDescent="0.2">
      <c r="A11663" s="496"/>
      <c r="D11663" s="496"/>
    </row>
    <row r="11664" spans="1:4" x14ac:dyDescent="0.2">
      <c r="A11664" s="496"/>
      <c r="D11664" s="496"/>
    </row>
    <row r="11665" spans="1:4" x14ac:dyDescent="0.2">
      <c r="A11665" s="496"/>
      <c r="D11665" s="496"/>
    </row>
    <row r="11666" spans="1:4" x14ac:dyDescent="0.2">
      <c r="A11666" s="496"/>
      <c r="D11666" s="496"/>
    </row>
    <row r="11667" spans="1:4" x14ac:dyDescent="0.2">
      <c r="A11667" s="496"/>
      <c r="D11667" s="496"/>
    </row>
    <row r="11668" spans="1:4" x14ac:dyDescent="0.2">
      <c r="A11668" s="496"/>
      <c r="D11668" s="496"/>
    </row>
    <row r="11669" spans="1:4" x14ac:dyDescent="0.2">
      <c r="A11669" s="496"/>
      <c r="D11669" s="496"/>
    </row>
    <row r="11670" spans="1:4" x14ac:dyDescent="0.2">
      <c r="A11670" s="496"/>
      <c r="D11670" s="496"/>
    </row>
    <row r="11671" spans="1:4" x14ac:dyDescent="0.2">
      <c r="A11671" s="496"/>
      <c r="D11671" s="496"/>
    </row>
    <row r="11672" spans="1:4" x14ac:dyDescent="0.2">
      <c r="A11672" s="496"/>
      <c r="D11672" s="496"/>
    </row>
    <row r="11673" spans="1:4" x14ac:dyDescent="0.2">
      <c r="A11673" s="496"/>
      <c r="D11673" s="496"/>
    </row>
    <row r="11674" spans="1:4" x14ac:dyDescent="0.2">
      <c r="A11674" s="496"/>
      <c r="D11674" s="496"/>
    </row>
    <row r="11675" spans="1:4" x14ac:dyDescent="0.2">
      <c r="A11675" s="496"/>
      <c r="D11675" s="496"/>
    </row>
    <row r="11676" spans="1:4" x14ac:dyDescent="0.2">
      <c r="A11676" s="496"/>
      <c r="D11676" s="496"/>
    </row>
    <row r="11677" spans="1:4" x14ac:dyDescent="0.2">
      <c r="A11677" s="496"/>
      <c r="D11677" s="496"/>
    </row>
    <row r="11678" spans="1:4" x14ac:dyDescent="0.2">
      <c r="A11678" s="496"/>
      <c r="D11678" s="496"/>
    </row>
    <row r="11679" spans="1:4" x14ac:dyDescent="0.2">
      <c r="A11679" s="496"/>
      <c r="D11679" s="496"/>
    </row>
    <row r="11680" spans="1:4" x14ac:dyDescent="0.2">
      <c r="A11680" s="496"/>
      <c r="D11680" s="496"/>
    </row>
    <row r="11681" spans="1:4" x14ac:dyDescent="0.2">
      <c r="A11681" s="496"/>
      <c r="D11681" s="496"/>
    </row>
    <row r="11682" spans="1:4" x14ac:dyDescent="0.2">
      <c r="A11682" s="496"/>
      <c r="D11682" s="496"/>
    </row>
    <row r="11683" spans="1:4" x14ac:dyDescent="0.2">
      <c r="A11683" s="496"/>
      <c r="D11683" s="496"/>
    </row>
    <row r="11684" spans="1:4" x14ac:dyDescent="0.2">
      <c r="A11684" s="496"/>
      <c r="D11684" s="496"/>
    </row>
    <row r="11685" spans="1:4" x14ac:dyDescent="0.2">
      <c r="A11685" s="496"/>
      <c r="D11685" s="496"/>
    </row>
    <row r="11686" spans="1:4" x14ac:dyDescent="0.2">
      <c r="A11686" s="496"/>
      <c r="D11686" s="496"/>
    </row>
    <row r="11687" spans="1:4" x14ac:dyDescent="0.2">
      <c r="A11687" s="496"/>
      <c r="D11687" s="496"/>
    </row>
    <row r="11688" spans="1:4" x14ac:dyDescent="0.2">
      <c r="A11688" s="496"/>
      <c r="D11688" s="496"/>
    </row>
    <row r="11689" spans="1:4" x14ac:dyDescent="0.2">
      <c r="A11689" s="496"/>
      <c r="D11689" s="496"/>
    </row>
    <row r="11690" spans="1:4" x14ac:dyDescent="0.2">
      <c r="A11690" s="496"/>
      <c r="D11690" s="496"/>
    </row>
    <row r="11691" spans="1:4" x14ac:dyDescent="0.2">
      <c r="A11691" s="496"/>
      <c r="D11691" s="496"/>
    </row>
    <row r="11692" spans="1:4" x14ac:dyDescent="0.2">
      <c r="A11692" s="496"/>
      <c r="D11692" s="496"/>
    </row>
    <row r="11693" spans="1:4" x14ac:dyDescent="0.2">
      <c r="A11693" s="496"/>
      <c r="D11693" s="496"/>
    </row>
    <row r="11694" spans="1:4" x14ac:dyDescent="0.2">
      <c r="A11694" s="496"/>
      <c r="D11694" s="496"/>
    </row>
    <row r="11695" spans="1:4" x14ac:dyDescent="0.2">
      <c r="A11695" s="496"/>
      <c r="D11695" s="496"/>
    </row>
    <row r="11696" spans="1:4" x14ac:dyDescent="0.2">
      <c r="A11696" s="496"/>
      <c r="D11696" s="496"/>
    </row>
    <row r="11697" spans="1:4" x14ac:dyDescent="0.2">
      <c r="A11697" s="496"/>
      <c r="D11697" s="496"/>
    </row>
    <row r="11698" spans="1:4" x14ac:dyDescent="0.2">
      <c r="A11698" s="496"/>
      <c r="D11698" s="496"/>
    </row>
    <row r="11699" spans="1:4" x14ac:dyDescent="0.2">
      <c r="A11699" s="496"/>
      <c r="D11699" s="496"/>
    </row>
    <row r="11700" spans="1:4" x14ac:dyDescent="0.2">
      <c r="A11700" s="496"/>
      <c r="D11700" s="496"/>
    </row>
    <row r="11701" spans="1:4" x14ac:dyDescent="0.2">
      <c r="A11701" s="496"/>
      <c r="D11701" s="496"/>
    </row>
    <row r="11702" spans="1:4" x14ac:dyDescent="0.2">
      <c r="A11702" s="496"/>
      <c r="D11702" s="496"/>
    </row>
    <row r="11703" spans="1:4" x14ac:dyDescent="0.2">
      <c r="A11703" s="496"/>
      <c r="D11703" s="496"/>
    </row>
    <row r="11704" spans="1:4" x14ac:dyDescent="0.2">
      <c r="A11704" s="496"/>
      <c r="D11704" s="496"/>
    </row>
    <row r="11705" spans="1:4" x14ac:dyDescent="0.2">
      <c r="A11705" s="496"/>
      <c r="D11705" s="496"/>
    </row>
    <row r="11706" spans="1:4" x14ac:dyDescent="0.2">
      <c r="A11706" s="496"/>
      <c r="D11706" s="496"/>
    </row>
    <row r="11707" spans="1:4" x14ac:dyDescent="0.2">
      <c r="A11707" s="496"/>
      <c r="D11707" s="496"/>
    </row>
    <row r="11708" spans="1:4" x14ac:dyDescent="0.2">
      <c r="A11708" s="496"/>
      <c r="D11708" s="496"/>
    </row>
    <row r="11709" spans="1:4" x14ac:dyDescent="0.2">
      <c r="A11709" s="496"/>
      <c r="D11709" s="496"/>
    </row>
    <row r="11710" spans="1:4" x14ac:dyDescent="0.2">
      <c r="A11710" s="496"/>
      <c r="D11710" s="496"/>
    </row>
    <row r="11711" spans="1:4" x14ac:dyDescent="0.2">
      <c r="A11711" s="496"/>
      <c r="D11711" s="496"/>
    </row>
    <row r="11712" spans="1:4" x14ac:dyDescent="0.2">
      <c r="A11712" s="496"/>
      <c r="D11712" s="496"/>
    </row>
    <row r="11713" spans="1:4" x14ac:dyDescent="0.2">
      <c r="A11713" s="496"/>
      <c r="D11713" s="496"/>
    </row>
    <row r="11714" spans="1:4" x14ac:dyDescent="0.2">
      <c r="A11714" s="496"/>
      <c r="D11714" s="496"/>
    </row>
    <row r="11715" spans="1:4" x14ac:dyDescent="0.2">
      <c r="A11715" s="496"/>
      <c r="D11715" s="496"/>
    </row>
    <row r="11716" spans="1:4" x14ac:dyDescent="0.2">
      <c r="A11716" s="496"/>
      <c r="D11716" s="496"/>
    </row>
    <row r="11717" spans="1:4" x14ac:dyDescent="0.2">
      <c r="A11717" s="496"/>
      <c r="D11717" s="496"/>
    </row>
    <row r="11718" spans="1:4" x14ac:dyDescent="0.2">
      <c r="A11718" s="496"/>
      <c r="D11718" s="496"/>
    </row>
    <row r="11719" spans="1:4" x14ac:dyDescent="0.2">
      <c r="A11719" s="496"/>
      <c r="D11719" s="496"/>
    </row>
    <row r="11720" spans="1:4" x14ac:dyDescent="0.2">
      <c r="A11720" s="496"/>
      <c r="D11720" s="496"/>
    </row>
    <row r="11721" spans="1:4" x14ac:dyDescent="0.2">
      <c r="A11721" s="496"/>
      <c r="D11721" s="496"/>
    </row>
    <row r="11722" spans="1:4" x14ac:dyDescent="0.2">
      <c r="A11722" s="496"/>
      <c r="D11722" s="496"/>
    </row>
    <row r="11723" spans="1:4" x14ac:dyDescent="0.2">
      <c r="A11723" s="496"/>
      <c r="D11723" s="496"/>
    </row>
    <row r="11724" spans="1:4" x14ac:dyDescent="0.2">
      <c r="A11724" s="496"/>
      <c r="D11724" s="496"/>
    </row>
    <row r="11725" spans="1:4" x14ac:dyDescent="0.2">
      <c r="A11725" s="496"/>
      <c r="D11725" s="496"/>
    </row>
    <row r="11726" spans="1:4" x14ac:dyDescent="0.2">
      <c r="A11726" s="496"/>
      <c r="D11726" s="496"/>
    </row>
    <row r="11727" spans="1:4" x14ac:dyDescent="0.2">
      <c r="A11727" s="496"/>
      <c r="D11727" s="496"/>
    </row>
    <row r="11728" spans="1:4" x14ac:dyDescent="0.2">
      <c r="A11728" s="496"/>
      <c r="D11728" s="496"/>
    </row>
    <row r="11729" spans="1:4" x14ac:dyDescent="0.2">
      <c r="A11729" s="496"/>
      <c r="D11729" s="496"/>
    </row>
    <row r="11730" spans="1:4" x14ac:dyDescent="0.2">
      <c r="A11730" s="496"/>
      <c r="D11730" s="496"/>
    </row>
    <row r="11731" spans="1:4" x14ac:dyDescent="0.2">
      <c r="A11731" s="496"/>
      <c r="D11731" s="496"/>
    </row>
    <row r="11732" spans="1:4" x14ac:dyDescent="0.2">
      <c r="A11732" s="496"/>
      <c r="D11732" s="496"/>
    </row>
    <row r="11733" spans="1:4" x14ac:dyDescent="0.2">
      <c r="A11733" s="496"/>
      <c r="D11733" s="496"/>
    </row>
    <row r="11734" spans="1:4" x14ac:dyDescent="0.2">
      <c r="A11734" s="496"/>
      <c r="D11734" s="496"/>
    </row>
    <row r="11735" spans="1:4" x14ac:dyDescent="0.2">
      <c r="A11735" s="496"/>
      <c r="D11735" s="496"/>
    </row>
    <row r="11736" spans="1:4" x14ac:dyDescent="0.2">
      <c r="A11736" s="496"/>
      <c r="D11736" s="496"/>
    </row>
    <row r="11737" spans="1:4" x14ac:dyDescent="0.2">
      <c r="A11737" s="496"/>
      <c r="D11737" s="496"/>
    </row>
    <row r="11738" spans="1:4" x14ac:dyDescent="0.2">
      <c r="A11738" s="496"/>
      <c r="D11738" s="496"/>
    </row>
    <row r="11739" spans="1:4" x14ac:dyDescent="0.2">
      <c r="A11739" s="496"/>
      <c r="D11739" s="496"/>
    </row>
    <row r="11740" spans="1:4" x14ac:dyDescent="0.2">
      <c r="A11740" s="496"/>
      <c r="D11740" s="496"/>
    </row>
    <row r="11741" spans="1:4" x14ac:dyDescent="0.2">
      <c r="A11741" s="496"/>
      <c r="D11741" s="496"/>
    </row>
    <row r="11742" spans="1:4" x14ac:dyDescent="0.2">
      <c r="A11742" s="496"/>
      <c r="D11742" s="496"/>
    </row>
    <row r="11743" spans="1:4" x14ac:dyDescent="0.2">
      <c r="A11743" s="496"/>
      <c r="D11743" s="496"/>
    </row>
    <row r="11744" spans="1:4" x14ac:dyDescent="0.2">
      <c r="A11744" s="496"/>
      <c r="D11744" s="496"/>
    </row>
    <row r="11745" spans="1:4" x14ac:dyDescent="0.2">
      <c r="A11745" s="496"/>
      <c r="D11745" s="496"/>
    </row>
    <row r="11746" spans="1:4" x14ac:dyDescent="0.2">
      <c r="A11746" s="496"/>
      <c r="D11746" s="496"/>
    </row>
    <row r="11747" spans="1:4" x14ac:dyDescent="0.2">
      <c r="A11747" s="496"/>
      <c r="D11747" s="496"/>
    </row>
    <row r="11748" spans="1:4" x14ac:dyDescent="0.2">
      <c r="A11748" s="496"/>
      <c r="D11748" s="496"/>
    </row>
    <row r="11749" spans="1:4" x14ac:dyDescent="0.2">
      <c r="A11749" s="496"/>
      <c r="D11749" s="496"/>
    </row>
    <row r="11750" spans="1:4" x14ac:dyDescent="0.2">
      <c r="A11750" s="496"/>
      <c r="D11750" s="496"/>
    </row>
    <row r="11751" spans="1:4" x14ac:dyDescent="0.2">
      <c r="A11751" s="496"/>
      <c r="D11751" s="496"/>
    </row>
    <row r="11752" spans="1:4" x14ac:dyDescent="0.2">
      <c r="A11752" s="496"/>
      <c r="D11752" s="496"/>
    </row>
    <row r="11753" spans="1:4" x14ac:dyDescent="0.2">
      <c r="A11753" s="496"/>
      <c r="D11753" s="496"/>
    </row>
    <row r="11754" spans="1:4" x14ac:dyDescent="0.2">
      <c r="A11754" s="496"/>
      <c r="D11754" s="496"/>
    </row>
    <row r="11755" spans="1:4" x14ac:dyDescent="0.2">
      <c r="A11755" s="496"/>
      <c r="D11755" s="496"/>
    </row>
    <row r="11756" spans="1:4" x14ac:dyDescent="0.2">
      <c r="A11756" s="496"/>
      <c r="D11756" s="496"/>
    </row>
    <row r="11757" spans="1:4" x14ac:dyDescent="0.2">
      <c r="A11757" s="496"/>
      <c r="D11757" s="496"/>
    </row>
    <row r="11758" spans="1:4" x14ac:dyDescent="0.2">
      <c r="A11758" s="496"/>
      <c r="D11758" s="496"/>
    </row>
    <row r="11759" spans="1:4" x14ac:dyDescent="0.2">
      <c r="A11759" s="496"/>
      <c r="D11759" s="496"/>
    </row>
    <row r="11760" spans="1:4" x14ac:dyDescent="0.2">
      <c r="A11760" s="496"/>
      <c r="D11760" s="496"/>
    </row>
    <row r="11761" spans="1:4" x14ac:dyDescent="0.2">
      <c r="A11761" s="496"/>
      <c r="D11761" s="496"/>
    </row>
    <row r="11762" spans="1:4" x14ac:dyDescent="0.2">
      <c r="A11762" s="496"/>
      <c r="D11762" s="496"/>
    </row>
    <row r="11763" spans="1:4" x14ac:dyDescent="0.2">
      <c r="A11763" s="496"/>
      <c r="D11763" s="496"/>
    </row>
    <row r="11764" spans="1:4" x14ac:dyDescent="0.2">
      <c r="A11764" s="496"/>
      <c r="D11764" s="496"/>
    </row>
    <row r="11765" spans="1:4" x14ac:dyDescent="0.2">
      <c r="A11765" s="496"/>
      <c r="D11765" s="496"/>
    </row>
    <row r="11766" spans="1:4" x14ac:dyDescent="0.2">
      <c r="A11766" s="496"/>
      <c r="D11766" s="496"/>
    </row>
    <row r="11767" spans="1:4" x14ac:dyDescent="0.2">
      <c r="A11767" s="496"/>
      <c r="D11767" s="496"/>
    </row>
    <row r="11768" spans="1:4" x14ac:dyDescent="0.2">
      <c r="A11768" s="496"/>
      <c r="D11768" s="496"/>
    </row>
    <row r="11769" spans="1:4" x14ac:dyDescent="0.2">
      <c r="A11769" s="496"/>
      <c r="D11769" s="496"/>
    </row>
    <row r="11770" spans="1:4" x14ac:dyDescent="0.2">
      <c r="A11770" s="496"/>
      <c r="D11770" s="496"/>
    </row>
    <row r="11771" spans="1:4" x14ac:dyDescent="0.2">
      <c r="A11771" s="496"/>
      <c r="D11771" s="496"/>
    </row>
    <row r="11772" spans="1:4" x14ac:dyDescent="0.2">
      <c r="A11772" s="496"/>
      <c r="D11772" s="496"/>
    </row>
    <row r="11773" spans="1:4" x14ac:dyDescent="0.2">
      <c r="A11773" s="496"/>
      <c r="D11773" s="496"/>
    </row>
    <row r="11774" spans="1:4" x14ac:dyDescent="0.2">
      <c r="A11774" s="496"/>
      <c r="D11774" s="496"/>
    </row>
    <row r="11775" spans="1:4" x14ac:dyDescent="0.2">
      <c r="A11775" s="496"/>
      <c r="D11775" s="496"/>
    </row>
    <row r="11776" spans="1:4" x14ac:dyDescent="0.2">
      <c r="A11776" s="496"/>
      <c r="D11776" s="496"/>
    </row>
    <row r="11777" spans="1:4" x14ac:dyDescent="0.2">
      <c r="A11777" s="496"/>
      <c r="D11777" s="496"/>
    </row>
    <row r="11778" spans="1:4" x14ac:dyDescent="0.2">
      <c r="A11778" s="496"/>
      <c r="D11778" s="496"/>
    </row>
    <row r="11779" spans="1:4" x14ac:dyDescent="0.2">
      <c r="A11779" s="496"/>
      <c r="D11779" s="496"/>
    </row>
    <row r="11780" spans="1:4" x14ac:dyDescent="0.2">
      <c r="A11780" s="496"/>
      <c r="D11780" s="496"/>
    </row>
    <row r="11781" spans="1:4" x14ac:dyDescent="0.2">
      <c r="A11781" s="496"/>
      <c r="D11781" s="496"/>
    </row>
    <row r="11782" spans="1:4" x14ac:dyDescent="0.2">
      <c r="A11782" s="496"/>
      <c r="D11782" s="496"/>
    </row>
    <row r="11783" spans="1:4" x14ac:dyDescent="0.2">
      <c r="A11783" s="496"/>
      <c r="D11783" s="496"/>
    </row>
    <row r="11784" spans="1:4" x14ac:dyDescent="0.2">
      <c r="A11784" s="496"/>
      <c r="D11784" s="496"/>
    </row>
    <row r="11785" spans="1:4" x14ac:dyDescent="0.2">
      <c r="A11785" s="496"/>
      <c r="D11785" s="496"/>
    </row>
    <row r="11786" spans="1:4" x14ac:dyDescent="0.2">
      <c r="A11786" s="496"/>
      <c r="D11786" s="496"/>
    </row>
    <row r="11787" spans="1:4" x14ac:dyDescent="0.2">
      <c r="A11787" s="496"/>
      <c r="D11787" s="496"/>
    </row>
    <row r="11788" spans="1:4" x14ac:dyDescent="0.2">
      <c r="A11788" s="496"/>
      <c r="D11788" s="496"/>
    </row>
    <row r="11789" spans="1:4" x14ac:dyDescent="0.2">
      <c r="A11789" s="496"/>
      <c r="D11789" s="496"/>
    </row>
    <row r="11790" spans="1:4" x14ac:dyDescent="0.2">
      <c r="A11790" s="496"/>
      <c r="D11790" s="496"/>
    </row>
    <row r="11791" spans="1:4" x14ac:dyDescent="0.2">
      <c r="A11791" s="496"/>
      <c r="D11791" s="496"/>
    </row>
    <row r="11792" spans="1:4" x14ac:dyDescent="0.2">
      <c r="A11792" s="496"/>
      <c r="D11792" s="496"/>
    </row>
    <row r="11793" spans="1:4" x14ac:dyDescent="0.2">
      <c r="A11793" s="496"/>
      <c r="D11793" s="496"/>
    </row>
    <row r="11794" spans="1:4" x14ac:dyDescent="0.2">
      <c r="A11794" s="496"/>
      <c r="D11794" s="496"/>
    </row>
    <row r="11795" spans="1:4" x14ac:dyDescent="0.2">
      <c r="A11795" s="496"/>
      <c r="D11795" s="496"/>
    </row>
    <row r="11796" spans="1:4" x14ac:dyDescent="0.2">
      <c r="A11796" s="496"/>
      <c r="D11796" s="496"/>
    </row>
    <row r="11797" spans="1:4" x14ac:dyDescent="0.2">
      <c r="A11797" s="496"/>
      <c r="D11797" s="496"/>
    </row>
    <row r="11798" spans="1:4" x14ac:dyDescent="0.2">
      <c r="A11798" s="496"/>
      <c r="D11798" s="496"/>
    </row>
    <row r="11799" spans="1:4" x14ac:dyDescent="0.2">
      <c r="A11799" s="496"/>
      <c r="D11799" s="496"/>
    </row>
    <row r="11800" spans="1:4" x14ac:dyDescent="0.2">
      <c r="A11800" s="496"/>
      <c r="D11800" s="496"/>
    </row>
    <row r="11801" spans="1:4" x14ac:dyDescent="0.2">
      <c r="A11801" s="496"/>
      <c r="D11801" s="496"/>
    </row>
    <row r="11802" spans="1:4" x14ac:dyDescent="0.2">
      <c r="A11802" s="496"/>
      <c r="D11802" s="496"/>
    </row>
    <row r="11803" spans="1:4" x14ac:dyDescent="0.2">
      <c r="A11803" s="496"/>
      <c r="D11803" s="496"/>
    </row>
    <row r="11804" spans="1:4" x14ac:dyDescent="0.2">
      <c r="A11804" s="496"/>
      <c r="D11804" s="496"/>
    </row>
    <row r="11805" spans="1:4" x14ac:dyDescent="0.2">
      <c r="A11805" s="496"/>
      <c r="D11805" s="496"/>
    </row>
    <row r="11806" spans="1:4" x14ac:dyDescent="0.2">
      <c r="A11806" s="496"/>
      <c r="D11806" s="496"/>
    </row>
    <row r="11807" spans="1:4" x14ac:dyDescent="0.2">
      <c r="A11807" s="496"/>
      <c r="D11807" s="496"/>
    </row>
    <row r="11808" spans="1:4" x14ac:dyDescent="0.2">
      <c r="A11808" s="496"/>
      <c r="D11808" s="496"/>
    </row>
    <row r="11809" spans="1:4" x14ac:dyDescent="0.2">
      <c r="A11809" s="496"/>
      <c r="D11809" s="496"/>
    </row>
    <row r="11810" spans="1:4" x14ac:dyDescent="0.2">
      <c r="A11810" s="496"/>
      <c r="D11810" s="496"/>
    </row>
    <row r="11811" spans="1:4" x14ac:dyDescent="0.2">
      <c r="A11811" s="496"/>
      <c r="D11811" s="496"/>
    </row>
    <row r="11812" spans="1:4" x14ac:dyDescent="0.2">
      <c r="A11812" s="496"/>
      <c r="D11812" s="496"/>
    </row>
    <row r="11813" spans="1:4" x14ac:dyDescent="0.2">
      <c r="A11813" s="496"/>
      <c r="D11813" s="496"/>
    </row>
    <row r="11814" spans="1:4" x14ac:dyDescent="0.2">
      <c r="A11814" s="496"/>
      <c r="D11814" s="496"/>
    </row>
    <row r="11815" spans="1:4" x14ac:dyDescent="0.2">
      <c r="A11815" s="496"/>
      <c r="D11815" s="496"/>
    </row>
    <row r="11816" spans="1:4" x14ac:dyDescent="0.2">
      <c r="A11816" s="496"/>
      <c r="D11816" s="496"/>
    </row>
    <row r="11817" spans="1:4" x14ac:dyDescent="0.2">
      <c r="A11817" s="496"/>
      <c r="D11817" s="496"/>
    </row>
    <row r="11818" spans="1:4" x14ac:dyDescent="0.2">
      <c r="A11818" s="496"/>
      <c r="D11818" s="496"/>
    </row>
    <row r="11819" spans="1:4" x14ac:dyDescent="0.2">
      <c r="A11819" s="496"/>
      <c r="D11819" s="496"/>
    </row>
    <row r="11820" spans="1:4" x14ac:dyDescent="0.2">
      <c r="A11820" s="496"/>
      <c r="D11820" s="496"/>
    </row>
    <row r="11821" spans="1:4" x14ac:dyDescent="0.2">
      <c r="A11821" s="496"/>
      <c r="D11821" s="496"/>
    </row>
    <row r="11822" spans="1:4" x14ac:dyDescent="0.2">
      <c r="A11822" s="496"/>
      <c r="D11822" s="496"/>
    </row>
    <row r="11823" spans="1:4" x14ac:dyDescent="0.2">
      <c r="A11823" s="496"/>
      <c r="D11823" s="496"/>
    </row>
    <row r="11824" spans="1:4" x14ac:dyDescent="0.2">
      <c r="A11824" s="496"/>
      <c r="D11824" s="496"/>
    </row>
    <row r="11825" spans="1:4" x14ac:dyDescent="0.2">
      <c r="A11825" s="496"/>
      <c r="D11825" s="496"/>
    </row>
    <row r="11826" spans="1:4" x14ac:dyDescent="0.2">
      <c r="A11826" s="496"/>
      <c r="D11826" s="496"/>
    </row>
    <row r="11827" spans="1:4" x14ac:dyDescent="0.2">
      <c r="A11827" s="496"/>
      <c r="D11827" s="496"/>
    </row>
    <row r="11828" spans="1:4" x14ac:dyDescent="0.2">
      <c r="A11828" s="496"/>
      <c r="D11828" s="496"/>
    </row>
    <row r="11829" spans="1:4" x14ac:dyDescent="0.2">
      <c r="A11829" s="496"/>
      <c r="D11829" s="496"/>
    </row>
    <row r="11830" spans="1:4" x14ac:dyDescent="0.2">
      <c r="A11830" s="496"/>
      <c r="D11830" s="496"/>
    </row>
    <row r="11831" spans="1:4" x14ac:dyDescent="0.2">
      <c r="A11831" s="496"/>
      <c r="D11831" s="496"/>
    </row>
    <row r="11832" spans="1:4" x14ac:dyDescent="0.2">
      <c r="A11832" s="496"/>
      <c r="D11832" s="496"/>
    </row>
    <row r="11833" spans="1:4" x14ac:dyDescent="0.2">
      <c r="A11833" s="496"/>
      <c r="D11833" s="496"/>
    </row>
    <row r="11834" spans="1:4" x14ac:dyDescent="0.2">
      <c r="A11834" s="496"/>
      <c r="D11834" s="496"/>
    </row>
    <row r="11835" spans="1:4" x14ac:dyDescent="0.2">
      <c r="A11835" s="496"/>
      <c r="D11835" s="496"/>
    </row>
    <row r="11836" spans="1:4" x14ac:dyDescent="0.2">
      <c r="A11836" s="496"/>
      <c r="D11836" s="496"/>
    </row>
    <row r="11837" spans="1:4" x14ac:dyDescent="0.2">
      <c r="A11837" s="496"/>
      <c r="D11837" s="496"/>
    </row>
    <row r="11838" spans="1:4" x14ac:dyDescent="0.2">
      <c r="A11838" s="496"/>
      <c r="D11838" s="496"/>
    </row>
    <row r="11839" spans="1:4" x14ac:dyDescent="0.2">
      <c r="A11839" s="496"/>
      <c r="D11839" s="496"/>
    </row>
    <row r="11840" spans="1:4" x14ac:dyDescent="0.2">
      <c r="A11840" s="496"/>
      <c r="D11840" s="496"/>
    </row>
    <row r="11841" spans="1:4" x14ac:dyDescent="0.2">
      <c r="A11841" s="496"/>
      <c r="D11841" s="496"/>
    </row>
    <row r="11842" spans="1:4" x14ac:dyDescent="0.2">
      <c r="A11842" s="496"/>
      <c r="D11842" s="496"/>
    </row>
    <row r="11843" spans="1:4" x14ac:dyDescent="0.2">
      <c r="A11843" s="496"/>
      <c r="D11843" s="496"/>
    </row>
    <row r="11844" spans="1:4" x14ac:dyDescent="0.2">
      <c r="A11844" s="496"/>
      <c r="D11844" s="496"/>
    </row>
    <row r="11845" spans="1:4" x14ac:dyDescent="0.2">
      <c r="A11845" s="496"/>
      <c r="D11845" s="496"/>
    </row>
    <row r="11846" spans="1:4" x14ac:dyDescent="0.2">
      <c r="A11846" s="496"/>
      <c r="D11846" s="496"/>
    </row>
    <row r="11847" spans="1:4" x14ac:dyDescent="0.2">
      <c r="A11847" s="496"/>
      <c r="D11847" s="496"/>
    </row>
    <row r="11848" spans="1:4" x14ac:dyDescent="0.2">
      <c r="A11848" s="496"/>
      <c r="D11848" s="496"/>
    </row>
    <row r="11849" spans="1:4" x14ac:dyDescent="0.2">
      <c r="A11849" s="496"/>
      <c r="D11849" s="496"/>
    </row>
    <row r="11850" spans="1:4" x14ac:dyDescent="0.2">
      <c r="A11850" s="496"/>
      <c r="D11850" s="496"/>
    </row>
    <row r="11851" spans="1:4" x14ac:dyDescent="0.2">
      <c r="A11851" s="496"/>
      <c r="D11851" s="496"/>
    </row>
    <row r="11852" spans="1:4" x14ac:dyDescent="0.2">
      <c r="A11852" s="496"/>
      <c r="D11852" s="496"/>
    </row>
    <row r="11853" spans="1:4" x14ac:dyDescent="0.2">
      <c r="A11853" s="496"/>
      <c r="D11853" s="496"/>
    </row>
    <row r="11854" spans="1:4" x14ac:dyDescent="0.2">
      <c r="A11854" s="496"/>
      <c r="D11854" s="496"/>
    </row>
    <row r="11855" spans="1:4" x14ac:dyDescent="0.2">
      <c r="A11855" s="496"/>
      <c r="D11855" s="496"/>
    </row>
    <row r="11856" spans="1:4" x14ac:dyDescent="0.2">
      <c r="A11856" s="496"/>
      <c r="D11856" s="496"/>
    </row>
    <row r="11857" spans="1:4" x14ac:dyDescent="0.2">
      <c r="A11857" s="496"/>
      <c r="D11857" s="496"/>
    </row>
    <row r="11858" spans="1:4" x14ac:dyDescent="0.2">
      <c r="A11858" s="496"/>
      <c r="D11858" s="496"/>
    </row>
    <row r="11859" spans="1:4" x14ac:dyDescent="0.2">
      <c r="A11859" s="496"/>
      <c r="D11859" s="496"/>
    </row>
    <row r="11860" spans="1:4" x14ac:dyDescent="0.2">
      <c r="A11860" s="496"/>
      <c r="D11860" s="496"/>
    </row>
    <row r="11861" spans="1:4" x14ac:dyDescent="0.2">
      <c r="A11861" s="496"/>
      <c r="D11861" s="496"/>
    </row>
    <row r="11862" spans="1:4" x14ac:dyDescent="0.2">
      <c r="A11862" s="496"/>
      <c r="D11862" s="496"/>
    </row>
    <row r="11863" spans="1:4" x14ac:dyDescent="0.2">
      <c r="A11863" s="496"/>
      <c r="D11863" s="496"/>
    </row>
    <row r="11864" spans="1:4" x14ac:dyDescent="0.2">
      <c r="A11864" s="496"/>
      <c r="D11864" s="496"/>
    </row>
    <row r="11865" spans="1:4" x14ac:dyDescent="0.2">
      <c r="A11865" s="496"/>
      <c r="D11865" s="496"/>
    </row>
    <row r="11866" spans="1:4" x14ac:dyDescent="0.2">
      <c r="A11866" s="496"/>
      <c r="D11866" s="496"/>
    </row>
    <row r="11867" spans="1:4" x14ac:dyDescent="0.2">
      <c r="A11867" s="496"/>
      <c r="D11867" s="496"/>
    </row>
    <row r="11868" spans="1:4" x14ac:dyDescent="0.2">
      <c r="A11868" s="496"/>
      <c r="D11868" s="496"/>
    </row>
    <row r="11869" spans="1:4" x14ac:dyDescent="0.2">
      <c r="A11869" s="496"/>
      <c r="D11869" s="496"/>
    </row>
    <row r="11870" spans="1:4" x14ac:dyDescent="0.2">
      <c r="A11870" s="496"/>
      <c r="D11870" s="496"/>
    </row>
    <row r="11871" spans="1:4" x14ac:dyDescent="0.2">
      <c r="A11871" s="496"/>
      <c r="D11871" s="496"/>
    </row>
    <row r="11872" spans="1:4" x14ac:dyDescent="0.2">
      <c r="A11872" s="496"/>
      <c r="D11872" s="496"/>
    </row>
    <row r="11873" spans="1:4" x14ac:dyDescent="0.2">
      <c r="A11873" s="496"/>
      <c r="D11873" s="496"/>
    </row>
    <row r="11874" spans="1:4" x14ac:dyDescent="0.2">
      <c r="A11874" s="496"/>
      <c r="D11874" s="496"/>
    </row>
    <row r="11875" spans="1:4" x14ac:dyDescent="0.2">
      <c r="A11875" s="496"/>
      <c r="D11875" s="496"/>
    </row>
    <row r="11876" spans="1:4" x14ac:dyDescent="0.2">
      <c r="A11876" s="496"/>
      <c r="D11876" s="496"/>
    </row>
    <row r="11877" spans="1:4" x14ac:dyDescent="0.2">
      <c r="A11877" s="496"/>
      <c r="D11877" s="496"/>
    </row>
    <row r="11878" spans="1:4" x14ac:dyDescent="0.2">
      <c r="A11878" s="496"/>
      <c r="D11878" s="496"/>
    </row>
    <row r="11879" spans="1:4" x14ac:dyDescent="0.2">
      <c r="A11879" s="496"/>
      <c r="D11879" s="496"/>
    </row>
    <row r="11880" spans="1:4" x14ac:dyDescent="0.2">
      <c r="A11880" s="496"/>
      <c r="D11880" s="496"/>
    </row>
    <row r="11881" spans="1:4" x14ac:dyDescent="0.2">
      <c r="A11881" s="496"/>
      <c r="D11881" s="496"/>
    </row>
    <row r="11882" spans="1:4" x14ac:dyDescent="0.2">
      <c r="A11882" s="496"/>
      <c r="D11882" s="496"/>
    </row>
    <row r="11883" spans="1:4" x14ac:dyDescent="0.2">
      <c r="A11883" s="496"/>
      <c r="D11883" s="496"/>
    </row>
    <row r="11884" spans="1:4" x14ac:dyDescent="0.2">
      <c r="A11884" s="496"/>
      <c r="D11884" s="496"/>
    </row>
    <row r="11885" spans="1:4" x14ac:dyDescent="0.2">
      <c r="A11885" s="496"/>
      <c r="D11885" s="496"/>
    </row>
    <row r="11886" spans="1:4" x14ac:dyDescent="0.2">
      <c r="A11886" s="496"/>
      <c r="D11886" s="496"/>
    </row>
    <row r="11887" spans="1:4" x14ac:dyDescent="0.2">
      <c r="A11887" s="496"/>
      <c r="D11887" s="496"/>
    </row>
    <row r="11888" spans="1:4" x14ac:dyDescent="0.2">
      <c r="A11888" s="496"/>
      <c r="D11888" s="496"/>
    </row>
    <row r="11889" spans="1:4" x14ac:dyDescent="0.2">
      <c r="A11889" s="496"/>
      <c r="D11889" s="496"/>
    </row>
    <row r="11890" spans="1:4" x14ac:dyDescent="0.2">
      <c r="A11890" s="496"/>
      <c r="D11890" s="496"/>
    </row>
    <row r="11891" spans="1:4" x14ac:dyDescent="0.2">
      <c r="A11891" s="496"/>
      <c r="D11891" s="496"/>
    </row>
    <row r="11892" spans="1:4" x14ac:dyDescent="0.2">
      <c r="A11892" s="496"/>
      <c r="D11892" s="496"/>
    </row>
    <row r="11893" spans="1:4" x14ac:dyDescent="0.2">
      <c r="A11893" s="496"/>
      <c r="D11893" s="496"/>
    </row>
    <row r="11894" spans="1:4" x14ac:dyDescent="0.2">
      <c r="A11894" s="496"/>
      <c r="D11894" s="496"/>
    </row>
    <row r="11895" spans="1:4" x14ac:dyDescent="0.2">
      <c r="A11895" s="496"/>
      <c r="D11895" s="496"/>
    </row>
    <row r="11896" spans="1:4" x14ac:dyDescent="0.2">
      <c r="A11896" s="496"/>
      <c r="D11896" s="496"/>
    </row>
    <row r="11897" spans="1:4" x14ac:dyDescent="0.2">
      <c r="A11897" s="496"/>
      <c r="D11897" s="496"/>
    </row>
    <row r="11898" spans="1:4" x14ac:dyDescent="0.2">
      <c r="A11898" s="496"/>
      <c r="D11898" s="496"/>
    </row>
    <row r="11899" spans="1:4" x14ac:dyDescent="0.2">
      <c r="A11899" s="496"/>
      <c r="D11899" s="496"/>
    </row>
    <row r="11900" spans="1:4" x14ac:dyDescent="0.2">
      <c r="A11900" s="496"/>
      <c r="D11900" s="496"/>
    </row>
    <row r="11901" spans="1:4" x14ac:dyDescent="0.2">
      <c r="A11901" s="496"/>
      <c r="D11901" s="496"/>
    </row>
    <row r="11902" spans="1:4" x14ac:dyDescent="0.2">
      <c r="A11902" s="496"/>
      <c r="D11902" s="496"/>
    </row>
    <row r="11903" spans="1:4" x14ac:dyDescent="0.2">
      <c r="A11903" s="496"/>
      <c r="D11903" s="496"/>
    </row>
    <row r="11904" spans="1:4" x14ac:dyDescent="0.2">
      <c r="A11904" s="496"/>
      <c r="D11904" s="496"/>
    </row>
    <row r="11905" spans="1:4" x14ac:dyDescent="0.2">
      <c r="A11905" s="496"/>
      <c r="D11905" s="496"/>
    </row>
    <row r="11906" spans="1:4" x14ac:dyDescent="0.2">
      <c r="A11906" s="496"/>
      <c r="D11906" s="496"/>
    </row>
    <row r="11907" spans="1:4" x14ac:dyDescent="0.2">
      <c r="A11907" s="496"/>
      <c r="D11907" s="496"/>
    </row>
    <row r="11908" spans="1:4" x14ac:dyDescent="0.2">
      <c r="A11908" s="496"/>
      <c r="D11908" s="496"/>
    </row>
    <row r="11909" spans="1:4" x14ac:dyDescent="0.2">
      <c r="A11909" s="496"/>
      <c r="D11909" s="496"/>
    </row>
    <row r="11910" spans="1:4" x14ac:dyDescent="0.2">
      <c r="A11910" s="496"/>
      <c r="D11910" s="496"/>
    </row>
    <row r="11911" spans="1:4" x14ac:dyDescent="0.2">
      <c r="A11911" s="496"/>
      <c r="D11911" s="496"/>
    </row>
    <row r="11912" spans="1:4" x14ac:dyDescent="0.2">
      <c r="A11912" s="496"/>
      <c r="D11912" s="496"/>
    </row>
    <row r="11913" spans="1:4" x14ac:dyDescent="0.2">
      <c r="A11913" s="496"/>
      <c r="D11913" s="496"/>
    </row>
    <row r="11914" spans="1:4" x14ac:dyDescent="0.2">
      <c r="A11914" s="496"/>
      <c r="D11914" s="496"/>
    </row>
    <row r="11915" spans="1:4" x14ac:dyDescent="0.2">
      <c r="A11915" s="496"/>
      <c r="D11915" s="496"/>
    </row>
    <row r="11916" spans="1:4" x14ac:dyDescent="0.2">
      <c r="A11916" s="496"/>
      <c r="D11916" s="496"/>
    </row>
    <row r="11917" spans="1:4" x14ac:dyDescent="0.2">
      <c r="A11917" s="496"/>
      <c r="D11917" s="496"/>
    </row>
    <row r="11918" spans="1:4" x14ac:dyDescent="0.2">
      <c r="A11918" s="496"/>
      <c r="D11918" s="496"/>
    </row>
    <row r="11919" spans="1:4" x14ac:dyDescent="0.2">
      <c r="A11919" s="496"/>
      <c r="D11919" s="496"/>
    </row>
    <row r="11920" spans="1:4" x14ac:dyDescent="0.2">
      <c r="A11920" s="496"/>
      <c r="D11920" s="496"/>
    </row>
    <row r="11921" spans="1:4" x14ac:dyDescent="0.2">
      <c r="A11921" s="496"/>
      <c r="D11921" s="496"/>
    </row>
    <row r="11922" spans="1:4" x14ac:dyDescent="0.2">
      <c r="A11922" s="496"/>
      <c r="D11922" s="496"/>
    </row>
    <row r="11923" spans="1:4" x14ac:dyDescent="0.2">
      <c r="A11923" s="496"/>
      <c r="D11923" s="496"/>
    </row>
    <row r="11924" spans="1:4" x14ac:dyDescent="0.2">
      <c r="A11924" s="496"/>
      <c r="D11924" s="496"/>
    </row>
    <row r="11925" spans="1:4" x14ac:dyDescent="0.2">
      <c r="A11925" s="496"/>
      <c r="D11925" s="496"/>
    </row>
    <row r="11926" spans="1:4" x14ac:dyDescent="0.2">
      <c r="A11926" s="496"/>
      <c r="D11926" s="496"/>
    </row>
    <row r="11927" spans="1:4" x14ac:dyDescent="0.2">
      <c r="A11927" s="496"/>
      <c r="D11927" s="496"/>
    </row>
    <row r="11928" spans="1:4" x14ac:dyDescent="0.2">
      <c r="A11928" s="496"/>
      <c r="D11928" s="496"/>
    </row>
    <row r="11929" spans="1:4" x14ac:dyDescent="0.2">
      <c r="A11929" s="496"/>
      <c r="D11929" s="496"/>
    </row>
    <row r="11930" spans="1:4" x14ac:dyDescent="0.2">
      <c r="A11930" s="496"/>
      <c r="D11930" s="496"/>
    </row>
    <row r="11931" spans="1:4" x14ac:dyDescent="0.2">
      <c r="A11931" s="496"/>
      <c r="D11931" s="496"/>
    </row>
    <row r="11932" spans="1:4" x14ac:dyDescent="0.2">
      <c r="A11932" s="496"/>
      <c r="D11932" s="496"/>
    </row>
    <row r="11933" spans="1:4" x14ac:dyDescent="0.2">
      <c r="A11933" s="496"/>
      <c r="D11933" s="496"/>
    </row>
    <row r="11934" spans="1:4" x14ac:dyDescent="0.2">
      <c r="A11934" s="496"/>
      <c r="D11934" s="496"/>
    </row>
    <row r="11935" spans="1:4" x14ac:dyDescent="0.2">
      <c r="A11935" s="496"/>
      <c r="D11935" s="496"/>
    </row>
    <row r="11936" spans="1:4" x14ac:dyDescent="0.2">
      <c r="A11936" s="496"/>
      <c r="D11936" s="496"/>
    </row>
    <row r="11937" spans="1:4" x14ac:dyDescent="0.2">
      <c r="A11937" s="496"/>
      <c r="D11937" s="496"/>
    </row>
    <row r="11938" spans="1:4" x14ac:dyDescent="0.2">
      <c r="A11938" s="496"/>
      <c r="D11938" s="496"/>
    </row>
    <row r="11939" spans="1:4" x14ac:dyDescent="0.2">
      <c r="A11939" s="496"/>
      <c r="D11939" s="496"/>
    </row>
    <row r="11940" spans="1:4" x14ac:dyDescent="0.2">
      <c r="A11940" s="496"/>
      <c r="D11940" s="496"/>
    </row>
    <row r="11941" spans="1:4" x14ac:dyDescent="0.2">
      <c r="A11941" s="496"/>
      <c r="D11941" s="496"/>
    </row>
    <row r="11942" spans="1:4" x14ac:dyDescent="0.2">
      <c r="A11942" s="496"/>
      <c r="D11942" s="496"/>
    </row>
    <row r="11943" spans="1:4" x14ac:dyDescent="0.2">
      <c r="A11943" s="496"/>
      <c r="D11943" s="496"/>
    </row>
    <row r="11944" spans="1:4" x14ac:dyDescent="0.2">
      <c r="A11944" s="496"/>
      <c r="D11944" s="496"/>
    </row>
    <row r="11945" spans="1:4" x14ac:dyDescent="0.2">
      <c r="A11945" s="496"/>
      <c r="D11945" s="496"/>
    </row>
    <row r="11946" spans="1:4" x14ac:dyDescent="0.2">
      <c r="A11946" s="496"/>
      <c r="D11946" s="496"/>
    </row>
    <row r="11947" spans="1:4" x14ac:dyDescent="0.2">
      <c r="A11947" s="496"/>
      <c r="D11947" s="496"/>
    </row>
    <row r="11948" spans="1:4" x14ac:dyDescent="0.2">
      <c r="A11948" s="496"/>
      <c r="D11948" s="496"/>
    </row>
    <row r="11949" spans="1:4" x14ac:dyDescent="0.2">
      <c r="A11949" s="496"/>
      <c r="D11949" s="496"/>
    </row>
    <row r="11950" spans="1:4" x14ac:dyDescent="0.2">
      <c r="A11950" s="496"/>
      <c r="D11950" s="496"/>
    </row>
    <row r="11951" spans="1:4" x14ac:dyDescent="0.2">
      <c r="A11951" s="496"/>
      <c r="D11951" s="496"/>
    </row>
    <row r="11952" spans="1:4" x14ac:dyDescent="0.2">
      <c r="A11952" s="496"/>
      <c r="D11952" s="496"/>
    </row>
    <row r="11953" spans="1:4" x14ac:dyDescent="0.2">
      <c r="A11953" s="496"/>
      <c r="D11953" s="496"/>
    </row>
    <row r="11954" spans="1:4" x14ac:dyDescent="0.2">
      <c r="A11954" s="496"/>
      <c r="D11954" s="496"/>
    </row>
    <row r="11955" spans="1:4" x14ac:dyDescent="0.2">
      <c r="A11955" s="496"/>
      <c r="D11955" s="496"/>
    </row>
    <row r="11956" spans="1:4" x14ac:dyDescent="0.2">
      <c r="A11956" s="496"/>
      <c r="D11956" s="496"/>
    </row>
    <row r="11957" spans="1:4" x14ac:dyDescent="0.2">
      <c r="A11957" s="496"/>
      <c r="D11957" s="496"/>
    </row>
    <row r="11958" spans="1:4" x14ac:dyDescent="0.2">
      <c r="A11958" s="496"/>
      <c r="D11958" s="496"/>
    </row>
    <row r="11959" spans="1:4" x14ac:dyDescent="0.2">
      <c r="A11959" s="496"/>
      <c r="D11959" s="496"/>
    </row>
    <row r="11960" spans="1:4" x14ac:dyDescent="0.2">
      <c r="A11960" s="496"/>
      <c r="D11960" s="496"/>
    </row>
    <row r="11961" spans="1:4" x14ac:dyDescent="0.2">
      <c r="A11961" s="496"/>
      <c r="D11961" s="496"/>
    </row>
    <row r="11962" spans="1:4" x14ac:dyDescent="0.2">
      <c r="A11962" s="496"/>
      <c r="D11962" s="496"/>
    </row>
    <row r="11963" spans="1:4" x14ac:dyDescent="0.2">
      <c r="A11963" s="496"/>
      <c r="D11963" s="496"/>
    </row>
    <row r="11964" spans="1:4" x14ac:dyDescent="0.2">
      <c r="A11964" s="496"/>
      <c r="D11964" s="496"/>
    </row>
    <row r="11965" spans="1:4" x14ac:dyDescent="0.2">
      <c r="A11965" s="496"/>
      <c r="D11965" s="496"/>
    </row>
    <row r="11966" spans="1:4" x14ac:dyDescent="0.2">
      <c r="A11966" s="496"/>
      <c r="D11966" s="496"/>
    </row>
    <row r="11967" spans="1:4" x14ac:dyDescent="0.2">
      <c r="A11967" s="496"/>
      <c r="D11967" s="496"/>
    </row>
    <row r="11968" spans="1:4" x14ac:dyDescent="0.2">
      <c r="A11968" s="496"/>
      <c r="D11968" s="496"/>
    </row>
    <row r="11969" spans="1:4" x14ac:dyDescent="0.2">
      <c r="A11969" s="496"/>
      <c r="D11969" s="496"/>
    </row>
    <row r="11970" spans="1:4" x14ac:dyDescent="0.2">
      <c r="A11970" s="496"/>
      <c r="D11970" s="496"/>
    </row>
    <row r="11971" spans="1:4" x14ac:dyDescent="0.2">
      <c r="A11971" s="496"/>
      <c r="D11971" s="496"/>
    </row>
    <row r="11972" spans="1:4" x14ac:dyDescent="0.2">
      <c r="A11972" s="496"/>
      <c r="D11972" s="496"/>
    </row>
    <row r="11973" spans="1:4" x14ac:dyDescent="0.2">
      <c r="A11973" s="496"/>
      <c r="D11973" s="496"/>
    </row>
    <row r="11974" spans="1:4" x14ac:dyDescent="0.2">
      <c r="A11974" s="496"/>
      <c r="D11974" s="496"/>
    </row>
    <row r="11975" spans="1:4" x14ac:dyDescent="0.2">
      <c r="A11975" s="496"/>
      <c r="D11975" s="496"/>
    </row>
    <row r="11976" spans="1:4" x14ac:dyDescent="0.2">
      <c r="A11976" s="496"/>
      <c r="D11976" s="496"/>
    </row>
    <row r="11977" spans="1:4" x14ac:dyDescent="0.2">
      <c r="A11977" s="496"/>
      <c r="D11977" s="496"/>
    </row>
    <row r="11978" spans="1:4" x14ac:dyDescent="0.2">
      <c r="A11978" s="496"/>
      <c r="D11978" s="496"/>
    </row>
    <row r="11979" spans="1:4" x14ac:dyDescent="0.2">
      <c r="A11979" s="496"/>
      <c r="D11979" s="496"/>
    </row>
    <row r="11980" spans="1:4" x14ac:dyDescent="0.2">
      <c r="A11980" s="496"/>
      <c r="D11980" s="496"/>
    </row>
    <row r="11981" spans="1:4" x14ac:dyDescent="0.2">
      <c r="A11981" s="496"/>
      <c r="D11981" s="496"/>
    </row>
    <row r="11982" spans="1:4" x14ac:dyDescent="0.2">
      <c r="A11982" s="496"/>
      <c r="D11982" s="496"/>
    </row>
    <row r="11983" spans="1:4" x14ac:dyDescent="0.2">
      <c r="A11983" s="496"/>
      <c r="D11983" s="496"/>
    </row>
    <row r="11984" spans="1:4" x14ac:dyDescent="0.2">
      <c r="A11984" s="496"/>
      <c r="D11984" s="496"/>
    </row>
    <row r="11985" spans="1:4" x14ac:dyDescent="0.2">
      <c r="A11985" s="496"/>
      <c r="D11985" s="496"/>
    </row>
    <row r="11986" spans="1:4" x14ac:dyDescent="0.2">
      <c r="A11986" s="496"/>
      <c r="D11986" s="496"/>
    </row>
    <row r="11987" spans="1:4" x14ac:dyDescent="0.2">
      <c r="A11987" s="496"/>
      <c r="D11987" s="496"/>
    </row>
    <row r="11988" spans="1:4" x14ac:dyDescent="0.2">
      <c r="A11988" s="496"/>
      <c r="D11988" s="496"/>
    </row>
    <row r="11989" spans="1:4" x14ac:dyDescent="0.2">
      <c r="A11989" s="496"/>
      <c r="D11989" s="496"/>
    </row>
    <row r="11990" spans="1:4" x14ac:dyDescent="0.2">
      <c r="A11990" s="496"/>
      <c r="D11990" s="496"/>
    </row>
    <row r="11991" spans="1:4" x14ac:dyDescent="0.2">
      <c r="A11991" s="496"/>
      <c r="D11991" s="496"/>
    </row>
    <row r="11992" spans="1:4" x14ac:dyDescent="0.2">
      <c r="A11992" s="496"/>
      <c r="D11992" s="496"/>
    </row>
    <row r="11993" spans="1:4" x14ac:dyDescent="0.2">
      <c r="A11993" s="496"/>
      <c r="D11993" s="496"/>
    </row>
    <row r="11994" spans="1:4" x14ac:dyDescent="0.2">
      <c r="A11994" s="496"/>
      <c r="D11994" s="496"/>
    </row>
    <row r="11995" spans="1:4" x14ac:dyDescent="0.2">
      <c r="A11995" s="496"/>
      <c r="D11995" s="496"/>
    </row>
    <row r="11996" spans="1:4" x14ac:dyDescent="0.2">
      <c r="A11996" s="496"/>
      <c r="D11996" s="496"/>
    </row>
    <row r="11997" spans="1:4" x14ac:dyDescent="0.2">
      <c r="A11997" s="496"/>
      <c r="D11997" s="496"/>
    </row>
    <row r="11998" spans="1:4" x14ac:dyDescent="0.2">
      <c r="A11998" s="496"/>
      <c r="D11998" s="496"/>
    </row>
    <row r="11999" spans="1:4" x14ac:dyDescent="0.2">
      <c r="A11999" s="496"/>
      <c r="D11999" s="496"/>
    </row>
    <row r="12000" spans="1:4" x14ac:dyDescent="0.2">
      <c r="A12000" s="496"/>
      <c r="D12000" s="496"/>
    </row>
    <row r="12001" spans="1:4" x14ac:dyDescent="0.2">
      <c r="A12001" s="496"/>
      <c r="D12001" s="496"/>
    </row>
    <row r="12002" spans="1:4" x14ac:dyDescent="0.2">
      <c r="A12002" s="496"/>
      <c r="D12002" s="496"/>
    </row>
    <row r="12003" spans="1:4" x14ac:dyDescent="0.2">
      <c r="A12003" s="496"/>
      <c r="D12003" s="496"/>
    </row>
    <row r="12004" spans="1:4" x14ac:dyDescent="0.2">
      <c r="A12004" s="496"/>
      <c r="D12004" s="496"/>
    </row>
    <row r="12005" spans="1:4" x14ac:dyDescent="0.2">
      <c r="A12005" s="496"/>
      <c r="D12005" s="496"/>
    </row>
    <row r="12006" spans="1:4" x14ac:dyDescent="0.2">
      <c r="A12006" s="496"/>
      <c r="D12006" s="496"/>
    </row>
    <row r="12007" spans="1:4" x14ac:dyDescent="0.2">
      <c r="A12007" s="496"/>
      <c r="D12007" s="496"/>
    </row>
    <row r="12008" spans="1:4" x14ac:dyDescent="0.2">
      <c r="A12008" s="496"/>
      <c r="D12008" s="496"/>
    </row>
    <row r="12009" spans="1:4" x14ac:dyDescent="0.2">
      <c r="A12009" s="496"/>
      <c r="D12009" s="496"/>
    </row>
    <row r="12010" spans="1:4" x14ac:dyDescent="0.2">
      <c r="A12010" s="496"/>
      <c r="D12010" s="496"/>
    </row>
    <row r="12011" spans="1:4" x14ac:dyDescent="0.2">
      <c r="A12011" s="496"/>
      <c r="D12011" s="496"/>
    </row>
    <row r="12012" spans="1:4" x14ac:dyDescent="0.2">
      <c r="A12012" s="496"/>
      <c r="D12012" s="496"/>
    </row>
    <row r="12013" spans="1:4" x14ac:dyDescent="0.2">
      <c r="A12013" s="496"/>
      <c r="D12013" s="496"/>
    </row>
    <row r="12014" spans="1:4" x14ac:dyDescent="0.2">
      <c r="A12014" s="496"/>
      <c r="D12014" s="496"/>
    </row>
    <row r="12015" spans="1:4" x14ac:dyDescent="0.2">
      <c r="A12015" s="496"/>
      <c r="D12015" s="496"/>
    </row>
    <row r="12016" spans="1:4" x14ac:dyDescent="0.2">
      <c r="A12016" s="496"/>
      <c r="D12016" s="496"/>
    </row>
    <row r="12017" spans="1:4" x14ac:dyDescent="0.2">
      <c r="A12017" s="496"/>
      <c r="D12017" s="496"/>
    </row>
    <row r="12018" spans="1:4" x14ac:dyDescent="0.2">
      <c r="A12018" s="496"/>
      <c r="D12018" s="496"/>
    </row>
    <row r="12019" spans="1:4" x14ac:dyDescent="0.2">
      <c r="A12019" s="496"/>
      <c r="D12019" s="496"/>
    </row>
    <row r="12020" spans="1:4" x14ac:dyDescent="0.2">
      <c r="A12020" s="496"/>
      <c r="D12020" s="496"/>
    </row>
    <row r="12021" spans="1:4" x14ac:dyDescent="0.2">
      <c r="A12021" s="496"/>
      <c r="D12021" s="496"/>
    </row>
    <row r="12022" spans="1:4" x14ac:dyDescent="0.2">
      <c r="A12022" s="496"/>
      <c r="D12022" s="496"/>
    </row>
    <row r="12023" spans="1:4" x14ac:dyDescent="0.2">
      <c r="A12023" s="496"/>
      <c r="D12023" s="496"/>
    </row>
    <row r="12024" spans="1:4" x14ac:dyDescent="0.2">
      <c r="A12024" s="496"/>
      <c r="D12024" s="496"/>
    </row>
    <row r="12025" spans="1:4" x14ac:dyDescent="0.2">
      <c r="A12025" s="496"/>
      <c r="D12025" s="496"/>
    </row>
    <row r="12026" spans="1:4" x14ac:dyDescent="0.2">
      <c r="A12026" s="496"/>
      <c r="D12026" s="496"/>
    </row>
    <row r="12027" spans="1:4" x14ac:dyDescent="0.2">
      <c r="A12027" s="496"/>
      <c r="D12027" s="496"/>
    </row>
    <row r="12028" spans="1:4" x14ac:dyDescent="0.2">
      <c r="A12028" s="496"/>
      <c r="D12028" s="496"/>
    </row>
    <row r="12029" spans="1:4" x14ac:dyDescent="0.2">
      <c r="A12029" s="496"/>
      <c r="D12029" s="496"/>
    </row>
    <row r="12030" spans="1:4" x14ac:dyDescent="0.2">
      <c r="A12030" s="496"/>
      <c r="D12030" s="496"/>
    </row>
    <row r="12031" spans="1:4" x14ac:dyDescent="0.2">
      <c r="A12031" s="496"/>
      <c r="D12031" s="496"/>
    </row>
    <row r="12032" spans="1:4" x14ac:dyDescent="0.2">
      <c r="A12032" s="496"/>
      <c r="D12032" s="496"/>
    </row>
    <row r="12033" spans="1:4" x14ac:dyDescent="0.2">
      <c r="A12033" s="496"/>
      <c r="D12033" s="496"/>
    </row>
    <row r="12034" spans="1:4" x14ac:dyDescent="0.2">
      <c r="A12034" s="496"/>
      <c r="D12034" s="496"/>
    </row>
    <row r="12035" spans="1:4" x14ac:dyDescent="0.2">
      <c r="A12035" s="496"/>
      <c r="D12035" s="496"/>
    </row>
    <row r="12036" spans="1:4" x14ac:dyDescent="0.2">
      <c r="A12036" s="496"/>
      <c r="D12036" s="496"/>
    </row>
    <row r="12037" spans="1:4" x14ac:dyDescent="0.2">
      <c r="A12037" s="496"/>
      <c r="D12037" s="496"/>
    </row>
    <row r="12038" spans="1:4" x14ac:dyDescent="0.2">
      <c r="A12038" s="496"/>
      <c r="D12038" s="496"/>
    </row>
    <row r="12039" spans="1:4" x14ac:dyDescent="0.2">
      <c r="A12039" s="496"/>
      <c r="D12039" s="496"/>
    </row>
    <row r="12040" spans="1:4" x14ac:dyDescent="0.2">
      <c r="A12040" s="496"/>
      <c r="D12040" s="496"/>
    </row>
    <row r="12041" spans="1:4" x14ac:dyDescent="0.2">
      <c r="A12041" s="496"/>
      <c r="D12041" s="496"/>
    </row>
    <row r="12042" spans="1:4" x14ac:dyDescent="0.2">
      <c r="A12042" s="496"/>
      <c r="D12042" s="496"/>
    </row>
    <row r="12043" spans="1:4" x14ac:dyDescent="0.2">
      <c r="A12043" s="496"/>
      <c r="D12043" s="496"/>
    </row>
    <row r="12044" spans="1:4" x14ac:dyDescent="0.2">
      <c r="A12044" s="496"/>
      <c r="D12044" s="496"/>
    </row>
    <row r="12045" spans="1:4" x14ac:dyDescent="0.2">
      <c r="A12045" s="496"/>
      <c r="D12045" s="496"/>
    </row>
    <row r="12046" spans="1:4" x14ac:dyDescent="0.2">
      <c r="A12046" s="496"/>
      <c r="D12046" s="496"/>
    </row>
    <row r="12047" spans="1:4" x14ac:dyDescent="0.2">
      <c r="A12047" s="496"/>
      <c r="D12047" s="496"/>
    </row>
    <row r="12048" spans="1:4" x14ac:dyDescent="0.2">
      <c r="A12048" s="496"/>
      <c r="D12048" s="496"/>
    </row>
    <row r="12049" spans="1:4" x14ac:dyDescent="0.2">
      <c r="A12049" s="496"/>
      <c r="D12049" s="496"/>
    </row>
    <row r="12050" spans="1:4" x14ac:dyDescent="0.2">
      <c r="A12050" s="496"/>
      <c r="D12050" s="496"/>
    </row>
    <row r="12051" spans="1:4" x14ac:dyDescent="0.2">
      <c r="A12051" s="496"/>
      <c r="D12051" s="496"/>
    </row>
    <row r="12052" spans="1:4" x14ac:dyDescent="0.2">
      <c r="A12052" s="496"/>
      <c r="D12052" s="496"/>
    </row>
    <row r="12053" spans="1:4" x14ac:dyDescent="0.2">
      <c r="A12053" s="496"/>
      <c r="D12053" s="496"/>
    </row>
    <row r="12054" spans="1:4" x14ac:dyDescent="0.2">
      <c r="A12054" s="496"/>
      <c r="D12054" s="496"/>
    </row>
    <row r="12055" spans="1:4" x14ac:dyDescent="0.2">
      <c r="A12055" s="496"/>
      <c r="D12055" s="496"/>
    </row>
    <row r="12056" spans="1:4" x14ac:dyDescent="0.2">
      <c r="A12056" s="496"/>
      <c r="D12056" s="496"/>
    </row>
    <row r="12057" spans="1:4" x14ac:dyDescent="0.2">
      <c r="A12057" s="496"/>
      <c r="D12057" s="496"/>
    </row>
    <row r="12058" spans="1:4" x14ac:dyDescent="0.2">
      <c r="A12058" s="496"/>
      <c r="D12058" s="496"/>
    </row>
    <row r="12059" spans="1:4" x14ac:dyDescent="0.2">
      <c r="A12059" s="496"/>
      <c r="D12059" s="496"/>
    </row>
    <row r="12060" spans="1:4" x14ac:dyDescent="0.2">
      <c r="A12060" s="496"/>
      <c r="D12060" s="496"/>
    </row>
    <row r="12061" spans="1:4" x14ac:dyDescent="0.2">
      <c r="A12061" s="496"/>
      <c r="D12061" s="496"/>
    </row>
    <row r="12062" spans="1:4" x14ac:dyDescent="0.2">
      <c r="A12062" s="496"/>
      <c r="D12062" s="496"/>
    </row>
    <row r="12063" spans="1:4" x14ac:dyDescent="0.2">
      <c r="A12063" s="496"/>
      <c r="D12063" s="496"/>
    </row>
    <row r="12064" spans="1:4" x14ac:dyDescent="0.2">
      <c r="A12064" s="496"/>
      <c r="D12064" s="496"/>
    </row>
    <row r="12065" spans="1:4" x14ac:dyDescent="0.2">
      <c r="A12065" s="496"/>
      <c r="D12065" s="496"/>
    </row>
    <row r="12066" spans="1:4" x14ac:dyDescent="0.2">
      <c r="A12066" s="496"/>
      <c r="D12066" s="496"/>
    </row>
    <row r="12067" spans="1:4" x14ac:dyDescent="0.2">
      <c r="A12067" s="496"/>
      <c r="D12067" s="496"/>
    </row>
    <row r="12068" spans="1:4" x14ac:dyDescent="0.2">
      <c r="A12068" s="496"/>
      <c r="D12068" s="496"/>
    </row>
    <row r="12069" spans="1:4" x14ac:dyDescent="0.2">
      <c r="A12069" s="496"/>
      <c r="D12069" s="496"/>
    </row>
    <row r="12070" spans="1:4" x14ac:dyDescent="0.2">
      <c r="A12070" s="496"/>
      <c r="D12070" s="496"/>
    </row>
    <row r="12071" spans="1:4" x14ac:dyDescent="0.2">
      <c r="A12071" s="496"/>
      <c r="D12071" s="496"/>
    </row>
    <row r="12072" spans="1:4" x14ac:dyDescent="0.2">
      <c r="A12072" s="496"/>
      <c r="D12072" s="496"/>
    </row>
    <row r="12073" spans="1:4" x14ac:dyDescent="0.2">
      <c r="A12073" s="496"/>
      <c r="D12073" s="496"/>
    </row>
    <row r="12074" spans="1:4" x14ac:dyDescent="0.2">
      <c r="A12074" s="496"/>
      <c r="D12074" s="496"/>
    </row>
    <row r="12075" spans="1:4" x14ac:dyDescent="0.2">
      <c r="A12075" s="496"/>
      <c r="D12075" s="496"/>
    </row>
    <row r="12076" spans="1:4" x14ac:dyDescent="0.2">
      <c r="A12076" s="496"/>
      <c r="D12076" s="496"/>
    </row>
    <row r="12077" spans="1:4" x14ac:dyDescent="0.2">
      <c r="A12077" s="496"/>
      <c r="D12077" s="496"/>
    </row>
    <row r="12078" spans="1:4" x14ac:dyDescent="0.2">
      <c r="A12078" s="496"/>
      <c r="D12078" s="496"/>
    </row>
    <row r="12079" spans="1:4" x14ac:dyDescent="0.2">
      <c r="A12079" s="496"/>
      <c r="D12079" s="496"/>
    </row>
    <row r="12080" spans="1:4" x14ac:dyDescent="0.2">
      <c r="A12080" s="496"/>
      <c r="D12080" s="496"/>
    </row>
    <row r="12081" spans="1:4" x14ac:dyDescent="0.2">
      <c r="A12081" s="496"/>
      <c r="D12081" s="496"/>
    </row>
    <row r="12082" spans="1:4" x14ac:dyDescent="0.2">
      <c r="A12082" s="496"/>
      <c r="D12082" s="496"/>
    </row>
    <row r="12083" spans="1:4" x14ac:dyDescent="0.2">
      <c r="A12083" s="496"/>
      <c r="D12083" s="496"/>
    </row>
    <row r="12084" spans="1:4" x14ac:dyDescent="0.2">
      <c r="A12084" s="496"/>
      <c r="D12084" s="496"/>
    </row>
    <row r="12085" spans="1:4" x14ac:dyDescent="0.2">
      <c r="A12085" s="496"/>
      <c r="D12085" s="496"/>
    </row>
    <row r="12086" spans="1:4" x14ac:dyDescent="0.2">
      <c r="A12086" s="496"/>
      <c r="D12086" s="496"/>
    </row>
    <row r="12087" spans="1:4" x14ac:dyDescent="0.2">
      <c r="A12087" s="496"/>
      <c r="D12087" s="496"/>
    </row>
    <row r="12088" spans="1:4" x14ac:dyDescent="0.2">
      <c r="A12088" s="496"/>
      <c r="D12088" s="496"/>
    </row>
    <row r="12089" spans="1:4" x14ac:dyDescent="0.2">
      <c r="A12089" s="496"/>
      <c r="D12089" s="496"/>
    </row>
    <row r="12090" spans="1:4" x14ac:dyDescent="0.2">
      <c r="A12090" s="496"/>
      <c r="D12090" s="496"/>
    </row>
    <row r="12091" spans="1:4" x14ac:dyDescent="0.2">
      <c r="A12091" s="496"/>
      <c r="D12091" s="496"/>
    </row>
    <row r="12092" spans="1:4" x14ac:dyDescent="0.2">
      <c r="A12092" s="496"/>
      <c r="D12092" s="496"/>
    </row>
    <row r="12093" spans="1:4" x14ac:dyDescent="0.2">
      <c r="A12093" s="496"/>
      <c r="D12093" s="496"/>
    </row>
    <row r="12094" spans="1:4" x14ac:dyDescent="0.2">
      <c r="A12094" s="496"/>
      <c r="D12094" s="496"/>
    </row>
    <row r="12095" spans="1:4" x14ac:dyDescent="0.2">
      <c r="A12095" s="496"/>
      <c r="D12095" s="496"/>
    </row>
    <row r="12096" spans="1:4" x14ac:dyDescent="0.2">
      <c r="A12096" s="496"/>
      <c r="D12096" s="496"/>
    </row>
    <row r="12097" spans="1:4" x14ac:dyDescent="0.2">
      <c r="A12097" s="496"/>
      <c r="D12097" s="496"/>
    </row>
    <row r="12098" spans="1:4" x14ac:dyDescent="0.2">
      <c r="A12098" s="496"/>
      <c r="D12098" s="496"/>
    </row>
    <row r="12099" spans="1:4" x14ac:dyDescent="0.2">
      <c r="A12099" s="496"/>
      <c r="D12099" s="496"/>
    </row>
    <row r="12100" spans="1:4" x14ac:dyDescent="0.2">
      <c r="A12100" s="496"/>
      <c r="D12100" s="496"/>
    </row>
    <row r="12101" spans="1:4" x14ac:dyDescent="0.2">
      <c r="A12101" s="496"/>
      <c r="D12101" s="496"/>
    </row>
    <row r="12102" spans="1:4" x14ac:dyDescent="0.2">
      <c r="A12102" s="496"/>
      <c r="D12102" s="496"/>
    </row>
    <row r="12103" spans="1:4" x14ac:dyDescent="0.2">
      <c r="A12103" s="496"/>
      <c r="D12103" s="496"/>
    </row>
    <row r="12104" spans="1:4" x14ac:dyDescent="0.2">
      <c r="A12104" s="496"/>
      <c r="D12104" s="496"/>
    </row>
    <row r="12105" spans="1:4" x14ac:dyDescent="0.2">
      <c r="A12105" s="496"/>
      <c r="D12105" s="496"/>
    </row>
    <row r="12106" spans="1:4" x14ac:dyDescent="0.2">
      <c r="A12106" s="496"/>
      <c r="D12106" s="496"/>
    </row>
    <row r="12107" spans="1:4" x14ac:dyDescent="0.2">
      <c r="A12107" s="496"/>
      <c r="D12107" s="496"/>
    </row>
    <row r="12108" spans="1:4" x14ac:dyDescent="0.2">
      <c r="A12108" s="496"/>
      <c r="D12108" s="496"/>
    </row>
    <row r="12109" spans="1:4" x14ac:dyDescent="0.2">
      <c r="A12109" s="496"/>
      <c r="D12109" s="496"/>
    </row>
    <row r="12110" spans="1:4" x14ac:dyDescent="0.2">
      <c r="A12110" s="496"/>
      <c r="D12110" s="496"/>
    </row>
    <row r="12111" spans="1:4" x14ac:dyDescent="0.2">
      <c r="A12111" s="496"/>
      <c r="D12111" s="496"/>
    </row>
    <row r="12112" spans="1:4" x14ac:dyDescent="0.2">
      <c r="A12112" s="496"/>
      <c r="D12112" s="496"/>
    </row>
    <row r="12113" spans="1:4" x14ac:dyDescent="0.2">
      <c r="A12113" s="496"/>
      <c r="D12113" s="496"/>
    </row>
    <row r="12114" spans="1:4" x14ac:dyDescent="0.2">
      <c r="A12114" s="496"/>
      <c r="D12114" s="496"/>
    </row>
    <row r="12115" spans="1:4" x14ac:dyDescent="0.2">
      <c r="A12115" s="496"/>
      <c r="D12115" s="496"/>
    </row>
    <row r="12116" spans="1:4" x14ac:dyDescent="0.2">
      <c r="A12116" s="496"/>
      <c r="D12116" s="496"/>
    </row>
    <row r="12117" spans="1:4" x14ac:dyDescent="0.2">
      <c r="A12117" s="496"/>
      <c r="D12117" s="496"/>
    </row>
    <row r="12118" spans="1:4" x14ac:dyDescent="0.2">
      <c r="A12118" s="496"/>
      <c r="D12118" s="496"/>
    </row>
    <row r="12119" spans="1:4" x14ac:dyDescent="0.2">
      <c r="A12119" s="496"/>
      <c r="D12119" s="496"/>
    </row>
    <row r="12120" spans="1:4" x14ac:dyDescent="0.2">
      <c r="A12120" s="496"/>
      <c r="D12120" s="496"/>
    </row>
    <row r="12121" spans="1:4" x14ac:dyDescent="0.2">
      <c r="A12121" s="496"/>
      <c r="D12121" s="496"/>
    </row>
    <row r="12122" spans="1:4" x14ac:dyDescent="0.2">
      <c r="A12122" s="496"/>
      <c r="D12122" s="496"/>
    </row>
    <row r="12123" spans="1:4" x14ac:dyDescent="0.2">
      <c r="A12123" s="496"/>
      <c r="D12123" s="496"/>
    </row>
    <row r="12124" spans="1:4" x14ac:dyDescent="0.2">
      <c r="A12124" s="496"/>
      <c r="D12124" s="496"/>
    </row>
    <row r="12125" spans="1:4" x14ac:dyDescent="0.2">
      <c r="A12125" s="496"/>
      <c r="D12125" s="496"/>
    </row>
    <row r="12126" spans="1:4" x14ac:dyDescent="0.2">
      <c r="A12126" s="496"/>
      <c r="D12126" s="496"/>
    </row>
    <row r="12127" spans="1:4" x14ac:dyDescent="0.2">
      <c r="A12127" s="496"/>
      <c r="D12127" s="496"/>
    </row>
    <row r="12128" spans="1:4" x14ac:dyDescent="0.2">
      <c r="A12128" s="496"/>
      <c r="D12128" s="496"/>
    </row>
    <row r="12129" spans="1:4" x14ac:dyDescent="0.2">
      <c r="A12129" s="496"/>
      <c r="D12129" s="496"/>
    </row>
    <row r="12130" spans="1:4" x14ac:dyDescent="0.2">
      <c r="A12130" s="496"/>
      <c r="D12130" s="496"/>
    </row>
    <row r="12131" spans="1:4" x14ac:dyDescent="0.2">
      <c r="A12131" s="496"/>
      <c r="D12131" s="496"/>
    </row>
    <row r="12132" spans="1:4" x14ac:dyDescent="0.2">
      <c r="A12132" s="496"/>
      <c r="D12132" s="496"/>
    </row>
    <row r="12133" spans="1:4" x14ac:dyDescent="0.2">
      <c r="A12133" s="496"/>
      <c r="D12133" s="496"/>
    </row>
    <row r="12134" spans="1:4" x14ac:dyDescent="0.2">
      <c r="A12134" s="496"/>
      <c r="D12134" s="496"/>
    </row>
    <row r="12135" spans="1:4" x14ac:dyDescent="0.2">
      <c r="A12135" s="496"/>
      <c r="D12135" s="496"/>
    </row>
    <row r="12136" spans="1:4" x14ac:dyDescent="0.2">
      <c r="A12136" s="496"/>
      <c r="D12136" s="496"/>
    </row>
    <row r="12137" spans="1:4" x14ac:dyDescent="0.2">
      <c r="A12137" s="496"/>
      <c r="D12137" s="496"/>
    </row>
    <row r="12138" spans="1:4" x14ac:dyDescent="0.2">
      <c r="A12138" s="496"/>
      <c r="D12138" s="496"/>
    </row>
    <row r="12139" spans="1:4" x14ac:dyDescent="0.2">
      <c r="A12139" s="496"/>
      <c r="D12139" s="496"/>
    </row>
    <row r="12140" spans="1:4" x14ac:dyDescent="0.2">
      <c r="A12140" s="496"/>
      <c r="D12140" s="496"/>
    </row>
    <row r="12141" spans="1:4" x14ac:dyDescent="0.2">
      <c r="A12141" s="496"/>
      <c r="D12141" s="496"/>
    </row>
    <row r="12142" spans="1:4" x14ac:dyDescent="0.2">
      <c r="A12142" s="496"/>
      <c r="D12142" s="496"/>
    </row>
    <row r="12143" spans="1:4" x14ac:dyDescent="0.2">
      <c r="A12143" s="496"/>
      <c r="D12143" s="496"/>
    </row>
    <row r="12144" spans="1:4" x14ac:dyDescent="0.2">
      <c r="A12144" s="496"/>
      <c r="D12144" s="496"/>
    </row>
    <row r="12145" spans="1:4" x14ac:dyDescent="0.2">
      <c r="A12145" s="496"/>
      <c r="D12145" s="496"/>
    </row>
    <row r="12146" spans="1:4" x14ac:dyDescent="0.2">
      <c r="A12146" s="496"/>
      <c r="D12146" s="496"/>
    </row>
    <row r="12147" spans="1:4" x14ac:dyDescent="0.2">
      <c r="A12147" s="496"/>
      <c r="D12147" s="496"/>
    </row>
    <row r="12148" spans="1:4" x14ac:dyDescent="0.2">
      <c r="A12148" s="496"/>
      <c r="D12148" s="496"/>
    </row>
    <row r="12149" spans="1:4" x14ac:dyDescent="0.2">
      <c r="A12149" s="496"/>
      <c r="D12149" s="496"/>
    </row>
    <row r="12150" spans="1:4" x14ac:dyDescent="0.2">
      <c r="A12150" s="496"/>
      <c r="D12150" s="496"/>
    </row>
    <row r="12151" spans="1:4" x14ac:dyDescent="0.2">
      <c r="A12151" s="496"/>
      <c r="D12151" s="496"/>
    </row>
    <row r="12152" spans="1:4" x14ac:dyDescent="0.2">
      <c r="A12152" s="496"/>
      <c r="D12152" s="496"/>
    </row>
    <row r="12153" spans="1:4" x14ac:dyDescent="0.2">
      <c r="A12153" s="496"/>
      <c r="D12153" s="496"/>
    </row>
    <row r="12154" spans="1:4" x14ac:dyDescent="0.2">
      <c r="A12154" s="496"/>
      <c r="D12154" s="496"/>
    </row>
    <row r="12155" spans="1:4" x14ac:dyDescent="0.2">
      <c r="A12155" s="496"/>
      <c r="D12155" s="496"/>
    </row>
    <row r="12156" spans="1:4" x14ac:dyDescent="0.2">
      <c r="A12156" s="496"/>
      <c r="D12156" s="496"/>
    </row>
    <row r="12157" spans="1:4" x14ac:dyDescent="0.2">
      <c r="A12157" s="496"/>
      <c r="D12157" s="496"/>
    </row>
    <row r="12158" spans="1:4" x14ac:dyDescent="0.2">
      <c r="A12158" s="496"/>
      <c r="D12158" s="496"/>
    </row>
    <row r="12159" spans="1:4" x14ac:dyDescent="0.2">
      <c r="A12159" s="496"/>
      <c r="D12159" s="496"/>
    </row>
    <row r="12160" spans="1:4" x14ac:dyDescent="0.2">
      <c r="A12160" s="496"/>
      <c r="D12160" s="496"/>
    </row>
    <row r="12161" spans="1:4" x14ac:dyDescent="0.2">
      <c r="A12161" s="496"/>
      <c r="D12161" s="496"/>
    </row>
    <row r="12162" spans="1:4" x14ac:dyDescent="0.2">
      <c r="A12162" s="496"/>
      <c r="D12162" s="496"/>
    </row>
    <row r="12163" spans="1:4" x14ac:dyDescent="0.2">
      <c r="A12163" s="496"/>
      <c r="D12163" s="496"/>
    </row>
    <row r="12164" spans="1:4" x14ac:dyDescent="0.2">
      <c r="A12164" s="496"/>
      <c r="D12164" s="496"/>
    </row>
    <row r="12165" spans="1:4" x14ac:dyDescent="0.2">
      <c r="A12165" s="496"/>
      <c r="D12165" s="496"/>
    </row>
    <row r="12166" spans="1:4" x14ac:dyDescent="0.2">
      <c r="A12166" s="496"/>
      <c r="D12166" s="496"/>
    </row>
    <row r="12167" spans="1:4" x14ac:dyDescent="0.2">
      <c r="A12167" s="496"/>
      <c r="D12167" s="496"/>
    </row>
    <row r="12168" spans="1:4" x14ac:dyDescent="0.2">
      <c r="A12168" s="496"/>
      <c r="D12168" s="496"/>
    </row>
    <row r="12169" spans="1:4" x14ac:dyDescent="0.2">
      <c r="A12169" s="496"/>
      <c r="D12169" s="496"/>
    </row>
    <row r="12170" spans="1:4" x14ac:dyDescent="0.2">
      <c r="A12170" s="496"/>
      <c r="D12170" s="496"/>
    </row>
    <row r="12171" spans="1:4" x14ac:dyDescent="0.2">
      <c r="A12171" s="496"/>
      <c r="D12171" s="496"/>
    </row>
    <row r="12172" spans="1:4" x14ac:dyDescent="0.2">
      <c r="A12172" s="496"/>
      <c r="D12172" s="496"/>
    </row>
    <row r="12173" spans="1:4" x14ac:dyDescent="0.2">
      <c r="A12173" s="496"/>
      <c r="D12173" s="496"/>
    </row>
    <row r="12174" spans="1:4" x14ac:dyDescent="0.2">
      <c r="A12174" s="496"/>
      <c r="D12174" s="496"/>
    </row>
    <row r="12175" spans="1:4" x14ac:dyDescent="0.2">
      <c r="A12175" s="496"/>
      <c r="D12175" s="496"/>
    </row>
    <row r="12176" spans="1:4" x14ac:dyDescent="0.2">
      <c r="A12176" s="496"/>
      <c r="D12176" s="496"/>
    </row>
    <row r="12177" spans="1:4" x14ac:dyDescent="0.2">
      <c r="A12177" s="496"/>
      <c r="D12177" s="496"/>
    </row>
    <row r="12178" spans="1:4" x14ac:dyDescent="0.2">
      <c r="A12178" s="496"/>
      <c r="D12178" s="496"/>
    </row>
    <row r="12179" spans="1:4" x14ac:dyDescent="0.2">
      <c r="A12179" s="496"/>
      <c r="D12179" s="496"/>
    </row>
    <row r="12180" spans="1:4" x14ac:dyDescent="0.2">
      <c r="A12180" s="496"/>
      <c r="D12180" s="496"/>
    </row>
    <row r="12181" spans="1:4" x14ac:dyDescent="0.2">
      <c r="A12181" s="496"/>
      <c r="D12181" s="496"/>
    </row>
    <row r="12182" spans="1:4" x14ac:dyDescent="0.2">
      <c r="A12182" s="496"/>
      <c r="D12182" s="496"/>
    </row>
    <row r="12183" spans="1:4" x14ac:dyDescent="0.2">
      <c r="A12183" s="496"/>
      <c r="D12183" s="496"/>
    </row>
    <row r="12184" spans="1:4" x14ac:dyDescent="0.2">
      <c r="A12184" s="496"/>
      <c r="D12184" s="496"/>
    </row>
    <row r="12185" spans="1:4" x14ac:dyDescent="0.2">
      <c r="A12185" s="496"/>
      <c r="D12185" s="496"/>
    </row>
    <row r="12186" spans="1:4" x14ac:dyDescent="0.2">
      <c r="A12186" s="496"/>
      <c r="D12186" s="496"/>
    </row>
    <row r="12187" spans="1:4" x14ac:dyDescent="0.2">
      <c r="A12187" s="496"/>
      <c r="D12187" s="496"/>
    </row>
    <row r="12188" spans="1:4" x14ac:dyDescent="0.2">
      <c r="A12188" s="496"/>
      <c r="D12188" s="496"/>
    </row>
    <row r="12189" spans="1:4" x14ac:dyDescent="0.2">
      <c r="A12189" s="496"/>
      <c r="D12189" s="496"/>
    </row>
    <row r="12190" spans="1:4" x14ac:dyDescent="0.2">
      <c r="A12190" s="496"/>
      <c r="D12190" s="496"/>
    </row>
    <row r="12191" spans="1:4" x14ac:dyDescent="0.2">
      <c r="A12191" s="496"/>
      <c r="D12191" s="496"/>
    </row>
    <row r="12192" spans="1:4" x14ac:dyDescent="0.2">
      <c r="A12192" s="496"/>
      <c r="D12192" s="496"/>
    </row>
    <row r="12193" spans="1:4" x14ac:dyDescent="0.2">
      <c r="A12193" s="496"/>
      <c r="D12193" s="496"/>
    </row>
    <row r="12194" spans="1:4" x14ac:dyDescent="0.2">
      <c r="A12194" s="496"/>
      <c r="D12194" s="496"/>
    </row>
    <row r="12195" spans="1:4" x14ac:dyDescent="0.2">
      <c r="A12195" s="496"/>
      <c r="D12195" s="496"/>
    </row>
    <row r="12196" spans="1:4" x14ac:dyDescent="0.2">
      <c r="A12196" s="496"/>
      <c r="D12196" s="496"/>
    </row>
    <row r="12197" spans="1:4" x14ac:dyDescent="0.2">
      <c r="A12197" s="496"/>
      <c r="D12197" s="496"/>
    </row>
    <row r="12198" spans="1:4" x14ac:dyDescent="0.2">
      <c r="A12198" s="496"/>
      <c r="D12198" s="496"/>
    </row>
    <row r="12199" spans="1:4" x14ac:dyDescent="0.2">
      <c r="A12199" s="496"/>
      <c r="D12199" s="496"/>
    </row>
    <row r="12200" spans="1:4" x14ac:dyDescent="0.2">
      <c r="A12200" s="496"/>
      <c r="D12200" s="496"/>
    </row>
    <row r="12201" spans="1:4" x14ac:dyDescent="0.2">
      <c r="A12201" s="496"/>
      <c r="D12201" s="496"/>
    </row>
    <row r="12202" spans="1:4" x14ac:dyDescent="0.2">
      <c r="A12202" s="496"/>
      <c r="D12202" s="496"/>
    </row>
    <row r="12203" spans="1:4" x14ac:dyDescent="0.2">
      <c r="A12203" s="496"/>
      <c r="D12203" s="496"/>
    </row>
    <row r="12204" spans="1:4" x14ac:dyDescent="0.2">
      <c r="A12204" s="496"/>
      <c r="D12204" s="496"/>
    </row>
    <row r="12205" spans="1:4" x14ac:dyDescent="0.2">
      <c r="A12205" s="496"/>
      <c r="D12205" s="496"/>
    </row>
    <row r="12206" spans="1:4" x14ac:dyDescent="0.2">
      <c r="A12206" s="496"/>
      <c r="D12206" s="496"/>
    </row>
    <row r="12207" spans="1:4" x14ac:dyDescent="0.2">
      <c r="A12207" s="496"/>
      <c r="D12207" s="496"/>
    </row>
    <row r="12208" spans="1:4" x14ac:dyDescent="0.2">
      <c r="A12208" s="496"/>
      <c r="D12208" s="496"/>
    </row>
    <row r="12209" spans="1:4" x14ac:dyDescent="0.2">
      <c r="A12209" s="496"/>
      <c r="D12209" s="496"/>
    </row>
    <row r="12210" spans="1:4" x14ac:dyDescent="0.2">
      <c r="A12210" s="496"/>
      <c r="D12210" s="496"/>
    </row>
    <row r="12211" spans="1:4" x14ac:dyDescent="0.2">
      <c r="A12211" s="496"/>
      <c r="D12211" s="496"/>
    </row>
    <row r="12212" spans="1:4" x14ac:dyDescent="0.2">
      <c r="A12212" s="496"/>
      <c r="D12212" s="496"/>
    </row>
    <row r="12213" spans="1:4" x14ac:dyDescent="0.2">
      <c r="A12213" s="496"/>
      <c r="D12213" s="496"/>
    </row>
    <row r="12214" spans="1:4" x14ac:dyDescent="0.2">
      <c r="A12214" s="496"/>
      <c r="D12214" s="496"/>
    </row>
    <row r="12215" spans="1:4" x14ac:dyDescent="0.2">
      <c r="A12215" s="496"/>
      <c r="D12215" s="496"/>
    </row>
    <row r="12216" spans="1:4" x14ac:dyDescent="0.2">
      <c r="A12216" s="496"/>
      <c r="D12216" s="496"/>
    </row>
    <row r="12217" spans="1:4" x14ac:dyDescent="0.2">
      <c r="A12217" s="496"/>
      <c r="D12217" s="496"/>
    </row>
    <row r="12218" spans="1:4" x14ac:dyDescent="0.2">
      <c r="A12218" s="496"/>
      <c r="D12218" s="496"/>
    </row>
    <row r="12219" spans="1:4" x14ac:dyDescent="0.2">
      <c r="A12219" s="496"/>
      <c r="D12219" s="496"/>
    </row>
    <row r="12220" spans="1:4" x14ac:dyDescent="0.2">
      <c r="A12220" s="496"/>
      <c r="D12220" s="496"/>
    </row>
    <row r="12221" spans="1:4" x14ac:dyDescent="0.2">
      <c r="A12221" s="496"/>
      <c r="D12221" s="496"/>
    </row>
    <row r="12222" spans="1:4" x14ac:dyDescent="0.2">
      <c r="A12222" s="496"/>
      <c r="D12222" s="496"/>
    </row>
    <row r="12223" spans="1:4" x14ac:dyDescent="0.2">
      <c r="A12223" s="496"/>
      <c r="D12223" s="496"/>
    </row>
    <row r="12224" spans="1:4" x14ac:dyDescent="0.2">
      <c r="A12224" s="496"/>
      <c r="D12224" s="496"/>
    </row>
    <row r="12225" spans="1:4" x14ac:dyDescent="0.2">
      <c r="A12225" s="496"/>
      <c r="D12225" s="496"/>
    </row>
    <row r="12226" spans="1:4" x14ac:dyDescent="0.2">
      <c r="A12226" s="496"/>
      <c r="D12226" s="496"/>
    </row>
    <row r="12227" spans="1:4" x14ac:dyDescent="0.2">
      <c r="A12227" s="496"/>
      <c r="D12227" s="496"/>
    </row>
    <row r="12228" spans="1:4" x14ac:dyDescent="0.2">
      <c r="A12228" s="496"/>
      <c r="D12228" s="496"/>
    </row>
    <row r="12229" spans="1:4" x14ac:dyDescent="0.2">
      <c r="A12229" s="496"/>
      <c r="D12229" s="496"/>
    </row>
    <row r="12230" spans="1:4" x14ac:dyDescent="0.2">
      <c r="A12230" s="496"/>
      <c r="D12230" s="496"/>
    </row>
    <row r="12231" spans="1:4" x14ac:dyDescent="0.2">
      <c r="A12231" s="496"/>
      <c r="D12231" s="496"/>
    </row>
    <row r="12232" spans="1:4" x14ac:dyDescent="0.2">
      <c r="A12232" s="496"/>
      <c r="D12232" s="496"/>
    </row>
    <row r="12233" spans="1:4" x14ac:dyDescent="0.2">
      <c r="A12233" s="496"/>
      <c r="D12233" s="496"/>
    </row>
    <row r="12234" spans="1:4" x14ac:dyDescent="0.2">
      <c r="A12234" s="496"/>
      <c r="D12234" s="496"/>
    </row>
    <row r="12235" spans="1:4" x14ac:dyDescent="0.2">
      <c r="A12235" s="496"/>
      <c r="D12235" s="496"/>
    </row>
    <row r="12236" spans="1:4" x14ac:dyDescent="0.2">
      <c r="A12236" s="496"/>
      <c r="D12236" s="496"/>
    </row>
    <row r="12237" spans="1:4" x14ac:dyDescent="0.2">
      <c r="A12237" s="496"/>
      <c r="D12237" s="496"/>
    </row>
    <row r="12238" spans="1:4" x14ac:dyDescent="0.2">
      <c r="A12238" s="496"/>
      <c r="D12238" s="496"/>
    </row>
    <row r="12239" spans="1:4" x14ac:dyDescent="0.2">
      <c r="A12239" s="496"/>
      <c r="D12239" s="496"/>
    </row>
    <row r="12240" spans="1:4" x14ac:dyDescent="0.2">
      <c r="A12240" s="496"/>
      <c r="D12240" s="496"/>
    </row>
    <row r="12241" spans="1:4" x14ac:dyDescent="0.2">
      <c r="A12241" s="496"/>
      <c r="D12241" s="496"/>
    </row>
    <row r="12242" spans="1:4" x14ac:dyDescent="0.2">
      <c r="A12242" s="496"/>
      <c r="D12242" s="496"/>
    </row>
    <row r="12243" spans="1:4" x14ac:dyDescent="0.2">
      <c r="A12243" s="496"/>
      <c r="D12243" s="496"/>
    </row>
    <row r="12244" spans="1:4" x14ac:dyDescent="0.2">
      <c r="A12244" s="496"/>
      <c r="D12244" s="496"/>
    </row>
    <row r="12245" spans="1:4" x14ac:dyDescent="0.2">
      <c r="A12245" s="496"/>
      <c r="D12245" s="496"/>
    </row>
    <row r="12246" spans="1:4" x14ac:dyDescent="0.2">
      <c r="A12246" s="496"/>
      <c r="D12246" s="496"/>
    </row>
    <row r="12247" spans="1:4" x14ac:dyDescent="0.2">
      <c r="A12247" s="496"/>
      <c r="D12247" s="496"/>
    </row>
    <row r="12248" spans="1:4" x14ac:dyDescent="0.2">
      <c r="A12248" s="496"/>
      <c r="D12248" s="496"/>
    </row>
    <row r="12249" spans="1:4" x14ac:dyDescent="0.2">
      <c r="A12249" s="496"/>
      <c r="D12249" s="496"/>
    </row>
    <row r="12250" spans="1:4" x14ac:dyDescent="0.2">
      <c r="A12250" s="496"/>
      <c r="D12250" s="496"/>
    </row>
    <row r="12251" spans="1:4" x14ac:dyDescent="0.2">
      <c r="A12251" s="496"/>
      <c r="D12251" s="496"/>
    </row>
    <row r="12252" spans="1:4" x14ac:dyDescent="0.2">
      <c r="A12252" s="496"/>
      <c r="D12252" s="496"/>
    </row>
    <row r="12253" spans="1:4" x14ac:dyDescent="0.2">
      <c r="A12253" s="496"/>
      <c r="D12253" s="496"/>
    </row>
    <row r="12254" spans="1:4" x14ac:dyDescent="0.2">
      <c r="A12254" s="496"/>
      <c r="D12254" s="496"/>
    </row>
    <row r="12255" spans="1:4" x14ac:dyDescent="0.2">
      <c r="A12255" s="496"/>
      <c r="D12255" s="496"/>
    </row>
    <row r="12256" spans="1:4" x14ac:dyDescent="0.2">
      <c r="A12256" s="496"/>
      <c r="D12256" s="496"/>
    </row>
    <row r="12257" spans="1:4" x14ac:dyDescent="0.2">
      <c r="A12257" s="496"/>
      <c r="D12257" s="496"/>
    </row>
    <row r="12258" spans="1:4" x14ac:dyDescent="0.2">
      <c r="A12258" s="496"/>
      <c r="D12258" s="496"/>
    </row>
    <row r="12259" spans="1:4" x14ac:dyDescent="0.2">
      <c r="A12259" s="496"/>
      <c r="D12259" s="496"/>
    </row>
    <row r="12260" spans="1:4" x14ac:dyDescent="0.2">
      <c r="A12260" s="496"/>
      <c r="D12260" s="496"/>
    </row>
    <row r="12261" spans="1:4" x14ac:dyDescent="0.2">
      <c r="A12261" s="496"/>
      <c r="D12261" s="496"/>
    </row>
    <row r="12262" spans="1:4" x14ac:dyDescent="0.2">
      <c r="A12262" s="496"/>
      <c r="D12262" s="496"/>
    </row>
    <row r="12263" spans="1:4" x14ac:dyDescent="0.2">
      <c r="A12263" s="496"/>
      <c r="D12263" s="496"/>
    </row>
    <row r="12264" spans="1:4" x14ac:dyDescent="0.2">
      <c r="A12264" s="496"/>
      <c r="D12264" s="496"/>
    </row>
    <row r="12265" spans="1:4" x14ac:dyDescent="0.2">
      <c r="A12265" s="496"/>
      <c r="D12265" s="496"/>
    </row>
    <row r="12266" spans="1:4" x14ac:dyDescent="0.2">
      <c r="A12266" s="496"/>
      <c r="D12266" s="496"/>
    </row>
    <row r="12267" spans="1:4" x14ac:dyDescent="0.2">
      <c r="A12267" s="496"/>
      <c r="D12267" s="496"/>
    </row>
    <row r="12268" spans="1:4" x14ac:dyDescent="0.2">
      <c r="A12268" s="496"/>
      <c r="D12268" s="496"/>
    </row>
    <row r="12269" spans="1:4" x14ac:dyDescent="0.2">
      <c r="A12269" s="496"/>
      <c r="D12269" s="496"/>
    </row>
    <row r="12270" spans="1:4" x14ac:dyDescent="0.2">
      <c r="A12270" s="496"/>
      <c r="D12270" s="496"/>
    </row>
    <row r="12271" spans="1:4" x14ac:dyDescent="0.2">
      <c r="A12271" s="496"/>
      <c r="D12271" s="496"/>
    </row>
    <row r="12272" spans="1:4" x14ac:dyDescent="0.2">
      <c r="A12272" s="496"/>
      <c r="D12272" s="496"/>
    </row>
    <row r="12273" spans="1:4" x14ac:dyDescent="0.2">
      <c r="A12273" s="496"/>
      <c r="D12273" s="496"/>
    </row>
    <row r="12274" spans="1:4" x14ac:dyDescent="0.2">
      <c r="A12274" s="496"/>
      <c r="D12274" s="496"/>
    </row>
    <row r="12275" spans="1:4" x14ac:dyDescent="0.2">
      <c r="A12275" s="496"/>
      <c r="D12275" s="496"/>
    </row>
    <row r="12276" spans="1:4" x14ac:dyDescent="0.2">
      <c r="A12276" s="496"/>
      <c r="D12276" s="496"/>
    </row>
    <row r="12277" spans="1:4" x14ac:dyDescent="0.2">
      <c r="A12277" s="496"/>
      <c r="D12277" s="496"/>
    </row>
    <row r="12278" spans="1:4" x14ac:dyDescent="0.2">
      <c r="A12278" s="496"/>
      <c r="D12278" s="496"/>
    </row>
    <row r="12279" spans="1:4" x14ac:dyDescent="0.2">
      <c r="A12279" s="496"/>
      <c r="D12279" s="496"/>
    </row>
    <row r="12280" spans="1:4" x14ac:dyDescent="0.2">
      <c r="A12280" s="496"/>
      <c r="D12280" s="496"/>
    </row>
    <row r="12281" spans="1:4" x14ac:dyDescent="0.2">
      <c r="A12281" s="496"/>
      <c r="D12281" s="496"/>
    </row>
    <row r="12282" spans="1:4" x14ac:dyDescent="0.2">
      <c r="A12282" s="496"/>
      <c r="D12282" s="496"/>
    </row>
    <row r="12283" spans="1:4" x14ac:dyDescent="0.2">
      <c r="A12283" s="496"/>
      <c r="D12283" s="496"/>
    </row>
    <row r="12284" spans="1:4" x14ac:dyDescent="0.2">
      <c r="A12284" s="496"/>
      <c r="D12284" s="496"/>
    </row>
    <row r="12285" spans="1:4" x14ac:dyDescent="0.2">
      <c r="A12285" s="496"/>
      <c r="D12285" s="496"/>
    </row>
    <row r="12286" spans="1:4" x14ac:dyDescent="0.2">
      <c r="A12286" s="496"/>
      <c r="D12286" s="496"/>
    </row>
    <row r="12287" spans="1:4" x14ac:dyDescent="0.2">
      <c r="A12287" s="496"/>
      <c r="D12287" s="496"/>
    </row>
    <row r="12288" spans="1:4" x14ac:dyDescent="0.2">
      <c r="A12288" s="496"/>
      <c r="D12288" s="496"/>
    </row>
    <row r="12289" spans="1:4" x14ac:dyDescent="0.2">
      <c r="A12289" s="496"/>
      <c r="D12289" s="496"/>
    </row>
    <row r="12290" spans="1:4" x14ac:dyDescent="0.2">
      <c r="A12290" s="496"/>
      <c r="D12290" s="496"/>
    </row>
    <row r="12291" spans="1:4" x14ac:dyDescent="0.2">
      <c r="A12291" s="496"/>
      <c r="D12291" s="496"/>
    </row>
    <row r="12292" spans="1:4" x14ac:dyDescent="0.2">
      <c r="A12292" s="496"/>
      <c r="D12292" s="496"/>
    </row>
    <row r="12293" spans="1:4" x14ac:dyDescent="0.2">
      <c r="A12293" s="496"/>
      <c r="D12293" s="496"/>
    </row>
    <row r="12294" spans="1:4" x14ac:dyDescent="0.2">
      <c r="A12294" s="496"/>
      <c r="D12294" s="496"/>
    </row>
    <row r="12295" spans="1:4" x14ac:dyDescent="0.2">
      <c r="A12295" s="496"/>
      <c r="D12295" s="496"/>
    </row>
    <row r="12296" spans="1:4" x14ac:dyDescent="0.2">
      <c r="A12296" s="496"/>
      <c r="D12296" s="496"/>
    </row>
    <row r="12297" spans="1:4" x14ac:dyDescent="0.2">
      <c r="A12297" s="496"/>
      <c r="D12297" s="496"/>
    </row>
    <row r="12298" spans="1:4" x14ac:dyDescent="0.2">
      <c r="A12298" s="496"/>
      <c r="D12298" s="496"/>
    </row>
    <row r="12299" spans="1:4" x14ac:dyDescent="0.2">
      <c r="A12299" s="496"/>
      <c r="D12299" s="496"/>
    </row>
    <row r="12300" spans="1:4" x14ac:dyDescent="0.2">
      <c r="A12300" s="496"/>
      <c r="D12300" s="496"/>
    </row>
    <row r="12301" spans="1:4" x14ac:dyDescent="0.2">
      <c r="A12301" s="496"/>
      <c r="D12301" s="496"/>
    </row>
    <row r="12302" spans="1:4" x14ac:dyDescent="0.2">
      <c r="A12302" s="496"/>
      <c r="D12302" s="496"/>
    </row>
    <row r="12303" spans="1:4" x14ac:dyDescent="0.2">
      <c r="A12303" s="496"/>
      <c r="D12303" s="496"/>
    </row>
    <row r="12304" spans="1:4" x14ac:dyDescent="0.2">
      <c r="A12304" s="496"/>
      <c r="D12304" s="496"/>
    </row>
    <row r="12305" spans="1:4" x14ac:dyDescent="0.2">
      <c r="A12305" s="496"/>
      <c r="D12305" s="496"/>
    </row>
    <row r="12306" spans="1:4" x14ac:dyDescent="0.2">
      <c r="A12306" s="496"/>
      <c r="D12306" s="496"/>
    </row>
    <row r="12307" spans="1:4" x14ac:dyDescent="0.2">
      <c r="A12307" s="496"/>
      <c r="D12307" s="496"/>
    </row>
    <row r="12308" spans="1:4" x14ac:dyDescent="0.2">
      <c r="A12308" s="496"/>
      <c r="D12308" s="496"/>
    </row>
    <row r="12309" spans="1:4" x14ac:dyDescent="0.2">
      <c r="A12309" s="496"/>
      <c r="D12309" s="496"/>
    </row>
    <row r="12310" spans="1:4" x14ac:dyDescent="0.2">
      <c r="A12310" s="496"/>
      <c r="D12310" s="496"/>
    </row>
    <row r="12311" spans="1:4" x14ac:dyDescent="0.2">
      <c r="A12311" s="496"/>
      <c r="D12311" s="496"/>
    </row>
    <row r="12312" spans="1:4" x14ac:dyDescent="0.2">
      <c r="A12312" s="496"/>
      <c r="D12312" s="496"/>
    </row>
    <row r="12313" spans="1:4" x14ac:dyDescent="0.2">
      <c r="A12313" s="496"/>
      <c r="D12313" s="496"/>
    </row>
    <row r="12314" spans="1:4" x14ac:dyDescent="0.2">
      <c r="A12314" s="496"/>
      <c r="D12314" s="496"/>
    </row>
    <row r="12315" spans="1:4" x14ac:dyDescent="0.2">
      <c r="A12315" s="496"/>
      <c r="D12315" s="496"/>
    </row>
    <row r="12316" spans="1:4" x14ac:dyDescent="0.2">
      <c r="A12316" s="496"/>
      <c r="D12316" s="496"/>
    </row>
    <row r="12317" spans="1:4" x14ac:dyDescent="0.2">
      <c r="A12317" s="496"/>
      <c r="D12317" s="496"/>
    </row>
    <row r="12318" spans="1:4" x14ac:dyDescent="0.2">
      <c r="A12318" s="496"/>
      <c r="D12318" s="496"/>
    </row>
    <row r="12319" spans="1:4" x14ac:dyDescent="0.2">
      <c r="A12319" s="496"/>
      <c r="D12319" s="496"/>
    </row>
    <row r="12320" spans="1:4" x14ac:dyDescent="0.2">
      <c r="A12320" s="496"/>
      <c r="D12320" s="496"/>
    </row>
    <row r="12321" spans="1:4" x14ac:dyDescent="0.2">
      <c r="A12321" s="496"/>
      <c r="D12321" s="496"/>
    </row>
    <row r="12322" spans="1:4" x14ac:dyDescent="0.2">
      <c r="A12322" s="496"/>
      <c r="D12322" s="496"/>
    </row>
    <row r="12323" spans="1:4" x14ac:dyDescent="0.2">
      <c r="A12323" s="496"/>
      <c r="D12323" s="496"/>
    </row>
    <row r="12324" spans="1:4" x14ac:dyDescent="0.2">
      <c r="A12324" s="496"/>
      <c r="D12324" s="496"/>
    </row>
    <row r="12325" spans="1:4" x14ac:dyDescent="0.2">
      <c r="A12325" s="496"/>
      <c r="D12325" s="496"/>
    </row>
    <row r="12326" spans="1:4" x14ac:dyDescent="0.2">
      <c r="A12326" s="496"/>
      <c r="D12326" s="496"/>
    </row>
    <row r="12327" spans="1:4" x14ac:dyDescent="0.2">
      <c r="A12327" s="496"/>
      <c r="D12327" s="496"/>
    </row>
    <row r="12328" spans="1:4" x14ac:dyDescent="0.2">
      <c r="A12328" s="496"/>
      <c r="D12328" s="496"/>
    </row>
    <row r="12329" spans="1:4" x14ac:dyDescent="0.2">
      <c r="A12329" s="496"/>
      <c r="D12329" s="496"/>
    </row>
    <row r="12330" spans="1:4" x14ac:dyDescent="0.2">
      <c r="A12330" s="496"/>
      <c r="D12330" s="496"/>
    </row>
    <row r="12331" spans="1:4" x14ac:dyDescent="0.2">
      <c r="A12331" s="496"/>
      <c r="D12331" s="496"/>
    </row>
    <row r="12332" spans="1:4" x14ac:dyDescent="0.2">
      <c r="A12332" s="496"/>
      <c r="D12332" s="496"/>
    </row>
    <row r="12333" spans="1:4" x14ac:dyDescent="0.2">
      <c r="A12333" s="496"/>
      <c r="D12333" s="496"/>
    </row>
    <row r="12334" spans="1:4" x14ac:dyDescent="0.2">
      <c r="A12334" s="496"/>
      <c r="D12334" s="496"/>
    </row>
    <row r="12335" spans="1:4" x14ac:dyDescent="0.2">
      <c r="A12335" s="496"/>
      <c r="D12335" s="496"/>
    </row>
    <row r="12336" spans="1:4" x14ac:dyDescent="0.2">
      <c r="A12336" s="496"/>
      <c r="D12336" s="496"/>
    </row>
    <row r="12337" spans="1:4" x14ac:dyDescent="0.2">
      <c r="A12337" s="496"/>
      <c r="D12337" s="496"/>
    </row>
    <row r="12338" spans="1:4" x14ac:dyDescent="0.2">
      <c r="A12338" s="496"/>
      <c r="D12338" s="496"/>
    </row>
    <row r="12339" spans="1:4" x14ac:dyDescent="0.2">
      <c r="A12339" s="496"/>
      <c r="D12339" s="496"/>
    </row>
    <row r="12340" spans="1:4" x14ac:dyDescent="0.2">
      <c r="A12340" s="496"/>
      <c r="D12340" s="496"/>
    </row>
    <row r="12341" spans="1:4" x14ac:dyDescent="0.2">
      <c r="A12341" s="496"/>
      <c r="D12341" s="496"/>
    </row>
    <row r="12342" spans="1:4" x14ac:dyDescent="0.2">
      <c r="A12342" s="496"/>
      <c r="D12342" s="496"/>
    </row>
    <row r="12343" spans="1:4" x14ac:dyDescent="0.2">
      <c r="A12343" s="496"/>
      <c r="D12343" s="496"/>
    </row>
    <row r="12344" spans="1:4" x14ac:dyDescent="0.2">
      <c r="A12344" s="496"/>
      <c r="D12344" s="496"/>
    </row>
    <row r="12345" spans="1:4" x14ac:dyDescent="0.2">
      <c r="A12345" s="496"/>
      <c r="D12345" s="496"/>
    </row>
    <row r="12346" spans="1:4" x14ac:dyDescent="0.2">
      <c r="A12346" s="496"/>
      <c r="D12346" s="496"/>
    </row>
    <row r="12347" spans="1:4" x14ac:dyDescent="0.2">
      <c r="A12347" s="496"/>
      <c r="D12347" s="496"/>
    </row>
    <row r="12348" spans="1:4" x14ac:dyDescent="0.2">
      <c r="A12348" s="496"/>
      <c r="D12348" s="496"/>
    </row>
    <row r="12349" spans="1:4" x14ac:dyDescent="0.2">
      <c r="A12349" s="496"/>
      <c r="D12349" s="496"/>
    </row>
    <row r="12350" spans="1:4" x14ac:dyDescent="0.2">
      <c r="A12350" s="496"/>
      <c r="D12350" s="496"/>
    </row>
    <row r="12351" spans="1:4" x14ac:dyDescent="0.2">
      <c r="A12351" s="496"/>
      <c r="D12351" s="496"/>
    </row>
    <row r="12352" spans="1:4" x14ac:dyDescent="0.2">
      <c r="A12352" s="496"/>
      <c r="D12352" s="496"/>
    </row>
    <row r="12353" spans="1:4" x14ac:dyDescent="0.2">
      <c r="A12353" s="496"/>
      <c r="D12353" s="496"/>
    </row>
    <row r="12354" spans="1:4" x14ac:dyDescent="0.2">
      <c r="A12354" s="496"/>
      <c r="D12354" s="496"/>
    </row>
    <row r="12355" spans="1:4" x14ac:dyDescent="0.2">
      <c r="A12355" s="496"/>
      <c r="D12355" s="496"/>
    </row>
    <row r="12356" spans="1:4" x14ac:dyDescent="0.2">
      <c r="A12356" s="496"/>
      <c r="D12356" s="496"/>
    </row>
    <row r="12357" spans="1:4" x14ac:dyDescent="0.2">
      <c r="A12357" s="496"/>
      <c r="D12357" s="496"/>
    </row>
    <row r="12358" spans="1:4" x14ac:dyDescent="0.2">
      <c r="A12358" s="496"/>
      <c r="D12358" s="496"/>
    </row>
    <row r="12359" spans="1:4" x14ac:dyDescent="0.2">
      <c r="A12359" s="496"/>
      <c r="D12359" s="496"/>
    </row>
    <row r="12360" spans="1:4" x14ac:dyDescent="0.2">
      <c r="A12360" s="496"/>
      <c r="D12360" s="496"/>
    </row>
    <row r="12361" spans="1:4" x14ac:dyDescent="0.2">
      <c r="A12361" s="496"/>
      <c r="D12361" s="496"/>
    </row>
    <row r="12362" spans="1:4" x14ac:dyDescent="0.2">
      <c r="A12362" s="496"/>
      <c r="D12362" s="496"/>
    </row>
    <row r="12363" spans="1:4" x14ac:dyDescent="0.2">
      <c r="A12363" s="496"/>
      <c r="D12363" s="496"/>
    </row>
    <row r="12364" spans="1:4" x14ac:dyDescent="0.2">
      <c r="A12364" s="496"/>
      <c r="D12364" s="496"/>
    </row>
    <row r="12365" spans="1:4" x14ac:dyDescent="0.2">
      <c r="A12365" s="496"/>
      <c r="D12365" s="496"/>
    </row>
    <row r="12366" spans="1:4" x14ac:dyDescent="0.2">
      <c r="A12366" s="496"/>
      <c r="D12366" s="496"/>
    </row>
    <row r="12367" spans="1:4" x14ac:dyDescent="0.2">
      <c r="A12367" s="496"/>
      <c r="D12367" s="496"/>
    </row>
    <row r="12368" spans="1:4" x14ac:dyDescent="0.2">
      <c r="A12368" s="496"/>
      <c r="D12368" s="496"/>
    </row>
    <row r="12369" spans="1:4" x14ac:dyDescent="0.2">
      <c r="A12369" s="496"/>
      <c r="D12369" s="496"/>
    </row>
    <row r="12370" spans="1:4" x14ac:dyDescent="0.2">
      <c r="A12370" s="496"/>
      <c r="D12370" s="496"/>
    </row>
    <row r="12371" spans="1:4" x14ac:dyDescent="0.2">
      <c r="A12371" s="496"/>
      <c r="D12371" s="496"/>
    </row>
    <row r="12372" spans="1:4" x14ac:dyDescent="0.2">
      <c r="A12372" s="496"/>
      <c r="D12372" s="496"/>
    </row>
    <row r="12373" spans="1:4" x14ac:dyDescent="0.2">
      <c r="A12373" s="496"/>
      <c r="D12373" s="496"/>
    </row>
    <row r="12374" spans="1:4" x14ac:dyDescent="0.2">
      <c r="A12374" s="496"/>
      <c r="D12374" s="496"/>
    </row>
    <row r="12375" spans="1:4" x14ac:dyDescent="0.2">
      <c r="A12375" s="496"/>
      <c r="D12375" s="496"/>
    </row>
    <row r="12376" spans="1:4" x14ac:dyDescent="0.2">
      <c r="A12376" s="496"/>
      <c r="D12376" s="496"/>
    </row>
    <row r="12377" spans="1:4" x14ac:dyDescent="0.2">
      <c r="A12377" s="496"/>
      <c r="D12377" s="496"/>
    </row>
    <row r="12378" spans="1:4" x14ac:dyDescent="0.2">
      <c r="A12378" s="496"/>
      <c r="D12378" s="496"/>
    </row>
    <row r="12379" spans="1:4" x14ac:dyDescent="0.2">
      <c r="A12379" s="496"/>
      <c r="D12379" s="496"/>
    </row>
    <row r="12380" spans="1:4" x14ac:dyDescent="0.2">
      <c r="A12380" s="496"/>
      <c r="D12380" s="496"/>
    </row>
    <row r="12381" spans="1:4" x14ac:dyDescent="0.2">
      <c r="A12381" s="496"/>
      <c r="D12381" s="496"/>
    </row>
    <row r="12382" spans="1:4" x14ac:dyDescent="0.2">
      <c r="A12382" s="496"/>
      <c r="D12382" s="496"/>
    </row>
    <row r="12383" spans="1:4" x14ac:dyDescent="0.2">
      <c r="A12383" s="496"/>
      <c r="D12383" s="496"/>
    </row>
    <row r="12384" spans="1:4" x14ac:dyDescent="0.2">
      <c r="A12384" s="496"/>
      <c r="D12384" s="496"/>
    </row>
    <row r="12385" spans="1:4" x14ac:dyDescent="0.2">
      <c r="A12385" s="496"/>
      <c r="D12385" s="496"/>
    </row>
    <row r="12386" spans="1:4" x14ac:dyDescent="0.2">
      <c r="A12386" s="496"/>
      <c r="D12386" s="496"/>
    </row>
    <row r="12387" spans="1:4" x14ac:dyDescent="0.2">
      <c r="A12387" s="496"/>
      <c r="D12387" s="496"/>
    </row>
    <row r="12388" spans="1:4" x14ac:dyDescent="0.2">
      <c r="A12388" s="496"/>
      <c r="D12388" s="496"/>
    </row>
    <row r="12389" spans="1:4" x14ac:dyDescent="0.2">
      <c r="A12389" s="496"/>
      <c r="D12389" s="496"/>
    </row>
    <row r="12390" spans="1:4" x14ac:dyDescent="0.2">
      <c r="A12390" s="496"/>
      <c r="D12390" s="496"/>
    </row>
    <row r="12391" spans="1:4" x14ac:dyDescent="0.2">
      <c r="A12391" s="496"/>
      <c r="D12391" s="496"/>
    </row>
    <row r="12392" spans="1:4" x14ac:dyDescent="0.2">
      <c r="A12392" s="496"/>
      <c r="D12392" s="496"/>
    </row>
    <row r="12393" spans="1:4" x14ac:dyDescent="0.2">
      <c r="A12393" s="496"/>
      <c r="D12393" s="496"/>
    </row>
    <row r="12394" spans="1:4" x14ac:dyDescent="0.2">
      <c r="A12394" s="496"/>
      <c r="D12394" s="496"/>
    </row>
    <row r="12395" spans="1:4" x14ac:dyDescent="0.2">
      <c r="A12395" s="496"/>
      <c r="D12395" s="496"/>
    </row>
    <row r="12396" spans="1:4" x14ac:dyDescent="0.2">
      <c r="A12396" s="496"/>
      <c r="D12396" s="496"/>
    </row>
    <row r="12397" spans="1:4" x14ac:dyDescent="0.2">
      <c r="A12397" s="496"/>
      <c r="D12397" s="496"/>
    </row>
    <row r="12398" spans="1:4" x14ac:dyDescent="0.2">
      <c r="A12398" s="496"/>
      <c r="D12398" s="496"/>
    </row>
    <row r="12399" spans="1:4" x14ac:dyDescent="0.2">
      <c r="A12399" s="496"/>
      <c r="D12399" s="496"/>
    </row>
    <row r="12400" spans="1:4" x14ac:dyDescent="0.2">
      <c r="A12400" s="496"/>
      <c r="D12400" s="496"/>
    </row>
    <row r="12401" spans="1:4" x14ac:dyDescent="0.2">
      <c r="A12401" s="496"/>
      <c r="D12401" s="496"/>
    </row>
    <row r="12402" spans="1:4" x14ac:dyDescent="0.2">
      <c r="A12402" s="496"/>
      <c r="D12402" s="496"/>
    </row>
    <row r="12403" spans="1:4" x14ac:dyDescent="0.2">
      <c r="A12403" s="496"/>
      <c r="D12403" s="496"/>
    </row>
    <row r="12404" spans="1:4" x14ac:dyDescent="0.2">
      <c r="A12404" s="496"/>
      <c r="D12404" s="496"/>
    </row>
    <row r="12405" spans="1:4" x14ac:dyDescent="0.2">
      <c r="A12405" s="496"/>
      <c r="D12405" s="496"/>
    </row>
    <row r="12406" spans="1:4" x14ac:dyDescent="0.2">
      <c r="A12406" s="496"/>
      <c r="D12406" s="496"/>
    </row>
    <row r="12407" spans="1:4" x14ac:dyDescent="0.2">
      <c r="A12407" s="496"/>
      <c r="D12407" s="496"/>
    </row>
    <row r="12408" spans="1:4" x14ac:dyDescent="0.2">
      <c r="A12408" s="496"/>
      <c r="D12408" s="496"/>
    </row>
    <row r="12409" spans="1:4" x14ac:dyDescent="0.2">
      <c r="A12409" s="496"/>
      <c r="D12409" s="496"/>
    </row>
    <row r="12410" spans="1:4" x14ac:dyDescent="0.2">
      <c r="A12410" s="496"/>
      <c r="D12410" s="496"/>
    </row>
    <row r="12411" spans="1:4" x14ac:dyDescent="0.2">
      <c r="A12411" s="496"/>
      <c r="D12411" s="496"/>
    </row>
    <row r="12412" spans="1:4" x14ac:dyDescent="0.2">
      <c r="A12412" s="496"/>
      <c r="D12412" s="496"/>
    </row>
    <row r="12413" spans="1:4" x14ac:dyDescent="0.2">
      <c r="A12413" s="496"/>
      <c r="D12413" s="496"/>
    </row>
    <row r="12414" spans="1:4" x14ac:dyDescent="0.2">
      <c r="A12414" s="496"/>
      <c r="D12414" s="496"/>
    </row>
    <row r="12415" spans="1:4" x14ac:dyDescent="0.2">
      <c r="A12415" s="496"/>
      <c r="D12415" s="496"/>
    </row>
    <row r="12416" spans="1:4" x14ac:dyDescent="0.2">
      <c r="A12416" s="496"/>
      <c r="D12416" s="496"/>
    </row>
    <row r="12417" spans="1:4" x14ac:dyDescent="0.2">
      <c r="A12417" s="496"/>
      <c r="D12417" s="496"/>
    </row>
    <row r="12418" spans="1:4" x14ac:dyDescent="0.2">
      <c r="A12418" s="496"/>
      <c r="D12418" s="496"/>
    </row>
    <row r="12419" spans="1:4" x14ac:dyDescent="0.2">
      <c r="A12419" s="496"/>
      <c r="D12419" s="496"/>
    </row>
    <row r="12420" spans="1:4" x14ac:dyDescent="0.2">
      <c r="A12420" s="496"/>
      <c r="D12420" s="496"/>
    </row>
    <row r="12421" spans="1:4" x14ac:dyDescent="0.2">
      <c r="A12421" s="496"/>
      <c r="D12421" s="496"/>
    </row>
    <row r="12422" spans="1:4" x14ac:dyDescent="0.2">
      <c r="A12422" s="496"/>
      <c r="D12422" s="496"/>
    </row>
    <row r="12423" spans="1:4" x14ac:dyDescent="0.2">
      <c r="A12423" s="496"/>
      <c r="D12423" s="496"/>
    </row>
    <row r="12424" spans="1:4" x14ac:dyDescent="0.2">
      <c r="A12424" s="496"/>
      <c r="D12424" s="496"/>
    </row>
    <row r="12425" spans="1:4" x14ac:dyDescent="0.2">
      <c r="A12425" s="496"/>
      <c r="D12425" s="496"/>
    </row>
    <row r="12426" spans="1:4" x14ac:dyDescent="0.2">
      <c r="A12426" s="496"/>
      <c r="D12426" s="496"/>
    </row>
    <row r="12427" spans="1:4" x14ac:dyDescent="0.2">
      <c r="A12427" s="496"/>
      <c r="D12427" s="496"/>
    </row>
    <row r="12428" spans="1:4" x14ac:dyDescent="0.2">
      <c r="A12428" s="496"/>
      <c r="D12428" s="496"/>
    </row>
    <row r="12429" spans="1:4" x14ac:dyDescent="0.2">
      <c r="A12429" s="496"/>
      <c r="D12429" s="496"/>
    </row>
    <row r="12430" spans="1:4" x14ac:dyDescent="0.2">
      <c r="A12430" s="496"/>
      <c r="D12430" s="496"/>
    </row>
    <row r="12431" spans="1:4" x14ac:dyDescent="0.2">
      <c r="A12431" s="496"/>
      <c r="D12431" s="496"/>
    </row>
    <row r="12432" spans="1:4" x14ac:dyDescent="0.2">
      <c r="A12432" s="496"/>
      <c r="D12432" s="496"/>
    </row>
    <row r="12433" spans="1:4" x14ac:dyDescent="0.2">
      <c r="A12433" s="496"/>
      <c r="D12433" s="496"/>
    </row>
    <row r="12434" spans="1:4" x14ac:dyDescent="0.2">
      <c r="A12434" s="496"/>
      <c r="D12434" s="496"/>
    </row>
    <row r="12435" spans="1:4" x14ac:dyDescent="0.2">
      <c r="A12435" s="496"/>
      <c r="D12435" s="496"/>
    </row>
    <row r="12436" spans="1:4" x14ac:dyDescent="0.2">
      <c r="A12436" s="496"/>
      <c r="D12436" s="496"/>
    </row>
    <row r="12437" spans="1:4" x14ac:dyDescent="0.2">
      <c r="A12437" s="496"/>
      <c r="D12437" s="496"/>
    </row>
    <row r="12438" spans="1:4" x14ac:dyDescent="0.2">
      <c r="A12438" s="496"/>
      <c r="D12438" s="496"/>
    </row>
    <row r="12439" spans="1:4" x14ac:dyDescent="0.2">
      <c r="A12439" s="496"/>
      <c r="D12439" s="496"/>
    </row>
    <row r="12440" spans="1:4" x14ac:dyDescent="0.2">
      <c r="A12440" s="496"/>
      <c r="D12440" s="496"/>
    </row>
    <row r="12441" spans="1:4" x14ac:dyDescent="0.2">
      <c r="A12441" s="496"/>
      <c r="D12441" s="496"/>
    </row>
    <row r="12442" spans="1:4" x14ac:dyDescent="0.2">
      <c r="A12442" s="496"/>
      <c r="D12442" s="496"/>
    </row>
    <row r="12443" spans="1:4" x14ac:dyDescent="0.2">
      <c r="A12443" s="496"/>
      <c r="D12443" s="496"/>
    </row>
    <row r="12444" spans="1:4" x14ac:dyDescent="0.2">
      <c r="A12444" s="496"/>
      <c r="D12444" s="496"/>
    </row>
    <row r="12445" spans="1:4" x14ac:dyDescent="0.2">
      <c r="A12445" s="496"/>
      <c r="D12445" s="496"/>
    </row>
    <row r="12446" spans="1:4" x14ac:dyDescent="0.2">
      <c r="A12446" s="496"/>
      <c r="D12446" s="496"/>
    </row>
    <row r="12447" spans="1:4" x14ac:dyDescent="0.2">
      <c r="A12447" s="496"/>
      <c r="D12447" s="496"/>
    </row>
    <row r="12448" spans="1:4" x14ac:dyDescent="0.2">
      <c r="A12448" s="496"/>
      <c r="D12448" s="496"/>
    </row>
    <row r="12449" spans="1:4" x14ac:dyDescent="0.2">
      <c r="A12449" s="496"/>
      <c r="D12449" s="496"/>
    </row>
    <row r="12450" spans="1:4" x14ac:dyDescent="0.2">
      <c r="A12450" s="496"/>
      <c r="D12450" s="496"/>
    </row>
    <row r="12451" spans="1:4" x14ac:dyDescent="0.2">
      <c r="A12451" s="496"/>
      <c r="D12451" s="496"/>
    </row>
    <row r="12452" spans="1:4" x14ac:dyDescent="0.2">
      <c r="A12452" s="496"/>
      <c r="D12452" s="496"/>
    </row>
    <row r="12453" spans="1:4" x14ac:dyDescent="0.2">
      <c r="A12453" s="496"/>
      <c r="D12453" s="496"/>
    </row>
    <row r="12454" spans="1:4" x14ac:dyDescent="0.2">
      <c r="A12454" s="496"/>
      <c r="D12454" s="496"/>
    </row>
    <row r="12455" spans="1:4" x14ac:dyDescent="0.2">
      <c r="A12455" s="496"/>
      <c r="D12455" s="496"/>
    </row>
    <row r="12456" spans="1:4" x14ac:dyDescent="0.2">
      <c r="A12456" s="496"/>
      <c r="D12456" s="496"/>
    </row>
    <row r="12457" spans="1:4" x14ac:dyDescent="0.2">
      <c r="A12457" s="496"/>
      <c r="D12457" s="496"/>
    </row>
    <row r="12458" spans="1:4" x14ac:dyDescent="0.2">
      <c r="A12458" s="496"/>
      <c r="D12458" s="496"/>
    </row>
    <row r="12459" spans="1:4" x14ac:dyDescent="0.2">
      <c r="A12459" s="496"/>
      <c r="D12459" s="496"/>
    </row>
    <row r="12460" spans="1:4" x14ac:dyDescent="0.2">
      <c r="A12460" s="496"/>
      <c r="D12460" s="496"/>
    </row>
    <row r="12461" spans="1:4" x14ac:dyDescent="0.2">
      <c r="A12461" s="496"/>
      <c r="D12461" s="496"/>
    </row>
    <row r="12462" spans="1:4" x14ac:dyDescent="0.2">
      <c r="A12462" s="496"/>
      <c r="D12462" s="496"/>
    </row>
    <row r="12463" spans="1:4" x14ac:dyDescent="0.2">
      <c r="A12463" s="496"/>
      <c r="D12463" s="496"/>
    </row>
    <row r="12464" spans="1:4" x14ac:dyDescent="0.2">
      <c r="A12464" s="496"/>
      <c r="D12464" s="496"/>
    </row>
    <row r="12465" spans="1:4" x14ac:dyDescent="0.2">
      <c r="A12465" s="496"/>
      <c r="D12465" s="496"/>
    </row>
    <row r="12466" spans="1:4" x14ac:dyDescent="0.2">
      <c r="A12466" s="496"/>
      <c r="D12466" s="496"/>
    </row>
    <row r="12467" spans="1:4" x14ac:dyDescent="0.2">
      <c r="A12467" s="496"/>
      <c r="D12467" s="496"/>
    </row>
    <row r="12468" spans="1:4" x14ac:dyDescent="0.2">
      <c r="A12468" s="496"/>
      <c r="D12468" s="496"/>
    </row>
    <row r="12469" spans="1:4" x14ac:dyDescent="0.2">
      <c r="A12469" s="496"/>
      <c r="D12469" s="496"/>
    </row>
    <row r="12470" spans="1:4" x14ac:dyDescent="0.2">
      <c r="A12470" s="496"/>
      <c r="D12470" s="496"/>
    </row>
    <row r="12471" spans="1:4" x14ac:dyDescent="0.2">
      <c r="A12471" s="496"/>
      <c r="D12471" s="496"/>
    </row>
    <row r="12472" spans="1:4" x14ac:dyDescent="0.2">
      <c r="A12472" s="496"/>
      <c r="D12472" s="496"/>
    </row>
    <row r="12473" spans="1:4" x14ac:dyDescent="0.2">
      <c r="A12473" s="496"/>
      <c r="D12473" s="496"/>
    </row>
    <row r="12474" spans="1:4" x14ac:dyDescent="0.2">
      <c r="A12474" s="496"/>
      <c r="D12474" s="496"/>
    </row>
    <row r="12475" spans="1:4" x14ac:dyDescent="0.2">
      <c r="A12475" s="496"/>
      <c r="D12475" s="496"/>
    </row>
    <row r="12476" spans="1:4" x14ac:dyDescent="0.2">
      <c r="A12476" s="496"/>
      <c r="D12476" s="496"/>
    </row>
    <row r="12477" spans="1:4" x14ac:dyDescent="0.2">
      <c r="A12477" s="496"/>
      <c r="D12477" s="496"/>
    </row>
    <row r="12478" spans="1:4" x14ac:dyDescent="0.2">
      <c r="A12478" s="496"/>
      <c r="D12478" s="496"/>
    </row>
    <row r="12479" spans="1:4" x14ac:dyDescent="0.2">
      <c r="A12479" s="496"/>
      <c r="D12479" s="496"/>
    </row>
    <row r="12480" spans="1:4" x14ac:dyDescent="0.2">
      <c r="A12480" s="496"/>
      <c r="D12480" s="496"/>
    </row>
    <row r="12481" spans="1:4" x14ac:dyDescent="0.2">
      <c r="A12481" s="496"/>
      <c r="D12481" s="496"/>
    </row>
    <row r="12482" spans="1:4" x14ac:dyDescent="0.2">
      <c r="A12482" s="496"/>
      <c r="D12482" s="496"/>
    </row>
    <row r="12483" spans="1:4" x14ac:dyDescent="0.2">
      <c r="A12483" s="496"/>
      <c r="D12483" s="496"/>
    </row>
    <row r="12484" spans="1:4" x14ac:dyDescent="0.2">
      <c r="A12484" s="496"/>
      <c r="D12484" s="496"/>
    </row>
    <row r="12485" spans="1:4" x14ac:dyDescent="0.2">
      <c r="A12485" s="496"/>
      <c r="D12485" s="496"/>
    </row>
    <row r="12486" spans="1:4" x14ac:dyDescent="0.2">
      <c r="A12486" s="496"/>
      <c r="D12486" s="496"/>
    </row>
    <row r="12487" spans="1:4" x14ac:dyDescent="0.2">
      <c r="A12487" s="496"/>
      <c r="D12487" s="496"/>
    </row>
    <row r="12488" spans="1:4" x14ac:dyDescent="0.2">
      <c r="A12488" s="496"/>
      <c r="D12488" s="496"/>
    </row>
    <row r="12489" spans="1:4" x14ac:dyDescent="0.2">
      <c r="A12489" s="496"/>
      <c r="D12489" s="496"/>
    </row>
    <row r="12490" spans="1:4" x14ac:dyDescent="0.2">
      <c r="A12490" s="496"/>
      <c r="D12490" s="496"/>
    </row>
    <row r="12491" spans="1:4" x14ac:dyDescent="0.2">
      <c r="A12491" s="496"/>
      <c r="D12491" s="496"/>
    </row>
    <row r="12492" spans="1:4" x14ac:dyDescent="0.2">
      <c r="A12492" s="496"/>
      <c r="D12492" s="496"/>
    </row>
    <row r="12493" spans="1:4" x14ac:dyDescent="0.2">
      <c r="A12493" s="496"/>
      <c r="D12493" s="496"/>
    </row>
    <row r="12494" spans="1:4" x14ac:dyDescent="0.2">
      <c r="A12494" s="496"/>
      <c r="D12494" s="496"/>
    </row>
    <row r="12495" spans="1:4" x14ac:dyDescent="0.2">
      <c r="A12495" s="496"/>
      <c r="D12495" s="496"/>
    </row>
    <row r="12496" spans="1:4" x14ac:dyDescent="0.2">
      <c r="A12496" s="496"/>
      <c r="D12496" s="496"/>
    </row>
    <row r="12497" spans="1:4" x14ac:dyDescent="0.2">
      <c r="A12497" s="496"/>
      <c r="D12497" s="496"/>
    </row>
    <row r="12498" spans="1:4" x14ac:dyDescent="0.2">
      <c r="A12498" s="496"/>
      <c r="D12498" s="496"/>
    </row>
    <row r="12499" spans="1:4" x14ac:dyDescent="0.2">
      <c r="A12499" s="496"/>
      <c r="D12499" s="496"/>
    </row>
    <row r="12500" spans="1:4" x14ac:dyDescent="0.2">
      <c r="A12500" s="496"/>
      <c r="D12500" s="496"/>
    </row>
    <row r="12501" spans="1:4" x14ac:dyDescent="0.2">
      <c r="A12501" s="496"/>
      <c r="D12501" s="496"/>
    </row>
    <row r="12502" spans="1:4" x14ac:dyDescent="0.2">
      <c r="A12502" s="496"/>
      <c r="D12502" s="496"/>
    </row>
    <row r="12503" spans="1:4" x14ac:dyDescent="0.2">
      <c r="A12503" s="496"/>
      <c r="D12503" s="496"/>
    </row>
    <row r="12504" spans="1:4" x14ac:dyDescent="0.2">
      <c r="A12504" s="496"/>
      <c r="D12504" s="496"/>
    </row>
    <row r="12505" spans="1:4" x14ac:dyDescent="0.2">
      <c r="A12505" s="496"/>
      <c r="D12505" s="496"/>
    </row>
    <row r="12506" spans="1:4" x14ac:dyDescent="0.2">
      <c r="A12506" s="496"/>
      <c r="D12506" s="496"/>
    </row>
    <row r="12507" spans="1:4" x14ac:dyDescent="0.2">
      <c r="A12507" s="496"/>
      <c r="D12507" s="496"/>
    </row>
    <row r="12508" spans="1:4" x14ac:dyDescent="0.2">
      <c r="A12508" s="496"/>
      <c r="D12508" s="496"/>
    </row>
    <row r="12509" spans="1:4" x14ac:dyDescent="0.2">
      <c r="A12509" s="496"/>
      <c r="D12509" s="496"/>
    </row>
    <row r="12510" spans="1:4" x14ac:dyDescent="0.2">
      <c r="A12510" s="496"/>
      <c r="D12510" s="496"/>
    </row>
    <row r="12511" spans="1:4" x14ac:dyDescent="0.2">
      <c r="A12511" s="496"/>
      <c r="D12511" s="496"/>
    </row>
    <row r="12512" spans="1:4" x14ac:dyDescent="0.2">
      <c r="A12512" s="496"/>
      <c r="D12512" s="496"/>
    </row>
    <row r="12513" spans="1:4" x14ac:dyDescent="0.2">
      <c r="A12513" s="496"/>
      <c r="D12513" s="496"/>
    </row>
    <row r="12514" spans="1:4" x14ac:dyDescent="0.2">
      <c r="A12514" s="496"/>
      <c r="D12514" s="496"/>
    </row>
    <row r="12515" spans="1:4" x14ac:dyDescent="0.2">
      <c r="A12515" s="496"/>
      <c r="D12515" s="496"/>
    </row>
    <row r="12516" spans="1:4" x14ac:dyDescent="0.2">
      <c r="A12516" s="496"/>
      <c r="D12516" s="496"/>
    </row>
    <row r="12517" spans="1:4" x14ac:dyDescent="0.2">
      <c r="A12517" s="496"/>
      <c r="D12517" s="496"/>
    </row>
    <row r="12518" spans="1:4" x14ac:dyDescent="0.2">
      <c r="A12518" s="496"/>
      <c r="D12518" s="496"/>
    </row>
    <row r="12519" spans="1:4" x14ac:dyDescent="0.2">
      <c r="A12519" s="496"/>
      <c r="D12519" s="496"/>
    </row>
    <row r="12520" spans="1:4" x14ac:dyDescent="0.2">
      <c r="A12520" s="496"/>
      <c r="D12520" s="496"/>
    </row>
    <row r="12521" spans="1:4" x14ac:dyDescent="0.2">
      <c r="A12521" s="496"/>
      <c r="D12521" s="496"/>
    </row>
    <row r="12522" spans="1:4" x14ac:dyDescent="0.2">
      <c r="A12522" s="496"/>
      <c r="D12522" s="496"/>
    </row>
    <row r="12523" spans="1:4" x14ac:dyDescent="0.2">
      <c r="A12523" s="496"/>
      <c r="D12523" s="496"/>
    </row>
    <row r="12524" spans="1:4" x14ac:dyDescent="0.2">
      <c r="A12524" s="496"/>
      <c r="D12524" s="496"/>
    </row>
    <row r="12525" spans="1:4" x14ac:dyDescent="0.2">
      <c r="A12525" s="496"/>
      <c r="D12525" s="496"/>
    </row>
    <row r="12526" spans="1:4" x14ac:dyDescent="0.2">
      <c r="A12526" s="496"/>
      <c r="D12526" s="496"/>
    </row>
    <row r="12527" spans="1:4" x14ac:dyDescent="0.2">
      <c r="A12527" s="496"/>
      <c r="D12527" s="496"/>
    </row>
    <row r="12528" spans="1:4" x14ac:dyDescent="0.2">
      <c r="A12528" s="496"/>
      <c r="D12528" s="496"/>
    </row>
    <row r="12529" spans="1:4" x14ac:dyDescent="0.2">
      <c r="A12529" s="496"/>
      <c r="D12529" s="496"/>
    </row>
    <row r="12530" spans="1:4" x14ac:dyDescent="0.2">
      <c r="A12530" s="496"/>
      <c r="D12530" s="496"/>
    </row>
    <row r="12531" spans="1:4" x14ac:dyDescent="0.2">
      <c r="A12531" s="496"/>
      <c r="D12531" s="496"/>
    </row>
    <row r="12532" spans="1:4" x14ac:dyDescent="0.2">
      <c r="A12532" s="496"/>
      <c r="D12532" s="496"/>
    </row>
    <row r="12533" spans="1:4" x14ac:dyDescent="0.2">
      <c r="A12533" s="496"/>
      <c r="D12533" s="496"/>
    </row>
    <row r="12534" spans="1:4" x14ac:dyDescent="0.2">
      <c r="A12534" s="496"/>
      <c r="D12534" s="496"/>
    </row>
    <row r="12535" spans="1:4" x14ac:dyDescent="0.2">
      <c r="A12535" s="496"/>
      <c r="D12535" s="496"/>
    </row>
    <row r="12536" spans="1:4" x14ac:dyDescent="0.2">
      <c r="A12536" s="496"/>
      <c r="D12536" s="496"/>
    </row>
    <row r="12537" spans="1:4" x14ac:dyDescent="0.2">
      <c r="A12537" s="496"/>
      <c r="D12537" s="496"/>
    </row>
    <row r="12538" spans="1:4" x14ac:dyDescent="0.2">
      <c r="A12538" s="496"/>
      <c r="D12538" s="496"/>
    </row>
    <row r="12539" spans="1:4" x14ac:dyDescent="0.2">
      <c r="A12539" s="496"/>
      <c r="D12539" s="496"/>
    </row>
    <row r="12540" spans="1:4" x14ac:dyDescent="0.2">
      <c r="A12540" s="496"/>
      <c r="D12540" s="496"/>
    </row>
    <row r="12541" spans="1:4" x14ac:dyDescent="0.2">
      <c r="A12541" s="496"/>
      <c r="D12541" s="496"/>
    </row>
    <row r="12542" spans="1:4" x14ac:dyDescent="0.2">
      <c r="A12542" s="496"/>
      <c r="D12542" s="496"/>
    </row>
    <row r="12543" spans="1:4" x14ac:dyDescent="0.2">
      <c r="A12543" s="496"/>
      <c r="D12543" s="496"/>
    </row>
    <row r="12544" spans="1:4" x14ac:dyDescent="0.2">
      <c r="A12544" s="496"/>
      <c r="D12544" s="496"/>
    </row>
    <row r="12545" spans="1:4" x14ac:dyDescent="0.2">
      <c r="A12545" s="496"/>
      <c r="D12545" s="496"/>
    </row>
    <row r="12546" spans="1:4" x14ac:dyDescent="0.2">
      <c r="A12546" s="496"/>
      <c r="D12546" s="496"/>
    </row>
    <row r="12547" spans="1:4" x14ac:dyDescent="0.2">
      <c r="A12547" s="496"/>
      <c r="D12547" s="496"/>
    </row>
    <row r="12548" spans="1:4" x14ac:dyDescent="0.2">
      <c r="A12548" s="496"/>
      <c r="D12548" s="496"/>
    </row>
    <row r="12549" spans="1:4" x14ac:dyDescent="0.2">
      <c r="A12549" s="496"/>
      <c r="D12549" s="496"/>
    </row>
    <row r="12550" spans="1:4" x14ac:dyDescent="0.2">
      <c r="A12550" s="496"/>
      <c r="D12550" s="496"/>
    </row>
    <row r="12551" spans="1:4" x14ac:dyDescent="0.2">
      <c r="A12551" s="496"/>
      <c r="D12551" s="496"/>
    </row>
    <row r="12552" spans="1:4" x14ac:dyDescent="0.2">
      <c r="A12552" s="496"/>
      <c r="D12552" s="496"/>
    </row>
    <row r="12553" spans="1:4" x14ac:dyDescent="0.2">
      <c r="A12553" s="496"/>
      <c r="D12553" s="496"/>
    </row>
    <row r="12554" spans="1:4" x14ac:dyDescent="0.2">
      <c r="A12554" s="496"/>
      <c r="D12554" s="496"/>
    </row>
    <row r="12555" spans="1:4" x14ac:dyDescent="0.2">
      <c r="A12555" s="496"/>
      <c r="D12555" s="496"/>
    </row>
    <row r="12556" spans="1:4" x14ac:dyDescent="0.2">
      <c r="A12556" s="496"/>
      <c r="D12556" s="496"/>
    </row>
    <row r="12557" spans="1:4" x14ac:dyDescent="0.2">
      <c r="A12557" s="496"/>
      <c r="D12557" s="496"/>
    </row>
    <row r="12558" spans="1:4" x14ac:dyDescent="0.2">
      <c r="A12558" s="496"/>
      <c r="D12558" s="496"/>
    </row>
    <row r="12559" spans="1:4" x14ac:dyDescent="0.2">
      <c r="A12559" s="496"/>
      <c r="D12559" s="496"/>
    </row>
    <row r="12560" spans="1:4" x14ac:dyDescent="0.2">
      <c r="A12560" s="496"/>
      <c r="D12560" s="496"/>
    </row>
    <row r="12561" spans="1:4" x14ac:dyDescent="0.2">
      <c r="A12561" s="496"/>
      <c r="D12561" s="496"/>
    </row>
    <row r="12562" spans="1:4" x14ac:dyDescent="0.2">
      <c r="A12562" s="496"/>
      <c r="D12562" s="496"/>
    </row>
    <row r="12563" spans="1:4" x14ac:dyDescent="0.2">
      <c r="A12563" s="496"/>
      <c r="D12563" s="496"/>
    </row>
    <row r="12564" spans="1:4" x14ac:dyDescent="0.2">
      <c r="A12564" s="496"/>
      <c r="D12564" s="496"/>
    </row>
    <row r="12565" spans="1:4" x14ac:dyDescent="0.2">
      <c r="A12565" s="496"/>
      <c r="D12565" s="496"/>
    </row>
    <row r="12566" spans="1:4" x14ac:dyDescent="0.2">
      <c r="A12566" s="496"/>
      <c r="D12566" s="496"/>
    </row>
    <row r="12567" spans="1:4" x14ac:dyDescent="0.2">
      <c r="A12567" s="496"/>
      <c r="D12567" s="496"/>
    </row>
    <row r="12568" spans="1:4" x14ac:dyDescent="0.2">
      <c r="A12568" s="496"/>
      <c r="D12568" s="496"/>
    </row>
    <row r="12569" spans="1:4" x14ac:dyDescent="0.2">
      <c r="A12569" s="496"/>
      <c r="D12569" s="496"/>
    </row>
    <row r="12570" spans="1:4" x14ac:dyDescent="0.2">
      <c r="A12570" s="496"/>
      <c r="D12570" s="496"/>
    </row>
    <row r="12571" spans="1:4" x14ac:dyDescent="0.2">
      <c r="A12571" s="496"/>
      <c r="D12571" s="496"/>
    </row>
    <row r="12572" spans="1:4" x14ac:dyDescent="0.2">
      <c r="A12572" s="496"/>
      <c r="D12572" s="496"/>
    </row>
    <row r="12573" spans="1:4" x14ac:dyDescent="0.2">
      <c r="A12573" s="496"/>
      <c r="D12573" s="496"/>
    </row>
    <row r="12574" spans="1:4" x14ac:dyDescent="0.2">
      <c r="A12574" s="496"/>
      <c r="D12574" s="496"/>
    </row>
    <row r="12575" spans="1:4" x14ac:dyDescent="0.2">
      <c r="A12575" s="496"/>
      <c r="D12575" s="496"/>
    </row>
    <row r="12576" spans="1:4" x14ac:dyDescent="0.2">
      <c r="A12576" s="496"/>
      <c r="D12576" s="496"/>
    </row>
    <row r="12577" spans="1:4" x14ac:dyDescent="0.2">
      <c r="A12577" s="496"/>
      <c r="D12577" s="496"/>
    </row>
    <row r="12578" spans="1:4" x14ac:dyDescent="0.2">
      <c r="A12578" s="496"/>
      <c r="D12578" s="496"/>
    </row>
    <row r="12579" spans="1:4" x14ac:dyDescent="0.2">
      <c r="A12579" s="496"/>
      <c r="D12579" s="496"/>
    </row>
    <row r="12580" spans="1:4" x14ac:dyDescent="0.2">
      <c r="A12580" s="496"/>
      <c r="D12580" s="496"/>
    </row>
    <row r="12581" spans="1:4" x14ac:dyDescent="0.2">
      <c r="A12581" s="496"/>
      <c r="D12581" s="496"/>
    </row>
    <row r="12582" spans="1:4" x14ac:dyDescent="0.2">
      <c r="A12582" s="496"/>
      <c r="D12582" s="496"/>
    </row>
    <row r="12583" spans="1:4" x14ac:dyDescent="0.2">
      <c r="A12583" s="496"/>
      <c r="D12583" s="496"/>
    </row>
    <row r="12584" spans="1:4" x14ac:dyDescent="0.2">
      <c r="A12584" s="496"/>
      <c r="D12584" s="496"/>
    </row>
    <row r="12585" spans="1:4" x14ac:dyDescent="0.2">
      <c r="A12585" s="496"/>
      <c r="D12585" s="496"/>
    </row>
    <row r="12586" spans="1:4" x14ac:dyDescent="0.2">
      <c r="A12586" s="496"/>
      <c r="D12586" s="496"/>
    </row>
    <row r="12587" spans="1:4" x14ac:dyDescent="0.2">
      <c r="A12587" s="496"/>
      <c r="D12587" s="496"/>
    </row>
    <row r="12588" spans="1:4" x14ac:dyDescent="0.2">
      <c r="A12588" s="496"/>
      <c r="D12588" s="496"/>
    </row>
    <row r="12589" spans="1:4" x14ac:dyDescent="0.2">
      <c r="A12589" s="496"/>
      <c r="D12589" s="496"/>
    </row>
    <row r="12590" spans="1:4" x14ac:dyDescent="0.2">
      <c r="A12590" s="496"/>
      <c r="D12590" s="496"/>
    </row>
    <row r="12591" spans="1:4" x14ac:dyDescent="0.2">
      <c r="A12591" s="496"/>
      <c r="D12591" s="496"/>
    </row>
    <row r="12592" spans="1:4" x14ac:dyDescent="0.2">
      <c r="A12592" s="496"/>
      <c r="D12592" s="496"/>
    </row>
    <row r="12593" spans="1:4" x14ac:dyDescent="0.2">
      <c r="A12593" s="496"/>
      <c r="D12593" s="496"/>
    </row>
    <row r="12594" spans="1:4" x14ac:dyDescent="0.2">
      <c r="A12594" s="496"/>
      <c r="D12594" s="496"/>
    </row>
    <row r="12595" spans="1:4" x14ac:dyDescent="0.2">
      <c r="A12595" s="496"/>
      <c r="D12595" s="496"/>
    </row>
    <row r="12596" spans="1:4" x14ac:dyDescent="0.2">
      <c r="A12596" s="496"/>
      <c r="D12596" s="496"/>
    </row>
    <row r="12597" spans="1:4" x14ac:dyDescent="0.2">
      <c r="A12597" s="496"/>
      <c r="D12597" s="496"/>
    </row>
    <row r="12598" spans="1:4" x14ac:dyDescent="0.2">
      <c r="A12598" s="496"/>
      <c r="D12598" s="496"/>
    </row>
    <row r="12599" spans="1:4" x14ac:dyDescent="0.2">
      <c r="A12599" s="496"/>
      <c r="D12599" s="496"/>
    </row>
    <row r="12600" spans="1:4" x14ac:dyDescent="0.2">
      <c r="A12600" s="496"/>
      <c r="D12600" s="496"/>
    </row>
    <row r="12601" spans="1:4" x14ac:dyDescent="0.2">
      <c r="A12601" s="496"/>
      <c r="D12601" s="496"/>
    </row>
    <row r="12602" spans="1:4" x14ac:dyDescent="0.2">
      <c r="A12602" s="496"/>
      <c r="D12602" s="496"/>
    </row>
    <row r="12603" spans="1:4" x14ac:dyDescent="0.2">
      <c r="A12603" s="496"/>
      <c r="D12603" s="496"/>
    </row>
    <row r="12604" spans="1:4" x14ac:dyDescent="0.2">
      <c r="A12604" s="496"/>
      <c r="D12604" s="496"/>
    </row>
    <row r="12605" spans="1:4" x14ac:dyDescent="0.2">
      <c r="A12605" s="496"/>
      <c r="D12605" s="496"/>
    </row>
    <row r="12606" spans="1:4" x14ac:dyDescent="0.2">
      <c r="A12606" s="496"/>
      <c r="D12606" s="496"/>
    </row>
    <row r="12607" spans="1:4" x14ac:dyDescent="0.2">
      <c r="A12607" s="496"/>
      <c r="D12607" s="496"/>
    </row>
    <row r="12608" spans="1:4" x14ac:dyDescent="0.2">
      <c r="A12608" s="496"/>
      <c r="D12608" s="496"/>
    </row>
    <row r="12609" spans="1:4" x14ac:dyDescent="0.2">
      <c r="A12609" s="496"/>
      <c r="D12609" s="496"/>
    </row>
    <row r="12610" spans="1:4" x14ac:dyDescent="0.2">
      <c r="A12610" s="496"/>
      <c r="D12610" s="496"/>
    </row>
    <row r="12611" spans="1:4" x14ac:dyDescent="0.2">
      <c r="A12611" s="496"/>
      <c r="D12611" s="496"/>
    </row>
    <row r="12612" spans="1:4" x14ac:dyDescent="0.2">
      <c r="A12612" s="496"/>
      <c r="D12612" s="496"/>
    </row>
    <row r="12613" spans="1:4" x14ac:dyDescent="0.2">
      <c r="A12613" s="496"/>
      <c r="D12613" s="496"/>
    </row>
    <row r="12614" spans="1:4" x14ac:dyDescent="0.2">
      <c r="A12614" s="496"/>
      <c r="D12614" s="496"/>
    </row>
    <row r="12615" spans="1:4" x14ac:dyDescent="0.2">
      <c r="A12615" s="496"/>
      <c r="D12615" s="496"/>
    </row>
    <row r="12616" spans="1:4" x14ac:dyDescent="0.2">
      <c r="A12616" s="496"/>
      <c r="D12616" s="496"/>
    </row>
    <row r="12617" spans="1:4" x14ac:dyDescent="0.2">
      <c r="A12617" s="496"/>
      <c r="D12617" s="496"/>
    </row>
    <row r="12618" spans="1:4" x14ac:dyDescent="0.2">
      <c r="A12618" s="496"/>
      <c r="D12618" s="496"/>
    </row>
    <row r="12619" spans="1:4" x14ac:dyDescent="0.2">
      <c r="A12619" s="496"/>
      <c r="D12619" s="496"/>
    </row>
    <row r="12620" spans="1:4" x14ac:dyDescent="0.2">
      <c r="A12620" s="496"/>
      <c r="D12620" s="496"/>
    </row>
    <row r="12621" spans="1:4" x14ac:dyDescent="0.2">
      <c r="A12621" s="496"/>
      <c r="D12621" s="496"/>
    </row>
    <row r="12622" spans="1:4" x14ac:dyDescent="0.2">
      <c r="A12622" s="496"/>
      <c r="D12622" s="496"/>
    </row>
    <row r="12623" spans="1:4" x14ac:dyDescent="0.2">
      <c r="A12623" s="496"/>
      <c r="D12623" s="496"/>
    </row>
    <row r="12624" spans="1:4" x14ac:dyDescent="0.2">
      <c r="A12624" s="496"/>
      <c r="D12624" s="496"/>
    </row>
    <row r="12625" spans="1:4" x14ac:dyDescent="0.2">
      <c r="A12625" s="496"/>
      <c r="D12625" s="496"/>
    </row>
    <row r="12626" spans="1:4" x14ac:dyDescent="0.2">
      <c r="A12626" s="496"/>
      <c r="D12626" s="496"/>
    </row>
    <row r="12627" spans="1:4" x14ac:dyDescent="0.2">
      <c r="A12627" s="496"/>
      <c r="D12627" s="496"/>
    </row>
    <row r="12628" spans="1:4" x14ac:dyDescent="0.2">
      <c r="A12628" s="496"/>
      <c r="D12628" s="496"/>
    </row>
    <row r="12629" spans="1:4" x14ac:dyDescent="0.2">
      <c r="A12629" s="496"/>
      <c r="D12629" s="496"/>
    </row>
    <row r="12630" spans="1:4" x14ac:dyDescent="0.2">
      <c r="A12630" s="496"/>
      <c r="D12630" s="496"/>
    </row>
    <row r="12631" spans="1:4" x14ac:dyDescent="0.2">
      <c r="A12631" s="496"/>
      <c r="D12631" s="496"/>
    </row>
    <row r="12632" spans="1:4" x14ac:dyDescent="0.2">
      <c r="A12632" s="496"/>
      <c r="D12632" s="496"/>
    </row>
    <row r="12633" spans="1:4" x14ac:dyDescent="0.2">
      <c r="A12633" s="496"/>
      <c r="D12633" s="496"/>
    </row>
    <row r="12634" spans="1:4" x14ac:dyDescent="0.2">
      <c r="A12634" s="496"/>
      <c r="D12634" s="496"/>
    </row>
    <row r="12635" spans="1:4" x14ac:dyDescent="0.2">
      <c r="A12635" s="496"/>
      <c r="D12635" s="496"/>
    </row>
    <row r="12636" spans="1:4" x14ac:dyDescent="0.2">
      <c r="A12636" s="496"/>
      <c r="D12636" s="496"/>
    </row>
    <row r="12637" spans="1:4" x14ac:dyDescent="0.2">
      <c r="A12637" s="496"/>
      <c r="D12637" s="496"/>
    </row>
    <row r="12638" spans="1:4" x14ac:dyDescent="0.2">
      <c r="A12638" s="496"/>
      <c r="D12638" s="496"/>
    </row>
    <row r="12639" spans="1:4" x14ac:dyDescent="0.2">
      <c r="A12639" s="496"/>
      <c r="D12639" s="496"/>
    </row>
    <row r="12640" spans="1:4" x14ac:dyDescent="0.2">
      <c r="A12640" s="496"/>
      <c r="D12640" s="496"/>
    </row>
    <row r="12641" spans="1:4" x14ac:dyDescent="0.2">
      <c r="A12641" s="496"/>
      <c r="D12641" s="496"/>
    </row>
    <row r="12642" spans="1:4" x14ac:dyDescent="0.2">
      <c r="A12642" s="496"/>
      <c r="D12642" s="496"/>
    </row>
    <row r="12643" spans="1:4" x14ac:dyDescent="0.2">
      <c r="A12643" s="496"/>
      <c r="D12643" s="496"/>
    </row>
    <row r="12644" spans="1:4" x14ac:dyDescent="0.2">
      <c r="A12644" s="496"/>
      <c r="D12644" s="496"/>
    </row>
    <row r="12645" spans="1:4" x14ac:dyDescent="0.2">
      <c r="A12645" s="496"/>
      <c r="D12645" s="496"/>
    </row>
    <row r="12646" spans="1:4" x14ac:dyDescent="0.2">
      <c r="A12646" s="496"/>
      <c r="D12646" s="496"/>
    </row>
    <row r="12647" spans="1:4" x14ac:dyDescent="0.2">
      <c r="A12647" s="496"/>
      <c r="D12647" s="496"/>
    </row>
    <row r="12648" spans="1:4" x14ac:dyDescent="0.2">
      <c r="A12648" s="496"/>
      <c r="D12648" s="496"/>
    </row>
    <row r="12649" spans="1:4" x14ac:dyDescent="0.2">
      <c r="A12649" s="496"/>
      <c r="D12649" s="496"/>
    </row>
    <row r="12650" spans="1:4" x14ac:dyDescent="0.2">
      <c r="A12650" s="496"/>
      <c r="D12650" s="496"/>
    </row>
    <row r="12651" spans="1:4" x14ac:dyDescent="0.2">
      <c r="A12651" s="496"/>
      <c r="D12651" s="496"/>
    </row>
    <row r="12652" spans="1:4" x14ac:dyDescent="0.2">
      <c r="A12652" s="496"/>
      <c r="D12652" s="496"/>
    </row>
    <row r="12653" spans="1:4" x14ac:dyDescent="0.2">
      <c r="A12653" s="496"/>
      <c r="D12653" s="496"/>
    </row>
    <row r="12654" spans="1:4" x14ac:dyDescent="0.2">
      <c r="A12654" s="496"/>
      <c r="D12654" s="496"/>
    </row>
    <row r="12655" spans="1:4" x14ac:dyDescent="0.2">
      <c r="A12655" s="496"/>
      <c r="D12655" s="496"/>
    </row>
    <row r="12656" spans="1:4" x14ac:dyDescent="0.2">
      <c r="A12656" s="496"/>
      <c r="D12656" s="496"/>
    </row>
    <row r="12657" spans="1:4" x14ac:dyDescent="0.2">
      <c r="A12657" s="496"/>
      <c r="D12657" s="496"/>
    </row>
    <row r="12658" spans="1:4" x14ac:dyDescent="0.2">
      <c r="A12658" s="496"/>
      <c r="D12658" s="496"/>
    </row>
    <row r="12659" spans="1:4" x14ac:dyDescent="0.2">
      <c r="A12659" s="496"/>
      <c r="D12659" s="496"/>
    </row>
    <row r="12660" spans="1:4" x14ac:dyDescent="0.2">
      <c r="A12660" s="496"/>
      <c r="D12660" s="496"/>
    </row>
    <row r="12661" spans="1:4" x14ac:dyDescent="0.2">
      <c r="A12661" s="496"/>
      <c r="D12661" s="496"/>
    </row>
    <row r="12662" spans="1:4" x14ac:dyDescent="0.2">
      <c r="A12662" s="496"/>
      <c r="D12662" s="496"/>
    </row>
    <row r="12663" spans="1:4" x14ac:dyDescent="0.2">
      <c r="A12663" s="496"/>
      <c r="D12663" s="496"/>
    </row>
    <row r="12664" spans="1:4" x14ac:dyDescent="0.2">
      <c r="A12664" s="496"/>
      <c r="D12664" s="496"/>
    </row>
    <row r="12665" spans="1:4" x14ac:dyDescent="0.2">
      <c r="A12665" s="496"/>
      <c r="D12665" s="496"/>
    </row>
    <row r="12666" spans="1:4" x14ac:dyDescent="0.2">
      <c r="A12666" s="496"/>
      <c r="D12666" s="496"/>
    </row>
    <row r="12667" spans="1:4" x14ac:dyDescent="0.2">
      <c r="A12667" s="496"/>
      <c r="D12667" s="496"/>
    </row>
    <row r="12668" spans="1:4" x14ac:dyDescent="0.2">
      <c r="A12668" s="496"/>
      <c r="D12668" s="496"/>
    </row>
    <row r="12669" spans="1:4" x14ac:dyDescent="0.2">
      <c r="A12669" s="496"/>
      <c r="D12669" s="496"/>
    </row>
    <row r="12670" spans="1:4" x14ac:dyDescent="0.2">
      <c r="A12670" s="496"/>
      <c r="D12670" s="496"/>
    </row>
    <row r="12671" spans="1:4" x14ac:dyDescent="0.2">
      <c r="A12671" s="496"/>
      <c r="D12671" s="496"/>
    </row>
    <row r="12672" spans="1:4" x14ac:dyDescent="0.2">
      <c r="A12672" s="496"/>
      <c r="D12672" s="496"/>
    </row>
    <row r="12673" spans="1:4" x14ac:dyDescent="0.2">
      <c r="A12673" s="496"/>
      <c r="D12673" s="496"/>
    </row>
    <row r="12674" spans="1:4" x14ac:dyDescent="0.2">
      <c r="A12674" s="496"/>
      <c r="D12674" s="496"/>
    </row>
    <row r="12675" spans="1:4" x14ac:dyDescent="0.2">
      <c r="A12675" s="496"/>
      <c r="D12675" s="496"/>
    </row>
    <row r="12676" spans="1:4" x14ac:dyDescent="0.2">
      <c r="A12676" s="496"/>
      <c r="D12676" s="496"/>
    </row>
    <row r="12677" spans="1:4" x14ac:dyDescent="0.2">
      <c r="A12677" s="496"/>
      <c r="D12677" s="496"/>
    </row>
    <row r="12678" spans="1:4" x14ac:dyDescent="0.2">
      <c r="A12678" s="496"/>
      <c r="D12678" s="496"/>
    </row>
    <row r="12679" spans="1:4" x14ac:dyDescent="0.2">
      <c r="A12679" s="496"/>
      <c r="D12679" s="496"/>
    </row>
    <row r="12680" spans="1:4" x14ac:dyDescent="0.2">
      <c r="A12680" s="496"/>
      <c r="D12680" s="496"/>
    </row>
    <row r="12681" spans="1:4" x14ac:dyDescent="0.2">
      <c r="A12681" s="496"/>
      <c r="D12681" s="496"/>
    </row>
    <row r="12682" spans="1:4" x14ac:dyDescent="0.2">
      <c r="A12682" s="496"/>
      <c r="D12682" s="496"/>
    </row>
    <row r="12683" spans="1:4" x14ac:dyDescent="0.2">
      <c r="A12683" s="496"/>
      <c r="D12683" s="496"/>
    </row>
    <row r="12684" spans="1:4" x14ac:dyDescent="0.2">
      <c r="A12684" s="496"/>
      <c r="D12684" s="496"/>
    </row>
    <row r="12685" spans="1:4" x14ac:dyDescent="0.2">
      <c r="A12685" s="496"/>
      <c r="D12685" s="496"/>
    </row>
    <row r="12686" spans="1:4" x14ac:dyDescent="0.2">
      <c r="A12686" s="496"/>
      <c r="D12686" s="496"/>
    </row>
    <row r="12687" spans="1:4" x14ac:dyDescent="0.2">
      <c r="A12687" s="496"/>
      <c r="D12687" s="496"/>
    </row>
    <row r="12688" spans="1:4" x14ac:dyDescent="0.2">
      <c r="A12688" s="496"/>
      <c r="D12688" s="496"/>
    </row>
    <row r="12689" spans="1:4" x14ac:dyDescent="0.2">
      <c r="A12689" s="496"/>
      <c r="D12689" s="496"/>
    </row>
    <row r="12690" spans="1:4" x14ac:dyDescent="0.2">
      <c r="A12690" s="496"/>
      <c r="D12690" s="496"/>
    </row>
    <row r="12691" spans="1:4" x14ac:dyDescent="0.2">
      <c r="A12691" s="496"/>
      <c r="D12691" s="496"/>
    </row>
    <row r="12692" spans="1:4" x14ac:dyDescent="0.2">
      <c r="A12692" s="496"/>
      <c r="D12692" s="496"/>
    </row>
    <row r="12693" spans="1:4" x14ac:dyDescent="0.2">
      <c r="A12693" s="496"/>
      <c r="D12693" s="496"/>
    </row>
    <row r="12694" spans="1:4" x14ac:dyDescent="0.2">
      <c r="A12694" s="496"/>
      <c r="D12694" s="496"/>
    </row>
    <row r="12695" spans="1:4" x14ac:dyDescent="0.2">
      <c r="A12695" s="496"/>
      <c r="D12695" s="496"/>
    </row>
    <row r="12696" spans="1:4" x14ac:dyDescent="0.2">
      <c r="A12696" s="496"/>
      <c r="D12696" s="496"/>
    </row>
    <row r="12697" spans="1:4" x14ac:dyDescent="0.2">
      <c r="A12697" s="496"/>
      <c r="D12697" s="496"/>
    </row>
    <row r="12698" spans="1:4" x14ac:dyDescent="0.2">
      <c r="A12698" s="496"/>
      <c r="D12698" s="496"/>
    </row>
    <row r="12699" spans="1:4" x14ac:dyDescent="0.2">
      <c r="A12699" s="496"/>
      <c r="D12699" s="496"/>
    </row>
    <row r="12700" spans="1:4" x14ac:dyDescent="0.2">
      <c r="A12700" s="496"/>
      <c r="D12700" s="496"/>
    </row>
    <row r="12701" spans="1:4" x14ac:dyDescent="0.2">
      <c r="A12701" s="496"/>
      <c r="D12701" s="496"/>
    </row>
    <row r="12702" spans="1:4" x14ac:dyDescent="0.2">
      <c r="A12702" s="496"/>
      <c r="D12702" s="496"/>
    </row>
    <row r="12703" spans="1:4" x14ac:dyDescent="0.2">
      <c r="A12703" s="496"/>
      <c r="D12703" s="496"/>
    </row>
    <row r="12704" spans="1:4" x14ac:dyDescent="0.2">
      <c r="A12704" s="496"/>
      <c r="D12704" s="496"/>
    </row>
    <row r="12705" spans="1:4" x14ac:dyDescent="0.2">
      <c r="A12705" s="496"/>
      <c r="D12705" s="496"/>
    </row>
    <row r="12706" spans="1:4" x14ac:dyDescent="0.2">
      <c r="A12706" s="496"/>
      <c r="D12706" s="496"/>
    </row>
    <row r="12707" spans="1:4" x14ac:dyDescent="0.2">
      <c r="A12707" s="496"/>
      <c r="D12707" s="496"/>
    </row>
    <row r="12708" spans="1:4" x14ac:dyDescent="0.2">
      <c r="A12708" s="496"/>
      <c r="D12708" s="496"/>
    </row>
    <row r="12709" spans="1:4" x14ac:dyDescent="0.2">
      <c r="A12709" s="496"/>
      <c r="D12709" s="496"/>
    </row>
    <row r="12710" spans="1:4" x14ac:dyDescent="0.2">
      <c r="A12710" s="496"/>
      <c r="D12710" s="496"/>
    </row>
    <row r="12711" spans="1:4" x14ac:dyDescent="0.2">
      <c r="A12711" s="496"/>
      <c r="D12711" s="496"/>
    </row>
    <row r="12712" spans="1:4" x14ac:dyDescent="0.2">
      <c r="A12712" s="496"/>
      <c r="D12712" s="496"/>
    </row>
    <row r="12713" spans="1:4" x14ac:dyDescent="0.2">
      <c r="A12713" s="496"/>
      <c r="D12713" s="496"/>
    </row>
    <row r="12714" spans="1:4" x14ac:dyDescent="0.2">
      <c r="A12714" s="496"/>
      <c r="D12714" s="496"/>
    </row>
    <row r="12715" spans="1:4" x14ac:dyDescent="0.2">
      <c r="A12715" s="496"/>
      <c r="D12715" s="496"/>
    </row>
    <row r="12716" spans="1:4" x14ac:dyDescent="0.2">
      <c r="A12716" s="496"/>
      <c r="D12716" s="496"/>
    </row>
    <row r="12717" spans="1:4" x14ac:dyDescent="0.2">
      <c r="A12717" s="496"/>
      <c r="D12717" s="496"/>
    </row>
    <row r="12718" spans="1:4" x14ac:dyDescent="0.2">
      <c r="A12718" s="496"/>
      <c r="D12718" s="496"/>
    </row>
    <row r="12719" spans="1:4" x14ac:dyDescent="0.2">
      <c r="A12719" s="496"/>
      <c r="D12719" s="496"/>
    </row>
    <row r="12720" spans="1:4" x14ac:dyDescent="0.2">
      <c r="A12720" s="496"/>
      <c r="D12720" s="496"/>
    </row>
    <row r="12721" spans="1:4" x14ac:dyDescent="0.2">
      <c r="A12721" s="496"/>
      <c r="D12721" s="496"/>
    </row>
    <row r="12722" spans="1:4" x14ac:dyDescent="0.2">
      <c r="A12722" s="496"/>
      <c r="D12722" s="496"/>
    </row>
    <row r="12723" spans="1:4" x14ac:dyDescent="0.2">
      <c r="A12723" s="496"/>
      <c r="D12723" s="496"/>
    </row>
    <row r="12724" spans="1:4" x14ac:dyDescent="0.2">
      <c r="A12724" s="496"/>
      <c r="D12724" s="496"/>
    </row>
    <row r="12725" spans="1:4" x14ac:dyDescent="0.2">
      <c r="A12725" s="496"/>
      <c r="D12725" s="496"/>
    </row>
    <row r="12726" spans="1:4" x14ac:dyDescent="0.2">
      <c r="A12726" s="496"/>
      <c r="D12726" s="496"/>
    </row>
    <row r="12727" spans="1:4" x14ac:dyDescent="0.2">
      <c r="A12727" s="496"/>
      <c r="D12727" s="496"/>
    </row>
    <row r="12728" spans="1:4" x14ac:dyDescent="0.2">
      <c r="A12728" s="496"/>
      <c r="D12728" s="496"/>
    </row>
    <row r="12729" spans="1:4" x14ac:dyDescent="0.2">
      <c r="A12729" s="496"/>
      <c r="D12729" s="496"/>
    </row>
    <row r="12730" spans="1:4" x14ac:dyDescent="0.2">
      <c r="A12730" s="496"/>
      <c r="D12730" s="496"/>
    </row>
    <row r="12731" spans="1:4" x14ac:dyDescent="0.2">
      <c r="A12731" s="496"/>
      <c r="D12731" s="496"/>
    </row>
    <row r="12732" spans="1:4" x14ac:dyDescent="0.2">
      <c r="A12732" s="496"/>
      <c r="D12732" s="496"/>
    </row>
    <row r="12733" spans="1:4" x14ac:dyDescent="0.2">
      <c r="A12733" s="496"/>
      <c r="D12733" s="496"/>
    </row>
    <row r="12734" spans="1:4" x14ac:dyDescent="0.2">
      <c r="A12734" s="496"/>
      <c r="D12734" s="496"/>
    </row>
    <row r="12735" spans="1:4" x14ac:dyDescent="0.2">
      <c r="A12735" s="496"/>
      <c r="D12735" s="496"/>
    </row>
    <row r="12736" spans="1:4" x14ac:dyDescent="0.2">
      <c r="A12736" s="496"/>
      <c r="D12736" s="496"/>
    </row>
    <row r="12737" spans="1:4" x14ac:dyDescent="0.2">
      <c r="A12737" s="496"/>
      <c r="D12737" s="496"/>
    </row>
    <row r="12738" spans="1:4" x14ac:dyDescent="0.2">
      <c r="A12738" s="496"/>
      <c r="D12738" s="496"/>
    </row>
    <row r="12739" spans="1:4" x14ac:dyDescent="0.2">
      <c r="A12739" s="496"/>
      <c r="D12739" s="496"/>
    </row>
    <row r="12740" spans="1:4" x14ac:dyDescent="0.2">
      <c r="A12740" s="496"/>
      <c r="D12740" s="496"/>
    </row>
    <row r="12741" spans="1:4" x14ac:dyDescent="0.2">
      <c r="A12741" s="496"/>
      <c r="D12741" s="496"/>
    </row>
    <row r="12742" spans="1:4" x14ac:dyDescent="0.2">
      <c r="A12742" s="496"/>
      <c r="D12742" s="496"/>
    </row>
    <row r="12743" spans="1:4" x14ac:dyDescent="0.2">
      <c r="A12743" s="496"/>
      <c r="D12743" s="496"/>
    </row>
    <row r="12744" spans="1:4" x14ac:dyDescent="0.2">
      <c r="A12744" s="496"/>
      <c r="D12744" s="496"/>
    </row>
    <row r="12745" spans="1:4" x14ac:dyDescent="0.2">
      <c r="A12745" s="496"/>
      <c r="D12745" s="496"/>
    </row>
    <row r="12746" spans="1:4" x14ac:dyDescent="0.2">
      <c r="A12746" s="496"/>
      <c r="D12746" s="496"/>
    </row>
    <row r="12747" spans="1:4" x14ac:dyDescent="0.2">
      <c r="A12747" s="496"/>
      <c r="D12747" s="496"/>
    </row>
    <row r="12748" spans="1:4" x14ac:dyDescent="0.2">
      <c r="A12748" s="496"/>
      <c r="D12748" s="496"/>
    </row>
    <row r="12749" spans="1:4" x14ac:dyDescent="0.2">
      <c r="A12749" s="496"/>
      <c r="D12749" s="496"/>
    </row>
    <row r="12750" spans="1:4" x14ac:dyDescent="0.2">
      <c r="A12750" s="496"/>
      <c r="D12750" s="496"/>
    </row>
    <row r="12751" spans="1:4" x14ac:dyDescent="0.2">
      <c r="A12751" s="496"/>
      <c r="D12751" s="496"/>
    </row>
    <row r="12752" spans="1:4" x14ac:dyDescent="0.2">
      <c r="A12752" s="496"/>
      <c r="D12752" s="496"/>
    </row>
    <row r="12753" spans="1:4" x14ac:dyDescent="0.2">
      <c r="A12753" s="496"/>
      <c r="D12753" s="496"/>
    </row>
    <row r="12754" spans="1:4" x14ac:dyDescent="0.2">
      <c r="A12754" s="496"/>
      <c r="D12754" s="496"/>
    </row>
    <row r="12755" spans="1:4" x14ac:dyDescent="0.2">
      <c r="A12755" s="496"/>
      <c r="D12755" s="496"/>
    </row>
    <row r="12756" spans="1:4" x14ac:dyDescent="0.2">
      <c r="A12756" s="496"/>
      <c r="D12756" s="496"/>
    </row>
    <row r="12757" spans="1:4" x14ac:dyDescent="0.2">
      <c r="A12757" s="496"/>
      <c r="D12757" s="496"/>
    </row>
    <row r="12758" spans="1:4" x14ac:dyDescent="0.2">
      <c r="A12758" s="496"/>
      <c r="D12758" s="496"/>
    </row>
    <row r="12759" spans="1:4" x14ac:dyDescent="0.2">
      <c r="A12759" s="496"/>
      <c r="D12759" s="496"/>
    </row>
    <row r="12760" spans="1:4" x14ac:dyDescent="0.2">
      <c r="A12760" s="496"/>
      <c r="D12760" s="496"/>
    </row>
    <row r="12761" spans="1:4" x14ac:dyDescent="0.2">
      <c r="A12761" s="496"/>
      <c r="D12761" s="496"/>
    </row>
    <row r="12762" spans="1:4" x14ac:dyDescent="0.2">
      <c r="A12762" s="496"/>
      <c r="D12762" s="496"/>
    </row>
    <row r="12763" spans="1:4" x14ac:dyDescent="0.2">
      <c r="A12763" s="496"/>
      <c r="D12763" s="496"/>
    </row>
    <row r="12764" spans="1:4" x14ac:dyDescent="0.2">
      <c r="A12764" s="496"/>
      <c r="D12764" s="496"/>
    </row>
    <row r="12765" spans="1:4" x14ac:dyDescent="0.2">
      <c r="A12765" s="496"/>
      <c r="D12765" s="496"/>
    </row>
    <row r="12766" spans="1:4" x14ac:dyDescent="0.2">
      <c r="A12766" s="496"/>
      <c r="D12766" s="496"/>
    </row>
    <row r="12767" spans="1:4" x14ac:dyDescent="0.2">
      <c r="A12767" s="496"/>
      <c r="D12767" s="496"/>
    </row>
    <row r="12768" spans="1:4" x14ac:dyDescent="0.2">
      <c r="A12768" s="496"/>
      <c r="D12768" s="496"/>
    </row>
    <row r="12769" spans="1:4" x14ac:dyDescent="0.2">
      <c r="A12769" s="496"/>
      <c r="D12769" s="496"/>
    </row>
    <row r="12770" spans="1:4" x14ac:dyDescent="0.2">
      <c r="A12770" s="496"/>
      <c r="D12770" s="496"/>
    </row>
    <row r="12771" spans="1:4" x14ac:dyDescent="0.2">
      <c r="A12771" s="496"/>
      <c r="D12771" s="496"/>
    </row>
    <row r="12772" spans="1:4" x14ac:dyDescent="0.2">
      <c r="A12772" s="496"/>
      <c r="D12772" s="496"/>
    </row>
    <row r="12773" spans="1:4" x14ac:dyDescent="0.2">
      <c r="A12773" s="496"/>
      <c r="D12773" s="496"/>
    </row>
    <row r="12774" spans="1:4" x14ac:dyDescent="0.2">
      <c r="A12774" s="496"/>
      <c r="D12774" s="496"/>
    </row>
    <row r="12775" spans="1:4" x14ac:dyDescent="0.2">
      <c r="A12775" s="496"/>
      <c r="D12775" s="496"/>
    </row>
    <row r="12776" spans="1:4" x14ac:dyDescent="0.2">
      <c r="A12776" s="496"/>
      <c r="D12776" s="496"/>
    </row>
    <row r="12777" spans="1:4" x14ac:dyDescent="0.2">
      <c r="A12777" s="496"/>
      <c r="D12777" s="496"/>
    </row>
    <row r="12778" spans="1:4" x14ac:dyDescent="0.2">
      <c r="A12778" s="496"/>
      <c r="D12778" s="496"/>
    </row>
    <row r="12779" spans="1:4" x14ac:dyDescent="0.2">
      <c r="A12779" s="496"/>
      <c r="D12779" s="496"/>
    </row>
    <row r="12780" spans="1:4" x14ac:dyDescent="0.2">
      <c r="A12780" s="496"/>
      <c r="D12780" s="496"/>
    </row>
    <row r="12781" spans="1:4" x14ac:dyDescent="0.2">
      <c r="A12781" s="496"/>
      <c r="D12781" s="496"/>
    </row>
    <row r="12782" spans="1:4" x14ac:dyDescent="0.2">
      <c r="A12782" s="496"/>
      <c r="D12782" s="496"/>
    </row>
    <row r="12783" spans="1:4" x14ac:dyDescent="0.2">
      <c r="A12783" s="496"/>
      <c r="D12783" s="496"/>
    </row>
    <row r="12784" spans="1:4" x14ac:dyDescent="0.2">
      <c r="A12784" s="496"/>
      <c r="D12784" s="496"/>
    </row>
    <row r="12785" spans="1:4" x14ac:dyDescent="0.2">
      <c r="A12785" s="496"/>
      <c r="D12785" s="496"/>
    </row>
    <row r="12786" spans="1:4" x14ac:dyDescent="0.2">
      <c r="A12786" s="496"/>
      <c r="D12786" s="496"/>
    </row>
    <row r="12787" spans="1:4" x14ac:dyDescent="0.2">
      <c r="A12787" s="496"/>
      <c r="D12787" s="496"/>
    </row>
    <row r="12788" spans="1:4" x14ac:dyDescent="0.2">
      <c r="A12788" s="496"/>
      <c r="D12788" s="496"/>
    </row>
    <row r="12789" spans="1:4" x14ac:dyDescent="0.2">
      <c r="A12789" s="496"/>
      <c r="D12789" s="496"/>
    </row>
    <row r="12790" spans="1:4" x14ac:dyDescent="0.2">
      <c r="A12790" s="496"/>
      <c r="D12790" s="496"/>
    </row>
    <row r="12791" spans="1:4" x14ac:dyDescent="0.2">
      <c r="A12791" s="496"/>
      <c r="D12791" s="496"/>
    </row>
    <row r="12792" spans="1:4" x14ac:dyDescent="0.2">
      <c r="A12792" s="496"/>
      <c r="D12792" s="496"/>
    </row>
    <row r="12793" spans="1:4" x14ac:dyDescent="0.2">
      <c r="A12793" s="496"/>
      <c r="D12793" s="496"/>
    </row>
    <row r="12794" spans="1:4" x14ac:dyDescent="0.2">
      <c r="A12794" s="496"/>
      <c r="D12794" s="496"/>
    </row>
    <row r="12795" spans="1:4" x14ac:dyDescent="0.2">
      <c r="A12795" s="496"/>
      <c r="D12795" s="496"/>
    </row>
    <row r="12796" spans="1:4" x14ac:dyDescent="0.2">
      <c r="A12796" s="496"/>
      <c r="D12796" s="496"/>
    </row>
    <row r="12797" spans="1:4" x14ac:dyDescent="0.2">
      <c r="A12797" s="496"/>
      <c r="D12797" s="496"/>
    </row>
    <row r="12798" spans="1:4" x14ac:dyDescent="0.2">
      <c r="A12798" s="496"/>
      <c r="D12798" s="496"/>
    </row>
    <row r="12799" spans="1:4" x14ac:dyDescent="0.2">
      <c r="A12799" s="496"/>
      <c r="D12799" s="496"/>
    </row>
    <row r="12800" spans="1:4" x14ac:dyDescent="0.2">
      <c r="A12800" s="496"/>
      <c r="D12800" s="496"/>
    </row>
    <row r="12801" spans="1:4" x14ac:dyDescent="0.2">
      <c r="A12801" s="496"/>
      <c r="D12801" s="496"/>
    </row>
    <row r="12802" spans="1:4" x14ac:dyDescent="0.2">
      <c r="A12802" s="496"/>
      <c r="D12802" s="496"/>
    </row>
    <row r="12803" spans="1:4" x14ac:dyDescent="0.2">
      <c r="A12803" s="496"/>
      <c r="D12803" s="496"/>
    </row>
    <row r="12804" spans="1:4" x14ac:dyDescent="0.2">
      <c r="A12804" s="496"/>
      <c r="D12804" s="496"/>
    </row>
    <row r="12805" spans="1:4" x14ac:dyDescent="0.2">
      <c r="A12805" s="496"/>
      <c r="D12805" s="496"/>
    </row>
    <row r="12806" spans="1:4" x14ac:dyDescent="0.2">
      <c r="A12806" s="496"/>
      <c r="D12806" s="496"/>
    </row>
    <row r="12807" spans="1:4" x14ac:dyDescent="0.2">
      <c r="A12807" s="496"/>
      <c r="D12807" s="496"/>
    </row>
    <row r="12808" spans="1:4" x14ac:dyDescent="0.2">
      <c r="A12808" s="496"/>
      <c r="D12808" s="496"/>
    </row>
    <row r="12809" spans="1:4" x14ac:dyDescent="0.2">
      <c r="A12809" s="496"/>
      <c r="D12809" s="496"/>
    </row>
    <row r="12810" spans="1:4" x14ac:dyDescent="0.2">
      <c r="A12810" s="496"/>
      <c r="D12810" s="496"/>
    </row>
    <row r="12811" spans="1:4" x14ac:dyDescent="0.2">
      <c r="A12811" s="496"/>
      <c r="D12811" s="496"/>
    </row>
    <row r="12812" spans="1:4" x14ac:dyDescent="0.2">
      <c r="A12812" s="496"/>
      <c r="D12812" s="496"/>
    </row>
    <row r="12813" spans="1:4" x14ac:dyDescent="0.2">
      <c r="A12813" s="496"/>
      <c r="D12813" s="496"/>
    </row>
    <row r="12814" spans="1:4" x14ac:dyDescent="0.2">
      <c r="A12814" s="496"/>
      <c r="D12814" s="496"/>
    </row>
    <row r="12815" spans="1:4" x14ac:dyDescent="0.2">
      <c r="A12815" s="496"/>
      <c r="D12815" s="496"/>
    </row>
    <row r="12816" spans="1:4" x14ac:dyDescent="0.2">
      <c r="A12816" s="496"/>
      <c r="D12816" s="496"/>
    </row>
    <row r="12817" spans="1:4" x14ac:dyDescent="0.2">
      <c r="A12817" s="496"/>
      <c r="D12817" s="496"/>
    </row>
    <row r="12818" spans="1:4" x14ac:dyDescent="0.2">
      <c r="A12818" s="496"/>
      <c r="D12818" s="496"/>
    </row>
    <row r="12819" spans="1:4" x14ac:dyDescent="0.2">
      <c r="A12819" s="496"/>
      <c r="D12819" s="496"/>
    </row>
    <row r="12820" spans="1:4" x14ac:dyDescent="0.2">
      <c r="A12820" s="496"/>
      <c r="D12820" s="496"/>
    </row>
    <row r="12821" spans="1:4" x14ac:dyDescent="0.2">
      <c r="A12821" s="496"/>
      <c r="D12821" s="496"/>
    </row>
    <row r="12822" spans="1:4" x14ac:dyDescent="0.2">
      <c r="A12822" s="496"/>
      <c r="D12822" s="496"/>
    </row>
    <row r="12823" spans="1:4" x14ac:dyDescent="0.2">
      <c r="A12823" s="496"/>
      <c r="D12823" s="496"/>
    </row>
    <row r="12824" spans="1:4" x14ac:dyDescent="0.2">
      <c r="A12824" s="496"/>
      <c r="D12824" s="496"/>
    </row>
    <row r="12825" spans="1:4" x14ac:dyDescent="0.2">
      <c r="A12825" s="496"/>
      <c r="D12825" s="496"/>
    </row>
    <row r="12826" spans="1:4" x14ac:dyDescent="0.2">
      <c r="A12826" s="496"/>
      <c r="D12826" s="496"/>
    </row>
    <row r="12827" spans="1:4" x14ac:dyDescent="0.2">
      <c r="A12827" s="496"/>
      <c r="D12827" s="496"/>
    </row>
    <row r="12828" spans="1:4" x14ac:dyDescent="0.2">
      <c r="A12828" s="496"/>
      <c r="D12828" s="496"/>
    </row>
    <row r="12829" spans="1:4" x14ac:dyDescent="0.2">
      <c r="A12829" s="496"/>
      <c r="D12829" s="496"/>
    </row>
    <row r="12830" spans="1:4" x14ac:dyDescent="0.2">
      <c r="A12830" s="496"/>
      <c r="D12830" s="496"/>
    </row>
    <row r="12831" spans="1:4" x14ac:dyDescent="0.2">
      <c r="A12831" s="496"/>
      <c r="D12831" s="496"/>
    </row>
    <row r="12832" spans="1:4" x14ac:dyDescent="0.2">
      <c r="A12832" s="496"/>
      <c r="D12832" s="496"/>
    </row>
    <row r="12833" spans="1:4" x14ac:dyDescent="0.2">
      <c r="A12833" s="496"/>
      <c r="D12833" s="496"/>
    </row>
    <row r="12834" spans="1:4" x14ac:dyDescent="0.2">
      <c r="A12834" s="496"/>
      <c r="D12834" s="496"/>
    </row>
    <row r="12835" spans="1:4" x14ac:dyDescent="0.2">
      <c r="A12835" s="496"/>
      <c r="D12835" s="496"/>
    </row>
    <row r="12836" spans="1:4" x14ac:dyDescent="0.2">
      <c r="A12836" s="496"/>
      <c r="D12836" s="496"/>
    </row>
    <row r="12837" spans="1:4" x14ac:dyDescent="0.2">
      <c r="A12837" s="496"/>
      <c r="D12837" s="496"/>
    </row>
    <row r="12838" spans="1:4" x14ac:dyDescent="0.2">
      <c r="A12838" s="496"/>
      <c r="D12838" s="496"/>
    </row>
    <row r="12839" spans="1:4" x14ac:dyDescent="0.2">
      <c r="A12839" s="496"/>
      <c r="D12839" s="496"/>
    </row>
    <row r="12840" spans="1:4" x14ac:dyDescent="0.2">
      <c r="A12840" s="496"/>
      <c r="D12840" s="496"/>
    </row>
    <row r="12841" spans="1:4" x14ac:dyDescent="0.2">
      <c r="A12841" s="496"/>
      <c r="D12841" s="496"/>
    </row>
    <row r="12842" spans="1:4" x14ac:dyDescent="0.2">
      <c r="A12842" s="496"/>
      <c r="D12842" s="496"/>
    </row>
    <row r="12843" spans="1:4" x14ac:dyDescent="0.2">
      <c r="A12843" s="496"/>
      <c r="D12843" s="496"/>
    </row>
    <row r="12844" spans="1:4" x14ac:dyDescent="0.2">
      <c r="A12844" s="496"/>
      <c r="D12844" s="496"/>
    </row>
    <row r="12845" spans="1:4" x14ac:dyDescent="0.2">
      <c r="A12845" s="496"/>
      <c r="D12845" s="496"/>
    </row>
    <row r="12846" spans="1:4" x14ac:dyDescent="0.2">
      <c r="A12846" s="496"/>
      <c r="D12846" s="496"/>
    </row>
    <row r="12847" spans="1:4" x14ac:dyDescent="0.2">
      <c r="A12847" s="496"/>
      <c r="D12847" s="496"/>
    </row>
    <row r="12848" spans="1:4" x14ac:dyDescent="0.2">
      <c r="A12848" s="496"/>
      <c r="D12848" s="496"/>
    </row>
    <row r="12849" spans="1:4" x14ac:dyDescent="0.2">
      <c r="A12849" s="496"/>
      <c r="D12849" s="496"/>
    </row>
    <row r="12850" spans="1:4" x14ac:dyDescent="0.2">
      <c r="A12850" s="496"/>
      <c r="D12850" s="496"/>
    </row>
    <row r="12851" spans="1:4" x14ac:dyDescent="0.2">
      <c r="A12851" s="496"/>
      <c r="D12851" s="496"/>
    </row>
    <row r="12852" spans="1:4" x14ac:dyDescent="0.2">
      <c r="A12852" s="496"/>
      <c r="D12852" s="496"/>
    </row>
    <row r="12853" spans="1:4" x14ac:dyDescent="0.2">
      <c r="A12853" s="496"/>
      <c r="D12853" s="496"/>
    </row>
    <row r="12854" spans="1:4" x14ac:dyDescent="0.2">
      <c r="A12854" s="496"/>
      <c r="D12854" s="496"/>
    </row>
    <row r="12855" spans="1:4" x14ac:dyDescent="0.2">
      <c r="A12855" s="496"/>
      <c r="D12855" s="496"/>
    </row>
    <row r="12856" spans="1:4" x14ac:dyDescent="0.2">
      <c r="A12856" s="496"/>
      <c r="D12856" s="496"/>
    </row>
    <row r="12857" spans="1:4" x14ac:dyDescent="0.2">
      <c r="A12857" s="496"/>
      <c r="D12857" s="496"/>
    </row>
    <row r="12858" spans="1:4" x14ac:dyDescent="0.2">
      <c r="A12858" s="496"/>
      <c r="D12858" s="496"/>
    </row>
    <row r="12859" spans="1:4" x14ac:dyDescent="0.2">
      <c r="A12859" s="496"/>
      <c r="D12859" s="496"/>
    </row>
    <row r="12860" spans="1:4" x14ac:dyDescent="0.2">
      <c r="A12860" s="496"/>
      <c r="D12860" s="496"/>
    </row>
    <row r="12861" spans="1:4" x14ac:dyDescent="0.2">
      <c r="A12861" s="496"/>
      <c r="D12861" s="496"/>
    </row>
    <row r="12862" spans="1:4" x14ac:dyDescent="0.2">
      <c r="A12862" s="496"/>
      <c r="D12862" s="496"/>
    </row>
    <row r="12863" spans="1:4" x14ac:dyDescent="0.2">
      <c r="A12863" s="496"/>
      <c r="D12863" s="496"/>
    </row>
    <row r="12864" spans="1:4" x14ac:dyDescent="0.2">
      <c r="A12864" s="496"/>
      <c r="D12864" s="496"/>
    </row>
    <row r="12865" spans="1:4" x14ac:dyDescent="0.2">
      <c r="A12865" s="496"/>
      <c r="D12865" s="496"/>
    </row>
    <row r="12866" spans="1:4" x14ac:dyDescent="0.2">
      <c r="A12866" s="496"/>
      <c r="D12866" s="496"/>
    </row>
    <row r="12867" spans="1:4" x14ac:dyDescent="0.2">
      <c r="A12867" s="496"/>
      <c r="D12867" s="496"/>
    </row>
    <row r="12868" spans="1:4" x14ac:dyDescent="0.2">
      <c r="A12868" s="496"/>
      <c r="D12868" s="496"/>
    </row>
    <row r="12869" spans="1:4" x14ac:dyDescent="0.2">
      <c r="A12869" s="496"/>
      <c r="D12869" s="496"/>
    </row>
    <row r="12870" spans="1:4" x14ac:dyDescent="0.2">
      <c r="A12870" s="496"/>
      <c r="D12870" s="496"/>
    </row>
    <row r="12871" spans="1:4" x14ac:dyDescent="0.2">
      <c r="A12871" s="496"/>
      <c r="D12871" s="496"/>
    </row>
    <row r="12872" spans="1:4" x14ac:dyDescent="0.2">
      <c r="A12872" s="496"/>
      <c r="D12872" s="496"/>
    </row>
    <row r="12873" spans="1:4" x14ac:dyDescent="0.2">
      <c r="A12873" s="496"/>
      <c r="D12873" s="496"/>
    </row>
    <row r="12874" spans="1:4" x14ac:dyDescent="0.2">
      <c r="A12874" s="496"/>
      <c r="D12874" s="496"/>
    </row>
    <row r="12875" spans="1:4" x14ac:dyDescent="0.2">
      <c r="A12875" s="496"/>
      <c r="D12875" s="496"/>
    </row>
    <row r="12876" spans="1:4" x14ac:dyDescent="0.2">
      <c r="A12876" s="496"/>
      <c r="D12876" s="496"/>
    </row>
    <row r="12877" spans="1:4" x14ac:dyDescent="0.2">
      <c r="A12877" s="496"/>
      <c r="D12877" s="496"/>
    </row>
    <row r="12878" spans="1:4" x14ac:dyDescent="0.2">
      <c r="A12878" s="496"/>
      <c r="D12878" s="496"/>
    </row>
    <row r="12879" spans="1:4" x14ac:dyDescent="0.2">
      <c r="A12879" s="496"/>
      <c r="D12879" s="496"/>
    </row>
    <row r="12880" spans="1:4" x14ac:dyDescent="0.2">
      <c r="A12880" s="496"/>
      <c r="D12880" s="496"/>
    </row>
    <row r="12881" spans="1:4" x14ac:dyDescent="0.2">
      <c r="A12881" s="496"/>
      <c r="D12881" s="496"/>
    </row>
    <row r="12882" spans="1:4" x14ac:dyDescent="0.2">
      <c r="A12882" s="496"/>
      <c r="D12882" s="496"/>
    </row>
    <row r="12883" spans="1:4" x14ac:dyDescent="0.2">
      <c r="A12883" s="496"/>
      <c r="D12883" s="496"/>
    </row>
    <row r="12884" spans="1:4" x14ac:dyDescent="0.2">
      <c r="A12884" s="496"/>
      <c r="D12884" s="496"/>
    </row>
    <row r="12885" spans="1:4" x14ac:dyDescent="0.2">
      <c r="A12885" s="496"/>
      <c r="D12885" s="496"/>
    </row>
    <row r="12886" spans="1:4" x14ac:dyDescent="0.2">
      <c r="A12886" s="496"/>
      <c r="D12886" s="496"/>
    </row>
    <row r="12887" spans="1:4" x14ac:dyDescent="0.2">
      <c r="A12887" s="496"/>
      <c r="D12887" s="496"/>
    </row>
    <row r="12888" spans="1:4" x14ac:dyDescent="0.2">
      <c r="A12888" s="496"/>
      <c r="D12888" s="496"/>
    </row>
    <row r="12889" spans="1:4" x14ac:dyDescent="0.2">
      <c r="A12889" s="496"/>
      <c r="D12889" s="496"/>
    </row>
    <row r="12890" spans="1:4" x14ac:dyDescent="0.2">
      <c r="A12890" s="496"/>
      <c r="D12890" s="496"/>
    </row>
    <row r="12891" spans="1:4" x14ac:dyDescent="0.2">
      <c r="A12891" s="496"/>
      <c r="D12891" s="496"/>
    </row>
    <row r="12892" spans="1:4" x14ac:dyDescent="0.2">
      <c r="A12892" s="496"/>
      <c r="D12892" s="496"/>
    </row>
    <row r="12893" spans="1:4" x14ac:dyDescent="0.2">
      <c r="A12893" s="496"/>
      <c r="D12893" s="496"/>
    </row>
    <row r="12894" spans="1:4" x14ac:dyDescent="0.2">
      <c r="A12894" s="496"/>
      <c r="D12894" s="496"/>
    </row>
    <row r="12895" spans="1:4" x14ac:dyDescent="0.2">
      <c r="A12895" s="496"/>
      <c r="D12895" s="496"/>
    </row>
    <row r="12896" spans="1:4" x14ac:dyDescent="0.2">
      <c r="A12896" s="496"/>
      <c r="D12896" s="496"/>
    </row>
    <row r="12897" spans="1:4" x14ac:dyDescent="0.2">
      <c r="A12897" s="496"/>
      <c r="D12897" s="496"/>
    </row>
    <row r="12898" spans="1:4" x14ac:dyDescent="0.2">
      <c r="A12898" s="496"/>
      <c r="D12898" s="496"/>
    </row>
    <row r="12899" spans="1:4" x14ac:dyDescent="0.2">
      <c r="A12899" s="496"/>
      <c r="D12899" s="496"/>
    </row>
    <row r="12900" spans="1:4" x14ac:dyDescent="0.2">
      <c r="A12900" s="496"/>
      <c r="D12900" s="496"/>
    </row>
    <row r="12901" spans="1:4" x14ac:dyDescent="0.2">
      <c r="A12901" s="496"/>
      <c r="D12901" s="496"/>
    </row>
    <row r="12902" spans="1:4" x14ac:dyDescent="0.2">
      <c r="A12902" s="496"/>
      <c r="D12902" s="496"/>
    </row>
    <row r="12903" spans="1:4" x14ac:dyDescent="0.2">
      <c r="A12903" s="496"/>
      <c r="D12903" s="496"/>
    </row>
    <row r="12904" spans="1:4" x14ac:dyDescent="0.2">
      <c r="A12904" s="496"/>
      <c r="D12904" s="496"/>
    </row>
    <row r="12905" spans="1:4" x14ac:dyDescent="0.2">
      <c r="A12905" s="496"/>
      <c r="D12905" s="496"/>
    </row>
    <row r="12906" spans="1:4" x14ac:dyDescent="0.2">
      <c r="A12906" s="496"/>
      <c r="D12906" s="496"/>
    </row>
    <row r="12907" spans="1:4" x14ac:dyDescent="0.2">
      <c r="A12907" s="496"/>
      <c r="D12907" s="496"/>
    </row>
    <row r="12908" spans="1:4" x14ac:dyDescent="0.2">
      <c r="A12908" s="496"/>
      <c r="D12908" s="496"/>
    </row>
    <row r="12909" spans="1:4" x14ac:dyDescent="0.2">
      <c r="A12909" s="496"/>
      <c r="D12909" s="496"/>
    </row>
    <row r="12910" spans="1:4" x14ac:dyDescent="0.2">
      <c r="A12910" s="496"/>
      <c r="D12910" s="496"/>
    </row>
    <row r="12911" spans="1:4" x14ac:dyDescent="0.2">
      <c r="A12911" s="496"/>
      <c r="D12911" s="496"/>
    </row>
    <row r="12912" spans="1:4" x14ac:dyDescent="0.2">
      <c r="A12912" s="496"/>
      <c r="D12912" s="496"/>
    </row>
    <row r="12913" spans="1:4" x14ac:dyDescent="0.2">
      <c r="A12913" s="496"/>
      <c r="D12913" s="496"/>
    </row>
    <row r="12914" spans="1:4" x14ac:dyDescent="0.2">
      <c r="A12914" s="496"/>
      <c r="D12914" s="496"/>
    </row>
    <row r="12915" spans="1:4" x14ac:dyDescent="0.2">
      <c r="A12915" s="496"/>
      <c r="D12915" s="496"/>
    </row>
    <row r="12916" spans="1:4" x14ac:dyDescent="0.2">
      <c r="A12916" s="496"/>
      <c r="D12916" s="496"/>
    </row>
    <row r="12917" spans="1:4" x14ac:dyDescent="0.2">
      <c r="A12917" s="496"/>
      <c r="D12917" s="496"/>
    </row>
    <row r="12918" spans="1:4" x14ac:dyDescent="0.2">
      <c r="A12918" s="496"/>
      <c r="D12918" s="496"/>
    </row>
    <row r="12919" spans="1:4" x14ac:dyDescent="0.2">
      <c r="A12919" s="496"/>
      <c r="D12919" s="496"/>
    </row>
    <row r="12920" spans="1:4" x14ac:dyDescent="0.2">
      <c r="A12920" s="496"/>
      <c r="D12920" s="496"/>
    </row>
    <row r="12921" spans="1:4" x14ac:dyDescent="0.2">
      <c r="A12921" s="496"/>
      <c r="D12921" s="496"/>
    </row>
    <row r="12922" spans="1:4" x14ac:dyDescent="0.2">
      <c r="A12922" s="496"/>
      <c r="D12922" s="496"/>
    </row>
    <row r="12923" spans="1:4" x14ac:dyDescent="0.2">
      <c r="A12923" s="496"/>
      <c r="D12923" s="496"/>
    </row>
    <row r="12924" spans="1:4" x14ac:dyDescent="0.2">
      <c r="A12924" s="496"/>
      <c r="D12924" s="496"/>
    </row>
    <row r="12925" spans="1:4" x14ac:dyDescent="0.2">
      <c r="A12925" s="496"/>
      <c r="D12925" s="496"/>
    </row>
    <row r="12926" spans="1:4" x14ac:dyDescent="0.2">
      <c r="A12926" s="496"/>
      <c r="D12926" s="496"/>
    </row>
    <row r="12927" spans="1:4" x14ac:dyDescent="0.2">
      <c r="A12927" s="496"/>
      <c r="D12927" s="496"/>
    </row>
    <row r="12928" spans="1:4" x14ac:dyDescent="0.2">
      <c r="A12928" s="496"/>
      <c r="D12928" s="496"/>
    </row>
    <row r="12929" spans="1:4" x14ac:dyDescent="0.2">
      <c r="A12929" s="496"/>
      <c r="D12929" s="496"/>
    </row>
    <row r="12930" spans="1:4" x14ac:dyDescent="0.2">
      <c r="A12930" s="496"/>
      <c r="D12930" s="496"/>
    </row>
    <row r="12931" spans="1:4" x14ac:dyDescent="0.2">
      <c r="A12931" s="496"/>
      <c r="D12931" s="496"/>
    </row>
    <row r="12932" spans="1:4" x14ac:dyDescent="0.2">
      <c r="A12932" s="496"/>
      <c r="D12932" s="496"/>
    </row>
    <row r="12933" spans="1:4" x14ac:dyDescent="0.2">
      <c r="A12933" s="496"/>
      <c r="D12933" s="496"/>
    </row>
    <row r="12934" spans="1:4" x14ac:dyDescent="0.2">
      <c r="A12934" s="496"/>
      <c r="D12934" s="496"/>
    </row>
    <row r="12935" spans="1:4" x14ac:dyDescent="0.2">
      <c r="A12935" s="496"/>
      <c r="D12935" s="496"/>
    </row>
    <row r="12936" spans="1:4" x14ac:dyDescent="0.2">
      <c r="A12936" s="496"/>
      <c r="D12936" s="496"/>
    </row>
    <row r="12937" spans="1:4" x14ac:dyDescent="0.2">
      <c r="A12937" s="496"/>
      <c r="D12937" s="496"/>
    </row>
    <row r="12938" spans="1:4" x14ac:dyDescent="0.2">
      <c r="A12938" s="496"/>
      <c r="D12938" s="496"/>
    </row>
    <row r="12939" spans="1:4" x14ac:dyDescent="0.2">
      <c r="A12939" s="496"/>
      <c r="D12939" s="496"/>
    </row>
    <row r="12940" spans="1:4" x14ac:dyDescent="0.2">
      <c r="A12940" s="496"/>
      <c r="D12940" s="496"/>
    </row>
    <row r="12941" spans="1:4" x14ac:dyDescent="0.2">
      <c r="A12941" s="496"/>
      <c r="D12941" s="496"/>
    </row>
    <row r="12942" spans="1:4" x14ac:dyDescent="0.2">
      <c r="A12942" s="496"/>
      <c r="D12942" s="496"/>
    </row>
    <row r="12943" spans="1:4" x14ac:dyDescent="0.2">
      <c r="A12943" s="496"/>
      <c r="D12943" s="496"/>
    </row>
    <row r="12944" spans="1:4" x14ac:dyDescent="0.2">
      <c r="A12944" s="496"/>
      <c r="D12944" s="496"/>
    </row>
    <row r="12945" spans="1:4" x14ac:dyDescent="0.2">
      <c r="A12945" s="496"/>
      <c r="D12945" s="496"/>
    </row>
    <row r="12946" spans="1:4" x14ac:dyDescent="0.2">
      <c r="A12946" s="496"/>
      <c r="D12946" s="496"/>
    </row>
    <row r="12947" spans="1:4" x14ac:dyDescent="0.2">
      <c r="A12947" s="496"/>
      <c r="D12947" s="496"/>
    </row>
    <row r="12948" spans="1:4" x14ac:dyDescent="0.2">
      <c r="A12948" s="496"/>
      <c r="D12948" s="496"/>
    </row>
    <row r="12949" spans="1:4" x14ac:dyDescent="0.2">
      <c r="A12949" s="496"/>
      <c r="D12949" s="496"/>
    </row>
    <row r="12950" spans="1:4" x14ac:dyDescent="0.2">
      <c r="A12950" s="496"/>
      <c r="D12950" s="496"/>
    </row>
    <row r="12951" spans="1:4" x14ac:dyDescent="0.2">
      <c r="A12951" s="496"/>
      <c r="D12951" s="496"/>
    </row>
    <row r="12952" spans="1:4" x14ac:dyDescent="0.2">
      <c r="A12952" s="496"/>
      <c r="D12952" s="496"/>
    </row>
    <row r="12953" spans="1:4" x14ac:dyDescent="0.2">
      <c r="A12953" s="496"/>
      <c r="D12953" s="496"/>
    </row>
    <row r="12954" spans="1:4" x14ac:dyDescent="0.2">
      <c r="A12954" s="496"/>
      <c r="D12954" s="496"/>
    </row>
    <row r="12955" spans="1:4" x14ac:dyDescent="0.2">
      <c r="A12955" s="496"/>
      <c r="D12955" s="496"/>
    </row>
    <row r="12956" spans="1:4" x14ac:dyDescent="0.2">
      <c r="A12956" s="496"/>
      <c r="D12956" s="496"/>
    </row>
    <row r="12957" spans="1:4" x14ac:dyDescent="0.2">
      <c r="A12957" s="496"/>
      <c r="D12957" s="496"/>
    </row>
    <row r="12958" spans="1:4" x14ac:dyDescent="0.2">
      <c r="A12958" s="496"/>
      <c r="D12958" s="496"/>
    </row>
    <row r="12959" spans="1:4" x14ac:dyDescent="0.2">
      <c r="A12959" s="496"/>
      <c r="D12959" s="496"/>
    </row>
    <row r="12960" spans="1:4" x14ac:dyDescent="0.2">
      <c r="A12960" s="496"/>
      <c r="D12960" s="496"/>
    </row>
    <row r="12961" spans="1:4" x14ac:dyDescent="0.2">
      <c r="A12961" s="496"/>
      <c r="D12961" s="496"/>
    </row>
    <row r="12962" spans="1:4" x14ac:dyDescent="0.2">
      <c r="A12962" s="496"/>
      <c r="D12962" s="496"/>
    </row>
    <row r="12963" spans="1:4" x14ac:dyDescent="0.2">
      <c r="A12963" s="496"/>
      <c r="D12963" s="496"/>
    </row>
    <row r="12964" spans="1:4" x14ac:dyDescent="0.2">
      <c r="A12964" s="496"/>
      <c r="D12964" s="496"/>
    </row>
    <row r="12965" spans="1:4" x14ac:dyDescent="0.2">
      <c r="A12965" s="496"/>
      <c r="D12965" s="496"/>
    </row>
    <row r="12966" spans="1:4" x14ac:dyDescent="0.2">
      <c r="A12966" s="496"/>
      <c r="D12966" s="496"/>
    </row>
    <row r="12967" spans="1:4" x14ac:dyDescent="0.2">
      <c r="A12967" s="496"/>
      <c r="D12967" s="496"/>
    </row>
    <row r="12968" spans="1:4" x14ac:dyDescent="0.2">
      <c r="A12968" s="496"/>
      <c r="D12968" s="496"/>
    </row>
    <row r="12969" spans="1:4" x14ac:dyDescent="0.2">
      <c r="A12969" s="496"/>
      <c r="D12969" s="496"/>
    </row>
    <row r="12970" spans="1:4" x14ac:dyDescent="0.2">
      <c r="A12970" s="496"/>
      <c r="D12970" s="496"/>
    </row>
    <row r="12971" spans="1:4" x14ac:dyDescent="0.2">
      <c r="A12971" s="496"/>
      <c r="D12971" s="496"/>
    </row>
    <row r="12972" spans="1:4" x14ac:dyDescent="0.2">
      <c r="A12972" s="496"/>
      <c r="D12972" s="496"/>
    </row>
    <row r="12973" spans="1:4" x14ac:dyDescent="0.2">
      <c r="A12973" s="496"/>
      <c r="D12973" s="496"/>
    </row>
    <row r="12974" spans="1:4" x14ac:dyDescent="0.2">
      <c r="A12974" s="496"/>
      <c r="D12974" s="496"/>
    </row>
    <row r="12975" spans="1:4" x14ac:dyDescent="0.2">
      <c r="A12975" s="496"/>
      <c r="D12975" s="496"/>
    </row>
    <row r="12976" spans="1:4" x14ac:dyDescent="0.2">
      <c r="A12976" s="496"/>
      <c r="D12976" s="496"/>
    </row>
    <row r="12977" spans="1:4" x14ac:dyDescent="0.2">
      <c r="A12977" s="496"/>
      <c r="D12977" s="496"/>
    </row>
    <row r="12978" spans="1:4" x14ac:dyDescent="0.2">
      <c r="A12978" s="496"/>
      <c r="D12978" s="496"/>
    </row>
    <row r="12979" spans="1:4" x14ac:dyDescent="0.2">
      <c r="A12979" s="496"/>
      <c r="D12979" s="496"/>
    </row>
    <row r="12980" spans="1:4" x14ac:dyDescent="0.2">
      <c r="A12980" s="496"/>
      <c r="D12980" s="496"/>
    </row>
    <row r="12981" spans="1:4" x14ac:dyDescent="0.2">
      <c r="A12981" s="496"/>
      <c r="D12981" s="496"/>
    </row>
    <row r="12982" spans="1:4" x14ac:dyDescent="0.2">
      <c r="A12982" s="496"/>
      <c r="D12982" s="496"/>
    </row>
    <row r="12983" spans="1:4" x14ac:dyDescent="0.2">
      <c r="A12983" s="496"/>
      <c r="D12983" s="496"/>
    </row>
    <row r="12984" spans="1:4" x14ac:dyDescent="0.2">
      <c r="A12984" s="496"/>
      <c r="D12984" s="496"/>
    </row>
    <row r="12985" spans="1:4" x14ac:dyDescent="0.2">
      <c r="A12985" s="496"/>
      <c r="D12985" s="496"/>
    </row>
    <row r="12986" spans="1:4" x14ac:dyDescent="0.2">
      <c r="A12986" s="496"/>
      <c r="D12986" s="496"/>
    </row>
    <row r="12987" spans="1:4" x14ac:dyDescent="0.2">
      <c r="A12987" s="496"/>
      <c r="D12987" s="496"/>
    </row>
    <row r="12988" spans="1:4" x14ac:dyDescent="0.2">
      <c r="A12988" s="496"/>
      <c r="D12988" s="496"/>
    </row>
    <row r="12989" spans="1:4" x14ac:dyDescent="0.2">
      <c r="A12989" s="496"/>
      <c r="D12989" s="496"/>
    </row>
    <row r="12990" spans="1:4" x14ac:dyDescent="0.2">
      <c r="A12990" s="496"/>
      <c r="D12990" s="496"/>
    </row>
    <row r="12991" spans="1:4" x14ac:dyDescent="0.2">
      <c r="A12991" s="496"/>
      <c r="D12991" s="496"/>
    </row>
    <row r="12992" spans="1:4" x14ac:dyDescent="0.2">
      <c r="A12992" s="496"/>
      <c r="D12992" s="496"/>
    </row>
    <row r="12993" spans="1:4" x14ac:dyDescent="0.2">
      <c r="A12993" s="496"/>
      <c r="D12993" s="496"/>
    </row>
    <row r="12994" spans="1:4" x14ac:dyDescent="0.2">
      <c r="A12994" s="496"/>
      <c r="D12994" s="496"/>
    </row>
    <row r="12995" spans="1:4" x14ac:dyDescent="0.2">
      <c r="A12995" s="496"/>
      <c r="D12995" s="496"/>
    </row>
    <row r="12996" spans="1:4" x14ac:dyDescent="0.2">
      <c r="A12996" s="496"/>
      <c r="D12996" s="496"/>
    </row>
    <row r="12997" spans="1:4" x14ac:dyDescent="0.2">
      <c r="A12997" s="496"/>
      <c r="D12997" s="496"/>
    </row>
    <row r="12998" spans="1:4" x14ac:dyDescent="0.2">
      <c r="A12998" s="496"/>
      <c r="D12998" s="496"/>
    </row>
    <row r="12999" spans="1:4" x14ac:dyDescent="0.2">
      <c r="A12999" s="496"/>
      <c r="D12999" s="496"/>
    </row>
    <row r="13000" spans="1:4" x14ac:dyDescent="0.2">
      <c r="A13000" s="496"/>
      <c r="D13000" s="496"/>
    </row>
    <row r="13001" spans="1:4" x14ac:dyDescent="0.2">
      <c r="A13001" s="496"/>
      <c r="D13001" s="496"/>
    </row>
    <row r="13002" spans="1:4" x14ac:dyDescent="0.2">
      <c r="A13002" s="496"/>
      <c r="D13002" s="496"/>
    </row>
    <row r="13003" spans="1:4" x14ac:dyDescent="0.2">
      <c r="A13003" s="496"/>
      <c r="D13003" s="496"/>
    </row>
    <row r="13004" spans="1:4" x14ac:dyDescent="0.2">
      <c r="A13004" s="496"/>
      <c r="D13004" s="496"/>
    </row>
    <row r="13005" spans="1:4" x14ac:dyDescent="0.2">
      <c r="A13005" s="496"/>
      <c r="D13005" s="496"/>
    </row>
    <row r="13006" spans="1:4" x14ac:dyDescent="0.2">
      <c r="A13006" s="496"/>
      <c r="D13006" s="496"/>
    </row>
    <row r="13007" spans="1:4" x14ac:dyDescent="0.2">
      <c r="A13007" s="496"/>
      <c r="D13007" s="496"/>
    </row>
    <row r="13008" spans="1:4" x14ac:dyDescent="0.2">
      <c r="A13008" s="496"/>
      <c r="D13008" s="496"/>
    </row>
    <row r="13009" spans="1:4" x14ac:dyDescent="0.2">
      <c r="A13009" s="496"/>
      <c r="D13009" s="496"/>
    </row>
    <row r="13010" spans="1:4" x14ac:dyDescent="0.2">
      <c r="A13010" s="496"/>
      <c r="D13010" s="496"/>
    </row>
    <row r="13011" spans="1:4" x14ac:dyDescent="0.2">
      <c r="A13011" s="496"/>
      <c r="D13011" s="496"/>
    </row>
    <row r="13012" spans="1:4" x14ac:dyDescent="0.2">
      <c r="A13012" s="496"/>
      <c r="D13012" s="496"/>
    </row>
    <row r="13013" spans="1:4" x14ac:dyDescent="0.2">
      <c r="A13013" s="496"/>
      <c r="D13013" s="496"/>
    </row>
    <row r="13014" spans="1:4" x14ac:dyDescent="0.2">
      <c r="A13014" s="496"/>
      <c r="D13014" s="496"/>
    </row>
    <row r="13015" spans="1:4" x14ac:dyDescent="0.2">
      <c r="A13015" s="496"/>
      <c r="D13015" s="496"/>
    </row>
    <row r="13016" spans="1:4" x14ac:dyDescent="0.2">
      <c r="A13016" s="496"/>
      <c r="D13016" s="496"/>
    </row>
    <row r="13017" spans="1:4" x14ac:dyDescent="0.2">
      <c r="A13017" s="496"/>
      <c r="D13017" s="496"/>
    </row>
    <row r="13018" spans="1:4" x14ac:dyDescent="0.2">
      <c r="A13018" s="496"/>
      <c r="D13018" s="496"/>
    </row>
    <row r="13019" spans="1:4" x14ac:dyDescent="0.2">
      <c r="A13019" s="496"/>
      <c r="D13019" s="496"/>
    </row>
    <row r="13020" spans="1:4" x14ac:dyDescent="0.2">
      <c r="A13020" s="496"/>
      <c r="D13020" s="496"/>
    </row>
    <row r="13021" spans="1:4" x14ac:dyDescent="0.2">
      <c r="A13021" s="496"/>
      <c r="D13021" s="496"/>
    </row>
    <row r="13022" spans="1:4" x14ac:dyDescent="0.2">
      <c r="A13022" s="496"/>
      <c r="D13022" s="496"/>
    </row>
    <row r="13023" spans="1:4" x14ac:dyDescent="0.2">
      <c r="A13023" s="496"/>
      <c r="D13023" s="496"/>
    </row>
    <row r="13024" spans="1:4" x14ac:dyDescent="0.2">
      <c r="A13024" s="496"/>
      <c r="D13024" s="496"/>
    </row>
    <row r="13025" spans="1:4" x14ac:dyDescent="0.2">
      <c r="A13025" s="496"/>
      <c r="D13025" s="496"/>
    </row>
    <row r="13026" spans="1:4" x14ac:dyDescent="0.2">
      <c r="A13026" s="496"/>
      <c r="D13026" s="496"/>
    </row>
    <row r="13027" spans="1:4" x14ac:dyDescent="0.2">
      <c r="A13027" s="496"/>
      <c r="D13027" s="496"/>
    </row>
    <row r="13028" spans="1:4" x14ac:dyDescent="0.2">
      <c r="A13028" s="496"/>
      <c r="D13028" s="496"/>
    </row>
    <row r="13029" spans="1:4" x14ac:dyDescent="0.2">
      <c r="A13029" s="496"/>
      <c r="D13029" s="496"/>
    </row>
    <row r="13030" spans="1:4" x14ac:dyDescent="0.2">
      <c r="A13030" s="496"/>
      <c r="D13030" s="496"/>
    </row>
    <row r="13031" spans="1:4" x14ac:dyDescent="0.2">
      <c r="A13031" s="496"/>
      <c r="D13031" s="496"/>
    </row>
    <row r="13032" spans="1:4" x14ac:dyDescent="0.2">
      <c r="A13032" s="496"/>
      <c r="D13032" s="496"/>
    </row>
    <row r="13033" spans="1:4" x14ac:dyDescent="0.2">
      <c r="A13033" s="496"/>
      <c r="D13033" s="496"/>
    </row>
    <row r="13034" spans="1:4" x14ac:dyDescent="0.2">
      <c r="A13034" s="496"/>
      <c r="D13034" s="496"/>
    </row>
    <row r="13035" spans="1:4" x14ac:dyDescent="0.2">
      <c r="A13035" s="496"/>
      <c r="D13035" s="496"/>
    </row>
    <row r="13036" spans="1:4" x14ac:dyDescent="0.2">
      <c r="A13036" s="496"/>
      <c r="D13036" s="496"/>
    </row>
    <row r="13037" spans="1:4" x14ac:dyDescent="0.2">
      <c r="A13037" s="496"/>
      <c r="D13037" s="496"/>
    </row>
    <row r="13038" spans="1:4" x14ac:dyDescent="0.2">
      <c r="A13038" s="496"/>
      <c r="D13038" s="496"/>
    </row>
    <row r="13039" spans="1:4" x14ac:dyDescent="0.2">
      <c r="A13039" s="496"/>
      <c r="D13039" s="496"/>
    </row>
    <row r="13040" spans="1:4" x14ac:dyDescent="0.2">
      <c r="A13040" s="496"/>
      <c r="D13040" s="496"/>
    </row>
    <row r="13041" spans="1:4" x14ac:dyDescent="0.2">
      <c r="A13041" s="496"/>
      <c r="D13041" s="496"/>
    </row>
    <row r="13042" spans="1:4" x14ac:dyDescent="0.2">
      <c r="A13042" s="496"/>
      <c r="D13042" s="496"/>
    </row>
    <row r="13043" spans="1:4" x14ac:dyDescent="0.2">
      <c r="A13043" s="496"/>
      <c r="D13043" s="496"/>
    </row>
    <row r="13044" spans="1:4" x14ac:dyDescent="0.2">
      <c r="A13044" s="496"/>
      <c r="D13044" s="496"/>
    </row>
    <row r="13045" spans="1:4" x14ac:dyDescent="0.2">
      <c r="A13045" s="496"/>
      <c r="D13045" s="496"/>
    </row>
    <row r="13046" spans="1:4" x14ac:dyDescent="0.2">
      <c r="A13046" s="496"/>
      <c r="D13046" s="496"/>
    </row>
    <row r="13047" spans="1:4" x14ac:dyDescent="0.2">
      <c r="A13047" s="496"/>
      <c r="D13047" s="496"/>
    </row>
    <row r="13048" spans="1:4" x14ac:dyDescent="0.2">
      <c r="A13048" s="496"/>
      <c r="D13048" s="496"/>
    </row>
    <row r="13049" spans="1:4" x14ac:dyDescent="0.2">
      <c r="A13049" s="496"/>
      <c r="D13049" s="496"/>
    </row>
    <row r="13050" spans="1:4" x14ac:dyDescent="0.2">
      <c r="A13050" s="496"/>
      <c r="D13050" s="496"/>
    </row>
    <row r="13051" spans="1:4" x14ac:dyDescent="0.2">
      <c r="A13051" s="496"/>
      <c r="D13051" s="496"/>
    </row>
    <row r="13052" spans="1:4" x14ac:dyDescent="0.2">
      <c r="A13052" s="496"/>
      <c r="D13052" s="496"/>
    </row>
    <row r="13053" spans="1:4" x14ac:dyDescent="0.2">
      <c r="A13053" s="496"/>
      <c r="D13053" s="496"/>
    </row>
    <row r="13054" spans="1:4" x14ac:dyDescent="0.2">
      <c r="A13054" s="496"/>
      <c r="D13054" s="496"/>
    </row>
    <row r="13055" spans="1:4" x14ac:dyDescent="0.2">
      <c r="A13055" s="496"/>
      <c r="D13055" s="496"/>
    </row>
    <row r="13056" spans="1:4" x14ac:dyDescent="0.2">
      <c r="A13056" s="496"/>
      <c r="D13056" s="496"/>
    </row>
    <row r="13057" spans="1:4" x14ac:dyDescent="0.2">
      <c r="A13057" s="496"/>
      <c r="D13057" s="496"/>
    </row>
    <row r="13058" spans="1:4" x14ac:dyDescent="0.2">
      <c r="A13058" s="496"/>
      <c r="D13058" s="496"/>
    </row>
    <row r="13059" spans="1:4" x14ac:dyDescent="0.2">
      <c r="A13059" s="496"/>
      <c r="D13059" s="496"/>
    </row>
    <row r="13060" spans="1:4" x14ac:dyDescent="0.2">
      <c r="A13060" s="496"/>
      <c r="D13060" s="496"/>
    </row>
    <row r="13061" spans="1:4" x14ac:dyDescent="0.2">
      <c r="A13061" s="496"/>
      <c r="D13061" s="496"/>
    </row>
    <row r="13062" spans="1:4" x14ac:dyDescent="0.2">
      <c r="A13062" s="496"/>
      <c r="D13062" s="496"/>
    </row>
    <row r="13063" spans="1:4" x14ac:dyDescent="0.2">
      <c r="A13063" s="496"/>
      <c r="D13063" s="496"/>
    </row>
    <row r="13064" spans="1:4" x14ac:dyDescent="0.2">
      <c r="A13064" s="496"/>
      <c r="D13064" s="496"/>
    </row>
    <row r="13065" spans="1:4" x14ac:dyDescent="0.2">
      <c r="A13065" s="496"/>
      <c r="D13065" s="496"/>
    </row>
    <row r="13066" spans="1:4" x14ac:dyDescent="0.2">
      <c r="A13066" s="496"/>
      <c r="D13066" s="496"/>
    </row>
    <row r="13067" spans="1:4" x14ac:dyDescent="0.2">
      <c r="A13067" s="496"/>
      <c r="D13067" s="496"/>
    </row>
    <row r="13068" spans="1:4" x14ac:dyDescent="0.2">
      <c r="A13068" s="496"/>
      <c r="D13068" s="496"/>
    </row>
    <row r="13069" spans="1:4" x14ac:dyDescent="0.2">
      <c r="A13069" s="496"/>
      <c r="D13069" s="496"/>
    </row>
    <row r="13070" spans="1:4" x14ac:dyDescent="0.2">
      <c r="A13070" s="496"/>
      <c r="D13070" s="496"/>
    </row>
    <row r="13071" spans="1:4" x14ac:dyDescent="0.2">
      <c r="A13071" s="496"/>
      <c r="D13071" s="496"/>
    </row>
    <row r="13072" spans="1:4" x14ac:dyDescent="0.2">
      <c r="A13072" s="496"/>
      <c r="D13072" s="496"/>
    </row>
    <row r="13073" spans="1:4" x14ac:dyDescent="0.2">
      <c r="A13073" s="496"/>
      <c r="D13073" s="496"/>
    </row>
    <row r="13074" spans="1:4" x14ac:dyDescent="0.2">
      <c r="A13074" s="496"/>
      <c r="D13074" s="496"/>
    </row>
    <row r="13075" spans="1:4" x14ac:dyDescent="0.2">
      <c r="A13075" s="496"/>
      <c r="D13075" s="496"/>
    </row>
    <row r="13076" spans="1:4" x14ac:dyDescent="0.2">
      <c r="A13076" s="496"/>
      <c r="D13076" s="496"/>
    </row>
    <row r="13077" spans="1:4" x14ac:dyDescent="0.2">
      <c r="A13077" s="496"/>
      <c r="D13077" s="496"/>
    </row>
    <row r="13078" spans="1:4" x14ac:dyDescent="0.2">
      <c r="A13078" s="496"/>
      <c r="D13078" s="496"/>
    </row>
    <row r="13079" spans="1:4" x14ac:dyDescent="0.2">
      <c r="A13079" s="496"/>
      <c r="D13079" s="496"/>
    </row>
    <row r="13080" spans="1:4" x14ac:dyDescent="0.2">
      <c r="A13080" s="496"/>
      <c r="D13080" s="496"/>
    </row>
    <row r="13081" spans="1:4" x14ac:dyDescent="0.2">
      <c r="A13081" s="496"/>
      <c r="D13081" s="496"/>
    </row>
    <row r="13082" spans="1:4" x14ac:dyDescent="0.2">
      <c r="A13082" s="496"/>
      <c r="D13082" s="496"/>
    </row>
    <row r="13083" spans="1:4" x14ac:dyDescent="0.2">
      <c r="A13083" s="496"/>
      <c r="D13083" s="496"/>
    </row>
    <row r="13084" spans="1:4" x14ac:dyDescent="0.2">
      <c r="A13084" s="496"/>
      <c r="D13084" s="496"/>
    </row>
    <row r="13085" spans="1:4" x14ac:dyDescent="0.2">
      <c r="A13085" s="496"/>
      <c r="D13085" s="496"/>
    </row>
    <row r="13086" spans="1:4" x14ac:dyDescent="0.2">
      <c r="A13086" s="496"/>
      <c r="D13086" s="496"/>
    </row>
    <row r="13087" spans="1:4" x14ac:dyDescent="0.2">
      <c r="A13087" s="496"/>
      <c r="D13087" s="496"/>
    </row>
    <row r="13088" spans="1:4" x14ac:dyDescent="0.2">
      <c r="A13088" s="496"/>
      <c r="D13088" s="496"/>
    </row>
    <row r="13089" spans="1:4" x14ac:dyDescent="0.2">
      <c r="A13089" s="496"/>
      <c r="D13089" s="496"/>
    </row>
    <row r="13090" spans="1:4" x14ac:dyDescent="0.2">
      <c r="A13090" s="496"/>
      <c r="D13090" s="496"/>
    </row>
    <row r="13091" spans="1:4" x14ac:dyDescent="0.2">
      <c r="A13091" s="496"/>
      <c r="D13091" s="496"/>
    </row>
    <row r="13092" spans="1:4" x14ac:dyDescent="0.2">
      <c r="A13092" s="496"/>
      <c r="D13092" s="496"/>
    </row>
    <row r="13093" spans="1:4" x14ac:dyDescent="0.2">
      <c r="A13093" s="496"/>
      <c r="D13093" s="496"/>
    </row>
    <row r="13094" spans="1:4" x14ac:dyDescent="0.2">
      <c r="A13094" s="496"/>
      <c r="D13094" s="496"/>
    </row>
    <row r="13095" spans="1:4" x14ac:dyDescent="0.2">
      <c r="A13095" s="496"/>
      <c r="D13095" s="496"/>
    </row>
    <row r="13096" spans="1:4" x14ac:dyDescent="0.2">
      <c r="A13096" s="496"/>
      <c r="D13096" s="496"/>
    </row>
    <row r="13097" spans="1:4" x14ac:dyDescent="0.2">
      <c r="A13097" s="496"/>
      <c r="D13097" s="496"/>
    </row>
    <row r="13098" spans="1:4" x14ac:dyDescent="0.2">
      <c r="A13098" s="496"/>
      <c r="D13098" s="496"/>
    </row>
    <row r="13099" spans="1:4" x14ac:dyDescent="0.2">
      <c r="A13099" s="496"/>
      <c r="D13099" s="496"/>
    </row>
    <row r="13100" spans="1:4" x14ac:dyDescent="0.2">
      <c r="A13100" s="496"/>
      <c r="D13100" s="496"/>
    </row>
    <row r="13101" spans="1:4" x14ac:dyDescent="0.2">
      <c r="A13101" s="496"/>
      <c r="D13101" s="496"/>
    </row>
    <row r="13102" spans="1:4" x14ac:dyDescent="0.2">
      <c r="A13102" s="496"/>
      <c r="D13102" s="496"/>
    </row>
    <row r="13103" spans="1:4" x14ac:dyDescent="0.2">
      <c r="A13103" s="496"/>
      <c r="D13103" s="496"/>
    </row>
    <row r="13104" spans="1:4" x14ac:dyDescent="0.2">
      <c r="A13104" s="496"/>
      <c r="D13104" s="496"/>
    </row>
    <row r="13105" spans="1:4" x14ac:dyDescent="0.2">
      <c r="A13105" s="496"/>
      <c r="D13105" s="496"/>
    </row>
    <row r="13106" spans="1:4" x14ac:dyDescent="0.2">
      <c r="A13106" s="496"/>
      <c r="D13106" s="496"/>
    </row>
    <row r="13107" spans="1:4" x14ac:dyDescent="0.2">
      <c r="A13107" s="496"/>
      <c r="D13107" s="496"/>
    </row>
    <row r="13108" spans="1:4" x14ac:dyDescent="0.2">
      <c r="A13108" s="496"/>
      <c r="D13108" s="496"/>
    </row>
    <row r="13109" spans="1:4" x14ac:dyDescent="0.2">
      <c r="A13109" s="496"/>
      <c r="D13109" s="496"/>
    </row>
    <row r="13110" spans="1:4" x14ac:dyDescent="0.2">
      <c r="A13110" s="496"/>
      <c r="D13110" s="496"/>
    </row>
    <row r="13111" spans="1:4" x14ac:dyDescent="0.2">
      <c r="A13111" s="496"/>
      <c r="D13111" s="496"/>
    </row>
    <row r="13112" spans="1:4" x14ac:dyDescent="0.2">
      <c r="A13112" s="496"/>
      <c r="D13112" s="496"/>
    </row>
    <row r="13113" spans="1:4" x14ac:dyDescent="0.2">
      <c r="A13113" s="496"/>
      <c r="D13113" s="496"/>
    </row>
    <row r="13114" spans="1:4" x14ac:dyDescent="0.2">
      <c r="A13114" s="496"/>
      <c r="D13114" s="496"/>
    </row>
    <row r="13115" spans="1:4" x14ac:dyDescent="0.2">
      <c r="A13115" s="496"/>
      <c r="D13115" s="496"/>
    </row>
    <row r="13116" spans="1:4" x14ac:dyDescent="0.2">
      <c r="A13116" s="496"/>
      <c r="D13116" s="496"/>
    </row>
    <row r="13117" spans="1:4" x14ac:dyDescent="0.2">
      <c r="A13117" s="496"/>
      <c r="D13117" s="496"/>
    </row>
    <row r="13118" spans="1:4" x14ac:dyDescent="0.2">
      <c r="A13118" s="496"/>
      <c r="D13118" s="496"/>
    </row>
    <row r="13119" spans="1:4" x14ac:dyDescent="0.2">
      <c r="A13119" s="496"/>
      <c r="D13119" s="496"/>
    </row>
    <row r="13120" spans="1:4" x14ac:dyDescent="0.2">
      <c r="A13120" s="496"/>
      <c r="D13120" s="496"/>
    </row>
    <row r="13121" spans="1:4" x14ac:dyDescent="0.2">
      <c r="A13121" s="496"/>
      <c r="D13121" s="496"/>
    </row>
    <row r="13122" spans="1:4" x14ac:dyDescent="0.2">
      <c r="A13122" s="496"/>
      <c r="D13122" s="496"/>
    </row>
    <row r="13123" spans="1:4" x14ac:dyDescent="0.2">
      <c r="A13123" s="496"/>
      <c r="D13123" s="496"/>
    </row>
    <row r="13124" spans="1:4" x14ac:dyDescent="0.2">
      <c r="A13124" s="496"/>
      <c r="D13124" s="496"/>
    </row>
    <row r="13125" spans="1:4" x14ac:dyDescent="0.2">
      <c r="A13125" s="496"/>
      <c r="D13125" s="496"/>
    </row>
    <row r="13126" spans="1:4" x14ac:dyDescent="0.2">
      <c r="A13126" s="496"/>
      <c r="D13126" s="496"/>
    </row>
    <row r="13127" spans="1:4" x14ac:dyDescent="0.2">
      <c r="A13127" s="496"/>
      <c r="D13127" s="496"/>
    </row>
    <row r="13128" spans="1:4" x14ac:dyDescent="0.2">
      <c r="A13128" s="496"/>
      <c r="D13128" s="496"/>
    </row>
    <row r="13129" spans="1:4" x14ac:dyDescent="0.2">
      <c r="A13129" s="496"/>
      <c r="D13129" s="496"/>
    </row>
    <row r="13130" spans="1:4" x14ac:dyDescent="0.2">
      <c r="A13130" s="496"/>
      <c r="D13130" s="496"/>
    </row>
    <row r="13131" spans="1:4" x14ac:dyDescent="0.2">
      <c r="A13131" s="496"/>
      <c r="D13131" s="496"/>
    </row>
    <row r="13132" spans="1:4" x14ac:dyDescent="0.2">
      <c r="A13132" s="496"/>
      <c r="D13132" s="496"/>
    </row>
    <row r="13133" spans="1:4" x14ac:dyDescent="0.2">
      <c r="A13133" s="496"/>
      <c r="D13133" s="496"/>
    </row>
    <row r="13134" spans="1:4" x14ac:dyDescent="0.2">
      <c r="A13134" s="496"/>
      <c r="D13134" s="496"/>
    </row>
    <row r="13135" spans="1:4" x14ac:dyDescent="0.2">
      <c r="A13135" s="496"/>
      <c r="D13135" s="496"/>
    </row>
    <row r="13136" spans="1:4" x14ac:dyDescent="0.2">
      <c r="A13136" s="496"/>
      <c r="D13136" s="496"/>
    </row>
    <row r="13137" spans="1:4" x14ac:dyDescent="0.2">
      <c r="A13137" s="496"/>
      <c r="D13137" s="496"/>
    </row>
    <row r="13138" spans="1:4" x14ac:dyDescent="0.2">
      <c r="A13138" s="496"/>
      <c r="D13138" s="496"/>
    </row>
    <row r="13139" spans="1:4" x14ac:dyDescent="0.2">
      <c r="A13139" s="496"/>
      <c r="D13139" s="496"/>
    </row>
    <row r="13140" spans="1:4" x14ac:dyDescent="0.2">
      <c r="A13140" s="496"/>
      <c r="D13140" s="496"/>
    </row>
    <row r="13141" spans="1:4" x14ac:dyDescent="0.2">
      <c r="A13141" s="496"/>
      <c r="D13141" s="496"/>
    </row>
    <row r="13142" spans="1:4" x14ac:dyDescent="0.2">
      <c r="A13142" s="496"/>
      <c r="D13142" s="496"/>
    </row>
    <row r="13143" spans="1:4" x14ac:dyDescent="0.2">
      <c r="A13143" s="496"/>
      <c r="D13143" s="496"/>
    </row>
    <row r="13144" spans="1:4" x14ac:dyDescent="0.2">
      <c r="A13144" s="496"/>
      <c r="D13144" s="496"/>
    </row>
    <row r="13145" spans="1:4" x14ac:dyDescent="0.2">
      <c r="A13145" s="496"/>
      <c r="D13145" s="496"/>
    </row>
    <row r="13146" spans="1:4" x14ac:dyDescent="0.2">
      <c r="A13146" s="496"/>
      <c r="D13146" s="496"/>
    </row>
    <row r="13147" spans="1:4" x14ac:dyDescent="0.2">
      <c r="A13147" s="496"/>
      <c r="D13147" s="496"/>
    </row>
    <row r="13148" spans="1:4" x14ac:dyDescent="0.2">
      <c r="A13148" s="496"/>
      <c r="D13148" s="496"/>
    </row>
    <row r="13149" spans="1:4" x14ac:dyDescent="0.2">
      <c r="A13149" s="496"/>
      <c r="D13149" s="496"/>
    </row>
    <row r="13150" spans="1:4" x14ac:dyDescent="0.2">
      <c r="A13150" s="496"/>
      <c r="D13150" s="496"/>
    </row>
    <row r="13151" spans="1:4" x14ac:dyDescent="0.2">
      <c r="A13151" s="496"/>
      <c r="D13151" s="496"/>
    </row>
    <row r="13152" spans="1:4" x14ac:dyDescent="0.2">
      <c r="A13152" s="496"/>
      <c r="D13152" s="496"/>
    </row>
    <row r="13153" spans="1:4" x14ac:dyDescent="0.2">
      <c r="A13153" s="496"/>
      <c r="D13153" s="496"/>
    </row>
    <row r="13154" spans="1:4" x14ac:dyDescent="0.2">
      <c r="A13154" s="496"/>
      <c r="D13154" s="496"/>
    </row>
    <row r="13155" spans="1:4" x14ac:dyDescent="0.2">
      <c r="A13155" s="496"/>
      <c r="D13155" s="496"/>
    </row>
    <row r="13156" spans="1:4" x14ac:dyDescent="0.2">
      <c r="A13156" s="496"/>
      <c r="D13156" s="496"/>
    </row>
    <row r="13157" spans="1:4" x14ac:dyDescent="0.2">
      <c r="A13157" s="496"/>
      <c r="D13157" s="496"/>
    </row>
    <row r="13158" spans="1:4" x14ac:dyDescent="0.2">
      <c r="A13158" s="496"/>
      <c r="D13158" s="496"/>
    </row>
    <row r="13159" spans="1:4" x14ac:dyDescent="0.2">
      <c r="A13159" s="496"/>
      <c r="D13159" s="496"/>
    </row>
    <row r="13160" spans="1:4" x14ac:dyDescent="0.2">
      <c r="A13160" s="496"/>
      <c r="D13160" s="496"/>
    </row>
    <row r="13161" spans="1:4" x14ac:dyDescent="0.2">
      <c r="A13161" s="496"/>
      <c r="D13161" s="496"/>
    </row>
    <row r="13162" spans="1:4" x14ac:dyDescent="0.2">
      <c r="A13162" s="496"/>
      <c r="D13162" s="496"/>
    </row>
    <row r="13163" spans="1:4" x14ac:dyDescent="0.2">
      <c r="A13163" s="496"/>
      <c r="D13163" s="496"/>
    </row>
    <row r="13164" spans="1:4" x14ac:dyDescent="0.2">
      <c r="A13164" s="496"/>
      <c r="D13164" s="496"/>
    </row>
    <row r="13165" spans="1:4" x14ac:dyDescent="0.2">
      <c r="A13165" s="496"/>
      <c r="D13165" s="496"/>
    </row>
    <row r="13166" spans="1:4" x14ac:dyDescent="0.2">
      <c r="A13166" s="496"/>
      <c r="D13166" s="496"/>
    </row>
    <row r="13167" spans="1:4" x14ac:dyDescent="0.2">
      <c r="A13167" s="496"/>
      <c r="D13167" s="496"/>
    </row>
    <row r="13168" spans="1:4" x14ac:dyDescent="0.2">
      <c r="A13168" s="496"/>
      <c r="D13168" s="496"/>
    </row>
    <row r="13169" spans="1:4" x14ac:dyDescent="0.2">
      <c r="A13169" s="496"/>
      <c r="D13169" s="496"/>
    </row>
    <row r="13170" spans="1:4" x14ac:dyDescent="0.2">
      <c r="A13170" s="496"/>
      <c r="D13170" s="496"/>
    </row>
    <row r="13171" spans="1:4" x14ac:dyDescent="0.2">
      <c r="A13171" s="496"/>
      <c r="D13171" s="496"/>
    </row>
    <row r="13172" spans="1:4" x14ac:dyDescent="0.2">
      <c r="A13172" s="496"/>
      <c r="D13172" s="496"/>
    </row>
    <row r="13173" spans="1:4" x14ac:dyDescent="0.2">
      <c r="A13173" s="496"/>
      <c r="D13173" s="496"/>
    </row>
    <row r="13174" spans="1:4" x14ac:dyDescent="0.2">
      <c r="A13174" s="496"/>
      <c r="D13174" s="496"/>
    </row>
    <row r="13175" spans="1:4" x14ac:dyDescent="0.2">
      <c r="A13175" s="496"/>
      <c r="D13175" s="496"/>
    </row>
    <row r="13176" spans="1:4" x14ac:dyDescent="0.2">
      <c r="A13176" s="496"/>
      <c r="D13176" s="496"/>
    </row>
    <row r="13177" spans="1:4" x14ac:dyDescent="0.2">
      <c r="A13177" s="496"/>
      <c r="D13177" s="496"/>
    </row>
    <row r="13178" spans="1:4" x14ac:dyDescent="0.2">
      <c r="A13178" s="496"/>
      <c r="D13178" s="496"/>
    </row>
    <row r="13179" spans="1:4" x14ac:dyDescent="0.2">
      <c r="A13179" s="496"/>
      <c r="D13179" s="496"/>
    </row>
    <row r="13180" spans="1:4" x14ac:dyDescent="0.2">
      <c r="A13180" s="496"/>
      <c r="D13180" s="496"/>
    </row>
    <row r="13181" spans="1:4" x14ac:dyDescent="0.2">
      <c r="A13181" s="496"/>
      <c r="D13181" s="496"/>
    </row>
    <row r="13182" spans="1:4" x14ac:dyDescent="0.2">
      <c r="A13182" s="496"/>
      <c r="D13182" s="496"/>
    </row>
    <row r="13183" spans="1:4" x14ac:dyDescent="0.2">
      <c r="A13183" s="496"/>
      <c r="D13183" s="496"/>
    </row>
    <row r="13184" spans="1:4" x14ac:dyDescent="0.2">
      <c r="A13184" s="496"/>
      <c r="D13184" s="496"/>
    </row>
    <row r="13185" spans="1:4" x14ac:dyDescent="0.2">
      <c r="A13185" s="496"/>
      <c r="D13185" s="496"/>
    </row>
    <row r="13186" spans="1:4" x14ac:dyDescent="0.2">
      <c r="A13186" s="496"/>
      <c r="D13186" s="496"/>
    </row>
    <row r="13187" spans="1:4" x14ac:dyDescent="0.2">
      <c r="A13187" s="496"/>
      <c r="D13187" s="496"/>
    </row>
    <row r="13188" spans="1:4" x14ac:dyDescent="0.2">
      <c r="A13188" s="496"/>
      <c r="D13188" s="496"/>
    </row>
    <row r="13189" spans="1:4" x14ac:dyDescent="0.2">
      <c r="A13189" s="496"/>
      <c r="D13189" s="496"/>
    </row>
    <row r="13190" spans="1:4" x14ac:dyDescent="0.2">
      <c r="A13190" s="496"/>
      <c r="D13190" s="496"/>
    </row>
    <row r="13191" spans="1:4" x14ac:dyDescent="0.2">
      <c r="A13191" s="496"/>
      <c r="D13191" s="496"/>
    </row>
    <row r="13192" spans="1:4" x14ac:dyDescent="0.2">
      <c r="A13192" s="496"/>
      <c r="D13192" s="496"/>
    </row>
    <row r="13193" spans="1:4" x14ac:dyDescent="0.2">
      <c r="A13193" s="496"/>
      <c r="D13193" s="496"/>
    </row>
    <row r="13194" spans="1:4" x14ac:dyDescent="0.2">
      <c r="A13194" s="496"/>
      <c r="D13194" s="496"/>
    </row>
    <row r="13195" spans="1:4" x14ac:dyDescent="0.2">
      <c r="A13195" s="496"/>
      <c r="D13195" s="496"/>
    </row>
    <row r="13196" spans="1:4" x14ac:dyDescent="0.2">
      <c r="A13196" s="496"/>
      <c r="D13196" s="496"/>
    </row>
    <row r="13197" spans="1:4" x14ac:dyDescent="0.2">
      <c r="A13197" s="496"/>
      <c r="D13197" s="496"/>
    </row>
    <row r="13198" spans="1:4" x14ac:dyDescent="0.2">
      <c r="A13198" s="496"/>
      <c r="D13198" s="496"/>
    </row>
    <row r="13199" spans="1:4" x14ac:dyDescent="0.2">
      <c r="A13199" s="496"/>
      <c r="D13199" s="496"/>
    </row>
    <row r="13200" spans="1:4" x14ac:dyDescent="0.2">
      <c r="A13200" s="496"/>
      <c r="D13200" s="496"/>
    </row>
    <row r="13201" spans="1:4" x14ac:dyDescent="0.2">
      <c r="A13201" s="496"/>
      <c r="D13201" s="496"/>
    </row>
    <row r="13202" spans="1:4" x14ac:dyDescent="0.2">
      <c r="A13202" s="496"/>
      <c r="D13202" s="496"/>
    </row>
    <row r="13203" spans="1:4" x14ac:dyDescent="0.2">
      <c r="A13203" s="496"/>
      <c r="D13203" s="496"/>
    </row>
    <row r="13204" spans="1:4" x14ac:dyDescent="0.2">
      <c r="A13204" s="496"/>
      <c r="D13204" s="496"/>
    </row>
    <row r="13205" spans="1:4" x14ac:dyDescent="0.2">
      <c r="A13205" s="496"/>
      <c r="D13205" s="496"/>
    </row>
    <row r="13206" spans="1:4" x14ac:dyDescent="0.2">
      <c r="A13206" s="496"/>
      <c r="D13206" s="496"/>
    </row>
    <row r="13207" spans="1:4" x14ac:dyDescent="0.2">
      <c r="A13207" s="496"/>
      <c r="D13207" s="496"/>
    </row>
    <row r="13208" spans="1:4" x14ac:dyDescent="0.2">
      <c r="A13208" s="496"/>
      <c r="D13208" s="496"/>
    </row>
    <row r="13209" spans="1:4" x14ac:dyDescent="0.2">
      <c r="A13209" s="496"/>
      <c r="D13209" s="496"/>
    </row>
    <row r="13210" spans="1:4" x14ac:dyDescent="0.2">
      <c r="A13210" s="496"/>
      <c r="D13210" s="496"/>
    </row>
    <row r="13211" spans="1:4" x14ac:dyDescent="0.2">
      <c r="A13211" s="496"/>
      <c r="D13211" s="496"/>
    </row>
    <row r="13212" spans="1:4" x14ac:dyDescent="0.2">
      <c r="A13212" s="496"/>
      <c r="D13212" s="496"/>
    </row>
    <row r="13213" spans="1:4" x14ac:dyDescent="0.2">
      <c r="A13213" s="496"/>
      <c r="D13213" s="496"/>
    </row>
    <row r="13214" spans="1:4" x14ac:dyDescent="0.2">
      <c r="A13214" s="496"/>
      <c r="D13214" s="496"/>
    </row>
    <row r="13215" spans="1:4" x14ac:dyDescent="0.2">
      <c r="A13215" s="496"/>
      <c r="D13215" s="496"/>
    </row>
    <row r="13216" spans="1:4" x14ac:dyDescent="0.2">
      <c r="A13216" s="496"/>
      <c r="D13216" s="496"/>
    </row>
    <row r="13217" spans="1:4" x14ac:dyDescent="0.2">
      <c r="A13217" s="496"/>
      <c r="D13217" s="496"/>
    </row>
    <row r="13218" spans="1:4" x14ac:dyDescent="0.2">
      <c r="A13218" s="496"/>
      <c r="D13218" s="496"/>
    </row>
    <row r="13219" spans="1:4" x14ac:dyDescent="0.2">
      <c r="A13219" s="496"/>
      <c r="D13219" s="496"/>
    </row>
    <row r="13220" spans="1:4" x14ac:dyDescent="0.2">
      <c r="A13220" s="496"/>
      <c r="D13220" s="496"/>
    </row>
    <row r="13221" spans="1:4" x14ac:dyDescent="0.2">
      <c r="A13221" s="496"/>
      <c r="D13221" s="496"/>
    </row>
    <row r="13222" spans="1:4" x14ac:dyDescent="0.2">
      <c r="A13222" s="496"/>
      <c r="D13222" s="496"/>
    </row>
    <row r="13223" spans="1:4" x14ac:dyDescent="0.2">
      <c r="A13223" s="496"/>
      <c r="D13223" s="496"/>
    </row>
    <row r="13224" spans="1:4" x14ac:dyDescent="0.2">
      <c r="A13224" s="496"/>
      <c r="D13224" s="496"/>
    </row>
    <row r="13225" spans="1:4" x14ac:dyDescent="0.2">
      <c r="A13225" s="496"/>
      <c r="D13225" s="496"/>
    </row>
    <row r="13226" spans="1:4" x14ac:dyDescent="0.2">
      <c r="A13226" s="496"/>
      <c r="D13226" s="496"/>
    </row>
    <row r="13227" spans="1:4" x14ac:dyDescent="0.2">
      <c r="A13227" s="496"/>
      <c r="D13227" s="496"/>
    </row>
    <row r="13228" spans="1:4" x14ac:dyDescent="0.2">
      <c r="A13228" s="496"/>
      <c r="D13228" s="496"/>
    </row>
    <row r="13229" spans="1:4" x14ac:dyDescent="0.2">
      <c r="A13229" s="496"/>
      <c r="D13229" s="496"/>
    </row>
    <row r="13230" spans="1:4" x14ac:dyDescent="0.2">
      <c r="A13230" s="496"/>
      <c r="D13230" s="496"/>
    </row>
    <row r="13231" spans="1:4" x14ac:dyDescent="0.2">
      <c r="A13231" s="496"/>
      <c r="D13231" s="496"/>
    </row>
    <row r="13232" spans="1:4" x14ac:dyDescent="0.2">
      <c r="A13232" s="496"/>
      <c r="D13232" s="496"/>
    </row>
    <row r="13233" spans="1:4" x14ac:dyDescent="0.2">
      <c r="A13233" s="496"/>
      <c r="D13233" s="496"/>
    </row>
    <row r="13234" spans="1:4" x14ac:dyDescent="0.2">
      <c r="A13234" s="496"/>
      <c r="D13234" s="496"/>
    </row>
    <row r="13235" spans="1:4" x14ac:dyDescent="0.2">
      <c r="A13235" s="496"/>
      <c r="D13235" s="496"/>
    </row>
    <row r="13236" spans="1:4" x14ac:dyDescent="0.2">
      <c r="A13236" s="496"/>
      <c r="D13236" s="496"/>
    </row>
    <row r="13237" spans="1:4" x14ac:dyDescent="0.2">
      <c r="A13237" s="496"/>
      <c r="D13237" s="496"/>
    </row>
    <row r="13238" spans="1:4" x14ac:dyDescent="0.2">
      <c r="A13238" s="496"/>
      <c r="D13238" s="496"/>
    </row>
    <row r="13239" spans="1:4" x14ac:dyDescent="0.2">
      <c r="A13239" s="496"/>
      <c r="D13239" s="496"/>
    </row>
    <row r="13240" spans="1:4" x14ac:dyDescent="0.2">
      <c r="A13240" s="496"/>
      <c r="D13240" s="496"/>
    </row>
    <row r="13241" spans="1:4" x14ac:dyDescent="0.2">
      <c r="A13241" s="496"/>
      <c r="D13241" s="496"/>
    </row>
    <row r="13242" spans="1:4" x14ac:dyDescent="0.2">
      <c r="A13242" s="496"/>
      <c r="D13242" s="496"/>
    </row>
    <row r="13243" spans="1:4" x14ac:dyDescent="0.2">
      <c r="A13243" s="496"/>
      <c r="D13243" s="496"/>
    </row>
    <row r="13244" spans="1:4" x14ac:dyDescent="0.2">
      <c r="A13244" s="496"/>
      <c r="D13244" s="496"/>
    </row>
    <row r="13245" spans="1:4" x14ac:dyDescent="0.2">
      <c r="A13245" s="496"/>
      <c r="D13245" s="496"/>
    </row>
    <row r="13246" spans="1:4" x14ac:dyDescent="0.2">
      <c r="A13246" s="496"/>
      <c r="D13246" s="496"/>
    </row>
    <row r="13247" spans="1:4" x14ac:dyDescent="0.2">
      <c r="A13247" s="496"/>
      <c r="D13247" s="496"/>
    </row>
    <row r="13248" spans="1:4" x14ac:dyDescent="0.2">
      <c r="A13248" s="496"/>
      <c r="D13248" s="496"/>
    </row>
    <row r="13249" spans="1:4" x14ac:dyDescent="0.2">
      <c r="A13249" s="496"/>
      <c r="D13249" s="496"/>
    </row>
    <row r="13250" spans="1:4" x14ac:dyDescent="0.2">
      <c r="A13250" s="496"/>
      <c r="D13250" s="496"/>
    </row>
    <row r="13251" spans="1:4" x14ac:dyDescent="0.2">
      <c r="A13251" s="496"/>
      <c r="D13251" s="496"/>
    </row>
    <row r="13252" spans="1:4" x14ac:dyDescent="0.2">
      <c r="A13252" s="496"/>
      <c r="D13252" s="496"/>
    </row>
    <row r="13253" spans="1:4" x14ac:dyDescent="0.2">
      <c r="A13253" s="496"/>
      <c r="D13253" s="496"/>
    </row>
    <row r="13254" spans="1:4" x14ac:dyDescent="0.2">
      <c r="A13254" s="496"/>
      <c r="D13254" s="496"/>
    </row>
    <row r="13255" spans="1:4" x14ac:dyDescent="0.2">
      <c r="A13255" s="496"/>
      <c r="D13255" s="496"/>
    </row>
    <row r="13256" spans="1:4" x14ac:dyDescent="0.2">
      <c r="A13256" s="496"/>
      <c r="D13256" s="496"/>
    </row>
    <row r="13257" spans="1:4" x14ac:dyDescent="0.2">
      <c r="A13257" s="496"/>
      <c r="D13257" s="496"/>
    </row>
    <row r="13258" spans="1:4" x14ac:dyDescent="0.2">
      <c r="A13258" s="496"/>
      <c r="D13258" s="496"/>
    </row>
    <row r="13259" spans="1:4" x14ac:dyDescent="0.2">
      <c r="A13259" s="496"/>
      <c r="D13259" s="496"/>
    </row>
    <row r="13260" spans="1:4" x14ac:dyDescent="0.2">
      <c r="A13260" s="496"/>
      <c r="D13260" s="496"/>
    </row>
    <row r="13261" spans="1:4" x14ac:dyDescent="0.2">
      <c r="A13261" s="496"/>
      <c r="D13261" s="496"/>
    </row>
    <row r="13262" spans="1:4" x14ac:dyDescent="0.2">
      <c r="A13262" s="496"/>
      <c r="D13262" s="496"/>
    </row>
    <row r="13263" spans="1:4" x14ac:dyDescent="0.2">
      <c r="A13263" s="496"/>
      <c r="D13263" s="496"/>
    </row>
    <row r="13264" spans="1:4" x14ac:dyDescent="0.2">
      <c r="A13264" s="496"/>
      <c r="D13264" s="496"/>
    </row>
    <row r="13265" spans="1:4" x14ac:dyDescent="0.2">
      <c r="A13265" s="496"/>
      <c r="D13265" s="496"/>
    </row>
    <row r="13266" spans="1:4" x14ac:dyDescent="0.2">
      <c r="A13266" s="496"/>
      <c r="D13266" s="496"/>
    </row>
    <row r="13267" spans="1:4" x14ac:dyDescent="0.2">
      <c r="A13267" s="496"/>
      <c r="D13267" s="496"/>
    </row>
    <row r="13268" spans="1:4" x14ac:dyDescent="0.2">
      <c r="A13268" s="496"/>
      <c r="D13268" s="496"/>
    </row>
    <row r="13269" spans="1:4" x14ac:dyDescent="0.2">
      <c r="A13269" s="496"/>
      <c r="D13269" s="496"/>
    </row>
    <row r="13270" spans="1:4" x14ac:dyDescent="0.2">
      <c r="A13270" s="496"/>
      <c r="D13270" s="496"/>
    </row>
    <row r="13271" spans="1:4" x14ac:dyDescent="0.2">
      <c r="A13271" s="496"/>
      <c r="D13271" s="496"/>
    </row>
    <row r="13272" spans="1:4" x14ac:dyDescent="0.2">
      <c r="A13272" s="496"/>
      <c r="D13272" s="496"/>
    </row>
    <row r="13273" spans="1:4" x14ac:dyDescent="0.2">
      <c r="A13273" s="496"/>
      <c r="D13273" s="496"/>
    </row>
    <row r="13274" spans="1:4" x14ac:dyDescent="0.2">
      <c r="A13274" s="496"/>
      <c r="D13274" s="496"/>
    </row>
    <row r="13275" spans="1:4" x14ac:dyDescent="0.2">
      <c r="A13275" s="496"/>
      <c r="D13275" s="496"/>
    </row>
    <row r="13276" spans="1:4" x14ac:dyDescent="0.2">
      <c r="A13276" s="496"/>
      <c r="D13276" s="496"/>
    </row>
    <row r="13277" spans="1:4" x14ac:dyDescent="0.2">
      <c r="A13277" s="496"/>
      <c r="D13277" s="496"/>
    </row>
    <row r="13278" spans="1:4" x14ac:dyDescent="0.2">
      <c r="A13278" s="496"/>
      <c r="D13278" s="496"/>
    </row>
    <row r="13279" spans="1:4" x14ac:dyDescent="0.2">
      <c r="A13279" s="496"/>
      <c r="D13279" s="496"/>
    </row>
    <row r="13280" spans="1:4" x14ac:dyDescent="0.2">
      <c r="A13280" s="496"/>
      <c r="D13280" s="496"/>
    </row>
    <row r="13281" spans="1:4" x14ac:dyDescent="0.2">
      <c r="A13281" s="496"/>
      <c r="D13281" s="496"/>
    </row>
    <row r="13282" spans="1:4" x14ac:dyDescent="0.2">
      <c r="A13282" s="496"/>
      <c r="D13282" s="496"/>
    </row>
    <row r="13283" spans="1:4" x14ac:dyDescent="0.2">
      <c r="A13283" s="496"/>
      <c r="D13283" s="496"/>
    </row>
    <row r="13284" spans="1:4" x14ac:dyDescent="0.2">
      <c r="A13284" s="496"/>
      <c r="D13284" s="496"/>
    </row>
    <row r="13285" spans="1:4" x14ac:dyDescent="0.2">
      <c r="A13285" s="496"/>
      <c r="D13285" s="496"/>
    </row>
    <row r="13286" spans="1:4" x14ac:dyDescent="0.2">
      <c r="A13286" s="496"/>
      <c r="D13286" s="496"/>
    </row>
    <row r="13287" spans="1:4" x14ac:dyDescent="0.2">
      <c r="A13287" s="496"/>
      <c r="D13287" s="496"/>
    </row>
    <row r="13288" spans="1:4" x14ac:dyDescent="0.2">
      <c r="A13288" s="496"/>
      <c r="D13288" s="496"/>
    </row>
    <row r="13289" spans="1:4" x14ac:dyDescent="0.2">
      <c r="A13289" s="496"/>
      <c r="D13289" s="496"/>
    </row>
    <row r="13290" spans="1:4" x14ac:dyDescent="0.2">
      <c r="A13290" s="496"/>
      <c r="D13290" s="496"/>
    </row>
    <row r="13291" spans="1:4" x14ac:dyDescent="0.2">
      <c r="A13291" s="496"/>
      <c r="D13291" s="496"/>
    </row>
    <row r="13292" spans="1:4" x14ac:dyDescent="0.2">
      <c r="A13292" s="496"/>
      <c r="D13292" s="496"/>
    </row>
    <row r="13293" spans="1:4" x14ac:dyDescent="0.2">
      <c r="A13293" s="496"/>
      <c r="D13293" s="496"/>
    </row>
    <row r="13294" spans="1:4" x14ac:dyDescent="0.2">
      <c r="A13294" s="496"/>
      <c r="D13294" s="496"/>
    </row>
    <row r="13295" spans="1:4" x14ac:dyDescent="0.2">
      <c r="A13295" s="496"/>
      <c r="D13295" s="496"/>
    </row>
    <row r="13296" spans="1:4" x14ac:dyDescent="0.2">
      <c r="A13296" s="496"/>
      <c r="D13296" s="496"/>
    </row>
    <row r="13297" spans="1:4" x14ac:dyDescent="0.2">
      <c r="A13297" s="496"/>
      <c r="D13297" s="496"/>
    </row>
    <row r="13298" spans="1:4" x14ac:dyDescent="0.2">
      <c r="A13298" s="496"/>
      <c r="D13298" s="496"/>
    </row>
    <row r="13299" spans="1:4" x14ac:dyDescent="0.2">
      <c r="A13299" s="496"/>
      <c r="D13299" s="496"/>
    </row>
    <row r="13300" spans="1:4" x14ac:dyDescent="0.2">
      <c r="A13300" s="496"/>
      <c r="D13300" s="496"/>
    </row>
    <row r="13301" spans="1:4" x14ac:dyDescent="0.2">
      <c r="A13301" s="496"/>
      <c r="D13301" s="496"/>
    </row>
    <row r="13302" spans="1:4" x14ac:dyDescent="0.2">
      <c r="A13302" s="496"/>
      <c r="D13302" s="496"/>
    </row>
    <row r="13303" spans="1:4" x14ac:dyDescent="0.2">
      <c r="A13303" s="496"/>
      <c r="D13303" s="496"/>
    </row>
    <row r="13304" spans="1:4" x14ac:dyDescent="0.2">
      <c r="A13304" s="496"/>
      <c r="D13304" s="496"/>
    </row>
    <row r="13305" spans="1:4" x14ac:dyDescent="0.2">
      <c r="A13305" s="496"/>
      <c r="D13305" s="496"/>
    </row>
    <row r="13306" spans="1:4" x14ac:dyDescent="0.2">
      <c r="A13306" s="496"/>
      <c r="D13306" s="496"/>
    </row>
    <row r="13307" spans="1:4" x14ac:dyDescent="0.2">
      <c r="A13307" s="496"/>
      <c r="D13307" s="496"/>
    </row>
    <row r="13308" spans="1:4" x14ac:dyDescent="0.2">
      <c r="A13308" s="496"/>
      <c r="D13308" s="496"/>
    </row>
    <row r="13309" spans="1:4" x14ac:dyDescent="0.2">
      <c r="A13309" s="496"/>
      <c r="D13309" s="496"/>
    </row>
    <row r="13310" spans="1:4" x14ac:dyDescent="0.2">
      <c r="A13310" s="496"/>
      <c r="D13310" s="496"/>
    </row>
    <row r="13311" spans="1:4" x14ac:dyDescent="0.2">
      <c r="A13311" s="496"/>
      <c r="D13311" s="496"/>
    </row>
    <row r="13312" spans="1:4" x14ac:dyDescent="0.2">
      <c r="A13312" s="496"/>
      <c r="D13312" s="496"/>
    </row>
    <row r="13313" spans="1:4" x14ac:dyDescent="0.2">
      <c r="A13313" s="496"/>
      <c r="D13313" s="496"/>
    </row>
    <row r="13314" spans="1:4" x14ac:dyDescent="0.2">
      <c r="A13314" s="496"/>
      <c r="D13314" s="496"/>
    </row>
    <row r="13315" spans="1:4" x14ac:dyDescent="0.2">
      <c r="A13315" s="496"/>
      <c r="D13315" s="496"/>
    </row>
    <row r="13316" spans="1:4" x14ac:dyDescent="0.2">
      <c r="A13316" s="496"/>
      <c r="D13316" s="496"/>
    </row>
    <row r="13317" spans="1:4" x14ac:dyDescent="0.2">
      <c r="A13317" s="496"/>
      <c r="D13317" s="496"/>
    </row>
    <row r="13318" spans="1:4" x14ac:dyDescent="0.2">
      <c r="A13318" s="496"/>
      <c r="D13318" s="496"/>
    </row>
    <row r="13319" spans="1:4" x14ac:dyDescent="0.2">
      <c r="A13319" s="496"/>
      <c r="D13319" s="496"/>
    </row>
    <row r="13320" spans="1:4" x14ac:dyDescent="0.2">
      <c r="A13320" s="496"/>
      <c r="D13320" s="496"/>
    </row>
    <row r="13321" spans="1:4" x14ac:dyDescent="0.2">
      <c r="A13321" s="496"/>
      <c r="D13321" s="496"/>
    </row>
    <row r="13322" spans="1:4" x14ac:dyDescent="0.2">
      <c r="A13322" s="496"/>
      <c r="D13322" s="496"/>
    </row>
    <row r="13323" spans="1:4" x14ac:dyDescent="0.2">
      <c r="A13323" s="496"/>
      <c r="D13323" s="496"/>
    </row>
    <row r="13324" spans="1:4" x14ac:dyDescent="0.2">
      <c r="A13324" s="496"/>
      <c r="D13324" s="496"/>
    </row>
    <row r="13325" spans="1:4" x14ac:dyDescent="0.2">
      <c r="A13325" s="496"/>
      <c r="D13325" s="496"/>
    </row>
    <row r="13326" spans="1:4" x14ac:dyDescent="0.2">
      <c r="A13326" s="496"/>
      <c r="D13326" s="496"/>
    </row>
    <row r="13327" spans="1:4" x14ac:dyDescent="0.2">
      <c r="A13327" s="496"/>
      <c r="D13327" s="496"/>
    </row>
    <row r="13328" spans="1:4" x14ac:dyDescent="0.2">
      <c r="A13328" s="496"/>
      <c r="D13328" s="496"/>
    </row>
    <row r="13329" spans="1:4" x14ac:dyDescent="0.2">
      <c r="A13329" s="496"/>
      <c r="D13329" s="496"/>
    </row>
    <row r="13330" spans="1:4" x14ac:dyDescent="0.2">
      <c r="A13330" s="496"/>
      <c r="D13330" s="496"/>
    </row>
    <row r="13331" spans="1:4" x14ac:dyDescent="0.2">
      <c r="A13331" s="496"/>
      <c r="D13331" s="496"/>
    </row>
    <row r="13332" spans="1:4" x14ac:dyDescent="0.2">
      <c r="A13332" s="496"/>
      <c r="D13332" s="496"/>
    </row>
    <row r="13333" spans="1:4" x14ac:dyDescent="0.2">
      <c r="A13333" s="496"/>
      <c r="D13333" s="496"/>
    </row>
    <row r="13334" spans="1:4" x14ac:dyDescent="0.2">
      <c r="A13334" s="496"/>
      <c r="D13334" s="496"/>
    </row>
    <row r="13335" spans="1:4" x14ac:dyDescent="0.2">
      <c r="A13335" s="496"/>
      <c r="D13335" s="496"/>
    </row>
    <row r="13336" spans="1:4" x14ac:dyDescent="0.2">
      <c r="A13336" s="496"/>
      <c r="D13336" s="496"/>
    </row>
    <row r="13337" spans="1:4" x14ac:dyDescent="0.2">
      <c r="A13337" s="496"/>
      <c r="D13337" s="496"/>
    </row>
    <row r="13338" spans="1:4" x14ac:dyDescent="0.2">
      <c r="A13338" s="496"/>
      <c r="D13338" s="496"/>
    </row>
    <row r="13339" spans="1:4" x14ac:dyDescent="0.2">
      <c r="A13339" s="496"/>
      <c r="D13339" s="496"/>
    </row>
    <row r="13340" spans="1:4" x14ac:dyDescent="0.2">
      <c r="A13340" s="496"/>
      <c r="D13340" s="496"/>
    </row>
    <row r="13341" spans="1:4" x14ac:dyDescent="0.2">
      <c r="A13341" s="496"/>
      <c r="D13341" s="496"/>
    </row>
    <row r="13342" spans="1:4" x14ac:dyDescent="0.2">
      <c r="A13342" s="496"/>
      <c r="D13342" s="496"/>
    </row>
    <row r="13343" spans="1:4" x14ac:dyDescent="0.2">
      <c r="A13343" s="496"/>
      <c r="D13343" s="496"/>
    </row>
    <row r="13344" spans="1:4" x14ac:dyDescent="0.2">
      <c r="A13344" s="496"/>
      <c r="D13344" s="496"/>
    </row>
    <row r="13345" spans="1:4" x14ac:dyDescent="0.2">
      <c r="A13345" s="496"/>
      <c r="D13345" s="496"/>
    </row>
    <row r="13346" spans="1:4" x14ac:dyDescent="0.2">
      <c r="A13346" s="496"/>
      <c r="D13346" s="496"/>
    </row>
    <row r="13347" spans="1:4" x14ac:dyDescent="0.2">
      <c r="A13347" s="496"/>
      <c r="D13347" s="496"/>
    </row>
    <row r="13348" spans="1:4" x14ac:dyDescent="0.2">
      <c r="A13348" s="496"/>
      <c r="D13348" s="496"/>
    </row>
    <row r="13349" spans="1:4" x14ac:dyDescent="0.2">
      <c r="A13349" s="496"/>
      <c r="D13349" s="496"/>
    </row>
    <row r="13350" spans="1:4" x14ac:dyDescent="0.2">
      <c r="A13350" s="496"/>
      <c r="D13350" s="496"/>
    </row>
    <row r="13351" spans="1:4" x14ac:dyDescent="0.2">
      <c r="A13351" s="496"/>
      <c r="D13351" s="496"/>
    </row>
    <row r="13352" spans="1:4" x14ac:dyDescent="0.2">
      <c r="A13352" s="496"/>
      <c r="D13352" s="496"/>
    </row>
    <row r="13353" spans="1:4" x14ac:dyDescent="0.2">
      <c r="A13353" s="496"/>
      <c r="D13353" s="496"/>
    </row>
    <row r="13354" spans="1:4" x14ac:dyDescent="0.2">
      <c r="A13354" s="496"/>
      <c r="D13354" s="496"/>
    </row>
    <row r="13355" spans="1:4" x14ac:dyDescent="0.2">
      <c r="A13355" s="496"/>
      <c r="D13355" s="496"/>
    </row>
    <row r="13356" spans="1:4" x14ac:dyDescent="0.2">
      <c r="A13356" s="496"/>
      <c r="D13356" s="496"/>
    </row>
    <row r="13357" spans="1:4" x14ac:dyDescent="0.2">
      <c r="A13357" s="496"/>
      <c r="D13357" s="496"/>
    </row>
    <row r="13358" spans="1:4" x14ac:dyDescent="0.2">
      <c r="A13358" s="496"/>
      <c r="D13358" s="496"/>
    </row>
    <row r="13359" spans="1:4" x14ac:dyDescent="0.2">
      <c r="A13359" s="496"/>
      <c r="D13359" s="496"/>
    </row>
    <row r="13360" spans="1:4" x14ac:dyDescent="0.2">
      <c r="A13360" s="496"/>
      <c r="D13360" s="496"/>
    </row>
    <row r="13361" spans="1:4" x14ac:dyDescent="0.2">
      <c r="A13361" s="496"/>
      <c r="D13361" s="496"/>
    </row>
    <row r="13362" spans="1:4" x14ac:dyDescent="0.2">
      <c r="A13362" s="496"/>
      <c r="D13362" s="496"/>
    </row>
    <row r="13363" spans="1:4" x14ac:dyDescent="0.2">
      <c r="A13363" s="496"/>
      <c r="D13363" s="496"/>
    </row>
    <row r="13364" spans="1:4" x14ac:dyDescent="0.2">
      <c r="A13364" s="496"/>
      <c r="D13364" s="496"/>
    </row>
    <row r="13365" spans="1:4" x14ac:dyDescent="0.2">
      <c r="A13365" s="496"/>
      <c r="D13365" s="496"/>
    </row>
    <row r="13366" spans="1:4" x14ac:dyDescent="0.2">
      <c r="A13366" s="496"/>
      <c r="D13366" s="496"/>
    </row>
    <row r="13367" spans="1:4" x14ac:dyDescent="0.2">
      <c r="A13367" s="496"/>
      <c r="D13367" s="496"/>
    </row>
    <row r="13368" spans="1:4" x14ac:dyDescent="0.2">
      <c r="A13368" s="496"/>
      <c r="D13368" s="496"/>
    </row>
    <row r="13369" spans="1:4" x14ac:dyDescent="0.2">
      <c r="A13369" s="496"/>
      <c r="D13369" s="496"/>
    </row>
    <row r="13370" spans="1:4" x14ac:dyDescent="0.2">
      <c r="A13370" s="496"/>
      <c r="D13370" s="496"/>
    </row>
    <row r="13371" spans="1:4" x14ac:dyDescent="0.2">
      <c r="A13371" s="496"/>
      <c r="D13371" s="496"/>
    </row>
    <row r="13372" spans="1:4" x14ac:dyDescent="0.2">
      <c r="A13372" s="496"/>
      <c r="D13372" s="496"/>
    </row>
    <row r="13373" spans="1:4" x14ac:dyDescent="0.2">
      <c r="A13373" s="496"/>
      <c r="D13373" s="496"/>
    </row>
    <row r="13374" spans="1:4" x14ac:dyDescent="0.2">
      <c r="A13374" s="496"/>
      <c r="D13374" s="496"/>
    </row>
    <row r="13375" spans="1:4" x14ac:dyDescent="0.2">
      <c r="A13375" s="496"/>
      <c r="D13375" s="496"/>
    </row>
    <row r="13376" spans="1:4" x14ac:dyDescent="0.2">
      <c r="A13376" s="496"/>
      <c r="D13376" s="496"/>
    </row>
    <row r="13377" spans="1:4" x14ac:dyDescent="0.2">
      <c r="A13377" s="496"/>
      <c r="D13377" s="496"/>
    </row>
    <row r="13378" spans="1:4" x14ac:dyDescent="0.2">
      <c r="A13378" s="496"/>
      <c r="D13378" s="496"/>
    </row>
    <row r="13379" spans="1:4" x14ac:dyDescent="0.2">
      <c r="A13379" s="496"/>
      <c r="D13379" s="496"/>
    </row>
    <row r="13380" spans="1:4" x14ac:dyDescent="0.2">
      <c r="A13380" s="496"/>
      <c r="D13380" s="496"/>
    </row>
    <row r="13381" spans="1:4" x14ac:dyDescent="0.2">
      <c r="A13381" s="496"/>
      <c r="D13381" s="496"/>
    </row>
    <row r="13382" spans="1:4" x14ac:dyDescent="0.2">
      <c r="A13382" s="496"/>
      <c r="D13382" s="496"/>
    </row>
    <row r="13383" spans="1:4" x14ac:dyDescent="0.2">
      <c r="A13383" s="496"/>
      <c r="D13383" s="496"/>
    </row>
    <row r="13384" spans="1:4" x14ac:dyDescent="0.2">
      <c r="A13384" s="496"/>
      <c r="D13384" s="496"/>
    </row>
    <row r="13385" spans="1:4" x14ac:dyDescent="0.2">
      <c r="A13385" s="496"/>
      <c r="D13385" s="496"/>
    </row>
    <row r="13386" spans="1:4" x14ac:dyDescent="0.2">
      <c r="A13386" s="496"/>
      <c r="D13386" s="496"/>
    </row>
    <row r="13387" spans="1:4" x14ac:dyDescent="0.2">
      <c r="A13387" s="496"/>
      <c r="D13387" s="496"/>
    </row>
    <row r="13388" spans="1:4" x14ac:dyDescent="0.2">
      <c r="A13388" s="496"/>
      <c r="D13388" s="496"/>
    </row>
    <row r="13389" spans="1:4" x14ac:dyDescent="0.2">
      <c r="A13389" s="496"/>
      <c r="D13389" s="496"/>
    </row>
    <row r="13390" spans="1:4" x14ac:dyDescent="0.2">
      <c r="A13390" s="496"/>
      <c r="D13390" s="496"/>
    </row>
    <row r="13391" spans="1:4" x14ac:dyDescent="0.2">
      <c r="A13391" s="496"/>
      <c r="D13391" s="496"/>
    </row>
    <row r="13392" spans="1:4" x14ac:dyDescent="0.2">
      <c r="A13392" s="496"/>
      <c r="D13392" s="496"/>
    </row>
    <row r="13393" spans="1:4" x14ac:dyDescent="0.2">
      <c r="A13393" s="496"/>
      <c r="D13393" s="496"/>
    </row>
    <row r="13394" spans="1:4" x14ac:dyDescent="0.2">
      <c r="A13394" s="496"/>
      <c r="D13394" s="496"/>
    </row>
    <row r="13395" spans="1:4" x14ac:dyDescent="0.2">
      <c r="A13395" s="496"/>
      <c r="D13395" s="496"/>
    </row>
    <row r="13396" spans="1:4" x14ac:dyDescent="0.2">
      <c r="A13396" s="496"/>
      <c r="D13396" s="496"/>
    </row>
    <row r="13397" spans="1:4" x14ac:dyDescent="0.2">
      <c r="A13397" s="496"/>
      <c r="D13397" s="496"/>
    </row>
    <row r="13398" spans="1:4" x14ac:dyDescent="0.2">
      <c r="A13398" s="496"/>
      <c r="D13398" s="496"/>
    </row>
    <row r="13399" spans="1:4" x14ac:dyDescent="0.2">
      <c r="A13399" s="496"/>
      <c r="D13399" s="496"/>
    </row>
    <row r="13400" spans="1:4" x14ac:dyDescent="0.2">
      <c r="A13400" s="496"/>
      <c r="D13400" s="496"/>
    </row>
    <row r="13401" spans="1:4" x14ac:dyDescent="0.2">
      <c r="A13401" s="496"/>
      <c r="D13401" s="496"/>
    </row>
    <row r="13402" spans="1:4" x14ac:dyDescent="0.2">
      <c r="A13402" s="496"/>
      <c r="D13402" s="496"/>
    </row>
    <row r="13403" spans="1:4" x14ac:dyDescent="0.2">
      <c r="A13403" s="496"/>
      <c r="D13403" s="496"/>
    </row>
    <row r="13404" spans="1:4" x14ac:dyDescent="0.2">
      <c r="A13404" s="496"/>
      <c r="D13404" s="496"/>
    </row>
    <row r="13405" spans="1:4" x14ac:dyDescent="0.2">
      <c r="A13405" s="496"/>
      <c r="D13405" s="496"/>
    </row>
    <row r="13406" spans="1:4" x14ac:dyDescent="0.2">
      <c r="A13406" s="496"/>
      <c r="D13406" s="496"/>
    </row>
    <row r="13407" spans="1:4" x14ac:dyDescent="0.2">
      <c r="A13407" s="496"/>
      <c r="D13407" s="496"/>
    </row>
    <row r="13408" spans="1:4" x14ac:dyDescent="0.2">
      <c r="A13408" s="496"/>
      <c r="D13408" s="496"/>
    </row>
    <row r="13409" spans="1:4" x14ac:dyDescent="0.2">
      <c r="A13409" s="496"/>
      <c r="D13409" s="496"/>
    </row>
    <row r="13410" spans="1:4" x14ac:dyDescent="0.2">
      <c r="A13410" s="496"/>
      <c r="D13410" s="496"/>
    </row>
    <row r="13411" spans="1:4" x14ac:dyDescent="0.2">
      <c r="A13411" s="496"/>
      <c r="D13411" s="496"/>
    </row>
    <row r="13412" spans="1:4" x14ac:dyDescent="0.2">
      <c r="A13412" s="496"/>
      <c r="D13412" s="496"/>
    </row>
    <row r="13413" spans="1:4" x14ac:dyDescent="0.2">
      <c r="A13413" s="496"/>
      <c r="D13413" s="496"/>
    </row>
    <row r="13414" spans="1:4" x14ac:dyDescent="0.2">
      <c r="A13414" s="496"/>
      <c r="D13414" s="496"/>
    </row>
    <row r="13415" spans="1:4" x14ac:dyDescent="0.2">
      <c r="A13415" s="496"/>
      <c r="D13415" s="496"/>
    </row>
    <row r="13416" spans="1:4" x14ac:dyDescent="0.2">
      <c r="A13416" s="496"/>
      <c r="D13416" s="496"/>
    </row>
    <row r="13417" spans="1:4" x14ac:dyDescent="0.2">
      <c r="A13417" s="496"/>
      <c r="D13417" s="496"/>
    </row>
    <row r="13418" spans="1:4" x14ac:dyDescent="0.2">
      <c r="A13418" s="496"/>
      <c r="D13418" s="496"/>
    </row>
    <row r="13419" spans="1:4" x14ac:dyDescent="0.2">
      <c r="A13419" s="496"/>
      <c r="D13419" s="496"/>
    </row>
    <row r="13420" spans="1:4" x14ac:dyDescent="0.2">
      <c r="A13420" s="496"/>
      <c r="D13420" s="496"/>
    </row>
    <row r="13421" spans="1:4" x14ac:dyDescent="0.2">
      <c r="A13421" s="496"/>
      <c r="D13421" s="496"/>
    </row>
    <row r="13422" spans="1:4" x14ac:dyDescent="0.2">
      <c r="A13422" s="496"/>
      <c r="D13422" s="496"/>
    </row>
    <row r="13423" spans="1:4" x14ac:dyDescent="0.2">
      <c r="A13423" s="496"/>
      <c r="D13423" s="496"/>
    </row>
    <row r="13424" spans="1:4" x14ac:dyDescent="0.2">
      <c r="A13424" s="496"/>
      <c r="D13424" s="496"/>
    </row>
    <row r="13425" spans="1:4" x14ac:dyDescent="0.2">
      <c r="A13425" s="496"/>
      <c r="D13425" s="496"/>
    </row>
    <row r="13426" spans="1:4" x14ac:dyDescent="0.2">
      <c r="A13426" s="496"/>
      <c r="D13426" s="496"/>
    </row>
    <row r="13427" spans="1:4" x14ac:dyDescent="0.2">
      <c r="A13427" s="496"/>
      <c r="D13427" s="496"/>
    </row>
    <row r="13428" spans="1:4" x14ac:dyDescent="0.2">
      <c r="A13428" s="496"/>
      <c r="D13428" s="496"/>
    </row>
    <row r="13429" spans="1:4" x14ac:dyDescent="0.2">
      <c r="A13429" s="496"/>
      <c r="D13429" s="496"/>
    </row>
    <row r="13430" spans="1:4" x14ac:dyDescent="0.2">
      <c r="A13430" s="496"/>
      <c r="D13430" s="496"/>
    </row>
    <row r="13431" spans="1:4" x14ac:dyDescent="0.2">
      <c r="A13431" s="496"/>
      <c r="D13431" s="496"/>
    </row>
    <row r="13432" spans="1:4" x14ac:dyDescent="0.2">
      <c r="A13432" s="496"/>
      <c r="D13432" s="496"/>
    </row>
    <row r="13433" spans="1:4" x14ac:dyDescent="0.2">
      <c r="A13433" s="496"/>
      <c r="D13433" s="496"/>
    </row>
    <row r="13434" spans="1:4" x14ac:dyDescent="0.2">
      <c r="A13434" s="496"/>
      <c r="D13434" s="496"/>
    </row>
    <row r="13435" spans="1:4" x14ac:dyDescent="0.2">
      <c r="A13435" s="496"/>
      <c r="D13435" s="496"/>
    </row>
    <row r="13436" spans="1:4" x14ac:dyDescent="0.2">
      <c r="A13436" s="496"/>
      <c r="D13436" s="496"/>
    </row>
    <row r="13437" spans="1:4" x14ac:dyDescent="0.2">
      <c r="A13437" s="496"/>
      <c r="D13437" s="496"/>
    </row>
    <row r="13438" spans="1:4" x14ac:dyDescent="0.2">
      <c r="A13438" s="496"/>
      <c r="D13438" s="496"/>
    </row>
    <row r="13439" spans="1:4" x14ac:dyDescent="0.2">
      <c r="A13439" s="496"/>
      <c r="D13439" s="496"/>
    </row>
    <row r="13440" spans="1:4" x14ac:dyDescent="0.2">
      <c r="A13440" s="496"/>
      <c r="D13440" s="496"/>
    </row>
    <row r="13441" spans="1:4" x14ac:dyDescent="0.2">
      <c r="A13441" s="496"/>
      <c r="D13441" s="496"/>
    </row>
    <row r="13442" spans="1:4" x14ac:dyDescent="0.2">
      <c r="A13442" s="496"/>
      <c r="D13442" s="496"/>
    </row>
    <row r="13443" spans="1:4" x14ac:dyDescent="0.2">
      <c r="A13443" s="496"/>
      <c r="D13443" s="496"/>
    </row>
    <row r="13444" spans="1:4" x14ac:dyDescent="0.2">
      <c r="A13444" s="496"/>
      <c r="D13444" s="496"/>
    </row>
    <row r="13445" spans="1:4" x14ac:dyDescent="0.2">
      <c r="A13445" s="496"/>
      <c r="D13445" s="496"/>
    </row>
    <row r="13446" spans="1:4" x14ac:dyDescent="0.2">
      <c r="A13446" s="496"/>
      <c r="D13446" s="496"/>
    </row>
    <row r="13447" spans="1:4" x14ac:dyDescent="0.2">
      <c r="A13447" s="496"/>
      <c r="D13447" s="496"/>
    </row>
    <row r="13448" spans="1:4" x14ac:dyDescent="0.2">
      <c r="A13448" s="496"/>
      <c r="D13448" s="496"/>
    </row>
    <row r="13449" spans="1:4" x14ac:dyDescent="0.2">
      <c r="A13449" s="496"/>
      <c r="D13449" s="496"/>
    </row>
    <row r="13450" spans="1:4" x14ac:dyDescent="0.2">
      <c r="A13450" s="496"/>
      <c r="D13450" s="496"/>
    </row>
    <row r="13451" spans="1:4" x14ac:dyDescent="0.2">
      <c r="A13451" s="496"/>
      <c r="D13451" s="496"/>
    </row>
    <row r="13452" spans="1:4" x14ac:dyDescent="0.2">
      <c r="A13452" s="496"/>
      <c r="D13452" s="496"/>
    </row>
    <row r="13453" spans="1:4" x14ac:dyDescent="0.2">
      <c r="A13453" s="496"/>
      <c r="D13453" s="496"/>
    </row>
    <row r="13454" spans="1:4" x14ac:dyDescent="0.2">
      <c r="A13454" s="496"/>
      <c r="D13454" s="496"/>
    </row>
    <row r="13455" spans="1:4" x14ac:dyDescent="0.2">
      <c r="A13455" s="496"/>
      <c r="D13455" s="496"/>
    </row>
    <row r="13456" spans="1:4" x14ac:dyDescent="0.2">
      <c r="A13456" s="496"/>
      <c r="D13456" s="496"/>
    </row>
    <row r="13457" spans="1:4" x14ac:dyDescent="0.2">
      <c r="A13457" s="496"/>
      <c r="D13457" s="496"/>
    </row>
    <row r="13458" spans="1:4" x14ac:dyDescent="0.2">
      <c r="A13458" s="496"/>
      <c r="D13458" s="496"/>
    </row>
    <row r="13459" spans="1:4" x14ac:dyDescent="0.2">
      <c r="A13459" s="496"/>
      <c r="D13459" s="496"/>
    </row>
    <row r="13460" spans="1:4" x14ac:dyDescent="0.2">
      <c r="A13460" s="496"/>
      <c r="D13460" s="496"/>
    </row>
    <row r="13461" spans="1:4" x14ac:dyDescent="0.2">
      <c r="A13461" s="496"/>
      <c r="D13461" s="496"/>
    </row>
    <row r="13462" spans="1:4" x14ac:dyDescent="0.2">
      <c r="A13462" s="496"/>
      <c r="D13462" s="496"/>
    </row>
    <row r="13463" spans="1:4" x14ac:dyDescent="0.2">
      <c r="A13463" s="496"/>
      <c r="D13463" s="496"/>
    </row>
    <row r="13464" spans="1:4" x14ac:dyDescent="0.2">
      <c r="A13464" s="496"/>
      <c r="D13464" s="496"/>
    </row>
    <row r="13465" spans="1:4" x14ac:dyDescent="0.2">
      <c r="A13465" s="496"/>
      <c r="D13465" s="496"/>
    </row>
    <row r="13466" spans="1:4" x14ac:dyDescent="0.2">
      <c r="A13466" s="496"/>
      <c r="D13466" s="496"/>
    </row>
    <row r="13467" spans="1:4" x14ac:dyDescent="0.2">
      <c r="A13467" s="496"/>
      <c r="D13467" s="496"/>
    </row>
    <row r="13468" spans="1:4" x14ac:dyDescent="0.2">
      <c r="A13468" s="496"/>
      <c r="D13468" s="496"/>
    </row>
    <row r="13469" spans="1:4" x14ac:dyDescent="0.2">
      <c r="A13469" s="496"/>
      <c r="D13469" s="496"/>
    </row>
    <row r="13470" spans="1:4" x14ac:dyDescent="0.2">
      <c r="A13470" s="496"/>
      <c r="D13470" s="496"/>
    </row>
    <row r="13471" spans="1:4" x14ac:dyDescent="0.2">
      <c r="A13471" s="496"/>
      <c r="D13471" s="496"/>
    </row>
    <row r="13472" spans="1:4" x14ac:dyDescent="0.2">
      <c r="A13472" s="496"/>
      <c r="D13472" s="496"/>
    </row>
    <row r="13473" spans="1:4" x14ac:dyDescent="0.2">
      <c r="A13473" s="496"/>
      <c r="D13473" s="496"/>
    </row>
    <row r="13474" spans="1:4" x14ac:dyDescent="0.2">
      <c r="A13474" s="496"/>
      <c r="D13474" s="496"/>
    </row>
    <row r="13475" spans="1:4" x14ac:dyDescent="0.2">
      <c r="A13475" s="496"/>
      <c r="D13475" s="496"/>
    </row>
    <row r="13476" spans="1:4" x14ac:dyDescent="0.2">
      <c r="A13476" s="496"/>
      <c r="D13476" s="496"/>
    </row>
    <row r="13477" spans="1:4" x14ac:dyDescent="0.2">
      <c r="A13477" s="496"/>
      <c r="D13477" s="496"/>
    </row>
    <row r="13478" spans="1:4" x14ac:dyDescent="0.2">
      <c r="A13478" s="496"/>
      <c r="D13478" s="496"/>
    </row>
    <row r="13479" spans="1:4" x14ac:dyDescent="0.2">
      <c r="A13479" s="496"/>
      <c r="D13479" s="496"/>
    </row>
    <row r="13480" spans="1:4" x14ac:dyDescent="0.2">
      <c r="A13480" s="496"/>
      <c r="D13480" s="496"/>
    </row>
    <row r="13481" spans="1:4" x14ac:dyDescent="0.2">
      <c r="A13481" s="496"/>
      <c r="D13481" s="496"/>
    </row>
    <row r="13482" spans="1:4" x14ac:dyDescent="0.2">
      <c r="A13482" s="496"/>
      <c r="D13482" s="496"/>
    </row>
    <row r="13483" spans="1:4" x14ac:dyDescent="0.2">
      <c r="A13483" s="496"/>
      <c r="D13483" s="496"/>
    </row>
    <row r="13484" spans="1:4" x14ac:dyDescent="0.2">
      <c r="A13484" s="496"/>
      <c r="D13484" s="496"/>
    </row>
    <row r="13485" spans="1:4" x14ac:dyDescent="0.2">
      <c r="A13485" s="496"/>
      <c r="D13485" s="496"/>
    </row>
    <row r="13486" spans="1:4" x14ac:dyDescent="0.2">
      <c r="A13486" s="496"/>
      <c r="D13486" s="496"/>
    </row>
    <row r="13487" spans="1:4" x14ac:dyDescent="0.2">
      <c r="A13487" s="496"/>
      <c r="D13487" s="496"/>
    </row>
    <row r="13488" spans="1:4" x14ac:dyDescent="0.2">
      <c r="A13488" s="496"/>
      <c r="D13488" s="496"/>
    </row>
    <row r="13489" spans="1:4" x14ac:dyDescent="0.2">
      <c r="A13489" s="496"/>
      <c r="D13489" s="496"/>
    </row>
    <row r="13490" spans="1:4" x14ac:dyDescent="0.2">
      <c r="A13490" s="496"/>
      <c r="D13490" s="496"/>
    </row>
    <row r="13491" spans="1:4" x14ac:dyDescent="0.2">
      <c r="A13491" s="496"/>
      <c r="D13491" s="496"/>
    </row>
    <row r="13492" spans="1:4" x14ac:dyDescent="0.2">
      <c r="A13492" s="496"/>
      <c r="D13492" s="496"/>
    </row>
    <row r="13493" spans="1:4" x14ac:dyDescent="0.2">
      <c r="A13493" s="496"/>
      <c r="D13493" s="496"/>
    </row>
    <row r="13494" spans="1:4" x14ac:dyDescent="0.2">
      <c r="A13494" s="496"/>
      <c r="D13494" s="496"/>
    </row>
    <row r="13495" spans="1:4" x14ac:dyDescent="0.2">
      <c r="A13495" s="496"/>
      <c r="D13495" s="496"/>
    </row>
    <row r="13496" spans="1:4" x14ac:dyDescent="0.2">
      <c r="A13496" s="496"/>
      <c r="D13496" s="496"/>
    </row>
    <row r="13497" spans="1:4" x14ac:dyDescent="0.2">
      <c r="A13497" s="496"/>
      <c r="D13497" s="496"/>
    </row>
    <row r="13498" spans="1:4" x14ac:dyDescent="0.2">
      <c r="A13498" s="496"/>
      <c r="D13498" s="496"/>
    </row>
    <row r="13499" spans="1:4" x14ac:dyDescent="0.2">
      <c r="A13499" s="496"/>
      <c r="D13499" s="496"/>
    </row>
    <row r="13500" spans="1:4" x14ac:dyDescent="0.2">
      <c r="A13500" s="496"/>
      <c r="D13500" s="496"/>
    </row>
    <row r="13501" spans="1:4" x14ac:dyDescent="0.2">
      <c r="A13501" s="496"/>
      <c r="D13501" s="496"/>
    </row>
    <row r="13502" spans="1:4" x14ac:dyDescent="0.2">
      <c r="A13502" s="496"/>
      <c r="D13502" s="496"/>
    </row>
    <row r="13503" spans="1:4" x14ac:dyDescent="0.2">
      <c r="A13503" s="496"/>
      <c r="D13503" s="496"/>
    </row>
    <row r="13504" spans="1:4" x14ac:dyDescent="0.2">
      <c r="A13504" s="496"/>
      <c r="D13504" s="496"/>
    </row>
    <row r="13505" spans="1:4" x14ac:dyDescent="0.2">
      <c r="A13505" s="496"/>
      <c r="D13505" s="496"/>
    </row>
    <row r="13506" spans="1:4" x14ac:dyDescent="0.2">
      <c r="A13506" s="496"/>
      <c r="D13506" s="496"/>
    </row>
    <row r="13507" spans="1:4" x14ac:dyDescent="0.2">
      <c r="A13507" s="496"/>
      <c r="D13507" s="496"/>
    </row>
    <row r="13508" spans="1:4" x14ac:dyDescent="0.2">
      <c r="A13508" s="496"/>
      <c r="D13508" s="496"/>
    </row>
    <row r="13509" spans="1:4" x14ac:dyDescent="0.2">
      <c r="A13509" s="496"/>
      <c r="D13509" s="496"/>
    </row>
    <row r="13510" spans="1:4" x14ac:dyDescent="0.2">
      <c r="A13510" s="496"/>
      <c r="D13510" s="496"/>
    </row>
    <row r="13511" spans="1:4" x14ac:dyDescent="0.2">
      <c r="A13511" s="496"/>
      <c r="D13511" s="496"/>
    </row>
    <row r="13512" spans="1:4" x14ac:dyDescent="0.2">
      <c r="A13512" s="496"/>
      <c r="D13512" s="496"/>
    </row>
    <row r="13513" spans="1:4" x14ac:dyDescent="0.2">
      <c r="A13513" s="496"/>
      <c r="D13513" s="496"/>
    </row>
    <row r="13514" spans="1:4" x14ac:dyDescent="0.2">
      <c r="A13514" s="496"/>
      <c r="D13514" s="496"/>
    </row>
    <row r="13515" spans="1:4" x14ac:dyDescent="0.2">
      <c r="A13515" s="496"/>
      <c r="D13515" s="496"/>
    </row>
    <row r="13516" spans="1:4" x14ac:dyDescent="0.2">
      <c r="A13516" s="496"/>
      <c r="D13516" s="496"/>
    </row>
    <row r="13517" spans="1:4" x14ac:dyDescent="0.2">
      <c r="A13517" s="496"/>
      <c r="D13517" s="496"/>
    </row>
    <row r="13518" spans="1:4" x14ac:dyDescent="0.2">
      <c r="A13518" s="496"/>
      <c r="D13518" s="496"/>
    </row>
    <row r="13519" spans="1:4" x14ac:dyDescent="0.2">
      <c r="A13519" s="496"/>
      <c r="D13519" s="496"/>
    </row>
    <row r="13520" spans="1:4" x14ac:dyDescent="0.2">
      <c r="A13520" s="496"/>
      <c r="D13520" s="496"/>
    </row>
    <row r="13521" spans="1:4" x14ac:dyDescent="0.2">
      <c r="A13521" s="496"/>
      <c r="D13521" s="496"/>
    </row>
    <row r="13522" spans="1:4" x14ac:dyDescent="0.2">
      <c r="A13522" s="496"/>
      <c r="D13522" s="496"/>
    </row>
    <row r="13523" spans="1:4" x14ac:dyDescent="0.2">
      <c r="A13523" s="496"/>
      <c r="D13523" s="496"/>
    </row>
    <row r="13524" spans="1:4" x14ac:dyDescent="0.2">
      <c r="A13524" s="496"/>
      <c r="D13524" s="496"/>
    </row>
    <row r="13525" spans="1:4" x14ac:dyDescent="0.2">
      <c r="A13525" s="496"/>
      <c r="D13525" s="496"/>
    </row>
    <row r="13526" spans="1:4" x14ac:dyDescent="0.2">
      <c r="A13526" s="496"/>
      <c r="D13526" s="496"/>
    </row>
    <row r="13527" spans="1:4" x14ac:dyDescent="0.2">
      <c r="A13527" s="496"/>
      <c r="D13527" s="496"/>
    </row>
    <row r="13528" spans="1:4" x14ac:dyDescent="0.2">
      <c r="A13528" s="496"/>
      <c r="D13528" s="496"/>
    </row>
    <row r="13529" spans="1:4" x14ac:dyDescent="0.2">
      <c r="A13529" s="496"/>
      <c r="D13529" s="496"/>
    </row>
    <row r="13530" spans="1:4" x14ac:dyDescent="0.2">
      <c r="A13530" s="496"/>
      <c r="D13530" s="496"/>
    </row>
    <row r="13531" spans="1:4" x14ac:dyDescent="0.2">
      <c r="A13531" s="496"/>
      <c r="D13531" s="496"/>
    </row>
    <row r="13532" spans="1:4" x14ac:dyDescent="0.2">
      <c r="A13532" s="496"/>
      <c r="D13532" s="496"/>
    </row>
    <row r="13533" spans="1:4" x14ac:dyDescent="0.2">
      <c r="A13533" s="496"/>
      <c r="D13533" s="496"/>
    </row>
    <row r="13534" spans="1:4" x14ac:dyDescent="0.2">
      <c r="A13534" s="496"/>
      <c r="D13534" s="496"/>
    </row>
    <row r="13535" spans="1:4" x14ac:dyDescent="0.2">
      <c r="A13535" s="496"/>
      <c r="D13535" s="496"/>
    </row>
    <row r="13536" spans="1:4" x14ac:dyDescent="0.2">
      <c r="A13536" s="496"/>
      <c r="D13536" s="496"/>
    </row>
    <row r="13537" spans="1:4" x14ac:dyDescent="0.2">
      <c r="A13537" s="496"/>
      <c r="D13537" s="496"/>
    </row>
    <row r="13538" spans="1:4" x14ac:dyDescent="0.2">
      <c r="A13538" s="496"/>
      <c r="D13538" s="496"/>
    </row>
    <row r="13539" spans="1:4" x14ac:dyDescent="0.2">
      <c r="A13539" s="496"/>
      <c r="D13539" s="496"/>
    </row>
    <row r="13540" spans="1:4" x14ac:dyDescent="0.2">
      <c r="A13540" s="496"/>
      <c r="D13540" s="496"/>
    </row>
    <row r="13541" spans="1:4" x14ac:dyDescent="0.2">
      <c r="A13541" s="496"/>
      <c r="D13541" s="496"/>
    </row>
    <row r="13542" spans="1:4" x14ac:dyDescent="0.2">
      <c r="A13542" s="496"/>
      <c r="D13542" s="496"/>
    </row>
    <row r="13543" spans="1:4" x14ac:dyDescent="0.2">
      <c r="A13543" s="496"/>
      <c r="D13543" s="496"/>
    </row>
    <row r="13544" spans="1:4" x14ac:dyDescent="0.2">
      <c r="A13544" s="496"/>
      <c r="D13544" s="496"/>
    </row>
    <row r="13545" spans="1:4" x14ac:dyDescent="0.2">
      <c r="A13545" s="496"/>
      <c r="D13545" s="496"/>
    </row>
    <row r="13546" spans="1:4" x14ac:dyDescent="0.2">
      <c r="A13546" s="496"/>
      <c r="D13546" s="496"/>
    </row>
    <row r="13547" spans="1:4" x14ac:dyDescent="0.2">
      <c r="A13547" s="496"/>
      <c r="D13547" s="496"/>
    </row>
    <row r="13548" spans="1:4" x14ac:dyDescent="0.2">
      <c r="A13548" s="496"/>
      <c r="D13548" s="496"/>
    </row>
    <row r="13549" spans="1:4" x14ac:dyDescent="0.2">
      <c r="A13549" s="496"/>
      <c r="D13549" s="496"/>
    </row>
    <row r="13550" spans="1:4" x14ac:dyDescent="0.2">
      <c r="A13550" s="496"/>
      <c r="D13550" s="496"/>
    </row>
    <row r="13551" spans="1:4" x14ac:dyDescent="0.2">
      <c r="A13551" s="496"/>
      <c r="D13551" s="496"/>
    </row>
    <row r="13552" spans="1:4" x14ac:dyDescent="0.2">
      <c r="A13552" s="496"/>
      <c r="D13552" s="496"/>
    </row>
    <row r="13553" spans="1:4" x14ac:dyDescent="0.2">
      <c r="A13553" s="496"/>
      <c r="D13553" s="496"/>
    </row>
    <row r="13554" spans="1:4" x14ac:dyDescent="0.2">
      <c r="A13554" s="496"/>
      <c r="D13554" s="496"/>
    </row>
    <row r="13555" spans="1:4" x14ac:dyDescent="0.2">
      <c r="A13555" s="496"/>
      <c r="D13555" s="496"/>
    </row>
    <row r="13556" spans="1:4" x14ac:dyDescent="0.2">
      <c r="A13556" s="496"/>
      <c r="D13556" s="496"/>
    </row>
    <row r="13557" spans="1:4" x14ac:dyDescent="0.2">
      <c r="A13557" s="496"/>
      <c r="D13557" s="496"/>
    </row>
    <row r="13558" spans="1:4" x14ac:dyDescent="0.2">
      <c r="A13558" s="496"/>
      <c r="D13558" s="496"/>
    </row>
    <row r="13559" spans="1:4" x14ac:dyDescent="0.2">
      <c r="A13559" s="496"/>
      <c r="D13559" s="496"/>
    </row>
    <row r="13560" spans="1:4" x14ac:dyDescent="0.2">
      <c r="A13560" s="496"/>
      <c r="D13560" s="496"/>
    </row>
    <row r="13561" spans="1:4" x14ac:dyDescent="0.2">
      <c r="A13561" s="496"/>
      <c r="D13561" s="496"/>
    </row>
    <row r="13562" spans="1:4" x14ac:dyDescent="0.2">
      <c r="A13562" s="496"/>
      <c r="D13562" s="496"/>
    </row>
    <row r="13563" spans="1:4" x14ac:dyDescent="0.2">
      <c r="A13563" s="496"/>
      <c r="D13563" s="496"/>
    </row>
    <row r="13564" spans="1:4" x14ac:dyDescent="0.2">
      <c r="A13564" s="496"/>
      <c r="D13564" s="496"/>
    </row>
    <row r="13565" spans="1:4" x14ac:dyDescent="0.2">
      <c r="A13565" s="496"/>
      <c r="D13565" s="496"/>
    </row>
    <row r="13566" spans="1:4" x14ac:dyDescent="0.2">
      <c r="A13566" s="496"/>
      <c r="D13566" s="496"/>
    </row>
    <row r="13567" spans="1:4" x14ac:dyDescent="0.2">
      <c r="A13567" s="496"/>
      <c r="D13567" s="496"/>
    </row>
    <row r="13568" spans="1:4" x14ac:dyDescent="0.2">
      <c r="A13568" s="496"/>
      <c r="D13568" s="496"/>
    </row>
    <row r="13569" spans="1:4" x14ac:dyDescent="0.2">
      <c r="A13569" s="496"/>
      <c r="D13569" s="496"/>
    </row>
    <row r="13570" spans="1:4" x14ac:dyDescent="0.2">
      <c r="A13570" s="496"/>
      <c r="D13570" s="496"/>
    </row>
    <row r="13571" spans="1:4" x14ac:dyDescent="0.2">
      <c r="A13571" s="496"/>
      <c r="D13571" s="496"/>
    </row>
    <row r="13572" spans="1:4" x14ac:dyDescent="0.2">
      <c r="A13572" s="496"/>
      <c r="D13572" s="496"/>
    </row>
    <row r="13573" spans="1:4" x14ac:dyDescent="0.2">
      <c r="A13573" s="496"/>
      <c r="D13573" s="496"/>
    </row>
    <row r="13574" spans="1:4" x14ac:dyDescent="0.2">
      <c r="A13574" s="496"/>
      <c r="D13574" s="496"/>
    </row>
    <row r="13575" spans="1:4" x14ac:dyDescent="0.2">
      <c r="A13575" s="496"/>
      <c r="D13575" s="496"/>
    </row>
    <row r="13576" spans="1:4" x14ac:dyDescent="0.2">
      <c r="A13576" s="496"/>
      <c r="D13576" s="496"/>
    </row>
    <row r="13577" spans="1:4" x14ac:dyDescent="0.2">
      <c r="A13577" s="496"/>
      <c r="D13577" s="496"/>
    </row>
    <row r="13578" spans="1:4" x14ac:dyDescent="0.2">
      <c r="A13578" s="496"/>
      <c r="D13578" s="496"/>
    </row>
    <row r="13579" spans="1:4" x14ac:dyDescent="0.2">
      <c r="A13579" s="496"/>
      <c r="D13579" s="496"/>
    </row>
    <row r="13580" spans="1:4" x14ac:dyDescent="0.2">
      <c r="A13580" s="496"/>
      <c r="D13580" s="496"/>
    </row>
    <row r="13581" spans="1:4" x14ac:dyDescent="0.2">
      <c r="A13581" s="496"/>
      <c r="D13581" s="496"/>
    </row>
    <row r="13582" spans="1:4" x14ac:dyDescent="0.2">
      <c r="A13582" s="496"/>
      <c r="D13582" s="496"/>
    </row>
    <row r="13583" spans="1:4" x14ac:dyDescent="0.2">
      <c r="A13583" s="496"/>
      <c r="D13583" s="496"/>
    </row>
    <row r="13584" spans="1:4" x14ac:dyDescent="0.2">
      <c r="A13584" s="496"/>
      <c r="D13584" s="496"/>
    </row>
    <row r="13585" spans="1:4" x14ac:dyDescent="0.2">
      <c r="A13585" s="496"/>
      <c r="D13585" s="496"/>
    </row>
    <row r="13586" spans="1:4" x14ac:dyDescent="0.2">
      <c r="A13586" s="496"/>
      <c r="D13586" s="496"/>
    </row>
    <row r="13587" spans="1:4" x14ac:dyDescent="0.2">
      <c r="A13587" s="496"/>
      <c r="D13587" s="496"/>
    </row>
    <row r="13588" spans="1:4" x14ac:dyDescent="0.2">
      <c r="A13588" s="496"/>
      <c r="D13588" s="496"/>
    </row>
    <row r="13589" spans="1:4" x14ac:dyDescent="0.2">
      <c r="A13589" s="496"/>
      <c r="D13589" s="496"/>
    </row>
    <row r="13590" spans="1:4" x14ac:dyDescent="0.2">
      <c r="A13590" s="496"/>
      <c r="D13590" s="496"/>
    </row>
    <row r="13591" spans="1:4" x14ac:dyDescent="0.2">
      <c r="A13591" s="496"/>
      <c r="D13591" s="496"/>
    </row>
    <row r="13592" spans="1:4" x14ac:dyDescent="0.2">
      <c r="A13592" s="496"/>
      <c r="D13592" s="496"/>
    </row>
    <row r="13593" spans="1:4" x14ac:dyDescent="0.2">
      <c r="A13593" s="496"/>
      <c r="D13593" s="496"/>
    </row>
    <row r="13594" spans="1:4" x14ac:dyDescent="0.2">
      <c r="A13594" s="496"/>
      <c r="D13594" s="496"/>
    </row>
    <row r="13595" spans="1:4" x14ac:dyDescent="0.2">
      <c r="A13595" s="496"/>
      <c r="D13595" s="496"/>
    </row>
    <row r="13596" spans="1:4" x14ac:dyDescent="0.2">
      <c r="A13596" s="496"/>
      <c r="D13596" s="496"/>
    </row>
    <row r="13597" spans="1:4" x14ac:dyDescent="0.2">
      <c r="A13597" s="496"/>
      <c r="D13597" s="496"/>
    </row>
    <row r="13598" spans="1:4" x14ac:dyDescent="0.2">
      <c r="A13598" s="496"/>
      <c r="D13598" s="496"/>
    </row>
    <row r="13599" spans="1:4" x14ac:dyDescent="0.2">
      <c r="A13599" s="496"/>
      <c r="D13599" s="496"/>
    </row>
    <row r="13600" spans="1:4" x14ac:dyDescent="0.2">
      <c r="A13600" s="496"/>
      <c r="D13600" s="496"/>
    </row>
    <row r="13601" spans="1:4" x14ac:dyDescent="0.2">
      <c r="A13601" s="496"/>
      <c r="D13601" s="496"/>
    </row>
    <row r="13602" spans="1:4" x14ac:dyDescent="0.2">
      <c r="A13602" s="496"/>
      <c r="D13602" s="496"/>
    </row>
    <row r="13603" spans="1:4" x14ac:dyDescent="0.2">
      <c r="A13603" s="496"/>
      <c r="D13603" s="496"/>
    </row>
    <row r="13604" spans="1:4" x14ac:dyDescent="0.2">
      <c r="A13604" s="496"/>
      <c r="D13604" s="496"/>
    </row>
    <row r="13605" spans="1:4" x14ac:dyDescent="0.2">
      <c r="A13605" s="496"/>
      <c r="D13605" s="496"/>
    </row>
    <row r="13606" spans="1:4" x14ac:dyDescent="0.2">
      <c r="A13606" s="496"/>
      <c r="D13606" s="496"/>
    </row>
    <row r="13607" spans="1:4" x14ac:dyDescent="0.2">
      <c r="A13607" s="496"/>
      <c r="D13607" s="496"/>
    </row>
    <row r="13608" spans="1:4" x14ac:dyDescent="0.2">
      <c r="A13608" s="496"/>
      <c r="D13608" s="496"/>
    </row>
    <row r="13609" spans="1:4" x14ac:dyDescent="0.2">
      <c r="A13609" s="496"/>
      <c r="D13609" s="496"/>
    </row>
    <row r="13610" spans="1:4" x14ac:dyDescent="0.2">
      <c r="A13610" s="496"/>
      <c r="D13610" s="496"/>
    </row>
    <row r="13611" spans="1:4" x14ac:dyDescent="0.2">
      <c r="A13611" s="496"/>
      <c r="D13611" s="496"/>
    </row>
    <row r="13612" spans="1:4" x14ac:dyDescent="0.2">
      <c r="A13612" s="496"/>
      <c r="D13612" s="496"/>
    </row>
    <row r="13613" spans="1:4" x14ac:dyDescent="0.2">
      <c r="A13613" s="496"/>
      <c r="D13613" s="496"/>
    </row>
    <row r="13614" spans="1:4" x14ac:dyDescent="0.2">
      <c r="A13614" s="496"/>
      <c r="D13614" s="496"/>
    </row>
    <row r="13615" spans="1:4" x14ac:dyDescent="0.2">
      <c r="A13615" s="496"/>
      <c r="D13615" s="496"/>
    </row>
    <row r="13616" spans="1:4" x14ac:dyDescent="0.2">
      <c r="A13616" s="496"/>
      <c r="D13616" s="496"/>
    </row>
    <row r="13617" spans="1:4" x14ac:dyDescent="0.2">
      <c r="A13617" s="496"/>
      <c r="D13617" s="496"/>
    </row>
    <row r="13618" spans="1:4" x14ac:dyDescent="0.2">
      <c r="A13618" s="496"/>
      <c r="D13618" s="496"/>
    </row>
    <row r="13619" spans="1:4" x14ac:dyDescent="0.2">
      <c r="A13619" s="496"/>
      <c r="D13619" s="496"/>
    </row>
    <row r="13620" spans="1:4" x14ac:dyDescent="0.2">
      <c r="A13620" s="496"/>
      <c r="D13620" s="496"/>
    </row>
    <row r="13621" spans="1:4" x14ac:dyDescent="0.2">
      <c r="A13621" s="496"/>
      <c r="D13621" s="496"/>
    </row>
    <row r="13622" spans="1:4" x14ac:dyDescent="0.2">
      <c r="A13622" s="496"/>
      <c r="D13622" s="496"/>
    </row>
    <row r="13623" spans="1:4" x14ac:dyDescent="0.2">
      <c r="A13623" s="496"/>
      <c r="D13623" s="496"/>
    </row>
    <row r="13624" spans="1:4" x14ac:dyDescent="0.2">
      <c r="A13624" s="496"/>
      <c r="D13624" s="496"/>
    </row>
    <row r="13625" spans="1:4" x14ac:dyDescent="0.2">
      <c r="A13625" s="496"/>
      <c r="D13625" s="496"/>
    </row>
    <row r="13626" spans="1:4" x14ac:dyDescent="0.2">
      <c r="A13626" s="496"/>
      <c r="D13626" s="496"/>
    </row>
    <row r="13627" spans="1:4" x14ac:dyDescent="0.2">
      <c r="A13627" s="496"/>
      <c r="D13627" s="496"/>
    </row>
    <row r="13628" spans="1:4" x14ac:dyDescent="0.2">
      <c r="A13628" s="496"/>
      <c r="D13628" s="496"/>
    </row>
    <row r="13629" spans="1:4" x14ac:dyDescent="0.2">
      <c r="A13629" s="496"/>
      <c r="D13629" s="496"/>
    </row>
    <row r="13630" spans="1:4" x14ac:dyDescent="0.2">
      <c r="A13630" s="496"/>
      <c r="D13630" s="496"/>
    </row>
    <row r="13631" spans="1:4" x14ac:dyDescent="0.2">
      <c r="A13631" s="496"/>
      <c r="D13631" s="496"/>
    </row>
    <row r="13632" spans="1:4" x14ac:dyDescent="0.2">
      <c r="A13632" s="496"/>
      <c r="D13632" s="496"/>
    </row>
    <row r="13633" spans="1:4" x14ac:dyDescent="0.2">
      <c r="A13633" s="496"/>
      <c r="D13633" s="496"/>
    </row>
    <row r="13634" spans="1:4" x14ac:dyDescent="0.2">
      <c r="A13634" s="496"/>
      <c r="D13634" s="496"/>
    </row>
    <row r="13635" spans="1:4" x14ac:dyDescent="0.2">
      <c r="A13635" s="496"/>
      <c r="D13635" s="496"/>
    </row>
    <row r="13636" spans="1:4" x14ac:dyDescent="0.2">
      <c r="A13636" s="496"/>
      <c r="D13636" s="496"/>
    </row>
    <row r="13637" spans="1:4" x14ac:dyDescent="0.2">
      <c r="A13637" s="496"/>
      <c r="D13637" s="496"/>
    </row>
    <row r="13638" spans="1:4" x14ac:dyDescent="0.2">
      <c r="A13638" s="496"/>
      <c r="D13638" s="496"/>
    </row>
    <row r="13639" spans="1:4" x14ac:dyDescent="0.2">
      <c r="A13639" s="496"/>
      <c r="D13639" s="496"/>
    </row>
    <row r="13640" spans="1:4" x14ac:dyDescent="0.2">
      <c r="A13640" s="496"/>
      <c r="D13640" s="496"/>
    </row>
    <row r="13641" spans="1:4" x14ac:dyDescent="0.2">
      <c r="A13641" s="496"/>
      <c r="D13641" s="496"/>
    </row>
    <row r="13642" spans="1:4" x14ac:dyDescent="0.2">
      <c r="A13642" s="496"/>
      <c r="D13642" s="496"/>
    </row>
    <row r="13643" spans="1:4" x14ac:dyDescent="0.2">
      <c r="A13643" s="496"/>
      <c r="D13643" s="496"/>
    </row>
    <row r="13644" spans="1:4" x14ac:dyDescent="0.2">
      <c r="A13644" s="496"/>
      <c r="D13644" s="496"/>
    </row>
    <row r="13645" spans="1:4" x14ac:dyDescent="0.2">
      <c r="A13645" s="496"/>
      <c r="D13645" s="496"/>
    </row>
    <row r="13646" spans="1:4" x14ac:dyDescent="0.2">
      <c r="A13646" s="496"/>
      <c r="D13646" s="496"/>
    </row>
    <row r="13647" spans="1:4" x14ac:dyDescent="0.2">
      <c r="A13647" s="496"/>
      <c r="D13647" s="496"/>
    </row>
    <row r="13648" spans="1:4" x14ac:dyDescent="0.2">
      <c r="A13648" s="496"/>
      <c r="D13648" s="496"/>
    </row>
    <row r="13649" spans="1:4" x14ac:dyDescent="0.2">
      <c r="A13649" s="496"/>
      <c r="D13649" s="496"/>
    </row>
    <row r="13650" spans="1:4" x14ac:dyDescent="0.2">
      <c r="A13650" s="496"/>
      <c r="D13650" s="496"/>
    </row>
    <row r="13651" spans="1:4" x14ac:dyDescent="0.2">
      <c r="A13651" s="496"/>
      <c r="D13651" s="496"/>
    </row>
    <row r="13652" spans="1:4" x14ac:dyDescent="0.2">
      <c r="A13652" s="496"/>
      <c r="D13652" s="496"/>
    </row>
    <row r="13653" spans="1:4" x14ac:dyDescent="0.2">
      <c r="A13653" s="496"/>
      <c r="D13653" s="496"/>
    </row>
    <row r="13654" spans="1:4" x14ac:dyDescent="0.2">
      <c r="A13654" s="496"/>
      <c r="D13654" s="496"/>
    </row>
    <row r="13655" spans="1:4" x14ac:dyDescent="0.2">
      <c r="A13655" s="496"/>
      <c r="D13655" s="496"/>
    </row>
    <row r="13656" spans="1:4" x14ac:dyDescent="0.2">
      <c r="A13656" s="496"/>
      <c r="D13656" s="496"/>
    </row>
    <row r="13657" spans="1:4" x14ac:dyDescent="0.2">
      <c r="A13657" s="496"/>
      <c r="D13657" s="496"/>
    </row>
    <row r="13658" spans="1:4" x14ac:dyDescent="0.2">
      <c r="A13658" s="496"/>
      <c r="D13658" s="496"/>
    </row>
    <row r="13659" spans="1:4" x14ac:dyDescent="0.2">
      <c r="A13659" s="496"/>
      <c r="D13659" s="496"/>
    </row>
    <row r="13660" spans="1:4" x14ac:dyDescent="0.2">
      <c r="A13660" s="496"/>
      <c r="D13660" s="496"/>
    </row>
    <row r="13661" spans="1:4" x14ac:dyDescent="0.2">
      <c r="A13661" s="496"/>
      <c r="D13661" s="496"/>
    </row>
    <row r="13662" spans="1:4" x14ac:dyDescent="0.2">
      <c r="A13662" s="496"/>
      <c r="D13662" s="496"/>
    </row>
    <row r="13663" spans="1:4" x14ac:dyDescent="0.2">
      <c r="A13663" s="496"/>
      <c r="D13663" s="496"/>
    </row>
    <row r="13664" spans="1:4" x14ac:dyDescent="0.2">
      <c r="A13664" s="496"/>
      <c r="D13664" s="496"/>
    </row>
    <row r="13665" spans="1:4" x14ac:dyDescent="0.2">
      <c r="A13665" s="496"/>
      <c r="D13665" s="496"/>
    </row>
    <row r="13666" spans="1:4" x14ac:dyDescent="0.2">
      <c r="A13666" s="496"/>
      <c r="D13666" s="496"/>
    </row>
    <row r="13667" spans="1:4" x14ac:dyDescent="0.2">
      <c r="A13667" s="496"/>
      <c r="D13667" s="496"/>
    </row>
    <row r="13668" spans="1:4" x14ac:dyDescent="0.2">
      <c r="A13668" s="496"/>
      <c r="D13668" s="496"/>
    </row>
    <row r="13669" spans="1:4" x14ac:dyDescent="0.2">
      <c r="A13669" s="496"/>
      <c r="D13669" s="496"/>
    </row>
    <row r="13670" spans="1:4" x14ac:dyDescent="0.2">
      <c r="A13670" s="496"/>
      <c r="D13670" s="496"/>
    </row>
    <row r="13671" spans="1:4" x14ac:dyDescent="0.2">
      <c r="A13671" s="496"/>
      <c r="D13671" s="496"/>
    </row>
    <row r="13672" spans="1:4" x14ac:dyDescent="0.2">
      <c r="A13672" s="496"/>
      <c r="D13672" s="496"/>
    </row>
    <row r="13673" spans="1:4" x14ac:dyDescent="0.2">
      <c r="A13673" s="496"/>
      <c r="D13673" s="496"/>
    </row>
    <row r="13674" spans="1:4" x14ac:dyDescent="0.2">
      <c r="A13674" s="496"/>
      <c r="D13674" s="496"/>
    </row>
    <row r="13675" spans="1:4" x14ac:dyDescent="0.2">
      <c r="A13675" s="496"/>
      <c r="D13675" s="496"/>
    </row>
    <row r="13676" spans="1:4" x14ac:dyDescent="0.2">
      <c r="A13676" s="496"/>
      <c r="D13676" s="496"/>
    </row>
    <row r="13677" spans="1:4" x14ac:dyDescent="0.2">
      <c r="A13677" s="496"/>
      <c r="D13677" s="496"/>
    </row>
    <row r="13678" spans="1:4" x14ac:dyDescent="0.2">
      <c r="A13678" s="496"/>
      <c r="D13678" s="496"/>
    </row>
    <row r="13679" spans="1:4" x14ac:dyDescent="0.2">
      <c r="A13679" s="496"/>
      <c r="D13679" s="496"/>
    </row>
    <row r="13680" spans="1:4" x14ac:dyDescent="0.2">
      <c r="A13680" s="496"/>
      <c r="D13680" s="496"/>
    </row>
    <row r="13681" spans="1:4" x14ac:dyDescent="0.2">
      <c r="A13681" s="496"/>
      <c r="D13681" s="496"/>
    </row>
    <row r="13682" spans="1:4" x14ac:dyDescent="0.2">
      <c r="A13682" s="496"/>
      <c r="D13682" s="496"/>
    </row>
    <row r="13683" spans="1:4" x14ac:dyDescent="0.2">
      <c r="A13683" s="496"/>
      <c r="D13683" s="496"/>
    </row>
    <row r="13684" spans="1:4" x14ac:dyDescent="0.2">
      <c r="A13684" s="496"/>
      <c r="D13684" s="496"/>
    </row>
    <row r="13685" spans="1:4" x14ac:dyDescent="0.2">
      <c r="A13685" s="496"/>
      <c r="D13685" s="496"/>
    </row>
    <row r="13686" spans="1:4" x14ac:dyDescent="0.2">
      <c r="A13686" s="496"/>
      <c r="D13686" s="496"/>
    </row>
    <row r="13687" spans="1:4" x14ac:dyDescent="0.2">
      <c r="A13687" s="496"/>
      <c r="D13687" s="496"/>
    </row>
    <row r="13688" spans="1:4" x14ac:dyDescent="0.2">
      <c r="A13688" s="496"/>
      <c r="D13688" s="496"/>
    </row>
    <row r="13689" spans="1:4" x14ac:dyDescent="0.2">
      <c r="A13689" s="496"/>
      <c r="D13689" s="496"/>
    </row>
    <row r="13690" spans="1:4" x14ac:dyDescent="0.2">
      <c r="A13690" s="496"/>
      <c r="D13690" s="496"/>
    </row>
    <row r="13691" spans="1:4" x14ac:dyDescent="0.2">
      <c r="A13691" s="496"/>
      <c r="D13691" s="496"/>
    </row>
    <row r="13692" spans="1:4" x14ac:dyDescent="0.2">
      <c r="A13692" s="496"/>
      <c r="D13692" s="496"/>
    </row>
    <row r="13693" spans="1:4" x14ac:dyDescent="0.2">
      <c r="A13693" s="496"/>
      <c r="D13693" s="496"/>
    </row>
    <row r="13694" spans="1:4" x14ac:dyDescent="0.2">
      <c r="A13694" s="496"/>
      <c r="D13694" s="496"/>
    </row>
    <row r="13695" spans="1:4" x14ac:dyDescent="0.2">
      <c r="A13695" s="496"/>
      <c r="D13695" s="496"/>
    </row>
    <row r="13696" spans="1:4" x14ac:dyDescent="0.2">
      <c r="A13696" s="496"/>
      <c r="D13696" s="496"/>
    </row>
    <row r="13697" spans="1:4" x14ac:dyDescent="0.2">
      <c r="A13697" s="496"/>
      <c r="D13697" s="496"/>
    </row>
    <row r="13698" spans="1:4" x14ac:dyDescent="0.2">
      <c r="A13698" s="496"/>
      <c r="D13698" s="496"/>
    </row>
    <row r="13699" spans="1:4" x14ac:dyDescent="0.2">
      <c r="A13699" s="496"/>
      <c r="D13699" s="496"/>
    </row>
    <row r="13700" spans="1:4" x14ac:dyDescent="0.2">
      <c r="A13700" s="496"/>
      <c r="D13700" s="496"/>
    </row>
    <row r="13701" spans="1:4" x14ac:dyDescent="0.2">
      <c r="A13701" s="496"/>
      <c r="D13701" s="496"/>
    </row>
    <row r="13702" spans="1:4" x14ac:dyDescent="0.2">
      <c r="A13702" s="496"/>
      <c r="D13702" s="496"/>
    </row>
    <row r="13703" spans="1:4" x14ac:dyDescent="0.2">
      <c r="A13703" s="496"/>
      <c r="D13703" s="496"/>
    </row>
    <row r="13704" spans="1:4" x14ac:dyDescent="0.2">
      <c r="A13704" s="496"/>
      <c r="D13704" s="496"/>
    </row>
    <row r="13705" spans="1:4" x14ac:dyDescent="0.2">
      <c r="A13705" s="496"/>
      <c r="D13705" s="496"/>
    </row>
    <row r="13706" spans="1:4" x14ac:dyDescent="0.2">
      <c r="A13706" s="496"/>
      <c r="D13706" s="496"/>
    </row>
    <row r="13707" spans="1:4" x14ac:dyDescent="0.2">
      <c r="A13707" s="496"/>
      <c r="D13707" s="496"/>
    </row>
    <row r="13708" spans="1:4" x14ac:dyDescent="0.2">
      <c r="A13708" s="496"/>
      <c r="D13708" s="496"/>
    </row>
    <row r="13709" spans="1:4" x14ac:dyDescent="0.2">
      <c r="A13709" s="496"/>
      <c r="D13709" s="496"/>
    </row>
    <row r="13710" spans="1:4" x14ac:dyDescent="0.2">
      <c r="A13710" s="496"/>
      <c r="D13710" s="496"/>
    </row>
    <row r="13711" spans="1:4" x14ac:dyDescent="0.2">
      <c r="A13711" s="496"/>
      <c r="D13711" s="496"/>
    </row>
    <row r="13712" spans="1:4" x14ac:dyDescent="0.2">
      <c r="A13712" s="496"/>
      <c r="D13712" s="496"/>
    </row>
    <row r="13713" spans="1:4" x14ac:dyDescent="0.2">
      <c r="A13713" s="496"/>
      <c r="D13713" s="496"/>
    </row>
    <row r="13714" spans="1:4" x14ac:dyDescent="0.2">
      <c r="A13714" s="496"/>
      <c r="D13714" s="496"/>
    </row>
    <row r="13715" spans="1:4" x14ac:dyDescent="0.2">
      <c r="A13715" s="496"/>
      <c r="D13715" s="496"/>
    </row>
    <row r="13716" spans="1:4" x14ac:dyDescent="0.2">
      <c r="A13716" s="496"/>
      <c r="D13716" s="496"/>
    </row>
    <row r="13717" spans="1:4" x14ac:dyDescent="0.2">
      <c r="A13717" s="496"/>
      <c r="D13717" s="496"/>
    </row>
    <row r="13718" spans="1:4" x14ac:dyDescent="0.2">
      <c r="A13718" s="496"/>
      <c r="D13718" s="496"/>
    </row>
    <row r="13719" spans="1:4" x14ac:dyDescent="0.2">
      <c r="A13719" s="496"/>
      <c r="D13719" s="496"/>
    </row>
    <row r="13720" spans="1:4" x14ac:dyDescent="0.2">
      <c r="A13720" s="496"/>
      <c r="D13720" s="496"/>
    </row>
    <row r="13721" spans="1:4" x14ac:dyDescent="0.2">
      <c r="A13721" s="496"/>
      <c r="D13721" s="496"/>
    </row>
    <row r="13722" spans="1:4" x14ac:dyDescent="0.2">
      <c r="A13722" s="496"/>
      <c r="D13722" s="496"/>
    </row>
    <row r="13723" spans="1:4" x14ac:dyDescent="0.2">
      <c r="A13723" s="496"/>
      <c r="D13723" s="496"/>
    </row>
    <row r="13724" spans="1:4" x14ac:dyDescent="0.2">
      <c r="A13724" s="496"/>
      <c r="D13724" s="496"/>
    </row>
    <row r="13725" spans="1:4" x14ac:dyDescent="0.2">
      <c r="A13725" s="496"/>
      <c r="D13725" s="496"/>
    </row>
    <row r="13726" spans="1:4" x14ac:dyDescent="0.2">
      <c r="A13726" s="496"/>
      <c r="D13726" s="496"/>
    </row>
    <row r="13727" spans="1:4" x14ac:dyDescent="0.2">
      <c r="A13727" s="496"/>
      <c r="D13727" s="496"/>
    </row>
    <row r="13728" spans="1:4" x14ac:dyDescent="0.2">
      <c r="A13728" s="496"/>
      <c r="D13728" s="496"/>
    </row>
    <row r="13729" spans="1:4" x14ac:dyDescent="0.2">
      <c r="A13729" s="496"/>
      <c r="D13729" s="496"/>
    </row>
    <row r="13730" spans="1:4" x14ac:dyDescent="0.2">
      <c r="A13730" s="496"/>
      <c r="D13730" s="496"/>
    </row>
    <row r="13731" spans="1:4" x14ac:dyDescent="0.2">
      <c r="A13731" s="496"/>
      <c r="D13731" s="496"/>
    </row>
    <row r="13732" spans="1:4" x14ac:dyDescent="0.2">
      <c r="A13732" s="496"/>
      <c r="D13732" s="496"/>
    </row>
    <row r="13733" spans="1:4" x14ac:dyDescent="0.2">
      <c r="A13733" s="496"/>
      <c r="D13733" s="496"/>
    </row>
    <row r="13734" spans="1:4" x14ac:dyDescent="0.2">
      <c r="A13734" s="496"/>
      <c r="D13734" s="496"/>
    </row>
    <row r="13735" spans="1:4" x14ac:dyDescent="0.2">
      <c r="A13735" s="496"/>
      <c r="D13735" s="496"/>
    </row>
    <row r="13736" spans="1:4" x14ac:dyDescent="0.2">
      <c r="A13736" s="496"/>
      <c r="D13736" s="496"/>
    </row>
    <row r="13737" spans="1:4" x14ac:dyDescent="0.2">
      <c r="A13737" s="496"/>
      <c r="D13737" s="496"/>
    </row>
    <row r="13738" spans="1:4" x14ac:dyDescent="0.2">
      <c r="A13738" s="496"/>
      <c r="D13738" s="496"/>
    </row>
    <row r="13739" spans="1:4" x14ac:dyDescent="0.2">
      <c r="A13739" s="496"/>
      <c r="D13739" s="496"/>
    </row>
    <row r="13740" spans="1:4" x14ac:dyDescent="0.2">
      <c r="A13740" s="496"/>
      <c r="D13740" s="496"/>
    </row>
    <row r="13741" spans="1:4" x14ac:dyDescent="0.2">
      <c r="A13741" s="496"/>
      <c r="D13741" s="496"/>
    </row>
    <row r="13742" spans="1:4" x14ac:dyDescent="0.2">
      <c r="A13742" s="496"/>
      <c r="D13742" s="496"/>
    </row>
    <row r="13743" spans="1:4" x14ac:dyDescent="0.2">
      <c r="A13743" s="496"/>
      <c r="D13743" s="496"/>
    </row>
    <row r="13744" spans="1:4" x14ac:dyDescent="0.2">
      <c r="A13744" s="496"/>
      <c r="D13744" s="496"/>
    </row>
    <row r="13745" spans="1:4" x14ac:dyDescent="0.2">
      <c r="A13745" s="496"/>
      <c r="D13745" s="496"/>
    </row>
    <row r="13746" spans="1:4" x14ac:dyDescent="0.2">
      <c r="A13746" s="496"/>
      <c r="D13746" s="496"/>
    </row>
    <row r="13747" spans="1:4" x14ac:dyDescent="0.2">
      <c r="A13747" s="496"/>
      <c r="D13747" s="496"/>
    </row>
    <row r="13748" spans="1:4" x14ac:dyDescent="0.2">
      <c r="A13748" s="496"/>
      <c r="D13748" s="496"/>
    </row>
    <row r="13749" spans="1:4" x14ac:dyDescent="0.2">
      <c r="A13749" s="496"/>
      <c r="D13749" s="496"/>
    </row>
    <row r="13750" spans="1:4" x14ac:dyDescent="0.2">
      <c r="A13750" s="496"/>
      <c r="D13750" s="496"/>
    </row>
    <row r="13751" spans="1:4" x14ac:dyDescent="0.2">
      <c r="A13751" s="496"/>
      <c r="D13751" s="496"/>
    </row>
    <row r="13752" spans="1:4" x14ac:dyDescent="0.2">
      <c r="A13752" s="496"/>
      <c r="D13752" s="496"/>
    </row>
    <row r="13753" spans="1:4" x14ac:dyDescent="0.2">
      <c r="A13753" s="496"/>
      <c r="D13753" s="496"/>
    </row>
    <row r="13754" spans="1:4" x14ac:dyDescent="0.2">
      <c r="A13754" s="496"/>
      <c r="D13754" s="496"/>
    </row>
    <row r="13755" spans="1:4" x14ac:dyDescent="0.2">
      <c r="A13755" s="496"/>
      <c r="D13755" s="496"/>
    </row>
    <row r="13756" spans="1:4" x14ac:dyDescent="0.2">
      <c r="A13756" s="496"/>
      <c r="D13756" s="496"/>
    </row>
    <row r="13757" spans="1:4" x14ac:dyDescent="0.2">
      <c r="A13757" s="496"/>
      <c r="D13757" s="496"/>
    </row>
    <row r="13758" spans="1:4" x14ac:dyDescent="0.2">
      <c r="A13758" s="496"/>
      <c r="D13758" s="496"/>
    </row>
    <row r="13759" spans="1:4" x14ac:dyDescent="0.2">
      <c r="A13759" s="496"/>
      <c r="D13759" s="496"/>
    </row>
    <row r="13760" spans="1:4" x14ac:dyDescent="0.2">
      <c r="A13760" s="496"/>
      <c r="D13760" s="496"/>
    </row>
    <row r="13761" spans="1:4" x14ac:dyDescent="0.2">
      <c r="A13761" s="496"/>
      <c r="D13761" s="496"/>
    </row>
    <row r="13762" spans="1:4" x14ac:dyDescent="0.2">
      <c r="A13762" s="496"/>
      <c r="D13762" s="496"/>
    </row>
    <row r="13763" spans="1:4" x14ac:dyDescent="0.2">
      <c r="A13763" s="496"/>
      <c r="D13763" s="496"/>
    </row>
    <row r="13764" spans="1:4" x14ac:dyDescent="0.2">
      <c r="A13764" s="496"/>
      <c r="D13764" s="496"/>
    </row>
    <row r="13765" spans="1:4" x14ac:dyDescent="0.2">
      <c r="A13765" s="496"/>
      <c r="D13765" s="496"/>
    </row>
    <row r="13766" spans="1:4" x14ac:dyDescent="0.2">
      <c r="A13766" s="496"/>
      <c r="D13766" s="496"/>
    </row>
    <row r="13767" spans="1:4" x14ac:dyDescent="0.2">
      <c r="A13767" s="496"/>
      <c r="D13767" s="496"/>
    </row>
    <row r="13768" spans="1:4" x14ac:dyDescent="0.2">
      <c r="A13768" s="496"/>
      <c r="D13768" s="496"/>
    </row>
    <row r="13769" spans="1:4" x14ac:dyDescent="0.2">
      <c r="A13769" s="496"/>
      <c r="D13769" s="496"/>
    </row>
    <row r="13770" spans="1:4" x14ac:dyDescent="0.2">
      <c r="A13770" s="496"/>
      <c r="D13770" s="496"/>
    </row>
    <row r="13771" spans="1:4" x14ac:dyDescent="0.2">
      <c r="A13771" s="496"/>
      <c r="D13771" s="496"/>
    </row>
    <row r="13772" spans="1:4" x14ac:dyDescent="0.2">
      <c r="A13772" s="496"/>
      <c r="D13772" s="496"/>
    </row>
    <row r="13773" spans="1:4" x14ac:dyDescent="0.2">
      <c r="A13773" s="496"/>
      <c r="D13773" s="496"/>
    </row>
    <row r="13774" spans="1:4" x14ac:dyDescent="0.2">
      <c r="A13774" s="496"/>
      <c r="D13774" s="496"/>
    </row>
    <row r="13775" spans="1:4" x14ac:dyDescent="0.2">
      <c r="A13775" s="496"/>
      <c r="D13775" s="496"/>
    </row>
    <row r="13776" spans="1:4" x14ac:dyDescent="0.2">
      <c r="D13776" s="496"/>
    </row>
    <row r="13777" spans="1:4" x14ac:dyDescent="0.2">
      <c r="A13777" s="496"/>
      <c r="D13777" s="496"/>
    </row>
    <row r="13778" spans="1:4" x14ac:dyDescent="0.2">
      <c r="A13778" s="496"/>
      <c r="D13778" s="496"/>
    </row>
    <row r="13779" spans="1:4" x14ac:dyDescent="0.2">
      <c r="A13779" s="496"/>
      <c r="D13779" s="496"/>
    </row>
    <row r="13780" spans="1:4" x14ac:dyDescent="0.2">
      <c r="A13780" s="496"/>
      <c r="D13780" s="496"/>
    </row>
    <row r="13781" spans="1:4" x14ac:dyDescent="0.2">
      <c r="A13781" s="496"/>
      <c r="D13781" s="496"/>
    </row>
    <row r="13782" spans="1:4" x14ac:dyDescent="0.2">
      <c r="A13782" s="496"/>
      <c r="D13782" s="496"/>
    </row>
    <row r="13783" spans="1:4" x14ac:dyDescent="0.2">
      <c r="A13783" s="496"/>
      <c r="D13783" s="496"/>
    </row>
    <row r="13784" spans="1:4" x14ac:dyDescent="0.2">
      <c r="A13784" s="496"/>
      <c r="D13784" s="496"/>
    </row>
    <row r="13785" spans="1:4" x14ac:dyDescent="0.2">
      <c r="A13785" s="496"/>
      <c r="D13785" s="496"/>
    </row>
    <row r="13786" spans="1:4" x14ac:dyDescent="0.2">
      <c r="A13786" s="496"/>
      <c r="D13786" s="496"/>
    </row>
    <row r="13787" spans="1:4" x14ac:dyDescent="0.2">
      <c r="A13787" s="496"/>
      <c r="D13787" s="496"/>
    </row>
    <row r="13788" spans="1:4" x14ac:dyDescent="0.2">
      <c r="A13788" s="496"/>
      <c r="D13788" s="496"/>
    </row>
    <row r="13789" spans="1:4" x14ac:dyDescent="0.2">
      <c r="A13789" s="496"/>
      <c r="D13789" s="496"/>
    </row>
    <row r="13790" spans="1:4" x14ac:dyDescent="0.2">
      <c r="A13790" s="496"/>
      <c r="D13790" s="496"/>
    </row>
    <row r="13791" spans="1:4" x14ac:dyDescent="0.2">
      <c r="A13791" s="496"/>
      <c r="D13791" s="496"/>
    </row>
    <row r="13792" spans="1:4" x14ac:dyDescent="0.2">
      <c r="A13792" s="496"/>
      <c r="D13792" s="496"/>
    </row>
    <row r="13793" spans="1:4" x14ac:dyDescent="0.2">
      <c r="A13793" s="496"/>
      <c r="D13793" s="496"/>
    </row>
    <row r="13794" spans="1:4" x14ac:dyDescent="0.2">
      <c r="A13794" s="496"/>
      <c r="D13794" s="496"/>
    </row>
    <row r="13795" spans="1:4" x14ac:dyDescent="0.2">
      <c r="A13795" s="496"/>
      <c r="D13795" s="496"/>
    </row>
    <row r="13796" spans="1:4" x14ac:dyDescent="0.2">
      <c r="A13796" s="496"/>
      <c r="D13796" s="496"/>
    </row>
    <row r="13797" spans="1:4" x14ac:dyDescent="0.2">
      <c r="A13797" s="496"/>
      <c r="D13797" s="496"/>
    </row>
    <row r="13798" spans="1:4" x14ac:dyDescent="0.2">
      <c r="A13798" s="496"/>
      <c r="D13798" s="496"/>
    </row>
    <row r="13799" spans="1:4" x14ac:dyDescent="0.2">
      <c r="A13799" s="496"/>
      <c r="D13799" s="496"/>
    </row>
    <row r="13800" spans="1:4" x14ac:dyDescent="0.2">
      <c r="A13800" s="496"/>
      <c r="D13800" s="496"/>
    </row>
    <row r="13801" spans="1:4" x14ac:dyDescent="0.2">
      <c r="A13801" s="496"/>
      <c r="D13801" s="496"/>
    </row>
    <row r="13802" spans="1:4" x14ac:dyDescent="0.2">
      <c r="A13802" s="496"/>
      <c r="D13802" s="496"/>
    </row>
    <row r="13803" spans="1:4" x14ac:dyDescent="0.2">
      <c r="A13803" s="496"/>
      <c r="D13803" s="496"/>
    </row>
    <row r="13804" spans="1:4" x14ac:dyDescent="0.2">
      <c r="A13804" s="496"/>
      <c r="D13804" s="496"/>
    </row>
    <row r="13805" spans="1:4" x14ac:dyDescent="0.2">
      <c r="A13805" s="496"/>
      <c r="D13805" s="496"/>
    </row>
    <row r="13806" spans="1:4" x14ac:dyDescent="0.2">
      <c r="A13806" s="496"/>
      <c r="D13806" s="496"/>
    </row>
    <row r="13807" spans="1:4" x14ac:dyDescent="0.2">
      <c r="A13807" s="496"/>
      <c r="D13807" s="496"/>
    </row>
    <row r="13808" spans="1:4" x14ac:dyDescent="0.2">
      <c r="A13808" s="496"/>
      <c r="D13808" s="496"/>
    </row>
    <row r="13809" spans="1:4" x14ac:dyDescent="0.2">
      <c r="A13809" s="496"/>
      <c r="D13809" s="496"/>
    </row>
    <row r="13810" spans="1:4" x14ac:dyDescent="0.2">
      <c r="A13810" s="496"/>
      <c r="D13810" s="496"/>
    </row>
    <row r="13811" spans="1:4" x14ac:dyDescent="0.2">
      <c r="A13811" s="496"/>
      <c r="D13811" s="496"/>
    </row>
    <row r="13812" spans="1:4" x14ac:dyDescent="0.2">
      <c r="A13812" s="496"/>
      <c r="D13812" s="496"/>
    </row>
    <row r="13813" spans="1:4" x14ac:dyDescent="0.2">
      <c r="A13813" s="496"/>
      <c r="D13813" s="496"/>
    </row>
    <row r="13814" spans="1:4" x14ac:dyDescent="0.2">
      <c r="A13814" s="496"/>
      <c r="D13814" s="496"/>
    </row>
    <row r="13815" spans="1:4" x14ac:dyDescent="0.2">
      <c r="A13815" s="496"/>
      <c r="D13815" s="496"/>
    </row>
    <row r="13816" spans="1:4" x14ac:dyDescent="0.2">
      <c r="A13816" s="496"/>
      <c r="D13816" s="496"/>
    </row>
    <row r="13817" spans="1:4" x14ac:dyDescent="0.2">
      <c r="A13817" s="496"/>
      <c r="D13817" s="496"/>
    </row>
    <row r="13818" spans="1:4" x14ac:dyDescent="0.2">
      <c r="A13818" s="496"/>
      <c r="D13818" s="496"/>
    </row>
    <row r="13819" spans="1:4" x14ac:dyDescent="0.2">
      <c r="A13819" s="496"/>
      <c r="D13819" s="496"/>
    </row>
    <row r="13820" spans="1:4" x14ac:dyDescent="0.2">
      <c r="A13820" s="496"/>
      <c r="D13820" s="496"/>
    </row>
    <row r="13821" spans="1:4" x14ac:dyDescent="0.2">
      <c r="A13821" s="496"/>
      <c r="D13821" s="496"/>
    </row>
    <row r="13822" spans="1:4" x14ac:dyDescent="0.2">
      <c r="A13822" s="496"/>
      <c r="D13822" s="496"/>
    </row>
    <row r="13823" spans="1:4" x14ac:dyDescent="0.2">
      <c r="A13823" s="496"/>
      <c r="D13823" s="496"/>
    </row>
    <row r="13824" spans="1:4" x14ac:dyDescent="0.2">
      <c r="A13824" s="496"/>
      <c r="D13824" s="496"/>
    </row>
    <row r="13825" spans="1:4" x14ac:dyDescent="0.2">
      <c r="A13825" s="496"/>
      <c r="D13825" s="496"/>
    </row>
    <row r="13826" spans="1:4" x14ac:dyDescent="0.2">
      <c r="A13826" s="496"/>
      <c r="D13826" s="496"/>
    </row>
    <row r="13827" spans="1:4" x14ac:dyDescent="0.2">
      <c r="A13827" s="496"/>
      <c r="D13827" s="496"/>
    </row>
    <row r="13828" spans="1:4" x14ac:dyDescent="0.2">
      <c r="A13828" s="496"/>
      <c r="D13828" s="496"/>
    </row>
    <row r="13829" spans="1:4" x14ac:dyDescent="0.2">
      <c r="A13829" s="496"/>
      <c r="D13829" s="496"/>
    </row>
    <row r="13830" spans="1:4" x14ac:dyDescent="0.2">
      <c r="A13830" s="496"/>
      <c r="D13830" s="496"/>
    </row>
    <row r="13831" spans="1:4" x14ac:dyDescent="0.2">
      <c r="A13831" s="496"/>
      <c r="D13831" s="496"/>
    </row>
    <row r="13832" spans="1:4" x14ac:dyDescent="0.2">
      <c r="A13832" s="496"/>
      <c r="D13832" s="496"/>
    </row>
    <row r="13833" spans="1:4" x14ac:dyDescent="0.2">
      <c r="A13833" s="496"/>
      <c r="D13833" s="496"/>
    </row>
    <row r="13834" spans="1:4" x14ac:dyDescent="0.2">
      <c r="A13834" s="496"/>
      <c r="D13834" s="496"/>
    </row>
    <row r="13835" spans="1:4" x14ac:dyDescent="0.2">
      <c r="A13835" s="496"/>
      <c r="D13835" s="496"/>
    </row>
    <row r="13836" spans="1:4" x14ac:dyDescent="0.2">
      <c r="A13836" s="496"/>
      <c r="D13836" s="496"/>
    </row>
    <row r="13837" spans="1:4" x14ac:dyDescent="0.2">
      <c r="A13837" s="496"/>
      <c r="D13837" s="496"/>
    </row>
    <row r="13838" spans="1:4" x14ac:dyDescent="0.2">
      <c r="A13838" s="496"/>
      <c r="D13838" s="496"/>
    </row>
    <row r="13839" spans="1:4" x14ac:dyDescent="0.2">
      <c r="A13839" s="496"/>
      <c r="D13839" s="496"/>
    </row>
    <row r="13840" spans="1:4" x14ac:dyDescent="0.2">
      <c r="A13840" s="496"/>
      <c r="D13840" s="496"/>
    </row>
    <row r="13841" spans="1:4" x14ac:dyDescent="0.2">
      <c r="A13841" s="496"/>
      <c r="D13841" s="496"/>
    </row>
    <row r="13842" spans="1:4" x14ac:dyDescent="0.2">
      <c r="A13842" s="496"/>
      <c r="D13842" s="496"/>
    </row>
    <row r="13843" spans="1:4" x14ac:dyDescent="0.2">
      <c r="A13843" s="496"/>
      <c r="D13843" s="496"/>
    </row>
    <row r="13844" spans="1:4" x14ac:dyDescent="0.2">
      <c r="A13844" s="496"/>
      <c r="D13844" s="496"/>
    </row>
    <row r="13845" spans="1:4" x14ac:dyDescent="0.2">
      <c r="A13845" s="496"/>
      <c r="D13845" s="496"/>
    </row>
    <row r="13846" spans="1:4" x14ac:dyDescent="0.2">
      <c r="A13846" s="496"/>
      <c r="D13846" s="496"/>
    </row>
    <row r="13847" spans="1:4" x14ac:dyDescent="0.2">
      <c r="A13847" s="496"/>
      <c r="D13847" s="496"/>
    </row>
    <row r="13848" spans="1:4" x14ac:dyDescent="0.2">
      <c r="A13848" s="496"/>
      <c r="D13848" s="496"/>
    </row>
    <row r="13849" spans="1:4" x14ac:dyDescent="0.2">
      <c r="A13849" s="496"/>
      <c r="D13849" s="496"/>
    </row>
    <row r="13850" spans="1:4" x14ac:dyDescent="0.2">
      <c r="A13850" s="496"/>
      <c r="D13850" s="496"/>
    </row>
    <row r="13851" spans="1:4" x14ac:dyDescent="0.2">
      <c r="A13851" s="496"/>
      <c r="D13851" s="496"/>
    </row>
    <row r="13852" spans="1:4" x14ac:dyDescent="0.2">
      <c r="A13852" s="496"/>
      <c r="D13852" s="496"/>
    </row>
    <row r="13853" spans="1:4" x14ac:dyDescent="0.2">
      <c r="A13853" s="496"/>
      <c r="D13853" s="496"/>
    </row>
    <row r="13854" spans="1:4" x14ac:dyDescent="0.2">
      <c r="A13854" s="496"/>
      <c r="D13854" s="496"/>
    </row>
    <row r="13855" spans="1:4" x14ac:dyDescent="0.2">
      <c r="A13855" s="496"/>
      <c r="D13855" s="496"/>
    </row>
    <row r="13856" spans="1:4" x14ac:dyDescent="0.2">
      <c r="A13856" s="496"/>
      <c r="D13856" s="496"/>
    </row>
    <row r="13857" spans="1:4" x14ac:dyDescent="0.2">
      <c r="A13857" s="496"/>
      <c r="D13857" s="496"/>
    </row>
    <row r="13858" spans="1:4" x14ac:dyDescent="0.2">
      <c r="A13858" s="496"/>
      <c r="D13858" s="496"/>
    </row>
    <row r="13859" spans="1:4" x14ac:dyDescent="0.2">
      <c r="A13859" s="496"/>
      <c r="D13859" s="496"/>
    </row>
    <row r="13860" spans="1:4" x14ac:dyDescent="0.2">
      <c r="A13860" s="496"/>
      <c r="D13860" s="496"/>
    </row>
    <row r="13861" spans="1:4" x14ac:dyDescent="0.2">
      <c r="A13861" s="496"/>
      <c r="D13861" s="496"/>
    </row>
    <row r="13862" spans="1:4" x14ac:dyDescent="0.2">
      <c r="A13862" s="496"/>
      <c r="D13862" s="496"/>
    </row>
    <row r="13863" spans="1:4" x14ac:dyDescent="0.2">
      <c r="A13863" s="496"/>
      <c r="D13863" s="496"/>
    </row>
    <row r="13864" spans="1:4" x14ac:dyDescent="0.2">
      <c r="A13864" s="496"/>
      <c r="D13864" s="496"/>
    </row>
    <row r="13865" spans="1:4" x14ac:dyDescent="0.2">
      <c r="A13865" s="496"/>
      <c r="D13865" s="496"/>
    </row>
    <row r="13866" spans="1:4" x14ac:dyDescent="0.2">
      <c r="A13866" s="496"/>
      <c r="D13866" s="496"/>
    </row>
    <row r="13867" spans="1:4" x14ac:dyDescent="0.2">
      <c r="A13867" s="496"/>
      <c r="D13867" s="496"/>
    </row>
    <row r="13868" spans="1:4" x14ac:dyDescent="0.2">
      <c r="A13868" s="496"/>
      <c r="D13868" s="496"/>
    </row>
    <row r="13869" spans="1:4" x14ac:dyDescent="0.2">
      <c r="A13869" s="496"/>
      <c r="D13869" s="496"/>
    </row>
    <row r="13870" spans="1:4" x14ac:dyDescent="0.2">
      <c r="A13870" s="496"/>
      <c r="D13870" s="496"/>
    </row>
    <row r="13871" spans="1:4" x14ac:dyDescent="0.2">
      <c r="A13871" s="496"/>
      <c r="D13871" s="496"/>
    </row>
    <row r="13872" spans="1:4" x14ac:dyDescent="0.2">
      <c r="A13872" s="496"/>
      <c r="D13872" s="496"/>
    </row>
    <row r="13873" spans="1:4" x14ac:dyDescent="0.2">
      <c r="A13873" s="496"/>
      <c r="D13873" s="496"/>
    </row>
    <row r="13874" spans="1:4" x14ac:dyDescent="0.2">
      <c r="A13874" s="496"/>
      <c r="D13874" s="496"/>
    </row>
    <row r="13875" spans="1:4" x14ac:dyDescent="0.2">
      <c r="A13875" s="496"/>
      <c r="D13875" s="496"/>
    </row>
    <row r="13876" spans="1:4" x14ac:dyDescent="0.2">
      <c r="A13876" s="496"/>
      <c r="D13876" s="496"/>
    </row>
    <row r="13877" spans="1:4" x14ac:dyDescent="0.2">
      <c r="A13877" s="496"/>
      <c r="D13877" s="496"/>
    </row>
    <row r="13878" spans="1:4" x14ac:dyDescent="0.2">
      <c r="A13878" s="496"/>
      <c r="D13878" s="496"/>
    </row>
    <row r="13879" spans="1:4" x14ac:dyDescent="0.2">
      <c r="A13879" s="496"/>
      <c r="D13879" s="496"/>
    </row>
    <row r="13880" spans="1:4" x14ac:dyDescent="0.2">
      <c r="A13880" s="496"/>
      <c r="D13880" s="496"/>
    </row>
    <row r="13881" spans="1:4" x14ac:dyDescent="0.2">
      <c r="A13881" s="496"/>
      <c r="D13881" s="496"/>
    </row>
    <row r="13882" spans="1:4" x14ac:dyDescent="0.2">
      <c r="A13882" s="496"/>
      <c r="D13882" s="496"/>
    </row>
    <row r="13883" spans="1:4" x14ac:dyDescent="0.2">
      <c r="A13883" s="496"/>
      <c r="D13883" s="496"/>
    </row>
    <row r="13884" spans="1:4" x14ac:dyDescent="0.2">
      <c r="A13884" s="496"/>
      <c r="D13884" s="496"/>
    </row>
    <row r="13885" spans="1:4" x14ac:dyDescent="0.2">
      <c r="A13885" s="496"/>
      <c r="D13885" s="496"/>
    </row>
    <row r="13886" spans="1:4" x14ac:dyDescent="0.2">
      <c r="A13886" s="496"/>
      <c r="D13886" s="496"/>
    </row>
    <row r="13887" spans="1:4" x14ac:dyDescent="0.2">
      <c r="A13887" s="496"/>
      <c r="D13887" s="496"/>
    </row>
    <row r="13888" spans="1:4" x14ac:dyDescent="0.2">
      <c r="A13888" s="496"/>
      <c r="D13888" s="496"/>
    </row>
    <row r="13889" spans="1:4" x14ac:dyDescent="0.2">
      <c r="A13889" s="496"/>
      <c r="D13889" s="496"/>
    </row>
    <row r="13890" spans="1:4" x14ac:dyDescent="0.2">
      <c r="A13890" s="496"/>
      <c r="D13890" s="496"/>
    </row>
    <row r="13891" spans="1:4" x14ac:dyDescent="0.2">
      <c r="A13891" s="496"/>
      <c r="D13891" s="496"/>
    </row>
    <row r="13892" spans="1:4" x14ac:dyDescent="0.2">
      <c r="A13892" s="496"/>
      <c r="D13892" s="496"/>
    </row>
    <row r="13893" spans="1:4" x14ac:dyDescent="0.2">
      <c r="A13893" s="496"/>
      <c r="D13893" s="496"/>
    </row>
    <row r="13894" spans="1:4" x14ac:dyDescent="0.2">
      <c r="A13894" s="496"/>
      <c r="D13894" s="496"/>
    </row>
    <row r="13895" spans="1:4" x14ac:dyDescent="0.2">
      <c r="A13895" s="496"/>
      <c r="D13895" s="496"/>
    </row>
    <row r="13896" spans="1:4" x14ac:dyDescent="0.2">
      <c r="A13896" s="496"/>
      <c r="D13896" s="496"/>
    </row>
    <row r="13897" spans="1:4" x14ac:dyDescent="0.2">
      <c r="A13897" s="496"/>
      <c r="D13897" s="496"/>
    </row>
    <row r="13898" spans="1:4" x14ac:dyDescent="0.2">
      <c r="A13898" s="496"/>
      <c r="D13898" s="496"/>
    </row>
    <row r="13899" spans="1:4" x14ac:dyDescent="0.2">
      <c r="A13899" s="496"/>
      <c r="D13899" s="496"/>
    </row>
    <row r="13900" spans="1:4" x14ac:dyDescent="0.2">
      <c r="A13900" s="496"/>
      <c r="D13900" s="496"/>
    </row>
    <row r="13901" spans="1:4" x14ac:dyDescent="0.2">
      <c r="A13901" s="496"/>
      <c r="D13901" s="496"/>
    </row>
    <row r="13902" spans="1:4" x14ac:dyDescent="0.2">
      <c r="A13902" s="496"/>
      <c r="D13902" s="496"/>
    </row>
    <row r="13903" spans="1:4" x14ac:dyDescent="0.2">
      <c r="A13903" s="496"/>
      <c r="D13903" s="496"/>
    </row>
    <row r="13904" spans="1:4" x14ac:dyDescent="0.2">
      <c r="A13904" s="496"/>
      <c r="D13904" s="496"/>
    </row>
    <row r="13905" spans="1:4" x14ac:dyDescent="0.2">
      <c r="A13905" s="496"/>
      <c r="D13905" s="496"/>
    </row>
    <row r="13906" spans="1:4" x14ac:dyDescent="0.2">
      <c r="A13906" s="496"/>
      <c r="D13906" s="496"/>
    </row>
    <row r="13907" spans="1:4" x14ac:dyDescent="0.2">
      <c r="A13907" s="496"/>
      <c r="D13907" s="496"/>
    </row>
    <row r="13908" spans="1:4" x14ac:dyDescent="0.2">
      <c r="A13908" s="496"/>
      <c r="D13908" s="496"/>
    </row>
    <row r="13909" spans="1:4" x14ac:dyDescent="0.2">
      <c r="A13909" s="496"/>
      <c r="D13909" s="496"/>
    </row>
    <row r="13910" spans="1:4" x14ac:dyDescent="0.2">
      <c r="A13910" s="496"/>
      <c r="D13910" s="496"/>
    </row>
    <row r="13911" spans="1:4" x14ac:dyDescent="0.2">
      <c r="A13911" s="496"/>
      <c r="D13911" s="496"/>
    </row>
    <row r="13912" spans="1:4" x14ac:dyDescent="0.2">
      <c r="A13912" s="496"/>
      <c r="D13912" s="496"/>
    </row>
    <row r="13913" spans="1:4" x14ac:dyDescent="0.2">
      <c r="A13913" s="496"/>
      <c r="D13913" s="496"/>
    </row>
    <row r="13914" spans="1:4" x14ac:dyDescent="0.2">
      <c r="A13914" s="496"/>
      <c r="D13914" s="496"/>
    </row>
    <row r="13915" spans="1:4" x14ac:dyDescent="0.2">
      <c r="A13915" s="496"/>
      <c r="D13915" s="496"/>
    </row>
    <row r="13916" spans="1:4" x14ac:dyDescent="0.2">
      <c r="A13916" s="496"/>
      <c r="D13916" s="496"/>
    </row>
    <row r="13917" spans="1:4" x14ac:dyDescent="0.2">
      <c r="A13917" s="496"/>
      <c r="D13917" s="496"/>
    </row>
    <row r="13918" spans="1:4" x14ac:dyDescent="0.2">
      <c r="A13918" s="496"/>
      <c r="D13918" s="496"/>
    </row>
    <row r="13919" spans="1:4" x14ac:dyDescent="0.2">
      <c r="A13919" s="496"/>
      <c r="D13919" s="496"/>
    </row>
    <row r="13920" spans="1:4" x14ac:dyDescent="0.2">
      <c r="A13920" s="496"/>
      <c r="D13920" s="496"/>
    </row>
    <row r="13921" spans="1:4" x14ac:dyDescent="0.2">
      <c r="A13921" s="496"/>
      <c r="D13921" s="496"/>
    </row>
    <row r="13922" spans="1:4" x14ac:dyDescent="0.2">
      <c r="A13922" s="496"/>
      <c r="D13922" s="496"/>
    </row>
    <row r="13923" spans="1:4" x14ac:dyDescent="0.2">
      <c r="A13923" s="496"/>
      <c r="D13923" s="496"/>
    </row>
    <row r="13924" spans="1:4" x14ac:dyDescent="0.2">
      <c r="A13924" s="496"/>
      <c r="D13924" s="496"/>
    </row>
    <row r="13925" spans="1:4" x14ac:dyDescent="0.2">
      <c r="A13925" s="496"/>
      <c r="D13925" s="496"/>
    </row>
    <row r="13926" spans="1:4" x14ac:dyDescent="0.2">
      <c r="A13926" s="496"/>
      <c r="D13926" s="496"/>
    </row>
    <row r="13927" spans="1:4" x14ac:dyDescent="0.2">
      <c r="A13927" s="496"/>
      <c r="D13927" s="496"/>
    </row>
    <row r="13928" spans="1:4" x14ac:dyDescent="0.2">
      <c r="A13928" s="496"/>
      <c r="D13928" s="496"/>
    </row>
    <row r="13929" spans="1:4" x14ac:dyDescent="0.2">
      <c r="A13929" s="496"/>
      <c r="D13929" s="496"/>
    </row>
    <row r="13930" spans="1:4" x14ac:dyDescent="0.2">
      <c r="A13930" s="496"/>
      <c r="D13930" s="496"/>
    </row>
    <row r="13931" spans="1:4" x14ac:dyDescent="0.2">
      <c r="A13931" s="496"/>
      <c r="D13931" s="496"/>
    </row>
    <row r="13932" spans="1:4" x14ac:dyDescent="0.2">
      <c r="A13932" s="496"/>
      <c r="D13932" s="496"/>
    </row>
    <row r="13933" spans="1:4" x14ac:dyDescent="0.2">
      <c r="A13933" s="496"/>
      <c r="D13933" s="496"/>
    </row>
    <row r="13934" spans="1:4" x14ac:dyDescent="0.2">
      <c r="A13934" s="496"/>
      <c r="D13934" s="496"/>
    </row>
    <row r="13935" spans="1:4" x14ac:dyDescent="0.2">
      <c r="A13935" s="496"/>
      <c r="D13935" s="496"/>
    </row>
    <row r="13936" spans="1:4" x14ac:dyDescent="0.2">
      <c r="A13936" s="496"/>
      <c r="D13936" s="496"/>
    </row>
    <row r="13937" spans="1:4" x14ac:dyDescent="0.2">
      <c r="A13937" s="496"/>
      <c r="D13937" s="496"/>
    </row>
    <row r="13938" spans="1:4" x14ac:dyDescent="0.2">
      <c r="A13938" s="496"/>
      <c r="D13938" s="496"/>
    </row>
    <row r="13939" spans="1:4" x14ac:dyDescent="0.2">
      <c r="A13939" s="496"/>
      <c r="D13939" s="496"/>
    </row>
    <row r="13940" spans="1:4" x14ac:dyDescent="0.2">
      <c r="A13940" s="496"/>
      <c r="D13940" s="496"/>
    </row>
    <row r="13941" spans="1:4" x14ac:dyDescent="0.2">
      <c r="A13941" s="496"/>
      <c r="D13941" s="496"/>
    </row>
    <row r="13942" spans="1:4" x14ac:dyDescent="0.2">
      <c r="A13942" s="496"/>
      <c r="D13942" s="496"/>
    </row>
    <row r="13943" spans="1:4" x14ac:dyDescent="0.2">
      <c r="A13943" s="496"/>
      <c r="D13943" s="496"/>
    </row>
    <row r="13944" spans="1:4" x14ac:dyDescent="0.2">
      <c r="A13944" s="496"/>
      <c r="D13944" s="496"/>
    </row>
    <row r="13945" spans="1:4" x14ac:dyDescent="0.2">
      <c r="A13945" s="496"/>
      <c r="D13945" s="496"/>
    </row>
    <row r="13946" spans="1:4" x14ac:dyDescent="0.2">
      <c r="A13946" s="496"/>
      <c r="D13946" s="496"/>
    </row>
    <row r="13947" spans="1:4" x14ac:dyDescent="0.2">
      <c r="A13947" s="496"/>
      <c r="D13947" s="496"/>
    </row>
    <row r="13948" spans="1:4" x14ac:dyDescent="0.2">
      <c r="A13948" s="496"/>
      <c r="D13948" s="496"/>
    </row>
    <row r="13949" spans="1:4" x14ac:dyDescent="0.2">
      <c r="A13949" s="496"/>
      <c r="D13949" s="496"/>
    </row>
    <row r="13950" spans="1:4" x14ac:dyDescent="0.2">
      <c r="A13950" s="496"/>
      <c r="D13950" s="496"/>
    </row>
    <row r="13951" spans="1:4" x14ac:dyDescent="0.2">
      <c r="A13951" s="496"/>
      <c r="D13951" s="496"/>
    </row>
    <row r="13952" spans="1:4" x14ac:dyDescent="0.2">
      <c r="A13952" s="496"/>
      <c r="D13952" s="496"/>
    </row>
    <row r="13953" spans="1:4" x14ac:dyDescent="0.2">
      <c r="A13953" s="496"/>
      <c r="D13953" s="496"/>
    </row>
    <row r="13954" spans="1:4" x14ac:dyDescent="0.2">
      <c r="A13954" s="496"/>
      <c r="D13954" s="496"/>
    </row>
    <row r="13955" spans="1:4" x14ac:dyDescent="0.2">
      <c r="A13955" s="496"/>
      <c r="D13955" s="496"/>
    </row>
    <row r="13956" spans="1:4" x14ac:dyDescent="0.2">
      <c r="A13956" s="496"/>
      <c r="D13956" s="496"/>
    </row>
    <row r="13957" spans="1:4" x14ac:dyDescent="0.2">
      <c r="A13957" s="496"/>
      <c r="D13957" s="496"/>
    </row>
    <row r="13958" spans="1:4" x14ac:dyDescent="0.2">
      <c r="A13958" s="496"/>
      <c r="D13958" s="496"/>
    </row>
    <row r="13959" spans="1:4" x14ac:dyDescent="0.2">
      <c r="A13959" s="496"/>
      <c r="D13959" s="496"/>
    </row>
    <row r="13960" spans="1:4" x14ac:dyDescent="0.2">
      <c r="A13960" s="496"/>
      <c r="D13960" s="496"/>
    </row>
    <row r="13961" spans="1:4" x14ac:dyDescent="0.2">
      <c r="A13961" s="496"/>
      <c r="D13961" s="496"/>
    </row>
    <row r="13962" spans="1:4" x14ac:dyDescent="0.2">
      <c r="A13962" s="496"/>
      <c r="D13962" s="496"/>
    </row>
    <row r="13963" spans="1:4" x14ac:dyDescent="0.2">
      <c r="A13963" s="496"/>
      <c r="D13963" s="496"/>
    </row>
    <row r="13964" spans="1:4" x14ac:dyDescent="0.2">
      <c r="A13964" s="496"/>
      <c r="D13964" s="496"/>
    </row>
    <row r="13965" spans="1:4" x14ac:dyDescent="0.2">
      <c r="A13965" s="496"/>
      <c r="D13965" s="496"/>
    </row>
    <row r="13966" spans="1:4" x14ac:dyDescent="0.2">
      <c r="A13966" s="496"/>
      <c r="D13966" s="496"/>
    </row>
    <row r="13967" spans="1:4" x14ac:dyDescent="0.2">
      <c r="A13967" s="496"/>
      <c r="D13967" s="496"/>
    </row>
    <row r="13968" spans="1:4" x14ac:dyDescent="0.2">
      <c r="A13968" s="496"/>
      <c r="D13968" s="496"/>
    </row>
    <row r="13969" spans="1:4" x14ac:dyDescent="0.2">
      <c r="A13969" s="496"/>
      <c r="D13969" s="496"/>
    </row>
    <row r="13970" spans="1:4" x14ac:dyDescent="0.2">
      <c r="A13970" s="496"/>
      <c r="D13970" s="496"/>
    </row>
    <row r="13971" spans="1:4" x14ac:dyDescent="0.2">
      <c r="A13971" s="496"/>
      <c r="D13971" s="496"/>
    </row>
    <row r="13972" spans="1:4" x14ac:dyDescent="0.2">
      <c r="A13972" s="496"/>
      <c r="D13972" s="496"/>
    </row>
    <row r="13973" spans="1:4" x14ac:dyDescent="0.2">
      <c r="A13973" s="496"/>
      <c r="D13973" s="496"/>
    </row>
    <row r="13974" spans="1:4" x14ac:dyDescent="0.2">
      <c r="A13974" s="496"/>
      <c r="D13974" s="496"/>
    </row>
    <row r="13975" spans="1:4" x14ac:dyDescent="0.2">
      <c r="A13975" s="496"/>
      <c r="D13975" s="496"/>
    </row>
    <row r="13976" spans="1:4" x14ac:dyDescent="0.2">
      <c r="A13976" s="496"/>
      <c r="D13976" s="496"/>
    </row>
    <row r="13977" spans="1:4" x14ac:dyDescent="0.2">
      <c r="A13977" s="496"/>
      <c r="D13977" s="496"/>
    </row>
    <row r="13978" spans="1:4" x14ac:dyDescent="0.2">
      <c r="A13978" s="496"/>
      <c r="D13978" s="496"/>
    </row>
    <row r="13979" spans="1:4" x14ac:dyDescent="0.2">
      <c r="A13979" s="496"/>
      <c r="D13979" s="496"/>
    </row>
    <row r="13980" spans="1:4" x14ac:dyDescent="0.2">
      <c r="A13980" s="496"/>
      <c r="D13980" s="496"/>
    </row>
    <row r="13981" spans="1:4" x14ac:dyDescent="0.2">
      <c r="A13981" s="496"/>
      <c r="D13981" s="496"/>
    </row>
    <row r="13982" spans="1:4" x14ac:dyDescent="0.2">
      <c r="A13982" s="496"/>
      <c r="D13982" s="496"/>
    </row>
    <row r="13983" spans="1:4" x14ac:dyDescent="0.2">
      <c r="A13983" s="496"/>
      <c r="D13983" s="496"/>
    </row>
    <row r="13984" spans="1:4" x14ac:dyDescent="0.2">
      <c r="A13984" s="496"/>
      <c r="D13984" s="496"/>
    </row>
    <row r="13985" spans="1:4" x14ac:dyDescent="0.2">
      <c r="A13985" s="496"/>
      <c r="D13985" s="496"/>
    </row>
    <row r="13986" spans="1:4" x14ac:dyDescent="0.2">
      <c r="A13986" s="496"/>
      <c r="D13986" s="496"/>
    </row>
    <row r="13987" spans="1:4" x14ac:dyDescent="0.2">
      <c r="A13987" s="496"/>
      <c r="D13987" s="496"/>
    </row>
    <row r="13988" spans="1:4" x14ac:dyDescent="0.2">
      <c r="A13988" s="496"/>
      <c r="D13988" s="496"/>
    </row>
    <row r="13989" spans="1:4" x14ac:dyDescent="0.2">
      <c r="A13989" s="496"/>
      <c r="D13989" s="496"/>
    </row>
    <row r="13990" spans="1:4" x14ac:dyDescent="0.2">
      <c r="A13990" s="496"/>
      <c r="D13990" s="496"/>
    </row>
    <row r="13991" spans="1:4" x14ac:dyDescent="0.2">
      <c r="A13991" s="496"/>
      <c r="D13991" s="496"/>
    </row>
    <row r="13992" spans="1:4" x14ac:dyDescent="0.2">
      <c r="A13992" s="496"/>
      <c r="D13992" s="496"/>
    </row>
    <row r="13993" spans="1:4" x14ac:dyDescent="0.2">
      <c r="A13993" s="496"/>
      <c r="D13993" s="496"/>
    </row>
    <row r="13994" spans="1:4" x14ac:dyDescent="0.2">
      <c r="A13994" s="496"/>
      <c r="D13994" s="496"/>
    </row>
    <row r="13995" spans="1:4" x14ac:dyDescent="0.2">
      <c r="A13995" s="496"/>
      <c r="D13995" s="496"/>
    </row>
    <row r="13996" spans="1:4" x14ac:dyDescent="0.2">
      <c r="A13996" s="496"/>
      <c r="D13996" s="496"/>
    </row>
    <row r="13997" spans="1:4" x14ac:dyDescent="0.2">
      <c r="A13997" s="496"/>
      <c r="D13997" s="496"/>
    </row>
    <row r="13998" spans="1:4" x14ac:dyDescent="0.2">
      <c r="A13998" s="496"/>
      <c r="D13998" s="496"/>
    </row>
    <row r="13999" spans="1:4" x14ac:dyDescent="0.2">
      <c r="A13999" s="496"/>
      <c r="D13999" s="496"/>
    </row>
    <row r="14000" spans="1:4" x14ac:dyDescent="0.2">
      <c r="A14000" s="496"/>
      <c r="D14000" s="496"/>
    </row>
    <row r="14001" spans="1:4" x14ac:dyDescent="0.2">
      <c r="A14001" s="496"/>
      <c r="D14001" s="496"/>
    </row>
    <row r="14002" spans="1:4" x14ac:dyDescent="0.2">
      <c r="A14002" s="496"/>
      <c r="D14002" s="496"/>
    </row>
    <row r="14003" spans="1:4" x14ac:dyDescent="0.2">
      <c r="A14003" s="496"/>
      <c r="D14003" s="496"/>
    </row>
    <row r="14004" spans="1:4" x14ac:dyDescent="0.2">
      <c r="A14004" s="496"/>
      <c r="D14004" s="496"/>
    </row>
    <row r="14005" spans="1:4" x14ac:dyDescent="0.2">
      <c r="A14005" s="496"/>
      <c r="D14005" s="496"/>
    </row>
    <row r="14006" spans="1:4" x14ac:dyDescent="0.2">
      <c r="A14006" s="496"/>
      <c r="D14006" s="496"/>
    </row>
    <row r="14007" spans="1:4" x14ac:dyDescent="0.2">
      <c r="A14007" s="496"/>
      <c r="D14007" s="496"/>
    </row>
    <row r="14008" spans="1:4" x14ac:dyDescent="0.2">
      <c r="A14008" s="496"/>
      <c r="D14008" s="496"/>
    </row>
    <row r="14009" spans="1:4" x14ac:dyDescent="0.2">
      <c r="A14009" s="496"/>
      <c r="D14009" s="496"/>
    </row>
    <row r="14010" spans="1:4" x14ac:dyDescent="0.2">
      <c r="A14010" s="496"/>
      <c r="D14010" s="496"/>
    </row>
    <row r="14011" spans="1:4" x14ac:dyDescent="0.2">
      <c r="A14011" s="496"/>
      <c r="D14011" s="496"/>
    </row>
    <row r="14012" spans="1:4" x14ac:dyDescent="0.2">
      <c r="A14012" s="496"/>
      <c r="D14012" s="496"/>
    </row>
    <row r="14013" spans="1:4" x14ac:dyDescent="0.2">
      <c r="A14013" s="496"/>
      <c r="D14013" s="496"/>
    </row>
    <row r="14014" spans="1:4" x14ac:dyDescent="0.2">
      <c r="A14014" s="496"/>
      <c r="D14014" s="496"/>
    </row>
    <row r="14015" spans="1:4" x14ac:dyDescent="0.2">
      <c r="A14015" s="496"/>
      <c r="D14015" s="496"/>
    </row>
    <row r="14016" spans="1:4" x14ac:dyDescent="0.2">
      <c r="A14016" s="496"/>
      <c r="D14016" s="496"/>
    </row>
    <row r="14017" spans="1:4" x14ac:dyDescent="0.2">
      <c r="A14017" s="496"/>
      <c r="D14017" s="496"/>
    </row>
    <row r="14018" spans="1:4" x14ac:dyDescent="0.2">
      <c r="A14018" s="496"/>
      <c r="D14018" s="496"/>
    </row>
    <row r="14019" spans="1:4" x14ac:dyDescent="0.2">
      <c r="A14019" s="496"/>
      <c r="D14019" s="496"/>
    </row>
    <row r="14020" spans="1:4" x14ac:dyDescent="0.2">
      <c r="A14020" s="496"/>
      <c r="D14020" s="496"/>
    </row>
    <row r="14021" spans="1:4" x14ac:dyDescent="0.2">
      <c r="A14021" s="496"/>
      <c r="D14021" s="496"/>
    </row>
    <row r="14022" spans="1:4" x14ac:dyDescent="0.2">
      <c r="A14022" s="496"/>
      <c r="D14022" s="496"/>
    </row>
    <row r="14023" spans="1:4" x14ac:dyDescent="0.2">
      <c r="A14023" s="496"/>
      <c r="D14023" s="496"/>
    </row>
    <row r="14024" spans="1:4" x14ac:dyDescent="0.2">
      <c r="A14024" s="496"/>
      <c r="D14024" s="496"/>
    </row>
    <row r="14025" spans="1:4" x14ac:dyDescent="0.2">
      <c r="A14025" s="496"/>
      <c r="D14025" s="496"/>
    </row>
    <row r="14026" spans="1:4" x14ac:dyDescent="0.2">
      <c r="A14026" s="496"/>
      <c r="D14026" s="496"/>
    </row>
    <row r="14027" spans="1:4" x14ac:dyDescent="0.2">
      <c r="A14027" s="496"/>
      <c r="D14027" s="496"/>
    </row>
    <row r="14028" spans="1:4" x14ac:dyDescent="0.2">
      <c r="A14028" s="496"/>
      <c r="D14028" s="496"/>
    </row>
    <row r="14029" spans="1:4" x14ac:dyDescent="0.2">
      <c r="A14029" s="496"/>
      <c r="D14029" s="496"/>
    </row>
    <row r="14030" spans="1:4" x14ac:dyDescent="0.2">
      <c r="A14030" s="496"/>
      <c r="D14030" s="496"/>
    </row>
    <row r="14031" spans="1:4" x14ac:dyDescent="0.2">
      <c r="A14031" s="496"/>
      <c r="D14031" s="496"/>
    </row>
    <row r="14032" spans="1:4" x14ac:dyDescent="0.2">
      <c r="A14032" s="496"/>
      <c r="D14032" s="496"/>
    </row>
    <row r="14033" spans="1:4" x14ac:dyDescent="0.2">
      <c r="A14033" s="496"/>
      <c r="D14033" s="496"/>
    </row>
    <row r="14034" spans="1:4" x14ac:dyDescent="0.2">
      <c r="A14034" s="496"/>
      <c r="D14034" s="496"/>
    </row>
    <row r="14035" spans="1:4" x14ac:dyDescent="0.2">
      <c r="A14035" s="496"/>
      <c r="D14035" s="496"/>
    </row>
    <row r="14036" spans="1:4" x14ac:dyDescent="0.2">
      <c r="A14036" s="496"/>
      <c r="D14036" s="496"/>
    </row>
    <row r="14037" spans="1:4" x14ac:dyDescent="0.2">
      <c r="A14037" s="496"/>
      <c r="D14037" s="496"/>
    </row>
    <row r="14038" spans="1:4" x14ac:dyDescent="0.2">
      <c r="A14038" s="496"/>
      <c r="D14038" s="496"/>
    </row>
    <row r="14039" spans="1:4" x14ac:dyDescent="0.2">
      <c r="A14039" s="496"/>
      <c r="D14039" s="496"/>
    </row>
    <row r="14040" spans="1:4" x14ac:dyDescent="0.2">
      <c r="A14040" s="496"/>
      <c r="D14040" s="496"/>
    </row>
    <row r="14041" spans="1:4" x14ac:dyDescent="0.2">
      <c r="A14041" s="496"/>
      <c r="D14041" s="496"/>
    </row>
    <row r="14042" spans="1:4" x14ac:dyDescent="0.2">
      <c r="A14042" s="496"/>
      <c r="D14042" s="496"/>
    </row>
    <row r="14043" spans="1:4" x14ac:dyDescent="0.2">
      <c r="A14043" s="496"/>
      <c r="D14043" s="496"/>
    </row>
    <row r="14044" spans="1:4" x14ac:dyDescent="0.2">
      <c r="A14044" s="496"/>
      <c r="D14044" s="496"/>
    </row>
    <row r="14045" spans="1:4" x14ac:dyDescent="0.2">
      <c r="A14045" s="496"/>
      <c r="D14045" s="496"/>
    </row>
    <row r="14046" spans="1:4" x14ac:dyDescent="0.2">
      <c r="A14046" s="496"/>
      <c r="D14046" s="496"/>
    </row>
    <row r="14047" spans="1:4" x14ac:dyDescent="0.2">
      <c r="A14047" s="496"/>
      <c r="D14047" s="496"/>
    </row>
    <row r="14048" spans="1:4" x14ac:dyDescent="0.2">
      <c r="A14048" s="496"/>
      <c r="D14048" s="496"/>
    </row>
    <row r="14049" spans="1:4" x14ac:dyDescent="0.2">
      <c r="A14049" s="496"/>
      <c r="D14049" s="496"/>
    </row>
    <row r="14050" spans="1:4" x14ac:dyDescent="0.2">
      <c r="A14050" s="496"/>
      <c r="D14050" s="496"/>
    </row>
    <row r="14051" spans="1:4" x14ac:dyDescent="0.2">
      <c r="A14051" s="496"/>
      <c r="D14051" s="496"/>
    </row>
    <row r="14052" spans="1:4" x14ac:dyDescent="0.2">
      <c r="A14052" s="496"/>
      <c r="D14052" s="496"/>
    </row>
    <row r="14053" spans="1:4" x14ac:dyDescent="0.2">
      <c r="A14053" s="496"/>
      <c r="D14053" s="496"/>
    </row>
    <row r="14054" spans="1:4" x14ac:dyDescent="0.2">
      <c r="A14054" s="496"/>
      <c r="D14054" s="496"/>
    </row>
    <row r="14055" spans="1:4" x14ac:dyDescent="0.2">
      <c r="A14055" s="496"/>
      <c r="D14055" s="496"/>
    </row>
    <row r="14056" spans="1:4" x14ac:dyDescent="0.2">
      <c r="A14056" s="496"/>
      <c r="D14056" s="496"/>
    </row>
    <row r="14057" spans="1:4" x14ac:dyDescent="0.2">
      <c r="A14057" s="496"/>
      <c r="D14057" s="496"/>
    </row>
    <row r="14058" spans="1:4" x14ac:dyDescent="0.2">
      <c r="A14058" s="496"/>
      <c r="D14058" s="496"/>
    </row>
    <row r="14059" spans="1:4" x14ac:dyDescent="0.2">
      <c r="A14059" s="496"/>
      <c r="D14059" s="496"/>
    </row>
    <row r="14060" spans="1:4" x14ac:dyDescent="0.2">
      <c r="A14060" s="496"/>
      <c r="D14060" s="496"/>
    </row>
    <row r="14061" spans="1:4" x14ac:dyDescent="0.2">
      <c r="A14061" s="496"/>
      <c r="D14061" s="496"/>
    </row>
    <row r="14062" spans="1:4" x14ac:dyDescent="0.2">
      <c r="A14062" s="496"/>
      <c r="D14062" s="496"/>
    </row>
    <row r="14063" spans="1:4" x14ac:dyDescent="0.2">
      <c r="A14063" s="496"/>
      <c r="D14063" s="496"/>
    </row>
    <row r="14064" spans="1:4" x14ac:dyDescent="0.2">
      <c r="A14064" s="496"/>
      <c r="D14064" s="496"/>
    </row>
    <row r="14065" spans="1:4" x14ac:dyDescent="0.2">
      <c r="A14065" s="496"/>
      <c r="D14065" s="496"/>
    </row>
    <row r="14066" spans="1:4" x14ac:dyDescent="0.2">
      <c r="A14066" s="496"/>
      <c r="D14066" s="496"/>
    </row>
    <row r="14067" spans="1:4" x14ac:dyDescent="0.2">
      <c r="A14067" s="496"/>
      <c r="D14067" s="496"/>
    </row>
    <row r="14068" spans="1:4" x14ac:dyDescent="0.2">
      <c r="A14068" s="496"/>
      <c r="D14068" s="496"/>
    </row>
    <row r="14069" spans="1:4" x14ac:dyDescent="0.2">
      <c r="A14069" s="496"/>
      <c r="D14069" s="496"/>
    </row>
    <row r="14070" spans="1:4" x14ac:dyDescent="0.2">
      <c r="A14070" s="496"/>
      <c r="D14070" s="496"/>
    </row>
    <row r="14071" spans="1:4" x14ac:dyDescent="0.2">
      <c r="A14071" s="496"/>
      <c r="D14071" s="496"/>
    </row>
    <row r="14072" spans="1:4" x14ac:dyDescent="0.2">
      <c r="A14072" s="496"/>
      <c r="D14072" s="496"/>
    </row>
    <row r="14073" spans="1:4" x14ac:dyDescent="0.2">
      <c r="A14073" s="496"/>
      <c r="D14073" s="496"/>
    </row>
    <row r="14074" spans="1:4" x14ac:dyDescent="0.2">
      <c r="A14074" s="496"/>
      <c r="D14074" s="496"/>
    </row>
    <row r="14075" spans="1:4" x14ac:dyDescent="0.2">
      <c r="A14075" s="496"/>
      <c r="D14075" s="496"/>
    </row>
    <row r="14076" spans="1:4" x14ac:dyDescent="0.2">
      <c r="A14076" s="496"/>
      <c r="D14076" s="496"/>
    </row>
    <row r="14077" spans="1:4" x14ac:dyDescent="0.2">
      <c r="A14077" s="496"/>
      <c r="D14077" s="496"/>
    </row>
    <row r="14078" spans="1:4" x14ac:dyDescent="0.2">
      <c r="A14078" s="496"/>
      <c r="D14078" s="496"/>
    </row>
    <row r="14079" spans="1:4" x14ac:dyDescent="0.2">
      <c r="A14079" s="496"/>
      <c r="D14079" s="496"/>
    </row>
    <row r="14080" spans="1:4" x14ac:dyDescent="0.2">
      <c r="A14080" s="496"/>
      <c r="D14080" s="496"/>
    </row>
    <row r="14081" spans="1:4" x14ac:dyDescent="0.2">
      <c r="A14081" s="496"/>
      <c r="D14081" s="496"/>
    </row>
    <row r="14082" spans="1:4" x14ac:dyDescent="0.2">
      <c r="A14082" s="496"/>
      <c r="D14082" s="496"/>
    </row>
    <row r="14083" spans="1:4" x14ac:dyDescent="0.2">
      <c r="A14083" s="496"/>
      <c r="D14083" s="496"/>
    </row>
    <row r="14084" spans="1:4" x14ac:dyDescent="0.2">
      <c r="A14084" s="496"/>
      <c r="D14084" s="496"/>
    </row>
    <row r="14085" spans="1:4" x14ac:dyDescent="0.2">
      <c r="A14085" s="496"/>
      <c r="D14085" s="496"/>
    </row>
    <row r="14086" spans="1:4" x14ac:dyDescent="0.2">
      <c r="A14086" s="496"/>
      <c r="D14086" s="496"/>
    </row>
    <row r="14087" spans="1:4" x14ac:dyDescent="0.2">
      <c r="A14087" s="496"/>
      <c r="D14087" s="496"/>
    </row>
    <row r="14088" spans="1:4" x14ac:dyDescent="0.2">
      <c r="A14088" s="496"/>
      <c r="D14088" s="496"/>
    </row>
    <row r="14089" spans="1:4" x14ac:dyDescent="0.2">
      <c r="A14089" s="496"/>
      <c r="D14089" s="496"/>
    </row>
    <row r="14090" spans="1:4" x14ac:dyDescent="0.2">
      <c r="A14090" s="496"/>
      <c r="D14090" s="496"/>
    </row>
    <row r="14091" spans="1:4" x14ac:dyDescent="0.2">
      <c r="A14091" s="496"/>
      <c r="D14091" s="496"/>
    </row>
    <row r="14092" spans="1:4" x14ac:dyDescent="0.2">
      <c r="A14092" s="496"/>
      <c r="D14092" s="496"/>
    </row>
    <row r="14093" spans="1:4" x14ac:dyDescent="0.2">
      <c r="A14093" s="496"/>
      <c r="D14093" s="496"/>
    </row>
    <row r="14094" spans="1:4" x14ac:dyDescent="0.2">
      <c r="A14094" s="496"/>
      <c r="D14094" s="496"/>
    </row>
    <row r="14095" spans="1:4" x14ac:dyDescent="0.2">
      <c r="A14095" s="496"/>
      <c r="D14095" s="496"/>
    </row>
    <row r="14096" spans="1:4" x14ac:dyDescent="0.2">
      <c r="A14096" s="496"/>
      <c r="D14096" s="496"/>
    </row>
    <row r="14097" spans="1:4" x14ac:dyDescent="0.2">
      <c r="A14097" s="496"/>
      <c r="D14097" s="496"/>
    </row>
    <row r="14098" spans="1:4" x14ac:dyDescent="0.2">
      <c r="A14098" s="496"/>
      <c r="D14098" s="496"/>
    </row>
    <row r="14099" spans="1:4" x14ac:dyDescent="0.2">
      <c r="A14099" s="496"/>
      <c r="D14099" s="496"/>
    </row>
    <row r="14100" spans="1:4" x14ac:dyDescent="0.2">
      <c r="A14100" s="496"/>
      <c r="D14100" s="496"/>
    </row>
    <row r="14101" spans="1:4" x14ac:dyDescent="0.2">
      <c r="A14101" s="496"/>
      <c r="D14101" s="496"/>
    </row>
    <row r="14102" spans="1:4" x14ac:dyDescent="0.2">
      <c r="A14102" s="496"/>
      <c r="D14102" s="496"/>
    </row>
    <row r="14103" spans="1:4" x14ac:dyDescent="0.2">
      <c r="A14103" s="496"/>
      <c r="D14103" s="496"/>
    </row>
    <row r="14104" spans="1:4" x14ac:dyDescent="0.2">
      <c r="A14104" s="496"/>
      <c r="D14104" s="496"/>
    </row>
    <row r="14105" spans="1:4" x14ac:dyDescent="0.2">
      <c r="A14105" s="496"/>
      <c r="D14105" s="496"/>
    </row>
    <row r="14106" spans="1:4" x14ac:dyDescent="0.2">
      <c r="A14106" s="496"/>
      <c r="D14106" s="496"/>
    </row>
    <row r="14107" spans="1:4" x14ac:dyDescent="0.2">
      <c r="A14107" s="496"/>
      <c r="D14107" s="496"/>
    </row>
    <row r="14108" spans="1:4" x14ac:dyDescent="0.2">
      <c r="A14108" s="496"/>
      <c r="D14108" s="496"/>
    </row>
    <row r="14109" spans="1:4" x14ac:dyDescent="0.2">
      <c r="A14109" s="496"/>
      <c r="D14109" s="496"/>
    </row>
    <row r="14110" spans="1:4" x14ac:dyDescent="0.2">
      <c r="A14110" s="496"/>
      <c r="D14110" s="496"/>
    </row>
    <row r="14111" spans="1:4" x14ac:dyDescent="0.2">
      <c r="A14111" s="496"/>
      <c r="D14111" s="496"/>
    </row>
    <row r="14112" spans="1:4" x14ac:dyDescent="0.2">
      <c r="A14112" s="496"/>
      <c r="D14112" s="496"/>
    </row>
    <row r="14113" spans="1:4" x14ac:dyDescent="0.2">
      <c r="A14113" s="496"/>
      <c r="D14113" s="496"/>
    </row>
    <row r="14114" spans="1:4" x14ac:dyDescent="0.2">
      <c r="A14114" s="496"/>
      <c r="D14114" s="496"/>
    </row>
    <row r="14115" spans="1:4" x14ac:dyDescent="0.2">
      <c r="A14115" s="496"/>
      <c r="D14115" s="496"/>
    </row>
    <row r="14116" spans="1:4" x14ac:dyDescent="0.2">
      <c r="A14116" s="496"/>
      <c r="D14116" s="496"/>
    </row>
    <row r="14117" spans="1:4" x14ac:dyDescent="0.2">
      <c r="A14117" s="496"/>
      <c r="D14117" s="496"/>
    </row>
    <row r="14118" spans="1:4" x14ac:dyDescent="0.2">
      <c r="A14118" s="496"/>
      <c r="D14118" s="496"/>
    </row>
    <row r="14119" spans="1:4" x14ac:dyDescent="0.2">
      <c r="A14119" s="496"/>
      <c r="D14119" s="496"/>
    </row>
    <row r="14120" spans="1:4" x14ac:dyDescent="0.2">
      <c r="A14120" s="496"/>
      <c r="D14120" s="496"/>
    </row>
    <row r="14121" spans="1:4" x14ac:dyDescent="0.2">
      <c r="A14121" s="496"/>
      <c r="D14121" s="496"/>
    </row>
    <row r="14122" spans="1:4" x14ac:dyDescent="0.2">
      <c r="A14122" s="496"/>
      <c r="D14122" s="496"/>
    </row>
    <row r="14123" spans="1:4" x14ac:dyDescent="0.2">
      <c r="A14123" s="496"/>
      <c r="D14123" s="496"/>
    </row>
    <row r="14124" spans="1:4" x14ac:dyDescent="0.2">
      <c r="A14124" s="496"/>
      <c r="D14124" s="496"/>
    </row>
    <row r="14125" spans="1:4" x14ac:dyDescent="0.2">
      <c r="A14125" s="496"/>
      <c r="D14125" s="496"/>
    </row>
    <row r="14126" spans="1:4" x14ac:dyDescent="0.2">
      <c r="A14126" s="496"/>
      <c r="D14126" s="496"/>
    </row>
    <row r="14127" spans="1:4" x14ac:dyDescent="0.2">
      <c r="A14127" s="496"/>
      <c r="D14127" s="496"/>
    </row>
    <row r="14128" spans="1:4" x14ac:dyDescent="0.2">
      <c r="A14128" s="496"/>
      <c r="D14128" s="496"/>
    </row>
    <row r="14129" spans="1:4" x14ac:dyDescent="0.2">
      <c r="A14129" s="496"/>
      <c r="D14129" s="496"/>
    </row>
    <row r="14130" spans="1:4" x14ac:dyDescent="0.2">
      <c r="A14130" s="496"/>
      <c r="D14130" s="496"/>
    </row>
    <row r="14131" spans="1:4" x14ac:dyDescent="0.2">
      <c r="A14131" s="496"/>
      <c r="D14131" s="496"/>
    </row>
    <row r="14132" spans="1:4" x14ac:dyDescent="0.2">
      <c r="A14132" s="496"/>
      <c r="D14132" s="496"/>
    </row>
    <row r="14133" spans="1:4" x14ac:dyDescent="0.2">
      <c r="A14133" s="496"/>
      <c r="D14133" s="496"/>
    </row>
    <row r="14134" spans="1:4" x14ac:dyDescent="0.2">
      <c r="A14134" s="496"/>
      <c r="D14134" s="496"/>
    </row>
    <row r="14135" spans="1:4" x14ac:dyDescent="0.2">
      <c r="A14135" s="496"/>
      <c r="D14135" s="496"/>
    </row>
    <row r="14136" spans="1:4" x14ac:dyDescent="0.2">
      <c r="A14136" s="496"/>
      <c r="D14136" s="496"/>
    </row>
    <row r="14137" spans="1:4" x14ac:dyDescent="0.2">
      <c r="A14137" s="496"/>
      <c r="D14137" s="496"/>
    </row>
    <row r="14138" spans="1:4" x14ac:dyDescent="0.2">
      <c r="A14138" s="496"/>
      <c r="D14138" s="496"/>
    </row>
    <row r="14139" spans="1:4" x14ac:dyDescent="0.2">
      <c r="A14139" s="496"/>
      <c r="D14139" s="496"/>
    </row>
    <row r="14140" spans="1:4" x14ac:dyDescent="0.2">
      <c r="A14140" s="496"/>
      <c r="D14140" s="496"/>
    </row>
    <row r="14141" spans="1:4" x14ac:dyDescent="0.2">
      <c r="A14141" s="496"/>
      <c r="D14141" s="496"/>
    </row>
    <row r="14142" spans="1:4" x14ac:dyDescent="0.2">
      <c r="A14142" s="496"/>
      <c r="D14142" s="496"/>
    </row>
    <row r="14143" spans="1:4" x14ac:dyDescent="0.2">
      <c r="A14143" s="496"/>
      <c r="D14143" s="496"/>
    </row>
    <row r="14144" spans="1:4" x14ac:dyDescent="0.2">
      <c r="A14144" s="496"/>
      <c r="D14144" s="496"/>
    </row>
    <row r="14145" spans="1:4" x14ac:dyDescent="0.2">
      <c r="A14145" s="496"/>
      <c r="D14145" s="496"/>
    </row>
    <row r="14146" spans="1:4" x14ac:dyDescent="0.2">
      <c r="A14146" s="496"/>
      <c r="D14146" s="496"/>
    </row>
    <row r="14147" spans="1:4" x14ac:dyDescent="0.2">
      <c r="A14147" s="496"/>
      <c r="D14147" s="496"/>
    </row>
    <row r="14148" spans="1:4" x14ac:dyDescent="0.2">
      <c r="A14148" s="496"/>
      <c r="D14148" s="496"/>
    </row>
    <row r="14149" spans="1:4" x14ac:dyDescent="0.2">
      <c r="A14149" s="496"/>
      <c r="D14149" s="496"/>
    </row>
    <row r="14150" spans="1:4" x14ac:dyDescent="0.2">
      <c r="A14150" s="496"/>
      <c r="D14150" s="496"/>
    </row>
    <row r="14151" spans="1:4" x14ac:dyDescent="0.2">
      <c r="A14151" s="496"/>
      <c r="D14151" s="496"/>
    </row>
    <row r="14152" spans="1:4" x14ac:dyDescent="0.2">
      <c r="A14152" s="496"/>
      <c r="D14152" s="496"/>
    </row>
    <row r="14153" spans="1:4" x14ac:dyDescent="0.2">
      <c r="A14153" s="496"/>
      <c r="D14153" s="496"/>
    </row>
    <row r="14154" spans="1:4" x14ac:dyDescent="0.2">
      <c r="A14154" s="496"/>
      <c r="D14154" s="496"/>
    </row>
    <row r="14155" spans="1:4" x14ac:dyDescent="0.2">
      <c r="A14155" s="496"/>
      <c r="D14155" s="496"/>
    </row>
    <row r="14156" spans="1:4" x14ac:dyDescent="0.2">
      <c r="A14156" s="496"/>
      <c r="D14156" s="496"/>
    </row>
    <row r="14157" spans="1:4" x14ac:dyDescent="0.2">
      <c r="A14157" s="496"/>
      <c r="D14157" s="496"/>
    </row>
    <row r="14158" spans="1:4" x14ac:dyDescent="0.2">
      <c r="A14158" s="496"/>
      <c r="D14158" s="496"/>
    </row>
    <row r="14159" spans="1:4" x14ac:dyDescent="0.2">
      <c r="A14159" s="496"/>
      <c r="D14159" s="496"/>
    </row>
    <row r="14160" spans="1:4" x14ac:dyDescent="0.2">
      <c r="A14160" s="496"/>
      <c r="D14160" s="496"/>
    </row>
    <row r="14161" spans="1:4" x14ac:dyDescent="0.2">
      <c r="A14161" s="496"/>
      <c r="D14161" s="496"/>
    </row>
    <row r="14162" spans="1:4" x14ac:dyDescent="0.2">
      <c r="A14162" s="496"/>
      <c r="D14162" s="496"/>
    </row>
    <row r="14163" spans="1:4" x14ac:dyDescent="0.2">
      <c r="A14163" s="496"/>
      <c r="D14163" s="496"/>
    </row>
    <row r="14164" spans="1:4" x14ac:dyDescent="0.2">
      <c r="A14164" s="496"/>
      <c r="D14164" s="496"/>
    </row>
    <row r="14165" spans="1:4" x14ac:dyDescent="0.2">
      <c r="A14165" s="496"/>
      <c r="D14165" s="496"/>
    </row>
    <row r="14166" spans="1:4" x14ac:dyDescent="0.2">
      <c r="A14166" s="496"/>
      <c r="D14166" s="496"/>
    </row>
    <row r="14167" spans="1:4" x14ac:dyDescent="0.2">
      <c r="A14167" s="496"/>
      <c r="D14167" s="496"/>
    </row>
    <row r="14168" spans="1:4" x14ac:dyDescent="0.2">
      <c r="A14168" s="496"/>
      <c r="D14168" s="496"/>
    </row>
    <row r="14169" spans="1:4" x14ac:dyDescent="0.2">
      <c r="A14169" s="496"/>
      <c r="D14169" s="496"/>
    </row>
    <row r="14170" spans="1:4" x14ac:dyDescent="0.2">
      <c r="A14170" s="496"/>
      <c r="D14170" s="496"/>
    </row>
    <row r="14171" spans="1:4" x14ac:dyDescent="0.2">
      <c r="A14171" s="496"/>
      <c r="D14171" s="496"/>
    </row>
    <row r="14172" spans="1:4" x14ac:dyDescent="0.2">
      <c r="A14172" s="496"/>
      <c r="D14172" s="496"/>
    </row>
    <row r="14173" spans="1:4" x14ac:dyDescent="0.2">
      <c r="A14173" s="496"/>
      <c r="D14173" s="496"/>
    </row>
    <row r="14174" spans="1:4" x14ac:dyDescent="0.2">
      <c r="A14174" s="496"/>
      <c r="D14174" s="496"/>
    </row>
    <row r="14175" spans="1:4" x14ac:dyDescent="0.2">
      <c r="A14175" s="496"/>
      <c r="D14175" s="496"/>
    </row>
    <row r="14176" spans="1:4" x14ac:dyDescent="0.2">
      <c r="A14176" s="496"/>
      <c r="D14176" s="496"/>
    </row>
    <row r="14177" spans="1:4" x14ac:dyDescent="0.2">
      <c r="A14177" s="496"/>
      <c r="D14177" s="496"/>
    </row>
    <row r="14178" spans="1:4" x14ac:dyDescent="0.2">
      <c r="A14178" s="496"/>
      <c r="D14178" s="496"/>
    </row>
    <row r="14179" spans="1:4" x14ac:dyDescent="0.2">
      <c r="A14179" s="496"/>
      <c r="D14179" s="496"/>
    </row>
    <row r="14180" spans="1:4" x14ac:dyDescent="0.2">
      <c r="A14180" s="496"/>
      <c r="D14180" s="496"/>
    </row>
    <row r="14181" spans="1:4" x14ac:dyDescent="0.2">
      <c r="A14181" s="496"/>
      <c r="D14181" s="496"/>
    </row>
    <row r="14182" spans="1:4" x14ac:dyDescent="0.2">
      <c r="A14182" s="496"/>
      <c r="D14182" s="496"/>
    </row>
    <row r="14183" spans="1:4" x14ac:dyDescent="0.2">
      <c r="A14183" s="496"/>
      <c r="D14183" s="496"/>
    </row>
    <row r="14184" spans="1:4" x14ac:dyDescent="0.2">
      <c r="A14184" s="496"/>
      <c r="D14184" s="496"/>
    </row>
    <row r="14185" spans="1:4" x14ac:dyDescent="0.2">
      <c r="A14185" s="496"/>
      <c r="D14185" s="496"/>
    </row>
    <row r="14186" spans="1:4" x14ac:dyDescent="0.2">
      <c r="A14186" s="496"/>
      <c r="D14186" s="496"/>
    </row>
    <row r="14187" spans="1:4" x14ac:dyDescent="0.2">
      <c r="A14187" s="496"/>
      <c r="D14187" s="496"/>
    </row>
    <row r="14188" spans="1:4" x14ac:dyDescent="0.2">
      <c r="A14188" s="496"/>
      <c r="D14188" s="496"/>
    </row>
    <row r="14189" spans="1:4" x14ac:dyDescent="0.2">
      <c r="A14189" s="496"/>
      <c r="D14189" s="496"/>
    </row>
    <row r="14190" spans="1:4" x14ac:dyDescent="0.2">
      <c r="A14190" s="496"/>
      <c r="D14190" s="496"/>
    </row>
    <row r="14191" spans="1:4" x14ac:dyDescent="0.2">
      <c r="A14191" s="496"/>
      <c r="D14191" s="496"/>
    </row>
    <row r="14192" spans="1:4" x14ac:dyDescent="0.2">
      <c r="A14192" s="496"/>
      <c r="D14192" s="496"/>
    </row>
    <row r="14193" spans="1:4" x14ac:dyDescent="0.2">
      <c r="A14193" s="496"/>
      <c r="D14193" s="496"/>
    </row>
    <row r="14194" spans="1:4" x14ac:dyDescent="0.2">
      <c r="A14194" s="496"/>
      <c r="D14194" s="496"/>
    </row>
    <row r="14195" spans="1:4" x14ac:dyDescent="0.2">
      <c r="A14195" s="496"/>
      <c r="D14195" s="496"/>
    </row>
    <row r="14196" spans="1:4" x14ac:dyDescent="0.2">
      <c r="A14196" s="496"/>
      <c r="D14196" s="496"/>
    </row>
    <row r="14197" spans="1:4" x14ac:dyDescent="0.2">
      <c r="A14197" s="496"/>
      <c r="D14197" s="496"/>
    </row>
    <row r="14198" spans="1:4" x14ac:dyDescent="0.2">
      <c r="A14198" s="496"/>
      <c r="D14198" s="496"/>
    </row>
    <row r="14199" spans="1:4" x14ac:dyDescent="0.2">
      <c r="A14199" s="496"/>
      <c r="D14199" s="496"/>
    </row>
    <row r="14200" spans="1:4" x14ac:dyDescent="0.2">
      <c r="A14200" s="496"/>
      <c r="D14200" s="496"/>
    </row>
    <row r="14201" spans="1:4" x14ac:dyDescent="0.2">
      <c r="A14201" s="496"/>
      <c r="D14201" s="496"/>
    </row>
    <row r="14202" spans="1:4" x14ac:dyDescent="0.2">
      <c r="A14202" s="496"/>
      <c r="D14202" s="496"/>
    </row>
    <row r="14203" spans="1:4" x14ac:dyDescent="0.2">
      <c r="A14203" s="496"/>
      <c r="D14203" s="496"/>
    </row>
    <row r="14204" spans="1:4" x14ac:dyDescent="0.2">
      <c r="A14204" s="496"/>
      <c r="D14204" s="496"/>
    </row>
    <row r="14205" spans="1:4" x14ac:dyDescent="0.2">
      <c r="A14205" s="496"/>
      <c r="D14205" s="496"/>
    </row>
    <row r="14206" spans="1:4" x14ac:dyDescent="0.2">
      <c r="A14206" s="496"/>
      <c r="D14206" s="496"/>
    </row>
    <row r="14207" spans="1:4" x14ac:dyDescent="0.2">
      <c r="A14207" s="496"/>
      <c r="D14207" s="496"/>
    </row>
    <row r="14208" spans="1:4" x14ac:dyDescent="0.2">
      <c r="A14208" s="496"/>
      <c r="D14208" s="496"/>
    </row>
    <row r="14209" spans="1:4" x14ac:dyDescent="0.2">
      <c r="A14209" s="496"/>
      <c r="D14209" s="496"/>
    </row>
    <row r="14210" spans="1:4" x14ac:dyDescent="0.2">
      <c r="A14210" s="496"/>
      <c r="D14210" s="496"/>
    </row>
    <row r="14211" spans="1:4" x14ac:dyDescent="0.2">
      <c r="A14211" s="496"/>
      <c r="D14211" s="496"/>
    </row>
    <row r="14212" spans="1:4" x14ac:dyDescent="0.2">
      <c r="A14212" s="496"/>
      <c r="D14212" s="496"/>
    </row>
    <row r="14213" spans="1:4" x14ac:dyDescent="0.2">
      <c r="A14213" s="496"/>
      <c r="D14213" s="496"/>
    </row>
    <row r="14214" spans="1:4" x14ac:dyDescent="0.2">
      <c r="A14214" s="496"/>
      <c r="D14214" s="496"/>
    </row>
    <row r="14215" spans="1:4" x14ac:dyDescent="0.2">
      <c r="A14215" s="496"/>
      <c r="D14215" s="496"/>
    </row>
    <row r="14216" spans="1:4" x14ac:dyDescent="0.2">
      <c r="A14216" s="496"/>
      <c r="D14216" s="496"/>
    </row>
    <row r="14217" spans="1:4" x14ac:dyDescent="0.2">
      <c r="A14217" s="496"/>
      <c r="D14217" s="496"/>
    </row>
    <row r="14218" spans="1:4" x14ac:dyDescent="0.2">
      <c r="A14218" s="496"/>
      <c r="D14218" s="496"/>
    </row>
    <row r="14219" spans="1:4" x14ac:dyDescent="0.2">
      <c r="A14219" s="496"/>
      <c r="D14219" s="496"/>
    </row>
    <row r="14220" spans="1:4" x14ac:dyDescent="0.2">
      <c r="A14220" s="496"/>
      <c r="D14220" s="496"/>
    </row>
    <row r="14221" spans="1:4" x14ac:dyDescent="0.2">
      <c r="A14221" s="496"/>
      <c r="D14221" s="496"/>
    </row>
    <row r="14222" spans="1:4" x14ac:dyDescent="0.2">
      <c r="A14222" s="496"/>
      <c r="D14222" s="496"/>
    </row>
    <row r="14223" spans="1:4" x14ac:dyDescent="0.2">
      <c r="A14223" s="496"/>
      <c r="D14223" s="496"/>
    </row>
    <row r="14224" spans="1:4" x14ac:dyDescent="0.2">
      <c r="A14224" s="496"/>
      <c r="D14224" s="496"/>
    </row>
    <row r="14225" spans="1:4" x14ac:dyDescent="0.2">
      <c r="A14225" s="496"/>
      <c r="D14225" s="496"/>
    </row>
    <row r="14226" spans="1:4" x14ac:dyDescent="0.2">
      <c r="A14226" s="496"/>
      <c r="D14226" s="496"/>
    </row>
    <row r="14227" spans="1:4" x14ac:dyDescent="0.2">
      <c r="A14227" s="496"/>
      <c r="D14227" s="496"/>
    </row>
    <row r="14228" spans="1:4" x14ac:dyDescent="0.2">
      <c r="A14228" s="496"/>
      <c r="D14228" s="496"/>
    </row>
    <row r="14229" spans="1:4" x14ac:dyDescent="0.2">
      <c r="A14229" s="496"/>
      <c r="D14229" s="496"/>
    </row>
    <row r="14230" spans="1:4" x14ac:dyDescent="0.2">
      <c r="A14230" s="496"/>
      <c r="D14230" s="496"/>
    </row>
    <row r="14231" spans="1:4" x14ac:dyDescent="0.2">
      <c r="A14231" s="496"/>
      <c r="D14231" s="496"/>
    </row>
    <row r="14232" spans="1:4" x14ac:dyDescent="0.2">
      <c r="A14232" s="496"/>
      <c r="D14232" s="496"/>
    </row>
    <row r="14233" spans="1:4" x14ac:dyDescent="0.2">
      <c r="A14233" s="496"/>
      <c r="D14233" s="496"/>
    </row>
    <row r="14234" spans="1:4" x14ac:dyDescent="0.2">
      <c r="A14234" s="496"/>
      <c r="D14234" s="496"/>
    </row>
    <row r="14235" spans="1:4" x14ac:dyDescent="0.2">
      <c r="A14235" s="496"/>
      <c r="D14235" s="496"/>
    </row>
    <row r="14236" spans="1:4" x14ac:dyDescent="0.2">
      <c r="A14236" s="496"/>
      <c r="D14236" s="496"/>
    </row>
    <row r="14237" spans="1:4" x14ac:dyDescent="0.2">
      <c r="A14237" s="496"/>
      <c r="D14237" s="496"/>
    </row>
    <row r="14238" spans="1:4" x14ac:dyDescent="0.2">
      <c r="A14238" s="496"/>
      <c r="D14238" s="496"/>
    </row>
    <row r="14239" spans="1:4" x14ac:dyDescent="0.2">
      <c r="A14239" s="496"/>
      <c r="D14239" s="496"/>
    </row>
    <row r="14240" spans="1:4" x14ac:dyDescent="0.2">
      <c r="A14240" s="496"/>
      <c r="D14240" s="496"/>
    </row>
    <row r="14241" spans="1:4" x14ac:dyDescent="0.2">
      <c r="A14241" s="496"/>
      <c r="D14241" s="496"/>
    </row>
    <row r="14242" spans="1:4" x14ac:dyDescent="0.2">
      <c r="A14242" s="496"/>
      <c r="D14242" s="496"/>
    </row>
    <row r="14243" spans="1:4" x14ac:dyDescent="0.2">
      <c r="A14243" s="496"/>
      <c r="D14243" s="496"/>
    </row>
    <row r="14244" spans="1:4" x14ac:dyDescent="0.2">
      <c r="A14244" s="496"/>
      <c r="D14244" s="496"/>
    </row>
    <row r="14245" spans="1:4" x14ac:dyDescent="0.2">
      <c r="A14245" s="496"/>
      <c r="D14245" s="496"/>
    </row>
    <row r="14246" spans="1:4" x14ac:dyDescent="0.2">
      <c r="A14246" s="496"/>
      <c r="D14246" s="496"/>
    </row>
    <row r="14247" spans="1:4" x14ac:dyDescent="0.2">
      <c r="A14247" s="496"/>
      <c r="D14247" s="496"/>
    </row>
    <row r="14248" spans="1:4" x14ac:dyDescent="0.2">
      <c r="A14248" s="496"/>
      <c r="D14248" s="496"/>
    </row>
    <row r="14249" spans="1:4" x14ac:dyDescent="0.2">
      <c r="A14249" s="496"/>
      <c r="D14249" s="496"/>
    </row>
    <row r="14250" spans="1:4" x14ac:dyDescent="0.2">
      <c r="A14250" s="496"/>
      <c r="D14250" s="496"/>
    </row>
    <row r="14251" spans="1:4" x14ac:dyDescent="0.2">
      <c r="A14251" s="496"/>
      <c r="D14251" s="496"/>
    </row>
    <row r="14252" spans="1:4" x14ac:dyDescent="0.2">
      <c r="A14252" s="496"/>
      <c r="D14252" s="496"/>
    </row>
    <row r="14253" spans="1:4" x14ac:dyDescent="0.2">
      <c r="A14253" s="496"/>
      <c r="D14253" s="496"/>
    </row>
    <row r="14254" spans="1:4" x14ac:dyDescent="0.2">
      <c r="A14254" s="496"/>
      <c r="D14254" s="496"/>
    </row>
    <row r="14255" spans="1:4" x14ac:dyDescent="0.2">
      <c r="A14255" s="496"/>
      <c r="D14255" s="496"/>
    </row>
    <row r="14256" spans="1:4" x14ac:dyDescent="0.2">
      <c r="A14256" s="496"/>
      <c r="D14256" s="496"/>
    </row>
    <row r="14257" spans="1:4" x14ac:dyDescent="0.2">
      <c r="A14257" s="496"/>
      <c r="D14257" s="496"/>
    </row>
    <row r="14258" spans="1:4" x14ac:dyDescent="0.2">
      <c r="A14258" s="496"/>
      <c r="D14258" s="496"/>
    </row>
    <row r="14259" spans="1:4" x14ac:dyDescent="0.2">
      <c r="A14259" s="496"/>
      <c r="D14259" s="496"/>
    </row>
    <row r="14260" spans="1:4" x14ac:dyDescent="0.2">
      <c r="A14260" s="496"/>
      <c r="D14260" s="496"/>
    </row>
    <row r="14261" spans="1:4" x14ac:dyDescent="0.2">
      <c r="A14261" s="496"/>
      <c r="D14261" s="496"/>
    </row>
    <row r="14262" spans="1:4" x14ac:dyDescent="0.2">
      <c r="A14262" s="496"/>
      <c r="D14262" s="496"/>
    </row>
    <row r="14263" spans="1:4" x14ac:dyDescent="0.2">
      <c r="A14263" s="496"/>
      <c r="D14263" s="496"/>
    </row>
    <row r="14264" spans="1:4" x14ac:dyDescent="0.2">
      <c r="A14264" s="496"/>
      <c r="D14264" s="496"/>
    </row>
    <row r="14265" spans="1:4" x14ac:dyDescent="0.2">
      <c r="A14265" s="496"/>
      <c r="D14265" s="496"/>
    </row>
    <row r="14266" spans="1:4" x14ac:dyDescent="0.2">
      <c r="A14266" s="496"/>
      <c r="D14266" s="496"/>
    </row>
    <row r="14267" spans="1:4" x14ac:dyDescent="0.2">
      <c r="A14267" s="496"/>
      <c r="D14267" s="496"/>
    </row>
    <row r="14268" spans="1:4" x14ac:dyDescent="0.2">
      <c r="A14268" s="496"/>
      <c r="D14268" s="496"/>
    </row>
    <row r="14269" spans="1:4" x14ac:dyDescent="0.2">
      <c r="A14269" s="496"/>
      <c r="D14269" s="496"/>
    </row>
    <row r="14270" spans="1:4" x14ac:dyDescent="0.2">
      <c r="A14270" s="496"/>
      <c r="D14270" s="496"/>
    </row>
    <row r="14271" spans="1:4" x14ac:dyDescent="0.2">
      <c r="A14271" s="496"/>
      <c r="D14271" s="496"/>
    </row>
    <row r="14272" spans="1:4" x14ac:dyDescent="0.2">
      <c r="A14272" s="496"/>
      <c r="D14272" s="496"/>
    </row>
    <row r="14273" spans="1:4" x14ac:dyDescent="0.2">
      <c r="A14273" s="496"/>
      <c r="D14273" s="496"/>
    </row>
    <row r="14274" spans="1:4" x14ac:dyDescent="0.2">
      <c r="A14274" s="496"/>
      <c r="D14274" s="496"/>
    </row>
    <row r="14275" spans="1:4" x14ac:dyDescent="0.2">
      <c r="A14275" s="496"/>
      <c r="D14275" s="496"/>
    </row>
    <row r="14276" spans="1:4" x14ac:dyDescent="0.2">
      <c r="A14276" s="496"/>
      <c r="D14276" s="496"/>
    </row>
    <row r="14277" spans="1:4" x14ac:dyDescent="0.2">
      <c r="A14277" s="496"/>
      <c r="D14277" s="496"/>
    </row>
    <row r="14278" spans="1:4" x14ac:dyDescent="0.2">
      <c r="A14278" s="496"/>
      <c r="D14278" s="496"/>
    </row>
    <row r="14279" spans="1:4" x14ac:dyDescent="0.2">
      <c r="A14279" s="496"/>
      <c r="D14279" s="496"/>
    </row>
    <row r="14280" spans="1:4" x14ac:dyDescent="0.2">
      <c r="A14280" s="496"/>
      <c r="D14280" s="496"/>
    </row>
    <row r="14281" spans="1:4" x14ac:dyDescent="0.2">
      <c r="A14281" s="496"/>
      <c r="D14281" s="496"/>
    </row>
    <row r="14282" spans="1:4" x14ac:dyDescent="0.2">
      <c r="A14282" s="496"/>
      <c r="D14282" s="496"/>
    </row>
    <row r="14283" spans="1:4" x14ac:dyDescent="0.2">
      <c r="A14283" s="496"/>
      <c r="D14283" s="496"/>
    </row>
    <row r="14284" spans="1:4" x14ac:dyDescent="0.2">
      <c r="A14284" s="496"/>
      <c r="D14284" s="496"/>
    </row>
    <row r="14285" spans="1:4" x14ac:dyDescent="0.2">
      <c r="A14285" s="496"/>
      <c r="D14285" s="496"/>
    </row>
    <row r="14286" spans="1:4" x14ac:dyDescent="0.2">
      <c r="A14286" s="496"/>
      <c r="D14286" s="496"/>
    </row>
    <row r="14287" spans="1:4" x14ac:dyDescent="0.2">
      <c r="A14287" s="496"/>
      <c r="D14287" s="496"/>
    </row>
    <row r="14288" spans="1:4" x14ac:dyDescent="0.2">
      <c r="A14288" s="496"/>
      <c r="D14288" s="496"/>
    </row>
    <row r="14289" spans="1:4" x14ac:dyDescent="0.2">
      <c r="A14289" s="496"/>
      <c r="D14289" s="496"/>
    </row>
    <row r="14290" spans="1:4" x14ac:dyDescent="0.2">
      <c r="A14290" s="496"/>
      <c r="D14290" s="496"/>
    </row>
    <row r="14291" spans="1:4" x14ac:dyDescent="0.2">
      <c r="A14291" s="496"/>
      <c r="D14291" s="496"/>
    </row>
    <row r="14292" spans="1:4" x14ac:dyDescent="0.2">
      <c r="A14292" s="496"/>
      <c r="D14292" s="496"/>
    </row>
    <row r="14293" spans="1:4" x14ac:dyDescent="0.2">
      <c r="A14293" s="496"/>
      <c r="D14293" s="496"/>
    </row>
    <row r="14294" spans="1:4" x14ac:dyDescent="0.2">
      <c r="A14294" s="496"/>
      <c r="D14294" s="496"/>
    </row>
    <row r="14295" spans="1:4" x14ac:dyDescent="0.2">
      <c r="A14295" s="496"/>
      <c r="D14295" s="496"/>
    </row>
    <row r="14296" spans="1:4" x14ac:dyDescent="0.2">
      <c r="A14296" s="496"/>
      <c r="D14296" s="496"/>
    </row>
    <row r="14297" spans="1:4" x14ac:dyDescent="0.2">
      <c r="A14297" s="496"/>
      <c r="D14297" s="496"/>
    </row>
    <row r="14298" spans="1:4" x14ac:dyDescent="0.2">
      <c r="A14298" s="496"/>
      <c r="D14298" s="496"/>
    </row>
    <row r="14299" spans="1:4" x14ac:dyDescent="0.2">
      <c r="A14299" s="496"/>
      <c r="D14299" s="496"/>
    </row>
    <row r="14300" spans="1:4" x14ac:dyDescent="0.2">
      <c r="A14300" s="496"/>
      <c r="D14300" s="496"/>
    </row>
    <row r="14301" spans="1:4" x14ac:dyDescent="0.2">
      <c r="A14301" s="496"/>
      <c r="D14301" s="496"/>
    </row>
    <row r="14302" spans="1:4" x14ac:dyDescent="0.2">
      <c r="A14302" s="496"/>
      <c r="D14302" s="496"/>
    </row>
    <row r="14303" spans="1:4" x14ac:dyDescent="0.2">
      <c r="A14303" s="496"/>
      <c r="D14303" s="496"/>
    </row>
    <row r="14304" spans="1:4" x14ac:dyDescent="0.2">
      <c r="A14304" s="496"/>
      <c r="D14304" s="496"/>
    </row>
    <row r="14305" spans="1:4" x14ac:dyDescent="0.2">
      <c r="A14305" s="496"/>
      <c r="D14305" s="496"/>
    </row>
    <row r="14306" spans="1:4" x14ac:dyDescent="0.2">
      <c r="A14306" s="496"/>
      <c r="D14306" s="496"/>
    </row>
    <row r="14307" spans="1:4" x14ac:dyDescent="0.2">
      <c r="A14307" s="496"/>
      <c r="D14307" s="496"/>
    </row>
    <row r="14308" spans="1:4" x14ac:dyDescent="0.2">
      <c r="A14308" s="496"/>
      <c r="D14308" s="496"/>
    </row>
    <row r="14309" spans="1:4" x14ac:dyDescent="0.2">
      <c r="A14309" s="496"/>
      <c r="D14309" s="496"/>
    </row>
    <row r="14310" spans="1:4" x14ac:dyDescent="0.2">
      <c r="A14310" s="496"/>
      <c r="D14310" s="496"/>
    </row>
    <row r="14311" spans="1:4" x14ac:dyDescent="0.2">
      <c r="A14311" s="496"/>
      <c r="D14311" s="496"/>
    </row>
    <row r="14312" spans="1:4" x14ac:dyDescent="0.2">
      <c r="A14312" s="496"/>
      <c r="D14312" s="496"/>
    </row>
    <row r="14313" spans="1:4" x14ac:dyDescent="0.2">
      <c r="A14313" s="496"/>
      <c r="D14313" s="496"/>
    </row>
    <row r="14314" spans="1:4" x14ac:dyDescent="0.2">
      <c r="A14314" s="496"/>
      <c r="D14314" s="496"/>
    </row>
    <row r="14315" spans="1:4" x14ac:dyDescent="0.2">
      <c r="A14315" s="496"/>
      <c r="D14315" s="496"/>
    </row>
    <row r="14316" spans="1:4" x14ac:dyDescent="0.2">
      <c r="A14316" s="496"/>
      <c r="D14316" s="496"/>
    </row>
    <row r="14317" spans="1:4" x14ac:dyDescent="0.2">
      <c r="A14317" s="496"/>
      <c r="D14317" s="496"/>
    </row>
    <row r="14318" spans="1:4" x14ac:dyDescent="0.2">
      <c r="A14318" s="496"/>
      <c r="D14318" s="496"/>
    </row>
    <row r="14319" spans="1:4" x14ac:dyDescent="0.2">
      <c r="A14319" s="496"/>
      <c r="D14319" s="496"/>
    </row>
    <row r="14320" spans="1:4" x14ac:dyDescent="0.2">
      <c r="A14320" s="496"/>
      <c r="D14320" s="496"/>
    </row>
    <row r="14321" spans="1:4" x14ac:dyDescent="0.2">
      <c r="A14321" s="496"/>
      <c r="D14321" s="496"/>
    </row>
    <row r="14322" spans="1:4" x14ac:dyDescent="0.2">
      <c r="A14322" s="496"/>
      <c r="D14322" s="496"/>
    </row>
    <row r="14323" spans="1:4" x14ac:dyDescent="0.2">
      <c r="A14323" s="496"/>
      <c r="D14323" s="496"/>
    </row>
    <row r="14324" spans="1:4" x14ac:dyDescent="0.2">
      <c r="A14324" s="496"/>
      <c r="D14324" s="496"/>
    </row>
    <row r="14325" spans="1:4" x14ac:dyDescent="0.2">
      <c r="A14325" s="496"/>
      <c r="D14325" s="496"/>
    </row>
    <row r="14326" spans="1:4" x14ac:dyDescent="0.2">
      <c r="A14326" s="496"/>
      <c r="D14326" s="496"/>
    </row>
    <row r="14327" spans="1:4" x14ac:dyDescent="0.2">
      <c r="A14327" s="496"/>
      <c r="D14327" s="496"/>
    </row>
    <row r="14328" spans="1:4" x14ac:dyDescent="0.2">
      <c r="A14328" s="496"/>
      <c r="D14328" s="496"/>
    </row>
    <row r="14329" spans="1:4" x14ac:dyDescent="0.2">
      <c r="A14329" s="496"/>
      <c r="D14329" s="496"/>
    </row>
    <row r="14330" spans="1:4" x14ac:dyDescent="0.2">
      <c r="A14330" s="496"/>
      <c r="D14330" s="496"/>
    </row>
    <row r="14331" spans="1:4" x14ac:dyDescent="0.2">
      <c r="A14331" s="496"/>
      <c r="D14331" s="496"/>
    </row>
    <row r="14332" spans="1:4" x14ac:dyDescent="0.2">
      <c r="A14332" s="496"/>
      <c r="D14332" s="496"/>
    </row>
    <row r="14333" spans="1:4" x14ac:dyDescent="0.2">
      <c r="A14333" s="496"/>
      <c r="D14333" s="496"/>
    </row>
    <row r="14334" spans="1:4" x14ac:dyDescent="0.2">
      <c r="A14334" s="496"/>
      <c r="D14334" s="496"/>
    </row>
    <row r="14335" spans="1:4" x14ac:dyDescent="0.2">
      <c r="A14335" s="496"/>
      <c r="D14335" s="496"/>
    </row>
    <row r="14336" spans="1:4" x14ac:dyDescent="0.2">
      <c r="A14336" s="496"/>
      <c r="D14336" s="496"/>
    </row>
    <row r="14337" spans="1:4" x14ac:dyDescent="0.2">
      <c r="A14337" s="496"/>
      <c r="D14337" s="496"/>
    </row>
    <row r="14338" spans="1:4" x14ac:dyDescent="0.2">
      <c r="A14338" s="496"/>
      <c r="D14338" s="496"/>
    </row>
    <row r="14339" spans="1:4" x14ac:dyDescent="0.2">
      <c r="A14339" s="496"/>
      <c r="D14339" s="496"/>
    </row>
    <row r="14340" spans="1:4" x14ac:dyDescent="0.2">
      <c r="A14340" s="496"/>
      <c r="D14340" s="496"/>
    </row>
    <row r="14341" spans="1:4" x14ac:dyDescent="0.2">
      <c r="A14341" s="496"/>
      <c r="D14341" s="496"/>
    </row>
    <row r="14342" spans="1:4" x14ac:dyDescent="0.2">
      <c r="A14342" s="496"/>
      <c r="D14342" s="496"/>
    </row>
    <row r="14343" spans="1:4" x14ac:dyDescent="0.2">
      <c r="A14343" s="496"/>
      <c r="D14343" s="496"/>
    </row>
    <row r="14344" spans="1:4" x14ac:dyDescent="0.2">
      <c r="A14344" s="496"/>
      <c r="D14344" s="496"/>
    </row>
    <row r="14345" spans="1:4" x14ac:dyDescent="0.2">
      <c r="A14345" s="496"/>
      <c r="D14345" s="496"/>
    </row>
    <row r="14346" spans="1:4" x14ac:dyDescent="0.2">
      <c r="A14346" s="496"/>
      <c r="D14346" s="496"/>
    </row>
    <row r="14347" spans="1:4" x14ac:dyDescent="0.2">
      <c r="A14347" s="496"/>
      <c r="D14347" s="496"/>
    </row>
    <row r="14348" spans="1:4" x14ac:dyDescent="0.2">
      <c r="A14348" s="496"/>
      <c r="D14348" s="496"/>
    </row>
    <row r="14349" spans="1:4" x14ac:dyDescent="0.2">
      <c r="A14349" s="496"/>
      <c r="D14349" s="496"/>
    </row>
    <row r="14350" spans="1:4" x14ac:dyDescent="0.2">
      <c r="A14350" s="496"/>
      <c r="D14350" s="496"/>
    </row>
    <row r="14351" spans="1:4" x14ac:dyDescent="0.2">
      <c r="A14351" s="496"/>
      <c r="D14351" s="496"/>
    </row>
    <row r="14352" spans="1:4" x14ac:dyDescent="0.2">
      <c r="A14352" s="496"/>
      <c r="D14352" s="496"/>
    </row>
    <row r="14353" spans="1:4" x14ac:dyDescent="0.2">
      <c r="A14353" s="496"/>
      <c r="D14353" s="496"/>
    </row>
    <row r="14354" spans="1:4" x14ac:dyDescent="0.2">
      <c r="A14354" s="496"/>
      <c r="D14354" s="496"/>
    </row>
    <row r="14355" spans="1:4" x14ac:dyDescent="0.2">
      <c r="A14355" s="496"/>
      <c r="D14355" s="496"/>
    </row>
    <row r="14356" spans="1:4" x14ac:dyDescent="0.2">
      <c r="A14356" s="496"/>
      <c r="D14356" s="496"/>
    </row>
    <row r="14357" spans="1:4" x14ac:dyDescent="0.2">
      <c r="A14357" s="496"/>
      <c r="D14357" s="496"/>
    </row>
    <row r="14358" spans="1:4" x14ac:dyDescent="0.2">
      <c r="A14358" s="496"/>
      <c r="D14358" s="496"/>
    </row>
    <row r="14359" spans="1:4" x14ac:dyDescent="0.2">
      <c r="A14359" s="496"/>
      <c r="D14359" s="496"/>
    </row>
    <row r="14360" spans="1:4" x14ac:dyDescent="0.2">
      <c r="A14360" s="496"/>
      <c r="D14360" s="496"/>
    </row>
    <row r="14361" spans="1:4" x14ac:dyDescent="0.2">
      <c r="A14361" s="496"/>
      <c r="D14361" s="496"/>
    </row>
    <row r="14362" spans="1:4" x14ac:dyDescent="0.2">
      <c r="A14362" s="496"/>
      <c r="D14362" s="496"/>
    </row>
    <row r="14363" spans="1:4" x14ac:dyDescent="0.2">
      <c r="A14363" s="496"/>
      <c r="D14363" s="496"/>
    </row>
    <row r="14364" spans="1:4" x14ac:dyDescent="0.2">
      <c r="A14364" s="496"/>
      <c r="D14364" s="496"/>
    </row>
    <row r="14365" spans="1:4" x14ac:dyDescent="0.2">
      <c r="A14365" s="496"/>
      <c r="D14365" s="496"/>
    </row>
    <row r="14366" spans="1:4" x14ac:dyDescent="0.2">
      <c r="A14366" s="496"/>
      <c r="D14366" s="496"/>
    </row>
    <row r="14367" spans="1:4" x14ac:dyDescent="0.2">
      <c r="A14367" s="496"/>
      <c r="D14367" s="496"/>
    </row>
    <row r="14368" spans="1:4" x14ac:dyDescent="0.2">
      <c r="A14368" s="496"/>
      <c r="D14368" s="496"/>
    </row>
    <row r="14369" spans="1:4" x14ac:dyDescent="0.2">
      <c r="A14369" s="496"/>
      <c r="D14369" s="496"/>
    </row>
    <row r="14370" spans="1:4" x14ac:dyDescent="0.2">
      <c r="A14370" s="496"/>
      <c r="D14370" s="496"/>
    </row>
    <row r="14371" spans="1:4" x14ac:dyDescent="0.2">
      <c r="A14371" s="496"/>
      <c r="D14371" s="496"/>
    </row>
    <row r="14372" spans="1:4" x14ac:dyDescent="0.2">
      <c r="A14372" s="496"/>
      <c r="D14372" s="496"/>
    </row>
    <row r="14373" spans="1:4" x14ac:dyDescent="0.2">
      <c r="A14373" s="496"/>
      <c r="D14373" s="496"/>
    </row>
    <row r="14374" spans="1:4" x14ac:dyDescent="0.2">
      <c r="A14374" s="496"/>
      <c r="D14374" s="496"/>
    </row>
    <row r="14375" spans="1:4" x14ac:dyDescent="0.2">
      <c r="A14375" s="496"/>
      <c r="D14375" s="496"/>
    </row>
    <row r="14376" spans="1:4" x14ac:dyDescent="0.2">
      <c r="A14376" s="496"/>
      <c r="D14376" s="496"/>
    </row>
    <row r="14377" spans="1:4" x14ac:dyDescent="0.2">
      <c r="A14377" s="496"/>
      <c r="D14377" s="496"/>
    </row>
    <row r="14378" spans="1:4" x14ac:dyDescent="0.2">
      <c r="A14378" s="496"/>
      <c r="D14378" s="496"/>
    </row>
    <row r="14379" spans="1:4" x14ac:dyDescent="0.2">
      <c r="A14379" s="496"/>
      <c r="D14379" s="496"/>
    </row>
    <row r="14380" spans="1:4" x14ac:dyDescent="0.2">
      <c r="A14380" s="496"/>
      <c r="D14380" s="496"/>
    </row>
    <row r="14381" spans="1:4" x14ac:dyDescent="0.2">
      <c r="A14381" s="496"/>
      <c r="D14381" s="496"/>
    </row>
    <row r="14382" spans="1:4" x14ac:dyDescent="0.2">
      <c r="A14382" s="496"/>
      <c r="D14382" s="496"/>
    </row>
    <row r="14383" spans="1:4" x14ac:dyDescent="0.2">
      <c r="A14383" s="496"/>
      <c r="D14383" s="496"/>
    </row>
    <row r="14384" spans="1:4" x14ac:dyDescent="0.2">
      <c r="A14384" s="496"/>
      <c r="D14384" s="496"/>
    </row>
    <row r="14385" spans="1:4" x14ac:dyDescent="0.2">
      <c r="A14385" s="496"/>
      <c r="D14385" s="496"/>
    </row>
    <row r="14386" spans="1:4" x14ac:dyDescent="0.2">
      <c r="A14386" s="496"/>
      <c r="D14386" s="496"/>
    </row>
    <row r="14387" spans="1:4" x14ac:dyDescent="0.2">
      <c r="A14387" s="496"/>
      <c r="D14387" s="496"/>
    </row>
    <row r="14388" spans="1:4" x14ac:dyDescent="0.2">
      <c r="A14388" s="496"/>
      <c r="D14388" s="496"/>
    </row>
    <row r="14389" spans="1:4" x14ac:dyDescent="0.2">
      <c r="A14389" s="496"/>
      <c r="D14389" s="496"/>
    </row>
    <row r="14390" spans="1:4" x14ac:dyDescent="0.2">
      <c r="A14390" s="496"/>
      <c r="D14390" s="496"/>
    </row>
    <row r="14391" spans="1:4" x14ac:dyDescent="0.2">
      <c r="A14391" s="496"/>
      <c r="D14391" s="496"/>
    </row>
    <row r="14392" spans="1:4" x14ac:dyDescent="0.2">
      <c r="A14392" s="496"/>
      <c r="D14392" s="496"/>
    </row>
    <row r="14393" spans="1:4" x14ac:dyDescent="0.2">
      <c r="A14393" s="496"/>
      <c r="D14393" s="496"/>
    </row>
    <row r="14394" spans="1:4" x14ac:dyDescent="0.2">
      <c r="A14394" s="496"/>
      <c r="D14394" s="496"/>
    </row>
    <row r="14395" spans="1:4" x14ac:dyDescent="0.2">
      <c r="A14395" s="496"/>
      <c r="D14395" s="496"/>
    </row>
    <row r="14396" spans="1:4" x14ac:dyDescent="0.2">
      <c r="A14396" s="496"/>
      <c r="D14396" s="496"/>
    </row>
    <row r="14397" spans="1:4" x14ac:dyDescent="0.2">
      <c r="A14397" s="496"/>
      <c r="D14397" s="496"/>
    </row>
    <row r="14398" spans="1:4" x14ac:dyDescent="0.2">
      <c r="A14398" s="496"/>
      <c r="D14398" s="496"/>
    </row>
    <row r="14399" spans="1:4" x14ac:dyDescent="0.2">
      <c r="A14399" s="496"/>
      <c r="D14399" s="496"/>
    </row>
    <row r="14400" spans="1:4" x14ac:dyDescent="0.2">
      <c r="A14400" s="496"/>
      <c r="D14400" s="496"/>
    </row>
    <row r="14401" spans="1:4" x14ac:dyDescent="0.2">
      <c r="A14401" s="496"/>
      <c r="D14401" s="496"/>
    </row>
    <row r="14402" spans="1:4" x14ac:dyDescent="0.2">
      <c r="A14402" s="496"/>
      <c r="D14402" s="496"/>
    </row>
    <row r="14403" spans="1:4" x14ac:dyDescent="0.2">
      <c r="A14403" s="496"/>
      <c r="D14403" s="496"/>
    </row>
    <row r="14404" spans="1:4" x14ac:dyDescent="0.2">
      <c r="A14404" s="496"/>
      <c r="D14404" s="496"/>
    </row>
    <row r="14405" spans="1:4" x14ac:dyDescent="0.2">
      <c r="A14405" s="496"/>
      <c r="D14405" s="496"/>
    </row>
    <row r="14406" spans="1:4" x14ac:dyDescent="0.2">
      <c r="A14406" s="496"/>
      <c r="D14406" s="496"/>
    </row>
    <row r="14407" spans="1:4" x14ac:dyDescent="0.2">
      <c r="A14407" s="496"/>
      <c r="D14407" s="496"/>
    </row>
    <row r="14408" spans="1:4" x14ac:dyDescent="0.2">
      <c r="A14408" s="496"/>
      <c r="D14408" s="496"/>
    </row>
    <row r="14409" spans="1:4" x14ac:dyDescent="0.2">
      <c r="A14409" s="496"/>
      <c r="D14409" s="496"/>
    </row>
    <row r="14410" spans="1:4" x14ac:dyDescent="0.2">
      <c r="A14410" s="496"/>
      <c r="D14410" s="496"/>
    </row>
    <row r="14411" spans="1:4" x14ac:dyDescent="0.2">
      <c r="A14411" s="496"/>
      <c r="D14411" s="496"/>
    </row>
    <row r="14412" spans="1:4" x14ac:dyDescent="0.2">
      <c r="A14412" s="496"/>
      <c r="D14412" s="496"/>
    </row>
    <row r="14413" spans="1:4" x14ac:dyDescent="0.2">
      <c r="A14413" s="496"/>
      <c r="D14413" s="496"/>
    </row>
    <row r="14414" spans="1:4" x14ac:dyDescent="0.2">
      <c r="A14414" s="496"/>
      <c r="D14414" s="496"/>
    </row>
    <row r="14415" spans="1:4" x14ac:dyDescent="0.2">
      <c r="A14415" s="496"/>
      <c r="D14415" s="496"/>
    </row>
    <row r="14416" spans="1:4" x14ac:dyDescent="0.2">
      <c r="A14416" s="496"/>
      <c r="D14416" s="496"/>
    </row>
    <row r="14417" spans="1:4" x14ac:dyDescent="0.2">
      <c r="A14417" s="496"/>
      <c r="D14417" s="496"/>
    </row>
    <row r="14418" spans="1:4" x14ac:dyDescent="0.2">
      <c r="A14418" s="496"/>
      <c r="D14418" s="496"/>
    </row>
    <row r="14419" spans="1:4" x14ac:dyDescent="0.2">
      <c r="A14419" s="496"/>
      <c r="D14419" s="496"/>
    </row>
    <row r="14420" spans="1:4" x14ac:dyDescent="0.2">
      <c r="A14420" s="496"/>
      <c r="D14420" s="496"/>
    </row>
    <row r="14421" spans="1:4" x14ac:dyDescent="0.2">
      <c r="A14421" s="496"/>
      <c r="D14421" s="496"/>
    </row>
    <row r="14422" spans="1:4" x14ac:dyDescent="0.2">
      <c r="A14422" s="496"/>
      <c r="D14422" s="496"/>
    </row>
    <row r="14423" spans="1:4" x14ac:dyDescent="0.2">
      <c r="A14423" s="496"/>
      <c r="D14423" s="496"/>
    </row>
    <row r="14424" spans="1:4" x14ac:dyDescent="0.2">
      <c r="A14424" s="496"/>
      <c r="D14424" s="496"/>
    </row>
    <row r="14425" spans="1:4" x14ac:dyDescent="0.2">
      <c r="A14425" s="496"/>
      <c r="D14425" s="496"/>
    </row>
    <row r="14426" spans="1:4" x14ac:dyDescent="0.2">
      <c r="A14426" s="496"/>
      <c r="D14426" s="496"/>
    </row>
    <row r="14427" spans="1:4" x14ac:dyDescent="0.2">
      <c r="A14427" s="496"/>
      <c r="D14427" s="496"/>
    </row>
    <row r="14428" spans="1:4" x14ac:dyDescent="0.2">
      <c r="A14428" s="496"/>
      <c r="D14428" s="496"/>
    </row>
    <row r="14429" spans="1:4" x14ac:dyDescent="0.2">
      <c r="A14429" s="496"/>
      <c r="D14429" s="496"/>
    </row>
    <row r="14430" spans="1:4" x14ac:dyDescent="0.2">
      <c r="A14430" s="496"/>
      <c r="D14430" s="496"/>
    </row>
    <row r="14431" spans="1:4" x14ac:dyDescent="0.2">
      <c r="A14431" s="496"/>
      <c r="D14431" s="496"/>
    </row>
    <row r="14432" spans="1:4" x14ac:dyDescent="0.2">
      <c r="A14432" s="496"/>
      <c r="D14432" s="496"/>
    </row>
    <row r="14433" spans="1:4" x14ac:dyDescent="0.2">
      <c r="A14433" s="496"/>
      <c r="D14433" s="496"/>
    </row>
    <row r="14434" spans="1:4" x14ac:dyDescent="0.2">
      <c r="A14434" s="496"/>
      <c r="D14434" s="496"/>
    </row>
    <row r="14435" spans="1:4" x14ac:dyDescent="0.2">
      <c r="A14435" s="496"/>
      <c r="D14435" s="496"/>
    </row>
    <row r="14436" spans="1:4" x14ac:dyDescent="0.2">
      <c r="A14436" s="496"/>
      <c r="D14436" s="496"/>
    </row>
    <row r="14437" spans="1:4" x14ac:dyDescent="0.2">
      <c r="A14437" s="496"/>
      <c r="D14437" s="496"/>
    </row>
    <row r="14438" spans="1:4" x14ac:dyDescent="0.2">
      <c r="A14438" s="496"/>
      <c r="D14438" s="496"/>
    </row>
    <row r="14439" spans="1:4" x14ac:dyDescent="0.2">
      <c r="A14439" s="496"/>
      <c r="D14439" s="496"/>
    </row>
    <row r="14440" spans="1:4" x14ac:dyDescent="0.2">
      <c r="A14440" s="496"/>
      <c r="D14440" s="496"/>
    </row>
    <row r="14441" spans="1:4" x14ac:dyDescent="0.2">
      <c r="A14441" s="496"/>
      <c r="D14441" s="496"/>
    </row>
    <row r="14442" spans="1:4" x14ac:dyDescent="0.2">
      <c r="A14442" s="496"/>
      <c r="D14442" s="496"/>
    </row>
    <row r="14443" spans="1:4" x14ac:dyDescent="0.2">
      <c r="A14443" s="496"/>
      <c r="D14443" s="496"/>
    </row>
    <row r="14444" spans="1:4" x14ac:dyDescent="0.2">
      <c r="A14444" s="496"/>
      <c r="D14444" s="496"/>
    </row>
    <row r="14445" spans="1:4" x14ac:dyDescent="0.2">
      <c r="A14445" s="496"/>
      <c r="D14445" s="496"/>
    </row>
    <row r="14446" spans="1:4" x14ac:dyDescent="0.2">
      <c r="A14446" s="496"/>
      <c r="D14446" s="496"/>
    </row>
    <row r="14447" spans="1:4" x14ac:dyDescent="0.2">
      <c r="A14447" s="496"/>
      <c r="D14447" s="496"/>
    </row>
    <row r="14448" spans="1:4" x14ac:dyDescent="0.2">
      <c r="A14448" s="496"/>
      <c r="D14448" s="496"/>
    </row>
    <row r="14449" spans="1:4" x14ac:dyDescent="0.2">
      <c r="A14449" s="496"/>
      <c r="D14449" s="496"/>
    </row>
    <row r="14450" spans="1:4" x14ac:dyDescent="0.2">
      <c r="A14450" s="496"/>
      <c r="D14450" s="496"/>
    </row>
    <row r="14451" spans="1:4" x14ac:dyDescent="0.2">
      <c r="A14451" s="496"/>
      <c r="D14451" s="496"/>
    </row>
    <row r="14452" spans="1:4" x14ac:dyDescent="0.2">
      <c r="A14452" s="496"/>
      <c r="D14452" s="496"/>
    </row>
    <row r="14453" spans="1:4" x14ac:dyDescent="0.2">
      <c r="A14453" s="496"/>
      <c r="D14453" s="496"/>
    </row>
    <row r="14454" spans="1:4" x14ac:dyDescent="0.2">
      <c r="A14454" s="496"/>
      <c r="D14454" s="496"/>
    </row>
    <row r="14455" spans="1:4" x14ac:dyDescent="0.2">
      <c r="A14455" s="496"/>
      <c r="D14455" s="496"/>
    </row>
    <row r="14456" spans="1:4" x14ac:dyDescent="0.2">
      <c r="A14456" s="496"/>
      <c r="D14456" s="496"/>
    </row>
    <row r="14457" spans="1:4" x14ac:dyDescent="0.2">
      <c r="A14457" s="496"/>
      <c r="D14457" s="496"/>
    </row>
    <row r="14458" spans="1:4" x14ac:dyDescent="0.2">
      <c r="A14458" s="496"/>
      <c r="D14458" s="496"/>
    </row>
    <row r="14459" spans="1:4" x14ac:dyDescent="0.2">
      <c r="A14459" s="496"/>
      <c r="D14459" s="496"/>
    </row>
    <row r="14460" spans="1:4" x14ac:dyDescent="0.2">
      <c r="A14460" s="496"/>
      <c r="D14460" s="496"/>
    </row>
    <row r="14461" spans="1:4" x14ac:dyDescent="0.2">
      <c r="A14461" s="496"/>
      <c r="D14461" s="496"/>
    </row>
    <row r="14462" spans="1:4" x14ac:dyDescent="0.2">
      <c r="A14462" s="496"/>
      <c r="D14462" s="496"/>
    </row>
    <row r="14463" spans="1:4" x14ac:dyDescent="0.2">
      <c r="A14463" s="496"/>
      <c r="D14463" s="496"/>
    </row>
    <row r="14464" spans="1:4" x14ac:dyDescent="0.2">
      <c r="A14464" s="496"/>
      <c r="D14464" s="496"/>
    </row>
    <row r="14465" spans="1:4" x14ac:dyDescent="0.2">
      <c r="A14465" s="496"/>
      <c r="D14465" s="496"/>
    </row>
    <row r="14466" spans="1:4" x14ac:dyDescent="0.2">
      <c r="A14466" s="496"/>
      <c r="D14466" s="496"/>
    </row>
    <row r="14467" spans="1:4" x14ac:dyDescent="0.2">
      <c r="A14467" s="496"/>
      <c r="D14467" s="496"/>
    </row>
    <row r="14468" spans="1:4" x14ac:dyDescent="0.2">
      <c r="A14468" s="496"/>
      <c r="D14468" s="496"/>
    </row>
    <row r="14469" spans="1:4" x14ac:dyDescent="0.2">
      <c r="A14469" s="496"/>
      <c r="D14469" s="496"/>
    </row>
    <row r="14470" spans="1:4" x14ac:dyDescent="0.2">
      <c r="A14470" s="496"/>
      <c r="D14470" s="496"/>
    </row>
    <row r="14471" spans="1:4" x14ac:dyDescent="0.2">
      <c r="A14471" s="496"/>
      <c r="D14471" s="496"/>
    </row>
    <row r="14472" spans="1:4" x14ac:dyDescent="0.2">
      <c r="A14472" s="496"/>
      <c r="D14472" s="496"/>
    </row>
    <row r="14473" spans="1:4" x14ac:dyDescent="0.2">
      <c r="A14473" s="496"/>
      <c r="D14473" s="496"/>
    </row>
    <row r="14474" spans="1:4" x14ac:dyDescent="0.2">
      <c r="A14474" s="496"/>
      <c r="D14474" s="496"/>
    </row>
    <row r="14475" spans="1:4" x14ac:dyDescent="0.2">
      <c r="A14475" s="496"/>
      <c r="D14475" s="496"/>
    </row>
    <row r="14476" spans="1:4" x14ac:dyDescent="0.2">
      <c r="A14476" s="496"/>
      <c r="D14476" s="496"/>
    </row>
    <row r="14477" spans="1:4" x14ac:dyDescent="0.2">
      <c r="A14477" s="496"/>
      <c r="D14477" s="496"/>
    </row>
    <row r="14478" spans="1:4" x14ac:dyDescent="0.2">
      <c r="A14478" s="496"/>
      <c r="D14478" s="496"/>
    </row>
    <row r="14479" spans="1:4" x14ac:dyDescent="0.2">
      <c r="A14479" s="496"/>
      <c r="D14479" s="496"/>
    </row>
    <row r="14480" spans="1:4" x14ac:dyDescent="0.2">
      <c r="A14480" s="496"/>
      <c r="D14480" s="496"/>
    </row>
    <row r="14481" spans="1:4" x14ac:dyDescent="0.2">
      <c r="A14481" s="496"/>
      <c r="D14481" s="496"/>
    </row>
    <row r="14482" spans="1:4" x14ac:dyDescent="0.2">
      <c r="A14482" s="496"/>
      <c r="D14482" s="496"/>
    </row>
    <row r="14483" spans="1:4" x14ac:dyDescent="0.2">
      <c r="A14483" s="496"/>
      <c r="D14483" s="496"/>
    </row>
    <row r="14484" spans="1:4" x14ac:dyDescent="0.2">
      <c r="A14484" s="496"/>
      <c r="D14484" s="496"/>
    </row>
    <row r="14485" spans="1:4" x14ac:dyDescent="0.2">
      <c r="A14485" s="496"/>
      <c r="D14485" s="496"/>
    </row>
    <row r="14486" spans="1:4" x14ac:dyDescent="0.2">
      <c r="A14486" s="496"/>
      <c r="D14486" s="496"/>
    </row>
    <row r="14487" spans="1:4" x14ac:dyDescent="0.2">
      <c r="A14487" s="496"/>
      <c r="D14487" s="496"/>
    </row>
    <row r="14488" spans="1:4" x14ac:dyDescent="0.2">
      <c r="A14488" s="496"/>
      <c r="D14488" s="496"/>
    </row>
    <row r="14489" spans="1:4" x14ac:dyDescent="0.2">
      <c r="A14489" s="496"/>
      <c r="D14489" s="496"/>
    </row>
    <row r="14490" spans="1:4" x14ac:dyDescent="0.2">
      <c r="A14490" s="496"/>
      <c r="D14490" s="496"/>
    </row>
    <row r="14491" spans="1:4" x14ac:dyDescent="0.2">
      <c r="A14491" s="496"/>
      <c r="D14491" s="496"/>
    </row>
    <row r="14492" spans="1:4" x14ac:dyDescent="0.2">
      <c r="A14492" s="496"/>
      <c r="D14492" s="496"/>
    </row>
    <row r="14493" spans="1:4" x14ac:dyDescent="0.2">
      <c r="A14493" s="496"/>
      <c r="D14493" s="496"/>
    </row>
    <row r="14494" spans="1:4" x14ac:dyDescent="0.2">
      <c r="A14494" s="496"/>
      <c r="D14494" s="496"/>
    </row>
    <row r="14495" spans="1:4" x14ac:dyDescent="0.2">
      <c r="A14495" s="496"/>
      <c r="D14495" s="496"/>
    </row>
    <row r="14496" spans="1:4" x14ac:dyDescent="0.2">
      <c r="A14496" s="496"/>
      <c r="D14496" s="496"/>
    </row>
    <row r="14497" spans="1:4" x14ac:dyDescent="0.2">
      <c r="A14497" s="496"/>
      <c r="D14497" s="496"/>
    </row>
    <row r="14498" spans="1:4" x14ac:dyDescent="0.2">
      <c r="A14498" s="496"/>
      <c r="D14498" s="496"/>
    </row>
    <row r="14499" spans="1:4" x14ac:dyDescent="0.2">
      <c r="A14499" s="496"/>
      <c r="D14499" s="496"/>
    </row>
    <row r="14500" spans="1:4" x14ac:dyDescent="0.2">
      <c r="A14500" s="496"/>
      <c r="D14500" s="496"/>
    </row>
    <row r="14501" spans="1:4" x14ac:dyDescent="0.2">
      <c r="A14501" s="496"/>
      <c r="D14501" s="496"/>
    </row>
    <row r="14502" spans="1:4" x14ac:dyDescent="0.2">
      <c r="A14502" s="496"/>
      <c r="D14502" s="496"/>
    </row>
    <row r="14503" spans="1:4" x14ac:dyDescent="0.2">
      <c r="A14503" s="496"/>
      <c r="D14503" s="496"/>
    </row>
    <row r="14504" spans="1:4" x14ac:dyDescent="0.2">
      <c r="A14504" s="496"/>
      <c r="D14504" s="496"/>
    </row>
    <row r="14505" spans="1:4" x14ac:dyDescent="0.2">
      <c r="A14505" s="496"/>
      <c r="D14505" s="496"/>
    </row>
    <row r="14506" spans="1:4" x14ac:dyDescent="0.2">
      <c r="A14506" s="496"/>
      <c r="D14506" s="496"/>
    </row>
    <row r="14507" spans="1:4" x14ac:dyDescent="0.2">
      <c r="A14507" s="496"/>
      <c r="D14507" s="496"/>
    </row>
    <row r="14508" spans="1:4" x14ac:dyDescent="0.2">
      <c r="A14508" s="496"/>
      <c r="D14508" s="496"/>
    </row>
    <row r="14509" spans="1:4" x14ac:dyDescent="0.2">
      <c r="A14509" s="496"/>
      <c r="D14509" s="496"/>
    </row>
    <row r="14510" spans="1:4" x14ac:dyDescent="0.2">
      <c r="A14510" s="496"/>
      <c r="D14510" s="496"/>
    </row>
    <row r="14511" spans="1:4" x14ac:dyDescent="0.2">
      <c r="A14511" s="496"/>
      <c r="D14511" s="496"/>
    </row>
    <row r="14512" spans="1:4" x14ac:dyDescent="0.2">
      <c r="A14512" s="496"/>
      <c r="D14512" s="496"/>
    </row>
    <row r="14513" spans="1:4" x14ac:dyDescent="0.2">
      <c r="A14513" s="496"/>
      <c r="D14513" s="496"/>
    </row>
    <row r="14514" spans="1:4" x14ac:dyDescent="0.2">
      <c r="A14514" s="496"/>
      <c r="D14514" s="496"/>
    </row>
    <row r="14515" spans="1:4" x14ac:dyDescent="0.2">
      <c r="A14515" s="496"/>
      <c r="D14515" s="496"/>
    </row>
    <row r="14516" spans="1:4" x14ac:dyDescent="0.2">
      <c r="A14516" s="496"/>
      <c r="D14516" s="496"/>
    </row>
    <row r="14517" spans="1:4" x14ac:dyDescent="0.2">
      <c r="A14517" s="496"/>
      <c r="D14517" s="496"/>
    </row>
    <row r="14518" spans="1:4" x14ac:dyDescent="0.2">
      <c r="A14518" s="496"/>
      <c r="D14518" s="496"/>
    </row>
    <row r="14519" spans="1:4" x14ac:dyDescent="0.2">
      <c r="A14519" s="496"/>
      <c r="D14519" s="496"/>
    </row>
    <row r="14520" spans="1:4" x14ac:dyDescent="0.2">
      <c r="A14520" s="496"/>
      <c r="D14520" s="496"/>
    </row>
    <row r="14521" spans="1:4" x14ac:dyDescent="0.2">
      <c r="A14521" s="496"/>
      <c r="D14521" s="496"/>
    </row>
    <row r="14522" spans="1:4" x14ac:dyDescent="0.2">
      <c r="A14522" s="496"/>
      <c r="D14522" s="496"/>
    </row>
    <row r="14523" spans="1:4" x14ac:dyDescent="0.2">
      <c r="A14523" s="496"/>
      <c r="D14523" s="496"/>
    </row>
    <row r="14524" spans="1:4" x14ac:dyDescent="0.2">
      <c r="A14524" s="496"/>
      <c r="D14524" s="496"/>
    </row>
    <row r="14525" spans="1:4" x14ac:dyDescent="0.2">
      <c r="A14525" s="496"/>
      <c r="D14525" s="496"/>
    </row>
    <row r="14526" spans="1:4" x14ac:dyDescent="0.2">
      <c r="A14526" s="496"/>
      <c r="D14526" s="496"/>
    </row>
    <row r="14527" spans="1:4" x14ac:dyDescent="0.2">
      <c r="A14527" s="496"/>
      <c r="D14527" s="496"/>
    </row>
    <row r="14528" spans="1:4" x14ac:dyDescent="0.2">
      <c r="A14528" s="496"/>
      <c r="D14528" s="496"/>
    </row>
    <row r="14529" spans="1:4" x14ac:dyDescent="0.2">
      <c r="A14529" s="496"/>
      <c r="D14529" s="496"/>
    </row>
    <row r="14530" spans="1:4" x14ac:dyDescent="0.2">
      <c r="A14530" s="496"/>
      <c r="D14530" s="496"/>
    </row>
    <row r="14531" spans="1:4" x14ac:dyDescent="0.2">
      <c r="A14531" s="496"/>
      <c r="D14531" s="496"/>
    </row>
    <row r="14532" spans="1:4" x14ac:dyDescent="0.2">
      <c r="A14532" s="496"/>
      <c r="D14532" s="496"/>
    </row>
    <row r="14533" spans="1:4" x14ac:dyDescent="0.2">
      <c r="A14533" s="496"/>
      <c r="D14533" s="496"/>
    </row>
    <row r="14534" spans="1:4" x14ac:dyDescent="0.2">
      <c r="A14534" s="496"/>
      <c r="D14534" s="496"/>
    </row>
    <row r="14535" spans="1:4" x14ac:dyDescent="0.2">
      <c r="A14535" s="496"/>
      <c r="D14535" s="496"/>
    </row>
    <row r="14536" spans="1:4" x14ac:dyDescent="0.2">
      <c r="A14536" s="496"/>
      <c r="D14536" s="496"/>
    </row>
    <row r="14537" spans="1:4" x14ac:dyDescent="0.2">
      <c r="A14537" s="496"/>
      <c r="D14537" s="496"/>
    </row>
    <row r="14538" spans="1:4" x14ac:dyDescent="0.2">
      <c r="A14538" s="496"/>
      <c r="D14538" s="496"/>
    </row>
    <row r="14539" spans="1:4" x14ac:dyDescent="0.2">
      <c r="A14539" s="496"/>
      <c r="D14539" s="496"/>
    </row>
    <row r="14540" spans="1:4" x14ac:dyDescent="0.2">
      <c r="A14540" s="496"/>
      <c r="D14540" s="496"/>
    </row>
    <row r="14541" spans="1:4" x14ac:dyDescent="0.2">
      <c r="A14541" s="496"/>
      <c r="D14541" s="496"/>
    </row>
    <row r="14542" spans="1:4" x14ac:dyDescent="0.2">
      <c r="A14542" s="496"/>
      <c r="D14542" s="496"/>
    </row>
    <row r="14543" spans="1:4" x14ac:dyDescent="0.2">
      <c r="A14543" s="496"/>
      <c r="D14543" s="496"/>
    </row>
    <row r="14544" spans="1:4" x14ac:dyDescent="0.2">
      <c r="A14544" s="496"/>
      <c r="D14544" s="496"/>
    </row>
    <row r="14545" spans="1:4" x14ac:dyDescent="0.2">
      <c r="A14545" s="496"/>
      <c r="D14545" s="496"/>
    </row>
    <row r="14546" spans="1:4" x14ac:dyDescent="0.2">
      <c r="A14546" s="496"/>
      <c r="D14546" s="496"/>
    </row>
    <row r="14547" spans="1:4" x14ac:dyDescent="0.2">
      <c r="A14547" s="496"/>
      <c r="D14547" s="496"/>
    </row>
    <row r="14548" spans="1:4" x14ac:dyDescent="0.2">
      <c r="A14548" s="496"/>
      <c r="D14548" s="496"/>
    </row>
    <row r="14549" spans="1:4" x14ac:dyDescent="0.2">
      <c r="A14549" s="496"/>
      <c r="D14549" s="496"/>
    </row>
    <row r="14550" spans="1:4" x14ac:dyDescent="0.2">
      <c r="A14550" s="496"/>
      <c r="D14550" s="496"/>
    </row>
    <row r="14551" spans="1:4" x14ac:dyDescent="0.2">
      <c r="A14551" s="496"/>
      <c r="D14551" s="496"/>
    </row>
    <row r="14552" spans="1:4" x14ac:dyDescent="0.2">
      <c r="A14552" s="496"/>
      <c r="D14552" s="496"/>
    </row>
    <row r="14553" spans="1:4" x14ac:dyDescent="0.2">
      <c r="A14553" s="496"/>
      <c r="D14553" s="496"/>
    </row>
    <row r="14554" spans="1:4" x14ac:dyDescent="0.2">
      <c r="A14554" s="496"/>
      <c r="D14554" s="496"/>
    </row>
    <row r="14555" spans="1:4" x14ac:dyDescent="0.2">
      <c r="A14555" s="496"/>
      <c r="D14555" s="496"/>
    </row>
    <row r="14556" spans="1:4" x14ac:dyDescent="0.2">
      <c r="A14556" s="496"/>
      <c r="D14556" s="496"/>
    </row>
    <row r="14557" spans="1:4" x14ac:dyDescent="0.2">
      <c r="A14557" s="496"/>
      <c r="D14557" s="496"/>
    </row>
    <row r="14558" spans="1:4" x14ac:dyDescent="0.2">
      <c r="A14558" s="496"/>
      <c r="D14558" s="496"/>
    </row>
    <row r="14559" spans="1:4" x14ac:dyDescent="0.2">
      <c r="A14559" s="496"/>
      <c r="D14559" s="496"/>
    </row>
    <row r="14560" spans="1:4" x14ac:dyDescent="0.2">
      <c r="A14560" s="496"/>
      <c r="D14560" s="496"/>
    </row>
    <row r="14561" spans="1:4" x14ac:dyDescent="0.2">
      <c r="A14561" s="496"/>
      <c r="D14561" s="496"/>
    </row>
    <row r="14562" spans="1:4" x14ac:dyDescent="0.2">
      <c r="A14562" s="496"/>
      <c r="D14562" s="496"/>
    </row>
    <row r="14563" spans="1:4" x14ac:dyDescent="0.2">
      <c r="A14563" s="496"/>
      <c r="D14563" s="496"/>
    </row>
    <row r="14564" spans="1:4" x14ac:dyDescent="0.2">
      <c r="A14564" s="496"/>
      <c r="D14564" s="496"/>
    </row>
    <row r="14565" spans="1:4" x14ac:dyDescent="0.2">
      <c r="A14565" s="496"/>
      <c r="D14565" s="496"/>
    </row>
    <row r="14566" spans="1:4" x14ac:dyDescent="0.2">
      <c r="A14566" s="496"/>
      <c r="D14566" s="496"/>
    </row>
    <row r="14567" spans="1:4" x14ac:dyDescent="0.2">
      <c r="A14567" s="496"/>
      <c r="D14567" s="496"/>
    </row>
    <row r="14568" spans="1:4" x14ac:dyDescent="0.2">
      <c r="A14568" s="496"/>
      <c r="D14568" s="496"/>
    </row>
    <row r="14569" spans="1:4" x14ac:dyDescent="0.2">
      <c r="A14569" s="496"/>
      <c r="D14569" s="496"/>
    </row>
    <row r="14570" spans="1:4" x14ac:dyDescent="0.2">
      <c r="A14570" s="496"/>
      <c r="D14570" s="496"/>
    </row>
    <row r="14571" spans="1:4" x14ac:dyDescent="0.2">
      <c r="A14571" s="496"/>
      <c r="D14571" s="496"/>
    </row>
    <row r="14572" spans="1:4" x14ac:dyDescent="0.2">
      <c r="A14572" s="496"/>
      <c r="D14572" s="496"/>
    </row>
    <row r="14573" spans="1:4" x14ac:dyDescent="0.2">
      <c r="A14573" s="496"/>
      <c r="D14573" s="496"/>
    </row>
    <row r="14574" spans="1:4" x14ac:dyDescent="0.2">
      <c r="A14574" s="496"/>
      <c r="D14574" s="496"/>
    </row>
    <row r="14575" spans="1:4" x14ac:dyDescent="0.2">
      <c r="A14575" s="496"/>
      <c r="D14575" s="496"/>
    </row>
    <row r="14576" spans="1:4" x14ac:dyDescent="0.2">
      <c r="A14576" s="496"/>
      <c r="D14576" s="496"/>
    </row>
    <row r="14577" spans="1:4" x14ac:dyDescent="0.2">
      <c r="A14577" s="496"/>
      <c r="D14577" s="496"/>
    </row>
    <row r="14578" spans="1:4" x14ac:dyDescent="0.2">
      <c r="A14578" s="496"/>
      <c r="D14578" s="496"/>
    </row>
    <row r="14579" spans="1:4" x14ac:dyDescent="0.2">
      <c r="A14579" s="496"/>
      <c r="D14579" s="496"/>
    </row>
    <row r="14580" spans="1:4" x14ac:dyDescent="0.2">
      <c r="A14580" s="496"/>
      <c r="D14580" s="496"/>
    </row>
    <row r="14581" spans="1:4" x14ac:dyDescent="0.2">
      <c r="A14581" s="496"/>
      <c r="D14581" s="496"/>
    </row>
    <row r="14582" spans="1:4" x14ac:dyDescent="0.2">
      <c r="A14582" s="496"/>
      <c r="D14582" s="496"/>
    </row>
    <row r="14583" spans="1:4" x14ac:dyDescent="0.2">
      <c r="A14583" s="496"/>
      <c r="D14583" s="496"/>
    </row>
    <row r="14584" spans="1:4" x14ac:dyDescent="0.2">
      <c r="A14584" s="496"/>
      <c r="D14584" s="496"/>
    </row>
    <row r="14585" spans="1:4" x14ac:dyDescent="0.2">
      <c r="A14585" s="496"/>
      <c r="D14585" s="496"/>
    </row>
    <row r="14586" spans="1:4" x14ac:dyDescent="0.2">
      <c r="A14586" s="496"/>
      <c r="D14586" s="496"/>
    </row>
    <row r="14587" spans="1:4" x14ac:dyDescent="0.2">
      <c r="A14587" s="496"/>
      <c r="D14587" s="496"/>
    </row>
    <row r="14588" spans="1:4" x14ac:dyDescent="0.2">
      <c r="A14588" s="496"/>
      <c r="D14588" s="496"/>
    </row>
    <row r="14589" spans="1:4" x14ac:dyDescent="0.2">
      <c r="A14589" s="496"/>
      <c r="D14589" s="496"/>
    </row>
    <row r="14590" spans="1:4" x14ac:dyDescent="0.2">
      <c r="A14590" s="496"/>
      <c r="D14590" s="496"/>
    </row>
    <row r="14591" spans="1:4" x14ac:dyDescent="0.2">
      <c r="A14591" s="496"/>
      <c r="D14591" s="496"/>
    </row>
    <row r="14592" spans="1:4" x14ac:dyDescent="0.2">
      <c r="A14592" s="496"/>
      <c r="D14592" s="496"/>
    </row>
    <row r="14593" spans="1:4" x14ac:dyDescent="0.2">
      <c r="A14593" s="496"/>
      <c r="D14593" s="496"/>
    </row>
    <row r="14594" spans="1:4" x14ac:dyDescent="0.2">
      <c r="A14594" s="496"/>
      <c r="D14594" s="496"/>
    </row>
    <row r="14595" spans="1:4" x14ac:dyDescent="0.2">
      <c r="A14595" s="496"/>
      <c r="D14595" s="496"/>
    </row>
    <row r="14596" spans="1:4" x14ac:dyDescent="0.2">
      <c r="A14596" s="496"/>
      <c r="D14596" s="496"/>
    </row>
    <row r="14597" spans="1:4" x14ac:dyDescent="0.2">
      <c r="A14597" s="496"/>
      <c r="D14597" s="496"/>
    </row>
    <row r="14598" spans="1:4" x14ac:dyDescent="0.2">
      <c r="A14598" s="496"/>
      <c r="D14598" s="496"/>
    </row>
    <row r="14599" spans="1:4" x14ac:dyDescent="0.2">
      <c r="A14599" s="496"/>
      <c r="D14599" s="496"/>
    </row>
    <row r="14600" spans="1:4" x14ac:dyDescent="0.2">
      <c r="A14600" s="496"/>
      <c r="D14600" s="496"/>
    </row>
    <row r="14601" spans="1:4" x14ac:dyDescent="0.2">
      <c r="A14601" s="496"/>
      <c r="D14601" s="496"/>
    </row>
    <row r="14602" spans="1:4" x14ac:dyDescent="0.2">
      <c r="A14602" s="496"/>
      <c r="D14602" s="496"/>
    </row>
    <row r="14603" spans="1:4" x14ac:dyDescent="0.2">
      <c r="A14603" s="496"/>
      <c r="D14603" s="496"/>
    </row>
    <row r="14604" spans="1:4" x14ac:dyDescent="0.2">
      <c r="A14604" s="496"/>
      <c r="D14604" s="496"/>
    </row>
    <row r="14605" spans="1:4" x14ac:dyDescent="0.2">
      <c r="A14605" s="496"/>
      <c r="D14605" s="496"/>
    </row>
    <row r="14606" spans="1:4" x14ac:dyDescent="0.2">
      <c r="A14606" s="496"/>
      <c r="D14606" s="496"/>
    </row>
    <row r="14607" spans="1:4" x14ac:dyDescent="0.2">
      <c r="A14607" s="496"/>
      <c r="D14607" s="496"/>
    </row>
    <row r="14608" spans="1:4" x14ac:dyDescent="0.2">
      <c r="A14608" s="496"/>
      <c r="D14608" s="496"/>
    </row>
    <row r="14609" spans="1:4" x14ac:dyDescent="0.2">
      <c r="A14609" s="496"/>
      <c r="D14609" s="496"/>
    </row>
    <row r="14610" spans="1:4" x14ac:dyDescent="0.2">
      <c r="A14610" s="496"/>
      <c r="D14610" s="496"/>
    </row>
    <row r="14611" spans="1:4" x14ac:dyDescent="0.2">
      <c r="A14611" s="496"/>
      <c r="D14611" s="496"/>
    </row>
    <row r="14612" spans="1:4" x14ac:dyDescent="0.2">
      <c r="A14612" s="496"/>
      <c r="D14612" s="496"/>
    </row>
    <row r="14613" spans="1:4" x14ac:dyDescent="0.2">
      <c r="A14613" s="496"/>
      <c r="D14613" s="496"/>
    </row>
    <row r="14614" spans="1:4" x14ac:dyDescent="0.2">
      <c r="A14614" s="496"/>
      <c r="D14614" s="496"/>
    </row>
    <row r="14615" spans="1:4" x14ac:dyDescent="0.2">
      <c r="A14615" s="496"/>
      <c r="D14615" s="496"/>
    </row>
    <row r="14616" spans="1:4" x14ac:dyDescent="0.2">
      <c r="A14616" s="496"/>
      <c r="D14616" s="496"/>
    </row>
    <row r="14617" spans="1:4" x14ac:dyDescent="0.2">
      <c r="A14617" s="496"/>
      <c r="D14617" s="496"/>
    </row>
    <row r="14618" spans="1:4" x14ac:dyDescent="0.2">
      <c r="A14618" s="496"/>
      <c r="D14618" s="496"/>
    </row>
    <row r="14619" spans="1:4" x14ac:dyDescent="0.2">
      <c r="A14619" s="496"/>
      <c r="D14619" s="496"/>
    </row>
    <row r="14620" spans="1:4" x14ac:dyDescent="0.2">
      <c r="A14620" s="496"/>
      <c r="D14620" s="496"/>
    </row>
    <row r="14621" spans="1:4" x14ac:dyDescent="0.2">
      <c r="A14621" s="496"/>
      <c r="D14621" s="496"/>
    </row>
    <row r="14622" spans="1:4" x14ac:dyDescent="0.2">
      <c r="A14622" s="496"/>
      <c r="D14622" s="496"/>
    </row>
    <row r="14623" spans="1:4" x14ac:dyDescent="0.2">
      <c r="A14623" s="496"/>
      <c r="D14623" s="496"/>
    </row>
    <row r="14624" spans="1:4" x14ac:dyDescent="0.2">
      <c r="A14624" s="496"/>
      <c r="D14624" s="496"/>
    </row>
    <row r="14625" spans="1:4" x14ac:dyDescent="0.2">
      <c r="A14625" s="496"/>
      <c r="D14625" s="496"/>
    </row>
    <row r="14626" spans="1:4" x14ac:dyDescent="0.2">
      <c r="A14626" s="496"/>
      <c r="D14626" s="496"/>
    </row>
    <row r="14627" spans="1:4" x14ac:dyDescent="0.2">
      <c r="A14627" s="496"/>
      <c r="D14627" s="496"/>
    </row>
    <row r="14628" spans="1:4" x14ac:dyDescent="0.2">
      <c r="A14628" s="496"/>
      <c r="D14628" s="496"/>
    </row>
    <row r="14629" spans="1:4" x14ac:dyDescent="0.2">
      <c r="A14629" s="496"/>
      <c r="D14629" s="496"/>
    </row>
    <row r="14630" spans="1:4" x14ac:dyDescent="0.2">
      <c r="A14630" s="496"/>
      <c r="D14630" s="496"/>
    </row>
    <row r="14631" spans="1:4" x14ac:dyDescent="0.2">
      <c r="A14631" s="496"/>
      <c r="D14631" s="496"/>
    </row>
    <row r="14632" spans="1:4" x14ac:dyDescent="0.2">
      <c r="A14632" s="496"/>
      <c r="D14632" s="496"/>
    </row>
    <row r="14633" spans="1:4" x14ac:dyDescent="0.2">
      <c r="A14633" s="496"/>
      <c r="D14633" s="496"/>
    </row>
    <row r="14634" spans="1:4" x14ac:dyDescent="0.2">
      <c r="A14634" s="496"/>
      <c r="D14634" s="496"/>
    </row>
    <row r="14635" spans="1:4" x14ac:dyDescent="0.2">
      <c r="A14635" s="496"/>
      <c r="D14635" s="496"/>
    </row>
    <row r="14636" spans="1:4" x14ac:dyDescent="0.2">
      <c r="A14636" s="496"/>
      <c r="D14636" s="496"/>
    </row>
    <row r="14637" spans="1:4" x14ac:dyDescent="0.2">
      <c r="A14637" s="496"/>
      <c r="D14637" s="496"/>
    </row>
    <row r="14638" spans="1:4" x14ac:dyDescent="0.2">
      <c r="A14638" s="496"/>
      <c r="D14638" s="496"/>
    </row>
    <row r="14639" spans="1:4" x14ac:dyDescent="0.2">
      <c r="A14639" s="496"/>
      <c r="D14639" s="496"/>
    </row>
    <row r="14640" spans="1:4" x14ac:dyDescent="0.2">
      <c r="A14640" s="496"/>
      <c r="D14640" s="496"/>
    </row>
    <row r="14641" spans="1:4" x14ac:dyDescent="0.2">
      <c r="A14641" s="496"/>
      <c r="D14641" s="496"/>
    </row>
    <row r="14642" spans="1:4" x14ac:dyDescent="0.2">
      <c r="A14642" s="496"/>
      <c r="D14642" s="496"/>
    </row>
    <row r="14643" spans="1:4" x14ac:dyDescent="0.2">
      <c r="A14643" s="496"/>
      <c r="D14643" s="496"/>
    </row>
    <row r="14644" spans="1:4" x14ac:dyDescent="0.2">
      <c r="A14644" s="496"/>
      <c r="D14644" s="496"/>
    </row>
    <row r="14645" spans="1:4" x14ac:dyDescent="0.2">
      <c r="A14645" s="496"/>
      <c r="D14645" s="496"/>
    </row>
    <row r="14646" spans="1:4" x14ac:dyDescent="0.2">
      <c r="A14646" s="496"/>
      <c r="D14646" s="496"/>
    </row>
    <row r="14647" spans="1:4" x14ac:dyDescent="0.2">
      <c r="A14647" s="496"/>
      <c r="D14647" s="496"/>
    </row>
    <row r="14648" spans="1:4" x14ac:dyDescent="0.2">
      <c r="A14648" s="496"/>
      <c r="D14648" s="496"/>
    </row>
    <row r="14649" spans="1:4" x14ac:dyDescent="0.2">
      <c r="A14649" s="496"/>
      <c r="D14649" s="496"/>
    </row>
    <row r="14650" spans="1:4" x14ac:dyDescent="0.2">
      <c r="A14650" s="496"/>
      <c r="D14650" s="496"/>
    </row>
    <row r="14651" spans="1:4" x14ac:dyDescent="0.2">
      <c r="A14651" s="496"/>
      <c r="D14651" s="496"/>
    </row>
    <row r="14652" spans="1:4" x14ac:dyDescent="0.2">
      <c r="A14652" s="496"/>
      <c r="D14652" s="496"/>
    </row>
    <row r="14653" spans="1:4" x14ac:dyDescent="0.2">
      <c r="A14653" s="496"/>
      <c r="D14653" s="496"/>
    </row>
    <row r="14654" spans="1:4" x14ac:dyDescent="0.2">
      <c r="A14654" s="496"/>
      <c r="D14654" s="496"/>
    </row>
    <row r="14655" spans="1:4" x14ac:dyDescent="0.2">
      <c r="A14655" s="496"/>
      <c r="D14655" s="496"/>
    </row>
    <row r="14656" spans="1:4" x14ac:dyDescent="0.2">
      <c r="A14656" s="496"/>
      <c r="D14656" s="496"/>
    </row>
    <row r="14657" spans="1:4" x14ac:dyDescent="0.2">
      <c r="A14657" s="496"/>
      <c r="D14657" s="496"/>
    </row>
    <row r="14658" spans="1:4" x14ac:dyDescent="0.2">
      <c r="A14658" s="496"/>
      <c r="D14658" s="496"/>
    </row>
    <row r="14659" spans="1:4" x14ac:dyDescent="0.2">
      <c r="A14659" s="496"/>
      <c r="D14659" s="496"/>
    </row>
    <row r="14660" spans="1:4" x14ac:dyDescent="0.2">
      <c r="A14660" s="496"/>
      <c r="D14660" s="496"/>
    </row>
    <row r="14661" spans="1:4" x14ac:dyDescent="0.2">
      <c r="A14661" s="496"/>
      <c r="D14661" s="496"/>
    </row>
    <row r="14662" spans="1:4" x14ac:dyDescent="0.2">
      <c r="A14662" s="496"/>
      <c r="D14662" s="496"/>
    </row>
    <row r="14663" spans="1:4" x14ac:dyDescent="0.2">
      <c r="A14663" s="496"/>
      <c r="D14663" s="496"/>
    </row>
    <row r="14664" spans="1:4" x14ac:dyDescent="0.2">
      <c r="A14664" s="496"/>
      <c r="D14664" s="496"/>
    </row>
    <row r="14665" spans="1:4" x14ac:dyDescent="0.2">
      <c r="A14665" s="496"/>
      <c r="D14665" s="496"/>
    </row>
    <row r="14666" spans="1:4" x14ac:dyDescent="0.2">
      <c r="A14666" s="496"/>
      <c r="D14666" s="496"/>
    </row>
    <row r="14667" spans="1:4" x14ac:dyDescent="0.2">
      <c r="A14667" s="496"/>
      <c r="D14667" s="496"/>
    </row>
    <row r="14668" spans="1:4" x14ac:dyDescent="0.2">
      <c r="A14668" s="496"/>
      <c r="D14668" s="496"/>
    </row>
    <row r="14669" spans="1:4" x14ac:dyDescent="0.2">
      <c r="A14669" s="496"/>
      <c r="D14669" s="496"/>
    </row>
    <row r="14670" spans="1:4" x14ac:dyDescent="0.2">
      <c r="A14670" s="496"/>
      <c r="D14670" s="496"/>
    </row>
    <row r="14671" spans="1:4" x14ac:dyDescent="0.2">
      <c r="A14671" s="496"/>
      <c r="D14671" s="496"/>
    </row>
    <row r="14672" spans="1:4" x14ac:dyDescent="0.2">
      <c r="A14672" s="496"/>
      <c r="D14672" s="496"/>
    </row>
    <row r="14673" spans="1:4" x14ac:dyDescent="0.2">
      <c r="A14673" s="496"/>
      <c r="D14673" s="496"/>
    </row>
    <row r="14674" spans="1:4" x14ac:dyDescent="0.2">
      <c r="A14674" s="496"/>
      <c r="D14674" s="496"/>
    </row>
    <row r="14675" spans="1:4" x14ac:dyDescent="0.2">
      <c r="A14675" s="496"/>
      <c r="D14675" s="496"/>
    </row>
    <row r="14676" spans="1:4" x14ac:dyDescent="0.2">
      <c r="A14676" s="496"/>
      <c r="D14676" s="496"/>
    </row>
    <row r="14677" spans="1:4" x14ac:dyDescent="0.2">
      <c r="A14677" s="496"/>
      <c r="D14677" s="496"/>
    </row>
    <row r="14678" spans="1:4" x14ac:dyDescent="0.2">
      <c r="A14678" s="496"/>
      <c r="D14678" s="496"/>
    </row>
    <row r="14679" spans="1:4" x14ac:dyDescent="0.2">
      <c r="A14679" s="496"/>
      <c r="D14679" s="496"/>
    </row>
    <row r="14680" spans="1:4" x14ac:dyDescent="0.2">
      <c r="A14680" s="496"/>
      <c r="D14680" s="496"/>
    </row>
    <row r="14681" spans="1:4" x14ac:dyDescent="0.2">
      <c r="A14681" s="496"/>
      <c r="D14681" s="496"/>
    </row>
    <row r="14682" spans="1:4" x14ac:dyDescent="0.2">
      <c r="A14682" s="496"/>
      <c r="D14682" s="496"/>
    </row>
    <row r="14683" spans="1:4" x14ac:dyDescent="0.2">
      <c r="A14683" s="496"/>
      <c r="D14683" s="496"/>
    </row>
    <row r="14684" spans="1:4" x14ac:dyDescent="0.2">
      <c r="A14684" s="496"/>
      <c r="D14684" s="496"/>
    </row>
    <row r="14685" spans="1:4" x14ac:dyDescent="0.2">
      <c r="A14685" s="496"/>
      <c r="D14685" s="496"/>
    </row>
    <row r="14686" spans="1:4" x14ac:dyDescent="0.2">
      <c r="A14686" s="496"/>
      <c r="D14686" s="496"/>
    </row>
    <row r="14687" spans="1:4" x14ac:dyDescent="0.2">
      <c r="A14687" s="496"/>
      <c r="D14687" s="496"/>
    </row>
    <row r="14688" spans="1:4" x14ac:dyDescent="0.2">
      <c r="A14688" s="496"/>
      <c r="D14688" s="496"/>
    </row>
    <row r="14689" spans="1:4" x14ac:dyDescent="0.2">
      <c r="A14689" s="496"/>
      <c r="D14689" s="496"/>
    </row>
    <row r="14690" spans="1:4" x14ac:dyDescent="0.2">
      <c r="A14690" s="496"/>
      <c r="D14690" s="496"/>
    </row>
    <row r="14691" spans="1:4" x14ac:dyDescent="0.2">
      <c r="A14691" s="496"/>
      <c r="D14691" s="496"/>
    </row>
    <row r="14692" spans="1:4" x14ac:dyDescent="0.2">
      <c r="A14692" s="496"/>
      <c r="D14692" s="496"/>
    </row>
    <row r="14693" spans="1:4" x14ac:dyDescent="0.2">
      <c r="A14693" s="496"/>
      <c r="D14693" s="496"/>
    </row>
    <row r="14694" spans="1:4" x14ac:dyDescent="0.2">
      <c r="A14694" s="496"/>
      <c r="D14694" s="496"/>
    </row>
    <row r="14695" spans="1:4" x14ac:dyDescent="0.2">
      <c r="A14695" s="496"/>
      <c r="D14695" s="496"/>
    </row>
    <row r="14696" spans="1:4" x14ac:dyDescent="0.2">
      <c r="A14696" s="496"/>
      <c r="D14696" s="496"/>
    </row>
    <row r="14697" spans="1:4" x14ac:dyDescent="0.2">
      <c r="A14697" s="496"/>
      <c r="D14697" s="496"/>
    </row>
    <row r="14698" spans="1:4" x14ac:dyDescent="0.2">
      <c r="A14698" s="496"/>
      <c r="D14698" s="496"/>
    </row>
    <row r="14699" spans="1:4" x14ac:dyDescent="0.2">
      <c r="A14699" s="496"/>
      <c r="D14699" s="496"/>
    </row>
    <row r="14700" spans="1:4" x14ac:dyDescent="0.2">
      <c r="A14700" s="496"/>
      <c r="D14700" s="496"/>
    </row>
    <row r="14701" spans="1:4" x14ac:dyDescent="0.2">
      <c r="A14701" s="496"/>
      <c r="D14701" s="496"/>
    </row>
    <row r="14702" spans="1:4" x14ac:dyDescent="0.2">
      <c r="A14702" s="496"/>
      <c r="D14702" s="496"/>
    </row>
    <row r="14703" spans="1:4" x14ac:dyDescent="0.2">
      <c r="A14703" s="496"/>
      <c r="D14703" s="496"/>
    </row>
    <row r="14704" spans="1:4" x14ac:dyDescent="0.2">
      <c r="A14704" s="496"/>
      <c r="D14704" s="496"/>
    </row>
    <row r="14705" spans="1:4" x14ac:dyDescent="0.2">
      <c r="A14705" s="496"/>
      <c r="D14705" s="496"/>
    </row>
    <row r="14706" spans="1:4" x14ac:dyDescent="0.2">
      <c r="A14706" s="496"/>
      <c r="D14706" s="496"/>
    </row>
    <row r="14707" spans="1:4" x14ac:dyDescent="0.2">
      <c r="A14707" s="496"/>
      <c r="D14707" s="496"/>
    </row>
    <row r="14708" spans="1:4" x14ac:dyDescent="0.2">
      <c r="A14708" s="496"/>
      <c r="D14708" s="496"/>
    </row>
    <row r="14709" spans="1:4" x14ac:dyDescent="0.2">
      <c r="A14709" s="496"/>
      <c r="D14709" s="496"/>
    </row>
    <row r="14710" spans="1:4" x14ac:dyDescent="0.2">
      <c r="A14710" s="496"/>
      <c r="D14710" s="496"/>
    </row>
    <row r="14711" spans="1:4" x14ac:dyDescent="0.2">
      <c r="A14711" s="496"/>
      <c r="D14711" s="496"/>
    </row>
    <row r="14712" spans="1:4" x14ac:dyDescent="0.2">
      <c r="A14712" s="496"/>
      <c r="D14712" s="496"/>
    </row>
    <row r="14713" spans="1:4" x14ac:dyDescent="0.2">
      <c r="A14713" s="496"/>
      <c r="D14713" s="496"/>
    </row>
    <row r="14714" spans="1:4" x14ac:dyDescent="0.2">
      <c r="A14714" s="496"/>
      <c r="D14714" s="496"/>
    </row>
    <row r="14715" spans="1:4" x14ac:dyDescent="0.2">
      <c r="A14715" s="496"/>
      <c r="D14715" s="496"/>
    </row>
    <row r="14716" spans="1:4" x14ac:dyDescent="0.2">
      <c r="A14716" s="496"/>
      <c r="D14716" s="496"/>
    </row>
    <row r="14717" spans="1:4" x14ac:dyDescent="0.2">
      <c r="A14717" s="496"/>
      <c r="D14717" s="496"/>
    </row>
    <row r="14718" spans="1:4" x14ac:dyDescent="0.2">
      <c r="A14718" s="496"/>
      <c r="D14718" s="496"/>
    </row>
    <row r="14719" spans="1:4" x14ac:dyDescent="0.2">
      <c r="A14719" s="496"/>
      <c r="D14719" s="496"/>
    </row>
    <row r="14720" spans="1:4" x14ac:dyDescent="0.2">
      <c r="A14720" s="496"/>
      <c r="D14720" s="496"/>
    </row>
    <row r="14721" spans="1:4" x14ac:dyDescent="0.2">
      <c r="A14721" s="496"/>
      <c r="D14721" s="496"/>
    </row>
    <row r="14722" spans="1:4" x14ac:dyDescent="0.2">
      <c r="A14722" s="496"/>
      <c r="D14722" s="496"/>
    </row>
    <row r="14723" spans="1:4" x14ac:dyDescent="0.2">
      <c r="A14723" s="496"/>
      <c r="D14723" s="496"/>
    </row>
    <row r="14724" spans="1:4" x14ac:dyDescent="0.2">
      <c r="A14724" s="496"/>
      <c r="D14724" s="496"/>
    </row>
    <row r="14725" spans="1:4" x14ac:dyDescent="0.2">
      <c r="A14725" s="496"/>
      <c r="D14725" s="496"/>
    </row>
    <row r="14726" spans="1:4" x14ac:dyDescent="0.2">
      <c r="A14726" s="496"/>
      <c r="D14726" s="496"/>
    </row>
    <row r="14727" spans="1:4" x14ac:dyDescent="0.2">
      <c r="A14727" s="496"/>
      <c r="D14727" s="496"/>
    </row>
    <row r="14728" spans="1:4" x14ac:dyDescent="0.2">
      <c r="A14728" s="496"/>
      <c r="D14728" s="496"/>
    </row>
    <row r="14729" spans="1:4" x14ac:dyDescent="0.2">
      <c r="A14729" s="496"/>
      <c r="D14729" s="496"/>
    </row>
    <row r="14730" spans="1:4" x14ac:dyDescent="0.2">
      <c r="A14730" s="496"/>
      <c r="D14730" s="496"/>
    </row>
    <row r="14731" spans="1:4" x14ac:dyDescent="0.2">
      <c r="A14731" s="496"/>
      <c r="D14731" s="496"/>
    </row>
    <row r="14732" spans="1:4" x14ac:dyDescent="0.2">
      <c r="A14732" s="496"/>
      <c r="D14732" s="496"/>
    </row>
    <row r="14733" spans="1:4" x14ac:dyDescent="0.2">
      <c r="A14733" s="496"/>
      <c r="D14733" s="496"/>
    </row>
    <row r="14734" spans="1:4" x14ac:dyDescent="0.2">
      <c r="A14734" s="496"/>
      <c r="D14734" s="496"/>
    </row>
    <row r="14735" spans="1:4" x14ac:dyDescent="0.2">
      <c r="A14735" s="496"/>
      <c r="D14735" s="496"/>
    </row>
    <row r="14736" spans="1:4" x14ac:dyDescent="0.2">
      <c r="A14736" s="496"/>
      <c r="D14736" s="496"/>
    </row>
    <row r="14737" spans="1:4" x14ac:dyDescent="0.2">
      <c r="A14737" s="496"/>
      <c r="D14737" s="496"/>
    </row>
    <row r="14738" spans="1:4" x14ac:dyDescent="0.2">
      <c r="A14738" s="496"/>
      <c r="D14738" s="496"/>
    </row>
    <row r="14739" spans="1:4" x14ac:dyDescent="0.2">
      <c r="A14739" s="496"/>
      <c r="D14739" s="496"/>
    </row>
    <row r="14740" spans="1:4" x14ac:dyDescent="0.2">
      <c r="A14740" s="496"/>
      <c r="D14740" s="496"/>
    </row>
    <row r="14741" spans="1:4" x14ac:dyDescent="0.2">
      <c r="A14741" s="496"/>
      <c r="D14741" s="496"/>
    </row>
    <row r="14742" spans="1:4" x14ac:dyDescent="0.2">
      <c r="A14742" s="496"/>
      <c r="D14742" s="496"/>
    </row>
    <row r="14743" spans="1:4" x14ac:dyDescent="0.2">
      <c r="A14743" s="496"/>
      <c r="D14743" s="496"/>
    </row>
    <row r="14744" spans="1:4" x14ac:dyDescent="0.2">
      <c r="A14744" s="496"/>
      <c r="D14744" s="496"/>
    </row>
    <row r="14745" spans="1:4" x14ac:dyDescent="0.2">
      <c r="A14745" s="496"/>
      <c r="D14745" s="496"/>
    </row>
    <row r="14746" spans="1:4" x14ac:dyDescent="0.2">
      <c r="A14746" s="496"/>
      <c r="D14746" s="496"/>
    </row>
    <row r="14747" spans="1:4" x14ac:dyDescent="0.2">
      <c r="A14747" s="496"/>
      <c r="D14747" s="496"/>
    </row>
    <row r="14748" spans="1:4" x14ac:dyDescent="0.2">
      <c r="A14748" s="496"/>
      <c r="D14748" s="496"/>
    </row>
    <row r="14749" spans="1:4" x14ac:dyDescent="0.2">
      <c r="A14749" s="496"/>
      <c r="D14749" s="496"/>
    </row>
    <row r="14750" spans="1:4" x14ac:dyDescent="0.2">
      <c r="A14750" s="496"/>
      <c r="D14750" s="496"/>
    </row>
    <row r="14751" spans="1:4" x14ac:dyDescent="0.2">
      <c r="A14751" s="496"/>
      <c r="D14751" s="496"/>
    </row>
    <row r="14752" spans="1:4" x14ac:dyDescent="0.2">
      <c r="A14752" s="496"/>
      <c r="D14752" s="496"/>
    </row>
    <row r="14753" spans="1:4" x14ac:dyDescent="0.2">
      <c r="A14753" s="496"/>
      <c r="D14753" s="496"/>
    </row>
    <row r="14754" spans="1:4" x14ac:dyDescent="0.2">
      <c r="A14754" s="496"/>
      <c r="D14754" s="496"/>
    </row>
    <row r="14755" spans="1:4" x14ac:dyDescent="0.2">
      <c r="A14755" s="496"/>
      <c r="D14755" s="496"/>
    </row>
    <row r="14756" spans="1:4" x14ac:dyDescent="0.2">
      <c r="A14756" s="496"/>
      <c r="D14756" s="496"/>
    </row>
    <row r="14757" spans="1:4" x14ac:dyDescent="0.2">
      <c r="A14757" s="496"/>
      <c r="D14757" s="496"/>
    </row>
    <row r="14758" spans="1:4" x14ac:dyDescent="0.2">
      <c r="A14758" s="496"/>
      <c r="D14758" s="496"/>
    </row>
    <row r="14759" spans="1:4" x14ac:dyDescent="0.2">
      <c r="A14759" s="496"/>
      <c r="D14759" s="496"/>
    </row>
    <row r="14760" spans="1:4" x14ac:dyDescent="0.2">
      <c r="A14760" s="496"/>
      <c r="D14760" s="496"/>
    </row>
    <row r="14761" spans="1:4" x14ac:dyDescent="0.2">
      <c r="A14761" s="496"/>
      <c r="D14761" s="496"/>
    </row>
    <row r="14762" spans="1:4" x14ac:dyDescent="0.2">
      <c r="A14762" s="496"/>
      <c r="D14762" s="496"/>
    </row>
    <row r="14763" spans="1:4" x14ac:dyDescent="0.2">
      <c r="A14763" s="496"/>
      <c r="D14763" s="496"/>
    </row>
    <row r="14764" spans="1:4" x14ac:dyDescent="0.2">
      <c r="A14764" s="496"/>
      <c r="D14764" s="496"/>
    </row>
    <row r="14765" spans="1:4" x14ac:dyDescent="0.2">
      <c r="A14765" s="496"/>
      <c r="D14765" s="496"/>
    </row>
    <row r="14766" spans="1:4" x14ac:dyDescent="0.2">
      <c r="A14766" s="496"/>
      <c r="D14766" s="496"/>
    </row>
    <row r="14767" spans="1:4" x14ac:dyDescent="0.2">
      <c r="A14767" s="496"/>
      <c r="D14767" s="496"/>
    </row>
    <row r="14768" spans="1:4" x14ac:dyDescent="0.2">
      <c r="A14768" s="496"/>
      <c r="D14768" s="496"/>
    </row>
    <row r="14769" spans="1:4" x14ac:dyDescent="0.2">
      <c r="A14769" s="496"/>
      <c r="D14769" s="496"/>
    </row>
    <row r="14770" spans="1:4" x14ac:dyDescent="0.2">
      <c r="A14770" s="496"/>
      <c r="D14770" s="496"/>
    </row>
    <row r="14771" spans="1:4" x14ac:dyDescent="0.2">
      <c r="A14771" s="496"/>
      <c r="D14771" s="496"/>
    </row>
    <row r="14772" spans="1:4" x14ac:dyDescent="0.2">
      <c r="A14772" s="496"/>
      <c r="D14772" s="496"/>
    </row>
    <row r="14773" spans="1:4" x14ac:dyDescent="0.2">
      <c r="A14773" s="496"/>
      <c r="D14773" s="496"/>
    </row>
    <row r="14774" spans="1:4" x14ac:dyDescent="0.2">
      <c r="A14774" s="496"/>
      <c r="D14774" s="496"/>
    </row>
    <row r="14775" spans="1:4" x14ac:dyDescent="0.2">
      <c r="A14775" s="496"/>
      <c r="D14775" s="496"/>
    </row>
    <row r="14776" spans="1:4" x14ac:dyDescent="0.2">
      <c r="A14776" s="496"/>
      <c r="D14776" s="496"/>
    </row>
    <row r="14777" spans="1:4" x14ac:dyDescent="0.2">
      <c r="A14777" s="496"/>
      <c r="D14777" s="496"/>
    </row>
    <row r="14778" spans="1:4" x14ac:dyDescent="0.2">
      <c r="A14778" s="496"/>
      <c r="D14778" s="496"/>
    </row>
    <row r="14779" spans="1:4" x14ac:dyDescent="0.2">
      <c r="A14779" s="496"/>
      <c r="D14779" s="496"/>
    </row>
    <row r="14780" spans="1:4" x14ac:dyDescent="0.2">
      <c r="A14780" s="496"/>
      <c r="D14780" s="496"/>
    </row>
    <row r="14781" spans="1:4" x14ac:dyDescent="0.2">
      <c r="A14781" s="496"/>
      <c r="D14781" s="496"/>
    </row>
    <row r="14782" spans="1:4" x14ac:dyDescent="0.2">
      <c r="A14782" s="496"/>
      <c r="D14782" s="496"/>
    </row>
    <row r="14783" spans="1:4" x14ac:dyDescent="0.2">
      <c r="A14783" s="496"/>
      <c r="D14783" s="496"/>
    </row>
    <row r="14784" spans="1:4" x14ac:dyDescent="0.2">
      <c r="A14784" s="496"/>
      <c r="D14784" s="496"/>
    </row>
    <row r="14785" spans="1:4" x14ac:dyDescent="0.2">
      <c r="A14785" s="496"/>
      <c r="D14785" s="496"/>
    </row>
    <row r="14786" spans="1:4" x14ac:dyDescent="0.2">
      <c r="A14786" s="496"/>
      <c r="D14786" s="496"/>
    </row>
    <row r="14787" spans="1:4" x14ac:dyDescent="0.2">
      <c r="A14787" s="496"/>
      <c r="D14787" s="496"/>
    </row>
    <row r="14788" spans="1:4" x14ac:dyDescent="0.2">
      <c r="A14788" s="496"/>
      <c r="D14788" s="496"/>
    </row>
    <row r="14789" spans="1:4" x14ac:dyDescent="0.2">
      <c r="A14789" s="496"/>
      <c r="D14789" s="496"/>
    </row>
    <row r="14790" spans="1:4" x14ac:dyDescent="0.2">
      <c r="A14790" s="496"/>
      <c r="D14790" s="496"/>
    </row>
    <row r="14791" spans="1:4" x14ac:dyDescent="0.2">
      <c r="A14791" s="496"/>
      <c r="D14791" s="496"/>
    </row>
    <row r="14792" spans="1:4" x14ac:dyDescent="0.2">
      <c r="A14792" s="496"/>
      <c r="D14792" s="496"/>
    </row>
    <row r="14793" spans="1:4" x14ac:dyDescent="0.2">
      <c r="A14793" s="496"/>
      <c r="D14793" s="496"/>
    </row>
    <row r="14794" spans="1:4" x14ac:dyDescent="0.2">
      <c r="A14794" s="496"/>
      <c r="D14794" s="496"/>
    </row>
    <row r="14795" spans="1:4" x14ac:dyDescent="0.2">
      <c r="A14795" s="496"/>
      <c r="D14795" s="496"/>
    </row>
    <row r="14796" spans="1:4" x14ac:dyDescent="0.2">
      <c r="A14796" s="496"/>
      <c r="D14796" s="496"/>
    </row>
    <row r="14797" spans="1:4" x14ac:dyDescent="0.2">
      <c r="A14797" s="496"/>
      <c r="D14797" s="496"/>
    </row>
    <row r="14798" spans="1:4" x14ac:dyDescent="0.2">
      <c r="A14798" s="496"/>
      <c r="D14798" s="496"/>
    </row>
    <row r="14799" spans="1:4" x14ac:dyDescent="0.2">
      <c r="A14799" s="496"/>
      <c r="D14799" s="496"/>
    </row>
    <row r="14800" spans="1:4" x14ac:dyDescent="0.2">
      <c r="A14800" s="496"/>
      <c r="D14800" s="496"/>
    </row>
    <row r="14801" spans="1:4" x14ac:dyDescent="0.2">
      <c r="A14801" s="496"/>
      <c r="D14801" s="496"/>
    </row>
    <row r="14802" spans="1:4" x14ac:dyDescent="0.2">
      <c r="A14802" s="496"/>
      <c r="D14802" s="496"/>
    </row>
    <row r="14803" spans="1:4" x14ac:dyDescent="0.2">
      <c r="A14803" s="496"/>
      <c r="D14803" s="496"/>
    </row>
    <row r="14804" spans="1:4" x14ac:dyDescent="0.2">
      <c r="A14804" s="496"/>
      <c r="D14804" s="496"/>
    </row>
    <row r="14805" spans="1:4" x14ac:dyDescent="0.2">
      <c r="A14805" s="496"/>
      <c r="D14805" s="496"/>
    </row>
    <row r="14806" spans="1:4" x14ac:dyDescent="0.2">
      <c r="A14806" s="496"/>
      <c r="D14806" s="496"/>
    </row>
    <row r="14807" spans="1:4" x14ac:dyDescent="0.2">
      <c r="A14807" s="496"/>
      <c r="D14807" s="496"/>
    </row>
    <row r="14808" spans="1:4" x14ac:dyDescent="0.2">
      <c r="A14808" s="496"/>
      <c r="D14808" s="496"/>
    </row>
    <row r="14809" spans="1:4" x14ac:dyDescent="0.2">
      <c r="A14809" s="496"/>
      <c r="D14809" s="496"/>
    </row>
    <row r="14810" spans="1:4" x14ac:dyDescent="0.2">
      <c r="A14810" s="496"/>
      <c r="D14810" s="496"/>
    </row>
    <row r="14811" spans="1:4" x14ac:dyDescent="0.2">
      <c r="A14811" s="496"/>
      <c r="D14811" s="496"/>
    </row>
    <row r="14812" spans="1:4" x14ac:dyDescent="0.2">
      <c r="A14812" s="496"/>
      <c r="D14812" s="496"/>
    </row>
    <row r="14813" spans="1:4" x14ac:dyDescent="0.2">
      <c r="A14813" s="496"/>
      <c r="D14813" s="496"/>
    </row>
    <row r="14814" spans="1:4" x14ac:dyDescent="0.2">
      <c r="A14814" s="496"/>
      <c r="D14814" s="496"/>
    </row>
    <row r="14815" spans="1:4" x14ac:dyDescent="0.2">
      <c r="A14815" s="496"/>
      <c r="D14815" s="496"/>
    </row>
    <row r="14816" spans="1:4" x14ac:dyDescent="0.2">
      <c r="A14816" s="496"/>
      <c r="D14816" s="496"/>
    </row>
    <row r="14817" spans="1:4" x14ac:dyDescent="0.2">
      <c r="A14817" s="496"/>
      <c r="D14817" s="496"/>
    </row>
    <row r="14818" spans="1:4" x14ac:dyDescent="0.2">
      <c r="A14818" s="496"/>
      <c r="D14818" s="496"/>
    </row>
    <row r="14819" spans="1:4" x14ac:dyDescent="0.2">
      <c r="A14819" s="496"/>
      <c r="D14819" s="496"/>
    </row>
    <row r="14820" spans="1:4" x14ac:dyDescent="0.2">
      <c r="A14820" s="496"/>
      <c r="D14820" s="496"/>
    </row>
    <row r="14821" spans="1:4" x14ac:dyDescent="0.2">
      <c r="A14821" s="496"/>
      <c r="D14821" s="496"/>
    </row>
    <row r="14822" spans="1:4" x14ac:dyDescent="0.2">
      <c r="A14822" s="496"/>
      <c r="D14822" s="496"/>
    </row>
    <row r="14823" spans="1:4" x14ac:dyDescent="0.2">
      <c r="A14823" s="496"/>
      <c r="D14823" s="496"/>
    </row>
    <row r="14824" spans="1:4" x14ac:dyDescent="0.2">
      <c r="A14824" s="496"/>
      <c r="D14824" s="496"/>
    </row>
    <row r="14825" spans="1:4" x14ac:dyDescent="0.2">
      <c r="A14825" s="496"/>
      <c r="D14825" s="496"/>
    </row>
    <row r="14826" spans="1:4" x14ac:dyDescent="0.2">
      <c r="A14826" s="496"/>
      <c r="D14826" s="496"/>
    </row>
    <row r="14827" spans="1:4" x14ac:dyDescent="0.2">
      <c r="A14827" s="496"/>
      <c r="D14827" s="496"/>
    </row>
    <row r="14828" spans="1:4" x14ac:dyDescent="0.2">
      <c r="A14828" s="496"/>
      <c r="D14828" s="496"/>
    </row>
    <row r="14829" spans="1:4" x14ac:dyDescent="0.2">
      <c r="A14829" s="496"/>
      <c r="D14829" s="496"/>
    </row>
    <row r="14830" spans="1:4" x14ac:dyDescent="0.2">
      <c r="A14830" s="496"/>
      <c r="D14830" s="496"/>
    </row>
    <row r="14831" spans="1:4" x14ac:dyDescent="0.2">
      <c r="A14831" s="496"/>
      <c r="D14831" s="496"/>
    </row>
    <row r="14832" spans="1:4" x14ac:dyDescent="0.2">
      <c r="A14832" s="496"/>
      <c r="D14832" s="496"/>
    </row>
    <row r="14833" spans="1:4" x14ac:dyDescent="0.2">
      <c r="A14833" s="496"/>
      <c r="D14833" s="496"/>
    </row>
    <row r="14834" spans="1:4" x14ac:dyDescent="0.2">
      <c r="A14834" s="496"/>
      <c r="D14834" s="496"/>
    </row>
    <row r="14835" spans="1:4" x14ac:dyDescent="0.2">
      <c r="A14835" s="496"/>
      <c r="D14835" s="496"/>
    </row>
    <row r="14836" spans="1:4" x14ac:dyDescent="0.2">
      <c r="A14836" s="496"/>
      <c r="D14836" s="496"/>
    </row>
    <row r="14837" spans="1:4" x14ac:dyDescent="0.2">
      <c r="A14837" s="496"/>
      <c r="D14837" s="496"/>
    </row>
    <row r="14838" spans="1:4" x14ac:dyDescent="0.2">
      <c r="A14838" s="496"/>
      <c r="D14838" s="496"/>
    </row>
    <row r="14839" spans="1:4" x14ac:dyDescent="0.2">
      <c r="A14839" s="496"/>
      <c r="D14839" s="496"/>
    </row>
    <row r="14840" spans="1:4" x14ac:dyDescent="0.2">
      <c r="A14840" s="496"/>
      <c r="D14840" s="496"/>
    </row>
    <row r="14841" spans="1:4" x14ac:dyDescent="0.2">
      <c r="A14841" s="496"/>
      <c r="D14841" s="496"/>
    </row>
    <row r="14842" spans="1:4" x14ac:dyDescent="0.2">
      <c r="A14842" s="496"/>
      <c r="D14842" s="496"/>
    </row>
    <row r="14843" spans="1:4" x14ac:dyDescent="0.2">
      <c r="A14843" s="496"/>
      <c r="D14843" s="496"/>
    </row>
    <row r="14844" spans="1:4" x14ac:dyDescent="0.2">
      <c r="A14844" s="496"/>
      <c r="D14844" s="496"/>
    </row>
    <row r="14845" spans="1:4" x14ac:dyDescent="0.2">
      <c r="A14845" s="496"/>
      <c r="D14845" s="496"/>
    </row>
    <row r="14846" spans="1:4" x14ac:dyDescent="0.2">
      <c r="A14846" s="496"/>
      <c r="D14846" s="496"/>
    </row>
    <row r="14847" spans="1:4" x14ac:dyDescent="0.2">
      <c r="A14847" s="496"/>
      <c r="D14847" s="496"/>
    </row>
    <row r="14848" spans="1:4" x14ac:dyDescent="0.2">
      <c r="A14848" s="496"/>
      <c r="D14848" s="496"/>
    </row>
    <row r="14849" spans="1:4" x14ac:dyDescent="0.2">
      <c r="A14849" s="496"/>
      <c r="D14849" s="496"/>
    </row>
    <row r="14850" spans="1:4" x14ac:dyDescent="0.2">
      <c r="A14850" s="496"/>
      <c r="D14850" s="496"/>
    </row>
    <row r="14851" spans="1:4" x14ac:dyDescent="0.2">
      <c r="A14851" s="496"/>
      <c r="D14851" s="496"/>
    </row>
    <row r="14852" spans="1:4" x14ac:dyDescent="0.2">
      <c r="A14852" s="496"/>
      <c r="D14852" s="496"/>
    </row>
    <row r="14853" spans="1:4" x14ac:dyDescent="0.2">
      <c r="A14853" s="496"/>
      <c r="D14853" s="496"/>
    </row>
    <row r="14854" spans="1:4" x14ac:dyDescent="0.2">
      <c r="A14854" s="496"/>
      <c r="D14854" s="496"/>
    </row>
    <row r="14855" spans="1:4" x14ac:dyDescent="0.2">
      <c r="A14855" s="496"/>
      <c r="D14855" s="496"/>
    </row>
    <row r="14856" spans="1:4" x14ac:dyDescent="0.2">
      <c r="A14856" s="496"/>
      <c r="D14856" s="496"/>
    </row>
    <row r="14857" spans="1:4" x14ac:dyDescent="0.2">
      <c r="A14857" s="496"/>
      <c r="D14857" s="496"/>
    </row>
    <row r="14858" spans="1:4" x14ac:dyDescent="0.2">
      <c r="A14858" s="496"/>
      <c r="D14858" s="496"/>
    </row>
    <row r="14859" spans="1:4" x14ac:dyDescent="0.2">
      <c r="A14859" s="496"/>
      <c r="D14859" s="496"/>
    </row>
    <row r="14860" spans="1:4" x14ac:dyDescent="0.2">
      <c r="A14860" s="496"/>
      <c r="D14860" s="496"/>
    </row>
    <row r="14861" spans="1:4" x14ac:dyDescent="0.2">
      <c r="A14861" s="496"/>
      <c r="D14861" s="496"/>
    </row>
    <row r="14862" spans="1:4" x14ac:dyDescent="0.2">
      <c r="A14862" s="496"/>
      <c r="D14862" s="496"/>
    </row>
    <row r="14863" spans="1:4" x14ac:dyDescent="0.2">
      <c r="A14863" s="496"/>
      <c r="D14863" s="496"/>
    </row>
    <row r="14864" spans="1:4" x14ac:dyDescent="0.2">
      <c r="A14864" s="496"/>
      <c r="D14864" s="496"/>
    </row>
    <row r="14865" spans="1:4" x14ac:dyDescent="0.2">
      <c r="A14865" s="496"/>
      <c r="D14865" s="496"/>
    </row>
    <row r="14866" spans="1:4" x14ac:dyDescent="0.2">
      <c r="A14866" s="496"/>
      <c r="D14866" s="496"/>
    </row>
    <row r="14867" spans="1:4" x14ac:dyDescent="0.2">
      <c r="A14867" s="496"/>
      <c r="D14867" s="496"/>
    </row>
    <row r="14868" spans="1:4" x14ac:dyDescent="0.2">
      <c r="A14868" s="496"/>
      <c r="D14868" s="496"/>
    </row>
    <row r="14869" spans="1:4" x14ac:dyDescent="0.2">
      <c r="A14869" s="496"/>
      <c r="D14869" s="496"/>
    </row>
    <row r="14870" spans="1:4" x14ac:dyDescent="0.2">
      <c r="A14870" s="496"/>
      <c r="D14870" s="496"/>
    </row>
    <row r="14871" spans="1:4" x14ac:dyDescent="0.2">
      <c r="A14871" s="496"/>
      <c r="D14871" s="496"/>
    </row>
    <row r="14872" spans="1:4" x14ac:dyDescent="0.2">
      <c r="A14872" s="496"/>
      <c r="D14872" s="496"/>
    </row>
    <row r="14873" spans="1:4" x14ac:dyDescent="0.2">
      <c r="A14873" s="496"/>
      <c r="D14873" s="496"/>
    </row>
    <row r="14874" spans="1:4" x14ac:dyDescent="0.2">
      <c r="A14874" s="496"/>
      <c r="D14874" s="496"/>
    </row>
    <row r="14875" spans="1:4" x14ac:dyDescent="0.2">
      <c r="A14875" s="496"/>
      <c r="D14875" s="496"/>
    </row>
    <row r="14876" spans="1:4" x14ac:dyDescent="0.2">
      <c r="A14876" s="496"/>
      <c r="D14876" s="496"/>
    </row>
    <row r="14877" spans="1:4" x14ac:dyDescent="0.2">
      <c r="A14877" s="496"/>
      <c r="D14877" s="496"/>
    </row>
    <row r="14878" spans="1:4" x14ac:dyDescent="0.2">
      <c r="A14878" s="496"/>
      <c r="D14878" s="496"/>
    </row>
    <row r="14879" spans="1:4" x14ac:dyDescent="0.2">
      <c r="A14879" s="496"/>
      <c r="D14879" s="496"/>
    </row>
    <row r="14880" spans="1:4" x14ac:dyDescent="0.2">
      <c r="A14880" s="496"/>
      <c r="D14880" s="496"/>
    </row>
    <row r="14881" spans="1:4" x14ac:dyDescent="0.2">
      <c r="A14881" s="496"/>
      <c r="D14881" s="496"/>
    </row>
    <row r="14882" spans="1:4" x14ac:dyDescent="0.2">
      <c r="A14882" s="496"/>
      <c r="D14882" s="496"/>
    </row>
    <row r="14883" spans="1:4" x14ac:dyDescent="0.2">
      <c r="A14883" s="496"/>
      <c r="D14883" s="496"/>
    </row>
    <row r="14884" spans="1:4" x14ac:dyDescent="0.2">
      <c r="A14884" s="496"/>
      <c r="D14884" s="496"/>
    </row>
    <row r="14885" spans="1:4" x14ac:dyDescent="0.2">
      <c r="A14885" s="496"/>
      <c r="D14885" s="496"/>
    </row>
    <row r="14886" spans="1:4" x14ac:dyDescent="0.2">
      <c r="A14886" s="496"/>
      <c r="D14886" s="496"/>
    </row>
    <row r="14887" spans="1:4" x14ac:dyDescent="0.2">
      <c r="A14887" s="496"/>
      <c r="D14887" s="496"/>
    </row>
    <row r="14888" spans="1:4" x14ac:dyDescent="0.2">
      <c r="A14888" s="496"/>
      <c r="D14888" s="496"/>
    </row>
    <row r="14889" spans="1:4" x14ac:dyDescent="0.2">
      <c r="A14889" s="496"/>
      <c r="D14889" s="496"/>
    </row>
    <row r="14890" spans="1:4" x14ac:dyDescent="0.2">
      <c r="A14890" s="496"/>
      <c r="D14890" s="496"/>
    </row>
    <row r="14891" spans="1:4" x14ac:dyDescent="0.2">
      <c r="A14891" s="496"/>
      <c r="D14891" s="496"/>
    </row>
    <row r="14892" spans="1:4" x14ac:dyDescent="0.2">
      <c r="A14892" s="496"/>
      <c r="D14892" s="496"/>
    </row>
    <row r="14893" spans="1:4" x14ac:dyDescent="0.2">
      <c r="A14893" s="496"/>
      <c r="D14893" s="496"/>
    </row>
    <row r="14894" spans="1:4" x14ac:dyDescent="0.2">
      <c r="A14894" s="496"/>
      <c r="D14894" s="496"/>
    </row>
    <row r="14895" spans="1:4" x14ac:dyDescent="0.2">
      <c r="A14895" s="496"/>
      <c r="D14895" s="496"/>
    </row>
    <row r="14896" spans="1:4" x14ac:dyDescent="0.2">
      <c r="A14896" s="496"/>
      <c r="D14896" s="496"/>
    </row>
    <row r="14897" spans="1:4" x14ac:dyDescent="0.2">
      <c r="A14897" s="496"/>
      <c r="D14897" s="496"/>
    </row>
    <row r="14898" spans="1:4" x14ac:dyDescent="0.2">
      <c r="A14898" s="496"/>
      <c r="D14898" s="496"/>
    </row>
    <row r="14899" spans="1:4" x14ac:dyDescent="0.2">
      <c r="A14899" s="496"/>
      <c r="D14899" s="496"/>
    </row>
    <row r="14900" spans="1:4" x14ac:dyDescent="0.2">
      <c r="A14900" s="496"/>
      <c r="D14900" s="496"/>
    </row>
    <row r="14901" spans="1:4" x14ac:dyDescent="0.2">
      <c r="A14901" s="496"/>
      <c r="D14901" s="496"/>
    </row>
    <row r="14902" spans="1:4" x14ac:dyDescent="0.2">
      <c r="A14902" s="496"/>
      <c r="D14902" s="496"/>
    </row>
    <row r="14903" spans="1:4" x14ac:dyDescent="0.2">
      <c r="A14903" s="496"/>
      <c r="D14903" s="496"/>
    </row>
    <row r="14904" spans="1:4" x14ac:dyDescent="0.2">
      <c r="A14904" s="496"/>
      <c r="D14904" s="496"/>
    </row>
    <row r="14905" spans="1:4" x14ac:dyDescent="0.2">
      <c r="A14905" s="496"/>
      <c r="D14905" s="496"/>
    </row>
    <row r="14906" spans="1:4" x14ac:dyDescent="0.2">
      <c r="A14906" s="496"/>
      <c r="D14906" s="496"/>
    </row>
    <row r="14907" spans="1:4" x14ac:dyDescent="0.2">
      <c r="A14907" s="496"/>
      <c r="D14907" s="496"/>
    </row>
    <row r="14908" spans="1:4" x14ac:dyDescent="0.2">
      <c r="A14908" s="496"/>
      <c r="D14908" s="496"/>
    </row>
    <row r="14909" spans="1:4" x14ac:dyDescent="0.2">
      <c r="A14909" s="496"/>
      <c r="D14909" s="496"/>
    </row>
    <row r="14910" spans="1:4" x14ac:dyDescent="0.2">
      <c r="A14910" s="496"/>
      <c r="D14910" s="496"/>
    </row>
    <row r="14911" spans="1:4" x14ac:dyDescent="0.2">
      <c r="A14911" s="496"/>
      <c r="D14911" s="496"/>
    </row>
    <row r="14912" spans="1:4" x14ac:dyDescent="0.2">
      <c r="A14912" s="496"/>
      <c r="D14912" s="496"/>
    </row>
    <row r="14913" spans="1:4" x14ac:dyDescent="0.2">
      <c r="A14913" s="496"/>
      <c r="D14913" s="496"/>
    </row>
    <row r="14914" spans="1:4" x14ac:dyDescent="0.2">
      <c r="A14914" s="496"/>
      <c r="D14914" s="496"/>
    </row>
    <row r="14915" spans="1:4" x14ac:dyDescent="0.2">
      <c r="A14915" s="496"/>
      <c r="D14915" s="496"/>
    </row>
    <row r="14916" spans="1:4" x14ac:dyDescent="0.2">
      <c r="A14916" s="496"/>
      <c r="D14916" s="496"/>
    </row>
    <row r="14917" spans="1:4" x14ac:dyDescent="0.2">
      <c r="A14917" s="496"/>
      <c r="D14917" s="496"/>
    </row>
    <row r="14918" spans="1:4" x14ac:dyDescent="0.2">
      <c r="A14918" s="496"/>
      <c r="D14918" s="496"/>
    </row>
    <row r="14919" spans="1:4" x14ac:dyDescent="0.2">
      <c r="A14919" s="496"/>
      <c r="D14919" s="496"/>
    </row>
    <row r="14920" spans="1:4" x14ac:dyDescent="0.2">
      <c r="A14920" s="496"/>
      <c r="D14920" s="496"/>
    </row>
    <row r="14921" spans="1:4" x14ac:dyDescent="0.2">
      <c r="A14921" s="496"/>
      <c r="D14921" s="496"/>
    </row>
    <row r="14922" spans="1:4" x14ac:dyDescent="0.2">
      <c r="A14922" s="496"/>
      <c r="D14922" s="496"/>
    </row>
    <row r="14923" spans="1:4" x14ac:dyDescent="0.2">
      <c r="A14923" s="496"/>
      <c r="D14923" s="496"/>
    </row>
    <row r="14924" spans="1:4" x14ac:dyDescent="0.2">
      <c r="A14924" s="496"/>
      <c r="D14924" s="496"/>
    </row>
    <row r="14925" spans="1:4" x14ac:dyDescent="0.2">
      <c r="A14925" s="496"/>
      <c r="D14925" s="496"/>
    </row>
    <row r="14926" spans="1:4" x14ac:dyDescent="0.2">
      <c r="A14926" s="496"/>
      <c r="D14926" s="496"/>
    </row>
    <row r="14927" spans="1:4" x14ac:dyDescent="0.2">
      <c r="A14927" s="496"/>
      <c r="D14927" s="496"/>
    </row>
    <row r="14928" spans="1:4" x14ac:dyDescent="0.2">
      <c r="A14928" s="496"/>
      <c r="D14928" s="496"/>
    </row>
    <row r="14929" spans="1:4" x14ac:dyDescent="0.2">
      <c r="A14929" s="496"/>
      <c r="D14929" s="496"/>
    </row>
    <row r="14930" spans="1:4" x14ac:dyDescent="0.2">
      <c r="A14930" s="496"/>
      <c r="D14930" s="496"/>
    </row>
    <row r="14931" spans="1:4" x14ac:dyDescent="0.2">
      <c r="A14931" s="496"/>
      <c r="D14931" s="496"/>
    </row>
    <row r="14932" spans="1:4" x14ac:dyDescent="0.2">
      <c r="A14932" s="496"/>
      <c r="D14932" s="496"/>
    </row>
    <row r="14933" spans="1:4" x14ac:dyDescent="0.2">
      <c r="A14933" s="496"/>
      <c r="D14933" s="496"/>
    </row>
    <row r="14934" spans="1:4" x14ac:dyDescent="0.2">
      <c r="A14934" s="496"/>
      <c r="D14934" s="496"/>
    </row>
    <row r="14935" spans="1:4" x14ac:dyDescent="0.2">
      <c r="A14935" s="496"/>
      <c r="D14935" s="496"/>
    </row>
    <row r="14936" spans="1:4" x14ac:dyDescent="0.2">
      <c r="A14936" s="496"/>
      <c r="D14936" s="496"/>
    </row>
    <row r="14937" spans="1:4" x14ac:dyDescent="0.2">
      <c r="A14937" s="496"/>
      <c r="D14937" s="496"/>
    </row>
    <row r="14938" spans="1:4" x14ac:dyDescent="0.2">
      <c r="A14938" s="496"/>
      <c r="D14938" s="496"/>
    </row>
    <row r="14939" spans="1:4" x14ac:dyDescent="0.2">
      <c r="A14939" s="496"/>
      <c r="D14939" s="496"/>
    </row>
    <row r="14940" spans="1:4" x14ac:dyDescent="0.2">
      <c r="A14940" s="496"/>
      <c r="D14940" s="496"/>
    </row>
    <row r="14941" spans="1:4" x14ac:dyDescent="0.2">
      <c r="A14941" s="496"/>
      <c r="D14941" s="496"/>
    </row>
    <row r="14942" spans="1:4" x14ac:dyDescent="0.2">
      <c r="A14942" s="496"/>
      <c r="D14942" s="496"/>
    </row>
    <row r="14943" spans="1:4" x14ac:dyDescent="0.2">
      <c r="A14943" s="496"/>
      <c r="D14943" s="496"/>
    </row>
    <row r="14944" spans="1:4" x14ac:dyDescent="0.2">
      <c r="A14944" s="496"/>
      <c r="D14944" s="496"/>
    </row>
    <row r="14945" spans="1:4" x14ac:dyDescent="0.2">
      <c r="A14945" s="496"/>
      <c r="D14945" s="496"/>
    </row>
    <row r="14946" spans="1:4" x14ac:dyDescent="0.2">
      <c r="A14946" s="496"/>
      <c r="D14946" s="496"/>
    </row>
    <row r="14947" spans="1:4" x14ac:dyDescent="0.2">
      <c r="A14947" s="496"/>
      <c r="D14947" s="496"/>
    </row>
    <row r="14948" spans="1:4" x14ac:dyDescent="0.2">
      <c r="A14948" s="496"/>
      <c r="D14948" s="496"/>
    </row>
    <row r="14949" spans="1:4" x14ac:dyDescent="0.2">
      <c r="A14949" s="496"/>
      <c r="D14949" s="496"/>
    </row>
    <row r="14950" spans="1:4" x14ac:dyDescent="0.2">
      <c r="A14950" s="496"/>
      <c r="D14950" s="496"/>
    </row>
    <row r="14951" spans="1:4" x14ac:dyDescent="0.2">
      <c r="A14951" s="496"/>
      <c r="D14951" s="496"/>
    </row>
    <row r="14952" spans="1:4" x14ac:dyDescent="0.2">
      <c r="A14952" s="496"/>
      <c r="D14952" s="496"/>
    </row>
    <row r="14953" spans="1:4" x14ac:dyDescent="0.2">
      <c r="A14953" s="496"/>
      <c r="D14953" s="496"/>
    </row>
    <row r="14954" spans="1:4" x14ac:dyDescent="0.2">
      <c r="A14954" s="496"/>
      <c r="D14954" s="496"/>
    </row>
    <row r="14955" spans="1:4" x14ac:dyDescent="0.2">
      <c r="A14955" s="496"/>
      <c r="D14955" s="496"/>
    </row>
    <row r="14956" spans="1:4" x14ac:dyDescent="0.2">
      <c r="A14956" s="496"/>
      <c r="D14956" s="496"/>
    </row>
    <row r="14957" spans="1:4" x14ac:dyDescent="0.2">
      <c r="A14957" s="496"/>
      <c r="D14957" s="496"/>
    </row>
    <row r="14958" spans="1:4" x14ac:dyDescent="0.2">
      <c r="A14958" s="496"/>
      <c r="D14958" s="496"/>
    </row>
    <row r="14959" spans="1:4" x14ac:dyDescent="0.2">
      <c r="A14959" s="496"/>
      <c r="D14959" s="496"/>
    </row>
    <row r="14960" spans="1:4" x14ac:dyDescent="0.2">
      <c r="A14960" s="496"/>
      <c r="D14960" s="496"/>
    </row>
    <row r="14961" spans="1:4" x14ac:dyDescent="0.2">
      <c r="A14961" s="496"/>
      <c r="D14961" s="496"/>
    </row>
    <row r="14962" spans="1:4" x14ac:dyDescent="0.2">
      <c r="A14962" s="496"/>
      <c r="D14962" s="496"/>
    </row>
    <row r="14963" spans="1:4" x14ac:dyDescent="0.2">
      <c r="A14963" s="496"/>
      <c r="D14963" s="496"/>
    </row>
    <row r="14964" spans="1:4" x14ac:dyDescent="0.2">
      <c r="A14964" s="496"/>
      <c r="D14964" s="496"/>
    </row>
    <row r="14965" spans="1:4" x14ac:dyDescent="0.2">
      <c r="A14965" s="496"/>
      <c r="D14965" s="496"/>
    </row>
    <row r="14966" spans="1:4" x14ac:dyDescent="0.2">
      <c r="A14966" s="496"/>
      <c r="D14966" s="496"/>
    </row>
    <row r="14967" spans="1:4" x14ac:dyDescent="0.2">
      <c r="A14967" s="496"/>
      <c r="D14967" s="496"/>
    </row>
    <row r="14968" spans="1:4" x14ac:dyDescent="0.2">
      <c r="A14968" s="496"/>
      <c r="D14968" s="496"/>
    </row>
    <row r="14969" spans="1:4" x14ac:dyDescent="0.2">
      <c r="A14969" s="496"/>
      <c r="D14969" s="496"/>
    </row>
    <row r="14970" spans="1:4" x14ac:dyDescent="0.2">
      <c r="A14970" s="496"/>
      <c r="D14970" s="496"/>
    </row>
    <row r="14971" spans="1:4" x14ac:dyDescent="0.2">
      <c r="A14971" s="496"/>
      <c r="D14971" s="496"/>
    </row>
    <row r="14972" spans="1:4" x14ac:dyDescent="0.2">
      <c r="A14972" s="496"/>
      <c r="D14972" s="496"/>
    </row>
    <row r="14973" spans="1:4" x14ac:dyDescent="0.2">
      <c r="A14973" s="496"/>
      <c r="D14973" s="496"/>
    </row>
    <row r="14974" spans="1:4" x14ac:dyDescent="0.2">
      <c r="A14974" s="496"/>
      <c r="D14974" s="496"/>
    </row>
    <row r="14975" spans="1:4" x14ac:dyDescent="0.2">
      <c r="A14975" s="496"/>
      <c r="D14975" s="496"/>
    </row>
    <row r="14976" spans="1:4" x14ac:dyDescent="0.2">
      <c r="A14976" s="496"/>
      <c r="D14976" s="496"/>
    </row>
    <row r="14977" spans="1:4" x14ac:dyDescent="0.2">
      <c r="A14977" s="496"/>
      <c r="D14977" s="496"/>
    </row>
    <row r="14978" spans="1:4" x14ac:dyDescent="0.2">
      <c r="A14978" s="496"/>
      <c r="D14978" s="496"/>
    </row>
    <row r="14979" spans="1:4" x14ac:dyDescent="0.2">
      <c r="A14979" s="496"/>
      <c r="D14979" s="496"/>
    </row>
    <row r="14980" spans="1:4" x14ac:dyDescent="0.2">
      <c r="A14980" s="496"/>
      <c r="D14980" s="496"/>
    </row>
    <row r="14981" spans="1:4" x14ac:dyDescent="0.2">
      <c r="A14981" s="496"/>
      <c r="D14981" s="496"/>
    </row>
    <row r="14982" spans="1:4" x14ac:dyDescent="0.2">
      <c r="A14982" s="496"/>
      <c r="D14982" s="496"/>
    </row>
    <row r="14983" spans="1:4" x14ac:dyDescent="0.2">
      <c r="A14983" s="496"/>
      <c r="D14983" s="496"/>
    </row>
    <row r="14984" spans="1:4" x14ac:dyDescent="0.2">
      <c r="A14984" s="496"/>
      <c r="D14984" s="496"/>
    </row>
    <row r="14985" spans="1:4" x14ac:dyDescent="0.2">
      <c r="A14985" s="496"/>
      <c r="D14985" s="496"/>
    </row>
    <row r="14986" spans="1:4" x14ac:dyDescent="0.2">
      <c r="A14986" s="496"/>
      <c r="D14986" s="496"/>
    </row>
    <row r="14987" spans="1:4" x14ac:dyDescent="0.2">
      <c r="A14987" s="496"/>
      <c r="D14987" s="496"/>
    </row>
    <row r="14988" spans="1:4" x14ac:dyDescent="0.2">
      <c r="A14988" s="496"/>
      <c r="D14988" s="496"/>
    </row>
    <row r="14989" spans="1:4" x14ac:dyDescent="0.2">
      <c r="A14989" s="496"/>
      <c r="D14989" s="496"/>
    </row>
    <row r="14990" spans="1:4" x14ac:dyDescent="0.2">
      <c r="A14990" s="496"/>
      <c r="D14990" s="496"/>
    </row>
    <row r="14991" spans="1:4" x14ac:dyDescent="0.2">
      <c r="A14991" s="496"/>
      <c r="D14991" s="496"/>
    </row>
    <row r="14992" spans="1:4" x14ac:dyDescent="0.2">
      <c r="A14992" s="496"/>
      <c r="D14992" s="496"/>
    </row>
    <row r="14993" spans="1:4" x14ac:dyDescent="0.2">
      <c r="A14993" s="496"/>
      <c r="D14993" s="496"/>
    </row>
    <row r="14994" spans="1:4" x14ac:dyDescent="0.2">
      <c r="A14994" s="496"/>
      <c r="D14994" s="496"/>
    </row>
    <row r="14995" spans="1:4" x14ac:dyDescent="0.2">
      <c r="A14995" s="496"/>
      <c r="D14995" s="496"/>
    </row>
    <row r="14996" spans="1:4" x14ac:dyDescent="0.2">
      <c r="A14996" s="496"/>
      <c r="D14996" s="496"/>
    </row>
    <row r="14997" spans="1:4" x14ac:dyDescent="0.2">
      <c r="A14997" s="496"/>
      <c r="D14997" s="496"/>
    </row>
    <row r="14998" spans="1:4" x14ac:dyDescent="0.2">
      <c r="A14998" s="496"/>
      <c r="D14998" s="496"/>
    </row>
    <row r="14999" spans="1:4" x14ac:dyDescent="0.2">
      <c r="A14999" s="496"/>
      <c r="D14999" s="496"/>
    </row>
    <row r="15000" spans="1:4" x14ac:dyDescent="0.2">
      <c r="A15000" s="496"/>
      <c r="D15000" s="496"/>
    </row>
    <row r="15001" spans="1:4" x14ac:dyDescent="0.2">
      <c r="A15001" s="496"/>
      <c r="D15001" s="496"/>
    </row>
    <row r="15002" spans="1:4" x14ac:dyDescent="0.2">
      <c r="A15002" s="496"/>
      <c r="D15002" s="496"/>
    </row>
    <row r="15003" spans="1:4" x14ac:dyDescent="0.2">
      <c r="A15003" s="496"/>
      <c r="D15003" s="496"/>
    </row>
    <row r="15004" spans="1:4" x14ac:dyDescent="0.2">
      <c r="A15004" s="496"/>
      <c r="D15004" s="496"/>
    </row>
    <row r="15005" spans="1:4" x14ac:dyDescent="0.2">
      <c r="A15005" s="496"/>
      <c r="D15005" s="496"/>
    </row>
    <row r="15006" spans="1:4" x14ac:dyDescent="0.2">
      <c r="A15006" s="496"/>
      <c r="D15006" s="496"/>
    </row>
    <row r="15007" spans="1:4" x14ac:dyDescent="0.2">
      <c r="A15007" s="496"/>
      <c r="D15007" s="496"/>
    </row>
    <row r="15008" spans="1:4" x14ac:dyDescent="0.2">
      <c r="A15008" s="496"/>
      <c r="D15008" s="496"/>
    </row>
    <row r="15009" spans="1:4" x14ac:dyDescent="0.2">
      <c r="A15009" s="496"/>
      <c r="D15009" s="496"/>
    </row>
    <row r="15010" spans="1:4" x14ac:dyDescent="0.2">
      <c r="A15010" s="496"/>
      <c r="D15010" s="496"/>
    </row>
    <row r="15011" spans="1:4" x14ac:dyDescent="0.2">
      <c r="A15011" s="496"/>
      <c r="D15011" s="496"/>
    </row>
    <row r="15012" spans="1:4" x14ac:dyDescent="0.2">
      <c r="A15012" s="496"/>
      <c r="D15012" s="496"/>
    </row>
    <row r="15013" spans="1:4" x14ac:dyDescent="0.2">
      <c r="A15013" s="496"/>
      <c r="D15013" s="496"/>
    </row>
    <row r="15014" spans="1:4" x14ac:dyDescent="0.2">
      <c r="A15014" s="496"/>
      <c r="D15014" s="496"/>
    </row>
    <row r="15015" spans="1:4" x14ac:dyDescent="0.2">
      <c r="A15015" s="496"/>
      <c r="D15015" s="496"/>
    </row>
    <row r="15016" spans="1:4" x14ac:dyDescent="0.2">
      <c r="A15016" s="496"/>
      <c r="D15016" s="496"/>
    </row>
    <row r="15017" spans="1:4" x14ac:dyDescent="0.2">
      <c r="A15017" s="496"/>
      <c r="D15017" s="496"/>
    </row>
    <row r="15018" spans="1:4" x14ac:dyDescent="0.2">
      <c r="A15018" s="496"/>
      <c r="D15018" s="496"/>
    </row>
    <row r="15019" spans="1:4" x14ac:dyDescent="0.2">
      <c r="A15019" s="496"/>
      <c r="D15019" s="496"/>
    </row>
    <row r="15020" spans="1:4" x14ac:dyDescent="0.2">
      <c r="A15020" s="496"/>
      <c r="D15020" s="496"/>
    </row>
    <row r="15021" spans="1:4" x14ac:dyDescent="0.2">
      <c r="A15021" s="496"/>
      <c r="D15021" s="496"/>
    </row>
    <row r="15022" spans="1:4" x14ac:dyDescent="0.2">
      <c r="A15022" s="496"/>
      <c r="D15022" s="496"/>
    </row>
    <row r="15023" spans="1:4" x14ac:dyDescent="0.2">
      <c r="A15023" s="496"/>
      <c r="D15023" s="496"/>
    </row>
    <row r="15024" spans="1:4" x14ac:dyDescent="0.2">
      <c r="A15024" s="496"/>
      <c r="D15024" s="496"/>
    </row>
    <row r="15025" spans="1:4" x14ac:dyDescent="0.2">
      <c r="A15025" s="496"/>
      <c r="D15025" s="496"/>
    </row>
    <row r="15026" spans="1:4" x14ac:dyDescent="0.2">
      <c r="A15026" s="496"/>
      <c r="D15026" s="496"/>
    </row>
    <row r="15027" spans="1:4" x14ac:dyDescent="0.2">
      <c r="A15027" s="496"/>
      <c r="D15027" s="496"/>
    </row>
    <row r="15028" spans="1:4" x14ac:dyDescent="0.2">
      <c r="A15028" s="496"/>
      <c r="D15028" s="496"/>
    </row>
    <row r="15029" spans="1:4" x14ac:dyDescent="0.2">
      <c r="A15029" s="496"/>
      <c r="D15029" s="496"/>
    </row>
    <row r="15030" spans="1:4" x14ac:dyDescent="0.2">
      <c r="A15030" s="496"/>
      <c r="D15030" s="496"/>
    </row>
    <row r="15031" spans="1:4" x14ac:dyDescent="0.2">
      <c r="A15031" s="496"/>
      <c r="D15031" s="496"/>
    </row>
    <row r="15032" spans="1:4" x14ac:dyDescent="0.2">
      <c r="A15032" s="496"/>
      <c r="D15032" s="496"/>
    </row>
    <row r="15033" spans="1:4" x14ac:dyDescent="0.2">
      <c r="A15033" s="496"/>
      <c r="D15033" s="496"/>
    </row>
    <row r="15034" spans="1:4" x14ac:dyDescent="0.2">
      <c r="A15034" s="496"/>
      <c r="D15034" s="496"/>
    </row>
    <row r="15035" spans="1:4" x14ac:dyDescent="0.2">
      <c r="A15035" s="496"/>
      <c r="D15035" s="496"/>
    </row>
    <row r="15036" spans="1:4" x14ac:dyDescent="0.2">
      <c r="A15036" s="496"/>
      <c r="D15036" s="496"/>
    </row>
    <row r="15037" spans="1:4" x14ac:dyDescent="0.2">
      <c r="A15037" s="496"/>
      <c r="D15037" s="496"/>
    </row>
    <row r="15038" spans="1:4" x14ac:dyDescent="0.2">
      <c r="A15038" s="496"/>
      <c r="D15038" s="496"/>
    </row>
    <row r="15039" spans="1:4" x14ac:dyDescent="0.2">
      <c r="A15039" s="496"/>
      <c r="D15039" s="496"/>
    </row>
    <row r="15040" spans="1:4" x14ac:dyDescent="0.2">
      <c r="A15040" s="496"/>
      <c r="D15040" s="496"/>
    </row>
    <row r="15041" spans="1:4" x14ac:dyDescent="0.2">
      <c r="A15041" s="496"/>
      <c r="D15041" s="496"/>
    </row>
    <row r="15042" spans="1:4" x14ac:dyDescent="0.2">
      <c r="A15042" s="496"/>
      <c r="D15042" s="496"/>
    </row>
    <row r="15043" spans="1:4" x14ac:dyDescent="0.2">
      <c r="A15043" s="496"/>
      <c r="D15043" s="496"/>
    </row>
    <row r="15044" spans="1:4" x14ac:dyDescent="0.2">
      <c r="A15044" s="496"/>
      <c r="D15044" s="496"/>
    </row>
    <row r="15045" spans="1:4" x14ac:dyDescent="0.2">
      <c r="A15045" s="496"/>
      <c r="D15045" s="496"/>
    </row>
    <row r="15046" spans="1:4" x14ac:dyDescent="0.2">
      <c r="A15046" s="496"/>
      <c r="D15046" s="496"/>
    </row>
    <row r="15047" spans="1:4" x14ac:dyDescent="0.2">
      <c r="A15047" s="496"/>
      <c r="D15047" s="496"/>
    </row>
    <row r="15048" spans="1:4" x14ac:dyDescent="0.2">
      <c r="A15048" s="496"/>
      <c r="D15048" s="496"/>
    </row>
    <row r="15049" spans="1:4" x14ac:dyDescent="0.2">
      <c r="A15049" s="496"/>
      <c r="D15049" s="496"/>
    </row>
    <row r="15050" spans="1:4" x14ac:dyDescent="0.2">
      <c r="A15050" s="496"/>
      <c r="D15050" s="496"/>
    </row>
    <row r="15051" spans="1:4" x14ac:dyDescent="0.2">
      <c r="A15051" s="496"/>
      <c r="D15051" s="496"/>
    </row>
    <row r="15052" spans="1:4" x14ac:dyDescent="0.2">
      <c r="A15052" s="496"/>
      <c r="D15052" s="496"/>
    </row>
    <row r="15053" spans="1:4" x14ac:dyDescent="0.2">
      <c r="A15053" s="496"/>
      <c r="D15053" s="496"/>
    </row>
    <row r="15054" spans="1:4" x14ac:dyDescent="0.2">
      <c r="A15054" s="496"/>
      <c r="D15054" s="496"/>
    </row>
    <row r="15055" spans="1:4" x14ac:dyDescent="0.2">
      <c r="A15055" s="496"/>
      <c r="D15055" s="496"/>
    </row>
    <row r="15056" spans="1:4" x14ac:dyDescent="0.2">
      <c r="A15056" s="496"/>
      <c r="D15056" s="496"/>
    </row>
    <row r="15057" spans="1:4" x14ac:dyDescent="0.2">
      <c r="A15057" s="496"/>
      <c r="D15057" s="496"/>
    </row>
    <row r="15058" spans="1:4" x14ac:dyDescent="0.2">
      <c r="A15058" s="496"/>
      <c r="D15058" s="496"/>
    </row>
    <row r="15059" spans="1:4" x14ac:dyDescent="0.2">
      <c r="A15059" s="496"/>
      <c r="D15059" s="496"/>
    </row>
    <row r="15060" spans="1:4" x14ac:dyDescent="0.2">
      <c r="A15060" s="496"/>
      <c r="D15060" s="496"/>
    </row>
    <row r="15061" spans="1:4" x14ac:dyDescent="0.2">
      <c r="A15061" s="496"/>
      <c r="D15061" s="496"/>
    </row>
    <row r="15062" spans="1:4" x14ac:dyDescent="0.2">
      <c r="A15062" s="496"/>
      <c r="D15062" s="496"/>
    </row>
    <row r="15063" spans="1:4" x14ac:dyDescent="0.2">
      <c r="A15063" s="496"/>
      <c r="D15063" s="496"/>
    </row>
    <row r="15064" spans="1:4" x14ac:dyDescent="0.2">
      <c r="A15064" s="496"/>
      <c r="D15064" s="496"/>
    </row>
    <row r="15065" spans="1:4" x14ac:dyDescent="0.2">
      <c r="A15065" s="496"/>
      <c r="D15065" s="496"/>
    </row>
    <row r="15066" spans="1:4" x14ac:dyDescent="0.2">
      <c r="A15066" s="496"/>
      <c r="D15066" s="496"/>
    </row>
    <row r="15067" spans="1:4" x14ac:dyDescent="0.2">
      <c r="A15067" s="496"/>
      <c r="D15067" s="496"/>
    </row>
    <row r="15068" spans="1:4" x14ac:dyDescent="0.2">
      <c r="A15068" s="496"/>
      <c r="D15068" s="496"/>
    </row>
    <row r="15069" spans="1:4" x14ac:dyDescent="0.2">
      <c r="A15069" s="496"/>
      <c r="D15069" s="496"/>
    </row>
    <row r="15070" spans="1:4" x14ac:dyDescent="0.2">
      <c r="A15070" s="496"/>
      <c r="D15070" s="496"/>
    </row>
    <row r="15071" spans="1:4" x14ac:dyDescent="0.2">
      <c r="A15071" s="496"/>
      <c r="D15071" s="496"/>
    </row>
    <row r="15072" spans="1:4" x14ac:dyDescent="0.2">
      <c r="A15072" s="496"/>
      <c r="D15072" s="496"/>
    </row>
    <row r="15073" spans="1:4" x14ac:dyDescent="0.2">
      <c r="A15073" s="496"/>
      <c r="D15073" s="496"/>
    </row>
    <row r="15074" spans="1:4" x14ac:dyDescent="0.2">
      <c r="A15074" s="496"/>
      <c r="D15074" s="496"/>
    </row>
    <row r="15075" spans="1:4" x14ac:dyDescent="0.2">
      <c r="A15075" s="496"/>
      <c r="D15075" s="496"/>
    </row>
    <row r="15076" spans="1:4" x14ac:dyDescent="0.2">
      <c r="A15076" s="496"/>
      <c r="D15076" s="496"/>
    </row>
    <row r="15077" spans="1:4" x14ac:dyDescent="0.2">
      <c r="A15077" s="496"/>
      <c r="D15077" s="496"/>
    </row>
    <row r="15078" spans="1:4" x14ac:dyDescent="0.2">
      <c r="A15078" s="496"/>
      <c r="D15078" s="496"/>
    </row>
    <row r="15079" spans="1:4" x14ac:dyDescent="0.2">
      <c r="A15079" s="496"/>
      <c r="D15079" s="496"/>
    </row>
    <row r="15080" spans="1:4" x14ac:dyDescent="0.2">
      <c r="A15080" s="496"/>
      <c r="D15080" s="496"/>
    </row>
    <row r="15081" spans="1:4" x14ac:dyDescent="0.2">
      <c r="A15081" s="496"/>
      <c r="D15081" s="496"/>
    </row>
    <row r="15082" spans="1:4" x14ac:dyDescent="0.2">
      <c r="A15082" s="496"/>
      <c r="D15082" s="496"/>
    </row>
    <row r="15083" spans="1:4" x14ac:dyDescent="0.2">
      <c r="A15083" s="496"/>
      <c r="D15083" s="496"/>
    </row>
    <row r="15084" spans="1:4" x14ac:dyDescent="0.2">
      <c r="A15084" s="496"/>
      <c r="D15084" s="496"/>
    </row>
    <row r="15085" spans="1:4" x14ac:dyDescent="0.2">
      <c r="A15085" s="496"/>
      <c r="D15085" s="496"/>
    </row>
    <row r="15086" spans="1:4" x14ac:dyDescent="0.2">
      <c r="A15086" s="496"/>
      <c r="D15086" s="496"/>
    </row>
    <row r="15087" spans="1:4" x14ac:dyDescent="0.2">
      <c r="A15087" s="496"/>
      <c r="D15087" s="496"/>
    </row>
    <row r="15088" spans="1:4" x14ac:dyDescent="0.2">
      <c r="A15088" s="496"/>
      <c r="D15088" s="496"/>
    </row>
    <row r="15089" spans="1:4" x14ac:dyDescent="0.2">
      <c r="A15089" s="496"/>
      <c r="D15089" s="496"/>
    </row>
    <row r="15090" spans="1:4" x14ac:dyDescent="0.2">
      <c r="A15090" s="496"/>
      <c r="D15090" s="496"/>
    </row>
    <row r="15091" spans="1:4" x14ac:dyDescent="0.2">
      <c r="A15091" s="496"/>
      <c r="D15091" s="496"/>
    </row>
    <row r="15092" spans="1:4" x14ac:dyDescent="0.2">
      <c r="A15092" s="496"/>
      <c r="D15092" s="496"/>
    </row>
    <row r="15093" spans="1:4" x14ac:dyDescent="0.2">
      <c r="A15093" s="496"/>
      <c r="D15093" s="496"/>
    </row>
    <row r="15094" spans="1:4" x14ac:dyDescent="0.2">
      <c r="A15094" s="496"/>
      <c r="D15094" s="496"/>
    </row>
    <row r="15095" spans="1:4" x14ac:dyDescent="0.2">
      <c r="A15095" s="496"/>
      <c r="D15095" s="496"/>
    </row>
    <row r="15096" spans="1:4" x14ac:dyDescent="0.2">
      <c r="A15096" s="496"/>
      <c r="D15096" s="496"/>
    </row>
    <row r="15097" spans="1:4" x14ac:dyDescent="0.2">
      <c r="A15097" s="496"/>
      <c r="D15097" s="496"/>
    </row>
    <row r="15098" spans="1:4" x14ac:dyDescent="0.2">
      <c r="A15098" s="496"/>
      <c r="D15098" s="496"/>
    </row>
    <row r="15099" spans="1:4" x14ac:dyDescent="0.2">
      <c r="A15099" s="496"/>
      <c r="D15099" s="496"/>
    </row>
    <row r="15100" spans="1:4" x14ac:dyDescent="0.2">
      <c r="A15100" s="496"/>
      <c r="D15100" s="496"/>
    </row>
    <row r="15101" spans="1:4" x14ac:dyDescent="0.2">
      <c r="A15101" s="496"/>
      <c r="D15101" s="496"/>
    </row>
    <row r="15102" spans="1:4" x14ac:dyDescent="0.2">
      <c r="A15102" s="496"/>
      <c r="D15102" s="496"/>
    </row>
    <row r="15103" spans="1:4" x14ac:dyDescent="0.2">
      <c r="A15103" s="496"/>
      <c r="D15103" s="496"/>
    </row>
    <row r="15104" spans="1:4" x14ac:dyDescent="0.2">
      <c r="A15104" s="496"/>
      <c r="D15104" s="496"/>
    </row>
    <row r="15105" spans="1:4" x14ac:dyDescent="0.2">
      <c r="A15105" s="496"/>
      <c r="D15105" s="496"/>
    </row>
    <row r="15106" spans="1:4" x14ac:dyDescent="0.2">
      <c r="A15106" s="496"/>
      <c r="D15106" s="496"/>
    </row>
    <row r="15107" spans="1:4" x14ac:dyDescent="0.2">
      <c r="A15107" s="496"/>
      <c r="D15107" s="496"/>
    </row>
    <row r="15108" spans="1:4" x14ac:dyDescent="0.2">
      <c r="A15108" s="496"/>
      <c r="D15108" s="496"/>
    </row>
    <row r="15109" spans="1:4" x14ac:dyDescent="0.2">
      <c r="A15109" s="496"/>
      <c r="D15109" s="496"/>
    </row>
    <row r="15110" spans="1:4" x14ac:dyDescent="0.2">
      <c r="A15110" s="496"/>
      <c r="D15110" s="496"/>
    </row>
    <row r="15111" spans="1:4" x14ac:dyDescent="0.2">
      <c r="A15111" s="496"/>
      <c r="D15111" s="496"/>
    </row>
    <row r="15112" spans="1:4" x14ac:dyDescent="0.2">
      <c r="A15112" s="496"/>
      <c r="D15112" s="496"/>
    </row>
    <row r="15113" spans="1:4" x14ac:dyDescent="0.2">
      <c r="A15113" s="496"/>
      <c r="D15113" s="496"/>
    </row>
    <row r="15114" spans="1:4" x14ac:dyDescent="0.2">
      <c r="A15114" s="496"/>
      <c r="D15114" s="496"/>
    </row>
    <row r="15115" spans="1:4" x14ac:dyDescent="0.2">
      <c r="A15115" s="496"/>
      <c r="D15115" s="496"/>
    </row>
    <row r="15116" spans="1:4" x14ac:dyDescent="0.2">
      <c r="A15116" s="496"/>
      <c r="D15116" s="496"/>
    </row>
    <row r="15117" spans="1:4" x14ac:dyDescent="0.2">
      <c r="A15117" s="496"/>
      <c r="D15117" s="496"/>
    </row>
    <row r="15118" spans="1:4" x14ac:dyDescent="0.2">
      <c r="A15118" s="496"/>
      <c r="D15118" s="496"/>
    </row>
    <row r="15119" spans="1:4" x14ac:dyDescent="0.2">
      <c r="A15119" s="496"/>
      <c r="D15119" s="496"/>
    </row>
    <row r="15120" spans="1:4" x14ac:dyDescent="0.2">
      <c r="A15120" s="496"/>
      <c r="D15120" s="496"/>
    </row>
    <row r="15121" spans="1:4" x14ac:dyDescent="0.2">
      <c r="A15121" s="496"/>
      <c r="D15121" s="496"/>
    </row>
    <row r="15122" spans="1:4" x14ac:dyDescent="0.2">
      <c r="A15122" s="496"/>
      <c r="D15122" s="496"/>
    </row>
    <row r="15123" spans="1:4" x14ac:dyDescent="0.2">
      <c r="A15123" s="496"/>
      <c r="D15123" s="496"/>
    </row>
    <row r="15124" spans="1:4" x14ac:dyDescent="0.2">
      <c r="A15124" s="496"/>
      <c r="D15124" s="496"/>
    </row>
    <row r="15125" spans="1:4" x14ac:dyDescent="0.2">
      <c r="A15125" s="496"/>
      <c r="D15125" s="496"/>
    </row>
    <row r="15126" spans="1:4" x14ac:dyDescent="0.2">
      <c r="A15126" s="496"/>
      <c r="D15126" s="496"/>
    </row>
    <row r="15127" spans="1:4" x14ac:dyDescent="0.2">
      <c r="A15127" s="496"/>
      <c r="D15127" s="496"/>
    </row>
    <row r="15128" spans="1:4" x14ac:dyDescent="0.2">
      <c r="A15128" s="496"/>
      <c r="D15128" s="496"/>
    </row>
    <row r="15129" spans="1:4" x14ac:dyDescent="0.2">
      <c r="A15129" s="496"/>
      <c r="D15129" s="496"/>
    </row>
    <row r="15130" spans="1:4" x14ac:dyDescent="0.2">
      <c r="A15130" s="496"/>
      <c r="D15130" s="496"/>
    </row>
    <row r="15131" spans="1:4" x14ac:dyDescent="0.2">
      <c r="A15131" s="496"/>
      <c r="D15131" s="496"/>
    </row>
    <row r="15132" spans="1:4" x14ac:dyDescent="0.2">
      <c r="A15132" s="496"/>
      <c r="D15132" s="496"/>
    </row>
    <row r="15133" spans="1:4" x14ac:dyDescent="0.2">
      <c r="A15133" s="496"/>
      <c r="D15133" s="496"/>
    </row>
    <row r="15134" spans="1:4" x14ac:dyDescent="0.2">
      <c r="A15134" s="496"/>
      <c r="D15134" s="496"/>
    </row>
    <row r="15135" spans="1:4" x14ac:dyDescent="0.2">
      <c r="A15135" s="496"/>
      <c r="D15135" s="496"/>
    </row>
    <row r="15136" spans="1:4" x14ac:dyDescent="0.2">
      <c r="A15136" s="496"/>
      <c r="D15136" s="496"/>
    </row>
    <row r="15137" spans="1:4" x14ac:dyDescent="0.2">
      <c r="A15137" s="496"/>
      <c r="D15137" s="496"/>
    </row>
    <row r="15138" spans="1:4" x14ac:dyDescent="0.2">
      <c r="A15138" s="496"/>
      <c r="D15138" s="496"/>
    </row>
    <row r="15139" spans="1:4" x14ac:dyDescent="0.2">
      <c r="A15139" s="496"/>
      <c r="D15139" s="496"/>
    </row>
    <row r="15140" spans="1:4" x14ac:dyDescent="0.2">
      <c r="A15140" s="496"/>
      <c r="D15140" s="496"/>
    </row>
    <row r="15141" spans="1:4" x14ac:dyDescent="0.2">
      <c r="A15141" s="496"/>
      <c r="D15141" s="496"/>
    </row>
    <row r="15142" spans="1:4" x14ac:dyDescent="0.2">
      <c r="A15142" s="496"/>
      <c r="D15142" s="496"/>
    </row>
    <row r="15143" spans="1:4" x14ac:dyDescent="0.2">
      <c r="A15143" s="496"/>
      <c r="D15143" s="496"/>
    </row>
    <row r="15144" spans="1:4" x14ac:dyDescent="0.2">
      <c r="A15144" s="496"/>
      <c r="D15144" s="496"/>
    </row>
    <row r="15145" spans="1:4" x14ac:dyDescent="0.2">
      <c r="A15145" s="496"/>
      <c r="D15145" s="496"/>
    </row>
    <row r="15146" spans="1:4" x14ac:dyDescent="0.2">
      <c r="A15146" s="496"/>
      <c r="D15146" s="496"/>
    </row>
    <row r="15147" spans="1:4" x14ac:dyDescent="0.2">
      <c r="A15147" s="496"/>
      <c r="D15147" s="496"/>
    </row>
    <row r="15148" spans="1:4" x14ac:dyDescent="0.2">
      <c r="A15148" s="496"/>
      <c r="D15148" s="496"/>
    </row>
    <row r="15149" spans="1:4" x14ac:dyDescent="0.2">
      <c r="A15149" s="496"/>
      <c r="D15149" s="496"/>
    </row>
    <row r="15150" spans="1:4" x14ac:dyDescent="0.2">
      <c r="A15150" s="496"/>
      <c r="D15150" s="496"/>
    </row>
    <row r="15151" spans="1:4" x14ac:dyDescent="0.2">
      <c r="A15151" s="496"/>
      <c r="D15151" s="496"/>
    </row>
    <row r="15152" spans="1:4" x14ac:dyDescent="0.2">
      <c r="A15152" s="496"/>
      <c r="D15152" s="496"/>
    </row>
    <row r="15153" spans="1:4" x14ac:dyDescent="0.2">
      <c r="A15153" s="496"/>
      <c r="D15153" s="496"/>
    </row>
    <row r="15154" spans="1:4" x14ac:dyDescent="0.2">
      <c r="A15154" s="496"/>
      <c r="D15154" s="496"/>
    </row>
    <row r="15155" spans="1:4" x14ac:dyDescent="0.2">
      <c r="A15155" s="496"/>
      <c r="D15155" s="496"/>
    </row>
    <row r="15156" spans="1:4" x14ac:dyDescent="0.2">
      <c r="A15156" s="496"/>
      <c r="D15156" s="496"/>
    </row>
    <row r="15157" spans="1:4" x14ac:dyDescent="0.2">
      <c r="A15157" s="496"/>
      <c r="D15157" s="496"/>
    </row>
    <row r="15158" spans="1:4" x14ac:dyDescent="0.2">
      <c r="A15158" s="496"/>
      <c r="D15158" s="496"/>
    </row>
    <row r="15159" spans="1:4" x14ac:dyDescent="0.2">
      <c r="A15159" s="496"/>
      <c r="D15159" s="496"/>
    </row>
    <row r="15160" spans="1:4" x14ac:dyDescent="0.2">
      <c r="A15160" s="496"/>
      <c r="D15160" s="496"/>
    </row>
    <row r="15161" spans="1:4" x14ac:dyDescent="0.2">
      <c r="A15161" s="496"/>
      <c r="D15161" s="496"/>
    </row>
    <row r="15162" spans="1:4" x14ac:dyDescent="0.2">
      <c r="A15162" s="496"/>
      <c r="D15162" s="496"/>
    </row>
    <row r="15163" spans="1:4" x14ac:dyDescent="0.2">
      <c r="A15163" s="496"/>
      <c r="D15163" s="496"/>
    </row>
    <row r="15164" spans="1:4" x14ac:dyDescent="0.2">
      <c r="A15164" s="496"/>
      <c r="D15164" s="496"/>
    </row>
    <row r="15165" spans="1:4" x14ac:dyDescent="0.2">
      <c r="A15165" s="496"/>
      <c r="D15165" s="496"/>
    </row>
    <row r="15166" spans="1:4" x14ac:dyDescent="0.2">
      <c r="A15166" s="496"/>
      <c r="D15166" s="496"/>
    </row>
    <row r="15167" spans="1:4" x14ac:dyDescent="0.2">
      <c r="A15167" s="496"/>
      <c r="D15167" s="496"/>
    </row>
    <row r="15168" spans="1:4" x14ac:dyDescent="0.2">
      <c r="A15168" s="496"/>
      <c r="D15168" s="496"/>
    </row>
    <row r="15169" spans="1:4" x14ac:dyDescent="0.2">
      <c r="A15169" s="496"/>
      <c r="D15169" s="496"/>
    </row>
    <row r="15170" spans="1:4" x14ac:dyDescent="0.2">
      <c r="A15170" s="496"/>
      <c r="D15170" s="496"/>
    </row>
    <row r="15171" spans="1:4" x14ac:dyDescent="0.2">
      <c r="A15171" s="496"/>
      <c r="D15171" s="496"/>
    </row>
    <row r="15172" spans="1:4" x14ac:dyDescent="0.2">
      <c r="A15172" s="496"/>
      <c r="D15172" s="496"/>
    </row>
    <row r="15173" spans="1:4" x14ac:dyDescent="0.2">
      <c r="A15173" s="496"/>
      <c r="D15173" s="496"/>
    </row>
    <row r="15174" spans="1:4" x14ac:dyDescent="0.2">
      <c r="A15174" s="496"/>
      <c r="D15174" s="496"/>
    </row>
    <row r="15175" spans="1:4" x14ac:dyDescent="0.2">
      <c r="A15175" s="496"/>
      <c r="D15175" s="496"/>
    </row>
    <row r="15176" spans="1:4" x14ac:dyDescent="0.2">
      <c r="A15176" s="496"/>
      <c r="D15176" s="496"/>
    </row>
    <row r="15177" spans="1:4" x14ac:dyDescent="0.2">
      <c r="A15177" s="496"/>
      <c r="D15177" s="496"/>
    </row>
    <row r="15178" spans="1:4" x14ac:dyDescent="0.2">
      <c r="A15178" s="496"/>
      <c r="D15178" s="496"/>
    </row>
    <row r="15179" spans="1:4" x14ac:dyDescent="0.2">
      <c r="A15179" s="496"/>
      <c r="D15179" s="496"/>
    </row>
    <row r="15180" spans="1:4" x14ac:dyDescent="0.2">
      <c r="A15180" s="496"/>
      <c r="D15180" s="496"/>
    </row>
    <row r="15181" spans="1:4" x14ac:dyDescent="0.2">
      <c r="A15181" s="496"/>
      <c r="D15181" s="496"/>
    </row>
    <row r="15182" spans="1:4" x14ac:dyDescent="0.2">
      <c r="A15182" s="496"/>
      <c r="D15182" s="496"/>
    </row>
    <row r="15183" spans="1:4" x14ac:dyDescent="0.2">
      <c r="A15183" s="496"/>
      <c r="D15183" s="496"/>
    </row>
    <row r="15184" spans="1:4" x14ac:dyDescent="0.2">
      <c r="A15184" s="496"/>
      <c r="D15184" s="496"/>
    </row>
    <row r="15185" spans="1:4" x14ac:dyDescent="0.2">
      <c r="A15185" s="496"/>
      <c r="D15185" s="496"/>
    </row>
    <row r="15186" spans="1:4" x14ac:dyDescent="0.2">
      <c r="A15186" s="496"/>
      <c r="D15186" s="496"/>
    </row>
    <row r="15187" spans="1:4" x14ac:dyDescent="0.2">
      <c r="A15187" s="496"/>
      <c r="D15187" s="496"/>
    </row>
    <row r="15188" spans="1:4" x14ac:dyDescent="0.2">
      <c r="A15188" s="496"/>
      <c r="D15188" s="496"/>
    </row>
    <row r="15189" spans="1:4" x14ac:dyDescent="0.2">
      <c r="A15189" s="496"/>
      <c r="D15189" s="496"/>
    </row>
    <row r="15190" spans="1:4" x14ac:dyDescent="0.2">
      <c r="A15190" s="496"/>
      <c r="D15190" s="496"/>
    </row>
    <row r="15191" spans="1:4" x14ac:dyDescent="0.2">
      <c r="A15191" s="496"/>
      <c r="D15191" s="496"/>
    </row>
    <row r="15192" spans="1:4" x14ac:dyDescent="0.2">
      <c r="A15192" s="496"/>
      <c r="D15192" s="496"/>
    </row>
    <row r="15193" spans="1:4" x14ac:dyDescent="0.2">
      <c r="A15193" s="496"/>
      <c r="D15193" s="496"/>
    </row>
    <row r="15194" spans="1:4" x14ac:dyDescent="0.2">
      <c r="A15194" s="496"/>
      <c r="D15194" s="496"/>
    </row>
    <row r="15195" spans="1:4" x14ac:dyDescent="0.2">
      <c r="A15195" s="496"/>
      <c r="D15195" s="496"/>
    </row>
    <row r="15196" spans="1:4" x14ac:dyDescent="0.2">
      <c r="A15196" s="496"/>
      <c r="D15196" s="496"/>
    </row>
    <row r="15197" spans="1:4" x14ac:dyDescent="0.2">
      <c r="A15197" s="496"/>
      <c r="D15197" s="496"/>
    </row>
    <row r="15198" spans="1:4" x14ac:dyDescent="0.2">
      <c r="A15198" s="496"/>
      <c r="D15198" s="496"/>
    </row>
    <row r="15199" spans="1:4" x14ac:dyDescent="0.2">
      <c r="A15199" s="496"/>
      <c r="D15199" s="496"/>
    </row>
    <row r="15200" spans="1:4" x14ac:dyDescent="0.2">
      <c r="A15200" s="496"/>
      <c r="D15200" s="496"/>
    </row>
    <row r="15201" spans="1:4" x14ac:dyDescent="0.2">
      <c r="A15201" s="496"/>
      <c r="D15201" s="496"/>
    </row>
    <row r="15202" spans="1:4" x14ac:dyDescent="0.2">
      <c r="A15202" s="496"/>
      <c r="D15202" s="496"/>
    </row>
    <row r="15203" spans="1:4" x14ac:dyDescent="0.2">
      <c r="A15203" s="496"/>
      <c r="D15203" s="496"/>
    </row>
    <row r="15204" spans="1:4" x14ac:dyDescent="0.2">
      <c r="A15204" s="496"/>
      <c r="D15204" s="496"/>
    </row>
    <row r="15205" spans="1:4" x14ac:dyDescent="0.2">
      <c r="A15205" s="496"/>
      <c r="D15205" s="496"/>
    </row>
    <row r="15206" spans="1:4" x14ac:dyDescent="0.2">
      <c r="A15206" s="496"/>
      <c r="D15206" s="496"/>
    </row>
    <row r="15207" spans="1:4" x14ac:dyDescent="0.2">
      <c r="A15207" s="496"/>
      <c r="D15207" s="496"/>
    </row>
    <row r="15208" spans="1:4" x14ac:dyDescent="0.2">
      <c r="A15208" s="496"/>
      <c r="D15208" s="496"/>
    </row>
    <row r="15209" spans="1:4" x14ac:dyDescent="0.2">
      <c r="A15209" s="496"/>
      <c r="D15209" s="496"/>
    </row>
    <row r="15210" spans="1:4" x14ac:dyDescent="0.2">
      <c r="A15210" s="496"/>
      <c r="D15210" s="496"/>
    </row>
    <row r="15211" spans="1:4" x14ac:dyDescent="0.2">
      <c r="A15211" s="496"/>
      <c r="D15211" s="496"/>
    </row>
    <row r="15212" spans="1:4" x14ac:dyDescent="0.2">
      <c r="A15212" s="496"/>
      <c r="D15212" s="496"/>
    </row>
    <row r="15213" spans="1:4" x14ac:dyDescent="0.2">
      <c r="A15213" s="496"/>
      <c r="D15213" s="496"/>
    </row>
    <row r="15214" spans="1:4" x14ac:dyDescent="0.2">
      <c r="A15214" s="496"/>
      <c r="D15214" s="496"/>
    </row>
    <row r="15215" spans="1:4" x14ac:dyDescent="0.2">
      <c r="A15215" s="496"/>
      <c r="D15215" s="496"/>
    </row>
    <row r="15216" spans="1:4" x14ac:dyDescent="0.2">
      <c r="A15216" s="496"/>
      <c r="D15216" s="496"/>
    </row>
    <row r="15217" spans="1:4" x14ac:dyDescent="0.2">
      <c r="A15217" s="496"/>
      <c r="D15217" s="496"/>
    </row>
    <row r="15218" spans="1:4" x14ac:dyDescent="0.2">
      <c r="A15218" s="496"/>
      <c r="D15218" s="496"/>
    </row>
    <row r="15219" spans="1:4" x14ac:dyDescent="0.2">
      <c r="A15219" s="496"/>
      <c r="D15219" s="496"/>
    </row>
    <row r="15220" spans="1:4" x14ac:dyDescent="0.2">
      <c r="A15220" s="496"/>
      <c r="D15220" s="496"/>
    </row>
    <row r="15221" spans="1:4" x14ac:dyDescent="0.2">
      <c r="A15221" s="496"/>
      <c r="D15221" s="496"/>
    </row>
    <row r="15222" spans="1:4" x14ac:dyDescent="0.2">
      <c r="A15222" s="496"/>
      <c r="D15222" s="496"/>
    </row>
    <row r="15223" spans="1:4" x14ac:dyDescent="0.2">
      <c r="A15223" s="496"/>
      <c r="D15223" s="496"/>
    </row>
    <row r="15224" spans="1:4" x14ac:dyDescent="0.2">
      <c r="A15224" s="496"/>
      <c r="D15224" s="496"/>
    </row>
    <row r="15225" spans="1:4" x14ac:dyDescent="0.2">
      <c r="A15225" s="496"/>
      <c r="D15225" s="496"/>
    </row>
    <row r="15226" spans="1:4" x14ac:dyDescent="0.2">
      <c r="A15226" s="496"/>
      <c r="D15226" s="496"/>
    </row>
    <row r="15227" spans="1:4" x14ac:dyDescent="0.2">
      <c r="A15227" s="496"/>
      <c r="D15227" s="496"/>
    </row>
    <row r="15228" spans="1:4" x14ac:dyDescent="0.2">
      <c r="A15228" s="496"/>
      <c r="D15228" s="496"/>
    </row>
    <row r="15229" spans="1:4" x14ac:dyDescent="0.2">
      <c r="A15229" s="496"/>
      <c r="D15229" s="496"/>
    </row>
    <row r="15230" spans="1:4" x14ac:dyDescent="0.2">
      <c r="A15230" s="496"/>
      <c r="D15230" s="496"/>
    </row>
    <row r="15231" spans="1:4" x14ac:dyDescent="0.2">
      <c r="A15231" s="496"/>
      <c r="D15231" s="496"/>
    </row>
    <row r="15232" spans="1:4" x14ac:dyDescent="0.2">
      <c r="A15232" s="496"/>
      <c r="D15232" s="496"/>
    </row>
    <row r="15233" spans="1:4" x14ac:dyDescent="0.2">
      <c r="A15233" s="496"/>
      <c r="D15233" s="496"/>
    </row>
    <row r="15234" spans="1:4" x14ac:dyDescent="0.2">
      <c r="A15234" s="496"/>
      <c r="D15234" s="496"/>
    </row>
    <row r="15235" spans="1:4" x14ac:dyDescent="0.2">
      <c r="A15235" s="496"/>
      <c r="D15235" s="496"/>
    </row>
    <row r="15236" spans="1:4" x14ac:dyDescent="0.2">
      <c r="A15236" s="496"/>
      <c r="D15236" s="496"/>
    </row>
    <row r="15237" spans="1:4" x14ac:dyDescent="0.2">
      <c r="A15237" s="496"/>
      <c r="D15237" s="496"/>
    </row>
    <row r="15238" spans="1:4" x14ac:dyDescent="0.2">
      <c r="A15238" s="496"/>
      <c r="D15238" s="496"/>
    </row>
    <row r="15239" spans="1:4" x14ac:dyDescent="0.2">
      <c r="A15239" s="496"/>
      <c r="D15239" s="496"/>
    </row>
    <row r="15240" spans="1:4" x14ac:dyDescent="0.2">
      <c r="A15240" s="496"/>
      <c r="D15240" s="496"/>
    </row>
    <row r="15241" spans="1:4" x14ac:dyDescent="0.2">
      <c r="A15241" s="496"/>
      <c r="D15241" s="496"/>
    </row>
    <row r="15242" spans="1:4" x14ac:dyDescent="0.2">
      <c r="A15242" s="496"/>
      <c r="D15242" s="496"/>
    </row>
    <row r="15243" spans="1:4" x14ac:dyDescent="0.2">
      <c r="A15243" s="496"/>
      <c r="D15243" s="496"/>
    </row>
    <row r="15244" spans="1:4" x14ac:dyDescent="0.2">
      <c r="A15244" s="496"/>
      <c r="D15244" s="496"/>
    </row>
    <row r="15245" spans="1:4" x14ac:dyDescent="0.2">
      <c r="A15245" s="496"/>
      <c r="D15245" s="496"/>
    </row>
    <row r="15246" spans="1:4" x14ac:dyDescent="0.2">
      <c r="A15246" s="496"/>
      <c r="D15246" s="496"/>
    </row>
    <row r="15247" spans="1:4" x14ac:dyDescent="0.2">
      <c r="A15247" s="496"/>
      <c r="D15247" s="496"/>
    </row>
    <row r="15248" spans="1:4" x14ac:dyDescent="0.2">
      <c r="A15248" s="496"/>
      <c r="D15248" s="496"/>
    </row>
    <row r="15249" spans="1:4" x14ac:dyDescent="0.2">
      <c r="A15249" s="496"/>
      <c r="D15249" s="496"/>
    </row>
    <row r="15250" spans="1:4" x14ac:dyDescent="0.2">
      <c r="A15250" s="496"/>
      <c r="D15250" s="496"/>
    </row>
    <row r="15251" spans="1:4" x14ac:dyDescent="0.2">
      <c r="A15251" s="496"/>
      <c r="D15251" s="496"/>
    </row>
    <row r="15252" spans="1:4" x14ac:dyDescent="0.2">
      <c r="A15252" s="496"/>
      <c r="D15252" s="496"/>
    </row>
    <row r="15253" spans="1:4" x14ac:dyDescent="0.2">
      <c r="A15253" s="496"/>
      <c r="D15253" s="496"/>
    </row>
    <row r="15254" spans="1:4" x14ac:dyDescent="0.2">
      <c r="A15254" s="496"/>
      <c r="D15254" s="496"/>
    </row>
    <row r="15255" spans="1:4" x14ac:dyDescent="0.2">
      <c r="A15255" s="496"/>
      <c r="D15255" s="496"/>
    </row>
    <row r="15256" spans="1:4" x14ac:dyDescent="0.2">
      <c r="A15256" s="496"/>
      <c r="D15256" s="496"/>
    </row>
    <row r="15257" spans="1:4" x14ac:dyDescent="0.2">
      <c r="A15257" s="496"/>
      <c r="D15257" s="496"/>
    </row>
    <row r="15258" spans="1:4" x14ac:dyDescent="0.2">
      <c r="A15258" s="496"/>
      <c r="D15258" s="496"/>
    </row>
    <row r="15259" spans="1:4" x14ac:dyDescent="0.2">
      <c r="A15259" s="496"/>
      <c r="D15259" s="496"/>
    </row>
    <row r="15260" spans="1:4" x14ac:dyDescent="0.2">
      <c r="A15260" s="496"/>
      <c r="D15260" s="496"/>
    </row>
    <row r="15261" spans="1:4" x14ac:dyDescent="0.2">
      <c r="A15261" s="496"/>
      <c r="D15261" s="496"/>
    </row>
    <row r="15262" spans="1:4" x14ac:dyDescent="0.2">
      <c r="A15262" s="496"/>
      <c r="D15262" s="496"/>
    </row>
    <row r="15263" spans="1:4" x14ac:dyDescent="0.2">
      <c r="A15263" s="496"/>
      <c r="D15263" s="496"/>
    </row>
    <row r="15264" spans="1:4" x14ac:dyDescent="0.2">
      <c r="A15264" s="496"/>
      <c r="D15264" s="496"/>
    </row>
    <row r="15265" spans="1:4" x14ac:dyDescent="0.2">
      <c r="A15265" s="496"/>
      <c r="D15265" s="496"/>
    </row>
    <row r="15266" spans="1:4" x14ac:dyDescent="0.2">
      <c r="A15266" s="496"/>
      <c r="D15266" s="496"/>
    </row>
    <row r="15267" spans="1:4" x14ac:dyDescent="0.2">
      <c r="A15267" s="496"/>
      <c r="D15267" s="496"/>
    </row>
    <row r="15268" spans="1:4" x14ac:dyDescent="0.2">
      <c r="A15268" s="496"/>
      <c r="D15268" s="496"/>
    </row>
    <row r="15269" spans="1:4" x14ac:dyDescent="0.2">
      <c r="A15269" s="496"/>
      <c r="D15269" s="496"/>
    </row>
    <row r="15270" spans="1:4" x14ac:dyDescent="0.2">
      <c r="A15270" s="496"/>
      <c r="D15270" s="496"/>
    </row>
    <row r="15271" spans="1:4" x14ac:dyDescent="0.2">
      <c r="A15271" s="496"/>
      <c r="D15271" s="496"/>
    </row>
    <row r="15272" spans="1:4" x14ac:dyDescent="0.2">
      <c r="A15272" s="496"/>
      <c r="D15272" s="496"/>
    </row>
    <row r="15273" spans="1:4" x14ac:dyDescent="0.2">
      <c r="A15273" s="496"/>
      <c r="D15273" s="496"/>
    </row>
    <row r="15274" spans="1:4" x14ac:dyDescent="0.2">
      <c r="A15274" s="496"/>
      <c r="D15274" s="496"/>
    </row>
    <row r="15275" spans="1:4" x14ac:dyDescent="0.2">
      <c r="A15275" s="496"/>
      <c r="D15275" s="496"/>
    </row>
    <row r="15276" spans="1:4" x14ac:dyDescent="0.2">
      <c r="A15276" s="496"/>
      <c r="D15276" s="496"/>
    </row>
    <row r="15277" spans="1:4" x14ac:dyDescent="0.2">
      <c r="A15277" s="496"/>
      <c r="D15277" s="496"/>
    </row>
    <row r="15278" spans="1:4" x14ac:dyDescent="0.2">
      <c r="A15278" s="496"/>
      <c r="D15278" s="496"/>
    </row>
    <row r="15279" spans="1:4" x14ac:dyDescent="0.2">
      <c r="A15279" s="496"/>
      <c r="D15279" s="496"/>
    </row>
    <row r="15280" spans="1:4" x14ac:dyDescent="0.2">
      <c r="A15280" s="496"/>
      <c r="D15280" s="496"/>
    </row>
    <row r="15281" spans="1:4" x14ac:dyDescent="0.2">
      <c r="A15281" s="496"/>
      <c r="D15281" s="496"/>
    </row>
    <row r="15282" spans="1:4" x14ac:dyDescent="0.2">
      <c r="A15282" s="496"/>
      <c r="D15282" s="496"/>
    </row>
    <row r="15283" spans="1:4" x14ac:dyDescent="0.2">
      <c r="A15283" s="496"/>
      <c r="D15283" s="496"/>
    </row>
    <row r="15284" spans="1:4" x14ac:dyDescent="0.2">
      <c r="A15284" s="496"/>
      <c r="D15284" s="496"/>
    </row>
    <row r="15285" spans="1:4" x14ac:dyDescent="0.2">
      <c r="A15285" s="496"/>
      <c r="D15285" s="496"/>
    </row>
    <row r="15286" spans="1:4" x14ac:dyDescent="0.2">
      <c r="A15286" s="496"/>
      <c r="D15286" s="496"/>
    </row>
    <row r="15287" spans="1:4" x14ac:dyDescent="0.2">
      <c r="A15287" s="496"/>
      <c r="D15287" s="496"/>
    </row>
    <row r="15288" spans="1:4" x14ac:dyDescent="0.2">
      <c r="A15288" s="496"/>
      <c r="D15288" s="496"/>
    </row>
    <row r="15289" spans="1:4" x14ac:dyDescent="0.2">
      <c r="A15289" s="496"/>
      <c r="D15289" s="496"/>
    </row>
    <row r="15290" spans="1:4" x14ac:dyDescent="0.2">
      <c r="A15290" s="496"/>
      <c r="D15290" s="496"/>
    </row>
    <row r="15291" spans="1:4" x14ac:dyDescent="0.2">
      <c r="A15291" s="496"/>
      <c r="D15291" s="496"/>
    </row>
    <row r="15292" spans="1:4" x14ac:dyDescent="0.2">
      <c r="A15292" s="496"/>
      <c r="D15292" s="496"/>
    </row>
    <row r="15293" spans="1:4" x14ac:dyDescent="0.2">
      <c r="A15293" s="496"/>
      <c r="D15293" s="496"/>
    </row>
    <row r="15294" spans="1:4" x14ac:dyDescent="0.2">
      <c r="A15294" s="496"/>
      <c r="D15294" s="496"/>
    </row>
    <row r="15295" spans="1:4" x14ac:dyDescent="0.2">
      <c r="A15295" s="496"/>
      <c r="D15295" s="496"/>
    </row>
    <row r="15296" spans="1:4" x14ac:dyDescent="0.2">
      <c r="A15296" s="496"/>
      <c r="D15296" s="496"/>
    </row>
    <row r="15297" spans="1:4" x14ac:dyDescent="0.2">
      <c r="A15297" s="496"/>
      <c r="D15297" s="496"/>
    </row>
    <row r="15298" spans="1:4" x14ac:dyDescent="0.2">
      <c r="A15298" s="496"/>
      <c r="D15298" s="496"/>
    </row>
    <row r="15299" spans="1:4" x14ac:dyDescent="0.2">
      <c r="A15299" s="496"/>
      <c r="D15299" s="496"/>
    </row>
    <row r="15300" spans="1:4" x14ac:dyDescent="0.2">
      <c r="A15300" s="496"/>
      <c r="D15300" s="496"/>
    </row>
    <row r="15301" spans="1:4" x14ac:dyDescent="0.2">
      <c r="A15301" s="496"/>
      <c r="D15301" s="496"/>
    </row>
    <row r="15302" spans="1:4" x14ac:dyDescent="0.2">
      <c r="A15302" s="496"/>
      <c r="D15302" s="496"/>
    </row>
    <row r="15303" spans="1:4" x14ac:dyDescent="0.2">
      <c r="A15303" s="496"/>
      <c r="D15303" s="496"/>
    </row>
    <row r="15304" spans="1:4" x14ac:dyDescent="0.2">
      <c r="A15304" s="496"/>
      <c r="D15304" s="496"/>
    </row>
    <row r="15305" spans="1:4" x14ac:dyDescent="0.2">
      <c r="A15305" s="496"/>
      <c r="D15305" s="496"/>
    </row>
    <row r="15306" spans="1:4" x14ac:dyDescent="0.2">
      <c r="A15306" s="496"/>
      <c r="D15306" s="496"/>
    </row>
    <row r="15307" spans="1:4" x14ac:dyDescent="0.2">
      <c r="A15307" s="496"/>
      <c r="D15307" s="496"/>
    </row>
    <row r="15308" spans="1:4" x14ac:dyDescent="0.2">
      <c r="A15308" s="496"/>
      <c r="D15308" s="496"/>
    </row>
    <row r="15309" spans="1:4" x14ac:dyDescent="0.2">
      <c r="A15309" s="496"/>
      <c r="D15309" s="496"/>
    </row>
    <row r="15310" spans="1:4" x14ac:dyDescent="0.2">
      <c r="A15310" s="496"/>
      <c r="D15310" s="496"/>
    </row>
    <row r="15311" spans="1:4" x14ac:dyDescent="0.2">
      <c r="A15311" s="496"/>
      <c r="D15311" s="496"/>
    </row>
    <row r="15312" spans="1:4" x14ac:dyDescent="0.2">
      <c r="A15312" s="496"/>
      <c r="D15312" s="496"/>
    </row>
    <row r="15313" spans="1:4" x14ac:dyDescent="0.2">
      <c r="A15313" s="496"/>
      <c r="D15313" s="496"/>
    </row>
    <row r="15314" spans="1:4" x14ac:dyDescent="0.2">
      <c r="A15314" s="496"/>
      <c r="D15314" s="496"/>
    </row>
    <row r="15315" spans="1:4" x14ac:dyDescent="0.2">
      <c r="A15315" s="496"/>
      <c r="D15315" s="496"/>
    </row>
    <row r="15316" spans="1:4" x14ac:dyDescent="0.2">
      <c r="A15316" s="496"/>
      <c r="D15316" s="496"/>
    </row>
    <row r="15317" spans="1:4" x14ac:dyDescent="0.2">
      <c r="A15317" s="496"/>
      <c r="D15317" s="496"/>
    </row>
    <row r="15318" spans="1:4" x14ac:dyDescent="0.2">
      <c r="A15318" s="496"/>
      <c r="D15318" s="496"/>
    </row>
    <row r="15319" spans="1:4" x14ac:dyDescent="0.2">
      <c r="A15319" s="496"/>
      <c r="D15319" s="496"/>
    </row>
    <row r="15320" spans="1:4" x14ac:dyDescent="0.2">
      <c r="A15320" s="496"/>
      <c r="D15320" s="496"/>
    </row>
    <row r="15321" spans="1:4" x14ac:dyDescent="0.2">
      <c r="A15321" s="496"/>
      <c r="D15321" s="496"/>
    </row>
    <row r="15322" spans="1:4" x14ac:dyDescent="0.2">
      <c r="A15322" s="496"/>
      <c r="D15322" s="496"/>
    </row>
    <row r="15323" spans="1:4" x14ac:dyDescent="0.2">
      <c r="A15323" s="496"/>
      <c r="D15323" s="496"/>
    </row>
    <row r="15324" spans="1:4" x14ac:dyDescent="0.2">
      <c r="A15324" s="496"/>
      <c r="D15324" s="496"/>
    </row>
    <row r="15325" spans="1:4" x14ac:dyDescent="0.2">
      <c r="A15325" s="496"/>
      <c r="D15325" s="496"/>
    </row>
    <row r="15326" spans="1:4" x14ac:dyDescent="0.2">
      <c r="A15326" s="496"/>
      <c r="D15326" s="496"/>
    </row>
    <row r="15327" spans="1:4" x14ac:dyDescent="0.2">
      <c r="A15327" s="496"/>
      <c r="D15327" s="496"/>
    </row>
    <row r="15328" spans="1:4" x14ac:dyDescent="0.2">
      <c r="A15328" s="496"/>
      <c r="D15328" s="496"/>
    </row>
    <row r="15329" spans="1:4" x14ac:dyDescent="0.2">
      <c r="A15329" s="496"/>
      <c r="D15329" s="496"/>
    </row>
    <row r="15330" spans="1:4" x14ac:dyDescent="0.2">
      <c r="A15330" s="496"/>
      <c r="D15330" s="496"/>
    </row>
    <row r="15331" spans="1:4" x14ac:dyDescent="0.2">
      <c r="A15331" s="496"/>
      <c r="D15331" s="496"/>
    </row>
    <row r="15332" spans="1:4" x14ac:dyDescent="0.2">
      <c r="A15332" s="496"/>
      <c r="D15332" s="496"/>
    </row>
    <row r="15333" spans="1:4" x14ac:dyDescent="0.2">
      <c r="A15333" s="496"/>
      <c r="D15333" s="496"/>
    </row>
    <row r="15334" spans="1:4" x14ac:dyDescent="0.2">
      <c r="A15334" s="496"/>
      <c r="D15334" s="496"/>
    </row>
    <row r="15335" spans="1:4" x14ac:dyDescent="0.2">
      <c r="A15335" s="496"/>
      <c r="D15335" s="496"/>
    </row>
    <row r="15336" spans="1:4" x14ac:dyDescent="0.2">
      <c r="A15336" s="496"/>
      <c r="D15336" s="496"/>
    </row>
    <row r="15337" spans="1:4" x14ac:dyDescent="0.2">
      <c r="A15337" s="496"/>
      <c r="D15337" s="496"/>
    </row>
    <row r="15338" spans="1:4" x14ac:dyDescent="0.2">
      <c r="A15338" s="496"/>
      <c r="D15338" s="496"/>
    </row>
    <row r="15339" spans="1:4" x14ac:dyDescent="0.2">
      <c r="A15339" s="496"/>
      <c r="D15339" s="496"/>
    </row>
    <row r="15340" spans="1:4" x14ac:dyDescent="0.2">
      <c r="A15340" s="496"/>
      <c r="D15340" s="496"/>
    </row>
    <row r="15341" spans="1:4" x14ac:dyDescent="0.2">
      <c r="A15341" s="496"/>
      <c r="D15341" s="496"/>
    </row>
    <row r="15342" spans="1:4" x14ac:dyDescent="0.2">
      <c r="A15342" s="496"/>
      <c r="D15342" s="496"/>
    </row>
    <row r="15343" spans="1:4" x14ac:dyDescent="0.2">
      <c r="A15343" s="496"/>
      <c r="D15343" s="496"/>
    </row>
    <row r="15344" spans="1:4" x14ac:dyDescent="0.2">
      <c r="A15344" s="496"/>
      <c r="D15344" s="496"/>
    </row>
    <row r="15345" spans="1:4" x14ac:dyDescent="0.2">
      <c r="A15345" s="496"/>
      <c r="D15345" s="496"/>
    </row>
    <row r="15346" spans="1:4" x14ac:dyDescent="0.2">
      <c r="A15346" s="496"/>
      <c r="D15346" s="496"/>
    </row>
    <row r="15347" spans="1:4" x14ac:dyDescent="0.2">
      <c r="A15347" s="496"/>
      <c r="D15347" s="496"/>
    </row>
    <row r="15348" spans="1:4" x14ac:dyDescent="0.2">
      <c r="A15348" s="496"/>
      <c r="D15348" s="496"/>
    </row>
    <row r="15349" spans="1:4" x14ac:dyDescent="0.2">
      <c r="A15349" s="496"/>
      <c r="D15349" s="496"/>
    </row>
    <row r="15350" spans="1:4" x14ac:dyDescent="0.2">
      <c r="A15350" s="496"/>
      <c r="D15350" s="496"/>
    </row>
    <row r="15351" spans="1:4" x14ac:dyDescent="0.2">
      <c r="A15351" s="496"/>
      <c r="D15351" s="496"/>
    </row>
    <row r="15352" spans="1:4" x14ac:dyDescent="0.2">
      <c r="A15352" s="496"/>
      <c r="D15352" s="496"/>
    </row>
    <row r="15353" spans="1:4" x14ac:dyDescent="0.2">
      <c r="A15353" s="496"/>
      <c r="D15353" s="496"/>
    </row>
    <row r="15354" spans="1:4" x14ac:dyDescent="0.2">
      <c r="A15354" s="496"/>
      <c r="D15354" s="496"/>
    </row>
    <row r="15355" spans="1:4" x14ac:dyDescent="0.2">
      <c r="A15355" s="496"/>
      <c r="D15355" s="496"/>
    </row>
    <row r="15356" spans="1:4" x14ac:dyDescent="0.2">
      <c r="A15356" s="496"/>
      <c r="D15356" s="496"/>
    </row>
    <row r="15357" spans="1:4" x14ac:dyDescent="0.2">
      <c r="A15357" s="496"/>
      <c r="D15357" s="496"/>
    </row>
    <row r="15358" spans="1:4" x14ac:dyDescent="0.2">
      <c r="A15358" s="496"/>
      <c r="D15358" s="496"/>
    </row>
    <row r="15359" spans="1:4" x14ac:dyDescent="0.2">
      <c r="A15359" s="496"/>
      <c r="D15359" s="496"/>
    </row>
    <row r="15360" spans="1:4" x14ac:dyDescent="0.2">
      <c r="A15360" s="496"/>
      <c r="D15360" s="496"/>
    </row>
    <row r="15361" spans="1:4" x14ac:dyDescent="0.2">
      <c r="A15361" s="496"/>
      <c r="D15361" s="496"/>
    </row>
    <row r="15362" spans="1:4" x14ac:dyDescent="0.2">
      <c r="A15362" s="496"/>
      <c r="D15362" s="496"/>
    </row>
    <row r="15363" spans="1:4" x14ac:dyDescent="0.2">
      <c r="A15363" s="496"/>
      <c r="D15363" s="496"/>
    </row>
    <row r="15364" spans="1:4" x14ac:dyDescent="0.2">
      <c r="A15364" s="496"/>
      <c r="D15364" s="496"/>
    </row>
    <row r="15365" spans="1:4" x14ac:dyDescent="0.2">
      <c r="A15365" s="496"/>
      <c r="D15365" s="496"/>
    </row>
    <row r="15366" spans="1:4" x14ac:dyDescent="0.2">
      <c r="A15366" s="496"/>
      <c r="D15366" s="496"/>
    </row>
    <row r="15367" spans="1:4" x14ac:dyDescent="0.2">
      <c r="A15367" s="496"/>
      <c r="D15367" s="496"/>
    </row>
    <row r="15368" spans="1:4" x14ac:dyDescent="0.2">
      <c r="A15368" s="496"/>
      <c r="D15368" s="496"/>
    </row>
    <row r="15369" spans="1:4" x14ac:dyDescent="0.2">
      <c r="A15369" s="496"/>
      <c r="D15369" s="496"/>
    </row>
    <row r="15370" spans="1:4" x14ac:dyDescent="0.2">
      <c r="A15370" s="496"/>
      <c r="D15370" s="496"/>
    </row>
    <row r="15371" spans="1:4" x14ac:dyDescent="0.2">
      <c r="A15371" s="496"/>
      <c r="D15371" s="496"/>
    </row>
    <row r="15372" spans="1:4" x14ac:dyDescent="0.2">
      <c r="A15372" s="496"/>
      <c r="D15372" s="496"/>
    </row>
    <row r="15373" spans="1:4" x14ac:dyDescent="0.2">
      <c r="A15373" s="496"/>
      <c r="D15373" s="496"/>
    </row>
    <row r="15374" spans="1:4" x14ac:dyDescent="0.2">
      <c r="A15374" s="496"/>
      <c r="D15374" s="496"/>
    </row>
    <row r="15375" spans="1:4" x14ac:dyDescent="0.2">
      <c r="A15375" s="496"/>
      <c r="D15375" s="496"/>
    </row>
    <row r="15376" spans="1:4" x14ac:dyDescent="0.2">
      <c r="A15376" s="496"/>
      <c r="D15376" s="496"/>
    </row>
    <row r="15377" spans="1:4" x14ac:dyDescent="0.2">
      <c r="A15377" s="496"/>
      <c r="D15377" s="496"/>
    </row>
    <row r="15378" spans="1:4" x14ac:dyDescent="0.2">
      <c r="A15378" s="496"/>
      <c r="D15378" s="496"/>
    </row>
    <row r="15379" spans="1:4" x14ac:dyDescent="0.2">
      <c r="A15379" s="496"/>
      <c r="D15379" s="496"/>
    </row>
    <row r="15380" spans="1:4" x14ac:dyDescent="0.2">
      <c r="A15380" s="496"/>
      <c r="D15380" s="496"/>
    </row>
    <row r="15381" spans="1:4" x14ac:dyDescent="0.2">
      <c r="A15381" s="496"/>
      <c r="D15381" s="496"/>
    </row>
    <row r="15382" spans="1:4" x14ac:dyDescent="0.2">
      <c r="A15382" s="496"/>
      <c r="D15382" s="496"/>
    </row>
    <row r="15383" spans="1:4" x14ac:dyDescent="0.2">
      <c r="A15383" s="496"/>
      <c r="D15383" s="496"/>
    </row>
    <row r="15384" spans="1:4" x14ac:dyDescent="0.2">
      <c r="A15384" s="496"/>
      <c r="D15384" s="496"/>
    </row>
    <row r="15385" spans="1:4" x14ac:dyDescent="0.2">
      <c r="A15385" s="496"/>
      <c r="D15385" s="496"/>
    </row>
    <row r="15386" spans="1:4" x14ac:dyDescent="0.2">
      <c r="A15386" s="496"/>
      <c r="D15386" s="496"/>
    </row>
    <row r="15387" spans="1:4" x14ac:dyDescent="0.2">
      <c r="A15387" s="496"/>
      <c r="D15387" s="496"/>
    </row>
    <row r="15388" spans="1:4" x14ac:dyDescent="0.2">
      <c r="A15388" s="496"/>
      <c r="D15388" s="496"/>
    </row>
    <row r="15389" spans="1:4" x14ac:dyDescent="0.2">
      <c r="A15389" s="496"/>
      <c r="D15389" s="496"/>
    </row>
    <row r="15390" spans="1:4" x14ac:dyDescent="0.2">
      <c r="A15390" s="496"/>
      <c r="D15390" s="496"/>
    </row>
    <row r="15391" spans="1:4" x14ac:dyDescent="0.2">
      <c r="A15391" s="496"/>
      <c r="D15391" s="496"/>
    </row>
    <row r="15392" spans="1:4" x14ac:dyDescent="0.2">
      <c r="A15392" s="496"/>
      <c r="D15392" s="496"/>
    </row>
    <row r="15393" spans="1:4" x14ac:dyDescent="0.2">
      <c r="A15393" s="496"/>
      <c r="D15393" s="496"/>
    </row>
    <row r="15394" spans="1:4" x14ac:dyDescent="0.2">
      <c r="A15394" s="496"/>
      <c r="D15394" s="496"/>
    </row>
    <row r="15395" spans="1:4" x14ac:dyDescent="0.2">
      <c r="A15395" s="496"/>
      <c r="D15395" s="496"/>
    </row>
    <row r="15396" spans="1:4" x14ac:dyDescent="0.2">
      <c r="A15396" s="496"/>
      <c r="D15396" s="496"/>
    </row>
    <row r="15397" spans="1:4" x14ac:dyDescent="0.2">
      <c r="A15397" s="496"/>
      <c r="D15397" s="496"/>
    </row>
    <row r="15398" spans="1:4" x14ac:dyDescent="0.2">
      <c r="A15398" s="496"/>
      <c r="D15398" s="496"/>
    </row>
    <row r="15399" spans="1:4" x14ac:dyDescent="0.2">
      <c r="A15399" s="496"/>
      <c r="D15399" s="496"/>
    </row>
    <row r="15400" spans="1:4" x14ac:dyDescent="0.2">
      <c r="A15400" s="496"/>
      <c r="D15400" s="496"/>
    </row>
    <row r="15401" spans="1:4" x14ac:dyDescent="0.2">
      <c r="A15401" s="496"/>
      <c r="D15401" s="496"/>
    </row>
    <row r="15402" spans="1:4" x14ac:dyDescent="0.2">
      <c r="A15402" s="496"/>
      <c r="D15402" s="496"/>
    </row>
    <row r="15403" spans="1:4" x14ac:dyDescent="0.2">
      <c r="A15403" s="496"/>
      <c r="D15403" s="496"/>
    </row>
    <row r="15404" spans="1:4" x14ac:dyDescent="0.2">
      <c r="A15404" s="496"/>
      <c r="D15404" s="496"/>
    </row>
    <row r="15405" spans="1:4" x14ac:dyDescent="0.2">
      <c r="A15405" s="496"/>
      <c r="D15405" s="496"/>
    </row>
    <row r="15406" spans="1:4" x14ac:dyDescent="0.2">
      <c r="A15406" s="496"/>
      <c r="D15406" s="496"/>
    </row>
    <row r="15407" spans="1:4" x14ac:dyDescent="0.2">
      <c r="A15407" s="496"/>
      <c r="D15407" s="496"/>
    </row>
    <row r="15408" spans="1:4" x14ac:dyDescent="0.2">
      <c r="A15408" s="496"/>
      <c r="D15408" s="496"/>
    </row>
    <row r="15409" spans="1:4" x14ac:dyDescent="0.2">
      <c r="A15409" s="496"/>
      <c r="D15409" s="496"/>
    </row>
    <row r="15410" spans="1:4" x14ac:dyDescent="0.2">
      <c r="A15410" s="496"/>
      <c r="D15410" s="496"/>
    </row>
    <row r="15411" spans="1:4" x14ac:dyDescent="0.2">
      <c r="A15411" s="496"/>
      <c r="D15411" s="496"/>
    </row>
    <row r="15412" spans="1:4" x14ac:dyDescent="0.2">
      <c r="A15412" s="496"/>
      <c r="D15412" s="496"/>
    </row>
    <row r="15413" spans="1:4" x14ac:dyDescent="0.2">
      <c r="A15413" s="496"/>
      <c r="D15413" s="496"/>
    </row>
    <row r="15414" spans="1:4" x14ac:dyDescent="0.2">
      <c r="A15414" s="496"/>
      <c r="D15414" s="496"/>
    </row>
    <row r="15415" spans="1:4" x14ac:dyDescent="0.2">
      <c r="A15415" s="496"/>
      <c r="D15415" s="496"/>
    </row>
    <row r="15416" spans="1:4" x14ac:dyDescent="0.2">
      <c r="A15416" s="496"/>
      <c r="D15416" s="496"/>
    </row>
    <row r="15417" spans="1:4" x14ac:dyDescent="0.2">
      <c r="A15417" s="496"/>
      <c r="D15417" s="496"/>
    </row>
    <row r="15418" spans="1:4" x14ac:dyDescent="0.2">
      <c r="A15418" s="496"/>
      <c r="D15418" s="496"/>
    </row>
    <row r="15419" spans="1:4" x14ac:dyDescent="0.2">
      <c r="A15419" s="496"/>
      <c r="D15419" s="496"/>
    </row>
    <row r="15420" spans="1:4" x14ac:dyDescent="0.2">
      <c r="A15420" s="496"/>
      <c r="D15420" s="496"/>
    </row>
    <row r="15421" spans="1:4" x14ac:dyDescent="0.2">
      <c r="A15421" s="496"/>
      <c r="D15421" s="496"/>
    </row>
    <row r="15422" spans="1:4" x14ac:dyDescent="0.2">
      <c r="A15422" s="496"/>
      <c r="D15422" s="496"/>
    </row>
    <row r="15423" spans="1:4" x14ac:dyDescent="0.2">
      <c r="A15423" s="496"/>
      <c r="D15423" s="496"/>
    </row>
    <row r="15424" spans="1:4" x14ac:dyDescent="0.2">
      <c r="A15424" s="496"/>
      <c r="D15424" s="496"/>
    </row>
    <row r="15425" spans="1:4" x14ac:dyDescent="0.2">
      <c r="A15425" s="496"/>
      <c r="D15425" s="496"/>
    </row>
    <row r="15426" spans="1:4" x14ac:dyDescent="0.2">
      <c r="A15426" s="496"/>
      <c r="D15426" s="496"/>
    </row>
    <row r="15427" spans="1:4" x14ac:dyDescent="0.2">
      <c r="A15427" s="496"/>
      <c r="D15427" s="496"/>
    </row>
    <row r="15428" spans="1:4" x14ac:dyDescent="0.2">
      <c r="A15428" s="496"/>
      <c r="D15428" s="496"/>
    </row>
    <row r="15429" spans="1:4" x14ac:dyDescent="0.2">
      <c r="A15429" s="496"/>
      <c r="D15429" s="496"/>
    </row>
    <row r="15430" spans="1:4" x14ac:dyDescent="0.2">
      <c r="A15430" s="496"/>
      <c r="D15430" s="496"/>
    </row>
    <row r="15431" spans="1:4" x14ac:dyDescent="0.2">
      <c r="A15431" s="496"/>
      <c r="D15431" s="496"/>
    </row>
    <row r="15432" spans="1:4" x14ac:dyDescent="0.2">
      <c r="A15432" s="496"/>
      <c r="D15432" s="496"/>
    </row>
    <row r="15433" spans="1:4" x14ac:dyDescent="0.2">
      <c r="A15433" s="496"/>
      <c r="D15433" s="496"/>
    </row>
    <row r="15434" spans="1:4" x14ac:dyDescent="0.2">
      <c r="A15434" s="496"/>
      <c r="D15434" s="496"/>
    </row>
    <row r="15435" spans="1:4" x14ac:dyDescent="0.2">
      <c r="A15435" s="496"/>
      <c r="D15435" s="496"/>
    </row>
    <row r="15436" spans="1:4" x14ac:dyDescent="0.2">
      <c r="A15436" s="496"/>
      <c r="D15436" s="496"/>
    </row>
    <row r="15437" spans="1:4" x14ac:dyDescent="0.2">
      <c r="A15437" s="496"/>
      <c r="D15437" s="496"/>
    </row>
    <row r="15438" spans="1:4" x14ac:dyDescent="0.2">
      <c r="A15438" s="496"/>
      <c r="D15438" s="496"/>
    </row>
    <row r="15439" spans="1:4" x14ac:dyDescent="0.2">
      <c r="A15439" s="496"/>
      <c r="D15439" s="496"/>
    </row>
    <row r="15440" spans="1:4" x14ac:dyDescent="0.2">
      <c r="A15440" s="496"/>
      <c r="D15440" s="496"/>
    </row>
    <row r="15441" spans="1:4" x14ac:dyDescent="0.2">
      <c r="A15441" s="496"/>
      <c r="D15441" s="496"/>
    </row>
    <row r="15442" spans="1:4" x14ac:dyDescent="0.2">
      <c r="A15442" s="496"/>
      <c r="D15442" s="496"/>
    </row>
    <row r="15443" spans="1:4" x14ac:dyDescent="0.2">
      <c r="A15443" s="496"/>
      <c r="D15443" s="496"/>
    </row>
    <row r="15444" spans="1:4" x14ac:dyDescent="0.2">
      <c r="A15444" s="496"/>
      <c r="D15444" s="496"/>
    </row>
    <row r="15445" spans="1:4" x14ac:dyDescent="0.2">
      <c r="A15445" s="496"/>
      <c r="D15445" s="496"/>
    </row>
    <row r="15446" spans="1:4" x14ac:dyDescent="0.2">
      <c r="A15446" s="496"/>
      <c r="D15446" s="496"/>
    </row>
    <row r="15447" spans="1:4" x14ac:dyDescent="0.2">
      <c r="A15447" s="496"/>
      <c r="D15447" s="496"/>
    </row>
    <row r="15448" spans="1:4" x14ac:dyDescent="0.2">
      <c r="A15448" s="496"/>
      <c r="D15448" s="496"/>
    </row>
    <row r="15449" spans="1:4" x14ac:dyDescent="0.2">
      <c r="A15449" s="496"/>
      <c r="D15449" s="496"/>
    </row>
    <row r="15450" spans="1:4" x14ac:dyDescent="0.2">
      <c r="A15450" s="496"/>
      <c r="D15450" s="496"/>
    </row>
    <row r="15451" spans="1:4" x14ac:dyDescent="0.2">
      <c r="A15451" s="496"/>
      <c r="D15451" s="496"/>
    </row>
    <row r="15452" spans="1:4" x14ac:dyDescent="0.2">
      <c r="A15452" s="496"/>
      <c r="D15452" s="496"/>
    </row>
    <row r="15453" spans="1:4" x14ac:dyDescent="0.2">
      <c r="A15453" s="496"/>
      <c r="D15453" s="496"/>
    </row>
    <row r="15454" spans="1:4" x14ac:dyDescent="0.2">
      <c r="A15454" s="496"/>
      <c r="D15454" s="496"/>
    </row>
    <row r="15455" spans="1:4" x14ac:dyDescent="0.2">
      <c r="A15455" s="496"/>
      <c r="D15455" s="496"/>
    </row>
    <row r="15456" spans="1:4" x14ac:dyDescent="0.2">
      <c r="A15456" s="496"/>
      <c r="D15456" s="496"/>
    </row>
    <row r="15457" spans="1:4" x14ac:dyDescent="0.2">
      <c r="A15457" s="496"/>
      <c r="D15457" s="496"/>
    </row>
    <row r="15458" spans="1:4" x14ac:dyDescent="0.2">
      <c r="A15458" s="496"/>
      <c r="D15458" s="496"/>
    </row>
    <row r="15459" spans="1:4" x14ac:dyDescent="0.2">
      <c r="A15459" s="496"/>
      <c r="D15459" s="496"/>
    </row>
    <row r="15460" spans="1:4" x14ac:dyDescent="0.2">
      <c r="A15460" s="496"/>
      <c r="D15460" s="496"/>
    </row>
    <row r="15461" spans="1:4" x14ac:dyDescent="0.2">
      <c r="A15461" s="496"/>
      <c r="D15461" s="496"/>
    </row>
    <row r="15462" spans="1:4" x14ac:dyDescent="0.2">
      <c r="A15462" s="496"/>
      <c r="D15462" s="496"/>
    </row>
    <row r="15463" spans="1:4" x14ac:dyDescent="0.2">
      <c r="A15463" s="496"/>
      <c r="D15463" s="496"/>
    </row>
    <row r="15464" spans="1:4" x14ac:dyDescent="0.2">
      <c r="A15464" s="496"/>
      <c r="D15464" s="496"/>
    </row>
    <row r="15465" spans="1:4" x14ac:dyDescent="0.2">
      <c r="A15465" s="496"/>
      <c r="D15465" s="496"/>
    </row>
    <row r="15466" spans="1:4" x14ac:dyDescent="0.2">
      <c r="A15466" s="496"/>
      <c r="D15466" s="496"/>
    </row>
    <row r="15467" spans="1:4" x14ac:dyDescent="0.2">
      <c r="A15467" s="496"/>
      <c r="D15467" s="496"/>
    </row>
    <row r="15468" spans="1:4" x14ac:dyDescent="0.2">
      <c r="A15468" s="496"/>
      <c r="D15468" s="496"/>
    </row>
    <row r="15469" spans="1:4" x14ac:dyDescent="0.2">
      <c r="A15469" s="496"/>
      <c r="D15469" s="496"/>
    </row>
    <row r="15470" spans="1:4" x14ac:dyDescent="0.2">
      <c r="A15470" s="496"/>
      <c r="D15470" s="496"/>
    </row>
    <row r="15471" spans="1:4" x14ac:dyDescent="0.2">
      <c r="A15471" s="496"/>
      <c r="D15471" s="496"/>
    </row>
    <row r="15472" spans="1:4" x14ac:dyDescent="0.2">
      <c r="A15472" s="496"/>
      <c r="D15472" s="496"/>
    </row>
    <row r="15473" spans="1:4" x14ac:dyDescent="0.2">
      <c r="A15473" s="496"/>
      <c r="D15473" s="496"/>
    </row>
    <row r="15474" spans="1:4" x14ac:dyDescent="0.2">
      <c r="A15474" s="496"/>
      <c r="D15474" s="496"/>
    </row>
    <row r="15475" spans="1:4" x14ac:dyDescent="0.2">
      <c r="A15475" s="496"/>
      <c r="D15475" s="496"/>
    </row>
    <row r="15476" spans="1:4" x14ac:dyDescent="0.2">
      <c r="A15476" s="496"/>
      <c r="D15476" s="496"/>
    </row>
    <row r="15477" spans="1:4" x14ac:dyDescent="0.2">
      <c r="A15477" s="496"/>
      <c r="D15477" s="496"/>
    </row>
    <row r="15478" spans="1:4" x14ac:dyDescent="0.2">
      <c r="A15478" s="496"/>
      <c r="D15478" s="496"/>
    </row>
    <row r="15479" spans="1:4" x14ac:dyDescent="0.2">
      <c r="A15479" s="496"/>
      <c r="D15479" s="496"/>
    </row>
    <row r="15480" spans="1:4" x14ac:dyDescent="0.2">
      <c r="A15480" s="496"/>
      <c r="D15480" s="496"/>
    </row>
    <row r="15481" spans="1:4" x14ac:dyDescent="0.2">
      <c r="A15481" s="496"/>
      <c r="D15481" s="496"/>
    </row>
    <row r="15482" spans="1:4" x14ac:dyDescent="0.2">
      <c r="A15482" s="496"/>
      <c r="D15482" s="496"/>
    </row>
    <row r="15483" spans="1:4" x14ac:dyDescent="0.2">
      <c r="A15483" s="496"/>
      <c r="D15483" s="496"/>
    </row>
    <row r="15484" spans="1:4" x14ac:dyDescent="0.2">
      <c r="A15484" s="496"/>
      <c r="D15484" s="496"/>
    </row>
    <row r="15485" spans="1:4" x14ac:dyDescent="0.2">
      <c r="A15485" s="496"/>
      <c r="D15485" s="496"/>
    </row>
    <row r="15486" spans="1:4" x14ac:dyDescent="0.2">
      <c r="A15486" s="496"/>
      <c r="D15486" s="496"/>
    </row>
    <row r="15487" spans="1:4" x14ac:dyDescent="0.2">
      <c r="A15487" s="496"/>
      <c r="D15487" s="496"/>
    </row>
    <row r="15488" spans="1:4" x14ac:dyDescent="0.2">
      <c r="A15488" s="496"/>
      <c r="D15488" s="496"/>
    </row>
    <row r="15489" spans="1:4" x14ac:dyDescent="0.2">
      <c r="A15489" s="496"/>
      <c r="D15489" s="496"/>
    </row>
    <row r="15490" spans="1:4" x14ac:dyDescent="0.2">
      <c r="A15490" s="496"/>
      <c r="D15490" s="496"/>
    </row>
    <row r="15491" spans="1:4" x14ac:dyDescent="0.2">
      <c r="A15491" s="496"/>
      <c r="D15491" s="496"/>
    </row>
    <row r="15492" spans="1:4" x14ac:dyDescent="0.2">
      <c r="A15492" s="496"/>
      <c r="D15492" s="496"/>
    </row>
    <row r="15493" spans="1:4" x14ac:dyDescent="0.2">
      <c r="A15493" s="496"/>
      <c r="D15493" s="496"/>
    </row>
    <row r="15494" spans="1:4" x14ac:dyDescent="0.2">
      <c r="A15494" s="496"/>
      <c r="D15494" s="496"/>
    </row>
    <row r="15495" spans="1:4" x14ac:dyDescent="0.2">
      <c r="A15495" s="496"/>
      <c r="D15495" s="496"/>
    </row>
    <row r="15496" spans="1:4" x14ac:dyDescent="0.2">
      <c r="A15496" s="496"/>
      <c r="D15496" s="496"/>
    </row>
    <row r="15497" spans="1:4" x14ac:dyDescent="0.2">
      <c r="A15497" s="496"/>
      <c r="D15497" s="496"/>
    </row>
    <row r="15498" spans="1:4" x14ac:dyDescent="0.2">
      <c r="A15498" s="496"/>
      <c r="D15498" s="496"/>
    </row>
    <row r="15499" spans="1:4" x14ac:dyDescent="0.2">
      <c r="A15499" s="496"/>
      <c r="D15499" s="496"/>
    </row>
    <row r="15500" spans="1:4" x14ac:dyDescent="0.2">
      <c r="A15500" s="496"/>
      <c r="D15500" s="496"/>
    </row>
    <row r="15501" spans="1:4" x14ac:dyDescent="0.2">
      <c r="A15501" s="496"/>
      <c r="D15501" s="496"/>
    </row>
    <row r="15502" spans="1:4" x14ac:dyDescent="0.2">
      <c r="A15502" s="496"/>
      <c r="D15502" s="496"/>
    </row>
    <row r="15503" spans="1:4" x14ac:dyDescent="0.2">
      <c r="A15503" s="496"/>
      <c r="D15503" s="496"/>
    </row>
    <row r="15504" spans="1:4" x14ac:dyDescent="0.2">
      <c r="A15504" s="496"/>
      <c r="D15504" s="496"/>
    </row>
    <row r="15505" spans="1:4" x14ac:dyDescent="0.2">
      <c r="A15505" s="496"/>
      <c r="D15505" s="496"/>
    </row>
    <row r="15506" spans="1:4" x14ac:dyDescent="0.2">
      <c r="A15506" s="496"/>
      <c r="D15506" s="496"/>
    </row>
    <row r="15507" spans="1:4" x14ac:dyDescent="0.2">
      <c r="A15507" s="496"/>
      <c r="D15507" s="496"/>
    </row>
    <row r="15508" spans="1:4" x14ac:dyDescent="0.2">
      <c r="A15508" s="496"/>
      <c r="D15508" s="496"/>
    </row>
    <row r="15509" spans="1:4" x14ac:dyDescent="0.2">
      <c r="A15509" s="496"/>
      <c r="D15509" s="496"/>
    </row>
    <row r="15510" spans="1:4" x14ac:dyDescent="0.2">
      <c r="A15510" s="496"/>
      <c r="D15510" s="496"/>
    </row>
    <row r="15511" spans="1:4" x14ac:dyDescent="0.2">
      <c r="A15511" s="496"/>
      <c r="D15511" s="496"/>
    </row>
    <row r="15512" spans="1:4" x14ac:dyDescent="0.2">
      <c r="A15512" s="496"/>
      <c r="D15512" s="496"/>
    </row>
    <row r="15513" spans="1:4" x14ac:dyDescent="0.2">
      <c r="A15513" s="496"/>
      <c r="D15513" s="496"/>
    </row>
    <row r="15514" spans="1:4" x14ac:dyDescent="0.2">
      <c r="A15514" s="496"/>
      <c r="D15514" s="496"/>
    </row>
    <row r="15515" spans="1:4" x14ac:dyDescent="0.2">
      <c r="A15515" s="496"/>
      <c r="D15515" s="496"/>
    </row>
    <row r="15516" spans="1:4" x14ac:dyDescent="0.2">
      <c r="A15516" s="496"/>
      <c r="D15516" s="496"/>
    </row>
    <row r="15517" spans="1:4" x14ac:dyDescent="0.2">
      <c r="A15517" s="496"/>
      <c r="D15517" s="496"/>
    </row>
    <row r="15518" spans="1:4" x14ac:dyDescent="0.2">
      <c r="A15518" s="496"/>
      <c r="D15518" s="496"/>
    </row>
    <row r="15519" spans="1:4" x14ac:dyDescent="0.2">
      <c r="A15519" s="496"/>
      <c r="D15519" s="496"/>
    </row>
    <row r="15520" spans="1:4" x14ac:dyDescent="0.2">
      <c r="A15520" s="496"/>
      <c r="D15520" s="496"/>
    </row>
    <row r="15521" spans="1:4" x14ac:dyDescent="0.2">
      <c r="A15521" s="496"/>
      <c r="D15521" s="496"/>
    </row>
    <row r="15522" spans="1:4" x14ac:dyDescent="0.2">
      <c r="A15522" s="496"/>
      <c r="D15522" s="496"/>
    </row>
    <row r="15523" spans="1:4" x14ac:dyDescent="0.2">
      <c r="A15523" s="496"/>
      <c r="D15523" s="496"/>
    </row>
    <row r="15524" spans="1:4" x14ac:dyDescent="0.2">
      <c r="A15524" s="496"/>
      <c r="D15524" s="496"/>
    </row>
    <row r="15525" spans="1:4" x14ac:dyDescent="0.2">
      <c r="A15525" s="496"/>
      <c r="D15525" s="496"/>
    </row>
    <row r="15526" spans="1:4" x14ac:dyDescent="0.2">
      <c r="A15526" s="496"/>
      <c r="D15526" s="496"/>
    </row>
    <row r="15527" spans="1:4" x14ac:dyDescent="0.2">
      <c r="A15527" s="496"/>
      <c r="D15527" s="496"/>
    </row>
    <row r="15528" spans="1:4" x14ac:dyDescent="0.2">
      <c r="A15528" s="496"/>
      <c r="D15528" s="496"/>
    </row>
    <row r="15529" spans="1:4" x14ac:dyDescent="0.2">
      <c r="A15529" s="496"/>
      <c r="D15529" s="496"/>
    </row>
    <row r="15530" spans="1:4" x14ac:dyDescent="0.2">
      <c r="A15530" s="496"/>
      <c r="D15530" s="496"/>
    </row>
    <row r="15531" spans="1:4" x14ac:dyDescent="0.2">
      <c r="A15531" s="496"/>
      <c r="D15531" s="496"/>
    </row>
    <row r="15532" spans="1:4" x14ac:dyDescent="0.2">
      <c r="A15532" s="496"/>
      <c r="D15532" s="496"/>
    </row>
    <row r="15533" spans="1:4" x14ac:dyDescent="0.2">
      <c r="A15533" s="496"/>
      <c r="D15533" s="496"/>
    </row>
    <row r="15534" spans="1:4" x14ac:dyDescent="0.2">
      <c r="A15534" s="496"/>
      <c r="D15534" s="496"/>
    </row>
    <row r="15535" spans="1:4" x14ac:dyDescent="0.2">
      <c r="A15535" s="496"/>
      <c r="D15535" s="496"/>
    </row>
    <row r="15536" spans="1:4" x14ac:dyDescent="0.2">
      <c r="A15536" s="496"/>
      <c r="D15536" s="496"/>
    </row>
    <row r="15537" spans="1:4" x14ac:dyDescent="0.2">
      <c r="A15537" s="496"/>
      <c r="D15537" s="496"/>
    </row>
    <row r="15538" spans="1:4" x14ac:dyDescent="0.2">
      <c r="A15538" s="496"/>
      <c r="D15538" s="496"/>
    </row>
    <row r="15539" spans="1:4" x14ac:dyDescent="0.2">
      <c r="A15539" s="496"/>
      <c r="D15539" s="496"/>
    </row>
    <row r="15540" spans="1:4" x14ac:dyDescent="0.2">
      <c r="A15540" s="496"/>
      <c r="D15540" s="496"/>
    </row>
    <row r="15541" spans="1:4" x14ac:dyDescent="0.2">
      <c r="A15541" s="496"/>
      <c r="D15541" s="496"/>
    </row>
    <row r="15542" spans="1:4" x14ac:dyDescent="0.2">
      <c r="A15542" s="496"/>
      <c r="D15542" s="496"/>
    </row>
    <row r="15543" spans="1:4" x14ac:dyDescent="0.2">
      <c r="A15543" s="496"/>
      <c r="D15543" s="496"/>
    </row>
    <row r="15544" spans="1:4" x14ac:dyDescent="0.2">
      <c r="A15544" s="496"/>
      <c r="D15544" s="496"/>
    </row>
    <row r="15545" spans="1:4" x14ac:dyDescent="0.2">
      <c r="A15545" s="496"/>
      <c r="D15545" s="496"/>
    </row>
    <row r="15546" spans="1:4" x14ac:dyDescent="0.2">
      <c r="A15546" s="496"/>
      <c r="D15546" s="496"/>
    </row>
    <row r="15547" spans="1:4" x14ac:dyDescent="0.2">
      <c r="A15547" s="496"/>
      <c r="D15547" s="496"/>
    </row>
    <row r="15548" spans="1:4" x14ac:dyDescent="0.2">
      <c r="A15548" s="496"/>
      <c r="D15548" s="496"/>
    </row>
    <row r="15549" spans="1:4" x14ac:dyDescent="0.2">
      <c r="A15549" s="496"/>
      <c r="D15549" s="496"/>
    </row>
    <row r="15550" spans="1:4" x14ac:dyDescent="0.2">
      <c r="A15550" s="496"/>
      <c r="D15550" s="496"/>
    </row>
    <row r="15551" spans="1:4" x14ac:dyDescent="0.2">
      <c r="A15551" s="496"/>
      <c r="D15551" s="496"/>
    </row>
    <row r="15552" spans="1:4" x14ac:dyDescent="0.2">
      <c r="A15552" s="496"/>
      <c r="D15552" s="496"/>
    </row>
    <row r="15553" spans="1:4" x14ac:dyDescent="0.2">
      <c r="A15553" s="496"/>
      <c r="D15553" s="496"/>
    </row>
    <row r="15554" spans="1:4" x14ac:dyDescent="0.2">
      <c r="A15554" s="496"/>
      <c r="D15554" s="496"/>
    </row>
    <row r="15555" spans="1:4" x14ac:dyDescent="0.2">
      <c r="A15555" s="496"/>
      <c r="D15555" s="496"/>
    </row>
    <row r="15556" spans="1:4" x14ac:dyDescent="0.2">
      <c r="A15556" s="496"/>
      <c r="D15556" s="496"/>
    </row>
    <row r="15557" spans="1:4" x14ac:dyDescent="0.2">
      <c r="A15557" s="496"/>
      <c r="D15557" s="496"/>
    </row>
    <row r="15558" spans="1:4" x14ac:dyDescent="0.2">
      <c r="A15558" s="496"/>
      <c r="D15558" s="496"/>
    </row>
    <row r="15559" spans="1:4" x14ac:dyDescent="0.2">
      <c r="A15559" s="496"/>
      <c r="D15559" s="496"/>
    </row>
    <row r="15560" spans="1:4" x14ac:dyDescent="0.2">
      <c r="A15560" s="496"/>
      <c r="D15560" s="496"/>
    </row>
    <row r="15561" spans="1:4" x14ac:dyDescent="0.2">
      <c r="A15561" s="496"/>
      <c r="D15561" s="496"/>
    </row>
    <row r="15562" spans="1:4" x14ac:dyDescent="0.2">
      <c r="A15562" s="496"/>
      <c r="D15562" s="496"/>
    </row>
    <row r="15563" spans="1:4" x14ac:dyDescent="0.2">
      <c r="A15563" s="496"/>
      <c r="D15563" s="496"/>
    </row>
    <row r="15564" spans="1:4" x14ac:dyDescent="0.2">
      <c r="A15564" s="496"/>
      <c r="D15564" s="496"/>
    </row>
    <row r="15565" spans="1:4" x14ac:dyDescent="0.2">
      <c r="A15565" s="496"/>
      <c r="D15565" s="496"/>
    </row>
    <row r="15566" spans="1:4" x14ac:dyDescent="0.2">
      <c r="A15566" s="496"/>
      <c r="D15566" s="496"/>
    </row>
    <row r="15567" spans="1:4" x14ac:dyDescent="0.2">
      <c r="A15567" s="496"/>
      <c r="D15567" s="496"/>
    </row>
    <row r="15568" spans="1:4" x14ac:dyDescent="0.2">
      <c r="A15568" s="496"/>
      <c r="D15568" s="496"/>
    </row>
    <row r="15569" spans="1:4" x14ac:dyDescent="0.2">
      <c r="A15569" s="496"/>
      <c r="D15569" s="496"/>
    </row>
    <row r="15570" spans="1:4" x14ac:dyDescent="0.2">
      <c r="A15570" s="496"/>
      <c r="D15570" s="496"/>
    </row>
    <row r="15571" spans="1:4" x14ac:dyDescent="0.2">
      <c r="A15571" s="496"/>
      <c r="D15571" s="496"/>
    </row>
    <row r="15572" spans="1:4" x14ac:dyDescent="0.2">
      <c r="A15572" s="496"/>
      <c r="D15572" s="496"/>
    </row>
    <row r="15573" spans="1:4" x14ac:dyDescent="0.2">
      <c r="A15573" s="496"/>
      <c r="D15573" s="496"/>
    </row>
    <row r="15574" spans="1:4" x14ac:dyDescent="0.2">
      <c r="A15574" s="496"/>
      <c r="D15574" s="496"/>
    </row>
    <row r="15575" spans="1:4" x14ac:dyDescent="0.2">
      <c r="A15575" s="496"/>
      <c r="D15575" s="496"/>
    </row>
    <row r="15576" spans="1:4" x14ac:dyDescent="0.2">
      <c r="A15576" s="496"/>
      <c r="D15576" s="496"/>
    </row>
    <row r="15577" spans="1:4" x14ac:dyDescent="0.2">
      <c r="A15577" s="496"/>
      <c r="D15577" s="496"/>
    </row>
    <row r="15578" spans="1:4" x14ac:dyDescent="0.2">
      <c r="A15578" s="496"/>
      <c r="D15578" s="496"/>
    </row>
    <row r="15579" spans="1:4" x14ac:dyDescent="0.2">
      <c r="A15579" s="496"/>
      <c r="D15579" s="496"/>
    </row>
    <row r="15580" spans="1:4" x14ac:dyDescent="0.2">
      <c r="A15580" s="496"/>
      <c r="D15580" s="496"/>
    </row>
    <row r="15581" spans="1:4" x14ac:dyDescent="0.2">
      <c r="A15581" s="496"/>
      <c r="D15581" s="496"/>
    </row>
    <row r="15582" spans="1:4" x14ac:dyDescent="0.2">
      <c r="A15582" s="496"/>
      <c r="D15582" s="496"/>
    </row>
    <row r="15583" spans="1:4" x14ac:dyDescent="0.2">
      <c r="A15583" s="496"/>
      <c r="D15583" s="496"/>
    </row>
    <row r="15584" spans="1:4" x14ac:dyDescent="0.2">
      <c r="A15584" s="496"/>
      <c r="D15584" s="496"/>
    </row>
    <row r="15585" spans="1:4" x14ac:dyDescent="0.2">
      <c r="A15585" s="496"/>
      <c r="D15585" s="496"/>
    </row>
    <row r="15586" spans="1:4" x14ac:dyDescent="0.2">
      <c r="A15586" s="496"/>
      <c r="D15586" s="496"/>
    </row>
    <row r="15587" spans="1:4" x14ac:dyDescent="0.2">
      <c r="A15587" s="496"/>
      <c r="D15587" s="496"/>
    </row>
    <row r="15588" spans="1:4" x14ac:dyDescent="0.2">
      <c r="A15588" s="496"/>
      <c r="D15588" s="496"/>
    </row>
    <row r="15589" spans="1:4" x14ac:dyDescent="0.2">
      <c r="A15589" s="496"/>
      <c r="D15589" s="496"/>
    </row>
    <row r="15590" spans="1:4" x14ac:dyDescent="0.2">
      <c r="A15590" s="496"/>
      <c r="D15590" s="496"/>
    </row>
    <row r="15591" spans="1:4" x14ac:dyDescent="0.2">
      <c r="A15591" s="496"/>
      <c r="D15591" s="496"/>
    </row>
    <row r="15592" spans="1:4" x14ac:dyDescent="0.2">
      <c r="A15592" s="496"/>
      <c r="D15592" s="496"/>
    </row>
    <row r="15593" spans="1:4" x14ac:dyDescent="0.2">
      <c r="A15593" s="496"/>
      <c r="D15593" s="496"/>
    </row>
    <row r="15594" spans="1:4" x14ac:dyDescent="0.2">
      <c r="A15594" s="496"/>
      <c r="D15594" s="496"/>
    </row>
    <row r="15595" spans="1:4" x14ac:dyDescent="0.2">
      <c r="A15595" s="496"/>
      <c r="D15595" s="496"/>
    </row>
    <row r="15596" spans="1:4" x14ac:dyDescent="0.2">
      <c r="A15596" s="496"/>
      <c r="D15596" s="496"/>
    </row>
    <row r="15597" spans="1:4" x14ac:dyDescent="0.2">
      <c r="A15597" s="496"/>
      <c r="D15597" s="496"/>
    </row>
    <row r="15598" spans="1:4" x14ac:dyDescent="0.2">
      <c r="A15598" s="496"/>
      <c r="D15598" s="496"/>
    </row>
    <row r="15599" spans="1:4" x14ac:dyDescent="0.2">
      <c r="A15599" s="496"/>
      <c r="D15599" s="496"/>
    </row>
    <row r="15600" spans="1:4" x14ac:dyDescent="0.2">
      <c r="A15600" s="496"/>
      <c r="D15600" s="496"/>
    </row>
    <row r="15601" spans="1:4" x14ac:dyDescent="0.2">
      <c r="A15601" s="496"/>
      <c r="D15601" s="496"/>
    </row>
    <row r="15602" spans="1:4" x14ac:dyDescent="0.2">
      <c r="A15602" s="496"/>
      <c r="D15602" s="496"/>
    </row>
    <row r="15603" spans="1:4" x14ac:dyDescent="0.2">
      <c r="A15603" s="496"/>
      <c r="D15603" s="496"/>
    </row>
    <row r="15604" spans="1:4" x14ac:dyDescent="0.2">
      <c r="A15604" s="496"/>
      <c r="D15604" s="496"/>
    </row>
    <row r="15605" spans="1:4" x14ac:dyDescent="0.2">
      <c r="A15605" s="496"/>
      <c r="D15605" s="496"/>
    </row>
    <row r="15606" spans="1:4" x14ac:dyDescent="0.2">
      <c r="A15606" s="496"/>
      <c r="D15606" s="496"/>
    </row>
    <row r="15607" spans="1:4" x14ac:dyDescent="0.2">
      <c r="A15607" s="496"/>
      <c r="D15607" s="496"/>
    </row>
    <row r="15608" spans="1:4" x14ac:dyDescent="0.2">
      <c r="A15608" s="496"/>
      <c r="D15608" s="496"/>
    </row>
    <row r="15609" spans="1:4" x14ac:dyDescent="0.2">
      <c r="A15609" s="496"/>
      <c r="D15609" s="496"/>
    </row>
    <row r="15610" spans="1:4" x14ac:dyDescent="0.2">
      <c r="A15610" s="496"/>
      <c r="D15610" s="496"/>
    </row>
    <row r="15611" spans="1:4" x14ac:dyDescent="0.2">
      <c r="A15611" s="496"/>
      <c r="D15611" s="496"/>
    </row>
    <row r="15612" spans="1:4" x14ac:dyDescent="0.2">
      <c r="A15612" s="496"/>
      <c r="D15612" s="496"/>
    </row>
    <row r="15613" spans="1:4" x14ac:dyDescent="0.2">
      <c r="A15613" s="496"/>
      <c r="D15613" s="496"/>
    </row>
    <row r="15614" spans="1:4" x14ac:dyDescent="0.2">
      <c r="A15614" s="496"/>
      <c r="D15614" s="496"/>
    </row>
    <row r="15615" spans="1:4" x14ac:dyDescent="0.2">
      <c r="A15615" s="496"/>
      <c r="D15615" s="496"/>
    </row>
    <row r="15616" spans="1:4" x14ac:dyDescent="0.2">
      <c r="A15616" s="496"/>
      <c r="D15616" s="496"/>
    </row>
    <row r="15617" spans="1:4" x14ac:dyDescent="0.2">
      <c r="A15617" s="496"/>
      <c r="D15617" s="496"/>
    </row>
    <row r="15618" spans="1:4" x14ac:dyDescent="0.2">
      <c r="A15618" s="496"/>
      <c r="D15618" s="496"/>
    </row>
    <row r="15619" spans="1:4" x14ac:dyDescent="0.2">
      <c r="A15619" s="496"/>
      <c r="D15619" s="496"/>
    </row>
    <row r="15620" spans="1:4" x14ac:dyDescent="0.2">
      <c r="A15620" s="496"/>
      <c r="D15620" s="496"/>
    </row>
    <row r="15621" spans="1:4" x14ac:dyDescent="0.2">
      <c r="A15621" s="496"/>
      <c r="D15621" s="496"/>
    </row>
    <row r="15622" spans="1:4" x14ac:dyDescent="0.2">
      <c r="A15622" s="496"/>
      <c r="D15622" s="496"/>
    </row>
    <row r="15623" spans="1:4" x14ac:dyDescent="0.2">
      <c r="A15623" s="496"/>
      <c r="D15623" s="496"/>
    </row>
    <row r="15624" spans="1:4" x14ac:dyDescent="0.2">
      <c r="A15624" s="496"/>
      <c r="D15624" s="496"/>
    </row>
    <row r="15625" spans="1:4" x14ac:dyDescent="0.2">
      <c r="A15625" s="496"/>
      <c r="D15625" s="496"/>
    </row>
    <row r="15626" spans="1:4" x14ac:dyDescent="0.2">
      <c r="A15626" s="496"/>
      <c r="D15626" s="496"/>
    </row>
    <row r="15627" spans="1:4" x14ac:dyDescent="0.2">
      <c r="A15627" s="496"/>
      <c r="D15627" s="496"/>
    </row>
    <row r="15628" spans="1:4" x14ac:dyDescent="0.2">
      <c r="A15628" s="496"/>
      <c r="D15628" s="496"/>
    </row>
    <row r="15629" spans="1:4" x14ac:dyDescent="0.2">
      <c r="A15629" s="496"/>
      <c r="D15629" s="496"/>
    </row>
    <row r="15630" spans="1:4" x14ac:dyDescent="0.2">
      <c r="A15630" s="496"/>
      <c r="D15630" s="496"/>
    </row>
    <row r="15631" spans="1:4" x14ac:dyDescent="0.2">
      <c r="A15631" s="496"/>
      <c r="D15631" s="496"/>
    </row>
    <row r="15632" spans="1:4" x14ac:dyDescent="0.2">
      <c r="A15632" s="496"/>
      <c r="D15632" s="496"/>
    </row>
    <row r="15633" spans="1:4" x14ac:dyDescent="0.2">
      <c r="A15633" s="496"/>
      <c r="D15633" s="496"/>
    </row>
    <row r="15634" spans="1:4" x14ac:dyDescent="0.2">
      <c r="A15634" s="496"/>
      <c r="D15634" s="496"/>
    </row>
    <row r="15635" spans="1:4" x14ac:dyDescent="0.2">
      <c r="A15635" s="496"/>
      <c r="D15635" s="496"/>
    </row>
    <row r="15636" spans="1:4" x14ac:dyDescent="0.2">
      <c r="A15636" s="496"/>
      <c r="D15636" s="496"/>
    </row>
    <row r="15637" spans="1:4" x14ac:dyDescent="0.2">
      <c r="A15637" s="496"/>
      <c r="D15637" s="496"/>
    </row>
    <row r="15638" spans="1:4" x14ac:dyDescent="0.2">
      <c r="A15638" s="496"/>
      <c r="D15638" s="496"/>
    </row>
    <row r="15639" spans="1:4" x14ac:dyDescent="0.2">
      <c r="A15639" s="496"/>
      <c r="D15639" s="496"/>
    </row>
    <row r="15640" spans="1:4" x14ac:dyDescent="0.2">
      <c r="A15640" s="496"/>
      <c r="D15640" s="496"/>
    </row>
    <row r="15641" spans="1:4" x14ac:dyDescent="0.2">
      <c r="A15641" s="496"/>
      <c r="D15641" s="496"/>
    </row>
    <row r="15642" spans="1:4" x14ac:dyDescent="0.2">
      <c r="A15642" s="496"/>
      <c r="D15642" s="496"/>
    </row>
    <row r="15643" spans="1:4" x14ac:dyDescent="0.2">
      <c r="A15643" s="496"/>
      <c r="D15643" s="496"/>
    </row>
    <row r="15644" spans="1:4" x14ac:dyDescent="0.2">
      <c r="A15644" s="496"/>
      <c r="D15644" s="496"/>
    </row>
    <row r="15645" spans="1:4" x14ac:dyDescent="0.2">
      <c r="A15645" s="496"/>
      <c r="D15645" s="496"/>
    </row>
    <row r="15646" spans="1:4" x14ac:dyDescent="0.2">
      <c r="A15646" s="496"/>
      <c r="D15646" s="496"/>
    </row>
    <row r="15647" spans="1:4" x14ac:dyDescent="0.2">
      <c r="A15647" s="496"/>
      <c r="D15647" s="496"/>
    </row>
    <row r="15648" spans="1:4" x14ac:dyDescent="0.2">
      <c r="A15648" s="496"/>
      <c r="D15648" s="496"/>
    </row>
    <row r="15649" spans="1:4" x14ac:dyDescent="0.2">
      <c r="A15649" s="496"/>
      <c r="D15649" s="496"/>
    </row>
    <row r="15650" spans="1:4" x14ac:dyDescent="0.2">
      <c r="A15650" s="496"/>
      <c r="D15650" s="496"/>
    </row>
    <row r="15651" spans="1:4" x14ac:dyDescent="0.2">
      <c r="A15651" s="496"/>
      <c r="D15651" s="496"/>
    </row>
    <row r="15652" spans="1:4" x14ac:dyDescent="0.2">
      <c r="A15652" s="496"/>
      <c r="D15652" s="496"/>
    </row>
    <row r="15653" spans="1:4" x14ac:dyDescent="0.2">
      <c r="A15653" s="496"/>
      <c r="D15653" s="496"/>
    </row>
    <row r="15654" spans="1:4" x14ac:dyDescent="0.2">
      <c r="A15654" s="496"/>
      <c r="D15654" s="496"/>
    </row>
    <row r="15655" spans="1:4" x14ac:dyDescent="0.2">
      <c r="A15655" s="496"/>
      <c r="D15655" s="496"/>
    </row>
    <row r="15656" spans="1:4" x14ac:dyDescent="0.2">
      <c r="A15656" s="496"/>
      <c r="D15656" s="496"/>
    </row>
    <row r="15657" spans="1:4" x14ac:dyDescent="0.2">
      <c r="A15657" s="496"/>
      <c r="D15657" s="496"/>
    </row>
    <row r="15658" spans="1:4" x14ac:dyDescent="0.2">
      <c r="A15658" s="496"/>
      <c r="D15658" s="496"/>
    </row>
    <row r="15659" spans="1:4" x14ac:dyDescent="0.2">
      <c r="A15659" s="496"/>
      <c r="D15659" s="496"/>
    </row>
    <row r="15660" spans="1:4" x14ac:dyDescent="0.2">
      <c r="A15660" s="496"/>
      <c r="D15660" s="496"/>
    </row>
    <row r="15661" spans="1:4" x14ac:dyDescent="0.2">
      <c r="A15661" s="496"/>
      <c r="D15661" s="496"/>
    </row>
    <row r="15662" spans="1:4" x14ac:dyDescent="0.2">
      <c r="A15662" s="496"/>
      <c r="D15662" s="496"/>
    </row>
    <row r="15663" spans="1:4" x14ac:dyDescent="0.2">
      <c r="A15663" s="496"/>
      <c r="D15663" s="496"/>
    </row>
    <row r="15664" spans="1:4" x14ac:dyDescent="0.2">
      <c r="A15664" s="496"/>
      <c r="D15664" s="496"/>
    </row>
    <row r="15665" spans="1:4" x14ac:dyDescent="0.2">
      <c r="A15665" s="496"/>
      <c r="D15665" s="496"/>
    </row>
    <row r="15666" spans="1:4" x14ac:dyDescent="0.2">
      <c r="A15666" s="496"/>
      <c r="D15666" s="496"/>
    </row>
    <row r="15667" spans="1:4" x14ac:dyDescent="0.2">
      <c r="A15667" s="496"/>
      <c r="D15667" s="496"/>
    </row>
    <row r="15668" spans="1:4" x14ac:dyDescent="0.2">
      <c r="A15668" s="496"/>
      <c r="D15668" s="496"/>
    </row>
    <row r="15669" spans="1:4" x14ac:dyDescent="0.2">
      <c r="A15669" s="496"/>
      <c r="D15669" s="496"/>
    </row>
    <row r="15670" spans="1:4" x14ac:dyDescent="0.2">
      <c r="A15670" s="496"/>
      <c r="D15670" s="496"/>
    </row>
    <row r="15671" spans="1:4" x14ac:dyDescent="0.2">
      <c r="A15671" s="496"/>
      <c r="D15671" s="496"/>
    </row>
    <row r="15672" spans="1:4" x14ac:dyDescent="0.2">
      <c r="A15672" s="496"/>
      <c r="D15672" s="496"/>
    </row>
    <row r="15673" spans="1:4" x14ac:dyDescent="0.2">
      <c r="A15673" s="496"/>
      <c r="D15673" s="496"/>
    </row>
    <row r="15674" spans="1:4" x14ac:dyDescent="0.2">
      <c r="A15674" s="496"/>
      <c r="D15674" s="496"/>
    </row>
    <row r="15675" spans="1:4" x14ac:dyDescent="0.2">
      <c r="A15675" s="496"/>
      <c r="D15675" s="496"/>
    </row>
    <row r="15676" spans="1:4" x14ac:dyDescent="0.2">
      <c r="A15676" s="496"/>
      <c r="D15676" s="496"/>
    </row>
    <row r="15677" spans="1:4" x14ac:dyDescent="0.2">
      <c r="A15677" s="496"/>
      <c r="D15677" s="496"/>
    </row>
    <row r="15678" spans="1:4" x14ac:dyDescent="0.2">
      <c r="A15678" s="496"/>
      <c r="D15678" s="496"/>
    </row>
    <row r="15679" spans="1:4" x14ac:dyDescent="0.2">
      <c r="A15679" s="496"/>
      <c r="D15679" s="496"/>
    </row>
    <row r="15680" spans="1:4" x14ac:dyDescent="0.2">
      <c r="A15680" s="496"/>
      <c r="D15680" s="496"/>
    </row>
    <row r="15681" spans="1:4" x14ac:dyDescent="0.2">
      <c r="A15681" s="496"/>
      <c r="D15681" s="496"/>
    </row>
    <row r="15682" spans="1:4" x14ac:dyDescent="0.2">
      <c r="A15682" s="496"/>
      <c r="D15682" s="496"/>
    </row>
    <row r="15683" spans="1:4" x14ac:dyDescent="0.2">
      <c r="A15683" s="496"/>
      <c r="D15683" s="496"/>
    </row>
    <row r="15684" spans="1:4" x14ac:dyDescent="0.2">
      <c r="A15684" s="496"/>
      <c r="D15684" s="496"/>
    </row>
    <row r="15685" spans="1:4" x14ac:dyDescent="0.2">
      <c r="A15685" s="496"/>
      <c r="D15685" s="496"/>
    </row>
    <row r="15686" spans="1:4" x14ac:dyDescent="0.2">
      <c r="A15686" s="496"/>
      <c r="D15686" s="496"/>
    </row>
    <row r="15687" spans="1:4" x14ac:dyDescent="0.2">
      <c r="A15687" s="496"/>
      <c r="D15687" s="496"/>
    </row>
    <row r="15688" spans="1:4" x14ac:dyDescent="0.2">
      <c r="A15688" s="496"/>
      <c r="D15688" s="496"/>
    </row>
    <row r="15689" spans="1:4" x14ac:dyDescent="0.2">
      <c r="A15689" s="496"/>
      <c r="D15689" s="496"/>
    </row>
    <row r="15690" spans="1:4" x14ac:dyDescent="0.2">
      <c r="A15690" s="496"/>
      <c r="D15690" s="496"/>
    </row>
    <row r="15691" spans="1:4" x14ac:dyDescent="0.2">
      <c r="A15691" s="496"/>
      <c r="D15691" s="496"/>
    </row>
    <row r="15692" spans="1:4" x14ac:dyDescent="0.2">
      <c r="A15692" s="496"/>
      <c r="D15692" s="496"/>
    </row>
    <row r="15693" spans="1:4" x14ac:dyDescent="0.2">
      <c r="A15693" s="496"/>
      <c r="D15693" s="496"/>
    </row>
    <row r="15694" spans="1:4" x14ac:dyDescent="0.2">
      <c r="A15694" s="496"/>
      <c r="D15694" s="496"/>
    </row>
    <row r="15695" spans="1:4" x14ac:dyDescent="0.2">
      <c r="A15695" s="496"/>
      <c r="D15695" s="496"/>
    </row>
    <row r="15696" spans="1:4" x14ac:dyDescent="0.2">
      <c r="A15696" s="496"/>
      <c r="D15696" s="496"/>
    </row>
    <row r="15697" spans="1:4" x14ac:dyDescent="0.2">
      <c r="A15697" s="496"/>
      <c r="D15697" s="496"/>
    </row>
    <row r="15698" spans="1:4" x14ac:dyDescent="0.2">
      <c r="A15698" s="496"/>
      <c r="D15698" s="496"/>
    </row>
    <row r="15699" spans="1:4" x14ac:dyDescent="0.2">
      <c r="A15699" s="496"/>
      <c r="D15699" s="496"/>
    </row>
    <row r="15700" spans="1:4" x14ac:dyDescent="0.2">
      <c r="A15700" s="496"/>
      <c r="D15700" s="496"/>
    </row>
    <row r="15701" spans="1:4" x14ac:dyDescent="0.2">
      <c r="A15701" s="496"/>
      <c r="D15701" s="496"/>
    </row>
    <row r="15702" spans="1:4" x14ac:dyDescent="0.2">
      <c r="A15702" s="496"/>
      <c r="D15702" s="496"/>
    </row>
    <row r="15703" spans="1:4" x14ac:dyDescent="0.2">
      <c r="A15703" s="496"/>
      <c r="D15703" s="496"/>
    </row>
    <row r="15704" spans="1:4" x14ac:dyDescent="0.2">
      <c r="A15704" s="496"/>
      <c r="D15704" s="496"/>
    </row>
    <row r="15705" spans="1:4" x14ac:dyDescent="0.2">
      <c r="A15705" s="496"/>
      <c r="D15705" s="496"/>
    </row>
    <row r="15706" spans="1:4" x14ac:dyDescent="0.2">
      <c r="A15706" s="496"/>
      <c r="D15706" s="496"/>
    </row>
    <row r="15707" spans="1:4" x14ac:dyDescent="0.2">
      <c r="A15707" s="496"/>
      <c r="D15707" s="496"/>
    </row>
    <row r="15708" spans="1:4" x14ac:dyDescent="0.2">
      <c r="A15708" s="496"/>
      <c r="D15708" s="496"/>
    </row>
    <row r="15709" spans="1:4" x14ac:dyDescent="0.2">
      <c r="A15709" s="496"/>
      <c r="D15709" s="496"/>
    </row>
    <row r="15710" spans="1:4" x14ac:dyDescent="0.2">
      <c r="A15710" s="496"/>
      <c r="D15710" s="496"/>
    </row>
    <row r="15711" spans="1:4" x14ac:dyDescent="0.2">
      <c r="A15711" s="496"/>
      <c r="D15711" s="496"/>
    </row>
    <row r="15712" spans="1:4" x14ac:dyDescent="0.2">
      <c r="A15712" s="496"/>
      <c r="D15712" s="496"/>
    </row>
    <row r="15713" spans="1:4" x14ac:dyDescent="0.2">
      <c r="A15713" s="496"/>
      <c r="D15713" s="496"/>
    </row>
    <row r="15714" spans="1:4" x14ac:dyDescent="0.2">
      <c r="A15714" s="496"/>
      <c r="D15714" s="496"/>
    </row>
    <row r="15715" spans="1:4" x14ac:dyDescent="0.2">
      <c r="A15715" s="496"/>
      <c r="D15715" s="496"/>
    </row>
    <row r="15716" spans="1:4" x14ac:dyDescent="0.2">
      <c r="A15716" s="496"/>
      <c r="D15716" s="496"/>
    </row>
    <row r="15717" spans="1:4" x14ac:dyDescent="0.2">
      <c r="A15717" s="496"/>
      <c r="D15717" s="496"/>
    </row>
    <row r="15718" spans="1:4" x14ac:dyDescent="0.2">
      <c r="A15718" s="496"/>
      <c r="D15718" s="496"/>
    </row>
    <row r="15719" spans="1:4" x14ac:dyDescent="0.2">
      <c r="A15719" s="496"/>
      <c r="D15719" s="496"/>
    </row>
    <row r="15720" spans="1:4" x14ac:dyDescent="0.2">
      <c r="A15720" s="496"/>
      <c r="D15720" s="496"/>
    </row>
    <row r="15721" spans="1:4" x14ac:dyDescent="0.2">
      <c r="A15721" s="496"/>
      <c r="D15721" s="496"/>
    </row>
    <row r="15722" spans="1:4" x14ac:dyDescent="0.2">
      <c r="A15722" s="496"/>
      <c r="D15722" s="496"/>
    </row>
    <row r="15723" spans="1:4" x14ac:dyDescent="0.2">
      <c r="A15723" s="496"/>
      <c r="D15723" s="496"/>
    </row>
    <row r="15724" spans="1:4" x14ac:dyDescent="0.2">
      <c r="A15724" s="496"/>
      <c r="D15724" s="496"/>
    </row>
    <row r="15725" spans="1:4" x14ac:dyDescent="0.2">
      <c r="A15725" s="496"/>
      <c r="D15725" s="496"/>
    </row>
    <row r="15726" spans="1:4" x14ac:dyDescent="0.2">
      <c r="A15726" s="496"/>
      <c r="D15726" s="496"/>
    </row>
    <row r="15727" spans="1:4" x14ac:dyDescent="0.2">
      <c r="A15727" s="496"/>
      <c r="D15727" s="496"/>
    </row>
    <row r="15728" spans="1:4" x14ac:dyDescent="0.2">
      <c r="A15728" s="496"/>
      <c r="D15728" s="496"/>
    </row>
    <row r="15729" spans="1:4" x14ac:dyDescent="0.2">
      <c r="A15729" s="496"/>
      <c r="D15729" s="496"/>
    </row>
    <row r="15730" spans="1:4" x14ac:dyDescent="0.2">
      <c r="A15730" s="496"/>
      <c r="D15730" s="496"/>
    </row>
    <row r="15731" spans="1:4" x14ac:dyDescent="0.2">
      <c r="A15731" s="496"/>
      <c r="D15731" s="496"/>
    </row>
    <row r="15732" spans="1:4" x14ac:dyDescent="0.2">
      <c r="A15732" s="496"/>
      <c r="D15732" s="496"/>
    </row>
    <row r="15733" spans="1:4" x14ac:dyDescent="0.2">
      <c r="A15733" s="496"/>
      <c r="D15733" s="496"/>
    </row>
    <row r="15734" spans="1:4" x14ac:dyDescent="0.2">
      <c r="A15734" s="496"/>
      <c r="D15734" s="496"/>
    </row>
    <row r="15735" spans="1:4" x14ac:dyDescent="0.2">
      <c r="A15735" s="496"/>
      <c r="D15735" s="496"/>
    </row>
    <row r="15736" spans="1:4" x14ac:dyDescent="0.2">
      <c r="A15736" s="496"/>
      <c r="D15736" s="496"/>
    </row>
    <row r="15737" spans="1:4" x14ac:dyDescent="0.2">
      <c r="A15737" s="496"/>
      <c r="D15737" s="496"/>
    </row>
    <row r="15738" spans="1:4" x14ac:dyDescent="0.2">
      <c r="A15738" s="496"/>
      <c r="D15738" s="496"/>
    </row>
    <row r="15739" spans="1:4" x14ac:dyDescent="0.2">
      <c r="A15739" s="496"/>
      <c r="D15739" s="496"/>
    </row>
    <row r="15740" spans="1:4" x14ac:dyDescent="0.2">
      <c r="A15740" s="496"/>
      <c r="D15740" s="496"/>
    </row>
    <row r="15741" spans="1:4" x14ac:dyDescent="0.2">
      <c r="A15741" s="496"/>
      <c r="D15741" s="496"/>
    </row>
    <row r="15742" spans="1:4" x14ac:dyDescent="0.2">
      <c r="A15742" s="496"/>
      <c r="D15742" s="496"/>
    </row>
    <row r="15743" spans="1:4" x14ac:dyDescent="0.2">
      <c r="A15743" s="496"/>
      <c r="D15743" s="496"/>
    </row>
    <row r="15744" spans="1:4" x14ac:dyDescent="0.2">
      <c r="A15744" s="496"/>
      <c r="D15744" s="496"/>
    </row>
    <row r="15745" spans="1:4" x14ac:dyDescent="0.2">
      <c r="A15745" s="496"/>
      <c r="D15745" s="496"/>
    </row>
    <row r="15746" spans="1:4" x14ac:dyDescent="0.2">
      <c r="A15746" s="496"/>
      <c r="D15746" s="496"/>
    </row>
    <row r="15747" spans="1:4" x14ac:dyDescent="0.2">
      <c r="A15747" s="496"/>
      <c r="D15747" s="496"/>
    </row>
    <row r="15748" spans="1:4" x14ac:dyDescent="0.2">
      <c r="A15748" s="496"/>
      <c r="D15748" s="496"/>
    </row>
    <row r="15749" spans="1:4" x14ac:dyDescent="0.2">
      <c r="A15749" s="496"/>
      <c r="D15749" s="496"/>
    </row>
    <row r="15750" spans="1:4" x14ac:dyDescent="0.2">
      <c r="A15750" s="496"/>
      <c r="D15750" s="496"/>
    </row>
    <row r="15751" spans="1:4" x14ac:dyDescent="0.2">
      <c r="A15751" s="496"/>
      <c r="D15751" s="496"/>
    </row>
    <row r="15752" spans="1:4" x14ac:dyDescent="0.2">
      <c r="A15752" s="496"/>
      <c r="D15752" s="496"/>
    </row>
    <row r="15753" spans="1:4" x14ac:dyDescent="0.2">
      <c r="A15753" s="496"/>
      <c r="D15753" s="496"/>
    </row>
    <row r="15754" spans="1:4" x14ac:dyDescent="0.2">
      <c r="A15754" s="496"/>
      <c r="D15754" s="496"/>
    </row>
    <row r="15755" spans="1:4" x14ac:dyDescent="0.2">
      <c r="A15755" s="496"/>
      <c r="D15755" s="496"/>
    </row>
    <row r="15756" spans="1:4" x14ac:dyDescent="0.2">
      <c r="A15756" s="496"/>
      <c r="D15756" s="496"/>
    </row>
    <row r="15757" spans="1:4" x14ac:dyDescent="0.2">
      <c r="A15757" s="496"/>
      <c r="D15757" s="496"/>
    </row>
    <row r="15758" spans="1:4" x14ac:dyDescent="0.2">
      <c r="A15758" s="496"/>
      <c r="D15758" s="496"/>
    </row>
    <row r="15759" spans="1:4" x14ac:dyDescent="0.2">
      <c r="A15759" s="496"/>
      <c r="D15759" s="496"/>
    </row>
    <row r="15760" spans="1:4" x14ac:dyDescent="0.2">
      <c r="A15760" s="496"/>
      <c r="D15760" s="496"/>
    </row>
    <row r="15761" spans="1:4" x14ac:dyDescent="0.2">
      <c r="A15761" s="496"/>
      <c r="D15761" s="496"/>
    </row>
    <row r="15762" spans="1:4" x14ac:dyDescent="0.2">
      <c r="A15762" s="496"/>
      <c r="D15762" s="496"/>
    </row>
    <row r="15763" spans="1:4" x14ac:dyDescent="0.2">
      <c r="A15763" s="496"/>
      <c r="D15763" s="496"/>
    </row>
    <row r="15764" spans="1:4" x14ac:dyDescent="0.2">
      <c r="A15764" s="496"/>
      <c r="D15764" s="496"/>
    </row>
    <row r="15765" spans="1:4" x14ac:dyDescent="0.2">
      <c r="A15765" s="496"/>
      <c r="D15765" s="496"/>
    </row>
    <row r="15766" spans="1:4" x14ac:dyDescent="0.2">
      <c r="A15766" s="496"/>
      <c r="D15766" s="496"/>
    </row>
    <row r="15767" spans="1:4" x14ac:dyDescent="0.2">
      <c r="A15767" s="496"/>
      <c r="D15767" s="496"/>
    </row>
    <row r="15768" spans="1:4" x14ac:dyDescent="0.2">
      <c r="A15768" s="496"/>
      <c r="D15768" s="496"/>
    </row>
    <row r="15769" spans="1:4" x14ac:dyDescent="0.2">
      <c r="A15769" s="496"/>
      <c r="D15769" s="496"/>
    </row>
    <row r="15770" spans="1:4" x14ac:dyDescent="0.2">
      <c r="A15770" s="496"/>
      <c r="D15770" s="496"/>
    </row>
    <row r="15771" spans="1:4" x14ac:dyDescent="0.2">
      <c r="A15771" s="496"/>
      <c r="D15771" s="496"/>
    </row>
    <row r="15772" spans="1:4" x14ac:dyDescent="0.2">
      <c r="A15772" s="496"/>
      <c r="D15772" s="496"/>
    </row>
    <row r="15773" spans="1:4" x14ac:dyDescent="0.2">
      <c r="A15773" s="496"/>
      <c r="D15773" s="496"/>
    </row>
    <row r="15774" spans="1:4" x14ac:dyDescent="0.2">
      <c r="A15774" s="496"/>
      <c r="D15774" s="496"/>
    </row>
    <row r="15775" spans="1:4" x14ac:dyDescent="0.2">
      <c r="A15775" s="496"/>
      <c r="D15775" s="496"/>
    </row>
    <row r="15776" spans="1:4" x14ac:dyDescent="0.2">
      <c r="A15776" s="496"/>
      <c r="D15776" s="496"/>
    </row>
    <row r="15777" spans="1:4" x14ac:dyDescent="0.2">
      <c r="A15777" s="496"/>
      <c r="D15777" s="496"/>
    </row>
    <row r="15778" spans="1:4" x14ac:dyDescent="0.2">
      <c r="A15778" s="496"/>
      <c r="D15778" s="496"/>
    </row>
    <row r="15779" spans="1:4" x14ac:dyDescent="0.2">
      <c r="A15779" s="496"/>
      <c r="D15779" s="496"/>
    </row>
    <row r="15780" spans="1:4" x14ac:dyDescent="0.2">
      <c r="A15780" s="496"/>
      <c r="D15780" s="496"/>
    </row>
    <row r="15781" spans="1:4" x14ac:dyDescent="0.2">
      <c r="A15781" s="496"/>
      <c r="D15781" s="496"/>
    </row>
    <row r="15782" spans="1:4" x14ac:dyDescent="0.2">
      <c r="A15782" s="496"/>
      <c r="D15782" s="496"/>
    </row>
    <row r="15783" spans="1:4" x14ac:dyDescent="0.2">
      <c r="A15783" s="496"/>
      <c r="D15783" s="496"/>
    </row>
    <row r="15784" spans="1:4" x14ac:dyDescent="0.2">
      <c r="A15784" s="496"/>
      <c r="D15784" s="496"/>
    </row>
    <row r="15785" spans="1:4" x14ac:dyDescent="0.2">
      <c r="A15785" s="496"/>
      <c r="D15785" s="496"/>
    </row>
    <row r="15786" spans="1:4" x14ac:dyDescent="0.2">
      <c r="A15786" s="496"/>
      <c r="D15786" s="496"/>
    </row>
    <row r="15787" spans="1:4" x14ac:dyDescent="0.2">
      <c r="A15787" s="496"/>
      <c r="D15787" s="496"/>
    </row>
    <row r="15788" spans="1:4" x14ac:dyDescent="0.2">
      <c r="A15788" s="496"/>
      <c r="D15788" s="496"/>
    </row>
    <row r="15789" spans="1:4" x14ac:dyDescent="0.2">
      <c r="A15789" s="496"/>
      <c r="D15789" s="496"/>
    </row>
    <row r="15790" spans="1:4" x14ac:dyDescent="0.2">
      <c r="A15790" s="496"/>
      <c r="D15790" s="496"/>
    </row>
    <row r="15791" spans="1:4" x14ac:dyDescent="0.2">
      <c r="A15791" s="496"/>
      <c r="D15791" s="496"/>
    </row>
    <row r="15792" spans="1:4" x14ac:dyDescent="0.2">
      <c r="A15792" s="496"/>
      <c r="D15792" s="496"/>
    </row>
    <row r="15793" spans="1:4" x14ac:dyDescent="0.2">
      <c r="A15793" s="496"/>
      <c r="D15793" s="496"/>
    </row>
    <row r="15794" spans="1:4" x14ac:dyDescent="0.2">
      <c r="A15794" s="496"/>
      <c r="D15794" s="496"/>
    </row>
    <row r="15795" spans="1:4" x14ac:dyDescent="0.2">
      <c r="A15795" s="496"/>
      <c r="D15795" s="496"/>
    </row>
    <row r="15796" spans="1:4" x14ac:dyDescent="0.2">
      <c r="A15796" s="496"/>
      <c r="D15796" s="496"/>
    </row>
    <row r="15797" spans="1:4" x14ac:dyDescent="0.2">
      <c r="A15797" s="496"/>
      <c r="D15797" s="496"/>
    </row>
    <row r="15798" spans="1:4" x14ac:dyDescent="0.2">
      <c r="A15798" s="496"/>
      <c r="D15798" s="496"/>
    </row>
    <row r="15799" spans="1:4" x14ac:dyDescent="0.2">
      <c r="A15799" s="496"/>
      <c r="D15799" s="496"/>
    </row>
    <row r="15800" spans="1:4" x14ac:dyDescent="0.2">
      <c r="A15800" s="496"/>
      <c r="D15800" s="496"/>
    </row>
    <row r="15801" spans="1:4" x14ac:dyDescent="0.2">
      <c r="A15801" s="496"/>
      <c r="D15801" s="496"/>
    </row>
    <row r="15802" spans="1:4" x14ac:dyDescent="0.2">
      <c r="A15802" s="496"/>
      <c r="D15802" s="496"/>
    </row>
    <row r="15803" spans="1:4" x14ac:dyDescent="0.2">
      <c r="A15803" s="496"/>
      <c r="D15803" s="496"/>
    </row>
    <row r="15804" spans="1:4" x14ac:dyDescent="0.2">
      <c r="A15804" s="496"/>
      <c r="D15804" s="496"/>
    </row>
    <row r="15805" spans="1:4" x14ac:dyDescent="0.2">
      <c r="A15805" s="496"/>
      <c r="D15805" s="496"/>
    </row>
    <row r="15806" spans="1:4" x14ac:dyDescent="0.2">
      <c r="A15806" s="496"/>
      <c r="D15806" s="496"/>
    </row>
    <row r="15807" spans="1:4" x14ac:dyDescent="0.2">
      <c r="A15807" s="496"/>
      <c r="D15807" s="496"/>
    </row>
    <row r="15808" spans="1:4" x14ac:dyDescent="0.2">
      <c r="A15808" s="496"/>
      <c r="D15808" s="496"/>
    </row>
    <row r="15809" spans="1:4" x14ac:dyDescent="0.2">
      <c r="A15809" s="496"/>
      <c r="D15809" s="496"/>
    </row>
    <row r="15810" spans="1:4" x14ac:dyDescent="0.2">
      <c r="A15810" s="496"/>
      <c r="D15810" s="496"/>
    </row>
    <row r="15811" spans="1:4" x14ac:dyDescent="0.2">
      <c r="A15811" s="496"/>
      <c r="D15811" s="496"/>
    </row>
    <row r="15812" spans="1:4" x14ac:dyDescent="0.2">
      <c r="A15812" s="496"/>
      <c r="D15812" s="496"/>
    </row>
    <row r="15813" spans="1:4" x14ac:dyDescent="0.2">
      <c r="A15813" s="496"/>
      <c r="D15813" s="496"/>
    </row>
    <row r="15814" spans="1:4" x14ac:dyDescent="0.2">
      <c r="A15814" s="496"/>
      <c r="D15814" s="496"/>
    </row>
    <row r="15815" spans="1:4" x14ac:dyDescent="0.2">
      <c r="A15815" s="496"/>
      <c r="D15815" s="496"/>
    </row>
    <row r="15816" spans="1:4" x14ac:dyDescent="0.2">
      <c r="A15816" s="496"/>
      <c r="D15816" s="496"/>
    </row>
    <row r="15817" spans="1:4" x14ac:dyDescent="0.2">
      <c r="A15817" s="496"/>
      <c r="D15817" s="496"/>
    </row>
    <row r="15818" spans="1:4" x14ac:dyDescent="0.2">
      <c r="A15818" s="496"/>
      <c r="D15818" s="496"/>
    </row>
    <row r="15819" spans="1:4" x14ac:dyDescent="0.2">
      <c r="A15819" s="496"/>
      <c r="D15819" s="496"/>
    </row>
    <row r="15820" spans="1:4" x14ac:dyDescent="0.2">
      <c r="A15820" s="496"/>
      <c r="D15820" s="496"/>
    </row>
    <row r="15821" spans="1:4" x14ac:dyDescent="0.2">
      <c r="A15821" s="496"/>
      <c r="D15821" s="496"/>
    </row>
    <row r="15822" spans="1:4" x14ac:dyDescent="0.2">
      <c r="A15822" s="496"/>
      <c r="D15822" s="496"/>
    </row>
    <row r="15823" spans="1:4" x14ac:dyDescent="0.2">
      <c r="A15823" s="496"/>
      <c r="D15823" s="496"/>
    </row>
    <row r="15824" spans="1:4" x14ac:dyDescent="0.2">
      <c r="A15824" s="496"/>
      <c r="D15824" s="496"/>
    </row>
    <row r="15825" spans="1:4" x14ac:dyDescent="0.2">
      <c r="A15825" s="496"/>
      <c r="D15825" s="496"/>
    </row>
    <row r="15826" spans="1:4" x14ac:dyDescent="0.2">
      <c r="A15826" s="496"/>
      <c r="D15826" s="496"/>
    </row>
    <row r="15827" spans="1:4" x14ac:dyDescent="0.2">
      <c r="A15827" s="496"/>
      <c r="D15827" s="496"/>
    </row>
    <row r="15828" spans="1:4" x14ac:dyDescent="0.2">
      <c r="A15828" s="496"/>
      <c r="D15828" s="496"/>
    </row>
    <row r="15829" spans="1:4" x14ac:dyDescent="0.2">
      <c r="A15829" s="496"/>
      <c r="D15829" s="496"/>
    </row>
    <row r="15830" spans="1:4" x14ac:dyDescent="0.2">
      <c r="A15830" s="496"/>
      <c r="D15830" s="496"/>
    </row>
    <row r="15831" spans="1:4" x14ac:dyDescent="0.2">
      <c r="A15831" s="496"/>
      <c r="D15831" s="496"/>
    </row>
    <row r="15832" spans="1:4" x14ac:dyDescent="0.2">
      <c r="A15832" s="496"/>
      <c r="D15832" s="496"/>
    </row>
    <row r="15833" spans="1:4" x14ac:dyDescent="0.2">
      <c r="A15833" s="496"/>
      <c r="D15833" s="496"/>
    </row>
    <row r="15834" spans="1:4" x14ac:dyDescent="0.2">
      <c r="A15834" s="496"/>
      <c r="D15834" s="496"/>
    </row>
    <row r="15835" spans="1:4" x14ac:dyDescent="0.2">
      <c r="A15835" s="496"/>
      <c r="D15835" s="496"/>
    </row>
    <row r="15836" spans="1:4" x14ac:dyDescent="0.2">
      <c r="A15836" s="496"/>
      <c r="D15836" s="496"/>
    </row>
    <row r="15837" spans="1:4" x14ac:dyDescent="0.2">
      <c r="A15837" s="496"/>
      <c r="D15837" s="496"/>
    </row>
    <row r="15838" spans="1:4" x14ac:dyDescent="0.2">
      <c r="A15838" s="496"/>
      <c r="D15838" s="496"/>
    </row>
    <row r="15839" spans="1:4" x14ac:dyDescent="0.2">
      <c r="A15839" s="496"/>
      <c r="D15839" s="496"/>
    </row>
    <row r="15840" spans="1:4" x14ac:dyDescent="0.2">
      <c r="A15840" s="496"/>
      <c r="D15840" s="496"/>
    </row>
    <row r="15841" spans="1:4" x14ac:dyDescent="0.2">
      <c r="A15841" s="496"/>
      <c r="D15841" s="496"/>
    </row>
    <row r="15842" spans="1:4" x14ac:dyDescent="0.2">
      <c r="A15842" s="496"/>
      <c r="D15842" s="496"/>
    </row>
    <row r="15843" spans="1:4" x14ac:dyDescent="0.2">
      <c r="A15843" s="496"/>
      <c r="D15843" s="496"/>
    </row>
    <row r="15844" spans="1:4" x14ac:dyDescent="0.2">
      <c r="A15844" s="496"/>
      <c r="D15844" s="496"/>
    </row>
    <row r="15845" spans="1:4" x14ac:dyDescent="0.2">
      <c r="A15845" s="496"/>
      <c r="D15845" s="496"/>
    </row>
    <row r="15846" spans="1:4" x14ac:dyDescent="0.2">
      <c r="A15846" s="496"/>
      <c r="D15846" s="496"/>
    </row>
    <row r="15847" spans="1:4" x14ac:dyDescent="0.2">
      <c r="A15847" s="496"/>
      <c r="D15847" s="496"/>
    </row>
    <row r="15848" spans="1:4" x14ac:dyDescent="0.2">
      <c r="A15848" s="496"/>
      <c r="D15848" s="496"/>
    </row>
    <row r="15849" spans="1:4" x14ac:dyDescent="0.2">
      <c r="A15849" s="496"/>
      <c r="D15849" s="496"/>
    </row>
    <row r="15850" spans="1:4" x14ac:dyDescent="0.2">
      <c r="A15850" s="496"/>
      <c r="D15850" s="496"/>
    </row>
    <row r="15851" spans="1:4" x14ac:dyDescent="0.2">
      <c r="A15851" s="496"/>
      <c r="D15851" s="496"/>
    </row>
    <row r="15852" spans="1:4" x14ac:dyDescent="0.2">
      <c r="A15852" s="496"/>
      <c r="D15852" s="496"/>
    </row>
    <row r="15853" spans="1:4" x14ac:dyDescent="0.2">
      <c r="A15853" s="496"/>
      <c r="D15853" s="496"/>
    </row>
    <row r="15854" spans="1:4" x14ac:dyDescent="0.2">
      <c r="A15854" s="496"/>
      <c r="D15854" s="496"/>
    </row>
    <row r="15855" spans="1:4" x14ac:dyDescent="0.2">
      <c r="A15855" s="496"/>
      <c r="D15855" s="496"/>
    </row>
    <row r="15856" spans="1:4" x14ac:dyDescent="0.2">
      <c r="A15856" s="496"/>
      <c r="D15856" s="496"/>
    </row>
    <row r="15857" spans="1:4" x14ac:dyDescent="0.2">
      <c r="A15857" s="496"/>
      <c r="D15857" s="496"/>
    </row>
    <row r="15858" spans="1:4" x14ac:dyDescent="0.2">
      <c r="A15858" s="496"/>
      <c r="D15858" s="496"/>
    </row>
    <row r="15859" spans="1:4" x14ac:dyDescent="0.2">
      <c r="A15859" s="496"/>
      <c r="D15859" s="496"/>
    </row>
    <row r="15860" spans="1:4" x14ac:dyDescent="0.2">
      <c r="A15860" s="496"/>
      <c r="D15860" s="496"/>
    </row>
    <row r="15861" spans="1:4" x14ac:dyDescent="0.2">
      <c r="A15861" s="496"/>
      <c r="D15861" s="496"/>
    </row>
    <row r="15862" spans="1:4" x14ac:dyDescent="0.2">
      <c r="A15862" s="496"/>
      <c r="D15862" s="496"/>
    </row>
    <row r="15863" spans="1:4" x14ac:dyDescent="0.2">
      <c r="A15863" s="496"/>
      <c r="D15863" s="496"/>
    </row>
    <row r="15864" spans="1:4" x14ac:dyDescent="0.2">
      <c r="A15864" s="496"/>
      <c r="D15864" s="496"/>
    </row>
    <row r="15865" spans="1:4" x14ac:dyDescent="0.2">
      <c r="A15865" s="496"/>
      <c r="D15865" s="496"/>
    </row>
    <row r="15866" spans="1:4" x14ac:dyDescent="0.2">
      <c r="A15866" s="496"/>
      <c r="D15866" s="496"/>
    </row>
    <row r="15867" spans="1:4" x14ac:dyDescent="0.2">
      <c r="A15867" s="496"/>
      <c r="D15867" s="496"/>
    </row>
    <row r="15868" spans="1:4" x14ac:dyDescent="0.2">
      <c r="A15868" s="496"/>
      <c r="D15868" s="496"/>
    </row>
    <row r="15869" spans="1:4" x14ac:dyDescent="0.2">
      <c r="A15869" s="496"/>
      <c r="D15869" s="496"/>
    </row>
    <row r="15870" spans="1:4" x14ac:dyDescent="0.2">
      <c r="A15870" s="496"/>
      <c r="D15870" s="496"/>
    </row>
    <row r="15871" spans="1:4" x14ac:dyDescent="0.2">
      <c r="A15871" s="496"/>
      <c r="D15871" s="496"/>
    </row>
    <row r="15872" spans="1:4" x14ac:dyDescent="0.2">
      <c r="A15872" s="496"/>
      <c r="D15872" s="496"/>
    </row>
    <row r="15873" spans="1:4" x14ac:dyDescent="0.2">
      <c r="A15873" s="496"/>
      <c r="D15873" s="496"/>
    </row>
    <row r="15874" spans="1:4" x14ac:dyDescent="0.2">
      <c r="A15874" s="496"/>
      <c r="D15874" s="496"/>
    </row>
    <row r="15875" spans="1:4" x14ac:dyDescent="0.2">
      <c r="A15875" s="496"/>
      <c r="D15875" s="496"/>
    </row>
    <row r="15876" spans="1:4" x14ac:dyDescent="0.2">
      <c r="A15876" s="496"/>
      <c r="D15876" s="496"/>
    </row>
    <row r="15877" spans="1:4" x14ac:dyDescent="0.2">
      <c r="A15877" s="496"/>
      <c r="D15877" s="496"/>
    </row>
    <row r="15878" spans="1:4" x14ac:dyDescent="0.2">
      <c r="A15878" s="496"/>
      <c r="D15878" s="496"/>
    </row>
    <row r="15879" spans="1:4" x14ac:dyDescent="0.2">
      <c r="A15879" s="496"/>
      <c r="D15879" s="496"/>
    </row>
    <row r="15880" spans="1:4" x14ac:dyDescent="0.2">
      <c r="A15880" s="496"/>
      <c r="D15880" s="496"/>
    </row>
    <row r="15881" spans="1:4" x14ac:dyDescent="0.2">
      <c r="A15881" s="496"/>
      <c r="D15881" s="496"/>
    </row>
    <row r="15882" spans="1:4" x14ac:dyDescent="0.2">
      <c r="A15882" s="496"/>
      <c r="D15882" s="496"/>
    </row>
    <row r="15883" spans="1:4" x14ac:dyDescent="0.2">
      <c r="A15883" s="496"/>
      <c r="D15883" s="496"/>
    </row>
    <row r="15884" spans="1:4" x14ac:dyDescent="0.2">
      <c r="A15884" s="496"/>
      <c r="D15884" s="496"/>
    </row>
    <row r="15885" spans="1:4" x14ac:dyDescent="0.2">
      <c r="A15885" s="496"/>
      <c r="D15885" s="496"/>
    </row>
    <row r="15886" spans="1:4" x14ac:dyDescent="0.2">
      <c r="A15886" s="496"/>
      <c r="D15886" s="496"/>
    </row>
    <row r="15887" spans="1:4" x14ac:dyDescent="0.2">
      <c r="A15887" s="496"/>
      <c r="D15887" s="496"/>
    </row>
    <row r="15888" spans="1:4" x14ac:dyDescent="0.2">
      <c r="A15888" s="496"/>
      <c r="D15888" s="496"/>
    </row>
    <row r="15889" spans="1:4" x14ac:dyDescent="0.2">
      <c r="A15889" s="496"/>
      <c r="D15889" s="496"/>
    </row>
    <row r="15890" spans="1:4" x14ac:dyDescent="0.2">
      <c r="A15890" s="496"/>
      <c r="D15890" s="496"/>
    </row>
    <row r="15891" spans="1:4" x14ac:dyDescent="0.2">
      <c r="A15891" s="496"/>
      <c r="D15891" s="496"/>
    </row>
    <row r="15892" spans="1:4" x14ac:dyDescent="0.2">
      <c r="A15892" s="496"/>
      <c r="D15892" s="496"/>
    </row>
    <row r="15893" spans="1:4" x14ac:dyDescent="0.2">
      <c r="A15893" s="496"/>
      <c r="D15893" s="496"/>
    </row>
    <row r="15894" spans="1:4" x14ac:dyDescent="0.2">
      <c r="A15894" s="496"/>
      <c r="D15894" s="496"/>
    </row>
    <row r="15895" spans="1:4" x14ac:dyDescent="0.2">
      <c r="A15895" s="496"/>
      <c r="D15895" s="496"/>
    </row>
    <row r="15896" spans="1:4" x14ac:dyDescent="0.2">
      <c r="A15896" s="496"/>
      <c r="D15896" s="496"/>
    </row>
    <row r="15897" spans="1:4" x14ac:dyDescent="0.2">
      <c r="A15897" s="496"/>
      <c r="D15897" s="496"/>
    </row>
    <row r="15898" spans="1:4" x14ac:dyDescent="0.2">
      <c r="A15898" s="496"/>
      <c r="D15898" s="496"/>
    </row>
    <row r="15899" spans="1:4" x14ac:dyDescent="0.2">
      <c r="A15899" s="496"/>
      <c r="D15899" s="496"/>
    </row>
    <row r="15900" spans="1:4" x14ac:dyDescent="0.2">
      <c r="A15900" s="496"/>
      <c r="D15900" s="496"/>
    </row>
    <row r="15901" spans="1:4" x14ac:dyDescent="0.2">
      <c r="A15901" s="496"/>
      <c r="D15901" s="496"/>
    </row>
    <row r="15902" spans="1:4" x14ac:dyDescent="0.2">
      <c r="A15902" s="496"/>
      <c r="D15902" s="496"/>
    </row>
    <row r="15903" spans="1:4" x14ac:dyDescent="0.2">
      <c r="A15903" s="496"/>
      <c r="D15903" s="496"/>
    </row>
    <row r="15904" spans="1:4" x14ac:dyDescent="0.2">
      <c r="A15904" s="496"/>
      <c r="D15904" s="496"/>
    </row>
    <row r="15905" spans="1:4" x14ac:dyDescent="0.2">
      <c r="A15905" s="496"/>
      <c r="D15905" s="496"/>
    </row>
    <row r="15906" spans="1:4" x14ac:dyDescent="0.2">
      <c r="A15906" s="496"/>
      <c r="D15906" s="496"/>
    </row>
    <row r="15907" spans="1:4" x14ac:dyDescent="0.2">
      <c r="A15907" s="496"/>
      <c r="D15907" s="496"/>
    </row>
    <row r="15908" spans="1:4" x14ac:dyDescent="0.2">
      <c r="A15908" s="496"/>
      <c r="D15908" s="496"/>
    </row>
    <row r="15909" spans="1:4" x14ac:dyDescent="0.2">
      <c r="A15909" s="496"/>
      <c r="D15909" s="496"/>
    </row>
    <row r="15910" spans="1:4" x14ac:dyDescent="0.2">
      <c r="A15910" s="496"/>
      <c r="D15910" s="496"/>
    </row>
    <row r="15911" spans="1:4" x14ac:dyDescent="0.2">
      <c r="A15911" s="496"/>
      <c r="D15911" s="496"/>
    </row>
    <row r="15912" spans="1:4" x14ac:dyDescent="0.2">
      <c r="A15912" s="496"/>
      <c r="D15912" s="496"/>
    </row>
    <row r="15913" spans="1:4" x14ac:dyDescent="0.2">
      <c r="A15913" s="496"/>
      <c r="D15913" s="496"/>
    </row>
    <row r="15914" spans="1:4" x14ac:dyDescent="0.2">
      <c r="A15914" s="496"/>
      <c r="D15914" s="496"/>
    </row>
    <row r="15915" spans="1:4" x14ac:dyDescent="0.2">
      <c r="A15915" s="496"/>
      <c r="D15915" s="496"/>
    </row>
    <row r="15916" spans="1:4" x14ac:dyDescent="0.2">
      <c r="A15916" s="496"/>
      <c r="D15916" s="496"/>
    </row>
    <row r="15917" spans="1:4" x14ac:dyDescent="0.2">
      <c r="A15917" s="496"/>
      <c r="D15917" s="496"/>
    </row>
    <row r="15918" spans="1:4" x14ac:dyDescent="0.2">
      <c r="A15918" s="496"/>
      <c r="D15918" s="496"/>
    </row>
    <row r="15919" spans="1:4" x14ac:dyDescent="0.2">
      <c r="A15919" s="496"/>
      <c r="D15919" s="496"/>
    </row>
    <row r="15920" spans="1:4" x14ac:dyDescent="0.2">
      <c r="A15920" s="496"/>
      <c r="D15920" s="496"/>
    </row>
    <row r="15921" spans="1:4" x14ac:dyDescent="0.2">
      <c r="A15921" s="496"/>
      <c r="D15921" s="496"/>
    </row>
    <row r="15922" spans="1:4" x14ac:dyDescent="0.2">
      <c r="A15922" s="496"/>
      <c r="D15922" s="496"/>
    </row>
    <row r="15923" spans="1:4" x14ac:dyDescent="0.2">
      <c r="A15923" s="496"/>
      <c r="D15923" s="496"/>
    </row>
    <row r="15924" spans="1:4" x14ac:dyDescent="0.2">
      <c r="A15924" s="496"/>
      <c r="D15924" s="496"/>
    </row>
    <row r="15925" spans="1:4" x14ac:dyDescent="0.2">
      <c r="A15925" s="496"/>
      <c r="D15925" s="496"/>
    </row>
    <row r="15926" spans="1:4" x14ac:dyDescent="0.2">
      <c r="A15926" s="496"/>
      <c r="D15926" s="496"/>
    </row>
    <row r="15927" spans="1:4" x14ac:dyDescent="0.2">
      <c r="A15927" s="496"/>
      <c r="D15927" s="496"/>
    </row>
    <row r="15928" spans="1:4" x14ac:dyDescent="0.2">
      <c r="A15928" s="496"/>
      <c r="D15928" s="496"/>
    </row>
    <row r="15929" spans="1:4" x14ac:dyDescent="0.2">
      <c r="A15929" s="496"/>
      <c r="D15929" s="496"/>
    </row>
    <row r="15930" spans="1:4" x14ac:dyDescent="0.2">
      <c r="A15930" s="496"/>
      <c r="D15930" s="496"/>
    </row>
    <row r="15931" spans="1:4" x14ac:dyDescent="0.2">
      <c r="A15931" s="496"/>
      <c r="D15931" s="496"/>
    </row>
    <row r="15932" spans="1:4" x14ac:dyDescent="0.2">
      <c r="A15932" s="496"/>
      <c r="D15932" s="496"/>
    </row>
    <row r="15933" spans="1:4" x14ac:dyDescent="0.2">
      <c r="A15933" s="496"/>
      <c r="D15933" s="496"/>
    </row>
    <row r="15934" spans="1:4" x14ac:dyDescent="0.2">
      <c r="A15934" s="496"/>
      <c r="D15934" s="496"/>
    </row>
    <row r="15935" spans="1:4" x14ac:dyDescent="0.2">
      <c r="A15935" s="496"/>
      <c r="D15935" s="496"/>
    </row>
    <row r="15936" spans="1:4" x14ac:dyDescent="0.2">
      <c r="A15936" s="496"/>
      <c r="D15936" s="496"/>
    </row>
    <row r="15937" spans="1:4" x14ac:dyDescent="0.2">
      <c r="A15937" s="496"/>
      <c r="D15937" s="496"/>
    </row>
    <row r="15938" spans="1:4" x14ac:dyDescent="0.2">
      <c r="A15938" s="496"/>
      <c r="D15938" s="496"/>
    </row>
    <row r="15939" spans="1:4" x14ac:dyDescent="0.2">
      <c r="A15939" s="496"/>
      <c r="D15939" s="496"/>
    </row>
    <row r="15940" spans="1:4" x14ac:dyDescent="0.2">
      <c r="A15940" s="496"/>
      <c r="D15940" s="496"/>
    </row>
    <row r="15941" spans="1:4" x14ac:dyDescent="0.2">
      <c r="A15941" s="496"/>
      <c r="D15941" s="496"/>
    </row>
    <row r="15942" spans="1:4" x14ac:dyDescent="0.2">
      <c r="A15942" s="496"/>
      <c r="D15942" s="496"/>
    </row>
    <row r="15943" spans="1:4" x14ac:dyDescent="0.2">
      <c r="A15943" s="496"/>
      <c r="D15943" s="496"/>
    </row>
    <row r="15944" spans="1:4" x14ac:dyDescent="0.2">
      <c r="A15944" s="496"/>
      <c r="D15944" s="496"/>
    </row>
    <row r="15945" spans="1:4" x14ac:dyDescent="0.2">
      <c r="A15945" s="496"/>
      <c r="D15945" s="496"/>
    </row>
    <row r="15946" spans="1:4" x14ac:dyDescent="0.2">
      <c r="A15946" s="496"/>
      <c r="D15946" s="496"/>
    </row>
    <row r="15947" spans="1:4" x14ac:dyDescent="0.2">
      <c r="A15947" s="496"/>
      <c r="D15947" s="496"/>
    </row>
    <row r="15948" spans="1:4" x14ac:dyDescent="0.2">
      <c r="A15948" s="496"/>
      <c r="D15948" s="496"/>
    </row>
    <row r="15949" spans="1:4" x14ac:dyDescent="0.2">
      <c r="A15949" s="496"/>
      <c r="D15949" s="496"/>
    </row>
    <row r="15950" spans="1:4" x14ac:dyDescent="0.2">
      <c r="A15950" s="496"/>
      <c r="D15950" s="496"/>
    </row>
    <row r="15951" spans="1:4" x14ac:dyDescent="0.2">
      <c r="A15951" s="496"/>
      <c r="D15951" s="496"/>
    </row>
    <row r="15952" spans="1:4" x14ac:dyDescent="0.2">
      <c r="A15952" s="496"/>
      <c r="D15952" s="496"/>
    </row>
    <row r="15953" spans="1:4" x14ac:dyDescent="0.2">
      <c r="A15953" s="496"/>
      <c r="D15953" s="496"/>
    </row>
    <row r="15954" spans="1:4" x14ac:dyDescent="0.2">
      <c r="A15954" s="496"/>
      <c r="D15954" s="496"/>
    </row>
    <row r="15955" spans="1:4" x14ac:dyDescent="0.2">
      <c r="A15955" s="496"/>
      <c r="D15955" s="496"/>
    </row>
    <row r="15956" spans="1:4" x14ac:dyDescent="0.2">
      <c r="A15956" s="496"/>
      <c r="D15956" s="496"/>
    </row>
    <row r="15957" spans="1:4" x14ac:dyDescent="0.2">
      <c r="A15957" s="496"/>
      <c r="D15957" s="496"/>
    </row>
    <row r="15958" spans="1:4" x14ac:dyDescent="0.2">
      <c r="A15958" s="496"/>
      <c r="D15958" s="496"/>
    </row>
    <row r="15959" spans="1:4" x14ac:dyDescent="0.2">
      <c r="A15959" s="496"/>
      <c r="D15959" s="496"/>
    </row>
    <row r="15960" spans="1:4" x14ac:dyDescent="0.2">
      <c r="A15960" s="496"/>
      <c r="D15960" s="496"/>
    </row>
    <row r="15961" spans="1:4" x14ac:dyDescent="0.2">
      <c r="A15961" s="496"/>
      <c r="D15961" s="496"/>
    </row>
    <row r="15962" spans="1:4" x14ac:dyDescent="0.2">
      <c r="A15962" s="496"/>
      <c r="D15962" s="496"/>
    </row>
    <row r="15963" spans="1:4" x14ac:dyDescent="0.2">
      <c r="A15963" s="496"/>
      <c r="D15963" s="496"/>
    </row>
    <row r="15964" spans="1:4" x14ac:dyDescent="0.2">
      <c r="A15964" s="496"/>
      <c r="D15964" s="496"/>
    </row>
    <row r="15965" spans="1:4" x14ac:dyDescent="0.2">
      <c r="A15965" s="496"/>
      <c r="D15965" s="496"/>
    </row>
    <row r="15966" spans="1:4" x14ac:dyDescent="0.2">
      <c r="A15966" s="496"/>
      <c r="D15966" s="496"/>
    </row>
    <row r="15967" spans="1:4" x14ac:dyDescent="0.2">
      <c r="A15967" s="496"/>
      <c r="D15967" s="496"/>
    </row>
    <row r="15968" spans="1:4" x14ac:dyDescent="0.2">
      <c r="A15968" s="496"/>
      <c r="D15968" s="496"/>
    </row>
    <row r="15969" spans="1:4" x14ac:dyDescent="0.2">
      <c r="A15969" s="496"/>
      <c r="D15969" s="496"/>
    </row>
    <row r="15970" spans="1:4" x14ac:dyDescent="0.2">
      <c r="A15970" s="496"/>
      <c r="D15970" s="496"/>
    </row>
    <row r="15971" spans="1:4" x14ac:dyDescent="0.2">
      <c r="A15971" s="496"/>
      <c r="D15971" s="496"/>
    </row>
    <row r="15972" spans="1:4" x14ac:dyDescent="0.2">
      <c r="A15972" s="496"/>
      <c r="D15972" s="496"/>
    </row>
    <row r="15973" spans="1:4" x14ac:dyDescent="0.2">
      <c r="A15973" s="496"/>
      <c r="D15973" s="496"/>
    </row>
    <row r="15974" spans="1:4" x14ac:dyDescent="0.2">
      <c r="A15974" s="496"/>
      <c r="D15974" s="496"/>
    </row>
    <row r="15975" spans="1:4" x14ac:dyDescent="0.2">
      <c r="A15975" s="496"/>
      <c r="D15975" s="496"/>
    </row>
    <row r="15976" spans="1:4" x14ac:dyDescent="0.2">
      <c r="A15976" s="496"/>
      <c r="D15976" s="496"/>
    </row>
    <row r="15977" spans="1:4" x14ac:dyDescent="0.2">
      <c r="A15977" s="496"/>
      <c r="D15977" s="496"/>
    </row>
    <row r="15978" spans="1:4" x14ac:dyDescent="0.2">
      <c r="A15978" s="496"/>
      <c r="D15978" s="496"/>
    </row>
    <row r="15979" spans="1:4" x14ac:dyDescent="0.2">
      <c r="A15979" s="496"/>
      <c r="D15979" s="496"/>
    </row>
    <row r="15980" spans="1:4" x14ac:dyDescent="0.2">
      <c r="A15980" s="496"/>
      <c r="D15980" s="496"/>
    </row>
    <row r="15981" spans="1:4" x14ac:dyDescent="0.2">
      <c r="A15981" s="496"/>
      <c r="D15981" s="496"/>
    </row>
    <row r="15982" spans="1:4" x14ac:dyDescent="0.2">
      <c r="A15982" s="496"/>
      <c r="D15982" s="496"/>
    </row>
    <row r="15983" spans="1:4" x14ac:dyDescent="0.2">
      <c r="A15983" s="496"/>
      <c r="D15983" s="496"/>
    </row>
    <row r="15984" spans="1:4" x14ac:dyDescent="0.2">
      <c r="A15984" s="496"/>
      <c r="D15984" s="496"/>
    </row>
    <row r="15985" spans="1:4" x14ac:dyDescent="0.2">
      <c r="A15985" s="496"/>
      <c r="D15985" s="496"/>
    </row>
    <row r="15986" spans="1:4" x14ac:dyDescent="0.2">
      <c r="A15986" s="496"/>
      <c r="D15986" s="496"/>
    </row>
    <row r="15987" spans="1:4" x14ac:dyDescent="0.2">
      <c r="A15987" s="496"/>
      <c r="D15987" s="496"/>
    </row>
    <row r="15988" spans="1:4" x14ac:dyDescent="0.2">
      <c r="A15988" s="496"/>
      <c r="D15988" s="496"/>
    </row>
    <row r="15989" spans="1:4" x14ac:dyDescent="0.2">
      <c r="A15989" s="496"/>
      <c r="D15989" s="496"/>
    </row>
    <row r="15990" spans="1:4" x14ac:dyDescent="0.2">
      <c r="A15990" s="496"/>
      <c r="D15990" s="496"/>
    </row>
    <row r="15991" spans="1:4" x14ac:dyDescent="0.2">
      <c r="A15991" s="496"/>
      <c r="D15991" s="496"/>
    </row>
    <row r="15992" spans="1:4" x14ac:dyDescent="0.2">
      <c r="A15992" s="496"/>
      <c r="D15992" s="496"/>
    </row>
    <row r="15993" spans="1:4" x14ac:dyDescent="0.2">
      <c r="A15993" s="496"/>
      <c r="D15993" s="496"/>
    </row>
    <row r="15994" spans="1:4" x14ac:dyDescent="0.2">
      <c r="A15994" s="496"/>
      <c r="D15994" s="496"/>
    </row>
    <row r="15995" spans="1:4" x14ac:dyDescent="0.2">
      <c r="A15995" s="496"/>
      <c r="D15995" s="496"/>
    </row>
    <row r="15996" spans="1:4" x14ac:dyDescent="0.2">
      <c r="A15996" s="496"/>
      <c r="D15996" s="496"/>
    </row>
    <row r="15997" spans="1:4" x14ac:dyDescent="0.2">
      <c r="A15997" s="496"/>
      <c r="D15997" s="496"/>
    </row>
    <row r="15998" spans="1:4" x14ac:dyDescent="0.2">
      <c r="A15998" s="496"/>
      <c r="D15998" s="496"/>
    </row>
    <row r="15999" spans="1:4" x14ac:dyDescent="0.2">
      <c r="A15999" s="496"/>
      <c r="D15999" s="496"/>
    </row>
    <row r="16000" spans="1:4" x14ac:dyDescent="0.2">
      <c r="A16000" s="496"/>
      <c r="D16000" s="496"/>
    </row>
    <row r="16001" spans="1:4" x14ac:dyDescent="0.2">
      <c r="A16001" s="496"/>
      <c r="D16001" s="496"/>
    </row>
    <row r="16002" spans="1:4" x14ac:dyDescent="0.2">
      <c r="A16002" s="496"/>
      <c r="D16002" s="496"/>
    </row>
    <row r="16003" spans="1:4" x14ac:dyDescent="0.2">
      <c r="A16003" s="496"/>
      <c r="D16003" s="496"/>
    </row>
    <row r="16004" spans="1:4" x14ac:dyDescent="0.2">
      <c r="A16004" s="496"/>
      <c r="D16004" s="496"/>
    </row>
    <row r="16005" spans="1:4" x14ac:dyDescent="0.2">
      <c r="A16005" s="496"/>
      <c r="D16005" s="496"/>
    </row>
    <row r="16006" spans="1:4" x14ac:dyDescent="0.2">
      <c r="A16006" s="496"/>
      <c r="D16006" s="496"/>
    </row>
    <row r="16007" spans="1:4" x14ac:dyDescent="0.2">
      <c r="A16007" s="496"/>
      <c r="D16007" s="496"/>
    </row>
    <row r="16008" spans="1:4" x14ac:dyDescent="0.2">
      <c r="A16008" s="496"/>
      <c r="D16008" s="496"/>
    </row>
    <row r="16009" spans="1:4" x14ac:dyDescent="0.2">
      <c r="A16009" s="496"/>
      <c r="D16009" s="496"/>
    </row>
    <row r="16010" spans="1:4" x14ac:dyDescent="0.2">
      <c r="A16010" s="496"/>
      <c r="D16010" s="496"/>
    </row>
    <row r="16011" spans="1:4" x14ac:dyDescent="0.2">
      <c r="A16011" s="496"/>
      <c r="D16011" s="496"/>
    </row>
    <row r="16012" spans="1:4" x14ac:dyDescent="0.2">
      <c r="A16012" s="496"/>
      <c r="D16012" s="496"/>
    </row>
    <row r="16013" spans="1:4" x14ac:dyDescent="0.2">
      <c r="A16013" s="496"/>
      <c r="D16013" s="496"/>
    </row>
    <row r="16014" spans="1:4" x14ac:dyDescent="0.2">
      <c r="A16014" s="496"/>
      <c r="D16014" s="496"/>
    </row>
    <row r="16015" spans="1:4" x14ac:dyDescent="0.2">
      <c r="A16015" s="496"/>
      <c r="D16015" s="496"/>
    </row>
    <row r="16016" spans="1:4" x14ac:dyDescent="0.2">
      <c r="A16016" s="496"/>
      <c r="D16016" s="496"/>
    </row>
    <row r="16017" spans="1:4" x14ac:dyDescent="0.2">
      <c r="A16017" s="496"/>
      <c r="D16017" s="496"/>
    </row>
    <row r="16018" spans="1:4" x14ac:dyDescent="0.2">
      <c r="A16018" s="496"/>
      <c r="D16018" s="496"/>
    </row>
    <row r="16019" spans="1:4" x14ac:dyDescent="0.2">
      <c r="A16019" s="496"/>
      <c r="D16019" s="496"/>
    </row>
    <row r="16020" spans="1:4" x14ac:dyDescent="0.2">
      <c r="A16020" s="496"/>
      <c r="D16020" s="496"/>
    </row>
    <row r="16021" spans="1:4" x14ac:dyDescent="0.2">
      <c r="A16021" s="496"/>
      <c r="D16021" s="496"/>
    </row>
    <row r="16022" spans="1:4" x14ac:dyDescent="0.2">
      <c r="A16022" s="496"/>
      <c r="D16022" s="496"/>
    </row>
    <row r="16023" spans="1:4" x14ac:dyDescent="0.2">
      <c r="A16023" s="496"/>
      <c r="D16023" s="496"/>
    </row>
    <row r="16024" spans="1:4" x14ac:dyDescent="0.2">
      <c r="A16024" s="496"/>
      <c r="D16024" s="496"/>
    </row>
    <row r="16025" spans="1:4" x14ac:dyDescent="0.2">
      <c r="A16025" s="496"/>
      <c r="D16025" s="496"/>
    </row>
    <row r="16026" spans="1:4" x14ac:dyDescent="0.2">
      <c r="A16026" s="496"/>
      <c r="D16026" s="496"/>
    </row>
    <row r="16027" spans="1:4" x14ac:dyDescent="0.2">
      <c r="A16027" s="496"/>
      <c r="D16027" s="496"/>
    </row>
    <row r="16028" spans="1:4" x14ac:dyDescent="0.2">
      <c r="A16028" s="496"/>
      <c r="D16028" s="496"/>
    </row>
    <row r="16029" spans="1:4" x14ac:dyDescent="0.2">
      <c r="A16029" s="496"/>
      <c r="D16029" s="496"/>
    </row>
    <row r="16030" spans="1:4" x14ac:dyDescent="0.2">
      <c r="A16030" s="496"/>
      <c r="D16030" s="496"/>
    </row>
    <row r="16031" spans="1:4" x14ac:dyDescent="0.2">
      <c r="A16031" s="496"/>
      <c r="D16031" s="496"/>
    </row>
    <row r="16032" spans="1:4" x14ac:dyDescent="0.2">
      <c r="A16032" s="496"/>
      <c r="D16032" s="496"/>
    </row>
    <row r="16033" spans="1:4" x14ac:dyDescent="0.2">
      <c r="A16033" s="496"/>
      <c r="D16033" s="496"/>
    </row>
    <row r="16034" spans="1:4" x14ac:dyDescent="0.2">
      <c r="A16034" s="496"/>
      <c r="D16034" s="496"/>
    </row>
    <row r="16035" spans="1:4" x14ac:dyDescent="0.2">
      <c r="A16035" s="496"/>
      <c r="D16035" s="496"/>
    </row>
    <row r="16036" spans="1:4" x14ac:dyDescent="0.2">
      <c r="A16036" s="496"/>
      <c r="D16036" s="496"/>
    </row>
    <row r="16037" spans="1:4" x14ac:dyDescent="0.2">
      <c r="A16037" s="496"/>
      <c r="D16037" s="496"/>
    </row>
    <row r="16038" spans="1:4" x14ac:dyDescent="0.2">
      <c r="A16038" s="496"/>
      <c r="D16038" s="496"/>
    </row>
    <row r="16039" spans="1:4" x14ac:dyDescent="0.2">
      <c r="A16039" s="496"/>
      <c r="D16039" s="496"/>
    </row>
    <row r="16040" spans="1:4" x14ac:dyDescent="0.2">
      <c r="A16040" s="496"/>
      <c r="D16040" s="496"/>
    </row>
    <row r="16041" spans="1:4" x14ac:dyDescent="0.2">
      <c r="A16041" s="496"/>
      <c r="D16041" s="496"/>
    </row>
    <row r="16042" spans="1:4" x14ac:dyDescent="0.2">
      <c r="A16042" s="496"/>
      <c r="D16042" s="496"/>
    </row>
    <row r="16043" spans="1:4" x14ac:dyDescent="0.2">
      <c r="A16043" s="496"/>
      <c r="D16043" s="496"/>
    </row>
    <row r="16044" spans="1:4" x14ac:dyDescent="0.2">
      <c r="A16044" s="496"/>
      <c r="D16044" s="496"/>
    </row>
    <row r="16045" spans="1:4" x14ac:dyDescent="0.2">
      <c r="A16045" s="496"/>
      <c r="D16045" s="496"/>
    </row>
    <row r="16046" spans="1:4" x14ac:dyDescent="0.2">
      <c r="A16046" s="496"/>
      <c r="D16046" s="496"/>
    </row>
    <row r="16047" spans="1:4" x14ac:dyDescent="0.2">
      <c r="A16047" s="496"/>
      <c r="D16047" s="496"/>
    </row>
    <row r="16048" spans="1:4" x14ac:dyDescent="0.2">
      <c r="A16048" s="496"/>
      <c r="D16048" s="496"/>
    </row>
    <row r="16049" spans="1:4" x14ac:dyDescent="0.2">
      <c r="A16049" s="496"/>
      <c r="D16049" s="496"/>
    </row>
    <row r="16050" spans="1:4" x14ac:dyDescent="0.2">
      <c r="A16050" s="496"/>
      <c r="D16050" s="496"/>
    </row>
    <row r="16051" spans="1:4" x14ac:dyDescent="0.2">
      <c r="A16051" s="496"/>
      <c r="D16051" s="496"/>
    </row>
    <row r="16052" spans="1:4" x14ac:dyDescent="0.2">
      <c r="A16052" s="496"/>
      <c r="D16052" s="496"/>
    </row>
    <row r="16053" spans="1:4" x14ac:dyDescent="0.2">
      <c r="A16053" s="496"/>
      <c r="D16053" s="496"/>
    </row>
    <row r="16054" spans="1:4" x14ac:dyDescent="0.2">
      <c r="A16054" s="496"/>
      <c r="D16054" s="496"/>
    </row>
    <row r="16055" spans="1:4" x14ac:dyDescent="0.2">
      <c r="A16055" s="496"/>
      <c r="D16055" s="496"/>
    </row>
    <row r="16056" spans="1:4" x14ac:dyDescent="0.2">
      <c r="A16056" s="496"/>
      <c r="D16056" s="496"/>
    </row>
    <row r="16057" spans="1:4" x14ac:dyDescent="0.2">
      <c r="A16057" s="496"/>
      <c r="D16057" s="496"/>
    </row>
    <row r="16058" spans="1:4" x14ac:dyDescent="0.2">
      <c r="A16058" s="496"/>
      <c r="D16058" s="496"/>
    </row>
    <row r="16059" spans="1:4" x14ac:dyDescent="0.2">
      <c r="A16059" s="496"/>
      <c r="D16059" s="496"/>
    </row>
    <row r="16060" spans="1:4" x14ac:dyDescent="0.2">
      <c r="A16060" s="496"/>
      <c r="D16060" s="496"/>
    </row>
    <row r="16061" spans="1:4" x14ac:dyDescent="0.2">
      <c r="A16061" s="496"/>
      <c r="D16061" s="496"/>
    </row>
    <row r="16062" spans="1:4" x14ac:dyDescent="0.2">
      <c r="A16062" s="496"/>
      <c r="D16062" s="496"/>
    </row>
    <row r="16063" spans="1:4" x14ac:dyDescent="0.2">
      <c r="A16063" s="496"/>
      <c r="D16063" s="496"/>
    </row>
    <row r="16064" spans="1:4" x14ac:dyDescent="0.2">
      <c r="A16064" s="496"/>
      <c r="D16064" s="496"/>
    </row>
    <row r="16065" spans="1:4" x14ac:dyDescent="0.2">
      <c r="A16065" s="496"/>
      <c r="D16065" s="496"/>
    </row>
    <row r="16066" spans="1:4" x14ac:dyDescent="0.2">
      <c r="A16066" s="496"/>
      <c r="D16066" s="496"/>
    </row>
    <row r="16067" spans="1:4" x14ac:dyDescent="0.2">
      <c r="A16067" s="496"/>
      <c r="D16067" s="496"/>
    </row>
    <row r="16068" spans="1:4" x14ac:dyDescent="0.2">
      <c r="A16068" s="496"/>
      <c r="D16068" s="496"/>
    </row>
    <row r="16069" spans="1:4" x14ac:dyDescent="0.2">
      <c r="A16069" s="496"/>
      <c r="D16069" s="496"/>
    </row>
    <row r="16070" spans="1:4" x14ac:dyDescent="0.2">
      <c r="A16070" s="496"/>
      <c r="D16070" s="496"/>
    </row>
    <row r="16071" spans="1:4" x14ac:dyDescent="0.2">
      <c r="A16071" s="496"/>
      <c r="D16071" s="496"/>
    </row>
    <row r="16072" spans="1:4" x14ac:dyDescent="0.2">
      <c r="A16072" s="496"/>
      <c r="D16072" s="496"/>
    </row>
    <row r="16073" spans="1:4" x14ac:dyDescent="0.2">
      <c r="A16073" s="496"/>
      <c r="D16073" s="496"/>
    </row>
    <row r="16074" spans="1:4" x14ac:dyDescent="0.2">
      <c r="A16074" s="496"/>
      <c r="D16074" s="496"/>
    </row>
    <row r="16075" spans="1:4" x14ac:dyDescent="0.2">
      <c r="A16075" s="496"/>
      <c r="D16075" s="496"/>
    </row>
    <row r="16076" spans="1:4" x14ac:dyDescent="0.2">
      <c r="A16076" s="496"/>
      <c r="D16076" s="496"/>
    </row>
    <row r="16077" spans="1:4" x14ac:dyDescent="0.2">
      <c r="A16077" s="496"/>
      <c r="D16077" s="496"/>
    </row>
    <row r="16078" spans="1:4" x14ac:dyDescent="0.2">
      <c r="A16078" s="496"/>
      <c r="D16078" s="496"/>
    </row>
    <row r="16079" spans="1:4" x14ac:dyDescent="0.2">
      <c r="A16079" s="496"/>
      <c r="D16079" s="496"/>
    </row>
    <row r="16080" spans="1:4" x14ac:dyDescent="0.2">
      <c r="A16080" s="496"/>
      <c r="D16080" s="496"/>
    </row>
    <row r="16081" spans="1:4" x14ac:dyDescent="0.2">
      <c r="A16081" s="496"/>
      <c r="D16081" s="496"/>
    </row>
    <row r="16082" spans="1:4" x14ac:dyDescent="0.2">
      <c r="A16082" s="496"/>
      <c r="D16082" s="496"/>
    </row>
    <row r="16083" spans="1:4" x14ac:dyDescent="0.2">
      <c r="A16083" s="496"/>
      <c r="D16083" s="496"/>
    </row>
    <row r="16084" spans="1:4" x14ac:dyDescent="0.2">
      <c r="A16084" s="496"/>
      <c r="D16084" s="496"/>
    </row>
    <row r="16085" spans="1:4" x14ac:dyDescent="0.2">
      <c r="A16085" s="496"/>
      <c r="D16085" s="496"/>
    </row>
    <row r="16086" spans="1:4" x14ac:dyDescent="0.2">
      <c r="A16086" s="496"/>
      <c r="D16086" s="496"/>
    </row>
    <row r="16087" spans="1:4" x14ac:dyDescent="0.2">
      <c r="A16087" s="496"/>
      <c r="D16087" s="496"/>
    </row>
    <row r="16088" spans="1:4" x14ac:dyDescent="0.2">
      <c r="A16088" s="496"/>
      <c r="D16088" s="496"/>
    </row>
    <row r="16089" spans="1:4" x14ac:dyDescent="0.2">
      <c r="A16089" s="496"/>
      <c r="D16089" s="496"/>
    </row>
    <row r="16090" spans="1:4" x14ac:dyDescent="0.2">
      <c r="A16090" s="496"/>
      <c r="D16090" s="496"/>
    </row>
    <row r="16091" spans="1:4" x14ac:dyDescent="0.2">
      <c r="A16091" s="496"/>
      <c r="D16091" s="496"/>
    </row>
    <row r="16092" spans="1:4" x14ac:dyDescent="0.2">
      <c r="A16092" s="496"/>
      <c r="D16092" s="496"/>
    </row>
    <row r="16093" spans="1:4" x14ac:dyDescent="0.2">
      <c r="A16093" s="496"/>
      <c r="D16093" s="496"/>
    </row>
    <row r="16094" spans="1:4" x14ac:dyDescent="0.2">
      <c r="A16094" s="496"/>
      <c r="D16094" s="496"/>
    </row>
    <row r="16095" spans="1:4" x14ac:dyDescent="0.2">
      <c r="A16095" s="496"/>
      <c r="D16095" s="496"/>
    </row>
    <row r="16096" spans="1:4" x14ac:dyDescent="0.2">
      <c r="A16096" s="496"/>
      <c r="D16096" s="496"/>
    </row>
    <row r="16097" spans="1:4" x14ac:dyDescent="0.2">
      <c r="A16097" s="496"/>
      <c r="D16097" s="496"/>
    </row>
    <row r="16098" spans="1:4" x14ac:dyDescent="0.2">
      <c r="A16098" s="496"/>
      <c r="D16098" s="496"/>
    </row>
    <row r="16099" spans="1:4" x14ac:dyDescent="0.2">
      <c r="A16099" s="496"/>
      <c r="D16099" s="496"/>
    </row>
    <row r="16100" spans="1:4" x14ac:dyDescent="0.2">
      <c r="A16100" s="496"/>
      <c r="D16100" s="496"/>
    </row>
    <row r="16101" spans="1:4" x14ac:dyDescent="0.2">
      <c r="A16101" s="496"/>
      <c r="D16101" s="496"/>
    </row>
    <row r="16102" spans="1:4" x14ac:dyDescent="0.2">
      <c r="A16102" s="496"/>
      <c r="D16102" s="496"/>
    </row>
    <row r="16103" spans="1:4" x14ac:dyDescent="0.2">
      <c r="A16103" s="496"/>
      <c r="D16103" s="496"/>
    </row>
    <row r="16104" spans="1:4" x14ac:dyDescent="0.2">
      <c r="A16104" s="496"/>
      <c r="D16104" s="496"/>
    </row>
    <row r="16105" spans="1:4" x14ac:dyDescent="0.2">
      <c r="A16105" s="496"/>
      <c r="D16105" s="496"/>
    </row>
    <row r="16106" spans="1:4" x14ac:dyDescent="0.2">
      <c r="A16106" s="496"/>
      <c r="D16106" s="496"/>
    </row>
    <row r="16107" spans="1:4" x14ac:dyDescent="0.2">
      <c r="A16107" s="496"/>
      <c r="D16107" s="496"/>
    </row>
    <row r="16108" spans="1:4" x14ac:dyDescent="0.2">
      <c r="A16108" s="496"/>
      <c r="D16108" s="496"/>
    </row>
    <row r="16109" spans="1:4" x14ac:dyDescent="0.2">
      <c r="A16109" s="496"/>
      <c r="D16109" s="496"/>
    </row>
    <row r="16110" spans="1:4" x14ac:dyDescent="0.2">
      <c r="A16110" s="496"/>
      <c r="D16110" s="496"/>
    </row>
    <row r="16111" spans="1:4" x14ac:dyDescent="0.2">
      <c r="A16111" s="496"/>
      <c r="D16111" s="496"/>
    </row>
    <row r="16112" spans="1:4" x14ac:dyDescent="0.2">
      <c r="A16112" s="496"/>
      <c r="D16112" s="496"/>
    </row>
    <row r="16113" spans="1:4" x14ac:dyDescent="0.2">
      <c r="A16113" s="496"/>
      <c r="D16113" s="496"/>
    </row>
    <row r="16114" spans="1:4" x14ac:dyDescent="0.2">
      <c r="A16114" s="496"/>
      <c r="D16114" s="496"/>
    </row>
    <row r="16115" spans="1:4" x14ac:dyDescent="0.2">
      <c r="A16115" s="496"/>
      <c r="D16115" s="496"/>
    </row>
    <row r="16116" spans="1:4" x14ac:dyDescent="0.2">
      <c r="A16116" s="496"/>
      <c r="D16116" s="496"/>
    </row>
    <row r="16117" spans="1:4" x14ac:dyDescent="0.2">
      <c r="A16117" s="496"/>
      <c r="D16117" s="496"/>
    </row>
    <row r="16118" spans="1:4" x14ac:dyDescent="0.2">
      <c r="A16118" s="496"/>
      <c r="D16118" s="496"/>
    </row>
    <row r="16119" spans="1:4" x14ac:dyDescent="0.2">
      <c r="A16119" s="496"/>
      <c r="D16119" s="496"/>
    </row>
    <row r="16120" spans="1:4" x14ac:dyDescent="0.2">
      <c r="A16120" s="496"/>
      <c r="D16120" s="496"/>
    </row>
    <row r="16121" spans="1:4" x14ac:dyDescent="0.2">
      <c r="A16121" s="496"/>
      <c r="D16121" s="496"/>
    </row>
    <row r="16122" spans="1:4" x14ac:dyDescent="0.2">
      <c r="A16122" s="496"/>
      <c r="D16122" s="496"/>
    </row>
    <row r="16123" spans="1:4" x14ac:dyDescent="0.2">
      <c r="A16123" s="496"/>
      <c r="D16123" s="496"/>
    </row>
    <row r="16124" spans="1:4" x14ac:dyDescent="0.2">
      <c r="A16124" s="496"/>
      <c r="D16124" s="496"/>
    </row>
    <row r="16125" spans="1:4" x14ac:dyDescent="0.2">
      <c r="A16125" s="496"/>
      <c r="D16125" s="496"/>
    </row>
    <row r="16126" spans="1:4" x14ac:dyDescent="0.2">
      <c r="A16126" s="496"/>
      <c r="D16126" s="496"/>
    </row>
    <row r="16127" spans="1:4" x14ac:dyDescent="0.2">
      <c r="A16127" s="496"/>
      <c r="D16127" s="496"/>
    </row>
    <row r="16128" spans="1:4" x14ac:dyDescent="0.2">
      <c r="A16128" s="496"/>
      <c r="D16128" s="496"/>
    </row>
    <row r="16129" spans="1:4" x14ac:dyDescent="0.2">
      <c r="A16129" s="496"/>
      <c r="D16129" s="496"/>
    </row>
    <row r="16130" spans="1:4" x14ac:dyDescent="0.2">
      <c r="A16130" s="496"/>
      <c r="D16130" s="496"/>
    </row>
    <row r="16131" spans="1:4" x14ac:dyDescent="0.2">
      <c r="A16131" s="496"/>
      <c r="D16131" s="496"/>
    </row>
    <row r="16132" spans="1:4" x14ac:dyDescent="0.2">
      <c r="A16132" s="496"/>
      <c r="D16132" s="496"/>
    </row>
    <row r="16133" spans="1:4" x14ac:dyDescent="0.2">
      <c r="A16133" s="496"/>
      <c r="D16133" s="496"/>
    </row>
    <row r="16134" spans="1:4" x14ac:dyDescent="0.2">
      <c r="A16134" s="496"/>
      <c r="D16134" s="496"/>
    </row>
    <row r="16135" spans="1:4" x14ac:dyDescent="0.2">
      <c r="A16135" s="496"/>
      <c r="D16135" s="496"/>
    </row>
    <row r="16136" spans="1:4" x14ac:dyDescent="0.2">
      <c r="A16136" s="496"/>
      <c r="D16136" s="496"/>
    </row>
    <row r="16137" spans="1:4" x14ac:dyDescent="0.2">
      <c r="A16137" s="496"/>
      <c r="D16137" s="496"/>
    </row>
    <row r="16138" spans="1:4" x14ac:dyDescent="0.2">
      <c r="A16138" s="496"/>
      <c r="D16138" s="496"/>
    </row>
    <row r="16139" spans="1:4" x14ac:dyDescent="0.2">
      <c r="A16139" s="496"/>
      <c r="D16139" s="496"/>
    </row>
    <row r="16140" spans="1:4" x14ac:dyDescent="0.2">
      <c r="A16140" s="496"/>
      <c r="D16140" s="496"/>
    </row>
    <row r="16141" spans="1:4" x14ac:dyDescent="0.2">
      <c r="A16141" s="496"/>
      <c r="D16141" s="496"/>
    </row>
    <row r="16142" spans="1:4" x14ac:dyDescent="0.2">
      <c r="A16142" s="496"/>
      <c r="D16142" s="496"/>
    </row>
    <row r="16143" spans="1:4" x14ac:dyDescent="0.2">
      <c r="A16143" s="496"/>
      <c r="D16143" s="496"/>
    </row>
    <row r="16144" spans="1:4" x14ac:dyDescent="0.2">
      <c r="A16144" s="496"/>
      <c r="D16144" s="496"/>
    </row>
    <row r="16145" spans="1:4" x14ac:dyDescent="0.2">
      <c r="A16145" s="496"/>
      <c r="D16145" s="496"/>
    </row>
    <row r="16146" spans="1:4" x14ac:dyDescent="0.2">
      <c r="A16146" s="496"/>
      <c r="D16146" s="496"/>
    </row>
    <row r="16147" spans="1:4" x14ac:dyDescent="0.2">
      <c r="A16147" s="496"/>
      <c r="D16147" s="496"/>
    </row>
    <row r="16148" spans="1:4" x14ac:dyDescent="0.2">
      <c r="A16148" s="496"/>
      <c r="D16148" s="496"/>
    </row>
    <row r="16149" spans="1:4" x14ac:dyDescent="0.2">
      <c r="A16149" s="496"/>
      <c r="D16149" s="496"/>
    </row>
    <row r="16150" spans="1:4" x14ac:dyDescent="0.2">
      <c r="A16150" s="496"/>
      <c r="D16150" s="496"/>
    </row>
    <row r="16151" spans="1:4" x14ac:dyDescent="0.2">
      <c r="A16151" s="496"/>
      <c r="D16151" s="496"/>
    </row>
    <row r="16152" spans="1:4" x14ac:dyDescent="0.2">
      <c r="A16152" s="496"/>
      <c r="D16152" s="496"/>
    </row>
    <row r="16153" spans="1:4" x14ac:dyDescent="0.2">
      <c r="A16153" s="496"/>
      <c r="D16153" s="496"/>
    </row>
    <row r="16154" spans="1:4" x14ac:dyDescent="0.2">
      <c r="A16154" s="496"/>
      <c r="D16154" s="496"/>
    </row>
    <row r="16155" spans="1:4" x14ac:dyDescent="0.2">
      <c r="A16155" s="496"/>
      <c r="D16155" s="496"/>
    </row>
    <row r="16156" spans="1:4" x14ac:dyDescent="0.2">
      <c r="A16156" s="496"/>
      <c r="D16156" s="496"/>
    </row>
    <row r="16157" spans="1:4" x14ac:dyDescent="0.2">
      <c r="A16157" s="496"/>
      <c r="D16157" s="496"/>
    </row>
    <row r="16158" spans="1:4" x14ac:dyDescent="0.2">
      <c r="A16158" s="496"/>
      <c r="D16158" s="496"/>
    </row>
    <row r="16159" spans="1:4" x14ac:dyDescent="0.2">
      <c r="A16159" s="496"/>
      <c r="D16159" s="496"/>
    </row>
    <row r="16160" spans="1:4" x14ac:dyDescent="0.2">
      <c r="A16160" s="496"/>
      <c r="D16160" s="496"/>
    </row>
    <row r="16161" spans="1:4" x14ac:dyDescent="0.2">
      <c r="A16161" s="496"/>
      <c r="D16161" s="496"/>
    </row>
    <row r="16162" spans="1:4" x14ac:dyDescent="0.2">
      <c r="A16162" s="496"/>
      <c r="D16162" s="496"/>
    </row>
    <row r="16163" spans="1:4" x14ac:dyDescent="0.2">
      <c r="A16163" s="496"/>
      <c r="D16163" s="496"/>
    </row>
    <row r="16164" spans="1:4" x14ac:dyDescent="0.2">
      <c r="A16164" s="496"/>
      <c r="D16164" s="496"/>
    </row>
    <row r="16165" spans="1:4" x14ac:dyDescent="0.2">
      <c r="A16165" s="496"/>
      <c r="D16165" s="496"/>
    </row>
    <row r="16166" spans="1:4" x14ac:dyDescent="0.2">
      <c r="A16166" s="496"/>
      <c r="D16166" s="496"/>
    </row>
    <row r="16167" spans="1:4" x14ac:dyDescent="0.2">
      <c r="A16167" s="496"/>
      <c r="D16167" s="496"/>
    </row>
    <row r="16168" spans="1:4" x14ac:dyDescent="0.2">
      <c r="A16168" s="496"/>
      <c r="D16168" s="496"/>
    </row>
    <row r="16169" spans="1:4" x14ac:dyDescent="0.2">
      <c r="A16169" s="496"/>
      <c r="D16169" s="496"/>
    </row>
    <row r="16170" spans="1:4" x14ac:dyDescent="0.2">
      <c r="A16170" s="496"/>
      <c r="D16170" s="496"/>
    </row>
    <row r="16171" spans="1:4" x14ac:dyDescent="0.2">
      <c r="A16171" s="496"/>
      <c r="D16171" s="496"/>
    </row>
    <row r="16172" spans="1:4" x14ac:dyDescent="0.2">
      <c r="A16172" s="496"/>
      <c r="D16172" s="496"/>
    </row>
    <row r="16173" spans="1:4" x14ac:dyDescent="0.2">
      <c r="A16173" s="496"/>
      <c r="D16173" s="496"/>
    </row>
    <row r="16174" spans="1:4" x14ac:dyDescent="0.2">
      <c r="A16174" s="496"/>
      <c r="D16174" s="496"/>
    </row>
    <row r="16175" spans="1:4" x14ac:dyDescent="0.2">
      <c r="A16175" s="496"/>
      <c r="D16175" s="496"/>
    </row>
    <row r="16176" spans="1:4" x14ac:dyDescent="0.2">
      <c r="A16176" s="496"/>
      <c r="D16176" s="496"/>
    </row>
    <row r="16177" spans="1:4" x14ac:dyDescent="0.2">
      <c r="A16177" s="496"/>
      <c r="D16177" s="496"/>
    </row>
    <row r="16178" spans="1:4" x14ac:dyDescent="0.2">
      <c r="A16178" s="496"/>
      <c r="D16178" s="496"/>
    </row>
    <row r="16179" spans="1:4" x14ac:dyDescent="0.2">
      <c r="A16179" s="496"/>
      <c r="D16179" s="496"/>
    </row>
    <row r="16180" spans="1:4" x14ac:dyDescent="0.2">
      <c r="A16180" s="496"/>
      <c r="D16180" s="496"/>
    </row>
    <row r="16181" spans="1:4" x14ac:dyDescent="0.2">
      <c r="A16181" s="496"/>
      <c r="D16181" s="496"/>
    </row>
    <row r="16182" spans="1:4" x14ac:dyDescent="0.2">
      <c r="A16182" s="496"/>
      <c r="D16182" s="496"/>
    </row>
    <row r="16183" spans="1:4" x14ac:dyDescent="0.2">
      <c r="A16183" s="496"/>
      <c r="D16183" s="496"/>
    </row>
    <row r="16184" spans="1:4" x14ac:dyDescent="0.2">
      <c r="A16184" s="496"/>
      <c r="D16184" s="496"/>
    </row>
    <row r="16185" spans="1:4" x14ac:dyDescent="0.2">
      <c r="A16185" s="496"/>
      <c r="D16185" s="496"/>
    </row>
    <row r="16186" spans="1:4" x14ac:dyDescent="0.2">
      <c r="A16186" s="496"/>
      <c r="D16186" s="496"/>
    </row>
    <row r="16187" spans="1:4" x14ac:dyDescent="0.2">
      <c r="A16187" s="496"/>
      <c r="D16187" s="496"/>
    </row>
    <row r="16188" spans="1:4" x14ac:dyDescent="0.2">
      <c r="A16188" s="496"/>
      <c r="D16188" s="496"/>
    </row>
    <row r="16189" spans="1:4" x14ac:dyDescent="0.2">
      <c r="A16189" s="496"/>
      <c r="D16189" s="496"/>
    </row>
    <row r="16190" spans="1:4" x14ac:dyDescent="0.2">
      <c r="A16190" s="496"/>
      <c r="D16190" s="496"/>
    </row>
    <row r="16191" spans="1:4" x14ac:dyDescent="0.2">
      <c r="A16191" s="496"/>
      <c r="D16191" s="496"/>
    </row>
    <row r="16192" spans="1:4" x14ac:dyDescent="0.2">
      <c r="A16192" s="496"/>
      <c r="D16192" s="496"/>
    </row>
    <row r="16193" spans="1:4" x14ac:dyDescent="0.2">
      <c r="A16193" s="496"/>
      <c r="D16193" s="496"/>
    </row>
    <row r="16194" spans="1:4" x14ac:dyDescent="0.2">
      <c r="A16194" s="496"/>
      <c r="D16194" s="496"/>
    </row>
    <row r="16195" spans="1:4" x14ac:dyDescent="0.2">
      <c r="A16195" s="496"/>
      <c r="D16195" s="496"/>
    </row>
    <row r="16196" spans="1:4" x14ac:dyDescent="0.2">
      <c r="A16196" s="496"/>
      <c r="D16196" s="496"/>
    </row>
    <row r="16197" spans="1:4" x14ac:dyDescent="0.2">
      <c r="A16197" s="496"/>
      <c r="D16197" s="496"/>
    </row>
    <row r="16198" spans="1:4" x14ac:dyDescent="0.2">
      <c r="A16198" s="496"/>
      <c r="D16198" s="496"/>
    </row>
    <row r="16199" spans="1:4" x14ac:dyDescent="0.2">
      <c r="A16199" s="496"/>
      <c r="D16199" s="496"/>
    </row>
    <row r="16200" spans="1:4" x14ac:dyDescent="0.2">
      <c r="A16200" s="496"/>
      <c r="D16200" s="496"/>
    </row>
    <row r="16201" spans="1:4" x14ac:dyDescent="0.2">
      <c r="A16201" s="496"/>
      <c r="D16201" s="496"/>
    </row>
    <row r="16202" spans="1:4" x14ac:dyDescent="0.2">
      <c r="A16202" s="496"/>
      <c r="D16202" s="496"/>
    </row>
    <row r="16203" spans="1:4" x14ac:dyDescent="0.2">
      <c r="A16203" s="496"/>
      <c r="D16203" s="496"/>
    </row>
    <row r="16204" spans="1:4" x14ac:dyDescent="0.2">
      <c r="A16204" s="496"/>
      <c r="D16204" s="496"/>
    </row>
    <row r="16205" spans="1:4" x14ac:dyDescent="0.2">
      <c r="A16205" s="496"/>
      <c r="D16205" s="496"/>
    </row>
    <row r="16206" spans="1:4" x14ac:dyDescent="0.2">
      <c r="A16206" s="496"/>
      <c r="D16206" s="496"/>
    </row>
    <row r="16207" spans="1:4" x14ac:dyDescent="0.2">
      <c r="A16207" s="496"/>
      <c r="D16207" s="496"/>
    </row>
    <row r="16208" spans="1:4" x14ac:dyDescent="0.2">
      <c r="A16208" s="496"/>
      <c r="D16208" s="496"/>
    </row>
    <row r="16209" spans="1:4" x14ac:dyDescent="0.2">
      <c r="A16209" s="496"/>
      <c r="D16209" s="496"/>
    </row>
    <row r="16210" spans="1:4" x14ac:dyDescent="0.2">
      <c r="A16210" s="496"/>
      <c r="D16210" s="496"/>
    </row>
    <row r="16211" spans="1:4" x14ac:dyDescent="0.2">
      <c r="A16211" s="496"/>
      <c r="D16211" s="496"/>
    </row>
    <row r="16212" spans="1:4" x14ac:dyDescent="0.2">
      <c r="A16212" s="496"/>
      <c r="D16212" s="496"/>
    </row>
    <row r="16213" spans="1:4" x14ac:dyDescent="0.2">
      <c r="A16213" s="496"/>
      <c r="D16213" s="496"/>
    </row>
    <row r="16214" spans="1:4" x14ac:dyDescent="0.2">
      <c r="A16214" s="496"/>
      <c r="D16214" s="496"/>
    </row>
    <row r="16215" spans="1:4" x14ac:dyDescent="0.2">
      <c r="A16215" s="496"/>
      <c r="D16215" s="496"/>
    </row>
    <row r="16216" spans="1:4" x14ac:dyDescent="0.2">
      <c r="A16216" s="496"/>
      <c r="D16216" s="496"/>
    </row>
    <row r="16217" spans="1:4" x14ac:dyDescent="0.2">
      <c r="A16217" s="496"/>
      <c r="D16217" s="496"/>
    </row>
    <row r="16218" spans="1:4" x14ac:dyDescent="0.2">
      <c r="A16218" s="496"/>
      <c r="D16218" s="496"/>
    </row>
    <row r="16219" spans="1:4" x14ac:dyDescent="0.2">
      <c r="A16219" s="496"/>
      <c r="D16219" s="496"/>
    </row>
    <row r="16220" spans="1:4" x14ac:dyDescent="0.2">
      <c r="A16220" s="496"/>
      <c r="D16220" s="496"/>
    </row>
    <row r="16221" spans="1:4" x14ac:dyDescent="0.2">
      <c r="A16221" s="496"/>
      <c r="D16221" s="496"/>
    </row>
    <row r="16222" spans="1:4" x14ac:dyDescent="0.2">
      <c r="A16222" s="496"/>
      <c r="D16222" s="496"/>
    </row>
    <row r="16223" spans="1:4" x14ac:dyDescent="0.2">
      <c r="A16223" s="496"/>
      <c r="D16223" s="496"/>
    </row>
    <row r="16224" spans="1:4" x14ac:dyDescent="0.2">
      <c r="A16224" s="496"/>
      <c r="D16224" s="496"/>
    </row>
    <row r="16225" spans="1:4" x14ac:dyDescent="0.2">
      <c r="A16225" s="496"/>
      <c r="D16225" s="496"/>
    </row>
    <row r="16226" spans="1:4" x14ac:dyDescent="0.2">
      <c r="A16226" s="496"/>
      <c r="D16226" s="496"/>
    </row>
    <row r="16227" spans="1:4" x14ac:dyDescent="0.2">
      <c r="A16227" s="496"/>
      <c r="D16227" s="496"/>
    </row>
    <row r="16228" spans="1:4" x14ac:dyDescent="0.2">
      <c r="A16228" s="496"/>
      <c r="D16228" s="496"/>
    </row>
    <row r="16229" spans="1:4" x14ac:dyDescent="0.2">
      <c r="A16229" s="496"/>
      <c r="D16229" s="496"/>
    </row>
    <row r="16230" spans="1:4" x14ac:dyDescent="0.2">
      <c r="A16230" s="496"/>
      <c r="D16230" s="496"/>
    </row>
    <row r="16231" spans="1:4" x14ac:dyDescent="0.2">
      <c r="A16231" s="496"/>
      <c r="D16231" s="496"/>
    </row>
    <row r="16232" spans="1:4" x14ac:dyDescent="0.2">
      <c r="A16232" s="496"/>
      <c r="D16232" s="496"/>
    </row>
    <row r="16233" spans="1:4" x14ac:dyDescent="0.2">
      <c r="A16233" s="496"/>
      <c r="D16233" s="496"/>
    </row>
    <row r="16234" spans="1:4" x14ac:dyDescent="0.2">
      <c r="A16234" s="496"/>
      <c r="D16234" s="496"/>
    </row>
    <row r="16235" spans="1:4" x14ac:dyDescent="0.2">
      <c r="A16235" s="496"/>
      <c r="D16235" s="496"/>
    </row>
    <row r="16236" spans="1:4" x14ac:dyDescent="0.2">
      <c r="A16236" s="496"/>
      <c r="D16236" s="496"/>
    </row>
    <row r="16237" spans="1:4" x14ac:dyDescent="0.2">
      <c r="A16237" s="496"/>
      <c r="D16237" s="496"/>
    </row>
    <row r="16238" spans="1:4" x14ac:dyDescent="0.2">
      <c r="A16238" s="496"/>
      <c r="D16238" s="496"/>
    </row>
    <row r="16239" spans="1:4" x14ac:dyDescent="0.2">
      <c r="A16239" s="496"/>
      <c r="D16239" s="496"/>
    </row>
    <row r="16240" spans="1:4" x14ac:dyDescent="0.2">
      <c r="A16240" s="496"/>
      <c r="D16240" s="496"/>
    </row>
    <row r="16241" spans="1:4" x14ac:dyDescent="0.2">
      <c r="A16241" s="496"/>
      <c r="D16241" s="496"/>
    </row>
    <row r="16242" spans="1:4" x14ac:dyDescent="0.2">
      <c r="A16242" s="496"/>
      <c r="D16242" s="496"/>
    </row>
    <row r="16243" spans="1:4" x14ac:dyDescent="0.2">
      <c r="A16243" s="496"/>
      <c r="D16243" s="496"/>
    </row>
    <row r="16244" spans="1:4" x14ac:dyDescent="0.2">
      <c r="A16244" s="496"/>
      <c r="D16244" s="496"/>
    </row>
    <row r="16245" spans="1:4" x14ac:dyDescent="0.2">
      <c r="A16245" s="496"/>
      <c r="D16245" s="496"/>
    </row>
    <row r="16246" spans="1:4" x14ac:dyDescent="0.2">
      <c r="A16246" s="496"/>
      <c r="D16246" s="496"/>
    </row>
    <row r="16247" spans="1:4" x14ac:dyDescent="0.2">
      <c r="A16247" s="496"/>
      <c r="D16247" s="496"/>
    </row>
    <row r="16248" spans="1:4" x14ac:dyDescent="0.2">
      <c r="A16248" s="496"/>
      <c r="D16248" s="496"/>
    </row>
    <row r="16249" spans="1:4" x14ac:dyDescent="0.2">
      <c r="A16249" s="496"/>
      <c r="D16249" s="496"/>
    </row>
    <row r="16250" spans="1:4" x14ac:dyDescent="0.2">
      <c r="A16250" s="496"/>
      <c r="D16250" s="496"/>
    </row>
    <row r="16251" spans="1:4" x14ac:dyDescent="0.2">
      <c r="A16251" s="496"/>
      <c r="D16251" s="496"/>
    </row>
    <row r="16252" spans="1:4" x14ac:dyDescent="0.2">
      <c r="A16252" s="496"/>
      <c r="D16252" s="496"/>
    </row>
    <row r="16253" spans="1:4" x14ac:dyDescent="0.2">
      <c r="A16253" s="496"/>
      <c r="D16253" s="496"/>
    </row>
    <row r="16254" spans="1:4" x14ac:dyDescent="0.2">
      <c r="A16254" s="496"/>
      <c r="D16254" s="496"/>
    </row>
    <row r="16255" spans="1:4" x14ac:dyDescent="0.2">
      <c r="A16255" s="496"/>
      <c r="D16255" s="496"/>
    </row>
    <row r="16256" spans="1:4" x14ac:dyDescent="0.2">
      <c r="A16256" s="496"/>
      <c r="D16256" s="496"/>
    </row>
    <row r="16257" spans="1:4" x14ac:dyDescent="0.2">
      <c r="A16257" s="496"/>
      <c r="D16257" s="496"/>
    </row>
    <row r="16258" spans="1:4" x14ac:dyDescent="0.2">
      <c r="A16258" s="496"/>
      <c r="D16258" s="496"/>
    </row>
    <row r="16259" spans="1:4" x14ac:dyDescent="0.2">
      <c r="A16259" s="496"/>
      <c r="D16259" s="496"/>
    </row>
    <row r="16260" spans="1:4" x14ac:dyDescent="0.2">
      <c r="A16260" s="496"/>
      <c r="D16260" s="496"/>
    </row>
    <row r="16261" spans="1:4" x14ac:dyDescent="0.2">
      <c r="A16261" s="496"/>
      <c r="D16261" s="496"/>
    </row>
    <row r="16262" spans="1:4" x14ac:dyDescent="0.2">
      <c r="A16262" s="496"/>
      <c r="D16262" s="496"/>
    </row>
    <row r="16263" spans="1:4" x14ac:dyDescent="0.2">
      <c r="A16263" s="496"/>
      <c r="D16263" s="496"/>
    </row>
    <row r="16264" spans="1:4" x14ac:dyDescent="0.2">
      <c r="A16264" s="496"/>
      <c r="D16264" s="496"/>
    </row>
    <row r="16265" spans="1:4" x14ac:dyDescent="0.2">
      <c r="A16265" s="496"/>
      <c r="D16265" s="496"/>
    </row>
    <row r="16266" spans="1:4" x14ac:dyDescent="0.2">
      <c r="A16266" s="496"/>
      <c r="D16266" s="496"/>
    </row>
    <row r="16267" spans="1:4" x14ac:dyDescent="0.2">
      <c r="A16267" s="496"/>
      <c r="D16267" s="496"/>
    </row>
    <row r="16268" spans="1:4" x14ac:dyDescent="0.2">
      <c r="A16268" s="496"/>
      <c r="D16268" s="496"/>
    </row>
    <row r="16269" spans="1:4" x14ac:dyDescent="0.2">
      <c r="A16269" s="496"/>
      <c r="D16269" s="496"/>
    </row>
    <row r="16270" spans="1:4" x14ac:dyDescent="0.2">
      <c r="A16270" s="496"/>
      <c r="D16270" s="496"/>
    </row>
    <row r="16271" spans="1:4" x14ac:dyDescent="0.2">
      <c r="A16271" s="496"/>
      <c r="D16271" s="496"/>
    </row>
    <row r="16272" spans="1:4" x14ac:dyDescent="0.2">
      <c r="A16272" s="496"/>
      <c r="D16272" s="496"/>
    </row>
    <row r="16273" spans="1:4" x14ac:dyDescent="0.2">
      <c r="A16273" s="496"/>
      <c r="D16273" s="496"/>
    </row>
    <row r="16274" spans="1:4" x14ac:dyDescent="0.2">
      <c r="A16274" s="496"/>
      <c r="D16274" s="496"/>
    </row>
    <row r="16275" spans="1:4" x14ac:dyDescent="0.2">
      <c r="A16275" s="496"/>
      <c r="D16275" s="496"/>
    </row>
    <row r="16276" spans="1:4" x14ac:dyDescent="0.2">
      <c r="A16276" s="496"/>
      <c r="D16276" s="496"/>
    </row>
    <row r="16277" spans="1:4" x14ac:dyDescent="0.2">
      <c r="A16277" s="496"/>
      <c r="D16277" s="496"/>
    </row>
    <row r="16278" spans="1:4" x14ac:dyDescent="0.2">
      <c r="A16278" s="496"/>
      <c r="D16278" s="496"/>
    </row>
    <row r="16279" spans="1:4" x14ac:dyDescent="0.2">
      <c r="A16279" s="496"/>
      <c r="D16279" s="496"/>
    </row>
    <row r="16280" spans="1:4" x14ac:dyDescent="0.2">
      <c r="A16280" s="496"/>
      <c r="D16280" s="496"/>
    </row>
    <row r="16281" spans="1:4" x14ac:dyDescent="0.2">
      <c r="A16281" s="496"/>
      <c r="D16281" s="496"/>
    </row>
    <row r="16282" spans="1:4" x14ac:dyDescent="0.2">
      <c r="A16282" s="496"/>
      <c r="D16282" s="496"/>
    </row>
    <row r="16283" spans="1:4" x14ac:dyDescent="0.2">
      <c r="A16283" s="496"/>
      <c r="D16283" s="496"/>
    </row>
    <row r="16284" spans="1:4" x14ac:dyDescent="0.2">
      <c r="A16284" s="496"/>
      <c r="D16284" s="496"/>
    </row>
    <row r="16285" spans="1:4" x14ac:dyDescent="0.2">
      <c r="A16285" s="496"/>
      <c r="D16285" s="496"/>
    </row>
    <row r="16286" spans="1:4" x14ac:dyDescent="0.2">
      <c r="A16286" s="496"/>
      <c r="D16286" s="496"/>
    </row>
    <row r="16287" spans="1:4" x14ac:dyDescent="0.2">
      <c r="A16287" s="496"/>
      <c r="D16287" s="496"/>
    </row>
    <row r="16288" spans="1:4" x14ac:dyDescent="0.2">
      <c r="A16288" s="496"/>
      <c r="D16288" s="496"/>
    </row>
    <row r="16289" spans="1:4" x14ac:dyDescent="0.2">
      <c r="A16289" s="496"/>
      <c r="D16289" s="496"/>
    </row>
    <row r="16290" spans="1:4" x14ac:dyDescent="0.2">
      <c r="A16290" s="496"/>
      <c r="D16290" s="496"/>
    </row>
    <row r="16291" spans="1:4" x14ac:dyDescent="0.2">
      <c r="A16291" s="496"/>
      <c r="D16291" s="496"/>
    </row>
    <row r="16292" spans="1:4" x14ac:dyDescent="0.2">
      <c r="A16292" s="496"/>
      <c r="D16292" s="496"/>
    </row>
    <row r="16293" spans="1:4" x14ac:dyDescent="0.2">
      <c r="A16293" s="496"/>
      <c r="D16293" s="496"/>
    </row>
    <row r="16294" spans="1:4" x14ac:dyDescent="0.2">
      <c r="A16294" s="496"/>
      <c r="D16294" s="496"/>
    </row>
    <row r="16295" spans="1:4" x14ac:dyDescent="0.2">
      <c r="A16295" s="496"/>
      <c r="D16295" s="496"/>
    </row>
    <row r="16296" spans="1:4" x14ac:dyDescent="0.2">
      <c r="A16296" s="496"/>
      <c r="D16296" s="496"/>
    </row>
    <row r="16297" spans="1:4" x14ac:dyDescent="0.2">
      <c r="A16297" s="496"/>
      <c r="D16297" s="496"/>
    </row>
    <row r="16298" spans="1:4" x14ac:dyDescent="0.2">
      <c r="A16298" s="496"/>
      <c r="D16298" s="496"/>
    </row>
    <row r="16299" spans="1:4" x14ac:dyDescent="0.2">
      <c r="A16299" s="496"/>
      <c r="D16299" s="496"/>
    </row>
    <row r="16300" spans="1:4" x14ac:dyDescent="0.2">
      <c r="A16300" s="496"/>
      <c r="D16300" s="496"/>
    </row>
    <row r="16301" spans="1:4" x14ac:dyDescent="0.2">
      <c r="A16301" s="496"/>
      <c r="D16301" s="496"/>
    </row>
    <row r="16302" spans="1:4" x14ac:dyDescent="0.2">
      <c r="A16302" s="496"/>
      <c r="D16302" s="496"/>
    </row>
    <row r="16303" spans="1:4" x14ac:dyDescent="0.2">
      <c r="A16303" s="496"/>
      <c r="D16303" s="496"/>
    </row>
    <row r="16304" spans="1:4" x14ac:dyDescent="0.2">
      <c r="A16304" s="496"/>
      <c r="D16304" s="496"/>
    </row>
    <row r="16305" spans="1:4" x14ac:dyDescent="0.2">
      <c r="A16305" s="496"/>
      <c r="D16305" s="496"/>
    </row>
    <row r="16306" spans="1:4" x14ac:dyDescent="0.2">
      <c r="A16306" s="496"/>
      <c r="D16306" s="496"/>
    </row>
    <row r="16307" spans="1:4" x14ac:dyDescent="0.2">
      <c r="A16307" s="496"/>
      <c r="D16307" s="496"/>
    </row>
    <row r="16308" spans="1:4" x14ac:dyDescent="0.2">
      <c r="A16308" s="496"/>
      <c r="D16308" s="496"/>
    </row>
    <row r="16309" spans="1:4" x14ac:dyDescent="0.2">
      <c r="A16309" s="496"/>
      <c r="D16309" s="496"/>
    </row>
    <row r="16310" spans="1:4" x14ac:dyDescent="0.2">
      <c r="A16310" s="496"/>
      <c r="D16310" s="496"/>
    </row>
    <row r="16311" spans="1:4" x14ac:dyDescent="0.2">
      <c r="A16311" s="496"/>
      <c r="D16311" s="496"/>
    </row>
    <row r="16312" spans="1:4" x14ac:dyDescent="0.2">
      <c r="A16312" s="496"/>
      <c r="D16312" s="496"/>
    </row>
    <row r="16313" spans="1:4" x14ac:dyDescent="0.2">
      <c r="A16313" s="496"/>
      <c r="D16313" s="496"/>
    </row>
    <row r="16314" spans="1:4" x14ac:dyDescent="0.2">
      <c r="A16314" s="496"/>
      <c r="D16314" s="496"/>
    </row>
    <row r="16315" spans="1:4" x14ac:dyDescent="0.2">
      <c r="A16315" s="496"/>
      <c r="D16315" s="496"/>
    </row>
    <row r="16316" spans="1:4" x14ac:dyDescent="0.2">
      <c r="A16316" s="496"/>
      <c r="D16316" s="496"/>
    </row>
    <row r="16317" spans="1:4" x14ac:dyDescent="0.2">
      <c r="A16317" s="496"/>
      <c r="D16317" s="496"/>
    </row>
    <row r="16318" spans="1:4" x14ac:dyDescent="0.2">
      <c r="A16318" s="496"/>
      <c r="D16318" s="496"/>
    </row>
    <row r="16319" spans="1:4" x14ac:dyDescent="0.2">
      <c r="A16319" s="496"/>
      <c r="D16319" s="496"/>
    </row>
    <row r="16320" spans="1:4" x14ac:dyDescent="0.2">
      <c r="A16320" s="496"/>
      <c r="D16320" s="496"/>
    </row>
    <row r="16321" spans="1:4" x14ac:dyDescent="0.2">
      <c r="A16321" s="496"/>
      <c r="D16321" s="496"/>
    </row>
    <row r="16322" spans="1:4" x14ac:dyDescent="0.2">
      <c r="A16322" s="496"/>
      <c r="D16322" s="496"/>
    </row>
    <row r="16323" spans="1:4" x14ac:dyDescent="0.2">
      <c r="A16323" s="496"/>
      <c r="D16323" s="496"/>
    </row>
    <row r="16324" spans="1:4" x14ac:dyDescent="0.2">
      <c r="A16324" s="496"/>
      <c r="D16324" s="496"/>
    </row>
    <row r="16325" spans="1:4" x14ac:dyDescent="0.2">
      <c r="A16325" s="496"/>
      <c r="D16325" s="496"/>
    </row>
    <row r="16326" spans="1:4" x14ac:dyDescent="0.2">
      <c r="A16326" s="496"/>
      <c r="D16326" s="496"/>
    </row>
    <row r="16327" spans="1:4" x14ac:dyDescent="0.2">
      <c r="A16327" s="496"/>
      <c r="D16327" s="496"/>
    </row>
    <row r="16328" spans="1:4" x14ac:dyDescent="0.2">
      <c r="A16328" s="496"/>
      <c r="D16328" s="496"/>
    </row>
    <row r="16329" spans="1:4" x14ac:dyDescent="0.2">
      <c r="A16329" s="496"/>
      <c r="D16329" s="496"/>
    </row>
    <row r="16330" spans="1:4" x14ac:dyDescent="0.2">
      <c r="A16330" s="496"/>
      <c r="D16330" s="496"/>
    </row>
    <row r="16331" spans="1:4" x14ac:dyDescent="0.2">
      <c r="A16331" s="496"/>
      <c r="D16331" s="496"/>
    </row>
    <row r="16332" spans="1:4" x14ac:dyDescent="0.2">
      <c r="A16332" s="496"/>
      <c r="D16332" s="496"/>
    </row>
    <row r="16333" spans="1:4" x14ac:dyDescent="0.2">
      <c r="A16333" s="496"/>
      <c r="D16333" s="496"/>
    </row>
    <row r="16334" spans="1:4" x14ac:dyDescent="0.2">
      <c r="A16334" s="496"/>
      <c r="D16334" s="496"/>
    </row>
    <row r="16335" spans="1:4" x14ac:dyDescent="0.2">
      <c r="A16335" s="496"/>
      <c r="D16335" s="496"/>
    </row>
    <row r="16336" spans="1:4" x14ac:dyDescent="0.2">
      <c r="A16336" s="496"/>
      <c r="D16336" s="496"/>
    </row>
    <row r="16337" spans="1:4" x14ac:dyDescent="0.2">
      <c r="A16337" s="496"/>
      <c r="D16337" s="496"/>
    </row>
    <row r="16338" spans="1:4" x14ac:dyDescent="0.2">
      <c r="A16338" s="496"/>
      <c r="D16338" s="496"/>
    </row>
    <row r="16339" spans="1:4" x14ac:dyDescent="0.2">
      <c r="A16339" s="496"/>
      <c r="D16339" s="496"/>
    </row>
    <row r="16340" spans="1:4" x14ac:dyDescent="0.2">
      <c r="A16340" s="496"/>
      <c r="D16340" s="496"/>
    </row>
    <row r="16341" spans="1:4" x14ac:dyDescent="0.2">
      <c r="A16341" s="496"/>
      <c r="D16341" s="496"/>
    </row>
    <row r="16342" spans="1:4" x14ac:dyDescent="0.2">
      <c r="A16342" s="496"/>
      <c r="D16342" s="496"/>
    </row>
    <row r="16343" spans="1:4" x14ac:dyDescent="0.2">
      <c r="A16343" s="496"/>
      <c r="D16343" s="496"/>
    </row>
    <row r="16344" spans="1:4" x14ac:dyDescent="0.2">
      <c r="A16344" s="496"/>
      <c r="D16344" s="496"/>
    </row>
    <row r="16345" spans="1:4" x14ac:dyDescent="0.2">
      <c r="A16345" s="496"/>
      <c r="D16345" s="496"/>
    </row>
    <row r="16346" spans="1:4" x14ac:dyDescent="0.2">
      <c r="A16346" s="496"/>
      <c r="D16346" s="496"/>
    </row>
    <row r="16347" spans="1:4" x14ac:dyDescent="0.2">
      <c r="A16347" s="496"/>
      <c r="D16347" s="496"/>
    </row>
    <row r="16348" spans="1:4" x14ac:dyDescent="0.2">
      <c r="A16348" s="496"/>
      <c r="D16348" s="496"/>
    </row>
    <row r="16349" spans="1:4" x14ac:dyDescent="0.2">
      <c r="A16349" s="496"/>
      <c r="D16349" s="496"/>
    </row>
    <row r="16350" spans="1:4" x14ac:dyDescent="0.2">
      <c r="A16350" s="496"/>
      <c r="D16350" s="496"/>
    </row>
    <row r="16351" spans="1:4" x14ac:dyDescent="0.2">
      <c r="A16351" s="496"/>
      <c r="D16351" s="496"/>
    </row>
    <row r="16352" spans="1:4" x14ac:dyDescent="0.2">
      <c r="A16352" s="496"/>
      <c r="D16352" s="496"/>
    </row>
    <row r="16353" spans="1:4" x14ac:dyDescent="0.2">
      <c r="A16353" s="496"/>
      <c r="D16353" s="496"/>
    </row>
    <row r="16354" spans="1:4" x14ac:dyDescent="0.2">
      <c r="A16354" s="496"/>
      <c r="D16354" s="496"/>
    </row>
    <row r="16355" spans="1:4" x14ac:dyDescent="0.2">
      <c r="A16355" s="496"/>
      <c r="D16355" s="496"/>
    </row>
    <row r="16356" spans="1:4" x14ac:dyDescent="0.2">
      <c r="A16356" s="496"/>
      <c r="D16356" s="496"/>
    </row>
    <row r="16357" spans="1:4" x14ac:dyDescent="0.2">
      <c r="A16357" s="496"/>
      <c r="D16357" s="496"/>
    </row>
    <row r="16358" spans="1:4" x14ac:dyDescent="0.2">
      <c r="A16358" s="496"/>
      <c r="D16358" s="496"/>
    </row>
    <row r="16359" spans="1:4" x14ac:dyDescent="0.2">
      <c r="A16359" s="496"/>
      <c r="D16359" s="496"/>
    </row>
    <row r="16360" spans="1:4" x14ac:dyDescent="0.2">
      <c r="A16360" s="496"/>
      <c r="D16360" s="496"/>
    </row>
    <row r="16361" spans="1:4" x14ac:dyDescent="0.2">
      <c r="A16361" s="496"/>
      <c r="D16361" s="496"/>
    </row>
    <row r="16362" spans="1:4" x14ac:dyDescent="0.2">
      <c r="A16362" s="496"/>
      <c r="D16362" s="496"/>
    </row>
    <row r="16363" spans="1:4" x14ac:dyDescent="0.2">
      <c r="A16363" s="496"/>
      <c r="D16363" s="496"/>
    </row>
    <row r="16364" spans="1:4" x14ac:dyDescent="0.2">
      <c r="A16364" s="496"/>
      <c r="D16364" s="496"/>
    </row>
    <row r="16365" spans="1:4" x14ac:dyDescent="0.2">
      <c r="A16365" s="496"/>
      <c r="D16365" s="496"/>
    </row>
    <row r="16366" spans="1:4" x14ac:dyDescent="0.2">
      <c r="A16366" s="496"/>
      <c r="D16366" s="496"/>
    </row>
    <row r="16367" spans="1:4" x14ac:dyDescent="0.2">
      <c r="A16367" s="496"/>
      <c r="D16367" s="496"/>
    </row>
    <row r="16368" spans="1:4" x14ac:dyDescent="0.2">
      <c r="A16368" s="496"/>
      <c r="D16368" s="496"/>
    </row>
    <row r="16369" spans="1:4" x14ac:dyDescent="0.2">
      <c r="A16369" s="496"/>
      <c r="D16369" s="496"/>
    </row>
    <row r="16370" spans="1:4" x14ac:dyDescent="0.2">
      <c r="A16370" s="496"/>
      <c r="D16370" s="496"/>
    </row>
    <row r="16371" spans="1:4" x14ac:dyDescent="0.2">
      <c r="A16371" s="496"/>
      <c r="D16371" s="496"/>
    </row>
    <row r="16372" spans="1:4" x14ac:dyDescent="0.2">
      <c r="A16372" s="496"/>
      <c r="D16372" s="496"/>
    </row>
    <row r="16373" spans="1:4" x14ac:dyDescent="0.2">
      <c r="A16373" s="496"/>
      <c r="D16373" s="496"/>
    </row>
    <row r="16374" spans="1:4" x14ac:dyDescent="0.2">
      <c r="A16374" s="496"/>
      <c r="D16374" s="496"/>
    </row>
    <row r="16375" spans="1:4" x14ac:dyDescent="0.2">
      <c r="A16375" s="496"/>
      <c r="D16375" s="496"/>
    </row>
    <row r="16376" spans="1:4" x14ac:dyDescent="0.2">
      <c r="A16376" s="496"/>
      <c r="D16376" s="496"/>
    </row>
    <row r="16377" spans="1:4" x14ac:dyDescent="0.2">
      <c r="A16377" s="496"/>
      <c r="D16377" s="496"/>
    </row>
    <row r="16378" spans="1:4" x14ac:dyDescent="0.2">
      <c r="A16378" s="496"/>
      <c r="D16378" s="496"/>
    </row>
    <row r="16379" spans="1:4" x14ac:dyDescent="0.2">
      <c r="A16379" s="496"/>
      <c r="D16379" s="496"/>
    </row>
    <row r="16380" spans="1:4" x14ac:dyDescent="0.2">
      <c r="A16380" s="496"/>
      <c r="D16380" s="496"/>
    </row>
    <row r="16381" spans="1:4" x14ac:dyDescent="0.2">
      <c r="A16381" s="496"/>
      <c r="D16381" s="496"/>
    </row>
    <row r="16382" spans="1:4" x14ac:dyDescent="0.2">
      <c r="A16382" s="496"/>
      <c r="D16382" s="496"/>
    </row>
    <row r="16383" spans="1:4" x14ac:dyDescent="0.2">
      <c r="A16383" s="496"/>
      <c r="D16383" s="496"/>
    </row>
    <row r="16384" spans="1:4" x14ac:dyDescent="0.2">
      <c r="A16384" s="496"/>
      <c r="D16384" s="496"/>
    </row>
    <row r="16385" spans="1:4" x14ac:dyDescent="0.2">
      <c r="A16385" s="496"/>
      <c r="D16385" s="496"/>
    </row>
    <row r="16386" spans="1:4" x14ac:dyDescent="0.2">
      <c r="A16386" s="496"/>
      <c r="D16386" s="496"/>
    </row>
    <row r="16387" spans="1:4" x14ac:dyDescent="0.2">
      <c r="A16387" s="496"/>
      <c r="D16387" s="496"/>
    </row>
    <row r="16388" spans="1:4" x14ac:dyDescent="0.2">
      <c r="A16388" s="496"/>
      <c r="D16388" s="496"/>
    </row>
    <row r="16389" spans="1:4" x14ac:dyDescent="0.2">
      <c r="A16389" s="496"/>
      <c r="D16389" s="496"/>
    </row>
    <row r="16390" spans="1:4" x14ac:dyDescent="0.2">
      <c r="A16390" s="496"/>
      <c r="D16390" s="496"/>
    </row>
    <row r="16391" spans="1:4" x14ac:dyDescent="0.2">
      <c r="A16391" s="496"/>
      <c r="D16391" s="496"/>
    </row>
    <row r="16392" spans="1:4" x14ac:dyDescent="0.2">
      <c r="A16392" s="496"/>
      <c r="D16392" s="496"/>
    </row>
    <row r="16393" spans="1:4" x14ac:dyDescent="0.2">
      <c r="A16393" s="496"/>
      <c r="D16393" s="496"/>
    </row>
    <row r="16394" spans="1:4" x14ac:dyDescent="0.2">
      <c r="A16394" s="496"/>
      <c r="D16394" s="496"/>
    </row>
    <row r="16395" spans="1:4" x14ac:dyDescent="0.2">
      <c r="A16395" s="496"/>
      <c r="D16395" s="496"/>
    </row>
    <row r="16396" spans="1:4" x14ac:dyDescent="0.2">
      <c r="A16396" s="496"/>
      <c r="D16396" s="496"/>
    </row>
    <row r="16397" spans="1:4" x14ac:dyDescent="0.2">
      <c r="A16397" s="496"/>
      <c r="D16397" s="496"/>
    </row>
    <row r="16398" spans="1:4" x14ac:dyDescent="0.2">
      <c r="A16398" s="496"/>
      <c r="D16398" s="496"/>
    </row>
    <row r="16399" spans="1:4" x14ac:dyDescent="0.2">
      <c r="A16399" s="496"/>
      <c r="D16399" s="496"/>
    </row>
    <row r="16400" spans="1:4" x14ac:dyDescent="0.2">
      <c r="A16400" s="496"/>
      <c r="D16400" s="496"/>
    </row>
    <row r="16401" spans="1:4" x14ac:dyDescent="0.2">
      <c r="A16401" s="496"/>
      <c r="D16401" s="496"/>
    </row>
    <row r="16402" spans="1:4" x14ac:dyDescent="0.2">
      <c r="A16402" s="496"/>
      <c r="D16402" s="496"/>
    </row>
    <row r="16403" spans="1:4" x14ac:dyDescent="0.2">
      <c r="A16403" s="496"/>
      <c r="D16403" s="496"/>
    </row>
    <row r="16404" spans="1:4" x14ac:dyDescent="0.2">
      <c r="A16404" s="496"/>
      <c r="D16404" s="496"/>
    </row>
    <row r="16405" spans="1:4" x14ac:dyDescent="0.2">
      <c r="A16405" s="496"/>
      <c r="D16405" s="496"/>
    </row>
    <row r="16406" spans="1:4" x14ac:dyDescent="0.2">
      <c r="A16406" s="496"/>
      <c r="D16406" s="496"/>
    </row>
    <row r="16407" spans="1:4" x14ac:dyDescent="0.2">
      <c r="A16407" s="496"/>
      <c r="D16407" s="496"/>
    </row>
    <row r="16408" spans="1:4" x14ac:dyDescent="0.2">
      <c r="A16408" s="496"/>
      <c r="D16408" s="496"/>
    </row>
    <row r="16409" spans="1:4" x14ac:dyDescent="0.2">
      <c r="A16409" s="496"/>
      <c r="D16409" s="496"/>
    </row>
    <row r="16410" spans="1:4" x14ac:dyDescent="0.2">
      <c r="A16410" s="496"/>
      <c r="D16410" s="496"/>
    </row>
    <row r="16411" spans="1:4" x14ac:dyDescent="0.2">
      <c r="A16411" s="496"/>
      <c r="D16411" s="496"/>
    </row>
    <row r="16412" spans="1:4" x14ac:dyDescent="0.2">
      <c r="A16412" s="496"/>
      <c r="D16412" s="496"/>
    </row>
    <row r="16413" spans="1:4" x14ac:dyDescent="0.2">
      <c r="A16413" s="496"/>
      <c r="D16413" s="496"/>
    </row>
    <row r="16414" spans="1:4" x14ac:dyDescent="0.2">
      <c r="A16414" s="496"/>
      <c r="D16414" s="496"/>
    </row>
    <row r="16415" spans="1:4" x14ac:dyDescent="0.2">
      <c r="A16415" s="496"/>
      <c r="D16415" s="496"/>
    </row>
    <row r="16416" spans="1:4" x14ac:dyDescent="0.2">
      <c r="A16416" s="496"/>
      <c r="D16416" s="496"/>
    </row>
    <row r="16417" spans="1:4" x14ac:dyDescent="0.2">
      <c r="A16417" s="496"/>
      <c r="D16417" s="496"/>
    </row>
    <row r="16418" spans="1:4" x14ac:dyDescent="0.2">
      <c r="A16418" s="496"/>
      <c r="D16418" s="496"/>
    </row>
    <row r="16419" spans="1:4" x14ac:dyDescent="0.2">
      <c r="A16419" s="496"/>
      <c r="D16419" s="496"/>
    </row>
    <row r="16420" spans="1:4" x14ac:dyDescent="0.2">
      <c r="A16420" s="496"/>
      <c r="D16420" s="496"/>
    </row>
    <row r="16421" spans="1:4" x14ac:dyDescent="0.2">
      <c r="A16421" s="496"/>
      <c r="D16421" s="496"/>
    </row>
    <row r="16422" spans="1:4" x14ac:dyDescent="0.2">
      <c r="A16422" s="496"/>
      <c r="D16422" s="496"/>
    </row>
    <row r="16423" spans="1:4" x14ac:dyDescent="0.2">
      <c r="A16423" s="496"/>
      <c r="D16423" s="496"/>
    </row>
    <row r="16424" spans="1:4" x14ac:dyDescent="0.2">
      <c r="A16424" s="496"/>
      <c r="D16424" s="496"/>
    </row>
    <row r="16425" spans="1:4" x14ac:dyDescent="0.2">
      <c r="A16425" s="496"/>
      <c r="D16425" s="496"/>
    </row>
    <row r="16426" spans="1:4" x14ac:dyDescent="0.2">
      <c r="A16426" s="496"/>
      <c r="D16426" s="496"/>
    </row>
    <row r="16427" spans="1:4" x14ac:dyDescent="0.2">
      <c r="A16427" s="496"/>
      <c r="D16427" s="496"/>
    </row>
    <row r="16428" spans="1:4" x14ac:dyDescent="0.2">
      <c r="A16428" s="496"/>
      <c r="D16428" s="496"/>
    </row>
    <row r="16429" spans="1:4" x14ac:dyDescent="0.2">
      <c r="A16429" s="496"/>
      <c r="D16429" s="496"/>
    </row>
    <row r="16430" spans="1:4" x14ac:dyDescent="0.2">
      <c r="A16430" s="496"/>
      <c r="D16430" s="496"/>
    </row>
    <row r="16431" spans="1:4" x14ac:dyDescent="0.2">
      <c r="A16431" s="496"/>
      <c r="D16431" s="496"/>
    </row>
    <row r="16432" spans="1:4" x14ac:dyDescent="0.2">
      <c r="A16432" s="496"/>
      <c r="D16432" s="496"/>
    </row>
    <row r="16433" spans="1:4" x14ac:dyDescent="0.2">
      <c r="A16433" s="496"/>
      <c r="D16433" s="496"/>
    </row>
    <row r="16434" spans="1:4" x14ac:dyDescent="0.2">
      <c r="A16434" s="496"/>
      <c r="D16434" s="496"/>
    </row>
    <row r="16435" spans="1:4" x14ac:dyDescent="0.2">
      <c r="A16435" s="496"/>
      <c r="D16435" s="496"/>
    </row>
    <row r="16436" spans="1:4" x14ac:dyDescent="0.2">
      <c r="A16436" s="496"/>
      <c r="D16436" s="496"/>
    </row>
    <row r="16437" spans="1:4" x14ac:dyDescent="0.2">
      <c r="A16437" s="496"/>
      <c r="D16437" s="496"/>
    </row>
    <row r="16438" spans="1:4" x14ac:dyDescent="0.2">
      <c r="A16438" s="496"/>
      <c r="D16438" s="496"/>
    </row>
    <row r="16439" spans="1:4" x14ac:dyDescent="0.2">
      <c r="A16439" s="496"/>
      <c r="D16439" s="496"/>
    </row>
    <row r="16440" spans="1:4" x14ac:dyDescent="0.2">
      <c r="A16440" s="496"/>
      <c r="D16440" s="496"/>
    </row>
    <row r="16441" spans="1:4" x14ac:dyDescent="0.2">
      <c r="A16441" s="496"/>
      <c r="D16441" s="496"/>
    </row>
    <row r="16442" spans="1:4" x14ac:dyDescent="0.2">
      <c r="A16442" s="496"/>
      <c r="D16442" s="496"/>
    </row>
    <row r="16443" spans="1:4" x14ac:dyDescent="0.2">
      <c r="A16443" s="496"/>
      <c r="D16443" s="496"/>
    </row>
    <row r="16444" spans="1:4" x14ac:dyDescent="0.2">
      <c r="A16444" s="496"/>
      <c r="D16444" s="496"/>
    </row>
    <row r="16445" spans="1:4" x14ac:dyDescent="0.2">
      <c r="A16445" s="496"/>
      <c r="D16445" s="496"/>
    </row>
    <row r="16446" spans="1:4" x14ac:dyDescent="0.2">
      <c r="A16446" s="496"/>
      <c r="D16446" s="496"/>
    </row>
    <row r="16447" spans="1:4" x14ac:dyDescent="0.2">
      <c r="A16447" s="496"/>
      <c r="D16447" s="496"/>
    </row>
    <row r="16448" spans="1:4" x14ac:dyDescent="0.2">
      <c r="A16448" s="496"/>
      <c r="D16448" s="496"/>
    </row>
    <row r="16449" spans="1:4" x14ac:dyDescent="0.2">
      <c r="A16449" s="496"/>
      <c r="D16449" s="496"/>
    </row>
    <row r="16450" spans="1:4" x14ac:dyDescent="0.2">
      <c r="A16450" s="496"/>
      <c r="D16450" s="496"/>
    </row>
    <row r="16451" spans="1:4" x14ac:dyDescent="0.2">
      <c r="A16451" s="496"/>
      <c r="D16451" s="496"/>
    </row>
    <row r="16452" spans="1:4" x14ac:dyDescent="0.2">
      <c r="A16452" s="496"/>
      <c r="D16452" s="496"/>
    </row>
    <row r="16453" spans="1:4" x14ac:dyDescent="0.2">
      <c r="A16453" s="496"/>
      <c r="D16453" s="496"/>
    </row>
    <row r="16454" spans="1:4" x14ac:dyDescent="0.2">
      <c r="A16454" s="496"/>
      <c r="D16454" s="496"/>
    </row>
    <row r="16455" spans="1:4" x14ac:dyDescent="0.2">
      <c r="A16455" s="496"/>
      <c r="D16455" s="496"/>
    </row>
    <row r="16456" spans="1:4" x14ac:dyDescent="0.2">
      <c r="A16456" s="496"/>
      <c r="D16456" s="496"/>
    </row>
    <row r="16457" spans="1:4" x14ac:dyDescent="0.2">
      <c r="A16457" s="496"/>
      <c r="D16457" s="496"/>
    </row>
    <row r="16458" spans="1:4" x14ac:dyDescent="0.2">
      <c r="A16458" s="496"/>
      <c r="D16458" s="496"/>
    </row>
    <row r="16459" spans="1:4" x14ac:dyDescent="0.2">
      <c r="A16459" s="496"/>
      <c r="D16459" s="496"/>
    </row>
    <row r="16460" spans="1:4" x14ac:dyDescent="0.2">
      <c r="A16460" s="496"/>
      <c r="D16460" s="496"/>
    </row>
    <row r="16461" spans="1:4" x14ac:dyDescent="0.2">
      <c r="A16461" s="496"/>
      <c r="D16461" s="496"/>
    </row>
    <row r="16462" spans="1:4" x14ac:dyDescent="0.2">
      <c r="A16462" s="496"/>
      <c r="D16462" s="496"/>
    </row>
    <row r="16463" spans="1:4" x14ac:dyDescent="0.2">
      <c r="A16463" s="496"/>
      <c r="D16463" s="496"/>
    </row>
    <row r="16464" spans="1:4" x14ac:dyDescent="0.2">
      <c r="A16464" s="496"/>
      <c r="D16464" s="496"/>
    </row>
    <row r="16465" spans="1:4" x14ac:dyDescent="0.2">
      <c r="A16465" s="496"/>
      <c r="D16465" s="496"/>
    </row>
    <row r="16466" spans="1:4" x14ac:dyDescent="0.2">
      <c r="A16466" s="496"/>
      <c r="D16466" s="496"/>
    </row>
    <row r="16467" spans="1:4" x14ac:dyDescent="0.2">
      <c r="A16467" s="496"/>
      <c r="D16467" s="496"/>
    </row>
    <row r="16468" spans="1:4" x14ac:dyDescent="0.2">
      <c r="A16468" s="496"/>
      <c r="D16468" s="496"/>
    </row>
    <row r="16469" spans="1:4" x14ac:dyDescent="0.2">
      <c r="A16469" s="496"/>
      <c r="D16469" s="496"/>
    </row>
    <row r="16470" spans="1:4" x14ac:dyDescent="0.2">
      <c r="A16470" s="496"/>
      <c r="D16470" s="496"/>
    </row>
    <row r="16471" spans="1:4" x14ac:dyDescent="0.2">
      <c r="A16471" s="496"/>
      <c r="D16471" s="496"/>
    </row>
    <row r="16472" spans="1:4" x14ac:dyDescent="0.2">
      <c r="A16472" s="496"/>
      <c r="D16472" s="496"/>
    </row>
    <row r="16473" spans="1:4" x14ac:dyDescent="0.2">
      <c r="A16473" s="496"/>
      <c r="D16473" s="496"/>
    </row>
    <row r="16474" spans="1:4" x14ac:dyDescent="0.2">
      <c r="A16474" s="496"/>
      <c r="D16474" s="496"/>
    </row>
    <row r="16475" spans="1:4" x14ac:dyDescent="0.2">
      <c r="A16475" s="496"/>
      <c r="D16475" s="496"/>
    </row>
    <row r="16476" spans="1:4" x14ac:dyDescent="0.2">
      <c r="A16476" s="496"/>
      <c r="D16476" s="496"/>
    </row>
    <row r="16477" spans="1:4" x14ac:dyDescent="0.2">
      <c r="A16477" s="496"/>
      <c r="D16477" s="496"/>
    </row>
    <row r="16478" spans="1:4" x14ac:dyDescent="0.2">
      <c r="A16478" s="496"/>
      <c r="D16478" s="496"/>
    </row>
    <row r="16479" spans="1:4" x14ac:dyDescent="0.2">
      <c r="A16479" s="496"/>
      <c r="D16479" s="496"/>
    </row>
    <row r="16480" spans="1:4" x14ac:dyDescent="0.2">
      <c r="A16480" s="496"/>
      <c r="D16480" s="496"/>
    </row>
    <row r="16481" spans="1:4" x14ac:dyDescent="0.2">
      <c r="A16481" s="496"/>
      <c r="D16481" s="496"/>
    </row>
    <row r="16482" spans="1:4" x14ac:dyDescent="0.2">
      <c r="A16482" s="496"/>
      <c r="D16482" s="496"/>
    </row>
    <row r="16483" spans="1:4" x14ac:dyDescent="0.2">
      <c r="A16483" s="496"/>
      <c r="D16483" s="496"/>
    </row>
    <row r="16484" spans="1:4" x14ac:dyDescent="0.2">
      <c r="A16484" s="496"/>
      <c r="D16484" s="496"/>
    </row>
    <row r="16485" spans="1:4" x14ac:dyDescent="0.2">
      <c r="A16485" s="496"/>
      <c r="D16485" s="496"/>
    </row>
    <row r="16486" spans="1:4" x14ac:dyDescent="0.2">
      <c r="A16486" s="496"/>
      <c r="D16486" s="496"/>
    </row>
    <row r="16487" spans="1:4" x14ac:dyDescent="0.2">
      <c r="A16487" s="496"/>
      <c r="D16487" s="496"/>
    </row>
    <row r="16488" spans="1:4" x14ac:dyDescent="0.2">
      <c r="A16488" s="496"/>
      <c r="D16488" s="496"/>
    </row>
    <row r="16489" spans="1:4" x14ac:dyDescent="0.2">
      <c r="A16489" s="496"/>
      <c r="D16489" s="496"/>
    </row>
    <row r="16490" spans="1:4" x14ac:dyDescent="0.2">
      <c r="A16490" s="496"/>
      <c r="D16490" s="496"/>
    </row>
    <row r="16491" spans="1:4" x14ac:dyDescent="0.2">
      <c r="A16491" s="496"/>
      <c r="D16491" s="496"/>
    </row>
    <row r="16492" spans="1:4" x14ac:dyDescent="0.2">
      <c r="A16492" s="496"/>
      <c r="D16492" s="496"/>
    </row>
    <row r="16493" spans="1:4" x14ac:dyDescent="0.2">
      <c r="A16493" s="496"/>
      <c r="D16493" s="496"/>
    </row>
    <row r="16494" spans="1:4" x14ac:dyDescent="0.2">
      <c r="A16494" s="496"/>
      <c r="D16494" s="496"/>
    </row>
    <row r="16495" spans="1:4" x14ac:dyDescent="0.2">
      <c r="A16495" s="496"/>
      <c r="D16495" s="496"/>
    </row>
    <row r="16496" spans="1:4" x14ac:dyDescent="0.2">
      <c r="A16496" s="496"/>
      <c r="D16496" s="496"/>
    </row>
    <row r="16497" spans="1:4" x14ac:dyDescent="0.2">
      <c r="A16497" s="496"/>
      <c r="D16497" s="496"/>
    </row>
    <row r="16498" spans="1:4" x14ac:dyDescent="0.2">
      <c r="A16498" s="496"/>
      <c r="D16498" s="496"/>
    </row>
    <row r="16499" spans="1:4" x14ac:dyDescent="0.2">
      <c r="A16499" s="496"/>
      <c r="D16499" s="496"/>
    </row>
    <row r="16500" spans="1:4" x14ac:dyDescent="0.2">
      <c r="A16500" s="496"/>
      <c r="D16500" s="496"/>
    </row>
    <row r="16501" spans="1:4" x14ac:dyDescent="0.2">
      <c r="A16501" s="496"/>
      <c r="D16501" s="496"/>
    </row>
    <row r="16502" spans="1:4" x14ac:dyDescent="0.2">
      <c r="A16502" s="496"/>
      <c r="D16502" s="496"/>
    </row>
    <row r="16503" spans="1:4" x14ac:dyDescent="0.2">
      <c r="A16503" s="496"/>
      <c r="D16503" s="496"/>
    </row>
    <row r="16504" spans="1:4" x14ac:dyDescent="0.2">
      <c r="A16504" s="496"/>
      <c r="D16504" s="496"/>
    </row>
    <row r="16505" spans="1:4" x14ac:dyDescent="0.2">
      <c r="A16505" s="496"/>
      <c r="D16505" s="496"/>
    </row>
    <row r="16506" spans="1:4" x14ac:dyDescent="0.2">
      <c r="A16506" s="496"/>
      <c r="D16506" s="496"/>
    </row>
    <row r="16507" spans="1:4" x14ac:dyDescent="0.2">
      <c r="A16507" s="496"/>
      <c r="D16507" s="496"/>
    </row>
    <row r="16508" spans="1:4" x14ac:dyDescent="0.2">
      <c r="A16508" s="496"/>
      <c r="D16508" s="496"/>
    </row>
    <row r="16509" spans="1:4" x14ac:dyDescent="0.2">
      <c r="A16509" s="496"/>
      <c r="D16509" s="496"/>
    </row>
    <row r="16510" spans="1:4" x14ac:dyDescent="0.2">
      <c r="A16510" s="496"/>
      <c r="D16510" s="496"/>
    </row>
    <row r="16511" spans="1:4" x14ac:dyDescent="0.2">
      <c r="A16511" s="496"/>
      <c r="D16511" s="496"/>
    </row>
    <row r="16512" spans="1:4" x14ac:dyDescent="0.2">
      <c r="A16512" s="496"/>
      <c r="D16512" s="496"/>
    </row>
    <row r="16513" spans="1:4" x14ac:dyDescent="0.2">
      <c r="A16513" s="496"/>
      <c r="D16513" s="496"/>
    </row>
    <row r="16514" spans="1:4" x14ac:dyDescent="0.2">
      <c r="A16514" s="496"/>
      <c r="D16514" s="496"/>
    </row>
    <row r="16515" spans="1:4" x14ac:dyDescent="0.2">
      <c r="A16515" s="496"/>
      <c r="D16515" s="496"/>
    </row>
    <row r="16516" spans="1:4" x14ac:dyDescent="0.2">
      <c r="A16516" s="496"/>
      <c r="D16516" s="496"/>
    </row>
    <row r="16517" spans="1:4" x14ac:dyDescent="0.2">
      <c r="A16517" s="496"/>
      <c r="D16517" s="496"/>
    </row>
    <row r="16518" spans="1:4" x14ac:dyDescent="0.2">
      <c r="A16518" s="496"/>
      <c r="D16518" s="496"/>
    </row>
    <row r="16519" spans="1:4" x14ac:dyDescent="0.2">
      <c r="A16519" s="496"/>
      <c r="D16519" s="496"/>
    </row>
    <row r="16520" spans="1:4" x14ac:dyDescent="0.2">
      <c r="A16520" s="496"/>
      <c r="D16520" s="496"/>
    </row>
    <row r="16521" spans="1:4" x14ac:dyDescent="0.2">
      <c r="A16521" s="496"/>
      <c r="D16521" s="496"/>
    </row>
    <row r="16522" spans="1:4" x14ac:dyDescent="0.2">
      <c r="A16522" s="496"/>
      <c r="D16522" s="496"/>
    </row>
    <row r="16523" spans="1:4" x14ac:dyDescent="0.2">
      <c r="A16523" s="496"/>
      <c r="D16523" s="496"/>
    </row>
    <row r="16524" spans="1:4" x14ac:dyDescent="0.2">
      <c r="A16524" s="496"/>
      <c r="D16524" s="496"/>
    </row>
    <row r="16525" spans="1:4" x14ac:dyDescent="0.2">
      <c r="A16525" s="496"/>
      <c r="D16525" s="496"/>
    </row>
    <row r="16526" spans="1:4" x14ac:dyDescent="0.2">
      <c r="A16526" s="496"/>
      <c r="D16526" s="496"/>
    </row>
    <row r="16527" spans="1:4" x14ac:dyDescent="0.2">
      <c r="A16527" s="496"/>
      <c r="D16527" s="496"/>
    </row>
    <row r="16528" spans="1:4" x14ac:dyDescent="0.2">
      <c r="A16528" s="496"/>
      <c r="D16528" s="496"/>
    </row>
    <row r="16529" spans="1:4" x14ac:dyDescent="0.2">
      <c r="A16529" s="496"/>
      <c r="D16529" s="496"/>
    </row>
    <row r="16530" spans="1:4" x14ac:dyDescent="0.2">
      <c r="A16530" s="496"/>
      <c r="D16530" s="496"/>
    </row>
    <row r="16531" spans="1:4" x14ac:dyDescent="0.2">
      <c r="A16531" s="496"/>
      <c r="D16531" s="496"/>
    </row>
    <row r="16532" spans="1:4" x14ac:dyDescent="0.2">
      <c r="A16532" s="496"/>
      <c r="D16532" s="496"/>
    </row>
    <row r="16533" spans="1:4" x14ac:dyDescent="0.2">
      <c r="A16533" s="496"/>
      <c r="D16533" s="496"/>
    </row>
    <row r="16534" spans="1:4" x14ac:dyDescent="0.2">
      <c r="A16534" s="496"/>
      <c r="D16534" s="496"/>
    </row>
    <row r="16535" spans="1:4" x14ac:dyDescent="0.2">
      <c r="A16535" s="496"/>
      <c r="D16535" s="496"/>
    </row>
    <row r="16536" spans="1:4" x14ac:dyDescent="0.2">
      <c r="A16536" s="496"/>
      <c r="D16536" s="496"/>
    </row>
    <row r="16537" spans="1:4" x14ac:dyDescent="0.2">
      <c r="A16537" s="496"/>
      <c r="D16537" s="496"/>
    </row>
    <row r="16538" spans="1:4" x14ac:dyDescent="0.2">
      <c r="A16538" s="496"/>
      <c r="D16538" s="496"/>
    </row>
    <row r="16539" spans="1:4" x14ac:dyDescent="0.2">
      <c r="A16539" s="496"/>
      <c r="D16539" s="496"/>
    </row>
    <row r="16540" spans="1:4" x14ac:dyDescent="0.2">
      <c r="A16540" s="496"/>
      <c r="D16540" s="496"/>
    </row>
    <row r="16541" spans="1:4" x14ac:dyDescent="0.2">
      <c r="A16541" s="496"/>
      <c r="D16541" s="496"/>
    </row>
    <row r="16542" spans="1:4" x14ac:dyDescent="0.2">
      <c r="A16542" s="496"/>
      <c r="D16542" s="496"/>
    </row>
    <row r="16543" spans="1:4" x14ac:dyDescent="0.2">
      <c r="A16543" s="496"/>
      <c r="D16543" s="496"/>
    </row>
    <row r="16544" spans="1:4" x14ac:dyDescent="0.2">
      <c r="A16544" s="496"/>
      <c r="D16544" s="496"/>
    </row>
    <row r="16545" spans="1:4" x14ac:dyDescent="0.2">
      <c r="A16545" s="496"/>
      <c r="D16545" s="496"/>
    </row>
    <row r="16546" spans="1:4" x14ac:dyDescent="0.2">
      <c r="A16546" s="496"/>
      <c r="D16546" s="496"/>
    </row>
    <row r="16547" spans="1:4" x14ac:dyDescent="0.2">
      <c r="A16547" s="496"/>
      <c r="D16547" s="496"/>
    </row>
    <row r="16548" spans="1:4" x14ac:dyDescent="0.2">
      <c r="A16548" s="496"/>
      <c r="D16548" s="496"/>
    </row>
    <row r="16549" spans="1:4" x14ac:dyDescent="0.2">
      <c r="A16549" s="496"/>
      <c r="D16549" s="496"/>
    </row>
    <row r="16550" spans="1:4" x14ac:dyDescent="0.2">
      <c r="A16550" s="496"/>
      <c r="D16550" s="496"/>
    </row>
    <row r="16551" spans="1:4" x14ac:dyDescent="0.2">
      <c r="A16551" s="496"/>
      <c r="D16551" s="496"/>
    </row>
    <row r="16552" spans="1:4" x14ac:dyDescent="0.2">
      <c r="A16552" s="496"/>
      <c r="D16552" s="496"/>
    </row>
    <row r="16553" spans="1:4" x14ac:dyDescent="0.2">
      <c r="A16553" s="496"/>
      <c r="D16553" s="496"/>
    </row>
    <row r="16554" spans="1:4" x14ac:dyDescent="0.2">
      <c r="A16554" s="496"/>
      <c r="D16554" s="496"/>
    </row>
    <row r="16555" spans="1:4" x14ac:dyDescent="0.2">
      <c r="A16555" s="496"/>
      <c r="D16555" s="496"/>
    </row>
    <row r="16556" spans="1:4" x14ac:dyDescent="0.2">
      <c r="A16556" s="496"/>
      <c r="D16556" s="496"/>
    </row>
    <row r="16557" spans="1:4" x14ac:dyDescent="0.2">
      <c r="A16557" s="496"/>
      <c r="D16557" s="496"/>
    </row>
    <row r="16558" spans="1:4" x14ac:dyDescent="0.2">
      <c r="A16558" s="496"/>
      <c r="D16558" s="496"/>
    </row>
    <row r="16559" spans="1:4" x14ac:dyDescent="0.2">
      <c r="A16559" s="496"/>
      <c r="D16559" s="496"/>
    </row>
    <row r="16560" spans="1:4" x14ac:dyDescent="0.2">
      <c r="A16560" s="496"/>
      <c r="D16560" s="496"/>
    </row>
    <row r="16561" spans="1:4" x14ac:dyDescent="0.2">
      <c r="A16561" s="496"/>
      <c r="D16561" s="496"/>
    </row>
    <row r="16562" spans="1:4" x14ac:dyDescent="0.2">
      <c r="A16562" s="496"/>
      <c r="D16562" s="496"/>
    </row>
    <row r="16563" spans="1:4" x14ac:dyDescent="0.2">
      <c r="A16563" s="496"/>
      <c r="D16563" s="496"/>
    </row>
    <row r="16564" spans="1:4" x14ac:dyDescent="0.2">
      <c r="A16564" s="496"/>
      <c r="D16564" s="496"/>
    </row>
    <row r="16565" spans="1:4" x14ac:dyDescent="0.2">
      <c r="A16565" s="496"/>
      <c r="D16565" s="496"/>
    </row>
    <row r="16566" spans="1:4" x14ac:dyDescent="0.2">
      <c r="A16566" s="496"/>
      <c r="D16566" s="496"/>
    </row>
    <row r="16567" spans="1:4" x14ac:dyDescent="0.2">
      <c r="A16567" s="496"/>
      <c r="D16567" s="496"/>
    </row>
    <row r="16568" spans="1:4" x14ac:dyDescent="0.2">
      <c r="A16568" s="496"/>
      <c r="D16568" s="496"/>
    </row>
    <row r="16569" spans="1:4" x14ac:dyDescent="0.2">
      <c r="A16569" s="496"/>
      <c r="D16569" s="496"/>
    </row>
    <row r="16570" spans="1:4" x14ac:dyDescent="0.2">
      <c r="A16570" s="496"/>
      <c r="D16570" s="496"/>
    </row>
    <row r="16571" spans="1:4" x14ac:dyDescent="0.2">
      <c r="A16571" s="496"/>
      <c r="D16571" s="496"/>
    </row>
    <row r="16572" spans="1:4" x14ac:dyDescent="0.2">
      <c r="A16572" s="496"/>
      <c r="D16572" s="496"/>
    </row>
    <row r="16573" spans="1:4" x14ac:dyDescent="0.2">
      <c r="A16573" s="496"/>
      <c r="D16573" s="496"/>
    </row>
    <row r="16574" spans="1:4" x14ac:dyDescent="0.2">
      <c r="A16574" s="496"/>
      <c r="D16574" s="496"/>
    </row>
    <row r="16575" spans="1:4" x14ac:dyDescent="0.2">
      <c r="A16575" s="496"/>
      <c r="D16575" s="496"/>
    </row>
    <row r="16576" spans="1:4" x14ac:dyDescent="0.2">
      <c r="A16576" s="496"/>
      <c r="D16576" s="496"/>
    </row>
    <row r="16577" spans="1:4" x14ac:dyDescent="0.2">
      <c r="A16577" s="496"/>
      <c r="D16577" s="496"/>
    </row>
    <row r="16578" spans="1:4" x14ac:dyDescent="0.2">
      <c r="A16578" s="496"/>
      <c r="D16578" s="496"/>
    </row>
    <row r="16579" spans="1:4" x14ac:dyDescent="0.2">
      <c r="A16579" s="496"/>
      <c r="D16579" s="496"/>
    </row>
    <row r="16580" spans="1:4" x14ac:dyDescent="0.2">
      <c r="A16580" s="496"/>
      <c r="D16580" s="496"/>
    </row>
    <row r="16581" spans="1:4" x14ac:dyDescent="0.2">
      <c r="A16581" s="496"/>
      <c r="D16581" s="496"/>
    </row>
    <row r="16582" spans="1:4" x14ac:dyDescent="0.2">
      <c r="A16582" s="496"/>
      <c r="D16582" s="496"/>
    </row>
    <row r="16583" spans="1:4" x14ac:dyDescent="0.2">
      <c r="A16583" s="496"/>
      <c r="D16583" s="496"/>
    </row>
    <row r="16584" spans="1:4" x14ac:dyDescent="0.2">
      <c r="A16584" s="496"/>
      <c r="D16584" s="496"/>
    </row>
    <row r="16585" spans="1:4" x14ac:dyDescent="0.2">
      <c r="A16585" s="496"/>
      <c r="D16585" s="496"/>
    </row>
    <row r="16586" spans="1:4" x14ac:dyDescent="0.2">
      <c r="A16586" s="496"/>
      <c r="D16586" s="496"/>
    </row>
    <row r="16587" spans="1:4" x14ac:dyDescent="0.2">
      <c r="A16587" s="496"/>
      <c r="D16587" s="496"/>
    </row>
    <row r="16588" spans="1:4" x14ac:dyDescent="0.2">
      <c r="A16588" s="496"/>
      <c r="D16588" s="496"/>
    </row>
    <row r="16589" spans="1:4" x14ac:dyDescent="0.2">
      <c r="A16589" s="496"/>
      <c r="D16589" s="496"/>
    </row>
    <row r="16590" spans="1:4" x14ac:dyDescent="0.2">
      <c r="A16590" s="496"/>
      <c r="D16590" s="496"/>
    </row>
    <row r="16591" spans="1:4" x14ac:dyDescent="0.2">
      <c r="A16591" s="496"/>
      <c r="D16591" s="496"/>
    </row>
    <row r="16592" spans="1:4" x14ac:dyDescent="0.2">
      <c r="A16592" s="496"/>
      <c r="D16592" s="496"/>
    </row>
    <row r="16593" spans="1:4" x14ac:dyDescent="0.2">
      <c r="A16593" s="496"/>
      <c r="D16593" s="496"/>
    </row>
    <row r="16594" spans="1:4" x14ac:dyDescent="0.2">
      <c r="A16594" s="496"/>
      <c r="D16594" s="496"/>
    </row>
    <row r="16595" spans="1:4" x14ac:dyDescent="0.2">
      <c r="A16595" s="496"/>
      <c r="D16595" s="496"/>
    </row>
    <row r="16596" spans="1:4" x14ac:dyDescent="0.2">
      <c r="A16596" s="496"/>
      <c r="D16596" s="496"/>
    </row>
    <row r="16597" spans="1:4" x14ac:dyDescent="0.2">
      <c r="A16597" s="496"/>
      <c r="D16597" s="496"/>
    </row>
    <row r="16598" spans="1:4" x14ac:dyDescent="0.2">
      <c r="A16598" s="496"/>
      <c r="D16598" s="496"/>
    </row>
    <row r="16599" spans="1:4" x14ac:dyDescent="0.2">
      <c r="A16599" s="496"/>
      <c r="D16599" s="496"/>
    </row>
    <row r="16600" spans="1:4" x14ac:dyDescent="0.2">
      <c r="A16600" s="496"/>
      <c r="D16600" s="496"/>
    </row>
    <row r="16601" spans="1:4" x14ac:dyDescent="0.2">
      <c r="A16601" s="496"/>
      <c r="D16601" s="496"/>
    </row>
    <row r="16602" spans="1:4" x14ac:dyDescent="0.2">
      <c r="A16602" s="496"/>
      <c r="D16602" s="496"/>
    </row>
    <row r="16603" spans="1:4" x14ac:dyDescent="0.2">
      <c r="A16603" s="496"/>
      <c r="D16603" s="496"/>
    </row>
    <row r="16604" spans="1:4" x14ac:dyDescent="0.2">
      <c r="A16604" s="496"/>
      <c r="D16604" s="496"/>
    </row>
    <row r="16605" spans="1:4" x14ac:dyDescent="0.2">
      <c r="A16605" s="496"/>
      <c r="D16605" s="496"/>
    </row>
    <row r="16606" spans="1:4" x14ac:dyDescent="0.2">
      <c r="A16606" s="496"/>
      <c r="D16606" s="496"/>
    </row>
    <row r="16607" spans="1:4" x14ac:dyDescent="0.2">
      <c r="A16607" s="496"/>
      <c r="D16607" s="496"/>
    </row>
    <row r="16608" spans="1:4" x14ac:dyDescent="0.2">
      <c r="A16608" s="496"/>
      <c r="D16608" s="496"/>
    </row>
    <row r="16609" spans="1:4" x14ac:dyDescent="0.2">
      <c r="A16609" s="496"/>
      <c r="D16609" s="496"/>
    </row>
    <row r="16610" spans="1:4" x14ac:dyDescent="0.2">
      <c r="A16610" s="496"/>
      <c r="D16610" s="496"/>
    </row>
    <row r="16611" spans="1:4" x14ac:dyDescent="0.2">
      <c r="A16611" s="496"/>
      <c r="D16611" s="496"/>
    </row>
    <row r="16612" spans="1:4" x14ac:dyDescent="0.2">
      <c r="A16612" s="496"/>
      <c r="D16612" s="496"/>
    </row>
    <row r="16613" spans="1:4" x14ac:dyDescent="0.2">
      <c r="A16613" s="496"/>
      <c r="D16613" s="496"/>
    </row>
    <row r="16614" spans="1:4" x14ac:dyDescent="0.2">
      <c r="A16614" s="496"/>
      <c r="D16614" s="496"/>
    </row>
    <row r="16615" spans="1:4" x14ac:dyDescent="0.2">
      <c r="A16615" s="496"/>
      <c r="D16615" s="496"/>
    </row>
    <row r="16616" spans="1:4" x14ac:dyDescent="0.2">
      <c r="A16616" s="496"/>
      <c r="D16616" s="496"/>
    </row>
    <row r="16617" spans="1:4" x14ac:dyDescent="0.2">
      <c r="A16617" s="496"/>
      <c r="D16617" s="496"/>
    </row>
    <row r="16618" spans="1:4" x14ac:dyDescent="0.2">
      <c r="A16618" s="496"/>
      <c r="D16618" s="496"/>
    </row>
    <row r="16619" spans="1:4" x14ac:dyDescent="0.2">
      <c r="A16619" s="496"/>
      <c r="D16619" s="496"/>
    </row>
    <row r="16620" spans="1:4" x14ac:dyDescent="0.2">
      <c r="A16620" s="496"/>
      <c r="D16620" s="496"/>
    </row>
    <row r="16621" spans="1:4" x14ac:dyDescent="0.2">
      <c r="A16621" s="496"/>
      <c r="D16621" s="496"/>
    </row>
    <row r="16622" spans="1:4" x14ac:dyDescent="0.2">
      <c r="A16622" s="496"/>
      <c r="D16622" s="496"/>
    </row>
    <row r="16623" spans="1:4" x14ac:dyDescent="0.2">
      <c r="A16623" s="496"/>
      <c r="D16623" s="496"/>
    </row>
    <row r="16624" spans="1:4" x14ac:dyDescent="0.2">
      <c r="A16624" s="496"/>
      <c r="D16624" s="496"/>
    </row>
    <row r="16625" spans="1:4" x14ac:dyDescent="0.2">
      <c r="A16625" s="496"/>
      <c r="D16625" s="496"/>
    </row>
    <row r="16626" spans="1:4" x14ac:dyDescent="0.2">
      <c r="A16626" s="496"/>
      <c r="D16626" s="496"/>
    </row>
    <row r="16627" spans="1:4" x14ac:dyDescent="0.2">
      <c r="A16627" s="496"/>
      <c r="D16627" s="496"/>
    </row>
    <row r="16628" spans="1:4" x14ac:dyDescent="0.2">
      <c r="A16628" s="496"/>
      <c r="D16628" s="496"/>
    </row>
    <row r="16629" spans="1:4" x14ac:dyDescent="0.2">
      <c r="A16629" s="496"/>
      <c r="D16629" s="496"/>
    </row>
    <row r="16630" spans="1:4" x14ac:dyDescent="0.2">
      <c r="A16630" s="496"/>
      <c r="D16630" s="496"/>
    </row>
    <row r="16631" spans="1:4" x14ac:dyDescent="0.2">
      <c r="A16631" s="496"/>
      <c r="D16631" s="496"/>
    </row>
    <row r="16632" spans="1:4" x14ac:dyDescent="0.2">
      <c r="A16632" s="496"/>
      <c r="D16632" s="496"/>
    </row>
    <row r="16633" spans="1:4" x14ac:dyDescent="0.2">
      <c r="A16633" s="496"/>
      <c r="D16633" s="496"/>
    </row>
    <row r="16634" spans="1:4" x14ac:dyDescent="0.2">
      <c r="A16634" s="496"/>
      <c r="D16634" s="496"/>
    </row>
    <row r="16635" spans="1:4" x14ac:dyDescent="0.2">
      <c r="A16635" s="496"/>
      <c r="D16635" s="496"/>
    </row>
    <row r="16636" spans="1:4" x14ac:dyDescent="0.2">
      <c r="A16636" s="496"/>
      <c r="D16636" s="496"/>
    </row>
    <row r="16637" spans="1:4" x14ac:dyDescent="0.2">
      <c r="A16637" s="496"/>
      <c r="D16637" s="496"/>
    </row>
    <row r="16638" spans="1:4" x14ac:dyDescent="0.2">
      <c r="A16638" s="496"/>
      <c r="D16638" s="496"/>
    </row>
    <row r="16639" spans="1:4" x14ac:dyDescent="0.2">
      <c r="A16639" s="496"/>
      <c r="D16639" s="496"/>
    </row>
    <row r="16640" spans="1:4" x14ac:dyDescent="0.2">
      <c r="A16640" s="496"/>
      <c r="D16640" s="496"/>
    </row>
    <row r="16641" spans="1:4" x14ac:dyDescent="0.2">
      <c r="A16641" s="496"/>
      <c r="D16641" s="496"/>
    </row>
    <row r="16642" spans="1:4" x14ac:dyDescent="0.2">
      <c r="A16642" s="496"/>
      <c r="D16642" s="496"/>
    </row>
    <row r="16643" spans="1:4" x14ac:dyDescent="0.2">
      <c r="A16643" s="496"/>
      <c r="D16643" s="496"/>
    </row>
    <row r="16644" spans="1:4" x14ac:dyDescent="0.2">
      <c r="A16644" s="496"/>
      <c r="D16644" s="496"/>
    </row>
    <row r="16645" spans="1:4" x14ac:dyDescent="0.2">
      <c r="A16645" s="496"/>
      <c r="D16645" s="496"/>
    </row>
    <row r="16646" spans="1:4" x14ac:dyDescent="0.2">
      <c r="A16646" s="496"/>
      <c r="D16646" s="496"/>
    </row>
    <row r="16647" spans="1:4" x14ac:dyDescent="0.2">
      <c r="A16647" s="496"/>
      <c r="D16647" s="496"/>
    </row>
    <row r="16648" spans="1:4" x14ac:dyDescent="0.2">
      <c r="A16648" s="496"/>
      <c r="D16648" s="496"/>
    </row>
    <row r="16649" spans="1:4" x14ac:dyDescent="0.2">
      <c r="A16649" s="496"/>
      <c r="D16649" s="496"/>
    </row>
    <row r="16650" spans="1:4" x14ac:dyDescent="0.2">
      <c r="A16650" s="496"/>
      <c r="D16650" s="496"/>
    </row>
    <row r="16651" spans="1:4" x14ac:dyDescent="0.2">
      <c r="A16651" s="496"/>
      <c r="D16651" s="496"/>
    </row>
    <row r="16652" spans="1:4" x14ac:dyDescent="0.2">
      <c r="A16652" s="496"/>
      <c r="D16652" s="496"/>
    </row>
    <row r="16653" spans="1:4" x14ac:dyDescent="0.2">
      <c r="A16653" s="496"/>
      <c r="D16653" s="496"/>
    </row>
    <row r="16654" spans="1:4" x14ac:dyDescent="0.2">
      <c r="A16654" s="496"/>
      <c r="D16654" s="496"/>
    </row>
    <row r="16655" spans="1:4" x14ac:dyDescent="0.2">
      <c r="A16655" s="496"/>
      <c r="D16655" s="496"/>
    </row>
    <row r="16656" spans="1:4" x14ac:dyDescent="0.2">
      <c r="A16656" s="496"/>
      <c r="D16656" s="496"/>
    </row>
    <row r="16657" spans="1:4" x14ac:dyDescent="0.2">
      <c r="A16657" s="496"/>
      <c r="D16657" s="496"/>
    </row>
    <row r="16658" spans="1:4" x14ac:dyDescent="0.2">
      <c r="A16658" s="496"/>
      <c r="D16658" s="496"/>
    </row>
    <row r="16659" spans="1:4" x14ac:dyDescent="0.2">
      <c r="A16659" s="496"/>
      <c r="D16659" s="496"/>
    </row>
    <row r="16660" spans="1:4" x14ac:dyDescent="0.2">
      <c r="A16660" s="496"/>
      <c r="D16660" s="496"/>
    </row>
    <row r="16661" spans="1:4" x14ac:dyDescent="0.2">
      <c r="A16661" s="496"/>
      <c r="D16661" s="496"/>
    </row>
    <row r="16662" spans="1:4" x14ac:dyDescent="0.2">
      <c r="A16662" s="496"/>
      <c r="D16662" s="496"/>
    </row>
    <row r="16663" spans="1:4" x14ac:dyDescent="0.2">
      <c r="A16663" s="496"/>
      <c r="D16663" s="496"/>
    </row>
    <row r="16664" spans="1:4" x14ac:dyDescent="0.2">
      <c r="A16664" s="496"/>
      <c r="D16664" s="496"/>
    </row>
    <row r="16665" spans="1:4" x14ac:dyDescent="0.2">
      <c r="A16665" s="496"/>
      <c r="D16665" s="496"/>
    </row>
    <row r="16666" spans="1:4" x14ac:dyDescent="0.2">
      <c r="A16666" s="496"/>
      <c r="D16666" s="496"/>
    </row>
    <row r="16667" spans="1:4" x14ac:dyDescent="0.2">
      <c r="A16667" s="496"/>
      <c r="D16667" s="496"/>
    </row>
    <row r="16668" spans="1:4" x14ac:dyDescent="0.2">
      <c r="A16668" s="496"/>
      <c r="D16668" s="496"/>
    </row>
    <row r="16669" spans="1:4" x14ac:dyDescent="0.2">
      <c r="A16669" s="496"/>
      <c r="D16669" s="496"/>
    </row>
    <row r="16670" spans="1:4" x14ac:dyDescent="0.2">
      <c r="A16670" s="496"/>
      <c r="D16670" s="496"/>
    </row>
    <row r="16671" spans="1:4" x14ac:dyDescent="0.2">
      <c r="A16671" s="496"/>
      <c r="D16671" s="496"/>
    </row>
    <row r="16672" spans="1:4" x14ac:dyDescent="0.2">
      <c r="A16672" s="496"/>
      <c r="D16672" s="496"/>
    </row>
    <row r="16673" spans="1:4" x14ac:dyDescent="0.2">
      <c r="A16673" s="496"/>
      <c r="D16673" s="496"/>
    </row>
    <row r="16674" spans="1:4" x14ac:dyDescent="0.2">
      <c r="A16674" s="496"/>
      <c r="D16674" s="496"/>
    </row>
    <row r="16675" spans="1:4" x14ac:dyDescent="0.2">
      <c r="A16675" s="496"/>
      <c r="D16675" s="496"/>
    </row>
    <row r="16676" spans="1:4" x14ac:dyDescent="0.2">
      <c r="A16676" s="496"/>
      <c r="D16676" s="496"/>
    </row>
    <row r="16677" spans="1:4" x14ac:dyDescent="0.2">
      <c r="A16677" s="496"/>
      <c r="D16677" s="496"/>
    </row>
    <row r="16678" spans="1:4" x14ac:dyDescent="0.2">
      <c r="A16678" s="496"/>
      <c r="D16678" s="496"/>
    </row>
    <row r="16679" spans="1:4" x14ac:dyDescent="0.2">
      <c r="A16679" s="496"/>
      <c r="D16679" s="496"/>
    </row>
    <row r="16680" spans="1:4" x14ac:dyDescent="0.2">
      <c r="A16680" s="496"/>
      <c r="D16680" s="496"/>
    </row>
    <row r="16681" spans="1:4" x14ac:dyDescent="0.2">
      <c r="A16681" s="496"/>
      <c r="D16681" s="496"/>
    </row>
    <row r="16682" spans="1:4" x14ac:dyDescent="0.2">
      <c r="A16682" s="496"/>
      <c r="D16682" s="496"/>
    </row>
    <row r="16683" spans="1:4" x14ac:dyDescent="0.2">
      <c r="A16683" s="496"/>
      <c r="D16683" s="496"/>
    </row>
    <row r="16684" spans="1:4" x14ac:dyDescent="0.2">
      <c r="A16684" s="496"/>
      <c r="D16684" s="496"/>
    </row>
    <row r="16685" spans="1:4" x14ac:dyDescent="0.2">
      <c r="A16685" s="496"/>
      <c r="D16685" s="496"/>
    </row>
    <row r="16686" spans="1:4" x14ac:dyDescent="0.2">
      <c r="A16686" s="496"/>
      <c r="D16686" s="496"/>
    </row>
    <row r="16687" spans="1:4" x14ac:dyDescent="0.2">
      <c r="A16687" s="496"/>
      <c r="D16687" s="496"/>
    </row>
    <row r="16688" spans="1:4" x14ac:dyDescent="0.2">
      <c r="A16688" s="496"/>
      <c r="D16688" s="496"/>
    </row>
    <row r="16689" spans="1:4" x14ac:dyDescent="0.2">
      <c r="A16689" s="496"/>
      <c r="D16689" s="496"/>
    </row>
    <row r="16690" spans="1:4" x14ac:dyDescent="0.2">
      <c r="A16690" s="496"/>
      <c r="D16690" s="496"/>
    </row>
    <row r="16691" spans="1:4" x14ac:dyDescent="0.2">
      <c r="A16691" s="496"/>
      <c r="D16691" s="496"/>
    </row>
    <row r="16692" spans="1:4" x14ac:dyDescent="0.2">
      <c r="A16692" s="496"/>
      <c r="D16692" s="496"/>
    </row>
    <row r="16693" spans="1:4" x14ac:dyDescent="0.2">
      <c r="A16693" s="496"/>
      <c r="D16693" s="496"/>
    </row>
    <row r="16694" spans="1:4" x14ac:dyDescent="0.2">
      <c r="A16694" s="496"/>
      <c r="D16694" s="496"/>
    </row>
    <row r="16695" spans="1:4" x14ac:dyDescent="0.2">
      <c r="A16695" s="496"/>
      <c r="D16695" s="496"/>
    </row>
    <row r="16696" spans="1:4" x14ac:dyDescent="0.2">
      <c r="A16696" s="496"/>
      <c r="D16696" s="496"/>
    </row>
    <row r="16697" spans="1:4" x14ac:dyDescent="0.2">
      <c r="A16697" s="496"/>
      <c r="D16697" s="496"/>
    </row>
    <row r="16698" spans="1:4" x14ac:dyDescent="0.2">
      <c r="A16698" s="496"/>
      <c r="D16698" s="496"/>
    </row>
    <row r="16699" spans="1:4" x14ac:dyDescent="0.2">
      <c r="A16699" s="496"/>
      <c r="D16699" s="496"/>
    </row>
    <row r="16700" spans="1:4" x14ac:dyDescent="0.2">
      <c r="A16700" s="496"/>
      <c r="D16700" s="496"/>
    </row>
    <row r="16701" spans="1:4" x14ac:dyDescent="0.2">
      <c r="A16701" s="496"/>
      <c r="D16701" s="496"/>
    </row>
    <row r="16702" spans="1:4" x14ac:dyDescent="0.2">
      <c r="A16702" s="496"/>
      <c r="D16702" s="496"/>
    </row>
    <row r="16703" spans="1:4" x14ac:dyDescent="0.2">
      <c r="A16703" s="496"/>
      <c r="D16703" s="496"/>
    </row>
    <row r="16704" spans="1:4" x14ac:dyDescent="0.2">
      <c r="A16704" s="496"/>
      <c r="D16704" s="496"/>
    </row>
    <row r="16705" spans="1:4" x14ac:dyDescent="0.2">
      <c r="A16705" s="496"/>
      <c r="D16705" s="496"/>
    </row>
    <row r="16706" spans="1:4" x14ac:dyDescent="0.2">
      <c r="A16706" s="496"/>
      <c r="D16706" s="496"/>
    </row>
    <row r="16707" spans="1:4" x14ac:dyDescent="0.2">
      <c r="A16707" s="496"/>
      <c r="D16707" s="496"/>
    </row>
    <row r="16708" spans="1:4" x14ac:dyDescent="0.2">
      <c r="A16708" s="496"/>
      <c r="D16708" s="496"/>
    </row>
    <row r="16709" spans="1:4" x14ac:dyDescent="0.2">
      <c r="A16709" s="496"/>
      <c r="D16709" s="496"/>
    </row>
    <row r="16710" spans="1:4" x14ac:dyDescent="0.2">
      <c r="A16710" s="496"/>
      <c r="D16710" s="496"/>
    </row>
    <row r="16711" spans="1:4" x14ac:dyDescent="0.2">
      <c r="A16711" s="496"/>
      <c r="D16711" s="496"/>
    </row>
    <row r="16712" spans="1:4" x14ac:dyDescent="0.2">
      <c r="A16712" s="496"/>
      <c r="D16712" s="496"/>
    </row>
    <row r="16713" spans="1:4" x14ac:dyDescent="0.2">
      <c r="A16713" s="496"/>
      <c r="D16713" s="496"/>
    </row>
    <row r="16714" spans="1:4" x14ac:dyDescent="0.2">
      <c r="A16714" s="496"/>
      <c r="D16714" s="496"/>
    </row>
    <row r="16715" spans="1:4" x14ac:dyDescent="0.2">
      <c r="A16715" s="496"/>
      <c r="D16715" s="496"/>
    </row>
    <row r="16716" spans="1:4" x14ac:dyDescent="0.2">
      <c r="A16716" s="496"/>
      <c r="D16716" s="496"/>
    </row>
    <row r="16717" spans="1:4" x14ac:dyDescent="0.2">
      <c r="A16717" s="496"/>
      <c r="D16717" s="496"/>
    </row>
    <row r="16718" spans="1:4" x14ac:dyDescent="0.2">
      <c r="A16718" s="496"/>
      <c r="D16718" s="496"/>
    </row>
    <row r="16719" spans="1:4" x14ac:dyDescent="0.2">
      <c r="A16719" s="496"/>
      <c r="D16719" s="496"/>
    </row>
    <row r="16720" spans="1:4" x14ac:dyDescent="0.2">
      <c r="A16720" s="496"/>
      <c r="D16720" s="496"/>
    </row>
    <row r="16721" spans="1:4" x14ac:dyDescent="0.2">
      <c r="A16721" s="496"/>
      <c r="D16721" s="496"/>
    </row>
    <row r="16722" spans="1:4" x14ac:dyDescent="0.2">
      <c r="A16722" s="496"/>
      <c r="D16722" s="496"/>
    </row>
    <row r="16723" spans="1:4" x14ac:dyDescent="0.2">
      <c r="A16723" s="496"/>
      <c r="D16723" s="496"/>
    </row>
    <row r="16724" spans="1:4" x14ac:dyDescent="0.2">
      <c r="A16724" s="496"/>
      <c r="D16724" s="496"/>
    </row>
    <row r="16725" spans="1:4" x14ac:dyDescent="0.2">
      <c r="A16725" s="496"/>
      <c r="D16725" s="496"/>
    </row>
    <row r="16726" spans="1:4" x14ac:dyDescent="0.2">
      <c r="A16726" s="496"/>
      <c r="D16726" s="496"/>
    </row>
    <row r="16727" spans="1:4" x14ac:dyDescent="0.2">
      <c r="A16727" s="496"/>
      <c r="D16727" s="496"/>
    </row>
    <row r="16728" spans="1:4" x14ac:dyDescent="0.2">
      <c r="A16728" s="496"/>
      <c r="D16728" s="496"/>
    </row>
    <row r="16729" spans="1:4" x14ac:dyDescent="0.2">
      <c r="A16729" s="496"/>
      <c r="D16729" s="496"/>
    </row>
    <row r="16730" spans="1:4" x14ac:dyDescent="0.2">
      <c r="A16730" s="496"/>
      <c r="D16730" s="496"/>
    </row>
    <row r="16731" spans="1:4" x14ac:dyDescent="0.2">
      <c r="A16731" s="496"/>
      <c r="D16731" s="496"/>
    </row>
    <row r="16732" spans="1:4" x14ac:dyDescent="0.2">
      <c r="A16732" s="496"/>
      <c r="D16732" s="496"/>
    </row>
    <row r="16733" spans="1:4" x14ac:dyDescent="0.2">
      <c r="A16733" s="496"/>
      <c r="D16733" s="496"/>
    </row>
    <row r="16734" spans="1:4" x14ac:dyDescent="0.2">
      <c r="A16734" s="496"/>
      <c r="D16734" s="496"/>
    </row>
    <row r="16735" spans="1:4" x14ac:dyDescent="0.2">
      <c r="A16735" s="496"/>
      <c r="D16735" s="496"/>
    </row>
    <row r="16736" spans="1:4" x14ac:dyDescent="0.2">
      <c r="A16736" s="496"/>
      <c r="D16736" s="496"/>
    </row>
    <row r="16737" spans="1:4" x14ac:dyDescent="0.2">
      <c r="A16737" s="496"/>
      <c r="D16737" s="496"/>
    </row>
    <row r="16738" spans="1:4" x14ac:dyDescent="0.2">
      <c r="A16738" s="496"/>
      <c r="D16738" s="496"/>
    </row>
    <row r="16739" spans="1:4" x14ac:dyDescent="0.2">
      <c r="A16739" s="496"/>
      <c r="D16739" s="496"/>
    </row>
    <row r="16740" spans="1:4" x14ac:dyDescent="0.2">
      <c r="A16740" s="496"/>
      <c r="D16740" s="496"/>
    </row>
    <row r="16741" spans="1:4" x14ac:dyDescent="0.2">
      <c r="A16741" s="496"/>
      <c r="D16741" s="496"/>
    </row>
    <row r="16742" spans="1:4" x14ac:dyDescent="0.2">
      <c r="A16742" s="496"/>
      <c r="D16742" s="496"/>
    </row>
    <row r="16743" spans="1:4" x14ac:dyDescent="0.2">
      <c r="A16743" s="496"/>
      <c r="D16743" s="496"/>
    </row>
    <row r="16744" spans="1:4" x14ac:dyDescent="0.2">
      <c r="A16744" s="496"/>
      <c r="D16744" s="496"/>
    </row>
    <row r="16745" spans="1:4" x14ac:dyDescent="0.2">
      <c r="A16745" s="496"/>
      <c r="D16745" s="496"/>
    </row>
    <row r="16746" spans="1:4" x14ac:dyDescent="0.2">
      <c r="A16746" s="496"/>
      <c r="D16746" s="496"/>
    </row>
    <row r="16747" spans="1:4" x14ac:dyDescent="0.2">
      <c r="A16747" s="496"/>
      <c r="D16747" s="496"/>
    </row>
    <row r="16748" spans="1:4" x14ac:dyDescent="0.2">
      <c r="A16748" s="496"/>
      <c r="D16748" s="496"/>
    </row>
    <row r="16749" spans="1:4" x14ac:dyDescent="0.2">
      <c r="A16749" s="496"/>
      <c r="D16749" s="496"/>
    </row>
    <row r="16750" spans="1:4" x14ac:dyDescent="0.2">
      <c r="A16750" s="496"/>
      <c r="D16750" s="496"/>
    </row>
    <row r="16751" spans="1:4" x14ac:dyDescent="0.2">
      <c r="A16751" s="496"/>
      <c r="D16751" s="496"/>
    </row>
    <row r="16752" spans="1:4" x14ac:dyDescent="0.2">
      <c r="A16752" s="496"/>
      <c r="D16752" s="496"/>
    </row>
    <row r="16753" spans="1:4" x14ac:dyDescent="0.2">
      <c r="A16753" s="496"/>
      <c r="D16753" s="496"/>
    </row>
    <row r="16754" spans="1:4" x14ac:dyDescent="0.2">
      <c r="A16754" s="496"/>
      <c r="D16754" s="496"/>
    </row>
    <row r="16755" spans="1:4" x14ac:dyDescent="0.2">
      <c r="A16755" s="496"/>
      <c r="D16755" s="496"/>
    </row>
    <row r="16756" spans="1:4" x14ac:dyDescent="0.2">
      <c r="A16756" s="496"/>
      <c r="D16756" s="496"/>
    </row>
    <row r="16757" spans="1:4" x14ac:dyDescent="0.2">
      <c r="A16757" s="496"/>
      <c r="D16757" s="496"/>
    </row>
    <row r="16758" spans="1:4" x14ac:dyDescent="0.2">
      <c r="A16758" s="496"/>
      <c r="D16758" s="496"/>
    </row>
    <row r="16759" spans="1:4" x14ac:dyDescent="0.2">
      <c r="A16759" s="496"/>
      <c r="D16759" s="496"/>
    </row>
    <row r="16760" spans="1:4" x14ac:dyDescent="0.2">
      <c r="A16760" s="496"/>
      <c r="D16760" s="496"/>
    </row>
    <row r="16761" spans="1:4" x14ac:dyDescent="0.2">
      <c r="A16761" s="496"/>
      <c r="D16761" s="496"/>
    </row>
    <row r="16762" spans="1:4" x14ac:dyDescent="0.2">
      <c r="A16762" s="496"/>
      <c r="D16762" s="496"/>
    </row>
    <row r="16763" spans="1:4" x14ac:dyDescent="0.2">
      <c r="A16763" s="496"/>
      <c r="D16763" s="496"/>
    </row>
    <row r="16764" spans="1:4" x14ac:dyDescent="0.2">
      <c r="A16764" s="496"/>
      <c r="D16764" s="496"/>
    </row>
    <row r="16765" spans="1:4" x14ac:dyDescent="0.2">
      <c r="A16765" s="496"/>
      <c r="D16765" s="496"/>
    </row>
    <row r="16766" spans="1:4" x14ac:dyDescent="0.2">
      <c r="A16766" s="496"/>
      <c r="D16766" s="496"/>
    </row>
    <row r="16767" spans="1:4" x14ac:dyDescent="0.2">
      <c r="A16767" s="496"/>
      <c r="D16767" s="496"/>
    </row>
    <row r="16768" spans="1:4" x14ac:dyDescent="0.2">
      <c r="A16768" s="496"/>
      <c r="D16768" s="496"/>
    </row>
    <row r="16769" spans="1:4" x14ac:dyDescent="0.2">
      <c r="A16769" s="496"/>
      <c r="D16769" s="496"/>
    </row>
    <row r="16770" spans="1:4" x14ac:dyDescent="0.2">
      <c r="A16770" s="496"/>
      <c r="D16770" s="496"/>
    </row>
    <row r="16771" spans="1:4" x14ac:dyDescent="0.2">
      <c r="A16771" s="496"/>
      <c r="D16771" s="496"/>
    </row>
    <row r="16772" spans="1:4" x14ac:dyDescent="0.2">
      <c r="A16772" s="496"/>
      <c r="D16772" s="496"/>
    </row>
    <row r="16773" spans="1:4" x14ac:dyDescent="0.2">
      <c r="A16773" s="496"/>
      <c r="D16773" s="496"/>
    </row>
    <row r="16774" spans="1:4" x14ac:dyDescent="0.2">
      <c r="A16774" s="496"/>
      <c r="D16774" s="496"/>
    </row>
    <row r="16775" spans="1:4" x14ac:dyDescent="0.2">
      <c r="A16775" s="496"/>
      <c r="D16775" s="496"/>
    </row>
    <row r="16776" spans="1:4" x14ac:dyDescent="0.2">
      <c r="A16776" s="496"/>
      <c r="D16776" s="496"/>
    </row>
    <row r="16777" spans="1:4" x14ac:dyDescent="0.2">
      <c r="A16777" s="496"/>
      <c r="D16777" s="496"/>
    </row>
    <row r="16778" spans="1:4" x14ac:dyDescent="0.2">
      <c r="A16778" s="496"/>
      <c r="D16778" s="496"/>
    </row>
    <row r="16779" spans="1:4" x14ac:dyDescent="0.2">
      <c r="A16779" s="496"/>
      <c r="D16779" s="496"/>
    </row>
    <row r="16780" spans="1:4" x14ac:dyDescent="0.2">
      <c r="A16780" s="496"/>
      <c r="D16780" s="496"/>
    </row>
    <row r="16781" spans="1:4" x14ac:dyDescent="0.2">
      <c r="A16781" s="496"/>
      <c r="D16781" s="496"/>
    </row>
    <row r="16782" spans="1:4" x14ac:dyDescent="0.2">
      <c r="A16782" s="496"/>
      <c r="D16782" s="496"/>
    </row>
    <row r="16783" spans="1:4" x14ac:dyDescent="0.2">
      <c r="A16783" s="496"/>
      <c r="D16783" s="496"/>
    </row>
    <row r="16784" spans="1:4" x14ac:dyDescent="0.2">
      <c r="A16784" s="496"/>
      <c r="D16784" s="496"/>
    </row>
    <row r="16785" spans="1:4" x14ac:dyDescent="0.2">
      <c r="A16785" s="496"/>
      <c r="D16785" s="496"/>
    </row>
    <row r="16786" spans="1:4" x14ac:dyDescent="0.2">
      <c r="A16786" s="496"/>
      <c r="D16786" s="496"/>
    </row>
    <row r="16787" spans="1:4" x14ac:dyDescent="0.2">
      <c r="A16787" s="496"/>
      <c r="D16787" s="496"/>
    </row>
    <row r="16788" spans="1:4" x14ac:dyDescent="0.2">
      <c r="A16788" s="496"/>
      <c r="D16788" s="496"/>
    </row>
    <row r="16789" spans="1:4" x14ac:dyDescent="0.2">
      <c r="A16789" s="496"/>
      <c r="D16789" s="496"/>
    </row>
    <row r="16790" spans="1:4" x14ac:dyDescent="0.2">
      <c r="A16790" s="496"/>
      <c r="D16790" s="496"/>
    </row>
    <row r="16791" spans="1:4" x14ac:dyDescent="0.2">
      <c r="A16791" s="496"/>
      <c r="D16791" s="496"/>
    </row>
    <row r="16792" spans="1:4" x14ac:dyDescent="0.2">
      <c r="A16792" s="496"/>
      <c r="D16792" s="496"/>
    </row>
    <row r="16793" spans="1:4" x14ac:dyDescent="0.2">
      <c r="A16793" s="496"/>
      <c r="D16793" s="496"/>
    </row>
    <row r="16794" spans="1:4" x14ac:dyDescent="0.2">
      <c r="A16794" s="496"/>
      <c r="D16794" s="496"/>
    </row>
    <row r="16795" spans="1:4" x14ac:dyDescent="0.2">
      <c r="A16795" s="496"/>
      <c r="D16795" s="496"/>
    </row>
    <row r="16796" spans="1:4" x14ac:dyDescent="0.2">
      <c r="A16796" s="496"/>
      <c r="D16796" s="496"/>
    </row>
    <row r="16797" spans="1:4" x14ac:dyDescent="0.2">
      <c r="A16797" s="496"/>
      <c r="D16797" s="496"/>
    </row>
    <row r="16798" spans="1:4" x14ac:dyDescent="0.2">
      <c r="A16798" s="496"/>
      <c r="D16798" s="496"/>
    </row>
    <row r="16799" spans="1:4" x14ac:dyDescent="0.2">
      <c r="A16799" s="496"/>
      <c r="D16799" s="496"/>
    </row>
    <row r="16800" spans="1:4" x14ac:dyDescent="0.2">
      <c r="A16800" s="496"/>
      <c r="D16800" s="496"/>
    </row>
    <row r="16801" spans="1:4" x14ac:dyDescent="0.2">
      <c r="A16801" s="496"/>
      <c r="D16801" s="496"/>
    </row>
    <row r="16802" spans="1:4" x14ac:dyDescent="0.2">
      <c r="A16802" s="496"/>
      <c r="D16802" s="496"/>
    </row>
    <row r="16803" spans="1:4" x14ac:dyDescent="0.2">
      <c r="A16803" s="496"/>
      <c r="D16803" s="496"/>
    </row>
    <row r="16804" spans="1:4" x14ac:dyDescent="0.2">
      <c r="A16804" s="496"/>
      <c r="D16804" s="496"/>
    </row>
    <row r="16805" spans="1:4" x14ac:dyDescent="0.2">
      <c r="A16805" s="496"/>
      <c r="D16805" s="496"/>
    </row>
    <row r="16806" spans="1:4" x14ac:dyDescent="0.2">
      <c r="A16806" s="496"/>
      <c r="D16806" s="496"/>
    </row>
    <row r="16807" spans="1:4" x14ac:dyDescent="0.2">
      <c r="A16807" s="496"/>
      <c r="D16807" s="496"/>
    </row>
    <row r="16808" spans="1:4" x14ac:dyDescent="0.2">
      <c r="A16808" s="496"/>
      <c r="D16808" s="496"/>
    </row>
    <row r="16809" spans="1:4" x14ac:dyDescent="0.2">
      <c r="A16809" s="496"/>
      <c r="D16809" s="496"/>
    </row>
    <row r="16810" spans="1:4" x14ac:dyDescent="0.2">
      <c r="A16810" s="496"/>
      <c r="D16810" s="496"/>
    </row>
    <row r="16811" spans="1:4" x14ac:dyDescent="0.2">
      <c r="A16811" s="496"/>
      <c r="D16811" s="496"/>
    </row>
    <row r="16812" spans="1:4" x14ac:dyDescent="0.2">
      <c r="A16812" s="496"/>
      <c r="D16812" s="496"/>
    </row>
    <row r="16813" spans="1:4" x14ac:dyDescent="0.2">
      <c r="A16813" s="496"/>
      <c r="D16813" s="496"/>
    </row>
    <row r="16814" spans="1:4" x14ac:dyDescent="0.2">
      <c r="A16814" s="496"/>
      <c r="D16814" s="496"/>
    </row>
    <row r="16815" spans="1:4" x14ac:dyDescent="0.2">
      <c r="A16815" s="496"/>
      <c r="D16815" s="496"/>
    </row>
    <row r="16816" spans="1:4" x14ac:dyDescent="0.2">
      <c r="A16816" s="496"/>
      <c r="D16816" s="496"/>
    </row>
    <row r="16817" spans="1:4" x14ac:dyDescent="0.2">
      <c r="A16817" s="496"/>
      <c r="D16817" s="496"/>
    </row>
    <row r="16818" spans="1:4" x14ac:dyDescent="0.2">
      <c r="A16818" s="496"/>
      <c r="D16818" s="496"/>
    </row>
    <row r="16819" spans="1:4" x14ac:dyDescent="0.2">
      <c r="A16819" s="496"/>
      <c r="D16819" s="496"/>
    </row>
    <row r="16820" spans="1:4" x14ac:dyDescent="0.2">
      <c r="A16820" s="496"/>
      <c r="D16820" s="496"/>
    </row>
    <row r="16821" spans="1:4" x14ac:dyDescent="0.2">
      <c r="A16821" s="496"/>
      <c r="D16821" s="496"/>
    </row>
    <row r="16822" spans="1:4" x14ac:dyDescent="0.2">
      <c r="A16822" s="496"/>
      <c r="D16822" s="496"/>
    </row>
    <row r="16823" spans="1:4" x14ac:dyDescent="0.2">
      <c r="A16823" s="496"/>
      <c r="D16823" s="496"/>
    </row>
    <row r="16824" spans="1:4" x14ac:dyDescent="0.2">
      <c r="A16824" s="496"/>
      <c r="D16824" s="496"/>
    </row>
    <row r="16825" spans="1:4" x14ac:dyDescent="0.2">
      <c r="A16825" s="496"/>
      <c r="D16825" s="496"/>
    </row>
    <row r="16826" spans="1:4" x14ac:dyDescent="0.2">
      <c r="A16826" s="496"/>
      <c r="D16826" s="496"/>
    </row>
    <row r="16827" spans="1:4" x14ac:dyDescent="0.2">
      <c r="A16827" s="496"/>
      <c r="D16827" s="496"/>
    </row>
    <row r="16828" spans="1:4" x14ac:dyDescent="0.2">
      <c r="A16828" s="496"/>
      <c r="D16828" s="496"/>
    </row>
    <row r="16829" spans="1:4" x14ac:dyDescent="0.2">
      <c r="A16829" s="496"/>
      <c r="D16829" s="496"/>
    </row>
    <row r="16830" spans="1:4" x14ac:dyDescent="0.2">
      <c r="A16830" s="496"/>
      <c r="D16830" s="496"/>
    </row>
    <row r="16831" spans="1:4" x14ac:dyDescent="0.2">
      <c r="A16831" s="496"/>
      <c r="D16831" s="496"/>
    </row>
    <row r="16832" spans="1:4" x14ac:dyDescent="0.2">
      <c r="A16832" s="496"/>
      <c r="D16832" s="496"/>
    </row>
    <row r="16833" spans="1:4" x14ac:dyDescent="0.2">
      <c r="A16833" s="496"/>
      <c r="D16833" s="496"/>
    </row>
    <row r="16834" spans="1:4" x14ac:dyDescent="0.2">
      <c r="A16834" s="496"/>
      <c r="D16834" s="496"/>
    </row>
    <row r="16835" spans="1:4" x14ac:dyDescent="0.2">
      <c r="A16835" s="496"/>
      <c r="D16835" s="496"/>
    </row>
    <row r="16836" spans="1:4" x14ac:dyDescent="0.2">
      <c r="A16836" s="496"/>
      <c r="D16836" s="496"/>
    </row>
    <row r="16837" spans="1:4" x14ac:dyDescent="0.2">
      <c r="A16837" s="496"/>
      <c r="D16837" s="496"/>
    </row>
    <row r="16838" spans="1:4" x14ac:dyDescent="0.2">
      <c r="A16838" s="496"/>
      <c r="D16838" s="496"/>
    </row>
    <row r="16839" spans="1:4" x14ac:dyDescent="0.2">
      <c r="A16839" s="496"/>
      <c r="D16839" s="496"/>
    </row>
    <row r="16840" spans="1:4" x14ac:dyDescent="0.2">
      <c r="A16840" s="496"/>
      <c r="D16840" s="496"/>
    </row>
    <row r="16841" spans="1:4" x14ac:dyDescent="0.2">
      <c r="A16841" s="496"/>
      <c r="D16841" s="496"/>
    </row>
    <row r="16842" spans="1:4" x14ac:dyDescent="0.2">
      <c r="A16842" s="496"/>
      <c r="D16842" s="496"/>
    </row>
    <row r="16843" spans="1:4" x14ac:dyDescent="0.2">
      <c r="A16843" s="496"/>
      <c r="D16843" s="496"/>
    </row>
    <row r="16844" spans="1:4" x14ac:dyDescent="0.2">
      <c r="A16844" s="496"/>
      <c r="D16844" s="496"/>
    </row>
    <row r="16845" spans="1:4" x14ac:dyDescent="0.2">
      <c r="A16845" s="496"/>
      <c r="D16845" s="496"/>
    </row>
    <row r="16846" spans="1:4" x14ac:dyDescent="0.2">
      <c r="A16846" s="496"/>
      <c r="D16846" s="496"/>
    </row>
    <row r="16847" spans="1:4" x14ac:dyDescent="0.2">
      <c r="A16847" s="496"/>
      <c r="D16847" s="496"/>
    </row>
    <row r="16848" spans="1:4" x14ac:dyDescent="0.2">
      <c r="A16848" s="496"/>
      <c r="D16848" s="496"/>
    </row>
    <row r="16849" spans="1:4" x14ac:dyDescent="0.2">
      <c r="A16849" s="496"/>
      <c r="D16849" s="496"/>
    </row>
    <row r="16850" spans="1:4" x14ac:dyDescent="0.2">
      <c r="A16850" s="496"/>
      <c r="D16850" s="496"/>
    </row>
    <row r="16851" spans="1:4" x14ac:dyDescent="0.2">
      <c r="A16851" s="496"/>
      <c r="D16851" s="496"/>
    </row>
    <row r="16852" spans="1:4" x14ac:dyDescent="0.2">
      <c r="A16852" s="496"/>
      <c r="D16852" s="496"/>
    </row>
    <row r="16853" spans="1:4" x14ac:dyDescent="0.2">
      <c r="A16853" s="496"/>
      <c r="D16853" s="496"/>
    </row>
    <row r="16854" spans="1:4" x14ac:dyDescent="0.2">
      <c r="A16854" s="496"/>
      <c r="D16854" s="496"/>
    </row>
    <row r="16855" spans="1:4" x14ac:dyDescent="0.2">
      <c r="A16855" s="496"/>
      <c r="D16855" s="496"/>
    </row>
    <row r="16856" spans="1:4" x14ac:dyDescent="0.2">
      <c r="A16856" s="496"/>
      <c r="D16856" s="496"/>
    </row>
    <row r="16857" spans="1:4" x14ac:dyDescent="0.2">
      <c r="A16857" s="496"/>
      <c r="D16857" s="496"/>
    </row>
    <row r="16858" spans="1:4" x14ac:dyDescent="0.2">
      <c r="A16858" s="496"/>
      <c r="D16858" s="496"/>
    </row>
    <row r="16859" spans="1:4" x14ac:dyDescent="0.2">
      <c r="A16859" s="496"/>
      <c r="D16859" s="496"/>
    </row>
    <row r="16860" spans="1:4" x14ac:dyDescent="0.2">
      <c r="A16860" s="496"/>
      <c r="D16860" s="496"/>
    </row>
    <row r="16861" spans="1:4" x14ac:dyDescent="0.2">
      <c r="A16861" s="496"/>
      <c r="D16861" s="496"/>
    </row>
    <row r="16862" spans="1:4" x14ac:dyDescent="0.2">
      <c r="A16862" s="496"/>
      <c r="D16862" s="496"/>
    </row>
    <row r="16863" spans="1:4" x14ac:dyDescent="0.2">
      <c r="A16863" s="496"/>
      <c r="D16863" s="496"/>
    </row>
    <row r="16864" spans="1:4" x14ac:dyDescent="0.2">
      <c r="A16864" s="496"/>
      <c r="D16864" s="496"/>
    </row>
    <row r="16865" spans="1:4" x14ac:dyDescent="0.2">
      <c r="A16865" s="496"/>
      <c r="D16865" s="496"/>
    </row>
    <row r="16866" spans="1:4" x14ac:dyDescent="0.2">
      <c r="A16866" s="496"/>
      <c r="D16866" s="496"/>
    </row>
    <row r="16867" spans="1:4" x14ac:dyDescent="0.2">
      <c r="A16867" s="496"/>
      <c r="D16867" s="496"/>
    </row>
    <row r="16868" spans="1:4" x14ac:dyDescent="0.2">
      <c r="A16868" s="496"/>
      <c r="D16868" s="496"/>
    </row>
    <row r="16869" spans="1:4" x14ac:dyDescent="0.2">
      <c r="A16869" s="496"/>
      <c r="D16869" s="496"/>
    </row>
    <row r="16870" spans="1:4" x14ac:dyDescent="0.2">
      <c r="A16870" s="496"/>
      <c r="D16870" s="496"/>
    </row>
    <row r="16871" spans="1:4" x14ac:dyDescent="0.2">
      <c r="A16871" s="496"/>
      <c r="D16871" s="496"/>
    </row>
    <row r="16872" spans="1:4" x14ac:dyDescent="0.2">
      <c r="A16872" s="496"/>
      <c r="D16872" s="496"/>
    </row>
    <row r="16873" spans="1:4" x14ac:dyDescent="0.2">
      <c r="A16873" s="496"/>
      <c r="D16873" s="496"/>
    </row>
    <row r="16874" spans="1:4" x14ac:dyDescent="0.2">
      <c r="A16874" s="496"/>
      <c r="D16874" s="496"/>
    </row>
    <row r="16875" spans="1:4" x14ac:dyDescent="0.2">
      <c r="A16875" s="496"/>
      <c r="D16875" s="496"/>
    </row>
    <row r="16876" spans="1:4" x14ac:dyDescent="0.2">
      <c r="A16876" s="496"/>
      <c r="D16876" s="496"/>
    </row>
    <row r="16877" spans="1:4" x14ac:dyDescent="0.2">
      <c r="A16877" s="496"/>
      <c r="D16877" s="496"/>
    </row>
    <row r="16878" spans="1:4" x14ac:dyDescent="0.2">
      <c r="A16878" s="496"/>
      <c r="D16878" s="496"/>
    </row>
    <row r="16879" spans="1:4" x14ac:dyDescent="0.2">
      <c r="A16879" s="496"/>
      <c r="D16879" s="496"/>
    </row>
    <row r="16880" spans="1:4" x14ac:dyDescent="0.2">
      <c r="A16880" s="496"/>
      <c r="D16880" s="496"/>
    </row>
    <row r="16881" spans="1:4" x14ac:dyDescent="0.2">
      <c r="A16881" s="496"/>
      <c r="D16881" s="496"/>
    </row>
    <row r="16882" spans="1:4" x14ac:dyDescent="0.2">
      <c r="A16882" s="496"/>
      <c r="D16882" s="496"/>
    </row>
    <row r="16883" spans="1:4" x14ac:dyDescent="0.2">
      <c r="A16883" s="496"/>
      <c r="D16883" s="496"/>
    </row>
    <row r="16884" spans="1:4" x14ac:dyDescent="0.2">
      <c r="A16884" s="496"/>
      <c r="D16884" s="496"/>
    </row>
    <row r="16885" spans="1:4" x14ac:dyDescent="0.2">
      <c r="A16885" s="496"/>
      <c r="D16885" s="496"/>
    </row>
    <row r="16886" spans="1:4" x14ac:dyDescent="0.2">
      <c r="A16886" s="496"/>
      <c r="D16886" s="496"/>
    </row>
    <row r="16887" spans="1:4" x14ac:dyDescent="0.2">
      <c r="A16887" s="496"/>
      <c r="D16887" s="496"/>
    </row>
    <row r="16888" spans="1:4" x14ac:dyDescent="0.2">
      <c r="A16888" s="496"/>
      <c r="D16888" s="496"/>
    </row>
    <row r="16889" spans="1:4" x14ac:dyDescent="0.2">
      <c r="A16889" s="496"/>
      <c r="D16889" s="496"/>
    </row>
    <row r="16890" spans="1:4" x14ac:dyDescent="0.2">
      <c r="A16890" s="496"/>
      <c r="D16890" s="496"/>
    </row>
    <row r="16891" spans="1:4" x14ac:dyDescent="0.2">
      <c r="A16891" s="496"/>
      <c r="D16891" s="496"/>
    </row>
    <row r="16892" spans="1:4" x14ac:dyDescent="0.2">
      <c r="A16892" s="496"/>
      <c r="D16892" s="496"/>
    </row>
    <row r="16893" spans="1:4" x14ac:dyDescent="0.2">
      <c r="A16893" s="496"/>
      <c r="D16893" s="496"/>
    </row>
    <row r="16894" spans="1:4" x14ac:dyDescent="0.2">
      <c r="A16894" s="496"/>
      <c r="D16894" s="496"/>
    </row>
    <row r="16895" spans="1:4" x14ac:dyDescent="0.2">
      <c r="A16895" s="496"/>
      <c r="D16895" s="496"/>
    </row>
    <row r="16896" spans="1:4" x14ac:dyDescent="0.2">
      <c r="A16896" s="496"/>
      <c r="D16896" s="496"/>
    </row>
    <row r="16897" spans="1:4" x14ac:dyDescent="0.2">
      <c r="A16897" s="496"/>
      <c r="D16897" s="496"/>
    </row>
    <row r="16898" spans="1:4" x14ac:dyDescent="0.2">
      <c r="A16898" s="496"/>
      <c r="D16898" s="496"/>
    </row>
    <row r="16899" spans="1:4" x14ac:dyDescent="0.2">
      <c r="A16899" s="496"/>
      <c r="D16899" s="496"/>
    </row>
    <row r="16900" spans="1:4" x14ac:dyDescent="0.2">
      <c r="A16900" s="496"/>
      <c r="D16900" s="496"/>
    </row>
    <row r="16901" spans="1:4" x14ac:dyDescent="0.2">
      <c r="A16901" s="496"/>
      <c r="D16901" s="496"/>
    </row>
    <row r="16902" spans="1:4" x14ac:dyDescent="0.2">
      <c r="A16902" s="496"/>
      <c r="D16902" s="496"/>
    </row>
    <row r="16903" spans="1:4" x14ac:dyDescent="0.2">
      <c r="A16903" s="496"/>
      <c r="D16903" s="496"/>
    </row>
    <row r="16904" spans="1:4" x14ac:dyDescent="0.2">
      <c r="A16904" s="496"/>
      <c r="D16904" s="496"/>
    </row>
    <row r="16905" spans="1:4" x14ac:dyDescent="0.2">
      <c r="A16905" s="496"/>
      <c r="D16905" s="496"/>
    </row>
    <row r="16906" spans="1:4" x14ac:dyDescent="0.2">
      <c r="A16906" s="496"/>
      <c r="D16906" s="496"/>
    </row>
    <row r="16907" spans="1:4" x14ac:dyDescent="0.2">
      <c r="A16907" s="496"/>
      <c r="D16907" s="496"/>
    </row>
    <row r="16908" spans="1:4" x14ac:dyDescent="0.2">
      <c r="A16908" s="496"/>
      <c r="D16908" s="496"/>
    </row>
    <row r="16909" spans="1:4" x14ac:dyDescent="0.2">
      <c r="A16909" s="496"/>
      <c r="D16909" s="496"/>
    </row>
    <row r="16910" spans="1:4" x14ac:dyDescent="0.2">
      <c r="A16910" s="496"/>
      <c r="D16910" s="496"/>
    </row>
    <row r="16911" spans="1:4" x14ac:dyDescent="0.2">
      <c r="A16911" s="496"/>
      <c r="D16911" s="496"/>
    </row>
    <row r="16912" spans="1:4" x14ac:dyDescent="0.2">
      <c r="A16912" s="496"/>
      <c r="D16912" s="496"/>
    </row>
    <row r="16913" spans="1:4" x14ac:dyDescent="0.2">
      <c r="A16913" s="496"/>
      <c r="D16913" s="496"/>
    </row>
    <row r="16914" spans="1:4" x14ac:dyDescent="0.2">
      <c r="A16914" s="496"/>
      <c r="D16914" s="496"/>
    </row>
    <row r="16915" spans="1:4" x14ac:dyDescent="0.2">
      <c r="A16915" s="496"/>
      <c r="D16915" s="496"/>
    </row>
    <row r="16916" spans="1:4" x14ac:dyDescent="0.2">
      <c r="A16916" s="496"/>
      <c r="D16916" s="496"/>
    </row>
    <row r="16917" spans="1:4" x14ac:dyDescent="0.2">
      <c r="A16917" s="496"/>
      <c r="D16917" s="496"/>
    </row>
    <row r="16918" spans="1:4" x14ac:dyDescent="0.2">
      <c r="A16918" s="496"/>
      <c r="D16918" s="496"/>
    </row>
    <row r="16919" spans="1:4" x14ac:dyDescent="0.2">
      <c r="A16919" s="496"/>
      <c r="D16919" s="496"/>
    </row>
    <row r="16920" spans="1:4" x14ac:dyDescent="0.2">
      <c r="A16920" s="496"/>
      <c r="D16920" s="496"/>
    </row>
    <row r="16921" spans="1:4" x14ac:dyDescent="0.2">
      <c r="A16921" s="496"/>
      <c r="D16921" s="496"/>
    </row>
    <row r="16922" spans="1:4" x14ac:dyDescent="0.2">
      <c r="A16922" s="496"/>
      <c r="D16922" s="496"/>
    </row>
    <row r="16923" spans="1:4" x14ac:dyDescent="0.2">
      <c r="A16923" s="496"/>
      <c r="D16923" s="496"/>
    </row>
    <row r="16924" spans="1:4" x14ac:dyDescent="0.2">
      <c r="A16924" s="496"/>
      <c r="D16924" s="496"/>
    </row>
    <row r="16925" spans="1:4" x14ac:dyDescent="0.2">
      <c r="A16925" s="496"/>
      <c r="D16925" s="496"/>
    </row>
    <row r="16926" spans="1:4" x14ac:dyDescent="0.2">
      <c r="A16926" s="496"/>
      <c r="D16926" s="496"/>
    </row>
    <row r="16927" spans="1:4" x14ac:dyDescent="0.2">
      <c r="A16927" s="496"/>
      <c r="D16927" s="496"/>
    </row>
    <row r="16928" spans="1:4" x14ac:dyDescent="0.2">
      <c r="A16928" s="496"/>
      <c r="D16928" s="496"/>
    </row>
    <row r="16929" spans="1:4" x14ac:dyDescent="0.2">
      <c r="A16929" s="496"/>
      <c r="D16929" s="496"/>
    </row>
    <row r="16930" spans="1:4" x14ac:dyDescent="0.2">
      <c r="A16930" s="496"/>
      <c r="D16930" s="496"/>
    </row>
    <row r="16931" spans="1:4" x14ac:dyDescent="0.2">
      <c r="A16931" s="496"/>
      <c r="D16931" s="496"/>
    </row>
    <row r="16932" spans="1:4" x14ac:dyDescent="0.2">
      <c r="A16932" s="496"/>
      <c r="D16932" s="496"/>
    </row>
    <row r="16933" spans="1:4" x14ac:dyDescent="0.2">
      <c r="A16933" s="496"/>
      <c r="D16933" s="496"/>
    </row>
    <row r="16934" spans="1:4" x14ac:dyDescent="0.2">
      <c r="A16934" s="496"/>
      <c r="D16934" s="496"/>
    </row>
    <row r="16935" spans="1:4" x14ac:dyDescent="0.2">
      <c r="A16935" s="496"/>
      <c r="D16935" s="496"/>
    </row>
    <row r="16936" spans="1:4" x14ac:dyDescent="0.2">
      <c r="A16936" s="496"/>
      <c r="D16936" s="496"/>
    </row>
    <row r="16937" spans="1:4" x14ac:dyDescent="0.2">
      <c r="A16937" s="496"/>
      <c r="D16937" s="496"/>
    </row>
    <row r="16938" spans="1:4" x14ac:dyDescent="0.2">
      <c r="A16938" s="496"/>
      <c r="D16938" s="496"/>
    </row>
    <row r="16939" spans="1:4" x14ac:dyDescent="0.2">
      <c r="A16939" s="496"/>
      <c r="D16939" s="496"/>
    </row>
    <row r="16940" spans="1:4" x14ac:dyDescent="0.2">
      <c r="A16940" s="496"/>
      <c r="D16940" s="496"/>
    </row>
    <row r="16941" spans="1:4" x14ac:dyDescent="0.2">
      <c r="A16941" s="496"/>
      <c r="D16941" s="496"/>
    </row>
    <row r="16942" spans="1:4" x14ac:dyDescent="0.2">
      <c r="A16942" s="496"/>
      <c r="D16942" s="496"/>
    </row>
    <row r="16943" spans="1:4" x14ac:dyDescent="0.2">
      <c r="A16943" s="496"/>
      <c r="D16943" s="496"/>
    </row>
    <row r="16944" spans="1:4" x14ac:dyDescent="0.2">
      <c r="A16944" s="496"/>
      <c r="D16944" s="496"/>
    </row>
    <row r="16945" spans="1:4" x14ac:dyDescent="0.2">
      <c r="A16945" s="496"/>
      <c r="D16945" s="496"/>
    </row>
    <row r="16946" spans="1:4" x14ac:dyDescent="0.2">
      <c r="A16946" s="496"/>
      <c r="D16946" s="496"/>
    </row>
    <row r="16947" spans="1:4" x14ac:dyDescent="0.2">
      <c r="A16947" s="496"/>
      <c r="D16947" s="496"/>
    </row>
    <row r="16948" spans="1:4" x14ac:dyDescent="0.2">
      <c r="A16948" s="496"/>
      <c r="D16948" s="496"/>
    </row>
    <row r="16949" spans="1:4" x14ac:dyDescent="0.2">
      <c r="A16949" s="496"/>
      <c r="D16949" s="496"/>
    </row>
    <row r="16950" spans="1:4" x14ac:dyDescent="0.2">
      <c r="A16950" s="496"/>
      <c r="D16950" s="496"/>
    </row>
    <row r="16951" spans="1:4" x14ac:dyDescent="0.2">
      <c r="A16951" s="496"/>
      <c r="D16951" s="496"/>
    </row>
    <row r="16952" spans="1:4" x14ac:dyDescent="0.2">
      <c r="A16952" s="496"/>
      <c r="D16952" s="496"/>
    </row>
    <row r="16953" spans="1:4" x14ac:dyDescent="0.2">
      <c r="A16953" s="496"/>
      <c r="D16953" s="496"/>
    </row>
    <row r="16954" spans="1:4" x14ac:dyDescent="0.2">
      <c r="A16954" s="496"/>
      <c r="D16954" s="496"/>
    </row>
    <row r="16955" spans="1:4" x14ac:dyDescent="0.2">
      <c r="A16955" s="496"/>
      <c r="D16955" s="496"/>
    </row>
    <row r="16956" spans="1:4" x14ac:dyDescent="0.2">
      <c r="A16956" s="496"/>
      <c r="D16956" s="496"/>
    </row>
    <row r="16957" spans="1:4" x14ac:dyDescent="0.2">
      <c r="A16957" s="496"/>
      <c r="D16957" s="496"/>
    </row>
    <row r="16958" spans="1:4" x14ac:dyDescent="0.2">
      <c r="A16958" s="496"/>
      <c r="D16958" s="496"/>
    </row>
    <row r="16959" spans="1:4" x14ac:dyDescent="0.2">
      <c r="A16959" s="496"/>
      <c r="D16959" s="496"/>
    </row>
    <row r="16960" spans="1:4" x14ac:dyDescent="0.2">
      <c r="A16960" s="496"/>
      <c r="D16960" s="496"/>
    </row>
    <row r="16961" spans="1:4" x14ac:dyDescent="0.2">
      <c r="A16961" s="496"/>
      <c r="D16961" s="496"/>
    </row>
    <row r="16962" spans="1:4" x14ac:dyDescent="0.2">
      <c r="A16962" s="496"/>
      <c r="D16962" s="496"/>
    </row>
    <row r="16963" spans="1:4" x14ac:dyDescent="0.2">
      <c r="A16963" s="496"/>
      <c r="D16963" s="496"/>
    </row>
    <row r="16964" spans="1:4" x14ac:dyDescent="0.2">
      <c r="A16964" s="496"/>
      <c r="D16964" s="496"/>
    </row>
    <row r="16965" spans="1:4" x14ac:dyDescent="0.2">
      <c r="A16965" s="496"/>
      <c r="D16965" s="496"/>
    </row>
    <row r="16966" spans="1:4" x14ac:dyDescent="0.2">
      <c r="A16966" s="496"/>
      <c r="D16966" s="496"/>
    </row>
    <row r="16967" spans="1:4" x14ac:dyDescent="0.2">
      <c r="A16967" s="496"/>
      <c r="D16967" s="496"/>
    </row>
    <row r="16968" spans="1:4" x14ac:dyDescent="0.2">
      <c r="A16968" s="496"/>
      <c r="D16968" s="496"/>
    </row>
    <row r="16969" spans="1:4" x14ac:dyDescent="0.2">
      <c r="A16969" s="496"/>
      <c r="D16969" s="496"/>
    </row>
    <row r="16970" spans="1:4" x14ac:dyDescent="0.2">
      <c r="A16970" s="496"/>
      <c r="D16970" s="496"/>
    </row>
    <row r="16971" spans="1:4" x14ac:dyDescent="0.2">
      <c r="A16971" s="496"/>
      <c r="D16971" s="496"/>
    </row>
    <row r="16972" spans="1:4" x14ac:dyDescent="0.2">
      <c r="A16972" s="496"/>
      <c r="D16972" s="496"/>
    </row>
    <row r="16973" spans="1:4" x14ac:dyDescent="0.2">
      <c r="A16973" s="496"/>
      <c r="D16973" s="496"/>
    </row>
    <row r="16974" spans="1:4" x14ac:dyDescent="0.2">
      <c r="A16974" s="496"/>
      <c r="D16974" s="496"/>
    </row>
    <row r="16975" spans="1:4" x14ac:dyDescent="0.2">
      <c r="A16975" s="496"/>
      <c r="D16975" s="496"/>
    </row>
    <row r="16976" spans="1:4" x14ac:dyDescent="0.2">
      <c r="A16976" s="496"/>
      <c r="D16976" s="496"/>
    </row>
    <row r="16977" spans="1:4" x14ac:dyDescent="0.2">
      <c r="A16977" s="496"/>
      <c r="D16977" s="496"/>
    </row>
    <row r="16978" spans="1:4" x14ac:dyDescent="0.2">
      <c r="A16978" s="496"/>
      <c r="D16978" s="496"/>
    </row>
    <row r="16979" spans="1:4" x14ac:dyDescent="0.2">
      <c r="A16979" s="496"/>
      <c r="D16979" s="496"/>
    </row>
    <row r="16980" spans="1:4" x14ac:dyDescent="0.2">
      <c r="A16980" s="496"/>
      <c r="D16980" s="496"/>
    </row>
    <row r="16981" spans="1:4" x14ac:dyDescent="0.2">
      <c r="A16981" s="496"/>
      <c r="D16981" s="496"/>
    </row>
    <row r="16982" spans="1:4" x14ac:dyDescent="0.2">
      <c r="A16982" s="496"/>
      <c r="D16982" s="496"/>
    </row>
    <row r="16983" spans="1:4" x14ac:dyDescent="0.2">
      <c r="A16983" s="496"/>
      <c r="D16983" s="496"/>
    </row>
    <row r="16984" spans="1:4" x14ac:dyDescent="0.2">
      <c r="A16984" s="496"/>
      <c r="D16984" s="496"/>
    </row>
    <row r="16985" spans="1:4" x14ac:dyDescent="0.2">
      <c r="A16985" s="496"/>
      <c r="D16985" s="496"/>
    </row>
    <row r="16986" spans="1:4" x14ac:dyDescent="0.2">
      <c r="A16986" s="496"/>
      <c r="D16986" s="496"/>
    </row>
    <row r="16987" spans="1:4" x14ac:dyDescent="0.2">
      <c r="A16987" s="496"/>
      <c r="D16987" s="496"/>
    </row>
    <row r="16988" spans="1:4" x14ac:dyDescent="0.2">
      <c r="A16988" s="496"/>
      <c r="D16988" s="496"/>
    </row>
    <row r="16989" spans="1:4" x14ac:dyDescent="0.2">
      <c r="A16989" s="496"/>
      <c r="D16989" s="496"/>
    </row>
    <row r="16990" spans="1:4" x14ac:dyDescent="0.2">
      <c r="A16990" s="496"/>
      <c r="D16990" s="496"/>
    </row>
    <row r="16991" spans="1:4" x14ac:dyDescent="0.2">
      <c r="A16991" s="496"/>
      <c r="D16991" s="496"/>
    </row>
    <row r="16992" spans="1:4" x14ac:dyDescent="0.2">
      <c r="A16992" s="496"/>
      <c r="D16992" s="496"/>
    </row>
    <row r="16993" spans="1:4" x14ac:dyDescent="0.2">
      <c r="A16993" s="496"/>
      <c r="D16993" s="496"/>
    </row>
    <row r="16994" spans="1:4" x14ac:dyDescent="0.2">
      <c r="A16994" s="496"/>
      <c r="D16994" s="496"/>
    </row>
    <row r="16995" spans="1:4" x14ac:dyDescent="0.2">
      <c r="A16995" s="496"/>
      <c r="D16995" s="496"/>
    </row>
    <row r="16996" spans="1:4" x14ac:dyDescent="0.2">
      <c r="A16996" s="496"/>
      <c r="D16996" s="496"/>
    </row>
    <row r="16997" spans="1:4" x14ac:dyDescent="0.2">
      <c r="A16997" s="496"/>
      <c r="D16997" s="496"/>
    </row>
    <row r="16998" spans="1:4" x14ac:dyDescent="0.2">
      <c r="A16998" s="496"/>
      <c r="D16998" s="496"/>
    </row>
    <row r="16999" spans="1:4" x14ac:dyDescent="0.2">
      <c r="A16999" s="496"/>
      <c r="D16999" s="496"/>
    </row>
    <row r="17000" spans="1:4" x14ac:dyDescent="0.2">
      <c r="A17000" s="496"/>
      <c r="D17000" s="496"/>
    </row>
    <row r="17001" spans="1:4" x14ac:dyDescent="0.2">
      <c r="A17001" s="496"/>
      <c r="D17001" s="496"/>
    </row>
    <row r="17002" spans="1:4" x14ac:dyDescent="0.2">
      <c r="A17002" s="496"/>
      <c r="D17002" s="496"/>
    </row>
    <row r="17003" spans="1:4" x14ac:dyDescent="0.2">
      <c r="A17003" s="496"/>
      <c r="D17003" s="496"/>
    </row>
    <row r="17004" spans="1:4" x14ac:dyDescent="0.2">
      <c r="A17004" s="496"/>
      <c r="D17004" s="496"/>
    </row>
    <row r="17005" spans="1:4" x14ac:dyDescent="0.2">
      <c r="A17005" s="496"/>
      <c r="D17005" s="496"/>
    </row>
    <row r="17006" spans="1:4" x14ac:dyDescent="0.2">
      <c r="A17006" s="496"/>
      <c r="D17006" s="496"/>
    </row>
    <row r="17007" spans="1:4" x14ac:dyDescent="0.2">
      <c r="A17007" s="496"/>
      <c r="D17007" s="496"/>
    </row>
    <row r="17008" spans="1:4" x14ac:dyDescent="0.2">
      <c r="A17008" s="496"/>
      <c r="D17008" s="496"/>
    </row>
    <row r="17009" spans="1:4" x14ac:dyDescent="0.2">
      <c r="A17009" s="496"/>
      <c r="D17009" s="496"/>
    </row>
    <row r="17010" spans="1:4" x14ac:dyDescent="0.2">
      <c r="A17010" s="496"/>
      <c r="D17010" s="496"/>
    </row>
    <row r="17011" spans="1:4" x14ac:dyDescent="0.2">
      <c r="A17011" s="496"/>
      <c r="D17011" s="4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U17011"/>
  <sheetViews>
    <sheetView workbookViewId="0">
      <selection sqref="A1:XFD1048576"/>
    </sheetView>
  </sheetViews>
  <sheetFormatPr defaultColWidth="6" defaultRowHeight="12.75" x14ac:dyDescent="0.2"/>
  <cols>
    <col min="1" max="1" width="6" style="10"/>
    <col min="2" max="2" width="20.625" style="496" customWidth="1"/>
    <col min="3" max="3" width="12.625" style="496" customWidth="1"/>
    <col min="4" max="4" width="12.625" style="66" customWidth="1"/>
    <col min="5" max="8" width="12.625" style="496" customWidth="1"/>
    <col min="9" max="9" width="13.25" style="496" customWidth="1"/>
    <col min="10" max="13" width="10.25" style="496" customWidth="1"/>
    <col min="14" max="14" width="13" style="496" customWidth="1"/>
    <col min="15" max="16" width="10.375" style="496" customWidth="1"/>
    <col min="17" max="17" width="13.25" style="496" customWidth="1"/>
    <col min="18" max="18" width="12" style="496" customWidth="1"/>
    <col min="19" max="19" width="9.75" style="496" customWidth="1"/>
    <col min="20" max="20" width="7.25" style="496" customWidth="1"/>
    <col min="21" max="21" width="10.25" style="496" customWidth="1"/>
    <col min="22" max="16384" width="6" style="496"/>
  </cols>
  <sheetData>
    <row r="3" spans="1:21" x14ac:dyDescent="0.2">
      <c r="A3" s="282"/>
      <c r="B3" s="282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</row>
    <row r="4" spans="1:21" x14ac:dyDescent="0.2">
      <c r="A4" s="282"/>
      <c r="B4" s="282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</row>
    <row r="5" spans="1:21" x14ac:dyDescent="0.2">
      <c r="A5" s="282"/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</row>
    <row r="6" spans="1:21" x14ac:dyDescent="0.2">
      <c r="A6" s="284"/>
      <c r="B6" s="283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</row>
    <row r="7" spans="1:21" ht="13.5" thickBot="1" x14ac:dyDescent="0.25">
      <c r="A7" s="285"/>
      <c r="B7" s="283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</row>
    <row r="8" spans="1:21" s="123" customFormat="1" ht="13.5" thickBot="1" x14ac:dyDescent="0.25">
      <c r="A8" s="286"/>
      <c r="B8" s="289"/>
      <c r="C8" s="288"/>
      <c r="D8" s="288"/>
      <c r="E8" s="288"/>
      <c r="F8" s="288"/>
      <c r="G8" s="288"/>
      <c r="H8" s="288"/>
      <c r="I8" s="288"/>
      <c r="J8" s="288"/>
      <c r="K8" s="288"/>
      <c r="L8" s="789"/>
      <c r="M8" s="288"/>
      <c r="N8" s="288"/>
      <c r="O8" s="789"/>
      <c r="P8" s="288"/>
      <c r="Q8" s="288"/>
      <c r="R8" s="288"/>
      <c r="S8" s="789"/>
      <c r="T8" s="288"/>
      <c r="U8" s="288"/>
    </row>
    <row r="9" spans="1:21" x14ac:dyDescent="0.2">
      <c r="A9" s="284"/>
      <c r="B9" s="283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</row>
    <row r="10" spans="1:21" ht="13.5" thickBot="1" x14ac:dyDescent="0.25">
      <c r="A10" s="285"/>
      <c r="B10" s="283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</row>
    <row r="11" spans="1:21" s="123" customFormat="1" ht="13.5" thickBot="1" x14ac:dyDescent="0.25">
      <c r="A11" s="286"/>
      <c r="B11" s="289"/>
      <c r="C11" s="288"/>
      <c r="D11" s="288"/>
      <c r="E11" s="288"/>
      <c r="F11" s="288"/>
      <c r="G11" s="288"/>
      <c r="H11" s="288"/>
      <c r="I11" s="288"/>
      <c r="J11" s="288"/>
      <c r="K11" s="789"/>
      <c r="L11" s="288"/>
      <c r="M11" s="288"/>
      <c r="N11" s="288"/>
      <c r="O11" s="288"/>
      <c r="P11" s="288"/>
      <c r="Q11" s="288"/>
      <c r="R11" s="288"/>
      <c r="S11" s="288"/>
      <c r="T11" s="288"/>
      <c r="U11" s="288"/>
    </row>
    <row r="12" spans="1:21" x14ac:dyDescent="0.2">
      <c r="A12" s="284"/>
      <c r="B12" s="283"/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</row>
    <row r="13" spans="1:21" x14ac:dyDescent="0.2">
      <c r="A13" s="285"/>
      <c r="B13" s="283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</row>
    <row r="14" spans="1:21" s="123" customFormat="1" x14ac:dyDescent="0.2">
      <c r="A14" s="286"/>
      <c r="B14" s="289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</row>
    <row r="15" spans="1:21" x14ac:dyDescent="0.2">
      <c r="A15" s="284"/>
      <c r="B15" s="283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</row>
    <row r="16" spans="1:21" ht="13.5" thickBot="1" x14ac:dyDescent="0.25">
      <c r="A16" s="285"/>
      <c r="B16" s="283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</row>
    <row r="17" spans="1:21" s="123" customFormat="1" ht="13.5" thickBot="1" x14ac:dyDescent="0.25">
      <c r="A17" s="286"/>
      <c r="B17" s="289"/>
      <c r="C17" s="288"/>
      <c r="D17" s="288"/>
      <c r="E17" s="288"/>
      <c r="F17" s="288"/>
      <c r="G17" s="288"/>
      <c r="H17" s="288"/>
      <c r="I17" s="288"/>
      <c r="J17" s="789"/>
      <c r="K17" s="789"/>
      <c r="L17" s="789"/>
      <c r="M17" s="288"/>
      <c r="N17" s="288"/>
      <c r="O17" s="288"/>
      <c r="P17" s="288"/>
      <c r="Q17" s="288"/>
      <c r="R17" s="288"/>
      <c r="S17" s="288"/>
      <c r="T17" s="288"/>
      <c r="U17" s="288"/>
    </row>
    <row r="18" spans="1:21" x14ac:dyDescent="0.2">
      <c r="A18" s="284"/>
      <c r="B18" s="283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</row>
    <row r="19" spans="1:21" ht="13.5" thickBot="1" x14ac:dyDescent="0.25">
      <c r="A19" s="285"/>
      <c r="B19" s="283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</row>
    <row r="20" spans="1:21" s="123" customFormat="1" ht="13.5" thickBot="1" x14ac:dyDescent="0.25">
      <c r="A20" s="286"/>
      <c r="B20" s="289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789"/>
      <c r="P20" s="288"/>
      <c r="Q20" s="288"/>
      <c r="R20" s="288"/>
      <c r="S20" s="288"/>
      <c r="T20" s="288"/>
      <c r="U20" s="288"/>
    </row>
    <row r="21" spans="1:21" x14ac:dyDescent="0.2">
      <c r="A21" s="284"/>
      <c r="B21" s="283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</row>
    <row r="22" spans="1:21" x14ac:dyDescent="0.2">
      <c r="A22" s="285"/>
      <c r="B22" s="283"/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</row>
    <row r="23" spans="1:21" s="123" customFormat="1" x14ac:dyDescent="0.2">
      <c r="A23" s="286"/>
      <c r="B23" s="289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</row>
    <row r="24" spans="1:21" x14ac:dyDescent="0.2">
      <c r="A24" s="284"/>
      <c r="B24" s="283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</row>
    <row r="25" spans="1:21" ht="13.5" thickBot="1" x14ac:dyDescent="0.25">
      <c r="A25" s="285"/>
      <c r="B25" s="283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</row>
    <row r="26" spans="1:21" s="123" customFormat="1" ht="13.5" thickBot="1" x14ac:dyDescent="0.25">
      <c r="A26" s="286"/>
      <c r="B26" s="289"/>
      <c r="C26" s="288"/>
      <c r="D26" s="288"/>
      <c r="E26" s="288"/>
      <c r="F26" s="288"/>
      <c r="G26" s="288"/>
      <c r="H26" s="288"/>
      <c r="I26" s="288"/>
      <c r="J26" s="288"/>
      <c r="K26" s="789"/>
      <c r="L26" s="288"/>
      <c r="M26" s="789"/>
      <c r="N26" s="288"/>
      <c r="O26" s="288"/>
      <c r="P26" s="288"/>
      <c r="Q26" s="288"/>
      <c r="R26" s="288"/>
      <c r="S26" s="288"/>
      <c r="T26" s="288"/>
      <c r="U26" s="288"/>
    </row>
    <row r="27" spans="1:21" x14ac:dyDescent="0.2">
      <c r="A27" s="284"/>
      <c r="B27" s="283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</row>
    <row r="28" spans="1:21" x14ac:dyDescent="0.2">
      <c r="A28" s="285"/>
      <c r="B28" s="283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</row>
    <row r="29" spans="1:21" s="123" customFormat="1" x14ac:dyDescent="0.2">
      <c r="A29" s="286"/>
      <c r="B29" s="289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</row>
    <row r="30" spans="1:21" x14ac:dyDescent="0.2">
      <c r="A30" s="284"/>
      <c r="B30" s="283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</row>
    <row r="31" spans="1:21" ht="13.5" thickBot="1" x14ac:dyDescent="0.25">
      <c r="A31" s="285"/>
      <c r="B31" s="283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</row>
    <row r="32" spans="1:21" s="123" customFormat="1" ht="13.5" thickBot="1" x14ac:dyDescent="0.25">
      <c r="A32" s="286"/>
      <c r="B32" s="289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789"/>
      <c r="N32" s="288"/>
      <c r="O32" s="288"/>
      <c r="P32" s="288"/>
      <c r="Q32" s="288"/>
      <c r="R32" s="288"/>
      <c r="S32" s="789"/>
      <c r="T32" s="288"/>
      <c r="U32" s="288"/>
    </row>
    <row r="33" spans="1:21" x14ac:dyDescent="0.2">
      <c r="A33" s="284"/>
      <c r="B33" s="283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</row>
    <row r="34" spans="1:21" x14ac:dyDescent="0.2">
      <c r="A34" s="285"/>
      <c r="B34" s="283"/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</row>
    <row r="35" spans="1:21" s="123" customFormat="1" x14ac:dyDescent="0.2">
      <c r="A35" s="286"/>
      <c r="B35" s="289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</row>
    <row r="36" spans="1:21" x14ac:dyDescent="0.2">
      <c r="A36" s="284"/>
      <c r="B36" s="283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</row>
    <row r="37" spans="1:21" ht="13.5" thickBot="1" x14ac:dyDescent="0.25">
      <c r="A37" s="285"/>
      <c r="B37" s="283"/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</row>
    <row r="38" spans="1:21" s="123" customFormat="1" ht="13.5" thickBot="1" x14ac:dyDescent="0.25">
      <c r="A38" s="286"/>
      <c r="B38" s="289"/>
      <c r="C38" s="288"/>
      <c r="D38" s="288"/>
      <c r="E38" s="288"/>
      <c r="F38" s="288"/>
      <c r="G38" s="288"/>
      <c r="H38" s="288"/>
      <c r="I38" s="288"/>
      <c r="J38" s="789"/>
      <c r="K38" s="789"/>
      <c r="L38" s="288"/>
      <c r="M38" s="288"/>
      <c r="N38" s="288"/>
      <c r="O38" s="288"/>
      <c r="P38" s="288"/>
      <c r="Q38" s="288"/>
      <c r="R38" s="288"/>
      <c r="S38" s="288"/>
      <c r="T38" s="288"/>
      <c r="U38" s="288"/>
    </row>
    <row r="39" spans="1:21" x14ac:dyDescent="0.2">
      <c r="A39" s="284"/>
      <c r="B39" s="283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</row>
    <row r="40" spans="1:21" x14ac:dyDescent="0.2">
      <c r="A40" s="285"/>
      <c r="B40" s="283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</row>
    <row r="41" spans="1:21" s="123" customFormat="1" x14ac:dyDescent="0.2">
      <c r="A41" s="286"/>
      <c r="B41" s="289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</row>
    <row r="42" spans="1:21" x14ac:dyDescent="0.2">
      <c r="A42" s="284"/>
      <c r="B42" s="283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</row>
    <row r="43" spans="1:21" ht="13.5" thickBot="1" x14ac:dyDescent="0.25">
      <c r="A43" s="285"/>
      <c r="B43" s="283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</row>
    <row r="44" spans="1:21" s="123" customFormat="1" ht="13.5" thickBot="1" x14ac:dyDescent="0.25">
      <c r="A44" s="286"/>
      <c r="B44" s="289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789"/>
      <c r="P44" s="288"/>
      <c r="Q44" s="288"/>
      <c r="R44" s="288"/>
      <c r="S44" s="288"/>
      <c r="T44" s="288"/>
      <c r="U44" s="288"/>
    </row>
    <row r="45" spans="1:21" x14ac:dyDescent="0.2">
      <c r="A45" s="284"/>
      <c r="B45" s="283"/>
      <c r="C45" s="287"/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</row>
    <row r="46" spans="1:21" ht="13.5" thickBot="1" x14ac:dyDescent="0.25">
      <c r="A46" s="285"/>
      <c r="B46" s="283"/>
      <c r="C46" s="287"/>
      <c r="D46" s="287"/>
      <c r="E46" s="287"/>
      <c r="F46" s="287"/>
      <c r="G46" s="287"/>
      <c r="H46" s="790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</row>
    <row r="47" spans="1:21" s="123" customFormat="1" ht="13.5" thickBot="1" x14ac:dyDescent="0.25">
      <c r="A47" s="286"/>
      <c r="B47" s="289"/>
      <c r="C47" s="288"/>
      <c r="D47" s="288"/>
      <c r="E47" s="288"/>
      <c r="F47" s="288"/>
      <c r="G47" s="792"/>
      <c r="H47" s="791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</row>
    <row r="48" spans="1:21" x14ac:dyDescent="0.2">
      <c r="A48" s="284"/>
      <c r="B48" s="283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</row>
    <row r="49" spans="1:21" ht="13.5" thickBot="1" x14ac:dyDescent="0.25">
      <c r="A49" s="285"/>
      <c r="B49" s="283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</row>
    <row r="50" spans="1:21" s="123" customFormat="1" ht="13.5" thickBot="1" x14ac:dyDescent="0.25">
      <c r="A50" s="286"/>
      <c r="B50" s="289"/>
      <c r="C50" s="288"/>
      <c r="D50" s="288"/>
      <c r="E50" s="288"/>
      <c r="F50" s="288"/>
      <c r="G50" s="288"/>
      <c r="H50" s="288"/>
      <c r="I50" s="288"/>
      <c r="J50" s="288"/>
      <c r="K50" s="789"/>
      <c r="L50" s="789"/>
      <c r="M50" s="789"/>
      <c r="N50" s="288"/>
      <c r="O50" s="288"/>
      <c r="P50" s="288"/>
      <c r="Q50" s="288"/>
      <c r="R50" s="288"/>
      <c r="S50" s="288"/>
      <c r="T50" s="288"/>
      <c r="U50" s="288"/>
    </row>
    <row r="51" spans="1:21" x14ac:dyDescent="0.2">
      <c r="A51" s="284"/>
      <c r="B51" s="283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</row>
    <row r="52" spans="1:21" ht="13.5" thickBot="1" x14ac:dyDescent="0.25">
      <c r="A52" s="285"/>
      <c r="B52" s="283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</row>
    <row r="53" spans="1:21" s="123" customFormat="1" ht="13.5" thickBot="1" x14ac:dyDescent="0.25">
      <c r="A53" s="286"/>
      <c r="B53" s="289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789"/>
      <c r="N53" s="288"/>
      <c r="O53" s="288"/>
      <c r="P53" s="288"/>
      <c r="Q53" s="288"/>
      <c r="R53" s="288"/>
      <c r="S53" s="789"/>
      <c r="T53" s="288"/>
      <c r="U53" s="288"/>
    </row>
    <row r="54" spans="1:21" x14ac:dyDescent="0.2">
      <c r="A54" s="284"/>
      <c r="B54" s="283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</row>
    <row r="55" spans="1:21" x14ac:dyDescent="0.2">
      <c r="A55" s="285"/>
      <c r="B55" s="283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</row>
    <row r="56" spans="1:21" s="123" customFormat="1" x14ac:dyDescent="0.2">
      <c r="A56" s="286"/>
      <c r="B56" s="289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</row>
    <row r="57" spans="1:21" x14ac:dyDescent="0.2">
      <c r="A57" s="291"/>
      <c r="B57" s="10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</row>
    <row r="58" spans="1:21" x14ac:dyDescent="0.2">
      <c r="A58" s="291"/>
      <c r="B58" s="10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</row>
    <row r="59" spans="1:21" s="123" customFormat="1" x14ac:dyDescent="0.2">
      <c r="A59" s="290"/>
      <c r="B59" s="28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</row>
    <row r="60" spans="1:21" x14ac:dyDescent="0.2">
      <c r="A60" s="146"/>
      <c r="D60" s="496"/>
    </row>
    <row r="61" spans="1:21" x14ac:dyDescent="0.2">
      <c r="A61" s="146"/>
      <c r="D61" s="496"/>
    </row>
    <row r="62" spans="1:21" s="123" customFormat="1" x14ac:dyDescent="0.2">
      <c r="A62" s="146"/>
      <c r="B62" s="496"/>
      <c r="C62" s="496"/>
      <c r="D62" s="496"/>
      <c r="E62" s="496"/>
      <c r="F62" s="496"/>
      <c r="G62" s="496"/>
      <c r="H62" s="496"/>
      <c r="I62" s="496"/>
      <c r="J62" s="496"/>
      <c r="K62" s="496"/>
      <c r="L62" s="496"/>
      <c r="M62" s="496"/>
      <c r="N62" s="496"/>
      <c r="O62" s="496"/>
      <c r="P62" s="496"/>
      <c r="Q62" s="496"/>
      <c r="R62" s="496"/>
      <c r="S62" s="496"/>
      <c r="T62" s="496"/>
      <c r="U62" s="496"/>
    </row>
    <row r="63" spans="1:21" x14ac:dyDescent="0.2">
      <c r="A63" s="146"/>
      <c r="D63" s="496"/>
    </row>
    <row r="64" spans="1:21" x14ac:dyDescent="0.2">
      <c r="A64" s="146"/>
      <c r="D64" s="496"/>
    </row>
    <row r="65" spans="1:21" s="123" customFormat="1" x14ac:dyDescent="0.2">
      <c r="A65" s="14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496"/>
      <c r="N65" s="496"/>
      <c r="O65" s="496"/>
      <c r="P65" s="496"/>
      <c r="Q65" s="496"/>
      <c r="R65" s="496"/>
      <c r="S65" s="496"/>
      <c r="T65" s="496"/>
      <c r="U65" s="496"/>
    </row>
    <row r="66" spans="1:21" x14ac:dyDescent="0.2">
      <c r="A66" s="146"/>
      <c r="D66" s="496"/>
    </row>
    <row r="67" spans="1:21" x14ac:dyDescent="0.2">
      <c r="A67" s="146"/>
      <c r="D67" s="496"/>
    </row>
    <row r="68" spans="1:21" s="123" customFormat="1" x14ac:dyDescent="0.2">
      <c r="A68" s="146"/>
      <c r="B68" s="496"/>
      <c r="C68" s="496"/>
      <c r="D68" s="496"/>
      <c r="E68" s="496"/>
      <c r="F68" s="496"/>
      <c r="G68" s="496"/>
      <c r="H68" s="496"/>
      <c r="I68" s="496"/>
      <c r="J68" s="496"/>
      <c r="K68" s="496"/>
      <c r="L68" s="496"/>
      <c r="M68" s="496"/>
      <c r="N68" s="496"/>
      <c r="O68" s="496"/>
      <c r="P68" s="496"/>
      <c r="Q68" s="496"/>
      <c r="R68" s="496"/>
      <c r="S68" s="496"/>
      <c r="T68" s="496"/>
      <c r="U68" s="496"/>
    </row>
    <row r="69" spans="1:21" x14ac:dyDescent="0.2">
      <c r="A69" s="146"/>
      <c r="D69" s="496"/>
    </row>
    <row r="70" spans="1:21" x14ac:dyDescent="0.2">
      <c r="A70" s="146"/>
      <c r="D70" s="496"/>
    </row>
    <row r="71" spans="1:21" s="123" customFormat="1" x14ac:dyDescent="0.2">
      <c r="A71" s="146"/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</row>
    <row r="72" spans="1:21" x14ac:dyDescent="0.2">
      <c r="A72" s="146"/>
      <c r="D72" s="496"/>
    </row>
    <row r="73" spans="1:21" x14ac:dyDescent="0.2">
      <c r="A73" s="146"/>
      <c r="D73" s="496"/>
    </row>
    <row r="74" spans="1:21" s="123" customFormat="1" x14ac:dyDescent="0.2">
      <c r="A74" s="146"/>
      <c r="B74" s="496"/>
      <c r="C74" s="496"/>
      <c r="D74" s="496"/>
      <c r="E74" s="496"/>
      <c r="F74" s="496"/>
      <c r="G74" s="496"/>
      <c r="H74" s="496"/>
      <c r="I74" s="496"/>
      <c r="J74" s="496"/>
      <c r="K74" s="496"/>
      <c r="L74" s="496"/>
      <c r="M74" s="496"/>
      <c r="N74" s="496"/>
      <c r="O74" s="496"/>
      <c r="P74" s="496"/>
      <c r="Q74" s="496"/>
      <c r="R74" s="496"/>
      <c r="S74" s="496"/>
      <c r="T74" s="496"/>
      <c r="U74" s="496"/>
    </row>
    <row r="75" spans="1:21" x14ac:dyDescent="0.2">
      <c r="A75" s="146"/>
      <c r="D75" s="496"/>
    </row>
    <row r="76" spans="1:21" x14ac:dyDescent="0.2">
      <c r="A76" s="146"/>
      <c r="D76" s="496"/>
    </row>
    <row r="77" spans="1:21" s="123" customFormat="1" x14ac:dyDescent="0.2">
      <c r="A77" s="146"/>
      <c r="B77" s="496"/>
      <c r="C77" s="496"/>
      <c r="D77" s="496"/>
      <c r="E77" s="496"/>
      <c r="F77" s="496"/>
      <c r="G77" s="496"/>
      <c r="H77" s="496"/>
      <c r="I77" s="496"/>
      <c r="J77" s="496"/>
      <c r="K77" s="496"/>
      <c r="L77" s="496"/>
      <c r="M77" s="496"/>
      <c r="N77" s="496"/>
      <c r="O77" s="496"/>
      <c r="P77" s="496"/>
      <c r="Q77" s="496"/>
      <c r="R77" s="496"/>
      <c r="S77" s="496"/>
      <c r="T77" s="496"/>
      <c r="U77" s="496"/>
    </row>
    <row r="78" spans="1:21" x14ac:dyDescent="0.2">
      <c r="A78" s="146"/>
      <c r="D78" s="496"/>
    </row>
    <row r="79" spans="1:21" x14ac:dyDescent="0.2">
      <c r="A79" s="146"/>
      <c r="D79" s="496"/>
    </row>
    <row r="80" spans="1:21" s="123" customFormat="1" x14ac:dyDescent="0.2">
      <c r="A80" s="146"/>
      <c r="B80" s="496"/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</row>
    <row r="81" spans="1:21" x14ac:dyDescent="0.2">
      <c r="A81" s="146"/>
      <c r="D81" s="496"/>
    </row>
    <row r="82" spans="1:21" x14ac:dyDescent="0.2">
      <c r="A82" s="146"/>
      <c r="D82" s="496"/>
    </row>
    <row r="83" spans="1:21" s="123" customFormat="1" x14ac:dyDescent="0.2">
      <c r="A83" s="146"/>
      <c r="B83" s="496"/>
      <c r="C83" s="496"/>
      <c r="D83" s="496"/>
      <c r="E83" s="496"/>
      <c r="F83" s="496"/>
      <c r="G83" s="496"/>
      <c r="H83" s="496"/>
      <c r="I83" s="496"/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6"/>
    </row>
    <row r="84" spans="1:21" x14ac:dyDescent="0.2">
      <c r="A84" s="146"/>
      <c r="D84" s="496"/>
    </row>
    <row r="85" spans="1:21" x14ac:dyDescent="0.2">
      <c r="A85" s="146"/>
      <c r="D85" s="496"/>
    </row>
    <row r="86" spans="1:21" s="123" customFormat="1" x14ac:dyDescent="0.2">
      <c r="A86" s="146"/>
      <c r="B86" s="496"/>
      <c r="C86" s="496"/>
      <c r="D86" s="496"/>
      <c r="E86" s="496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496"/>
      <c r="Q86" s="496"/>
      <c r="R86" s="496"/>
      <c r="S86" s="496"/>
      <c r="T86" s="496"/>
      <c r="U86" s="496"/>
    </row>
    <row r="87" spans="1:21" x14ac:dyDescent="0.2">
      <c r="A87" s="146"/>
      <c r="D87" s="496"/>
    </row>
    <row r="88" spans="1:21" x14ac:dyDescent="0.2">
      <c r="A88" s="146"/>
      <c r="D88" s="496"/>
    </row>
    <row r="89" spans="1:21" s="123" customFormat="1" x14ac:dyDescent="0.2">
      <c r="A89" s="146"/>
      <c r="B89" s="496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  <c r="P89" s="496"/>
      <c r="Q89" s="496"/>
      <c r="R89" s="496"/>
      <c r="S89" s="496"/>
      <c r="T89" s="496"/>
      <c r="U89" s="496"/>
    </row>
    <row r="90" spans="1:21" x14ac:dyDescent="0.2">
      <c r="A90" s="146"/>
      <c r="D90" s="496"/>
    </row>
    <row r="91" spans="1:21" x14ac:dyDescent="0.2">
      <c r="A91" s="146"/>
      <c r="D91" s="496"/>
    </row>
    <row r="92" spans="1:21" s="123" customFormat="1" x14ac:dyDescent="0.2">
      <c r="A92" s="146"/>
      <c r="B92" s="496"/>
      <c r="C92" s="496"/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496"/>
      <c r="P92" s="496"/>
      <c r="Q92" s="496"/>
      <c r="R92" s="496"/>
      <c r="S92" s="496"/>
      <c r="T92" s="496"/>
      <c r="U92" s="496"/>
    </row>
    <row r="93" spans="1:21" x14ac:dyDescent="0.2">
      <c r="A93" s="146"/>
      <c r="D93" s="496"/>
    </row>
    <row r="94" spans="1:21" x14ac:dyDescent="0.2">
      <c r="A94" s="146"/>
      <c r="D94" s="496"/>
    </row>
    <row r="95" spans="1:21" s="123" customFormat="1" x14ac:dyDescent="0.2">
      <c r="A95" s="146"/>
      <c r="B95" s="496"/>
      <c r="C95" s="496"/>
      <c r="D95" s="496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6"/>
      <c r="Q95" s="496"/>
      <c r="R95" s="496"/>
      <c r="S95" s="496"/>
      <c r="T95" s="496"/>
      <c r="U95" s="496"/>
    </row>
    <row r="96" spans="1:21" x14ac:dyDescent="0.2">
      <c r="A96" s="146"/>
      <c r="D96" s="496"/>
    </row>
    <row r="97" spans="1:21" x14ac:dyDescent="0.2">
      <c r="A97" s="146"/>
      <c r="D97" s="496"/>
    </row>
    <row r="98" spans="1:21" s="123" customFormat="1" x14ac:dyDescent="0.2">
      <c r="A98" s="146"/>
      <c r="B98" s="496"/>
      <c r="C98" s="496"/>
      <c r="D98" s="496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496"/>
      <c r="R98" s="496"/>
      <c r="S98" s="496"/>
      <c r="T98" s="496"/>
      <c r="U98" s="496"/>
    </row>
    <row r="99" spans="1:21" x14ac:dyDescent="0.2">
      <c r="A99" s="146"/>
      <c r="D99" s="496"/>
    </row>
    <row r="100" spans="1:21" x14ac:dyDescent="0.2">
      <c r="A100" s="146"/>
      <c r="D100" s="496"/>
    </row>
    <row r="101" spans="1:21" s="123" customFormat="1" x14ac:dyDescent="0.2">
      <c r="A101" s="146"/>
      <c r="B101" s="496"/>
      <c r="C101" s="496"/>
      <c r="D101" s="496"/>
      <c r="E101" s="496"/>
      <c r="F101" s="496"/>
      <c r="G101" s="496"/>
      <c r="H101" s="496"/>
      <c r="I101" s="496"/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</row>
    <row r="102" spans="1:21" x14ac:dyDescent="0.2">
      <c r="A102" s="146"/>
      <c r="D102" s="496"/>
    </row>
    <row r="103" spans="1:21" x14ac:dyDescent="0.2">
      <c r="A103" s="146"/>
      <c r="D103" s="496"/>
    </row>
    <row r="104" spans="1:21" s="123" customFormat="1" x14ac:dyDescent="0.2">
      <c r="A104" s="146"/>
      <c r="B104" s="496"/>
      <c r="C104" s="496"/>
      <c r="D104" s="496"/>
      <c r="E104" s="496"/>
      <c r="F104" s="496"/>
      <c r="G104" s="496"/>
      <c r="H104" s="496"/>
      <c r="I104" s="496"/>
      <c r="J104" s="496"/>
      <c r="K104" s="496"/>
      <c r="L104" s="496"/>
      <c r="M104" s="496"/>
      <c r="N104" s="496"/>
      <c r="O104" s="496"/>
      <c r="P104" s="496"/>
      <c r="Q104" s="496"/>
      <c r="R104" s="496"/>
      <c r="S104" s="496"/>
      <c r="T104" s="496"/>
      <c r="U104" s="496"/>
    </row>
    <row r="105" spans="1:21" x14ac:dyDescent="0.2">
      <c r="A105" s="146"/>
      <c r="D105" s="496"/>
    </row>
    <row r="106" spans="1:21" x14ac:dyDescent="0.2">
      <c r="A106" s="146"/>
      <c r="D106" s="496"/>
    </row>
    <row r="107" spans="1:21" s="123" customFormat="1" x14ac:dyDescent="0.2">
      <c r="A107" s="146"/>
      <c r="B107" s="496"/>
      <c r="C107" s="496"/>
      <c r="D107" s="496"/>
      <c r="E107" s="496"/>
      <c r="F107" s="496"/>
      <c r="G107" s="496"/>
      <c r="H107" s="496"/>
      <c r="I107" s="496"/>
      <c r="J107" s="496"/>
      <c r="K107" s="496"/>
      <c r="L107" s="496"/>
      <c r="M107" s="496"/>
      <c r="N107" s="496"/>
      <c r="O107" s="496"/>
      <c r="P107" s="496"/>
      <c r="Q107" s="496"/>
      <c r="R107" s="496"/>
      <c r="S107" s="496"/>
      <c r="T107" s="496"/>
      <c r="U107" s="496"/>
    </row>
    <row r="108" spans="1:21" x14ac:dyDescent="0.2">
      <c r="A108" s="146"/>
      <c r="D108" s="496"/>
    </row>
    <row r="109" spans="1:21" x14ac:dyDescent="0.2">
      <c r="A109" s="146"/>
      <c r="D109" s="496"/>
    </row>
    <row r="110" spans="1:21" s="123" customFormat="1" x14ac:dyDescent="0.2">
      <c r="A110" s="146"/>
      <c r="B110" s="496"/>
      <c r="C110" s="496"/>
      <c r="D110" s="496"/>
      <c r="E110" s="496"/>
      <c r="F110" s="496"/>
      <c r="G110" s="496"/>
      <c r="H110" s="496"/>
      <c r="I110" s="496"/>
      <c r="J110" s="496"/>
      <c r="K110" s="496"/>
      <c r="L110" s="496"/>
      <c r="M110" s="496"/>
      <c r="N110" s="496"/>
      <c r="O110" s="496"/>
      <c r="P110" s="496"/>
      <c r="Q110" s="496"/>
      <c r="R110" s="496"/>
      <c r="S110" s="496"/>
      <c r="T110" s="496"/>
      <c r="U110" s="496"/>
    </row>
    <row r="111" spans="1:21" x14ac:dyDescent="0.2">
      <c r="A111" s="146"/>
      <c r="D111" s="496"/>
    </row>
    <row r="112" spans="1:21" x14ac:dyDescent="0.2">
      <c r="A112" s="146"/>
      <c r="D112" s="496"/>
    </row>
    <row r="113" spans="1:21" s="123" customFormat="1" x14ac:dyDescent="0.2">
      <c r="A113" s="146"/>
      <c r="B113" s="496"/>
      <c r="C113" s="496"/>
      <c r="D113" s="496"/>
      <c r="E113" s="496"/>
      <c r="F113" s="496"/>
      <c r="G113" s="496"/>
      <c r="H113" s="496"/>
      <c r="I113" s="496"/>
      <c r="J113" s="496"/>
      <c r="K113" s="496"/>
      <c r="L113" s="496"/>
      <c r="M113" s="496"/>
      <c r="N113" s="496"/>
      <c r="O113" s="496"/>
      <c r="P113" s="496"/>
      <c r="Q113" s="496"/>
      <c r="R113" s="496"/>
      <c r="S113" s="496"/>
      <c r="T113" s="496"/>
      <c r="U113" s="496"/>
    </row>
    <row r="114" spans="1:21" x14ac:dyDescent="0.2">
      <c r="A114" s="146"/>
      <c r="D114" s="496"/>
    </row>
    <row r="115" spans="1:21" x14ac:dyDescent="0.2">
      <c r="A115" s="146"/>
      <c r="D115" s="496"/>
    </row>
    <row r="116" spans="1:21" s="123" customFormat="1" x14ac:dyDescent="0.2">
      <c r="A116" s="146"/>
      <c r="B116" s="496"/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</row>
    <row r="117" spans="1:21" x14ac:dyDescent="0.2">
      <c r="A117" s="146"/>
      <c r="D117" s="496"/>
    </row>
    <row r="118" spans="1:21" x14ac:dyDescent="0.2">
      <c r="A118" s="146"/>
      <c r="D118" s="496"/>
    </row>
    <row r="119" spans="1:21" s="123" customFormat="1" x14ac:dyDescent="0.2">
      <c r="A119" s="146"/>
      <c r="B119" s="496"/>
      <c r="C119" s="496"/>
      <c r="D119" s="496"/>
      <c r="E119" s="496"/>
      <c r="F119" s="496"/>
      <c r="G119" s="496"/>
      <c r="H119" s="496"/>
      <c r="I119" s="496"/>
      <c r="J119" s="496"/>
      <c r="K119" s="496"/>
      <c r="L119" s="496"/>
      <c r="M119" s="496"/>
      <c r="N119" s="496"/>
      <c r="O119" s="496"/>
      <c r="P119" s="496"/>
      <c r="Q119" s="496"/>
      <c r="R119" s="496"/>
      <c r="S119" s="496"/>
      <c r="T119" s="496"/>
      <c r="U119" s="496"/>
    </row>
    <row r="120" spans="1:21" x14ac:dyDescent="0.2">
      <c r="A120" s="146"/>
      <c r="D120" s="496"/>
    </row>
    <row r="121" spans="1:21" x14ac:dyDescent="0.2">
      <c r="A121" s="146"/>
      <c r="D121" s="496"/>
    </row>
    <row r="122" spans="1:21" s="123" customFormat="1" x14ac:dyDescent="0.2">
      <c r="A122" s="146"/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</row>
    <row r="123" spans="1:21" x14ac:dyDescent="0.2">
      <c r="A123" s="146"/>
      <c r="D123" s="496"/>
    </row>
    <row r="124" spans="1:21" x14ac:dyDescent="0.2">
      <c r="A124" s="146"/>
      <c r="D124" s="496"/>
    </row>
    <row r="125" spans="1:21" s="123" customFormat="1" x14ac:dyDescent="0.2">
      <c r="A125" s="146"/>
      <c r="B125" s="496"/>
      <c r="C125" s="496"/>
      <c r="D125" s="496"/>
      <c r="E125" s="496"/>
      <c r="F125" s="496"/>
      <c r="G125" s="496"/>
      <c r="H125" s="496"/>
      <c r="I125" s="496"/>
      <c r="J125" s="496"/>
      <c r="K125" s="496"/>
      <c r="L125" s="496"/>
      <c r="M125" s="496"/>
      <c r="N125" s="496"/>
      <c r="O125" s="496"/>
      <c r="P125" s="496"/>
      <c r="Q125" s="496"/>
      <c r="R125" s="496"/>
      <c r="S125" s="496"/>
      <c r="T125" s="496"/>
      <c r="U125" s="496"/>
    </row>
    <row r="126" spans="1:21" x14ac:dyDescent="0.2">
      <c r="A126" s="146"/>
      <c r="D126" s="496"/>
    </row>
    <row r="127" spans="1:21" x14ac:dyDescent="0.2">
      <c r="A127" s="146"/>
      <c r="D127" s="496"/>
    </row>
    <row r="128" spans="1:21" s="123" customFormat="1" x14ac:dyDescent="0.2">
      <c r="A128" s="146"/>
      <c r="B128" s="496"/>
      <c r="C128" s="496"/>
      <c r="D128" s="496"/>
      <c r="E128" s="496"/>
      <c r="F128" s="496"/>
      <c r="G128" s="496"/>
      <c r="H128" s="496"/>
      <c r="I128" s="496"/>
      <c r="J128" s="496"/>
      <c r="K128" s="496"/>
      <c r="L128" s="496"/>
      <c r="M128" s="496"/>
      <c r="N128" s="496"/>
      <c r="O128" s="496"/>
      <c r="P128" s="496"/>
      <c r="Q128" s="496"/>
      <c r="R128" s="496"/>
      <c r="S128" s="496"/>
      <c r="T128" s="496"/>
      <c r="U128" s="496"/>
    </row>
    <row r="129" spans="1:21" x14ac:dyDescent="0.2">
      <c r="A129" s="146"/>
      <c r="D129" s="496"/>
    </row>
    <row r="130" spans="1:21" x14ac:dyDescent="0.2">
      <c r="A130" s="146"/>
      <c r="D130" s="496"/>
    </row>
    <row r="131" spans="1:21" s="123" customFormat="1" x14ac:dyDescent="0.2">
      <c r="A131" s="146"/>
      <c r="B131" s="496"/>
      <c r="C131" s="496"/>
      <c r="D131" s="496"/>
      <c r="E131" s="496"/>
      <c r="F131" s="496"/>
      <c r="G131" s="496"/>
      <c r="H131" s="496"/>
      <c r="I131" s="496"/>
      <c r="J131" s="496"/>
      <c r="K131" s="496"/>
      <c r="L131" s="496"/>
      <c r="M131" s="496"/>
      <c r="N131" s="496"/>
      <c r="O131" s="496"/>
      <c r="P131" s="496"/>
      <c r="Q131" s="496"/>
      <c r="R131" s="496"/>
      <c r="S131" s="496"/>
      <c r="T131" s="496"/>
      <c r="U131" s="496"/>
    </row>
    <row r="132" spans="1:21" x14ac:dyDescent="0.2">
      <c r="A132" s="146"/>
      <c r="D132" s="496"/>
    </row>
    <row r="133" spans="1:21" x14ac:dyDescent="0.2">
      <c r="A133" s="146"/>
      <c r="D133" s="496"/>
    </row>
    <row r="134" spans="1:21" s="123" customFormat="1" x14ac:dyDescent="0.2">
      <c r="A134" s="146"/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496"/>
      <c r="S134" s="496"/>
      <c r="T134" s="496"/>
      <c r="U134" s="496"/>
    </row>
    <row r="135" spans="1:21" x14ac:dyDescent="0.2">
      <c r="A135" s="146"/>
      <c r="D135" s="496"/>
    </row>
    <row r="136" spans="1:21" x14ac:dyDescent="0.2">
      <c r="A136" s="146"/>
      <c r="D136" s="496"/>
    </row>
    <row r="137" spans="1:21" s="123" customFormat="1" x14ac:dyDescent="0.2">
      <c r="A137" s="146"/>
      <c r="B137" s="496"/>
      <c r="C137" s="496"/>
      <c r="D137" s="496"/>
      <c r="E137" s="496"/>
      <c r="F137" s="496"/>
      <c r="G137" s="496"/>
      <c r="H137" s="496"/>
      <c r="I137" s="496"/>
      <c r="J137" s="496"/>
      <c r="K137" s="496"/>
      <c r="L137" s="496"/>
      <c r="M137" s="496"/>
      <c r="N137" s="496"/>
      <c r="O137" s="496"/>
      <c r="P137" s="496"/>
      <c r="Q137" s="496"/>
      <c r="R137" s="496"/>
      <c r="S137" s="496"/>
      <c r="T137" s="496"/>
      <c r="U137" s="496"/>
    </row>
    <row r="138" spans="1:21" x14ac:dyDescent="0.2">
      <c r="A138" s="146"/>
      <c r="D138" s="496"/>
    </row>
    <row r="139" spans="1:21" x14ac:dyDescent="0.2">
      <c r="A139" s="146"/>
      <c r="D139" s="496"/>
    </row>
    <row r="140" spans="1:21" s="123" customFormat="1" x14ac:dyDescent="0.2">
      <c r="A140" s="146"/>
      <c r="B140" s="496"/>
      <c r="C140" s="496"/>
      <c r="D140" s="496"/>
      <c r="E140" s="496"/>
      <c r="F140" s="496"/>
      <c r="G140" s="496"/>
      <c r="H140" s="496"/>
      <c r="I140" s="496"/>
      <c r="J140" s="496"/>
      <c r="K140" s="496"/>
      <c r="L140" s="496"/>
      <c r="M140" s="496"/>
      <c r="N140" s="496"/>
      <c r="O140" s="496"/>
      <c r="P140" s="496"/>
      <c r="Q140" s="496"/>
      <c r="R140" s="496"/>
      <c r="S140" s="496"/>
      <c r="T140" s="496"/>
      <c r="U140" s="496"/>
    </row>
    <row r="141" spans="1:21" x14ac:dyDescent="0.2">
      <c r="A141" s="146"/>
      <c r="D141" s="496"/>
    </row>
    <row r="142" spans="1:21" x14ac:dyDescent="0.2">
      <c r="A142" s="146"/>
      <c r="D142" s="496"/>
    </row>
    <row r="143" spans="1:21" s="123" customFormat="1" x14ac:dyDescent="0.2">
      <c r="A143" s="146"/>
      <c r="B143" s="496"/>
      <c r="C143" s="496"/>
      <c r="D143" s="496"/>
      <c r="E143" s="496"/>
      <c r="F143" s="496"/>
      <c r="G143" s="496"/>
      <c r="H143" s="496"/>
      <c r="I143" s="496"/>
      <c r="J143" s="496"/>
      <c r="K143" s="496"/>
      <c r="L143" s="496"/>
      <c r="M143" s="496"/>
      <c r="N143" s="496"/>
      <c r="O143" s="496"/>
      <c r="P143" s="496"/>
      <c r="Q143" s="496"/>
      <c r="R143" s="496"/>
      <c r="S143" s="496"/>
      <c r="T143" s="496"/>
      <c r="U143" s="496"/>
    </row>
    <row r="144" spans="1:21" x14ac:dyDescent="0.2">
      <c r="A144" s="146"/>
      <c r="D144" s="496"/>
    </row>
    <row r="145" spans="1:21" x14ac:dyDescent="0.2">
      <c r="A145" s="146"/>
      <c r="D145" s="496"/>
    </row>
    <row r="146" spans="1:21" s="123" customFormat="1" x14ac:dyDescent="0.2">
      <c r="A146" s="146"/>
      <c r="B146" s="496"/>
      <c r="C146" s="496"/>
      <c r="D146" s="496"/>
      <c r="E146" s="496"/>
      <c r="F146" s="496"/>
      <c r="G146" s="496"/>
      <c r="H146" s="496"/>
      <c r="I146" s="496"/>
      <c r="J146" s="496"/>
      <c r="K146" s="496"/>
      <c r="L146" s="496"/>
      <c r="M146" s="496"/>
      <c r="N146" s="496"/>
      <c r="O146" s="496"/>
      <c r="P146" s="496"/>
      <c r="Q146" s="496"/>
      <c r="R146" s="496"/>
      <c r="S146" s="496"/>
      <c r="T146" s="496"/>
      <c r="U146" s="496"/>
    </row>
    <row r="147" spans="1:21" x14ac:dyDescent="0.2">
      <c r="A147" s="146"/>
      <c r="D147" s="496"/>
    </row>
    <row r="148" spans="1:21" x14ac:dyDescent="0.2">
      <c r="A148" s="146"/>
      <c r="D148" s="496"/>
    </row>
    <row r="149" spans="1:21" s="123" customFormat="1" x14ac:dyDescent="0.2">
      <c r="A149" s="146"/>
      <c r="B149" s="496"/>
      <c r="C149" s="496"/>
      <c r="D149" s="496"/>
      <c r="E149" s="496"/>
      <c r="F149" s="496"/>
      <c r="G149" s="496"/>
      <c r="H149" s="496"/>
      <c r="I149" s="496"/>
      <c r="J149" s="496"/>
      <c r="K149" s="496"/>
      <c r="L149" s="496"/>
      <c r="M149" s="496"/>
      <c r="N149" s="496"/>
      <c r="O149" s="496"/>
      <c r="P149" s="496"/>
      <c r="Q149" s="496"/>
      <c r="R149" s="496"/>
      <c r="S149" s="496"/>
      <c r="T149" s="496"/>
      <c r="U149" s="496"/>
    </row>
    <row r="150" spans="1:21" x14ac:dyDescent="0.2">
      <c r="A150" s="146"/>
      <c r="D150" s="496"/>
    </row>
    <row r="151" spans="1:21" x14ac:dyDescent="0.2">
      <c r="A151" s="146"/>
      <c r="D151" s="496"/>
    </row>
    <row r="152" spans="1:21" s="123" customFormat="1" x14ac:dyDescent="0.2">
      <c r="A152" s="146"/>
      <c r="B152" s="496"/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</row>
    <row r="153" spans="1:21" x14ac:dyDescent="0.2">
      <c r="A153" s="146"/>
      <c r="D153" s="496"/>
    </row>
    <row r="154" spans="1:21" x14ac:dyDescent="0.2">
      <c r="A154" s="146"/>
      <c r="D154" s="496"/>
    </row>
    <row r="155" spans="1:21" s="123" customFormat="1" x14ac:dyDescent="0.2">
      <c r="A155" s="146"/>
      <c r="B155" s="496"/>
      <c r="C155" s="496"/>
      <c r="D155" s="496"/>
      <c r="E155" s="496"/>
      <c r="F155" s="496"/>
      <c r="G155" s="496"/>
      <c r="H155" s="496"/>
      <c r="I155" s="496"/>
      <c r="J155" s="496"/>
      <c r="K155" s="496"/>
      <c r="L155" s="496"/>
      <c r="M155" s="496"/>
      <c r="N155" s="496"/>
      <c r="O155" s="496"/>
      <c r="P155" s="496"/>
      <c r="Q155" s="496"/>
      <c r="R155" s="496"/>
      <c r="S155" s="496"/>
      <c r="T155" s="496"/>
      <c r="U155" s="496"/>
    </row>
    <row r="156" spans="1:21" x14ac:dyDescent="0.2">
      <c r="A156" s="146"/>
      <c r="D156" s="496"/>
    </row>
    <row r="157" spans="1:21" x14ac:dyDescent="0.2">
      <c r="A157" s="146"/>
      <c r="D157" s="496"/>
    </row>
    <row r="158" spans="1:21" s="123" customFormat="1" x14ac:dyDescent="0.2">
      <c r="A158" s="146"/>
      <c r="B158" s="496"/>
      <c r="C158" s="496"/>
      <c r="D158" s="496"/>
      <c r="E158" s="496"/>
      <c r="F158" s="496"/>
      <c r="G158" s="496"/>
      <c r="H158" s="496"/>
      <c r="I158" s="496"/>
      <c r="J158" s="496"/>
      <c r="K158" s="496"/>
      <c r="L158" s="496"/>
      <c r="M158" s="496"/>
      <c r="N158" s="496"/>
      <c r="O158" s="496"/>
      <c r="P158" s="496"/>
      <c r="Q158" s="496"/>
      <c r="R158" s="496"/>
      <c r="S158" s="496"/>
      <c r="T158" s="496"/>
      <c r="U158" s="496"/>
    </row>
    <row r="159" spans="1:21" x14ac:dyDescent="0.2">
      <c r="A159" s="146"/>
      <c r="D159" s="496"/>
    </row>
    <row r="160" spans="1:21" x14ac:dyDescent="0.2">
      <c r="A160" s="146"/>
      <c r="D160" s="496"/>
    </row>
    <row r="161" spans="1:21" s="123" customFormat="1" x14ac:dyDescent="0.2">
      <c r="A161" s="146"/>
      <c r="B161" s="496"/>
      <c r="C161" s="496"/>
      <c r="D161" s="496"/>
      <c r="E161" s="496"/>
      <c r="F161" s="496"/>
      <c r="G161" s="496"/>
      <c r="H161" s="496"/>
      <c r="I161" s="496"/>
      <c r="J161" s="496"/>
      <c r="K161" s="496"/>
      <c r="L161" s="496"/>
      <c r="M161" s="496"/>
      <c r="N161" s="496"/>
      <c r="O161" s="496"/>
      <c r="P161" s="496"/>
      <c r="Q161" s="496"/>
      <c r="R161" s="496"/>
      <c r="S161" s="496"/>
      <c r="T161" s="496"/>
      <c r="U161" s="496"/>
    </row>
    <row r="162" spans="1:21" x14ac:dyDescent="0.2">
      <c r="A162" s="146"/>
      <c r="D162" s="496"/>
    </row>
    <row r="163" spans="1:21" x14ac:dyDescent="0.2">
      <c r="A163" s="146"/>
      <c r="D163" s="496"/>
    </row>
    <row r="164" spans="1:21" s="123" customFormat="1" x14ac:dyDescent="0.2">
      <c r="A164" s="146"/>
      <c r="B164" s="496"/>
      <c r="C164" s="496"/>
      <c r="D164" s="496"/>
      <c r="E164" s="496"/>
      <c r="F164" s="496"/>
      <c r="G164" s="496"/>
      <c r="H164" s="496"/>
      <c r="I164" s="496"/>
      <c r="J164" s="496"/>
      <c r="K164" s="496"/>
      <c r="L164" s="496"/>
      <c r="M164" s="496"/>
      <c r="N164" s="496"/>
      <c r="O164" s="496"/>
      <c r="P164" s="496"/>
      <c r="Q164" s="496"/>
      <c r="R164" s="496"/>
      <c r="S164" s="496"/>
      <c r="T164" s="496"/>
      <c r="U164" s="496"/>
    </row>
    <row r="165" spans="1:21" x14ac:dyDescent="0.2">
      <c r="A165" s="146"/>
      <c r="D165" s="496"/>
    </row>
    <row r="166" spans="1:21" x14ac:dyDescent="0.2">
      <c r="A166" s="146"/>
      <c r="D166" s="496"/>
    </row>
    <row r="167" spans="1:21" s="123" customFormat="1" x14ac:dyDescent="0.2">
      <c r="A167" s="146"/>
      <c r="B167" s="496"/>
      <c r="C167" s="496"/>
      <c r="D167" s="496"/>
      <c r="E167" s="496"/>
      <c r="F167" s="496"/>
      <c r="G167" s="496"/>
      <c r="H167" s="496"/>
      <c r="I167" s="496"/>
      <c r="J167" s="496"/>
      <c r="K167" s="496"/>
      <c r="L167" s="496"/>
      <c r="M167" s="496"/>
      <c r="N167" s="496"/>
      <c r="O167" s="496"/>
      <c r="P167" s="496"/>
      <c r="Q167" s="496"/>
      <c r="R167" s="496"/>
      <c r="S167" s="496"/>
      <c r="T167" s="496"/>
      <c r="U167" s="496"/>
    </row>
    <row r="168" spans="1:21" x14ac:dyDescent="0.2">
      <c r="A168" s="146"/>
      <c r="D168" s="496"/>
    </row>
    <row r="169" spans="1:21" x14ac:dyDescent="0.2">
      <c r="A169" s="146"/>
      <c r="D169" s="496"/>
    </row>
    <row r="170" spans="1:21" s="123" customFormat="1" x14ac:dyDescent="0.2">
      <c r="A170" s="146"/>
      <c r="B170" s="496"/>
      <c r="C170" s="496"/>
      <c r="D170" s="496"/>
      <c r="E170" s="496"/>
      <c r="F170" s="496"/>
      <c r="G170" s="496"/>
      <c r="H170" s="496"/>
      <c r="I170" s="496"/>
      <c r="J170" s="496"/>
      <c r="K170" s="496"/>
      <c r="L170" s="496"/>
      <c r="M170" s="496"/>
      <c r="N170" s="496"/>
      <c r="O170" s="496"/>
      <c r="P170" s="496"/>
      <c r="Q170" s="496"/>
      <c r="R170" s="496"/>
      <c r="S170" s="496"/>
      <c r="T170" s="496"/>
      <c r="U170" s="496"/>
    </row>
    <row r="171" spans="1:21" x14ac:dyDescent="0.2">
      <c r="A171" s="146"/>
      <c r="D171" s="496"/>
    </row>
    <row r="172" spans="1:21" x14ac:dyDescent="0.2">
      <c r="A172" s="146"/>
      <c r="D172" s="496"/>
    </row>
    <row r="173" spans="1:21" s="123" customFormat="1" x14ac:dyDescent="0.2">
      <c r="A173" s="146"/>
      <c r="B173" s="496"/>
      <c r="C173" s="496"/>
      <c r="D173" s="496"/>
      <c r="E173" s="496"/>
      <c r="F173" s="496"/>
      <c r="G173" s="496"/>
      <c r="H173" s="496"/>
      <c r="I173" s="496"/>
      <c r="J173" s="496"/>
      <c r="K173" s="496"/>
      <c r="L173" s="496"/>
      <c r="M173" s="496"/>
      <c r="N173" s="496"/>
      <c r="O173" s="496"/>
      <c r="P173" s="496"/>
      <c r="Q173" s="496"/>
      <c r="R173" s="496"/>
      <c r="S173" s="496"/>
      <c r="T173" s="496"/>
      <c r="U173" s="496"/>
    </row>
    <row r="174" spans="1:21" x14ac:dyDescent="0.2">
      <c r="A174" s="146"/>
      <c r="D174" s="496"/>
    </row>
    <row r="175" spans="1:21" x14ac:dyDescent="0.2">
      <c r="A175" s="146"/>
      <c r="D175" s="496"/>
    </row>
    <row r="176" spans="1:21" s="123" customFormat="1" x14ac:dyDescent="0.2">
      <c r="A176" s="146"/>
      <c r="B176" s="496"/>
      <c r="C176" s="496"/>
      <c r="D176" s="496"/>
      <c r="E176" s="496"/>
      <c r="F176" s="496"/>
      <c r="G176" s="496"/>
      <c r="H176" s="496"/>
      <c r="I176" s="496"/>
      <c r="J176" s="496"/>
      <c r="K176" s="496"/>
      <c r="L176" s="496"/>
      <c r="M176" s="496"/>
      <c r="N176" s="496"/>
      <c r="O176" s="496"/>
      <c r="P176" s="496"/>
      <c r="Q176" s="496"/>
      <c r="R176" s="496"/>
      <c r="S176" s="496"/>
      <c r="T176" s="496"/>
      <c r="U176" s="496"/>
    </row>
    <row r="177" spans="1:21" x14ac:dyDescent="0.2">
      <c r="A177" s="146"/>
      <c r="D177" s="496"/>
    </row>
    <row r="178" spans="1:21" x14ac:dyDescent="0.2">
      <c r="A178" s="146"/>
      <c r="D178" s="496"/>
    </row>
    <row r="179" spans="1:21" s="123" customFormat="1" x14ac:dyDescent="0.2">
      <c r="A179" s="146"/>
      <c r="B179" s="496"/>
      <c r="C179" s="496"/>
      <c r="D179" s="496"/>
      <c r="E179" s="496"/>
      <c r="F179" s="496"/>
      <c r="G179" s="496"/>
      <c r="H179" s="496"/>
      <c r="I179" s="496"/>
      <c r="J179" s="496"/>
      <c r="K179" s="496"/>
      <c r="L179" s="496"/>
      <c r="M179" s="496"/>
      <c r="N179" s="496"/>
      <c r="O179" s="496"/>
      <c r="P179" s="496"/>
      <c r="Q179" s="496"/>
      <c r="R179" s="496"/>
      <c r="S179" s="496"/>
      <c r="T179" s="496"/>
      <c r="U179" s="496"/>
    </row>
    <row r="180" spans="1:21" x14ac:dyDescent="0.2">
      <c r="A180" s="146"/>
      <c r="D180" s="496"/>
    </row>
    <row r="181" spans="1:21" x14ac:dyDescent="0.2">
      <c r="A181" s="146"/>
      <c r="D181" s="496"/>
    </row>
    <row r="182" spans="1:21" s="123" customFormat="1" x14ac:dyDescent="0.2">
      <c r="A182" s="146"/>
      <c r="B182" s="496"/>
      <c r="C182" s="496"/>
      <c r="D182" s="496"/>
      <c r="E182" s="496"/>
      <c r="F182" s="496"/>
      <c r="G182" s="496"/>
      <c r="H182" s="496"/>
      <c r="I182" s="496"/>
      <c r="J182" s="496"/>
      <c r="K182" s="496"/>
      <c r="L182" s="496"/>
      <c r="M182" s="496"/>
      <c r="N182" s="496"/>
      <c r="O182" s="496"/>
      <c r="P182" s="496"/>
      <c r="Q182" s="496"/>
      <c r="R182" s="496"/>
      <c r="S182" s="496"/>
      <c r="T182" s="496"/>
      <c r="U182" s="496"/>
    </row>
    <row r="183" spans="1:21" x14ac:dyDescent="0.2">
      <c r="A183" s="146"/>
      <c r="D183" s="496"/>
    </row>
    <row r="184" spans="1:21" x14ac:dyDescent="0.2">
      <c r="A184" s="146"/>
      <c r="D184" s="496"/>
    </row>
    <row r="185" spans="1:21" s="123" customFormat="1" x14ac:dyDescent="0.2">
      <c r="A185" s="146"/>
      <c r="B185" s="496"/>
      <c r="C185" s="496"/>
      <c r="D185" s="496"/>
      <c r="E185" s="496"/>
      <c r="F185" s="496"/>
      <c r="G185" s="496"/>
      <c r="H185" s="496"/>
      <c r="I185" s="496"/>
      <c r="J185" s="496"/>
      <c r="K185" s="496"/>
      <c r="L185" s="496"/>
      <c r="M185" s="496"/>
      <c r="N185" s="496"/>
      <c r="O185" s="496"/>
      <c r="P185" s="496"/>
      <c r="Q185" s="496"/>
      <c r="R185" s="496"/>
      <c r="S185" s="496"/>
      <c r="T185" s="496"/>
      <c r="U185" s="496"/>
    </row>
    <row r="186" spans="1:21" x14ac:dyDescent="0.2">
      <c r="A186" s="146"/>
      <c r="D186" s="496"/>
    </row>
    <row r="187" spans="1:21" x14ac:dyDescent="0.2">
      <c r="A187" s="146"/>
      <c r="D187" s="496"/>
    </row>
    <row r="188" spans="1:21" s="123" customFormat="1" x14ac:dyDescent="0.2">
      <c r="A188" s="146"/>
      <c r="B188" s="496"/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</row>
    <row r="189" spans="1:21" x14ac:dyDescent="0.2">
      <c r="A189" s="146"/>
      <c r="D189" s="496"/>
    </row>
    <row r="190" spans="1:21" x14ac:dyDescent="0.2">
      <c r="A190" s="146"/>
      <c r="D190" s="496"/>
    </row>
    <row r="191" spans="1:21" s="123" customFormat="1" x14ac:dyDescent="0.2">
      <c r="A191" s="146"/>
      <c r="B191" s="496"/>
      <c r="C191" s="496"/>
      <c r="D191" s="496"/>
      <c r="E191" s="496"/>
      <c r="F191" s="496"/>
      <c r="G191" s="496"/>
      <c r="H191" s="496"/>
      <c r="I191" s="496"/>
      <c r="J191" s="496"/>
      <c r="K191" s="496"/>
      <c r="L191" s="496"/>
      <c r="M191" s="496"/>
      <c r="N191" s="496"/>
      <c r="O191" s="496"/>
      <c r="P191" s="496"/>
      <c r="Q191" s="496"/>
      <c r="R191" s="496"/>
      <c r="S191" s="496"/>
      <c r="T191" s="496"/>
      <c r="U191" s="496"/>
    </row>
    <row r="192" spans="1:21" x14ac:dyDescent="0.2">
      <c r="A192" s="146"/>
      <c r="D192" s="496"/>
    </row>
    <row r="193" spans="1:21" x14ac:dyDescent="0.2">
      <c r="A193" s="146"/>
      <c r="D193" s="496"/>
    </row>
    <row r="194" spans="1:21" s="123" customFormat="1" x14ac:dyDescent="0.2">
      <c r="A194" s="146"/>
      <c r="B194" s="496"/>
      <c r="C194" s="496"/>
      <c r="D194" s="496"/>
      <c r="E194" s="496"/>
      <c r="F194" s="496"/>
      <c r="G194" s="496"/>
      <c r="H194" s="496"/>
      <c r="I194" s="496"/>
      <c r="J194" s="496"/>
      <c r="K194" s="496"/>
      <c r="L194" s="496"/>
      <c r="M194" s="496"/>
      <c r="N194" s="496"/>
      <c r="O194" s="496"/>
      <c r="P194" s="496"/>
      <c r="Q194" s="496"/>
      <c r="R194" s="496"/>
      <c r="S194" s="496"/>
      <c r="T194" s="496"/>
      <c r="U194" s="496"/>
    </row>
    <row r="195" spans="1:21" x14ac:dyDescent="0.2">
      <c r="A195" s="146"/>
      <c r="D195" s="496"/>
    </row>
    <row r="196" spans="1:21" x14ac:dyDescent="0.2">
      <c r="A196" s="146"/>
      <c r="D196" s="496"/>
    </row>
    <row r="197" spans="1:21" s="123" customFormat="1" x14ac:dyDescent="0.2">
      <c r="A197" s="146"/>
      <c r="B197" s="496"/>
      <c r="C197" s="496"/>
      <c r="D197" s="496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/>
      <c r="R197" s="496"/>
      <c r="S197" s="496"/>
      <c r="T197" s="496"/>
      <c r="U197" s="496"/>
    </row>
    <row r="198" spans="1:21" x14ac:dyDescent="0.2">
      <c r="A198" s="146"/>
      <c r="D198" s="496"/>
    </row>
    <row r="199" spans="1:21" x14ac:dyDescent="0.2">
      <c r="A199" s="146"/>
      <c r="D199" s="496"/>
    </row>
    <row r="200" spans="1:21" s="123" customFormat="1" x14ac:dyDescent="0.2">
      <c r="A200" s="146"/>
      <c r="B200" s="496"/>
      <c r="C200" s="496"/>
      <c r="D200" s="496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/>
      <c r="R200" s="496"/>
      <c r="S200" s="496"/>
      <c r="T200" s="496"/>
      <c r="U200" s="496"/>
    </row>
    <row r="201" spans="1:21" x14ac:dyDescent="0.2">
      <c r="A201" s="146"/>
      <c r="D201" s="496"/>
    </row>
    <row r="202" spans="1:21" x14ac:dyDescent="0.2">
      <c r="A202" s="146"/>
      <c r="D202" s="496"/>
    </row>
    <row r="203" spans="1:21" s="123" customFormat="1" x14ac:dyDescent="0.2">
      <c r="A203" s="146"/>
      <c r="B203" s="496"/>
      <c r="C203" s="496"/>
      <c r="D203" s="496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/>
      <c r="R203" s="496"/>
      <c r="S203" s="496"/>
      <c r="T203" s="496"/>
      <c r="U203" s="496"/>
    </row>
    <row r="204" spans="1:21" x14ac:dyDescent="0.2">
      <c r="A204" s="146"/>
      <c r="D204" s="496"/>
    </row>
    <row r="205" spans="1:21" x14ac:dyDescent="0.2">
      <c r="A205" s="146"/>
      <c r="D205" s="496"/>
    </row>
    <row r="206" spans="1:21" s="123" customFormat="1" x14ac:dyDescent="0.2">
      <c r="A206" s="146"/>
      <c r="B206" s="496"/>
      <c r="C206" s="496"/>
      <c r="D206" s="496"/>
      <c r="E206" s="496"/>
      <c r="F206" s="496"/>
      <c r="G206" s="496"/>
      <c r="H206" s="496"/>
      <c r="I206" s="496"/>
      <c r="J206" s="496"/>
      <c r="K206" s="496"/>
      <c r="L206" s="496"/>
      <c r="M206" s="496"/>
      <c r="N206" s="496"/>
      <c r="O206" s="496"/>
      <c r="P206" s="496"/>
      <c r="Q206" s="496"/>
      <c r="R206" s="496"/>
      <c r="S206" s="496"/>
      <c r="T206" s="496"/>
      <c r="U206" s="496"/>
    </row>
    <row r="207" spans="1:21" x14ac:dyDescent="0.2">
      <c r="A207" s="146"/>
      <c r="D207" s="496"/>
    </row>
    <row r="208" spans="1:21" x14ac:dyDescent="0.2">
      <c r="A208" s="146"/>
      <c r="D208" s="496"/>
    </row>
    <row r="209" spans="1:21" s="123" customFormat="1" x14ac:dyDescent="0.2">
      <c r="A209" s="146"/>
      <c r="B209" s="496"/>
      <c r="C209" s="496"/>
      <c r="D209" s="496"/>
      <c r="E209" s="496"/>
      <c r="F209" s="496"/>
      <c r="G209" s="496"/>
      <c r="H209" s="496"/>
      <c r="I209" s="496"/>
      <c r="J209" s="496"/>
      <c r="K209" s="496"/>
      <c r="L209" s="496"/>
      <c r="M209" s="496"/>
      <c r="N209" s="496"/>
      <c r="O209" s="496"/>
      <c r="P209" s="496"/>
      <c r="Q209" s="496"/>
      <c r="R209" s="496"/>
      <c r="S209" s="496"/>
      <c r="T209" s="496"/>
      <c r="U209" s="496"/>
    </row>
    <row r="210" spans="1:21" x14ac:dyDescent="0.2">
      <c r="A210" s="146"/>
      <c r="D210" s="496"/>
    </row>
    <row r="211" spans="1:21" x14ac:dyDescent="0.2">
      <c r="A211" s="146"/>
      <c r="D211" s="496"/>
    </row>
    <row r="212" spans="1:21" s="123" customFormat="1" x14ac:dyDescent="0.2">
      <c r="A212" s="146"/>
      <c r="B212" s="496"/>
      <c r="C212" s="496"/>
      <c r="D212" s="496"/>
      <c r="E212" s="496"/>
      <c r="F212" s="496"/>
      <c r="G212" s="496"/>
      <c r="H212" s="496"/>
      <c r="I212" s="496"/>
      <c r="J212" s="496"/>
      <c r="K212" s="496"/>
      <c r="L212" s="496"/>
      <c r="M212" s="496"/>
      <c r="N212" s="496"/>
      <c r="O212" s="496"/>
      <c r="P212" s="496"/>
      <c r="Q212" s="496"/>
      <c r="R212" s="496"/>
      <c r="S212" s="496"/>
      <c r="T212" s="496"/>
      <c r="U212" s="496"/>
    </row>
    <row r="213" spans="1:21" x14ac:dyDescent="0.2">
      <c r="A213" s="146"/>
      <c r="D213" s="496"/>
    </row>
    <row r="214" spans="1:21" x14ac:dyDescent="0.2">
      <c r="A214" s="146"/>
      <c r="D214" s="496"/>
    </row>
    <row r="215" spans="1:21" s="123" customFormat="1" x14ac:dyDescent="0.2">
      <c r="A215" s="146"/>
      <c r="B215" s="496"/>
      <c r="C215" s="496"/>
      <c r="D215" s="496"/>
      <c r="E215" s="496"/>
      <c r="F215" s="496"/>
      <c r="G215" s="496"/>
      <c r="H215" s="496"/>
      <c r="I215" s="496"/>
      <c r="J215" s="496"/>
      <c r="K215" s="496"/>
      <c r="L215" s="496"/>
      <c r="M215" s="496"/>
      <c r="N215" s="496"/>
      <c r="O215" s="496"/>
      <c r="P215" s="496"/>
      <c r="Q215" s="496"/>
      <c r="R215" s="496"/>
      <c r="S215" s="496"/>
      <c r="T215" s="496"/>
      <c r="U215" s="496"/>
    </row>
    <row r="216" spans="1:21" x14ac:dyDescent="0.2">
      <c r="A216" s="146"/>
      <c r="D216" s="496"/>
    </row>
    <row r="217" spans="1:21" x14ac:dyDescent="0.2">
      <c r="A217" s="146"/>
      <c r="D217" s="496"/>
    </row>
    <row r="218" spans="1:21" s="123" customFormat="1" x14ac:dyDescent="0.2">
      <c r="A218" s="146"/>
      <c r="B218" s="496"/>
      <c r="C218" s="496"/>
      <c r="D218" s="496"/>
      <c r="E218" s="496"/>
      <c r="F218" s="496"/>
      <c r="G218" s="496"/>
      <c r="H218" s="496"/>
      <c r="I218" s="496"/>
      <c r="J218" s="496"/>
      <c r="K218" s="496"/>
      <c r="L218" s="496"/>
      <c r="M218" s="496"/>
      <c r="N218" s="496"/>
      <c r="O218" s="496"/>
      <c r="P218" s="496"/>
      <c r="Q218" s="496"/>
      <c r="R218" s="496"/>
      <c r="S218" s="496"/>
      <c r="T218" s="496"/>
      <c r="U218" s="496"/>
    </row>
    <row r="219" spans="1:21" x14ac:dyDescent="0.2">
      <c r="A219" s="146"/>
      <c r="D219" s="496"/>
    </row>
    <row r="220" spans="1:21" x14ac:dyDescent="0.2">
      <c r="A220" s="146"/>
      <c r="D220" s="496"/>
    </row>
    <row r="221" spans="1:21" s="123" customFormat="1" x14ac:dyDescent="0.2">
      <c r="A221" s="146"/>
      <c r="B221" s="496"/>
      <c r="C221" s="496"/>
      <c r="D221" s="496"/>
      <c r="E221" s="496"/>
      <c r="F221" s="496"/>
      <c r="G221" s="496"/>
      <c r="H221" s="496"/>
      <c r="I221" s="496"/>
      <c r="J221" s="496"/>
      <c r="K221" s="496"/>
      <c r="L221" s="496"/>
      <c r="M221" s="496"/>
      <c r="N221" s="496"/>
      <c r="O221" s="496"/>
      <c r="P221" s="496"/>
      <c r="Q221" s="496"/>
      <c r="R221" s="496"/>
      <c r="S221" s="496"/>
      <c r="T221" s="496"/>
      <c r="U221" s="496"/>
    </row>
    <row r="222" spans="1:21" x14ac:dyDescent="0.2">
      <c r="A222" s="146"/>
      <c r="D222" s="496"/>
    </row>
    <row r="223" spans="1:21" x14ac:dyDescent="0.2">
      <c r="A223" s="146"/>
      <c r="D223" s="496"/>
    </row>
    <row r="224" spans="1:21" s="123" customFormat="1" x14ac:dyDescent="0.2">
      <c r="A224" s="146"/>
      <c r="B224" s="496"/>
      <c r="C224" s="496"/>
      <c r="D224" s="496"/>
      <c r="E224" s="496"/>
      <c r="F224" s="496"/>
      <c r="G224" s="496"/>
      <c r="H224" s="496"/>
      <c r="I224" s="496"/>
      <c r="J224" s="496"/>
      <c r="K224" s="496"/>
      <c r="L224" s="496"/>
      <c r="M224" s="496"/>
      <c r="N224" s="496"/>
      <c r="O224" s="496"/>
      <c r="P224" s="496"/>
      <c r="Q224" s="496"/>
      <c r="R224" s="496"/>
      <c r="S224" s="496"/>
      <c r="T224" s="496"/>
      <c r="U224" s="496"/>
    </row>
    <row r="225" spans="1:21" x14ac:dyDescent="0.2">
      <c r="A225" s="146"/>
      <c r="D225" s="496"/>
    </row>
    <row r="226" spans="1:21" x14ac:dyDescent="0.2">
      <c r="A226" s="146"/>
      <c r="D226" s="496"/>
    </row>
    <row r="227" spans="1:21" s="123" customFormat="1" x14ac:dyDescent="0.2">
      <c r="A227" s="146"/>
      <c r="B227" s="496"/>
      <c r="C227" s="496"/>
      <c r="D227" s="496"/>
      <c r="E227" s="496"/>
      <c r="F227" s="496"/>
      <c r="G227" s="496"/>
      <c r="H227" s="496"/>
      <c r="I227" s="496"/>
      <c r="J227" s="496"/>
      <c r="K227" s="496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</row>
    <row r="228" spans="1:21" x14ac:dyDescent="0.2">
      <c r="A228" s="146"/>
      <c r="D228" s="496"/>
    </row>
    <row r="229" spans="1:21" x14ac:dyDescent="0.2">
      <c r="A229" s="146"/>
      <c r="D229" s="496"/>
    </row>
    <row r="230" spans="1:21" s="123" customFormat="1" x14ac:dyDescent="0.2">
      <c r="A230" s="14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</row>
    <row r="231" spans="1:21" x14ac:dyDescent="0.2">
      <c r="A231" s="146"/>
      <c r="D231" s="496"/>
    </row>
    <row r="232" spans="1:21" x14ac:dyDescent="0.2">
      <c r="A232" s="146"/>
      <c r="D232" s="496"/>
    </row>
    <row r="233" spans="1:21" s="123" customFormat="1" x14ac:dyDescent="0.2">
      <c r="A233" s="14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</row>
    <row r="234" spans="1:21" x14ac:dyDescent="0.2">
      <c r="A234" s="146"/>
      <c r="D234" s="496"/>
    </row>
    <row r="235" spans="1:21" x14ac:dyDescent="0.2">
      <c r="A235" s="146"/>
      <c r="D235" s="496"/>
    </row>
    <row r="236" spans="1:21" s="123" customFormat="1" x14ac:dyDescent="0.2">
      <c r="A236" s="146"/>
      <c r="B236" s="496"/>
      <c r="C236" s="496"/>
      <c r="D236" s="496"/>
      <c r="E236" s="496"/>
      <c r="F236" s="496"/>
      <c r="G236" s="496"/>
      <c r="H236" s="496"/>
      <c r="I236" s="496"/>
      <c r="J236" s="496"/>
      <c r="K236" s="496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</row>
    <row r="237" spans="1:21" x14ac:dyDescent="0.2">
      <c r="A237" s="146"/>
      <c r="D237" s="496"/>
    </row>
    <row r="238" spans="1:21" x14ac:dyDescent="0.2">
      <c r="A238" s="146"/>
      <c r="D238" s="496"/>
    </row>
    <row r="239" spans="1:21" s="123" customFormat="1" x14ac:dyDescent="0.2">
      <c r="A239" s="146"/>
      <c r="B239" s="496"/>
      <c r="C239" s="496"/>
      <c r="D239" s="496"/>
      <c r="E239" s="496"/>
      <c r="F239" s="496"/>
      <c r="G239" s="496"/>
      <c r="H239" s="496"/>
      <c r="I239" s="496"/>
      <c r="J239" s="496"/>
      <c r="K239" s="496"/>
      <c r="L239" s="496"/>
      <c r="M239" s="496"/>
      <c r="N239" s="496"/>
      <c r="O239" s="496"/>
      <c r="P239" s="496"/>
      <c r="Q239" s="496"/>
      <c r="R239" s="496"/>
      <c r="S239" s="496"/>
      <c r="T239" s="496"/>
      <c r="U239" s="496"/>
    </row>
    <row r="240" spans="1:21" x14ac:dyDescent="0.2">
      <c r="A240" s="146"/>
      <c r="D240" s="496"/>
    </row>
    <row r="241" spans="1:21" x14ac:dyDescent="0.2">
      <c r="A241" s="146"/>
      <c r="D241" s="496"/>
    </row>
    <row r="242" spans="1:21" s="123" customFormat="1" x14ac:dyDescent="0.2">
      <c r="A242" s="146"/>
      <c r="B242" s="496"/>
      <c r="C242" s="496"/>
      <c r="D242" s="496"/>
      <c r="E242" s="496"/>
      <c r="F242" s="496"/>
      <c r="G242" s="496"/>
      <c r="H242" s="496"/>
      <c r="I242" s="496"/>
      <c r="J242" s="496"/>
      <c r="K242" s="496"/>
      <c r="L242" s="496"/>
      <c r="M242" s="496"/>
      <c r="N242" s="496"/>
      <c r="O242" s="496"/>
      <c r="P242" s="496"/>
      <c r="Q242" s="496"/>
      <c r="R242" s="496"/>
      <c r="S242" s="496"/>
      <c r="T242" s="496"/>
      <c r="U242" s="496"/>
    </row>
    <row r="243" spans="1:21" x14ac:dyDescent="0.2">
      <c r="A243" s="146"/>
      <c r="D243" s="496"/>
    </row>
    <row r="244" spans="1:21" x14ac:dyDescent="0.2">
      <c r="A244" s="146"/>
      <c r="D244" s="496"/>
    </row>
    <row r="245" spans="1:21" s="123" customFormat="1" x14ac:dyDescent="0.2">
      <c r="A245" s="146"/>
      <c r="B245" s="496"/>
      <c r="C245" s="496"/>
      <c r="D245" s="496"/>
      <c r="E245" s="496"/>
      <c r="F245" s="496"/>
      <c r="G245" s="496"/>
      <c r="H245" s="496"/>
      <c r="I245" s="496"/>
      <c r="J245" s="496"/>
      <c r="K245" s="496"/>
      <c r="L245" s="496"/>
      <c r="M245" s="496"/>
      <c r="N245" s="496"/>
      <c r="O245" s="496"/>
      <c r="P245" s="496"/>
      <c r="Q245" s="496"/>
      <c r="R245" s="496"/>
      <c r="S245" s="496"/>
      <c r="T245" s="496"/>
      <c r="U245" s="496"/>
    </row>
    <row r="246" spans="1:21" x14ac:dyDescent="0.2">
      <c r="A246" s="146"/>
      <c r="D246" s="496"/>
    </row>
    <row r="247" spans="1:21" x14ac:dyDescent="0.2">
      <c r="A247" s="146"/>
      <c r="D247" s="496"/>
    </row>
    <row r="248" spans="1:21" s="123" customFormat="1" x14ac:dyDescent="0.2">
      <c r="A248" s="146"/>
      <c r="B248" s="496"/>
      <c r="C248" s="496"/>
      <c r="D248" s="496"/>
      <c r="E248" s="496"/>
      <c r="F248" s="496"/>
      <c r="G248" s="496"/>
      <c r="H248" s="496"/>
      <c r="I248" s="496"/>
      <c r="J248" s="496"/>
      <c r="K248" s="496"/>
      <c r="L248" s="496"/>
      <c r="M248" s="496"/>
      <c r="N248" s="496"/>
      <c r="O248" s="496"/>
      <c r="P248" s="496"/>
      <c r="Q248" s="496"/>
      <c r="R248" s="496"/>
      <c r="S248" s="496"/>
      <c r="T248" s="496"/>
      <c r="U248" s="496"/>
    </row>
    <row r="249" spans="1:21" x14ac:dyDescent="0.2">
      <c r="A249" s="146"/>
      <c r="D249" s="496"/>
    </row>
    <row r="250" spans="1:21" x14ac:dyDescent="0.2">
      <c r="A250" s="146"/>
      <c r="D250" s="496"/>
    </row>
    <row r="251" spans="1:21" s="123" customFormat="1" x14ac:dyDescent="0.2">
      <c r="A251" s="146"/>
      <c r="B251" s="496"/>
      <c r="C251" s="496"/>
      <c r="D251" s="496"/>
      <c r="E251" s="496"/>
      <c r="F251" s="496"/>
      <c r="G251" s="496"/>
      <c r="H251" s="496"/>
      <c r="I251" s="496"/>
      <c r="J251" s="496"/>
      <c r="K251" s="496"/>
      <c r="L251" s="496"/>
      <c r="M251" s="496"/>
      <c r="N251" s="496"/>
      <c r="O251" s="496"/>
      <c r="P251" s="496"/>
      <c r="Q251" s="496"/>
      <c r="R251" s="496"/>
      <c r="S251" s="496"/>
      <c r="T251" s="496"/>
      <c r="U251" s="496"/>
    </row>
    <row r="252" spans="1:21" x14ac:dyDescent="0.2">
      <c r="A252" s="146"/>
      <c r="D252" s="496"/>
    </row>
    <row r="253" spans="1:21" x14ac:dyDescent="0.2">
      <c r="A253" s="146"/>
      <c r="D253" s="496"/>
    </row>
    <row r="254" spans="1:21" s="123" customFormat="1" x14ac:dyDescent="0.2">
      <c r="A254" s="146"/>
      <c r="B254" s="496"/>
      <c r="C254" s="496"/>
      <c r="D254" s="496"/>
      <c r="E254" s="496"/>
      <c r="F254" s="496"/>
      <c r="G254" s="496"/>
      <c r="H254" s="496"/>
      <c r="I254" s="496"/>
      <c r="J254" s="496"/>
      <c r="K254" s="496"/>
      <c r="L254" s="496"/>
      <c r="M254" s="496"/>
      <c r="N254" s="496"/>
      <c r="O254" s="496"/>
      <c r="P254" s="496"/>
      <c r="Q254" s="496"/>
      <c r="R254" s="496"/>
      <c r="S254" s="496"/>
      <c r="T254" s="496"/>
      <c r="U254" s="496"/>
    </row>
    <row r="255" spans="1:21" x14ac:dyDescent="0.2">
      <c r="A255" s="146"/>
      <c r="D255" s="496"/>
    </row>
    <row r="256" spans="1:21" x14ac:dyDescent="0.2">
      <c r="A256" s="146"/>
      <c r="D256" s="496"/>
    </row>
    <row r="257" spans="1:21" s="123" customFormat="1" x14ac:dyDescent="0.2">
      <c r="A257" s="146"/>
      <c r="B257" s="496"/>
      <c r="C257" s="496"/>
      <c r="D257" s="496"/>
      <c r="E257" s="496"/>
      <c r="F257" s="496"/>
      <c r="G257" s="496"/>
      <c r="H257" s="496"/>
      <c r="I257" s="496"/>
      <c r="J257" s="496"/>
      <c r="K257" s="496"/>
      <c r="L257" s="496"/>
      <c r="M257" s="496"/>
      <c r="N257" s="496"/>
      <c r="O257" s="496"/>
      <c r="P257" s="496"/>
      <c r="Q257" s="496"/>
      <c r="R257" s="496"/>
      <c r="S257" s="496"/>
      <c r="T257" s="496"/>
      <c r="U257" s="496"/>
    </row>
    <row r="258" spans="1:21" x14ac:dyDescent="0.2">
      <c r="A258" s="146"/>
      <c r="D258" s="496"/>
    </row>
    <row r="259" spans="1:21" x14ac:dyDescent="0.2">
      <c r="A259" s="146"/>
      <c r="D259" s="496"/>
    </row>
    <row r="260" spans="1:21" s="123" customFormat="1" x14ac:dyDescent="0.2">
      <c r="A260" s="146"/>
      <c r="B260" s="496"/>
      <c r="C260" s="496"/>
      <c r="D260" s="496"/>
      <c r="E260" s="496"/>
      <c r="F260" s="496"/>
      <c r="G260" s="496"/>
      <c r="H260" s="496"/>
      <c r="I260" s="496"/>
      <c r="J260" s="496"/>
      <c r="K260" s="496"/>
      <c r="L260" s="496"/>
      <c r="M260" s="496"/>
      <c r="N260" s="496"/>
      <c r="O260" s="496"/>
      <c r="P260" s="496"/>
      <c r="Q260" s="496"/>
      <c r="R260" s="496"/>
      <c r="S260" s="496"/>
      <c r="T260" s="496"/>
      <c r="U260" s="496"/>
    </row>
    <row r="261" spans="1:21" x14ac:dyDescent="0.2">
      <c r="A261" s="146"/>
      <c r="D261" s="496"/>
    </row>
    <row r="262" spans="1:21" x14ac:dyDescent="0.2">
      <c r="A262" s="146"/>
      <c r="D262" s="496"/>
    </row>
    <row r="263" spans="1:21" s="123" customFormat="1" x14ac:dyDescent="0.2">
      <c r="A263" s="146"/>
      <c r="B263" s="496"/>
      <c r="C263" s="496"/>
      <c r="D263" s="496"/>
      <c r="E263" s="496"/>
      <c r="F263" s="496"/>
      <c r="G263" s="496"/>
      <c r="H263" s="496"/>
      <c r="I263" s="496"/>
      <c r="J263" s="496"/>
      <c r="K263" s="496"/>
      <c r="L263" s="496"/>
      <c r="M263" s="496"/>
      <c r="N263" s="496"/>
      <c r="O263" s="496"/>
      <c r="P263" s="496"/>
      <c r="Q263" s="496"/>
      <c r="R263" s="496"/>
      <c r="S263" s="496"/>
      <c r="T263" s="496"/>
      <c r="U263" s="496"/>
    </row>
    <row r="264" spans="1:21" x14ac:dyDescent="0.2">
      <c r="A264" s="146"/>
      <c r="D264" s="496"/>
    </row>
    <row r="265" spans="1:21" x14ac:dyDescent="0.2">
      <c r="A265" s="146"/>
      <c r="D265" s="496"/>
    </row>
    <row r="266" spans="1:21" s="123" customFormat="1" x14ac:dyDescent="0.2">
      <c r="A266" s="146"/>
      <c r="B266" s="496"/>
      <c r="C266" s="496"/>
      <c r="D266" s="496"/>
      <c r="E266" s="496"/>
      <c r="F266" s="496"/>
      <c r="G266" s="496"/>
      <c r="H266" s="496"/>
      <c r="I266" s="496"/>
      <c r="J266" s="496"/>
      <c r="K266" s="496"/>
      <c r="L266" s="496"/>
      <c r="M266" s="496"/>
      <c r="N266" s="496"/>
      <c r="O266" s="496"/>
      <c r="P266" s="496"/>
      <c r="Q266" s="496"/>
      <c r="R266" s="496"/>
      <c r="S266" s="496"/>
      <c r="T266" s="496"/>
      <c r="U266" s="496"/>
    </row>
    <row r="267" spans="1:21" x14ac:dyDescent="0.2">
      <c r="A267" s="146"/>
      <c r="D267" s="496"/>
    </row>
    <row r="268" spans="1:21" x14ac:dyDescent="0.2">
      <c r="A268" s="146"/>
      <c r="D268" s="496"/>
    </row>
    <row r="269" spans="1:21" s="123" customFormat="1" x14ac:dyDescent="0.2">
      <c r="A269" s="146"/>
      <c r="B269" s="496"/>
      <c r="C269" s="496"/>
      <c r="D269" s="496"/>
      <c r="E269" s="496"/>
      <c r="F269" s="496"/>
      <c r="G269" s="496"/>
      <c r="H269" s="496"/>
      <c r="I269" s="496"/>
      <c r="J269" s="496"/>
      <c r="K269" s="496"/>
      <c r="L269" s="496"/>
      <c r="M269" s="496"/>
      <c r="N269" s="496"/>
      <c r="O269" s="496"/>
      <c r="P269" s="496"/>
      <c r="Q269" s="496"/>
      <c r="R269" s="496"/>
      <c r="S269" s="496"/>
      <c r="T269" s="496"/>
      <c r="U269" s="496"/>
    </row>
    <row r="270" spans="1:21" x14ac:dyDescent="0.2">
      <c r="A270" s="146"/>
      <c r="D270" s="496"/>
    </row>
    <row r="271" spans="1:21" x14ac:dyDescent="0.2">
      <c r="A271" s="146"/>
      <c r="D271" s="496"/>
    </row>
    <row r="272" spans="1:21" s="123" customFormat="1" x14ac:dyDescent="0.2">
      <c r="A272" s="146"/>
      <c r="B272" s="496"/>
      <c r="C272" s="496"/>
      <c r="D272" s="496"/>
      <c r="E272" s="496"/>
      <c r="F272" s="496"/>
      <c r="G272" s="496"/>
      <c r="H272" s="496"/>
      <c r="I272" s="496"/>
      <c r="J272" s="496"/>
      <c r="K272" s="496"/>
      <c r="L272" s="496"/>
      <c r="M272" s="496"/>
      <c r="N272" s="496"/>
      <c r="O272" s="496"/>
      <c r="P272" s="496"/>
      <c r="Q272" s="496"/>
      <c r="R272" s="496"/>
      <c r="S272" s="496"/>
      <c r="T272" s="496"/>
      <c r="U272" s="496"/>
    </row>
    <row r="273" spans="1:21" x14ac:dyDescent="0.2">
      <c r="A273" s="146"/>
      <c r="D273" s="496"/>
    </row>
    <row r="274" spans="1:21" x14ac:dyDescent="0.2">
      <c r="A274" s="146"/>
      <c r="D274" s="496"/>
    </row>
    <row r="275" spans="1:21" s="123" customFormat="1" x14ac:dyDescent="0.2">
      <c r="A275" s="146"/>
      <c r="B275" s="496"/>
      <c r="C275" s="496"/>
      <c r="D275" s="496"/>
      <c r="E275" s="496"/>
      <c r="F275" s="496"/>
      <c r="G275" s="496"/>
      <c r="H275" s="496"/>
      <c r="I275" s="496"/>
      <c r="J275" s="496"/>
      <c r="K275" s="496"/>
      <c r="L275" s="496"/>
      <c r="M275" s="496"/>
      <c r="N275" s="496"/>
      <c r="O275" s="496"/>
      <c r="P275" s="496"/>
      <c r="Q275" s="496"/>
      <c r="R275" s="496"/>
      <c r="S275" s="496"/>
      <c r="T275" s="496"/>
      <c r="U275" s="496"/>
    </row>
    <row r="276" spans="1:21" x14ac:dyDescent="0.2">
      <c r="A276" s="146"/>
      <c r="D276" s="496"/>
    </row>
    <row r="277" spans="1:21" x14ac:dyDescent="0.2">
      <c r="A277" s="146"/>
      <c r="D277" s="496"/>
    </row>
    <row r="278" spans="1:21" s="123" customFormat="1" x14ac:dyDescent="0.2">
      <c r="A278" s="146"/>
      <c r="B278" s="496"/>
      <c r="C278" s="496"/>
      <c r="D278" s="496"/>
      <c r="E278" s="496"/>
      <c r="F278" s="496"/>
      <c r="G278" s="496"/>
      <c r="H278" s="496"/>
      <c r="I278" s="496"/>
      <c r="J278" s="496"/>
      <c r="K278" s="496"/>
      <c r="L278" s="496"/>
      <c r="M278" s="496"/>
      <c r="N278" s="496"/>
      <c r="O278" s="496"/>
      <c r="P278" s="496"/>
      <c r="Q278" s="496"/>
      <c r="R278" s="496"/>
      <c r="S278" s="496"/>
      <c r="T278" s="496"/>
      <c r="U278" s="496"/>
    </row>
    <row r="279" spans="1:21" x14ac:dyDescent="0.2">
      <c r="A279" s="146"/>
      <c r="D279" s="496"/>
    </row>
    <row r="280" spans="1:21" x14ac:dyDescent="0.2">
      <c r="A280" s="146"/>
      <c r="D280" s="496"/>
    </row>
    <row r="281" spans="1:21" s="123" customFormat="1" x14ac:dyDescent="0.2">
      <c r="A281" s="146"/>
      <c r="B281" s="496"/>
      <c r="C281" s="496"/>
      <c r="D281" s="496"/>
      <c r="E281" s="496"/>
      <c r="F281" s="496"/>
      <c r="G281" s="496"/>
      <c r="H281" s="496"/>
      <c r="I281" s="496"/>
      <c r="J281" s="496"/>
      <c r="K281" s="496"/>
      <c r="L281" s="496"/>
      <c r="M281" s="496"/>
      <c r="N281" s="496"/>
      <c r="O281" s="496"/>
      <c r="P281" s="496"/>
      <c r="Q281" s="496"/>
      <c r="R281" s="496"/>
      <c r="S281" s="496"/>
      <c r="T281" s="496"/>
      <c r="U281" s="496"/>
    </row>
    <row r="282" spans="1:21" x14ac:dyDescent="0.2">
      <c r="A282" s="146"/>
      <c r="D282" s="496"/>
    </row>
    <row r="283" spans="1:21" x14ac:dyDescent="0.2">
      <c r="A283" s="146"/>
      <c r="D283" s="496"/>
    </row>
    <row r="284" spans="1:21" s="123" customFormat="1" x14ac:dyDescent="0.2">
      <c r="A284" s="146"/>
      <c r="B284" s="496"/>
      <c r="C284" s="496"/>
      <c r="D284" s="496"/>
      <c r="E284" s="496"/>
      <c r="F284" s="496"/>
      <c r="G284" s="496"/>
      <c r="H284" s="496"/>
      <c r="I284" s="496"/>
      <c r="J284" s="496"/>
      <c r="K284" s="496"/>
      <c r="L284" s="496"/>
      <c r="M284" s="496"/>
      <c r="N284" s="496"/>
      <c r="O284" s="496"/>
      <c r="P284" s="496"/>
      <c r="Q284" s="496"/>
      <c r="R284" s="496"/>
      <c r="S284" s="496"/>
      <c r="T284" s="496"/>
      <c r="U284" s="496"/>
    </row>
    <row r="285" spans="1:21" x14ac:dyDescent="0.2">
      <c r="A285" s="146"/>
      <c r="D285" s="496"/>
    </row>
    <row r="286" spans="1:21" x14ac:dyDescent="0.2">
      <c r="A286" s="146"/>
      <c r="D286" s="496"/>
    </row>
    <row r="287" spans="1:21" s="123" customFormat="1" x14ac:dyDescent="0.2">
      <c r="A287" s="146"/>
      <c r="B287" s="496"/>
      <c r="C287" s="496"/>
      <c r="D287" s="496"/>
      <c r="E287" s="496"/>
      <c r="F287" s="496"/>
      <c r="G287" s="496"/>
      <c r="H287" s="496"/>
      <c r="I287" s="496"/>
      <c r="J287" s="496"/>
      <c r="K287" s="496"/>
      <c r="L287" s="496"/>
      <c r="M287" s="496"/>
      <c r="N287" s="496"/>
      <c r="O287" s="496"/>
      <c r="P287" s="496"/>
      <c r="Q287" s="496"/>
      <c r="R287" s="496"/>
      <c r="S287" s="496"/>
      <c r="T287" s="496"/>
      <c r="U287" s="496"/>
    </row>
    <row r="288" spans="1:21" x14ac:dyDescent="0.2">
      <c r="A288" s="146"/>
      <c r="D288" s="496"/>
    </row>
    <row r="289" spans="1:21" x14ac:dyDescent="0.2">
      <c r="A289" s="146"/>
      <c r="D289" s="496"/>
    </row>
    <row r="290" spans="1:21" s="123" customFormat="1" x14ac:dyDescent="0.2">
      <c r="A290" s="146"/>
      <c r="B290" s="496"/>
      <c r="C290" s="496"/>
      <c r="D290" s="496"/>
      <c r="E290" s="496"/>
      <c r="F290" s="496"/>
      <c r="G290" s="496"/>
      <c r="H290" s="496"/>
      <c r="I290" s="496"/>
      <c r="J290" s="496"/>
      <c r="K290" s="496"/>
      <c r="L290" s="496"/>
      <c r="M290" s="496"/>
      <c r="N290" s="496"/>
      <c r="O290" s="496"/>
      <c r="P290" s="496"/>
      <c r="Q290" s="496"/>
      <c r="R290" s="496"/>
      <c r="S290" s="496"/>
      <c r="T290" s="496"/>
      <c r="U290" s="496"/>
    </row>
    <row r="291" spans="1:21" x14ac:dyDescent="0.2">
      <c r="A291" s="146"/>
      <c r="D291" s="496"/>
    </row>
    <row r="292" spans="1:21" x14ac:dyDescent="0.2">
      <c r="A292" s="146"/>
      <c r="D292" s="496"/>
    </row>
    <row r="293" spans="1:21" s="123" customFormat="1" x14ac:dyDescent="0.2">
      <c r="A293" s="146"/>
      <c r="B293" s="496"/>
      <c r="C293" s="496"/>
      <c r="D293" s="496"/>
      <c r="E293" s="496"/>
      <c r="F293" s="496"/>
      <c r="G293" s="496"/>
      <c r="H293" s="496"/>
      <c r="I293" s="496"/>
      <c r="J293" s="496"/>
      <c r="K293" s="496"/>
      <c r="L293" s="496"/>
      <c r="M293" s="496"/>
      <c r="N293" s="496"/>
      <c r="O293" s="496"/>
      <c r="P293" s="496"/>
      <c r="Q293" s="496"/>
      <c r="R293" s="496"/>
      <c r="S293" s="496"/>
      <c r="T293" s="496"/>
      <c r="U293" s="496"/>
    </row>
    <row r="294" spans="1:21" x14ac:dyDescent="0.2">
      <c r="A294" s="146"/>
      <c r="D294" s="496"/>
    </row>
    <row r="295" spans="1:21" x14ac:dyDescent="0.2">
      <c r="A295" s="146"/>
      <c r="D295" s="496"/>
    </row>
    <row r="296" spans="1:21" s="123" customFormat="1" x14ac:dyDescent="0.2">
      <c r="A296" s="146"/>
      <c r="B296" s="496"/>
      <c r="C296" s="496"/>
      <c r="D296" s="496"/>
      <c r="E296" s="496"/>
      <c r="F296" s="496"/>
      <c r="G296" s="496"/>
      <c r="H296" s="496"/>
      <c r="I296" s="496"/>
      <c r="J296" s="496"/>
      <c r="K296" s="496"/>
      <c r="L296" s="496"/>
      <c r="M296" s="496"/>
      <c r="N296" s="496"/>
      <c r="O296" s="496"/>
      <c r="P296" s="496"/>
      <c r="Q296" s="496"/>
      <c r="R296" s="496"/>
      <c r="S296" s="496"/>
      <c r="T296" s="496"/>
      <c r="U296" s="496"/>
    </row>
    <row r="297" spans="1:21" x14ac:dyDescent="0.2">
      <c r="A297" s="146"/>
      <c r="D297" s="496"/>
    </row>
    <row r="298" spans="1:21" x14ac:dyDescent="0.2">
      <c r="A298" s="146"/>
      <c r="D298" s="496"/>
    </row>
    <row r="299" spans="1:21" s="123" customFormat="1" x14ac:dyDescent="0.2">
      <c r="A299" s="146"/>
      <c r="B299" s="496"/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P299" s="496"/>
      <c r="Q299" s="496"/>
      <c r="R299" s="496"/>
      <c r="S299" s="496"/>
      <c r="T299" s="496"/>
      <c r="U299" s="496"/>
    </row>
    <row r="300" spans="1:21" x14ac:dyDescent="0.2">
      <c r="A300" s="146"/>
      <c r="D300" s="496"/>
    </row>
    <row r="301" spans="1:21" x14ac:dyDescent="0.2">
      <c r="A301" s="146"/>
      <c r="D301" s="496"/>
    </row>
    <row r="302" spans="1:21" s="123" customFormat="1" x14ac:dyDescent="0.2">
      <c r="A302" s="146"/>
      <c r="B302" s="496"/>
      <c r="C302" s="496"/>
      <c r="D302" s="496"/>
      <c r="E302" s="496"/>
      <c r="F302" s="496"/>
      <c r="G302" s="496"/>
      <c r="H302" s="496"/>
      <c r="I302" s="496"/>
      <c r="J302" s="496"/>
      <c r="K302" s="496"/>
      <c r="L302" s="496"/>
      <c r="M302" s="496"/>
      <c r="N302" s="496"/>
      <c r="O302" s="496"/>
      <c r="P302" s="496"/>
      <c r="Q302" s="496"/>
      <c r="R302" s="496"/>
      <c r="S302" s="496"/>
      <c r="T302" s="496"/>
      <c r="U302" s="496"/>
    </row>
    <row r="303" spans="1:21" x14ac:dyDescent="0.2">
      <c r="A303" s="146"/>
      <c r="D303" s="496"/>
    </row>
    <row r="304" spans="1:21" x14ac:dyDescent="0.2">
      <c r="A304" s="146"/>
      <c r="D304" s="496"/>
    </row>
    <row r="305" spans="1:21" s="123" customFormat="1" x14ac:dyDescent="0.2">
      <c r="A305" s="146"/>
      <c r="B305" s="496"/>
      <c r="C305" s="496"/>
      <c r="D305" s="496"/>
      <c r="E305" s="496"/>
      <c r="F305" s="496"/>
      <c r="G305" s="496"/>
      <c r="H305" s="496"/>
      <c r="I305" s="496"/>
      <c r="J305" s="496"/>
      <c r="K305" s="496"/>
      <c r="L305" s="496"/>
      <c r="M305" s="496"/>
      <c r="N305" s="496"/>
      <c r="O305" s="496"/>
      <c r="P305" s="496"/>
      <c r="Q305" s="496"/>
      <c r="R305" s="496"/>
      <c r="S305" s="496"/>
      <c r="T305" s="496"/>
      <c r="U305" s="496"/>
    </row>
    <row r="306" spans="1:21" x14ac:dyDescent="0.2">
      <c r="A306" s="146"/>
      <c r="D306" s="496"/>
    </row>
    <row r="307" spans="1:21" x14ac:dyDescent="0.2">
      <c r="A307" s="146"/>
      <c r="D307" s="496"/>
    </row>
    <row r="308" spans="1:21" s="123" customFormat="1" x14ac:dyDescent="0.2">
      <c r="A308" s="146"/>
      <c r="B308" s="496"/>
      <c r="C308" s="496"/>
      <c r="D308" s="496"/>
      <c r="E308" s="496"/>
      <c r="F308" s="496"/>
      <c r="G308" s="496"/>
      <c r="H308" s="496"/>
      <c r="I308" s="496"/>
      <c r="J308" s="496"/>
      <c r="K308" s="496"/>
      <c r="L308" s="496"/>
      <c r="M308" s="496"/>
      <c r="N308" s="496"/>
      <c r="O308" s="496"/>
      <c r="P308" s="496"/>
      <c r="Q308" s="496"/>
      <c r="R308" s="496"/>
      <c r="S308" s="496"/>
      <c r="T308" s="496"/>
      <c r="U308" s="496"/>
    </row>
    <row r="309" spans="1:21" x14ac:dyDescent="0.2">
      <c r="A309" s="146"/>
      <c r="D309" s="496"/>
    </row>
    <row r="310" spans="1:21" x14ac:dyDescent="0.2">
      <c r="A310" s="146"/>
      <c r="D310" s="496"/>
    </row>
    <row r="311" spans="1:21" s="123" customFormat="1" x14ac:dyDescent="0.2">
      <c r="A311" s="146"/>
      <c r="B311" s="496"/>
      <c r="C311" s="496"/>
      <c r="D311" s="496"/>
      <c r="E311" s="496"/>
      <c r="F311" s="496"/>
      <c r="G311" s="496"/>
      <c r="H311" s="496"/>
      <c r="I311" s="496"/>
      <c r="J311" s="496"/>
      <c r="K311" s="496"/>
      <c r="L311" s="496"/>
      <c r="M311" s="496"/>
      <c r="N311" s="496"/>
      <c r="O311" s="496"/>
      <c r="P311" s="496"/>
      <c r="Q311" s="496"/>
      <c r="R311" s="496"/>
      <c r="S311" s="496"/>
      <c r="T311" s="496"/>
      <c r="U311" s="496"/>
    </row>
    <row r="312" spans="1:21" x14ac:dyDescent="0.2">
      <c r="A312" s="146"/>
      <c r="D312" s="496"/>
    </row>
    <row r="313" spans="1:21" x14ac:dyDescent="0.2">
      <c r="A313" s="146"/>
      <c r="D313" s="496"/>
    </row>
    <row r="314" spans="1:21" s="123" customFormat="1" x14ac:dyDescent="0.2">
      <c r="A314" s="146"/>
      <c r="B314" s="496"/>
      <c r="C314" s="496"/>
      <c r="D314" s="496"/>
      <c r="E314" s="496"/>
      <c r="F314" s="496"/>
      <c r="G314" s="496"/>
      <c r="H314" s="496"/>
      <c r="I314" s="496"/>
      <c r="J314" s="496"/>
      <c r="K314" s="496"/>
      <c r="L314" s="496"/>
      <c r="M314" s="496"/>
      <c r="N314" s="496"/>
      <c r="O314" s="496"/>
      <c r="P314" s="496"/>
      <c r="Q314" s="496"/>
      <c r="R314" s="496"/>
      <c r="S314" s="496"/>
      <c r="T314" s="496"/>
      <c r="U314" s="496"/>
    </row>
    <row r="315" spans="1:21" x14ac:dyDescent="0.2">
      <c r="A315" s="146"/>
      <c r="D315" s="496"/>
    </row>
    <row r="316" spans="1:21" x14ac:dyDescent="0.2">
      <c r="A316" s="146"/>
      <c r="D316" s="496"/>
    </row>
    <row r="317" spans="1:21" s="123" customFormat="1" x14ac:dyDescent="0.2">
      <c r="A317" s="146"/>
      <c r="B317" s="496"/>
      <c r="C317" s="496"/>
      <c r="D317" s="496"/>
      <c r="E317" s="496"/>
      <c r="F317" s="496"/>
      <c r="G317" s="496"/>
      <c r="H317" s="496"/>
      <c r="I317" s="496"/>
      <c r="J317" s="496"/>
      <c r="K317" s="496"/>
      <c r="L317" s="496"/>
      <c r="M317" s="496"/>
      <c r="N317" s="496"/>
      <c r="O317" s="496"/>
      <c r="P317" s="496"/>
      <c r="Q317" s="496"/>
      <c r="R317" s="496"/>
      <c r="S317" s="496"/>
      <c r="T317" s="496"/>
      <c r="U317" s="496"/>
    </row>
    <row r="318" spans="1:21" x14ac:dyDescent="0.2">
      <c r="A318" s="146"/>
      <c r="D318" s="496"/>
    </row>
    <row r="319" spans="1:21" x14ac:dyDescent="0.2">
      <c r="A319" s="146"/>
      <c r="D319" s="496"/>
    </row>
    <row r="320" spans="1:21" s="123" customFormat="1" x14ac:dyDescent="0.2">
      <c r="A320" s="146"/>
      <c r="B320" s="496"/>
      <c r="C320" s="496"/>
      <c r="D320" s="496"/>
      <c r="E320" s="496"/>
      <c r="F320" s="496"/>
      <c r="G320" s="496"/>
      <c r="H320" s="496"/>
      <c r="I320" s="496"/>
      <c r="J320" s="496"/>
      <c r="K320" s="496"/>
      <c r="L320" s="496"/>
      <c r="M320" s="496"/>
      <c r="N320" s="496"/>
      <c r="O320" s="496"/>
      <c r="P320" s="496"/>
      <c r="Q320" s="496"/>
      <c r="R320" s="496"/>
      <c r="S320" s="496"/>
      <c r="T320" s="496"/>
      <c r="U320" s="496"/>
    </row>
    <row r="321" spans="1:21" x14ac:dyDescent="0.2">
      <c r="A321" s="146"/>
      <c r="D321" s="496"/>
    </row>
    <row r="322" spans="1:21" x14ac:dyDescent="0.2">
      <c r="A322" s="146"/>
      <c r="D322" s="496"/>
    </row>
    <row r="323" spans="1:21" s="123" customFormat="1" x14ac:dyDescent="0.2">
      <c r="A323" s="146"/>
      <c r="B323" s="496"/>
      <c r="C323" s="496"/>
      <c r="D323" s="496"/>
      <c r="E323" s="496"/>
      <c r="F323" s="496"/>
      <c r="G323" s="496"/>
      <c r="H323" s="496"/>
      <c r="I323" s="496"/>
      <c r="J323" s="496"/>
      <c r="K323" s="496"/>
      <c r="L323" s="496"/>
      <c r="M323" s="496"/>
      <c r="N323" s="496"/>
      <c r="O323" s="496"/>
      <c r="P323" s="496"/>
      <c r="Q323" s="496"/>
      <c r="R323" s="496"/>
      <c r="S323" s="496"/>
      <c r="T323" s="496"/>
      <c r="U323" s="496"/>
    </row>
    <row r="324" spans="1:21" x14ac:dyDescent="0.2">
      <c r="A324" s="146"/>
      <c r="D324" s="496"/>
    </row>
    <row r="325" spans="1:21" x14ac:dyDescent="0.2">
      <c r="A325" s="146"/>
      <c r="D325" s="496"/>
    </row>
    <row r="326" spans="1:21" s="123" customFormat="1" x14ac:dyDescent="0.2">
      <c r="A326" s="146"/>
      <c r="B326" s="496"/>
      <c r="C326" s="496"/>
      <c r="D326" s="496"/>
      <c r="E326" s="496"/>
      <c r="F326" s="496"/>
      <c r="G326" s="496"/>
      <c r="H326" s="496"/>
      <c r="I326" s="496"/>
      <c r="J326" s="496"/>
      <c r="K326" s="496"/>
      <c r="L326" s="496"/>
      <c r="M326" s="496"/>
      <c r="N326" s="496"/>
      <c r="O326" s="496"/>
      <c r="P326" s="496"/>
      <c r="Q326" s="496"/>
      <c r="R326" s="496"/>
      <c r="S326" s="496"/>
      <c r="T326" s="496"/>
      <c r="U326" s="496"/>
    </row>
    <row r="327" spans="1:21" x14ac:dyDescent="0.2">
      <c r="A327" s="146"/>
      <c r="D327" s="496"/>
    </row>
    <row r="328" spans="1:21" x14ac:dyDescent="0.2">
      <c r="A328" s="146"/>
      <c r="D328" s="496"/>
    </row>
    <row r="329" spans="1:21" s="123" customFormat="1" x14ac:dyDescent="0.2">
      <c r="A329" s="146"/>
      <c r="B329" s="496"/>
      <c r="C329" s="496"/>
      <c r="D329" s="496"/>
      <c r="E329" s="496"/>
      <c r="F329" s="496"/>
      <c r="G329" s="496"/>
      <c r="H329" s="496"/>
      <c r="I329" s="496"/>
      <c r="J329" s="496"/>
      <c r="K329" s="496"/>
      <c r="L329" s="496"/>
      <c r="M329" s="496"/>
      <c r="N329" s="496"/>
      <c r="O329" s="496"/>
      <c r="P329" s="496"/>
      <c r="Q329" s="496"/>
      <c r="R329" s="496"/>
      <c r="S329" s="496"/>
      <c r="T329" s="496"/>
      <c r="U329" s="496"/>
    </row>
    <row r="330" spans="1:21" x14ac:dyDescent="0.2">
      <c r="A330" s="146"/>
      <c r="D330" s="496"/>
    </row>
    <row r="331" spans="1:21" x14ac:dyDescent="0.2">
      <c r="A331" s="146"/>
      <c r="D331" s="496"/>
    </row>
    <row r="332" spans="1:21" s="123" customFormat="1" x14ac:dyDescent="0.2">
      <c r="A332" s="146"/>
      <c r="B332" s="496"/>
      <c r="C332" s="496"/>
      <c r="D332" s="496"/>
      <c r="E332" s="496"/>
      <c r="F332" s="496"/>
      <c r="G332" s="496"/>
      <c r="H332" s="496"/>
      <c r="I332" s="496"/>
      <c r="J332" s="496"/>
      <c r="K332" s="496"/>
      <c r="L332" s="496"/>
      <c r="M332" s="496"/>
      <c r="N332" s="496"/>
      <c r="O332" s="496"/>
      <c r="P332" s="496"/>
      <c r="Q332" s="496"/>
      <c r="R332" s="496"/>
      <c r="S332" s="496"/>
      <c r="T332" s="496"/>
      <c r="U332" s="496"/>
    </row>
    <row r="333" spans="1:21" x14ac:dyDescent="0.2">
      <c r="A333" s="146"/>
      <c r="D333" s="496"/>
    </row>
    <row r="334" spans="1:21" x14ac:dyDescent="0.2">
      <c r="A334" s="146"/>
      <c r="D334" s="496"/>
    </row>
    <row r="335" spans="1:21" s="123" customFormat="1" x14ac:dyDescent="0.2">
      <c r="A335" s="146"/>
      <c r="B335" s="496"/>
      <c r="C335" s="496"/>
      <c r="D335" s="496"/>
      <c r="E335" s="496"/>
      <c r="F335" s="496"/>
      <c r="G335" s="496"/>
      <c r="H335" s="496"/>
      <c r="I335" s="496"/>
      <c r="J335" s="496"/>
      <c r="K335" s="496"/>
      <c r="L335" s="496"/>
      <c r="M335" s="496"/>
      <c r="N335" s="496"/>
      <c r="O335" s="496"/>
      <c r="P335" s="496"/>
      <c r="Q335" s="496"/>
      <c r="R335" s="496"/>
      <c r="S335" s="496"/>
      <c r="T335" s="496"/>
      <c r="U335" s="496"/>
    </row>
    <row r="336" spans="1:21" x14ac:dyDescent="0.2">
      <c r="A336" s="146"/>
      <c r="D336" s="496"/>
    </row>
    <row r="337" spans="1:21" x14ac:dyDescent="0.2">
      <c r="A337" s="146"/>
      <c r="D337" s="496"/>
    </row>
    <row r="338" spans="1:21" s="123" customFormat="1" x14ac:dyDescent="0.2">
      <c r="A338" s="146"/>
      <c r="B338" s="496"/>
      <c r="C338" s="496"/>
      <c r="D338" s="496"/>
      <c r="E338" s="496"/>
      <c r="F338" s="496"/>
      <c r="G338" s="496"/>
      <c r="H338" s="496"/>
      <c r="I338" s="496"/>
      <c r="J338" s="496"/>
      <c r="K338" s="496"/>
      <c r="L338" s="496"/>
      <c r="M338" s="496"/>
      <c r="N338" s="496"/>
      <c r="O338" s="496"/>
      <c r="P338" s="496"/>
      <c r="Q338" s="496"/>
      <c r="R338" s="496"/>
      <c r="S338" s="496"/>
      <c r="T338" s="496"/>
      <c r="U338" s="496"/>
    </row>
    <row r="339" spans="1:21" x14ac:dyDescent="0.2">
      <c r="A339" s="146"/>
      <c r="D339" s="496"/>
    </row>
    <row r="340" spans="1:21" x14ac:dyDescent="0.2">
      <c r="A340" s="146"/>
      <c r="D340" s="496"/>
    </row>
    <row r="341" spans="1:21" s="123" customFormat="1" x14ac:dyDescent="0.2">
      <c r="A341" s="146"/>
      <c r="B341" s="496"/>
      <c r="C341" s="496"/>
      <c r="D341" s="496"/>
      <c r="E341" s="496"/>
      <c r="F341" s="496"/>
      <c r="G341" s="496"/>
      <c r="H341" s="496"/>
      <c r="I341" s="496"/>
      <c r="J341" s="496"/>
      <c r="K341" s="496"/>
      <c r="L341" s="496"/>
      <c r="M341" s="496"/>
      <c r="N341" s="496"/>
      <c r="O341" s="496"/>
      <c r="P341" s="496"/>
      <c r="Q341" s="496"/>
      <c r="R341" s="496"/>
      <c r="S341" s="496"/>
      <c r="T341" s="496"/>
      <c r="U341" s="496"/>
    </row>
    <row r="342" spans="1:21" x14ac:dyDescent="0.2">
      <c r="A342" s="146"/>
      <c r="D342" s="496"/>
    </row>
    <row r="343" spans="1:21" x14ac:dyDescent="0.2">
      <c r="A343" s="146"/>
      <c r="D343" s="496"/>
    </row>
    <row r="344" spans="1:21" s="123" customFormat="1" x14ac:dyDescent="0.2">
      <c r="A344" s="146"/>
      <c r="B344" s="496"/>
      <c r="C344" s="496"/>
      <c r="D344" s="496"/>
      <c r="E344" s="496"/>
      <c r="F344" s="496"/>
      <c r="G344" s="496"/>
      <c r="H344" s="496"/>
      <c r="I344" s="496"/>
      <c r="J344" s="496"/>
      <c r="K344" s="496"/>
      <c r="L344" s="496"/>
      <c r="M344" s="496"/>
      <c r="N344" s="496"/>
      <c r="O344" s="496"/>
      <c r="P344" s="496"/>
      <c r="Q344" s="496"/>
      <c r="R344" s="496"/>
      <c r="S344" s="496"/>
      <c r="T344" s="496"/>
      <c r="U344" s="496"/>
    </row>
    <row r="345" spans="1:21" x14ac:dyDescent="0.2">
      <c r="A345" s="146"/>
      <c r="D345" s="496"/>
    </row>
    <row r="346" spans="1:21" x14ac:dyDescent="0.2">
      <c r="A346" s="146"/>
      <c r="D346" s="496"/>
    </row>
    <row r="347" spans="1:21" s="123" customFormat="1" x14ac:dyDescent="0.2">
      <c r="A347" s="146"/>
      <c r="B347" s="496"/>
      <c r="C347" s="496"/>
      <c r="D347" s="496"/>
      <c r="E347" s="496"/>
      <c r="F347" s="496"/>
      <c r="G347" s="496"/>
      <c r="H347" s="496"/>
      <c r="I347" s="496"/>
      <c r="J347" s="496"/>
      <c r="K347" s="496"/>
      <c r="L347" s="496"/>
      <c r="M347" s="496"/>
      <c r="N347" s="496"/>
      <c r="O347" s="496"/>
      <c r="P347" s="496"/>
      <c r="Q347" s="496"/>
      <c r="R347" s="496"/>
      <c r="S347" s="496"/>
      <c r="T347" s="496"/>
      <c r="U347" s="496"/>
    </row>
    <row r="348" spans="1:21" x14ac:dyDescent="0.2">
      <c r="A348" s="146"/>
      <c r="D348" s="496"/>
    </row>
    <row r="349" spans="1:21" x14ac:dyDescent="0.2">
      <c r="A349" s="146"/>
      <c r="D349" s="496"/>
    </row>
    <row r="350" spans="1:21" s="123" customFormat="1" x14ac:dyDescent="0.2">
      <c r="A350" s="146"/>
      <c r="B350" s="496"/>
      <c r="C350" s="496"/>
      <c r="D350" s="496"/>
      <c r="E350" s="496"/>
      <c r="F350" s="496"/>
      <c r="G350" s="496"/>
      <c r="H350" s="496"/>
      <c r="I350" s="496"/>
      <c r="J350" s="496"/>
      <c r="K350" s="496"/>
      <c r="L350" s="496"/>
      <c r="M350" s="496"/>
      <c r="N350" s="496"/>
      <c r="O350" s="496"/>
      <c r="P350" s="496"/>
      <c r="Q350" s="496"/>
      <c r="R350" s="496"/>
      <c r="S350" s="496"/>
      <c r="T350" s="496"/>
      <c r="U350" s="496"/>
    </row>
    <row r="351" spans="1:21" x14ac:dyDescent="0.2">
      <c r="A351" s="146"/>
      <c r="D351" s="496"/>
    </row>
    <row r="352" spans="1:21" x14ac:dyDescent="0.2">
      <c r="A352" s="146"/>
      <c r="D352" s="496"/>
    </row>
    <row r="353" spans="1:21" s="123" customFormat="1" x14ac:dyDescent="0.2">
      <c r="A353" s="146"/>
      <c r="B353" s="496"/>
      <c r="C353" s="496"/>
      <c r="D353" s="496"/>
      <c r="E353" s="496"/>
      <c r="F353" s="496"/>
      <c r="G353" s="496"/>
      <c r="H353" s="496"/>
      <c r="I353" s="496"/>
      <c r="J353" s="496"/>
      <c r="K353" s="496"/>
      <c r="L353" s="496"/>
      <c r="M353" s="496"/>
      <c r="N353" s="496"/>
      <c r="O353" s="496"/>
      <c r="P353" s="496"/>
      <c r="Q353" s="496"/>
      <c r="R353" s="496"/>
      <c r="S353" s="496"/>
      <c r="T353" s="496"/>
      <c r="U353" s="496"/>
    </row>
    <row r="354" spans="1:21" x14ac:dyDescent="0.2">
      <c r="A354" s="146"/>
      <c r="D354" s="496"/>
    </row>
    <row r="355" spans="1:21" x14ac:dyDescent="0.2">
      <c r="A355" s="146"/>
      <c r="D355" s="496"/>
    </row>
    <row r="356" spans="1:21" s="123" customFormat="1" x14ac:dyDescent="0.2">
      <c r="A356" s="146"/>
      <c r="B356" s="496"/>
      <c r="C356" s="496"/>
      <c r="D356" s="496"/>
      <c r="E356" s="496"/>
      <c r="F356" s="496"/>
      <c r="G356" s="496"/>
      <c r="H356" s="496"/>
      <c r="I356" s="496"/>
      <c r="J356" s="496"/>
      <c r="K356" s="496"/>
      <c r="L356" s="496"/>
      <c r="M356" s="496"/>
      <c r="N356" s="496"/>
      <c r="O356" s="496"/>
      <c r="P356" s="496"/>
      <c r="Q356" s="496"/>
      <c r="R356" s="496"/>
      <c r="S356" s="496"/>
      <c r="T356" s="496"/>
      <c r="U356" s="496"/>
    </row>
    <row r="357" spans="1:21" x14ac:dyDescent="0.2">
      <c r="A357" s="146"/>
      <c r="D357" s="496"/>
    </row>
    <row r="358" spans="1:21" x14ac:dyDescent="0.2">
      <c r="A358" s="146"/>
      <c r="D358" s="496"/>
    </row>
    <row r="359" spans="1:21" s="123" customFormat="1" x14ac:dyDescent="0.2">
      <c r="A359" s="146"/>
      <c r="B359" s="496"/>
      <c r="C359" s="496"/>
      <c r="D359" s="496"/>
      <c r="E359" s="496"/>
      <c r="F359" s="496"/>
      <c r="G359" s="496"/>
      <c r="H359" s="496"/>
      <c r="I359" s="496"/>
      <c r="J359" s="496"/>
      <c r="K359" s="496"/>
      <c r="L359" s="496"/>
      <c r="M359" s="496"/>
      <c r="N359" s="496"/>
      <c r="O359" s="496"/>
      <c r="P359" s="496"/>
      <c r="Q359" s="496"/>
      <c r="R359" s="496"/>
      <c r="S359" s="496"/>
      <c r="T359" s="496"/>
      <c r="U359" s="496"/>
    </row>
    <row r="360" spans="1:21" x14ac:dyDescent="0.2">
      <c r="A360" s="146"/>
      <c r="D360" s="496"/>
    </row>
    <row r="361" spans="1:21" x14ac:dyDescent="0.2">
      <c r="A361" s="146"/>
      <c r="D361" s="496"/>
    </row>
    <row r="362" spans="1:21" s="123" customFormat="1" x14ac:dyDescent="0.2">
      <c r="A362" s="146"/>
      <c r="B362" s="496"/>
      <c r="C362" s="496"/>
      <c r="D362" s="496"/>
      <c r="E362" s="496"/>
      <c r="F362" s="496"/>
      <c r="G362" s="496"/>
      <c r="H362" s="496"/>
      <c r="I362" s="496"/>
      <c r="J362" s="496"/>
      <c r="K362" s="496"/>
      <c r="L362" s="496"/>
      <c r="M362" s="496"/>
      <c r="N362" s="496"/>
      <c r="O362" s="496"/>
      <c r="P362" s="496"/>
      <c r="Q362" s="496"/>
      <c r="R362" s="496"/>
      <c r="S362" s="496"/>
      <c r="T362" s="496"/>
      <c r="U362" s="496"/>
    </row>
    <row r="363" spans="1:21" x14ac:dyDescent="0.2">
      <c r="A363" s="146"/>
      <c r="D363" s="496"/>
    </row>
    <row r="364" spans="1:21" x14ac:dyDescent="0.2">
      <c r="A364" s="146"/>
      <c r="D364" s="496"/>
    </row>
    <row r="365" spans="1:21" s="123" customFormat="1" x14ac:dyDescent="0.2">
      <c r="A365" s="146"/>
      <c r="B365" s="496"/>
      <c r="C365" s="496"/>
      <c r="D365" s="496"/>
      <c r="E365" s="496"/>
      <c r="F365" s="496"/>
      <c r="G365" s="496"/>
      <c r="H365" s="496"/>
      <c r="I365" s="496"/>
      <c r="J365" s="496"/>
      <c r="K365" s="496"/>
      <c r="L365" s="496"/>
      <c r="M365" s="496"/>
      <c r="N365" s="496"/>
      <c r="O365" s="496"/>
      <c r="P365" s="496"/>
      <c r="Q365" s="496"/>
      <c r="R365" s="496"/>
      <c r="S365" s="496"/>
      <c r="T365" s="496"/>
      <c r="U365" s="496"/>
    </row>
    <row r="366" spans="1:21" x14ac:dyDescent="0.2">
      <c r="A366" s="146"/>
      <c r="D366" s="496"/>
    </row>
    <row r="367" spans="1:21" x14ac:dyDescent="0.2">
      <c r="A367" s="146"/>
      <c r="D367" s="496"/>
    </row>
    <row r="368" spans="1:21" s="123" customFormat="1" x14ac:dyDescent="0.2">
      <c r="A368" s="146"/>
      <c r="B368" s="496"/>
      <c r="C368" s="496"/>
      <c r="D368" s="496"/>
      <c r="E368" s="496"/>
      <c r="F368" s="496"/>
      <c r="G368" s="496"/>
      <c r="H368" s="496"/>
      <c r="I368" s="496"/>
      <c r="J368" s="496"/>
      <c r="K368" s="496"/>
      <c r="L368" s="496"/>
      <c r="M368" s="496"/>
      <c r="N368" s="496"/>
      <c r="O368" s="496"/>
      <c r="P368" s="496"/>
      <c r="Q368" s="496"/>
      <c r="R368" s="496"/>
      <c r="S368" s="496"/>
      <c r="T368" s="496"/>
      <c r="U368" s="496"/>
    </row>
    <row r="369" spans="1:21" x14ac:dyDescent="0.2">
      <c r="A369" s="146"/>
      <c r="D369" s="496"/>
    </row>
    <row r="370" spans="1:21" x14ac:dyDescent="0.2">
      <c r="A370" s="146"/>
      <c r="D370" s="496"/>
    </row>
    <row r="371" spans="1:21" s="123" customFormat="1" x14ac:dyDescent="0.2">
      <c r="A371" s="146"/>
      <c r="B371" s="496"/>
      <c r="C371" s="496"/>
      <c r="D371" s="496"/>
      <c r="E371" s="496"/>
      <c r="F371" s="496"/>
      <c r="G371" s="496"/>
      <c r="H371" s="496"/>
      <c r="I371" s="496"/>
      <c r="J371" s="496"/>
      <c r="K371" s="496"/>
      <c r="L371" s="496"/>
      <c r="M371" s="496"/>
      <c r="N371" s="496"/>
      <c r="O371" s="496"/>
      <c r="P371" s="496"/>
      <c r="Q371" s="496"/>
      <c r="R371" s="496"/>
      <c r="S371" s="496"/>
      <c r="T371" s="496"/>
      <c r="U371" s="496"/>
    </row>
    <row r="372" spans="1:21" x14ac:dyDescent="0.2">
      <c r="A372" s="146"/>
      <c r="D372" s="496"/>
    </row>
    <row r="373" spans="1:21" x14ac:dyDescent="0.2">
      <c r="A373" s="146"/>
      <c r="D373" s="496"/>
    </row>
    <row r="374" spans="1:21" s="123" customFormat="1" x14ac:dyDescent="0.2">
      <c r="A374" s="146"/>
      <c r="B374" s="496"/>
      <c r="C374" s="496"/>
      <c r="D374" s="496"/>
      <c r="E374" s="496"/>
      <c r="F374" s="496"/>
      <c r="G374" s="496"/>
      <c r="H374" s="496"/>
      <c r="I374" s="496"/>
      <c r="J374" s="496"/>
      <c r="K374" s="496"/>
      <c r="L374" s="496"/>
      <c r="M374" s="496"/>
      <c r="N374" s="496"/>
      <c r="O374" s="496"/>
      <c r="P374" s="496"/>
      <c r="Q374" s="496"/>
      <c r="R374" s="496"/>
      <c r="S374" s="496"/>
      <c r="T374" s="496"/>
      <c r="U374" s="496"/>
    </row>
    <row r="375" spans="1:21" x14ac:dyDescent="0.2">
      <c r="A375" s="146"/>
      <c r="D375" s="496"/>
    </row>
    <row r="376" spans="1:21" x14ac:dyDescent="0.2">
      <c r="A376" s="146"/>
      <c r="D376" s="496"/>
    </row>
    <row r="377" spans="1:21" s="123" customFormat="1" x14ac:dyDescent="0.2">
      <c r="A377" s="146"/>
      <c r="B377" s="496"/>
      <c r="C377" s="496"/>
      <c r="D377" s="496"/>
      <c r="E377" s="496"/>
      <c r="F377" s="496"/>
      <c r="G377" s="496"/>
      <c r="H377" s="496"/>
      <c r="I377" s="496"/>
      <c r="J377" s="496"/>
      <c r="K377" s="496"/>
      <c r="L377" s="496"/>
      <c r="M377" s="496"/>
      <c r="N377" s="496"/>
      <c r="O377" s="496"/>
      <c r="P377" s="496"/>
      <c r="Q377" s="496"/>
      <c r="R377" s="496"/>
      <c r="S377" s="496"/>
      <c r="T377" s="496"/>
      <c r="U377" s="496"/>
    </row>
    <row r="378" spans="1:21" x14ac:dyDescent="0.2">
      <c r="A378" s="146"/>
      <c r="D378" s="496"/>
    </row>
    <row r="379" spans="1:21" x14ac:dyDescent="0.2">
      <c r="A379" s="146"/>
      <c r="D379" s="496"/>
    </row>
    <row r="380" spans="1:21" s="123" customFormat="1" x14ac:dyDescent="0.2">
      <c r="A380" s="146"/>
      <c r="B380" s="496"/>
      <c r="C380" s="496"/>
      <c r="D380" s="496"/>
      <c r="E380" s="496"/>
      <c r="F380" s="496"/>
      <c r="G380" s="496"/>
      <c r="H380" s="496"/>
      <c r="I380" s="496"/>
      <c r="J380" s="496"/>
      <c r="K380" s="496"/>
      <c r="L380" s="496"/>
      <c r="M380" s="496"/>
      <c r="N380" s="496"/>
      <c r="O380" s="496"/>
      <c r="P380" s="496"/>
      <c r="Q380" s="496"/>
      <c r="R380" s="496"/>
      <c r="S380" s="496"/>
      <c r="T380" s="496"/>
      <c r="U380" s="496"/>
    </row>
    <row r="381" spans="1:21" x14ac:dyDescent="0.2">
      <c r="A381" s="146"/>
      <c r="D381" s="496"/>
    </row>
    <row r="382" spans="1:21" x14ac:dyDescent="0.2">
      <c r="A382" s="146"/>
      <c r="D382" s="496"/>
    </row>
    <row r="383" spans="1:21" s="123" customFormat="1" x14ac:dyDescent="0.2">
      <c r="A383" s="146"/>
      <c r="B383" s="496"/>
      <c r="C383" s="496"/>
      <c r="D383" s="496"/>
      <c r="E383" s="496"/>
      <c r="F383" s="496"/>
      <c r="G383" s="496"/>
      <c r="H383" s="496"/>
      <c r="I383" s="496"/>
      <c r="J383" s="496"/>
      <c r="K383" s="496"/>
      <c r="L383" s="496"/>
      <c r="M383" s="496"/>
      <c r="N383" s="496"/>
      <c r="O383" s="496"/>
      <c r="P383" s="496"/>
      <c r="Q383" s="496"/>
      <c r="R383" s="496"/>
      <c r="S383" s="496"/>
      <c r="T383" s="496"/>
      <c r="U383" s="496"/>
    </row>
    <row r="384" spans="1:21" x14ac:dyDescent="0.2">
      <c r="A384" s="146"/>
      <c r="D384" s="496"/>
    </row>
    <row r="385" spans="1:21" x14ac:dyDescent="0.2">
      <c r="A385" s="146"/>
      <c r="D385" s="496"/>
    </row>
    <row r="386" spans="1:21" s="123" customFormat="1" x14ac:dyDescent="0.2">
      <c r="A386" s="146"/>
      <c r="B386" s="496"/>
      <c r="C386" s="496"/>
      <c r="D386" s="496"/>
      <c r="E386" s="496"/>
      <c r="F386" s="496"/>
      <c r="G386" s="496"/>
      <c r="H386" s="496"/>
      <c r="I386" s="496"/>
      <c r="J386" s="496"/>
      <c r="K386" s="496"/>
      <c r="L386" s="496"/>
      <c r="M386" s="496"/>
      <c r="N386" s="496"/>
      <c r="O386" s="496"/>
      <c r="P386" s="496"/>
      <c r="Q386" s="496"/>
      <c r="R386" s="496"/>
      <c r="S386" s="496"/>
      <c r="T386" s="496"/>
      <c r="U386" s="496"/>
    </row>
    <row r="387" spans="1:21" x14ac:dyDescent="0.2">
      <c r="A387" s="146"/>
      <c r="D387" s="496"/>
    </row>
    <row r="388" spans="1:21" x14ac:dyDescent="0.2">
      <c r="A388" s="146"/>
      <c r="D388" s="496"/>
    </row>
    <row r="389" spans="1:21" s="123" customFormat="1" x14ac:dyDescent="0.2">
      <c r="A389" s="146"/>
      <c r="B389" s="496"/>
      <c r="C389" s="496"/>
      <c r="D389" s="496"/>
      <c r="E389" s="496"/>
      <c r="F389" s="496"/>
      <c r="G389" s="496"/>
      <c r="H389" s="496"/>
      <c r="I389" s="496"/>
      <c r="J389" s="496"/>
      <c r="K389" s="496"/>
      <c r="L389" s="496"/>
      <c r="M389" s="496"/>
      <c r="N389" s="496"/>
      <c r="O389" s="496"/>
      <c r="P389" s="496"/>
      <c r="Q389" s="496"/>
      <c r="R389" s="496"/>
      <c r="S389" s="496"/>
      <c r="T389" s="496"/>
      <c r="U389" s="496"/>
    </row>
    <row r="390" spans="1:21" x14ac:dyDescent="0.2">
      <c r="A390" s="146"/>
      <c r="D390" s="496"/>
    </row>
    <row r="391" spans="1:21" x14ac:dyDescent="0.2">
      <c r="A391" s="146"/>
      <c r="D391" s="496"/>
    </row>
    <row r="392" spans="1:21" s="123" customFormat="1" x14ac:dyDescent="0.2">
      <c r="A392" s="146"/>
      <c r="B392" s="496"/>
      <c r="C392" s="496"/>
      <c r="D392" s="496"/>
      <c r="E392" s="496"/>
      <c r="F392" s="496"/>
      <c r="G392" s="496"/>
      <c r="H392" s="496"/>
      <c r="I392" s="496"/>
      <c r="J392" s="496"/>
      <c r="K392" s="496"/>
      <c r="L392" s="496"/>
      <c r="M392" s="496"/>
      <c r="N392" s="496"/>
      <c r="O392" s="496"/>
      <c r="P392" s="496"/>
      <c r="Q392" s="496"/>
      <c r="R392" s="496"/>
      <c r="S392" s="496"/>
      <c r="T392" s="496"/>
      <c r="U392" s="496"/>
    </row>
    <row r="393" spans="1:21" x14ac:dyDescent="0.2">
      <c r="A393" s="146"/>
      <c r="D393" s="496"/>
    </row>
    <row r="394" spans="1:21" x14ac:dyDescent="0.2">
      <c r="A394" s="146"/>
      <c r="D394" s="496"/>
    </row>
    <row r="395" spans="1:21" s="123" customFormat="1" x14ac:dyDescent="0.2">
      <c r="A395" s="146"/>
      <c r="B395" s="496"/>
      <c r="C395" s="496"/>
      <c r="D395" s="496"/>
      <c r="E395" s="496"/>
      <c r="F395" s="496"/>
      <c r="G395" s="496"/>
      <c r="H395" s="496"/>
      <c r="I395" s="496"/>
      <c r="J395" s="496"/>
      <c r="K395" s="496"/>
      <c r="L395" s="496"/>
      <c r="M395" s="496"/>
      <c r="N395" s="496"/>
      <c r="O395" s="496"/>
      <c r="P395" s="496"/>
      <c r="Q395" s="496"/>
      <c r="R395" s="496"/>
      <c r="S395" s="496"/>
      <c r="T395" s="496"/>
      <c r="U395" s="496"/>
    </row>
    <row r="396" spans="1:21" x14ac:dyDescent="0.2">
      <c r="A396" s="146"/>
      <c r="D396" s="496"/>
    </row>
    <row r="397" spans="1:21" x14ac:dyDescent="0.2">
      <c r="A397" s="146"/>
      <c r="D397" s="496"/>
    </row>
    <row r="398" spans="1:21" s="123" customFormat="1" x14ac:dyDescent="0.2">
      <c r="A398" s="146"/>
      <c r="B398" s="496"/>
      <c r="C398" s="496"/>
      <c r="D398" s="496"/>
      <c r="E398" s="496"/>
      <c r="F398" s="496"/>
      <c r="G398" s="496"/>
      <c r="H398" s="496"/>
      <c r="I398" s="496"/>
      <c r="J398" s="496"/>
      <c r="K398" s="496"/>
      <c r="L398" s="496"/>
      <c r="M398" s="496"/>
      <c r="N398" s="496"/>
      <c r="O398" s="496"/>
      <c r="P398" s="496"/>
      <c r="Q398" s="496"/>
      <c r="R398" s="496"/>
      <c r="S398" s="496"/>
      <c r="T398" s="496"/>
      <c r="U398" s="496"/>
    </row>
    <row r="399" spans="1:21" x14ac:dyDescent="0.2">
      <c r="A399" s="146"/>
      <c r="D399" s="496"/>
    </row>
    <row r="400" spans="1:21" x14ac:dyDescent="0.2">
      <c r="A400" s="146"/>
      <c r="D400" s="496"/>
    </row>
    <row r="401" spans="1:21" s="123" customFormat="1" x14ac:dyDescent="0.2">
      <c r="A401" s="146"/>
      <c r="B401" s="496"/>
      <c r="C401" s="496"/>
      <c r="D401" s="496"/>
      <c r="E401" s="496"/>
      <c r="F401" s="496"/>
      <c r="G401" s="496"/>
      <c r="H401" s="496"/>
      <c r="I401" s="496"/>
      <c r="J401" s="496"/>
      <c r="K401" s="496"/>
      <c r="L401" s="496"/>
      <c r="M401" s="496"/>
      <c r="N401" s="496"/>
      <c r="O401" s="496"/>
      <c r="P401" s="496"/>
      <c r="Q401" s="496"/>
      <c r="R401" s="496"/>
      <c r="S401" s="496"/>
      <c r="T401" s="496"/>
      <c r="U401" s="496"/>
    </row>
    <row r="402" spans="1:21" x14ac:dyDescent="0.2">
      <c r="A402" s="146"/>
      <c r="D402" s="496"/>
    </row>
    <row r="403" spans="1:21" x14ac:dyDescent="0.2">
      <c r="A403" s="146"/>
      <c r="D403" s="496"/>
    </row>
    <row r="404" spans="1:21" s="123" customFormat="1" x14ac:dyDescent="0.2">
      <c r="A404" s="146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</row>
    <row r="405" spans="1:21" x14ac:dyDescent="0.2">
      <c r="A405" s="146"/>
      <c r="D405" s="496"/>
    </row>
    <row r="406" spans="1:21" x14ac:dyDescent="0.2">
      <c r="A406" s="146"/>
      <c r="D406" s="496"/>
    </row>
    <row r="407" spans="1:21" s="123" customFormat="1" x14ac:dyDescent="0.2">
      <c r="A407" s="146"/>
      <c r="B407" s="496"/>
      <c r="C407" s="496"/>
      <c r="D407" s="496"/>
      <c r="E407" s="496"/>
      <c r="F407" s="496"/>
      <c r="G407" s="496"/>
      <c r="H407" s="496"/>
      <c r="I407" s="496"/>
      <c r="J407" s="496"/>
      <c r="K407" s="496"/>
      <c r="L407" s="496"/>
      <c r="M407" s="496"/>
      <c r="N407" s="496"/>
      <c r="O407" s="496"/>
      <c r="P407" s="496"/>
      <c r="Q407" s="496"/>
      <c r="R407" s="496"/>
      <c r="S407" s="496"/>
      <c r="T407" s="496"/>
      <c r="U407" s="496"/>
    </row>
    <row r="408" spans="1:21" x14ac:dyDescent="0.2">
      <c r="A408" s="146"/>
      <c r="D408" s="496"/>
    </row>
    <row r="409" spans="1:21" x14ac:dyDescent="0.2">
      <c r="A409" s="146"/>
      <c r="D409" s="496"/>
    </row>
    <row r="410" spans="1:21" s="123" customFormat="1" x14ac:dyDescent="0.2">
      <c r="A410" s="146"/>
      <c r="B410" s="496"/>
      <c r="C410" s="496"/>
      <c r="D410" s="496"/>
      <c r="E410" s="496"/>
      <c r="F410" s="496"/>
      <c r="G410" s="496"/>
      <c r="H410" s="496"/>
      <c r="I410" s="496"/>
      <c r="J410" s="496"/>
      <c r="K410" s="496"/>
      <c r="L410" s="496"/>
      <c r="M410" s="496"/>
      <c r="N410" s="496"/>
      <c r="O410" s="496"/>
      <c r="P410" s="496"/>
      <c r="Q410" s="496"/>
      <c r="R410" s="496"/>
      <c r="S410" s="496"/>
      <c r="T410" s="496"/>
      <c r="U410" s="496"/>
    </row>
    <row r="411" spans="1:21" x14ac:dyDescent="0.2">
      <c r="A411" s="146"/>
      <c r="D411" s="496"/>
    </row>
    <row r="412" spans="1:21" x14ac:dyDescent="0.2">
      <c r="A412" s="146"/>
      <c r="D412" s="496"/>
    </row>
    <row r="413" spans="1:21" s="123" customFormat="1" x14ac:dyDescent="0.2">
      <c r="A413" s="146"/>
      <c r="B413" s="496"/>
      <c r="C413" s="496"/>
      <c r="D413" s="496"/>
      <c r="E413" s="496"/>
      <c r="F413" s="496"/>
      <c r="G413" s="496"/>
      <c r="H413" s="496"/>
      <c r="I413" s="496"/>
      <c r="J413" s="496"/>
      <c r="K413" s="496"/>
      <c r="L413" s="496"/>
      <c r="M413" s="496"/>
      <c r="N413" s="496"/>
      <c r="O413" s="496"/>
      <c r="P413" s="496"/>
      <c r="Q413" s="496"/>
      <c r="R413" s="496"/>
      <c r="S413" s="496"/>
      <c r="T413" s="496"/>
      <c r="U413" s="496"/>
    </row>
    <row r="414" spans="1:21" x14ac:dyDescent="0.2">
      <c r="A414" s="146"/>
      <c r="D414" s="496"/>
    </row>
    <row r="415" spans="1:21" x14ac:dyDescent="0.2">
      <c r="A415" s="146"/>
      <c r="D415" s="496"/>
    </row>
    <row r="416" spans="1:21" s="123" customFormat="1" x14ac:dyDescent="0.2">
      <c r="A416" s="146"/>
      <c r="B416" s="496"/>
      <c r="C416" s="496"/>
      <c r="D416" s="496"/>
      <c r="E416" s="496"/>
      <c r="F416" s="496"/>
      <c r="G416" s="496"/>
      <c r="H416" s="496"/>
      <c r="I416" s="496"/>
      <c r="J416" s="496"/>
      <c r="K416" s="496"/>
      <c r="L416" s="496"/>
      <c r="M416" s="496"/>
      <c r="N416" s="496"/>
      <c r="O416" s="496"/>
      <c r="P416" s="496"/>
      <c r="Q416" s="496"/>
      <c r="R416" s="496"/>
      <c r="S416" s="496"/>
      <c r="T416" s="496"/>
      <c r="U416" s="496"/>
    </row>
    <row r="417" spans="1:21" x14ac:dyDescent="0.2">
      <c r="A417" s="146"/>
      <c r="D417" s="496"/>
    </row>
    <row r="418" spans="1:21" x14ac:dyDescent="0.2">
      <c r="A418" s="146"/>
      <c r="D418" s="496"/>
    </row>
    <row r="419" spans="1:21" s="123" customFormat="1" x14ac:dyDescent="0.2">
      <c r="A419" s="146"/>
      <c r="B419" s="496"/>
      <c r="C419" s="496"/>
      <c r="D419" s="496"/>
      <c r="E419" s="496"/>
      <c r="F419" s="496"/>
      <c r="G419" s="496"/>
      <c r="H419" s="496"/>
      <c r="I419" s="496"/>
      <c r="J419" s="496"/>
      <c r="K419" s="496"/>
      <c r="L419" s="496"/>
      <c r="M419" s="496"/>
      <c r="N419" s="496"/>
      <c r="O419" s="496"/>
      <c r="P419" s="496"/>
      <c r="Q419" s="496"/>
      <c r="R419" s="496"/>
      <c r="S419" s="496"/>
      <c r="T419" s="496"/>
      <c r="U419" s="496"/>
    </row>
    <row r="420" spans="1:21" x14ac:dyDescent="0.2">
      <c r="A420" s="146"/>
      <c r="D420" s="496"/>
    </row>
    <row r="421" spans="1:21" x14ac:dyDescent="0.2">
      <c r="A421" s="146"/>
      <c r="D421" s="496"/>
    </row>
    <row r="422" spans="1:21" s="123" customFormat="1" x14ac:dyDescent="0.2">
      <c r="A422" s="146"/>
      <c r="B422" s="496"/>
      <c r="C422" s="496"/>
      <c r="D422" s="496"/>
      <c r="E422" s="496"/>
      <c r="F422" s="496"/>
      <c r="G422" s="496"/>
      <c r="H422" s="496"/>
      <c r="I422" s="496"/>
      <c r="J422" s="496"/>
      <c r="K422" s="496"/>
      <c r="L422" s="496"/>
      <c r="M422" s="496"/>
      <c r="N422" s="496"/>
      <c r="O422" s="496"/>
      <c r="P422" s="496"/>
      <c r="Q422" s="496"/>
      <c r="R422" s="496"/>
      <c r="S422" s="496"/>
      <c r="T422" s="496"/>
      <c r="U422" s="496"/>
    </row>
    <row r="423" spans="1:21" x14ac:dyDescent="0.2">
      <c r="A423" s="146"/>
      <c r="D423" s="496"/>
    </row>
    <row r="424" spans="1:21" x14ac:dyDescent="0.2">
      <c r="A424" s="146"/>
      <c r="D424" s="496"/>
    </row>
    <row r="425" spans="1:21" s="123" customFormat="1" x14ac:dyDescent="0.2">
      <c r="A425" s="146"/>
      <c r="B425" s="496"/>
      <c r="C425" s="496"/>
      <c r="D425" s="496"/>
      <c r="E425" s="496"/>
      <c r="F425" s="496"/>
      <c r="G425" s="496"/>
      <c r="H425" s="496"/>
      <c r="I425" s="496"/>
      <c r="J425" s="496"/>
      <c r="K425" s="496"/>
      <c r="L425" s="496"/>
      <c r="M425" s="496"/>
      <c r="N425" s="496"/>
      <c r="O425" s="496"/>
      <c r="P425" s="496"/>
      <c r="Q425" s="496"/>
      <c r="R425" s="496"/>
      <c r="S425" s="496"/>
      <c r="T425" s="496"/>
      <c r="U425" s="496"/>
    </row>
    <row r="426" spans="1:21" x14ac:dyDescent="0.2">
      <c r="A426" s="146"/>
      <c r="D426" s="496"/>
    </row>
    <row r="427" spans="1:21" x14ac:dyDescent="0.2">
      <c r="A427" s="146"/>
      <c r="D427" s="496"/>
    </row>
    <row r="428" spans="1:21" s="123" customFormat="1" x14ac:dyDescent="0.2">
      <c r="A428" s="146"/>
      <c r="B428" s="496"/>
      <c r="C428" s="496"/>
      <c r="D428" s="496"/>
      <c r="E428" s="496"/>
      <c r="F428" s="496"/>
      <c r="G428" s="496"/>
      <c r="H428" s="496"/>
      <c r="I428" s="496"/>
      <c r="J428" s="496"/>
      <c r="K428" s="496"/>
      <c r="L428" s="496"/>
      <c r="M428" s="496"/>
      <c r="N428" s="496"/>
      <c r="O428" s="496"/>
      <c r="P428" s="496"/>
      <c r="Q428" s="496"/>
      <c r="R428" s="496"/>
      <c r="S428" s="496"/>
      <c r="T428" s="496"/>
      <c r="U428" s="496"/>
    </row>
    <row r="429" spans="1:21" x14ac:dyDescent="0.2">
      <c r="A429" s="146"/>
      <c r="D429" s="496"/>
    </row>
    <row r="430" spans="1:21" x14ac:dyDescent="0.2">
      <c r="A430" s="146"/>
      <c r="D430" s="496"/>
    </row>
    <row r="431" spans="1:21" s="123" customFormat="1" x14ac:dyDescent="0.2">
      <c r="A431" s="146"/>
      <c r="B431" s="496"/>
      <c r="C431" s="496"/>
      <c r="D431" s="496"/>
      <c r="E431" s="496"/>
      <c r="F431" s="496"/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/>
      <c r="T431" s="496"/>
      <c r="U431" s="496"/>
    </row>
    <row r="432" spans="1:21" x14ac:dyDescent="0.2">
      <c r="A432" s="146"/>
      <c r="D432" s="496"/>
    </row>
    <row r="433" spans="1:21" x14ac:dyDescent="0.2">
      <c r="A433" s="146"/>
      <c r="D433" s="496"/>
    </row>
    <row r="434" spans="1:21" s="123" customFormat="1" x14ac:dyDescent="0.2">
      <c r="A434" s="146"/>
      <c r="B434" s="496"/>
      <c r="C434" s="496"/>
      <c r="D434" s="496"/>
      <c r="E434" s="496"/>
      <c r="F434" s="496"/>
      <c r="G434" s="496"/>
      <c r="H434" s="496"/>
      <c r="I434" s="496"/>
      <c r="J434" s="496"/>
      <c r="K434" s="496"/>
      <c r="L434" s="496"/>
      <c r="M434" s="496"/>
      <c r="N434" s="496"/>
      <c r="O434" s="496"/>
      <c r="P434" s="496"/>
      <c r="Q434" s="496"/>
      <c r="R434" s="496"/>
      <c r="S434" s="496"/>
      <c r="T434" s="496"/>
      <c r="U434" s="496"/>
    </row>
    <row r="435" spans="1:21" x14ac:dyDescent="0.2">
      <c r="A435" s="146"/>
      <c r="D435" s="496"/>
    </row>
    <row r="436" spans="1:21" x14ac:dyDescent="0.2">
      <c r="A436" s="146"/>
      <c r="D436" s="496"/>
    </row>
    <row r="437" spans="1:21" s="123" customFormat="1" x14ac:dyDescent="0.2">
      <c r="A437" s="146"/>
      <c r="B437" s="496"/>
      <c r="C437" s="496"/>
      <c r="D437" s="496"/>
      <c r="E437" s="496"/>
      <c r="F437" s="496"/>
      <c r="G437" s="496"/>
      <c r="H437" s="496"/>
      <c r="I437" s="496"/>
      <c r="J437" s="496"/>
      <c r="K437" s="496"/>
      <c r="L437" s="496"/>
      <c r="M437" s="496"/>
      <c r="N437" s="496"/>
      <c r="O437" s="496"/>
      <c r="P437" s="496"/>
      <c r="Q437" s="496"/>
      <c r="R437" s="496"/>
      <c r="S437" s="496"/>
      <c r="T437" s="496"/>
      <c r="U437" s="496"/>
    </row>
    <row r="438" spans="1:21" x14ac:dyDescent="0.2">
      <c r="A438" s="146"/>
      <c r="D438" s="496"/>
    </row>
    <row r="439" spans="1:21" x14ac:dyDescent="0.2">
      <c r="A439" s="146"/>
      <c r="D439" s="496"/>
    </row>
    <row r="440" spans="1:21" s="123" customFormat="1" x14ac:dyDescent="0.2">
      <c r="A440" s="146"/>
      <c r="B440" s="496"/>
      <c r="C440" s="496"/>
      <c r="D440" s="496"/>
      <c r="E440" s="496"/>
      <c r="F440" s="496"/>
      <c r="G440" s="496"/>
      <c r="H440" s="496"/>
      <c r="I440" s="496"/>
      <c r="J440" s="496"/>
      <c r="K440" s="496"/>
      <c r="L440" s="496"/>
      <c r="M440" s="496"/>
      <c r="N440" s="496"/>
      <c r="O440" s="496"/>
      <c r="P440" s="496"/>
      <c r="Q440" s="496"/>
      <c r="R440" s="496"/>
      <c r="S440" s="496"/>
      <c r="T440" s="496"/>
      <c r="U440" s="496"/>
    </row>
    <row r="441" spans="1:21" x14ac:dyDescent="0.2">
      <c r="A441" s="146"/>
      <c r="D441" s="496"/>
    </row>
    <row r="442" spans="1:21" x14ac:dyDescent="0.2">
      <c r="A442" s="146"/>
      <c r="D442" s="496"/>
    </row>
    <row r="443" spans="1:21" s="123" customFormat="1" x14ac:dyDescent="0.2">
      <c r="A443" s="146"/>
      <c r="B443" s="496"/>
      <c r="C443" s="496"/>
      <c r="D443" s="496"/>
      <c r="E443" s="496"/>
      <c r="F443" s="496"/>
      <c r="G443" s="496"/>
      <c r="H443" s="496"/>
      <c r="I443" s="496"/>
      <c r="J443" s="496"/>
      <c r="K443" s="496"/>
      <c r="L443" s="496"/>
      <c r="M443" s="496"/>
      <c r="N443" s="496"/>
      <c r="O443" s="496"/>
      <c r="P443" s="496"/>
      <c r="Q443" s="496"/>
      <c r="R443" s="496"/>
      <c r="S443" s="496"/>
      <c r="T443" s="496"/>
      <c r="U443" s="496"/>
    </row>
    <row r="444" spans="1:21" x14ac:dyDescent="0.2">
      <c r="A444" s="146"/>
      <c r="D444" s="496"/>
    </row>
    <row r="445" spans="1:21" x14ac:dyDescent="0.2">
      <c r="A445" s="146"/>
      <c r="D445" s="496"/>
    </row>
    <row r="446" spans="1:21" s="123" customFormat="1" x14ac:dyDescent="0.2">
      <c r="A446" s="146"/>
      <c r="B446" s="496"/>
      <c r="C446" s="496"/>
      <c r="D446" s="496"/>
      <c r="E446" s="496"/>
      <c r="F446" s="496"/>
      <c r="G446" s="496"/>
      <c r="H446" s="496"/>
      <c r="I446" s="496"/>
      <c r="J446" s="496"/>
      <c r="K446" s="496"/>
      <c r="L446" s="496"/>
      <c r="M446" s="496"/>
      <c r="N446" s="496"/>
      <c r="O446" s="496"/>
      <c r="P446" s="496"/>
      <c r="Q446" s="496"/>
      <c r="R446" s="496"/>
      <c r="S446" s="496"/>
      <c r="T446" s="496"/>
      <c r="U446" s="496"/>
    </row>
    <row r="447" spans="1:21" x14ac:dyDescent="0.2">
      <c r="A447" s="146"/>
      <c r="D447" s="496"/>
    </row>
    <row r="448" spans="1:21" x14ac:dyDescent="0.2">
      <c r="A448" s="146"/>
      <c r="D448" s="496"/>
    </row>
    <row r="449" spans="1:21" s="123" customFormat="1" x14ac:dyDescent="0.2">
      <c r="A449" s="146"/>
      <c r="B449" s="496"/>
      <c r="C449" s="496"/>
      <c r="D449" s="496"/>
      <c r="E449" s="496"/>
      <c r="F449" s="496"/>
      <c r="G449" s="496"/>
      <c r="H449" s="496"/>
      <c r="I449" s="496"/>
      <c r="J449" s="496"/>
      <c r="K449" s="496"/>
      <c r="L449" s="496"/>
      <c r="M449" s="496"/>
      <c r="N449" s="496"/>
      <c r="O449" s="496"/>
      <c r="P449" s="496"/>
      <c r="Q449" s="496"/>
      <c r="R449" s="496"/>
      <c r="S449" s="496"/>
      <c r="T449" s="496"/>
      <c r="U449" s="496"/>
    </row>
    <row r="450" spans="1:21" x14ac:dyDescent="0.2">
      <c r="A450" s="146"/>
      <c r="D450" s="496"/>
    </row>
    <row r="451" spans="1:21" x14ac:dyDescent="0.2">
      <c r="A451" s="146"/>
      <c r="D451" s="496"/>
    </row>
    <row r="452" spans="1:21" s="123" customFormat="1" x14ac:dyDescent="0.2">
      <c r="A452" s="146"/>
      <c r="B452" s="496"/>
      <c r="C452" s="496"/>
      <c r="D452" s="496"/>
      <c r="E452" s="496"/>
      <c r="F452" s="496"/>
      <c r="G452" s="496"/>
      <c r="H452" s="496"/>
      <c r="I452" s="496"/>
      <c r="J452" s="496"/>
      <c r="K452" s="496"/>
      <c r="L452" s="496"/>
      <c r="M452" s="496"/>
      <c r="N452" s="496"/>
      <c r="O452" s="496"/>
      <c r="P452" s="496"/>
      <c r="Q452" s="496"/>
      <c r="R452" s="496"/>
      <c r="S452" s="496"/>
      <c r="T452" s="496"/>
      <c r="U452" s="496"/>
    </row>
    <row r="453" spans="1:21" x14ac:dyDescent="0.2">
      <c r="A453" s="146"/>
      <c r="D453" s="496"/>
    </row>
    <row r="454" spans="1:21" x14ac:dyDescent="0.2">
      <c r="A454" s="146"/>
      <c r="D454" s="496"/>
    </row>
    <row r="455" spans="1:21" s="123" customFormat="1" x14ac:dyDescent="0.2">
      <c r="A455" s="146"/>
      <c r="B455" s="496"/>
      <c r="C455" s="496"/>
      <c r="D455" s="496"/>
      <c r="E455" s="496"/>
      <c r="F455" s="496"/>
      <c r="G455" s="496"/>
      <c r="H455" s="496"/>
      <c r="I455" s="496"/>
      <c r="J455" s="496"/>
      <c r="K455" s="496"/>
      <c r="L455" s="496"/>
      <c r="M455" s="496"/>
      <c r="N455" s="496"/>
      <c r="O455" s="496"/>
      <c r="P455" s="496"/>
      <c r="Q455" s="496"/>
      <c r="R455" s="496"/>
      <c r="S455" s="496"/>
      <c r="T455" s="496"/>
      <c r="U455" s="496"/>
    </row>
    <row r="456" spans="1:21" x14ac:dyDescent="0.2">
      <c r="A456" s="146"/>
      <c r="D456" s="496"/>
    </row>
    <row r="457" spans="1:21" x14ac:dyDescent="0.2">
      <c r="A457" s="146"/>
      <c r="D457" s="496"/>
    </row>
    <row r="458" spans="1:21" s="123" customFormat="1" x14ac:dyDescent="0.2">
      <c r="A458" s="146"/>
      <c r="B458" s="496"/>
      <c r="C458" s="496"/>
      <c r="D458" s="496"/>
      <c r="E458" s="496"/>
      <c r="F458" s="496"/>
      <c r="G458" s="496"/>
      <c r="H458" s="496"/>
      <c r="I458" s="496"/>
      <c r="J458" s="496"/>
      <c r="K458" s="496"/>
      <c r="L458" s="496"/>
      <c r="M458" s="496"/>
      <c r="N458" s="496"/>
      <c r="O458" s="496"/>
      <c r="P458" s="496"/>
      <c r="Q458" s="496"/>
      <c r="R458" s="496"/>
      <c r="S458" s="496"/>
      <c r="T458" s="496"/>
      <c r="U458" s="496"/>
    </row>
    <row r="459" spans="1:21" x14ac:dyDescent="0.2">
      <c r="A459" s="146"/>
      <c r="D459" s="496"/>
    </row>
    <row r="460" spans="1:21" x14ac:dyDescent="0.2">
      <c r="A460" s="146"/>
      <c r="D460" s="496"/>
    </row>
    <row r="461" spans="1:21" s="123" customFormat="1" x14ac:dyDescent="0.2">
      <c r="A461" s="146"/>
      <c r="B461" s="496"/>
      <c r="C461" s="496"/>
      <c r="D461" s="496"/>
      <c r="E461" s="496"/>
      <c r="F461" s="496"/>
      <c r="G461" s="496"/>
      <c r="H461" s="496"/>
      <c r="I461" s="496"/>
      <c r="J461" s="496"/>
      <c r="K461" s="496"/>
      <c r="L461" s="496"/>
      <c r="M461" s="496"/>
      <c r="N461" s="496"/>
      <c r="O461" s="496"/>
      <c r="P461" s="496"/>
      <c r="Q461" s="496"/>
      <c r="R461" s="496"/>
      <c r="S461" s="496"/>
      <c r="T461" s="496"/>
      <c r="U461" s="496"/>
    </row>
    <row r="462" spans="1:21" x14ac:dyDescent="0.2">
      <c r="A462" s="146"/>
      <c r="D462" s="496"/>
    </row>
    <row r="463" spans="1:21" x14ac:dyDescent="0.2">
      <c r="A463" s="146"/>
      <c r="D463" s="496"/>
    </row>
    <row r="464" spans="1:21" s="123" customFormat="1" x14ac:dyDescent="0.2">
      <c r="A464" s="146"/>
      <c r="B464" s="496"/>
      <c r="C464" s="496"/>
      <c r="D464" s="496"/>
      <c r="E464" s="496"/>
      <c r="F464" s="496"/>
      <c r="G464" s="496"/>
      <c r="H464" s="496"/>
      <c r="I464" s="496"/>
      <c r="J464" s="496"/>
      <c r="K464" s="496"/>
      <c r="L464" s="496"/>
      <c r="M464" s="496"/>
      <c r="N464" s="496"/>
      <c r="O464" s="496"/>
      <c r="P464" s="496"/>
      <c r="Q464" s="496"/>
      <c r="R464" s="496"/>
      <c r="S464" s="496"/>
      <c r="T464" s="496"/>
      <c r="U464" s="496"/>
    </row>
    <row r="465" spans="1:21" x14ac:dyDescent="0.2">
      <c r="A465" s="146"/>
      <c r="D465" s="496"/>
    </row>
    <row r="466" spans="1:21" x14ac:dyDescent="0.2">
      <c r="A466" s="146"/>
      <c r="D466" s="496"/>
    </row>
    <row r="467" spans="1:21" s="123" customFormat="1" x14ac:dyDescent="0.2">
      <c r="A467" s="146"/>
      <c r="B467" s="496"/>
      <c r="C467" s="496"/>
      <c r="D467" s="496"/>
      <c r="E467" s="496"/>
      <c r="F467" s="496"/>
      <c r="G467" s="496"/>
      <c r="H467" s="496"/>
      <c r="I467" s="496"/>
      <c r="J467" s="496"/>
      <c r="K467" s="496"/>
      <c r="L467" s="496"/>
      <c r="M467" s="496"/>
      <c r="N467" s="496"/>
      <c r="O467" s="496"/>
      <c r="P467" s="496"/>
      <c r="Q467" s="496"/>
      <c r="R467" s="496"/>
      <c r="S467" s="496"/>
      <c r="T467" s="496"/>
      <c r="U467" s="496"/>
    </row>
    <row r="468" spans="1:21" x14ac:dyDescent="0.2">
      <c r="A468" s="146"/>
      <c r="D468" s="496"/>
    </row>
    <row r="469" spans="1:21" x14ac:dyDescent="0.2">
      <c r="A469" s="146"/>
      <c r="D469" s="496"/>
    </row>
    <row r="470" spans="1:21" s="123" customFormat="1" x14ac:dyDescent="0.2">
      <c r="A470" s="146"/>
      <c r="B470" s="496"/>
      <c r="C470" s="496"/>
      <c r="D470" s="496"/>
      <c r="E470" s="496"/>
      <c r="F470" s="496"/>
      <c r="G470" s="496"/>
      <c r="H470" s="496"/>
      <c r="I470" s="496"/>
      <c r="J470" s="496"/>
      <c r="K470" s="496"/>
      <c r="L470" s="496"/>
      <c r="M470" s="496"/>
      <c r="N470" s="496"/>
      <c r="O470" s="496"/>
      <c r="P470" s="496"/>
      <c r="Q470" s="496"/>
      <c r="R470" s="496"/>
      <c r="S470" s="496"/>
      <c r="T470" s="496"/>
      <c r="U470" s="496"/>
    </row>
    <row r="471" spans="1:21" x14ac:dyDescent="0.2">
      <c r="A471" s="146"/>
      <c r="D471" s="496"/>
    </row>
    <row r="472" spans="1:21" x14ac:dyDescent="0.2">
      <c r="A472" s="146"/>
      <c r="D472" s="496"/>
    </row>
    <row r="473" spans="1:21" s="123" customFormat="1" x14ac:dyDescent="0.2">
      <c r="A473" s="146"/>
      <c r="B473" s="496"/>
      <c r="C473" s="496"/>
      <c r="D473" s="496"/>
      <c r="E473" s="496"/>
      <c r="F473" s="496"/>
      <c r="G473" s="496"/>
      <c r="H473" s="496"/>
      <c r="I473" s="496"/>
      <c r="J473" s="496"/>
      <c r="K473" s="496"/>
      <c r="L473" s="496"/>
      <c r="M473" s="496"/>
      <c r="N473" s="496"/>
      <c r="O473" s="496"/>
      <c r="P473" s="496"/>
      <c r="Q473" s="496"/>
      <c r="R473" s="496"/>
      <c r="S473" s="496"/>
      <c r="T473" s="496"/>
      <c r="U473" s="496"/>
    </row>
    <row r="474" spans="1:21" x14ac:dyDescent="0.2">
      <c r="A474" s="146"/>
      <c r="D474" s="496"/>
    </row>
    <row r="475" spans="1:21" x14ac:dyDescent="0.2">
      <c r="A475" s="146"/>
      <c r="D475" s="496"/>
    </row>
    <row r="476" spans="1:21" s="123" customFormat="1" x14ac:dyDescent="0.2">
      <c r="A476" s="146"/>
      <c r="B476" s="496"/>
      <c r="C476" s="496"/>
      <c r="D476" s="496"/>
      <c r="E476" s="496"/>
      <c r="F476" s="496"/>
      <c r="G476" s="496"/>
      <c r="H476" s="496"/>
      <c r="I476" s="496"/>
      <c r="J476" s="496"/>
      <c r="K476" s="496"/>
      <c r="L476" s="496"/>
      <c r="M476" s="496"/>
      <c r="N476" s="496"/>
      <c r="O476" s="496"/>
      <c r="P476" s="496"/>
      <c r="Q476" s="496"/>
      <c r="R476" s="496"/>
      <c r="S476" s="496"/>
      <c r="T476" s="496"/>
      <c r="U476" s="496"/>
    </row>
    <row r="477" spans="1:21" x14ac:dyDescent="0.2">
      <c r="A477" s="146"/>
      <c r="D477" s="496"/>
    </row>
    <row r="478" spans="1:21" x14ac:dyDescent="0.2">
      <c r="A478" s="146"/>
      <c r="D478" s="496"/>
    </row>
    <row r="479" spans="1:21" s="123" customFormat="1" x14ac:dyDescent="0.2">
      <c r="A479" s="146"/>
      <c r="B479" s="496"/>
      <c r="C479" s="496"/>
      <c r="D479" s="496"/>
      <c r="E479" s="496"/>
      <c r="F479" s="496"/>
      <c r="G479" s="496"/>
      <c r="H479" s="496"/>
      <c r="I479" s="496"/>
      <c r="J479" s="496"/>
      <c r="K479" s="496"/>
      <c r="L479" s="496"/>
      <c r="M479" s="496"/>
      <c r="N479" s="496"/>
      <c r="O479" s="496"/>
      <c r="P479" s="496"/>
      <c r="Q479" s="496"/>
      <c r="R479" s="496"/>
      <c r="S479" s="496"/>
      <c r="T479" s="496"/>
      <c r="U479" s="496"/>
    </row>
    <row r="480" spans="1:21" x14ac:dyDescent="0.2">
      <c r="A480" s="146"/>
      <c r="D480" s="496"/>
    </row>
    <row r="481" spans="1:21" x14ac:dyDescent="0.2">
      <c r="A481" s="146"/>
      <c r="D481" s="496"/>
    </row>
    <row r="482" spans="1:21" s="123" customFormat="1" x14ac:dyDescent="0.2">
      <c r="A482" s="146"/>
      <c r="B482" s="496"/>
      <c r="C482" s="496"/>
      <c r="D482" s="496"/>
      <c r="E482" s="496"/>
      <c r="F482" s="496"/>
      <c r="G482" s="496"/>
      <c r="H482" s="496"/>
      <c r="I482" s="496"/>
      <c r="J482" s="496"/>
      <c r="K482" s="496"/>
      <c r="L482" s="496"/>
      <c r="M482" s="496"/>
      <c r="N482" s="496"/>
      <c r="O482" s="496"/>
      <c r="P482" s="496"/>
      <c r="Q482" s="496"/>
      <c r="R482" s="496"/>
      <c r="S482" s="496"/>
      <c r="T482" s="496"/>
      <c r="U482" s="496"/>
    </row>
    <row r="483" spans="1:21" x14ac:dyDescent="0.2">
      <c r="A483" s="146"/>
      <c r="D483" s="496"/>
    </row>
    <row r="484" spans="1:21" x14ac:dyDescent="0.2">
      <c r="A484" s="146"/>
      <c r="D484" s="496"/>
    </row>
    <row r="485" spans="1:21" s="123" customFormat="1" x14ac:dyDescent="0.2">
      <c r="A485" s="146"/>
      <c r="B485" s="496"/>
      <c r="C485" s="496"/>
      <c r="D485" s="496"/>
      <c r="E485" s="496"/>
      <c r="F485" s="496"/>
      <c r="G485" s="496"/>
      <c r="H485" s="496"/>
      <c r="I485" s="496"/>
      <c r="J485" s="496"/>
      <c r="K485" s="496"/>
      <c r="L485" s="496"/>
      <c r="M485" s="496"/>
      <c r="N485" s="496"/>
      <c r="O485" s="496"/>
      <c r="P485" s="496"/>
      <c r="Q485" s="496"/>
      <c r="R485" s="496"/>
      <c r="S485" s="496"/>
      <c r="T485" s="496"/>
      <c r="U485" s="496"/>
    </row>
    <row r="486" spans="1:21" x14ac:dyDescent="0.2">
      <c r="A486" s="146"/>
      <c r="D486" s="496"/>
    </row>
    <row r="487" spans="1:21" x14ac:dyDescent="0.2">
      <c r="A487" s="146"/>
      <c r="D487" s="496"/>
    </row>
    <row r="488" spans="1:21" s="123" customFormat="1" x14ac:dyDescent="0.2">
      <c r="A488" s="146"/>
      <c r="B488" s="496"/>
      <c r="C488" s="496"/>
      <c r="D488" s="496"/>
      <c r="E488" s="496"/>
      <c r="F488" s="496"/>
      <c r="G488" s="496"/>
      <c r="H488" s="496"/>
      <c r="I488" s="496"/>
      <c r="J488" s="496"/>
      <c r="K488" s="496"/>
      <c r="L488" s="496"/>
      <c r="M488" s="496"/>
      <c r="N488" s="496"/>
      <c r="O488" s="496"/>
      <c r="P488" s="496"/>
      <c r="Q488" s="496"/>
      <c r="R488" s="496"/>
      <c r="S488" s="496"/>
      <c r="T488" s="496"/>
      <c r="U488" s="496"/>
    </row>
    <row r="489" spans="1:21" x14ac:dyDescent="0.2">
      <c r="A489" s="146"/>
      <c r="D489" s="496"/>
    </row>
    <row r="490" spans="1:21" x14ac:dyDescent="0.2">
      <c r="A490" s="146"/>
      <c r="D490" s="496"/>
    </row>
    <row r="491" spans="1:21" s="123" customFormat="1" x14ac:dyDescent="0.2">
      <c r="A491" s="146"/>
      <c r="B491" s="496"/>
      <c r="C491" s="496"/>
      <c r="D491" s="496"/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496"/>
      <c r="R491" s="496"/>
      <c r="S491" s="496"/>
      <c r="T491" s="496"/>
      <c r="U491" s="496"/>
    </row>
    <row r="492" spans="1:21" x14ac:dyDescent="0.2">
      <c r="A492" s="146"/>
      <c r="D492" s="496"/>
    </row>
    <row r="493" spans="1:21" x14ac:dyDescent="0.2">
      <c r="A493" s="146"/>
      <c r="D493" s="496"/>
    </row>
    <row r="494" spans="1:21" s="123" customFormat="1" x14ac:dyDescent="0.2">
      <c r="A494" s="146"/>
      <c r="B494" s="496"/>
      <c r="C494" s="496"/>
      <c r="D494" s="496"/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496"/>
      <c r="R494" s="496"/>
      <c r="S494" s="496"/>
      <c r="T494" s="496"/>
      <c r="U494" s="496"/>
    </row>
    <row r="495" spans="1:21" x14ac:dyDescent="0.2">
      <c r="A495" s="146"/>
      <c r="D495" s="496"/>
    </row>
    <row r="496" spans="1:21" x14ac:dyDescent="0.2">
      <c r="A496" s="146"/>
      <c r="D496" s="496"/>
    </row>
    <row r="497" spans="1:21" s="123" customFormat="1" x14ac:dyDescent="0.2">
      <c r="A497" s="146"/>
      <c r="B497" s="496"/>
      <c r="C497" s="496"/>
      <c r="D497" s="496"/>
      <c r="E497" s="496"/>
      <c r="F497" s="496"/>
      <c r="G497" s="496"/>
      <c r="H497" s="496"/>
      <c r="I497" s="496"/>
      <c r="J497" s="496"/>
      <c r="K497" s="496"/>
      <c r="L497" s="496"/>
      <c r="M497" s="496"/>
      <c r="N497" s="496"/>
      <c r="O497" s="496"/>
      <c r="P497" s="496"/>
      <c r="Q497" s="496"/>
      <c r="R497" s="496"/>
      <c r="S497" s="496"/>
      <c r="T497" s="496"/>
      <c r="U497" s="496"/>
    </row>
    <row r="498" spans="1:21" x14ac:dyDescent="0.2">
      <c r="A498" s="146"/>
      <c r="D498" s="496"/>
    </row>
    <row r="499" spans="1:21" x14ac:dyDescent="0.2">
      <c r="A499" s="146"/>
      <c r="D499" s="496"/>
    </row>
    <row r="500" spans="1:21" s="123" customFormat="1" x14ac:dyDescent="0.2">
      <c r="A500" s="146"/>
      <c r="B500" s="496"/>
      <c r="C500" s="496"/>
      <c r="D500" s="496"/>
      <c r="E500" s="496"/>
      <c r="F500" s="496"/>
      <c r="G500" s="496"/>
      <c r="H500" s="496"/>
      <c r="I500" s="496"/>
      <c r="J500" s="496"/>
      <c r="K500" s="496"/>
      <c r="L500" s="496"/>
      <c r="M500" s="496"/>
      <c r="N500" s="496"/>
      <c r="O500" s="496"/>
      <c r="P500" s="496"/>
      <c r="Q500" s="496"/>
      <c r="R500" s="496"/>
      <c r="S500" s="496"/>
      <c r="T500" s="496"/>
      <c r="U500" s="496"/>
    </row>
    <row r="501" spans="1:21" x14ac:dyDescent="0.2">
      <c r="A501" s="146"/>
      <c r="D501" s="496"/>
    </row>
    <row r="502" spans="1:21" x14ac:dyDescent="0.2">
      <c r="A502" s="146"/>
      <c r="D502" s="496"/>
    </row>
    <row r="503" spans="1:21" s="123" customFormat="1" x14ac:dyDescent="0.2">
      <c r="A503" s="146"/>
      <c r="B503" s="496"/>
      <c r="C503" s="496"/>
      <c r="D503" s="496"/>
      <c r="E503" s="496"/>
      <c r="F503" s="496"/>
      <c r="G503" s="496"/>
      <c r="H503" s="496"/>
      <c r="I503" s="496"/>
      <c r="J503" s="496"/>
      <c r="K503" s="496"/>
      <c r="L503" s="496"/>
      <c r="M503" s="496"/>
      <c r="N503" s="496"/>
      <c r="O503" s="496"/>
      <c r="P503" s="496"/>
      <c r="Q503" s="496"/>
      <c r="R503" s="496"/>
      <c r="S503" s="496"/>
      <c r="T503" s="496"/>
      <c r="U503" s="496"/>
    </row>
    <row r="504" spans="1:21" x14ac:dyDescent="0.2">
      <c r="A504" s="146"/>
      <c r="D504" s="496"/>
    </row>
    <row r="505" spans="1:21" x14ac:dyDescent="0.2">
      <c r="A505" s="146"/>
      <c r="D505" s="496"/>
    </row>
    <row r="506" spans="1:21" s="123" customFormat="1" x14ac:dyDescent="0.2">
      <c r="A506" s="146"/>
      <c r="B506" s="496"/>
      <c r="C506" s="496"/>
      <c r="D506" s="496"/>
      <c r="E506" s="496"/>
      <c r="F506" s="496"/>
      <c r="G506" s="496"/>
      <c r="H506" s="496"/>
      <c r="I506" s="496"/>
      <c r="J506" s="496"/>
      <c r="K506" s="496"/>
      <c r="L506" s="496"/>
      <c r="M506" s="496"/>
      <c r="N506" s="496"/>
      <c r="O506" s="496"/>
      <c r="P506" s="496"/>
      <c r="Q506" s="496"/>
      <c r="R506" s="496"/>
      <c r="S506" s="496"/>
      <c r="T506" s="496"/>
      <c r="U506" s="496"/>
    </row>
    <row r="507" spans="1:21" x14ac:dyDescent="0.2">
      <c r="A507" s="146"/>
      <c r="D507" s="496"/>
    </row>
    <row r="508" spans="1:21" x14ac:dyDescent="0.2">
      <c r="A508" s="146"/>
      <c r="D508" s="496"/>
    </row>
    <row r="509" spans="1:21" s="123" customFormat="1" x14ac:dyDescent="0.2">
      <c r="A509" s="146"/>
      <c r="B509" s="496"/>
      <c r="C509" s="496"/>
      <c r="D509" s="496"/>
      <c r="E509" s="496"/>
      <c r="F509" s="496"/>
      <c r="G509" s="496"/>
      <c r="H509" s="496"/>
      <c r="I509" s="496"/>
      <c r="J509" s="496"/>
      <c r="K509" s="496"/>
      <c r="L509" s="496"/>
      <c r="M509" s="496"/>
      <c r="N509" s="496"/>
      <c r="O509" s="496"/>
      <c r="P509" s="496"/>
      <c r="Q509" s="496"/>
      <c r="R509" s="496"/>
      <c r="S509" s="496"/>
      <c r="T509" s="496"/>
      <c r="U509" s="496"/>
    </row>
    <row r="510" spans="1:21" x14ac:dyDescent="0.2">
      <c r="A510" s="146"/>
      <c r="D510" s="496"/>
    </row>
    <row r="511" spans="1:21" x14ac:dyDescent="0.2">
      <c r="A511" s="146"/>
      <c r="D511" s="496"/>
    </row>
    <row r="512" spans="1:21" s="123" customFormat="1" x14ac:dyDescent="0.2">
      <c r="A512" s="146"/>
      <c r="B512" s="496"/>
      <c r="C512" s="496"/>
      <c r="D512" s="496"/>
      <c r="E512" s="496"/>
      <c r="F512" s="496"/>
      <c r="G512" s="496"/>
      <c r="H512" s="496"/>
      <c r="I512" s="496"/>
      <c r="J512" s="496"/>
      <c r="K512" s="496"/>
      <c r="L512" s="496"/>
      <c r="M512" s="496"/>
      <c r="N512" s="496"/>
      <c r="O512" s="496"/>
      <c r="P512" s="496"/>
      <c r="Q512" s="496"/>
      <c r="R512" s="496"/>
      <c r="S512" s="496"/>
      <c r="T512" s="496"/>
      <c r="U512" s="496"/>
    </row>
    <row r="513" spans="1:21" x14ac:dyDescent="0.2">
      <c r="A513" s="146"/>
      <c r="D513" s="496"/>
    </row>
    <row r="514" spans="1:21" x14ac:dyDescent="0.2">
      <c r="A514" s="146"/>
      <c r="D514" s="496"/>
    </row>
    <row r="515" spans="1:21" s="123" customFormat="1" x14ac:dyDescent="0.2">
      <c r="A515" s="146"/>
      <c r="B515" s="496"/>
      <c r="C515" s="496"/>
      <c r="D515" s="496"/>
      <c r="E515" s="496"/>
      <c r="F515" s="496"/>
      <c r="G515" s="496"/>
      <c r="H515" s="496"/>
      <c r="I515" s="496"/>
      <c r="J515" s="496"/>
      <c r="K515" s="496"/>
      <c r="L515" s="496"/>
      <c r="M515" s="496"/>
      <c r="N515" s="496"/>
      <c r="O515" s="496"/>
      <c r="P515" s="496"/>
      <c r="Q515" s="496"/>
      <c r="R515" s="496"/>
      <c r="S515" s="496"/>
      <c r="T515" s="496"/>
      <c r="U515" s="496"/>
    </row>
    <row r="516" spans="1:21" x14ac:dyDescent="0.2">
      <c r="A516" s="146"/>
      <c r="D516" s="496"/>
    </row>
    <row r="517" spans="1:21" x14ac:dyDescent="0.2">
      <c r="A517" s="146"/>
      <c r="D517" s="496"/>
    </row>
    <row r="518" spans="1:21" s="123" customFormat="1" x14ac:dyDescent="0.2">
      <c r="A518" s="146"/>
      <c r="B518" s="496"/>
      <c r="C518" s="496"/>
      <c r="D518" s="496"/>
      <c r="E518" s="496"/>
      <c r="F518" s="496"/>
      <c r="G518" s="496"/>
      <c r="H518" s="496"/>
      <c r="I518" s="496"/>
      <c r="J518" s="496"/>
      <c r="K518" s="496"/>
      <c r="L518" s="496"/>
      <c r="M518" s="496"/>
      <c r="N518" s="496"/>
      <c r="O518" s="496"/>
      <c r="P518" s="496"/>
      <c r="Q518" s="496"/>
      <c r="R518" s="496"/>
      <c r="S518" s="496"/>
      <c r="T518" s="496"/>
      <c r="U518" s="496"/>
    </row>
    <row r="519" spans="1:21" x14ac:dyDescent="0.2">
      <c r="A519" s="146"/>
      <c r="D519" s="496"/>
    </row>
    <row r="520" spans="1:21" x14ac:dyDescent="0.2">
      <c r="A520" s="146"/>
      <c r="D520" s="496"/>
    </row>
    <row r="521" spans="1:21" s="123" customFormat="1" x14ac:dyDescent="0.2">
      <c r="A521" s="146"/>
      <c r="B521" s="496"/>
      <c r="C521" s="496"/>
      <c r="D521" s="496"/>
      <c r="E521" s="496"/>
      <c r="F521" s="496"/>
      <c r="G521" s="496"/>
      <c r="H521" s="496"/>
      <c r="I521" s="496"/>
      <c r="J521" s="496"/>
      <c r="K521" s="496"/>
      <c r="L521" s="496"/>
      <c r="M521" s="496"/>
      <c r="N521" s="496"/>
      <c r="O521" s="496"/>
      <c r="P521" s="496"/>
      <c r="Q521" s="496"/>
      <c r="R521" s="496"/>
      <c r="S521" s="496"/>
      <c r="T521" s="496"/>
      <c r="U521" s="496"/>
    </row>
    <row r="522" spans="1:21" x14ac:dyDescent="0.2">
      <c r="A522" s="146"/>
      <c r="D522" s="496"/>
    </row>
    <row r="523" spans="1:21" x14ac:dyDescent="0.2">
      <c r="A523" s="146"/>
      <c r="D523" s="496"/>
    </row>
    <row r="524" spans="1:21" s="123" customFormat="1" x14ac:dyDescent="0.2">
      <c r="A524" s="146"/>
      <c r="B524" s="496"/>
      <c r="C524" s="496"/>
      <c r="D524" s="496"/>
      <c r="E524" s="496"/>
      <c r="F524" s="496"/>
      <c r="G524" s="496"/>
      <c r="H524" s="496"/>
      <c r="I524" s="496"/>
      <c r="J524" s="496"/>
      <c r="K524" s="496"/>
      <c r="L524" s="496"/>
      <c r="M524" s="496"/>
      <c r="N524" s="496"/>
      <c r="O524" s="496"/>
      <c r="P524" s="496"/>
      <c r="Q524" s="496"/>
      <c r="R524" s="496"/>
      <c r="S524" s="496"/>
      <c r="T524" s="496"/>
      <c r="U524" s="496"/>
    </row>
    <row r="525" spans="1:21" x14ac:dyDescent="0.2">
      <c r="A525" s="146"/>
      <c r="D525" s="496"/>
    </row>
    <row r="526" spans="1:21" x14ac:dyDescent="0.2">
      <c r="A526" s="146"/>
      <c r="D526" s="496"/>
    </row>
    <row r="527" spans="1:21" s="123" customFormat="1" x14ac:dyDescent="0.2">
      <c r="A527" s="146"/>
      <c r="B527" s="496"/>
      <c r="C527" s="496"/>
      <c r="D527" s="496"/>
      <c r="E527" s="496"/>
      <c r="F527" s="496"/>
      <c r="G527" s="496"/>
      <c r="H527" s="496"/>
      <c r="I527" s="496"/>
      <c r="J527" s="496"/>
      <c r="K527" s="496"/>
      <c r="L527" s="496"/>
      <c r="M527" s="496"/>
      <c r="N527" s="496"/>
      <c r="O527" s="496"/>
      <c r="P527" s="496"/>
      <c r="Q527" s="496"/>
      <c r="R527" s="496"/>
      <c r="S527" s="496"/>
      <c r="T527" s="496"/>
      <c r="U527" s="496"/>
    </row>
    <row r="528" spans="1:21" x14ac:dyDescent="0.2">
      <c r="A528" s="146"/>
      <c r="D528" s="496"/>
    </row>
    <row r="529" spans="1:21" x14ac:dyDescent="0.2">
      <c r="A529" s="146"/>
      <c r="D529" s="496"/>
    </row>
    <row r="530" spans="1:21" s="123" customFormat="1" x14ac:dyDescent="0.2">
      <c r="A530" s="146"/>
      <c r="B530" s="496"/>
      <c r="C530" s="496"/>
      <c r="D530" s="496"/>
      <c r="E530" s="496"/>
      <c r="F530" s="496"/>
      <c r="G530" s="496"/>
      <c r="H530" s="496"/>
      <c r="I530" s="496"/>
      <c r="J530" s="496"/>
      <c r="K530" s="496"/>
      <c r="L530" s="496"/>
      <c r="M530" s="496"/>
      <c r="N530" s="496"/>
      <c r="O530" s="496"/>
      <c r="P530" s="496"/>
      <c r="Q530" s="496"/>
      <c r="R530" s="496"/>
      <c r="S530" s="496"/>
      <c r="T530" s="496"/>
      <c r="U530" s="496"/>
    </row>
    <row r="531" spans="1:21" x14ac:dyDescent="0.2">
      <c r="A531" s="146"/>
      <c r="D531" s="496"/>
    </row>
    <row r="532" spans="1:21" x14ac:dyDescent="0.2">
      <c r="A532" s="146"/>
      <c r="D532" s="496"/>
    </row>
    <row r="533" spans="1:21" s="123" customFormat="1" x14ac:dyDescent="0.2">
      <c r="A533" s="146"/>
      <c r="B533" s="496"/>
      <c r="C533" s="496"/>
      <c r="D533" s="496"/>
      <c r="E533" s="496"/>
      <c r="F533" s="496"/>
      <c r="G533" s="496"/>
      <c r="H533" s="496"/>
      <c r="I533" s="496"/>
      <c r="J533" s="496"/>
      <c r="K533" s="496"/>
      <c r="L533" s="496"/>
      <c r="M533" s="496"/>
      <c r="N533" s="496"/>
      <c r="O533" s="496"/>
      <c r="P533" s="496"/>
      <c r="Q533" s="496"/>
      <c r="R533" s="496"/>
      <c r="S533" s="496"/>
      <c r="T533" s="496"/>
      <c r="U533" s="496"/>
    </row>
    <row r="534" spans="1:21" x14ac:dyDescent="0.2">
      <c r="A534" s="146"/>
      <c r="D534" s="496"/>
    </row>
    <row r="535" spans="1:21" x14ac:dyDescent="0.2">
      <c r="A535" s="146"/>
      <c r="D535" s="496"/>
    </row>
    <row r="536" spans="1:21" s="123" customFormat="1" x14ac:dyDescent="0.2">
      <c r="A536" s="146"/>
      <c r="B536" s="496"/>
      <c r="C536" s="496"/>
      <c r="D536" s="496"/>
      <c r="E536" s="496"/>
      <c r="F536" s="496"/>
      <c r="G536" s="496"/>
      <c r="H536" s="496"/>
      <c r="I536" s="496"/>
      <c r="J536" s="496"/>
      <c r="K536" s="496"/>
      <c r="L536" s="496"/>
      <c r="M536" s="496"/>
      <c r="N536" s="496"/>
      <c r="O536" s="496"/>
      <c r="P536" s="496"/>
      <c r="Q536" s="496"/>
      <c r="R536" s="496"/>
      <c r="S536" s="496"/>
      <c r="T536" s="496"/>
      <c r="U536" s="496"/>
    </row>
    <row r="537" spans="1:21" x14ac:dyDescent="0.2">
      <c r="A537" s="146"/>
      <c r="D537" s="496"/>
    </row>
    <row r="538" spans="1:21" x14ac:dyDescent="0.2">
      <c r="A538" s="146"/>
      <c r="D538" s="496"/>
    </row>
    <row r="539" spans="1:21" s="123" customFormat="1" x14ac:dyDescent="0.2">
      <c r="A539" s="146"/>
      <c r="B539" s="496"/>
      <c r="C539" s="496"/>
      <c r="D539" s="496"/>
      <c r="E539" s="496"/>
      <c r="F539" s="496"/>
      <c r="G539" s="496"/>
      <c r="H539" s="496"/>
      <c r="I539" s="496"/>
      <c r="J539" s="496"/>
      <c r="K539" s="496"/>
      <c r="L539" s="496"/>
      <c r="M539" s="496"/>
      <c r="N539" s="496"/>
      <c r="O539" s="496"/>
      <c r="P539" s="496"/>
      <c r="Q539" s="496"/>
      <c r="R539" s="496"/>
      <c r="S539" s="496"/>
      <c r="T539" s="496"/>
      <c r="U539" s="496"/>
    </row>
    <row r="540" spans="1:21" x14ac:dyDescent="0.2">
      <c r="A540" s="146"/>
      <c r="D540" s="496"/>
    </row>
    <row r="541" spans="1:21" x14ac:dyDescent="0.2">
      <c r="A541" s="146"/>
      <c r="D541" s="496"/>
    </row>
    <row r="542" spans="1:21" s="123" customFormat="1" x14ac:dyDescent="0.2">
      <c r="A542" s="146"/>
      <c r="B542" s="496"/>
      <c r="C542" s="496"/>
      <c r="D542" s="496"/>
      <c r="E542" s="496"/>
      <c r="F542" s="496"/>
      <c r="G542" s="496"/>
      <c r="H542" s="496"/>
      <c r="I542" s="496"/>
      <c r="J542" s="496"/>
      <c r="K542" s="496"/>
      <c r="L542" s="496"/>
      <c r="M542" s="496"/>
      <c r="N542" s="496"/>
      <c r="O542" s="496"/>
      <c r="P542" s="496"/>
      <c r="Q542" s="496"/>
      <c r="R542" s="496"/>
      <c r="S542" s="496"/>
      <c r="T542" s="496"/>
      <c r="U542" s="496"/>
    </row>
    <row r="543" spans="1:21" x14ac:dyDescent="0.2">
      <c r="A543" s="146"/>
      <c r="D543" s="496"/>
    </row>
    <row r="544" spans="1:21" x14ac:dyDescent="0.2">
      <c r="A544" s="146"/>
      <c r="D544" s="496"/>
    </row>
    <row r="545" spans="1:21" s="123" customFormat="1" x14ac:dyDescent="0.2">
      <c r="A545" s="146"/>
      <c r="B545" s="496"/>
      <c r="C545" s="496"/>
      <c r="D545" s="496"/>
      <c r="E545" s="496"/>
      <c r="F545" s="496"/>
      <c r="G545" s="496"/>
      <c r="H545" s="496"/>
      <c r="I545" s="496"/>
      <c r="J545" s="496"/>
      <c r="K545" s="496"/>
      <c r="L545" s="496"/>
      <c r="M545" s="496"/>
      <c r="N545" s="496"/>
      <c r="O545" s="496"/>
      <c r="P545" s="496"/>
      <c r="Q545" s="496"/>
      <c r="R545" s="496"/>
      <c r="S545" s="496"/>
      <c r="T545" s="496"/>
      <c r="U545" s="496"/>
    </row>
    <row r="546" spans="1:21" x14ac:dyDescent="0.2">
      <c r="A546" s="146"/>
      <c r="D546" s="496"/>
    </row>
    <row r="547" spans="1:21" x14ac:dyDescent="0.2">
      <c r="A547" s="146"/>
      <c r="D547" s="496"/>
    </row>
    <row r="548" spans="1:21" s="123" customFormat="1" x14ac:dyDescent="0.2">
      <c r="A548" s="146"/>
      <c r="B548" s="496"/>
      <c r="C548" s="496"/>
      <c r="D548" s="496"/>
      <c r="E548" s="496"/>
      <c r="F548" s="496"/>
      <c r="G548" s="496"/>
      <c r="H548" s="496"/>
      <c r="I548" s="496"/>
      <c r="J548" s="496"/>
      <c r="K548" s="496"/>
      <c r="L548" s="496"/>
      <c r="M548" s="496"/>
      <c r="N548" s="496"/>
      <c r="O548" s="496"/>
      <c r="P548" s="496"/>
      <c r="Q548" s="496"/>
      <c r="R548" s="496"/>
      <c r="S548" s="496"/>
      <c r="T548" s="496"/>
      <c r="U548" s="496"/>
    </row>
    <row r="549" spans="1:21" x14ac:dyDescent="0.2">
      <c r="A549" s="146"/>
      <c r="D549" s="496"/>
    </row>
    <row r="550" spans="1:21" x14ac:dyDescent="0.2">
      <c r="A550" s="146"/>
      <c r="D550" s="496"/>
    </row>
    <row r="551" spans="1:21" s="123" customFormat="1" x14ac:dyDescent="0.2">
      <c r="A551" s="146"/>
      <c r="B551" s="496"/>
      <c r="C551" s="496"/>
      <c r="D551" s="496"/>
      <c r="E551" s="496"/>
      <c r="F551" s="496"/>
      <c r="G551" s="496"/>
      <c r="H551" s="496"/>
      <c r="I551" s="496"/>
      <c r="J551" s="496"/>
      <c r="K551" s="496"/>
      <c r="L551" s="496"/>
      <c r="M551" s="496"/>
      <c r="N551" s="496"/>
      <c r="O551" s="496"/>
      <c r="P551" s="496"/>
      <c r="Q551" s="496"/>
      <c r="R551" s="496"/>
      <c r="S551" s="496"/>
      <c r="T551" s="496"/>
      <c r="U551" s="496"/>
    </row>
    <row r="552" spans="1:21" x14ac:dyDescent="0.2">
      <c r="A552" s="146"/>
      <c r="D552" s="496"/>
    </row>
    <row r="553" spans="1:21" x14ac:dyDescent="0.2">
      <c r="A553" s="146"/>
      <c r="D553" s="496"/>
    </row>
    <row r="554" spans="1:21" s="123" customFormat="1" x14ac:dyDescent="0.2">
      <c r="A554" s="146"/>
      <c r="B554" s="496"/>
      <c r="C554" s="496"/>
      <c r="D554" s="496"/>
      <c r="E554" s="496"/>
      <c r="F554" s="496"/>
      <c r="G554" s="496"/>
      <c r="H554" s="496"/>
      <c r="I554" s="496"/>
      <c r="J554" s="496"/>
      <c r="K554" s="496"/>
      <c r="L554" s="496"/>
      <c r="M554" s="496"/>
      <c r="N554" s="496"/>
      <c r="O554" s="496"/>
      <c r="P554" s="496"/>
      <c r="Q554" s="496"/>
      <c r="R554" s="496"/>
      <c r="S554" s="496"/>
      <c r="T554" s="496"/>
      <c r="U554" s="496"/>
    </row>
    <row r="555" spans="1:21" x14ac:dyDescent="0.2">
      <c r="A555" s="146"/>
      <c r="D555" s="496"/>
    </row>
    <row r="556" spans="1:21" x14ac:dyDescent="0.2">
      <c r="A556" s="146"/>
      <c r="D556" s="496"/>
    </row>
    <row r="557" spans="1:21" s="123" customFormat="1" x14ac:dyDescent="0.2">
      <c r="A557" s="146"/>
      <c r="B557" s="496"/>
      <c r="C557" s="496"/>
      <c r="D557" s="496"/>
      <c r="E557" s="496"/>
      <c r="F557" s="496"/>
      <c r="G557" s="496"/>
      <c r="H557" s="496"/>
      <c r="I557" s="496"/>
      <c r="J557" s="496"/>
      <c r="K557" s="496"/>
      <c r="L557" s="496"/>
      <c r="M557" s="496"/>
      <c r="N557" s="496"/>
      <c r="O557" s="496"/>
      <c r="P557" s="496"/>
      <c r="Q557" s="496"/>
      <c r="R557" s="496"/>
      <c r="S557" s="496"/>
      <c r="T557" s="496"/>
      <c r="U557" s="496"/>
    </row>
    <row r="558" spans="1:21" x14ac:dyDescent="0.2">
      <c r="A558" s="146"/>
      <c r="D558" s="496"/>
    </row>
    <row r="559" spans="1:21" x14ac:dyDescent="0.2">
      <c r="A559" s="146"/>
      <c r="D559" s="496"/>
    </row>
    <row r="560" spans="1:21" s="123" customFormat="1" x14ac:dyDescent="0.2">
      <c r="A560" s="146"/>
      <c r="B560" s="496"/>
      <c r="C560" s="496"/>
      <c r="D560" s="496"/>
      <c r="E560" s="496"/>
      <c r="F560" s="496"/>
      <c r="G560" s="496"/>
      <c r="H560" s="496"/>
      <c r="I560" s="496"/>
      <c r="J560" s="496"/>
      <c r="K560" s="496"/>
      <c r="L560" s="496"/>
      <c r="M560" s="496"/>
      <c r="N560" s="496"/>
      <c r="O560" s="496"/>
      <c r="P560" s="496"/>
      <c r="Q560" s="496"/>
      <c r="R560" s="496"/>
      <c r="S560" s="496"/>
      <c r="T560" s="496"/>
      <c r="U560" s="496"/>
    </row>
    <row r="561" spans="1:21" x14ac:dyDescent="0.2">
      <c r="A561" s="146"/>
      <c r="D561" s="496"/>
    </row>
    <row r="562" spans="1:21" x14ac:dyDescent="0.2">
      <c r="A562" s="146"/>
      <c r="D562" s="496"/>
    </row>
    <row r="563" spans="1:21" s="123" customFormat="1" x14ac:dyDescent="0.2">
      <c r="A563" s="146"/>
      <c r="B563" s="496"/>
      <c r="C563" s="496"/>
      <c r="D563" s="496"/>
      <c r="E563" s="496"/>
      <c r="F563" s="496"/>
      <c r="G563" s="496"/>
      <c r="H563" s="496"/>
      <c r="I563" s="496"/>
      <c r="J563" s="496"/>
      <c r="K563" s="496"/>
      <c r="L563" s="496"/>
      <c r="M563" s="496"/>
      <c r="N563" s="496"/>
      <c r="O563" s="496"/>
      <c r="P563" s="496"/>
      <c r="Q563" s="496"/>
      <c r="R563" s="496"/>
      <c r="S563" s="496"/>
      <c r="T563" s="496"/>
      <c r="U563" s="496"/>
    </row>
    <row r="564" spans="1:21" x14ac:dyDescent="0.2">
      <c r="A564" s="146"/>
      <c r="D564" s="496"/>
    </row>
    <row r="565" spans="1:21" x14ac:dyDescent="0.2">
      <c r="A565" s="146"/>
      <c r="D565" s="496"/>
    </row>
    <row r="566" spans="1:21" s="123" customFormat="1" x14ac:dyDescent="0.2">
      <c r="A566" s="146"/>
      <c r="B566" s="496"/>
      <c r="C566" s="496"/>
      <c r="D566" s="496"/>
      <c r="E566" s="496"/>
      <c r="F566" s="496"/>
      <c r="G566" s="496"/>
      <c r="H566" s="496"/>
      <c r="I566" s="496"/>
      <c r="J566" s="496"/>
      <c r="K566" s="496"/>
      <c r="L566" s="496"/>
      <c r="M566" s="496"/>
      <c r="N566" s="496"/>
      <c r="O566" s="496"/>
      <c r="P566" s="496"/>
      <c r="Q566" s="496"/>
      <c r="R566" s="496"/>
      <c r="S566" s="496"/>
      <c r="T566" s="496"/>
      <c r="U566" s="496"/>
    </row>
    <row r="567" spans="1:21" x14ac:dyDescent="0.2">
      <c r="A567" s="146"/>
      <c r="D567" s="496"/>
    </row>
    <row r="568" spans="1:21" x14ac:dyDescent="0.2">
      <c r="A568" s="146"/>
      <c r="D568" s="496"/>
    </row>
    <row r="569" spans="1:21" s="123" customFormat="1" x14ac:dyDescent="0.2">
      <c r="A569" s="146"/>
      <c r="B569" s="496"/>
      <c r="C569" s="496"/>
      <c r="D569" s="496"/>
      <c r="E569" s="496"/>
      <c r="F569" s="496"/>
      <c r="G569" s="496"/>
      <c r="H569" s="496"/>
      <c r="I569" s="496"/>
      <c r="J569" s="496"/>
      <c r="K569" s="496"/>
      <c r="L569" s="496"/>
      <c r="M569" s="496"/>
      <c r="N569" s="496"/>
      <c r="O569" s="496"/>
      <c r="P569" s="496"/>
      <c r="Q569" s="496"/>
      <c r="R569" s="496"/>
      <c r="S569" s="496"/>
      <c r="T569" s="496"/>
      <c r="U569" s="496"/>
    </row>
    <row r="570" spans="1:21" x14ac:dyDescent="0.2">
      <c r="A570" s="146"/>
      <c r="D570" s="496"/>
    </row>
    <row r="571" spans="1:21" x14ac:dyDescent="0.2">
      <c r="A571" s="146"/>
      <c r="D571" s="496"/>
    </row>
    <row r="572" spans="1:21" s="123" customFormat="1" x14ac:dyDescent="0.2">
      <c r="A572" s="146"/>
      <c r="B572" s="496"/>
      <c r="C572" s="496"/>
      <c r="D572" s="496"/>
      <c r="E572" s="496"/>
      <c r="F572" s="496"/>
      <c r="G572" s="496"/>
      <c r="H572" s="496"/>
      <c r="I572" s="496"/>
      <c r="J572" s="496"/>
      <c r="K572" s="496"/>
      <c r="L572" s="496"/>
      <c r="M572" s="496"/>
      <c r="N572" s="496"/>
      <c r="O572" s="496"/>
      <c r="P572" s="496"/>
      <c r="Q572" s="496"/>
      <c r="R572" s="496"/>
      <c r="S572" s="496"/>
      <c r="T572" s="496"/>
      <c r="U572" s="496"/>
    </row>
    <row r="573" spans="1:21" x14ac:dyDescent="0.2">
      <c r="A573" s="146"/>
      <c r="D573" s="496"/>
    </row>
    <row r="574" spans="1:21" x14ac:dyDescent="0.2">
      <c r="A574" s="146"/>
      <c r="D574" s="496"/>
    </row>
    <row r="575" spans="1:21" s="123" customFormat="1" x14ac:dyDescent="0.2">
      <c r="A575" s="146"/>
      <c r="B575" s="496"/>
      <c r="C575" s="496"/>
      <c r="D575" s="496"/>
      <c r="E575" s="496"/>
      <c r="F575" s="496"/>
      <c r="G575" s="496"/>
      <c r="H575" s="496"/>
      <c r="I575" s="496"/>
      <c r="J575" s="496"/>
      <c r="K575" s="496"/>
      <c r="L575" s="496"/>
      <c r="M575" s="496"/>
      <c r="N575" s="496"/>
      <c r="O575" s="496"/>
      <c r="P575" s="496"/>
      <c r="Q575" s="496"/>
      <c r="R575" s="496"/>
      <c r="S575" s="496"/>
      <c r="T575" s="496"/>
      <c r="U575" s="496"/>
    </row>
    <row r="576" spans="1:21" x14ac:dyDescent="0.2">
      <c r="A576" s="146"/>
      <c r="D576" s="496"/>
    </row>
    <row r="577" spans="1:21" x14ac:dyDescent="0.2">
      <c r="A577" s="146"/>
      <c r="D577" s="496"/>
    </row>
    <row r="578" spans="1:21" s="123" customFormat="1" x14ac:dyDescent="0.2">
      <c r="A578" s="146"/>
      <c r="B578" s="496"/>
      <c r="C578" s="496"/>
      <c r="D578" s="496"/>
      <c r="E578" s="496"/>
      <c r="F578" s="496"/>
      <c r="G578" s="496"/>
      <c r="H578" s="496"/>
      <c r="I578" s="496"/>
      <c r="J578" s="496"/>
      <c r="K578" s="496"/>
      <c r="L578" s="496"/>
      <c r="M578" s="496"/>
      <c r="N578" s="496"/>
      <c r="O578" s="496"/>
      <c r="P578" s="496"/>
      <c r="Q578" s="496"/>
      <c r="R578" s="496"/>
      <c r="S578" s="496"/>
      <c r="T578" s="496"/>
      <c r="U578" s="496"/>
    </row>
    <row r="579" spans="1:21" x14ac:dyDescent="0.2">
      <c r="A579" s="146"/>
      <c r="D579" s="496"/>
    </row>
    <row r="580" spans="1:21" x14ac:dyDescent="0.2">
      <c r="A580" s="146"/>
      <c r="D580" s="496"/>
    </row>
    <row r="581" spans="1:21" s="123" customFormat="1" x14ac:dyDescent="0.2">
      <c r="A581" s="146"/>
      <c r="B581" s="496"/>
      <c r="C581" s="496"/>
      <c r="D581" s="496"/>
      <c r="E581" s="496"/>
      <c r="F581" s="496"/>
      <c r="G581" s="496"/>
      <c r="H581" s="496"/>
      <c r="I581" s="496"/>
      <c r="J581" s="496"/>
      <c r="K581" s="496"/>
      <c r="L581" s="496"/>
      <c r="M581" s="496"/>
      <c r="N581" s="496"/>
      <c r="O581" s="496"/>
      <c r="P581" s="496"/>
      <c r="Q581" s="496"/>
      <c r="R581" s="496"/>
      <c r="S581" s="496"/>
      <c r="T581" s="496"/>
      <c r="U581" s="496"/>
    </row>
    <row r="582" spans="1:21" x14ac:dyDescent="0.2">
      <c r="A582" s="146"/>
      <c r="D582" s="496"/>
    </row>
    <row r="583" spans="1:21" x14ac:dyDescent="0.2">
      <c r="A583" s="146"/>
      <c r="D583" s="496"/>
    </row>
    <row r="584" spans="1:21" s="123" customFormat="1" x14ac:dyDescent="0.2">
      <c r="A584" s="146"/>
      <c r="B584" s="496"/>
      <c r="C584" s="496"/>
      <c r="D584" s="496"/>
      <c r="E584" s="496"/>
      <c r="F584" s="496"/>
      <c r="G584" s="496"/>
      <c r="H584" s="496"/>
      <c r="I584" s="496"/>
      <c r="J584" s="496"/>
      <c r="K584" s="496"/>
      <c r="L584" s="496"/>
      <c r="M584" s="496"/>
      <c r="N584" s="496"/>
      <c r="O584" s="496"/>
      <c r="P584" s="496"/>
      <c r="Q584" s="496"/>
      <c r="R584" s="496"/>
      <c r="S584" s="496"/>
      <c r="T584" s="496"/>
      <c r="U584" s="496"/>
    </row>
    <row r="585" spans="1:21" x14ac:dyDescent="0.2">
      <c r="A585" s="146"/>
      <c r="D585" s="496"/>
    </row>
    <row r="586" spans="1:21" x14ac:dyDescent="0.2">
      <c r="A586" s="146"/>
      <c r="D586" s="496"/>
    </row>
    <row r="587" spans="1:21" s="123" customFormat="1" x14ac:dyDescent="0.2">
      <c r="A587" s="146"/>
      <c r="B587" s="496"/>
      <c r="C587" s="496"/>
      <c r="D587" s="496"/>
      <c r="E587" s="496"/>
      <c r="F587" s="496"/>
      <c r="G587" s="496"/>
      <c r="H587" s="496"/>
      <c r="I587" s="496"/>
      <c r="J587" s="496"/>
      <c r="K587" s="496"/>
      <c r="L587" s="496"/>
      <c r="M587" s="496"/>
      <c r="N587" s="496"/>
      <c r="O587" s="496"/>
      <c r="P587" s="496"/>
      <c r="Q587" s="496"/>
      <c r="R587" s="496"/>
      <c r="S587" s="496"/>
      <c r="T587" s="496"/>
      <c r="U587" s="496"/>
    </row>
    <row r="588" spans="1:21" x14ac:dyDescent="0.2">
      <c r="A588" s="146"/>
      <c r="D588" s="496"/>
    </row>
    <row r="589" spans="1:21" x14ac:dyDescent="0.2">
      <c r="A589" s="146"/>
      <c r="D589" s="496"/>
    </row>
    <row r="590" spans="1:21" s="123" customFormat="1" x14ac:dyDescent="0.2">
      <c r="A590" s="146"/>
      <c r="B590" s="496"/>
      <c r="C590" s="496"/>
      <c r="D590" s="496"/>
      <c r="E590" s="496"/>
      <c r="F590" s="496"/>
      <c r="G590" s="496"/>
      <c r="H590" s="496"/>
      <c r="I590" s="496"/>
      <c r="J590" s="496"/>
      <c r="K590" s="496"/>
      <c r="L590" s="496"/>
      <c r="M590" s="496"/>
      <c r="N590" s="496"/>
      <c r="O590" s="496"/>
      <c r="P590" s="496"/>
      <c r="Q590" s="496"/>
      <c r="R590" s="496"/>
      <c r="S590" s="496"/>
      <c r="T590" s="496"/>
      <c r="U590" s="496"/>
    </row>
    <row r="591" spans="1:21" x14ac:dyDescent="0.2">
      <c r="A591" s="146"/>
      <c r="D591" s="496"/>
    </row>
    <row r="592" spans="1:21" x14ac:dyDescent="0.2">
      <c r="A592" s="146"/>
      <c r="D592" s="496"/>
    </row>
    <row r="593" spans="1:21" s="123" customFormat="1" x14ac:dyDescent="0.2">
      <c r="A593" s="146"/>
      <c r="B593" s="496"/>
      <c r="C593" s="496"/>
      <c r="D593" s="496"/>
      <c r="E593" s="496"/>
      <c r="F593" s="496"/>
      <c r="G593" s="496"/>
      <c r="H593" s="496"/>
      <c r="I593" s="496"/>
      <c r="J593" s="496"/>
      <c r="K593" s="496"/>
      <c r="L593" s="496"/>
      <c r="M593" s="496"/>
      <c r="N593" s="496"/>
      <c r="O593" s="496"/>
      <c r="P593" s="496"/>
      <c r="Q593" s="496"/>
      <c r="R593" s="496"/>
      <c r="S593" s="496"/>
      <c r="T593" s="496"/>
      <c r="U593" s="496"/>
    </row>
    <row r="594" spans="1:21" x14ac:dyDescent="0.2">
      <c r="A594" s="146"/>
      <c r="D594" s="496"/>
    </row>
    <row r="595" spans="1:21" x14ac:dyDescent="0.2">
      <c r="A595" s="146"/>
      <c r="D595" s="496"/>
    </row>
    <row r="596" spans="1:21" s="123" customFormat="1" x14ac:dyDescent="0.2">
      <c r="A596" s="146"/>
      <c r="B596" s="496"/>
      <c r="C596" s="496"/>
      <c r="D596" s="496"/>
      <c r="E596" s="496"/>
      <c r="F596" s="496"/>
      <c r="G596" s="496"/>
      <c r="H596" s="496"/>
      <c r="I596" s="496"/>
      <c r="J596" s="496"/>
      <c r="K596" s="496"/>
      <c r="L596" s="496"/>
      <c r="M596" s="496"/>
      <c r="N596" s="496"/>
      <c r="O596" s="496"/>
      <c r="P596" s="496"/>
      <c r="Q596" s="496"/>
      <c r="R596" s="496"/>
      <c r="S596" s="496"/>
      <c r="T596" s="496"/>
      <c r="U596" s="496"/>
    </row>
    <row r="597" spans="1:21" x14ac:dyDescent="0.2">
      <c r="A597" s="146"/>
      <c r="D597" s="496"/>
    </row>
    <row r="598" spans="1:21" x14ac:dyDescent="0.2">
      <c r="A598" s="146"/>
      <c r="D598" s="496"/>
    </row>
    <row r="599" spans="1:21" s="123" customFormat="1" x14ac:dyDescent="0.2">
      <c r="A599" s="146"/>
      <c r="B599" s="496"/>
      <c r="C599" s="496"/>
      <c r="D599" s="496"/>
      <c r="E599" s="496"/>
      <c r="F599" s="496"/>
      <c r="G599" s="496"/>
      <c r="H599" s="496"/>
      <c r="I599" s="496"/>
      <c r="J599" s="496"/>
      <c r="K599" s="496"/>
      <c r="L599" s="496"/>
      <c r="M599" s="496"/>
      <c r="N599" s="496"/>
      <c r="O599" s="496"/>
      <c r="P599" s="496"/>
      <c r="Q599" s="496"/>
      <c r="R599" s="496"/>
      <c r="S599" s="496"/>
      <c r="T599" s="496"/>
      <c r="U599" s="496"/>
    </row>
    <row r="600" spans="1:21" x14ac:dyDescent="0.2">
      <c r="A600" s="146"/>
      <c r="D600" s="496"/>
    </row>
    <row r="601" spans="1:21" x14ac:dyDescent="0.2">
      <c r="A601" s="146"/>
      <c r="D601" s="496"/>
    </row>
    <row r="602" spans="1:21" s="123" customFormat="1" x14ac:dyDescent="0.2">
      <c r="A602" s="146"/>
      <c r="B602" s="496"/>
      <c r="C602" s="496"/>
      <c r="D602" s="496"/>
      <c r="E602" s="496"/>
      <c r="F602" s="496"/>
      <c r="G602" s="496"/>
      <c r="H602" s="496"/>
      <c r="I602" s="496"/>
      <c r="J602" s="496"/>
      <c r="K602" s="496"/>
      <c r="L602" s="496"/>
      <c r="M602" s="496"/>
      <c r="N602" s="496"/>
      <c r="O602" s="496"/>
      <c r="P602" s="496"/>
      <c r="Q602" s="496"/>
      <c r="R602" s="496"/>
      <c r="S602" s="496"/>
      <c r="T602" s="496"/>
      <c r="U602" s="496"/>
    </row>
    <row r="603" spans="1:21" x14ac:dyDescent="0.2">
      <c r="A603" s="146"/>
      <c r="D603" s="496"/>
    </row>
    <row r="604" spans="1:21" x14ac:dyDescent="0.2">
      <c r="A604" s="146"/>
      <c r="D604" s="496"/>
    </row>
    <row r="605" spans="1:21" s="123" customFormat="1" x14ac:dyDescent="0.2">
      <c r="A605" s="146"/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96"/>
      <c r="M605" s="496"/>
      <c r="N605" s="496"/>
      <c r="O605" s="496"/>
      <c r="P605" s="496"/>
      <c r="Q605" s="496"/>
      <c r="R605" s="496"/>
      <c r="S605" s="496"/>
      <c r="T605" s="496"/>
      <c r="U605" s="496"/>
    </row>
    <row r="606" spans="1:21" x14ac:dyDescent="0.2">
      <c r="A606" s="146"/>
      <c r="D606" s="496"/>
    </row>
    <row r="607" spans="1:21" x14ac:dyDescent="0.2">
      <c r="A607" s="146"/>
      <c r="D607" s="496"/>
    </row>
    <row r="608" spans="1:21" s="123" customFormat="1" x14ac:dyDescent="0.2">
      <c r="A608" s="146"/>
      <c r="B608" s="496"/>
      <c r="C608" s="496"/>
      <c r="D608" s="496"/>
      <c r="E608" s="496"/>
      <c r="F608" s="496"/>
      <c r="G608" s="496"/>
      <c r="H608" s="496"/>
      <c r="I608" s="496"/>
      <c r="J608" s="496"/>
      <c r="K608" s="496"/>
      <c r="L608" s="496"/>
      <c r="M608" s="496"/>
      <c r="N608" s="496"/>
      <c r="O608" s="496"/>
      <c r="P608" s="496"/>
      <c r="Q608" s="496"/>
      <c r="R608" s="496"/>
      <c r="S608" s="496"/>
      <c r="T608" s="496"/>
      <c r="U608" s="496"/>
    </row>
    <row r="609" spans="1:21" x14ac:dyDescent="0.2">
      <c r="A609" s="146"/>
      <c r="D609" s="496"/>
    </row>
    <row r="610" spans="1:21" x14ac:dyDescent="0.2">
      <c r="A610" s="146"/>
      <c r="D610" s="496"/>
    </row>
    <row r="611" spans="1:21" s="123" customFormat="1" x14ac:dyDescent="0.2">
      <c r="A611" s="146"/>
      <c r="B611" s="496"/>
      <c r="C611" s="496"/>
      <c r="D611" s="496"/>
      <c r="E611" s="496"/>
      <c r="F611" s="496"/>
      <c r="G611" s="496"/>
      <c r="H611" s="496"/>
      <c r="I611" s="496"/>
      <c r="J611" s="496"/>
      <c r="K611" s="496"/>
      <c r="L611" s="496"/>
      <c r="M611" s="496"/>
      <c r="N611" s="496"/>
      <c r="O611" s="496"/>
      <c r="P611" s="496"/>
      <c r="Q611" s="496"/>
      <c r="R611" s="496"/>
      <c r="S611" s="496"/>
      <c r="T611" s="496"/>
      <c r="U611" s="496"/>
    </row>
    <row r="612" spans="1:21" x14ac:dyDescent="0.2">
      <c r="A612" s="146"/>
      <c r="D612" s="496"/>
    </row>
    <row r="613" spans="1:21" x14ac:dyDescent="0.2">
      <c r="A613" s="146"/>
      <c r="D613" s="496"/>
    </row>
    <row r="614" spans="1:21" s="123" customFormat="1" x14ac:dyDescent="0.2">
      <c r="A614" s="146"/>
      <c r="B614" s="496"/>
      <c r="C614" s="496"/>
      <c r="D614" s="496"/>
      <c r="E614" s="496"/>
      <c r="F614" s="496"/>
      <c r="G614" s="496"/>
      <c r="H614" s="496"/>
      <c r="I614" s="496"/>
      <c r="J614" s="496"/>
      <c r="K614" s="496"/>
      <c r="L614" s="496"/>
      <c r="M614" s="496"/>
      <c r="N614" s="496"/>
      <c r="O614" s="496"/>
      <c r="P614" s="496"/>
      <c r="Q614" s="496"/>
      <c r="R614" s="496"/>
      <c r="S614" s="496"/>
      <c r="T614" s="496"/>
      <c r="U614" s="496"/>
    </row>
    <row r="615" spans="1:21" x14ac:dyDescent="0.2">
      <c r="A615" s="146"/>
      <c r="D615" s="496"/>
    </row>
    <row r="616" spans="1:21" x14ac:dyDescent="0.2">
      <c r="A616" s="146"/>
      <c r="D616" s="496"/>
    </row>
    <row r="617" spans="1:21" s="123" customFormat="1" x14ac:dyDescent="0.2">
      <c r="A617" s="146"/>
      <c r="B617" s="496"/>
      <c r="C617" s="496"/>
      <c r="D617" s="496"/>
      <c r="E617" s="496"/>
      <c r="F617" s="496"/>
      <c r="G617" s="496"/>
      <c r="H617" s="496"/>
      <c r="I617" s="496"/>
      <c r="J617" s="496"/>
      <c r="K617" s="496"/>
      <c r="L617" s="496"/>
      <c r="M617" s="496"/>
      <c r="N617" s="496"/>
      <c r="O617" s="496"/>
      <c r="P617" s="496"/>
      <c r="Q617" s="496"/>
      <c r="R617" s="496"/>
      <c r="S617" s="496"/>
      <c r="T617" s="496"/>
      <c r="U617" s="496"/>
    </row>
    <row r="618" spans="1:21" x14ac:dyDescent="0.2">
      <c r="A618" s="146"/>
      <c r="D618" s="496"/>
    </row>
    <row r="619" spans="1:21" x14ac:dyDescent="0.2">
      <c r="A619" s="146"/>
      <c r="D619" s="496"/>
    </row>
    <row r="620" spans="1:21" s="123" customFormat="1" x14ac:dyDescent="0.2">
      <c r="A620" s="146"/>
      <c r="B620" s="496"/>
      <c r="C620" s="496"/>
      <c r="D620" s="496"/>
      <c r="E620" s="496"/>
      <c r="F620" s="496"/>
      <c r="G620" s="496"/>
      <c r="H620" s="496"/>
      <c r="I620" s="496"/>
      <c r="J620" s="496"/>
      <c r="K620" s="496"/>
      <c r="L620" s="496"/>
      <c r="M620" s="496"/>
      <c r="N620" s="496"/>
      <c r="O620" s="496"/>
      <c r="P620" s="496"/>
      <c r="Q620" s="496"/>
      <c r="R620" s="496"/>
      <c r="S620" s="496"/>
      <c r="T620" s="496"/>
      <c r="U620" s="496"/>
    </row>
    <row r="621" spans="1:21" x14ac:dyDescent="0.2">
      <c r="A621" s="146"/>
      <c r="D621" s="496"/>
    </row>
    <row r="622" spans="1:21" x14ac:dyDescent="0.2">
      <c r="A622" s="146"/>
      <c r="D622" s="496"/>
    </row>
    <row r="623" spans="1:21" s="123" customFormat="1" x14ac:dyDescent="0.2">
      <c r="A623" s="146"/>
      <c r="B623" s="496"/>
      <c r="C623" s="496"/>
      <c r="D623" s="496"/>
      <c r="E623" s="496"/>
      <c r="F623" s="496"/>
      <c r="G623" s="496"/>
      <c r="H623" s="496"/>
      <c r="I623" s="496"/>
      <c r="J623" s="496"/>
      <c r="K623" s="496"/>
      <c r="L623" s="496"/>
      <c r="M623" s="496"/>
      <c r="N623" s="496"/>
      <c r="O623" s="496"/>
      <c r="P623" s="496"/>
      <c r="Q623" s="496"/>
      <c r="R623" s="496"/>
      <c r="S623" s="496"/>
      <c r="T623" s="496"/>
      <c r="U623" s="496"/>
    </row>
    <row r="624" spans="1:21" x14ac:dyDescent="0.2">
      <c r="A624" s="146"/>
      <c r="D624" s="496"/>
    </row>
    <row r="625" spans="1:21" x14ac:dyDescent="0.2">
      <c r="A625" s="146"/>
      <c r="D625" s="496"/>
    </row>
    <row r="626" spans="1:21" s="123" customFormat="1" x14ac:dyDescent="0.2">
      <c r="A626" s="146"/>
      <c r="B626" s="496"/>
      <c r="C626" s="496"/>
      <c r="D626" s="496"/>
      <c r="E626" s="496"/>
      <c r="F626" s="496"/>
      <c r="G626" s="496"/>
      <c r="H626" s="496"/>
      <c r="I626" s="496"/>
      <c r="J626" s="496"/>
      <c r="K626" s="496"/>
      <c r="L626" s="496"/>
      <c r="M626" s="496"/>
      <c r="N626" s="496"/>
      <c r="O626" s="496"/>
      <c r="P626" s="496"/>
      <c r="Q626" s="496"/>
      <c r="R626" s="496"/>
      <c r="S626" s="496"/>
      <c r="T626" s="496"/>
      <c r="U626" s="496"/>
    </row>
    <row r="627" spans="1:21" x14ac:dyDescent="0.2">
      <c r="A627" s="146"/>
      <c r="D627" s="496"/>
    </row>
    <row r="628" spans="1:21" x14ac:dyDescent="0.2">
      <c r="A628" s="146"/>
      <c r="D628" s="496"/>
    </row>
    <row r="629" spans="1:21" s="123" customFormat="1" x14ac:dyDescent="0.2">
      <c r="A629" s="146"/>
      <c r="B629" s="496"/>
      <c r="C629" s="496"/>
      <c r="D629" s="496"/>
      <c r="E629" s="496"/>
      <c r="F629" s="496"/>
      <c r="G629" s="496"/>
      <c r="H629" s="496"/>
      <c r="I629" s="496"/>
      <c r="J629" s="496"/>
      <c r="K629" s="496"/>
      <c r="L629" s="496"/>
      <c r="M629" s="496"/>
      <c r="N629" s="496"/>
      <c r="O629" s="496"/>
      <c r="P629" s="496"/>
      <c r="Q629" s="496"/>
      <c r="R629" s="496"/>
      <c r="S629" s="496"/>
      <c r="T629" s="496"/>
      <c r="U629" s="496"/>
    </row>
    <row r="630" spans="1:21" x14ac:dyDescent="0.2">
      <c r="A630" s="146"/>
      <c r="D630" s="496"/>
    </row>
    <row r="631" spans="1:21" x14ac:dyDescent="0.2">
      <c r="A631" s="146"/>
      <c r="D631" s="496"/>
    </row>
    <row r="632" spans="1:21" s="123" customFormat="1" x14ac:dyDescent="0.2">
      <c r="A632" s="146"/>
      <c r="B632" s="496"/>
      <c r="C632" s="496"/>
      <c r="D632" s="496"/>
      <c r="E632" s="496"/>
      <c r="F632" s="496"/>
      <c r="G632" s="496"/>
      <c r="H632" s="496"/>
      <c r="I632" s="496"/>
      <c r="J632" s="496"/>
      <c r="K632" s="496"/>
      <c r="L632" s="496"/>
      <c r="M632" s="496"/>
      <c r="N632" s="496"/>
      <c r="O632" s="496"/>
      <c r="P632" s="496"/>
      <c r="Q632" s="496"/>
      <c r="R632" s="496"/>
      <c r="S632" s="496"/>
      <c r="T632" s="496"/>
      <c r="U632" s="496"/>
    </row>
    <row r="633" spans="1:21" x14ac:dyDescent="0.2">
      <c r="A633" s="146"/>
      <c r="D633" s="496"/>
    </row>
    <row r="634" spans="1:21" x14ac:dyDescent="0.2">
      <c r="A634" s="146"/>
      <c r="D634" s="496"/>
    </row>
    <row r="635" spans="1:21" s="123" customFormat="1" x14ac:dyDescent="0.2">
      <c r="A635" s="146"/>
      <c r="B635" s="496"/>
      <c r="C635" s="496"/>
      <c r="D635" s="496"/>
      <c r="E635" s="496"/>
      <c r="F635" s="496"/>
      <c r="G635" s="496"/>
      <c r="H635" s="496"/>
      <c r="I635" s="496"/>
      <c r="J635" s="496"/>
      <c r="K635" s="496"/>
      <c r="L635" s="496"/>
      <c r="M635" s="496"/>
      <c r="N635" s="496"/>
      <c r="O635" s="496"/>
      <c r="P635" s="496"/>
      <c r="Q635" s="496"/>
      <c r="R635" s="496"/>
      <c r="S635" s="496"/>
      <c r="T635" s="496"/>
      <c r="U635" s="496"/>
    </row>
    <row r="636" spans="1:21" x14ac:dyDescent="0.2">
      <c r="A636" s="146"/>
      <c r="D636" s="496"/>
    </row>
    <row r="637" spans="1:21" x14ac:dyDescent="0.2">
      <c r="A637" s="146"/>
      <c r="D637" s="496"/>
    </row>
    <row r="638" spans="1:21" s="123" customFormat="1" x14ac:dyDescent="0.2">
      <c r="A638" s="146"/>
      <c r="B638" s="496"/>
      <c r="C638" s="496"/>
      <c r="D638" s="496"/>
      <c r="E638" s="496"/>
      <c r="F638" s="496"/>
      <c r="G638" s="496"/>
      <c r="H638" s="496"/>
      <c r="I638" s="496"/>
      <c r="J638" s="496"/>
      <c r="K638" s="496"/>
      <c r="L638" s="496"/>
      <c r="M638" s="496"/>
      <c r="N638" s="496"/>
      <c r="O638" s="496"/>
      <c r="P638" s="496"/>
      <c r="Q638" s="496"/>
      <c r="R638" s="496"/>
      <c r="S638" s="496"/>
      <c r="T638" s="496"/>
      <c r="U638" s="496"/>
    </row>
    <row r="639" spans="1:21" x14ac:dyDescent="0.2">
      <c r="A639" s="146"/>
      <c r="D639" s="496"/>
    </row>
    <row r="640" spans="1:21" x14ac:dyDescent="0.2">
      <c r="A640" s="146"/>
      <c r="D640" s="496"/>
    </row>
    <row r="641" spans="1:21" s="123" customFormat="1" x14ac:dyDescent="0.2">
      <c r="A641" s="146"/>
      <c r="B641" s="496"/>
      <c r="C641" s="496"/>
      <c r="D641" s="496"/>
      <c r="E641" s="496"/>
      <c r="F641" s="496"/>
      <c r="G641" s="496"/>
      <c r="H641" s="496"/>
      <c r="I641" s="496"/>
      <c r="J641" s="496"/>
      <c r="K641" s="496"/>
      <c r="L641" s="496"/>
      <c r="M641" s="496"/>
      <c r="N641" s="496"/>
      <c r="O641" s="496"/>
      <c r="P641" s="496"/>
      <c r="Q641" s="496"/>
      <c r="R641" s="496"/>
      <c r="S641" s="496"/>
      <c r="T641" s="496"/>
      <c r="U641" s="496"/>
    </row>
    <row r="642" spans="1:21" x14ac:dyDescent="0.2">
      <c r="A642" s="146"/>
      <c r="D642" s="496"/>
    </row>
    <row r="643" spans="1:21" x14ac:dyDescent="0.2">
      <c r="A643" s="146"/>
      <c r="D643" s="496"/>
    </row>
    <row r="644" spans="1:21" s="123" customFormat="1" x14ac:dyDescent="0.2">
      <c r="A644" s="146"/>
      <c r="B644" s="496"/>
      <c r="C644" s="496"/>
      <c r="D644" s="496"/>
      <c r="E644" s="496"/>
      <c r="F644" s="496"/>
      <c r="G644" s="496"/>
      <c r="H644" s="496"/>
      <c r="I644" s="496"/>
      <c r="J644" s="496"/>
      <c r="K644" s="496"/>
      <c r="L644" s="496"/>
      <c r="M644" s="496"/>
      <c r="N644" s="496"/>
      <c r="O644" s="496"/>
      <c r="P644" s="496"/>
      <c r="Q644" s="496"/>
      <c r="R644" s="496"/>
      <c r="S644" s="496"/>
      <c r="T644" s="496"/>
      <c r="U644" s="496"/>
    </row>
    <row r="645" spans="1:21" x14ac:dyDescent="0.2">
      <c r="A645" s="146"/>
      <c r="D645" s="496"/>
    </row>
    <row r="646" spans="1:21" x14ac:dyDescent="0.2">
      <c r="A646" s="146"/>
      <c r="D646" s="496"/>
    </row>
    <row r="647" spans="1:21" s="123" customFormat="1" x14ac:dyDescent="0.2">
      <c r="A647" s="146"/>
      <c r="B647" s="496"/>
      <c r="C647" s="496"/>
      <c r="D647" s="496"/>
      <c r="E647" s="496"/>
      <c r="F647" s="496"/>
      <c r="G647" s="496"/>
      <c r="H647" s="496"/>
      <c r="I647" s="496"/>
      <c r="J647" s="496"/>
      <c r="K647" s="496"/>
      <c r="L647" s="496"/>
      <c r="M647" s="496"/>
      <c r="N647" s="496"/>
      <c r="O647" s="496"/>
      <c r="P647" s="496"/>
      <c r="Q647" s="496"/>
      <c r="R647" s="496"/>
      <c r="S647" s="496"/>
      <c r="T647" s="496"/>
      <c r="U647" s="496"/>
    </row>
    <row r="648" spans="1:21" x14ac:dyDescent="0.2">
      <c r="A648" s="146"/>
      <c r="D648" s="496"/>
    </row>
    <row r="649" spans="1:21" x14ac:dyDescent="0.2">
      <c r="A649" s="146"/>
      <c r="D649" s="496"/>
    </row>
    <row r="650" spans="1:21" s="123" customFormat="1" x14ac:dyDescent="0.2">
      <c r="A650" s="146"/>
      <c r="B650" s="496"/>
      <c r="C650" s="496"/>
      <c r="D650" s="496"/>
      <c r="E650" s="496"/>
      <c r="F650" s="496"/>
      <c r="G650" s="496"/>
      <c r="H650" s="496"/>
      <c r="I650" s="496"/>
      <c r="J650" s="496"/>
      <c r="K650" s="496"/>
      <c r="L650" s="496"/>
      <c r="M650" s="496"/>
      <c r="N650" s="496"/>
      <c r="O650" s="496"/>
      <c r="P650" s="496"/>
      <c r="Q650" s="496"/>
      <c r="R650" s="496"/>
      <c r="S650" s="496"/>
      <c r="T650" s="496"/>
      <c r="U650" s="496"/>
    </row>
    <row r="651" spans="1:21" x14ac:dyDescent="0.2">
      <c r="A651" s="146"/>
      <c r="D651" s="496"/>
    </row>
    <row r="652" spans="1:21" x14ac:dyDescent="0.2">
      <c r="A652" s="146"/>
      <c r="D652" s="496"/>
    </row>
    <row r="653" spans="1:21" s="123" customFormat="1" x14ac:dyDescent="0.2">
      <c r="A653" s="146"/>
      <c r="B653" s="496"/>
      <c r="C653" s="496"/>
      <c r="D653" s="496"/>
      <c r="E653" s="496"/>
      <c r="F653" s="496"/>
      <c r="G653" s="496"/>
      <c r="H653" s="496"/>
      <c r="I653" s="496"/>
      <c r="J653" s="496"/>
      <c r="K653" s="496"/>
      <c r="L653" s="496"/>
      <c r="M653" s="496"/>
      <c r="N653" s="496"/>
      <c r="O653" s="496"/>
      <c r="P653" s="496"/>
      <c r="Q653" s="496"/>
      <c r="R653" s="496"/>
      <c r="S653" s="496"/>
      <c r="T653" s="496"/>
      <c r="U653" s="496"/>
    </row>
    <row r="654" spans="1:21" x14ac:dyDescent="0.2">
      <c r="A654" s="146"/>
      <c r="D654" s="496"/>
    </row>
    <row r="655" spans="1:21" x14ac:dyDescent="0.2">
      <c r="A655" s="146"/>
      <c r="D655" s="496"/>
    </row>
    <row r="656" spans="1:21" s="123" customFormat="1" x14ac:dyDescent="0.2">
      <c r="A656" s="146"/>
      <c r="B656" s="496"/>
      <c r="C656" s="496"/>
      <c r="D656" s="496"/>
      <c r="E656" s="496"/>
      <c r="F656" s="496"/>
      <c r="G656" s="496"/>
      <c r="H656" s="496"/>
      <c r="I656" s="496"/>
      <c r="J656" s="496"/>
      <c r="K656" s="496"/>
      <c r="L656" s="496"/>
      <c r="M656" s="496"/>
      <c r="N656" s="496"/>
      <c r="O656" s="496"/>
      <c r="P656" s="496"/>
      <c r="Q656" s="496"/>
      <c r="R656" s="496"/>
      <c r="S656" s="496"/>
      <c r="T656" s="496"/>
      <c r="U656" s="496"/>
    </row>
    <row r="657" spans="1:21" x14ac:dyDescent="0.2">
      <c r="A657" s="146"/>
      <c r="D657" s="496"/>
    </row>
    <row r="658" spans="1:21" x14ac:dyDescent="0.2">
      <c r="A658" s="146"/>
      <c r="D658" s="496"/>
    </row>
    <row r="659" spans="1:21" s="123" customFormat="1" x14ac:dyDescent="0.2">
      <c r="A659" s="146"/>
      <c r="B659" s="496"/>
      <c r="C659" s="496"/>
      <c r="D659" s="496"/>
      <c r="E659" s="496"/>
      <c r="F659" s="496"/>
      <c r="G659" s="496"/>
      <c r="H659" s="496"/>
      <c r="I659" s="496"/>
      <c r="J659" s="496"/>
      <c r="K659" s="496"/>
      <c r="L659" s="496"/>
      <c r="M659" s="496"/>
      <c r="N659" s="496"/>
      <c r="O659" s="496"/>
      <c r="P659" s="496"/>
      <c r="Q659" s="496"/>
      <c r="R659" s="496"/>
      <c r="S659" s="496"/>
      <c r="T659" s="496"/>
      <c r="U659" s="496"/>
    </row>
    <row r="660" spans="1:21" x14ac:dyDescent="0.2">
      <c r="A660" s="146"/>
      <c r="D660" s="496"/>
    </row>
    <row r="661" spans="1:21" x14ac:dyDescent="0.2">
      <c r="A661" s="146"/>
      <c r="D661" s="496"/>
    </row>
    <row r="662" spans="1:21" s="123" customFormat="1" x14ac:dyDescent="0.2">
      <c r="A662" s="146"/>
      <c r="B662" s="496"/>
      <c r="C662" s="496"/>
      <c r="D662" s="496"/>
      <c r="E662" s="496"/>
      <c r="F662" s="496"/>
      <c r="G662" s="496"/>
      <c r="H662" s="496"/>
      <c r="I662" s="496"/>
      <c r="J662" s="496"/>
      <c r="K662" s="496"/>
      <c r="L662" s="496"/>
      <c r="M662" s="496"/>
      <c r="N662" s="496"/>
      <c r="O662" s="496"/>
      <c r="P662" s="496"/>
      <c r="Q662" s="496"/>
      <c r="R662" s="496"/>
      <c r="S662" s="496"/>
      <c r="T662" s="496"/>
      <c r="U662" s="496"/>
    </row>
    <row r="663" spans="1:21" x14ac:dyDescent="0.2">
      <c r="A663" s="146"/>
      <c r="D663" s="496"/>
    </row>
    <row r="664" spans="1:21" x14ac:dyDescent="0.2">
      <c r="A664" s="146"/>
      <c r="D664" s="496"/>
    </row>
    <row r="665" spans="1:21" s="123" customFormat="1" x14ac:dyDescent="0.2">
      <c r="A665" s="146"/>
      <c r="B665" s="496"/>
      <c r="C665" s="496"/>
      <c r="D665" s="496"/>
      <c r="E665" s="496"/>
      <c r="F665" s="496"/>
      <c r="G665" s="496"/>
      <c r="H665" s="496"/>
      <c r="I665" s="496"/>
      <c r="J665" s="496"/>
      <c r="K665" s="496"/>
      <c r="L665" s="496"/>
      <c r="M665" s="496"/>
      <c r="N665" s="496"/>
      <c r="O665" s="496"/>
      <c r="P665" s="496"/>
      <c r="Q665" s="496"/>
      <c r="R665" s="496"/>
      <c r="S665" s="496"/>
      <c r="T665" s="496"/>
      <c r="U665" s="496"/>
    </row>
    <row r="666" spans="1:21" x14ac:dyDescent="0.2">
      <c r="A666" s="146"/>
      <c r="D666" s="496"/>
    </row>
    <row r="667" spans="1:21" x14ac:dyDescent="0.2">
      <c r="A667" s="146"/>
      <c r="D667" s="496"/>
    </row>
    <row r="668" spans="1:21" s="123" customFormat="1" x14ac:dyDescent="0.2">
      <c r="A668" s="146"/>
      <c r="B668" s="496"/>
      <c r="C668" s="496"/>
      <c r="D668" s="496"/>
      <c r="E668" s="496"/>
      <c r="F668" s="496"/>
      <c r="G668" s="496"/>
      <c r="H668" s="496"/>
      <c r="I668" s="496"/>
      <c r="J668" s="496"/>
      <c r="K668" s="496"/>
      <c r="L668" s="496"/>
      <c r="M668" s="496"/>
      <c r="N668" s="496"/>
      <c r="O668" s="496"/>
      <c r="P668" s="496"/>
      <c r="Q668" s="496"/>
      <c r="R668" s="496"/>
      <c r="S668" s="496"/>
      <c r="T668" s="496"/>
      <c r="U668" s="496"/>
    </row>
    <row r="669" spans="1:21" x14ac:dyDescent="0.2">
      <c r="A669" s="146"/>
      <c r="D669" s="496"/>
    </row>
    <row r="670" spans="1:21" x14ac:dyDescent="0.2">
      <c r="A670" s="146"/>
      <c r="D670" s="496"/>
    </row>
    <row r="671" spans="1:21" s="123" customFormat="1" x14ac:dyDescent="0.2">
      <c r="A671" s="146"/>
      <c r="B671" s="496"/>
      <c r="C671" s="496"/>
      <c r="D671" s="496"/>
      <c r="E671" s="496"/>
      <c r="F671" s="496"/>
      <c r="G671" s="496"/>
      <c r="H671" s="496"/>
      <c r="I671" s="496"/>
      <c r="J671" s="496"/>
      <c r="K671" s="496"/>
      <c r="L671" s="496"/>
      <c r="M671" s="496"/>
      <c r="N671" s="496"/>
      <c r="O671" s="496"/>
      <c r="P671" s="496"/>
      <c r="Q671" s="496"/>
      <c r="R671" s="496"/>
      <c r="S671" s="496"/>
      <c r="T671" s="496"/>
      <c r="U671" s="496"/>
    </row>
    <row r="672" spans="1:21" x14ac:dyDescent="0.2">
      <c r="A672" s="146"/>
      <c r="D672" s="496"/>
    </row>
    <row r="673" spans="1:21" x14ac:dyDescent="0.2">
      <c r="A673" s="146"/>
      <c r="D673" s="496"/>
    </row>
    <row r="674" spans="1:21" s="123" customFormat="1" x14ac:dyDescent="0.2">
      <c r="A674" s="146"/>
      <c r="B674" s="496"/>
      <c r="C674" s="496"/>
      <c r="D674" s="496"/>
      <c r="E674" s="496"/>
      <c r="F674" s="496"/>
      <c r="G674" s="496"/>
      <c r="H674" s="496"/>
      <c r="I674" s="496"/>
      <c r="J674" s="496"/>
      <c r="K674" s="496"/>
      <c r="L674" s="496"/>
      <c r="M674" s="496"/>
      <c r="N674" s="496"/>
      <c r="O674" s="496"/>
      <c r="P674" s="496"/>
      <c r="Q674" s="496"/>
      <c r="R674" s="496"/>
      <c r="S674" s="496"/>
      <c r="T674" s="496"/>
      <c r="U674" s="496"/>
    </row>
    <row r="675" spans="1:21" x14ac:dyDescent="0.2">
      <c r="A675" s="146"/>
      <c r="D675" s="496"/>
    </row>
    <row r="676" spans="1:21" x14ac:dyDescent="0.2">
      <c r="A676" s="146"/>
      <c r="D676" s="496"/>
    </row>
    <row r="677" spans="1:21" s="123" customFormat="1" x14ac:dyDescent="0.2">
      <c r="A677" s="146"/>
      <c r="B677" s="496"/>
      <c r="C677" s="496"/>
      <c r="D677" s="496"/>
      <c r="E677" s="496"/>
      <c r="F677" s="496"/>
      <c r="G677" s="496"/>
      <c r="H677" s="496"/>
      <c r="I677" s="496"/>
      <c r="J677" s="496"/>
      <c r="K677" s="496"/>
      <c r="L677" s="496"/>
      <c r="M677" s="496"/>
      <c r="N677" s="496"/>
      <c r="O677" s="496"/>
      <c r="P677" s="496"/>
      <c r="Q677" s="496"/>
      <c r="R677" s="496"/>
      <c r="S677" s="496"/>
      <c r="T677" s="496"/>
      <c r="U677" s="496"/>
    </row>
    <row r="678" spans="1:21" x14ac:dyDescent="0.2">
      <c r="A678" s="146"/>
      <c r="D678" s="496"/>
    </row>
    <row r="679" spans="1:21" x14ac:dyDescent="0.2">
      <c r="A679" s="146"/>
      <c r="D679" s="496"/>
    </row>
    <row r="680" spans="1:21" s="123" customFormat="1" x14ac:dyDescent="0.2">
      <c r="A680" s="146"/>
      <c r="B680" s="496"/>
      <c r="C680" s="496"/>
      <c r="D680" s="496"/>
      <c r="E680" s="496"/>
      <c r="F680" s="496"/>
      <c r="G680" s="496"/>
      <c r="H680" s="496"/>
      <c r="I680" s="496"/>
      <c r="J680" s="496"/>
      <c r="K680" s="496"/>
      <c r="L680" s="496"/>
      <c r="M680" s="496"/>
      <c r="N680" s="496"/>
      <c r="O680" s="496"/>
      <c r="P680" s="496"/>
      <c r="Q680" s="496"/>
      <c r="R680" s="496"/>
      <c r="S680" s="496"/>
      <c r="T680" s="496"/>
      <c r="U680" s="496"/>
    </row>
    <row r="681" spans="1:21" x14ac:dyDescent="0.2">
      <c r="A681" s="146"/>
      <c r="D681" s="496"/>
    </row>
    <row r="682" spans="1:21" x14ac:dyDescent="0.2">
      <c r="A682" s="146"/>
      <c r="D682" s="496"/>
    </row>
    <row r="683" spans="1:21" s="123" customFormat="1" x14ac:dyDescent="0.2">
      <c r="A683" s="146"/>
      <c r="B683" s="496"/>
      <c r="C683" s="496"/>
      <c r="D683" s="496"/>
      <c r="E683" s="496"/>
      <c r="F683" s="496"/>
      <c r="G683" s="496"/>
      <c r="H683" s="496"/>
      <c r="I683" s="496"/>
      <c r="J683" s="496"/>
      <c r="K683" s="496"/>
      <c r="L683" s="496"/>
      <c r="M683" s="496"/>
      <c r="N683" s="496"/>
      <c r="O683" s="496"/>
      <c r="P683" s="496"/>
      <c r="Q683" s="496"/>
      <c r="R683" s="496"/>
      <c r="S683" s="496"/>
      <c r="T683" s="496"/>
      <c r="U683" s="496"/>
    </row>
    <row r="684" spans="1:21" x14ac:dyDescent="0.2">
      <c r="A684" s="146"/>
      <c r="D684" s="496"/>
    </row>
    <row r="685" spans="1:21" x14ac:dyDescent="0.2">
      <c r="A685" s="146"/>
      <c r="D685" s="496"/>
    </row>
    <row r="686" spans="1:21" s="123" customFormat="1" x14ac:dyDescent="0.2">
      <c r="A686" s="146"/>
      <c r="B686" s="496"/>
      <c r="C686" s="496"/>
      <c r="D686" s="496"/>
      <c r="E686" s="496"/>
      <c r="F686" s="496"/>
      <c r="G686" s="496"/>
      <c r="H686" s="496"/>
      <c r="I686" s="496"/>
      <c r="J686" s="496"/>
      <c r="K686" s="496"/>
      <c r="L686" s="496"/>
      <c r="M686" s="496"/>
      <c r="N686" s="496"/>
      <c r="O686" s="496"/>
      <c r="P686" s="496"/>
      <c r="Q686" s="496"/>
      <c r="R686" s="496"/>
      <c r="S686" s="496"/>
      <c r="T686" s="496"/>
      <c r="U686" s="496"/>
    </row>
    <row r="687" spans="1:21" x14ac:dyDescent="0.2">
      <c r="A687" s="146"/>
      <c r="D687" s="496"/>
    </row>
    <row r="688" spans="1:21" x14ac:dyDescent="0.2">
      <c r="A688" s="146"/>
      <c r="D688" s="496"/>
    </row>
    <row r="689" spans="1:21" s="123" customFormat="1" x14ac:dyDescent="0.2">
      <c r="A689" s="146"/>
      <c r="B689" s="496"/>
      <c r="C689" s="496"/>
      <c r="D689" s="496"/>
      <c r="E689" s="496"/>
      <c r="F689" s="496"/>
      <c r="G689" s="496"/>
      <c r="H689" s="496"/>
      <c r="I689" s="496"/>
      <c r="J689" s="496"/>
      <c r="K689" s="496"/>
      <c r="L689" s="496"/>
      <c r="M689" s="496"/>
      <c r="N689" s="496"/>
      <c r="O689" s="496"/>
      <c r="P689" s="496"/>
      <c r="Q689" s="496"/>
      <c r="R689" s="496"/>
      <c r="S689" s="496"/>
      <c r="T689" s="496"/>
      <c r="U689" s="496"/>
    </row>
    <row r="690" spans="1:21" x14ac:dyDescent="0.2">
      <c r="A690" s="146"/>
      <c r="D690" s="496"/>
    </row>
    <row r="691" spans="1:21" x14ac:dyDescent="0.2">
      <c r="A691" s="146"/>
      <c r="D691" s="496"/>
    </row>
    <row r="692" spans="1:21" s="123" customFormat="1" x14ac:dyDescent="0.2">
      <c r="A692" s="146"/>
      <c r="B692" s="496"/>
      <c r="C692" s="496"/>
      <c r="D692" s="496"/>
      <c r="E692" s="496"/>
      <c r="F692" s="496"/>
      <c r="G692" s="496"/>
      <c r="H692" s="496"/>
      <c r="I692" s="496"/>
      <c r="J692" s="496"/>
      <c r="K692" s="496"/>
      <c r="L692" s="496"/>
      <c r="M692" s="496"/>
      <c r="N692" s="496"/>
      <c r="O692" s="496"/>
      <c r="P692" s="496"/>
      <c r="Q692" s="496"/>
      <c r="R692" s="496"/>
      <c r="S692" s="496"/>
      <c r="T692" s="496"/>
      <c r="U692" s="496"/>
    </row>
    <row r="693" spans="1:21" x14ac:dyDescent="0.2">
      <c r="A693" s="146"/>
      <c r="D693" s="496"/>
    </row>
    <row r="694" spans="1:21" x14ac:dyDescent="0.2">
      <c r="A694" s="146"/>
      <c r="D694" s="496"/>
    </row>
    <row r="695" spans="1:21" s="123" customFormat="1" x14ac:dyDescent="0.2">
      <c r="A695" s="146"/>
      <c r="B695" s="496"/>
      <c r="C695" s="496"/>
      <c r="D695" s="496"/>
      <c r="E695" s="496"/>
      <c r="F695" s="496"/>
      <c r="G695" s="496"/>
      <c r="H695" s="496"/>
      <c r="I695" s="496"/>
      <c r="J695" s="496"/>
      <c r="K695" s="496"/>
      <c r="L695" s="496"/>
      <c r="M695" s="496"/>
      <c r="N695" s="496"/>
      <c r="O695" s="496"/>
      <c r="P695" s="496"/>
      <c r="Q695" s="496"/>
      <c r="R695" s="496"/>
      <c r="S695" s="496"/>
      <c r="T695" s="496"/>
      <c r="U695" s="496"/>
    </row>
    <row r="696" spans="1:21" x14ac:dyDescent="0.2">
      <c r="A696" s="146"/>
      <c r="D696" s="496"/>
    </row>
    <row r="697" spans="1:21" x14ac:dyDescent="0.2">
      <c r="A697" s="146"/>
      <c r="D697" s="496"/>
    </row>
    <row r="698" spans="1:21" s="123" customFormat="1" x14ac:dyDescent="0.2">
      <c r="A698" s="146"/>
      <c r="B698" s="496"/>
      <c r="C698" s="496"/>
      <c r="D698" s="496"/>
      <c r="E698" s="496"/>
      <c r="F698" s="496"/>
      <c r="G698" s="496"/>
      <c r="H698" s="496"/>
      <c r="I698" s="496"/>
      <c r="J698" s="496"/>
      <c r="K698" s="496"/>
      <c r="L698" s="496"/>
      <c r="M698" s="496"/>
      <c r="N698" s="496"/>
      <c r="O698" s="496"/>
      <c r="P698" s="496"/>
      <c r="Q698" s="496"/>
      <c r="R698" s="496"/>
      <c r="S698" s="496"/>
      <c r="T698" s="496"/>
      <c r="U698" s="496"/>
    </row>
    <row r="699" spans="1:21" x14ac:dyDescent="0.2">
      <c r="A699" s="146"/>
      <c r="D699" s="496"/>
    </row>
    <row r="700" spans="1:21" x14ac:dyDescent="0.2">
      <c r="A700" s="146"/>
      <c r="D700" s="496"/>
    </row>
    <row r="701" spans="1:21" s="123" customFormat="1" x14ac:dyDescent="0.2">
      <c r="A701" s="146"/>
      <c r="B701" s="496"/>
      <c r="C701" s="496"/>
      <c r="D701" s="496"/>
      <c r="E701" s="496"/>
      <c r="F701" s="496"/>
      <c r="G701" s="496"/>
      <c r="H701" s="496"/>
      <c r="I701" s="496"/>
      <c r="J701" s="496"/>
      <c r="K701" s="496"/>
      <c r="L701" s="496"/>
      <c r="M701" s="496"/>
      <c r="N701" s="496"/>
      <c r="O701" s="496"/>
      <c r="P701" s="496"/>
      <c r="Q701" s="496"/>
      <c r="R701" s="496"/>
      <c r="S701" s="496"/>
      <c r="T701" s="496"/>
      <c r="U701" s="496"/>
    </row>
    <row r="702" spans="1:21" x14ac:dyDescent="0.2">
      <c r="A702" s="146"/>
      <c r="D702" s="496"/>
    </row>
    <row r="703" spans="1:21" x14ac:dyDescent="0.2">
      <c r="A703" s="146"/>
      <c r="D703" s="496"/>
    </row>
    <row r="704" spans="1:21" s="123" customFormat="1" x14ac:dyDescent="0.2">
      <c r="A704" s="146"/>
      <c r="B704" s="496"/>
      <c r="C704" s="496"/>
      <c r="D704" s="496"/>
      <c r="E704" s="496"/>
      <c r="F704" s="496"/>
      <c r="G704" s="496"/>
      <c r="H704" s="496"/>
      <c r="I704" s="496"/>
      <c r="J704" s="496"/>
      <c r="K704" s="496"/>
      <c r="L704" s="496"/>
      <c r="M704" s="496"/>
      <c r="N704" s="496"/>
      <c r="O704" s="496"/>
      <c r="P704" s="496"/>
      <c r="Q704" s="496"/>
      <c r="R704" s="496"/>
      <c r="S704" s="496"/>
      <c r="T704" s="496"/>
      <c r="U704" s="496"/>
    </row>
    <row r="705" spans="1:21" x14ac:dyDescent="0.2">
      <c r="A705" s="146"/>
      <c r="D705" s="496"/>
    </row>
    <row r="706" spans="1:21" x14ac:dyDescent="0.2">
      <c r="A706" s="146"/>
      <c r="D706" s="496"/>
    </row>
    <row r="707" spans="1:21" s="123" customFormat="1" x14ac:dyDescent="0.2">
      <c r="A707" s="146"/>
      <c r="B707" s="496"/>
      <c r="C707" s="496"/>
      <c r="D707" s="496"/>
      <c r="E707" s="496"/>
      <c r="F707" s="496"/>
      <c r="G707" s="496"/>
      <c r="H707" s="496"/>
      <c r="I707" s="496"/>
      <c r="J707" s="496"/>
      <c r="K707" s="496"/>
      <c r="L707" s="496"/>
      <c r="M707" s="496"/>
      <c r="N707" s="496"/>
      <c r="O707" s="496"/>
      <c r="P707" s="496"/>
      <c r="Q707" s="496"/>
      <c r="R707" s="496"/>
      <c r="S707" s="496"/>
      <c r="T707" s="496"/>
      <c r="U707" s="496"/>
    </row>
    <row r="708" spans="1:21" x14ac:dyDescent="0.2">
      <c r="A708" s="146"/>
      <c r="D708" s="496"/>
    </row>
    <row r="709" spans="1:21" x14ac:dyDescent="0.2">
      <c r="A709" s="146"/>
      <c r="D709" s="496"/>
    </row>
    <row r="710" spans="1:21" s="123" customFormat="1" x14ac:dyDescent="0.2">
      <c r="A710" s="146"/>
      <c r="B710" s="496"/>
      <c r="C710" s="496"/>
      <c r="D710" s="496"/>
      <c r="E710" s="496"/>
      <c r="F710" s="496"/>
      <c r="G710" s="496"/>
      <c r="H710" s="496"/>
      <c r="I710" s="496"/>
      <c r="J710" s="496"/>
      <c r="K710" s="496"/>
      <c r="L710" s="496"/>
      <c r="M710" s="496"/>
      <c r="N710" s="496"/>
      <c r="O710" s="496"/>
      <c r="P710" s="496"/>
      <c r="Q710" s="496"/>
      <c r="R710" s="496"/>
      <c r="S710" s="496"/>
      <c r="T710" s="496"/>
      <c r="U710" s="496"/>
    </row>
    <row r="711" spans="1:21" x14ac:dyDescent="0.2">
      <c r="A711" s="146"/>
      <c r="D711" s="496"/>
    </row>
    <row r="712" spans="1:21" x14ac:dyDescent="0.2">
      <c r="A712" s="146"/>
      <c r="D712" s="496"/>
    </row>
    <row r="713" spans="1:21" s="123" customFormat="1" x14ac:dyDescent="0.2">
      <c r="A713" s="146"/>
      <c r="B713" s="496"/>
      <c r="C713" s="496"/>
      <c r="D713" s="496"/>
      <c r="E713" s="496"/>
      <c r="F713" s="496"/>
      <c r="G713" s="496"/>
      <c r="H713" s="496"/>
      <c r="I713" s="496"/>
      <c r="J713" s="496"/>
      <c r="K713" s="496"/>
      <c r="L713" s="496"/>
      <c r="M713" s="496"/>
      <c r="N713" s="496"/>
      <c r="O713" s="496"/>
      <c r="P713" s="496"/>
      <c r="Q713" s="496"/>
      <c r="R713" s="496"/>
      <c r="S713" s="496"/>
      <c r="T713" s="496"/>
      <c r="U713" s="496"/>
    </row>
    <row r="714" spans="1:21" x14ac:dyDescent="0.2">
      <c r="A714" s="146"/>
      <c r="D714" s="496"/>
    </row>
    <row r="715" spans="1:21" x14ac:dyDescent="0.2">
      <c r="A715" s="146"/>
      <c r="D715" s="496"/>
    </row>
    <row r="716" spans="1:21" s="123" customFormat="1" x14ac:dyDescent="0.2">
      <c r="A716" s="146"/>
      <c r="B716" s="496"/>
      <c r="C716" s="496"/>
      <c r="D716" s="496"/>
      <c r="E716" s="496"/>
      <c r="F716" s="496"/>
      <c r="G716" s="496"/>
      <c r="H716" s="496"/>
      <c r="I716" s="496"/>
      <c r="J716" s="496"/>
      <c r="K716" s="496"/>
      <c r="L716" s="496"/>
      <c r="M716" s="496"/>
      <c r="N716" s="496"/>
      <c r="O716" s="496"/>
      <c r="P716" s="496"/>
      <c r="Q716" s="496"/>
      <c r="R716" s="496"/>
      <c r="S716" s="496"/>
      <c r="T716" s="496"/>
      <c r="U716" s="496"/>
    </row>
    <row r="717" spans="1:21" x14ac:dyDescent="0.2">
      <c r="A717" s="146"/>
      <c r="D717" s="496"/>
    </row>
    <row r="718" spans="1:21" x14ac:dyDescent="0.2">
      <c r="A718" s="146"/>
      <c r="D718" s="496"/>
    </row>
    <row r="719" spans="1:21" s="123" customFormat="1" x14ac:dyDescent="0.2">
      <c r="A719" s="146"/>
      <c r="B719" s="496"/>
      <c r="C719" s="496"/>
      <c r="D719" s="496"/>
      <c r="E719" s="496"/>
      <c r="F719" s="496"/>
      <c r="G719" s="496"/>
      <c r="H719" s="496"/>
      <c r="I719" s="496"/>
      <c r="J719" s="496"/>
      <c r="K719" s="496"/>
      <c r="L719" s="496"/>
      <c r="M719" s="496"/>
      <c r="N719" s="496"/>
      <c r="O719" s="496"/>
      <c r="P719" s="496"/>
      <c r="Q719" s="496"/>
      <c r="R719" s="496"/>
      <c r="S719" s="496"/>
      <c r="T719" s="496"/>
      <c r="U719" s="496"/>
    </row>
    <row r="720" spans="1:21" x14ac:dyDescent="0.2">
      <c r="A720" s="146"/>
      <c r="D720" s="496"/>
    </row>
    <row r="721" spans="1:21" x14ac:dyDescent="0.2">
      <c r="A721" s="146"/>
      <c r="D721" s="496"/>
    </row>
    <row r="722" spans="1:21" s="123" customFormat="1" x14ac:dyDescent="0.2">
      <c r="A722" s="146"/>
      <c r="B722" s="496"/>
      <c r="C722" s="496"/>
      <c r="D722" s="496"/>
      <c r="E722" s="496"/>
      <c r="F722" s="496"/>
      <c r="G722" s="496"/>
      <c r="H722" s="496"/>
      <c r="I722" s="496"/>
      <c r="J722" s="496"/>
      <c r="K722" s="496"/>
      <c r="L722" s="496"/>
      <c r="M722" s="496"/>
      <c r="N722" s="496"/>
      <c r="O722" s="496"/>
      <c r="P722" s="496"/>
      <c r="Q722" s="496"/>
      <c r="R722" s="496"/>
      <c r="S722" s="496"/>
      <c r="T722" s="496"/>
      <c r="U722" s="496"/>
    </row>
    <row r="723" spans="1:21" x14ac:dyDescent="0.2">
      <c r="A723" s="146"/>
      <c r="D723" s="496"/>
    </row>
    <row r="724" spans="1:21" x14ac:dyDescent="0.2">
      <c r="A724" s="146"/>
      <c r="D724" s="496"/>
    </row>
    <row r="725" spans="1:21" s="123" customFormat="1" x14ac:dyDescent="0.2">
      <c r="A725" s="146"/>
      <c r="B725" s="496"/>
      <c r="C725" s="496"/>
      <c r="D725" s="496"/>
      <c r="E725" s="496"/>
      <c r="F725" s="496"/>
      <c r="G725" s="496"/>
      <c r="H725" s="496"/>
      <c r="I725" s="496"/>
      <c r="J725" s="496"/>
      <c r="K725" s="496"/>
      <c r="L725" s="496"/>
      <c r="M725" s="496"/>
      <c r="N725" s="496"/>
      <c r="O725" s="496"/>
      <c r="P725" s="496"/>
      <c r="Q725" s="496"/>
      <c r="R725" s="496"/>
      <c r="S725" s="496"/>
      <c r="T725" s="496"/>
      <c r="U725" s="496"/>
    </row>
    <row r="726" spans="1:21" x14ac:dyDescent="0.2">
      <c r="A726" s="146"/>
      <c r="D726" s="496"/>
    </row>
    <row r="727" spans="1:21" x14ac:dyDescent="0.2">
      <c r="A727" s="146"/>
      <c r="D727" s="496"/>
    </row>
    <row r="728" spans="1:21" s="123" customFormat="1" x14ac:dyDescent="0.2">
      <c r="A728" s="146"/>
      <c r="B728" s="496"/>
      <c r="C728" s="496"/>
      <c r="D728" s="496"/>
      <c r="E728" s="496"/>
      <c r="F728" s="496"/>
      <c r="G728" s="496"/>
      <c r="H728" s="496"/>
      <c r="I728" s="496"/>
      <c r="J728" s="496"/>
      <c r="K728" s="496"/>
      <c r="L728" s="496"/>
      <c r="M728" s="496"/>
      <c r="N728" s="496"/>
      <c r="O728" s="496"/>
      <c r="P728" s="496"/>
      <c r="Q728" s="496"/>
      <c r="R728" s="496"/>
      <c r="S728" s="496"/>
      <c r="T728" s="496"/>
      <c r="U728" s="496"/>
    </row>
    <row r="729" spans="1:21" x14ac:dyDescent="0.2">
      <c r="A729" s="146"/>
      <c r="D729" s="496"/>
    </row>
    <row r="730" spans="1:21" x14ac:dyDescent="0.2">
      <c r="A730" s="146"/>
      <c r="D730" s="496"/>
    </row>
    <row r="731" spans="1:21" s="123" customFormat="1" x14ac:dyDescent="0.2">
      <c r="A731" s="146"/>
      <c r="B731" s="496"/>
      <c r="C731" s="496"/>
      <c r="D731" s="496"/>
      <c r="E731" s="496"/>
      <c r="F731" s="496"/>
      <c r="G731" s="496"/>
      <c r="H731" s="496"/>
      <c r="I731" s="496"/>
      <c r="J731" s="496"/>
      <c r="K731" s="496"/>
      <c r="L731" s="496"/>
      <c r="M731" s="496"/>
      <c r="N731" s="496"/>
      <c r="O731" s="496"/>
      <c r="P731" s="496"/>
      <c r="Q731" s="496"/>
      <c r="R731" s="496"/>
      <c r="S731" s="496"/>
      <c r="T731" s="496"/>
      <c r="U731" s="496"/>
    </row>
    <row r="732" spans="1:21" x14ac:dyDescent="0.2">
      <c r="A732" s="146"/>
      <c r="D732" s="496"/>
    </row>
    <row r="733" spans="1:21" x14ac:dyDescent="0.2">
      <c r="A733" s="146"/>
      <c r="D733" s="496"/>
    </row>
    <row r="734" spans="1:21" s="123" customFormat="1" x14ac:dyDescent="0.2">
      <c r="A734" s="146"/>
      <c r="B734" s="496"/>
      <c r="C734" s="496"/>
      <c r="D734" s="496"/>
      <c r="E734" s="496"/>
      <c r="F734" s="496"/>
      <c r="G734" s="496"/>
      <c r="H734" s="496"/>
      <c r="I734" s="496"/>
      <c r="J734" s="496"/>
      <c r="K734" s="496"/>
      <c r="L734" s="496"/>
      <c r="M734" s="496"/>
      <c r="N734" s="496"/>
      <c r="O734" s="496"/>
      <c r="P734" s="496"/>
      <c r="Q734" s="496"/>
      <c r="R734" s="496"/>
      <c r="S734" s="496"/>
      <c r="T734" s="496"/>
      <c r="U734" s="496"/>
    </row>
    <row r="735" spans="1:21" x14ac:dyDescent="0.2">
      <c r="A735" s="146"/>
      <c r="D735" s="496"/>
    </row>
    <row r="736" spans="1:21" x14ac:dyDescent="0.2">
      <c r="A736" s="146"/>
      <c r="D736" s="496"/>
    </row>
    <row r="737" spans="1:21" s="123" customFormat="1" x14ac:dyDescent="0.2">
      <c r="A737" s="146"/>
      <c r="B737" s="496"/>
      <c r="C737" s="496"/>
      <c r="D737" s="496"/>
      <c r="E737" s="496"/>
      <c r="F737" s="496"/>
      <c r="G737" s="496"/>
      <c r="H737" s="496"/>
      <c r="I737" s="496"/>
      <c r="J737" s="496"/>
      <c r="K737" s="496"/>
      <c r="L737" s="496"/>
      <c r="M737" s="496"/>
      <c r="N737" s="496"/>
      <c r="O737" s="496"/>
      <c r="P737" s="496"/>
      <c r="Q737" s="496"/>
      <c r="R737" s="496"/>
      <c r="S737" s="496"/>
      <c r="T737" s="496"/>
      <c r="U737" s="496"/>
    </row>
    <row r="738" spans="1:21" x14ac:dyDescent="0.2">
      <c r="A738" s="146"/>
      <c r="D738" s="496"/>
    </row>
    <row r="739" spans="1:21" x14ac:dyDescent="0.2">
      <c r="A739" s="146"/>
      <c r="D739" s="496"/>
    </row>
    <row r="740" spans="1:21" s="123" customFormat="1" x14ac:dyDescent="0.2">
      <c r="A740" s="146"/>
      <c r="B740" s="496"/>
      <c r="C740" s="496"/>
      <c r="D740" s="496"/>
      <c r="E740" s="496"/>
      <c r="F740" s="496"/>
      <c r="G740" s="496"/>
      <c r="H740" s="496"/>
      <c r="I740" s="496"/>
      <c r="J740" s="496"/>
      <c r="K740" s="496"/>
      <c r="L740" s="496"/>
      <c r="M740" s="496"/>
      <c r="N740" s="496"/>
      <c r="O740" s="496"/>
      <c r="P740" s="496"/>
      <c r="Q740" s="496"/>
      <c r="R740" s="496"/>
      <c r="S740" s="496"/>
      <c r="T740" s="496"/>
      <c r="U740" s="496"/>
    </row>
    <row r="741" spans="1:21" x14ac:dyDescent="0.2">
      <c r="A741" s="146"/>
      <c r="D741" s="496"/>
    </row>
    <row r="742" spans="1:21" x14ac:dyDescent="0.2">
      <c r="A742" s="146"/>
      <c r="D742" s="496"/>
    </row>
    <row r="743" spans="1:21" s="123" customFormat="1" x14ac:dyDescent="0.2">
      <c r="A743" s="146"/>
      <c r="B743" s="496"/>
      <c r="C743" s="496"/>
      <c r="D743" s="496"/>
      <c r="E743" s="496"/>
      <c r="F743" s="496"/>
      <c r="G743" s="496"/>
      <c r="H743" s="496"/>
      <c r="I743" s="496"/>
      <c r="J743" s="496"/>
      <c r="K743" s="496"/>
      <c r="L743" s="496"/>
      <c r="M743" s="496"/>
      <c r="N743" s="496"/>
      <c r="O743" s="496"/>
      <c r="P743" s="496"/>
      <c r="Q743" s="496"/>
      <c r="R743" s="496"/>
      <c r="S743" s="496"/>
      <c r="T743" s="496"/>
      <c r="U743" s="496"/>
    </row>
    <row r="744" spans="1:21" x14ac:dyDescent="0.2">
      <c r="A744" s="146"/>
      <c r="D744" s="496"/>
    </row>
    <row r="745" spans="1:21" x14ac:dyDescent="0.2">
      <c r="A745" s="146"/>
      <c r="D745" s="496"/>
    </row>
    <row r="746" spans="1:21" s="123" customFormat="1" x14ac:dyDescent="0.2">
      <c r="A746" s="146"/>
      <c r="B746" s="496"/>
      <c r="C746" s="496"/>
      <c r="D746" s="496"/>
      <c r="E746" s="496"/>
      <c r="F746" s="496"/>
      <c r="G746" s="496"/>
      <c r="H746" s="496"/>
      <c r="I746" s="496"/>
      <c r="J746" s="496"/>
      <c r="K746" s="496"/>
      <c r="L746" s="496"/>
      <c r="M746" s="496"/>
      <c r="N746" s="496"/>
      <c r="O746" s="496"/>
      <c r="P746" s="496"/>
      <c r="Q746" s="496"/>
      <c r="R746" s="496"/>
      <c r="S746" s="496"/>
      <c r="T746" s="496"/>
      <c r="U746" s="496"/>
    </row>
    <row r="747" spans="1:21" x14ac:dyDescent="0.2">
      <c r="A747" s="146"/>
      <c r="D747" s="496"/>
    </row>
    <row r="748" spans="1:21" x14ac:dyDescent="0.2">
      <c r="A748" s="146"/>
      <c r="D748" s="496"/>
    </row>
    <row r="749" spans="1:21" s="123" customFormat="1" x14ac:dyDescent="0.2">
      <c r="A749" s="146"/>
      <c r="B749" s="496"/>
      <c r="C749" s="496"/>
      <c r="D749" s="496"/>
      <c r="E749" s="496"/>
      <c r="F749" s="496"/>
      <c r="G749" s="496"/>
      <c r="H749" s="496"/>
      <c r="I749" s="496"/>
      <c r="J749" s="496"/>
      <c r="K749" s="496"/>
      <c r="L749" s="496"/>
      <c r="M749" s="496"/>
      <c r="N749" s="496"/>
      <c r="O749" s="496"/>
      <c r="P749" s="496"/>
      <c r="Q749" s="496"/>
      <c r="R749" s="496"/>
      <c r="S749" s="496"/>
      <c r="T749" s="496"/>
      <c r="U749" s="496"/>
    </row>
    <row r="750" spans="1:21" x14ac:dyDescent="0.2">
      <c r="A750" s="146"/>
      <c r="D750" s="496"/>
    </row>
    <row r="751" spans="1:21" x14ac:dyDescent="0.2">
      <c r="A751" s="146"/>
      <c r="D751" s="496"/>
    </row>
    <row r="752" spans="1:21" s="123" customFormat="1" x14ac:dyDescent="0.2">
      <c r="A752" s="146"/>
      <c r="B752" s="496"/>
      <c r="C752" s="496"/>
      <c r="D752" s="496"/>
      <c r="E752" s="496"/>
      <c r="F752" s="496"/>
      <c r="G752" s="496"/>
      <c r="H752" s="496"/>
      <c r="I752" s="496"/>
      <c r="J752" s="496"/>
      <c r="K752" s="496"/>
      <c r="L752" s="496"/>
      <c r="M752" s="496"/>
      <c r="N752" s="496"/>
      <c r="O752" s="496"/>
      <c r="P752" s="496"/>
      <c r="Q752" s="496"/>
      <c r="R752" s="496"/>
      <c r="S752" s="496"/>
      <c r="T752" s="496"/>
      <c r="U752" s="496"/>
    </row>
    <row r="753" spans="1:21" x14ac:dyDescent="0.2">
      <c r="A753" s="146"/>
      <c r="D753" s="496"/>
    </row>
    <row r="754" spans="1:21" x14ac:dyDescent="0.2">
      <c r="A754" s="146"/>
      <c r="D754" s="496"/>
    </row>
    <row r="755" spans="1:21" s="123" customFormat="1" x14ac:dyDescent="0.2">
      <c r="A755" s="146"/>
      <c r="B755" s="496"/>
      <c r="C755" s="496"/>
      <c r="D755" s="496"/>
      <c r="E755" s="496"/>
      <c r="F755" s="496"/>
      <c r="G755" s="496"/>
      <c r="H755" s="496"/>
      <c r="I755" s="496"/>
      <c r="J755" s="496"/>
      <c r="K755" s="496"/>
      <c r="L755" s="496"/>
      <c r="M755" s="496"/>
      <c r="N755" s="496"/>
      <c r="O755" s="496"/>
      <c r="P755" s="496"/>
      <c r="Q755" s="496"/>
      <c r="R755" s="496"/>
      <c r="S755" s="496"/>
      <c r="T755" s="496"/>
      <c r="U755" s="496"/>
    </row>
    <row r="756" spans="1:21" x14ac:dyDescent="0.2">
      <c r="A756" s="146"/>
      <c r="D756" s="496"/>
    </row>
    <row r="757" spans="1:21" x14ac:dyDescent="0.2">
      <c r="A757" s="146"/>
      <c r="D757" s="496"/>
    </row>
    <row r="758" spans="1:21" s="123" customFormat="1" x14ac:dyDescent="0.2">
      <c r="A758" s="146"/>
      <c r="B758" s="496"/>
      <c r="C758" s="496"/>
      <c r="D758" s="496"/>
      <c r="E758" s="496"/>
      <c r="F758" s="496"/>
      <c r="G758" s="496"/>
      <c r="H758" s="496"/>
      <c r="I758" s="496"/>
      <c r="J758" s="496"/>
      <c r="K758" s="496"/>
      <c r="L758" s="496"/>
      <c r="M758" s="496"/>
      <c r="N758" s="496"/>
      <c r="O758" s="496"/>
      <c r="P758" s="496"/>
      <c r="Q758" s="496"/>
      <c r="R758" s="496"/>
      <c r="S758" s="496"/>
      <c r="T758" s="496"/>
      <c r="U758" s="496"/>
    </row>
    <row r="759" spans="1:21" x14ac:dyDescent="0.2">
      <c r="A759" s="146"/>
      <c r="D759" s="496"/>
    </row>
    <row r="760" spans="1:21" x14ac:dyDescent="0.2">
      <c r="A760" s="146"/>
      <c r="D760" s="496"/>
    </row>
    <row r="761" spans="1:21" s="123" customFormat="1" x14ac:dyDescent="0.2">
      <c r="A761" s="146"/>
      <c r="B761" s="496"/>
      <c r="C761" s="496"/>
      <c r="D761" s="496"/>
      <c r="E761" s="496"/>
      <c r="F761" s="496"/>
      <c r="G761" s="496"/>
      <c r="H761" s="496"/>
      <c r="I761" s="496"/>
      <c r="J761" s="496"/>
      <c r="K761" s="496"/>
      <c r="L761" s="496"/>
      <c r="M761" s="496"/>
      <c r="N761" s="496"/>
      <c r="O761" s="496"/>
      <c r="P761" s="496"/>
      <c r="Q761" s="496"/>
      <c r="R761" s="496"/>
      <c r="S761" s="496"/>
      <c r="T761" s="496"/>
      <c r="U761" s="496"/>
    </row>
    <row r="762" spans="1:21" x14ac:dyDescent="0.2">
      <c r="A762" s="146"/>
      <c r="D762" s="496"/>
    </row>
    <row r="763" spans="1:21" x14ac:dyDescent="0.2">
      <c r="A763" s="146"/>
      <c r="D763" s="496"/>
    </row>
    <row r="764" spans="1:21" s="123" customFormat="1" x14ac:dyDescent="0.2">
      <c r="A764" s="146"/>
      <c r="B764" s="496"/>
      <c r="C764" s="496"/>
      <c r="D764" s="496"/>
      <c r="E764" s="496"/>
      <c r="F764" s="496"/>
      <c r="G764" s="496"/>
      <c r="H764" s="496"/>
      <c r="I764" s="496"/>
      <c r="J764" s="496"/>
      <c r="K764" s="496"/>
      <c r="L764" s="496"/>
      <c r="M764" s="496"/>
      <c r="N764" s="496"/>
      <c r="O764" s="496"/>
      <c r="P764" s="496"/>
      <c r="Q764" s="496"/>
      <c r="R764" s="496"/>
      <c r="S764" s="496"/>
      <c r="T764" s="496"/>
      <c r="U764" s="496"/>
    </row>
    <row r="765" spans="1:21" x14ac:dyDescent="0.2">
      <c r="A765" s="146"/>
      <c r="D765" s="496"/>
    </row>
    <row r="766" spans="1:21" x14ac:dyDescent="0.2">
      <c r="A766" s="146"/>
      <c r="D766" s="496"/>
    </row>
    <row r="767" spans="1:21" s="123" customFormat="1" x14ac:dyDescent="0.2">
      <c r="A767" s="146"/>
      <c r="B767" s="496"/>
      <c r="C767" s="496"/>
      <c r="D767" s="496"/>
      <c r="E767" s="496"/>
      <c r="F767" s="496"/>
      <c r="G767" s="496"/>
      <c r="H767" s="496"/>
      <c r="I767" s="496"/>
      <c r="J767" s="496"/>
      <c r="K767" s="496"/>
      <c r="L767" s="496"/>
      <c r="M767" s="496"/>
      <c r="N767" s="496"/>
      <c r="O767" s="496"/>
      <c r="P767" s="496"/>
      <c r="Q767" s="496"/>
      <c r="R767" s="496"/>
      <c r="S767" s="496"/>
      <c r="T767" s="496"/>
      <c r="U767" s="496"/>
    </row>
    <row r="768" spans="1:21" x14ac:dyDescent="0.2">
      <c r="A768" s="146"/>
      <c r="D768" s="496"/>
    </row>
    <row r="769" spans="1:21" x14ac:dyDescent="0.2">
      <c r="A769" s="146"/>
      <c r="D769" s="496"/>
    </row>
    <row r="770" spans="1:21" s="123" customFormat="1" x14ac:dyDescent="0.2">
      <c r="A770" s="146"/>
      <c r="B770" s="496"/>
      <c r="C770" s="496"/>
      <c r="D770" s="496"/>
      <c r="E770" s="496"/>
      <c r="F770" s="496"/>
      <c r="G770" s="496"/>
      <c r="H770" s="496"/>
      <c r="I770" s="496"/>
      <c r="J770" s="496"/>
      <c r="K770" s="496"/>
      <c r="L770" s="496"/>
      <c r="M770" s="496"/>
      <c r="N770" s="496"/>
      <c r="O770" s="496"/>
      <c r="P770" s="496"/>
      <c r="Q770" s="496"/>
      <c r="R770" s="496"/>
      <c r="S770" s="496"/>
      <c r="T770" s="496"/>
      <c r="U770" s="496"/>
    </row>
    <row r="771" spans="1:21" x14ac:dyDescent="0.2">
      <c r="A771" s="146"/>
      <c r="D771" s="496"/>
    </row>
    <row r="772" spans="1:21" x14ac:dyDescent="0.2">
      <c r="A772" s="146"/>
      <c r="D772" s="496"/>
    </row>
    <row r="773" spans="1:21" s="123" customFormat="1" x14ac:dyDescent="0.2">
      <c r="A773" s="146"/>
      <c r="B773" s="496"/>
      <c r="C773" s="496"/>
      <c r="D773" s="496"/>
      <c r="E773" s="496"/>
      <c r="F773" s="496"/>
      <c r="G773" s="496"/>
      <c r="H773" s="496"/>
      <c r="I773" s="496"/>
      <c r="J773" s="496"/>
      <c r="K773" s="496"/>
      <c r="L773" s="496"/>
      <c r="M773" s="496"/>
      <c r="N773" s="496"/>
      <c r="O773" s="496"/>
      <c r="P773" s="496"/>
      <c r="Q773" s="496"/>
      <c r="R773" s="496"/>
      <c r="S773" s="496"/>
      <c r="T773" s="496"/>
      <c r="U773" s="496"/>
    </row>
    <row r="774" spans="1:21" x14ac:dyDescent="0.2">
      <c r="A774" s="146"/>
      <c r="D774" s="496"/>
    </row>
    <row r="775" spans="1:21" x14ac:dyDescent="0.2">
      <c r="A775" s="146"/>
      <c r="D775" s="496"/>
    </row>
    <row r="776" spans="1:21" s="123" customFormat="1" x14ac:dyDescent="0.2">
      <c r="A776" s="146"/>
      <c r="B776" s="496"/>
      <c r="C776" s="496"/>
      <c r="D776" s="496"/>
      <c r="E776" s="496"/>
      <c r="F776" s="496"/>
      <c r="G776" s="496"/>
      <c r="H776" s="496"/>
      <c r="I776" s="496"/>
      <c r="J776" s="496"/>
      <c r="K776" s="496"/>
      <c r="L776" s="496"/>
      <c r="M776" s="496"/>
      <c r="N776" s="496"/>
      <c r="O776" s="496"/>
      <c r="P776" s="496"/>
      <c r="Q776" s="496"/>
      <c r="R776" s="496"/>
      <c r="S776" s="496"/>
      <c r="T776" s="496"/>
      <c r="U776" s="496"/>
    </row>
    <row r="777" spans="1:21" x14ac:dyDescent="0.2">
      <c r="A777" s="146"/>
      <c r="D777" s="496"/>
    </row>
    <row r="778" spans="1:21" x14ac:dyDescent="0.2">
      <c r="A778" s="146"/>
      <c r="D778" s="496"/>
    </row>
    <row r="779" spans="1:21" s="123" customFormat="1" x14ac:dyDescent="0.2">
      <c r="A779" s="146"/>
      <c r="B779" s="496"/>
      <c r="C779" s="496"/>
      <c r="D779" s="496"/>
      <c r="E779" s="496"/>
      <c r="F779" s="496"/>
      <c r="G779" s="496"/>
      <c r="H779" s="496"/>
      <c r="I779" s="496"/>
      <c r="J779" s="496"/>
      <c r="K779" s="496"/>
      <c r="L779" s="496"/>
      <c r="M779" s="496"/>
      <c r="N779" s="496"/>
      <c r="O779" s="496"/>
      <c r="P779" s="496"/>
      <c r="Q779" s="496"/>
      <c r="R779" s="496"/>
      <c r="S779" s="496"/>
      <c r="T779" s="496"/>
      <c r="U779" s="496"/>
    </row>
    <row r="780" spans="1:21" x14ac:dyDescent="0.2">
      <c r="A780" s="146"/>
      <c r="D780" s="496"/>
    </row>
    <row r="781" spans="1:21" x14ac:dyDescent="0.2">
      <c r="A781" s="146"/>
      <c r="D781" s="496"/>
    </row>
    <row r="782" spans="1:21" s="123" customFormat="1" x14ac:dyDescent="0.2">
      <c r="A782" s="146"/>
      <c r="B782" s="496"/>
      <c r="C782" s="496"/>
      <c r="D782" s="496"/>
      <c r="E782" s="496"/>
      <c r="F782" s="496"/>
      <c r="G782" s="496"/>
      <c r="H782" s="496"/>
      <c r="I782" s="496"/>
      <c r="J782" s="496"/>
      <c r="K782" s="496"/>
      <c r="L782" s="496"/>
      <c r="M782" s="496"/>
      <c r="N782" s="496"/>
      <c r="O782" s="496"/>
      <c r="P782" s="496"/>
      <c r="Q782" s="496"/>
      <c r="R782" s="496"/>
      <c r="S782" s="496"/>
      <c r="T782" s="496"/>
      <c r="U782" s="496"/>
    </row>
    <row r="783" spans="1:21" x14ac:dyDescent="0.2">
      <c r="A783" s="146"/>
      <c r="D783" s="496"/>
    </row>
    <row r="784" spans="1:21" x14ac:dyDescent="0.2">
      <c r="A784" s="146"/>
      <c r="D784" s="496"/>
    </row>
    <row r="785" spans="1:21" s="123" customFormat="1" x14ac:dyDescent="0.2">
      <c r="A785" s="146"/>
      <c r="B785" s="496"/>
      <c r="C785" s="496"/>
      <c r="D785" s="496"/>
      <c r="E785" s="496"/>
      <c r="F785" s="496"/>
      <c r="G785" s="496"/>
      <c r="H785" s="496"/>
      <c r="I785" s="496"/>
      <c r="J785" s="496"/>
      <c r="K785" s="496"/>
      <c r="L785" s="496"/>
      <c r="M785" s="496"/>
      <c r="N785" s="496"/>
      <c r="O785" s="496"/>
      <c r="P785" s="496"/>
      <c r="Q785" s="496"/>
      <c r="R785" s="496"/>
      <c r="S785" s="496"/>
      <c r="T785" s="496"/>
      <c r="U785" s="496"/>
    </row>
    <row r="786" spans="1:21" x14ac:dyDescent="0.2">
      <c r="A786" s="146"/>
      <c r="D786" s="496"/>
    </row>
    <row r="787" spans="1:21" x14ac:dyDescent="0.2">
      <c r="A787" s="146"/>
      <c r="D787" s="496"/>
    </row>
    <row r="788" spans="1:21" s="123" customFormat="1" x14ac:dyDescent="0.2">
      <c r="A788" s="146"/>
      <c r="B788" s="496"/>
      <c r="C788" s="496"/>
      <c r="D788" s="496"/>
      <c r="E788" s="496"/>
      <c r="F788" s="496"/>
      <c r="G788" s="496"/>
      <c r="H788" s="496"/>
      <c r="I788" s="496"/>
      <c r="J788" s="496"/>
      <c r="K788" s="496"/>
      <c r="L788" s="496"/>
      <c r="M788" s="496"/>
      <c r="N788" s="496"/>
      <c r="O788" s="496"/>
      <c r="P788" s="496"/>
      <c r="Q788" s="496"/>
      <c r="R788" s="496"/>
      <c r="S788" s="496"/>
      <c r="T788" s="496"/>
      <c r="U788" s="496"/>
    </row>
    <row r="789" spans="1:21" x14ac:dyDescent="0.2">
      <c r="A789" s="146"/>
      <c r="D789" s="496"/>
    </row>
    <row r="790" spans="1:21" x14ac:dyDescent="0.2">
      <c r="A790" s="146"/>
      <c r="D790" s="496"/>
    </row>
    <row r="791" spans="1:21" s="123" customFormat="1" x14ac:dyDescent="0.2">
      <c r="A791" s="146"/>
      <c r="B791" s="496"/>
      <c r="C791" s="496"/>
      <c r="D791" s="496"/>
      <c r="E791" s="496"/>
      <c r="F791" s="496"/>
      <c r="G791" s="496"/>
      <c r="H791" s="496"/>
      <c r="I791" s="496"/>
      <c r="J791" s="496"/>
      <c r="K791" s="496"/>
      <c r="L791" s="496"/>
      <c r="M791" s="496"/>
      <c r="N791" s="496"/>
      <c r="O791" s="496"/>
      <c r="P791" s="496"/>
      <c r="Q791" s="496"/>
      <c r="R791" s="496"/>
      <c r="S791" s="496"/>
      <c r="T791" s="496"/>
      <c r="U791" s="496"/>
    </row>
    <row r="792" spans="1:21" x14ac:dyDescent="0.2">
      <c r="A792" s="146"/>
      <c r="D792" s="496"/>
    </row>
    <row r="793" spans="1:21" x14ac:dyDescent="0.2">
      <c r="A793" s="146"/>
      <c r="D793" s="496"/>
    </row>
    <row r="794" spans="1:21" s="123" customFormat="1" x14ac:dyDescent="0.2">
      <c r="A794" s="146"/>
      <c r="B794" s="496"/>
      <c r="C794" s="496"/>
      <c r="D794" s="496"/>
      <c r="E794" s="496"/>
      <c r="F794" s="496"/>
      <c r="G794" s="496"/>
      <c r="H794" s="496"/>
      <c r="I794" s="496"/>
      <c r="J794" s="496"/>
      <c r="K794" s="496"/>
      <c r="L794" s="496"/>
      <c r="M794" s="496"/>
      <c r="N794" s="496"/>
      <c r="O794" s="496"/>
      <c r="P794" s="496"/>
      <c r="Q794" s="496"/>
      <c r="R794" s="496"/>
      <c r="S794" s="496"/>
      <c r="T794" s="496"/>
      <c r="U794" s="496"/>
    </row>
    <row r="795" spans="1:21" x14ac:dyDescent="0.2">
      <c r="A795" s="146"/>
      <c r="D795" s="496"/>
    </row>
    <row r="796" spans="1:21" x14ac:dyDescent="0.2">
      <c r="A796" s="146"/>
      <c r="D796" s="496"/>
    </row>
    <row r="797" spans="1:21" s="123" customFormat="1" x14ac:dyDescent="0.2">
      <c r="A797" s="146"/>
      <c r="B797" s="496"/>
      <c r="C797" s="496"/>
      <c r="D797" s="496"/>
      <c r="E797" s="496"/>
      <c r="F797" s="496"/>
      <c r="G797" s="496"/>
      <c r="H797" s="496"/>
      <c r="I797" s="496"/>
      <c r="J797" s="496"/>
      <c r="K797" s="496"/>
      <c r="L797" s="496"/>
      <c r="M797" s="496"/>
      <c r="N797" s="496"/>
      <c r="O797" s="496"/>
      <c r="P797" s="496"/>
      <c r="Q797" s="496"/>
      <c r="R797" s="496"/>
      <c r="S797" s="496"/>
      <c r="T797" s="496"/>
      <c r="U797" s="496"/>
    </row>
    <row r="798" spans="1:21" x14ac:dyDescent="0.2">
      <c r="A798" s="146"/>
      <c r="D798" s="496"/>
    </row>
    <row r="799" spans="1:21" x14ac:dyDescent="0.2">
      <c r="A799" s="146"/>
      <c r="D799" s="496"/>
    </row>
    <row r="800" spans="1:21" s="123" customFormat="1" x14ac:dyDescent="0.2">
      <c r="A800" s="146"/>
      <c r="B800" s="496"/>
      <c r="C800" s="496"/>
      <c r="D800" s="496"/>
      <c r="E800" s="496"/>
      <c r="F800" s="496"/>
      <c r="G800" s="496"/>
      <c r="H800" s="496"/>
      <c r="I800" s="496"/>
      <c r="J800" s="496"/>
      <c r="K800" s="496"/>
      <c r="L800" s="496"/>
      <c r="M800" s="496"/>
      <c r="N800" s="496"/>
      <c r="O800" s="496"/>
      <c r="P800" s="496"/>
      <c r="Q800" s="496"/>
      <c r="R800" s="496"/>
      <c r="S800" s="496"/>
      <c r="T800" s="496"/>
      <c r="U800" s="496"/>
    </row>
    <row r="801" spans="1:21" x14ac:dyDescent="0.2">
      <c r="A801" s="146"/>
      <c r="D801" s="496"/>
    </row>
    <row r="802" spans="1:21" x14ac:dyDescent="0.2">
      <c r="A802" s="146"/>
      <c r="D802" s="496"/>
    </row>
    <row r="803" spans="1:21" s="123" customFormat="1" x14ac:dyDescent="0.2">
      <c r="A803" s="146"/>
      <c r="B803" s="496"/>
      <c r="C803" s="496"/>
      <c r="D803" s="496"/>
      <c r="E803" s="496"/>
      <c r="F803" s="496"/>
      <c r="G803" s="496"/>
      <c r="H803" s="496"/>
      <c r="I803" s="496"/>
      <c r="J803" s="496"/>
      <c r="K803" s="496"/>
      <c r="L803" s="496"/>
      <c r="M803" s="496"/>
      <c r="N803" s="496"/>
      <c r="O803" s="496"/>
      <c r="P803" s="496"/>
      <c r="Q803" s="496"/>
      <c r="R803" s="496"/>
      <c r="S803" s="496"/>
      <c r="T803" s="496"/>
      <c r="U803" s="496"/>
    </row>
    <row r="804" spans="1:21" x14ac:dyDescent="0.2">
      <c r="A804" s="146"/>
      <c r="D804" s="496"/>
    </row>
    <row r="805" spans="1:21" x14ac:dyDescent="0.2">
      <c r="A805" s="146"/>
      <c r="D805" s="496"/>
    </row>
    <row r="806" spans="1:21" s="123" customFormat="1" x14ac:dyDescent="0.2">
      <c r="A806" s="146"/>
      <c r="B806" s="496"/>
      <c r="C806" s="496"/>
      <c r="D806" s="496"/>
      <c r="E806" s="496"/>
      <c r="F806" s="496"/>
      <c r="G806" s="496"/>
      <c r="H806" s="496"/>
      <c r="I806" s="496"/>
      <c r="J806" s="496"/>
      <c r="K806" s="496"/>
      <c r="L806" s="496"/>
      <c r="M806" s="496"/>
      <c r="N806" s="496"/>
      <c r="O806" s="496"/>
      <c r="P806" s="496"/>
      <c r="Q806" s="496"/>
      <c r="R806" s="496"/>
      <c r="S806" s="496"/>
      <c r="T806" s="496"/>
      <c r="U806" s="496"/>
    </row>
    <row r="807" spans="1:21" x14ac:dyDescent="0.2">
      <c r="A807" s="146"/>
      <c r="D807" s="496"/>
    </row>
    <row r="808" spans="1:21" x14ac:dyDescent="0.2">
      <c r="A808" s="146"/>
      <c r="D808" s="496"/>
    </row>
    <row r="809" spans="1:21" s="123" customFormat="1" x14ac:dyDescent="0.2">
      <c r="A809" s="146"/>
      <c r="B809" s="496"/>
      <c r="C809" s="496"/>
      <c r="D809" s="496"/>
      <c r="E809" s="496"/>
      <c r="F809" s="496"/>
      <c r="G809" s="496"/>
      <c r="H809" s="496"/>
      <c r="I809" s="496"/>
      <c r="J809" s="496"/>
      <c r="K809" s="496"/>
      <c r="L809" s="496"/>
      <c r="M809" s="496"/>
      <c r="N809" s="496"/>
      <c r="O809" s="496"/>
      <c r="P809" s="496"/>
      <c r="Q809" s="496"/>
      <c r="R809" s="496"/>
      <c r="S809" s="496"/>
      <c r="T809" s="496"/>
      <c r="U809" s="496"/>
    </row>
    <row r="810" spans="1:21" x14ac:dyDescent="0.2">
      <c r="A810" s="146"/>
      <c r="D810" s="496"/>
    </row>
    <row r="811" spans="1:21" x14ac:dyDescent="0.2">
      <c r="A811" s="146"/>
      <c r="D811" s="496"/>
    </row>
    <row r="812" spans="1:21" s="123" customFormat="1" x14ac:dyDescent="0.2">
      <c r="A812" s="146"/>
      <c r="B812" s="496"/>
      <c r="C812" s="496"/>
      <c r="D812" s="496"/>
      <c r="E812" s="496"/>
      <c r="F812" s="496"/>
      <c r="G812" s="496"/>
      <c r="H812" s="496"/>
      <c r="I812" s="496"/>
      <c r="J812" s="496"/>
      <c r="K812" s="496"/>
      <c r="L812" s="496"/>
      <c r="M812" s="496"/>
      <c r="N812" s="496"/>
      <c r="O812" s="496"/>
      <c r="P812" s="496"/>
      <c r="Q812" s="496"/>
      <c r="R812" s="496"/>
      <c r="S812" s="496"/>
      <c r="T812" s="496"/>
      <c r="U812" s="496"/>
    </row>
    <row r="813" spans="1:21" x14ac:dyDescent="0.2">
      <c r="A813" s="146"/>
      <c r="D813" s="496"/>
    </row>
    <row r="814" spans="1:21" x14ac:dyDescent="0.2">
      <c r="A814" s="146"/>
      <c r="D814" s="496"/>
    </row>
    <row r="815" spans="1:21" s="123" customFormat="1" x14ac:dyDescent="0.2">
      <c r="A815" s="146"/>
      <c r="B815" s="496"/>
      <c r="C815" s="496"/>
      <c r="D815" s="496"/>
      <c r="E815" s="496"/>
      <c r="F815" s="496"/>
      <c r="G815" s="496"/>
      <c r="H815" s="496"/>
      <c r="I815" s="496"/>
      <c r="J815" s="496"/>
      <c r="K815" s="496"/>
      <c r="L815" s="496"/>
      <c r="M815" s="496"/>
      <c r="N815" s="496"/>
      <c r="O815" s="496"/>
      <c r="P815" s="496"/>
      <c r="Q815" s="496"/>
      <c r="R815" s="496"/>
      <c r="S815" s="496"/>
      <c r="T815" s="496"/>
      <c r="U815" s="496"/>
    </row>
    <row r="816" spans="1:21" x14ac:dyDescent="0.2">
      <c r="A816" s="146"/>
      <c r="D816" s="496"/>
    </row>
    <row r="817" spans="1:21" x14ac:dyDescent="0.2">
      <c r="A817" s="146"/>
      <c r="D817" s="496"/>
    </row>
    <row r="818" spans="1:21" s="123" customFormat="1" x14ac:dyDescent="0.2">
      <c r="A818" s="146"/>
      <c r="B818" s="496"/>
      <c r="C818" s="496"/>
      <c r="D818" s="496"/>
      <c r="E818" s="496"/>
      <c r="F818" s="496"/>
      <c r="G818" s="496"/>
      <c r="H818" s="496"/>
      <c r="I818" s="496"/>
      <c r="J818" s="496"/>
      <c r="K818" s="496"/>
      <c r="L818" s="496"/>
      <c r="M818" s="496"/>
      <c r="N818" s="496"/>
      <c r="O818" s="496"/>
      <c r="P818" s="496"/>
      <c r="Q818" s="496"/>
      <c r="R818" s="496"/>
      <c r="S818" s="496"/>
      <c r="T818" s="496"/>
      <c r="U818" s="496"/>
    </row>
    <row r="819" spans="1:21" x14ac:dyDescent="0.2">
      <c r="A819" s="146"/>
      <c r="D819" s="496"/>
    </row>
    <row r="820" spans="1:21" x14ac:dyDescent="0.2">
      <c r="A820" s="146"/>
      <c r="D820" s="496"/>
    </row>
    <row r="821" spans="1:21" s="123" customFormat="1" x14ac:dyDescent="0.2">
      <c r="A821" s="146"/>
      <c r="B821" s="496"/>
      <c r="C821" s="496"/>
      <c r="D821" s="496"/>
      <c r="E821" s="496"/>
      <c r="F821" s="496"/>
      <c r="G821" s="496"/>
      <c r="H821" s="496"/>
      <c r="I821" s="496"/>
      <c r="J821" s="496"/>
      <c r="K821" s="496"/>
      <c r="L821" s="496"/>
      <c r="M821" s="496"/>
      <c r="N821" s="496"/>
      <c r="O821" s="496"/>
      <c r="P821" s="496"/>
      <c r="Q821" s="496"/>
      <c r="R821" s="496"/>
      <c r="S821" s="496"/>
      <c r="T821" s="496"/>
      <c r="U821" s="496"/>
    </row>
    <row r="822" spans="1:21" x14ac:dyDescent="0.2">
      <c r="A822" s="146"/>
      <c r="D822" s="496"/>
    </row>
    <row r="823" spans="1:21" x14ac:dyDescent="0.2">
      <c r="A823" s="146"/>
      <c r="D823" s="496"/>
    </row>
    <row r="824" spans="1:21" s="123" customFormat="1" x14ac:dyDescent="0.2">
      <c r="A824" s="146"/>
      <c r="B824" s="496"/>
      <c r="C824" s="496"/>
      <c r="D824" s="496"/>
      <c r="E824" s="496"/>
      <c r="F824" s="496"/>
      <c r="G824" s="496"/>
      <c r="H824" s="496"/>
      <c r="I824" s="496"/>
      <c r="J824" s="496"/>
      <c r="K824" s="496"/>
      <c r="L824" s="496"/>
      <c r="M824" s="496"/>
      <c r="N824" s="496"/>
      <c r="O824" s="496"/>
      <c r="P824" s="496"/>
      <c r="Q824" s="496"/>
      <c r="R824" s="496"/>
      <c r="S824" s="496"/>
      <c r="T824" s="496"/>
      <c r="U824" s="496"/>
    </row>
    <row r="825" spans="1:21" x14ac:dyDescent="0.2">
      <c r="A825" s="146"/>
      <c r="D825" s="496"/>
    </row>
    <row r="826" spans="1:21" x14ac:dyDescent="0.2">
      <c r="A826" s="146"/>
      <c r="D826" s="496"/>
    </row>
    <row r="827" spans="1:21" s="123" customFormat="1" x14ac:dyDescent="0.2">
      <c r="A827" s="146"/>
      <c r="B827" s="496"/>
      <c r="C827" s="496"/>
      <c r="D827" s="496"/>
      <c r="E827" s="496"/>
      <c r="F827" s="496"/>
      <c r="G827" s="496"/>
      <c r="H827" s="496"/>
      <c r="I827" s="496"/>
      <c r="J827" s="496"/>
      <c r="K827" s="496"/>
      <c r="L827" s="496"/>
      <c r="M827" s="496"/>
      <c r="N827" s="496"/>
      <c r="O827" s="496"/>
      <c r="P827" s="496"/>
      <c r="Q827" s="496"/>
      <c r="R827" s="496"/>
      <c r="S827" s="496"/>
      <c r="T827" s="496"/>
      <c r="U827" s="496"/>
    </row>
    <row r="828" spans="1:21" x14ac:dyDescent="0.2">
      <c r="A828" s="146"/>
      <c r="D828" s="496"/>
    </row>
    <row r="829" spans="1:21" x14ac:dyDescent="0.2">
      <c r="A829" s="146"/>
      <c r="D829" s="496"/>
    </row>
    <row r="830" spans="1:21" s="123" customFormat="1" x14ac:dyDescent="0.2">
      <c r="A830" s="146"/>
      <c r="B830" s="496"/>
      <c r="C830" s="496"/>
      <c r="D830" s="496"/>
      <c r="E830" s="496"/>
      <c r="F830" s="496"/>
      <c r="G830" s="496"/>
      <c r="H830" s="496"/>
      <c r="I830" s="496"/>
      <c r="J830" s="496"/>
      <c r="K830" s="496"/>
      <c r="L830" s="496"/>
      <c r="M830" s="496"/>
      <c r="N830" s="496"/>
      <c r="O830" s="496"/>
      <c r="P830" s="496"/>
      <c r="Q830" s="496"/>
      <c r="R830" s="496"/>
      <c r="S830" s="496"/>
      <c r="T830" s="496"/>
      <c r="U830" s="496"/>
    </row>
    <row r="831" spans="1:21" x14ac:dyDescent="0.2">
      <c r="A831" s="146"/>
      <c r="D831" s="496"/>
    </row>
    <row r="832" spans="1:21" x14ac:dyDescent="0.2">
      <c r="A832" s="146"/>
      <c r="D832" s="496"/>
    </row>
    <row r="833" spans="1:21" s="123" customFormat="1" x14ac:dyDescent="0.2">
      <c r="A833" s="146"/>
      <c r="B833" s="496"/>
      <c r="C833" s="496"/>
      <c r="D833" s="496"/>
      <c r="E833" s="496"/>
      <c r="F833" s="496"/>
      <c r="G833" s="496"/>
      <c r="H833" s="496"/>
      <c r="I833" s="496"/>
      <c r="J833" s="496"/>
      <c r="K833" s="496"/>
      <c r="L833" s="496"/>
      <c r="M833" s="496"/>
      <c r="N833" s="496"/>
      <c r="O833" s="496"/>
      <c r="P833" s="496"/>
      <c r="Q833" s="496"/>
      <c r="R833" s="496"/>
      <c r="S833" s="496"/>
      <c r="T833" s="496"/>
      <c r="U833" s="496"/>
    </row>
    <row r="834" spans="1:21" x14ac:dyDescent="0.2">
      <c r="A834" s="146"/>
      <c r="D834" s="496"/>
    </row>
    <row r="835" spans="1:21" x14ac:dyDescent="0.2">
      <c r="A835" s="146"/>
      <c r="D835" s="496"/>
    </row>
    <row r="836" spans="1:21" s="123" customFormat="1" x14ac:dyDescent="0.2">
      <c r="A836" s="146"/>
      <c r="B836" s="496"/>
      <c r="C836" s="496"/>
      <c r="D836" s="496"/>
      <c r="E836" s="496"/>
      <c r="F836" s="496"/>
      <c r="G836" s="496"/>
      <c r="H836" s="496"/>
      <c r="I836" s="496"/>
      <c r="J836" s="496"/>
      <c r="K836" s="496"/>
      <c r="L836" s="496"/>
      <c r="M836" s="496"/>
      <c r="N836" s="496"/>
      <c r="O836" s="496"/>
      <c r="P836" s="496"/>
      <c r="Q836" s="496"/>
      <c r="R836" s="496"/>
      <c r="S836" s="496"/>
      <c r="T836" s="496"/>
      <c r="U836" s="496"/>
    </row>
    <row r="837" spans="1:21" x14ac:dyDescent="0.2">
      <c r="A837" s="146"/>
      <c r="D837" s="496"/>
    </row>
    <row r="838" spans="1:21" x14ac:dyDescent="0.2">
      <c r="A838" s="146"/>
      <c r="D838" s="496"/>
    </row>
    <row r="839" spans="1:21" s="123" customFormat="1" x14ac:dyDescent="0.2">
      <c r="A839" s="146"/>
      <c r="B839" s="496"/>
      <c r="C839" s="496"/>
      <c r="D839" s="496"/>
      <c r="E839" s="496"/>
      <c r="F839" s="496"/>
      <c r="G839" s="496"/>
      <c r="H839" s="496"/>
      <c r="I839" s="496"/>
      <c r="J839" s="496"/>
      <c r="K839" s="496"/>
      <c r="L839" s="496"/>
      <c r="M839" s="496"/>
      <c r="N839" s="496"/>
      <c r="O839" s="496"/>
      <c r="P839" s="496"/>
      <c r="Q839" s="496"/>
      <c r="R839" s="496"/>
      <c r="S839" s="496"/>
      <c r="T839" s="496"/>
      <c r="U839" s="496"/>
    </row>
    <row r="840" spans="1:21" x14ac:dyDescent="0.2">
      <c r="A840" s="146"/>
      <c r="D840" s="496"/>
    </row>
    <row r="841" spans="1:21" x14ac:dyDescent="0.2">
      <c r="A841" s="146"/>
      <c r="D841" s="496"/>
    </row>
    <row r="842" spans="1:21" s="123" customFormat="1" x14ac:dyDescent="0.2">
      <c r="A842" s="146"/>
      <c r="B842" s="496"/>
      <c r="C842" s="496"/>
      <c r="D842" s="496"/>
      <c r="E842" s="496"/>
      <c r="F842" s="496"/>
      <c r="G842" s="496"/>
      <c r="H842" s="496"/>
      <c r="I842" s="496"/>
      <c r="J842" s="496"/>
      <c r="K842" s="496"/>
      <c r="L842" s="496"/>
      <c r="M842" s="496"/>
      <c r="N842" s="496"/>
      <c r="O842" s="496"/>
      <c r="P842" s="496"/>
      <c r="Q842" s="496"/>
      <c r="R842" s="496"/>
      <c r="S842" s="496"/>
      <c r="T842" s="496"/>
      <c r="U842" s="496"/>
    </row>
    <row r="843" spans="1:21" x14ac:dyDescent="0.2">
      <c r="A843" s="146"/>
      <c r="D843" s="496"/>
    </row>
    <row r="844" spans="1:21" x14ac:dyDescent="0.2">
      <c r="A844" s="146"/>
      <c r="D844" s="496"/>
    </row>
    <row r="845" spans="1:21" s="123" customFormat="1" x14ac:dyDescent="0.2">
      <c r="A845" s="146"/>
      <c r="B845" s="496"/>
      <c r="C845" s="496"/>
      <c r="D845" s="496"/>
      <c r="E845" s="496"/>
      <c r="F845" s="496"/>
      <c r="G845" s="496"/>
      <c r="H845" s="496"/>
      <c r="I845" s="496"/>
      <c r="J845" s="496"/>
      <c r="K845" s="496"/>
      <c r="L845" s="496"/>
      <c r="M845" s="496"/>
      <c r="N845" s="496"/>
      <c r="O845" s="496"/>
      <c r="P845" s="496"/>
      <c r="Q845" s="496"/>
      <c r="R845" s="496"/>
      <c r="S845" s="496"/>
      <c r="T845" s="496"/>
      <c r="U845" s="496"/>
    </row>
    <row r="846" spans="1:21" x14ac:dyDescent="0.2">
      <c r="A846" s="146"/>
      <c r="D846" s="496"/>
    </row>
    <row r="847" spans="1:21" x14ac:dyDescent="0.2">
      <c r="A847" s="146"/>
      <c r="D847" s="496"/>
    </row>
    <row r="848" spans="1:21" s="123" customFormat="1" x14ac:dyDescent="0.2">
      <c r="A848" s="146"/>
      <c r="B848" s="496"/>
      <c r="C848" s="496"/>
      <c r="D848" s="496"/>
      <c r="E848" s="496"/>
      <c r="F848" s="496"/>
      <c r="G848" s="496"/>
      <c r="H848" s="496"/>
      <c r="I848" s="496"/>
      <c r="J848" s="496"/>
      <c r="K848" s="496"/>
      <c r="L848" s="496"/>
      <c r="M848" s="496"/>
      <c r="N848" s="496"/>
      <c r="O848" s="496"/>
      <c r="P848" s="496"/>
      <c r="Q848" s="496"/>
      <c r="R848" s="496"/>
      <c r="S848" s="496"/>
      <c r="T848" s="496"/>
      <c r="U848" s="496"/>
    </row>
    <row r="849" spans="1:21" x14ac:dyDescent="0.2">
      <c r="A849" s="146"/>
      <c r="D849" s="496"/>
    </row>
    <row r="850" spans="1:21" x14ac:dyDescent="0.2">
      <c r="A850" s="146"/>
      <c r="D850" s="496"/>
    </row>
    <row r="851" spans="1:21" s="123" customFormat="1" x14ac:dyDescent="0.2">
      <c r="A851" s="146"/>
      <c r="B851" s="496"/>
      <c r="C851" s="496"/>
      <c r="D851" s="496"/>
      <c r="E851" s="496"/>
      <c r="F851" s="496"/>
      <c r="G851" s="496"/>
      <c r="H851" s="496"/>
      <c r="I851" s="496"/>
      <c r="J851" s="496"/>
      <c r="K851" s="496"/>
      <c r="L851" s="496"/>
      <c r="M851" s="496"/>
      <c r="N851" s="496"/>
      <c r="O851" s="496"/>
      <c r="P851" s="496"/>
      <c r="Q851" s="496"/>
      <c r="R851" s="496"/>
      <c r="S851" s="496"/>
      <c r="T851" s="496"/>
      <c r="U851" s="496"/>
    </row>
    <row r="852" spans="1:21" x14ac:dyDescent="0.2">
      <c r="A852" s="146"/>
      <c r="D852" s="496"/>
    </row>
    <row r="853" spans="1:21" x14ac:dyDescent="0.2">
      <c r="A853" s="146"/>
      <c r="D853" s="496"/>
    </row>
    <row r="854" spans="1:21" s="123" customFormat="1" x14ac:dyDescent="0.2">
      <c r="A854" s="146"/>
      <c r="B854" s="496"/>
      <c r="C854" s="496"/>
      <c r="D854" s="496"/>
      <c r="E854" s="496"/>
      <c r="F854" s="496"/>
      <c r="G854" s="496"/>
      <c r="H854" s="496"/>
      <c r="I854" s="496"/>
      <c r="J854" s="496"/>
      <c r="K854" s="496"/>
      <c r="L854" s="496"/>
      <c r="M854" s="496"/>
      <c r="N854" s="496"/>
      <c r="O854" s="496"/>
      <c r="P854" s="496"/>
      <c r="Q854" s="496"/>
      <c r="R854" s="496"/>
      <c r="S854" s="496"/>
      <c r="T854" s="496"/>
      <c r="U854" s="496"/>
    </row>
    <row r="855" spans="1:21" x14ac:dyDescent="0.2">
      <c r="A855" s="146"/>
      <c r="D855" s="496"/>
    </row>
    <row r="856" spans="1:21" x14ac:dyDescent="0.2">
      <c r="A856" s="146"/>
      <c r="D856" s="496"/>
    </row>
    <row r="857" spans="1:21" s="123" customFormat="1" x14ac:dyDescent="0.2">
      <c r="A857" s="146"/>
      <c r="B857" s="496"/>
      <c r="C857" s="496"/>
      <c r="D857" s="496"/>
      <c r="E857" s="496"/>
      <c r="F857" s="496"/>
      <c r="G857" s="496"/>
      <c r="H857" s="496"/>
      <c r="I857" s="496"/>
      <c r="J857" s="496"/>
      <c r="K857" s="496"/>
      <c r="L857" s="496"/>
      <c r="M857" s="496"/>
      <c r="N857" s="496"/>
      <c r="O857" s="496"/>
      <c r="P857" s="496"/>
      <c r="Q857" s="496"/>
      <c r="R857" s="496"/>
      <c r="S857" s="496"/>
      <c r="T857" s="496"/>
      <c r="U857" s="496"/>
    </row>
    <row r="858" spans="1:21" x14ac:dyDescent="0.2">
      <c r="A858" s="146"/>
      <c r="D858" s="496"/>
    </row>
    <row r="859" spans="1:21" x14ac:dyDescent="0.2">
      <c r="A859" s="146"/>
      <c r="D859" s="496"/>
    </row>
    <row r="860" spans="1:21" s="123" customFormat="1" x14ac:dyDescent="0.2">
      <c r="A860" s="146"/>
      <c r="B860" s="496"/>
      <c r="C860" s="496"/>
      <c r="D860" s="496"/>
      <c r="E860" s="496"/>
      <c r="F860" s="496"/>
      <c r="G860" s="496"/>
      <c r="H860" s="496"/>
      <c r="I860" s="496"/>
      <c r="J860" s="496"/>
      <c r="K860" s="496"/>
      <c r="L860" s="496"/>
      <c r="M860" s="496"/>
      <c r="N860" s="496"/>
      <c r="O860" s="496"/>
      <c r="P860" s="496"/>
      <c r="Q860" s="496"/>
      <c r="R860" s="496"/>
      <c r="S860" s="496"/>
      <c r="T860" s="496"/>
      <c r="U860" s="496"/>
    </row>
    <row r="861" spans="1:21" x14ac:dyDescent="0.2">
      <c r="A861" s="146"/>
      <c r="D861" s="496"/>
    </row>
    <row r="862" spans="1:21" x14ac:dyDescent="0.2">
      <c r="A862" s="146"/>
      <c r="D862" s="496"/>
    </row>
    <row r="863" spans="1:21" s="123" customFormat="1" x14ac:dyDescent="0.2">
      <c r="A863" s="146"/>
      <c r="B863" s="496"/>
      <c r="C863" s="496"/>
      <c r="D863" s="496"/>
      <c r="E863" s="496"/>
      <c r="F863" s="496"/>
      <c r="G863" s="496"/>
      <c r="H863" s="496"/>
      <c r="I863" s="496"/>
      <c r="J863" s="496"/>
      <c r="K863" s="496"/>
      <c r="L863" s="496"/>
      <c r="M863" s="496"/>
      <c r="N863" s="496"/>
      <c r="O863" s="496"/>
      <c r="P863" s="496"/>
      <c r="Q863" s="496"/>
      <c r="R863" s="496"/>
      <c r="S863" s="496"/>
      <c r="T863" s="496"/>
      <c r="U863" s="496"/>
    </row>
    <row r="864" spans="1:21" x14ac:dyDescent="0.2">
      <c r="A864" s="146"/>
      <c r="D864" s="496"/>
    </row>
    <row r="865" spans="1:21" x14ac:dyDescent="0.2">
      <c r="A865" s="146"/>
      <c r="D865" s="496"/>
    </row>
    <row r="866" spans="1:21" s="123" customFormat="1" x14ac:dyDescent="0.2">
      <c r="A866" s="146"/>
      <c r="B866" s="496"/>
      <c r="C866" s="496"/>
      <c r="D866" s="496"/>
      <c r="E866" s="496"/>
      <c r="F866" s="496"/>
      <c r="G866" s="496"/>
      <c r="H866" s="496"/>
      <c r="I866" s="496"/>
      <c r="J866" s="496"/>
      <c r="K866" s="496"/>
      <c r="L866" s="496"/>
      <c r="M866" s="496"/>
      <c r="N866" s="496"/>
      <c r="O866" s="496"/>
      <c r="P866" s="496"/>
      <c r="Q866" s="496"/>
      <c r="R866" s="496"/>
      <c r="S866" s="496"/>
      <c r="T866" s="496"/>
      <c r="U866" s="496"/>
    </row>
    <row r="867" spans="1:21" x14ac:dyDescent="0.2">
      <c r="A867" s="146"/>
      <c r="D867" s="496"/>
    </row>
    <row r="868" spans="1:21" x14ac:dyDescent="0.2">
      <c r="A868" s="146"/>
      <c r="D868" s="496"/>
    </row>
    <row r="869" spans="1:21" s="123" customFormat="1" x14ac:dyDescent="0.2">
      <c r="A869" s="146"/>
      <c r="B869" s="496"/>
      <c r="C869" s="496"/>
      <c r="D869" s="496"/>
      <c r="E869" s="496"/>
      <c r="F869" s="496"/>
      <c r="G869" s="496"/>
      <c r="H869" s="496"/>
      <c r="I869" s="496"/>
      <c r="J869" s="496"/>
      <c r="K869" s="496"/>
      <c r="L869" s="496"/>
      <c r="M869" s="496"/>
      <c r="N869" s="496"/>
      <c r="O869" s="496"/>
      <c r="P869" s="496"/>
      <c r="Q869" s="496"/>
      <c r="R869" s="496"/>
      <c r="S869" s="496"/>
      <c r="T869" s="496"/>
      <c r="U869" s="496"/>
    </row>
    <row r="870" spans="1:21" x14ac:dyDescent="0.2">
      <c r="A870" s="146"/>
      <c r="D870" s="496"/>
    </row>
    <row r="871" spans="1:21" x14ac:dyDescent="0.2">
      <c r="A871" s="146"/>
      <c r="D871" s="496"/>
    </row>
    <row r="872" spans="1:21" s="123" customFormat="1" x14ac:dyDescent="0.2">
      <c r="A872" s="146"/>
      <c r="B872" s="496"/>
      <c r="C872" s="496"/>
      <c r="D872" s="496"/>
      <c r="E872" s="496"/>
      <c r="F872" s="496"/>
      <c r="G872" s="496"/>
      <c r="H872" s="496"/>
      <c r="I872" s="496"/>
      <c r="J872" s="496"/>
      <c r="K872" s="496"/>
      <c r="L872" s="496"/>
      <c r="M872" s="496"/>
      <c r="N872" s="496"/>
      <c r="O872" s="496"/>
      <c r="P872" s="496"/>
      <c r="Q872" s="496"/>
      <c r="R872" s="496"/>
      <c r="S872" s="496"/>
      <c r="T872" s="496"/>
      <c r="U872" s="496"/>
    </row>
    <row r="873" spans="1:21" x14ac:dyDescent="0.2">
      <c r="A873" s="146"/>
      <c r="D873" s="496"/>
    </row>
    <row r="874" spans="1:21" x14ac:dyDescent="0.2">
      <c r="A874" s="146"/>
      <c r="D874" s="496"/>
    </row>
    <row r="875" spans="1:21" x14ac:dyDescent="0.2">
      <c r="A875" s="146"/>
      <c r="D875" s="496"/>
    </row>
    <row r="876" spans="1:21" x14ac:dyDescent="0.2">
      <c r="A876" s="146"/>
      <c r="D876" s="496"/>
    </row>
    <row r="877" spans="1:21" x14ac:dyDescent="0.2">
      <c r="A877" s="146"/>
      <c r="D877" s="496"/>
    </row>
    <row r="878" spans="1:21" x14ac:dyDescent="0.2">
      <c r="A878" s="146"/>
      <c r="D878" s="496"/>
    </row>
    <row r="879" spans="1:21" x14ac:dyDescent="0.2">
      <c r="A879" s="146"/>
      <c r="D879" s="496"/>
    </row>
    <row r="880" spans="1:21" x14ac:dyDescent="0.2">
      <c r="A880" s="146"/>
      <c r="D880" s="496"/>
    </row>
    <row r="881" spans="1:4" x14ac:dyDescent="0.2">
      <c r="A881" s="146"/>
      <c r="D881" s="496"/>
    </row>
    <row r="882" spans="1:4" x14ac:dyDescent="0.2">
      <c r="A882" s="146"/>
      <c r="D882" s="496"/>
    </row>
    <row r="883" spans="1:4" x14ac:dyDescent="0.2">
      <c r="A883" s="146"/>
      <c r="D883" s="496"/>
    </row>
    <row r="884" spans="1:4" x14ac:dyDescent="0.2">
      <c r="A884" s="146"/>
      <c r="D884" s="496"/>
    </row>
    <row r="885" spans="1:4" x14ac:dyDescent="0.2">
      <c r="A885" s="146"/>
      <c r="D885" s="496"/>
    </row>
    <row r="886" spans="1:4" x14ac:dyDescent="0.2">
      <c r="A886" s="146"/>
      <c r="D886" s="496"/>
    </row>
    <row r="887" spans="1:4" x14ac:dyDescent="0.2">
      <c r="A887" s="146"/>
      <c r="D887" s="496"/>
    </row>
    <row r="888" spans="1:4" x14ac:dyDescent="0.2">
      <c r="A888" s="146"/>
      <c r="D888" s="496"/>
    </row>
    <row r="889" spans="1:4" x14ac:dyDescent="0.2">
      <c r="A889" s="146"/>
      <c r="D889" s="496"/>
    </row>
    <row r="890" spans="1:4" x14ac:dyDescent="0.2">
      <c r="A890" s="146"/>
      <c r="D890" s="496"/>
    </row>
    <row r="891" spans="1:4" x14ac:dyDescent="0.2">
      <c r="A891" s="146"/>
      <c r="D891" s="496"/>
    </row>
    <row r="892" spans="1:4" x14ac:dyDescent="0.2">
      <c r="A892" s="146"/>
      <c r="D892" s="496"/>
    </row>
    <row r="893" spans="1:4" x14ac:dyDescent="0.2">
      <c r="A893" s="146"/>
      <c r="D893" s="496"/>
    </row>
    <row r="894" spans="1:4" x14ac:dyDescent="0.2">
      <c r="A894" s="146"/>
      <c r="D894" s="496"/>
    </row>
    <row r="895" spans="1:4" x14ac:dyDescent="0.2">
      <c r="A895" s="146"/>
      <c r="D895" s="496"/>
    </row>
    <row r="896" spans="1:4" x14ac:dyDescent="0.2">
      <c r="A896" s="146"/>
      <c r="D896" s="496"/>
    </row>
    <row r="897" spans="1:4" x14ac:dyDescent="0.2">
      <c r="A897" s="146"/>
      <c r="D897" s="496"/>
    </row>
    <row r="898" spans="1:4" x14ac:dyDescent="0.2">
      <c r="A898" s="146"/>
      <c r="D898" s="496"/>
    </row>
    <row r="899" spans="1:4" x14ac:dyDescent="0.2">
      <c r="A899" s="146"/>
      <c r="D899" s="496"/>
    </row>
    <row r="900" spans="1:4" x14ac:dyDescent="0.2">
      <c r="A900" s="146"/>
      <c r="D900" s="496"/>
    </row>
    <row r="901" spans="1:4" x14ac:dyDescent="0.2">
      <c r="A901" s="146"/>
      <c r="D901" s="496"/>
    </row>
    <row r="902" spans="1:4" x14ac:dyDescent="0.2">
      <c r="A902" s="146"/>
      <c r="D902" s="496"/>
    </row>
    <row r="903" spans="1:4" x14ac:dyDescent="0.2">
      <c r="A903" s="146"/>
      <c r="D903" s="496"/>
    </row>
    <row r="904" spans="1:4" x14ac:dyDescent="0.2">
      <c r="A904" s="146"/>
      <c r="D904" s="496"/>
    </row>
    <row r="905" spans="1:4" x14ac:dyDescent="0.2">
      <c r="A905" s="146"/>
      <c r="D905" s="496"/>
    </row>
    <row r="906" spans="1:4" x14ac:dyDescent="0.2">
      <c r="A906" s="146"/>
      <c r="D906" s="496"/>
    </row>
    <row r="907" spans="1:4" x14ac:dyDescent="0.2">
      <c r="A907" s="146"/>
      <c r="D907" s="496"/>
    </row>
    <row r="908" spans="1:4" x14ac:dyDescent="0.2">
      <c r="A908" s="146"/>
      <c r="D908" s="496"/>
    </row>
    <row r="909" spans="1:4" x14ac:dyDescent="0.2">
      <c r="A909" s="146"/>
      <c r="D909" s="496"/>
    </row>
    <row r="910" spans="1:4" x14ac:dyDescent="0.2">
      <c r="A910" s="146"/>
      <c r="D910" s="496"/>
    </row>
    <row r="911" spans="1:4" x14ac:dyDescent="0.2">
      <c r="A911" s="146"/>
      <c r="D911" s="496"/>
    </row>
    <row r="912" spans="1:4" x14ac:dyDescent="0.2">
      <c r="A912" s="146"/>
      <c r="D912" s="496"/>
    </row>
    <row r="913" spans="1:4" x14ac:dyDescent="0.2">
      <c r="A913" s="146"/>
      <c r="D913" s="496"/>
    </row>
    <row r="914" spans="1:4" x14ac:dyDescent="0.2">
      <c r="A914" s="146"/>
      <c r="D914" s="496"/>
    </row>
    <row r="915" spans="1:4" x14ac:dyDescent="0.2">
      <c r="A915" s="146"/>
      <c r="D915" s="496"/>
    </row>
    <row r="916" spans="1:4" x14ac:dyDescent="0.2">
      <c r="A916" s="146"/>
      <c r="D916" s="496"/>
    </row>
    <row r="917" spans="1:4" x14ac:dyDescent="0.2">
      <c r="A917" s="146"/>
      <c r="D917" s="496"/>
    </row>
    <row r="918" spans="1:4" x14ac:dyDescent="0.2">
      <c r="A918" s="146"/>
      <c r="D918" s="496"/>
    </row>
    <row r="919" spans="1:4" x14ac:dyDescent="0.2">
      <c r="A919" s="146"/>
      <c r="D919" s="496"/>
    </row>
    <row r="920" spans="1:4" x14ac:dyDescent="0.2">
      <c r="A920" s="146"/>
      <c r="D920" s="496"/>
    </row>
    <row r="921" spans="1:4" x14ac:dyDescent="0.2">
      <c r="A921" s="146"/>
      <c r="D921" s="496"/>
    </row>
    <row r="922" spans="1:4" x14ac:dyDescent="0.2">
      <c r="A922" s="146"/>
      <c r="D922" s="496"/>
    </row>
    <row r="923" spans="1:4" x14ac:dyDescent="0.2">
      <c r="A923" s="146"/>
      <c r="D923" s="496"/>
    </row>
    <row r="924" spans="1:4" x14ac:dyDescent="0.2">
      <c r="A924" s="146"/>
      <c r="D924" s="496"/>
    </row>
    <row r="925" spans="1:4" x14ac:dyDescent="0.2">
      <c r="A925" s="146"/>
      <c r="D925" s="496"/>
    </row>
    <row r="926" spans="1:4" x14ac:dyDescent="0.2">
      <c r="A926" s="146"/>
      <c r="D926" s="496"/>
    </row>
    <row r="927" spans="1:4" x14ac:dyDescent="0.2">
      <c r="A927" s="146"/>
      <c r="D927" s="496"/>
    </row>
    <row r="928" spans="1:4" x14ac:dyDescent="0.2">
      <c r="A928" s="146"/>
      <c r="D928" s="496"/>
    </row>
    <row r="929" spans="1:4" x14ac:dyDescent="0.2">
      <c r="A929" s="146"/>
      <c r="D929" s="496"/>
    </row>
    <row r="930" spans="1:4" x14ac:dyDescent="0.2">
      <c r="A930" s="146"/>
      <c r="D930" s="496"/>
    </row>
    <row r="931" spans="1:4" x14ac:dyDescent="0.2">
      <c r="A931" s="146"/>
      <c r="D931" s="496"/>
    </row>
    <row r="932" spans="1:4" x14ac:dyDescent="0.2">
      <c r="A932" s="146"/>
      <c r="D932" s="496"/>
    </row>
    <row r="933" spans="1:4" x14ac:dyDescent="0.2">
      <c r="A933" s="146"/>
      <c r="D933" s="496"/>
    </row>
    <row r="934" spans="1:4" x14ac:dyDescent="0.2">
      <c r="A934" s="146"/>
      <c r="D934" s="496"/>
    </row>
    <row r="935" spans="1:4" x14ac:dyDescent="0.2">
      <c r="A935" s="146"/>
      <c r="D935" s="496"/>
    </row>
    <row r="936" spans="1:4" x14ac:dyDescent="0.2">
      <c r="A936" s="146"/>
      <c r="D936" s="496"/>
    </row>
    <row r="937" spans="1:4" x14ac:dyDescent="0.2">
      <c r="A937" s="146"/>
      <c r="D937" s="496"/>
    </row>
    <row r="938" spans="1:4" x14ac:dyDescent="0.2">
      <c r="A938" s="146"/>
      <c r="D938" s="496"/>
    </row>
    <row r="939" spans="1:4" x14ac:dyDescent="0.2">
      <c r="A939" s="146"/>
      <c r="D939" s="496"/>
    </row>
    <row r="940" spans="1:4" x14ac:dyDescent="0.2">
      <c r="A940" s="146"/>
      <c r="D940" s="496"/>
    </row>
    <row r="941" spans="1:4" x14ac:dyDescent="0.2">
      <c r="A941" s="146"/>
      <c r="D941" s="496"/>
    </row>
    <row r="942" spans="1:4" x14ac:dyDescent="0.2">
      <c r="A942" s="146"/>
      <c r="D942" s="496"/>
    </row>
    <row r="943" spans="1:4" x14ac:dyDescent="0.2">
      <c r="A943" s="146"/>
      <c r="D943" s="496"/>
    </row>
    <row r="944" spans="1:4" x14ac:dyDescent="0.2">
      <c r="A944" s="146"/>
      <c r="D944" s="496"/>
    </row>
    <row r="945" spans="1:4" x14ac:dyDescent="0.2">
      <c r="A945" s="146"/>
      <c r="D945" s="496"/>
    </row>
    <row r="946" spans="1:4" x14ac:dyDescent="0.2">
      <c r="A946" s="146"/>
      <c r="D946" s="496"/>
    </row>
    <row r="947" spans="1:4" x14ac:dyDescent="0.2">
      <c r="A947" s="146"/>
      <c r="D947" s="496"/>
    </row>
    <row r="948" spans="1:4" x14ac:dyDescent="0.2">
      <c r="A948" s="146"/>
      <c r="D948" s="496"/>
    </row>
    <row r="949" spans="1:4" x14ac:dyDescent="0.2">
      <c r="A949" s="146"/>
      <c r="D949" s="496"/>
    </row>
    <row r="950" spans="1:4" x14ac:dyDescent="0.2">
      <c r="A950" s="146"/>
      <c r="D950" s="496"/>
    </row>
    <row r="951" spans="1:4" x14ac:dyDescent="0.2">
      <c r="A951" s="146"/>
      <c r="D951" s="496"/>
    </row>
    <row r="952" spans="1:4" x14ac:dyDescent="0.2">
      <c r="A952" s="146"/>
      <c r="D952" s="496"/>
    </row>
    <row r="953" spans="1:4" x14ac:dyDescent="0.2">
      <c r="A953" s="146"/>
      <c r="D953" s="496"/>
    </row>
    <row r="954" spans="1:4" x14ac:dyDescent="0.2">
      <c r="A954" s="146"/>
      <c r="D954" s="496"/>
    </row>
    <row r="955" spans="1:4" x14ac:dyDescent="0.2">
      <c r="A955" s="146"/>
      <c r="D955" s="496"/>
    </row>
    <row r="956" spans="1:4" x14ac:dyDescent="0.2">
      <c r="A956" s="146"/>
      <c r="D956" s="496"/>
    </row>
    <row r="957" spans="1:4" x14ac:dyDescent="0.2">
      <c r="A957" s="146"/>
      <c r="D957" s="496"/>
    </row>
    <row r="958" spans="1:4" x14ac:dyDescent="0.2">
      <c r="A958" s="146"/>
      <c r="D958" s="496"/>
    </row>
    <row r="959" spans="1:4" x14ac:dyDescent="0.2">
      <c r="A959" s="146"/>
      <c r="D959" s="496"/>
    </row>
    <row r="960" spans="1:4" x14ac:dyDescent="0.2">
      <c r="A960" s="146"/>
      <c r="D960" s="496"/>
    </row>
    <row r="961" spans="1:4" x14ac:dyDescent="0.2">
      <c r="A961" s="146"/>
      <c r="D961" s="496"/>
    </row>
    <row r="962" spans="1:4" x14ac:dyDescent="0.2">
      <c r="A962" s="146"/>
      <c r="D962" s="496"/>
    </row>
    <row r="963" spans="1:4" x14ac:dyDescent="0.2">
      <c r="A963" s="146"/>
      <c r="D963" s="496"/>
    </row>
    <row r="964" spans="1:4" x14ac:dyDescent="0.2">
      <c r="A964" s="146"/>
      <c r="D964" s="496"/>
    </row>
    <row r="965" spans="1:4" x14ac:dyDescent="0.2">
      <c r="A965" s="146"/>
      <c r="D965" s="496"/>
    </row>
    <row r="966" spans="1:4" x14ac:dyDescent="0.2">
      <c r="A966" s="146"/>
      <c r="D966" s="496"/>
    </row>
    <row r="967" spans="1:4" x14ac:dyDescent="0.2">
      <c r="A967" s="146"/>
      <c r="D967" s="496"/>
    </row>
    <row r="968" spans="1:4" x14ac:dyDescent="0.2">
      <c r="A968" s="146"/>
      <c r="D968" s="496"/>
    </row>
    <row r="969" spans="1:4" x14ac:dyDescent="0.2">
      <c r="A969" s="146"/>
      <c r="D969" s="496"/>
    </row>
    <row r="970" spans="1:4" x14ac:dyDescent="0.2">
      <c r="A970" s="146"/>
      <c r="D970" s="496"/>
    </row>
    <row r="971" spans="1:4" x14ac:dyDescent="0.2">
      <c r="A971" s="146"/>
      <c r="D971" s="496"/>
    </row>
    <row r="972" spans="1:4" x14ac:dyDescent="0.2">
      <c r="A972" s="146"/>
      <c r="D972" s="496"/>
    </row>
    <row r="973" spans="1:4" x14ac:dyDescent="0.2">
      <c r="A973" s="146"/>
      <c r="D973" s="496"/>
    </row>
    <row r="974" spans="1:4" x14ac:dyDescent="0.2">
      <c r="A974" s="146"/>
      <c r="D974" s="496"/>
    </row>
    <row r="975" spans="1:4" x14ac:dyDescent="0.2">
      <c r="A975" s="146"/>
      <c r="D975" s="496"/>
    </row>
    <row r="976" spans="1:4" x14ac:dyDescent="0.2">
      <c r="A976" s="146"/>
      <c r="D976" s="496"/>
    </row>
    <row r="977" spans="1:4" x14ac:dyDescent="0.2">
      <c r="A977" s="146"/>
      <c r="D977" s="496"/>
    </row>
    <row r="978" spans="1:4" x14ac:dyDescent="0.2">
      <c r="A978" s="146"/>
      <c r="D978" s="496"/>
    </row>
    <row r="979" spans="1:4" x14ac:dyDescent="0.2">
      <c r="A979" s="146"/>
      <c r="D979" s="496"/>
    </row>
    <row r="980" spans="1:4" x14ac:dyDescent="0.2">
      <c r="A980" s="146"/>
      <c r="D980" s="496"/>
    </row>
    <row r="981" spans="1:4" x14ac:dyDescent="0.2">
      <c r="A981" s="146"/>
      <c r="D981" s="496"/>
    </row>
    <row r="982" spans="1:4" x14ac:dyDescent="0.2">
      <c r="A982" s="146"/>
      <c r="D982" s="496"/>
    </row>
    <row r="983" spans="1:4" x14ac:dyDescent="0.2">
      <c r="A983" s="146"/>
      <c r="D983" s="496"/>
    </row>
    <row r="984" spans="1:4" x14ac:dyDescent="0.2">
      <c r="A984" s="146"/>
      <c r="D984" s="496"/>
    </row>
    <row r="985" spans="1:4" x14ac:dyDescent="0.2">
      <c r="A985" s="146"/>
      <c r="D985" s="496"/>
    </row>
    <row r="986" spans="1:4" x14ac:dyDescent="0.2">
      <c r="A986" s="146"/>
      <c r="D986" s="496"/>
    </row>
    <row r="987" spans="1:4" x14ac:dyDescent="0.2">
      <c r="A987" s="146"/>
      <c r="D987" s="496"/>
    </row>
    <row r="988" spans="1:4" x14ac:dyDescent="0.2">
      <c r="A988" s="146"/>
      <c r="D988" s="496"/>
    </row>
    <row r="989" spans="1:4" x14ac:dyDescent="0.2">
      <c r="A989" s="146"/>
      <c r="D989" s="496"/>
    </row>
    <row r="990" spans="1:4" x14ac:dyDescent="0.2">
      <c r="A990" s="146"/>
      <c r="D990" s="496"/>
    </row>
    <row r="991" spans="1:4" x14ac:dyDescent="0.2">
      <c r="A991" s="146"/>
      <c r="D991" s="496"/>
    </row>
    <row r="992" spans="1:4" x14ac:dyDescent="0.2">
      <c r="A992" s="146"/>
      <c r="D992" s="496"/>
    </row>
    <row r="993" spans="1:4" x14ac:dyDescent="0.2">
      <c r="A993" s="146"/>
      <c r="D993" s="496"/>
    </row>
    <row r="994" spans="1:4" x14ac:dyDescent="0.2">
      <c r="A994" s="146"/>
      <c r="D994" s="496"/>
    </row>
    <row r="995" spans="1:4" x14ac:dyDescent="0.2">
      <c r="A995" s="146"/>
      <c r="D995" s="496"/>
    </row>
    <row r="996" spans="1:4" x14ac:dyDescent="0.2">
      <c r="A996" s="146"/>
      <c r="D996" s="496"/>
    </row>
    <row r="997" spans="1:4" x14ac:dyDescent="0.2">
      <c r="A997" s="146"/>
      <c r="D997" s="496"/>
    </row>
    <row r="998" spans="1:4" x14ac:dyDescent="0.2">
      <c r="A998" s="146"/>
      <c r="D998" s="496"/>
    </row>
    <row r="999" spans="1:4" x14ac:dyDescent="0.2">
      <c r="A999" s="146"/>
      <c r="D999" s="496"/>
    </row>
    <row r="1000" spans="1:4" x14ac:dyDescent="0.2">
      <c r="A1000" s="146"/>
      <c r="D1000" s="496"/>
    </row>
    <row r="1001" spans="1:4" x14ac:dyDescent="0.2">
      <c r="A1001" s="146"/>
      <c r="D1001" s="496"/>
    </row>
    <row r="1002" spans="1:4" x14ac:dyDescent="0.2">
      <c r="A1002" s="146"/>
      <c r="D1002" s="496"/>
    </row>
    <row r="1003" spans="1:4" x14ac:dyDescent="0.2">
      <c r="A1003" s="146"/>
      <c r="D1003" s="496"/>
    </row>
    <row r="1004" spans="1:4" x14ac:dyDescent="0.2">
      <c r="A1004" s="146"/>
      <c r="D1004" s="496"/>
    </row>
    <row r="1005" spans="1:4" x14ac:dyDescent="0.2">
      <c r="A1005" s="146"/>
      <c r="D1005" s="496"/>
    </row>
    <row r="1006" spans="1:4" x14ac:dyDescent="0.2">
      <c r="A1006" s="146"/>
      <c r="D1006" s="496"/>
    </row>
    <row r="1007" spans="1:4" x14ac:dyDescent="0.2">
      <c r="A1007" s="146"/>
      <c r="D1007" s="496"/>
    </row>
    <row r="1008" spans="1:4" x14ac:dyDescent="0.2">
      <c r="A1008" s="146"/>
      <c r="D1008" s="496"/>
    </row>
    <row r="1009" spans="1:4" x14ac:dyDescent="0.2">
      <c r="A1009" s="146"/>
      <c r="D1009" s="496"/>
    </row>
    <row r="1010" spans="1:4" x14ac:dyDescent="0.2">
      <c r="A1010" s="146"/>
      <c r="D1010" s="496"/>
    </row>
    <row r="1011" spans="1:4" x14ac:dyDescent="0.2">
      <c r="A1011" s="146"/>
      <c r="D1011" s="496"/>
    </row>
    <row r="1012" spans="1:4" x14ac:dyDescent="0.2">
      <c r="A1012" s="146"/>
      <c r="D1012" s="496"/>
    </row>
    <row r="1013" spans="1:4" x14ac:dyDescent="0.2">
      <c r="A1013" s="146"/>
      <c r="D1013" s="496"/>
    </row>
    <row r="1014" spans="1:4" x14ac:dyDescent="0.2">
      <c r="A1014" s="146"/>
      <c r="D1014" s="496"/>
    </row>
    <row r="1015" spans="1:4" x14ac:dyDescent="0.2">
      <c r="A1015" s="146"/>
      <c r="D1015" s="496"/>
    </row>
    <row r="1016" spans="1:4" x14ac:dyDescent="0.2">
      <c r="A1016" s="146"/>
      <c r="D1016" s="496"/>
    </row>
    <row r="1017" spans="1:4" x14ac:dyDescent="0.2">
      <c r="A1017" s="146"/>
      <c r="D1017" s="496"/>
    </row>
    <row r="1018" spans="1:4" x14ac:dyDescent="0.2">
      <c r="A1018" s="146"/>
      <c r="D1018" s="496"/>
    </row>
    <row r="1019" spans="1:4" x14ac:dyDescent="0.2">
      <c r="A1019" s="146"/>
      <c r="D1019" s="496"/>
    </row>
    <row r="1020" spans="1:4" x14ac:dyDescent="0.2">
      <c r="A1020" s="146"/>
      <c r="D1020" s="496"/>
    </row>
    <row r="1021" spans="1:4" x14ac:dyDescent="0.2">
      <c r="A1021" s="146"/>
      <c r="D1021" s="496"/>
    </row>
    <row r="1022" spans="1:4" x14ac:dyDescent="0.2">
      <c r="A1022" s="146"/>
      <c r="D1022" s="496"/>
    </row>
    <row r="1023" spans="1:4" x14ac:dyDescent="0.2">
      <c r="A1023" s="146"/>
      <c r="D1023" s="496"/>
    </row>
    <row r="1024" spans="1:4" x14ac:dyDescent="0.2">
      <c r="A1024" s="146"/>
      <c r="D1024" s="496"/>
    </row>
    <row r="1025" spans="1:4" x14ac:dyDescent="0.2">
      <c r="A1025" s="146"/>
      <c r="D1025" s="496"/>
    </row>
    <row r="1026" spans="1:4" x14ac:dyDescent="0.2">
      <c r="A1026" s="146"/>
      <c r="D1026" s="496"/>
    </row>
    <row r="1027" spans="1:4" x14ac:dyDescent="0.2">
      <c r="A1027" s="146"/>
      <c r="D1027" s="496"/>
    </row>
    <row r="1028" spans="1:4" x14ac:dyDescent="0.2">
      <c r="A1028" s="146"/>
      <c r="D1028" s="496"/>
    </row>
    <row r="1029" spans="1:4" x14ac:dyDescent="0.2">
      <c r="A1029" s="146"/>
      <c r="D1029" s="496"/>
    </row>
    <row r="1030" spans="1:4" x14ac:dyDescent="0.2">
      <c r="A1030" s="146"/>
      <c r="D1030" s="496"/>
    </row>
    <row r="1031" spans="1:4" x14ac:dyDescent="0.2">
      <c r="A1031" s="146"/>
      <c r="D1031" s="496"/>
    </row>
    <row r="1032" spans="1:4" x14ac:dyDescent="0.2">
      <c r="A1032" s="146"/>
      <c r="D1032" s="496"/>
    </row>
    <row r="1033" spans="1:4" x14ac:dyDescent="0.2">
      <c r="A1033" s="146"/>
      <c r="D1033" s="496"/>
    </row>
    <row r="1034" spans="1:4" x14ac:dyDescent="0.2">
      <c r="A1034" s="146"/>
      <c r="D1034" s="496"/>
    </row>
    <row r="1035" spans="1:4" x14ac:dyDescent="0.2">
      <c r="A1035" s="146"/>
      <c r="D1035" s="496"/>
    </row>
    <row r="1036" spans="1:4" x14ac:dyDescent="0.2">
      <c r="A1036" s="146"/>
      <c r="D1036" s="496"/>
    </row>
    <row r="1037" spans="1:4" x14ac:dyDescent="0.2">
      <c r="A1037" s="146"/>
      <c r="D1037" s="496"/>
    </row>
    <row r="1038" spans="1:4" x14ac:dyDescent="0.2">
      <c r="A1038" s="146"/>
      <c r="D1038" s="496"/>
    </row>
    <row r="1039" spans="1:4" x14ac:dyDescent="0.2">
      <c r="A1039" s="146"/>
      <c r="D1039" s="496"/>
    </row>
    <row r="1040" spans="1:4" x14ac:dyDescent="0.2">
      <c r="A1040" s="146"/>
      <c r="D1040" s="496"/>
    </row>
    <row r="1041" spans="1:4" x14ac:dyDescent="0.2">
      <c r="A1041" s="146"/>
      <c r="D1041" s="496"/>
    </row>
    <row r="1042" spans="1:4" x14ac:dyDescent="0.2">
      <c r="A1042" s="146"/>
      <c r="D1042" s="496"/>
    </row>
    <row r="1043" spans="1:4" x14ac:dyDescent="0.2">
      <c r="A1043" s="146"/>
      <c r="D1043" s="496"/>
    </row>
    <row r="1044" spans="1:4" x14ac:dyDescent="0.2">
      <c r="A1044" s="146"/>
      <c r="D1044" s="496"/>
    </row>
    <row r="1045" spans="1:4" x14ac:dyDescent="0.2">
      <c r="A1045" s="146"/>
      <c r="D1045" s="496"/>
    </row>
    <row r="1046" spans="1:4" x14ac:dyDescent="0.2">
      <c r="A1046" s="146"/>
      <c r="D1046" s="496"/>
    </row>
    <row r="1047" spans="1:4" x14ac:dyDescent="0.2">
      <c r="A1047" s="146"/>
      <c r="D1047" s="496"/>
    </row>
    <row r="1048" spans="1:4" x14ac:dyDescent="0.2">
      <c r="A1048" s="146"/>
      <c r="D1048" s="496"/>
    </row>
    <row r="1049" spans="1:4" x14ac:dyDescent="0.2">
      <c r="A1049" s="146"/>
      <c r="D1049" s="496"/>
    </row>
    <row r="1050" spans="1:4" x14ac:dyDescent="0.2">
      <c r="A1050" s="146"/>
      <c r="D1050" s="496"/>
    </row>
    <row r="1051" spans="1:4" x14ac:dyDescent="0.2">
      <c r="A1051" s="146"/>
      <c r="D1051" s="496"/>
    </row>
    <row r="1052" spans="1:4" x14ac:dyDescent="0.2">
      <c r="A1052" s="146"/>
      <c r="D1052" s="496"/>
    </row>
    <row r="1053" spans="1:4" x14ac:dyDescent="0.2">
      <c r="A1053" s="146"/>
      <c r="D1053" s="496"/>
    </row>
    <row r="1054" spans="1:4" x14ac:dyDescent="0.2">
      <c r="A1054" s="146"/>
      <c r="D1054" s="496"/>
    </row>
    <row r="1055" spans="1:4" x14ac:dyDescent="0.2">
      <c r="A1055" s="146"/>
      <c r="D1055" s="496"/>
    </row>
    <row r="1056" spans="1:4" x14ac:dyDescent="0.2">
      <c r="A1056" s="146"/>
      <c r="D1056" s="496"/>
    </row>
    <row r="1057" spans="1:4" x14ac:dyDescent="0.2">
      <c r="A1057" s="146"/>
      <c r="D1057" s="496"/>
    </row>
    <row r="1058" spans="1:4" x14ac:dyDescent="0.2">
      <c r="A1058" s="146"/>
      <c r="D1058" s="496"/>
    </row>
    <row r="1059" spans="1:4" x14ac:dyDescent="0.2">
      <c r="A1059" s="146"/>
      <c r="D1059" s="496"/>
    </row>
    <row r="1060" spans="1:4" x14ac:dyDescent="0.2">
      <c r="A1060" s="146"/>
      <c r="D1060" s="496"/>
    </row>
    <row r="1061" spans="1:4" x14ac:dyDescent="0.2">
      <c r="A1061" s="146"/>
      <c r="D1061" s="496"/>
    </row>
    <row r="1062" spans="1:4" x14ac:dyDescent="0.2">
      <c r="A1062" s="146"/>
      <c r="D1062" s="496"/>
    </row>
    <row r="1063" spans="1:4" x14ac:dyDescent="0.2">
      <c r="A1063" s="146"/>
      <c r="D1063" s="496"/>
    </row>
    <row r="1064" spans="1:4" x14ac:dyDescent="0.2">
      <c r="A1064" s="146"/>
      <c r="D1064" s="496"/>
    </row>
    <row r="1065" spans="1:4" x14ac:dyDescent="0.2">
      <c r="A1065" s="146"/>
      <c r="D1065" s="496"/>
    </row>
    <row r="1066" spans="1:4" x14ac:dyDescent="0.2">
      <c r="A1066" s="146"/>
      <c r="D1066" s="496"/>
    </row>
    <row r="1067" spans="1:4" x14ac:dyDescent="0.2">
      <c r="A1067" s="146"/>
      <c r="D1067" s="496"/>
    </row>
    <row r="1068" spans="1:4" x14ac:dyDescent="0.2">
      <c r="A1068" s="146"/>
      <c r="D1068" s="496"/>
    </row>
    <row r="1069" spans="1:4" x14ac:dyDescent="0.2">
      <c r="A1069" s="146"/>
      <c r="D1069" s="496"/>
    </row>
    <row r="1070" spans="1:4" x14ac:dyDescent="0.2">
      <c r="A1070" s="146"/>
      <c r="D1070" s="496"/>
    </row>
    <row r="1071" spans="1:4" x14ac:dyDescent="0.2">
      <c r="A1071" s="146"/>
      <c r="D1071" s="496"/>
    </row>
    <row r="1072" spans="1:4" x14ac:dyDescent="0.2">
      <c r="A1072" s="146"/>
      <c r="D1072" s="496"/>
    </row>
    <row r="1073" spans="1:4" x14ac:dyDescent="0.2">
      <c r="A1073" s="146"/>
      <c r="D1073" s="496"/>
    </row>
    <row r="1074" spans="1:4" x14ac:dyDescent="0.2">
      <c r="A1074" s="146"/>
      <c r="D1074" s="496"/>
    </row>
    <row r="1075" spans="1:4" x14ac:dyDescent="0.2">
      <c r="A1075" s="146"/>
      <c r="D1075" s="496"/>
    </row>
    <row r="1076" spans="1:4" x14ac:dyDescent="0.2">
      <c r="A1076" s="146"/>
      <c r="D1076" s="496"/>
    </row>
    <row r="1077" spans="1:4" x14ac:dyDescent="0.2">
      <c r="A1077" s="146"/>
      <c r="D1077" s="496"/>
    </row>
    <row r="1078" spans="1:4" x14ac:dyDescent="0.2">
      <c r="A1078" s="146"/>
      <c r="D1078" s="496"/>
    </row>
    <row r="1079" spans="1:4" x14ac:dyDescent="0.2">
      <c r="A1079" s="146"/>
      <c r="D1079" s="496"/>
    </row>
    <row r="1080" spans="1:4" x14ac:dyDescent="0.2">
      <c r="A1080" s="146"/>
      <c r="D1080" s="496"/>
    </row>
    <row r="1081" spans="1:4" x14ac:dyDescent="0.2">
      <c r="A1081" s="146"/>
      <c r="D1081" s="496"/>
    </row>
    <row r="1082" spans="1:4" x14ac:dyDescent="0.2">
      <c r="A1082" s="146"/>
      <c r="D1082" s="496"/>
    </row>
    <row r="1083" spans="1:4" x14ac:dyDescent="0.2">
      <c r="A1083" s="146"/>
      <c r="D1083" s="496"/>
    </row>
    <row r="1084" spans="1:4" x14ac:dyDescent="0.2">
      <c r="A1084" s="146"/>
      <c r="D1084" s="496"/>
    </row>
    <row r="1085" spans="1:4" x14ac:dyDescent="0.2">
      <c r="A1085" s="146"/>
      <c r="D1085" s="496"/>
    </row>
    <row r="1086" spans="1:4" x14ac:dyDescent="0.2">
      <c r="A1086" s="146"/>
      <c r="D1086" s="496"/>
    </row>
    <row r="1087" spans="1:4" x14ac:dyDescent="0.2">
      <c r="A1087" s="146"/>
      <c r="D1087" s="496"/>
    </row>
    <row r="1088" spans="1:4" x14ac:dyDescent="0.2">
      <c r="A1088" s="146"/>
      <c r="D1088" s="496"/>
    </row>
    <row r="1089" spans="1:4" x14ac:dyDescent="0.2">
      <c r="A1089" s="146"/>
      <c r="D1089" s="496"/>
    </row>
    <row r="1090" spans="1:4" x14ac:dyDescent="0.2">
      <c r="A1090" s="146"/>
      <c r="D1090" s="496"/>
    </row>
    <row r="1091" spans="1:4" x14ac:dyDescent="0.2">
      <c r="A1091" s="146"/>
      <c r="D1091" s="496"/>
    </row>
    <row r="1092" spans="1:4" x14ac:dyDescent="0.2">
      <c r="A1092" s="146"/>
      <c r="D1092" s="496"/>
    </row>
    <row r="1093" spans="1:4" x14ac:dyDescent="0.2">
      <c r="A1093" s="146"/>
      <c r="D1093" s="496"/>
    </row>
    <row r="1094" spans="1:4" x14ac:dyDescent="0.2">
      <c r="A1094" s="146"/>
      <c r="D1094" s="496"/>
    </row>
    <row r="1095" spans="1:4" x14ac:dyDescent="0.2">
      <c r="A1095" s="146"/>
      <c r="D1095" s="496"/>
    </row>
    <row r="1096" spans="1:4" x14ac:dyDescent="0.2">
      <c r="A1096" s="146"/>
      <c r="D1096" s="496"/>
    </row>
    <row r="1097" spans="1:4" x14ac:dyDescent="0.2">
      <c r="A1097" s="146"/>
      <c r="D1097" s="496"/>
    </row>
    <row r="1098" spans="1:4" x14ac:dyDescent="0.2">
      <c r="A1098" s="146"/>
      <c r="D1098" s="496"/>
    </row>
    <row r="1099" spans="1:4" x14ac:dyDescent="0.2">
      <c r="A1099" s="146"/>
      <c r="D1099" s="496"/>
    </row>
    <row r="1100" spans="1:4" x14ac:dyDescent="0.2">
      <c r="A1100" s="146"/>
      <c r="D1100" s="496"/>
    </row>
    <row r="1101" spans="1:4" x14ac:dyDescent="0.2">
      <c r="A1101" s="146"/>
      <c r="D1101" s="496"/>
    </row>
    <row r="1102" spans="1:4" x14ac:dyDescent="0.2">
      <c r="A1102" s="146"/>
      <c r="D1102" s="496"/>
    </row>
    <row r="1103" spans="1:4" x14ac:dyDescent="0.2">
      <c r="A1103" s="146"/>
      <c r="D1103" s="496"/>
    </row>
    <row r="1104" spans="1:4" x14ac:dyDescent="0.2">
      <c r="A1104" s="146"/>
      <c r="D1104" s="496"/>
    </row>
    <row r="1105" spans="1:4" x14ac:dyDescent="0.2">
      <c r="A1105" s="146"/>
      <c r="D1105" s="496"/>
    </row>
    <row r="1106" spans="1:4" x14ac:dyDescent="0.2">
      <c r="A1106" s="146"/>
      <c r="D1106" s="496"/>
    </row>
    <row r="1107" spans="1:4" x14ac:dyDescent="0.2">
      <c r="A1107" s="146"/>
      <c r="D1107" s="496"/>
    </row>
    <row r="1108" spans="1:4" x14ac:dyDescent="0.2">
      <c r="A1108" s="146"/>
      <c r="D1108" s="496"/>
    </row>
    <row r="1109" spans="1:4" x14ac:dyDescent="0.2">
      <c r="A1109" s="146"/>
      <c r="D1109" s="496"/>
    </row>
    <row r="1110" spans="1:4" x14ac:dyDescent="0.2">
      <c r="A1110" s="146"/>
      <c r="D1110" s="496"/>
    </row>
    <row r="1111" spans="1:4" x14ac:dyDescent="0.2">
      <c r="A1111" s="146"/>
      <c r="D1111" s="496"/>
    </row>
    <row r="1112" spans="1:4" x14ac:dyDescent="0.2">
      <c r="A1112" s="146"/>
      <c r="D1112" s="496"/>
    </row>
    <row r="1113" spans="1:4" x14ac:dyDescent="0.2">
      <c r="A1113" s="146"/>
      <c r="D1113" s="496"/>
    </row>
    <row r="1114" spans="1:4" x14ac:dyDescent="0.2">
      <c r="A1114" s="146"/>
      <c r="D1114" s="496"/>
    </row>
    <row r="1115" spans="1:4" x14ac:dyDescent="0.2">
      <c r="A1115" s="146"/>
      <c r="D1115" s="496"/>
    </row>
    <row r="1116" spans="1:4" x14ac:dyDescent="0.2">
      <c r="A1116" s="146"/>
      <c r="D1116" s="496"/>
    </row>
    <row r="1117" spans="1:4" x14ac:dyDescent="0.2">
      <c r="A1117" s="146"/>
      <c r="D1117" s="496"/>
    </row>
    <row r="1118" spans="1:4" x14ac:dyDescent="0.2">
      <c r="A1118" s="146"/>
      <c r="D1118" s="496"/>
    </row>
    <row r="1119" spans="1:4" x14ac:dyDescent="0.2">
      <c r="A1119" s="146"/>
      <c r="D1119" s="496"/>
    </row>
    <row r="1120" spans="1:4" x14ac:dyDescent="0.2">
      <c r="A1120" s="146"/>
      <c r="D1120" s="496"/>
    </row>
    <row r="1121" spans="1:4" x14ac:dyDescent="0.2">
      <c r="A1121" s="146"/>
      <c r="D1121" s="496"/>
    </row>
    <row r="1122" spans="1:4" x14ac:dyDescent="0.2">
      <c r="A1122" s="146"/>
      <c r="D1122" s="496"/>
    </row>
    <row r="1123" spans="1:4" x14ac:dyDescent="0.2">
      <c r="A1123" s="146"/>
      <c r="D1123" s="496"/>
    </row>
    <row r="1124" spans="1:4" x14ac:dyDescent="0.2">
      <c r="A1124" s="146"/>
      <c r="D1124" s="496"/>
    </row>
    <row r="1125" spans="1:4" x14ac:dyDescent="0.2">
      <c r="A1125" s="146"/>
      <c r="D1125" s="496"/>
    </row>
    <row r="1126" spans="1:4" x14ac:dyDescent="0.2">
      <c r="A1126" s="146"/>
      <c r="D1126" s="496"/>
    </row>
    <row r="1127" spans="1:4" x14ac:dyDescent="0.2">
      <c r="A1127" s="146"/>
      <c r="D1127" s="496"/>
    </row>
    <row r="1128" spans="1:4" x14ac:dyDescent="0.2">
      <c r="A1128" s="146"/>
      <c r="D1128" s="496"/>
    </row>
    <row r="1129" spans="1:4" x14ac:dyDescent="0.2">
      <c r="A1129" s="146"/>
      <c r="D1129" s="496"/>
    </row>
    <row r="1130" spans="1:4" x14ac:dyDescent="0.2">
      <c r="A1130" s="146"/>
      <c r="D1130" s="496"/>
    </row>
    <row r="1131" spans="1:4" x14ac:dyDescent="0.2">
      <c r="A1131" s="146"/>
      <c r="D1131" s="496"/>
    </row>
    <row r="1132" spans="1:4" x14ac:dyDescent="0.2">
      <c r="A1132" s="146"/>
      <c r="D1132" s="496"/>
    </row>
    <row r="1133" spans="1:4" x14ac:dyDescent="0.2">
      <c r="A1133" s="146"/>
      <c r="D1133" s="496"/>
    </row>
    <row r="1134" spans="1:4" x14ac:dyDescent="0.2">
      <c r="A1134" s="146"/>
      <c r="D1134" s="496"/>
    </row>
    <row r="1135" spans="1:4" x14ac:dyDescent="0.2">
      <c r="A1135" s="146"/>
      <c r="D1135" s="496"/>
    </row>
    <row r="1136" spans="1:4" x14ac:dyDescent="0.2">
      <c r="A1136" s="146"/>
      <c r="D1136" s="496"/>
    </row>
    <row r="1137" spans="1:4" x14ac:dyDescent="0.2">
      <c r="A1137" s="146"/>
      <c r="D1137" s="496"/>
    </row>
    <row r="1138" spans="1:4" x14ac:dyDescent="0.2">
      <c r="A1138" s="146"/>
      <c r="D1138" s="496"/>
    </row>
    <row r="1139" spans="1:4" x14ac:dyDescent="0.2">
      <c r="A1139" s="146"/>
      <c r="D1139" s="496"/>
    </row>
    <row r="1140" spans="1:4" x14ac:dyDescent="0.2">
      <c r="A1140" s="146"/>
      <c r="D1140" s="496"/>
    </row>
    <row r="1141" spans="1:4" x14ac:dyDescent="0.2">
      <c r="A1141" s="146"/>
      <c r="D1141" s="496"/>
    </row>
    <row r="1142" spans="1:4" x14ac:dyDescent="0.2">
      <c r="A1142" s="146"/>
      <c r="D1142" s="496"/>
    </row>
    <row r="1143" spans="1:4" x14ac:dyDescent="0.2">
      <c r="A1143" s="146"/>
      <c r="D1143" s="496"/>
    </row>
    <row r="1144" spans="1:4" x14ac:dyDescent="0.2">
      <c r="A1144" s="146"/>
      <c r="D1144" s="496"/>
    </row>
    <row r="1145" spans="1:4" x14ac:dyDescent="0.2">
      <c r="A1145" s="146"/>
      <c r="D1145" s="496"/>
    </row>
    <row r="1146" spans="1:4" x14ac:dyDescent="0.2">
      <c r="A1146" s="146"/>
      <c r="D1146" s="496"/>
    </row>
    <row r="1147" spans="1:4" x14ac:dyDescent="0.2">
      <c r="A1147" s="146"/>
      <c r="D1147" s="496"/>
    </row>
    <row r="1148" spans="1:4" x14ac:dyDescent="0.2">
      <c r="A1148" s="146"/>
      <c r="D1148" s="496"/>
    </row>
    <row r="1149" spans="1:4" x14ac:dyDescent="0.2">
      <c r="A1149" s="146"/>
      <c r="D1149" s="496"/>
    </row>
    <row r="1150" spans="1:4" x14ac:dyDescent="0.2">
      <c r="A1150" s="146"/>
      <c r="D1150" s="496"/>
    </row>
    <row r="1151" spans="1:4" x14ac:dyDescent="0.2">
      <c r="A1151" s="146"/>
      <c r="D1151" s="496"/>
    </row>
    <row r="1152" spans="1:4" x14ac:dyDescent="0.2">
      <c r="A1152" s="146"/>
      <c r="D1152" s="496"/>
    </row>
    <row r="1153" spans="1:4" x14ac:dyDescent="0.2">
      <c r="A1153" s="146"/>
      <c r="D1153" s="496"/>
    </row>
    <row r="1154" spans="1:4" x14ac:dyDescent="0.2">
      <c r="A1154" s="146"/>
      <c r="D1154" s="496"/>
    </row>
    <row r="1155" spans="1:4" x14ac:dyDescent="0.2">
      <c r="A1155" s="146"/>
      <c r="D1155" s="496"/>
    </row>
    <row r="1156" spans="1:4" x14ac:dyDescent="0.2">
      <c r="A1156" s="146"/>
      <c r="D1156" s="496"/>
    </row>
    <row r="1157" spans="1:4" x14ac:dyDescent="0.2">
      <c r="A1157" s="146"/>
      <c r="D1157" s="496"/>
    </row>
    <row r="1158" spans="1:4" x14ac:dyDescent="0.2">
      <c r="A1158" s="146"/>
      <c r="D1158" s="496"/>
    </row>
    <row r="1159" spans="1:4" x14ac:dyDescent="0.2">
      <c r="A1159" s="146"/>
      <c r="D1159" s="496"/>
    </row>
    <row r="1160" spans="1:4" x14ac:dyDescent="0.2">
      <c r="A1160" s="146"/>
      <c r="D1160" s="496"/>
    </row>
    <row r="1161" spans="1:4" x14ac:dyDescent="0.2">
      <c r="A1161" s="146"/>
      <c r="D1161" s="496"/>
    </row>
    <row r="1162" spans="1:4" x14ac:dyDescent="0.2">
      <c r="A1162" s="146"/>
      <c r="D1162" s="496"/>
    </row>
    <row r="1163" spans="1:4" x14ac:dyDescent="0.2">
      <c r="A1163" s="146"/>
      <c r="D1163" s="496"/>
    </row>
    <row r="1164" spans="1:4" x14ac:dyDescent="0.2">
      <c r="A1164" s="146"/>
      <c r="D1164" s="496"/>
    </row>
    <row r="1165" spans="1:4" x14ac:dyDescent="0.2">
      <c r="A1165" s="146"/>
      <c r="D1165" s="496"/>
    </row>
    <row r="1166" spans="1:4" x14ac:dyDescent="0.2">
      <c r="A1166" s="146"/>
      <c r="D1166" s="496"/>
    </row>
    <row r="1167" spans="1:4" x14ac:dyDescent="0.2">
      <c r="A1167" s="146"/>
      <c r="D1167" s="496"/>
    </row>
    <row r="1168" spans="1:4" x14ac:dyDescent="0.2">
      <c r="A1168" s="146"/>
      <c r="D1168" s="496"/>
    </row>
    <row r="1169" spans="1:4" x14ac:dyDescent="0.2">
      <c r="A1169" s="146"/>
      <c r="D1169" s="496"/>
    </row>
    <row r="1170" spans="1:4" x14ac:dyDescent="0.2">
      <c r="A1170" s="146"/>
      <c r="D1170" s="496"/>
    </row>
    <row r="1171" spans="1:4" x14ac:dyDescent="0.2">
      <c r="A1171" s="146"/>
      <c r="D1171" s="496"/>
    </row>
    <row r="1172" spans="1:4" x14ac:dyDescent="0.2">
      <c r="A1172" s="146"/>
      <c r="D1172" s="496"/>
    </row>
    <row r="1173" spans="1:4" x14ac:dyDescent="0.2">
      <c r="A1173" s="146"/>
      <c r="D1173" s="496"/>
    </row>
    <row r="1174" spans="1:4" x14ac:dyDescent="0.2">
      <c r="A1174" s="146"/>
      <c r="D1174" s="496"/>
    </row>
    <row r="1175" spans="1:4" x14ac:dyDescent="0.2">
      <c r="A1175" s="146"/>
      <c r="D1175" s="496"/>
    </row>
    <row r="1176" spans="1:4" x14ac:dyDescent="0.2">
      <c r="A1176" s="146"/>
      <c r="D1176" s="496"/>
    </row>
    <row r="1177" spans="1:4" x14ac:dyDescent="0.2">
      <c r="A1177" s="146"/>
      <c r="D1177" s="496"/>
    </row>
    <row r="1178" spans="1:4" x14ac:dyDescent="0.2">
      <c r="A1178" s="146"/>
      <c r="D1178" s="496"/>
    </row>
    <row r="1179" spans="1:4" x14ac:dyDescent="0.2">
      <c r="A1179" s="146"/>
      <c r="D1179" s="496"/>
    </row>
    <row r="1180" spans="1:4" x14ac:dyDescent="0.2">
      <c r="A1180" s="146"/>
      <c r="D1180" s="496"/>
    </row>
    <row r="1181" spans="1:4" x14ac:dyDescent="0.2">
      <c r="A1181" s="146"/>
      <c r="D1181" s="496"/>
    </row>
    <row r="1182" spans="1:4" x14ac:dyDescent="0.2">
      <c r="A1182" s="146"/>
      <c r="D1182" s="496"/>
    </row>
    <row r="1183" spans="1:4" x14ac:dyDescent="0.2">
      <c r="A1183" s="146"/>
      <c r="D1183" s="496"/>
    </row>
    <row r="1184" spans="1:4" x14ac:dyDescent="0.2">
      <c r="A1184" s="146"/>
      <c r="D1184" s="496"/>
    </row>
    <row r="1185" spans="1:4" x14ac:dyDescent="0.2">
      <c r="A1185" s="146"/>
      <c r="D1185" s="496"/>
    </row>
    <row r="1186" spans="1:4" x14ac:dyDescent="0.2">
      <c r="A1186" s="146"/>
      <c r="D1186" s="496"/>
    </row>
    <row r="1187" spans="1:4" x14ac:dyDescent="0.2">
      <c r="A1187" s="146"/>
      <c r="D1187" s="496"/>
    </row>
    <row r="1188" spans="1:4" x14ac:dyDescent="0.2">
      <c r="A1188" s="146"/>
      <c r="D1188" s="496"/>
    </row>
    <row r="1189" spans="1:4" x14ac:dyDescent="0.2">
      <c r="A1189" s="146"/>
      <c r="D1189" s="496"/>
    </row>
    <row r="1190" spans="1:4" x14ac:dyDescent="0.2">
      <c r="A1190" s="146"/>
      <c r="D1190" s="496"/>
    </row>
    <row r="1191" spans="1:4" x14ac:dyDescent="0.2">
      <c r="A1191" s="146"/>
      <c r="D1191" s="496"/>
    </row>
    <row r="1192" spans="1:4" x14ac:dyDescent="0.2">
      <c r="A1192" s="146"/>
      <c r="D1192" s="496"/>
    </row>
    <row r="1193" spans="1:4" x14ac:dyDescent="0.2">
      <c r="A1193" s="146"/>
      <c r="D1193" s="496"/>
    </row>
    <row r="1194" spans="1:4" x14ac:dyDescent="0.2">
      <c r="A1194" s="146"/>
      <c r="D1194" s="496"/>
    </row>
    <row r="1195" spans="1:4" x14ac:dyDescent="0.2">
      <c r="A1195" s="146"/>
      <c r="D1195" s="496"/>
    </row>
    <row r="1196" spans="1:4" x14ac:dyDescent="0.2">
      <c r="A1196" s="146"/>
      <c r="D1196" s="496"/>
    </row>
    <row r="1197" spans="1:4" x14ac:dyDescent="0.2">
      <c r="A1197" s="146"/>
      <c r="D1197" s="496"/>
    </row>
    <row r="1198" spans="1:4" x14ac:dyDescent="0.2">
      <c r="A1198" s="146"/>
      <c r="D1198" s="496"/>
    </row>
    <row r="1199" spans="1:4" x14ac:dyDescent="0.2">
      <c r="A1199" s="146"/>
      <c r="D1199" s="496"/>
    </row>
    <row r="1200" spans="1:4" x14ac:dyDescent="0.2">
      <c r="A1200" s="146"/>
      <c r="D1200" s="496"/>
    </row>
    <row r="1201" spans="1:4" x14ac:dyDescent="0.2">
      <c r="A1201" s="146"/>
      <c r="D1201" s="496"/>
    </row>
    <row r="1202" spans="1:4" x14ac:dyDescent="0.2">
      <c r="A1202" s="146"/>
      <c r="D1202" s="496"/>
    </row>
    <row r="1203" spans="1:4" x14ac:dyDescent="0.2">
      <c r="A1203" s="146"/>
      <c r="D1203" s="496"/>
    </row>
    <row r="1204" spans="1:4" x14ac:dyDescent="0.2">
      <c r="A1204" s="146"/>
      <c r="D1204" s="496"/>
    </row>
    <row r="1205" spans="1:4" x14ac:dyDescent="0.2">
      <c r="A1205" s="146"/>
      <c r="D1205" s="496"/>
    </row>
    <row r="1206" spans="1:4" x14ac:dyDescent="0.2">
      <c r="A1206" s="146"/>
      <c r="D1206" s="496"/>
    </row>
    <row r="1207" spans="1:4" x14ac:dyDescent="0.2">
      <c r="A1207" s="146"/>
      <c r="D1207" s="496"/>
    </row>
    <row r="1208" spans="1:4" x14ac:dyDescent="0.2">
      <c r="A1208" s="146"/>
      <c r="D1208" s="496"/>
    </row>
    <row r="1209" spans="1:4" x14ac:dyDescent="0.2">
      <c r="A1209" s="146"/>
      <c r="D1209" s="496"/>
    </row>
    <row r="1210" spans="1:4" x14ac:dyDescent="0.2">
      <c r="A1210" s="146"/>
      <c r="D1210" s="496"/>
    </row>
    <row r="1211" spans="1:4" x14ac:dyDescent="0.2">
      <c r="A1211" s="146"/>
      <c r="D1211" s="496"/>
    </row>
    <row r="1212" spans="1:4" x14ac:dyDescent="0.2">
      <c r="A1212" s="146"/>
      <c r="D1212" s="496"/>
    </row>
    <row r="1213" spans="1:4" x14ac:dyDescent="0.2">
      <c r="A1213" s="146"/>
      <c r="D1213" s="496"/>
    </row>
    <row r="1214" spans="1:4" x14ac:dyDescent="0.2">
      <c r="A1214" s="146"/>
      <c r="D1214" s="496"/>
    </row>
    <row r="1215" spans="1:4" x14ac:dyDescent="0.2">
      <c r="A1215" s="146"/>
      <c r="D1215" s="496"/>
    </row>
    <row r="1216" spans="1:4" x14ac:dyDescent="0.2">
      <c r="A1216" s="146"/>
      <c r="D1216" s="496"/>
    </row>
    <row r="1217" spans="1:4" x14ac:dyDescent="0.2">
      <c r="A1217" s="146"/>
      <c r="D1217" s="496"/>
    </row>
    <row r="1218" spans="1:4" x14ac:dyDescent="0.2">
      <c r="A1218" s="146"/>
      <c r="D1218" s="496"/>
    </row>
    <row r="1219" spans="1:4" x14ac:dyDescent="0.2">
      <c r="A1219" s="146"/>
      <c r="D1219" s="496"/>
    </row>
    <row r="1220" spans="1:4" x14ac:dyDescent="0.2">
      <c r="A1220" s="146"/>
      <c r="D1220" s="496"/>
    </row>
    <row r="1221" spans="1:4" x14ac:dyDescent="0.2">
      <c r="A1221" s="146"/>
      <c r="D1221" s="496"/>
    </row>
    <row r="1222" spans="1:4" x14ac:dyDescent="0.2">
      <c r="A1222" s="146"/>
      <c r="D1222" s="496"/>
    </row>
    <row r="1223" spans="1:4" x14ac:dyDescent="0.2">
      <c r="A1223" s="146"/>
      <c r="D1223" s="496"/>
    </row>
    <row r="1224" spans="1:4" x14ac:dyDescent="0.2">
      <c r="A1224" s="146"/>
      <c r="D1224" s="496"/>
    </row>
    <row r="1225" spans="1:4" x14ac:dyDescent="0.2">
      <c r="A1225" s="146"/>
      <c r="D1225" s="496"/>
    </row>
    <row r="1226" spans="1:4" x14ac:dyDescent="0.2">
      <c r="A1226" s="146"/>
      <c r="D1226" s="496"/>
    </row>
    <row r="1227" spans="1:4" x14ac:dyDescent="0.2">
      <c r="A1227" s="146"/>
      <c r="D1227" s="496"/>
    </row>
    <row r="1228" spans="1:4" x14ac:dyDescent="0.2">
      <c r="A1228" s="146"/>
      <c r="D1228" s="496"/>
    </row>
    <row r="1229" spans="1:4" x14ac:dyDescent="0.2">
      <c r="A1229" s="146"/>
      <c r="D1229" s="496"/>
    </row>
    <row r="1230" spans="1:4" x14ac:dyDescent="0.2">
      <c r="A1230" s="146"/>
      <c r="D1230" s="496"/>
    </row>
    <row r="1231" spans="1:4" x14ac:dyDescent="0.2">
      <c r="A1231" s="146"/>
      <c r="D1231" s="496"/>
    </row>
    <row r="1232" spans="1:4" x14ac:dyDescent="0.2">
      <c r="A1232" s="146"/>
      <c r="D1232" s="496"/>
    </row>
    <row r="1233" spans="1:4" x14ac:dyDescent="0.2">
      <c r="A1233" s="146"/>
      <c r="D1233" s="496"/>
    </row>
    <row r="1234" spans="1:4" x14ac:dyDescent="0.2">
      <c r="A1234" s="146"/>
      <c r="D1234" s="496"/>
    </row>
    <row r="1235" spans="1:4" x14ac:dyDescent="0.2">
      <c r="A1235" s="146"/>
      <c r="D1235" s="496"/>
    </row>
    <row r="1236" spans="1:4" x14ac:dyDescent="0.2">
      <c r="A1236" s="146"/>
      <c r="D1236" s="496"/>
    </row>
    <row r="1237" spans="1:4" x14ac:dyDescent="0.2">
      <c r="A1237" s="146"/>
      <c r="D1237" s="496"/>
    </row>
    <row r="1238" spans="1:4" x14ac:dyDescent="0.2">
      <c r="A1238" s="146"/>
      <c r="D1238" s="496"/>
    </row>
    <row r="1239" spans="1:4" x14ac:dyDescent="0.2">
      <c r="A1239" s="146"/>
      <c r="D1239" s="496"/>
    </row>
    <row r="1240" spans="1:4" x14ac:dyDescent="0.2">
      <c r="A1240" s="146"/>
      <c r="D1240" s="496"/>
    </row>
    <row r="1241" spans="1:4" x14ac:dyDescent="0.2">
      <c r="A1241" s="146"/>
      <c r="D1241" s="496"/>
    </row>
    <row r="1242" spans="1:4" x14ac:dyDescent="0.2">
      <c r="A1242" s="146"/>
      <c r="D1242" s="496"/>
    </row>
    <row r="1243" spans="1:4" x14ac:dyDescent="0.2">
      <c r="A1243" s="146"/>
      <c r="D1243" s="496"/>
    </row>
    <row r="1244" spans="1:4" x14ac:dyDescent="0.2">
      <c r="A1244" s="146"/>
      <c r="D1244" s="496"/>
    </row>
    <row r="1245" spans="1:4" x14ac:dyDescent="0.2">
      <c r="A1245" s="146"/>
      <c r="D1245" s="496"/>
    </row>
    <row r="1246" spans="1:4" x14ac:dyDescent="0.2">
      <c r="A1246" s="146"/>
      <c r="D1246" s="496"/>
    </row>
    <row r="1247" spans="1:4" x14ac:dyDescent="0.2">
      <c r="A1247" s="146"/>
      <c r="D1247" s="496"/>
    </row>
    <row r="1248" spans="1:4" x14ac:dyDescent="0.2">
      <c r="A1248" s="146"/>
      <c r="D1248" s="496"/>
    </row>
    <row r="1249" spans="1:4" x14ac:dyDescent="0.2">
      <c r="A1249" s="146"/>
      <c r="D1249" s="496"/>
    </row>
    <row r="1250" spans="1:4" x14ac:dyDescent="0.2">
      <c r="A1250" s="146"/>
      <c r="D1250" s="496"/>
    </row>
    <row r="1251" spans="1:4" x14ac:dyDescent="0.2">
      <c r="A1251" s="146"/>
      <c r="D1251" s="496"/>
    </row>
    <row r="1252" spans="1:4" x14ac:dyDescent="0.2">
      <c r="A1252" s="146"/>
      <c r="D1252" s="496"/>
    </row>
    <row r="1253" spans="1:4" x14ac:dyDescent="0.2">
      <c r="A1253" s="146"/>
      <c r="D1253" s="496"/>
    </row>
    <row r="1254" spans="1:4" x14ac:dyDescent="0.2">
      <c r="A1254" s="146"/>
      <c r="D1254" s="496"/>
    </row>
    <row r="1255" spans="1:4" x14ac:dyDescent="0.2">
      <c r="A1255" s="146"/>
      <c r="D1255" s="496"/>
    </row>
    <row r="1256" spans="1:4" x14ac:dyDescent="0.2">
      <c r="A1256" s="146"/>
      <c r="D1256" s="496"/>
    </row>
    <row r="1257" spans="1:4" x14ac:dyDescent="0.2">
      <c r="A1257" s="146"/>
      <c r="D1257" s="496"/>
    </row>
    <row r="1258" spans="1:4" x14ac:dyDescent="0.2">
      <c r="A1258" s="146"/>
      <c r="D1258" s="496"/>
    </row>
    <row r="1259" spans="1:4" x14ac:dyDescent="0.2">
      <c r="A1259" s="146"/>
      <c r="D1259" s="496"/>
    </row>
    <row r="1260" spans="1:4" x14ac:dyDescent="0.2">
      <c r="A1260" s="146"/>
      <c r="D1260" s="496"/>
    </row>
    <row r="1261" spans="1:4" x14ac:dyDescent="0.2">
      <c r="A1261" s="146"/>
      <c r="D1261" s="496"/>
    </row>
    <row r="1262" spans="1:4" x14ac:dyDescent="0.2">
      <c r="A1262" s="146"/>
      <c r="D1262" s="496"/>
    </row>
    <row r="1263" spans="1:4" x14ac:dyDescent="0.2">
      <c r="A1263" s="146"/>
      <c r="D1263" s="496"/>
    </row>
    <row r="1264" spans="1:4" x14ac:dyDescent="0.2">
      <c r="A1264" s="146"/>
      <c r="D1264" s="496"/>
    </row>
    <row r="1265" spans="1:4" x14ac:dyDescent="0.2">
      <c r="A1265" s="146"/>
      <c r="D1265" s="496"/>
    </row>
    <row r="1266" spans="1:4" x14ac:dyDescent="0.2">
      <c r="A1266" s="146"/>
      <c r="D1266" s="496"/>
    </row>
    <row r="1267" spans="1:4" x14ac:dyDescent="0.2">
      <c r="A1267" s="146"/>
      <c r="D1267" s="496"/>
    </row>
    <row r="1268" spans="1:4" x14ac:dyDescent="0.2">
      <c r="A1268" s="146"/>
      <c r="D1268" s="496"/>
    </row>
    <row r="1269" spans="1:4" x14ac:dyDescent="0.2">
      <c r="A1269" s="146"/>
      <c r="D1269" s="496"/>
    </row>
    <row r="1270" spans="1:4" x14ac:dyDescent="0.2">
      <c r="A1270" s="146"/>
      <c r="D1270" s="496"/>
    </row>
    <row r="1271" spans="1:4" x14ac:dyDescent="0.2">
      <c r="A1271" s="146"/>
      <c r="D1271" s="496"/>
    </row>
    <row r="1272" spans="1:4" x14ac:dyDescent="0.2">
      <c r="A1272" s="146"/>
      <c r="D1272" s="496"/>
    </row>
    <row r="1273" spans="1:4" x14ac:dyDescent="0.2">
      <c r="A1273" s="146"/>
      <c r="D1273" s="496"/>
    </row>
    <row r="1274" spans="1:4" x14ac:dyDescent="0.2">
      <c r="A1274" s="146"/>
      <c r="D1274" s="496"/>
    </row>
    <row r="1275" spans="1:4" x14ac:dyDescent="0.2">
      <c r="A1275" s="146"/>
      <c r="D1275" s="496"/>
    </row>
    <row r="1276" spans="1:4" x14ac:dyDescent="0.2">
      <c r="A1276" s="146"/>
      <c r="D1276" s="496"/>
    </row>
    <row r="1277" spans="1:4" x14ac:dyDescent="0.2">
      <c r="A1277" s="146"/>
      <c r="D1277" s="496"/>
    </row>
    <row r="1278" spans="1:4" x14ac:dyDescent="0.2">
      <c r="A1278" s="146"/>
      <c r="D1278" s="496"/>
    </row>
    <row r="1279" spans="1:4" x14ac:dyDescent="0.2">
      <c r="A1279" s="146"/>
      <c r="D1279" s="496"/>
    </row>
    <row r="1280" spans="1:4" x14ac:dyDescent="0.2">
      <c r="A1280" s="146"/>
      <c r="D1280" s="496"/>
    </row>
    <row r="1281" spans="1:4" x14ac:dyDescent="0.2">
      <c r="A1281" s="146"/>
      <c r="D1281" s="496"/>
    </row>
    <row r="1282" spans="1:4" x14ac:dyDescent="0.2">
      <c r="A1282" s="146"/>
      <c r="D1282" s="496"/>
    </row>
    <row r="1283" spans="1:4" x14ac:dyDescent="0.2">
      <c r="A1283" s="146"/>
      <c r="D1283" s="496"/>
    </row>
    <row r="1284" spans="1:4" x14ac:dyDescent="0.2">
      <c r="A1284" s="146"/>
      <c r="D1284" s="496"/>
    </row>
    <row r="1285" spans="1:4" x14ac:dyDescent="0.2">
      <c r="A1285" s="146"/>
      <c r="D1285" s="496"/>
    </row>
    <row r="1286" spans="1:4" x14ac:dyDescent="0.2">
      <c r="A1286" s="146"/>
      <c r="D1286" s="496"/>
    </row>
    <row r="1287" spans="1:4" x14ac:dyDescent="0.2">
      <c r="A1287" s="146"/>
      <c r="D1287" s="496"/>
    </row>
    <row r="1288" spans="1:4" x14ac:dyDescent="0.2">
      <c r="A1288" s="146"/>
      <c r="D1288" s="496"/>
    </row>
    <row r="1289" spans="1:4" x14ac:dyDescent="0.2">
      <c r="A1289" s="146"/>
      <c r="D1289" s="496"/>
    </row>
    <row r="1290" spans="1:4" x14ac:dyDescent="0.2">
      <c r="A1290" s="146"/>
      <c r="D1290" s="496"/>
    </row>
    <row r="1291" spans="1:4" x14ac:dyDescent="0.2">
      <c r="A1291" s="146"/>
      <c r="D1291" s="496"/>
    </row>
    <row r="1292" spans="1:4" x14ac:dyDescent="0.2">
      <c r="A1292" s="146"/>
      <c r="D1292" s="496"/>
    </row>
    <row r="1293" spans="1:4" x14ac:dyDescent="0.2">
      <c r="A1293" s="146"/>
      <c r="D1293" s="496"/>
    </row>
    <row r="1294" spans="1:4" x14ac:dyDescent="0.2">
      <c r="A1294" s="146"/>
      <c r="D1294" s="496"/>
    </row>
    <row r="1295" spans="1:4" x14ac:dyDescent="0.2">
      <c r="A1295" s="146"/>
      <c r="D1295" s="496"/>
    </row>
    <row r="1296" spans="1:4" x14ac:dyDescent="0.2">
      <c r="A1296" s="146"/>
      <c r="D1296" s="496"/>
    </row>
    <row r="1297" spans="1:4" x14ac:dyDescent="0.2">
      <c r="A1297" s="146"/>
      <c r="D1297" s="496"/>
    </row>
    <row r="1298" spans="1:4" x14ac:dyDescent="0.2">
      <c r="A1298" s="146"/>
      <c r="D1298" s="496"/>
    </row>
    <row r="1299" spans="1:4" x14ac:dyDescent="0.2">
      <c r="A1299" s="146"/>
      <c r="D1299" s="496"/>
    </row>
    <row r="1300" spans="1:4" x14ac:dyDescent="0.2">
      <c r="A1300" s="146"/>
      <c r="D1300" s="496"/>
    </row>
    <row r="1301" spans="1:4" x14ac:dyDescent="0.2">
      <c r="A1301" s="146"/>
      <c r="D1301" s="496"/>
    </row>
    <row r="1302" spans="1:4" x14ac:dyDescent="0.2">
      <c r="A1302" s="146"/>
      <c r="D1302" s="496"/>
    </row>
    <row r="1303" spans="1:4" x14ac:dyDescent="0.2">
      <c r="A1303" s="146"/>
      <c r="D1303" s="496"/>
    </row>
    <row r="1304" spans="1:4" x14ac:dyDescent="0.2">
      <c r="A1304" s="146"/>
      <c r="D1304" s="496"/>
    </row>
    <row r="1305" spans="1:4" x14ac:dyDescent="0.2">
      <c r="A1305" s="146"/>
      <c r="D1305" s="496"/>
    </row>
    <row r="1306" spans="1:4" x14ac:dyDescent="0.2">
      <c r="A1306" s="146"/>
      <c r="D1306" s="496"/>
    </row>
    <row r="1307" spans="1:4" x14ac:dyDescent="0.2">
      <c r="A1307" s="146"/>
      <c r="D1307" s="496"/>
    </row>
    <row r="1308" spans="1:4" x14ac:dyDescent="0.2">
      <c r="A1308" s="146"/>
      <c r="D1308" s="496"/>
    </row>
    <row r="1309" spans="1:4" x14ac:dyDescent="0.2">
      <c r="A1309" s="146"/>
      <c r="D1309" s="496"/>
    </row>
    <row r="1310" spans="1:4" x14ac:dyDescent="0.2">
      <c r="A1310" s="146"/>
      <c r="D1310" s="496"/>
    </row>
    <row r="1311" spans="1:4" x14ac:dyDescent="0.2">
      <c r="A1311" s="146"/>
      <c r="D1311" s="496"/>
    </row>
    <row r="1312" spans="1:4" x14ac:dyDescent="0.2">
      <c r="A1312" s="146"/>
      <c r="D1312" s="496"/>
    </row>
    <row r="1313" spans="1:4" x14ac:dyDescent="0.2">
      <c r="A1313" s="146"/>
      <c r="D1313" s="496"/>
    </row>
    <row r="1314" spans="1:4" x14ac:dyDescent="0.2">
      <c r="A1314" s="146"/>
      <c r="D1314" s="496"/>
    </row>
    <row r="1315" spans="1:4" x14ac:dyDescent="0.2">
      <c r="A1315" s="146"/>
      <c r="D1315" s="496"/>
    </row>
    <row r="1316" spans="1:4" x14ac:dyDescent="0.2">
      <c r="A1316" s="146"/>
      <c r="D1316" s="496"/>
    </row>
    <row r="1317" spans="1:4" x14ac:dyDescent="0.2">
      <c r="A1317" s="146"/>
      <c r="D1317" s="496"/>
    </row>
    <row r="1318" spans="1:4" x14ac:dyDescent="0.2">
      <c r="A1318" s="146"/>
      <c r="D1318" s="496"/>
    </row>
    <row r="1319" spans="1:4" x14ac:dyDescent="0.2">
      <c r="A1319" s="146"/>
      <c r="D1319" s="496"/>
    </row>
    <row r="1320" spans="1:4" x14ac:dyDescent="0.2">
      <c r="A1320" s="146"/>
      <c r="D1320" s="496"/>
    </row>
    <row r="1321" spans="1:4" x14ac:dyDescent="0.2">
      <c r="A1321" s="146"/>
      <c r="D1321" s="496"/>
    </row>
    <row r="1322" spans="1:4" x14ac:dyDescent="0.2">
      <c r="A1322" s="146"/>
      <c r="D1322" s="496"/>
    </row>
    <row r="1323" spans="1:4" x14ac:dyDescent="0.2">
      <c r="A1323" s="146"/>
      <c r="D1323" s="496"/>
    </row>
    <row r="1324" spans="1:4" x14ac:dyDescent="0.2">
      <c r="A1324" s="146"/>
      <c r="D1324" s="496"/>
    </row>
    <row r="1325" spans="1:4" x14ac:dyDescent="0.2">
      <c r="A1325" s="146"/>
      <c r="D1325" s="496"/>
    </row>
    <row r="1326" spans="1:4" x14ac:dyDescent="0.2">
      <c r="A1326" s="146"/>
      <c r="D1326" s="496"/>
    </row>
    <row r="1327" spans="1:4" x14ac:dyDescent="0.2">
      <c r="A1327" s="146"/>
      <c r="D1327" s="496"/>
    </row>
    <row r="1328" spans="1:4" x14ac:dyDescent="0.2">
      <c r="A1328" s="146"/>
      <c r="D1328" s="496"/>
    </row>
    <row r="1329" spans="1:4" x14ac:dyDescent="0.2">
      <c r="A1329" s="146"/>
      <c r="D1329" s="496"/>
    </row>
    <row r="1330" spans="1:4" x14ac:dyDescent="0.2">
      <c r="A1330" s="146"/>
      <c r="D1330" s="496"/>
    </row>
    <row r="1331" spans="1:4" x14ac:dyDescent="0.2">
      <c r="A1331" s="146"/>
      <c r="D1331" s="496"/>
    </row>
    <row r="1332" spans="1:4" x14ac:dyDescent="0.2">
      <c r="A1332" s="146"/>
      <c r="D1332" s="496"/>
    </row>
    <row r="1333" spans="1:4" x14ac:dyDescent="0.2">
      <c r="A1333" s="146"/>
      <c r="D1333" s="496"/>
    </row>
    <row r="1334" spans="1:4" x14ac:dyDescent="0.2">
      <c r="A1334" s="146"/>
      <c r="D1334" s="496"/>
    </row>
    <row r="1335" spans="1:4" x14ac:dyDescent="0.2">
      <c r="A1335" s="146"/>
      <c r="D1335" s="496"/>
    </row>
    <row r="1336" spans="1:4" x14ac:dyDescent="0.2">
      <c r="A1336" s="146"/>
      <c r="D1336" s="496"/>
    </row>
    <row r="1337" spans="1:4" x14ac:dyDescent="0.2">
      <c r="A1337" s="146"/>
      <c r="D1337" s="496"/>
    </row>
    <row r="1338" spans="1:4" x14ac:dyDescent="0.2">
      <c r="A1338" s="146"/>
      <c r="D1338" s="496"/>
    </row>
    <row r="1339" spans="1:4" x14ac:dyDescent="0.2">
      <c r="A1339" s="146"/>
      <c r="D1339" s="496"/>
    </row>
    <row r="1340" spans="1:4" x14ac:dyDescent="0.2">
      <c r="A1340" s="146"/>
      <c r="D1340" s="496"/>
    </row>
    <row r="1341" spans="1:4" x14ac:dyDescent="0.2">
      <c r="A1341" s="146"/>
      <c r="D1341" s="496"/>
    </row>
    <row r="1342" spans="1:4" x14ac:dyDescent="0.2">
      <c r="A1342" s="146"/>
      <c r="D1342" s="496"/>
    </row>
    <row r="1343" spans="1:4" x14ac:dyDescent="0.2">
      <c r="A1343" s="146"/>
      <c r="D1343" s="496"/>
    </row>
    <row r="1344" spans="1:4" x14ac:dyDescent="0.2">
      <c r="A1344" s="146"/>
      <c r="D1344" s="496"/>
    </row>
    <row r="1345" spans="1:4" x14ac:dyDescent="0.2">
      <c r="A1345" s="146"/>
      <c r="D1345" s="496"/>
    </row>
    <row r="1346" spans="1:4" x14ac:dyDescent="0.2">
      <c r="A1346" s="146"/>
      <c r="D1346" s="496"/>
    </row>
    <row r="1347" spans="1:4" x14ac:dyDescent="0.2">
      <c r="A1347" s="146"/>
      <c r="D1347" s="496"/>
    </row>
    <row r="1348" spans="1:4" x14ac:dyDescent="0.2">
      <c r="A1348" s="146"/>
      <c r="D1348" s="496"/>
    </row>
    <row r="1349" spans="1:4" x14ac:dyDescent="0.2">
      <c r="A1349" s="146"/>
      <c r="D1349" s="496"/>
    </row>
    <row r="1350" spans="1:4" x14ac:dyDescent="0.2">
      <c r="A1350" s="146"/>
      <c r="D1350" s="496"/>
    </row>
    <row r="1351" spans="1:4" x14ac:dyDescent="0.2">
      <c r="A1351" s="146"/>
      <c r="D1351" s="496"/>
    </row>
    <row r="1352" spans="1:4" x14ac:dyDescent="0.2">
      <c r="A1352" s="146"/>
      <c r="D1352" s="496"/>
    </row>
    <row r="1353" spans="1:4" x14ac:dyDescent="0.2">
      <c r="A1353" s="146"/>
      <c r="D1353" s="496"/>
    </row>
    <row r="1354" spans="1:4" x14ac:dyDescent="0.2">
      <c r="A1354" s="146"/>
      <c r="D1354" s="496"/>
    </row>
    <row r="1355" spans="1:4" x14ac:dyDescent="0.2">
      <c r="A1355" s="146"/>
      <c r="D1355" s="496"/>
    </row>
    <row r="1356" spans="1:4" x14ac:dyDescent="0.2">
      <c r="A1356" s="146"/>
      <c r="D1356" s="496"/>
    </row>
    <row r="1357" spans="1:4" x14ac:dyDescent="0.2">
      <c r="A1357" s="146"/>
      <c r="D1357" s="496"/>
    </row>
    <row r="1358" spans="1:4" x14ac:dyDescent="0.2">
      <c r="A1358" s="146"/>
      <c r="D1358" s="496"/>
    </row>
    <row r="1359" spans="1:4" x14ac:dyDescent="0.2">
      <c r="A1359" s="146"/>
      <c r="D1359" s="496"/>
    </row>
    <row r="1360" spans="1:4" x14ac:dyDescent="0.2">
      <c r="A1360" s="146"/>
      <c r="D1360" s="496"/>
    </row>
    <row r="1361" spans="1:4" x14ac:dyDescent="0.2">
      <c r="A1361" s="146"/>
      <c r="D1361" s="496"/>
    </row>
    <row r="1362" spans="1:4" x14ac:dyDescent="0.2">
      <c r="A1362" s="146"/>
      <c r="D1362" s="496"/>
    </row>
    <row r="1363" spans="1:4" x14ac:dyDescent="0.2">
      <c r="A1363" s="146"/>
      <c r="D1363" s="496"/>
    </row>
    <row r="1364" spans="1:4" x14ac:dyDescent="0.2">
      <c r="A1364" s="146"/>
      <c r="D1364" s="496"/>
    </row>
    <row r="1365" spans="1:4" x14ac:dyDescent="0.2">
      <c r="A1365" s="146"/>
      <c r="D1365" s="496"/>
    </row>
    <row r="1366" spans="1:4" x14ac:dyDescent="0.2">
      <c r="A1366" s="146"/>
      <c r="D1366" s="496"/>
    </row>
    <row r="1367" spans="1:4" x14ac:dyDescent="0.2">
      <c r="A1367" s="146"/>
      <c r="D1367" s="496"/>
    </row>
    <row r="1368" spans="1:4" x14ac:dyDescent="0.2">
      <c r="A1368" s="146"/>
      <c r="D1368" s="496"/>
    </row>
    <row r="1369" spans="1:4" x14ac:dyDescent="0.2">
      <c r="A1369" s="146"/>
      <c r="D1369" s="496"/>
    </row>
    <row r="1370" spans="1:4" x14ac:dyDescent="0.2">
      <c r="A1370" s="146"/>
      <c r="D1370" s="496"/>
    </row>
    <row r="1371" spans="1:4" x14ac:dyDescent="0.2">
      <c r="A1371" s="146"/>
      <c r="D1371" s="496"/>
    </row>
    <row r="1372" spans="1:4" x14ac:dyDescent="0.2">
      <c r="A1372" s="146"/>
      <c r="D1372" s="496"/>
    </row>
    <row r="1373" spans="1:4" x14ac:dyDescent="0.2">
      <c r="A1373" s="146"/>
      <c r="D1373" s="496"/>
    </row>
    <row r="1374" spans="1:4" x14ac:dyDescent="0.2">
      <c r="A1374" s="146"/>
      <c r="D1374" s="496"/>
    </row>
    <row r="1375" spans="1:4" x14ac:dyDescent="0.2">
      <c r="A1375" s="146"/>
      <c r="D1375" s="496"/>
    </row>
    <row r="1376" spans="1:4" x14ac:dyDescent="0.2">
      <c r="A1376" s="146"/>
      <c r="D1376" s="496"/>
    </row>
    <row r="1377" spans="1:4" x14ac:dyDescent="0.2">
      <c r="A1377" s="146"/>
      <c r="D1377" s="496"/>
    </row>
    <row r="1378" spans="1:4" x14ac:dyDescent="0.2">
      <c r="A1378" s="146"/>
      <c r="D1378" s="496"/>
    </row>
    <row r="1379" spans="1:4" x14ac:dyDescent="0.2">
      <c r="A1379" s="146"/>
      <c r="D1379" s="496"/>
    </row>
    <row r="1380" spans="1:4" x14ac:dyDescent="0.2">
      <c r="A1380" s="146"/>
      <c r="D1380" s="496"/>
    </row>
    <row r="1381" spans="1:4" x14ac:dyDescent="0.2">
      <c r="A1381" s="146"/>
      <c r="D1381" s="496"/>
    </row>
    <row r="1382" spans="1:4" x14ac:dyDescent="0.2">
      <c r="A1382" s="146"/>
      <c r="D1382" s="496"/>
    </row>
    <row r="1383" spans="1:4" x14ac:dyDescent="0.2">
      <c r="A1383" s="146"/>
      <c r="D1383" s="496"/>
    </row>
    <row r="1384" spans="1:4" x14ac:dyDescent="0.2">
      <c r="A1384" s="146"/>
      <c r="D1384" s="496"/>
    </row>
    <row r="1385" spans="1:4" x14ac:dyDescent="0.2">
      <c r="A1385" s="146"/>
      <c r="D1385" s="496"/>
    </row>
    <row r="1386" spans="1:4" x14ac:dyDescent="0.2">
      <c r="A1386" s="146"/>
      <c r="D1386" s="496"/>
    </row>
    <row r="1387" spans="1:4" x14ac:dyDescent="0.2">
      <c r="A1387" s="146"/>
      <c r="D1387" s="496"/>
    </row>
    <row r="1388" spans="1:4" x14ac:dyDescent="0.2">
      <c r="A1388" s="146"/>
      <c r="D1388" s="496"/>
    </row>
    <row r="1389" spans="1:4" x14ac:dyDescent="0.2">
      <c r="A1389" s="146"/>
      <c r="D1389" s="496"/>
    </row>
    <row r="1390" spans="1:4" x14ac:dyDescent="0.2">
      <c r="A1390" s="146"/>
      <c r="D1390" s="496"/>
    </row>
    <row r="1391" spans="1:4" x14ac:dyDescent="0.2">
      <c r="A1391" s="146"/>
      <c r="D1391" s="496"/>
    </row>
    <row r="1392" spans="1:4" x14ac:dyDescent="0.2">
      <c r="A1392" s="146"/>
      <c r="D1392" s="496"/>
    </row>
    <row r="1393" spans="1:4" x14ac:dyDescent="0.2">
      <c r="A1393" s="146"/>
      <c r="D1393" s="496"/>
    </row>
    <row r="1394" spans="1:4" x14ac:dyDescent="0.2">
      <c r="A1394" s="146"/>
      <c r="D1394" s="496"/>
    </row>
    <row r="1395" spans="1:4" x14ac:dyDescent="0.2">
      <c r="A1395" s="146"/>
      <c r="D1395" s="496"/>
    </row>
    <row r="1396" spans="1:4" x14ac:dyDescent="0.2">
      <c r="A1396" s="146"/>
      <c r="D1396" s="496"/>
    </row>
    <row r="1397" spans="1:4" x14ac:dyDescent="0.2">
      <c r="A1397" s="146"/>
      <c r="D1397" s="496"/>
    </row>
    <row r="1398" spans="1:4" x14ac:dyDescent="0.2">
      <c r="A1398" s="146"/>
      <c r="D1398" s="496"/>
    </row>
    <row r="1399" spans="1:4" x14ac:dyDescent="0.2">
      <c r="A1399" s="146"/>
      <c r="D1399" s="496"/>
    </row>
    <row r="1400" spans="1:4" x14ac:dyDescent="0.2">
      <c r="A1400" s="146"/>
      <c r="D1400" s="496"/>
    </row>
    <row r="1401" spans="1:4" x14ac:dyDescent="0.2">
      <c r="A1401" s="146"/>
      <c r="D1401" s="496"/>
    </row>
    <row r="1402" spans="1:4" x14ac:dyDescent="0.2">
      <c r="A1402" s="146"/>
      <c r="D1402" s="496"/>
    </row>
    <row r="1403" spans="1:4" x14ac:dyDescent="0.2">
      <c r="A1403" s="146"/>
      <c r="D1403" s="496"/>
    </row>
    <row r="1404" spans="1:4" x14ac:dyDescent="0.2">
      <c r="A1404" s="146"/>
      <c r="D1404" s="496"/>
    </row>
    <row r="1405" spans="1:4" x14ac:dyDescent="0.2">
      <c r="A1405" s="146"/>
      <c r="D1405" s="496"/>
    </row>
    <row r="1406" spans="1:4" x14ac:dyDescent="0.2">
      <c r="A1406" s="146"/>
      <c r="D1406" s="496"/>
    </row>
    <row r="1407" spans="1:4" x14ac:dyDescent="0.2">
      <c r="A1407" s="146"/>
      <c r="D1407" s="496"/>
    </row>
    <row r="1408" spans="1:4" x14ac:dyDescent="0.2">
      <c r="A1408" s="146"/>
      <c r="D1408" s="496"/>
    </row>
    <row r="1409" spans="1:4" x14ac:dyDescent="0.2">
      <c r="A1409" s="146"/>
      <c r="D1409" s="496"/>
    </row>
    <row r="1410" spans="1:4" x14ac:dyDescent="0.2">
      <c r="A1410" s="146"/>
      <c r="D1410" s="496"/>
    </row>
    <row r="1411" spans="1:4" x14ac:dyDescent="0.2">
      <c r="A1411" s="146"/>
      <c r="D1411" s="496"/>
    </row>
    <row r="1412" spans="1:4" x14ac:dyDescent="0.2">
      <c r="A1412" s="146"/>
      <c r="D1412" s="496"/>
    </row>
    <row r="1413" spans="1:4" x14ac:dyDescent="0.2">
      <c r="A1413" s="146"/>
      <c r="D1413" s="496"/>
    </row>
    <row r="1414" spans="1:4" x14ac:dyDescent="0.2">
      <c r="A1414" s="146"/>
      <c r="D1414" s="496"/>
    </row>
    <row r="1415" spans="1:4" x14ac:dyDescent="0.2">
      <c r="A1415" s="146"/>
      <c r="D1415" s="496"/>
    </row>
    <row r="1416" spans="1:4" x14ac:dyDescent="0.2">
      <c r="A1416" s="146"/>
      <c r="D1416" s="496"/>
    </row>
    <row r="1417" spans="1:4" x14ac:dyDescent="0.2">
      <c r="A1417" s="146"/>
      <c r="D1417" s="496"/>
    </row>
    <row r="1418" spans="1:4" x14ac:dyDescent="0.2">
      <c r="A1418" s="146"/>
      <c r="D1418" s="496"/>
    </row>
    <row r="1419" spans="1:4" x14ac:dyDescent="0.2">
      <c r="A1419" s="146"/>
      <c r="D1419" s="496"/>
    </row>
    <row r="1420" spans="1:4" x14ac:dyDescent="0.2">
      <c r="A1420" s="146"/>
      <c r="D1420" s="496"/>
    </row>
    <row r="1421" spans="1:4" x14ac:dyDescent="0.2">
      <c r="A1421" s="146"/>
      <c r="D1421" s="496"/>
    </row>
    <row r="1422" spans="1:4" x14ac:dyDescent="0.2">
      <c r="A1422" s="146"/>
      <c r="D1422" s="496"/>
    </row>
    <row r="1423" spans="1:4" x14ac:dyDescent="0.2">
      <c r="A1423" s="146"/>
      <c r="D1423" s="496"/>
    </row>
    <row r="1424" spans="1:4" x14ac:dyDescent="0.2">
      <c r="A1424" s="146"/>
      <c r="D1424" s="496"/>
    </row>
    <row r="1425" spans="1:4" x14ac:dyDescent="0.2">
      <c r="A1425" s="146"/>
      <c r="D1425" s="496"/>
    </row>
    <row r="1426" spans="1:4" x14ac:dyDescent="0.2">
      <c r="A1426" s="146"/>
      <c r="D1426" s="496"/>
    </row>
    <row r="1427" spans="1:4" x14ac:dyDescent="0.2">
      <c r="A1427" s="146"/>
      <c r="D1427" s="496"/>
    </row>
    <row r="1428" spans="1:4" x14ac:dyDescent="0.2">
      <c r="A1428" s="146"/>
      <c r="D1428" s="496"/>
    </row>
    <row r="1429" spans="1:4" x14ac:dyDescent="0.2">
      <c r="A1429" s="146"/>
      <c r="D1429" s="496"/>
    </row>
    <row r="1430" spans="1:4" x14ac:dyDescent="0.2">
      <c r="A1430" s="146"/>
      <c r="D1430" s="496"/>
    </row>
    <row r="1431" spans="1:4" x14ac:dyDescent="0.2">
      <c r="A1431" s="146"/>
      <c r="D1431" s="496"/>
    </row>
    <row r="1432" spans="1:4" x14ac:dyDescent="0.2">
      <c r="A1432" s="146"/>
      <c r="D1432" s="496"/>
    </row>
    <row r="1433" spans="1:4" x14ac:dyDescent="0.2">
      <c r="A1433" s="146"/>
      <c r="D1433" s="496"/>
    </row>
    <row r="1434" spans="1:4" x14ac:dyDescent="0.2">
      <c r="A1434" s="146"/>
      <c r="D1434" s="496"/>
    </row>
    <row r="1435" spans="1:4" x14ac:dyDescent="0.2">
      <c r="A1435" s="146"/>
      <c r="D1435" s="496"/>
    </row>
    <row r="1436" spans="1:4" x14ac:dyDescent="0.2">
      <c r="A1436" s="146"/>
      <c r="D1436" s="496"/>
    </row>
    <row r="1437" spans="1:4" x14ac:dyDescent="0.2">
      <c r="A1437" s="146"/>
      <c r="D1437" s="496"/>
    </row>
    <row r="1438" spans="1:4" x14ac:dyDescent="0.2">
      <c r="A1438" s="146"/>
      <c r="D1438" s="496"/>
    </row>
    <row r="1439" spans="1:4" x14ac:dyDescent="0.2">
      <c r="A1439" s="146"/>
      <c r="D1439" s="496"/>
    </row>
    <row r="1440" spans="1:4" x14ac:dyDescent="0.2">
      <c r="A1440" s="146"/>
      <c r="D1440" s="496"/>
    </row>
    <row r="1441" spans="1:4" x14ac:dyDescent="0.2">
      <c r="A1441" s="146"/>
      <c r="D1441" s="496"/>
    </row>
    <row r="1442" spans="1:4" x14ac:dyDescent="0.2">
      <c r="A1442" s="146"/>
      <c r="D1442" s="496"/>
    </row>
    <row r="1443" spans="1:4" x14ac:dyDescent="0.2">
      <c r="A1443" s="146"/>
      <c r="D1443" s="496"/>
    </row>
    <row r="1444" spans="1:4" x14ac:dyDescent="0.2">
      <c r="A1444" s="146"/>
      <c r="D1444" s="496"/>
    </row>
    <row r="1445" spans="1:4" x14ac:dyDescent="0.2">
      <c r="A1445" s="146"/>
      <c r="D1445" s="496"/>
    </row>
    <row r="1446" spans="1:4" x14ac:dyDescent="0.2">
      <c r="A1446" s="146"/>
      <c r="D1446" s="496"/>
    </row>
    <row r="1447" spans="1:4" x14ac:dyDescent="0.2">
      <c r="A1447" s="146"/>
      <c r="D1447" s="496"/>
    </row>
    <row r="1448" spans="1:4" x14ac:dyDescent="0.2">
      <c r="A1448" s="146"/>
      <c r="D1448" s="496"/>
    </row>
    <row r="1449" spans="1:4" x14ac:dyDescent="0.2">
      <c r="A1449" s="146"/>
      <c r="D1449" s="496"/>
    </row>
    <row r="1450" spans="1:4" x14ac:dyDescent="0.2">
      <c r="A1450" s="146"/>
      <c r="D1450" s="496"/>
    </row>
    <row r="1451" spans="1:4" x14ac:dyDescent="0.2">
      <c r="A1451" s="146"/>
      <c r="D1451" s="496"/>
    </row>
    <row r="1452" spans="1:4" x14ac:dyDescent="0.2">
      <c r="A1452" s="146"/>
      <c r="D1452" s="496"/>
    </row>
    <row r="1453" spans="1:4" x14ac:dyDescent="0.2">
      <c r="A1453" s="146"/>
      <c r="D1453" s="496"/>
    </row>
    <row r="1454" spans="1:4" x14ac:dyDescent="0.2">
      <c r="A1454" s="146"/>
      <c r="D1454" s="496"/>
    </row>
    <row r="1455" spans="1:4" x14ac:dyDescent="0.2">
      <c r="A1455" s="146"/>
      <c r="D1455" s="496"/>
    </row>
    <row r="1456" spans="1:4" x14ac:dyDescent="0.2">
      <c r="A1456" s="146"/>
      <c r="D1456" s="496"/>
    </row>
    <row r="1457" spans="1:4" x14ac:dyDescent="0.2">
      <c r="A1457" s="146"/>
      <c r="D1457" s="496"/>
    </row>
    <row r="1458" spans="1:4" x14ac:dyDescent="0.2">
      <c r="A1458" s="146"/>
      <c r="D1458" s="496"/>
    </row>
    <row r="1459" spans="1:4" x14ac:dyDescent="0.2">
      <c r="A1459" s="146"/>
      <c r="D1459" s="496"/>
    </row>
    <row r="1460" spans="1:4" x14ac:dyDescent="0.2">
      <c r="A1460" s="146"/>
      <c r="D1460" s="496"/>
    </row>
    <row r="1461" spans="1:4" x14ac:dyDescent="0.2">
      <c r="A1461" s="146"/>
      <c r="D1461" s="496"/>
    </row>
    <row r="1462" spans="1:4" x14ac:dyDescent="0.2">
      <c r="A1462" s="146"/>
      <c r="D1462" s="496"/>
    </row>
    <row r="1463" spans="1:4" x14ac:dyDescent="0.2">
      <c r="A1463" s="146"/>
      <c r="D1463" s="496"/>
    </row>
    <row r="1464" spans="1:4" x14ac:dyDescent="0.2">
      <c r="A1464" s="146"/>
      <c r="D1464" s="496"/>
    </row>
    <row r="1465" spans="1:4" x14ac:dyDescent="0.2">
      <c r="A1465" s="146"/>
      <c r="D1465" s="496"/>
    </row>
    <row r="1466" spans="1:4" x14ac:dyDescent="0.2">
      <c r="A1466" s="146"/>
      <c r="D1466" s="496"/>
    </row>
    <row r="1467" spans="1:4" x14ac:dyDescent="0.2">
      <c r="A1467" s="146"/>
      <c r="D1467" s="496"/>
    </row>
    <row r="1468" spans="1:4" x14ac:dyDescent="0.2">
      <c r="A1468" s="146"/>
      <c r="D1468" s="496"/>
    </row>
    <row r="1469" spans="1:4" x14ac:dyDescent="0.2">
      <c r="A1469" s="146"/>
      <c r="D1469" s="496"/>
    </row>
    <row r="1470" spans="1:4" x14ac:dyDescent="0.2">
      <c r="A1470" s="146"/>
      <c r="D1470" s="496"/>
    </row>
    <row r="1471" spans="1:4" x14ac:dyDescent="0.2">
      <c r="A1471" s="146"/>
      <c r="D1471" s="496"/>
    </row>
    <row r="1472" spans="1:4" x14ac:dyDescent="0.2">
      <c r="A1472" s="146"/>
      <c r="D1472" s="496"/>
    </row>
    <row r="1473" spans="1:4" x14ac:dyDescent="0.2">
      <c r="A1473" s="146"/>
      <c r="D1473" s="496"/>
    </row>
    <row r="1474" spans="1:4" x14ac:dyDescent="0.2">
      <c r="A1474" s="146"/>
      <c r="D1474" s="496"/>
    </row>
    <row r="1475" spans="1:4" x14ac:dyDescent="0.2">
      <c r="A1475" s="146"/>
      <c r="D1475" s="496"/>
    </row>
    <row r="1476" spans="1:4" x14ac:dyDescent="0.2">
      <c r="A1476" s="146"/>
      <c r="D1476" s="496"/>
    </row>
    <row r="1477" spans="1:4" x14ac:dyDescent="0.2">
      <c r="A1477" s="146"/>
      <c r="D1477" s="496"/>
    </row>
    <row r="1478" spans="1:4" x14ac:dyDescent="0.2">
      <c r="A1478" s="146"/>
      <c r="D1478" s="496"/>
    </row>
    <row r="1479" spans="1:4" x14ac:dyDescent="0.2">
      <c r="A1479" s="146"/>
      <c r="D1479" s="496"/>
    </row>
    <row r="1480" spans="1:4" x14ac:dyDescent="0.2">
      <c r="A1480" s="146"/>
      <c r="D1480" s="496"/>
    </row>
    <row r="1481" spans="1:4" x14ac:dyDescent="0.2">
      <c r="A1481" s="146"/>
      <c r="D1481" s="496"/>
    </row>
    <row r="1482" spans="1:4" x14ac:dyDescent="0.2">
      <c r="A1482" s="146"/>
      <c r="D1482" s="496"/>
    </row>
    <row r="1483" spans="1:4" x14ac:dyDescent="0.2">
      <c r="A1483" s="146"/>
      <c r="D1483" s="496"/>
    </row>
    <row r="1484" spans="1:4" x14ac:dyDescent="0.2">
      <c r="A1484" s="146"/>
      <c r="D1484" s="496"/>
    </row>
    <row r="1485" spans="1:4" x14ac:dyDescent="0.2">
      <c r="A1485" s="146"/>
      <c r="D1485" s="496"/>
    </row>
    <row r="1486" spans="1:4" x14ac:dyDescent="0.2">
      <c r="A1486" s="146"/>
      <c r="D1486" s="496"/>
    </row>
    <row r="1487" spans="1:4" x14ac:dyDescent="0.2">
      <c r="A1487" s="146"/>
      <c r="D1487" s="496"/>
    </row>
    <row r="1488" spans="1:4" x14ac:dyDescent="0.2">
      <c r="A1488" s="146"/>
      <c r="D1488" s="496"/>
    </row>
    <row r="1489" spans="1:4" x14ac:dyDescent="0.2">
      <c r="A1489" s="146"/>
      <c r="D1489" s="496"/>
    </row>
    <row r="1490" spans="1:4" x14ac:dyDescent="0.2">
      <c r="A1490" s="146"/>
      <c r="D1490" s="496"/>
    </row>
    <row r="1491" spans="1:4" x14ac:dyDescent="0.2">
      <c r="A1491" s="146"/>
      <c r="D1491" s="496"/>
    </row>
    <row r="1492" spans="1:4" x14ac:dyDescent="0.2">
      <c r="A1492" s="146"/>
      <c r="D1492" s="496"/>
    </row>
    <row r="1493" spans="1:4" x14ac:dyDescent="0.2">
      <c r="A1493" s="146"/>
      <c r="D1493" s="496"/>
    </row>
    <row r="1494" spans="1:4" x14ac:dyDescent="0.2">
      <c r="A1494" s="146"/>
      <c r="D1494" s="496"/>
    </row>
    <row r="1495" spans="1:4" x14ac:dyDescent="0.2">
      <c r="A1495" s="146"/>
      <c r="D1495" s="496"/>
    </row>
    <row r="1496" spans="1:4" x14ac:dyDescent="0.2">
      <c r="A1496" s="146"/>
      <c r="D1496" s="496"/>
    </row>
    <row r="1497" spans="1:4" x14ac:dyDescent="0.2">
      <c r="A1497" s="146"/>
      <c r="D1497" s="496"/>
    </row>
    <row r="1498" spans="1:4" x14ac:dyDescent="0.2">
      <c r="A1498" s="146"/>
      <c r="D1498" s="496"/>
    </row>
    <row r="1499" spans="1:4" x14ac:dyDescent="0.2">
      <c r="A1499" s="146"/>
      <c r="D1499" s="496"/>
    </row>
    <row r="1500" spans="1:4" x14ac:dyDescent="0.2">
      <c r="A1500" s="146"/>
      <c r="D1500" s="496"/>
    </row>
    <row r="1501" spans="1:4" x14ac:dyDescent="0.2">
      <c r="A1501" s="146"/>
      <c r="D1501" s="496"/>
    </row>
    <row r="1502" spans="1:4" x14ac:dyDescent="0.2">
      <c r="A1502" s="146"/>
      <c r="D1502" s="496"/>
    </row>
    <row r="1503" spans="1:4" x14ac:dyDescent="0.2">
      <c r="A1503" s="146"/>
      <c r="D1503" s="496"/>
    </row>
    <row r="1504" spans="1:4" x14ac:dyDescent="0.2">
      <c r="A1504" s="146"/>
      <c r="D1504" s="496"/>
    </row>
    <row r="1505" spans="1:4" x14ac:dyDescent="0.2">
      <c r="A1505" s="146"/>
      <c r="D1505" s="496"/>
    </row>
    <row r="1506" spans="1:4" x14ac:dyDescent="0.2">
      <c r="A1506" s="146"/>
      <c r="D1506" s="496"/>
    </row>
    <row r="1507" spans="1:4" x14ac:dyDescent="0.2">
      <c r="A1507" s="146"/>
      <c r="D1507" s="496"/>
    </row>
    <row r="1508" spans="1:4" x14ac:dyDescent="0.2">
      <c r="A1508" s="146"/>
      <c r="D1508" s="496"/>
    </row>
    <row r="1509" spans="1:4" x14ac:dyDescent="0.2">
      <c r="A1509" s="146"/>
      <c r="D1509" s="496"/>
    </row>
    <row r="1510" spans="1:4" x14ac:dyDescent="0.2">
      <c r="A1510" s="146"/>
      <c r="D1510" s="496"/>
    </row>
    <row r="1511" spans="1:4" x14ac:dyDescent="0.2">
      <c r="A1511" s="146"/>
      <c r="D1511" s="496"/>
    </row>
    <row r="1512" spans="1:4" x14ac:dyDescent="0.2">
      <c r="A1512" s="146"/>
      <c r="D1512" s="496"/>
    </row>
    <row r="1513" spans="1:4" x14ac:dyDescent="0.2">
      <c r="A1513" s="146"/>
      <c r="D1513" s="496"/>
    </row>
    <row r="1514" spans="1:4" x14ac:dyDescent="0.2">
      <c r="A1514" s="146"/>
      <c r="D1514" s="496"/>
    </row>
    <row r="1515" spans="1:4" x14ac:dyDescent="0.2">
      <c r="A1515" s="146"/>
      <c r="D1515" s="496"/>
    </row>
    <row r="1516" spans="1:4" x14ac:dyDescent="0.2">
      <c r="A1516" s="146"/>
      <c r="D1516" s="496"/>
    </row>
    <row r="1517" spans="1:4" x14ac:dyDescent="0.2">
      <c r="A1517" s="146"/>
      <c r="D1517" s="496"/>
    </row>
    <row r="1518" spans="1:4" x14ac:dyDescent="0.2">
      <c r="A1518" s="146"/>
      <c r="D1518" s="496"/>
    </row>
    <row r="1519" spans="1:4" x14ac:dyDescent="0.2">
      <c r="A1519" s="146"/>
      <c r="D1519" s="496"/>
    </row>
    <row r="1520" spans="1:4" x14ac:dyDescent="0.2">
      <c r="A1520" s="146"/>
      <c r="D1520" s="496"/>
    </row>
    <row r="1521" spans="1:4" x14ac:dyDescent="0.2">
      <c r="A1521" s="146"/>
      <c r="D1521" s="496"/>
    </row>
    <row r="1522" spans="1:4" x14ac:dyDescent="0.2">
      <c r="A1522" s="146"/>
      <c r="D1522" s="496"/>
    </row>
    <row r="1523" spans="1:4" x14ac:dyDescent="0.2">
      <c r="A1523" s="146"/>
      <c r="D1523" s="496"/>
    </row>
    <row r="1524" spans="1:4" x14ac:dyDescent="0.2">
      <c r="A1524" s="146"/>
      <c r="D1524" s="496"/>
    </row>
    <row r="1525" spans="1:4" x14ac:dyDescent="0.2">
      <c r="A1525" s="146"/>
      <c r="D1525" s="496"/>
    </row>
    <row r="1526" spans="1:4" x14ac:dyDescent="0.2">
      <c r="A1526" s="146"/>
      <c r="D1526" s="496"/>
    </row>
    <row r="1527" spans="1:4" x14ac:dyDescent="0.2">
      <c r="A1527" s="146"/>
      <c r="D1527" s="496"/>
    </row>
    <row r="1528" spans="1:4" x14ac:dyDescent="0.2">
      <c r="A1528" s="146"/>
      <c r="D1528" s="496"/>
    </row>
    <row r="1529" spans="1:4" x14ac:dyDescent="0.2">
      <c r="A1529" s="146"/>
      <c r="D1529" s="496"/>
    </row>
    <row r="1530" spans="1:4" x14ac:dyDescent="0.2">
      <c r="A1530" s="146"/>
      <c r="D1530" s="496"/>
    </row>
    <row r="1531" spans="1:4" x14ac:dyDescent="0.2">
      <c r="A1531" s="146"/>
      <c r="D1531" s="496"/>
    </row>
    <row r="1532" spans="1:4" x14ac:dyDescent="0.2">
      <c r="A1532" s="146"/>
      <c r="D1532" s="496"/>
    </row>
    <row r="1533" spans="1:4" x14ac:dyDescent="0.2">
      <c r="A1533" s="146"/>
      <c r="D1533" s="496"/>
    </row>
    <row r="1534" spans="1:4" x14ac:dyDescent="0.2">
      <c r="A1534" s="146"/>
      <c r="D1534" s="496"/>
    </row>
    <row r="1535" spans="1:4" x14ac:dyDescent="0.2">
      <c r="A1535" s="146"/>
      <c r="D1535" s="496"/>
    </row>
    <row r="1536" spans="1:4" x14ac:dyDescent="0.2">
      <c r="A1536" s="146"/>
      <c r="D1536" s="496"/>
    </row>
    <row r="1537" spans="1:4" x14ac:dyDescent="0.2">
      <c r="A1537" s="146"/>
      <c r="D1537" s="496"/>
    </row>
    <row r="1538" spans="1:4" x14ac:dyDescent="0.2">
      <c r="A1538" s="146"/>
      <c r="D1538" s="496"/>
    </row>
    <row r="1539" spans="1:4" x14ac:dyDescent="0.2">
      <c r="A1539" s="146"/>
      <c r="D1539" s="496"/>
    </row>
    <row r="1540" spans="1:4" x14ac:dyDescent="0.2">
      <c r="A1540" s="146"/>
      <c r="D1540" s="496"/>
    </row>
    <row r="1541" spans="1:4" x14ac:dyDescent="0.2">
      <c r="A1541" s="146"/>
      <c r="D1541" s="496"/>
    </row>
    <row r="1542" spans="1:4" x14ac:dyDescent="0.2">
      <c r="A1542" s="146"/>
      <c r="D1542" s="496"/>
    </row>
    <row r="1543" spans="1:4" x14ac:dyDescent="0.2">
      <c r="A1543" s="146"/>
      <c r="D1543" s="496"/>
    </row>
    <row r="1544" spans="1:4" x14ac:dyDescent="0.2">
      <c r="A1544" s="146"/>
      <c r="D1544" s="496"/>
    </row>
    <row r="1545" spans="1:4" x14ac:dyDescent="0.2">
      <c r="A1545" s="146"/>
      <c r="D1545" s="496"/>
    </row>
    <row r="1546" spans="1:4" x14ac:dyDescent="0.2">
      <c r="A1546" s="146"/>
      <c r="D1546" s="496"/>
    </row>
    <row r="1547" spans="1:4" x14ac:dyDescent="0.2">
      <c r="A1547" s="146"/>
      <c r="D1547" s="496"/>
    </row>
    <row r="1548" spans="1:4" x14ac:dyDescent="0.2">
      <c r="A1548" s="146"/>
      <c r="D1548" s="496"/>
    </row>
    <row r="1549" spans="1:4" x14ac:dyDescent="0.2">
      <c r="A1549" s="146"/>
      <c r="D1549" s="496"/>
    </row>
    <row r="1550" spans="1:4" x14ac:dyDescent="0.2">
      <c r="A1550" s="146"/>
      <c r="D1550" s="496"/>
    </row>
    <row r="1551" spans="1:4" x14ac:dyDescent="0.2">
      <c r="A1551" s="146"/>
      <c r="D1551" s="496"/>
    </row>
    <row r="1552" spans="1:4" x14ac:dyDescent="0.2">
      <c r="A1552" s="146"/>
      <c r="D1552" s="496"/>
    </row>
    <row r="1553" spans="1:4" x14ac:dyDescent="0.2">
      <c r="A1553" s="146"/>
      <c r="D1553" s="496"/>
    </row>
    <row r="1554" spans="1:4" x14ac:dyDescent="0.2">
      <c r="A1554" s="146"/>
      <c r="D1554" s="496"/>
    </row>
    <row r="1555" spans="1:4" x14ac:dyDescent="0.2">
      <c r="A1555" s="146"/>
      <c r="D1555" s="496"/>
    </row>
    <row r="1556" spans="1:4" x14ac:dyDescent="0.2">
      <c r="A1556" s="146"/>
      <c r="D1556" s="496"/>
    </row>
    <row r="1557" spans="1:4" x14ac:dyDescent="0.2">
      <c r="A1557" s="146"/>
      <c r="D1557" s="496"/>
    </row>
    <row r="1558" spans="1:4" x14ac:dyDescent="0.2">
      <c r="A1558" s="146"/>
      <c r="D1558" s="496"/>
    </row>
    <row r="1559" spans="1:4" x14ac:dyDescent="0.2">
      <c r="A1559" s="146"/>
      <c r="D1559" s="496"/>
    </row>
    <row r="1560" spans="1:4" x14ac:dyDescent="0.2">
      <c r="A1560" s="146"/>
      <c r="D1560" s="496"/>
    </row>
    <row r="1561" spans="1:4" x14ac:dyDescent="0.2">
      <c r="A1561" s="146"/>
      <c r="D1561" s="496"/>
    </row>
    <row r="1562" spans="1:4" x14ac:dyDescent="0.2">
      <c r="A1562" s="146"/>
      <c r="D1562" s="496"/>
    </row>
    <row r="1563" spans="1:4" x14ac:dyDescent="0.2">
      <c r="A1563" s="146"/>
      <c r="D1563" s="496"/>
    </row>
    <row r="1564" spans="1:4" x14ac:dyDescent="0.2">
      <c r="A1564" s="146"/>
      <c r="D1564" s="496"/>
    </row>
    <row r="1565" spans="1:4" x14ac:dyDescent="0.2">
      <c r="A1565" s="146"/>
      <c r="D1565" s="496"/>
    </row>
    <row r="1566" spans="1:4" x14ac:dyDescent="0.2">
      <c r="A1566" s="146"/>
      <c r="D1566" s="496"/>
    </row>
    <row r="1567" spans="1:4" x14ac:dyDescent="0.2">
      <c r="A1567" s="146"/>
      <c r="D1567" s="496"/>
    </row>
    <row r="1568" spans="1:4" x14ac:dyDescent="0.2">
      <c r="A1568" s="146"/>
      <c r="D1568" s="496"/>
    </row>
    <row r="1569" spans="1:4" x14ac:dyDescent="0.2">
      <c r="A1569" s="146"/>
      <c r="D1569" s="496"/>
    </row>
    <row r="1570" spans="1:4" x14ac:dyDescent="0.2">
      <c r="A1570" s="146"/>
      <c r="D1570" s="496"/>
    </row>
    <row r="1571" spans="1:4" x14ac:dyDescent="0.2">
      <c r="A1571" s="146"/>
      <c r="D1571" s="496"/>
    </row>
    <row r="1572" spans="1:4" x14ac:dyDescent="0.2">
      <c r="A1572" s="146"/>
      <c r="D1572" s="496"/>
    </row>
    <row r="1573" spans="1:4" x14ac:dyDescent="0.2">
      <c r="A1573" s="146"/>
      <c r="D1573" s="496"/>
    </row>
    <row r="1574" spans="1:4" x14ac:dyDescent="0.2">
      <c r="A1574" s="146"/>
      <c r="D1574" s="496"/>
    </row>
    <row r="1575" spans="1:4" x14ac:dyDescent="0.2">
      <c r="A1575" s="146"/>
      <c r="D1575" s="496"/>
    </row>
    <row r="1576" spans="1:4" x14ac:dyDescent="0.2">
      <c r="A1576" s="146"/>
      <c r="D1576" s="496"/>
    </row>
    <row r="1577" spans="1:4" x14ac:dyDescent="0.2">
      <c r="A1577" s="146"/>
      <c r="D1577" s="496"/>
    </row>
    <row r="1578" spans="1:4" x14ac:dyDescent="0.2">
      <c r="A1578" s="146"/>
      <c r="D1578" s="496"/>
    </row>
    <row r="1579" spans="1:4" x14ac:dyDescent="0.2">
      <c r="A1579" s="146"/>
      <c r="D1579" s="496"/>
    </row>
    <row r="1580" spans="1:4" x14ac:dyDescent="0.2">
      <c r="A1580" s="146"/>
      <c r="D1580" s="496"/>
    </row>
    <row r="1581" spans="1:4" x14ac:dyDescent="0.2">
      <c r="A1581" s="146"/>
      <c r="D1581" s="496"/>
    </row>
    <row r="1582" spans="1:4" x14ac:dyDescent="0.2">
      <c r="A1582" s="146"/>
      <c r="D1582" s="496"/>
    </row>
    <row r="1583" spans="1:4" x14ac:dyDescent="0.2">
      <c r="A1583" s="146"/>
      <c r="D1583" s="496"/>
    </row>
    <row r="1584" spans="1:4" x14ac:dyDescent="0.2">
      <c r="A1584" s="146"/>
      <c r="D1584" s="496"/>
    </row>
    <row r="1585" spans="1:4" x14ac:dyDescent="0.2">
      <c r="A1585" s="146"/>
      <c r="D1585" s="496"/>
    </row>
    <row r="1586" spans="1:4" x14ac:dyDescent="0.2">
      <c r="A1586" s="146"/>
      <c r="D1586" s="496"/>
    </row>
    <row r="1587" spans="1:4" x14ac:dyDescent="0.2">
      <c r="A1587" s="146"/>
      <c r="D1587" s="496"/>
    </row>
    <row r="1588" spans="1:4" x14ac:dyDescent="0.2">
      <c r="A1588" s="146"/>
      <c r="D1588" s="496"/>
    </row>
    <row r="1589" spans="1:4" x14ac:dyDescent="0.2">
      <c r="A1589" s="146"/>
      <c r="D1589" s="496"/>
    </row>
    <row r="1590" spans="1:4" x14ac:dyDescent="0.2">
      <c r="A1590" s="146"/>
      <c r="D1590" s="496"/>
    </row>
    <row r="1591" spans="1:4" x14ac:dyDescent="0.2">
      <c r="A1591" s="146"/>
      <c r="D1591" s="496"/>
    </row>
    <row r="1592" spans="1:4" x14ac:dyDescent="0.2">
      <c r="A1592" s="146"/>
      <c r="D1592" s="496"/>
    </row>
    <row r="1593" spans="1:4" x14ac:dyDescent="0.2">
      <c r="A1593" s="146"/>
      <c r="D1593" s="496"/>
    </row>
    <row r="1594" spans="1:4" x14ac:dyDescent="0.2">
      <c r="A1594" s="146"/>
      <c r="D1594" s="496"/>
    </row>
    <row r="1595" spans="1:4" x14ac:dyDescent="0.2">
      <c r="A1595" s="146"/>
      <c r="D1595" s="496"/>
    </row>
    <row r="1596" spans="1:4" x14ac:dyDescent="0.2">
      <c r="A1596" s="146"/>
      <c r="D1596" s="496"/>
    </row>
    <row r="1597" spans="1:4" x14ac:dyDescent="0.2">
      <c r="A1597" s="146"/>
      <c r="D1597" s="496"/>
    </row>
    <row r="1598" spans="1:4" x14ac:dyDescent="0.2">
      <c r="A1598" s="146"/>
      <c r="D1598" s="496"/>
    </row>
    <row r="1599" spans="1:4" x14ac:dyDescent="0.2">
      <c r="A1599" s="146"/>
      <c r="D1599" s="496"/>
    </row>
    <row r="1600" spans="1:4" x14ac:dyDescent="0.2">
      <c r="A1600" s="146"/>
      <c r="D1600" s="496"/>
    </row>
    <row r="1601" spans="1:4" x14ac:dyDescent="0.2">
      <c r="A1601" s="146"/>
      <c r="D1601" s="496"/>
    </row>
    <row r="1602" spans="1:4" x14ac:dyDescent="0.2">
      <c r="A1602" s="146"/>
      <c r="D1602" s="496"/>
    </row>
    <row r="1603" spans="1:4" x14ac:dyDescent="0.2">
      <c r="A1603" s="146"/>
      <c r="D1603" s="496"/>
    </row>
    <row r="1604" spans="1:4" x14ac:dyDescent="0.2">
      <c r="A1604" s="146"/>
      <c r="D1604" s="496"/>
    </row>
    <row r="1605" spans="1:4" x14ac:dyDescent="0.2">
      <c r="A1605" s="146"/>
      <c r="D1605" s="496"/>
    </row>
    <row r="1606" spans="1:4" x14ac:dyDescent="0.2">
      <c r="A1606" s="146"/>
      <c r="D1606" s="496"/>
    </row>
    <row r="1607" spans="1:4" x14ac:dyDescent="0.2">
      <c r="A1607" s="146"/>
      <c r="D1607" s="496"/>
    </row>
    <row r="1608" spans="1:4" x14ac:dyDescent="0.2">
      <c r="A1608" s="146"/>
      <c r="D1608" s="496"/>
    </row>
    <row r="1609" spans="1:4" x14ac:dyDescent="0.2">
      <c r="A1609" s="146"/>
      <c r="D1609" s="496"/>
    </row>
    <row r="1610" spans="1:4" x14ac:dyDescent="0.2">
      <c r="A1610" s="146"/>
      <c r="D1610" s="496"/>
    </row>
    <row r="1611" spans="1:4" x14ac:dyDescent="0.2">
      <c r="A1611" s="146"/>
      <c r="D1611" s="496"/>
    </row>
    <row r="1612" spans="1:4" x14ac:dyDescent="0.2">
      <c r="A1612" s="146"/>
      <c r="D1612" s="496"/>
    </row>
    <row r="1613" spans="1:4" x14ac:dyDescent="0.2">
      <c r="A1613" s="146"/>
      <c r="D1613" s="496"/>
    </row>
    <row r="1614" spans="1:4" x14ac:dyDescent="0.2">
      <c r="A1614" s="146"/>
      <c r="D1614" s="496"/>
    </row>
    <row r="1615" spans="1:4" x14ac:dyDescent="0.2">
      <c r="A1615" s="146"/>
      <c r="D1615" s="496"/>
    </row>
    <row r="1616" spans="1:4" x14ac:dyDescent="0.2">
      <c r="A1616" s="146"/>
      <c r="D1616" s="496"/>
    </row>
    <row r="1617" spans="1:4" x14ac:dyDescent="0.2">
      <c r="A1617" s="146"/>
      <c r="D1617" s="496"/>
    </row>
    <row r="1618" spans="1:4" x14ac:dyDescent="0.2">
      <c r="A1618" s="146"/>
      <c r="D1618" s="496"/>
    </row>
    <row r="1619" spans="1:4" x14ac:dyDescent="0.2">
      <c r="A1619" s="146"/>
      <c r="D1619" s="496"/>
    </row>
    <row r="1620" spans="1:4" x14ac:dyDescent="0.2">
      <c r="A1620" s="146"/>
      <c r="D1620" s="496"/>
    </row>
    <row r="1621" spans="1:4" x14ac:dyDescent="0.2">
      <c r="A1621" s="146"/>
      <c r="D1621" s="496"/>
    </row>
    <row r="1622" spans="1:4" x14ac:dyDescent="0.2">
      <c r="A1622" s="146"/>
      <c r="D1622" s="496"/>
    </row>
    <row r="1623" spans="1:4" x14ac:dyDescent="0.2">
      <c r="A1623" s="146"/>
      <c r="D1623" s="496"/>
    </row>
    <row r="1624" spans="1:4" x14ac:dyDescent="0.2">
      <c r="A1624" s="146"/>
      <c r="D1624" s="496"/>
    </row>
    <row r="1625" spans="1:4" x14ac:dyDescent="0.2">
      <c r="A1625" s="146"/>
      <c r="D1625" s="496"/>
    </row>
    <row r="1626" spans="1:4" x14ac:dyDescent="0.2">
      <c r="A1626" s="146"/>
      <c r="D1626" s="496"/>
    </row>
    <row r="1627" spans="1:4" x14ac:dyDescent="0.2">
      <c r="A1627" s="146"/>
      <c r="D1627" s="496"/>
    </row>
    <row r="1628" spans="1:4" x14ac:dyDescent="0.2">
      <c r="A1628" s="146"/>
      <c r="D1628" s="496"/>
    </row>
    <row r="1629" spans="1:4" x14ac:dyDescent="0.2">
      <c r="A1629" s="146"/>
      <c r="D1629" s="496"/>
    </row>
    <row r="1630" spans="1:4" x14ac:dyDescent="0.2">
      <c r="A1630" s="146"/>
      <c r="D1630" s="496"/>
    </row>
    <row r="1631" spans="1:4" x14ac:dyDescent="0.2">
      <c r="A1631" s="146"/>
      <c r="D1631" s="496"/>
    </row>
    <row r="1632" spans="1:4" x14ac:dyDescent="0.2">
      <c r="A1632" s="146"/>
      <c r="D1632" s="496"/>
    </row>
    <row r="1633" spans="1:4" x14ac:dyDescent="0.2">
      <c r="A1633" s="146"/>
      <c r="D1633" s="496"/>
    </row>
    <row r="1634" spans="1:4" x14ac:dyDescent="0.2">
      <c r="A1634" s="146"/>
      <c r="D1634" s="496"/>
    </row>
    <row r="1635" spans="1:4" x14ac:dyDescent="0.2">
      <c r="A1635" s="146"/>
      <c r="D1635" s="496"/>
    </row>
    <row r="1636" spans="1:4" x14ac:dyDescent="0.2">
      <c r="A1636" s="146"/>
      <c r="D1636" s="496"/>
    </row>
    <row r="1637" spans="1:4" x14ac:dyDescent="0.2">
      <c r="A1637" s="146"/>
      <c r="D1637" s="496"/>
    </row>
    <row r="1638" spans="1:4" x14ac:dyDescent="0.2">
      <c r="A1638" s="146"/>
      <c r="D1638" s="496"/>
    </row>
    <row r="1639" spans="1:4" x14ac:dyDescent="0.2">
      <c r="A1639" s="146"/>
      <c r="D1639" s="496"/>
    </row>
    <row r="1640" spans="1:4" x14ac:dyDescent="0.2">
      <c r="A1640" s="146"/>
      <c r="D1640" s="496"/>
    </row>
    <row r="1641" spans="1:4" x14ac:dyDescent="0.2">
      <c r="A1641" s="146"/>
      <c r="D1641" s="496"/>
    </row>
    <row r="1642" spans="1:4" x14ac:dyDescent="0.2">
      <c r="A1642" s="146"/>
      <c r="D1642" s="496"/>
    </row>
    <row r="1643" spans="1:4" x14ac:dyDescent="0.2">
      <c r="A1643" s="146"/>
      <c r="D1643" s="496"/>
    </row>
    <row r="1644" spans="1:4" x14ac:dyDescent="0.2">
      <c r="A1644" s="146"/>
      <c r="D1644" s="496"/>
    </row>
    <row r="1645" spans="1:4" x14ac:dyDescent="0.2">
      <c r="A1645" s="146"/>
      <c r="D1645" s="496"/>
    </row>
    <row r="1646" spans="1:4" x14ac:dyDescent="0.2">
      <c r="A1646" s="146"/>
      <c r="D1646" s="496"/>
    </row>
    <row r="1647" spans="1:4" x14ac:dyDescent="0.2">
      <c r="A1647" s="146"/>
      <c r="D1647" s="496"/>
    </row>
    <row r="1648" spans="1:4" x14ac:dyDescent="0.2">
      <c r="A1648" s="146"/>
      <c r="D1648" s="496"/>
    </row>
    <row r="1649" spans="1:4" x14ac:dyDescent="0.2">
      <c r="A1649" s="146"/>
      <c r="D1649" s="496"/>
    </row>
    <row r="1650" spans="1:4" x14ac:dyDescent="0.2">
      <c r="A1650" s="146"/>
      <c r="D1650" s="496"/>
    </row>
    <row r="1651" spans="1:4" x14ac:dyDescent="0.2">
      <c r="A1651" s="146"/>
      <c r="D1651" s="496"/>
    </row>
    <row r="1652" spans="1:4" x14ac:dyDescent="0.2">
      <c r="A1652" s="146"/>
      <c r="D1652" s="496"/>
    </row>
    <row r="1653" spans="1:4" x14ac:dyDescent="0.2">
      <c r="A1653" s="146"/>
      <c r="D1653" s="496"/>
    </row>
    <row r="1654" spans="1:4" x14ac:dyDescent="0.2">
      <c r="A1654" s="146"/>
      <c r="D1654" s="496"/>
    </row>
    <row r="1655" spans="1:4" x14ac:dyDescent="0.2">
      <c r="A1655" s="146"/>
      <c r="D1655" s="496"/>
    </row>
    <row r="1656" spans="1:4" x14ac:dyDescent="0.2">
      <c r="A1656" s="146"/>
      <c r="D1656" s="496"/>
    </row>
    <row r="1657" spans="1:4" x14ac:dyDescent="0.2">
      <c r="A1657" s="146"/>
      <c r="D1657" s="496"/>
    </row>
    <row r="1658" spans="1:4" x14ac:dyDescent="0.2">
      <c r="A1658" s="146"/>
      <c r="D1658" s="496"/>
    </row>
    <row r="1659" spans="1:4" x14ac:dyDescent="0.2">
      <c r="A1659" s="146"/>
      <c r="D1659" s="496"/>
    </row>
    <row r="1660" spans="1:4" x14ac:dyDescent="0.2">
      <c r="A1660" s="146"/>
      <c r="D1660" s="496"/>
    </row>
    <row r="1661" spans="1:4" x14ac:dyDescent="0.2">
      <c r="A1661" s="146"/>
      <c r="D1661" s="496"/>
    </row>
    <row r="1662" spans="1:4" x14ac:dyDescent="0.2">
      <c r="A1662" s="146"/>
      <c r="D1662" s="496"/>
    </row>
    <row r="1663" spans="1:4" x14ac:dyDescent="0.2">
      <c r="A1663" s="146"/>
      <c r="D1663" s="496"/>
    </row>
    <row r="1664" spans="1:4" x14ac:dyDescent="0.2">
      <c r="A1664" s="146"/>
      <c r="D1664" s="496"/>
    </row>
    <row r="1665" spans="1:4" x14ac:dyDescent="0.2">
      <c r="A1665" s="146"/>
      <c r="D1665" s="496"/>
    </row>
    <row r="1666" spans="1:4" x14ac:dyDescent="0.2">
      <c r="A1666" s="146"/>
      <c r="D1666" s="496"/>
    </row>
    <row r="1667" spans="1:4" x14ac:dyDescent="0.2">
      <c r="A1667" s="146"/>
      <c r="D1667" s="496"/>
    </row>
    <row r="1668" spans="1:4" x14ac:dyDescent="0.2">
      <c r="A1668" s="146"/>
      <c r="D1668" s="496"/>
    </row>
    <row r="1669" spans="1:4" x14ac:dyDescent="0.2">
      <c r="A1669" s="146"/>
      <c r="D1669" s="496"/>
    </row>
    <row r="1670" spans="1:4" x14ac:dyDescent="0.2">
      <c r="A1670" s="146"/>
      <c r="D1670" s="496"/>
    </row>
    <row r="1671" spans="1:4" x14ac:dyDescent="0.2">
      <c r="A1671" s="146"/>
      <c r="D1671" s="496"/>
    </row>
    <row r="1672" spans="1:4" x14ac:dyDescent="0.2">
      <c r="A1672" s="146"/>
      <c r="D1672" s="496"/>
    </row>
    <row r="1673" spans="1:4" x14ac:dyDescent="0.2">
      <c r="A1673" s="146"/>
      <c r="D1673" s="496"/>
    </row>
    <row r="1674" spans="1:4" x14ac:dyDescent="0.2">
      <c r="A1674" s="146"/>
      <c r="D1674" s="496"/>
    </row>
    <row r="1675" spans="1:4" x14ac:dyDescent="0.2">
      <c r="A1675" s="146"/>
      <c r="D1675" s="496"/>
    </row>
    <row r="1676" spans="1:4" x14ac:dyDescent="0.2">
      <c r="A1676" s="146"/>
      <c r="D1676" s="496"/>
    </row>
    <row r="1677" spans="1:4" x14ac:dyDescent="0.2">
      <c r="A1677" s="146"/>
      <c r="D1677" s="496"/>
    </row>
    <row r="1678" spans="1:4" x14ac:dyDescent="0.2">
      <c r="A1678" s="146"/>
      <c r="D1678" s="496"/>
    </row>
    <row r="1679" spans="1:4" x14ac:dyDescent="0.2">
      <c r="A1679" s="146"/>
      <c r="D1679" s="496"/>
    </row>
    <row r="1680" spans="1:4" x14ac:dyDescent="0.2">
      <c r="A1680" s="146"/>
      <c r="D1680" s="496"/>
    </row>
    <row r="1681" spans="1:4" x14ac:dyDescent="0.2">
      <c r="A1681" s="146"/>
      <c r="D1681" s="496"/>
    </row>
    <row r="1682" spans="1:4" x14ac:dyDescent="0.2">
      <c r="A1682" s="146"/>
      <c r="D1682" s="496"/>
    </row>
    <row r="1683" spans="1:4" x14ac:dyDescent="0.2">
      <c r="A1683" s="146"/>
      <c r="D1683" s="496"/>
    </row>
    <row r="1684" spans="1:4" x14ac:dyDescent="0.2">
      <c r="A1684" s="146"/>
      <c r="D1684" s="496"/>
    </row>
    <row r="1685" spans="1:4" x14ac:dyDescent="0.2">
      <c r="A1685" s="146"/>
      <c r="D1685" s="496"/>
    </row>
    <row r="1686" spans="1:4" x14ac:dyDescent="0.2">
      <c r="A1686" s="146"/>
      <c r="D1686" s="496"/>
    </row>
    <row r="1687" spans="1:4" x14ac:dyDescent="0.2">
      <c r="A1687" s="146"/>
      <c r="D1687" s="496"/>
    </row>
    <row r="1688" spans="1:4" x14ac:dyDescent="0.2">
      <c r="A1688" s="146"/>
      <c r="D1688" s="496"/>
    </row>
    <row r="1689" spans="1:4" x14ac:dyDescent="0.2">
      <c r="A1689" s="146"/>
      <c r="D1689" s="496"/>
    </row>
    <row r="1690" spans="1:4" x14ac:dyDescent="0.2">
      <c r="A1690" s="146"/>
      <c r="D1690" s="496"/>
    </row>
    <row r="1691" spans="1:4" x14ac:dyDescent="0.2">
      <c r="A1691" s="146"/>
      <c r="D1691" s="496"/>
    </row>
    <row r="1692" spans="1:4" x14ac:dyDescent="0.2">
      <c r="A1692" s="146"/>
      <c r="D1692" s="496"/>
    </row>
    <row r="1693" spans="1:4" x14ac:dyDescent="0.2">
      <c r="A1693" s="146"/>
      <c r="D1693" s="496"/>
    </row>
    <row r="1694" spans="1:4" x14ac:dyDescent="0.2">
      <c r="A1694" s="146"/>
      <c r="D1694" s="496"/>
    </row>
    <row r="1695" spans="1:4" x14ac:dyDescent="0.2">
      <c r="A1695" s="146"/>
      <c r="D1695" s="496"/>
    </row>
    <row r="1696" spans="1:4" x14ac:dyDescent="0.2">
      <c r="A1696" s="146"/>
      <c r="D1696" s="496"/>
    </row>
    <row r="1697" spans="1:4" x14ac:dyDescent="0.2">
      <c r="A1697" s="146"/>
      <c r="D1697" s="496"/>
    </row>
    <row r="1698" spans="1:4" x14ac:dyDescent="0.2">
      <c r="A1698" s="146"/>
      <c r="D1698" s="496"/>
    </row>
    <row r="1699" spans="1:4" x14ac:dyDescent="0.2">
      <c r="A1699" s="146"/>
      <c r="D1699" s="496"/>
    </row>
    <row r="1700" spans="1:4" x14ac:dyDescent="0.2">
      <c r="A1700" s="146"/>
      <c r="D1700" s="496"/>
    </row>
    <row r="1701" spans="1:4" x14ac:dyDescent="0.2">
      <c r="A1701" s="146"/>
      <c r="D1701" s="496"/>
    </row>
    <row r="1702" spans="1:4" x14ac:dyDescent="0.2">
      <c r="A1702" s="146"/>
      <c r="D1702" s="496"/>
    </row>
    <row r="1703" spans="1:4" x14ac:dyDescent="0.2">
      <c r="A1703" s="146"/>
      <c r="D1703" s="496"/>
    </row>
    <row r="1704" spans="1:4" x14ac:dyDescent="0.2">
      <c r="A1704" s="146"/>
      <c r="D1704" s="496"/>
    </row>
    <row r="1705" spans="1:4" x14ac:dyDescent="0.2">
      <c r="A1705" s="146"/>
      <c r="D1705" s="496"/>
    </row>
    <row r="1706" spans="1:4" x14ac:dyDescent="0.2">
      <c r="A1706" s="146"/>
      <c r="D1706" s="496"/>
    </row>
    <row r="1707" spans="1:4" x14ac:dyDescent="0.2">
      <c r="A1707" s="146"/>
      <c r="D1707" s="496"/>
    </row>
    <row r="1708" spans="1:4" x14ac:dyDescent="0.2">
      <c r="A1708" s="146"/>
      <c r="D1708" s="496"/>
    </row>
    <row r="1709" spans="1:4" x14ac:dyDescent="0.2">
      <c r="A1709" s="146"/>
      <c r="D1709" s="496"/>
    </row>
    <row r="1710" spans="1:4" x14ac:dyDescent="0.2">
      <c r="A1710" s="146"/>
      <c r="D1710" s="496"/>
    </row>
    <row r="1711" spans="1:4" x14ac:dyDescent="0.2">
      <c r="A1711" s="146"/>
      <c r="D1711" s="496"/>
    </row>
    <row r="1712" spans="1:4" x14ac:dyDescent="0.2">
      <c r="A1712" s="146"/>
      <c r="D1712" s="496"/>
    </row>
    <row r="1713" spans="1:4" x14ac:dyDescent="0.2">
      <c r="A1713" s="146"/>
      <c r="D1713" s="496"/>
    </row>
    <row r="1714" spans="1:4" x14ac:dyDescent="0.2">
      <c r="A1714" s="146"/>
      <c r="D1714" s="496"/>
    </row>
    <row r="1715" spans="1:4" x14ac:dyDescent="0.2">
      <c r="A1715" s="146"/>
      <c r="D1715" s="496"/>
    </row>
    <row r="1716" spans="1:4" x14ac:dyDescent="0.2">
      <c r="A1716" s="146"/>
      <c r="D1716" s="496"/>
    </row>
    <row r="1717" spans="1:4" x14ac:dyDescent="0.2">
      <c r="A1717" s="146"/>
      <c r="D1717" s="496"/>
    </row>
    <row r="1718" spans="1:4" x14ac:dyDescent="0.2">
      <c r="A1718" s="146"/>
      <c r="D1718" s="496"/>
    </row>
    <row r="1719" spans="1:4" x14ac:dyDescent="0.2">
      <c r="A1719" s="146"/>
      <c r="D1719" s="496"/>
    </row>
    <row r="1720" spans="1:4" x14ac:dyDescent="0.2">
      <c r="A1720" s="146"/>
      <c r="D1720" s="496"/>
    </row>
    <row r="1721" spans="1:4" x14ac:dyDescent="0.2">
      <c r="A1721" s="146"/>
      <c r="D1721" s="496"/>
    </row>
    <row r="1722" spans="1:4" x14ac:dyDescent="0.2">
      <c r="A1722" s="146"/>
      <c r="D1722" s="496"/>
    </row>
    <row r="1723" spans="1:4" x14ac:dyDescent="0.2">
      <c r="A1723" s="146"/>
      <c r="D1723" s="496"/>
    </row>
    <row r="1724" spans="1:4" x14ac:dyDescent="0.2">
      <c r="A1724" s="146"/>
      <c r="D1724" s="496"/>
    </row>
    <row r="1725" spans="1:4" x14ac:dyDescent="0.2">
      <c r="A1725" s="146"/>
      <c r="D1725" s="496"/>
    </row>
    <row r="1726" spans="1:4" x14ac:dyDescent="0.2">
      <c r="A1726" s="146"/>
      <c r="D1726" s="496"/>
    </row>
    <row r="1727" spans="1:4" x14ac:dyDescent="0.2">
      <c r="A1727" s="146"/>
      <c r="D1727" s="496"/>
    </row>
    <row r="1728" spans="1:4" x14ac:dyDescent="0.2">
      <c r="A1728" s="146"/>
      <c r="D1728" s="496"/>
    </row>
    <row r="1729" spans="1:4" x14ac:dyDescent="0.2">
      <c r="A1729" s="146"/>
      <c r="D1729" s="496"/>
    </row>
    <row r="1730" spans="1:4" x14ac:dyDescent="0.2">
      <c r="A1730" s="146"/>
      <c r="D1730" s="496"/>
    </row>
    <row r="1731" spans="1:4" x14ac:dyDescent="0.2">
      <c r="A1731" s="146"/>
      <c r="D1731" s="496"/>
    </row>
    <row r="1732" spans="1:4" x14ac:dyDescent="0.2">
      <c r="A1732" s="146"/>
      <c r="D1732" s="496"/>
    </row>
    <row r="1733" spans="1:4" x14ac:dyDescent="0.2">
      <c r="A1733" s="146"/>
      <c r="D1733" s="496"/>
    </row>
    <row r="1734" spans="1:4" x14ac:dyDescent="0.2">
      <c r="A1734" s="146"/>
      <c r="D1734" s="496"/>
    </row>
    <row r="1735" spans="1:4" x14ac:dyDescent="0.2">
      <c r="A1735" s="146"/>
      <c r="D1735" s="496"/>
    </row>
    <row r="1736" spans="1:4" x14ac:dyDescent="0.2">
      <c r="A1736" s="146"/>
      <c r="D1736" s="496"/>
    </row>
    <row r="1737" spans="1:4" x14ac:dyDescent="0.2">
      <c r="A1737" s="146"/>
      <c r="D1737" s="496"/>
    </row>
    <row r="1738" spans="1:4" x14ac:dyDescent="0.2">
      <c r="A1738" s="146"/>
      <c r="D1738" s="496"/>
    </row>
    <row r="1739" spans="1:4" x14ac:dyDescent="0.2">
      <c r="A1739" s="146"/>
      <c r="D1739" s="496"/>
    </row>
    <row r="1740" spans="1:4" x14ac:dyDescent="0.2">
      <c r="A1740" s="146"/>
      <c r="D1740" s="496"/>
    </row>
    <row r="1741" spans="1:4" x14ac:dyDescent="0.2">
      <c r="A1741" s="146"/>
      <c r="D1741" s="496"/>
    </row>
    <row r="1742" spans="1:4" x14ac:dyDescent="0.2">
      <c r="A1742" s="146"/>
      <c r="D1742" s="496"/>
    </row>
    <row r="1743" spans="1:4" x14ac:dyDescent="0.2">
      <c r="A1743" s="146"/>
      <c r="D1743" s="496"/>
    </row>
    <row r="1744" spans="1:4" x14ac:dyDescent="0.2">
      <c r="A1744" s="146"/>
      <c r="D1744" s="496"/>
    </row>
    <row r="1745" spans="1:4" x14ac:dyDescent="0.2">
      <c r="A1745" s="146"/>
      <c r="D1745" s="496"/>
    </row>
    <row r="1746" spans="1:4" x14ac:dyDescent="0.2">
      <c r="A1746" s="146"/>
      <c r="D1746" s="496"/>
    </row>
    <row r="1747" spans="1:4" x14ac:dyDescent="0.2">
      <c r="A1747" s="146"/>
      <c r="D1747" s="496"/>
    </row>
    <row r="1748" spans="1:4" x14ac:dyDescent="0.2">
      <c r="A1748" s="146"/>
      <c r="D1748" s="496"/>
    </row>
    <row r="1749" spans="1:4" x14ac:dyDescent="0.2">
      <c r="A1749" s="146"/>
      <c r="D1749" s="496"/>
    </row>
    <row r="1750" spans="1:4" x14ac:dyDescent="0.2">
      <c r="A1750" s="146"/>
      <c r="D1750" s="496"/>
    </row>
    <row r="1751" spans="1:4" x14ac:dyDescent="0.2">
      <c r="A1751" s="146"/>
      <c r="D1751" s="496"/>
    </row>
    <row r="1752" spans="1:4" x14ac:dyDescent="0.2">
      <c r="A1752" s="146"/>
      <c r="D1752" s="496"/>
    </row>
    <row r="1753" spans="1:4" x14ac:dyDescent="0.2">
      <c r="A1753" s="146"/>
      <c r="D1753" s="496"/>
    </row>
    <row r="1754" spans="1:4" x14ac:dyDescent="0.2">
      <c r="A1754" s="146"/>
      <c r="D1754" s="496"/>
    </row>
    <row r="1755" spans="1:4" x14ac:dyDescent="0.2">
      <c r="A1755" s="146"/>
      <c r="D1755" s="496"/>
    </row>
    <row r="1756" spans="1:4" x14ac:dyDescent="0.2">
      <c r="A1756" s="146"/>
      <c r="D1756" s="496"/>
    </row>
    <row r="1757" spans="1:4" x14ac:dyDescent="0.2">
      <c r="A1757" s="146"/>
      <c r="D1757" s="496"/>
    </row>
    <row r="1758" spans="1:4" x14ac:dyDescent="0.2">
      <c r="A1758" s="146"/>
      <c r="D1758" s="496"/>
    </row>
    <row r="1759" spans="1:4" x14ac:dyDescent="0.2">
      <c r="A1759" s="146"/>
      <c r="D1759" s="496"/>
    </row>
    <row r="1760" spans="1:4" x14ac:dyDescent="0.2">
      <c r="A1760" s="146"/>
      <c r="D1760" s="496"/>
    </row>
    <row r="1761" spans="1:4" x14ac:dyDescent="0.2">
      <c r="A1761" s="146"/>
      <c r="D1761" s="496"/>
    </row>
    <row r="1762" spans="1:4" x14ac:dyDescent="0.2">
      <c r="A1762" s="146"/>
      <c r="D1762" s="496"/>
    </row>
    <row r="1763" spans="1:4" x14ac:dyDescent="0.2">
      <c r="A1763" s="146"/>
      <c r="D1763" s="496"/>
    </row>
    <row r="1764" spans="1:4" x14ac:dyDescent="0.2">
      <c r="A1764" s="146"/>
      <c r="D1764" s="496"/>
    </row>
    <row r="1765" spans="1:4" x14ac:dyDescent="0.2">
      <c r="A1765" s="146"/>
      <c r="D1765" s="496"/>
    </row>
    <row r="1766" spans="1:4" x14ac:dyDescent="0.2">
      <c r="A1766" s="146"/>
      <c r="D1766" s="496"/>
    </row>
    <row r="1767" spans="1:4" x14ac:dyDescent="0.2">
      <c r="A1767" s="146"/>
      <c r="D1767" s="496"/>
    </row>
    <row r="1768" spans="1:4" x14ac:dyDescent="0.2">
      <c r="A1768" s="146"/>
      <c r="D1768" s="496"/>
    </row>
    <row r="1769" spans="1:4" x14ac:dyDescent="0.2">
      <c r="A1769" s="146"/>
      <c r="D1769" s="496"/>
    </row>
    <row r="1770" spans="1:4" x14ac:dyDescent="0.2">
      <c r="A1770" s="146"/>
      <c r="D1770" s="496"/>
    </row>
    <row r="1771" spans="1:4" x14ac:dyDescent="0.2">
      <c r="A1771" s="146"/>
      <c r="D1771" s="496"/>
    </row>
    <row r="1772" spans="1:4" x14ac:dyDescent="0.2">
      <c r="A1772" s="146"/>
      <c r="D1772" s="496"/>
    </row>
    <row r="1773" spans="1:4" x14ac:dyDescent="0.2">
      <c r="A1773" s="146"/>
      <c r="D1773" s="496"/>
    </row>
    <row r="1774" spans="1:4" x14ac:dyDescent="0.2">
      <c r="A1774" s="146"/>
      <c r="D1774" s="496"/>
    </row>
    <row r="1775" spans="1:4" x14ac:dyDescent="0.2">
      <c r="A1775" s="146"/>
      <c r="D1775" s="496"/>
    </row>
    <row r="1776" spans="1:4" x14ac:dyDescent="0.2">
      <c r="A1776" s="146"/>
      <c r="D1776" s="496"/>
    </row>
    <row r="1777" spans="1:4" x14ac:dyDescent="0.2">
      <c r="A1777" s="146"/>
      <c r="D1777" s="496"/>
    </row>
    <row r="1778" spans="1:4" x14ac:dyDescent="0.2">
      <c r="A1778" s="146"/>
      <c r="D1778" s="496"/>
    </row>
    <row r="1779" spans="1:4" x14ac:dyDescent="0.2">
      <c r="A1779" s="146"/>
      <c r="D1779" s="496"/>
    </row>
    <row r="1780" spans="1:4" x14ac:dyDescent="0.2">
      <c r="A1780" s="146"/>
      <c r="D1780" s="496"/>
    </row>
    <row r="1781" spans="1:4" x14ac:dyDescent="0.2">
      <c r="A1781" s="146"/>
      <c r="D1781" s="496"/>
    </row>
    <row r="1782" spans="1:4" x14ac:dyDescent="0.2">
      <c r="A1782" s="146"/>
      <c r="D1782" s="496"/>
    </row>
    <row r="1783" spans="1:4" x14ac:dyDescent="0.2">
      <c r="A1783" s="146"/>
      <c r="D1783" s="496"/>
    </row>
    <row r="1784" spans="1:4" x14ac:dyDescent="0.2">
      <c r="A1784" s="146"/>
      <c r="D1784" s="496"/>
    </row>
    <row r="1785" spans="1:4" x14ac:dyDescent="0.2">
      <c r="A1785" s="146"/>
      <c r="D1785" s="496"/>
    </row>
    <row r="1786" spans="1:4" x14ac:dyDescent="0.2">
      <c r="A1786" s="146"/>
      <c r="D1786" s="496"/>
    </row>
    <row r="1787" spans="1:4" x14ac:dyDescent="0.2">
      <c r="A1787" s="146"/>
      <c r="D1787" s="496"/>
    </row>
    <row r="1788" spans="1:4" x14ac:dyDescent="0.2">
      <c r="A1788" s="146"/>
      <c r="D1788" s="496"/>
    </row>
    <row r="1789" spans="1:4" x14ac:dyDescent="0.2">
      <c r="A1789" s="146"/>
      <c r="D1789" s="496"/>
    </row>
    <row r="1790" spans="1:4" x14ac:dyDescent="0.2">
      <c r="A1790" s="146"/>
      <c r="D1790" s="496"/>
    </row>
    <row r="1791" spans="1:4" x14ac:dyDescent="0.2">
      <c r="A1791" s="146"/>
      <c r="D1791" s="496"/>
    </row>
    <row r="1792" spans="1:4" x14ac:dyDescent="0.2">
      <c r="A1792" s="146"/>
      <c r="D1792" s="496"/>
    </row>
    <row r="1793" spans="1:4" x14ac:dyDescent="0.2">
      <c r="A1793" s="146"/>
      <c r="D1793" s="496"/>
    </row>
    <row r="1794" spans="1:4" x14ac:dyDescent="0.2">
      <c r="A1794" s="146"/>
      <c r="D1794" s="496"/>
    </row>
    <row r="1795" spans="1:4" x14ac:dyDescent="0.2">
      <c r="A1795" s="146"/>
      <c r="D1795" s="496"/>
    </row>
    <row r="1796" spans="1:4" x14ac:dyDescent="0.2">
      <c r="A1796" s="146"/>
      <c r="D1796" s="496"/>
    </row>
    <row r="1797" spans="1:4" x14ac:dyDescent="0.2">
      <c r="A1797" s="146"/>
      <c r="D1797" s="496"/>
    </row>
    <row r="1798" spans="1:4" x14ac:dyDescent="0.2">
      <c r="A1798" s="146"/>
      <c r="D1798" s="496"/>
    </row>
    <row r="1799" spans="1:4" x14ac:dyDescent="0.2">
      <c r="A1799" s="146"/>
      <c r="D1799" s="496"/>
    </row>
    <row r="1800" spans="1:4" x14ac:dyDescent="0.2">
      <c r="A1800" s="146"/>
      <c r="D1800" s="496"/>
    </row>
    <row r="1801" spans="1:4" x14ac:dyDescent="0.2">
      <c r="A1801" s="146"/>
      <c r="D1801" s="496"/>
    </row>
    <row r="1802" spans="1:4" x14ac:dyDescent="0.2">
      <c r="A1802" s="146"/>
      <c r="D1802" s="496"/>
    </row>
    <row r="1803" spans="1:4" x14ac:dyDescent="0.2">
      <c r="A1803" s="146"/>
      <c r="D1803" s="496"/>
    </row>
    <row r="1804" spans="1:4" x14ac:dyDescent="0.2">
      <c r="A1804" s="146"/>
      <c r="D1804" s="496"/>
    </row>
    <row r="1805" spans="1:4" x14ac:dyDescent="0.2">
      <c r="A1805" s="146"/>
      <c r="D1805" s="496"/>
    </row>
    <row r="1806" spans="1:4" x14ac:dyDescent="0.2">
      <c r="A1806" s="146"/>
      <c r="D1806" s="496"/>
    </row>
    <row r="1807" spans="1:4" x14ac:dyDescent="0.2">
      <c r="A1807" s="146"/>
      <c r="D1807" s="496"/>
    </row>
    <row r="1808" spans="1:4" x14ac:dyDescent="0.2">
      <c r="A1808" s="146"/>
      <c r="D1808" s="496"/>
    </row>
    <row r="1809" spans="1:4" x14ac:dyDescent="0.2">
      <c r="A1809" s="146"/>
      <c r="D1809" s="496"/>
    </row>
    <row r="1810" spans="1:4" x14ac:dyDescent="0.2">
      <c r="A1810" s="146"/>
      <c r="D1810" s="496"/>
    </row>
    <row r="1811" spans="1:4" x14ac:dyDescent="0.2">
      <c r="A1811" s="146"/>
      <c r="D1811" s="496"/>
    </row>
    <row r="1812" spans="1:4" x14ac:dyDescent="0.2">
      <c r="A1812" s="146"/>
      <c r="D1812" s="496"/>
    </row>
    <row r="1813" spans="1:4" x14ac:dyDescent="0.2">
      <c r="A1813" s="146"/>
      <c r="D1813" s="496"/>
    </row>
    <row r="1814" spans="1:4" x14ac:dyDescent="0.2">
      <c r="A1814" s="146"/>
      <c r="D1814" s="496"/>
    </row>
    <row r="1815" spans="1:4" x14ac:dyDescent="0.2">
      <c r="A1815" s="146"/>
      <c r="D1815" s="496"/>
    </row>
    <row r="1816" spans="1:4" x14ac:dyDescent="0.2">
      <c r="A1816" s="146"/>
      <c r="D1816" s="496"/>
    </row>
    <row r="1817" spans="1:4" x14ac:dyDescent="0.2">
      <c r="A1817" s="146"/>
      <c r="D1817" s="496"/>
    </row>
    <row r="1818" spans="1:4" x14ac:dyDescent="0.2">
      <c r="A1818" s="146"/>
      <c r="D1818" s="496"/>
    </row>
    <row r="1819" spans="1:4" x14ac:dyDescent="0.2">
      <c r="A1819" s="146"/>
      <c r="D1819" s="496"/>
    </row>
    <row r="1820" spans="1:4" x14ac:dyDescent="0.2">
      <c r="A1820" s="146"/>
      <c r="D1820" s="496"/>
    </row>
    <row r="1821" spans="1:4" x14ac:dyDescent="0.2">
      <c r="A1821" s="146"/>
      <c r="D1821" s="496"/>
    </row>
    <row r="1822" spans="1:4" x14ac:dyDescent="0.2">
      <c r="A1822" s="146"/>
      <c r="D1822" s="496"/>
    </row>
    <row r="1823" spans="1:4" x14ac:dyDescent="0.2">
      <c r="A1823" s="146"/>
      <c r="D1823" s="496"/>
    </row>
    <row r="1824" spans="1:4" x14ac:dyDescent="0.2">
      <c r="A1824" s="146"/>
      <c r="D1824" s="496"/>
    </row>
    <row r="1825" spans="1:4" x14ac:dyDescent="0.2">
      <c r="A1825" s="146"/>
      <c r="D1825" s="496"/>
    </row>
    <row r="1826" spans="1:4" x14ac:dyDescent="0.2">
      <c r="A1826" s="146"/>
      <c r="D1826" s="496"/>
    </row>
    <row r="1827" spans="1:4" x14ac:dyDescent="0.2">
      <c r="A1827" s="146"/>
      <c r="D1827" s="496"/>
    </row>
    <row r="1828" spans="1:4" x14ac:dyDescent="0.2">
      <c r="A1828" s="146"/>
      <c r="D1828" s="496"/>
    </row>
    <row r="1829" spans="1:4" x14ac:dyDescent="0.2">
      <c r="A1829" s="146"/>
      <c r="D1829" s="496"/>
    </row>
    <row r="1830" spans="1:4" x14ac:dyDescent="0.2">
      <c r="A1830" s="146"/>
      <c r="D1830" s="496"/>
    </row>
    <row r="1831" spans="1:4" x14ac:dyDescent="0.2">
      <c r="A1831" s="146"/>
      <c r="D1831" s="496"/>
    </row>
    <row r="1832" spans="1:4" x14ac:dyDescent="0.2">
      <c r="A1832" s="146"/>
      <c r="D1832" s="496"/>
    </row>
    <row r="1833" spans="1:4" x14ac:dyDescent="0.2">
      <c r="A1833" s="146"/>
      <c r="D1833" s="496"/>
    </row>
    <row r="1834" spans="1:4" x14ac:dyDescent="0.2">
      <c r="A1834" s="146"/>
      <c r="D1834" s="496"/>
    </row>
    <row r="1835" spans="1:4" x14ac:dyDescent="0.2">
      <c r="A1835" s="146"/>
      <c r="D1835" s="496"/>
    </row>
    <row r="1836" spans="1:4" x14ac:dyDescent="0.2">
      <c r="A1836" s="146"/>
      <c r="D1836" s="496"/>
    </row>
    <row r="1837" spans="1:4" x14ac:dyDescent="0.2">
      <c r="A1837" s="146"/>
      <c r="D1837" s="496"/>
    </row>
    <row r="1838" spans="1:4" x14ac:dyDescent="0.2">
      <c r="A1838" s="146"/>
      <c r="D1838" s="496"/>
    </row>
    <row r="1839" spans="1:4" x14ac:dyDescent="0.2">
      <c r="A1839" s="146"/>
      <c r="D1839" s="496"/>
    </row>
    <row r="1840" spans="1:4" x14ac:dyDescent="0.2">
      <c r="A1840" s="146"/>
      <c r="D1840" s="496"/>
    </row>
    <row r="1841" spans="1:4" x14ac:dyDescent="0.2">
      <c r="A1841" s="146"/>
      <c r="D1841" s="496"/>
    </row>
    <row r="1842" spans="1:4" x14ac:dyDescent="0.2">
      <c r="A1842" s="146"/>
      <c r="D1842" s="496"/>
    </row>
    <row r="1843" spans="1:4" x14ac:dyDescent="0.2">
      <c r="A1843" s="146"/>
      <c r="D1843" s="496"/>
    </row>
    <row r="1844" spans="1:4" x14ac:dyDescent="0.2">
      <c r="A1844" s="146"/>
      <c r="D1844" s="496"/>
    </row>
    <row r="1845" spans="1:4" x14ac:dyDescent="0.2">
      <c r="A1845" s="146"/>
      <c r="D1845" s="496"/>
    </row>
    <row r="1846" spans="1:4" x14ac:dyDescent="0.2">
      <c r="A1846" s="146"/>
      <c r="D1846" s="496"/>
    </row>
    <row r="1847" spans="1:4" x14ac:dyDescent="0.2">
      <c r="A1847" s="146"/>
      <c r="D1847" s="496"/>
    </row>
    <row r="1848" spans="1:4" x14ac:dyDescent="0.2">
      <c r="A1848" s="146"/>
      <c r="D1848" s="496"/>
    </row>
    <row r="1849" spans="1:4" x14ac:dyDescent="0.2">
      <c r="A1849" s="146"/>
      <c r="D1849" s="496"/>
    </row>
    <row r="1850" spans="1:4" x14ac:dyDescent="0.2">
      <c r="A1850" s="146"/>
      <c r="D1850" s="496"/>
    </row>
    <row r="1851" spans="1:4" x14ac:dyDescent="0.2">
      <c r="A1851" s="146"/>
      <c r="D1851" s="496"/>
    </row>
    <row r="1852" spans="1:4" x14ac:dyDescent="0.2">
      <c r="A1852" s="146"/>
      <c r="D1852" s="496"/>
    </row>
    <row r="1853" spans="1:4" x14ac:dyDescent="0.2">
      <c r="A1853" s="146"/>
      <c r="D1853" s="496"/>
    </row>
    <row r="1854" spans="1:4" x14ac:dyDescent="0.2">
      <c r="A1854" s="146"/>
      <c r="D1854" s="496"/>
    </row>
    <row r="1855" spans="1:4" x14ac:dyDescent="0.2">
      <c r="A1855" s="146"/>
      <c r="D1855" s="496"/>
    </row>
    <row r="1856" spans="1:4" x14ac:dyDescent="0.2">
      <c r="A1856" s="146"/>
      <c r="D1856" s="496"/>
    </row>
    <row r="1857" spans="1:4" x14ac:dyDescent="0.2">
      <c r="A1857" s="146"/>
      <c r="D1857" s="496"/>
    </row>
    <row r="1858" spans="1:4" x14ac:dyDescent="0.2">
      <c r="A1858" s="146"/>
      <c r="D1858" s="496"/>
    </row>
    <row r="1859" spans="1:4" x14ac:dyDescent="0.2">
      <c r="A1859" s="146"/>
      <c r="D1859" s="496"/>
    </row>
    <row r="1860" spans="1:4" x14ac:dyDescent="0.2">
      <c r="A1860" s="146"/>
      <c r="D1860" s="496"/>
    </row>
    <row r="1861" spans="1:4" x14ac:dyDescent="0.2">
      <c r="A1861" s="146"/>
      <c r="D1861" s="496"/>
    </row>
    <row r="1862" spans="1:4" x14ac:dyDescent="0.2">
      <c r="A1862" s="146"/>
      <c r="D1862" s="496"/>
    </row>
    <row r="1863" spans="1:4" x14ac:dyDescent="0.2">
      <c r="A1863" s="146"/>
      <c r="D1863" s="496"/>
    </row>
    <row r="1864" spans="1:4" x14ac:dyDescent="0.2">
      <c r="A1864" s="146"/>
      <c r="D1864" s="496"/>
    </row>
    <row r="1865" spans="1:4" x14ac:dyDescent="0.2">
      <c r="A1865" s="146"/>
      <c r="D1865" s="496"/>
    </row>
    <row r="1866" spans="1:4" x14ac:dyDescent="0.2">
      <c r="A1866" s="146"/>
      <c r="D1866" s="496"/>
    </row>
    <row r="1867" spans="1:4" x14ac:dyDescent="0.2">
      <c r="A1867" s="146"/>
      <c r="D1867" s="496"/>
    </row>
    <row r="1868" spans="1:4" x14ac:dyDescent="0.2">
      <c r="A1868" s="146"/>
      <c r="D1868" s="496"/>
    </row>
    <row r="1869" spans="1:4" x14ac:dyDescent="0.2">
      <c r="A1869" s="146"/>
      <c r="D1869" s="496"/>
    </row>
    <row r="1870" spans="1:4" x14ac:dyDescent="0.2">
      <c r="A1870" s="146"/>
      <c r="D1870" s="496"/>
    </row>
    <row r="1871" spans="1:4" x14ac:dyDescent="0.2">
      <c r="A1871" s="146"/>
      <c r="D1871" s="496"/>
    </row>
    <row r="1872" spans="1:4" x14ac:dyDescent="0.2">
      <c r="A1872" s="146"/>
      <c r="D1872" s="496"/>
    </row>
    <row r="1873" spans="1:4" x14ac:dyDescent="0.2">
      <c r="A1873" s="146"/>
      <c r="D1873" s="496"/>
    </row>
    <row r="1874" spans="1:4" x14ac:dyDescent="0.2">
      <c r="A1874" s="146"/>
      <c r="D1874" s="496"/>
    </row>
    <row r="1875" spans="1:4" x14ac:dyDescent="0.2">
      <c r="A1875" s="146"/>
      <c r="D1875" s="496"/>
    </row>
    <row r="1876" spans="1:4" x14ac:dyDescent="0.2">
      <c r="A1876" s="146"/>
      <c r="D1876" s="496"/>
    </row>
    <row r="1877" spans="1:4" x14ac:dyDescent="0.2">
      <c r="A1877" s="146"/>
      <c r="D1877" s="496"/>
    </row>
    <row r="1878" spans="1:4" x14ac:dyDescent="0.2">
      <c r="A1878" s="146"/>
      <c r="D1878" s="496"/>
    </row>
    <row r="1879" spans="1:4" x14ac:dyDescent="0.2">
      <c r="A1879" s="146"/>
      <c r="D1879" s="496"/>
    </row>
    <row r="1880" spans="1:4" x14ac:dyDescent="0.2">
      <c r="A1880" s="146"/>
      <c r="D1880" s="496"/>
    </row>
    <row r="1881" spans="1:4" x14ac:dyDescent="0.2">
      <c r="A1881" s="146"/>
      <c r="D1881" s="496"/>
    </row>
    <row r="1882" spans="1:4" x14ac:dyDescent="0.2">
      <c r="A1882" s="146"/>
      <c r="D1882" s="496"/>
    </row>
    <row r="1883" spans="1:4" x14ac:dyDescent="0.2">
      <c r="A1883" s="146"/>
      <c r="D1883" s="496"/>
    </row>
    <row r="1884" spans="1:4" x14ac:dyDescent="0.2">
      <c r="A1884" s="146"/>
      <c r="D1884" s="496"/>
    </row>
    <row r="1885" spans="1:4" x14ac:dyDescent="0.2">
      <c r="A1885" s="146"/>
      <c r="D1885" s="496"/>
    </row>
    <row r="1886" spans="1:4" x14ac:dyDescent="0.2">
      <c r="A1886" s="146"/>
      <c r="D1886" s="496"/>
    </row>
    <row r="1887" spans="1:4" x14ac:dyDescent="0.2">
      <c r="A1887" s="146"/>
      <c r="D1887" s="496"/>
    </row>
    <row r="1888" spans="1:4" x14ac:dyDescent="0.2">
      <c r="A1888" s="146"/>
      <c r="D1888" s="496"/>
    </row>
    <row r="1889" spans="1:4" x14ac:dyDescent="0.2">
      <c r="A1889" s="146"/>
      <c r="D1889" s="496"/>
    </row>
    <row r="1890" spans="1:4" x14ac:dyDescent="0.2">
      <c r="A1890" s="146"/>
      <c r="D1890" s="496"/>
    </row>
    <row r="1891" spans="1:4" x14ac:dyDescent="0.2">
      <c r="A1891" s="146"/>
      <c r="D1891" s="496"/>
    </row>
    <row r="1892" spans="1:4" x14ac:dyDescent="0.2">
      <c r="A1892" s="146"/>
      <c r="D1892" s="496"/>
    </row>
    <row r="1893" spans="1:4" x14ac:dyDescent="0.2">
      <c r="A1893" s="146"/>
      <c r="D1893" s="496"/>
    </row>
    <row r="1894" spans="1:4" x14ac:dyDescent="0.2">
      <c r="A1894" s="146"/>
      <c r="D1894" s="496"/>
    </row>
    <row r="1895" spans="1:4" x14ac:dyDescent="0.2">
      <c r="A1895" s="146"/>
      <c r="D1895" s="496"/>
    </row>
    <row r="1896" spans="1:4" x14ac:dyDescent="0.2">
      <c r="A1896" s="146"/>
      <c r="D1896" s="496"/>
    </row>
    <row r="1897" spans="1:4" x14ac:dyDescent="0.2">
      <c r="A1897" s="146"/>
      <c r="D1897" s="496"/>
    </row>
    <row r="1898" spans="1:4" x14ac:dyDescent="0.2">
      <c r="A1898" s="146"/>
      <c r="D1898" s="496"/>
    </row>
    <row r="1899" spans="1:4" x14ac:dyDescent="0.2">
      <c r="A1899" s="146"/>
      <c r="D1899" s="496"/>
    </row>
    <row r="1900" spans="1:4" x14ac:dyDescent="0.2">
      <c r="A1900" s="146"/>
      <c r="D1900" s="496"/>
    </row>
    <row r="1901" spans="1:4" x14ac:dyDescent="0.2">
      <c r="A1901" s="146"/>
      <c r="D1901" s="496"/>
    </row>
    <row r="1902" spans="1:4" x14ac:dyDescent="0.2">
      <c r="A1902" s="146"/>
      <c r="D1902" s="496"/>
    </row>
    <row r="1903" spans="1:4" x14ac:dyDescent="0.2">
      <c r="A1903" s="146"/>
      <c r="D1903" s="496"/>
    </row>
    <row r="1904" spans="1:4" x14ac:dyDescent="0.2">
      <c r="A1904" s="146"/>
      <c r="D1904" s="496"/>
    </row>
    <row r="1905" spans="1:4" x14ac:dyDescent="0.2">
      <c r="A1905" s="146"/>
      <c r="D1905" s="496"/>
    </row>
    <row r="1906" spans="1:4" x14ac:dyDescent="0.2">
      <c r="A1906" s="146"/>
      <c r="D1906" s="496"/>
    </row>
    <row r="1907" spans="1:4" x14ac:dyDescent="0.2">
      <c r="A1907" s="146"/>
      <c r="D1907" s="496"/>
    </row>
    <row r="1908" spans="1:4" x14ac:dyDescent="0.2">
      <c r="A1908" s="146"/>
      <c r="D1908" s="496"/>
    </row>
    <row r="1909" spans="1:4" x14ac:dyDescent="0.2">
      <c r="A1909" s="146"/>
      <c r="D1909" s="496"/>
    </row>
    <row r="1910" spans="1:4" x14ac:dyDescent="0.2">
      <c r="A1910" s="146"/>
      <c r="D1910" s="496"/>
    </row>
    <row r="1911" spans="1:4" x14ac:dyDescent="0.2">
      <c r="A1911" s="146"/>
      <c r="D1911" s="496"/>
    </row>
    <row r="1912" spans="1:4" x14ac:dyDescent="0.2">
      <c r="A1912" s="146"/>
      <c r="D1912" s="496"/>
    </row>
    <row r="1913" spans="1:4" x14ac:dyDescent="0.2">
      <c r="A1913" s="146"/>
      <c r="D1913" s="496"/>
    </row>
    <row r="1914" spans="1:4" x14ac:dyDescent="0.2">
      <c r="A1914" s="146"/>
      <c r="D1914" s="496"/>
    </row>
    <row r="1915" spans="1:4" x14ac:dyDescent="0.2">
      <c r="A1915" s="146"/>
      <c r="D1915" s="496"/>
    </row>
    <row r="1916" spans="1:4" x14ac:dyDescent="0.2">
      <c r="A1916" s="146"/>
      <c r="D1916" s="496"/>
    </row>
    <row r="1917" spans="1:4" x14ac:dyDescent="0.2">
      <c r="A1917" s="146"/>
      <c r="D1917" s="496"/>
    </row>
    <row r="1918" spans="1:4" x14ac:dyDescent="0.2">
      <c r="A1918" s="146"/>
      <c r="D1918" s="496"/>
    </row>
    <row r="1919" spans="1:4" x14ac:dyDescent="0.2">
      <c r="A1919" s="146"/>
      <c r="D1919" s="496"/>
    </row>
    <row r="1920" spans="1:4" x14ac:dyDescent="0.2">
      <c r="A1920" s="146"/>
      <c r="D1920" s="496"/>
    </row>
    <row r="1921" spans="1:4" x14ac:dyDescent="0.2">
      <c r="A1921" s="146"/>
      <c r="D1921" s="496"/>
    </row>
    <row r="1922" spans="1:4" x14ac:dyDescent="0.2">
      <c r="A1922" s="146"/>
      <c r="D1922" s="496"/>
    </row>
    <row r="1923" spans="1:4" x14ac:dyDescent="0.2">
      <c r="A1923" s="146"/>
      <c r="D1923" s="496"/>
    </row>
    <row r="1924" spans="1:4" x14ac:dyDescent="0.2">
      <c r="A1924" s="146"/>
      <c r="D1924" s="496"/>
    </row>
    <row r="1925" spans="1:4" x14ac:dyDescent="0.2">
      <c r="A1925" s="146"/>
      <c r="D1925" s="496"/>
    </row>
    <row r="1926" spans="1:4" x14ac:dyDescent="0.2">
      <c r="A1926" s="146"/>
      <c r="D1926" s="496"/>
    </row>
    <row r="1927" spans="1:4" x14ac:dyDescent="0.2">
      <c r="A1927" s="146"/>
      <c r="D1927" s="496"/>
    </row>
    <row r="1928" spans="1:4" x14ac:dyDescent="0.2">
      <c r="A1928" s="146"/>
      <c r="D1928" s="496"/>
    </row>
    <row r="1929" spans="1:4" x14ac:dyDescent="0.2">
      <c r="A1929" s="146"/>
      <c r="D1929" s="496"/>
    </row>
    <row r="1930" spans="1:4" x14ac:dyDescent="0.2">
      <c r="A1930" s="146"/>
      <c r="D1930" s="496"/>
    </row>
    <row r="1931" spans="1:4" x14ac:dyDescent="0.2">
      <c r="A1931" s="146"/>
      <c r="D1931" s="496"/>
    </row>
    <row r="1932" spans="1:4" x14ac:dyDescent="0.2">
      <c r="A1932" s="146"/>
      <c r="D1932" s="496"/>
    </row>
    <row r="1933" spans="1:4" x14ac:dyDescent="0.2">
      <c r="A1933" s="146"/>
      <c r="D1933" s="496"/>
    </row>
    <row r="1934" spans="1:4" x14ac:dyDescent="0.2">
      <c r="A1934" s="146"/>
      <c r="D1934" s="496"/>
    </row>
    <row r="1935" spans="1:4" x14ac:dyDescent="0.2">
      <c r="A1935" s="146"/>
      <c r="D1935" s="496"/>
    </row>
    <row r="1936" spans="1:4" x14ac:dyDescent="0.2">
      <c r="A1936" s="146"/>
      <c r="D1936" s="496"/>
    </row>
    <row r="1937" spans="1:4" x14ac:dyDescent="0.2">
      <c r="A1937" s="146"/>
      <c r="D1937" s="496"/>
    </row>
    <row r="1938" spans="1:4" x14ac:dyDescent="0.2">
      <c r="A1938" s="146"/>
      <c r="D1938" s="496"/>
    </row>
    <row r="1939" spans="1:4" x14ac:dyDescent="0.2">
      <c r="A1939" s="146"/>
      <c r="D1939" s="496"/>
    </row>
    <row r="1940" spans="1:4" x14ac:dyDescent="0.2">
      <c r="A1940" s="146"/>
      <c r="D1940" s="496"/>
    </row>
    <row r="1941" spans="1:4" x14ac:dyDescent="0.2">
      <c r="A1941" s="146"/>
      <c r="D1941" s="496"/>
    </row>
    <row r="1942" spans="1:4" x14ac:dyDescent="0.2">
      <c r="A1942" s="146"/>
      <c r="D1942" s="496"/>
    </row>
    <row r="1943" spans="1:4" x14ac:dyDescent="0.2">
      <c r="A1943" s="146"/>
      <c r="D1943" s="496"/>
    </row>
    <row r="1944" spans="1:4" x14ac:dyDescent="0.2">
      <c r="A1944" s="146"/>
      <c r="D1944" s="496"/>
    </row>
    <row r="1945" spans="1:4" x14ac:dyDescent="0.2">
      <c r="A1945" s="146"/>
      <c r="D1945" s="496"/>
    </row>
    <row r="1946" spans="1:4" x14ac:dyDescent="0.2">
      <c r="A1946" s="146"/>
      <c r="D1946" s="496"/>
    </row>
    <row r="1947" spans="1:4" x14ac:dyDescent="0.2">
      <c r="A1947" s="146"/>
      <c r="D1947" s="496"/>
    </row>
    <row r="1948" spans="1:4" x14ac:dyDescent="0.2">
      <c r="A1948" s="146"/>
      <c r="D1948" s="496"/>
    </row>
    <row r="1949" spans="1:4" x14ac:dyDescent="0.2">
      <c r="A1949" s="146"/>
      <c r="D1949" s="496"/>
    </row>
    <row r="1950" spans="1:4" x14ac:dyDescent="0.2">
      <c r="A1950" s="146"/>
      <c r="D1950" s="496"/>
    </row>
    <row r="1951" spans="1:4" x14ac:dyDescent="0.2">
      <c r="A1951" s="146"/>
      <c r="D1951" s="496"/>
    </row>
    <row r="1952" spans="1:4" x14ac:dyDescent="0.2">
      <c r="A1952" s="146"/>
      <c r="D1952" s="496"/>
    </row>
    <row r="1953" spans="1:4" x14ac:dyDescent="0.2">
      <c r="A1953" s="146"/>
      <c r="D1953" s="496"/>
    </row>
    <row r="1954" spans="1:4" x14ac:dyDescent="0.2">
      <c r="A1954" s="146"/>
      <c r="D1954" s="496"/>
    </row>
    <row r="1955" spans="1:4" x14ac:dyDescent="0.2">
      <c r="A1955" s="146"/>
      <c r="D1955" s="496"/>
    </row>
    <row r="1956" spans="1:4" x14ac:dyDescent="0.2">
      <c r="A1956" s="146"/>
      <c r="D1956" s="496"/>
    </row>
    <row r="1957" spans="1:4" x14ac:dyDescent="0.2">
      <c r="A1957" s="146"/>
      <c r="D1957" s="496"/>
    </row>
    <row r="1958" spans="1:4" x14ac:dyDescent="0.2">
      <c r="A1958" s="146"/>
      <c r="D1958" s="496"/>
    </row>
    <row r="1959" spans="1:4" x14ac:dyDescent="0.2">
      <c r="A1959" s="146"/>
      <c r="D1959" s="496"/>
    </row>
    <row r="1960" spans="1:4" x14ac:dyDescent="0.2">
      <c r="A1960" s="146"/>
      <c r="D1960" s="496"/>
    </row>
    <row r="1961" spans="1:4" x14ac:dyDescent="0.2">
      <c r="A1961" s="146"/>
      <c r="D1961" s="496"/>
    </row>
    <row r="1962" spans="1:4" x14ac:dyDescent="0.2">
      <c r="A1962" s="146"/>
      <c r="D1962" s="496"/>
    </row>
    <row r="1963" spans="1:4" x14ac:dyDescent="0.2">
      <c r="A1963" s="146"/>
      <c r="D1963" s="496"/>
    </row>
    <row r="1964" spans="1:4" x14ac:dyDescent="0.2">
      <c r="A1964" s="146"/>
      <c r="D1964" s="496"/>
    </row>
    <row r="1965" spans="1:4" x14ac:dyDescent="0.2">
      <c r="A1965" s="146"/>
      <c r="D1965" s="496"/>
    </row>
    <row r="1966" spans="1:4" x14ac:dyDescent="0.2">
      <c r="A1966" s="146"/>
      <c r="D1966" s="496"/>
    </row>
    <row r="1967" spans="1:4" x14ac:dyDescent="0.2">
      <c r="A1967" s="146"/>
      <c r="D1967" s="496"/>
    </row>
    <row r="1968" spans="1:4" x14ac:dyDescent="0.2">
      <c r="A1968" s="146"/>
      <c r="D1968" s="496"/>
    </row>
    <row r="1969" spans="1:4" x14ac:dyDescent="0.2">
      <c r="A1969" s="146"/>
      <c r="D1969" s="496"/>
    </row>
    <row r="1970" spans="1:4" x14ac:dyDescent="0.2">
      <c r="A1970" s="146"/>
      <c r="D1970" s="496"/>
    </row>
    <row r="1971" spans="1:4" x14ac:dyDescent="0.2">
      <c r="A1971" s="146"/>
      <c r="D1971" s="496"/>
    </row>
    <row r="1972" spans="1:4" x14ac:dyDescent="0.2">
      <c r="A1972" s="146"/>
      <c r="D1972" s="496"/>
    </row>
    <row r="1973" spans="1:4" x14ac:dyDescent="0.2">
      <c r="A1973" s="146"/>
      <c r="D1973" s="496"/>
    </row>
    <row r="1974" spans="1:4" x14ac:dyDescent="0.2">
      <c r="A1974" s="146"/>
      <c r="D1974" s="496"/>
    </row>
    <row r="1975" spans="1:4" x14ac:dyDescent="0.2">
      <c r="A1975" s="146"/>
      <c r="D1975" s="496"/>
    </row>
    <row r="1976" spans="1:4" x14ac:dyDescent="0.2">
      <c r="A1976" s="146"/>
      <c r="D1976" s="496"/>
    </row>
    <row r="1977" spans="1:4" x14ac:dyDescent="0.2">
      <c r="A1977" s="146"/>
      <c r="D1977" s="496"/>
    </row>
    <row r="1978" spans="1:4" x14ac:dyDescent="0.2">
      <c r="A1978" s="146"/>
      <c r="D1978" s="496"/>
    </row>
    <row r="1979" spans="1:4" x14ac:dyDescent="0.2">
      <c r="A1979" s="146"/>
      <c r="D1979" s="496"/>
    </row>
    <row r="1980" spans="1:4" x14ac:dyDescent="0.2">
      <c r="A1980" s="146"/>
      <c r="D1980" s="496"/>
    </row>
    <row r="1981" spans="1:4" x14ac:dyDescent="0.2">
      <c r="A1981" s="146"/>
      <c r="D1981" s="496"/>
    </row>
    <row r="1982" spans="1:4" x14ac:dyDescent="0.2">
      <c r="A1982" s="146"/>
      <c r="D1982" s="496"/>
    </row>
    <row r="1983" spans="1:4" x14ac:dyDescent="0.2">
      <c r="A1983" s="146"/>
      <c r="D1983" s="496"/>
    </row>
    <row r="1984" spans="1:4" x14ac:dyDescent="0.2">
      <c r="A1984" s="146"/>
      <c r="D1984" s="496"/>
    </row>
    <row r="1985" spans="1:4" x14ac:dyDescent="0.2">
      <c r="A1985" s="146"/>
      <c r="D1985" s="496"/>
    </row>
    <row r="1986" spans="1:4" x14ac:dyDescent="0.2">
      <c r="A1986" s="146"/>
      <c r="D1986" s="496"/>
    </row>
    <row r="1987" spans="1:4" x14ac:dyDescent="0.2">
      <c r="A1987" s="146"/>
      <c r="D1987" s="496"/>
    </row>
    <row r="1988" spans="1:4" x14ac:dyDescent="0.2">
      <c r="A1988" s="146"/>
      <c r="D1988" s="496"/>
    </row>
    <row r="1989" spans="1:4" x14ac:dyDescent="0.2">
      <c r="A1989" s="146"/>
      <c r="D1989" s="496"/>
    </row>
    <row r="1990" spans="1:4" x14ac:dyDescent="0.2">
      <c r="A1990" s="146"/>
      <c r="D1990" s="496"/>
    </row>
    <row r="1991" spans="1:4" x14ac:dyDescent="0.2">
      <c r="A1991" s="146"/>
      <c r="D1991" s="496"/>
    </row>
    <row r="1992" spans="1:4" x14ac:dyDescent="0.2">
      <c r="A1992" s="146"/>
      <c r="D1992" s="496"/>
    </row>
    <row r="1993" spans="1:4" x14ac:dyDescent="0.2">
      <c r="A1993" s="146"/>
      <c r="D1993" s="496"/>
    </row>
    <row r="1994" spans="1:4" x14ac:dyDescent="0.2">
      <c r="A1994" s="146"/>
      <c r="D1994" s="496"/>
    </row>
    <row r="1995" spans="1:4" x14ac:dyDescent="0.2">
      <c r="A1995" s="146"/>
      <c r="D1995" s="496"/>
    </row>
    <row r="1996" spans="1:4" x14ac:dyDescent="0.2">
      <c r="A1996" s="146"/>
      <c r="D1996" s="496"/>
    </row>
    <row r="1997" spans="1:4" x14ac:dyDescent="0.2">
      <c r="A1997" s="146"/>
      <c r="D1997" s="496"/>
    </row>
    <row r="1998" spans="1:4" x14ac:dyDescent="0.2">
      <c r="A1998" s="146"/>
      <c r="D1998" s="496"/>
    </row>
    <row r="1999" spans="1:4" x14ac:dyDescent="0.2">
      <c r="A1999" s="146"/>
      <c r="D1999" s="496"/>
    </row>
    <row r="2000" spans="1:4" x14ac:dyDescent="0.2">
      <c r="A2000" s="146"/>
      <c r="D2000" s="496"/>
    </row>
    <row r="2001" spans="1:4" x14ac:dyDescent="0.2">
      <c r="A2001" s="146"/>
      <c r="D2001" s="496"/>
    </row>
    <row r="2002" spans="1:4" x14ac:dyDescent="0.2">
      <c r="A2002" s="146"/>
      <c r="D2002" s="496"/>
    </row>
    <row r="2003" spans="1:4" x14ac:dyDescent="0.2">
      <c r="A2003" s="146"/>
      <c r="D2003" s="496"/>
    </row>
    <row r="2004" spans="1:4" x14ac:dyDescent="0.2">
      <c r="A2004" s="146"/>
      <c r="D2004" s="496"/>
    </row>
    <row r="2005" spans="1:4" x14ac:dyDescent="0.2">
      <c r="A2005" s="146"/>
      <c r="D2005" s="496"/>
    </row>
    <row r="2006" spans="1:4" x14ac:dyDescent="0.2">
      <c r="A2006" s="146"/>
      <c r="D2006" s="496"/>
    </row>
    <row r="2007" spans="1:4" x14ac:dyDescent="0.2">
      <c r="A2007" s="146"/>
      <c r="D2007" s="496"/>
    </row>
    <row r="2008" spans="1:4" x14ac:dyDescent="0.2">
      <c r="A2008" s="146"/>
      <c r="D2008" s="496"/>
    </row>
    <row r="2009" spans="1:4" x14ac:dyDescent="0.2">
      <c r="A2009" s="146"/>
      <c r="D2009" s="496"/>
    </row>
    <row r="2010" spans="1:4" x14ac:dyDescent="0.2">
      <c r="A2010" s="146"/>
      <c r="D2010" s="496"/>
    </row>
    <row r="2011" spans="1:4" x14ac:dyDescent="0.2">
      <c r="A2011" s="146"/>
      <c r="D2011" s="496"/>
    </row>
    <row r="2012" spans="1:4" x14ac:dyDescent="0.2">
      <c r="A2012" s="146"/>
      <c r="D2012" s="496"/>
    </row>
    <row r="2013" spans="1:4" x14ac:dyDescent="0.2">
      <c r="A2013" s="146"/>
      <c r="D2013" s="496"/>
    </row>
    <row r="2014" spans="1:4" x14ac:dyDescent="0.2">
      <c r="A2014" s="146"/>
      <c r="D2014" s="496"/>
    </row>
    <row r="2015" spans="1:4" x14ac:dyDescent="0.2">
      <c r="A2015" s="146"/>
      <c r="D2015" s="496"/>
    </row>
    <row r="2016" spans="1:4" x14ac:dyDescent="0.2">
      <c r="A2016" s="146"/>
      <c r="D2016" s="496"/>
    </row>
    <row r="2017" spans="1:4" x14ac:dyDescent="0.2">
      <c r="A2017" s="146"/>
      <c r="D2017" s="496"/>
    </row>
    <row r="2018" spans="1:4" x14ac:dyDescent="0.2">
      <c r="A2018" s="146"/>
      <c r="D2018" s="496"/>
    </row>
    <row r="2019" spans="1:4" x14ac:dyDescent="0.2">
      <c r="A2019" s="146"/>
      <c r="D2019" s="496"/>
    </row>
    <row r="2020" spans="1:4" x14ac:dyDescent="0.2">
      <c r="A2020" s="146"/>
      <c r="D2020" s="496"/>
    </row>
    <row r="2021" spans="1:4" x14ac:dyDescent="0.2">
      <c r="A2021" s="146"/>
      <c r="D2021" s="496"/>
    </row>
    <row r="2022" spans="1:4" x14ac:dyDescent="0.2">
      <c r="A2022" s="146"/>
      <c r="D2022" s="496"/>
    </row>
    <row r="2023" spans="1:4" x14ac:dyDescent="0.2">
      <c r="A2023" s="146"/>
      <c r="D2023" s="496"/>
    </row>
    <row r="2024" spans="1:4" x14ac:dyDescent="0.2">
      <c r="A2024" s="146"/>
      <c r="D2024" s="496"/>
    </row>
    <row r="2025" spans="1:4" x14ac:dyDescent="0.2">
      <c r="A2025" s="146"/>
      <c r="D2025" s="496"/>
    </row>
    <row r="2026" spans="1:4" x14ac:dyDescent="0.2">
      <c r="A2026" s="146"/>
      <c r="D2026" s="496"/>
    </row>
    <row r="2027" spans="1:4" x14ac:dyDescent="0.2">
      <c r="A2027" s="146"/>
      <c r="D2027" s="496"/>
    </row>
    <row r="2028" spans="1:4" x14ac:dyDescent="0.2">
      <c r="A2028" s="146"/>
      <c r="D2028" s="496"/>
    </row>
    <row r="2029" spans="1:4" x14ac:dyDescent="0.2">
      <c r="A2029" s="146"/>
      <c r="D2029" s="496"/>
    </row>
    <row r="2030" spans="1:4" x14ac:dyDescent="0.2">
      <c r="A2030" s="146"/>
      <c r="D2030" s="496"/>
    </row>
    <row r="2031" spans="1:4" x14ac:dyDescent="0.2">
      <c r="A2031" s="146"/>
      <c r="D2031" s="496"/>
    </row>
    <row r="2032" spans="1:4" x14ac:dyDescent="0.2">
      <c r="A2032" s="146"/>
      <c r="D2032" s="496"/>
    </row>
    <row r="2033" spans="1:4" x14ac:dyDescent="0.2">
      <c r="A2033" s="146"/>
      <c r="D2033" s="496"/>
    </row>
    <row r="2034" spans="1:4" x14ac:dyDescent="0.2">
      <c r="A2034" s="146"/>
      <c r="D2034" s="496"/>
    </row>
    <row r="2035" spans="1:4" x14ac:dyDescent="0.2">
      <c r="A2035" s="146"/>
      <c r="D2035" s="496"/>
    </row>
    <row r="2036" spans="1:4" x14ac:dyDescent="0.2">
      <c r="A2036" s="146"/>
      <c r="D2036" s="496"/>
    </row>
    <row r="2037" spans="1:4" x14ac:dyDescent="0.2">
      <c r="A2037" s="146"/>
      <c r="D2037" s="496"/>
    </row>
    <row r="2038" spans="1:4" x14ac:dyDescent="0.2">
      <c r="A2038" s="146"/>
      <c r="D2038" s="496"/>
    </row>
    <row r="2039" spans="1:4" x14ac:dyDescent="0.2">
      <c r="A2039" s="146"/>
      <c r="D2039" s="496"/>
    </row>
    <row r="2040" spans="1:4" x14ac:dyDescent="0.2">
      <c r="A2040" s="146"/>
      <c r="D2040" s="496"/>
    </row>
    <row r="2041" spans="1:4" x14ac:dyDescent="0.2">
      <c r="A2041" s="146"/>
      <c r="D2041" s="496"/>
    </row>
    <row r="2042" spans="1:4" x14ac:dyDescent="0.2">
      <c r="A2042" s="146"/>
      <c r="D2042" s="496"/>
    </row>
    <row r="2043" spans="1:4" x14ac:dyDescent="0.2">
      <c r="A2043" s="146"/>
      <c r="D2043" s="496"/>
    </row>
    <row r="2044" spans="1:4" x14ac:dyDescent="0.2">
      <c r="A2044" s="146"/>
      <c r="D2044" s="496"/>
    </row>
    <row r="2045" spans="1:4" x14ac:dyDescent="0.2">
      <c r="A2045" s="146"/>
      <c r="D2045" s="496"/>
    </row>
    <row r="2046" spans="1:4" x14ac:dyDescent="0.2">
      <c r="A2046" s="146"/>
      <c r="D2046" s="496"/>
    </row>
    <row r="2047" spans="1:4" x14ac:dyDescent="0.2">
      <c r="A2047" s="146"/>
      <c r="D2047" s="496"/>
    </row>
    <row r="2048" spans="1:4" x14ac:dyDescent="0.2">
      <c r="A2048" s="146"/>
      <c r="D2048" s="496"/>
    </row>
    <row r="2049" spans="1:4" x14ac:dyDescent="0.2">
      <c r="A2049" s="146"/>
      <c r="D2049" s="496"/>
    </row>
    <row r="2050" spans="1:4" x14ac:dyDescent="0.2">
      <c r="A2050" s="146"/>
      <c r="D2050" s="496"/>
    </row>
    <row r="2051" spans="1:4" x14ac:dyDescent="0.2">
      <c r="A2051" s="146"/>
      <c r="D2051" s="496"/>
    </row>
    <row r="2052" spans="1:4" x14ac:dyDescent="0.2">
      <c r="A2052" s="146"/>
      <c r="D2052" s="496"/>
    </row>
    <row r="2053" spans="1:4" x14ac:dyDescent="0.2">
      <c r="A2053" s="146"/>
      <c r="D2053" s="496"/>
    </row>
    <row r="2054" spans="1:4" x14ac:dyDescent="0.2">
      <c r="A2054" s="146"/>
      <c r="D2054" s="496"/>
    </row>
    <row r="2055" spans="1:4" x14ac:dyDescent="0.2">
      <c r="A2055" s="146"/>
      <c r="D2055" s="496"/>
    </row>
    <row r="2056" spans="1:4" x14ac:dyDescent="0.2">
      <c r="A2056" s="146"/>
      <c r="D2056" s="496"/>
    </row>
    <row r="2057" spans="1:4" x14ac:dyDescent="0.2">
      <c r="A2057" s="146"/>
      <c r="D2057" s="496"/>
    </row>
    <row r="2058" spans="1:4" x14ac:dyDescent="0.2">
      <c r="A2058" s="146"/>
      <c r="D2058" s="496"/>
    </row>
    <row r="2059" spans="1:4" x14ac:dyDescent="0.2">
      <c r="A2059" s="146"/>
      <c r="D2059" s="496"/>
    </row>
    <row r="2060" spans="1:4" x14ac:dyDescent="0.2">
      <c r="A2060" s="146"/>
      <c r="D2060" s="496"/>
    </row>
    <row r="2061" spans="1:4" x14ac:dyDescent="0.2">
      <c r="A2061" s="146"/>
      <c r="D2061" s="496"/>
    </row>
    <row r="2062" spans="1:4" x14ac:dyDescent="0.2">
      <c r="A2062" s="146"/>
      <c r="D2062" s="496"/>
    </row>
    <row r="2063" spans="1:4" x14ac:dyDescent="0.2">
      <c r="A2063" s="146"/>
      <c r="D2063" s="496"/>
    </row>
    <row r="2064" spans="1:4" x14ac:dyDescent="0.2">
      <c r="A2064" s="146"/>
      <c r="D2064" s="496"/>
    </row>
    <row r="2065" spans="1:4" x14ac:dyDescent="0.2">
      <c r="A2065" s="146"/>
      <c r="D2065" s="496"/>
    </row>
    <row r="2066" spans="1:4" x14ac:dyDescent="0.2">
      <c r="A2066" s="146"/>
      <c r="D2066" s="496"/>
    </row>
    <row r="2067" spans="1:4" x14ac:dyDescent="0.2">
      <c r="A2067" s="146"/>
      <c r="D2067" s="496"/>
    </row>
    <row r="2068" spans="1:4" x14ac:dyDescent="0.2">
      <c r="A2068" s="146"/>
      <c r="D2068" s="496"/>
    </row>
    <row r="2069" spans="1:4" x14ac:dyDescent="0.2">
      <c r="A2069" s="146"/>
      <c r="D2069" s="496"/>
    </row>
    <row r="2070" spans="1:4" x14ac:dyDescent="0.2">
      <c r="A2070" s="146"/>
      <c r="D2070" s="496"/>
    </row>
    <row r="2071" spans="1:4" x14ac:dyDescent="0.2">
      <c r="A2071" s="146"/>
      <c r="D2071" s="496"/>
    </row>
    <row r="2072" spans="1:4" x14ac:dyDescent="0.2">
      <c r="A2072" s="146"/>
      <c r="D2072" s="496"/>
    </row>
    <row r="2073" spans="1:4" x14ac:dyDescent="0.2">
      <c r="A2073" s="146"/>
      <c r="D2073" s="496"/>
    </row>
    <row r="2074" spans="1:4" x14ac:dyDescent="0.2">
      <c r="A2074" s="146"/>
      <c r="D2074" s="496"/>
    </row>
    <row r="2075" spans="1:4" x14ac:dyDescent="0.2">
      <c r="A2075" s="146"/>
      <c r="D2075" s="496"/>
    </row>
    <row r="2076" spans="1:4" x14ac:dyDescent="0.2">
      <c r="A2076" s="146"/>
      <c r="D2076" s="496"/>
    </row>
    <row r="2077" spans="1:4" x14ac:dyDescent="0.2">
      <c r="A2077" s="146"/>
      <c r="D2077" s="496"/>
    </row>
    <row r="2078" spans="1:4" x14ac:dyDescent="0.2">
      <c r="A2078" s="146"/>
      <c r="D2078" s="496"/>
    </row>
    <row r="2079" spans="1:4" x14ac:dyDescent="0.2">
      <c r="A2079" s="146"/>
      <c r="D2079" s="496"/>
    </row>
    <row r="2080" spans="1:4" x14ac:dyDescent="0.2">
      <c r="A2080" s="146"/>
      <c r="D2080" s="496"/>
    </row>
    <row r="2081" spans="1:4" x14ac:dyDescent="0.2">
      <c r="A2081" s="146"/>
      <c r="D2081" s="496"/>
    </row>
    <row r="2082" spans="1:4" x14ac:dyDescent="0.2">
      <c r="A2082" s="146"/>
      <c r="D2082" s="496"/>
    </row>
    <row r="2083" spans="1:4" x14ac:dyDescent="0.2">
      <c r="A2083" s="146"/>
      <c r="D2083" s="496"/>
    </row>
    <row r="2084" spans="1:4" x14ac:dyDescent="0.2">
      <c r="A2084" s="146"/>
      <c r="D2084" s="496"/>
    </row>
    <row r="2085" spans="1:4" x14ac:dyDescent="0.2">
      <c r="A2085" s="146"/>
      <c r="D2085" s="496"/>
    </row>
    <row r="2086" spans="1:4" x14ac:dyDescent="0.2">
      <c r="A2086" s="146"/>
      <c r="D2086" s="496"/>
    </row>
    <row r="2087" spans="1:4" x14ac:dyDescent="0.2">
      <c r="A2087" s="146"/>
      <c r="D2087" s="496"/>
    </row>
    <row r="2088" spans="1:4" x14ac:dyDescent="0.2">
      <c r="A2088" s="146"/>
      <c r="D2088" s="496"/>
    </row>
    <row r="2089" spans="1:4" x14ac:dyDescent="0.2">
      <c r="A2089" s="146"/>
      <c r="D2089" s="496"/>
    </row>
    <row r="2090" spans="1:4" x14ac:dyDescent="0.2">
      <c r="A2090" s="146"/>
      <c r="D2090" s="496"/>
    </row>
    <row r="2091" spans="1:4" x14ac:dyDescent="0.2">
      <c r="A2091" s="146"/>
      <c r="D2091" s="496"/>
    </row>
    <row r="2092" spans="1:4" x14ac:dyDescent="0.2">
      <c r="A2092" s="146"/>
      <c r="D2092" s="496"/>
    </row>
    <row r="2093" spans="1:4" x14ac:dyDescent="0.2">
      <c r="A2093" s="146"/>
      <c r="D2093" s="496"/>
    </row>
    <row r="2094" spans="1:4" x14ac:dyDescent="0.2">
      <c r="A2094" s="146"/>
      <c r="D2094" s="496"/>
    </row>
    <row r="2095" spans="1:4" x14ac:dyDescent="0.2">
      <c r="A2095" s="146"/>
      <c r="D2095" s="496"/>
    </row>
    <row r="2096" spans="1:4" x14ac:dyDescent="0.2">
      <c r="A2096" s="146"/>
      <c r="D2096" s="496"/>
    </row>
    <row r="2097" spans="1:4" x14ac:dyDescent="0.2">
      <c r="A2097" s="146"/>
      <c r="D2097" s="496"/>
    </row>
    <row r="2098" spans="1:4" x14ac:dyDescent="0.2">
      <c r="A2098" s="146"/>
      <c r="D2098" s="496"/>
    </row>
    <row r="2099" spans="1:4" x14ac:dyDescent="0.2">
      <c r="A2099" s="146"/>
      <c r="D2099" s="496"/>
    </row>
    <row r="2100" spans="1:4" x14ac:dyDescent="0.2">
      <c r="A2100" s="146"/>
      <c r="D2100" s="496"/>
    </row>
    <row r="2101" spans="1:4" x14ac:dyDescent="0.2">
      <c r="A2101" s="146"/>
      <c r="D2101" s="496"/>
    </row>
    <row r="2102" spans="1:4" x14ac:dyDescent="0.2">
      <c r="A2102" s="146"/>
      <c r="D2102" s="496"/>
    </row>
    <row r="2103" spans="1:4" x14ac:dyDescent="0.2">
      <c r="A2103" s="146"/>
      <c r="D2103" s="496"/>
    </row>
    <row r="2104" spans="1:4" x14ac:dyDescent="0.2">
      <c r="A2104" s="146"/>
      <c r="D2104" s="496"/>
    </row>
    <row r="2105" spans="1:4" x14ac:dyDescent="0.2">
      <c r="A2105" s="146"/>
      <c r="D2105" s="496"/>
    </row>
    <row r="2106" spans="1:4" x14ac:dyDescent="0.2">
      <c r="A2106" s="146"/>
      <c r="D2106" s="496"/>
    </row>
    <row r="2107" spans="1:4" x14ac:dyDescent="0.2">
      <c r="A2107" s="146"/>
      <c r="D2107" s="496"/>
    </row>
    <row r="2108" spans="1:4" x14ac:dyDescent="0.2">
      <c r="A2108" s="146"/>
      <c r="D2108" s="496"/>
    </row>
    <row r="2109" spans="1:4" x14ac:dyDescent="0.2">
      <c r="A2109" s="146"/>
      <c r="D2109" s="496"/>
    </row>
    <row r="2110" spans="1:4" x14ac:dyDescent="0.2">
      <c r="A2110" s="146"/>
      <c r="D2110" s="496"/>
    </row>
    <row r="2111" spans="1:4" x14ac:dyDescent="0.2">
      <c r="A2111" s="146"/>
      <c r="D2111" s="496"/>
    </row>
    <row r="2112" spans="1:4" x14ac:dyDescent="0.2">
      <c r="A2112" s="146"/>
      <c r="D2112" s="496"/>
    </row>
    <row r="2113" spans="1:4" x14ac:dyDescent="0.2">
      <c r="A2113" s="146"/>
      <c r="D2113" s="496"/>
    </row>
    <row r="2114" spans="1:4" x14ac:dyDescent="0.2">
      <c r="A2114" s="146"/>
      <c r="D2114" s="496"/>
    </row>
    <row r="2115" spans="1:4" x14ac:dyDescent="0.2">
      <c r="A2115" s="146"/>
      <c r="D2115" s="496"/>
    </row>
    <row r="2116" spans="1:4" x14ac:dyDescent="0.2">
      <c r="A2116" s="146"/>
      <c r="D2116" s="496"/>
    </row>
    <row r="2117" spans="1:4" x14ac:dyDescent="0.2">
      <c r="A2117" s="146"/>
      <c r="D2117" s="496"/>
    </row>
    <row r="2118" spans="1:4" x14ac:dyDescent="0.2">
      <c r="A2118" s="146"/>
      <c r="D2118" s="496"/>
    </row>
    <row r="2119" spans="1:4" x14ac:dyDescent="0.2">
      <c r="A2119" s="146"/>
      <c r="D2119" s="496"/>
    </row>
    <row r="2120" spans="1:4" x14ac:dyDescent="0.2">
      <c r="A2120" s="146"/>
      <c r="D2120" s="496"/>
    </row>
    <row r="2121" spans="1:4" x14ac:dyDescent="0.2">
      <c r="A2121" s="146"/>
      <c r="D2121" s="496"/>
    </row>
    <row r="2122" spans="1:4" x14ac:dyDescent="0.2">
      <c r="A2122" s="146"/>
      <c r="D2122" s="496"/>
    </row>
    <row r="2123" spans="1:4" x14ac:dyDescent="0.2">
      <c r="A2123" s="146"/>
      <c r="D2123" s="496"/>
    </row>
    <row r="2124" spans="1:4" x14ac:dyDescent="0.2">
      <c r="A2124" s="146"/>
      <c r="D2124" s="496"/>
    </row>
    <row r="2125" spans="1:4" x14ac:dyDescent="0.2">
      <c r="A2125" s="146"/>
      <c r="D2125" s="496"/>
    </row>
    <row r="2126" spans="1:4" x14ac:dyDescent="0.2">
      <c r="A2126" s="146"/>
      <c r="D2126" s="496"/>
    </row>
    <row r="2127" spans="1:4" x14ac:dyDescent="0.2">
      <c r="A2127" s="146"/>
      <c r="D2127" s="496"/>
    </row>
    <row r="2128" spans="1:4" x14ac:dyDescent="0.2">
      <c r="A2128" s="146"/>
      <c r="D2128" s="496"/>
    </row>
    <row r="2129" spans="1:4" x14ac:dyDescent="0.2">
      <c r="A2129" s="146"/>
      <c r="D2129" s="496"/>
    </row>
    <row r="2130" spans="1:4" x14ac:dyDescent="0.2">
      <c r="A2130" s="146"/>
      <c r="D2130" s="496"/>
    </row>
    <row r="2131" spans="1:4" x14ac:dyDescent="0.2">
      <c r="A2131" s="146"/>
      <c r="D2131" s="496"/>
    </row>
    <row r="2132" spans="1:4" x14ac:dyDescent="0.2">
      <c r="A2132" s="146"/>
      <c r="D2132" s="496"/>
    </row>
    <row r="2133" spans="1:4" x14ac:dyDescent="0.2">
      <c r="A2133" s="146"/>
      <c r="D2133" s="496"/>
    </row>
    <row r="2134" spans="1:4" x14ac:dyDescent="0.2">
      <c r="A2134" s="146"/>
      <c r="D2134" s="496"/>
    </row>
    <row r="2135" spans="1:4" x14ac:dyDescent="0.2">
      <c r="A2135" s="146"/>
      <c r="D2135" s="496"/>
    </row>
    <row r="2136" spans="1:4" x14ac:dyDescent="0.2">
      <c r="A2136" s="146"/>
      <c r="D2136" s="496"/>
    </row>
    <row r="2137" spans="1:4" x14ac:dyDescent="0.2">
      <c r="A2137" s="146"/>
      <c r="D2137" s="496"/>
    </row>
    <row r="2138" spans="1:4" x14ac:dyDescent="0.2">
      <c r="A2138" s="146"/>
      <c r="D2138" s="496"/>
    </row>
    <row r="2139" spans="1:4" x14ac:dyDescent="0.2">
      <c r="A2139" s="146"/>
      <c r="D2139" s="496"/>
    </row>
    <row r="2140" spans="1:4" x14ac:dyDescent="0.2">
      <c r="A2140" s="146"/>
      <c r="D2140" s="496"/>
    </row>
    <row r="2141" spans="1:4" x14ac:dyDescent="0.2">
      <c r="A2141" s="146"/>
      <c r="D2141" s="496"/>
    </row>
    <row r="2142" spans="1:4" x14ac:dyDescent="0.2">
      <c r="A2142" s="146"/>
      <c r="D2142" s="496"/>
    </row>
    <row r="2143" spans="1:4" x14ac:dyDescent="0.2">
      <c r="A2143" s="146"/>
      <c r="D2143" s="496"/>
    </row>
    <row r="2144" spans="1:4" x14ac:dyDescent="0.2">
      <c r="A2144" s="146"/>
      <c r="D2144" s="496"/>
    </row>
    <row r="2145" spans="1:4" x14ac:dyDescent="0.2">
      <c r="A2145" s="146"/>
      <c r="D2145" s="496"/>
    </row>
    <row r="2146" spans="1:4" x14ac:dyDescent="0.2">
      <c r="A2146" s="146"/>
      <c r="D2146" s="496"/>
    </row>
    <row r="2147" spans="1:4" x14ac:dyDescent="0.2">
      <c r="A2147" s="146"/>
      <c r="D2147" s="496"/>
    </row>
    <row r="2148" spans="1:4" x14ac:dyDescent="0.2">
      <c r="A2148" s="146"/>
      <c r="D2148" s="496"/>
    </row>
    <row r="2149" spans="1:4" x14ac:dyDescent="0.2">
      <c r="A2149" s="146"/>
      <c r="D2149" s="496"/>
    </row>
    <row r="2150" spans="1:4" x14ac:dyDescent="0.2">
      <c r="A2150" s="146"/>
      <c r="D2150" s="496"/>
    </row>
    <row r="2151" spans="1:4" x14ac:dyDescent="0.2">
      <c r="A2151" s="146"/>
      <c r="D2151" s="496"/>
    </row>
    <row r="2152" spans="1:4" x14ac:dyDescent="0.2">
      <c r="A2152" s="146"/>
      <c r="D2152" s="496"/>
    </row>
    <row r="2153" spans="1:4" x14ac:dyDescent="0.2">
      <c r="A2153" s="146"/>
      <c r="D2153" s="496"/>
    </row>
    <row r="2154" spans="1:4" x14ac:dyDescent="0.2">
      <c r="A2154" s="146"/>
      <c r="D2154" s="496"/>
    </row>
    <row r="2155" spans="1:4" x14ac:dyDescent="0.2">
      <c r="A2155" s="146"/>
      <c r="D2155" s="496"/>
    </row>
    <row r="2156" spans="1:4" x14ac:dyDescent="0.2">
      <c r="A2156" s="146"/>
      <c r="D2156" s="496"/>
    </row>
    <row r="2157" spans="1:4" x14ac:dyDescent="0.2">
      <c r="A2157" s="146"/>
      <c r="D2157" s="496"/>
    </row>
    <row r="2158" spans="1:4" x14ac:dyDescent="0.2">
      <c r="A2158" s="146"/>
      <c r="D2158" s="496"/>
    </row>
    <row r="2159" spans="1:4" x14ac:dyDescent="0.2">
      <c r="A2159" s="146"/>
      <c r="D2159" s="496"/>
    </row>
    <row r="2160" spans="1:4" x14ac:dyDescent="0.2">
      <c r="A2160" s="146"/>
      <c r="D2160" s="496"/>
    </row>
    <row r="2161" spans="1:4" x14ac:dyDescent="0.2">
      <c r="A2161" s="146"/>
      <c r="D2161" s="496"/>
    </row>
    <row r="2162" spans="1:4" x14ac:dyDescent="0.2">
      <c r="A2162" s="146"/>
      <c r="D2162" s="496"/>
    </row>
    <row r="2163" spans="1:4" x14ac:dyDescent="0.2">
      <c r="A2163" s="146"/>
      <c r="D2163" s="496"/>
    </row>
    <row r="2164" spans="1:4" x14ac:dyDescent="0.2">
      <c r="A2164" s="146"/>
      <c r="D2164" s="496"/>
    </row>
    <row r="2165" spans="1:4" x14ac:dyDescent="0.2">
      <c r="A2165" s="146"/>
      <c r="D2165" s="496"/>
    </row>
    <row r="2166" spans="1:4" x14ac:dyDescent="0.2">
      <c r="A2166" s="146"/>
      <c r="D2166" s="496"/>
    </row>
    <row r="2167" spans="1:4" x14ac:dyDescent="0.2">
      <c r="A2167" s="146"/>
      <c r="D2167" s="496"/>
    </row>
    <row r="2168" spans="1:4" x14ac:dyDescent="0.2">
      <c r="A2168" s="146"/>
      <c r="D2168" s="496"/>
    </row>
    <row r="2169" spans="1:4" x14ac:dyDescent="0.2">
      <c r="A2169" s="146"/>
      <c r="D2169" s="496"/>
    </row>
    <row r="2170" spans="1:4" x14ac:dyDescent="0.2">
      <c r="A2170" s="146"/>
      <c r="D2170" s="496"/>
    </row>
    <row r="2171" spans="1:4" x14ac:dyDescent="0.2">
      <c r="A2171" s="146"/>
      <c r="D2171" s="496"/>
    </row>
    <row r="2172" spans="1:4" x14ac:dyDescent="0.2">
      <c r="A2172" s="146"/>
      <c r="D2172" s="496"/>
    </row>
    <row r="2173" spans="1:4" x14ac:dyDescent="0.2">
      <c r="A2173" s="146"/>
      <c r="D2173" s="496"/>
    </row>
    <row r="2174" spans="1:4" x14ac:dyDescent="0.2">
      <c r="A2174" s="146"/>
      <c r="D2174" s="496"/>
    </row>
    <row r="2175" spans="1:4" x14ac:dyDescent="0.2">
      <c r="A2175" s="146"/>
      <c r="D2175" s="496"/>
    </row>
    <row r="2176" spans="1:4" x14ac:dyDescent="0.2">
      <c r="A2176" s="146"/>
      <c r="D2176" s="496"/>
    </row>
    <row r="2177" spans="1:4" x14ac:dyDescent="0.2">
      <c r="A2177" s="146"/>
      <c r="D2177" s="496"/>
    </row>
    <row r="2178" spans="1:4" x14ac:dyDescent="0.2">
      <c r="A2178" s="146"/>
      <c r="D2178" s="496"/>
    </row>
    <row r="2179" spans="1:4" x14ac:dyDescent="0.2">
      <c r="A2179" s="146"/>
      <c r="D2179" s="496"/>
    </row>
    <row r="2180" spans="1:4" x14ac:dyDescent="0.2">
      <c r="A2180" s="146"/>
      <c r="D2180" s="496"/>
    </row>
    <row r="2181" spans="1:4" x14ac:dyDescent="0.2">
      <c r="A2181" s="146"/>
      <c r="D2181" s="496"/>
    </row>
    <row r="2182" spans="1:4" x14ac:dyDescent="0.2">
      <c r="A2182" s="146"/>
      <c r="D2182" s="496"/>
    </row>
    <row r="2183" spans="1:4" x14ac:dyDescent="0.2">
      <c r="A2183" s="146"/>
      <c r="D2183" s="496"/>
    </row>
    <row r="2184" spans="1:4" x14ac:dyDescent="0.2">
      <c r="A2184" s="146"/>
      <c r="D2184" s="496"/>
    </row>
    <row r="2185" spans="1:4" x14ac:dyDescent="0.2">
      <c r="A2185" s="146"/>
      <c r="D2185" s="496"/>
    </row>
    <row r="2186" spans="1:4" x14ac:dyDescent="0.2">
      <c r="A2186" s="146"/>
      <c r="D2186" s="496"/>
    </row>
    <row r="2187" spans="1:4" x14ac:dyDescent="0.2">
      <c r="A2187" s="146"/>
      <c r="D2187" s="496"/>
    </row>
    <row r="2188" spans="1:4" x14ac:dyDescent="0.2">
      <c r="A2188" s="146"/>
      <c r="D2188" s="496"/>
    </row>
    <row r="2189" spans="1:4" x14ac:dyDescent="0.2">
      <c r="A2189" s="146"/>
      <c r="D2189" s="496"/>
    </row>
    <row r="2190" spans="1:4" x14ac:dyDescent="0.2">
      <c r="A2190" s="146"/>
      <c r="D2190" s="496"/>
    </row>
    <row r="2191" spans="1:4" x14ac:dyDescent="0.2">
      <c r="A2191" s="146"/>
      <c r="D2191" s="496"/>
    </row>
    <row r="2192" spans="1:4" x14ac:dyDescent="0.2">
      <c r="A2192" s="146"/>
      <c r="D2192" s="496"/>
    </row>
    <row r="2193" spans="1:4" x14ac:dyDescent="0.2">
      <c r="A2193" s="146"/>
      <c r="D2193" s="496"/>
    </row>
    <row r="2194" spans="1:4" x14ac:dyDescent="0.2">
      <c r="A2194" s="146"/>
      <c r="D2194" s="496"/>
    </row>
    <row r="2195" spans="1:4" x14ac:dyDescent="0.2">
      <c r="A2195" s="146"/>
      <c r="D2195" s="496"/>
    </row>
    <row r="2196" spans="1:4" x14ac:dyDescent="0.2">
      <c r="A2196" s="146"/>
      <c r="D2196" s="496"/>
    </row>
    <row r="2197" spans="1:4" x14ac:dyDescent="0.2">
      <c r="A2197" s="146"/>
      <c r="D2197" s="496"/>
    </row>
    <row r="2198" spans="1:4" x14ac:dyDescent="0.2">
      <c r="A2198" s="146"/>
      <c r="D2198" s="496"/>
    </row>
    <row r="2199" spans="1:4" x14ac:dyDescent="0.2">
      <c r="A2199" s="146"/>
      <c r="D2199" s="496"/>
    </row>
    <row r="2200" spans="1:4" x14ac:dyDescent="0.2">
      <c r="A2200" s="146"/>
      <c r="D2200" s="496"/>
    </row>
    <row r="2201" spans="1:4" x14ac:dyDescent="0.2">
      <c r="A2201" s="146"/>
      <c r="D2201" s="496"/>
    </row>
    <row r="2202" spans="1:4" x14ac:dyDescent="0.2">
      <c r="A2202" s="146"/>
      <c r="D2202" s="496"/>
    </row>
    <row r="2203" spans="1:4" x14ac:dyDescent="0.2">
      <c r="A2203" s="146"/>
      <c r="D2203" s="496"/>
    </row>
    <row r="2204" spans="1:4" x14ac:dyDescent="0.2">
      <c r="A2204" s="146"/>
      <c r="D2204" s="496"/>
    </row>
    <row r="2205" spans="1:4" x14ac:dyDescent="0.2">
      <c r="A2205" s="146"/>
      <c r="D2205" s="496"/>
    </row>
    <row r="2206" spans="1:4" x14ac:dyDescent="0.2">
      <c r="A2206" s="146"/>
      <c r="D2206" s="496"/>
    </row>
    <row r="2207" spans="1:4" x14ac:dyDescent="0.2">
      <c r="A2207" s="146"/>
      <c r="D2207" s="496"/>
    </row>
    <row r="2208" spans="1:4" x14ac:dyDescent="0.2">
      <c r="A2208" s="146"/>
      <c r="D2208" s="496"/>
    </row>
    <row r="2209" spans="1:4" x14ac:dyDescent="0.2">
      <c r="A2209" s="146"/>
      <c r="D2209" s="496"/>
    </row>
    <row r="2210" spans="1:4" x14ac:dyDescent="0.2">
      <c r="A2210" s="146"/>
      <c r="D2210" s="496"/>
    </row>
    <row r="2211" spans="1:4" x14ac:dyDescent="0.2">
      <c r="A2211" s="146"/>
      <c r="D2211" s="496"/>
    </row>
    <row r="2212" spans="1:4" x14ac:dyDescent="0.2">
      <c r="A2212" s="146"/>
      <c r="D2212" s="496"/>
    </row>
    <row r="2213" spans="1:4" x14ac:dyDescent="0.2">
      <c r="A2213" s="146"/>
      <c r="D2213" s="496"/>
    </row>
    <row r="2214" spans="1:4" x14ac:dyDescent="0.2">
      <c r="A2214" s="146"/>
      <c r="D2214" s="496"/>
    </row>
    <row r="2215" spans="1:4" x14ac:dyDescent="0.2">
      <c r="A2215" s="146"/>
      <c r="D2215" s="496"/>
    </row>
    <row r="2216" spans="1:4" x14ac:dyDescent="0.2">
      <c r="A2216" s="146"/>
      <c r="D2216" s="496"/>
    </row>
    <row r="2217" spans="1:4" x14ac:dyDescent="0.2">
      <c r="A2217" s="146"/>
      <c r="D2217" s="496"/>
    </row>
    <row r="2218" spans="1:4" x14ac:dyDescent="0.2">
      <c r="A2218" s="146"/>
      <c r="D2218" s="496"/>
    </row>
    <row r="2219" spans="1:4" x14ac:dyDescent="0.2">
      <c r="A2219" s="146"/>
      <c r="D2219" s="496"/>
    </row>
    <row r="2220" spans="1:4" x14ac:dyDescent="0.2">
      <c r="A2220" s="146"/>
      <c r="D2220" s="496"/>
    </row>
    <row r="2221" spans="1:4" x14ac:dyDescent="0.2">
      <c r="A2221" s="146"/>
      <c r="D2221" s="496"/>
    </row>
    <row r="2222" spans="1:4" x14ac:dyDescent="0.2">
      <c r="A2222" s="146"/>
      <c r="D2222" s="496"/>
    </row>
    <row r="2223" spans="1:4" x14ac:dyDescent="0.2">
      <c r="A2223" s="146"/>
      <c r="D2223" s="496"/>
    </row>
    <row r="2224" spans="1:4" x14ac:dyDescent="0.2">
      <c r="A2224" s="146"/>
      <c r="D2224" s="496"/>
    </row>
    <row r="2225" spans="1:4" x14ac:dyDescent="0.2">
      <c r="A2225" s="146"/>
      <c r="D2225" s="496"/>
    </row>
    <row r="2226" spans="1:4" x14ac:dyDescent="0.2">
      <c r="A2226" s="146"/>
      <c r="D2226" s="496"/>
    </row>
    <row r="2227" spans="1:4" x14ac:dyDescent="0.2">
      <c r="A2227" s="146"/>
      <c r="D2227" s="496"/>
    </row>
    <row r="2228" spans="1:4" x14ac:dyDescent="0.2">
      <c r="A2228" s="146"/>
      <c r="D2228" s="496"/>
    </row>
    <row r="2229" spans="1:4" x14ac:dyDescent="0.2">
      <c r="A2229" s="146"/>
      <c r="D2229" s="496"/>
    </row>
    <row r="2230" spans="1:4" x14ac:dyDescent="0.2">
      <c r="A2230" s="146"/>
      <c r="D2230" s="496"/>
    </row>
    <row r="2231" spans="1:4" x14ac:dyDescent="0.2">
      <c r="A2231" s="146"/>
      <c r="D2231" s="496"/>
    </row>
    <row r="2232" spans="1:4" x14ac:dyDescent="0.2">
      <c r="A2232" s="146"/>
      <c r="D2232" s="496"/>
    </row>
    <row r="2233" spans="1:4" x14ac:dyDescent="0.2">
      <c r="A2233" s="146"/>
      <c r="D2233" s="496"/>
    </row>
    <row r="2234" spans="1:4" x14ac:dyDescent="0.2">
      <c r="A2234" s="146"/>
      <c r="D2234" s="496"/>
    </row>
    <row r="2235" spans="1:4" x14ac:dyDescent="0.2">
      <c r="A2235" s="146"/>
      <c r="D2235" s="496"/>
    </row>
    <row r="2236" spans="1:4" x14ac:dyDescent="0.2">
      <c r="A2236" s="146"/>
      <c r="D2236" s="496"/>
    </row>
    <row r="2237" spans="1:4" x14ac:dyDescent="0.2">
      <c r="A2237" s="146"/>
      <c r="D2237" s="496"/>
    </row>
    <row r="2238" spans="1:4" x14ac:dyDescent="0.2">
      <c r="A2238" s="146"/>
      <c r="D2238" s="496"/>
    </row>
    <row r="2239" spans="1:4" x14ac:dyDescent="0.2">
      <c r="A2239" s="146"/>
      <c r="D2239" s="496"/>
    </row>
    <row r="2240" spans="1:4" x14ac:dyDescent="0.2">
      <c r="A2240" s="146"/>
      <c r="D2240" s="496"/>
    </row>
    <row r="2241" spans="1:4" x14ac:dyDescent="0.2">
      <c r="A2241" s="146"/>
      <c r="D2241" s="496"/>
    </row>
    <row r="2242" spans="1:4" x14ac:dyDescent="0.2">
      <c r="A2242" s="146"/>
      <c r="D2242" s="496"/>
    </row>
    <row r="2243" spans="1:4" x14ac:dyDescent="0.2">
      <c r="A2243" s="146"/>
      <c r="D2243" s="496"/>
    </row>
    <row r="2244" spans="1:4" x14ac:dyDescent="0.2">
      <c r="A2244" s="146"/>
      <c r="D2244" s="496"/>
    </row>
    <row r="2245" spans="1:4" x14ac:dyDescent="0.2">
      <c r="A2245" s="146"/>
      <c r="D2245" s="496"/>
    </row>
    <row r="2246" spans="1:4" x14ac:dyDescent="0.2">
      <c r="A2246" s="146"/>
      <c r="D2246" s="496"/>
    </row>
    <row r="2247" spans="1:4" x14ac:dyDescent="0.2">
      <c r="A2247" s="146"/>
      <c r="D2247" s="496"/>
    </row>
    <row r="2248" spans="1:4" x14ac:dyDescent="0.2">
      <c r="A2248" s="146"/>
      <c r="D2248" s="496"/>
    </row>
    <row r="2249" spans="1:4" x14ac:dyDescent="0.2">
      <c r="A2249" s="146"/>
      <c r="D2249" s="496"/>
    </row>
    <row r="2250" spans="1:4" x14ac:dyDescent="0.2">
      <c r="A2250" s="146"/>
      <c r="D2250" s="496"/>
    </row>
    <row r="2251" spans="1:4" x14ac:dyDescent="0.2">
      <c r="A2251" s="146"/>
      <c r="D2251" s="496"/>
    </row>
    <row r="2252" spans="1:4" x14ac:dyDescent="0.2">
      <c r="A2252" s="146"/>
      <c r="D2252" s="496"/>
    </row>
    <row r="2253" spans="1:4" x14ac:dyDescent="0.2">
      <c r="A2253" s="146"/>
      <c r="D2253" s="496"/>
    </row>
    <row r="2254" spans="1:4" x14ac:dyDescent="0.2">
      <c r="A2254" s="146"/>
      <c r="D2254" s="496"/>
    </row>
    <row r="2255" spans="1:4" x14ac:dyDescent="0.2">
      <c r="A2255" s="146"/>
      <c r="D2255" s="496"/>
    </row>
    <row r="2256" spans="1:4" x14ac:dyDescent="0.2">
      <c r="A2256" s="146"/>
      <c r="D2256" s="496"/>
    </row>
    <row r="2257" spans="1:4" x14ac:dyDescent="0.2">
      <c r="A2257" s="146"/>
      <c r="D2257" s="496"/>
    </row>
    <row r="2258" spans="1:4" x14ac:dyDescent="0.2">
      <c r="A2258" s="146"/>
      <c r="D2258" s="496"/>
    </row>
    <row r="2259" spans="1:4" x14ac:dyDescent="0.2">
      <c r="A2259" s="146"/>
      <c r="D2259" s="496"/>
    </row>
    <row r="2260" spans="1:4" x14ac:dyDescent="0.2">
      <c r="A2260" s="146"/>
      <c r="D2260" s="496"/>
    </row>
    <row r="2261" spans="1:4" x14ac:dyDescent="0.2">
      <c r="A2261" s="146"/>
      <c r="D2261" s="496"/>
    </row>
    <row r="2262" spans="1:4" x14ac:dyDescent="0.2">
      <c r="A2262" s="146"/>
      <c r="D2262" s="496"/>
    </row>
    <row r="2263" spans="1:4" x14ac:dyDescent="0.2">
      <c r="A2263" s="146"/>
      <c r="D2263" s="496"/>
    </row>
    <row r="2264" spans="1:4" x14ac:dyDescent="0.2">
      <c r="A2264" s="146"/>
      <c r="D2264" s="496"/>
    </row>
    <row r="2265" spans="1:4" x14ac:dyDescent="0.2">
      <c r="A2265" s="146"/>
      <c r="D2265" s="496"/>
    </row>
    <row r="2266" spans="1:4" x14ac:dyDescent="0.2">
      <c r="A2266" s="146"/>
      <c r="D2266" s="496"/>
    </row>
    <row r="2267" spans="1:4" x14ac:dyDescent="0.2">
      <c r="A2267" s="146"/>
      <c r="D2267" s="496"/>
    </row>
    <row r="2268" spans="1:4" x14ac:dyDescent="0.2">
      <c r="A2268" s="146"/>
      <c r="D2268" s="496"/>
    </row>
    <row r="2269" spans="1:4" x14ac:dyDescent="0.2">
      <c r="A2269" s="146"/>
      <c r="D2269" s="496"/>
    </row>
    <row r="2270" spans="1:4" x14ac:dyDescent="0.2">
      <c r="A2270" s="146"/>
      <c r="D2270" s="496"/>
    </row>
    <row r="2271" spans="1:4" x14ac:dyDescent="0.2">
      <c r="A2271" s="146"/>
      <c r="D2271" s="496"/>
    </row>
    <row r="2272" spans="1:4" x14ac:dyDescent="0.2">
      <c r="A2272" s="146"/>
      <c r="D2272" s="496"/>
    </row>
    <row r="2273" spans="1:4" x14ac:dyDescent="0.2">
      <c r="A2273" s="146"/>
      <c r="D2273" s="496"/>
    </row>
    <row r="2274" spans="1:4" x14ac:dyDescent="0.2">
      <c r="A2274" s="146"/>
      <c r="D2274" s="496"/>
    </row>
    <row r="2275" spans="1:4" x14ac:dyDescent="0.2">
      <c r="A2275" s="146"/>
      <c r="D2275" s="496"/>
    </row>
    <row r="2276" spans="1:4" x14ac:dyDescent="0.2">
      <c r="A2276" s="146"/>
      <c r="D2276" s="496"/>
    </row>
    <row r="2277" spans="1:4" x14ac:dyDescent="0.2">
      <c r="A2277" s="146"/>
      <c r="D2277" s="496"/>
    </row>
    <row r="2278" spans="1:4" x14ac:dyDescent="0.2">
      <c r="A2278" s="146"/>
      <c r="D2278" s="496"/>
    </row>
    <row r="2279" spans="1:4" x14ac:dyDescent="0.2">
      <c r="A2279" s="146"/>
      <c r="D2279" s="496"/>
    </row>
    <row r="2280" spans="1:4" x14ac:dyDescent="0.2">
      <c r="A2280" s="146"/>
      <c r="D2280" s="496"/>
    </row>
    <row r="2281" spans="1:4" x14ac:dyDescent="0.2">
      <c r="A2281" s="146"/>
      <c r="D2281" s="496"/>
    </row>
    <row r="2282" spans="1:4" x14ac:dyDescent="0.2">
      <c r="A2282" s="146"/>
      <c r="D2282" s="496"/>
    </row>
    <row r="2283" spans="1:4" x14ac:dyDescent="0.2">
      <c r="A2283" s="146"/>
      <c r="D2283" s="496"/>
    </row>
    <row r="2284" spans="1:4" x14ac:dyDescent="0.2">
      <c r="A2284" s="146"/>
      <c r="D2284" s="496"/>
    </row>
    <row r="2285" spans="1:4" x14ac:dyDescent="0.2">
      <c r="A2285" s="146"/>
      <c r="D2285" s="496"/>
    </row>
    <row r="2286" spans="1:4" x14ac:dyDescent="0.2">
      <c r="A2286" s="146"/>
      <c r="D2286" s="496"/>
    </row>
    <row r="2287" spans="1:4" x14ac:dyDescent="0.2">
      <c r="A2287" s="146"/>
      <c r="D2287" s="496"/>
    </row>
    <row r="2288" spans="1:4" x14ac:dyDescent="0.2">
      <c r="A2288" s="146"/>
      <c r="D2288" s="496"/>
    </row>
    <row r="2289" spans="1:4" x14ac:dyDescent="0.2">
      <c r="A2289" s="146"/>
      <c r="D2289" s="496"/>
    </row>
    <row r="2290" spans="1:4" x14ac:dyDescent="0.2">
      <c r="A2290" s="146"/>
      <c r="D2290" s="496"/>
    </row>
    <row r="2291" spans="1:4" x14ac:dyDescent="0.2">
      <c r="A2291" s="146"/>
      <c r="D2291" s="496"/>
    </row>
    <row r="2292" spans="1:4" x14ac:dyDescent="0.2">
      <c r="A2292" s="146"/>
      <c r="D2292" s="496"/>
    </row>
    <row r="2293" spans="1:4" x14ac:dyDescent="0.2">
      <c r="A2293" s="146"/>
      <c r="D2293" s="496"/>
    </row>
    <row r="2294" spans="1:4" x14ac:dyDescent="0.2">
      <c r="A2294" s="146"/>
      <c r="D2294" s="496"/>
    </row>
    <row r="2295" spans="1:4" x14ac:dyDescent="0.2">
      <c r="A2295" s="146"/>
      <c r="D2295" s="496"/>
    </row>
    <row r="2296" spans="1:4" x14ac:dyDescent="0.2">
      <c r="A2296" s="146"/>
      <c r="D2296" s="496"/>
    </row>
    <row r="2297" spans="1:4" x14ac:dyDescent="0.2">
      <c r="A2297" s="146"/>
      <c r="D2297" s="496"/>
    </row>
    <row r="2298" spans="1:4" x14ac:dyDescent="0.2">
      <c r="A2298" s="146"/>
      <c r="D2298" s="496"/>
    </row>
    <row r="2299" spans="1:4" x14ac:dyDescent="0.2">
      <c r="A2299" s="146"/>
      <c r="D2299" s="496"/>
    </row>
    <row r="2300" spans="1:4" x14ac:dyDescent="0.2">
      <c r="A2300" s="146"/>
      <c r="D2300" s="496"/>
    </row>
    <row r="2301" spans="1:4" x14ac:dyDescent="0.2">
      <c r="A2301" s="146"/>
      <c r="D2301" s="496"/>
    </row>
    <row r="2302" spans="1:4" x14ac:dyDescent="0.2">
      <c r="A2302" s="146"/>
      <c r="D2302" s="496"/>
    </row>
    <row r="2303" spans="1:4" x14ac:dyDescent="0.2">
      <c r="A2303" s="146"/>
      <c r="D2303" s="496"/>
    </row>
    <row r="2304" spans="1:4" x14ac:dyDescent="0.2">
      <c r="A2304" s="146"/>
      <c r="D2304" s="496"/>
    </row>
    <row r="2305" spans="1:4" x14ac:dyDescent="0.2">
      <c r="A2305" s="146"/>
      <c r="D2305" s="496"/>
    </row>
    <row r="2306" spans="1:4" x14ac:dyDescent="0.2">
      <c r="A2306" s="146"/>
      <c r="D2306" s="496"/>
    </row>
    <row r="2307" spans="1:4" x14ac:dyDescent="0.2">
      <c r="A2307" s="146"/>
      <c r="D2307" s="496"/>
    </row>
    <row r="2308" spans="1:4" x14ac:dyDescent="0.2">
      <c r="A2308" s="146"/>
      <c r="D2308" s="496"/>
    </row>
    <row r="2309" spans="1:4" x14ac:dyDescent="0.2">
      <c r="A2309" s="146"/>
      <c r="D2309" s="496"/>
    </row>
    <row r="2310" spans="1:4" x14ac:dyDescent="0.2">
      <c r="A2310" s="146"/>
      <c r="D2310" s="496"/>
    </row>
    <row r="2311" spans="1:4" x14ac:dyDescent="0.2">
      <c r="A2311" s="146"/>
      <c r="D2311" s="496"/>
    </row>
    <row r="2312" spans="1:4" x14ac:dyDescent="0.2">
      <c r="A2312" s="146"/>
      <c r="D2312" s="496"/>
    </row>
    <row r="2313" spans="1:4" x14ac:dyDescent="0.2">
      <c r="A2313" s="146"/>
      <c r="D2313" s="496"/>
    </row>
    <row r="2314" spans="1:4" x14ac:dyDescent="0.2">
      <c r="A2314" s="146"/>
      <c r="D2314" s="496"/>
    </row>
    <row r="2315" spans="1:4" x14ac:dyDescent="0.2">
      <c r="A2315" s="146"/>
      <c r="D2315" s="496"/>
    </row>
    <row r="2316" spans="1:4" x14ac:dyDescent="0.2">
      <c r="A2316" s="146"/>
      <c r="D2316" s="496"/>
    </row>
    <row r="2317" spans="1:4" x14ac:dyDescent="0.2">
      <c r="A2317" s="146"/>
      <c r="D2317" s="496"/>
    </row>
    <row r="2318" spans="1:4" x14ac:dyDescent="0.2">
      <c r="A2318" s="146"/>
      <c r="D2318" s="496"/>
    </row>
    <row r="2319" spans="1:4" x14ac:dyDescent="0.2">
      <c r="A2319" s="146"/>
      <c r="D2319" s="496"/>
    </row>
    <row r="2320" spans="1:4" x14ac:dyDescent="0.2">
      <c r="A2320" s="146"/>
      <c r="D2320" s="496"/>
    </row>
    <row r="2321" spans="1:4" x14ac:dyDescent="0.2">
      <c r="A2321" s="146"/>
      <c r="D2321" s="496"/>
    </row>
    <row r="2322" spans="1:4" x14ac:dyDescent="0.2">
      <c r="A2322" s="146"/>
      <c r="D2322" s="496"/>
    </row>
    <row r="2323" spans="1:4" x14ac:dyDescent="0.2">
      <c r="A2323" s="146"/>
      <c r="D2323" s="496"/>
    </row>
    <row r="2324" spans="1:4" x14ac:dyDescent="0.2">
      <c r="A2324" s="146"/>
      <c r="D2324" s="496"/>
    </row>
    <row r="2325" spans="1:4" x14ac:dyDescent="0.2">
      <c r="A2325" s="146"/>
      <c r="D2325" s="496"/>
    </row>
    <row r="2326" spans="1:4" x14ac:dyDescent="0.2">
      <c r="A2326" s="146"/>
      <c r="D2326" s="496"/>
    </row>
    <row r="2327" spans="1:4" x14ac:dyDescent="0.2">
      <c r="A2327" s="146"/>
      <c r="D2327" s="496"/>
    </row>
    <row r="2328" spans="1:4" x14ac:dyDescent="0.2">
      <c r="A2328" s="146"/>
      <c r="D2328" s="496"/>
    </row>
    <row r="2329" spans="1:4" x14ac:dyDescent="0.2">
      <c r="A2329" s="146"/>
      <c r="D2329" s="496"/>
    </row>
    <row r="2330" spans="1:4" x14ac:dyDescent="0.2">
      <c r="A2330" s="146"/>
      <c r="D2330" s="496"/>
    </row>
    <row r="2331" spans="1:4" x14ac:dyDescent="0.2">
      <c r="A2331" s="146"/>
      <c r="D2331" s="496"/>
    </row>
    <row r="2332" spans="1:4" x14ac:dyDescent="0.2">
      <c r="A2332" s="146"/>
      <c r="D2332" s="496"/>
    </row>
    <row r="2333" spans="1:4" x14ac:dyDescent="0.2">
      <c r="A2333" s="146"/>
      <c r="D2333" s="496"/>
    </row>
    <row r="2334" spans="1:4" x14ac:dyDescent="0.2">
      <c r="A2334" s="146"/>
      <c r="D2334" s="496"/>
    </row>
    <row r="2335" spans="1:4" x14ac:dyDescent="0.2">
      <c r="A2335" s="146"/>
      <c r="D2335" s="496"/>
    </row>
    <row r="2336" spans="1:4" x14ac:dyDescent="0.2">
      <c r="A2336" s="146"/>
      <c r="D2336" s="496"/>
    </row>
    <row r="2337" spans="1:4" x14ac:dyDescent="0.2">
      <c r="A2337" s="146"/>
      <c r="D2337" s="496"/>
    </row>
    <row r="2338" spans="1:4" x14ac:dyDescent="0.2">
      <c r="A2338" s="146"/>
      <c r="D2338" s="496"/>
    </row>
    <row r="2339" spans="1:4" x14ac:dyDescent="0.2">
      <c r="A2339" s="146"/>
      <c r="D2339" s="496"/>
    </row>
    <row r="2340" spans="1:4" x14ac:dyDescent="0.2">
      <c r="A2340" s="146"/>
      <c r="D2340" s="496"/>
    </row>
    <row r="2341" spans="1:4" x14ac:dyDescent="0.2">
      <c r="A2341" s="146"/>
      <c r="D2341" s="496"/>
    </row>
    <row r="2342" spans="1:4" x14ac:dyDescent="0.2">
      <c r="A2342" s="146"/>
      <c r="D2342" s="496"/>
    </row>
    <row r="2343" spans="1:4" x14ac:dyDescent="0.2">
      <c r="A2343" s="146"/>
      <c r="D2343" s="496"/>
    </row>
    <row r="2344" spans="1:4" x14ac:dyDescent="0.2">
      <c r="A2344" s="146"/>
      <c r="D2344" s="496"/>
    </row>
    <row r="2345" spans="1:4" x14ac:dyDescent="0.2">
      <c r="A2345" s="146"/>
      <c r="D2345" s="496"/>
    </row>
    <row r="2346" spans="1:4" x14ac:dyDescent="0.2">
      <c r="A2346" s="146"/>
      <c r="D2346" s="496"/>
    </row>
    <row r="2347" spans="1:4" x14ac:dyDescent="0.2">
      <c r="A2347" s="146"/>
      <c r="D2347" s="496"/>
    </row>
    <row r="2348" spans="1:4" x14ac:dyDescent="0.2">
      <c r="A2348" s="146"/>
      <c r="D2348" s="496"/>
    </row>
    <row r="2349" spans="1:4" x14ac:dyDescent="0.2">
      <c r="A2349" s="146"/>
      <c r="D2349" s="496"/>
    </row>
    <row r="2350" spans="1:4" x14ac:dyDescent="0.2">
      <c r="A2350" s="146"/>
      <c r="D2350" s="496"/>
    </row>
    <row r="2351" spans="1:4" x14ac:dyDescent="0.2">
      <c r="A2351" s="146"/>
      <c r="D2351" s="496"/>
    </row>
    <row r="2352" spans="1:4" x14ac:dyDescent="0.2">
      <c r="A2352" s="146"/>
      <c r="D2352" s="496"/>
    </row>
    <row r="2353" spans="1:4" x14ac:dyDescent="0.2">
      <c r="A2353" s="146"/>
      <c r="D2353" s="496"/>
    </row>
    <row r="2354" spans="1:4" x14ac:dyDescent="0.2">
      <c r="A2354" s="146"/>
      <c r="D2354" s="496"/>
    </row>
    <row r="2355" spans="1:4" x14ac:dyDescent="0.2">
      <c r="A2355" s="146"/>
      <c r="D2355" s="496"/>
    </row>
    <row r="2356" spans="1:4" x14ac:dyDescent="0.2">
      <c r="A2356" s="146"/>
      <c r="D2356" s="496"/>
    </row>
    <row r="2357" spans="1:4" x14ac:dyDescent="0.2">
      <c r="A2357" s="146"/>
      <c r="D2357" s="496"/>
    </row>
    <row r="2358" spans="1:4" x14ac:dyDescent="0.2">
      <c r="A2358" s="146"/>
      <c r="D2358" s="496"/>
    </row>
    <row r="2359" spans="1:4" x14ac:dyDescent="0.2">
      <c r="A2359" s="146"/>
      <c r="D2359" s="496"/>
    </row>
    <row r="2360" spans="1:4" x14ac:dyDescent="0.2">
      <c r="A2360" s="146"/>
      <c r="D2360" s="496"/>
    </row>
    <row r="2361" spans="1:4" x14ac:dyDescent="0.2">
      <c r="A2361" s="146"/>
      <c r="D2361" s="496"/>
    </row>
    <row r="2362" spans="1:4" x14ac:dyDescent="0.2">
      <c r="A2362" s="146"/>
      <c r="D2362" s="496"/>
    </row>
    <row r="2363" spans="1:4" x14ac:dyDescent="0.2">
      <c r="A2363" s="146"/>
      <c r="D2363" s="496"/>
    </row>
    <row r="2364" spans="1:4" x14ac:dyDescent="0.2">
      <c r="A2364" s="146"/>
      <c r="D2364" s="496"/>
    </row>
    <row r="2365" spans="1:4" x14ac:dyDescent="0.2">
      <c r="A2365" s="146"/>
      <c r="D2365" s="496"/>
    </row>
    <row r="2366" spans="1:4" x14ac:dyDescent="0.2">
      <c r="A2366" s="146"/>
      <c r="D2366" s="496"/>
    </row>
    <row r="2367" spans="1:4" x14ac:dyDescent="0.2">
      <c r="A2367" s="146"/>
      <c r="D2367" s="496"/>
    </row>
    <row r="2368" spans="1:4" x14ac:dyDescent="0.2">
      <c r="A2368" s="146"/>
      <c r="D2368" s="496"/>
    </row>
    <row r="2369" spans="1:4" x14ac:dyDescent="0.2">
      <c r="A2369" s="146"/>
      <c r="D2369" s="496"/>
    </row>
    <row r="2370" spans="1:4" x14ac:dyDescent="0.2">
      <c r="A2370" s="146"/>
      <c r="D2370" s="496"/>
    </row>
    <row r="2371" spans="1:4" x14ac:dyDescent="0.2">
      <c r="A2371" s="146"/>
      <c r="D2371" s="496"/>
    </row>
    <row r="2372" spans="1:4" x14ac:dyDescent="0.2">
      <c r="A2372" s="146"/>
      <c r="D2372" s="496"/>
    </row>
    <row r="2373" spans="1:4" x14ac:dyDescent="0.2">
      <c r="A2373" s="146"/>
      <c r="D2373" s="496"/>
    </row>
    <row r="2374" spans="1:4" x14ac:dyDescent="0.2">
      <c r="A2374" s="146"/>
      <c r="D2374" s="496"/>
    </row>
    <row r="2375" spans="1:4" x14ac:dyDescent="0.2">
      <c r="A2375" s="146"/>
      <c r="D2375" s="496"/>
    </row>
    <row r="2376" spans="1:4" x14ac:dyDescent="0.2">
      <c r="A2376" s="146"/>
      <c r="D2376" s="496"/>
    </row>
    <row r="2377" spans="1:4" x14ac:dyDescent="0.2">
      <c r="A2377" s="146"/>
      <c r="D2377" s="496"/>
    </row>
    <row r="2378" spans="1:4" x14ac:dyDescent="0.2">
      <c r="A2378" s="146"/>
      <c r="D2378" s="496"/>
    </row>
    <row r="2379" spans="1:4" x14ac:dyDescent="0.2">
      <c r="A2379" s="146"/>
      <c r="D2379" s="496"/>
    </row>
    <row r="2380" spans="1:4" x14ac:dyDescent="0.2">
      <c r="A2380" s="146"/>
      <c r="D2380" s="496"/>
    </row>
    <row r="2381" spans="1:4" x14ac:dyDescent="0.2">
      <c r="A2381" s="146"/>
      <c r="D2381" s="496"/>
    </row>
    <row r="2382" spans="1:4" x14ac:dyDescent="0.2">
      <c r="A2382" s="146"/>
      <c r="D2382" s="496"/>
    </row>
    <row r="2383" spans="1:4" x14ac:dyDescent="0.2">
      <c r="A2383" s="146"/>
      <c r="D2383" s="496"/>
    </row>
    <row r="2384" spans="1:4" x14ac:dyDescent="0.2">
      <c r="A2384" s="146"/>
      <c r="D2384" s="496"/>
    </row>
    <row r="2385" spans="1:4" x14ac:dyDescent="0.2">
      <c r="A2385" s="146"/>
      <c r="D2385" s="496"/>
    </row>
    <row r="2386" spans="1:4" x14ac:dyDescent="0.2">
      <c r="A2386" s="146"/>
      <c r="D2386" s="496"/>
    </row>
    <row r="2387" spans="1:4" x14ac:dyDescent="0.2">
      <c r="A2387" s="146"/>
      <c r="D2387" s="496"/>
    </row>
    <row r="2388" spans="1:4" x14ac:dyDescent="0.2">
      <c r="A2388" s="146"/>
      <c r="D2388" s="496"/>
    </row>
    <row r="2389" spans="1:4" x14ac:dyDescent="0.2">
      <c r="A2389" s="146"/>
      <c r="D2389" s="496"/>
    </row>
    <row r="2390" spans="1:4" x14ac:dyDescent="0.2">
      <c r="A2390" s="146"/>
      <c r="D2390" s="496"/>
    </row>
    <row r="2391" spans="1:4" x14ac:dyDescent="0.2">
      <c r="A2391" s="146"/>
      <c r="D2391" s="496"/>
    </row>
    <row r="2392" spans="1:4" x14ac:dyDescent="0.2">
      <c r="A2392" s="146"/>
      <c r="D2392" s="496"/>
    </row>
    <row r="2393" spans="1:4" x14ac:dyDescent="0.2">
      <c r="A2393" s="146"/>
      <c r="D2393" s="496"/>
    </row>
    <row r="2394" spans="1:4" x14ac:dyDescent="0.2">
      <c r="A2394" s="146"/>
      <c r="D2394" s="496"/>
    </row>
    <row r="2395" spans="1:4" x14ac:dyDescent="0.2">
      <c r="A2395" s="146"/>
      <c r="D2395" s="496"/>
    </row>
    <row r="2396" spans="1:4" x14ac:dyDescent="0.2">
      <c r="A2396" s="146"/>
      <c r="D2396" s="496"/>
    </row>
    <row r="2397" spans="1:4" x14ac:dyDescent="0.2">
      <c r="A2397" s="146"/>
      <c r="D2397" s="496"/>
    </row>
    <row r="2398" spans="1:4" x14ac:dyDescent="0.2">
      <c r="A2398" s="146"/>
      <c r="D2398" s="496"/>
    </row>
    <row r="2399" spans="1:4" x14ac:dyDescent="0.2">
      <c r="A2399" s="146"/>
      <c r="D2399" s="496"/>
    </row>
    <row r="2400" spans="1:4" x14ac:dyDescent="0.2">
      <c r="A2400" s="146"/>
      <c r="D2400" s="496"/>
    </row>
    <row r="2401" spans="1:4" x14ac:dyDescent="0.2">
      <c r="A2401" s="146"/>
      <c r="D2401" s="496"/>
    </row>
    <row r="2402" spans="1:4" x14ac:dyDescent="0.2">
      <c r="A2402" s="146"/>
      <c r="D2402" s="496"/>
    </row>
    <row r="2403" spans="1:4" x14ac:dyDescent="0.2">
      <c r="A2403" s="146"/>
      <c r="D2403" s="496"/>
    </row>
    <row r="2404" spans="1:4" x14ac:dyDescent="0.2">
      <c r="A2404" s="146"/>
      <c r="D2404" s="496"/>
    </row>
    <row r="2405" spans="1:4" x14ac:dyDescent="0.2">
      <c r="A2405" s="146"/>
      <c r="D2405" s="496"/>
    </row>
    <row r="2406" spans="1:4" x14ac:dyDescent="0.2">
      <c r="A2406" s="146"/>
      <c r="D2406" s="496"/>
    </row>
    <row r="2407" spans="1:4" x14ac:dyDescent="0.2">
      <c r="A2407" s="146"/>
      <c r="D2407" s="496"/>
    </row>
    <row r="2408" spans="1:4" x14ac:dyDescent="0.2">
      <c r="A2408" s="146"/>
      <c r="D2408" s="496"/>
    </row>
    <row r="2409" spans="1:4" x14ac:dyDescent="0.2">
      <c r="A2409" s="146"/>
      <c r="D2409" s="496"/>
    </row>
    <row r="2410" spans="1:4" x14ac:dyDescent="0.2">
      <c r="A2410" s="146"/>
      <c r="D2410" s="496"/>
    </row>
    <row r="2411" spans="1:4" x14ac:dyDescent="0.2">
      <c r="A2411" s="146"/>
      <c r="D2411" s="496"/>
    </row>
    <row r="2412" spans="1:4" x14ac:dyDescent="0.2">
      <c r="A2412" s="146"/>
      <c r="D2412" s="496"/>
    </row>
    <row r="2413" spans="1:4" x14ac:dyDescent="0.2">
      <c r="A2413" s="146"/>
      <c r="D2413" s="496"/>
    </row>
    <row r="2414" spans="1:4" x14ac:dyDescent="0.2">
      <c r="A2414" s="146"/>
      <c r="D2414" s="496"/>
    </row>
    <row r="2415" spans="1:4" x14ac:dyDescent="0.2">
      <c r="A2415" s="146"/>
      <c r="D2415" s="496"/>
    </row>
    <row r="2416" spans="1:4" x14ac:dyDescent="0.2">
      <c r="A2416" s="146"/>
      <c r="D2416" s="496"/>
    </row>
    <row r="2417" spans="1:4" x14ac:dyDescent="0.2">
      <c r="A2417" s="146"/>
      <c r="D2417" s="496"/>
    </row>
    <row r="2418" spans="1:4" x14ac:dyDescent="0.2">
      <c r="A2418" s="146"/>
      <c r="D2418" s="496"/>
    </row>
    <row r="2419" spans="1:4" x14ac:dyDescent="0.2">
      <c r="A2419" s="146"/>
      <c r="D2419" s="496"/>
    </row>
    <row r="2420" spans="1:4" x14ac:dyDescent="0.2">
      <c r="A2420" s="146"/>
      <c r="D2420" s="496"/>
    </row>
    <row r="2421" spans="1:4" x14ac:dyDescent="0.2">
      <c r="A2421" s="146"/>
      <c r="D2421" s="496"/>
    </row>
    <row r="2422" spans="1:4" x14ac:dyDescent="0.2">
      <c r="A2422" s="146"/>
      <c r="D2422" s="496"/>
    </row>
    <row r="2423" spans="1:4" x14ac:dyDescent="0.2">
      <c r="A2423" s="146"/>
      <c r="D2423" s="496"/>
    </row>
    <row r="2424" spans="1:4" x14ac:dyDescent="0.2">
      <c r="A2424" s="146"/>
      <c r="D2424" s="496"/>
    </row>
    <row r="2425" spans="1:4" x14ac:dyDescent="0.2">
      <c r="A2425" s="146"/>
      <c r="D2425" s="496"/>
    </row>
    <row r="2426" spans="1:4" x14ac:dyDescent="0.2">
      <c r="A2426" s="146"/>
      <c r="D2426" s="496"/>
    </row>
    <row r="2427" spans="1:4" x14ac:dyDescent="0.2">
      <c r="A2427" s="146"/>
      <c r="D2427" s="496"/>
    </row>
    <row r="2428" spans="1:4" x14ac:dyDescent="0.2">
      <c r="A2428" s="146"/>
      <c r="D2428" s="496"/>
    </row>
    <row r="2429" spans="1:4" x14ac:dyDescent="0.2">
      <c r="A2429" s="146"/>
      <c r="D2429" s="496"/>
    </row>
    <row r="2430" spans="1:4" x14ac:dyDescent="0.2">
      <c r="A2430" s="146"/>
      <c r="D2430" s="496"/>
    </row>
    <row r="2431" spans="1:4" x14ac:dyDescent="0.2">
      <c r="A2431" s="146"/>
      <c r="D2431" s="496"/>
    </row>
    <row r="2432" spans="1:4" x14ac:dyDescent="0.2">
      <c r="A2432" s="146"/>
      <c r="D2432" s="496"/>
    </row>
    <row r="2433" spans="1:4" x14ac:dyDescent="0.2">
      <c r="A2433" s="146"/>
      <c r="D2433" s="496"/>
    </row>
    <row r="2434" spans="1:4" x14ac:dyDescent="0.2">
      <c r="A2434" s="146"/>
      <c r="D2434" s="496"/>
    </row>
    <row r="2435" spans="1:4" x14ac:dyDescent="0.2">
      <c r="A2435" s="146"/>
      <c r="D2435" s="496"/>
    </row>
    <row r="2436" spans="1:4" x14ac:dyDescent="0.2">
      <c r="A2436" s="146"/>
      <c r="D2436" s="496"/>
    </row>
    <row r="2437" spans="1:4" x14ac:dyDescent="0.2">
      <c r="A2437" s="146"/>
      <c r="D2437" s="496"/>
    </row>
    <row r="2438" spans="1:4" x14ac:dyDescent="0.2">
      <c r="A2438" s="146"/>
      <c r="D2438" s="496"/>
    </row>
    <row r="2439" spans="1:4" x14ac:dyDescent="0.2">
      <c r="A2439" s="146"/>
      <c r="D2439" s="496"/>
    </row>
    <row r="2440" spans="1:4" x14ac:dyDescent="0.2">
      <c r="A2440" s="146"/>
      <c r="D2440" s="496"/>
    </row>
    <row r="2441" spans="1:4" x14ac:dyDescent="0.2">
      <c r="A2441" s="146"/>
      <c r="D2441" s="496"/>
    </row>
    <row r="2442" spans="1:4" x14ac:dyDescent="0.2">
      <c r="A2442" s="146"/>
      <c r="D2442" s="496"/>
    </row>
    <row r="2443" spans="1:4" x14ac:dyDescent="0.2">
      <c r="A2443" s="146"/>
      <c r="D2443" s="496"/>
    </row>
    <row r="2444" spans="1:4" x14ac:dyDescent="0.2">
      <c r="A2444" s="146"/>
      <c r="D2444" s="496"/>
    </row>
    <row r="2445" spans="1:4" x14ac:dyDescent="0.2">
      <c r="A2445" s="146"/>
      <c r="D2445" s="496"/>
    </row>
    <row r="2446" spans="1:4" x14ac:dyDescent="0.2">
      <c r="A2446" s="146"/>
      <c r="D2446" s="496"/>
    </row>
    <row r="2447" spans="1:4" x14ac:dyDescent="0.2">
      <c r="A2447" s="146"/>
      <c r="D2447" s="496"/>
    </row>
    <row r="2448" spans="1:4" x14ac:dyDescent="0.2">
      <c r="A2448" s="146"/>
      <c r="D2448" s="496"/>
    </row>
    <row r="2449" spans="1:4" x14ac:dyDescent="0.2">
      <c r="A2449" s="146"/>
      <c r="D2449" s="496"/>
    </row>
    <row r="2450" spans="1:4" x14ac:dyDescent="0.2">
      <c r="A2450" s="146"/>
      <c r="D2450" s="496"/>
    </row>
    <row r="2451" spans="1:4" x14ac:dyDescent="0.2">
      <c r="A2451" s="146"/>
      <c r="D2451" s="496"/>
    </row>
    <row r="2452" spans="1:4" x14ac:dyDescent="0.2">
      <c r="A2452" s="146"/>
      <c r="D2452" s="496"/>
    </row>
    <row r="2453" spans="1:4" x14ac:dyDescent="0.2">
      <c r="A2453" s="146"/>
      <c r="D2453" s="496"/>
    </row>
    <row r="2454" spans="1:4" x14ac:dyDescent="0.2">
      <c r="A2454" s="146"/>
      <c r="D2454" s="496"/>
    </row>
    <row r="2455" spans="1:4" x14ac:dyDescent="0.2">
      <c r="A2455" s="146"/>
      <c r="D2455" s="496"/>
    </row>
    <row r="2456" spans="1:4" x14ac:dyDescent="0.2">
      <c r="A2456" s="146"/>
      <c r="D2456" s="496"/>
    </row>
    <row r="2457" spans="1:4" x14ac:dyDescent="0.2">
      <c r="A2457" s="146"/>
      <c r="D2457" s="496"/>
    </row>
    <row r="2458" spans="1:4" x14ac:dyDescent="0.2">
      <c r="A2458" s="146"/>
      <c r="D2458" s="496"/>
    </row>
    <row r="2459" spans="1:4" x14ac:dyDescent="0.2">
      <c r="A2459" s="146"/>
      <c r="D2459" s="496"/>
    </row>
    <row r="2460" spans="1:4" x14ac:dyDescent="0.2">
      <c r="A2460" s="146"/>
      <c r="D2460" s="496"/>
    </row>
    <row r="2461" spans="1:4" x14ac:dyDescent="0.2">
      <c r="A2461" s="146"/>
      <c r="D2461" s="496"/>
    </row>
    <row r="2462" spans="1:4" x14ac:dyDescent="0.2">
      <c r="A2462" s="146"/>
      <c r="D2462" s="496"/>
    </row>
    <row r="2463" spans="1:4" x14ac:dyDescent="0.2">
      <c r="A2463" s="146"/>
      <c r="D2463" s="496"/>
    </row>
    <row r="2464" spans="1:4" x14ac:dyDescent="0.2">
      <c r="A2464" s="146"/>
      <c r="D2464" s="496"/>
    </row>
    <row r="2465" spans="1:4" x14ac:dyDescent="0.2">
      <c r="A2465" s="146"/>
      <c r="D2465" s="496"/>
    </row>
    <row r="2466" spans="1:4" x14ac:dyDescent="0.2">
      <c r="A2466" s="146"/>
      <c r="D2466" s="496"/>
    </row>
    <row r="2467" spans="1:4" x14ac:dyDescent="0.2">
      <c r="A2467" s="146"/>
      <c r="D2467" s="496"/>
    </row>
    <row r="2468" spans="1:4" x14ac:dyDescent="0.2">
      <c r="A2468" s="146"/>
      <c r="D2468" s="496"/>
    </row>
    <row r="2469" spans="1:4" x14ac:dyDescent="0.2">
      <c r="A2469" s="146"/>
      <c r="D2469" s="496"/>
    </row>
    <row r="2470" spans="1:4" x14ac:dyDescent="0.2">
      <c r="A2470" s="146"/>
      <c r="D2470" s="496"/>
    </row>
    <row r="2471" spans="1:4" x14ac:dyDescent="0.2">
      <c r="A2471" s="146"/>
      <c r="D2471" s="496"/>
    </row>
    <row r="2472" spans="1:4" x14ac:dyDescent="0.2">
      <c r="A2472" s="146"/>
      <c r="D2472" s="496"/>
    </row>
    <row r="2473" spans="1:4" x14ac:dyDescent="0.2">
      <c r="A2473" s="146"/>
      <c r="D2473" s="496"/>
    </row>
    <row r="2474" spans="1:4" x14ac:dyDescent="0.2">
      <c r="A2474" s="146"/>
      <c r="D2474" s="496"/>
    </row>
    <row r="2475" spans="1:4" x14ac:dyDescent="0.2">
      <c r="A2475" s="146"/>
      <c r="D2475" s="496"/>
    </row>
    <row r="2476" spans="1:4" x14ac:dyDescent="0.2">
      <c r="A2476" s="146"/>
      <c r="D2476" s="496"/>
    </row>
    <row r="2477" spans="1:4" x14ac:dyDescent="0.2">
      <c r="A2477" s="146"/>
      <c r="D2477" s="496"/>
    </row>
    <row r="2478" spans="1:4" x14ac:dyDescent="0.2">
      <c r="A2478" s="146"/>
      <c r="D2478" s="496"/>
    </row>
    <row r="2479" spans="1:4" x14ac:dyDescent="0.2">
      <c r="A2479" s="146"/>
      <c r="D2479" s="496"/>
    </row>
    <row r="2480" spans="1:4" x14ac:dyDescent="0.2">
      <c r="A2480" s="146"/>
      <c r="D2480" s="496"/>
    </row>
    <row r="2481" spans="1:4" x14ac:dyDescent="0.2">
      <c r="A2481" s="146"/>
      <c r="D2481" s="496"/>
    </row>
    <row r="2482" spans="1:4" x14ac:dyDescent="0.2">
      <c r="A2482" s="146"/>
      <c r="D2482" s="496"/>
    </row>
    <row r="2483" spans="1:4" x14ac:dyDescent="0.2">
      <c r="A2483" s="146"/>
      <c r="D2483" s="496"/>
    </row>
    <row r="2484" spans="1:4" x14ac:dyDescent="0.2">
      <c r="A2484" s="146"/>
      <c r="D2484" s="496"/>
    </row>
    <row r="2485" spans="1:4" x14ac:dyDescent="0.2">
      <c r="A2485" s="146"/>
      <c r="D2485" s="496"/>
    </row>
    <row r="2486" spans="1:4" x14ac:dyDescent="0.2">
      <c r="A2486" s="146"/>
      <c r="D2486" s="496"/>
    </row>
    <row r="2487" spans="1:4" x14ac:dyDescent="0.2">
      <c r="A2487" s="146"/>
      <c r="D2487" s="496"/>
    </row>
    <row r="2488" spans="1:4" x14ac:dyDescent="0.2">
      <c r="A2488" s="146"/>
      <c r="D2488" s="496"/>
    </row>
    <row r="2489" spans="1:4" x14ac:dyDescent="0.2">
      <c r="A2489" s="146"/>
      <c r="D2489" s="496"/>
    </row>
    <row r="2490" spans="1:4" x14ac:dyDescent="0.2">
      <c r="A2490" s="146"/>
      <c r="D2490" s="496"/>
    </row>
    <row r="2491" spans="1:4" x14ac:dyDescent="0.2">
      <c r="A2491" s="146"/>
      <c r="D2491" s="496"/>
    </row>
    <row r="2492" spans="1:4" x14ac:dyDescent="0.2">
      <c r="A2492" s="146"/>
      <c r="D2492" s="496"/>
    </row>
    <row r="2493" spans="1:4" x14ac:dyDescent="0.2">
      <c r="A2493" s="146"/>
      <c r="D2493" s="496"/>
    </row>
    <row r="2494" spans="1:4" x14ac:dyDescent="0.2">
      <c r="A2494" s="146"/>
      <c r="D2494" s="496"/>
    </row>
    <row r="2495" spans="1:4" x14ac:dyDescent="0.2">
      <c r="A2495" s="146"/>
      <c r="D2495" s="496"/>
    </row>
    <row r="2496" spans="1:4" x14ac:dyDescent="0.2">
      <c r="A2496" s="146"/>
      <c r="D2496" s="496"/>
    </row>
    <row r="2497" spans="1:4" x14ac:dyDescent="0.2">
      <c r="A2497" s="146"/>
      <c r="D2497" s="496"/>
    </row>
    <row r="2498" spans="1:4" x14ac:dyDescent="0.2">
      <c r="A2498" s="146"/>
      <c r="D2498" s="496"/>
    </row>
    <row r="2499" spans="1:4" x14ac:dyDescent="0.2">
      <c r="A2499" s="146"/>
      <c r="D2499" s="496"/>
    </row>
    <row r="2500" spans="1:4" x14ac:dyDescent="0.2">
      <c r="A2500" s="146"/>
      <c r="D2500" s="496"/>
    </row>
    <row r="2501" spans="1:4" x14ac:dyDescent="0.2">
      <c r="A2501" s="146"/>
      <c r="D2501" s="496"/>
    </row>
    <row r="2502" spans="1:4" x14ac:dyDescent="0.2">
      <c r="A2502" s="146"/>
      <c r="D2502" s="496"/>
    </row>
    <row r="2503" spans="1:4" x14ac:dyDescent="0.2">
      <c r="A2503" s="146"/>
      <c r="D2503" s="496"/>
    </row>
    <row r="2504" spans="1:4" x14ac:dyDescent="0.2">
      <c r="A2504" s="146"/>
      <c r="D2504" s="496"/>
    </row>
    <row r="2505" spans="1:4" x14ac:dyDescent="0.2">
      <c r="A2505" s="146"/>
      <c r="D2505" s="496"/>
    </row>
    <row r="2506" spans="1:4" x14ac:dyDescent="0.2">
      <c r="A2506" s="146"/>
      <c r="D2506" s="496"/>
    </row>
    <row r="2507" spans="1:4" x14ac:dyDescent="0.2">
      <c r="A2507" s="146"/>
      <c r="D2507" s="496"/>
    </row>
    <row r="2508" spans="1:4" x14ac:dyDescent="0.2">
      <c r="A2508" s="146"/>
      <c r="D2508" s="496"/>
    </row>
    <row r="2509" spans="1:4" x14ac:dyDescent="0.2">
      <c r="A2509" s="146"/>
      <c r="D2509" s="496"/>
    </row>
    <row r="2510" spans="1:4" x14ac:dyDescent="0.2">
      <c r="A2510" s="146"/>
      <c r="D2510" s="496"/>
    </row>
    <row r="2511" spans="1:4" x14ac:dyDescent="0.2">
      <c r="A2511" s="146"/>
      <c r="D2511" s="496"/>
    </row>
    <row r="2512" spans="1:4" x14ac:dyDescent="0.2">
      <c r="A2512" s="146"/>
      <c r="D2512" s="496"/>
    </row>
    <row r="2513" spans="1:4" x14ac:dyDescent="0.2">
      <c r="A2513" s="146"/>
      <c r="D2513" s="496"/>
    </row>
    <row r="2514" spans="1:4" x14ac:dyDescent="0.2">
      <c r="A2514" s="146"/>
      <c r="D2514" s="496"/>
    </row>
    <row r="2515" spans="1:4" x14ac:dyDescent="0.2">
      <c r="A2515" s="146"/>
      <c r="D2515" s="496"/>
    </row>
    <row r="2516" spans="1:4" x14ac:dyDescent="0.2">
      <c r="A2516" s="146"/>
      <c r="D2516" s="496"/>
    </row>
    <row r="2517" spans="1:4" x14ac:dyDescent="0.2">
      <c r="A2517" s="146"/>
      <c r="D2517" s="496"/>
    </row>
    <row r="2518" spans="1:4" x14ac:dyDescent="0.2">
      <c r="A2518" s="146"/>
      <c r="D2518" s="496"/>
    </row>
    <row r="2519" spans="1:4" x14ac:dyDescent="0.2">
      <c r="A2519" s="146"/>
      <c r="D2519" s="496"/>
    </row>
    <row r="2520" spans="1:4" x14ac:dyDescent="0.2">
      <c r="A2520" s="146"/>
      <c r="D2520" s="496"/>
    </row>
    <row r="2521" spans="1:4" x14ac:dyDescent="0.2">
      <c r="A2521" s="146"/>
      <c r="D2521" s="496"/>
    </row>
    <row r="2522" spans="1:4" x14ac:dyDescent="0.2">
      <c r="A2522" s="146"/>
      <c r="D2522" s="496"/>
    </row>
    <row r="2523" spans="1:4" x14ac:dyDescent="0.2">
      <c r="A2523" s="146"/>
      <c r="D2523" s="496"/>
    </row>
    <row r="2524" spans="1:4" x14ac:dyDescent="0.2">
      <c r="A2524" s="146"/>
      <c r="D2524" s="496"/>
    </row>
    <row r="2525" spans="1:4" x14ac:dyDescent="0.2">
      <c r="A2525" s="146"/>
      <c r="D2525" s="496"/>
    </row>
    <row r="2526" spans="1:4" x14ac:dyDescent="0.2">
      <c r="A2526" s="146"/>
      <c r="D2526" s="496"/>
    </row>
    <row r="2527" spans="1:4" x14ac:dyDescent="0.2">
      <c r="A2527" s="146"/>
      <c r="D2527" s="496"/>
    </row>
    <row r="2528" spans="1:4" x14ac:dyDescent="0.2">
      <c r="A2528" s="146"/>
      <c r="D2528" s="496"/>
    </row>
    <row r="2529" spans="1:4" x14ac:dyDescent="0.2">
      <c r="A2529" s="146"/>
      <c r="D2529" s="496"/>
    </row>
    <row r="2530" spans="1:4" x14ac:dyDescent="0.2">
      <c r="A2530" s="146"/>
      <c r="D2530" s="496"/>
    </row>
    <row r="2531" spans="1:4" x14ac:dyDescent="0.2">
      <c r="A2531" s="146"/>
      <c r="D2531" s="496"/>
    </row>
    <row r="2532" spans="1:4" x14ac:dyDescent="0.2">
      <c r="A2532" s="146"/>
      <c r="D2532" s="496"/>
    </row>
    <row r="2533" spans="1:4" x14ac:dyDescent="0.2">
      <c r="A2533" s="146"/>
      <c r="D2533" s="496"/>
    </row>
    <row r="2534" spans="1:4" x14ac:dyDescent="0.2">
      <c r="A2534" s="146"/>
      <c r="D2534" s="496"/>
    </row>
    <row r="2535" spans="1:4" x14ac:dyDescent="0.2">
      <c r="A2535" s="146"/>
      <c r="D2535" s="496"/>
    </row>
    <row r="2536" spans="1:4" x14ac:dyDescent="0.2">
      <c r="A2536" s="146"/>
      <c r="D2536" s="496"/>
    </row>
    <row r="2537" spans="1:4" x14ac:dyDescent="0.2">
      <c r="A2537" s="146"/>
      <c r="D2537" s="496"/>
    </row>
    <row r="2538" spans="1:4" x14ac:dyDescent="0.2">
      <c r="A2538" s="146"/>
      <c r="D2538" s="496"/>
    </row>
    <row r="2539" spans="1:4" x14ac:dyDescent="0.2">
      <c r="A2539" s="146"/>
      <c r="D2539" s="496"/>
    </row>
    <row r="2540" spans="1:4" x14ac:dyDescent="0.2">
      <c r="A2540" s="146"/>
      <c r="D2540" s="496"/>
    </row>
    <row r="2541" spans="1:4" x14ac:dyDescent="0.2">
      <c r="A2541" s="146"/>
      <c r="D2541" s="496"/>
    </row>
    <row r="2542" spans="1:4" x14ac:dyDescent="0.2">
      <c r="A2542" s="146"/>
      <c r="D2542" s="496"/>
    </row>
    <row r="2543" spans="1:4" x14ac:dyDescent="0.2">
      <c r="A2543" s="146"/>
      <c r="D2543" s="496"/>
    </row>
    <row r="2544" spans="1:4" x14ac:dyDescent="0.2">
      <c r="A2544" s="146"/>
      <c r="D2544" s="496"/>
    </row>
    <row r="2545" spans="1:4" x14ac:dyDescent="0.2">
      <c r="A2545" s="146"/>
      <c r="D2545" s="496"/>
    </row>
    <row r="2546" spans="1:4" x14ac:dyDescent="0.2">
      <c r="A2546" s="146"/>
      <c r="D2546" s="496"/>
    </row>
    <row r="2547" spans="1:4" x14ac:dyDescent="0.2">
      <c r="A2547" s="146"/>
      <c r="D2547" s="496"/>
    </row>
    <row r="2548" spans="1:4" x14ac:dyDescent="0.2">
      <c r="A2548" s="146"/>
      <c r="D2548" s="496"/>
    </row>
    <row r="2549" spans="1:4" x14ac:dyDescent="0.2">
      <c r="A2549" s="146"/>
      <c r="D2549" s="496"/>
    </row>
    <row r="2550" spans="1:4" x14ac:dyDescent="0.2">
      <c r="A2550" s="146"/>
      <c r="D2550" s="496"/>
    </row>
    <row r="2551" spans="1:4" x14ac:dyDescent="0.2">
      <c r="A2551" s="146"/>
      <c r="D2551" s="496"/>
    </row>
    <row r="2552" spans="1:4" x14ac:dyDescent="0.2">
      <c r="A2552" s="146"/>
      <c r="D2552" s="496"/>
    </row>
    <row r="2553" spans="1:4" x14ac:dyDescent="0.2">
      <c r="A2553" s="146"/>
      <c r="D2553" s="496"/>
    </row>
    <row r="2554" spans="1:4" x14ac:dyDescent="0.2">
      <c r="A2554" s="146"/>
      <c r="D2554" s="496"/>
    </row>
    <row r="2555" spans="1:4" x14ac:dyDescent="0.2">
      <c r="A2555" s="146"/>
      <c r="D2555" s="496"/>
    </row>
    <row r="2556" spans="1:4" x14ac:dyDescent="0.2">
      <c r="A2556" s="146"/>
      <c r="D2556" s="496"/>
    </row>
    <row r="2557" spans="1:4" x14ac:dyDescent="0.2">
      <c r="A2557" s="146"/>
      <c r="D2557" s="496"/>
    </row>
    <row r="2558" spans="1:4" x14ac:dyDescent="0.2">
      <c r="A2558" s="146"/>
      <c r="D2558" s="496"/>
    </row>
    <row r="2559" spans="1:4" x14ac:dyDescent="0.2">
      <c r="A2559" s="146"/>
      <c r="D2559" s="496"/>
    </row>
    <row r="2560" spans="1:4" x14ac:dyDescent="0.2">
      <c r="A2560" s="146"/>
      <c r="D2560" s="496"/>
    </row>
    <row r="2561" spans="1:4" x14ac:dyDescent="0.2">
      <c r="A2561" s="146"/>
      <c r="D2561" s="496"/>
    </row>
    <row r="2562" spans="1:4" x14ac:dyDescent="0.2">
      <c r="A2562" s="146"/>
      <c r="D2562" s="496"/>
    </row>
    <row r="2563" spans="1:4" x14ac:dyDescent="0.2">
      <c r="A2563" s="146"/>
      <c r="D2563" s="496"/>
    </row>
    <row r="2564" spans="1:4" x14ac:dyDescent="0.2">
      <c r="A2564" s="146"/>
      <c r="D2564" s="496"/>
    </row>
    <row r="2565" spans="1:4" x14ac:dyDescent="0.2">
      <c r="A2565" s="146"/>
      <c r="D2565" s="496"/>
    </row>
    <row r="2566" spans="1:4" x14ac:dyDescent="0.2">
      <c r="A2566" s="146"/>
      <c r="D2566" s="496"/>
    </row>
    <row r="2567" spans="1:4" x14ac:dyDescent="0.2">
      <c r="A2567" s="146"/>
      <c r="D2567" s="496"/>
    </row>
    <row r="2568" spans="1:4" x14ac:dyDescent="0.2">
      <c r="A2568" s="146"/>
      <c r="D2568" s="496"/>
    </row>
    <row r="2569" spans="1:4" x14ac:dyDescent="0.2">
      <c r="A2569" s="146"/>
      <c r="D2569" s="496"/>
    </row>
    <row r="2570" spans="1:4" x14ac:dyDescent="0.2">
      <c r="A2570" s="146"/>
      <c r="D2570" s="496"/>
    </row>
    <row r="2571" spans="1:4" x14ac:dyDescent="0.2">
      <c r="A2571" s="146"/>
      <c r="D2571" s="496"/>
    </row>
    <row r="2572" spans="1:4" x14ac:dyDescent="0.2">
      <c r="A2572" s="146"/>
      <c r="D2572" s="496"/>
    </row>
    <row r="2573" spans="1:4" x14ac:dyDescent="0.2">
      <c r="A2573" s="146"/>
      <c r="D2573" s="496"/>
    </row>
    <row r="2574" spans="1:4" x14ac:dyDescent="0.2">
      <c r="A2574" s="146"/>
      <c r="D2574" s="496"/>
    </row>
    <row r="2575" spans="1:4" x14ac:dyDescent="0.2">
      <c r="A2575" s="146"/>
      <c r="D2575" s="496"/>
    </row>
    <row r="2576" spans="1:4" x14ac:dyDescent="0.2">
      <c r="A2576" s="146"/>
      <c r="D2576" s="496"/>
    </row>
    <row r="2577" spans="1:4" x14ac:dyDescent="0.2">
      <c r="A2577" s="146"/>
      <c r="D2577" s="496"/>
    </row>
    <row r="2578" spans="1:4" x14ac:dyDescent="0.2">
      <c r="A2578" s="146"/>
      <c r="D2578" s="496"/>
    </row>
    <row r="2579" spans="1:4" x14ac:dyDescent="0.2">
      <c r="A2579" s="146"/>
      <c r="D2579" s="496"/>
    </row>
    <row r="2580" spans="1:4" x14ac:dyDescent="0.2">
      <c r="A2580" s="146"/>
      <c r="D2580" s="496"/>
    </row>
    <row r="2581" spans="1:4" x14ac:dyDescent="0.2">
      <c r="A2581" s="146"/>
      <c r="D2581" s="496"/>
    </row>
    <row r="2582" spans="1:4" x14ac:dyDescent="0.2">
      <c r="A2582" s="146"/>
      <c r="D2582" s="496"/>
    </row>
    <row r="2583" spans="1:4" x14ac:dyDescent="0.2">
      <c r="A2583" s="146"/>
      <c r="D2583" s="496"/>
    </row>
    <row r="2584" spans="1:4" x14ac:dyDescent="0.2">
      <c r="A2584" s="146"/>
      <c r="D2584" s="496"/>
    </row>
    <row r="2585" spans="1:4" x14ac:dyDescent="0.2">
      <c r="A2585" s="146"/>
      <c r="D2585" s="496"/>
    </row>
    <row r="2586" spans="1:4" x14ac:dyDescent="0.2">
      <c r="A2586" s="146"/>
      <c r="D2586" s="496"/>
    </row>
    <row r="2587" spans="1:4" x14ac:dyDescent="0.2">
      <c r="A2587" s="146"/>
      <c r="D2587" s="496"/>
    </row>
    <row r="2588" spans="1:4" x14ac:dyDescent="0.2">
      <c r="A2588" s="146"/>
      <c r="D2588" s="496"/>
    </row>
    <row r="2589" spans="1:4" x14ac:dyDescent="0.2">
      <c r="A2589" s="146"/>
      <c r="D2589" s="496"/>
    </row>
    <row r="2590" spans="1:4" x14ac:dyDescent="0.2">
      <c r="A2590" s="146"/>
      <c r="D2590" s="496"/>
    </row>
    <row r="2591" spans="1:4" x14ac:dyDescent="0.2">
      <c r="A2591" s="146"/>
      <c r="D2591" s="496"/>
    </row>
    <row r="2592" spans="1:4" x14ac:dyDescent="0.2">
      <c r="A2592" s="146"/>
      <c r="D2592" s="496"/>
    </row>
    <row r="2593" spans="1:4" x14ac:dyDescent="0.2">
      <c r="A2593" s="146"/>
      <c r="D2593" s="496"/>
    </row>
    <row r="2594" spans="1:4" x14ac:dyDescent="0.2">
      <c r="A2594" s="146"/>
      <c r="D2594" s="496"/>
    </row>
    <row r="2595" spans="1:4" x14ac:dyDescent="0.2">
      <c r="A2595" s="146"/>
      <c r="D2595" s="496"/>
    </row>
    <row r="2596" spans="1:4" x14ac:dyDescent="0.2">
      <c r="A2596" s="146"/>
      <c r="D2596" s="496"/>
    </row>
    <row r="2597" spans="1:4" x14ac:dyDescent="0.2">
      <c r="A2597" s="146"/>
      <c r="D2597" s="496"/>
    </row>
    <row r="2598" spans="1:4" x14ac:dyDescent="0.2">
      <c r="A2598" s="146"/>
      <c r="D2598" s="496"/>
    </row>
    <row r="2599" spans="1:4" x14ac:dyDescent="0.2">
      <c r="A2599" s="146"/>
      <c r="D2599" s="496"/>
    </row>
    <row r="2600" spans="1:4" x14ac:dyDescent="0.2">
      <c r="A2600" s="146"/>
      <c r="D2600" s="496"/>
    </row>
    <row r="2601" spans="1:4" x14ac:dyDescent="0.2">
      <c r="A2601" s="146"/>
      <c r="D2601" s="496"/>
    </row>
    <row r="2602" spans="1:4" x14ac:dyDescent="0.2">
      <c r="A2602" s="146"/>
      <c r="D2602" s="496"/>
    </row>
    <row r="2603" spans="1:4" x14ac:dyDescent="0.2">
      <c r="A2603" s="146"/>
      <c r="D2603" s="496"/>
    </row>
    <row r="2604" spans="1:4" x14ac:dyDescent="0.2">
      <c r="A2604" s="146"/>
      <c r="D2604" s="496"/>
    </row>
    <row r="2605" spans="1:4" x14ac:dyDescent="0.2">
      <c r="A2605" s="146"/>
      <c r="D2605" s="496"/>
    </row>
    <row r="2606" spans="1:4" x14ac:dyDescent="0.2">
      <c r="A2606" s="146"/>
      <c r="D2606" s="496"/>
    </row>
    <row r="2607" spans="1:4" x14ac:dyDescent="0.2">
      <c r="A2607" s="146"/>
      <c r="D2607" s="496"/>
    </row>
    <row r="2608" spans="1:4" x14ac:dyDescent="0.2">
      <c r="A2608" s="146"/>
      <c r="D2608" s="496"/>
    </row>
    <row r="2609" spans="1:4" x14ac:dyDescent="0.2">
      <c r="A2609" s="146"/>
      <c r="D2609" s="496"/>
    </row>
    <row r="2610" spans="1:4" x14ac:dyDescent="0.2">
      <c r="A2610" s="146"/>
      <c r="D2610" s="496"/>
    </row>
    <row r="2611" spans="1:4" x14ac:dyDescent="0.2">
      <c r="A2611" s="146"/>
      <c r="D2611" s="496"/>
    </row>
    <row r="2612" spans="1:4" x14ac:dyDescent="0.2">
      <c r="A2612" s="146"/>
      <c r="D2612" s="496"/>
    </row>
    <row r="2613" spans="1:4" x14ac:dyDescent="0.2">
      <c r="A2613" s="146"/>
      <c r="D2613" s="496"/>
    </row>
    <row r="2614" spans="1:4" x14ac:dyDescent="0.2">
      <c r="A2614" s="146"/>
      <c r="D2614" s="496"/>
    </row>
    <row r="2615" spans="1:4" x14ac:dyDescent="0.2">
      <c r="A2615" s="146"/>
      <c r="D2615" s="496"/>
    </row>
    <row r="2616" spans="1:4" x14ac:dyDescent="0.2">
      <c r="A2616" s="146"/>
      <c r="D2616" s="496"/>
    </row>
    <row r="2617" spans="1:4" x14ac:dyDescent="0.2">
      <c r="A2617" s="146"/>
      <c r="D2617" s="496"/>
    </row>
    <row r="2618" spans="1:4" x14ac:dyDescent="0.2">
      <c r="A2618" s="146"/>
      <c r="D2618" s="496"/>
    </row>
    <row r="2619" spans="1:4" x14ac:dyDescent="0.2">
      <c r="A2619" s="146"/>
      <c r="D2619" s="496"/>
    </row>
    <row r="2620" spans="1:4" x14ac:dyDescent="0.2">
      <c r="A2620" s="146"/>
      <c r="D2620" s="496"/>
    </row>
    <row r="2621" spans="1:4" x14ac:dyDescent="0.2">
      <c r="A2621" s="146"/>
      <c r="D2621" s="496"/>
    </row>
    <row r="2622" spans="1:4" x14ac:dyDescent="0.2">
      <c r="A2622" s="146"/>
      <c r="D2622" s="496"/>
    </row>
    <row r="2623" spans="1:4" x14ac:dyDescent="0.2">
      <c r="A2623" s="146"/>
      <c r="D2623" s="496"/>
    </row>
    <row r="2624" spans="1:4" x14ac:dyDescent="0.2">
      <c r="A2624" s="146"/>
      <c r="D2624" s="496"/>
    </row>
    <row r="2625" spans="1:4" x14ac:dyDescent="0.2">
      <c r="A2625" s="146"/>
      <c r="D2625" s="496"/>
    </row>
    <row r="2626" spans="1:4" x14ac:dyDescent="0.2">
      <c r="A2626" s="146"/>
      <c r="D2626" s="496"/>
    </row>
    <row r="2627" spans="1:4" x14ac:dyDescent="0.2">
      <c r="A2627" s="146"/>
      <c r="D2627" s="496"/>
    </row>
    <row r="2628" spans="1:4" x14ac:dyDescent="0.2">
      <c r="A2628" s="146"/>
      <c r="D2628" s="496"/>
    </row>
    <row r="2629" spans="1:4" x14ac:dyDescent="0.2">
      <c r="A2629" s="146"/>
      <c r="D2629" s="496"/>
    </row>
    <row r="2630" spans="1:4" x14ac:dyDescent="0.2">
      <c r="A2630" s="146"/>
      <c r="D2630" s="496"/>
    </row>
    <row r="2631" spans="1:4" x14ac:dyDescent="0.2">
      <c r="A2631" s="146"/>
      <c r="D2631" s="496"/>
    </row>
    <row r="2632" spans="1:4" x14ac:dyDescent="0.2">
      <c r="A2632" s="146"/>
      <c r="D2632" s="496"/>
    </row>
    <row r="2633" spans="1:4" x14ac:dyDescent="0.2">
      <c r="A2633" s="146"/>
      <c r="D2633" s="496"/>
    </row>
    <row r="2634" spans="1:4" x14ac:dyDescent="0.2">
      <c r="A2634" s="146"/>
      <c r="D2634" s="496"/>
    </row>
    <row r="2635" spans="1:4" x14ac:dyDescent="0.2">
      <c r="A2635" s="146"/>
      <c r="D2635" s="496"/>
    </row>
    <row r="2636" spans="1:4" x14ac:dyDescent="0.2">
      <c r="A2636" s="146"/>
      <c r="D2636" s="496"/>
    </row>
    <row r="2637" spans="1:4" x14ac:dyDescent="0.2">
      <c r="A2637" s="146"/>
      <c r="D2637" s="496"/>
    </row>
    <row r="2638" spans="1:4" x14ac:dyDescent="0.2">
      <c r="A2638" s="146"/>
      <c r="D2638" s="496"/>
    </row>
    <row r="2639" spans="1:4" x14ac:dyDescent="0.2">
      <c r="A2639" s="146"/>
      <c r="D2639" s="496"/>
    </row>
    <row r="2640" spans="1:4" x14ac:dyDescent="0.2">
      <c r="A2640" s="146"/>
      <c r="D2640" s="496"/>
    </row>
    <row r="2641" spans="1:4" x14ac:dyDescent="0.2">
      <c r="A2641" s="146"/>
      <c r="D2641" s="496"/>
    </row>
    <row r="2642" spans="1:4" x14ac:dyDescent="0.2">
      <c r="A2642" s="146"/>
      <c r="D2642" s="496"/>
    </row>
    <row r="2643" spans="1:4" x14ac:dyDescent="0.2">
      <c r="A2643" s="146"/>
      <c r="D2643" s="496"/>
    </row>
    <row r="2644" spans="1:4" x14ac:dyDescent="0.2">
      <c r="A2644" s="146"/>
      <c r="D2644" s="496"/>
    </row>
    <row r="2645" spans="1:4" x14ac:dyDescent="0.2">
      <c r="A2645" s="146"/>
      <c r="D2645" s="496"/>
    </row>
    <row r="2646" spans="1:4" x14ac:dyDescent="0.2">
      <c r="A2646" s="146"/>
      <c r="D2646" s="496"/>
    </row>
    <row r="2647" spans="1:4" x14ac:dyDescent="0.2">
      <c r="A2647" s="146"/>
      <c r="D2647" s="496"/>
    </row>
    <row r="2648" spans="1:4" x14ac:dyDescent="0.2">
      <c r="A2648" s="146"/>
      <c r="D2648" s="496"/>
    </row>
    <row r="2649" spans="1:4" x14ac:dyDescent="0.2">
      <c r="A2649" s="146"/>
      <c r="D2649" s="496"/>
    </row>
    <row r="2650" spans="1:4" x14ac:dyDescent="0.2">
      <c r="A2650" s="146"/>
      <c r="D2650" s="496"/>
    </row>
    <row r="2651" spans="1:4" x14ac:dyDescent="0.2">
      <c r="A2651" s="146"/>
      <c r="D2651" s="496"/>
    </row>
    <row r="2652" spans="1:4" x14ac:dyDescent="0.2">
      <c r="A2652" s="146"/>
      <c r="D2652" s="496"/>
    </row>
    <row r="2653" spans="1:4" x14ac:dyDescent="0.2">
      <c r="A2653" s="146"/>
      <c r="D2653" s="496"/>
    </row>
    <row r="2654" spans="1:4" x14ac:dyDescent="0.2">
      <c r="A2654" s="146"/>
      <c r="D2654" s="496"/>
    </row>
    <row r="2655" spans="1:4" x14ac:dyDescent="0.2">
      <c r="A2655" s="146"/>
      <c r="D2655" s="496"/>
    </row>
    <row r="2656" spans="1:4" x14ac:dyDescent="0.2">
      <c r="A2656" s="146"/>
      <c r="D2656" s="496"/>
    </row>
    <row r="2657" spans="1:4" x14ac:dyDescent="0.2">
      <c r="A2657" s="146"/>
      <c r="D2657" s="496"/>
    </row>
    <row r="2658" spans="1:4" x14ac:dyDescent="0.2">
      <c r="A2658" s="146"/>
      <c r="D2658" s="496"/>
    </row>
    <row r="2659" spans="1:4" x14ac:dyDescent="0.2">
      <c r="A2659" s="146"/>
      <c r="D2659" s="496"/>
    </row>
    <row r="2660" spans="1:4" x14ac:dyDescent="0.2">
      <c r="A2660" s="146"/>
      <c r="D2660" s="496"/>
    </row>
    <row r="2661" spans="1:4" x14ac:dyDescent="0.2">
      <c r="A2661" s="146"/>
      <c r="D2661" s="496"/>
    </row>
    <row r="2662" spans="1:4" x14ac:dyDescent="0.2">
      <c r="A2662" s="146"/>
      <c r="D2662" s="496"/>
    </row>
    <row r="2663" spans="1:4" x14ac:dyDescent="0.2">
      <c r="A2663" s="146"/>
      <c r="D2663" s="496"/>
    </row>
    <row r="2664" spans="1:4" x14ac:dyDescent="0.2">
      <c r="A2664" s="146"/>
      <c r="D2664" s="496"/>
    </row>
    <row r="2665" spans="1:4" x14ac:dyDescent="0.2">
      <c r="A2665" s="146"/>
      <c r="D2665" s="496"/>
    </row>
    <row r="2666" spans="1:4" x14ac:dyDescent="0.2">
      <c r="A2666" s="146"/>
      <c r="D2666" s="496"/>
    </row>
    <row r="2667" spans="1:4" x14ac:dyDescent="0.2">
      <c r="A2667" s="146"/>
      <c r="D2667" s="496"/>
    </row>
    <row r="2668" spans="1:4" x14ac:dyDescent="0.2">
      <c r="A2668" s="146"/>
      <c r="D2668" s="496"/>
    </row>
    <row r="2669" spans="1:4" x14ac:dyDescent="0.2">
      <c r="A2669" s="146"/>
      <c r="D2669" s="496"/>
    </row>
    <row r="2670" spans="1:4" x14ac:dyDescent="0.2">
      <c r="A2670" s="146"/>
      <c r="D2670" s="496"/>
    </row>
    <row r="2671" spans="1:4" x14ac:dyDescent="0.2">
      <c r="A2671" s="146"/>
      <c r="D2671" s="496"/>
    </row>
    <row r="2672" spans="1:4" x14ac:dyDescent="0.2">
      <c r="A2672" s="146"/>
      <c r="D2672" s="496"/>
    </row>
    <row r="2673" spans="1:4" x14ac:dyDescent="0.2">
      <c r="A2673" s="146"/>
      <c r="D2673" s="496"/>
    </row>
    <row r="2674" spans="1:4" x14ac:dyDescent="0.2">
      <c r="A2674" s="146"/>
      <c r="D2674" s="496"/>
    </row>
    <row r="2675" spans="1:4" x14ac:dyDescent="0.2">
      <c r="A2675" s="146"/>
      <c r="D2675" s="496"/>
    </row>
    <row r="2676" spans="1:4" x14ac:dyDescent="0.2">
      <c r="A2676" s="146"/>
      <c r="D2676" s="496"/>
    </row>
    <row r="2677" spans="1:4" x14ac:dyDescent="0.2">
      <c r="A2677" s="146"/>
      <c r="D2677" s="496"/>
    </row>
    <row r="2678" spans="1:4" x14ac:dyDescent="0.2">
      <c r="A2678" s="146"/>
      <c r="D2678" s="496"/>
    </row>
    <row r="2679" spans="1:4" x14ac:dyDescent="0.2">
      <c r="A2679" s="146"/>
      <c r="D2679" s="496"/>
    </row>
    <row r="2680" spans="1:4" x14ac:dyDescent="0.2">
      <c r="A2680" s="146"/>
      <c r="D2680" s="496"/>
    </row>
    <row r="2681" spans="1:4" x14ac:dyDescent="0.2">
      <c r="A2681" s="146"/>
      <c r="D2681" s="496"/>
    </row>
    <row r="2682" spans="1:4" x14ac:dyDescent="0.2">
      <c r="A2682" s="146"/>
      <c r="D2682" s="496"/>
    </row>
    <row r="2683" spans="1:4" x14ac:dyDescent="0.2">
      <c r="A2683" s="146"/>
      <c r="D2683" s="496"/>
    </row>
    <row r="2684" spans="1:4" x14ac:dyDescent="0.2">
      <c r="A2684" s="146"/>
      <c r="D2684" s="496"/>
    </row>
    <row r="2685" spans="1:4" x14ac:dyDescent="0.2">
      <c r="A2685" s="146"/>
      <c r="D2685" s="496"/>
    </row>
    <row r="2686" spans="1:4" x14ac:dyDescent="0.2">
      <c r="A2686" s="146"/>
      <c r="D2686" s="496"/>
    </row>
    <row r="2687" spans="1:4" x14ac:dyDescent="0.2">
      <c r="A2687" s="146"/>
      <c r="D2687" s="496"/>
    </row>
    <row r="2688" spans="1:4" x14ac:dyDescent="0.2">
      <c r="A2688" s="146"/>
      <c r="D2688" s="496"/>
    </row>
    <row r="2689" spans="1:4" x14ac:dyDescent="0.2">
      <c r="A2689" s="146"/>
      <c r="D2689" s="496"/>
    </row>
    <row r="2690" spans="1:4" x14ac:dyDescent="0.2">
      <c r="A2690" s="146"/>
      <c r="D2690" s="496"/>
    </row>
    <row r="2691" spans="1:4" x14ac:dyDescent="0.2">
      <c r="A2691" s="146"/>
      <c r="D2691" s="496"/>
    </row>
    <row r="2692" spans="1:4" x14ac:dyDescent="0.2">
      <c r="A2692" s="146"/>
      <c r="D2692" s="496"/>
    </row>
    <row r="2693" spans="1:4" x14ac:dyDescent="0.2">
      <c r="A2693" s="146"/>
      <c r="D2693" s="496"/>
    </row>
    <row r="2694" spans="1:4" x14ac:dyDescent="0.2">
      <c r="A2694" s="146"/>
      <c r="D2694" s="496"/>
    </row>
    <row r="2695" spans="1:4" x14ac:dyDescent="0.2">
      <c r="A2695" s="146"/>
      <c r="D2695" s="496"/>
    </row>
    <row r="2696" spans="1:4" x14ac:dyDescent="0.2">
      <c r="A2696" s="146"/>
      <c r="D2696" s="496"/>
    </row>
    <row r="2697" spans="1:4" x14ac:dyDescent="0.2">
      <c r="A2697" s="146"/>
      <c r="D2697" s="496"/>
    </row>
    <row r="2698" spans="1:4" x14ac:dyDescent="0.2">
      <c r="A2698" s="146"/>
      <c r="D2698" s="496"/>
    </row>
    <row r="2699" spans="1:4" x14ac:dyDescent="0.2">
      <c r="A2699" s="146"/>
      <c r="D2699" s="496"/>
    </row>
    <row r="2700" spans="1:4" x14ac:dyDescent="0.2">
      <c r="A2700" s="146"/>
      <c r="D2700" s="496"/>
    </row>
    <row r="2701" spans="1:4" x14ac:dyDescent="0.2">
      <c r="A2701" s="146"/>
      <c r="D2701" s="496"/>
    </row>
    <row r="2702" spans="1:4" x14ac:dyDescent="0.2">
      <c r="A2702" s="146"/>
      <c r="D2702" s="496"/>
    </row>
    <row r="2703" spans="1:4" x14ac:dyDescent="0.2">
      <c r="A2703" s="146"/>
      <c r="D2703" s="496"/>
    </row>
    <row r="2704" spans="1:4" x14ac:dyDescent="0.2">
      <c r="A2704" s="146"/>
      <c r="D2704" s="496"/>
    </row>
    <row r="2705" spans="1:4" x14ac:dyDescent="0.2">
      <c r="A2705" s="146"/>
      <c r="D2705" s="496"/>
    </row>
    <row r="2706" spans="1:4" x14ac:dyDescent="0.2">
      <c r="A2706" s="146"/>
      <c r="D2706" s="496"/>
    </row>
    <row r="2707" spans="1:4" x14ac:dyDescent="0.2">
      <c r="A2707" s="146"/>
      <c r="D2707" s="496"/>
    </row>
    <row r="2708" spans="1:4" x14ac:dyDescent="0.2">
      <c r="A2708" s="146"/>
      <c r="D2708" s="496"/>
    </row>
    <row r="2709" spans="1:4" x14ac:dyDescent="0.2">
      <c r="A2709" s="146"/>
      <c r="D2709" s="496"/>
    </row>
    <row r="2710" spans="1:4" x14ac:dyDescent="0.2">
      <c r="A2710" s="146"/>
      <c r="D2710" s="496"/>
    </row>
    <row r="2711" spans="1:4" x14ac:dyDescent="0.2">
      <c r="A2711" s="146"/>
      <c r="D2711" s="496"/>
    </row>
    <row r="2712" spans="1:4" x14ac:dyDescent="0.2">
      <c r="A2712" s="146"/>
      <c r="D2712" s="496"/>
    </row>
    <row r="2713" spans="1:4" x14ac:dyDescent="0.2">
      <c r="A2713" s="146"/>
      <c r="D2713" s="496"/>
    </row>
    <row r="2714" spans="1:4" x14ac:dyDescent="0.2">
      <c r="A2714" s="146"/>
      <c r="D2714" s="496"/>
    </row>
    <row r="2715" spans="1:4" x14ac:dyDescent="0.2">
      <c r="A2715" s="146"/>
      <c r="D2715" s="496"/>
    </row>
    <row r="2716" spans="1:4" x14ac:dyDescent="0.2">
      <c r="A2716" s="146"/>
      <c r="D2716" s="496"/>
    </row>
    <row r="2717" spans="1:4" x14ac:dyDescent="0.2">
      <c r="A2717" s="146"/>
      <c r="D2717" s="496"/>
    </row>
    <row r="2718" spans="1:4" x14ac:dyDescent="0.2">
      <c r="A2718" s="146"/>
      <c r="D2718" s="496"/>
    </row>
    <row r="2719" spans="1:4" x14ac:dyDescent="0.2">
      <c r="A2719" s="146"/>
      <c r="D2719" s="496"/>
    </row>
    <row r="2720" spans="1:4" x14ac:dyDescent="0.2">
      <c r="A2720" s="146"/>
      <c r="D2720" s="496"/>
    </row>
    <row r="2721" spans="1:4" x14ac:dyDescent="0.2">
      <c r="A2721" s="146"/>
      <c r="D2721" s="496"/>
    </row>
    <row r="2722" spans="1:4" x14ac:dyDescent="0.2">
      <c r="A2722" s="146"/>
      <c r="D2722" s="496"/>
    </row>
    <row r="2723" spans="1:4" x14ac:dyDescent="0.2">
      <c r="A2723" s="146"/>
      <c r="D2723" s="496"/>
    </row>
    <row r="2724" spans="1:4" x14ac:dyDescent="0.2">
      <c r="A2724" s="146"/>
      <c r="D2724" s="496"/>
    </row>
    <row r="2725" spans="1:4" x14ac:dyDescent="0.2">
      <c r="A2725" s="146"/>
      <c r="D2725" s="496"/>
    </row>
    <row r="2726" spans="1:4" x14ac:dyDescent="0.2">
      <c r="A2726" s="146"/>
      <c r="D2726" s="496"/>
    </row>
    <row r="2727" spans="1:4" x14ac:dyDescent="0.2">
      <c r="A2727" s="146"/>
      <c r="D2727" s="496"/>
    </row>
    <row r="2728" spans="1:4" x14ac:dyDescent="0.2">
      <c r="A2728" s="146"/>
      <c r="D2728" s="496"/>
    </row>
    <row r="2729" spans="1:4" x14ac:dyDescent="0.2">
      <c r="A2729" s="146"/>
      <c r="D2729" s="496"/>
    </row>
    <row r="2730" spans="1:4" x14ac:dyDescent="0.2">
      <c r="A2730" s="146"/>
      <c r="D2730" s="496"/>
    </row>
    <row r="2731" spans="1:4" x14ac:dyDescent="0.2">
      <c r="A2731" s="146"/>
      <c r="D2731" s="496"/>
    </row>
    <row r="2732" spans="1:4" x14ac:dyDescent="0.2">
      <c r="A2732" s="146"/>
      <c r="D2732" s="496"/>
    </row>
    <row r="2733" spans="1:4" x14ac:dyDescent="0.2">
      <c r="A2733" s="146"/>
      <c r="D2733" s="496"/>
    </row>
    <row r="2734" spans="1:4" x14ac:dyDescent="0.2">
      <c r="A2734" s="146"/>
      <c r="D2734" s="496"/>
    </row>
    <row r="2735" spans="1:4" x14ac:dyDescent="0.2">
      <c r="A2735" s="146"/>
      <c r="D2735" s="496"/>
    </row>
    <row r="2736" spans="1:4" x14ac:dyDescent="0.2">
      <c r="A2736" s="146"/>
      <c r="D2736" s="496"/>
    </row>
    <row r="2737" spans="1:4" x14ac:dyDescent="0.2">
      <c r="A2737" s="146"/>
      <c r="D2737" s="496"/>
    </row>
    <row r="2738" spans="1:4" x14ac:dyDescent="0.2">
      <c r="A2738" s="146"/>
      <c r="D2738" s="496"/>
    </row>
    <row r="2739" spans="1:4" x14ac:dyDescent="0.2">
      <c r="A2739" s="146"/>
      <c r="D2739" s="496"/>
    </row>
    <row r="2740" spans="1:4" x14ac:dyDescent="0.2">
      <c r="A2740" s="146"/>
      <c r="D2740" s="496"/>
    </row>
    <row r="2741" spans="1:4" x14ac:dyDescent="0.2">
      <c r="A2741" s="146"/>
      <c r="D2741" s="496"/>
    </row>
    <row r="2742" spans="1:4" x14ac:dyDescent="0.2">
      <c r="A2742" s="146"/>
      <c r="D2742" s="496"/>
    </row>
    <row r="2743" spans="1:4" x14ac:dyDescent="0.2">
      <c r="A2743" s="146"/>
      <c r="D2743" s="496"/>
    </row>
    <row r="2744" spans="1:4" x14ac:dyDescent="0.2">
      <c r="A2744" s="146"/>
      <c r="D2744" s="496"/>
    </row>
    <row r="2745" spans="1:4" x14ac:dyDescent="0.2">
      <c r="A2745" s="146"/>
      <c r="D2745" s="496"/>
    </row>
    <row r="2746" spans="1:4" x14ac:dyDescent="0.2">
      <c r="A2746" s="146"/>
      <c r="D2746" s="496"/>
    </row>
    <row r="2747" spans="1:4" x14ac:dyDescent="0.2">
      <c r="A2747" s="146"/>
      <c r="D2747" s="496"/>
    </row>
    <row r="2748" spans="1:4" x14ac:dyDescent="0.2">
      <c r="A2748" s="146"/>
      <c r="D2748" s="496"/>
    </row>
    <row r="2749" spans="1:4" x14ac:dyDescent="0.2">
      <c r="A2749" s="146"/>
      <c r="D2749" s="496"/>
    </row>
    <row r="2750" spans="1:4" x14ac:dyDescent="0.2">
      <c r="A2750" s="146"/>
      <c r="D2750" s="496"/>
    </row>
    <row r="2751" spans="1:4" x14ac:dyDescent="0.2">
      <c r="A2751" s="146"/>
      <c r="D2751" s="496"/>
    </row>
    <row r="2752" spans="1:4" x14ac:dyDescent="0.2">
      <c r="A2752" s="146"/>
      <c r="D2752" s="496"/>
    </row>
    <row r="2753" spans="1:4" x14ac:dyDescent="0.2">
      <c r="A2753" s="146"/>
      <c r="D2753" s="496"/>
    </row>
    <row r="2754" spans="1:4" x14ac:dyDescent="0.2">
      <c r="A2754" s="146"/>
      <c r="D2754" s="496"/>
    </row>
    <row r="2755" spans="1:4" x14ac:dyDescent="0.2">
      <c r="A2755" s="146"/>
      <c r="D2755" s="496"/>
    </row>
    <row r="2756" spans="1:4" x14ac:dyDescent="0.2">
      <c r="A2756" s="146"/>
      <c r="D2756" s="496"/>
    </row>
    <row r="2757" spans="1:4" x14ac:dyDescent="0.2">
      <c r="A2757" s="146"/>
      <c r="D2757" s="496"/>
    </row>
    <row r="2758" spans="1:4" x14ac:dyDescent="0.2">
      <c r="A2758" s="146"/>
      <c r="D2758" s="496"/>
    </row>
    <row r="2759" spans="1:4" x14ac:dyDescent="0.2">
      <c r="A2759" s="146"/>
      <c r="D2759" s="496"/>
    </row>
    <row r="2760" spans="1:4" x14ac:dyDescent="0.2">
      <c r="A2760" s="146"/>
      <c r="D2760" s="496"/>
    </row>
    <row r="2761" spans="1:4" x14ac:dyDescent="0.2">
      <c r="A2761" s="146"/>
      <c r="D2761" s="496"/>
    </row>
    <row r="2762" spans="1:4" x14ac:dyDescent="0.2">
      <c r="A2762" s="146"/>
      <c r="D2762" s="496"/>
    </row>
    <row r="2763" spans="1:4" x14ac:dyDescent="0.2">
      <c r="A2763" s="146"/>
      <c r="D2763" s="496"/>
    </row>
    <row r="2764" spans="1:4" x14ac:dyDescent="0.2">
      <c r="A2764" s="146"/>
      <c r="D2764" s="496"/>
    </row>
    <row r="2765" spans="1:4" x14ac:dyDescent="0.2">
      <c r="A2765" s="146"/>
      <c r="D2765" s="496"/>
    </row>
    <row r="2766" spans="1:4" x14ac:dyDescent="0.2">
      <c r="A2766" s="146"/>
      <c r="D2766" s="496"/>
    </row>
    <row r="2767" spans="1:4" x14ac:dyDescent="0.2">
      <c r="A2767" s="146"/>
      <c r="D2767" s="496"/>
    </row>
    <row r="2768" spans="1:4" x14ac:dyDescent="0.2">
      <c r="A2768" s="146"/>
      <c r="D2768" s="496"/>
    </row>
    <row r="2769" spans="1:4" x14ac:dyDescent="0.2">
      <c r="A2769" s="146"/>
      <c r="D2769" s="496"/>
    </row>
    <row r="2770" spans="1:4" x14ac:dyDescent="0.2">
      <c r="A2770" s="146"/>
      <c r="D2770" s="496"/>
    </row>
    <row r="2771" spans="1:4" x14ac:dyDescent="0.2">
      <c r="A2771" s="146"/>
      <c r="D2771" s="496"/>
    </row>
    <row r="2772" spans="1:4" x14ac:dyDescent="0.2">
      <c r="A2772" s="146"/>
      <c r="D2772" s="496"/>
    </row>
    <row r="2773" spans="1:4" x14ac:dyDescent="0.2">
      <c r="A2773" s="146"/>
      <c r="D2773" s="496"/>
    </row>
    <row r="2774" spans="1:4" x14ac:dyDescent="0.2">
      <c r="A2774" s="146"/>
      <c r="D2774" s="496"/>
    </row>
    <row r="2775" spans="1:4" x14ac:dyDescent="0.2">
      <c r="A2775" s="146"/>
      <c r="D2775" s="496"/>
    </row>
    <row r="2776" spans="1:4" x14ac:dyDescent="0.2">
      <c r="A2776" s="146"/>
      <c r="D2776" s="496"/>
    </row>
    <row r="2777" spans="1:4" x14ac:dyDescent="0.2">
      <c r="A2777" s="146"/>
      <c r="D2777" s="496"/>
    </row>
    <row r="2778" spans="1:4" x14ac:dyDescent="0.2">
      <c r="A2778" s="146"/>
      <c r="D2778" s="496"/>
    </row>
    <row r="2779" spans="1:4" x14ac:dyDescent="0.2">
      <c r="A2779" s="146"/>
      <c r="D2779" s="496"/>
    </row>
    <row r="2780" spans="1:4" x14ac:dyDescent="0.2">
      <c r="A2780" s="146"/>
      <c r="D2780" s="496"/>
    </row>
    <row r="2781" spans="1:4" x14ac:dyDescent="0.2">
      <c r="A2781" s="146"/>
      <c r="D2781" s="496"/>
    </row>
    <row r="2782" spans="1:4" x14ac:dyDescent="0.2">
      <c r="A2782" s="146"/>
      <c r="D2782" s="496"/>
    </row>
    <row r="2783" spans="1:4" x14ac:dyDescent="0.2">
      <c r="A2783" s="146"/>
      <c r="D2783" s="496"/>
    </row>
    <row r="2784" spans="1:4" x14ac:dyDescent="0.2">
      <c r="A2784" s="146"/>
      <c r="D2784" s="496"/>
    </row>
    <row r="2785" spans="1:4" x14ac:dyDescent="0.2">
      <c r="A2785" s="146"/>
      <c r="D2785" s="496"/>
    </row>
    <row r="2786" spans="1:4" x14ac:dyDescent="0.2">
      <c r="A2786" s="146"/>
      <c r="D2786" s="496"/>
    </row>
    <row r="2787" spans="1:4" x14ac:dyDescent="0.2">
      <c r="A2787" s="146"/>
      <c r="D2787" s="496"/>
    </row>
    <row r="2788" spans="1:4" x14ac:dyDescent="0.2">
      <c r="A2788" s="146"/>
      <c r="D2788" s="496"/>
    </row>
    <row r="2789" spans="1:4" x14ac:dyDescent="0.2">
      <c r="A2789" s="146"/>
      <c r="D2789" s="496"/>
    </row>
    <row r="2790" spans="1:4" x14ac:dyDescent="0.2">
      <c r="A2790" s="146"/>
      <c r="D2790" s="496"/>
    </row>
    <row r="2791" spans="1:4" x14ac:dyDescent="0.2">
      <c r="A2791" s="146"/>
      <c r="D2791" s="496"/>
    </row>
    <row r="2792" spans="1:4" x14ac:dyDescent="0.2">
      <c r="A2792" s="146"/>
      <c r="D2792" s="496"/>
    </row>
    <row r="2793" spans="1:4" x14ac:dyDescent="0.2">
      <c r="A2793" s="146"/>
      <c r="D2793" s="496"/>
    </row>
    <row r="2794" spans="1:4" x14ac:dyDescent="0.2">
      <c r="A2794" s="146"/>
      <c r="D2794" s="496"/>
    </row>
    <row r="2795" spans="1:4" x14ac:dyDescent="0.2">
      <c r="A2795" s="146"/>
      <c r="D2795" s="496"/>
    </row>
    <row r="2796" spans="1:4" x14ac:dyDescent="0.2">
      <c r="A2796" s="146"/>
      <c r="D2796" s="496"/>
    </row>
    <row r="2797" spans="1:4" x14ac:dyDescent="0.2">
      <c r="A2797" s="146"/>
      <c r="D2797" s="496"/>
    </row>
    <row r="2798" spans="1:4" x14ac:dyDescent="0.2">
      <c r="A2798" s="146"/>
      <c r="D2798" s="496"/>
    </row>
    <row r="2799" spans="1:4" x14ac:dyDescent="0.2">
      <c r="A2799" s="146"/>
      <c r="D2799" s="496"/>
    </row>
    <row r="2800" spans="1:4" x14ac:dyDescent="0.2">
      <c r="A2800" s="146"/>
      <c r="D2800" s="496"/>
    </row>
    <row r="2801" spans="1:4" x14ac:dyDescent="0.2">
      <c r="A2801" s="146"/>
      <c r="D2801" s="496"/>
    </row>
    <row r="2802" spans="1:4" x14ac:dyDescent="0.2">
      <c r="A2802" s="146"/>
      <c r="D2802" s="496"/>
    </row>
    <row r="2803" spans="1:4" x14ac:dyDescent="0.2">
      <c r="A2803" s="146"/>
      <c r="D2803" s="496"/>
    </row>
    <row r="2804" spans="1:4" x14ac:dyDescent="0.2">
      <c r="A2804" s="146"/>
      <c r="D2804" s="496"/>
    </row>
    <row r="2805" spans="1:4" x14ac:dyDescent="0.2">
      <c r="A2805" s="146"/>
      <c r="D2805" s="496"/>
    </row>
    <row r="2806" spans="1:4" x14ac:dyDescent="0.2">
      <c r="A2806" s="146"/>
      <c r="D2806" s="496"/>
    </row>
    <row r="2807" spans="1:4" x14ac:dyDescent="0.2">
      <c r="A2807" s="146"/>
      <c r="D2807" s="496"/>
    </row>
    <row r="2808" spans="1:4" x14ac:dyDescent="0.2">
      <c r="A2808" s="146"/>
      <c r="D2808" s="496"/>
    </row>
    <row r="2809" spans="1:4" x14ac:dyDescent="0.2">
      <c r="A2809" s="146"/>
      <c r="D2809" s="496"/>
    </row>
    <row r="2810" spans="1:4" x14ac:dyDescent="0.2">
      <c r="A2810" s="146"/>
      <c r="D2810" s="496"/>
    </row>
    <row r="2811" spans="1:4" x14ac:dyDescent="0.2">
      <c r="A2811" s="146"/>
      <c r="D2811" s="496"/>
    </row>
    <row r="2812" spans="1:4" x14ac:dyDescent="0.2">
      <c r="A2812" s="146"/>
      <c r="D2812" s="496"/>
    </row>
    <row r="2813" spans="1:4" x14ac:dyDescent="0.2">
      <c r="A2813" s="146"/>
      <c r="D2813" s="496"/>
    </row>
    <row r="2814" spans="1:4" x14ac:dyDescent="0.2">
      <c r="A2814" s="146"/>
      <c r="D2814" s="496"/>
    </row>
    <row r="2815" spans="1:4" x14ac:dyDescent="0.2">
      <c r="A2815" s="146"/>
      <c r="D2815" s="496"/>
    </row>
    <row r="2816" spans="1:4" x14ac:dyDescent="0.2">
      <c r="A2816" s="146"/>
      <c r="D2816" s="496"/>
    </row>
    <row r="2817" spans="1:4" x14ac:dyDescent="0.2">
      <c r="A2817" s="146"/>
      <c r="D2817" s="496"/>
    </row>
    <row r="2818" spans="1:4" x14ac:dyDescent="0.2">
      <c r="A2818" s="146"/>
      <c r="D2818" s="496"/>
    </row>
    <row r="2819" spans="1:4" x14ac:dyDescent="0.2">
      <c r="A2819" s="146"/>
      <c r="D2819" s="496"/>
    </row>
    <row r="2820" spans="1:4" x14ac:dyDescent="0.2">
      <c r="A2820" s="146"/>
      <c r="D2820" s="496"/>
    </row>
    <row r="2821" spans="1:4" x14ac:dyDescent="0.2">
      <c r="A2821" s="146"/>
      <c r="D2821" s="496"/>
    </row>
    <row r="2822" spans="1:4" x14ac:dyDescent="0.2">
      <c r="A2822" s="146"/>
      <c r="D2822" s="496"/>
    </row>
    <row r="2823" spans="1:4" x14ac:dyDescent="0.2">
      <c r="A2823" s="146"/>
      <c r="D2823" s="496"/>
    </row>
    <row r="2824" spans="1:4" x14ac:dyDescent="0.2">
      <c r="A2824" s="146"/>
      <c r="D2824" s="496"/>
    </row>
    <row r="2825" spans="1:4" x14ac:dyDescent="0.2">
      <c r="A2825" s="146"/>
      <c r="D2825" s="496"/>
    </row>
    <row r="2826" spans="1:4" x14ac:dyDescent="0.2">
      <c r="A2826" s="146"/>
      <c r="D2826" s="496"/>
    </row>
    <row r="2827" spans="1:4" x14ac:dyDescent="0.2">
      <c r="A2827" s="146"/>
      <c r="D2827" s="496"/>
    </row>
    <row r="2828" spans="1:4" x14ac:dyDescent="0.2">
      <c r="A2828" s="146"/>
      <c r="D2828" s="496"/>
    </row>
    <row r="2829" spans="1:4" x14ac:dyDescent="0.2">
      <c r="A2829" s="146"/>
      <c r="D2829" s="496"/>
    </row>
    <row r="2830" spans="1:4" x14ac:dyDescent="0.2">
      <c r="A2830" s="146"/>
      <c r="D2830" s="496"/>
    </row>
    <row r="2831" spans="1:4" x14ac:dyDescent="0.2">
      <c r="A2831" s="146"/>
      <c r="D2831" s="496"/>
    </row>
    <row r="2832" spans="1:4" x14ac:dyDescent="0.2">
      <c r="A2832" s="146"/>
      <c r="D2832" s="496"/>
    </row>
    <row r="2833" spans="1:4" x14ac:dyDescent="0.2">
      <c r="A2833" s="146"/>
      <c r="D2833" s="496"/>
    </row>
    <row r="2834" spans="1:4" x14ac:dyDescent="0.2">
      <c r="A2834" s="146"/>
      <c r="D2834" s="496"/>
    </row>
    <row r="2835" spans="1:4" x14ac:dyDescent="0.2">
      <c r="A2835" s="146"/>
      <c r="D2835" s="496"/>
    </row>
    <row r="2836" spans="1:4" x14ac:dyDescent="0.2">
      <c r="A2836" s="146"/>
      <c r="D2836" s="496"/>
    </row>
    <row r="2837" spans="1:4" x14ac:dyDescent="0.2">
      <c r="A2837" s="146"/>
      <c r="D2837" s="496"/>
    </row>
    <row r="2838" spans="1:4" x14ac:dyDescent="0.2">
      <c r="A2838" s="146"/>
      <c r="D2838" s="496"/>
    </row>
    <row r="2839" spans="1:4" x14ac:dyDescent="0.2">
      <c r="A2839" s="146"/>
      <c r="D2839" s="496"/>
    </row>
    <row r="2840" spans="1:4" x14ac:dyDescent="0.2">
      <c r="A2840" s="146"/>
      <c r="D2840" s="496"/>
    </row>
    <row r="2841" spans="1:4" x14ac:dyDescent="0.2">
      <c r="A2841" s="146"/>
      <c r="D2841" s="496"/>
    </row>
    <row r="2842" spans="1:4" x14ac:dyDescent="0.2">
      <c r="A2842" s="146"/>
      <c r="D2842" s="496"/>
    </row>
    <row r="2843" spans="1:4" x14ac:dyDescent="0.2">
      <c r="A2843" s="146"/>
      <c r="D2843" s="496"/>
    </row>
    <row r="2844" spans="1:4" x14ac:dyDescent="0.2">
      <c r="A2844" s="146"/>
      <c r="D2844" s="496"/>
    </row>
    <row r="2845" spans="1:4" x14ac:dyDescent="0.2">
      <c r="A2845" s="146"/>
      <c r="D2845" s="496"/>
    </row>
    <row r="2846" spans="1:4" x14ac:dyDescent="0.2">
      <c r="A2846" s="146"/>
      <c r="D2846" s="496"/>
    </row>
    <row r="2847" spans="1:4" x14ac:dyDescent="0.2">
      <c r="A2847" s="146"/>
      <c r="D2847" s="496"/>
    </row>
    <row r="2848" spans="1:4" x14ac:dyDescent="0.2">
      <c r="A2848" s="146"/>
      <c r="D2848" s="496"/>
    </row>
    <row r="2849" spans="1:4" x14ac:dyDescent="0.2">
      <c r="A2849" s="146"/>
      <c r="D2849" s="496"/>
    </row>
    <row r="2850" spans="1:4" x14ac:dyDescent="0.2">
      <c r="A2850" s="146"/>
      <c r="D2850" s="496"/>
    </row>
    <row r="2851" spans="1:4" x14ac:dyDescent="0.2">
      <c r="A2851" s="146"/>
      <c r="D2851" s="496"/>
    </row>
    <row r="2852" spans="1:4" x14ac:dyDescent="0.2">
      <c r="A2852" s="146"/>
      <c r="D2852" s="496"/>
    </row>
    <row r="2853" spans="1:4" x14ac:dyDescent="0.2">
      <c r="A2853" s="146"/>
      <c r="D2853" s="496"/>
    </row>
    <row r="2854" spans="1:4" x14ac:dyDescent="0.2">
      <c r="A2854" s="146"/>
      <c r="D2854" s="496"/>
    </row>
    <row r="2855" spans="1:4" x14ac:dyDescent="0.2">
      <c r="A2855" s="146"/>
      <c r="D2855" s="496"/>
    </row>
    <row r="2856" spans="1:4" x14ac:dyDescent="0.2">
      <c r="A2856" s="146"/>
      <c r="D2856" s="496"/>
    </row>
    <row r="2857" spans="1:4" x14ac:dyDescent="0.2">
      <c r="A2857" s="146"/>
      <c r="D2857" s="496"/>
    </row>
    <row r="2858" spans="1:4" x14ac:dyDescent="0.2">
      <c r="A2858" s="146"/>
      <c r="D2858" s="496"/>
    </row>
    <row r="2859" spans="1:4" x14ac:dyDescent="0.2">
      <c r="A2859" s="146"/>
      <c r="D2859" s="496"/>
    </row>
    <row r="2860" spans="1:4" x14ac:dyDescent="0.2">
      <c r="A2860" s="146"/>
      <c r="D2860" s="496"/>
    </row>
    <row r="2861" spans="1:4" x14ac:dyDescent="0.2">
      <c r="A2861" s="146"/>
      <c r="D2861" s="496"/>
    </row>
    <row r="2862" spans="1:4" x14ac:dyDescent="0.2">
      <c r="A2862" s="146"/>
      <c r="D2862" s="496"/>
    </row>
    <row r="2863" spans="1:4" x14ac:dyDescent="0.2">
      <c r="A2863" s="146"/>
      <c r="D2863" s="496"/>
    </row>
    <row r="2864" spans="1:4" x14ac:dyDescent="0.2">
      <c r="A2864" s="146"/>
      <c r="D2864" s="496"/>
    </row>
    <row r="2865" spans="1:4" x14ac:dyDescent="0.2">
      <c r="A2865" s="146"/>
      <c r="D2865" s="496"/>
    </row>
    <row r="2866" spans="1:4" x14ac:dyDescent="0.2">
      <c r="A2866" s="146"/>
      <c r="D2866" s="496"/>
    </row>
    <row r="2867" spans="1:4" x14ac:dyDescent="0.2">
      <c r="A2867" s="146"/>
      <c r="D2867" s="496"/>
    </row>
    <row r="2868" spans="1:4" x14ac:dyDescent="0.2">
      <c r="A2868" s="146"/>
      <c r="D2868" s="496"/>
    </row>
    <row r="2869" spans="1:4" x14ac:dyDescent="0.2">
      <c r="A2869" s="146"/>
      <c r="D2869" s="496"/>
    </row>
    <row r="2870" spans="1:4" x14ac:dyDescent="0.2">
      <c r="A2870" s="146"/>
      <c r="D2870" s="496"/>
    </row>
    <row r="2871" spans="1:4" x14ac:dyDescent="0.2">
      <c r="A2871" s="146"/>
      <c r="D2871" s="496"/>
    </row>
    <row r="2872" spans="1:4" x14ac:dyDescent="0.2">
      <c r="A2872" s="146"/>
      <c r="D2872" s="496"/>
    </row>
    <row r="2873" spans="1:4" x14ac:dyDescent="0.2">
      <c r="A2873" s="146"/>
      <c r="D2873" s="496"/>
    </row>
    <row r="2874" spans="1:4" x14ac:dyDescent="0.2">
      <c r="A2874" s="146"/>
      <c r="D2874" s="496"/>
    </row>
    <row r="2875" spans="1:4" x14ac:dyDescent="0.2">
      <c r="A2875" s="146"/>
      <c r="D2875" s="496"/>
    </row>
    <row r="2876" spans="1:4" x14ac:dyDescent="0.2">
      <c r="A2876" s="146"/>
      <c r="D2876" s="496"/>
    </row>
    <row r="2877" spans="1:4" x14ac:dyDescent="0.2">
      <c r="A2877" s="146"/>
      <c r="D2877" s="496"/>
    </row>
    <row r="2878" spans="1:4" x14ac:dyDescent="0.2">
      <c r="A2878" s="146"/>
      <c r="D2878" s="496"/>
    </row>
    <row r="2879" spans="1:4" x14ac:dyDescent="0.2">
      <c r="A2879" s="146"/>
      <c r="D2879" s="496"/>
    </row>
    <row r="2880" spans="1:4" x14ac:dyDescent="0.2">
      <c r="A2880" s="146"/>
      <c r="D2880" s="496"/>
    </row>
    <row r="2881" spans="1:4" x14ac:dyDescent="0.2">
      <c r="A2881" s="146"/>
      <c r="D2881" s="496"/>
    </row>
    <row r="2882" spans="1:4" x14ac:dyDescent="0.2">
      <c r="A2882" s="146"/>
      <c r="D2882" s="496"/>
    </row>
    <row r="2883" spans="1:4" x14ac:dyDescent="0.2">
      <c r="A2883" s="146"/>
      <c r="D2883" s="496"/>
    </row>
    <row r="2884" spans="1:4" x14ac:dyDescent="0.2">
      <c r="A2884" s="146"/>
      <c r="D2884" s="496"/>
    </row>
    <row r="2885" spans="1:4" x14ac:dyDescent="0.2">
      <c r="A2885" s="146"/>
      <c r="D2885" s="496"/>
    </row>
    <row r="2886" spans="1:4" x14ac:dyDescent="0.2">
      <c r="A2886" s="146"/>
      <c r="D2886" s="496"/>
    </row>
    <row r="2887" spans="1:4" x14ac:dyDescent="0.2">
      <c r="A2887" s="146"/>
      <c r="D2887" s="496"/>
    </row>
    <row r="2888" spans="1:4" x14ac:dyDescent="0.2">
      <c r="A2888" s="146"/>
      <c r="D2888" s="496"/>
    </row>
    <row r="2889" spans="1:4" x14ac:dyDescent="0.2">
      <c r="A2889" s="146"/>
      <c r="D2889" s="496"/>
    </row>
    <row r="2890" spans="1:4" x14ac:dyDescent="0.2">
      <c r="A2890" s="146"/>
      <c r="D2890" s="496"/>
    </row>
    <row r="2891" spans="1:4" x14ac:dyDescent="0.2">
      <c r="A2891" s="146"/>
      <c r="D2891" s="496"/>
    </row>
    <row r="2892" spans="1:4" x14ac:dyDescent="0.2">
      <c r="A2892" s="146"/>
      <c r="D2892" s="496"/>
    </row>
    <row r="2893" spans="1:4" x14ac:dyDescent="0.2">
      <c r="A2893" s="146"/>
      <c r="D2893" s="496"/>
    </row>
    <row r="2894" spans="1:4" x14ac:dyDescent="0.2">
      <c r="A2894" s="146"/>
      <c r="D2894" s="496"/>
    </row>
    <row r="2895" spans="1:4" x14ac:dyDescent="0.2">
      <c r="A2895" s="146"/>
      <c r="D2895" s="496"/>
    </row>
    <row r="2896" spans="1:4" x14ac:dyDescent="0.2">
      <c r="A2896" s="146"/>
      <c r="D2896" s="496"/>
    </row>
    <row r="2897" spans="1:4" x14ac:dyDescent="0.2">
      <c r="A2897" s="146"/>
      <c r="D2897" s="496"/>
    </row>
    <row r="2898" spans="1:4" x14ac:dyDescent="0.2">
      <c r="A2898" s="146"/>
      <c r="D2898" s="496"/>
    </row>
    <row r="2899" spans="1:4" x14ac:dyDescent="0.2">
      <c r="A2899" s="146"/>
      <c r="D2899" s="496"/>
    </row>
    <row r="2900" spans="1:4" x14ac:dyDescent="0.2">
      <c r="A2900" s="146"/>
      <c r="D2900" s="496"/>
    </row>
    <row r="2901" spans="1:4" x14ac:dyDescent="0.2">
      <c r="A2901" s="146"/>
      <c r="D2901" s="496"/>
    </row>
    <row r="2902" spans="1:4" x14ac:dyDescent="0.2">
      <c r="A2902" s="146"/>
      <c r="D2902" s="496"/>
    </row>
    <row r="2903" spans="1:4" x14ac:dyDescent="0.2">
      <c r="A2903" s="146"/>
      <c r="D2903" s="496"/>
    </row>
    <row r="2904" spans="1:4" x14ac:dyDescent="0.2">
      <c r="A2904" s="146"/>
      <c r="D2904" s="496"/>
    </row>
    <row r="2905" spans="1:4" x14ac:dyDescent="0.2">
      <c r="A2905" s="146"/>
      <c r="D2905" s="496"/>
    </row>
    <row r="2906" spans="1:4" x14ac:dyDescent="0.2">
      <c r="A2906" s="146"/>
      <c r="D2906" s="496"/>
    </row>
    <row r="2907" spans="1:4" x14ac:dyDescent="0.2">
      <c r="A2907" s="146"/>
      <c r="D2907" s="496"/>
    </row>
    <row r="2908" spans="1:4" x14ac:dyDescent="0.2">
      <c r="A2908" s="146"/>
      <c r="D2908" s="496"/>
    </row>
    <row r="2909" spans="1:4" x14ac:dyDescent="0.2">
      <c r="A2909" s="146"/>
      <c r="D2909" s="496"/>
    </row>
    <row r="2910" spans="1:4" x14ac:dyDescent="0.2">
      <c r="A2910" s="146"/>
      <c r="D2910" s="496"/>
    </row>
    <row r="2911" spans="1:4" x14ac:dyDescent="0.2">
      <c r="A2911" s="146"/>
      <c r="D2911" s="496"/>
    </row>
    <row r="2912" spans="1:4" x14ac:dyDescent="0.2">
      <c r="A2912" s="146"/>
      <c r="D2912" s="496"/>
    </row>
    <row r="2913" spans="1:4" x14ac:dyDescent="0.2">
      <c r="A2913" s="146"/>
      <c r="D2913" s="496"/>
    </row>
    <row r="2914" spans="1:4" x14ac:dyDescent="0.2">
      <c r="A2914" s="146"/>
      <c r="D2914" s="496"/>
    </row>
    <row r="2915" spans="1:4" x14ac:dyDescent="0.2">
      <c r="A2915" s="146"/>
      <c r="D2915" s="496"/>
    </row>
    <row r="2916" spans="1:4" x14ac:dyDescent="0.2">
      <c r="A2916" s="146"/>
      <c r="D2916" s="496"/>
    </row>
    <row r="2917" spans="1:4" x14ac:dyDescent="0.2">
      <c r="A2917" s="146"/>
      <c r="D2917" s="496"/>
    </row>
    <row r="2918" spans="1:4" x14ac:dyDescent="0.2">
      <c r="A2918" s="146"/>
      <c r="D2918" s="496"/>
    </row>
    <row r="2919" spans="1:4" x14ac:dyDescent="0.2">
      <c r="A2919" s="146"/>
      <c r="D2919" s="496"/>
    </row>
    <row r="2920" spans="1:4" x14ac:dyDescent="0.2">
      <c r="A2920" s="146"/>
      <c r="D2920" s="496"/>
    </row>
    <row r="2921" spans="1:4" x14ac:dyDescent="0.2">
      <c r="A2921" s="146"/>
      <c r="D2921" s="496"/>
    </row>
    <row r="2922" spans="1:4" x14ac:dyDescent="0.2">
      <c r="A2922" s="146"/>
      <c r="D2922" s="496"/>
    </row>
    <row r="2923" spans="1:4" x14ac:dyDescent="0.2">
      <c r="A2923" s="146"/>
      <c r="D2923" s="496"/>
    </row>
    <row r="2924" spans="1:4" x14ac:dyDescent="0.2">
      <c r="A2924" s="146"/>
      <c r="D2924" s="496"/>
    </row>
    <row r="2925" spans="1:4" x14ac:dyDescent="0.2">
      <c r="A2925" s="146"/>
      <c r="D2925" s="496"/>
    </row>
    <row r="2926" spans="1:4" x14ac:dyDescent="0.2">
      <c r="A2926" s="146"/>
      <c r="D2926" s="496"/>
    </row>
    <row r="2927" spans="1:4" x14ac:dyDescent="0.2">
      <c r="A2927" s="146"/>
      <c r="D2927" s="496"/>
    </row>
    <row r="2928" spans="1:4" x14ac:dyDescent="0.2">
      <c r="A2928" s="146"/>
      <c r="D2928" s="496"/>
    </row>
    <row r="2929" spans="1:4" x14ac:dyDescent="0.2">
      <c r="A2929" s="146"/>
      <c r="D2929" s="496"/>
    </row>
    <row r="2930" spans="1:4" x14ac:dyDescent="0.2">
      <c r="A2930" s="146"/>
      <c r="D2930" s="496"/>
    </row>
    <row r="2931" spans="1:4" x14ac:dyDescent="0.2">
      <c r="A2931" s="146"/>
      <c r="D2931" s="496"/>
    </row>
    <row r="2932" spans="1:4" x14ac:dyDescent="0.2">
      <c r="A2932" s="146"/>
      <c r="D2932" s="496"/>
    </row>
    <row r="2933" spans="1:4" x14ac:dyDescent="0.2">
      <c r="A2933" s="146"/>
      <c r="D2933" s="496"/>
    </row>
    <row r="2934" spans="1:4" x14ac:dyDescent="0.2">
      <c r="A2934" s="146"/>
      <c r="D2934" s="496"/>
    </row>
    <row r="2935" spans="1:4" x14ac:dyDescent="0.2">
      <c r="A2935" s="146"/>
      <c r="D2935" s="496"/>
    </row>
    <row r="2936" spans="1:4" x14ac:dyDescent="0.2">
      <c r="A2936" s="146"/>
      <c r="D2936" s="496"/>
    </row>
    <row r="2937" spans="1:4" x14ac:dyDescent="0.2">
      <c r="A2937" s="146"/>
      <c r="D2937" s="496"/>
    </row>
    <row r="2938" spans="1:4" x14ac:dyDescent="0.2">
      <c r="A2938" s="146"/>
      <c r="D2938" s="496"/>
    </row>
    <row r="2939" spans="1:4" x14ac:dyDescent="0.2">
      <c r="A2939" s="146"/>
      <c r="D2939" s="496"/>
    </row>
    <row r="2940" spans="1:4" x14ac:dyDescent="0.2">
      <c r="A2940" s="146"/>
      <c r="D2940" s="496"/>
    </row>
    <row r="2941" spans="1:4" x14ac:dyDescent="0.2">
      <c r="A2941" s="146"/>
      <c r="D2941" s="496"/>
    </row>
    <row r="2942" spans="1:4" x14ac:dyDescent="0.2">
      <c r="A2942" s="146"/>
      <c r="D2942" s="496"/>
    </row>
    <row r="2943" spans="1:4" x14ac:dyDescent="0.2">
      <c r="A2943" s="146"/>
      <c r="D2943" s="496"/>
    </row>
    <row r="2944" spans="1:4" x14ac:dyDescent="0.2">
      <c r="A2944" s="146"/>
      <c r="D2944" s="496"/>
    </row>
    <row r="2945" spans="1:4" x14ac:dyDescent="0.2">
      <c r="A2945" s="146"/>
      <c r="D2945" s="496"/>
    </row>
    <row r="2946" spans="1:4" x14ac:dyDescent="0.2">
      <c r="A2946" s="146"/>
      <c r="D2946" s="496"/>
    </row>
    <row r="2947" spans="1:4" x14ac:dyDescent="0.2">
      <c r="A2947" s="146"/>
      <c r="D2947" s="496"/>
    </row>
    <row r="2948" spans="1:4" x14ac:dyDescent="0.2">
      <c r="A2948" s="146"/>
      <c r="D2948" s="496"/>
    </row>
    <row r="2949" spans="1:4" x14ac:dyDescent="0.2">
      <c r="A2949" s="146"/>
      <c r="D2949" s="496"/>
    </row>
    <row r="2950" spans="1:4" x14ac:dyDescent="0.2">
      <c r="A2950" s="146"/>
      <c r="D2950" s="496"/>
    </row>
    <row r="2951" spans="1:4" x14ac:dyDescent="0.2">
      <c r="A2951" s="146"/>
      <c r="D2951" s="496"/>
    </row>
    <row r="2952" spans="1:4" x14ac:dyDescent="0.2">
      <c r="A2952" s="146"/>
      <c r="D2952" s="496"/>
    </row>
    <row r="2953" spans="1:4" x14ac:dyDescent="0.2">
      <c r="A2953" s="146"/>
      <c r="D2953" s="496"/>
    </row>
    <row r="2954" spans="1:4" x14ac:dyDescent="0.2">
      <c r="A2954" s="146"/>
      <c r="D2954" s="496"/>
    </row>
    <row r="2955" spans="1:4" x14ac:dyDescent="0.2">
      <c r="A2955" s="146"/>
      <c r="D2955" s="496"/>
    </row>
    <row r="2956" spans="1:4" x14ac:dyDescent="0.2">
      <c r="A2956" s="146"/>
      <c r="D2956" s="496"/>
    </row>
    <row r="2957" spans="1:4" x14ac:dyDescent="0.2">
      <c r="A2957" s="146"/>
      <c r="D2957" s="496"/>
    </row>
    <row r="2958" spans="1:4" x14ac:dyDescent="0.2">
      <c r="A2958" s="146"/>
      <c r="D2958" s="496"/>
    </row>
    <row r="2959" spans="1:4" x14ac:dyDescent="0.2">
      <c r="A2959" s="146"/>
      <c r="D2959" s="496"/>
    </row>
    <row r="2960" spans="1:4" x14ac:dyDescent="0.2">
      <c r="A2960" s="146"/>
      <c r="D2960" s="496"/>
    </row>
    <row r="2961" spans="1:4" x14ac:dyDescent="0.2">
      <c r="A2961" s="146"/>
      <c r="D2961" s="496"/>
    </row>
    <row r="2962" spans="1:4" x14ac:dyDescent="0.2">
      <c r="A2962" s="146"/>
      <c r="D2962" s="496"/>
    </row>
    <row r="2963" spans="1:4" x14ac:dyDescent="0.2">
      <c r="A2963" s="146"/>
      <c r="D2963" s="496"/>
    </row>
    <row r="2964" spans="1:4" x14ac:dyDescent="0.2">
      <c r="A2964" s="146"/>
      <c r="D2964" s="496"/>
    </row>
    <row r="2965" spans="1:4" x14ac:dyDescent="0.2">
      <c r="A2965" s="146"/>
      <c r="D2965" s="496"/>
    </row>
    <row r="2966" spans="1:4" x14ac:dyDescent="0.2">
      <c r="A2966" s="146"/>
      <c r="D2966" s="496"/>
    </row>
    <row r="2967" spans="1:4" x14ac:dyDescent="0.2">
      <c r="A2967" s="146"/>
      <c r="D2967" s="496"/>
    </row>
    <row r="2968" spans="1:4" x14ac:dyDescent="0.2">
      <c r="A2968" s="146"/>
      <c r="D2968" s="496"/>
    </row>
    <row r="2969" spans="1:4" x14ac:dyDescent="0.2">
      <c r="A2969" s="146"/>
      <c r="D2969" s="496"/>
    </row>
    <row r="2970" spans="1:4" x14ac:dyDescent="0.2">
      <c r="A2970" s="146"/>
      <c r="D2970" s="496"/>
    </row>
    <row r="2971" spans="1:4" x14ac:dyDescent="0.2">
      <c r="A2971" s="146"/>
      <c r="D2971" s="496"/>
    </row>
    <row r="2972" spans="1:4" x14ac:dyDescent="0.2">
      <c r="A2972" s="146"/>
      <c r="D2972" s="496"/>
    </row>
    <row r="2973" spans="1:4" x14ac:dyDescent="0.2">
      <c r="A2973" s="146"/>
      <c r="D2973" s="496"/>
    </row>
    <row r="2974" spans="1:4" x14ac:dyDescent="0.2">
      <c r="A2974" s="146"/>
      <c r="D2974" s="496"/>
    </row>
    <row r="2975" spans="1:4" x14ac:dyDescent="0.2">
      <c r="A2975" s="146"/>
      <c r="D2975" s="496"/>
    </row>
    <row r="2976" spans="1:4" x14ac:dyDescent="0.2">
      <c r="A2976" s="146"/>
      <c r="D2976" s="496"/>
    </row>
    <row r="2977" spans="1:4" x14ac:dyDescent="0.2">
      <c r="A2977" s="146"/>
      <c r="D2977" s="496"/>
    </row>
    <row r="2978" spans="1:4" x14ac:dyDescent="0.2">
      <c r="A2978" s="146"/>
      <c r="D2978" s="496"/>
    </row>
    <row r="2979" spans="1:4" x14ac:dyDescent="0.2">
      <c r="A2979" s="146"/>
      <c r="D2979" s="496"/>
    </row>
    <row r="2980" spans="1:4" x14ac:dyDescent="0.2">
      <c r="A2980" s="146"/>
      <c r="D2980" s="496"/>
    </row>
    <row r="2981" spans="1:4" x14ac:dyDescent="0.2">
      <c r="A2981" s="146"/>
      <c r="D2981" s="496"/>
    </row>
    <row r="2982" spans="1:4" x14ac:dyDescent="0.2">
      <c r="A2982" s="146"/>
      <c r="D2982" s="496"/>
    </row>
    <row r="2983" spans="1:4" x14ac:dyDescent="0.2">
      <c r="A2983" s="146"/>
      <c r="D2983" s="496"/>
    </row>
    <row r="2984" spans="1:4" x14ac:dyDescent="0.2">
      <c r="A2984" s="146"/>
      <c r="D2984" s="496"/>
    </row>
    <row r="2985" spans="1:4" x14ac:dyDescent="0.2">
      <c r="A2985" s="146"/>
      <c r="D2985" s="496"/>
    </row>
    <row r="2986" spans="1:4" x14ac:dyDescent="0.2">
      <c r="A2986" s="146"/>
      <c r="D2986" s="496"/>
    </row>
    <row r="2987" spans="1:4" x14ac:dyDescent="0.2">
      <c r="A2987" s="146"/>
      <c r="D2987" s="496"/>
    </row>
    <row r="2988" spans="1:4" x14ac:dyDescent="0.2">
      <c r="A2988" s="146"/>
      <c r="D2988" s="496"/>
    </row>
    <row r="2989" spans="1:4" x14ac:dyDescent="0.2">
      <c r="A2989" s="146"/>
      <c r="D2989" s="496"/>
    </row>
    <row r="2990" spans="1:4" x14ac:dyDescent="0.2">
      <c r="A2990" s="146"/>
      <c r="D2990" s="496"/>
    </row>
    <row r="2991" spans="1:4" x14ac:dyDescent="0.2">
      <c r="A2991" s="146"/>
      <c r="D2991" s="496"/>
    </row>
    <row r="2992" spans="1:4" x14ac:dyDescent="0.2">
      <c r="A2992" s="146"/>
      <c r="D2992" s="496"/>
    </row>
    <row r="2993" spans="1:4" x14ac:dyDescent="0.2">
      <c r="A2993" s="146"/>
      <c r="D2993" s="496"/>
    </row>
    <row r="2994" spans="1:4" x14ac:dyDescent="0.2">
      <c r="A2994" s="146"/>
      <c r="D2994" s="496"/>
    </row>
    <row r="2995" spans="1:4" x14ac:dyDescent="0.2">
      <c r="A2995" s="146"/>
      <c r="D2995" s="496"/>
    </row>
    <row r="2996" spans="1:4" x14ac:dyDescent="0.2">
      <c r="A2996" s="146"/>
      <c r="D2996" s="496"/>
    </row>
    <row r="2997" spans="1:4" x14ac:dyDescent="0.2">
      <c r="A2997" s="146"/>
      <c r="D2997" s="496"/>
    </row>
    <row r="2998" spans="1:4" x14ac:dyDescent="0.2">
      <c r="A2998" s="146"/>
      <c r="D2998" s="496"/>
    </row>
    <row r="2999" spans="1:4" x14ac:dyDescent="0.2">
      <c r="A2999" s="146"/>
      <c r="D2999" s="496"/>
    </row>
    <row r="3000" spans="1:4" x14ac:dyDescent="0.2">
      <c r="A3000" s="146"/>
      <c r="D3000" s="496"/>
    </row>
    <row r="3001" spans="1:4" x14ac:dyDescent="0.2">
      <c r="A3001" s="146"/>
      <c r="D3001" s="496"/>
    </row>
    <row r="3002" spans="1:4" x14ac:dyDescent="0.2">
      <c r="A3002" s="146"/>
      <c r="D3002" s="496"/>
    </row>
    <row r="3003" spans="1:4" x14ac:dyDescent="0.2">
      <c r="A3003" s="146"/>
      <c r="D3003" s="496"/>
    </row>
    <row r="3004" spans="1:4" x14ac:dyDescent="0.2">
      <c r="A3004" s="146"/>
      <c r="D3004" s="496"/>
    </row>
    <row r="3005" spans="1:4" x14ac:dyDescent="0.2">
      <c r="A3005" s="146"/>
      <c r="D3005" s="496"/>
    </row>
    <row r="3006" spans="1:4" x14ac:dyDescent="0.2">
      <c r="A3006" s="146"/>
      <c r="D3006" s="496"/>
    </row>
    <row r="3007" spans="1:4" x14ac:dyDescent="0.2">
      <c r="A3007" s="146"/>
      <c r="D3007" s="496"/>
    </row>
    <row r="3008" spans="1:4" x14ac:dyDescent="0.2">
      <c r="A3008" s="146"/>
      <c r="D3008" s="496"/>
    </row>
    <row r="3009" spans="1:4" x14ac:dyDescent="0.2">
      <c r="A3009" s="146"/>
      <c r="D3009" s="496"/>
    </row>
    <row r="3010" spans="1:4" x14ac:dyDescent="0.2">
      <c r="A3010" s="146"/>
      <c r="D3010" s="496"/>
    </row>
    <row r="3011" spans="1:4" x14ac:dyDescent="0.2">
      <c r="A3011" s="146"/>
      <c r="D3011" s="496"/>
    </row>
    <row r="3012" spans="1:4" x14ac:dyDescent="0.2">
      <c r="A3012" s="146"/>
      <c r="D3012" s="496"/>
    </row>
    <row r="3013" spans="1:4" x14ac:dyDescent="0.2">
      <c r="A3013" s="146"/>
      <c r="D3013" s="496"/>
    </row>
    <row r="3014" spans="1:4" x14ac:dyDescent="0.2">
      <c r="A3014" s="146"/>
      <c r="D3014" s="496"/>
    </row>
    <row r="3015" spans="1:4" x14ac:dyDescent="0.2">
      <c r="A3015" s="146"/>
      <c r="D3015" s="496"/>
    </row>
    <row r="3016" spans="1:4" x14ac:dyDescent="0.2">
      <c r="A3016" s="146"/>
      <c r="D3016" s="496"/>
    </row>
    <row r="3017" spans="1:4" x14ac:dyDescent="0.2">
      <c r="A3017" s="146"/>
      <c r="D3017" s="496"/>
    </row>
    <row r="3018" spans="1:4" x14ac:dyDescent="0.2">
      <c r="A3018" s="146"/>
      <c r="D3018" s="496"/>
    </row>
    <row r="3019" spans="1:4" x14ac:dyDescent="0.2">
      <c r="A3019" s="146"/>
      <c r="D3019" s="496"/>
    </row>
    <row r="3020" spans="1:4" x14ac:dyDescent="0.2">
      <c r="A3020" s="146"/>
      <c r="D3020" s="496"/>
    </row>
    <row r="3021" spans="1:4" x14ac:dyDescent="0.2">
      <c r="A3021" s="146"/>
      <c r="D3021" s="496"/>
    </row>
    <row r="3022" spans="1:4" x14ac:dyDescent="0.2">
      <c r="A3022" s="146"/>
      <c r="D3022" s="496"/>
    </row>
    <row r="3023" spans="1:4" x14ac:dyDescent="0.2">
      <c r="A3023" s="146"/>
      <c r="D3023" s="496"/>
    </row>
    <row r="3024" spans="1:4" x14ac:dyDescent="0.2">
      <c r="A3024" s="146"/>
      <c r="D3024" s="496"/>
    </row>
    <row r="3025" spans="1:4" x14ac:dyDescent="0.2">
      <c r="A3025" s="146"/>
      <c r="D3025" s="496"/>
    </row>
    <row r="3026" spans="1:4" x14ac:dyDescent="0.2">
      <c r="A3026" s="146"/>
      <c r="D3026" s="496"/>
    </row>
    <row r="3027" spans="1:4" x14ac:dyDescent="0.2">
      <c r="A3027" s="146"/>
      <c r="D3027" s="496"/>
    </row>
    <row r="3028" spans="1:4" x14ac:dyDescent="0.2">
      <c r="A3028" s="146"/>
      <c r="D3028" s="496"/>
    </row>
    <row r="3029" spans="1:4" x14ac:dyDescent="0.2">
      <c r="A3029" s="146"/>
      <c r="D3029" s="496"/>
    </row>
    <row r="3030" spans="1:4" x14ac:dyDescent="0.2">
      <c r="A3030" s="146"/>
      <c r="D3030" s="496"/>
    </row>
    <row r="3031" spans="1:4" x14ac:dyDescent="0.2">
      <c r="A3031" s="146"/>
      <c r="D3031" s="496"/>
    </row>
    <row r="3032" spans="1:4" x14ac:dyDescent="0.2">
      <c r="A3032" s="146"/>
      <c r="D3032" s="496"/>
    </row>
    <row r="3033" spans="1:4" x14ac:dyDescent="0.2">
      <c r="A3033" s="146"/>
      <c r="D3033" s="496"/>
    </row>
    <row r="3034" spans="1:4" x14ac:dyDescent="0.2">
      <c r="A3034" s="146"/>
      <c r="D3034" s="496"/>
    </row>
    <row r="3035" spans="1:4" x14ac:dyDescent="0.2">
      <c r="A3035" s="146"/>
      <c r="D3035" s="496"/>
    </row>
    <row r="3036" spans="1:4" x14ac:dyDescent="0.2">
      <c r="A3036" s="146"/>
      <c r="D3036" s="496"/>
    </row>
    <row r="3037" spans="1:4" x14ac:dyDescent="0.2">
      <c r="A3037" s="146"/>
      <c r="D3037" s="496"/>
    </row>
    <row r="3038" spans="1:4" x14ac:dyDescent="0.2">
      <c r="A3038" s="146"/>
      <c r="D3038" s="496"/>
    </row>
    <row r="3039" spans="1:4" x14ac:dyDescent="0.2">
      <c r="A3039" s="146"/>
      <c r="D3039" s="496"/>
    </row>
    <row r="3040" spans="1:4" x14ac:dyDescent="0.2">
      <c r="A3040" s="146"/>
      <c r="D3040" s="496"/>
    </row>
    <row r="3041" spans="1:4" x14ac:dyDescent="0.2">
      <c r="A3041" s="146"/>
      <c r="D3041" s="496"/>
    </row>
    <row r="3042" spans="1:4" x14ac:dyDescent="0.2">
      <c r="A3042" s="146"/>
      <c r="D3042" s="496"/>
    </row>
    <row r="3043" spans="1:4" x14ac:dyDescent="0.2">
      <c r="A3043" s="146"/>
      <c r="D3043" s="496"/>
    </row>
    <row r="3044" spans="1:4" x14ac:dyDescent="0.2">
      <c r="A3044" s="146"/>
      <c r="D3044" s="496"/>
    </row>
    <row r="3045" spans="1:4" x14ac:dyDescent="0.2">
      <c r="A3045" s="146"/>
      <c r="D3045" s="496"/>
    </row>
    <row r="3046" spans="1:4" x14ac:dyDescent="0.2">
      <c r="A3046" s="146"/>
      <c r="D3046" s="496"/>
    </row>
    <row r="3047" spans="1:4" x14ac:dyDescent="0.2">
      <c r="A3047" s="146"/>
      <c r="D3047" s="496"/>
    </row>
    <row r="3048" spans="1:4" x14ac:dyDescent="0.2">
      <c r="A3048" s="146"/>
      <c r="D3048" s="496"/>
    </row>
    <row r="3049" spans="1:4" x14ac:dyDescent="0.2">
      <c r="A3049" s="146"/>
      <c r="D3049" s="496"/>
    </row>
    <row r="3050" spans="1:4" x14ac:dyDescent="0.2">
      <c r="A3050" s="146"/>
      <c r="D3050" s="496"/>
    </row>
    <row r="3051" spans="1:4" x14ac:dyDescent="0.2">
      <c r="A3051" s="146"/>
      <c r="D3051" s="496"/>
    </row>
    <row r="3052" spans="1:4" x14ac:dyDescent="0.2">
      <c r="A3052" s="146"/>
      <c r="D3052" s="496"/>
    </row>
    <row r="3053" spans="1:4" x14ac:dyDescent="0.2">
      <c r="A3053" s="146"/>
      <c r="D3053" s="496"/>
    </row>
    <row r="3054" spans="1:4" x14ac:dyDescent="0.2">
      <c r="A3054" s="146"/>
      <c r="D3054" s="496"/>
    </row>
    <row r="3055" spans="1:4" x14ac:dyDescent="0.2">
      <c r="A3055" s="146"/>
      <c r="D3055" s="496"/>
    </row>
    <row r="3056" spans="1:4" x14ac:dyDescent="0.2">
      <c r="A3056" s="146"/>
      <c r="D3056" s="496"/>
    </row>
    <row r="3057" spans="1:4" x14ac:dyDescent="0.2">
      <c r="A3057" s="146"/>
      <c r="D3057" s="496"/>
    </row>
    <row r="3058" spans="1:4" x14ac:dyDescent="0.2">
      <c r="A3058" s="146"/>
      <c r="D3058" s="496"/>
    </row>
    <row r="3059" spans="1:4" x14ac:dyDescent="0.2">
      <c r="A3059" s="146"/>
      <c r="D3059" s="496"/>
    </row>
    <row r="3060" spans="1:4" x14ac:dyDescent="0.2">
      <c r="A3060" s="146"/>
      <c r="D3060" s="496"/>
    </row>
    <row r="3061" spans="1:4" x14ac:dyDescent="0.2">
      <c r="A3061" s="146"/>
      <c r="D3061" s="496"/>
    </row>
    <row r="3062" spans="1:4" x14ac:dyDescent="0.2">
      <c r="A3062" s="146"/>
      <c r="D3062" s="496"/>
    </row>
    <row r="3063" spans="1:4" x14ac:dyDescent="0.2">
      <c r="A3063" s="146"/>
      <c r="D3063" s="496"/>
    </row>
    <row r="3064" spans="1:4" x14ac:dyDescent="0.2">
      <c r="A3064" s="146"/>
      <c r="D3064" s="496"/>
    </row>
    <row r="3065" spans="1:4" x14ac:dyDescent="0.2">
      <c r="A3065" s="146"/>
      <c r="D3065" s="496"/>
    </row>
    <row r="3066" spans="1:4" x14ac:dyDescent="0.2">
      <c r="A3066" s="146"/>
      <c r="D3066" s="496"/>
    </row>
    <row r="3067" spans="1:4" x14ac:dyDescent="0.2">
      <c r="A3067" s="146"/>
      <c r="D3067" s="496"/>
    </row>
    <row r="3068" spans="1:4" x14ac:dyDescent="0.2">
      <c r="A3068" s="146"/>
      <c r="D3068" s="496"/>
    </row>
    <row r="3069" spans="1:4" x14ac:dyDescent="0.2">
      <c r="A3069" s="146"/>
      <c r="D3069" s="496"/>
    </row>
    <row r="3070" spans="1:4" x14ac:dyDescent="0.2">
      <c r="A3070" s="146"/>
      <c r="D3070" s="496"/>
    </row>
    <row r="3071" spans="1:4" x14ac:dyDescent="0.2">
      <c r="A3071" s="146"/>
      <c r="D3071" s="496"/>
    </row>
    <row r="3072" spans="1:4" x14ac:dyDescent="0.2">
      <c r="A3072" s="146"/>
      <c r="D3072" s="496"/>
    </row>
    <row r="3073" spans="1:4" x14ac:dyDescent="0.2">
      <c r="A3073" s="146"/>
      <c r="D3073" s="496"/>
    </row>
    <row r="3074" spans="1:4" x14ac:dyDescent="0.2">
      <c r="A3074" s="146"/>
      <c r="D3074" s="496"/>
    </row>
    <row r="3075" spans="1:4" x14ac:dyDescent="0.2">
      <c r="A3075" s="146"/>
      <c r="D3075" s="496"/>
    </row>
    <row r="3076" spans="1:4" x14ac:dyDescent="0.2">
      <c r="A3076" s="146"/>
      <c r="D3076" s="496"/>
    </row>
    <row r="3077" spans="1:4" x14ac:dyDescent="0.2">
      <c r="A3077" s="146"/>
      <c r="D3077" s="496"/>
    </row>
    <row r="3078" spans="1:4" x14ac:dyDescent="0.2">
      <c r="A3078" s="146"/>
      <c r="D3078" s="496"/>
    </row>
    <row r="3079" spans="1:4" x14ac:dyDescent="0.2">
      <c r="A3079" s="146"/>
      <c r="D3079" s="496"/>
    </row>
    <row r="3080" spans="1:4" x14ac:dyDescent="0.2">
      <c r="A3080" s="146"/>
      <c r="D3080" s="496"/>
    </row>
    <row r="3081" spans="1:4" x14ac:dyDescent="0.2">
      <c r="A3081" s="146"/>
      <c r="D3081" s="496"/>
    </row>
    <row r="3082" spans="1:4" x14ac:dyDescent="0.2">
      <c r="A3082" s="146"/>
      <c r="D3082" s="496"/>
    </row>
    <row r="3083" spans="1:4" x14ac:dyDescent="0.2">
      <c r="A3083" s="146"/>
      <c r="D3083" s="496"/>
    </row>
    <row r="3084" spans="1:4" x14ac:dyDescent="0.2">
      <c r="A3084" s="146"/>
      <c r="D3084" s="496"/>
    </row>
    <row r="3085" spans="1:4" x14ac:dyDescent="0.2">
      <c r="A3085" s="146"/>
      <c r="D3085" s="496"/>
    </row>
    <row r="3086" spans="1:4" x14ac:dyDescent="0.2">
      <c r="A3086" s="146"/>
      <c r="D3086" s="496"/>
    </row>
    <row r="3087" spans="1:4" x14ac:dyDescent="0.2">
      <c r="A3087" s="146"/>
      <c r="D3087" s="496"/>
    </row>
    <row r="3088" spans="1:4" x14ac:dyDescent="0.2">
      <c r="A3088" s="146"/>
      <c r="D3088" s="496"/>
    </row>
    <row r="3089" spans="1:4" x14ac:dyDescent="0.2">
      <c r="A3089" s="146"/>
      <c r="D3089" s="496"/>
    </row>
    <row r="3090" spans="1:4" x14ac:dyDescent="0.2">
      <c r="A3090" s="146"/>
      <c r="D3090" s="496"/>
    </row>
    <row r="3091" spans="1:4" x14ac:dyDescent="0.2">
      <c r="A3091" s="146"/>
      <c r="D3091" s="496"/>
    </row>
    <row r="3092" spans="1:4" x14ac:dyDescent="0.2">
      <c r="A3092" s="146"/>
      <c r="D3092" s="496"/>
    </row>
    <row r="3093" spans="1:4" x14ac:dyDescent="0.2">
      <c r="A3093" s="146"/>
      <c r="D3093" s="496"/>
    </row>
    <row r="3094" spans="1:4" x14ac:dyDescent="0.2">
      <c r="A3094" s="146"/>
      <c r="D3094" s="496"/>
    </row>
    <row r="3095" spans="1:4" x14ac:dyDescent="0.2">
      <c r="A3095" s="146"/>
      <c r="D3095" s="496"/>
    </row>
    <row r="3096" spans="1:4" x14ac:dyDescent="0.2">
      <c r="A3096" s="146"/>
      <c r="D3096" s="496"/>
    </row>
    <row r="3097" spans="1:4" x14ac:dyDescent="0.2">
      <c r="A3097" s="146"/>
      <c r="D3097" s="496"/>
    </row>
    <row r="3098" spans="1:4" x14ac:dyDescent="0.2">
      <c r="A3098" s="146"/>
      <c r="D3098" s="496"/>
    </row>
    <row r="3099" spans="1:4" x14ac:dyDescent="0.2">
      <c r="A3099" s="146"/>
      <c r="D3099" s="496"/>
    </row>
    <row r="3100" spans="1:4" x14ac:dyDescent="0.2">
      <c r="A3100" s="146"/>
      <c r="D3100" s="496"/>
    </row>
    <row r="3101" spans="1:4" x14ac:dyDescent="0.2">
      <c r="A3101" s="146"/>
      <c r="D3101" s="496"/>
    </row>
    <row r="3102" spans="1:4" x14ac:dyDescent="0.2">
      <c r="A3102" s="146"/>
      <c r="D3102" s="496"/>
    </row>
    <row r="3103" spans="1:4" x14ac:dyDescent="0.2">
      <c r="A3103" s="146"/>
      <c r="D3103" s="496"/>
    </row>
    <row r="3104" spans="1:4" x14ac:dyDescent="0.2">
      <c r="A3104" s="146"/>
      <c r="D3104" s="496"/>
    </row>
    <row r="3105" spans="1:4" x14ac:dyDescent="0.2">
      <c r="A3105" s="146"/>
      <c r="D3105" s="496"/>
    </row>
    <row r="3106" spans="1:4" x14ac:dyDescent="0.2">
      <c r="A3106" s="146"/>
      <c r="D3106" s="496"/>
    </row>
    <row r="3107" spans="1:4" x14ac:dyDescent="0.2">
      <c r="A3107" s="146"/>
      <c r="D3107" s="496"/>
    </row>
    <row r="3108" spans="1:4" x14ac:dyDescent="0.2">
      <c r="A3108" s="146"/>
      <c r="D3108" s="496"/>
    </row>
    <row r="3109" spans="1:4" x14ac:dyDescent="0.2">
      <c r="A3109" s="146"/>
      <c r="D3109" s="496"/>
    </row>
    <row r="3110" spans="1:4" x14ac:dyDescent="0.2">
      <c r="A3110" s="146"/>
      <c r="D3110" s="496"/>
    </row>
    <row r="3111" spans="1:4" x14ac:dyDescent="0.2">
      <c r="A3111" s="146"/>
      <c r="D3111" s="496"/>
    </row>
    <row r="3112" spans="1:4" x14ac:dyDescent="0.2">
      <c r="A3112" s="146"/>
      <c r="D3112" s="496"/>
    </row>
    <row r="3113" spans="1:4" x14ac:dyDescent="0.2">
      <c r="A3113" s="146"/>
      <c r="D3113" s="496"/>
    </row>
    <row r="3114" spans="1:4" x14ac:dyDescent="0.2">
      <c r="A3114" s="146"/>
      <c r="D3114" s="496"/>
    </row>
    <row r="3115" spans="1:4" x14ac:dyDescent="0.2">
      <c r="A3115" s="146"/>
      <c r="D3115" s="496"/>
    </row>
    <row r="3116" spans="1:4" x14ac:dyDescent="0.2">
      <c r="A3116" s="146"/>
      <c r="D3116" s="496"/>
    </row>
    <row r="3117" spans="1:4" x14ac:dyDescent="0.2">
      <c r="A3117" s="146"/>
      <c r="D3117" s="496"/>
    </row>
    <row r="3118" spans="1:4" x14ac:dyDescent="0.2">
      <c r="A3118" s="146"/>
      <c r="D3118" s="496"/>
    </row>
    <row r="3119" spans="1:4" x14ac:dyDescent="0.2">
      <c r="A3119" s="146"/>
      <c r="D3119" s="496"/>
    </row>
    <row r="3120" spans="1:4" x14ac:dyDescent="0.2">
      <c r="A3120" s="146"/>
      <c r="D3120" s="496"/>
    </row>
    <row r="3121" spans="1:4" x14ac:dyDescent="0.2">
      <c r="A3121" s="146"/>
      <c r="D3121" s="496"/>
    </row>
    <row r="3122" spans="1:4" x14ac:dyDescent="0.2">
      <c r="A3122" s="146"/>
      <c r="D3122" s="496"/>
    </row>
    <row r="3123" spans="1:4" x14ac:dyDescent="0.2">
      <c r="A3123" s="146"/>
      <c r="D3123" s="496"/>
    </row>
    <row r="3124" spans="1:4" x14ac:dyDescent="0.2">
      <c r="A3124" s="146"/>
      <c r="D3124" s="496"/>
    </row>
    <row r="3125" spans="1:4" x14ac:dyDescent="0.2">
      <c r="A3125" s="146"/>
      <c r="D3125" s="496"/>
    </row>
    <row r="3126" spans="1:4" x14ac:dyDescent="0.2">
      <c r="A3126" s="146"/>
      <c r="D3126" s="496"/>
    </row>
    <row r="3127" spans="1:4" x14ac:dyDescent="0.2">
      <c r="A3127" s="146"/>
      <c r="D3127" s="496"/>
    </row>
    <row r="3128" spans="1:4" x14ac:dyDescent="0.2">
      <c r="A3128" s="146"/>
      <c r="D3128" s="496"/>
    </row>
    <row r="3129" spans="1:4" x14ac:dyDescent="0.2">
      <c r="A3129" s="146"/>
      <c r="D3129" s="496"/>
    </row>
    <row r="3130" spans="1:4" x14ac:dyDescent="0.2">
      <c r="A3130" s="146"/>
      <c r="D3130" s="496"/>
    </row>
    <row r="3131" spans="1:4" x14ac:dyDescent="0.2">
      <c r="A3131" s="146"/>
      <c r="D3131" s="496"/>
    </row>
    <row r="3132" spans="1:4" x14ac:dyDescent="0.2">
      <c r="A3132" s="146"/>
      <c r="D3132" s="496"/>
    </row>
    <row r="3133" spans="1:4" x14ac:dyDescent="0.2">
      <c r="A3133" s="146"/>
      <c r="D3133" s="496"/>
    </row>
    <row r="3134" spans="1:4" x14ac:dyDescent="0.2">
      <c r="A3134" s="146"/>
      <c r="D3134" s="496"/>
    </row>
    <row r="3135" spans="1:4" x14ac:dyDescent="0.2">
      <c r="A3135" s="146"/>
      <c r="D3135" s="496"/>
    </row>
    <row r="3136" spans="1:4" x14ac:dyDescent="0.2">
      <c r="A3136" s="146"/>
      <c r="D3136" s="496"/>
    </row>
    <row r="3137" spans="1:4" x14ac:dyDescent="0.2">
      <c r="A3137" s="146"/>
      <c r="D3137" s="496"/>
    </row>
    <row r="3138" spans="1:4" x14ac:dyDescent="0.2">
      <c r="A3138" s="146"/>
      <c r="D3138" s="496"/>
    </row>
    <row r="3139" spans="1:4" x14ac:dyDescent="0.2">
      <c r="A3139" s="146"/>
      <c r="D3139" s="496"/>
    </row>
    <row r="3140" spans="1:4" x14ac:dyDescent="0.2">
      <c r="A3140" s="146"/>
      <c r="D3140" s="496"/>
    </row>
    <row r="3141" spans="1:4" x14ac:dyDescent="0.2">
      <c r="A3141" s="146"/>
      <c r="D3141" s="496"/>
    </row>
    <row r="3142" spans="1:4" x14ac:dyDescent="0.2">
      <c r="A3142" s="146"/>
      <c r="D3142" s="496"/>
    </row>
    <row r="3143" spans="1:4" x14ac:dyDescent="0.2">
      <c r="A3143" s="146"/>
      <c r="D3143" s="496"/>
    </row>
    <row r="3144" spans="1:4" x14ac:dyDescent="0.2">
      <c r="A3144" s="146"/>
      <c r="D3144" s="496"/>
    </row>
    <row r="3145" spans="1:4" x14ac:dyDescent="0.2">
      <c r="A3145" s="146"/>
      <c r="D3145" s="496"/>
    </row>
    <row r="3146" spans="1:4" x14ac:dyDescent="0.2">
      <c r="A3146" s="146"/>
      <c r="D3146" s="496"/>
    </row>
    <row r="3147" spans="1:4" x14ac:dyDescent="0.2">
      <c r="A3147" s="146"/>
      <c r="D3147" s="496"/>
    </row>
    <row r="3148" spans="1:4" x14ac:dyDescent="0.2">
      <c r="A3148" s="146"/>
      <c r="D3148" s="496"/>
    </row>
    <row r="3149" spans="1:4" x14ac:dyDescent="0.2">
      <c r="A3149" s="146"/>
      <c r="D3149" s="496"/>
    </row>
    <row r="3150" spans="1:4" x14ac:dyDescent="0.2">
      <c r="A3150" s="146"/>
      <c r="D3150" s="496"/>
    </row>
    <row r="3151" spans="1:4" x14ac:dyDescent="0.2">
      <c r="A3151" s="146"/>
      <c r="D3151" s="496"/>
    </row>
    <row r="3152" spans="1:4" x14ac:dyDescent="0.2">
      <c r="A3152" s="146"/>
      <c r="D3152" s="496"/>
    </row>
    <row r="3153" spans="1:4" x14ac:dyDescent="0.2">
      <c r="A3153" s="146"/>
      <c r="D3153" s="496"/>
    </row>
    <row r="3154" spans="1:4" x14ac:dyDescent="0.2">
      <c r="A3154" s="146"/>
      <c r="D3154" s="496"/>
    </row>
    <row r="3155" spans="1:4" x14ac:dyDescent="0.2">
      <c r="A3155" s="146"/>
      <c r="D3155" s="496"/>
    </row>
    <row r="3156" spans="1:4" x14ac:dyDescent="0.2">
      <c r="A3156" s="146"/>
      <c r="D3156" s="496"/>
    </row>
    <row r="3157" spans="1:4" x14ac:dyDescent="0.2">
      <c r="A3157" s="146"/>
      <c r="D3157" s="496"/>
    </row>
    <row r="3158" spans="1:4" x14ac:dyDescent="0.2">
      <c r="A3158" s="146"/>
      <c r="D3158" s="496"/>
    </row>
    <row r="3159" spans="1:4" x14ac:dyDescent="0.2">
      <c r="A3159" s="146"/>
      <c r="D3159" s="496"/>
    </row>
    <row r="3160" spans="1:4" x14ac:dyDescent="0.2">
      <c r="A3160" s="146"/>
      <c r="D3160" s="496"/>
    </row>
    <row r="3161" spans="1:4" x14ac:dyDescent="0.2">
      <c r="A3161" s="146"/>
      <c r="D3161" s="496"/>
    </row>
    <row r="3162" spans="1:4" x14ac:dyDescent="0.2">
      <c r="A3162" s="146"/>
      <c r="D3162" s="496"/>
    </row>
    <row r="3163" spans="1:4" x14ac:dyDescent="0.2">
      <c r="A3163" s="146"/>
      <c r="D3163" s="496"/>
    </row>
    <row r="3164" spans="1:4" x14ac:dyDescent="0.2">
      <c r="A3164" s="146"/>
      <c r="D3164" s="496"/>
    </row>
    <row r="3165" spans="1:4" x14ac:dyDescent="0.2">
      <c r="A3165" s="146"/>
      <c r="D3165" s="496"/>
    </row>
    <row r="3166" spans="1:4" x14ac:dyDescent="0.2">
      <c r="A3166" s="146"/>
      <c r="D3166" s="496"/>
    </row>
    <row r="3167" spans="1:4" x14ac:dyDescent="0.2">
      <c r="A3167" s="146"/>
      <c r="D3167" s="496"/>
    </row>
    <row r="3168" spans="1:4" x14ac:dyDescent="0.2">
      <c r="A3168" s="146"/>
      <c r="D3168" s="496"/>
    </row>
    <row r="3169" spans="1:4" x14ac:dyDescent="0.2">
      <c r="A3169" s="146"/>
      <c r="D3169" s="496"/>
    </row>
    <row r="3170" spans="1:4" x14ac:dyDescent="0.2">
      <c r="A3170" s="146"/>
      <c r="D3170" s="496"/>
    </row>
    <row r="3171" spans="1:4" x14ac:dyDescent="0.2">
      <c r="A3171" s="146"/>
      <c r="D3171" s="496"/>
    </row>
    <row r="3172" spans="1:4" x14ac:dyDescent="0.2">
      <c r="A3172" s="146"/>
      <c r="D3172" s="496"/>
    </row>
    <row r="3173" spans="1:4" x14ac:dyDescent="0.2">
      <c r="A3173" s="146"/>
      <c r="D3173" s="496"/>
    </row>
    <row r="3174" spans="1:4" x14ac:dyDescent="0.2">
      <c r="A3174" s="146"/>
      <c r="D3174" s="496"/>
    </row>
    <row r="3175" spans="1:4" x14ac:dyDescent="0.2">
      <c r="A3175" s="146"/>
      <c r="D3175" s="496"/>
    </row>
    <row r="3176" spans="1:4" x14ac:dyDescent="0.2">
      <c r="A3176" s="146"/>
      <c r="D3176" s="496"/>
    </row>
    <row r="3177" spans="1:4" x14ac:dyDescent="0.2">
      <c r="A3177" s="146"/>
      <c r="D3177" s="496"/>
    </row>
    <row r="3178" spans="1:4" x14ac:dyDescent="0.2">
      <c r="A3178" s="146"/>
      <c r="D3178" s="496"/>
    </row>
    <row r="3179" spans="1:4" x14ac:dyDescent="0.2">
      <c r="A3179" s="146"/>
      <c r="D3179" s="496"/>
    </row>
    <row r="3180" spans="1:4" x14ac:dyDescent="0.2">
      <c r="A3180" s="146"/>
      <c r="D3180" s="496"/>
    </row>
    <row r="3181" spans="1:4" x14ac:dyDescent="0.2">
      <c r="A3181" s="146"/>
      <c r="D3181" s="496"/>
    </row>
    <row r="3182" spans="1:4" x14ac:dyDescent="0.2">
      <c r="A3182" s="146"/>
      <c r="D3182" s="496"/>
    </row>
    <row r="3183" spans="1:4" x14ac:dyDescent="0.2">
      <c r="A3183" s="146"/>
      <c r="D3183" s="496"/>
    </row>
    <row r="3184" spans="1:4" x14ac:dyDescent="0.2">
      <c r="A3184" s="146"/>
      <c r="D3184" s="496"/>
    </row>
    <row r="3185" spans="1:4" x14ac:dyDescent="0.2">
      <c r="A3185" s="146"/>
      <c r="D3185" s="496"/>
    </row>
    <row r="3186" spans="1:4" x14ac:dyDescent="0.2">
      <c r="A3186" s="146"/>
      <c r="D3186" s="496"/>
    </row>
    <row r="3187" spans="1:4" x14ac:dyDescent="0.2">
      <c r="A3187" s="146"/>
      <c r="D3187" s="496"/>
    </row>
    <row r="3188" spans="1:4" x14ac:dyDescent="0.2">
      <c r="A3188" s="146"/>
      <c r="D3188" s="496"/>
    </row>
    <row r="3189" spans="1:4" x14ac:dyDescent="0.2">
      <c r="A3189" s="146"/>
      <c r="D3189" s="496"/>
    </row>
    <row r="3190" spans="1:4" x14ac:dyDescent="0.2">
      <c r="A3190" s="146"/>
      <c r="D3190" s="496"/>
    </row>
    <row r="3191" spans="1:4" x14ac:dyDescent="0.2">
      <c r="A3191" s="146"/>
      <c r="D3191" s="496"/>
    </row>
    <row r="3192" spans="1:4" x14ac:dyDescent="0.2">
      <c r="A3192" s="146"/>
      <c r="D3192" s="496"/>
    </row>
    <row r="3193" spans="1:4" x14ac:dyDescent="0.2">
      <c r="A3193" s="146"/>
      <c r="D3193" s="496"/>
    </row>
    <row r="3194" spans="1:4" x14ac:dyDescent="0.2">
      <c r="A3194" s="146"/>
      <c r="D3194" s="496"/>
    </row>
    <row r="3195" spans="1:4" x14ac:dyDescent="0.2">
      <c r="A3195" s="146"/>
      <c r="D3195" s="496"/>
    </row>
    <row r="3196" spans="1:4" x14ac:dyDescent="0.2">
      <c r="A3196" s="146"/>
      <c r="D3196" s="496"/>
    </row>
    <row r="3197" spans="1:4" x14ac:dyDescent="0.2">
      <c r="A3197" s="146"/>
      <c r="D3197" s="496"/>
    </row>
    <row r="3198" spans="1:4" x14ac:dyDescent="0.2">
      <c r="A3198" s="146"/>
      <c r="D3198" s="496"/>
    </row>
    <row r="3199" spans="1:4" x14ac:dyDescent="0.2">
      <c r="A3199" s="146"/>
      <c r="D3199" s="496"/>
    </row>
    <row r="3200" spans="1:4" x14ac:dyDescent="0.2">
      <c r="A3200" s="146"/>
      <c r="D3200" s="496"/>
    </row>
    <row r="3201" spans="1:4" x14ac:dyDescent="0.2">
      <c r="A3201" s="146"/>
      <c r="D3201" s="496"/>
    </row>
    <row r="3202" spans="1:4" x14ac:dyDescent="0.2">
      <c r="A3202" s="146"/>
      <c r="D3202" s="496"/>
    </row>
    <row r="3203" spans="1:4" x14ac:dyDescent="0.2">
      <c r="A3203" s="146"/>
      <c r="D3203" s="496"/>
    </row>
    <row r="3204" spans="1:4" x14ac:dyDescent="0.2">
      <c r="A3204" s="146"/>
      <c r="D3204" s="496"/>
    </row>
    <row r="3205" spans="1:4" x14ac:dyDescent="0.2">
      <c r="A3205" s="146"/>
      <c r="D3205" s="496"/>
    </row>
    <row r="3206" spans="1:4" x14ac:dyDescent="0.2">
      <c r="A3206" s="146"/>
      <c r="D3206" s="496"/>
    </row>
    <row r="3207" spans="1:4" x14ac:dyDescent="0.2">
      <c r="A3207" s="146"/>
      <c r="D3207" s="496"/>
    </row>
    <row r="3208" spans="1:4" x14ac:dyDescent="0.2">
      <c r="A3208" s="146"/>
      <c r="D3208" s="496"/>
    </row>
    <row r="3209" spans="1:4" x14ac:dyDescent="0.2">
      <c r="A3209" s="146"/>
      <c r="D3209" s="496"/>
    </row>
    <row r="3210" spans="1:4" x14ac:dyDescent="0.2">
      <c r="A3210" s="146"/>
      <c r="D3210" s="496"/>
    </row>
    <row r="3211" spans="1:4" x14ac:dyDescent="0.2">
      <c r="A3211" s="146"/>
      <c r="D3211" s="496"/>
    </row>
    <row r="3212" spans="1:4" x14ac:dyDescent="0.2">
      <c r="A3212" s="146"/>
      <c r="D3212" s="496"/>
    </row>
    <row r="3213" spans="1:4" x14ac:dyDescent="0.2">
      <c r="A3213" s="146"/>
      <c r="D3213" s="496"/>
    </row>
    <row r="3214" spans="1:4" x14ac:dyDescent="0.2">
      <c r="A3214" s="146"/>
      <c r="D3214" s="496"/>
    </row>
    <row r="3215" spans="1:4" x14ac:dyDescent="0.2">
      <c r="A3215" s="146"/>
      <c r="D3215" s="496"/>
    </row>
    <row r="3216" spans="1:4" x14ac:dyDescent="0.2">
      <c r="A3216" s="146"/>
      <c r="D3216" s="496"/>
    </row>
    <row r="3217" spans="1:4" x14ac:dyDescent="0.2">
      <c r="A3217" s="146"/>
      <c r="D3217" s="496"/>
    </row>
    <row r="3218" spans="1:4" x14ac:dyDescent="0.2">
      <c r="A3218" s="146"/>
      <c r="D3218" s="496"/>
    </row>
    <row r="3219" spans="1:4" x14ac:dyDescent="0.2">
      <c r="A3219" s="146"/>
      <c r="D3219" s="496"/>
    </row>
    <row r="3220" spans="1:4" x14ac:dyDescent="0.2">
      <c r="A3220" s="146"/>
      <c r="D3220" s="496"/>
    </row>
    <row r="3221" spans="1:4" x14ac:dyDescent="0.2">
      <c r="A3221" s="146"/>
      <c r="D3221" s="496"/>
    </row>
    <row r="3222" spans="1:4" x14ac:dyDescent="0.2">
      <c r="A3222" s="146"/>
      <c r="D3222" s="496"/>
    </row>
    <row r="3223" spans="1:4" x14ac:dyDescent="0.2">
      <c r="A3223" s="146"/>
      <c r="D3223" s="496"/>
    </row>
    <row r="3224" spans="1:4" x14ac:dyDescent="0.2">
      <c r="A3224" s="146"/>
      <c r="D3224" s="496"/>
    </row>
    <row r="3225" spans="1:4" x14ac:dyDescent="0.2">
      <c r="A3225" s="146"/>
      <c r="D3225" s="496"/>
    </row>
    <row r="3226" spans="1:4" x14ac:dyDescent="0.2">
      <c r="A3226" s="146"/>
      <c r="D3226" s="496"/>
    </row>
    <row r="3227" spans="1:4" x14ac:dyDescent="0.2">
      <c r="A3227" s="146"/>
      <c r="D3227" s="496"/>
    </row>
    <row r="3228" spans="1:4" x14ac:dyDescent="0.2">
      <c r="A3228" s="146"/>
      <c r="D3228" s="496"/>
    </row>
    <row r="3229" spans="1:4" x14ac:dyDescent="0.2">
      <c r="A3229" s="146"/>
      <c r="D3229" s="496"/>
    </row>
    <row r="3230" spans="1:4" x14ac:dyDescent="0.2">
      <c r="A3230" s="146"/>
      <c r="D3230" s="496"/>
    </row>
    <row r="3231" spans="1:4" x14ac:dyDescent="0.2">
      <c r="A3231" s="146"/>
      <c r="D3231" s="496"/>
    </row>
    <row r="3232" spans="1:4" x14ac:dyDescent="0.2">
      <c r="A3232" s="146"/>
      <c r="D3232" s="496"/>
    </row>
    <row r="3233" spans="1:4" x14ac:dyDescent="0.2">
      <c r="A3233" s="146"/>
      <c r="D3233" s="496"/>
    </row>
    <row r="3234" spans="1:4" x14ac:dyDescent="0.2">
      <c r="A3234" s="146"/>
      <c r="D3234" s="496"/>
    </row>
    <row r="3235" spans="1:4" x14ac:dyDescent="0.2">
      <c r="A3235" s="146"/>
      <c r="D3235" s="496"/>
    </row>
    <row r="3236" spans="1:4" x14ac:dyDescent="0.2">
      <c r="A3236" s="146"/>
      <c r="D3236" s="496"/>
    </row>
    <row r="3237" spans="1:4" x14ac:dyDescent="0.2">
      <c r="A3237" s="146"/>
      <c r="D3237" s="496"/>
    </row>
    <row r="3238" spans="1:4" x14ac:dyDescent="0.2">
      <c r="A3238" s="146"/>
      <c r="D3238" s="496"/>
    </row>
    <row r="3239" spans="1:4" x14ac:dyDescent="0.2">
      <c r="A3239" s="146"/>
      <c r="D3239" s="496"/>
    </row>
    <row r="3240" spans="1:4" x14ac:dyDescent="0.2">
      <c r="A3240" s="146"/>
      <c r="D3240" s="496"/>
    </row>
    <row r="3241" spans="1:4" x14ac:dyDescent="0.2">
      <c r="A3241" s="146"/>
      <c r="D3241" s="496"/>
    </row>
    <row r="3242" spans="1:4" x14ac:dyDescent="0.2">
      <c r="A3242" s="146"/>
      <c r="D3242" s="496"/>
    </row>
    <row r="3243" spans="1:4" x14ac:dyDescent="0.2">
      <c r="A3243" s="146"/>
      <c r="D3243" s="496"/>
    </row>
    <row r="3244" spans="1:4" x14ac:dyDescent="0.2">
      <c r="A3244" s="146"/>
      <c r="D3244" s="496"/>
    </row>
    <row r="3245" spans="1:4" x14ac:dyDescent="0.2">
      <c r="A3245" s="146"/>
      <c r="D3245" s="496"/>
    </row>
    <row r="3246" spans="1:4" x14ac:dyDescent="0.2">
      <c r="A3246" s="146"/>
      <c r="D3246" s="496"/>
    </row>
    <row r="3247" spans="1:4" x14ac:dyDescent="0.2">
      <c r="A3247" s="146"/>
      <c r="D3247" s="496"/>
    </row>
    <row r="3248" spans="1:4" x14ac:dyDescent="0.2">
      <c r="A3248" s="146"/>
      <c r="D3248" s="496"/>
    </row>
    <row r="3249" spans="1:4" x14ac:dyDescent="0.2">
      <c r="A3249" s="146"/>
      <c r="D3249" s="496"/>
    </row>
    <row r="3250" spans="1:4" x14ac:dyDescent="0.2">
      <c r="A3250" s="146"/>
      <c r="D3250" s="496"/>
    </row>
    <row r="3251" spans="1:4" x14ac:dyDescent="0.2">
      <c r="A3251" s="146"/>
      <c r="D3251" s="496"/>
    </row>
    <row r="3252" spans="1:4" x14ac:dyDescent="0.2">
      <c r="A3252" s="146"/>
      <c r="D3252" s="496"/>
    </row>
    <row r="3253" spans="1:4" x14ac:dyDescent="0.2">
      <c r="A3253" s="146"/>
      <c r="D3253" s="496"/>
    </row>
    <row r="3254" spans="1:4" x14ac:dyDescent="0.2">
      <c r="A3254" s="146"/>
      <c r="D3254" s="496"/>
    </row>
    <row r="3255" spans="1:4" x14ac:dyDescent="0.2">
      <c r="A3255" s="146"/>
      <c r="D3255" s="496"/>
    </row>
    <row r="3256" spans="1:4" x14ac:dyDescent="0.2">
      <c r="A3256" s="146"/>
      <c r="D3256" s="496"/>
    </row>
    <row r="3257" spans="1:4" x14ac:dyDescent="0.2">
      <c r="A3257" s="146"/>
      <c r="D3257" s="496"/>
    </row>
    <row r="3258" spans="1:4" x14ac:dyDescent="0.2">
      <c r="A3258" s="146"/>
      <c r="D3258" s="496"/>
    </row>
    <row r="3259" spans="1:4" x14ac:dyDescent="0.2">
      <c r="A3259" s="146"/>
      <c r="D3259" s="496"/>
    </row>
    <row r="3260" spans="1:4" x14ac:dyDescent="0.2">
      <c r="A3260" s="146"/>
      <c r="D3260" s="496"/>
    </row>
    <row r="3261" spans="1:4" x14ac:dyDescent="0.2">
      <c r="A3261" s="146"/>
      <c r="D3261" s="496"/>
    </row>
    <row r="3262" spans="1:4" x14ac:dyDescent="0.2">
      <c r="A3262" s="146"/>
      <c r="D3262" s="496"/>
    </row>
    <row r="3263" spans="1:4" x14ac:dyDescent="0.2">
      <c r="A3263" s="146"/>
      <c r="D3263" s="496"/>
    </row>
    <row r="3264" spans="1:4" x14ac:dyDescent="0.2">
      <c r="A3264" s="146"/>
      <c r="D3264" s="496"/>
    </row>
    <row r="3265" spans="1:4" x14ac:dyDescent="0.2">
      <c r="A3265" s="146"/>
      <c r="D3265" s="496"/>
    </row>
    <row r="3266" spans="1:4" x14ac:dyDescent="0.2">
      <c r="A3266" s="146"/>
      <c r="D3266" s="496"/>
    </row>
    <row r="3267" spans="1:4" x14ac:dyDescent="0.2">
      <c r="A3267" s="146"/>
      <c r="D3267" s="496"/>
    </row>
    <row r="3268" spans="1:4" x14ac:dyDescent="0.2">
      <c r="A3268" s="146"/>
      <c r="D3268" s="496"/>
    </row>
    <row r="3269" spans="1:4" x14ac:dyDescent="0.2">
      <c r="A3269" s="146"/>
      <c r="D3269" s="496"/>
    </row>
    <row r="3270" spans="1:4" x14ac:dyDescent="0.2">
      <c r="A3270" s="146"/>
      <c r="D3270" s="496"/>
    </row>
    <row r="3271" spans="1:4" x14ac:dyDescent="0.2">
      <c r="A3271" s="146"/>
      <c r="D3271" s="496"/>
    </row>
    <row r="3272" spans="1:4" x14ac:dyDescent="0.2">
      <c r="A3272" s="146"/>
      <c r="D3272" s="496"/>
    </row>
    <row r="3273" spans="1:4" x14ac:dyDescent="0.2">
      <c r="A3273" s="146"/>
      <c r="D3273" s="496"/>
    </row>
    <row r="3274" spans="1:4" x14ac:dyDescent="0.2">
      <c r="A3274" s="146"/>
      <c r="D3274" s="496"/>
    </row>
    <row r="3275" spans="1:4" x14ac:dyDescent="0.2">
      <c r="A3275" s="146"/>
      <c r="D3275" s="496"/>
    </row>
    <row r="3276" spans="1:4" x14ac:dyDescent="0.2">
      <c r="A3276" s="146"/>
      <c r="D3276" s="496"/>
    </row>
    <row r="3277" spans="1:4" x14ac:dyDescent="0.2">
      <c r="A3277" s="146"/>
      <c r="D3277" s="496"/>
    </row>
    <row r="3278" spans="1:4" x14ac:dyDescent="0.2">
      <c r="A3278" s="146"/>
      <c r="D3278" s="496"/>
    </row>
    <row r="3279" spans="1:4" x14ac:dyDescent="0.2">
      <c r="A3279" s="146"/>
      <c r="D3279" s="496"/>
    </row>
    <row r="3280" spans="1:4" x14ac:dyDescent="0.2">
      <c r="A3280" s="146"/>
      <c r="D3280" s="496"/>
    </row>
    <row r="3281" spans="1:4" x14ac:dyDescent="0.2">
      <c r="A3281" s="146"/>
      <c r="D3281" s="496"/>
    </row>
    <row r="3282" spans="1:4" x14ac:dyDescent="0.2">
      <c r="A3282" s="146"/>
      <c r="D3282" s="496"/>
    </row>
    <row r="3283" spans="1:4" x14ac:dyDescent="0.2">
      <c r="A3283" s="146"/>
      <c r="D3283" s="496"/>
    </row>
    <row r="3284" spans="1:4" x14ac:dyDescent="0.2">
      <c r="A3284" s="146"/>
      <c r="D3284" s="496"/>
    </row>
    <row r="3285" spans="1:4" x14ac:dyDescent="0.2">
      <c r="A3285" s="146"/>
      <c r="D3285" s="496"/>
    </row>
    <row r="3286" spans="1:4" x14ac:dyDescent="0.2">
      <c r="A3286" s="146"/>
      <c r="D3286" s="496"/>
    </row>
    <row r="3287" spans="1:4" x14ac:dyDescent="0.2">
      <c r="A3287" s="146"/>
      <c r="D3287" s="496"/>
    </row>
    <row r="3288" spans="1:4" x14ac:dyDescent="0.2">
      <c r="A3288" s="146"/>
      <c r="D3288" s="496"/>
    </row>
    <row r="3289" spans="1:4" x14ac:dyDescent="0.2">
      <c r="A3289" s="146"/>
      <c r="D3289" s="496"/>
    </row>
    <row r="3290" spans="1:4" x14ac:dyDescent="0.2">
      <c r="A3290" s="146"/>
      <c r="D3290" s="496"/>
    </row>
    <row r="3291" spans="1:4" x14ac:dyDescent="0.2">
      <c r="A3291" s="146"/>
      <c r="D3291" s="496"/>
    </row>
    <row r="3292" spans="1:4" x14ac:dyDescent="0.2">
      <c r="A3292" s="146"/>
      <c r="D3292" s="496"/>
    </row>
    <row r="3293" spans="1:4" x14ac:dyDescent="0.2">
      <c r="A3293" s="146"/>
      <c r="D3293" s="496"/>
    </row>
    <row r="3294" spans="1:4" x14ac:dyDescent="0.2">
      <c r="A3294" s="146"/>
      <c r="D3294" s="496"/>
    </row>
    <row r="3295" spans="1:4" x14ac:dyDescent="0.2">
      <c r="A3295" s="146"/>
      <c r="D3295" s="496"/>
    </row>
    <row r="3296" spans="1:4" x14ac:dyDescent="0.2">
      <c r="A3296" s="146"/>
      <c r="D3296" s="496"/>
    </row>
    <row r="3297" spans="1:4" x14ac:dyDescent="0.2">
      <c r="A3297" s="146"/>
      <c r="D3297" s="496"/>
    </row>
    <row r="3298" spans="1:4" x14ac:dyDescent="0.2">
      <c r="A3298" s="146"/>
      <c r="D3298" s="496"/>
    </row>
    <row r="3299" spans="1:4" x14ac:dyDescent="0.2">
      <c r="A3299" s="146"/>
      <c r="D3299" s="496"/>
    </row>
    <row r="3300" spans="1:4" x14ac:dyDescent="0.2">
      <c r="A3300" s="146"/>
      <c r="D3300" s="496"/>
    </row>
    <row r="3301" spans="1:4" x14ac:dyDescent="0.2">
      <c r="A3301" s="146"/>
      <c r="D3301" s="496"/>
    </row>
    <row r="3302" spans="1:4" x14ac:dyDescent="0.2">
      <c r="A3302" s="146"/>
      <c r="D3302" s="496"/>
    </row>
    <row r="3303" spans="1:4" x14ac:dyDescent="0.2">
      <c r="A3303" s="146"/>
      <c r="D3303" s="496"/>
    </row>
    <row r="3304" spans="1:4" x14ac:dyDescent="0.2">
      <c r="A3304" s="146"/>
      <c r="D3304" s="496"/>
    </row>
    <row r="3305" spans="1:4" x14ac:dyDescent="0.2">
      <c r="A3305" s="146"/>
      <c r="D3305" s="496"/>
    </row>
    <row r="3306" spans="1:4" x14ac:dyDescent="0.2">
      <c r="A3306" s="146"/>
      <c r="D3306" s="496"/>
    </row>
    <row r="3307" spans="1:4" x14ac:dyDescent="0.2">
      <c r="A3307" s="146"/>
      <c r="D3307" s="496"/>
    </row>
    <row r="3308" spans="1:4" x14ac:dyDescent="0.2">
      <c r="A3308" s="146"/>
      <c r="D3308" s="496"/>
    </row>
    <row r="3309" spans="1:4" x14ac:dyDescent="0.2">
      <c r="A3309" s="146"/>
      <c r="D3309" s="496"/>
    </row>
    <row r="3310" spans="1:4" x14ac:dyDescent="0.2">
      <c r="A3310" s="146"/>
      <c r="D3310" s="496"/>
    </row>
    <row r="3311" spans="1:4" x14ac:dyDescent="0.2">
      <c r="A3311" s="146"/>
      <c r="D3311" s="496"/>
    </row>
    <row r="3312" spans="1:4" x14ac:dyDescent="0.2">
      <c r="A3312" s="146"/>
      <c r="D3312" s="496"/>
    </row>
    <row r="3313" spans="1:4" x14ac:dyDescent="0.2">
      <c r="A3313" s="146"/>
      <c r="D3313" s="496"/>
    </row>
    <row r="3314" spans="1:4" x14ac:dyDescent="0.2">
      <c r="A3314" s="146"/>
      <c r="D3314" s="496"/>
    </row>
    <row r="3315" spans="1:4" x14ac:dyDescent="0.2">
      <c r="A3315" s="146"/>
      <c r="D3315" s="496"/>
    </row>
    <row r="3316" spans="1:4" x14ac:dyDescent="0.2">
      <c r="A3316" s="146"/>
      <c r="D3316" s="496"/>
    </row>
    <row r="3317" spans="1:4" x14ac:dyDescent="0.2">
      <c r="A3317" s="146"/>
      <c r="D3317" s="496"/>
    </row>
    <row r="3318" spans="1:4" x14ac:dyDescent="0.2">
      <c r="A3318" s="146"/>
      <c r="D3318" s="496"/>
    </row>
    <row r="3319" spans="1:4" x14ac:dyDescent="0.2">
      <c r="A3319" s="146"/>
      <c r="D3319" s="496"/>
    </row>
    <row r="3320" spans="1:4" x14ac:dyDescent="0.2">
      <c r="A3320" s="146"/>
      <c r="D3320" s="496"/>
    </row>
    <row r="3321" spans="1:4" x14ac:dyDescent="0.2">
      <c r="A3321" s="146"/>
      <c r="D3321" s="496"/>
    </row>
    <row r="3322" spans="1:4" x14ac:dyDescent="0.2">
      <c r="A3322" s="146"/>
      <c r="D3322" s="496"/>
    </row>
    <row r="3323" spans="1:4" x14ac:dyDescent="0.2">
      <c r="A3323" s="146"/>
      <c r="D3323" s="496"/>
    </row>
    <row r="3324" spans="1:4" x14ac:dyDescent="0.2">
      <c r="A3324" s="146"/>
      <c r="D3324" s="496"/>
    </row>
    <row r="3325" spans="1:4" x14ac:dyDescent="0.2">
      <c r="A3325" s="146"/>
      <c r="D3325" s="496"/>
    </row>
    <row r="3326" spans="1:4" x14ac:dyDescent="0.2">
      <c r="A3326" s="146"/>
      <c r="D3326" s="496"/>
    </row>
    <row r="3327" spans="1:4" x14ac:dyDescent="0.2">
      <c r="A3327" s="146"/>
      <c r="D3327" s="496"/>
    </row>
    <row r="3328" spans="1:4" x14ac:dyDescent="0.2">
      <c r="A3328" s="146"/>
      <c r="D3328" s="496"/>
    </row>
    <row r="3329" spans="1:4" x14ac:dyDescent="0.2">
      <c r="A3329" s="146"/>
      <c r="D3329" s="496"/>
    </row>
    <row r="3330" spans="1:4" x14ac:dyDescent="0.2">
      <c r="A3330" s="146"/>
      <c r="D3330" s="496"/>
    </row>
    <row r="3331" spans="1:4" x14ac:dyDescent="0.2">
      <c r="A3331" s="146"/>
      <c r="D3331" s="496"/>
    </row>
    <row r="3332" spans="1:4" x14ac:dyDescent="0.2">
      <c r="A3332" s="146"/>
      <c r="D3332" s="496"/>
    </row>
    <row r="3333" spans="1:4" x14ac:dyDescent="0.2">
      <c r="A3333" s="146"/>
      <c r="D3333" s="496"/>
    </row>
    <row r="3334" spans="1:4" x14ac:dyDescent="0.2">
      <c r="A3334" s="146"/>
      <c r="D3334" s="496"/>
    </row>
    <row r="3335" spans="1:4" x14ac:dyDescent="0.2">
      <c r="A3335" s="146"/>
      <c r="D3335" s="496"/>
    </row>
    <row r="3336" spans="1:4" x14ac:dyDescent="0.2">
      <c r="A3336" s="146"/>
      <c r="D3336" s="496"/>
    </row>
    <row r="3337" spans="1:4" x14ac:dyDescent="0.2">
      <c r="A3337" s="146"/>
      <c r="D3337" s="496"/>
    </row>
    <row r="3338" spans="1:4" x14ac:dyDescent="0.2">
      <c r="A3338" s="146"/>
      <c r="D3338" s="496"/>
    </row>
    <row r="3339" spans="1:4" x14ac:dyDescent="0.2">
      <c r="A3339" s="146"/>
      <c r="D3339" s="496"/>
    </row>
    <row r="3340" spans="1:4" x14ac:dyDescent="0.2">
      <c r="A3340" s="146"/>
      <c r="D3340" s="496"/>
    </row>
    <row r="3341" spans="1:4" x14ac:dyDescent="0.2">
      <c r="A3341" s="146"/>
      <c r="D3341" s="496"/>
    </row>
    <row r="3342" spans="1:4" x14ac:dyDescent="0.2">
      <c r="A3342" s="146"/>
      <c r="D3342" s="496"/>
    </row>
    <row r="3343" spans="1:4" x14ac:dyDescent="0.2">
      <c r="A3343" s="146"/>
      <c r="D3343" s="496"/>
    </row>
    <row r="3344" spans="1:4" x14ac:dyDescent="0.2">
      <c r="A3344" s="146"/>
      <c r="D3344" s="496"/>
    </row>
    <row r="3345" spans="1:4" x14ac:dyDescent="0.2">
      <c r="A3345" s="146"/>
      <c r="D3345" s="496"/>
    </row>
    <row r="3346" spans="1:4" x14ac:dyDescent="0.2">
      <c r="A3346" s="146"/>
      <c r="D3346" s="496"/>
    </row>
    <row r="3347" spans="1:4" x14ac:dyDescent="0.2">
      <c r="A3347" s="146"/>
      <c r="D3347" s="496"/>
    </row>
    <row r="3348" spans="1:4" x14ac:dyDescent="0.2">
      <c r="A3348" s="146"/>
      <c r="D3348" s="496"/>
    </row>
    <row r="3349" spans="1:4" x14ac:dyDescent="0.2">
      <c r="A3349" s="146"/>
      <c r="D3349" s="496"/>
    </row>
    <row r="3350" spans="1:4" x14ac:dyDescent="0.2">
      <c r="A3350" s="146"/>
      <c r="D3350" s="496"/>
    </row>
    <row r="3351" spans="1:4" x14ac:dyDescent="0.2">
      <c r="A3351" s="146"/>
      <c r="D3351" s="496"/>
    </row>
    <row r="3352" spans="1:4" x14ac:dyDescent="0.2">
      <c r="A3352" s="146"/>
      <c r="D3352" s="496"/>
    </row>
    <row r="3353" spans="1:4" x14ac:dyDescent="0.2">
      <c r="A3353" s="146"/>
      <c r="D3353" s="496"/>
    </row>
    <row r="3354" spans="1:4" x14ac:dyDescent="0.2">
      <c r="A3354" s="146"/>
      <c r="D3354" s="496"/>
    </row>
    <row r="3355" spans="1:4" x14ac:dyDescent="0.2">
      <c r="A3355" s="146"/>
      <c r="D3355" s="496"/>
    </row>
    <row r="3356" spans="1:4" x14ac:dyDescent="0.2">
      <c r="A3356" s="146"/>
      <c r="D3356" s="496"/>
    </row>
    <row r="3357" spans="1:4" x14ac:dyDescent="0.2">
      <c r="A3357" s="146"/>
      <c r="D3357" s="496"/>
    </row>
    <row r="3358" spans="1:4" x14ac:dyDescent="0.2">
      <c r="A3358" s="146"/>
      <c r="D3358" s="496"/>
    </row>
    <row r="3359" spans="1:4" x14ac:dyDescent="0.2">
      <c r="A3359" s="146"/>
      <c r="D3359" s="496"/>
    </row>
    <row r="3360" spans="1:4" x14ac:dyDescent="0.2">
      <c r="A3360" s="146"/>
      <c r="D3360" s="496"/>
    </row>
    <row r="3361" spans="1:4" x14ac:dyDescent="0.2">
      <c r="A3361" s="146"/>
      <c r="D3361" s="496"/>
    </row>
    <row r="3362" spans="1:4" x14ac:dyDescent="0.2">
      <c r="A3362" s="146"/>
      <c r="D3362" s="496"/>
    </row>
    <row r="3363" spans="1:4" x14ac:dyDescent="0.2">
      <c r="A3363" s="146"/>
      <c r="D3363" s="496"/>
    </row>
    <row r="3364" spans="1:4" x14ac:dyDescent="0.2">
      <c r="A3364" s="146"/>
      <c r="D3364" s="496"/>
    </row>
    <row r="3365" spans="1:4" x14ac:dyDescent="0.2">
      <c r="A3365" s="146"/>
      <c r="D3365" s="496"/>
    </row>
    <row r="3366" spans="1:4" x14ac:dyDescent="0.2">
      <c r="A3366" s="146"/>
      <c r="D3366" s="496"/>
    </row>
    <row r="3367" spans="1:4" x14ac:dyDescent="0.2">
      <c r="A3367" s="146"/>
      <c r="D3367" s="496"/>
    </row>
    <row r="3368" spans="1:4" x14ac:dyDescent="0.2">
      <c r="A3368" s="146"/>
      <c r="D3368" s="496"/>
    </row>
    <row r="3369" spans="1:4" x14ac:dyDescent="0.2">
      <c r="A3369" s="146"/>
      <c r="D3369" s="496"/>
    </row>
    <row r="3370" spans="1:4" x14ac:dyDescent="0.2">
      <c r="A3370" s="146"/>
      <c r="D3370" s="496"/>
    </row>
    <row r="3371" spans="1:4" x14ac:dyDescent="0.2">
      <c r="A3371" s="146"/>
      <c r="D3371" s="496"/>
    </row>
    <row r="3372" spans="1:4" x14ac:dyDescent="0.2">
      <c r="A3372" s="146"/>
      <c r="D3372" s="496"/>
    </row>
    <row r="3373" spans="1:4" x14ac:dyDescent="0.2">
      <c r="A3373" s="146"/>
      <c r="D3373" s="496"/>
    </row>
    <row r="3374" spans="1:4" x14ac:dyDescent="0.2">
      <c r="A3374" s="146"/>
      <c r="D3374" s="496"/>
    </row>
    <row r="3375" spans="1:4" x14ac:dyDescent="0.2">
      <c r="A3375" s="146"/>
      <c r="D3375" s="496"/>
    </row>
    <row r="3376" spans="1:4" x14ac:dyDescent="0.2">
      <c r="A3376" s="146"/>
      <c r="D3376" s="496"/>
    </row>
    <row r="3377" spans="1:4" x14ac:dyDescent="0.2">
      <c r="A3377" s="146"/>
      <c r="D3377" s="496"/>
    </row>
    <row r="3378" spans="1:4" x14ac:dyDescent="0.2">
      <c r="A3378" s="146"/>
      <c r="D3378" s="496"/>
    </row>
    <row r="3379" spans="1:4" x14ac:dyDescent="0.2">
      <c r="A3379" s="146"/>
      <c r="D3379" s="496"/>
    </row>
    <row r="3380" spans="1:4" x14ac:dyDescent="0.2">
      <c r="A3380" s="146"/>
      <c r="D3380" s="496"/>
    </row>
    <row r="3381" spans="1:4" x14ac:dyDescent="0.2">
      <c r="A3381" s="146"/>
      <c r="D3381" s="496"/>
    </row>
    <row r="3382" spans="1:4" x14ac:dyDescent="0.2">
      <c r="A3382" s="146"/>
      <c r="D3382" s="496"/>
    </row>
    <row r="3383" spans="1:4" x14ac:dyDescent="0.2">
      <c r="A3383" s="146"/>
      <c r="D3383" s="496"/>
    </row>
    <row r="3384" spans="1:4" x14ac:dyDescent="0.2">
      <c r="A3384" s="146"/>
      <c r="D3384" s="496"/>
    </row>
    <row r="3385" spans="1:4" x14ac:dyDescent="0.2">
      <c r="A3385" s="146"/>
      <c r="D3385" s="496"/>
    </row>
    <row r="3386" spans="1:4" x14ac:dyDescent="0.2">
      <c r="A3386" s="146"/>
      <c r="D3386" s="496"/>
    </row>
    <row r="3387" spans="1:4" x14ac:dyDescent="0.2">
      <c r="A3387" s="146"/>
      <c r="D3387" s="496"/>
    </row>
    <row r="3388" spans="1:4" x14ac:dyDescent="0.2">
      <c r="A3388" s="146"/>
      <c r="D3388" s="496"/>
    </row>
    <row r="3389" spans="1:4" x14ac:dyDescent="0.2">
      <c r="A3389" s="146"/>
      <c r="D3389" s="496"/>
    </row>
    <row r="3390" spans="1:4" x14ac:dyDescent="0.2">
      <c r="A3390" s="146"/>
      <c r="D3390" s="496"/>
    </row>
    <row r="3391" spans="1:4" x14ac:dyDescent="0.2">
      <c r="A3391" s="146"/>
      <c r="D3391" s="496"/>
    </row>
    <row r="3392" spans="1:4" x14ac:dyDescent="0.2">
      <c r="A3392" s="146"/>
      <c r="D3392" s="496"/>
    </row>
    <row r="3393" spans="1:4" x14ac:dyDescent="0.2">
      <c r="A3393" s="146"/>
      <c r="D3393" s="496"/>
    </row>
    <row r="3394" spans="1:4" x14ac:dyDescent="0.2">
      <c r="A3394" s="146"/>
      <c r="D3394" s="496"/>
    </row>
    <row r="3395" spans="1:4" x14ac:dyDescent="0.2">
      <c r="A3395" s="146"/>
      <c r="D3395" s="496"/>
    </row>
    <row r="3396" spans="1:4" x14ac:dyDescent="0.2">
      <c r="A3396" s="146"/>
      <c r="D3396" s="496"/>
    </row>
    <row r="3397" spans="1:4" x14ac:dyDescent="0.2">
      <c r="A3397" s="146"/>
      <c r="D3397" s="496"/>
    </row>
    <row r="3398" spans="1:4" x14ac:dyDescent="0.2">
      <c r="A3398" s="146"/>
      <c r="D3398" s="496"/>
    </row>
    <row r="3399" spans="1:4" x14ac:dyDescent="0.2">
      <c r="A3399" s="146"/>
      <c r="D3399" s="496"/>
    </row>
    <row r="3400" spans="1:4" x14ac:dyDescent="0.2">
      <c r="A3400" s="146"/>
      <c r="D3400" s="496"/>
    </row>
    <row r="3401" spans="1:4" x14ac:dyDescent="0.2">
      <c r="A3401" s="146"/>
      <c r="D3401" s="496"/>
    </row>
    <row r="3402" spans="1:4" x14ac:dyDescent="0.2">
      <c r="A3402" s="146"/>
      <c r="D3402" s="496"/>
    </row>
    <row r="3403" spans="1:4" x14ac:dyDescent="0.2">
      <c r="A3403" s="146"/>
      <c r="D3403" s="496"/>
    </row>
    <row r="3404" spans="1:4" x14ac:dyDescent="0.2">
      <c r="A3404" s="146"/>
      <c r="D3404" s="496"/>
    </row>
    <row r="3405" spans="1:4" x14ac:dyDescent="0.2">
      <c r="A3405" s="146"/>
      <c r="D3405" s="496"/>
    </row>
    <row r="3406" spans="1:4" x14ac:dyDescent="0.2">
      <c r="A3406" s="146"/>
      <c r="D3406" s="496"/>
    </row>
    <row r="3407" spans="1:4" x14ac:dyDescent="0.2">
      <c r="A3407" s="146"/>
      <c r="D3407" s="496"/>
    </row>
    <row r="3408" spans="1:4" x14ac:dyDescent="0.2">
      <c r="A3408" s="146"/>
      <c r="D3408" s="496"/>
    </row>
    <row r="3409" spans="1:4" x14ac:dyDescent="0.2">
      <c r="A3409" s="146"/>
      <c r="D3409" s="496"/>
    </row>
    <row r="3410" spans="1:4" x14ac:dyDescent="0.2">
      <c r="A3410" s="146"/>
      <c r="D3410" s="496"/>
    </row>
    <row r="3411" spans="1:4" x14ac:dyDescent="0.2">
      <c r="A3411" s="146"/>
      <c r="D3411" s="496"/>
    </row>
    <row r="3412" spans="1:4" x14ac:dyDescent="0.2">
      <c r="A3412" s="146"/>
      <c r="D3412" s="496"/>
    </row>
    <row r="3413" spans="1:4" x14ac:dyDescent="0.2">
      <c r="A3413" s="146"/>
      <c r="D3413" s="496"/>
    </row>
    <row r="3414" spans="1:4" x14ac:dyDescent="0.2">
      <c r="A3414" s="146"/>
      <c r="D3414" s="496"/>
    </row>
    <row r="3415" spans="1:4" x14ac:dyDescent="0.2">
      <c r="A3415" s="146"/>
      <c r="D3415" s="496"/>
    </row>
    <row r="3416" spans="1:4" x14ac:dyDescent="0.2">
      <c r="A3416" s="146"/>
      <c r="D3416" s="496"/>
    </row>
    <row r="3417" spans="1:4" x14ac:dyDescent="0.2">
      <c r="A3417" s="146"/>
      <c r="D3417" s="496"/>
    </row>
    <row r="3418" spans="1:4" x14ac:dyDescent="0.2">
      <c r="A3418" s="146"/>
      <c r="D3418" s="496"/>
    </row>
    <row r="3419" spans="1:4" x14ac:dyDescent="0.2">
      <c r="A3419" s="146"/>
      <c r="D3419" s="496"/>
    </row>
    <row r="3420" spans="1:4" x14ac:dyDescent="0.2">
      <c r="A3420" s="146"/>
      <c r="D3420" s="496"/>
    </row>
    <row r="3421" spans="1:4" x14ac:dyDescent="0.2">
      <c r="A3421" s="146"/>
      <c r="D3421" s="496"/>
    </row>
    <row r="3422" spans="1:4" x14ac:dyDescent="0.2">
      <c r="A3422" s="146"/>
      <c r="D3422" s="496"/>
    </row>
    <row r="3423" spans="1:4" x14ac:dyDescent="0.2">
      <c r="A3423" s="146"/>
      <c r="D3423" s="496"/>
    </row>
    <row r="3424" spans="1:4" x14ac:dyDescent="0.2">
      <c r="A3424" s="146"/>
      <c r="D3424" s="496"/>
    </row>
    <row r="3425" spans="1:4" x14ac:dyDescent="0.2">
      <c r="A3425" s="146"/>
      <c r="D3425" s="496"/>
    </row>
    <row r="3426" spans="1:4" x14ac:dyDescent="0.2">
      <c r="A3426" s="146"/>
      <c r="D3426" s="496"/>
    </row>
    <row r="3427" spans="1:4" x14ac:dyDescent="0.2">
      <c r="A3427" s="146"/>
      <c r="D3427" s="496"/>
    </row>
    <row r="3428" spans="1:4" x14ac:dyDescent="0.2">
      <c r="A3428" s="146"/>
      <c r="D3428" s="496"/>
    </row>
    <row r="3429" spans="1:4" x14ac:dyDescent="0.2">
      <c r="A3429" s="146"/>
      <c r="D3429" s="496"/>
    </row>
    <row r="3430" spans="1:4" x14ac:dyDescent="0.2">
      <c r="A3430" s="146"/>
      <c r="D3430" s="496"/>
    </row>
    <row r="3431" spans="1:4" x14ac:dyDescent="0.2">
      <c r="A3431" s="146"/>
      <c r="D3431" s="496"/>
    </row>
    <row r="3432" spans="1:4" x14ac:dyDescent="0.2">
      <c r="A3432" s="146"/>
      <c r="D3432" s="496"/>
    </row>
    <row r="3433" spans="1:4" x14ac:dyDescent="0.2">
      <c r="A3433" s="146"/>
      <c r="D3433" s="496"/>
    </row>
    <row r="3434" spans="1:4" x14ac:dyDescent="0.2">
      <c r="A3434" s="146"/>
      <c r="D3434" s="496"/>
    </row>
    <row r="3435" spans="1:4" x14ac:dyDescent="0.2">
      <c r="A3435" s="146"/>
      <c r="D3435" s="496"/>
    </row>
    <row r="3436" spans="1:4" x14ac:dyDescent="0.2">
      <c r="A3436" s="146"/>
      <c r="D3436" s="496"/>
    </row>
    <row r="3437" spans="1:4" x14ac:dyDescent="0.2">
      <c r="A3437" s="146"/>
      <c r="D3437" s="496"/>
    </row>
    <row r="3438" spans="1:4" x14ac:dyDescent="0.2">
      <c r="A3438" s="146"/>
      <c r="D3438" s="496"/>
    </row>
    <row r="3439" spans="1:4" x14ac:dyDescent="0.2">
      <c r="A3439" s="146"/>
      <c r="D3439" s="496"/>
    </row>
    <row r="3440" spans="1:4" x14ac:dyDescent="0.2">
      <c r="A3440" s="146"/>
      <c r="D3440" s="496"/>
    </row>
    <row r="3441" spans="1:4" x14ac:dyDescent="0.2">
      <c r="A3441" s="146"/>
      <c r="D3441" s="496"/>
    </row>
    <row r="3442" spans="1:4" x14ac:dyDescent="0.2">
      <c r="A3442" s="146"/>
      <c r="D3442" s="496"/>
    </row>
    <row r="3443" spans="1:4" x14ac:dyDescent="0.2">
      <c r="A3443" s="146"/>
      <c r="D3443" s="496"/>
    </row>
    <row r="3444" spans="1:4" x14ac:dyDescent="0.2">
      <c r="A3444" s="146"/>
      <c r="D3444" s="496"/>
    </row>
    <row r="3445" spans="1:4" x14ac:dyDescent="0.2">
      <c r="A3445" s="146"/>
      <c r="D3445" s="496"/>
    </row>
    <row r="3446" spans="1:4" x14ac:dyDescent="0.2">
      <c r="A3446" s="146"/>
      <c r="D3446" s="496"/>
    </row>
    <row r="3447" spans="1:4" x14ac:dyDescent="0.2">
      <c r="A3447" s="146"/>
      <c r="D3447" s="496"/>
    </row>
    <row r="3448" spans="1:4" x14ac:dyDescent="0.2">
      <c r="A3448" s="146"/>
      <c r="D3448" s="496"/>
    </row>
    <row r="3449" spans="1:4" x14ac:dyDescent="0.2">
      <c r="A3449" s="146"/>
      <c r="D3449" s="496"/>
    </row>
    <row r="3450" spans="1:4" x14ac:dyDescent="0.2">
      <c r="A3450" s="146"/>
      <c r="D3450" s="496"/>
    </row>
    <row r="3451" spans="1:4" x14ac:dyDescent="0.2">
      <c r="A3451" s="146"/>
      <c r="D3451" s="496"/>
    </row>
    <row r="3452" spans="1:4" x14ac:dyDescent="0.2">
      <c r="A3452" s="146"/>
      <c r="D3452" s="496"/>
    </row>
    <row r="3453" spans="1:4" x14ac:dyDescent="0.2">
      <c r="A3453" s="146"/>
      <c r="D3453" s="496"/>
    </row>
    <row r="3454" spans="1:4" x14ac:dyDescent="0.2">
      <c r="A3454" s="146"/>
      <c r="D3454" s="496"/>
    </row>
    <row r="3455" spans="1:4" x14ac:dyDescent="0.2">
      <c r="A3455" s="146"/>
      <c r="D3455" s="496"/>
    </row>
    <row r="3456" spans="1:4" x14ac:dyDescent="0.2">
      <c r="A3456" s="146"/>
      <c r="D3456" s="496"/>
    </row>
    <row r="3457" spans="1:4" x14ac:dyDescent="0.2">
      <c r="A3457" s="146"/>
      <c r="D3457" s="496"/>
    </row>
    <row r="3458" spans="1:4" x14ac:dyDescent="0.2">
      <c r="A3458" s="146"/>
      <c r="D3458" s="496"/>
    </row>
    <row r="3459" spans="1:4" x14ac:dyDescent="0.2">
      <c r="A3459" s="146"/>
      <c r="D3459" s="496"/>
    </row>
    <row r="3460" spans="1:4" x14ac:dyDescent="0.2">
      <c r="A3460" s="146"/>
      <c r="D3460" s="496"/>
    </row>
    <row r="3461" spans="1:4" x14ac:dyDescent="0.2">
      <c r="A3461" s="146"/>
      <c r="D3461" s="496"/>
    </row>
    <row r="3462" spans="1:4" x14ac:dyDescent="0.2">
      <c r="A3462" s="146"/>
      <c r="D3462" s="496"/>
    </row>
    <row r="3463" spans="1:4" x14ac:dyDescent="0.2">
      <c r="A3463" s="146"/>
      <c r="D3463" s="496"/>
    </row>
    <row r="3464" spans="1:4" x14ac:dyDescent="0.2">
      <c r="A3464" s="146"/>
      <c r="D3464" s="496"/>
    </row>
    <row r="3465" spans="1:4" x14ac:dyDescent="0.2">
      <c r="A3465" s="146"/>
      <c r="D3465" s="496"/>
    </row>
    <row r="3466" spans="1:4" x14ac:dyDescent="0.2">
      <c r="A3466" s="146"/>
      <c r="D3466" s="496"/>
    </row>
    <row r="3467" spans="1:4" x14ac:dyDescent="0.2">
      <c r="A3467" s="146"/>
      <c r="D3467" s="496"/>
    </row>
    <row r="3468" spans="1:4" x14ac:dyDescent="0.2">
      <c r="A3468" s="146"/>
      <c r="D3468" s="496"/>
    </row>
    <row r="3469" spans="1:4" x14ac:dyDescent="0.2">
      <c r="A3469" s="146"/>
      <c r="D3469" s="496"/>
    </row>
    <row r="3470" spans="1:4" x14ac:dyDescent="0.2">
      <c r="A3470" s="146"/>
      <c r="D3470" s="496"/>
    </row>
    <row r="3471" spans="1:4" x14ac:dyDescent="0.2">
      <c r="A3471" s="146"/>
      <c r="D3471" s="496"/>
    </row>
    <row r="3472" spans="1:4" x14ac:dyDescent="0.2">
      <c r="A3472" s="146"/>
      <c r="D3472" s="496"/>
    </row>
    <row r="3473" spans="1:4" x14ac:dyDescent="0.2">
      <c r="A3473" s="146"/>
      <c r="D3473" s="496"/>
    </row>
    <row r="3474" spans="1:4" x14ac:dyDescent="0.2">
      <c r="A3474" s="146"/>
      <c r="D3474" s="496"/>
    </row>
    <row r="3475" spans="1:4" x14ac:dyDescent="0.2">
      <c r="A3475" s="146"/>
      <c r="D3475" s="496"/>
    </row>
    <row r="3476" spans="1:4" x14ac:dyDescent="0.2">
      <c r="A3476" s="146"/>
      <c r="D3476" s="496"/>
    </row>
    <row r="3477" spans="1:4" x14ac:dyDescent="0.2">
      <c r="A3477" s="146"/>
      <c r="D3477" s="496"/>
    </row>
    <row r="3478" spans="1:4" x14ac:dyDescent="0.2">
      <c r="A3478" s="146"/>
      <c r="D3478" s="496"/>
    </row>
    <row r="3479" spans="1:4" x14ac:dyDescent="0.2">
      <c r="A3479" s="146"/>
      <c r="D3479" s="496"/>
    </row>
    <row r="3480" spans="1:4" x14ac:dyDescent="0.2">
      <c r="A3480" s="146"/>
      <c r="D3480" s="496"/>
    </row>
    <row r="3481" spans="1:4" x14ac:dyDescent="0.2">
      <c r="A3481" s="146"/>
      <c r="D3481" s="496"/>
    </row>
    <row r="3482" spans="1:4" x14ac:dyDescent="0.2">
      <c r="A3482" s="146"/>
      <c r="D3482" s="496"/>
    </row>
    <row r="3483" spans="1:4" x14ac:dyDescent="0.2">
      <c r="A3483" s="146"/>
      <c r="D3483" s="496"/>
    </row>
    <row r="3484" spans="1:4" x14ac:dyDescent="0.2">
      <c r="A3484" s="146"/>
      <c r="D3484" s="496"/>
    </row>
    <row r="3485" spans="1:4" x14ac:dyDescent="0.2">
      <c r="A3485" s="146"/>
      <c r="D3485" s="496"/>
    </row>
    <row r="3486" spans="1:4" x14ac:dyDescent="0.2">
      <c r="A3486" s="146"/>
      <c r="D3486" s="496"/>
    </row>
    <row r="3487" spans="1:4" x14ac:dyDescent="0.2">
      <c r="A3487" s="146"/>
      <c r="D3487" s="496"/>
    </row>
    <row r="3488" spans="1:4" x14ac:dyDescent="0.2">
      <c r="A3488" s="146"/>
      <c r="D3488" s="496"/>
    </row>
    <row r="3489" spans="1:4" x14ac:dyDescent="0.2">
      <c r="A3489" s="146"/>
      <c r="D3489" s="496"/>
    </row>
    <row r="3490" spans="1:4" x14ac:dyDescent="0.2">
      <c r="A3490" s="146"/>
      <c r="D3490" s="496"/>
    </row>
    <row r="3491" spans="1:4" x14ac:dyDescent="0.2">
      <c r="A3491" s="146"/>
      <c r="D3491" s="496"/>
    </row>
    <row r="3492" spans="1:4" x14ac:dyDescent="0.2">
      <c r="A3492" s="146"/>
      <c r="D3492" s="496"/>
    </row>
    <row r="3493" spans="1:4" x14ac:dyDescent="0.2">
      <c r="A3493" s="146"/>
      <c r="D3493" s="496"/>
    </row>
    <row r="3494" spans="1:4" x14ac:dyDescent="0.2">
      <c r="A3494" s="146"/>
      <c r="D3494" s="496"/>
    </row>
    <row r="3495" spans="1:4" x14ac:dyDescent="0.2">
      <c r="A3495" s="146"/>
      <c r="D3495" s="496"/>
    </row>
    <row r="3496" spans="1:4" x14ac:dyDescent="0.2">
      <c r="A3496" s="146"/>
      <c r="D3496" s="496"/>
    </row>
    <row r="3497" spans="1:4" x14ac:dyDescent="0.2">
      <c r="A3497" s="146"/>
      <c r="D3497" s="496"/>
    </row>
    <row r="3498" spans="1:4" x14ac:dyDescent="0.2">
      <c r="A3498" s="146"/>
      <c r="D3498" s="496"/>
    </row>
    <row r="3499" spans="1:4" x14ac:dyDescent="0.2">
      <c r="A3499" s="146"/>
      <c r="D3499" s="496"/>
    </row>
    <row r="3500" spans="1:4" x14ac:dyDescent="0.2">
      <c r="A3500" s="146"/>
      <c r="D3500" s="496"/>
    </row>
    <row r="3501" spans="1:4" x14ac:dyDescent="0.2">
      <c r="A3501" s="146"/>
      <c r="D3501" s="496"/>
    </row>
    <row r="3502" spans="1:4" x14ac:dyDescent="0.2">
      <c r="A3502" s="146"/>
      <c r="D3502" s="496"/>
    </row>
    <row r="3503" spans="1:4" x14ac:dyDescent="0.2">
      <c r="A3503" s="146"/>
      <c r="D3503" s="496"/>
    </row>
    <row r="3504" spans="1:4" x14ac:dyDescent="0.2">
      <c r="A3504" s="146"/>
      <c r="D3504" s="496"/>
    </row>
    <row r="3505" spans="1:4" x14ac:dyDescent="0.2">
      <c r="A3505" s="146"/>
      <c r="D3505" s="496"/>
    </row>
    <row r="3506" spans="1:4" x14ac:dyDescent="0.2">
      <c r="A3506" s="146"/>
      <c r="D3506" s="496"/>
    </row>
    <row r="3507" spans="1:4" x14ac:dyDescent="0.2">
      <c r="A3507" s="146"/>
      <c r="D3507" s="496"/>
    </row>
    <row r="3508" spans="1:4" x14ac:dyDescent="0.2">
      <c r="A3508" s="146"/>
      <c r="D3508" s="496"/>
    </row>
    <row r="3509" spans="1:4" x14ac:dyDescent="0.2">
      <c r="A3509" s="146"/>
      <c r="D3509" s="496"/>
    </row>
    <row r="3510" spans="1:4" x14ac:dyDescent="0.2">
      <c r="A3510" s="146"/>
      <c r="D3510" s="496"/>
    </row>
    <row r="3511" spans="1:4" x14ac:dyDescent="0.2">
      <c r="A3511" s="146"/>
      <c r="D3511" s="496"/>
    </row>
    <row r="3512" spans="1:4" x14ac:dyDescent="0.2">
      <c r="A3512" s="146"/>
      <c r="D3512" s="496"/>
    </row>
    <row r="3513" spans="1:4" x14ac:dyDescent="0.2">
      <c r="A3513" s="146"/>
      <c r="D3513" s="496"/>
    </row>
    <row r="3514" spans="1:4" x14ac:dyDescent="0.2">
      <c r="A3514" s="146"/>
      <c r="D3514" s="496"/>
    </row>
    <row r="3515" spans="1:4" x14ac:dyDescent="0.2">
      <c r="A3515" s="146"/>
      <c r="D3515" s="496"/>
    </row>
    <row r="3516" spans="1:4" x14ac:dyDescent="0.2">
      <c r="A3516" s="146"/>
      <c r="D3516" s="496"/>
    </row>
    <row r="3517" spans="1:4" x14ac:dyDescent="0.2">
      <c r="A3517" s="146"/>
      <c r="D3517" s="496"/>
    </row>
    <row r="3518" spans="1:4" x14ac:dyDescent="0.2">
      <c r="A3518" s="146"/>
      <c r="D3518" s="496"/>
    </row>
    <row r="3519" spans="1:4" x14ac:dyDescent="0.2">
      <c r="A3519" s="146"/>
      <c r="D3519" s="496"/>
    </row>
    <row r="3520" spans="1:4" x14ac:dyDescent="0.2">
      <c r="A3520" s="146"/>
      <c r="D3520" s="496"/>
    </row>
    <row r="3521" spans="1:4" x14ac:dyDescent="0.2">
      <c r="A3521" s="146"/>
      <c r="D3521" s="496"/>
    </row>
    <row r="3522" spans="1:4" x14ac:dyDescent="0.2">
      <c r="A3522" s="146"/>
      <c r="D3522" s="496"/>
    </row>
    <row r="3523" spans="1:4" x14ac:dyDescent="0.2">
      <c r="A3523" s="146"/>
      <c r="D3523" s="496"/>
    </row>
    <row r="3524" spans="1:4" x14ac:dyDescent="0.2">
      <c r="A3524" s="146"/>
      <c r="D3524" s="496"/>
    </row>
    <row r="3525" spans="1:4" x14ac:dyDescent="0.2">
      <c r="A3525" s="146"/>
      <c r="D3525" s="496"/>
    </row>
    <row r="3526" spans="1:4" x14ac:dyDescent="0.2">
      <c r="A3526" s="146"/>
      <c r="D3526" s="496"/>
    </row>
    <row r="3527" spans="1:4" x14ac:dyDescent="0.2">
      <c r="A3527" s="146"/>
      <c r="D3527" s="496"/>
    </row>
    <row r="3528" spans="1:4" x14ac:dyDescent="0.2">
      <c r="A3528" s="146"/>
      <c r="D3528" s="496"/>
    </row>
    <row r="3529" spans="1:4" x14ac:dyDescent="0.2">
      <c r="A3529" s="146"/>
      <c r="D3529" s="496"/>
    </row>
    <row r="3530" spans="1:4" x14ac:dyDescent="0.2">
      <c r="A3530" s="146"/>
      <c r="D3530" s="496"/>
    </row>
    <row r="3531" spans="1:4" x14ac:dyDescent="0.2">
      <c r="A3531" s="146"/>
      <c r="D3531" s="496"/>
    </row>
    <row r="3532" spans="1:4" x14ac:dyDescent="0.2">
      <c r="A3532" s="146"/>
      <c r="D3532" s="496"/>
    </row>
    <row r="3533" spans="1:4" x14ac:dyDescent="0.2">
      <c r="A3533" s="146"/>
      <c r="D3533" s="496"/>
    </row>
    <row r="3534" spans="1:4" x14ac:dyDescent="0.2">
      <c r="A3534" s="146"/>
      <c r="D3534" s="496"/>
    </row>
    <row r="3535" spans="1:4" x14ac:dyDescent="0.2">
      <c r="A3535" s="146"/>
      <c r="D3535" s="496"/>
    </row>
    <row r="3536" spans="1:4" x14ac:dyDescent="0.2">
      <c r="A3536" s="146"/>
      <c r="D3536" s="496"/>
    </row>
    <row r="3537" spans="1:4" x14ac:dyDescent="0.2">
      <c r="A3537" s="146"/>
      <c r="D3537" s="496"/>
    </row>
    <row r="3538" spans="1:4" x14ac:dyDescent="0.2">
      <c r="A3538" s="146"/>
      <c r="D3538" s="496"/>
    </row>
    <row r="3539" spans="1:4" x14ac:dyDescent="0.2">
      <c r="A3539" s="146"/>
      <c r="D3539" s="496"/>
    </row>
    <row r="3540" spans="1:4" x14ac:dyDescent="0.2">
      <c r="A3540" s="146"/>
      <c r="D3540" s="496"/>
    </row>
    <row r="3541" spans="1:4" x14ac:dyDescent="0.2">
      <c r="A3541" s="146"/>
      <c r="D3541" s="496"/>
    </row>
    <row r="3542" spans="1:4" x14ac:dyDescent="0.2">
      <c r="A3542" s="146"/>
      <c r="D3542" s="496"/>
    </row>
    <row r="3543" spans="1:4" x14ac:dyDescent="0.2">
      <c r="A3543" s="146"/>
      <c r="D3543" s="496"/>
    </row>
    <row r="3544" spans="1:4" x14ac:dyDescent="0.2">
      <c r="A3544" s="146"/>
      <c r="D3544" s="496"/>
    </row>
    <row r="3545" spans="1:4" x14ac:dyDescent="0.2">
      <c r="A3545" s="146"/>
      <c r="D3545" s="496"/>
    </row>
    <row r="3546" spans="1:4" x14ac:dyDescent="0.2">
      <c r="A3546" s="146"/>
      <c r="D3546" s="496"/>
    </row>
    <row r="3547" spans="1:4" x14ac:dyDescent="0.2">
      <c r="A3547" s="146"/>
      <c r="D3547" s="496"/>
    </row>
    <row r="3548" spans="1:4" x14ac:dyDescent="0.2">
      <c r="A3548" s="146"/>
      <c r="D3548" s="496"/>
    </row>
    <row r="3549" spans="1:4" x14ac:dyDescent="0.2">
      <c r="A3549" s="146"/>
      <c r="D3549" s="496"/>
    </row>
    <row r="3550" spans="1:4" x14ac:dyDescent="0.2">
      <c r="A3550" s="146"/>
      <c r="D3550" s="496"/>
    </row>
    <row r="3551" spans="1:4" x14ac:dyDescent="0.2">
      <c r="A3551" s="146"/>
      <c r="D3551" s="496"/>
    </row>
    <row r="3552" spans="1:4" x14ac:dyDescent="0.2">
      <c r="A3552" s="146"/>
      <c r="D3552" s="496"/>
    </row>
    <row r="3553" spans="1:4" x14ac:dyDescent="0.2">
      <c r="A3553" s="146"/>
      <c r="D3553" s="496"/>
    </row>
    <row r="3554" spans="1:4" x14ac:dyDescent="0.2">
      <c r="A3554" s="146"/>
      <c r="D3554" s="496"/>
    </row>
    <row r="3555" spans="1:4" x14ac:dyDescent="0.2">
      <c r="A3555" s="146"/>
      <c r="D3555" s="496"/>
    </row>
    <row r="3556" spans="1:4" x14ac:dyDescent="0.2">
      <c r="A3556" s="146"/>
      <c r="D3556" s="496"/>
    </row>
    <row r="3557" spans="1:4" x14ac:dyDescent="0.2">
      <c r="A3557" s="146"/>
      <c r="D3557" s="496"/>
    </row>
    <row r="3558" spans="1:4" x14ac:dyDescent="0.2">
      <c r="A3558" s="146"/>
      <c r="D3558" s="496"/>
    </row>
    <row r="3559" spans="1:4" x14ac:dyDescent="0.2">
      <c r="A3559" s="146"/>
      <c r="D3559" s="496"/>
    </row>
    <row r="3560" spans="1:4" x14ac:dyDescent="0.2">
      <c r="A3560" s="146"/>
      <c r="D3560" s="496"/>
    </row>
    <row r="3561" spans="1:4" x14ac:dyDescent="0.2">
      <c r="A3561" s="146"/>
      <c r="D3561" s="496"/>
    </row>
    <row r="3562" spans="1:4" x14ac:dyDescent="0.2">
      <c r="A3562" s="146"/>
      <c r="D3562" s="496"/>
    </row>
    <row r="3563" spans="1:4" x14ac:dyDescent="0.2">
      <c r="A3563" s="146"/>
      <c r="D3563" s="496"/>
    </row>
    <row r="3564" spans="1:4" x14ac:dyDescent="0.2">
      <c r="A3564" s="146"/>
      <c r="D3564" s="496"/>
    </row>
    <row r="3565" spans="1:4" x14ac:dyDescent="0.2">
      <c r="A3565" s="146"/>
      <c r="D3565" s="496"/>
    </row>
    <row r="3566" spans="1:4" x14ac:dyDescent="0.2">
      <c r="A3566" s="146"/>
      <c r="D3566" s="496"/>
    </row>
    <row r="3567" spans="1:4" x14ac:dyDescent="0.2">
      <c r="A3567" s="146"/>
      <c r="D3567" s="496"/>
    </row>
    <row r="3568" spans="1:4" x14ac:dyDescent="0.2">
      <c r="A3568" s="146"/>
      <c r="D3568" s="496"/>
    </row>
    <row r="3569" spans="1:4" x14ac:dyDescent="0.2">
      <c r="A3569" s="146"/>
      <c r="D3569" s="496"/>
    </row>
    <row r="3570" spans="1:4" x14ac:dyDescent="0.2">
      <c r="A3570" s="146"/>
      <c r="D3570" s="496"/>
    </row>
    <row r="3571" spans="1:4" x14ac:dyDescent="0.2">
      <c r="A3571" s="146"/>
      <c r="D3571" s="496"/>
    </row>
    <row r="3572" spans="1:4" x14ac:dyDescent="0.2">
      <c r="A3572" s="146"/>
      <c r="D3572" s="496"/>
    </row>
    <row r="3573" spans="1:4" x14ac:dyDescent="0.2">
      <c r="A3573" s="146"/>
      <c r="D3573" s="496"/>
    </row>
    <row r="3574" spans="1:4" x14ac:dyDescent="0.2">
      <c r="A3574" s="146"/>
      <c r="D3574" s="496"/>
    </row>
    <row r="3575" spans="1:4" x14ac:dyDescent="0.2">
      <c r="A3575" s="146"/>
      <c r="D3575" s="496"/>
    </row>
    <row r="3576" spans="1:4" x14ac:dyDescent="0.2">
      <c r="A3576" s="146"/>
      <c r="D3576" s="496"/>
    </row>
    <row r="3577" spans="1:4" x14ac:dyDescent="0.2">
      <c r="A3577" s="146"/>
      <c r="D3577" s="496"/>
    </row>
    <row r="3578" spans="1:4" x14ac:dyDescent="0.2">
      <c r="A3578" s="146"/>
      <c r="D3578" s="496"/>
    </row>
    <row r="3579" spans="1:4" x14ac:dyDescent="0.2">
      <c r="A3579" s="146"/>
      <c r="D3579" s="496"/>
    </row>
    <row r="3580" spans="1:4" x14ac:dyDescent="0.2">
      <c r="A3580" s="146"/>
      <c r="D3580" s="496"/>
    </row>
    <row r="3581" spans="1:4" x14ac:dyDescent="0.2">
      <c r="A3581" s="146"/>
      <c r="D3581" s="496"/>
    </row>
    <row r="3582" spans="1:4" x14ac:dyDescent="0.2">
      <c r="A3582" s="146"/>
      <c r="D3582" s="496"/>
    </row>
    <row r="3583" spans="1:4" x14ac:dyDescent="0.2">
      <c r="A3583" s="146"/>
      <c r="D3583" s="496"/>
    </row>
    <row r="3584" spans="1:4" x14ac:dyDescent="0.2">
      <c r="A3584" s="146"/>
      <c r="D3584" s="496"/>
    </row>
    <row r="3585" spans="1:4" x14ac:dyDescent="0.2">
      <c r="A3585" s="146"/>
      <c r="D3585" s="496"/>
    </row>
    <row r="3586" spans="1:4" x14ac:dyDescent="0.2">
      <c r="A3586" s="146"/>
      <c r="D3586" s="496"/>
    </row>
    <row r="3587" spans="1:4" x14ac:dyDescent="0.2">
      <c r="A3587" s="146"/>
      <c r="D3587" s="496"/>
    </row>
    <row r="3588" spans="1:4" x14ac:dyDescent="0.2">
      <c r="A3588" s="146"/>
      <c r="D3588" s="496"/>
    </row>
    <row r="3589" spans="1:4" x14ac:dyDescent="0.2">
      <c r="A3589" s="146"/>
      <c r="D3589" s="496"/>
    </row>
    <row r="3590" spans="1:4" x14ac:dyDescent="0.2">
      <c r="A3590" s="146"/>
      <c r="D3590" s="496"/>
    </row>
    <row r="3591" spans="1:4" x14ac:dyDescent="0.2">
      <c r="A3591" s="146"/>
      <c r="D3591" s="496"/>
    </row>
    <row r="3592" spans="1:4" x14ac:dyDescent="0.2">
      <c r="A3592" s="146"/>
      <c r="D3592" s="496"/>
    </row>
    <row r="3593" spans="1:4" x14ac:dyDescent="0.2">
      <c r="A3593" s="146"/>
      <c r="D3593" s="496"/>
    </row>
    <row r="3594" spans="1:4" x14ac:dyDescent="0.2">
      <c r="A3594" s="146"/>
      <c r="D3594" s="496"/>
    </row>
    <row r="3595" spans="1:4" x14ac:dyDescent="0.2">
      <c r="A3595" s="146"/>
      <c r="D3595" s="496"/>
    </row>
    <row r="3596" spans="1:4" x14ac:dyDescent="0.2">
      <c r="A3596" s="146"/>
      <c r="D3596" s="496"/>
    </row>
    <row r="3597" spans="1:4" x14ac:dyDescent="0.2">
      <c r="A3597" s="146"/>
      <c r="D3597" s="496"/>
    </row>
    <row r="3598" spans="1:4" x14ac:dyDescent="0.2">
      <c r="A3598" s="146"/>
      <c r="D3598" s="496"/>
    </row>
    <row r="3599" spans="1:4" x14ac:dyDescent="0.2">
      <c r="A3599" s="146"/>
      <c r="D3599" s="496"/>
    </row>
    <row r="3600" spans="1:4" x14ac:dyDescent="0.2">
      <c r="A3600" s="146"/>
      <c r="D3600" s="496"/>
    </row>
    <row r="3601" spans="1:4" x14ac:dyDescent="0.2">
      <c r="A3601" s="146"/>
      <c r="D3601" s="496"/>
    </row>
    <row r="3602" spans="1:4" x14ac:dyDescent="0.2">
      <c r="A3602" s="146"/>
      <c r="D3602" s="496"/>
    </row>
    <row r="3603" spans="1:4" x14ac:dyDescent="0.2">
      <c r="A3603" s="146"/>
      <c r="D3603" s="496"/>
    </row>
    <row r="3604" spans="1:4" x14ac:dyDescent="0.2">
      <c r="A3604" s="146"/>
      <c r="D3604" s="496"/>
    </row>
    <row r="3605" spans="1:4" x14ac:dyDescent="0.2">
      <c r="A3605" s="146"/>
      <c r="D3605" s="496"/>
    </row>
    <row r="3606" spans="1:4" x14ac:dyDescent="0.2">
      <c r="A3606" s="146"/>
      <c r="D3606" s="496"/>
    </row>
    <row r="3607" spans="1:4" x14ac:dyDescent="0.2">
      <c r="A3607" s="146"/>
      <c r="D3607" s="496"/>
    </row>
    <row r="3608" spans="1:4" x14ac:dyDescent="0.2">
      <c r="A3608" s="146"/>
      <c r="D3608" s="496"/>
    </row>
    <row r="3609" spans="1:4" x14ac:dyDescent="0.2">
      <c r="A3609" s="146"/>
      <c r="D3609" s="496"/>
    </row>
    <row r="3610" spans="1:4" x14ac:dyDescent="0.2">
      <c r="A3610" s="146"/>
      <c r="D3610" s="496"/>
    </row>
    <row r="3611" spans="1:4" x14ac:dyDescent="0.2">
      <c r="A3611" s="146"/>
      <c r="D3611" s="496"/>
    </row>
    <row r="3612" spans="1:4" x14ac:dyDescent="0.2">
      <c r="A3612" s="146"/>
      <c r="D3612" s="496"/>
    </row>
    <row r="3613" spans="1:4" x14ac:dyDescent="0.2">
      <c r="A3613" s="146"/>
      <c r="D3613" s="496"/>
    </row>
    <row r="3614" spans="1:4" x14ac:dyDescent="0.2">
      <c r="A3614" s="146"/>
      <c r="D3614" s="496"/>
    </row>
    <row r="3615" spans="1:4" x14ac:dyDescent="0.2">
      <c r="A3615" s="146"/>
      <c r="D3615" s="496"/>
    </row>
    <row r="3616" spans="1:4" x14ac:dyDescent="0.2">
      <c r="A3616" s="146"/>
      <c r="D3616" s="496"/>
    </row>
    <row r="3617" spans="1:4" x14ac:dyDescent="0.2">
      <c r="A3617" s="146"/>
      <c r="D3617" s="496"/>
    </row>
    <row r="3618" spans="1:4" x14ac:dyDescent="0.2">
      <c r="A3618" s="146"/>
      <c r="D3618" s="496"/>
    </row>
    <row r="3619" spans="1:4" x14ac:dyDescent="0.2">
      <c r="A3619" s="146"/>
      <c r="D3619" s="496"/>
    </row>
    <row r="3620" spans="1:4" x14ac:dyDescent="0.2">
      <c r="A3620" s="146"/>
      <c r="D3620" s="496"/>
    </row>
    <row r="3621" spans="1:4" x14ac:dyDescent="0.2">
      <c r="A3621" s="146"/>
      <c r="D3621" s="496"/>
    </row>
    <row r="3622" spans="1:4" x14ac:dyDescent="0.2">
      <c r="A3622" s="146"/>
      <c r="D3622" s="496"/>
    </row>
    <row r="3623" spans="1:4" x14ac:dyDescent="0.2">
      <c r="A3623" s="146"/>
      <c r="D3623" s="496"/>
    </row>
    <row r="3624" spans="1:4" x14ac:dyDescent="0.2">
      <c r="A3624" s="146"/>
      <c r="D3624" s="496"/>
    </row>
    <row r="3625" spans="1:4" x14ac:dyDescent="0.2">
      <c r="A3625" s="146"/>
      <c r="D3625" s="496"/>
    </row>
    <row r="3626" spans="1:4" x14ac:dyDescent="0.2">
      <c r="A3626" s="146"/>
      <c r="D3626" s="496"/>
    </row>
    <row r="3627" spans="1:4" x14ac:dyDescent="0.2">
      <c r="A3627" s="146"/>
      <c r="D3627" s="496"/>
    </row>
    <row r="3628" spans="1:4" x14ac:dyDescent="0.2">
      <c r="A3628" s="146"/>
      <c r="D3628" s="496"/>
    </row>
    <row r="3629" spans="1:4" x14ac:dyDescent="0.2">
      <c r="A3629" s="146"/>
      <c r="D3629" s="496"/>
    </row>
    <row r="3630" spans="1:4" x14ac:dyDescent="0.2">
      <c r="A3630" s="146"/>
      <c r="D3630" s="496"/>
    </row>
    <row r="3631" spans="1:4" x14ac:dyDescent="0.2">
      <c r="A3631" s="146"/>
      <c r="D3631" s="496"/>
    </row>
    <row r="3632" spans="1:4" x14ac:dyDescent="0.2">
      <c r="A3632" s="146"/>
      <c r="D3632" s="496"/>
    </row>
    <row r="3633" spans="1:4" x14ac:dyDescent="0.2">
      <c r="A3633" s="146"/>
      <c r="D3633" s="496"/>
    </row>
    <row r="3634" spans="1:4" x14ac:dyDescent="0.2">
      <c r="A3634" s="146"/>
      <c r="D3634" s="496"/>
    </row>
    <row r="3635" spans="1:4" x14ac:dyDescent="0.2">
      <c r="A3635" s="146"/>
      <c r="D3635" s="496"/>
    </row>
    <row r="3636" spans="1:4" x14ac:dyDescent="0.2">
      <c r="A3636" s="146"/>
      <c r="D3636" s="496"/>
    </row>
    <row r="3637" spans="1:4" x14ac:dyDescent="0.2">
      <c r="A3637" s="146"/>
      <c r="D3637" s="496"/>
    </row>
    <row r="3638" spans="1:4" x14ac:dyDescent="0.2">
      <c r="A3638" s="146"/>
      <c r="D3638" s="496"/>
    </row>
    <row r="3639" spans="1:4" x14ac:dyDescent="0.2">
      <c r="A3639" s="146"/>
      <c r="D3639" s="496"/>
    </row>
    <row r="3640" spans="1:4" x14ac:dyDescent="0.2">
      <c r="A3640" s="146"/>
      <c r="D3640" s="496"/>
    </row>
    <row r="3641" spans="1:4" x14ac:dyDescent="0.2">
      <c r="A3641" s="146"/>
      <c r="D3641" s="496"/>
    </row>
    <row r="3642" spans="1:4" x14ac:dyDescent="0.2">
      <c r="A3642" s="146"/>
      <c r="D3642" s="496"/>
    </row>
    <row r="3643" spans="1:4" x14ac:dyDescent="0.2">
      <c r="A3643" s="146"/>
      <c r="D3643" s="496"/>
    </row>
    <row r="3644" spans="1:4" x14ac:dyDescent="0.2">
      <c r="A3644" s="146"/>
      <c r="D3644" s="496"/>
    </row>
    <row r="3645" spans="1:4" x14ac:dyDescent="0.2">
      <c r="A3645" s="146"/>
      <c r="D3645" s="496"/>
    </row>
    <row r="3646" spans="1:4" x14ac:dyDescent="0.2">
      <c r="A3646" s="146"/>
      <c r="D3646" s="496"/>
    </row>
    <row r="3647" spans="1:4" x14ac:dyDescent="0.2">
      <c r="A3647" s="146"/>
      <c r="D3647" s="496"/>
    </row>
    <row r="3648" spans="1:4" x14ac:dyDescent="0.2">
      <c r="A3648" s="146"/>
      <c r="D3648" s="496"/>
    </row>
    <row r="3649" spans="1:4" x14ac:dyDescent="0.2">
      <c r="A3649" s="146"/>
      <c r="D3649" s="496"/>
    </row>
    <row r="3650" spans="1:4" x14ac:dyDescent="0.2">
      <c r="A3650" s="146"/>
      <c r="D3650" s="496"/>
    </row>
    <row r="3651" spans="1:4" x14ac:dyDescent="0.2">
      <c r="A3651" s="146"/>
      <c r="D3651" s="496"/>
    </row>
    <row r="3652" spans="1:4" x14ac:dyDescent="0.2">
      <c r="A3652" s="146"/>
      <c r="D3652" s="496"/>
    </row>
    <row r="3653" spans="1:4" x14ac:dyDescent="0.2">
      <c r="A3653" s="146"/>
      <c r="D3653" s="496"/>
    </row>
    <row r="3654" spans="1:4" x14ac:dyDescent="0.2">
      <c r="A3654" s="146"/>
      <c r="D3654" s="496"/>
    </row>
    <row r="3655" spans="1:4" x14ac:dyDescent="0.2">
      <c r="A3655" s="146"/>
      <c r="D3655" s="496"/>
    </row>
    <row r="3656" spans="1:4" x14ac:dyDescent="0.2">
      <c r="A3656" s="146"/>
      <c r="D3656" s="496"/>
    </row>
    <row r="3657" spans="1:4" x14ac:dyDescent="0.2">
      <c r="A3657" s="146"/>
      <c r="D3657" s="496"/>
    </row>
    <row r="3658" spans="1:4" x14ac:dyDescent="0.2">
      <c r="A3658" s="146"/>
      <c r="D3658" s="496"/>
    </row>
    <row r="3659" spans="1:4" x14ac:dyDescent="0.2">
      <c r="A3659" s="146"/>
      <c r="D3659" s="496"/>
    </row>
    <row r="3660" spans="1:4" x14ac:dyDescent="0.2">
      <c r="A3660" s="146"/>
      <c r="D3660" s="496"/>
    </row>
    <row r="3661" spans="1:4" x14ac:dyDescent="0.2">
      <c r="A3661" s="146"/>
      <c r="D3661" s="496"/>
    </row>
    <row r="3662" spans="1:4" x14ac:dyDescent="0.2">
      <c r="A3662" s="146"/>
      <c r="D3662" s="496"/>
    </row>
    <row r="3663" spans="1:4" x14ac:dyDescent="0.2">
      <c r="A3663" s="146"/>
      <c r="D3663" s="496"/>
    </row>
    <row r="3664" spans="1:4" x14ac:dyDescent="0.2">
      <c r="A3664" s="146"/>
      <c r="D3664" s="496"/>
    </row>
    <row r="3665" spans="1:4" x14ac:dyDescent="0.2">
      <c r="A3665" s="146"/>
      <c r="D3665" s="496"/>
    </row>
    <row r="3666" spans="1:4" x14ac:dyDescent="0.2">
      <c r="A3666" s="146"/>
      <c r="D3666" s="496"/>
    </row>
    <row r="3667" spans="1:4" x14ac:dyDescent="0.2">
      <c r="A3667" s="146"/>
      <c r="D3667" s="496"/>
    </row>
    <row r="3668" spans="1:4" x14ac:dyDescent="0.2">
      <c r="A3668" s="146"/>
      <c r="D3668" s="496"/>
    </row>
    <row r="3669" spans="1:4" x14ac:dyDescent="0.2">
      <c r="A3669" s="146"/>
      <c r="D3669" s="496"/>
    </row>
    <row r="3670" spans="1:4" x14ac:dyDescent="0.2">
      <c r="A3670" s="146"/>
      <c r="D3670" s="496"/>
    </row>
    <row r="3671" spans="1:4" x14ac:dyDescent="0.2">
      <c r="A3671" s="146"/>
      <c r="D3671" s="496"/>
    </row>
    <row r="3672" spans="1:4" x14ac:dyDescent="0.2">
      <c r="A3672" s="146"/>
      <c r="D3672" s="496"/>
    </row>
    <row r="3673" spans="1:4" x14ac:dyDescent="0.2">
      <c r="A3673" s="146"/>
      <c r="D3673" s="496"/>
    </row>
    <row r="3674" spans="1:4" x14ac:dyDescent="0.2">
      <c r="A3674" s="146"/>
      <c r="D3674" s="496"/>
    </row>
    <row r="3675" spans="1:4" x14ac:dyDescent="0.2">
      <c r="A3675" s="146"/>
      <c r="D3675" s="496"/>
    </row>
    <row r="3676" spans="1:4" x14ac:dyDescent="0.2">
      <c r="A3676" s="146"/>
      <c r="D3676" s="496"/>
    </row>
    <row r="3677" spans="1:4" x14ac:dyDescent="0.2">
      <c r="A3677" s="146"/>
      <c r="D3677" s="496"/>
    </row>
    <row r="3678" spans="1:4" x14ac:dyDescent="0.2">
      <c r="A3678" s="146"/>
      <c r="D3678" s="496"/>
    </row>
    <row r="3679" spans="1:4" x14ac:dyDescent="0.2">
      <c r="A3679" s="146"/>
      <c r="D3679" s="496"/>
    </row>
    <row r="3680" spans="1:4" x14ac:dyDescent="0.2">
      <c r="A3680" s="146"/>
      <c r="D3680" s="496"/>
    </row>
    <row r="3681" spans="1:4" x14ac:dyDescent="0.2">
      <c r="A3681" s="146"/>
      <c r="D3681" s="496"/>
    </row>
    <row r="3682" spans="1:4" x14ac:dyDescent="0.2">
      <c r="A3682" s="146"/>
      <c r="D3682" s="496"/>
    </row>
    <row r="3683" spans="1:4" x14ac:dyDescent="0.2">
      <c r="A3683" s="146"/>
      <c r="D3683" s="496"/>
    </row>
    <row r="3684" spans="1:4" x14ac:dyDescent="0.2">
      <c r="A3684" s="146"/>
      <c r="D3684" s="496"/>
    </row>
    <row r="3685" spans="1:4" x14ac:dyDescent="0.2">
      <c r="A3685" s="146"/>
      <c r="D3685" s="496"/>
    </row>
    <row r="3686" spans="1:4" x14ac:dyDescent="0.2">
      <c r="A3686" s="146"/>
      <c r="D3686" s="496"/>
    </row>
    <row r="3687" spans="1:4" x14ac:dyDescent="0.2">
      <c r="A3687" s="146"/>
      <c r="D3687" s="496"/>
    </row>
    <row r="3688" spans="1:4" x14ac:dyDescent="0.2">
      <c r="A3688" s="146"/>
      <c r="D3688" s="496"/>
    </row>
    <row r="3689" spans="1:4" x14ac:dyDescent="0.2">
      <c r="A3689" s="146"/>
      <c r="D3689" s="496"/>
    </row>
    <row r="3690" spans="1:4" x14ac:dyDescent="0.2">
      <c r="A3690" s="146"/>
      <c r="D3690" s="496"/>
    </row>
    <row r="3691" spans="1:4" x14ac:dyDescent="0.2">
      <c r="A3691" s="146"/>
      <c r="D3691" s="496"/>
    </row>
    <row r="3692" spans="1:4" x14ac:dyDescent="0.2">
      <c r="A3692" s="146"/>
      <c r="D3692" s="496"/>
    </row>
    <row r="3693" spans="1:4" x14ac:dyDescent="0.2">
      <c r="A3693" s="146"/>
      <c r="D3693" s="496"/>
    </row>
    <row r="3694" spans="1:4" x14ac:dyDescent="0.2">
      <c r="A3694" s="146"/>
      <c r="D3694" s="496"/>
    </row>
    <row r="3695" spans="1:4" x14ac:dyDescent="0.2">
      <c r="A3695" s="146"/>
      <c r="D3695" s="496"/>
    </row>
    <row r="3696" spans="1:4" x14ac:dyDescent="0.2">
      <c r="A3696" s="146"/>
      <c r="D3696" s="496"/>
    </row>
    <row r="3697" spans="1:4" x14ac:dyDescent="0.2">
      <c r="A3697" s="146"/>
      <c r="D3697" s="496"/>
    </row>
    <row r="3698" spans="1:4" x14ac:dyDescent="0.2">
      <c r="A3698" s="146"/>
      <c r="D3698" s="496"/>
    </row>
    <row r="3699" spans="1:4" x14ac:dyDescent="0.2">
      <c r="A3699" s="146"/>
      <c r="D3699" s="496"/>
    </row>
    <row r="3700" spans="1:4" x14ac:dyDescent="0.2">
      <c r="A3700" s="146"/>
      <c r="D3700" s="496"/>
    </row>
    <row r="3701" spans="1:4" x14ac:dyDescent="0.2">
      <c r="A3701" s="146"/>
      <c r="D3701" s="496"/>
    </row>
    <row r="3702" spans="1:4" x14ac:dyDescent="0.2">
      <c r="A3702" s="146"/>
      <c r="D3702" s="496"/>
    </row>
    <row r="3703" spans="1:4" x14ac:dyDescent="0.2">
      <c r="A3703" s="146"/>
      <c r="D3703" s="496"/>
    </row>
    <row r="3704" spans="1:4" x14ac:dyDescent="0.2">
      <c r="A3704" s="146"/>
      <c r="D3704" s="496"/>
    </row>
    <row r="3705" spans="1:4" x14ac:dyDescent="0.2">
      <c r="A3705" s="146"/>
      <c r="D3705" s="496"/>
    </row>
    <row r="3706" spans="1:4" x14ac:dyDescent="0.2">
      <c r="A3706" s="146"/>
      <c r="D3706" s="496"/>
    </row>
    <row r="3707" spans="1:4" x14ac:dyDescent="0.2">
      <c r="A3707" s="146"/>
      <c r="D3707" s="496"/>
    </row>
    <row r="3708" spans="1:4" x14ac:dyDescent="0.2">
      <c r="A3708" s="146"/>
      <c r="D3708" s="496"/>
    </row>
    <row r="3709" spans="1:4" x14ac:dyDescent="0.2">
      <c r="A3709" s="146"/>
      <c r="D3709" s="496"/>
    </row>
    <row r="3710" spans="1:4" x14ac:dyDescent="0.2">
      <c r="A3710" s="146"/>
      <c r="D3710" s="496"/>
    </row>
    <row r="3711" spans="1:4" x14ac:dyDescent="0.2">
      <c r="A3711" s="146"/>
      <c r="D3711" s="496"/>
    </row>
    <row r="3712" spans="1:4" x14ac:dyDescent="0.2">
      <c r="A3712" s="146"/>
      <c r="D3712" s="496"/>
    </row>
    <row r="3713" spans="1:4" x14ac:dyDescent="0.2">
      <c r="A3713" s="146"/>
      <c r="D3713" s="496"/>
    </row>
    <row r="3714" spans="1:4" x14ac:dyDescent="0.2">
      <c r="A3714" s="146"/>
      <c r="D3714" s="496"/>
    </row>
    <row r="3715" spans="1:4" x14ac:dyDescent="0.2">
      <c r="A3715" s="146"/>
      <c r="D3715" s="496"/>
    </row>
    <row r="3716" spans="1:4" x14ac:dyDescent="0.2">
      <c r="A3716" s="146"/>
      <c r="D3716" s="496"/>
    </row>
    <row r="3717" spans="1:4" x14ac:dyDescent="0.2">
      <c r="A3717" s="146"/>
      <c r="D3717" s="496"/>
    </row>
    <row r="3718" spans="1:4" x14ac:dyDescent="0.2">
      <c r="A3718" s="146"/>
      <c r="D3718" s="496"/>
    </row>
    <row r="3719" spans="1:4" x14ac:dyDescent="0.2">
      <c r="A3719" s="146"/>
      <c r="D3719" s="496"/>
    </row>
    <row r="3720" spans="1:4" x14ac:dyDescent="0.2">
      <c r="A3720" s="146"/>
      <c r="D3720" s="496"/>
    </row>
    <row r="3721" spans="1:4" x14ac:dyDescent="0.2">
      <c r="A3721" s="146"/>
      <c r="D3721" s="496"/>
    </row>
    <row r="3722" spans="1:4" x14ac:dyDescent="0.2">
      <c r="A3722" s="146"/>
      <c r="D3722" s="496"/>
    </row>
    <row r="3723" spans="1:4" x14ac:dyDescent="0.2">
      <c r="A3723" s="146"/>
      <c r="D3723" s="496"/>
    </row>
    <row r="3724" spans="1:4" x14ac:dyDescent="0.2">
      <c r="A3724" s="146"/>
      <c r="D3724" s="496"/>
    </row>
    <row r="3725" spans="1:4" x14ac:dyDescent="0.2">
      <c r="A3725" s="146"/>
      <c r="D3725" s="496"/>
    </row>
    <row r="3726" spans="1:4" x14ac:dyDescent="0.2">
      <c r="A3726" s="146"/>
      <c r="D3726" s="496"/>
    </row>
    <row r="3727" spans="1:4" x14ac:dyDescent="0.2">
      <c r="A3727" s="146"/>
      <c r="D3727" s="496"/>
    </row>
    <row r="3728" spans="1:4" x14ac:dyDescent="0.2">
      <c r="A3728" s="146"/>
      <c r="D3728" s="496"/>
    </row>
    <row r="3729" spans="1:4" x14ac:dyDescent="0.2">
      <c r="A3729" s="146"/>
      <c r="D3729" s="496"/>
    </row>
    <row r="3730" spans="1:4" x14ac:dyDescent="0.2">
      <c r="A3730" s="146"/>
      <c r="D3730" s="496"/>
    </row>
    <row r="3731" spans="1:4" x14ac:dyDescent="0.2">
      <c r="A3731" s="146"/>
      <c r="D3731" s="496"/>
    </row>
    <row r="3732" spans="1:4" x14ac:dyDescent="0.2">
      <c r="A3732" s="146"/>
      <c r="D3732" s="496"/>
    </row>
    <row r="3733" spans="1:4" x14ac:dyDescent="0.2">
      <c r="A3733" s="146"/>
      <c r="D3733" s="496"/>
    </row>
    <row r="3734" spans="1:4" x14ac:dyDescent="0.2">
      <c r="A3734" s="146"/>
      <c r="D3734" s="496"/>
    </row>
    <row r="3735" spans="1:4" x14ac:dyDescent="0.2">
      <c r="A3735" s="146"/>
      <c r="D3735" s="496"/>
    </row>
    <row r="3736" spans="1:4" x14ac:dyDescent="0.2">
      <c r="A3736" s="146"/>
      <c r="D3736" s="496"/>
    </row>
    <row r="3737" spans="1:4" x14ac:dyDescent="0.2">
      <c r="A3737" s="146"/>
      <c r="D3737" s="496"/>
    </row>
    <row r="3738" spans="1:4" x14ac:dyDescent="0.2">
      <c r="A3738" s="146"/>
      <c r="D3738" s="496"/>
    </row>
    <row r="3739" spans="1:4" x14ac:dyDescent="0.2">
      <c r="A3739" s="146"/>
      <c r="D3739" s="496"/>
    </row>
    <row r="3740" spans="1:4" x14ac:dyDescent="0.2">
      <c r="A3740" s="146"/>
      <c r="D3740" s="496"/>
    </row>
    <row r="3741" spans="1:4" x14ac:dyDescent="0.2">
      <c r="A3741" s="146"/>
      <c r="D3741" s="496"/>
    </row>
    <row r="3742" spans="1:4" x14ac:dyDescent="0.2">
      <c r="A3742" s="146"/>
      <c r="D3742" s="496"/>
    </row>
    <row r="3743" spans="1:4" x14ac:dyDescent="0.2">
      <c r="A3743" s="146"/>
      <c r="D3743" s="496"/>
    </row>
    <row r="3744" spans="1:4" x14ac:dyDescent="0.2">
      <c r="A3744" s="146"/>
      <c r="D3744" s="496"/>
    </row>
    <row r="3745" spans="1:4" x14ac:dyDescent="0.2">
      <c r="A3745" s="146"/>
      <c r="D3745" s="496"/>
    </row>
    <row r="3746" spans="1:4" x14ac:dyDescent="0.2">
      <c r="A3746" s="146"/>
      <c r="D3746" s="496"/>
    </row>
    <row r="3747" spans="1:4" x14ac:dyDescent="0.2">
      <c r="A3747" s="146"/>
      <c r="D3747" s="496"/>
    </row>
    <row r="3748" spans="1:4" x14ac:dyDescent="0.2">
      <c r="A3748" s="146"/>
      <c r="D3748" s="496"/>
    </row>
    <row r="3749" spans="1:4" x14ac:dyDescent="0.2">
      <c r="A3749" s="146"/>
      <c r="D3749" s="496"/>
    </row>
    <row r="3750" spans="1:4" x14ac:dyDescent="0.2">
      <c r="A3750" s="146"/>
      <c r="D3750" s="496"/>
    </row>
    <row r="3751" spans="1:4" x14ac:dyDescent="0.2">
      <c r="A3751" s="146"/>
      <c r="D3751" s="496"/>
    </row>
    <row r="3752" spans="1:4" x14ac:dyDescent="0.2">
      <c r="A3752" s="146"/>
      <c r="D3752" s="496"/>
    </row>
    <row r="3753" spans="1:4" x14ac:dyDescent="0.2">
      <c r="A3753" s="146"/>
      <c r="D3753" s="496"/>
    </row>
    <row r="3754" spans="1:4" x14ac:dyDescent="0.2">
      <c r="A3754" s="146"/>
      <c r="D3754" s="496"/>
    </row>
    <row r="3755" spans="1:4" x14ac:dyDescent="0.2">
      <c r="A3755" s="146"/>
      <c r="D3755" s="496"/>
    </row>
    <row r="3756" spans="1:4" x14ac:dyDescent="0.2">
      <c r="A3756" s="146"/>
      <c r="D3756" s="496"/>
    </row>
    <row r="3757" spans="1:4" x14ac:dyDescent="0.2">
      <c r="A3757" s="146"/>
      <c r="D3757" s="496"/>
    </row>
    <row r="3758" spans="1:4" x14ac:dyDescent="0.2">
      <c r="A3758" s="146"/>
      <c r="D3758" s="496"/>
    </row>
    <row r="3759" spans="1:4" x14ac:dyDescent="0.2">
      <c r="A3759" s="146"/>
      <c r="D3759" s="496"/>
    </row>
    <row r="3760" spans="1:4" x14ac:dyDescent="0.2">
      <c r="A3760" s="146"/>
      <c r="D3760" s="496"/>
    </row>
    <row r="3761" spans="1:4" x14ac:dyDescent="0.2">
      <c r="A3761" s="146"/>
      <c r="D3761" s="496"/>
    </row>
    <row r="3762" spans="1:4" x14ac:dyDescent="0.2">
      <c r="A3762" s="146"/>
      <c r="D3762" s="496"/>
    </row>
    <row r="3763" spans="1:4" x14ac:dyDescent="0.2">
      <c r="A3763" s="146"/>
      <c r="D3763" s="496"/>
    </row>
    <row r="3764" spans="1:4" x14ac:dyDescent="0.2">
      <c r="A3764" s="146"/>
      <c r="D3764" s="496"/>
    </row>
    <row r="3765" spans="1:4" x14ac:dyDescent="0.2">
      <c r="A3765" s="146"/>
      <c r="D3765" s="496"/>
    </row>
    <row r="3766" spans="1:4" x14ac:dyDescent="0.2">
      <c r="A3766" s="146"/>
      <c r="D3766" s="496"/>
    </row>
    <row r="3767" spans="1:4" x14ac:dyDescent="0.2">
      <c r="A3767" s="146"/>
      <c r="D3767" s="496"/>
    </row>
    <row r="3768" spans="1:4" x14ac:dyDescent="0.2">
      <c r="A3768" s="146"/>
      <c r="D3768" s="496"/>
    </row>
    <row r="3769" spans="1:4" x14ac:dyDescent="0.2">
      <c r="A3769" s="146"/>
      <c r="D3769" s="496"/>
    </row>
    <row r="3770" spans="1:4" x14ac:dyDescent="0.2">
      <c r="A3770" s="146"/>
      <c r="D3770" s="496"/>
    </row>
    <row r="3771" spans="1:4" x14ac:dyDescent="0.2">
      <c r="A3771" s="146"/>
      <c r="D3771" s="496"/>
    </row>
    <row r="3772" spans="1:4" x14ac:dyDescent="0.2">
      <c r="A3772" s="146"/>
      <c r="D3772" s="496"/>
    </row>
    <row r="3773" spans="1:4" x14ac:dyDescent="0.2">
      <c r="A3773" s="146"/>
      <c r="D3773" s="496"/>
    </row>
    <row r="3774" spans="1:4" x14ac:dyDescent="0.2">
      <c r="A3774" s="146"/>
      <c r="D3774" s="496"/>
    </row>
    <row r="3775" spans="1:4" x14ac:dyDescent="0.2">
      <c r="A3775" s="146"/>
      <c r="D3775" s="496"/>
    </row>
    <row r="3776" spans="1:4" x14ac:dyDescent="0.2">
      <c r="A3776" s="146"/>
      <c r="D3776" s="496"/>
    </row>
    <row r="3777" spans="1:4" x14ac:dyDescent="0.2">
      <c r="A3777" s="146"/>
      <c r="D3777" s="496"/>
    </row>
    <row r="3778" spans="1:4" x14ac:dyDescent="0.2">
      <c r="A3778" s="146"/>
      <c r="D3778" s="496"/>
    </row>
    <row r="3779" spans="1:4" x14ac:dyDescent="0.2">
      <c r="A3779" s="146"/>
      <c r="D3779" s="496"/>
    </row>
    <row r="3780" spans="1:4" x14ac:dyDescent="0.2">
      <c r="A3780" s="146"/>
      <c r="D3780" s="496"/>
    </row>
    <row r="3781" spans="1:4" x14ac:dyDescent="0.2">
      <c r="A3781" s="146"/>
      <c r="D3781" s="496"/>
    </row>
    <row r="3782" spans="1:4" x14ac:dyDescent="0.2">
      <c r="A3782" s="146"/>
      <c r="D3782" s="496"/>
    </row>
    <row r="3783" spans="1:4" x14ac:dyDescent="0.2">
      <c r="A3783" s="146"/>
      <c r="D3783" s="496"/>
    </row>
    <row r="3784" spans="1:4" x14ac:dyDescent="0.2">
      <c r="A3784" s="146"/>
      <c r="D3784" s="496"/>
    </row>
    <row r="3785" spans="1:4" x14ac:dyDescent="0.2">
      <c r="A3785" s="146"/>
      <c r="D3785" s="496"/>
    </row>
    <row r="3786" spans="1:4" x14ac:dyDescent="0.2">
      <c r="A3786" s="146"/>
      <c r="D3786" s="496"/>
    </row>
    <row r="3787" spans="1:4" x14ac:dyDescent="0.2">
      <c r="A3787" s="146"/>
      <c r="D3787" s="496"/>
    </row>
    <row r="3788" spans="1:4" x14ac:dyDescent="0.2">
      <c r="A3788" s="146"/>
      <c r="D3788" s="496"/>
    </row>
    <row r="3789" spans="1:4" x14ac:dyDescent="0.2">
      <c r="A3789" s="146"/>
      <c r="D3789" s="496"/>
    </row>
    <row r="3790" spans="1:4" x14ac:dyDescent="0.2">
      <c r="A3790" s="146"/>
      <c r="D3790" s="496"/>
    </row>
    <row r="3791" spans="1:4" x14ac:dyDescent="0.2">
      <c r="A3791" s="146"/>
      <c r="D3791" s="496"/>
    </row>
    <row r="3792" spans="1:4" x14ac:dyDescent="0.2">
      <c r="A3792" s="146"/>
      <c r="D3792" s="496"/>
    </row>
    <row r="3793" spans="1:4" x14ac:dyDescent="0.2">
      <c r="A3793" s="146"/>
      <c r="D3793" s="496"/>
    </row>
    <row r="3794" spans="1:4" x14ac:dyDescent="0.2">
      <c r="A3794" s="146"/>
      <c r="D3794" s="496"/>
    </row>
    <row r="3795" spans="1:4" x14ac:dyDescent="0.2">
      <c r="A3795" s="146"/>
      <c r="D3795" s="496"/>
    </row>
    <row r="3796" spans="1:4" x14ac:dyDescent="0.2">
      <c r="A3796" s="146"/>
      <c r="D3796" s="496"/>
    </row>
    <row r="3797" spans="1:4" x14ac:dyDescent="0.2">
      <c r="A3797" s="146"/>
      <c r="D3797" s="496"/>
    </row>
    <row r="3798" spans="1:4" x14ac:dyDescent="0.2">
      <c r="A3798" s="146"/>
      <c r="D3798" s="496"/>
    </row>
    <row r="3799" spans="1:4" x14ac:dyDescent="0.2">
      <c r="A3799" s="146"/>
      <c r="D3799" s="496"/>
    </row>
    <row r="3800" spans="1:4" x14ac:dyDescent="0.2">
      <c r="A3800" s="146"/>
      <c r="D3800" s="496"/>
    </row>
    <row r="3801" spans="1:4" x14ac:dyDescent="0.2">
      <c r="A3801" s="146"/>
      <c r="D3801" s="496"/>
    </row>
    <row r="3802" spans="1:4" x14ac:dyDescent="0.2">
      <c r="A3802" s="146"/>
      <c r="D3802" s="496"/>
    </row>
    <row r="3803" spans="1:4" x14ac:dyDescent="0.2">
      <c r="A3803" s="146"/>
      <c r="D3803" s="496"/>
    </row>
    <row r="3804" spans="1:4" x14ac:dyDescent="0.2">
      <c r="A3804" s="146"/>
      <c r="D3804" s="496"/>
    </row>
    <row r="3805" spans="1:4" x14ac:dyDescent="0.2">
      <c r="A3805" s="146"/>
      <c r="D3805" s="496"/>
    </row>
    <row r="3806" spans="1:4" x14ac:dyDescent="0.2">
      <c r="A3806" s="146"/>
      <c r="D3806" s="496"/>
    </row>
    <row r="3807" spans="1:4" x14ac:dyDescent="0.2">
      <c r="A3807" s="146"/>
      <c r="D3807" s="496"/>
    </row>
    <row r="3808" spans="1:4" x14ac:dyDescent="0.2">
      <c r="A3808" s="146"/>
      <c r="D3808" s="496"/>
    </row>
    <row r="3809" spans="1:4" x14ac:dyDescent="0.2">
      <c r="A3809" s="146"/>
      <c r="D3809" s="496"/>
    </row>
    <row r="3810" spans="1:4" x14ac:dyDescent="0.2">
      <c r="A3810" s="146"/>
      <c r="D3810" s="496"/>
    </row>
    <row r="3811" spans="1:4" x14ac:dyDescent="0.2">
      <c r="A3811" s="146"/>
      <c r="D3811" s="496"/>
    </row>
    <row r="3812" spans="1:4" x14ac:dyDescent="0.2">
      <c r="A3812" s="146"/>
      <c r="D3812" s="496"/>
    </row>
    <row r="3813" spans="1:4" x14ac:dyDescent="0.2">
      <c r="A3813" s="146"/>
      <c r="D3813" s="496"/>
    </row>
    <row r="3814" spans="1:4" x14ac:dyDescent="0.2">
      <c r="A3814" s="146"/>
      <c r="D3814" s="496"/>
    </row>
    <row r="3815" spans="1:4" x14ac:dyDescent="0.2">
      <c r="A3815" s="146"/>
      <c r="D3815" s="496"/>
    </row>
    <row r="3816" spans="1:4" x14ac:dyDescent="0.2">
      <c r="A3816" s="146"/>
      <c r="D3816" s="496"/>
    </row>
    <row r="3817" spans="1:4" x14ac:dyDescent="0.2">
      <c r="A3817" s="146"/>
      <c r="D3817" s="496"/>
    </row>
    <row r="3818" spans="1:4" x14ac:dyDescent="0.2">
      <c r="A3818" s="146"/>
      <c r="D3818" s="496"/>
    </row>
    <row r="3819" spans="1:4" x14ac:dyDescent="0.2">
      <c r="A3819" s="146"/>
      <c r="D3819" s="496"/>
    </row>
    <row r="3820" spans="1:4" x14ac:dyDescent="0.2">
      <c r="A3820" s="146"/>
      <c r="D3820" s="496"/>
    </row>
    <row r="3821" spans="1:4" x14ac:dyDescent="0.2">
      <c r="A3821" s="146"/>
      <c r="D3821" s="496"/>
    </row>
    <row r="3822" spans="1:4" x14ac:dyDescent="0.2">
      <c r="A3822" s="146"/>
      <c r="D3822" s="496"/>
    </row>
    <row r="3823" spans="1:4" x14ac:dyDescent="0.2">
      <c r="A3823" s="146"/>
      <c r="D3823" s="496"/>
    </row>
    <row r="3824" spans="1:4" x14ac:dyDescent="0.2">
      <c r="A3824" s="146"/>
      <c r="D3824" s="496"/>
    </row>
    <row r="3825" spans="1:4" x14ac:dyDescent="0.2">
      <c r="A3825" s="146"/>
      <c r="D3825" s="496"/>
    </row>
    <row r="3826" spans="1:4" x14ac:dyDescent="0.2">
      <c r="A3826" s="146"/>
      <c r="D3826" s="496"/>
    </row>
    <row r="3827" spans="1:4" x14ac:dyDescent="0.2">
      <c r="A3827" s="146"/>
      <c r="D3827" s="496"/>
    </row>
    <row r="3828" spans="1:4" x14ac:dyDescent="0.2">
      <c r="A3828" s="146"/>
      <c r="D3828" s="496"/>
    </row>
    <row r="3829" spans="1:4" x14ac:dyDescent="0.2">
      <c r="A3829" s="146"/>
      <c r="D3829" s="496"/>
    </row>
    <row r="3830" spans="1:4" x14ac:dyDescent="0.2">
      <c r="A3830" s="146"/>
      <c r="D3830" s="496"/>
    </row>
    <row r="3831" spans="1:4" x14ac:dyDescent="0.2">
      <c r="A3831" s="146"/>
      <c r="D3831" s="496"/>
    </row>
    <row r="3832" spans="1:4" x14ac:dyDescent="0.2">
      <c r="A3832" s="146"/>
      <c r="D3832" s="496"/>
    </row>
    <row r="3833" spans="1:4" x14ac:dyDescent="0.2">
      <c r="A3833" s="146"/>
      <c r="D3833" s="496"/>
    </row>
    <row r="3834" spans="1:4" x14ac:dyDescent="0.2">
      <c r="A3834" s="146"/>
      <c r="D3834" s="496"/>
    </row>
    <row r="3835" spans="1:4" x14ac:dyDescent="0.2">
      <c r="A3835" s="146"/>
      <c r="D3835" s="496"/>
    </row>
    <row r="3836" spans="1:4" x14ac:dyDescent="0.2">
      <c r="A3836" s="146"/>
      <c r="D3836" s="496"/>
    </row>
    <row r="3837" spans="1:4" x14ac:dyDescent="0.2">
      <c r="A3837" s="146"/>
      <c r="D3837" s="496"/>
    </row>
    <row r="3838" spans="1:4" x14ac:dyDescent="0.2">
      <c r="A3838" s="146"/>
      <c r="D3838" s="496"/>
    </row>
    <row r="3839" spans="1:4" x14ac:dyDescent="0.2">
      <c r="A3839" s="146"/>
      <c r="D3839" s="496"/>
    </row>
    <row r="3840" spans="1:4" x14ac:dyDescent="0.2">
      <c r="A3840" s="146"/>
      <c r="D3840" s="496"/>
    </row>
    <row r="3841" spans="1:4" x14ac:dyDescent="0.2">
      <c r="A3841" s="146"/>
      <c r="D3841" s="496"/>
    </row>
    <row r="3842" spans="1:4" x14ac:dyDescent="0.2">
      <c r="A3842" s="146"/>
      <c r="D3842" s="496"/>
    </row>
    <row r="3843" spans="1:4" x14ac:dyDescent="0.2">
      <c r="A3843" s="146"/>
      <c r="D3843" s="496"/>
    </row>
    <row r="3844" spans="1:4" x14ac:dyDescent="0.2">
      <c r="A3844" s="146"/>
      <c r="D3844" s="496"/>
    </row>
    <row r="3845" spans="1:4" x14ac:dyDescent="0.2">
      <c r="A3845" s="146"/>
      <c r="D3845" s="496"/>
    </row>
    <row r="3846" spans="1:4" x14ac:dyDescent="0.2">
      <c r="A3846" s="146"/>
      <c r="D3846" s="496"/>
    </row>
    <row r="3847" spans="1:4" x14ac:dyDescent="0.2">
      <c r="A3847" s="146"/>
      <c r="D3847" s="496"/>
    </row>
    <row r="3848" spans="1:4" x14ac:dyDescent="0.2">
      <c r="A3848" s="146"/>
      <c r="D3848" s="496"/>
    </row>
    <row r="3849" spans="1:4" x14ac:dyDescent="0.2">
      <c r="A3849" s="146"/>
      <c r="D3849" s="496"/>
    </row>
    <row r="3850" spans="1:4" x14ac:dyDescent="0.2">
      <c r="A3850" s="146"/>
      <c r="D3850" s="496"/>
    </row>
    <row r="3851" spans="1:4" x14ac:dyDescent="0.2">
      <c r="A3851" s="146"/>
      <c r="D3851" s="496"/>
    </row>
    <row r="3852" spans="1:4" x14ac:dyDescent="0.2">
      <c r="A3852" s="146"/>
      <c r="D3852" s="496"/>
    </row>
    <row r="3853" spans="1:4" x14ac:dyDescent="0.2">
      <c r="A3853" s="146"/>
      <c r="D3853" s="496"/>
    </row>
    <row r="3854" spans="1:4" x14ac:dyDescent="0.2">
      <c r="A3854" s="146"/>
      <c r="D3854" s="496"/>
    </row>
    <row r="3855" spans="1:4" x14ac:dyDescent="0.2">
      <c r="A3855" s="146"/>
      <c r="D3855" s="496"/>
    </row>
    <row r="3856" spans="1:4" x14ac:dyDescent="0.2">
      <c r="A3856" s="146"/>
      <c r="D3856" s="496"/>
    </row>
    <row r="3857" spans="1:4" x14ac:dyDescent="0.2">
      <c r="A3857" s="146"/>
      <c r="D3857" s="496"/>
    </row>
    <row r="3858" spans="1:4" x14ac:dyDescent="0.2">
      <c r="A3858" s="146"/>
      <c r="D3858" s="496"/>
    </row>
    <row r="3859" spans="1:4" x14ac:dyDescent="0.2">
      <c r="A3859" s="146"/>
      <c r="D3859" s="496"/>
    </row>
    <row r="3860" spans="1:4" x14ac:dyDescent="0.2">
      <c r="A3860" s="146"/>
      <c r="D3860" s="496"/>
    </row>
    <row r="3861" spans="1:4" x14ac:dyDescent="0.2">
      <c r="A3861" s="146"/>
      <c r="D3861" s="496"/>
    </row>
    <row r="3862" spans="1:4" x14ac:dyDescent="0.2">
      <c r="A3862" s="146"/>
      <c r="D3862" s="496"/>
    </row>
    <row r="3863" spans="1:4" x14ac:dyDescent="0.2">
      <c r="A3863" s="146"/>
      <c r="D3863" s="496"/>
    </row>
    <row r="3864" spans="1:4" x14ac:dyDescent="0.2">
      <c r="A3864" s="146"/>
      <c r="D3864" s="496"/>
    </row>
    <row r="3865" spans="1:4" x14ac:dyDescent="0.2">
      <c r="A3865" s="146"/>
      <c r="D3865" s="496"/>
    </row>
    <row r="3866" spans="1:4" x14ac:dyDescent="0.2">
      <c r="A3866" s="146"/>
      <c r="D3866" s="496"/>
    </row>
    <row r="3867" spans="1:4" x14ac:dyDescent="0.2">
      <c r="A3867" s="146"/>
      <c r="D3867" s="496"/>
    </row>
    <row r="3868" spans="1:4" x14ac:dyDescent="0.2">
      <c r="A3868" s="146"/>
      <c r="D3868" s="496"/>
    </row>
    <row r="3869" spans="1:4" x14ac:dyDescent="0.2">
      <c r="A3869" s="146"/>
      <c r="D3869" s="496"/>
    </row>
    <row r="3870" spans="1:4" x14ac:dyDescent="0.2">
      <c r="A3870" s="146"/>
      <c r="D3870" s="496"/>
    </row>
    <row r="3871" spans="1:4" x14ac:dyDescent="0.2">
      <c r="A3871" s="146"/>
      <c r="D3871" s="496"/>
    </row>
    <row r="3872" spans="1:4" x14ac:dyDescent="0.2">
      <c r="A3872" s="146"/>
      <c r="D3872" s="496"/>
    </row>
    <row r="3873" spans="1:4" x14ac:dyDescent="0.2">
      <c r="A3873" s="146"/>
      <c r="D3873" s="496"/>
    </row>
    <row r="3874" spans="1:4" x14ac:dyDescent="0.2">
      <c r="A3874" s="146"/>
      <c r="D3874" s="496"/>
    </row>
    <row r="3875" spans="1:4" x14ac:dyDescent="0.2">
      <c r="A3875" s="146"/>
      <c r="D3875" s="496"/>
    </row>
    <row r="3876" spans="1:4" x14ac:dyDescent="0.2">
      <c r="A3876" s="146"/>
      <c r="D3876" s="496"/>
    </row>
    <row r="3877" spans="1:4" x14ac:dyDescent="0.2">
      <c r="A3877" s="146"/>
      <c r="D3877" s="496"/>
    </row>
    <row r="3878" spans="1:4" x14ac:dyDescent="0.2">
      <c r="A3878" s="146"/>
      <c r="D3878" s="496"/>
    </row>
    <row r="3879" spans="1:4" x14ac:dyDescent="0.2">
      <c r="A3879" s="146"/>
      <c r="D3879" s="496"/>
    </row>
    <row r="3880" spans="1:4" x14ac:dyDescent="0.2">
      <c r="A3880" s="146"/>
      <c r="D3880" s="496"/>
    </row>
    <row r="3881" spans="1:4" x14ac:dyDescent="0.2">
      <c r="A3881" s="146"/>
      <c r="D3881" s="496"/>
    </row>
    <row r="3882" spans="1:4" x14ac:dyDescent="0.2">
      <c r="A3882" s="146"/>
      <c r="D3882" s="496"/>
    </row>
    <row r="3883" spans="1:4" x14ac:dyDescent="0.2">
      <c r="A3883" s="146"/>
      <c r="D3883" s="496"/>
    </row>
    <row r="3884" spans="1:4" x14ac:dyDescent="0.2">
      <c r="A3884" s="146"/>
      <c r="D3884" s="496"/>
    </row>
    <row r="3885" spans="1:4" x14ac:dyDescent="0.2">
      <c r="A3885" s="146"/>
      <c r="D3885" s="496"/>
    </row>
    <row r="3886" spans="1:4" x14ac:dyDescent="0.2">
      <c r="A3886" s="146"/>
      <c r="D3886" s="496"/>
    </row>
    <row r="3887" spans="1:4" x14ac:dyDescent="0.2">
      <c r="A3887" s="146"/>
      <c r="D3887" s="496"/>
    </row>
    <row r="3888" spans="1:4" x14ac:dyDescent="0.2">
      <c r="A3888" s="146"/>
      <c r="D3888" s="496"/>
    </row>
    <row r="3889" spans="1:4" x14ac:dyDescent="0.2">
      <c r="A3889" s="146"/>
      <c r="D3889" s="496"/>
    </row>
    <row r="3890" spans="1:4" x14ac:dyDescent="0.2">
      <c r="A3890" s="146"/>
      <c r="D3890" s="496"/>
    </row>
    <row r="3891" spans="1:4" x14ac:dyDescent="0.2">
      <c r="A3891" s="146"/>
      <c r="D3891" s="496"/>
    </row>
    <row r="3892" spans="1:4" x14ac:dyDescent="0.2">
      <c r="A3892" s="146"/>
      <c r="D3892" s="496"/>
    </row>
    <row r="3893" spans="1:4" x14ac:dyDescent="0.2">
      <c r="A3893" s="146"/>
      <c r="D3893" s="496"/>
    </row>
    <row r="3894" spans="1:4" x14ac:dyDescent="0.2">
      <c r="A3894" s="146"/>
      <c r="D3894" s="496"/>
    </row>
    <row r="3895" spans="1:4" x14ac:dyDescent="0.2">
      <c r="A3895" s="146"/>
      <c r="D3895" s="496"/>
    </row>
    <row r="3896" spans="1:4" x14ac:dyDescent="0.2">
      <c r="A3896" s="146"/>
      <c r="D3896" s="496"/>
    </row>
    <row r="3897" spans="1:4" x14ac:dyDescent="0.2">
      <c r="A3897" s="146"/>
      <c r="D3897" s="496"/>
    </row>
    <row r="3898" spans="1:4" x14ac:dyDescent="0.2">
      <c r="A3898" s="146"/>
      <c r="D3898" s="496"/>
    </row>
    <row r="3899" spans="1:4" x14ac:dyDescent="0.2">
      <c r="A3899" s="146"/>
      <c r="D3899" s="496"/>
    </row>
    <row r="3900" spans="1:4" x14ac:dyDescent="0.2">
      <c r="A3900" s="146"/>
      <c r="D3900" s="496"/>
    </row>
    <row r="3901" spans="1:4" x14ac:dyDescent="0.2">
      <c r="A3901" s="146"/>
      <c r="D3901" s="496"/>
    </row>
    <row r="3902" spans="1:4" x14ac:dyDescent="0.2">
      <c r="A3902" s="146"/>
      <c r="D3902" s="496"/>
    </row>
    <row r="3903" spans="1:4" x14ac:dyDescent="0.2">
      <c r="A3903" s="146"/>
      <c r="D3903" s="496"/>
    </row>
    <row r="3904" spans="1:4" x14ac:dyDescent="0.2">
      <c r="A3904" s="146"/>
      <c r="D3904" s="496"/>
    </row>
    <row r="3905" spans="1:4" x14ac:dyDescent="0.2">
      <c r="A3905" s="146"/>
      <c r="D3905" s="496"/>
    </row>
    <row r="3906" spans="1:4" x14ac:dyDescent="0.2">
      <c r="A3906" s="146"/>
      <c r="D3906" s="496"/>
    </row>
    <row r="3907" spans="1:4" x14ac:dyDescent="0.2">
      <c r="A3907" s="146"/>
      <c r="D3907" s="496"/>
    </row>
    <row r="3908" spans="1:4" x14ac:dyDescent="0.2">
      <c r="A3908" s="146"/>
      <c r="D3908" s="496"/>
    </row>
    <row r="3909" spans="1:4" x14ac:dyDescent="0.2">
      <c r="A3909" s="146"/>
      <c r="D3909" s="496"/>
    </row>
    <row r="3910" spans="1:4" x14ac:dyDescent="0.2">
      <c r="A3910" s="146"/>
      <c r="D3910" s="496"/>
    </row>
    <row r="3911" spans="1:4" x14ac:dyDescent="0.2">
      <c r="A3911" s="146"/>
      <c r="D3911" s="496"/>
    </row>
    <row r="3912" spans="1:4" x14ac:dyDescent="0.2">
      <c r="A3912" s="146"/>
      <c r="D3912" s="496"/>
    </row>
    <row r="3913" spans="1:4" x14ac:dyDescent="0.2">
      <c r="A3913" s="146"/>
      <c r="D3913" s="496"/>
    </row>
    <row r="3914" spans="1:4" x14ac:dyDescent="0.2">
      <c r="A3914" s="146"/>
      <c r="D3914" s="496"/>
    </row>
    <row r="3915" spans="1:4" x14ac:dyDescent="0.2">
      <c r="A3915" s="146"/>
      <c r="D3915" s="496"/>
    </row>
    <row r="3916" spans="1:4" x14ac:dyDescent="0.2">
      <c r="A3916" s="146"/>
      <c r="D3916" s="496"/>
    </row>
    <row r="3917" spans="1:4" x14ac:dyDescent="0.2">
      <c r="A3917" s="146"/>
      <c r="D3917" s="496"/>
    </row>
    <row r="3918" spans="1:4" x14ac:dyDescent="0.2">
      <c r="A3918" s="146"/>
      <c r="D3918" s="496"/>
    </row>
    <row r="3919" spans="1:4" x14ac:dyDescent="0.2">
      <c r="A3919" s="146"/>
      <c r="D3919" s="496"/>
    </row>
    <row r="3920" spans="1:4" x14ac:dyDescent="0.2">
      <c r="A3920" s="146"/>
      <c r="D3920" s="496"/>
    </row>
    <row r="3921" spans="1:4" x14ac:dyDescent="0.2">
      <c r="A3921" s="146"/>
      <c r="D3921" s="496"/>
    </row>
    <row r="3922" spans="1:4" x14ac:dyDescent="0.2">
      <c r="A3922" s="146"/>
      <c r="D3922" s="496"/>
    </row>
    <row r="3923" spans="1:4" x14ac:dyDescent="0.2">
      <c r="A3923" s="146"/>
      <c r="D3923" s="496"/>
    </row>
    <row r="3924" spans="1:4" x14ac:dyDescent="0.2">
      <c r="A3924" s="146"/>
      <c r="D3924" s="496"/>
    </row>
    <row r="3925" spans="1:4" x14ac:dyDescent="0.2">
      <c r="A3925" s="146"/>
      <c r="D3925" s="496"/>
    </row>
    <row r="3926" spans="1:4" x14ac:dyDescent="0.2">
      <c r="A3926" s="146"/>
      <c r="D3926" s="496"/>
    </row>
    <row r="3927" spans="1:4" x14ac:dyDescent="0.2">
      <c r="A3927" s="146"/>
      <c r="D3927" s="496"/>
    </row>
    <row r="3928" spans="1:4" x14ac:dyDescent="0.2">
      <c r="A3928" s="146"/>
      <c r="D3928" s="496"/>
    </row>
    <row r="3929" spans="1:4" x14ac:dyDescent="0.2">
      <c r="A3929" s="146"/>
      <c r="D3929" s="496"/>
    </row>
    <row r="3930" spans="1:4" x14ac:dyDescent="0.2">
      <c r="A3930" s="146"/>
      <c r="D3930" s="496"/>
    </row>
    <row r="3931" spans="1:4" x14ac:dyDescent="0.2">
      <c r="A3931" s="146"/>
      <c r="D3931" s="496"/>
    </row>
    <row r="3932" spans="1:4" x14ac:dyDescent="0.2">
      <c r="A3932" s="146"/>
      <c r="D3932" s="496"/>
    </row>
    <row r="3933" spans="1:4" x14ac:dyDescent="0.2">
      <c r="A3933" s="146"/>
      <c r="D3933" s="496"/>
    </row>
    <row r="3934" spans="1:4" x14ac:dyDescent="0.2">
      <c r="A3934" s="146"/>
      <c r="D3934" s="496"/>
    </row>
    <row r="3935" spans="1:4" x14ac:dyDescent="0.2">
      <c r="A3935" s="146"/>
      <c r="D3935" s="496"/>
    </row>
    <row r="3936" spans="1:4" x14ac:dyDescent="0.2">
      <c r="A3936" s="146"/>
      <c r="D3936" s="496"/>
    </row>
    <row r="3937" spans="1:4" x14ac:dyDescent="0.2">
      <c r="A3937" s="146"/>
      <c r="D3937" s="496"/>
    </row>
    <row r="3938" spans="1:4" x14ac:dyDescent="0.2">
      <c r="A3938" s="146"/>
      <c r="D3938" s="496"/>
    </row>
    <row r="3939" spans="1:4" x14ac:dyDescent="0.2">
      <c r="A3939" s="146"/>
      <c r="D3939" s="496"/>
    </row>
    <row r="3940" spans="1:4" x14ac:dyDescent="0.2">
      <c r="A3940" s="146"/>
      <c r="D3940" s="496"/>
    </row>
    <row r="3941" spans="1:4" x14ac:dyDescent="0.2">
      <c r="A3941" s="146"/>
      <c r="D3941" s="496"/>
    </row>
    <row r="3942" spans="1:4" x14ac:dyDescent="0.2">
      <c r="A3942" s="146"/>
      <c r="D3942" s="496"/>
    </row>
    <row r="3943" spans="1:4" x14ac:dyDescent="0.2">
      <c r="A3943" s="146"/>
      <c r="D3943" s="496"/>
    </row>
    <row r="3944" spans="1:4" x14ac:dyDescent="0.2">
      <c r="A3944" s="146"/>
      <c r="D3944" s="496"/>
    </row>
    <row r="3945" spans="1:4" x14ac:dyDescent="0.2">
      <c r="A3945" s="146"/>
      <c r="D3945" s="496"/>
    </row>
    <row r="3946" spans="1:4" x14ac:dyDescent="0.2">
      <c r="A3946" s="146"/>
      <c r="D3946" s="496"/>
    </row>
    <row r="3947" spans="1:4" x14ac:dyDescent="0.2">
      <c r="A3947" s="146"/>
      <c r="D3947" s="496"/>
    </row>
    <row r="3948" spans="1:4" x14ac:dyDescent="0.2">
      <c r="A3948" s="146"/>
      <c r="D3948" s="496"/>
    </row>
    <row r="3949" spans="1:4" x14ac:dyDescent="0.2">
      <c r="A3949" s="146"/>
      <c r="D3949" s="496"/>
    </row>
    <row r="3950" spans="1:4" x14ac:dyDescent="0.2">
      <c r="A3950" s="146"/>
      <c r="D3950" s="496"/>
    </row>
    <row r="3951" spans="1:4" x14ac:dyDescent="0.2">
      <c r="A3951" s="146"/>
      <c r="D3951" s="496"/>
    </row>
    <row r="3952" spans="1:4" x14ac:dyDescent="0.2">
      <c r="A3952" s="146"/>
      <c r="D3952" s="496"/>
    </row>
    <row r="3953" spans="1:4" x14ac:dyDescent="0.2">
      <c r="A3953" s="146"/>
      <c r="D3953" s="496"/>
    </row>
    <row r="3954" spans="1:4" x14ac:dyDescent="0.2">
      <c r="A3954" s="146"/>
      <c r="D3954" s="496"/>
    </row>
    <row r="3955" spans="1:4" x14ac:dyDescent="0.2">
      <c r="A3955" s="146"/>
      <c r="D3955" s="496"/>
    </row>
    <row r="3956" spans="1:4" x14ac:dyDescent="0.2">
      <c r="A3956" s="146"/>
      <c r="D3956" s="496"/>
    </row>
    <row r="3957" spans="1:4" x14ac:dyDescent="0.2">
      <c r="A3957" s="146"/>
      <c r="D3957" s="496"/>
    </row>
    <row r="3958" spans="1:4" x14ac:dyDescent="0.2">
      <c r="A3958" s="146"/>
      <c r="D3958" s="496"/>
    </row>
    <row r="3959" spans="1:4" x14ac:dyDescent="0.2">
      <c r="A3959" s="146"/>
      <c r="D3959" s="496"/>
    </row>
    <row r="3960" spans="1:4" x14ac:dyDescent="0.2">
      <c r="A3960" s="146"/>
      <c r="D3960" s="496"/>
    </row>
    <row r="3961" spans="1:4" x14ac:dyDescent="0.2">
      <c r="A3961" s="146"/>
      <c r="D3961" s="496"/>
    </row>
    <row r="3962" spans="1:4" x14ac:dyDescent="0.2">
      <c r="A3962" s="146"/>
      <c r="D3962" s="496"/>
    </row>
    <row r="3963" spans="1:4" x14ac:dyDescent="0.2">
      <c r="A3963" s="146"/>
      <c r="D3963" s="496"/>
    </row>
    <row r="3964" spans="1:4" x14ac:dyDescent="0.2">
      <c r="A3964" s="146"/>
      <c r="D3964" s="496"/>
    </row>
    <row r="3965" spans="1:4" x14ac:dyDescent="0.2">
      <c r="A3965" s="146"/>
      <c r="D3965" s="496"/>
    </row>
    <row r="3966" spans="1:4" x14ac:dyDescent="0.2">
      <c r="A3966" s="146"/>
      <c r="D3966" s="496"/>
    </row>
    <row r="3967" spans="1:4" x14ac:dyDescent="0.2">
      <c r="A3967" s="146"/>
      <c r="D3967" s="496"/>
    </row>
    <row r="3968" spans="1:4" x14ac:dyDescent="0.2">
      <c r="A3968" s="146"/>
      <c r="D3968" s="496"/>
    </row>
    <row r="3969" spans="1:4" x14ac:dyDescent="0.2">
      <c r="A3969" s="146"/>
      <c r="D3969" s="496"/>
    </row>
    <row r="3970" spans="1:4" x14ac:dyDescent="0.2">
      <c r="A3970" s="146"/>
      <c r="D3970" s="496"/>
    </row>
    <row r="3971" spans="1:4" x14ac:dyDescent="0.2">
      <c r="A3971" s="146"/>
      <c r="D3971" s="496"/>
    </row>
    <row r="3972" spans="1:4" x14ac:dyDescent="0.2">
      <c r="A3972" s="146"/>
      <c r="D3972" s="496"/>
    </row>
    <row r="3973" spans="1:4" x14ac:dyDescent="0.2">
      <c r="A3973" s="146"/>
      <c r="D3973" s="496"/>
    </row>
    <row r="3974" spans="1:4" x14ac:dyDescent="0.2">
      <c r="A3974" s="146"/>
      <c r="D3974" s="496"/>
    </row>
    <row r="3975" spans="1:4" x14ac:dyDescent="0.2">
      <c r="A3975" s="146"/>
      <c r="D3975" s="496"/>
    </row>
    <row r="3976" spans="1:4" x14ac:dyDescent="0.2">
      <c r="A3976" s="146"/>
      <c r="D3976" s="496"/>
    </row>
    <row r="3977" spans="1:4" x14ac:dyDescent="0.2">
      <c r="A3977" s="146"/>
      <c r="D3977" s="496"/>
    </row>
    <row r="3978" spans="1:4" x14ac:dyDescent="0.2">
      <c r="A3978" s="146"/>
      <c r="D3978" s="496"/>
    </row>
    <row r="3979" spans="1:4" x14ac:dyDescent="0.2">
      <c r="A3979" s="146"/>
      <c r="D3979" s="496"/>
    </row>
    <row r="3980" spans="1:4" x14ac:dyDescent="0.2">
      <c r="A3980" s="146"/>
      <c r="D3980" s="496"/>
    </row>
    <row r="3981" spans="1:4" x14ac:dyDescent="0.2">
      <c r="A3981" s="146"/>
      <c r="D3981" s="496"/>
    </row>
    <row r="3982" spans="1:4" x14ac:dyDescent="0.2">
      <c r="A3982" s="146"/>
      <c r="D3982" s="496"/>
    </row>
    <row r="3983" spans="1:4" x14ac:dyDescent="0.2">
      <c r="A3983" s="146"/>
      <c r="D3983" s="496"/>
    </row>
    <row r="3984" spans="1:4" x14ac:dyDescent="0.2">
      <c r="A3984" s="146"/>
      <c r="D3984" s="496"/>
    </row>
    <row r="3985" spans="1:4" x14ac:dyDescent="0.2">
      <c r="A3985" s="146"/>
      <c r="D3985" s="496"/>
    </row>
    <row r="3986" spans="1:4" x14ac:dyDescent="0.2">
      <c r="A3986" s="146"/>
      <c r="D3986" s="496"/>
    </row>
    <row r="3987" spans="1:4" x14ac:dyDescent="0.2">
      <c r="A3987" s="146"/>
      <c r="D3987" s="496"/>
    </row>
    <row r="3988" spans="1:4" x14ac:dyDescent="0.2">
      <c r="A3988" s="146"/>
      <c r="D3988" s="496"/>
    </row>
    <row r="3989" spans="1:4" x14ac:dyDescent="0.2">
      <c r="A3989" s="146"/>
      <c r="D3989" s="496"/>
    </row>
    <row r="3990" spans="1:4" x14ac:dyDescent="0.2">
      <c r="A3990" s="146"/>
      <c r="D3990" s="496"/>
    </row>
    <row r="3991" spans="1:4" x14ac:dyDescent="0.2">
      <c r="A3991" s="146"/>
      <c r="D3991" s="496"/>
    </row>
    <row r="3992" spans="1:4" x14ac:dyDescent="0.2">
      <c r="A3992" s="146"/>
      <c r="D3992" s="496"/>
    </row>
    <row r="3993" spans="1:4" x14ac:dyDescent="0.2">
      <c r="A3993" s="146"/>
      <c r="D3993" s="496"/>
    </row>
    <row r="3994" spans="1:4" x14ac:dyDescent="0.2">
      <c r="A3994" s="146"/>
      <c r="D3994" s="496"/>
    </row>
    <row r="3995" spans="1:4" x14ac:dyDescent="0.2">
      <c r="A3995" s="146"/>
      <c r="D3995" s="496"/>
    </row>
    <row r="3996" spans="1:4" x14ac:dyDescent="0.2">
      <c r="A3996" s="146"/>
      <c r="D3996" s="496"/>
    </row>
    <row r="3997" spans="1:4" x14ac:dyDescent="0.2">
      <c r="A3997" s="146"/>
      <c r="D3997" s="496"/>
    </row>
    <row r="3998" spans="1:4" x14ac:dyDescent="0.2">
      <c r="A3998" s="146"/>
      <c r="D3998" s="496"/>
    </row>
    <row r="3999" spans="1:4" x14ac:dyDescent="0.2">
      <c r="A3999" s="146"/>
      <c r="D3999" s="496"/>
    </row>
    <row r="4000" spans="1:4" x14ac:dyDescent="0.2">
      <c r="A4000" s="146"/>
      <c r="D4000" s="496"/>
    </row>
    <row r="4001" spans="1:4" x14ac:dyDescent="0.2">
      <c r="A4001" s="146"/>
      <c r="D4001" s="496"/>
    </row>
    <row r="4002" spans="1:4" x14ac:dyDescent="0.2">
      <c r="A4002" s="146"/>
      <c r="D4002" s="496"/>
    </row>
    <row r="4003" spans="1:4" x14ac:dyDescent="0.2">
      <c r="A4003" s="146"/>
      <c r="D4003" s="496"/>
    </row>
    <row r="4004" spans="1:4" x14ac:dyDescent="0.2">
      <c r="A4004" s="146"/>
      <c r="D4004" s="496"/>
    </row>
    <row r="4005" spans="1:4" x14ac:dyDescent="0.2">
      <c r="A4005" s="146"/>
      <c r="D4005" s="496"/>
    </row>
    <row r="4006" spans="1:4" x14ac:dyDescent="0.2">
      <c r="A4006" s="146"/>
      <c r="D4006" s="496"/>
    </row>
    <row r="4007" spans="1:4" x14ac:dyDescent="0.2">
      <c r="A4007" s="146"/>
      <c r="D4007" s="496"/>
    </row>
    <row r="4008" spans="1:4" x14ac:dyDescent="0.2">
      <c r="A4008" s="146"/>
      <c r="D4008" s="496"/>
    </row>
    <row r="4009" spans="1:4" x14ac:dyDescent="0.2">
      <c r="A4009" s="146"/>
      <c r="D4009" s="496"/>
    </row>
    <row r="4010" spans="1:4" x14ac:dyDescent="0.2">
      <c r="A4010" s="146"/>
      <c r="D4010" s="496"/>
    </row>
    <row r="4011" spans="1:4" x14ac:dyDescent="0.2">
      <c r="A4011" s="146"/>
      <c r="D4011" s="496"/>
    </row>
    <row r="4012" spans="1:4" x14ac:dyDescent="0.2">
      <c r="A4012" s="146"/>
      <c r="D4012" s="496"/>
    </row>
    <row r="4013" spans="1:4" x14ac:dyDescent="0.2">
      <c r="A4013" s="146"/>
      <c r="D4013" s="496"/>
    </row>
    <row r="4014" spans="1:4" x14ac:dyDescent="0.2">
      <c r="A4014" s="146"/>
      <c r="D4014" s="496"/>
    </row>
    <row r="4015" spans="1:4" x14ac:dyDescent="0.2">
      <c r="A4015" s="146"/>
      <c r="D4015" s="496"/>
    </row>
    <row r="4016" spans="1:4" x14ac:dyDescent="0.2">
      <c r="A4016" s="146"/>
      <c r="D4016" s="496"/>
    </row>
    <row r="4017" spans="1:4" x14ac:dyDescent="0.2">
      <c r="A4017" s="146"/>
      <c r="D4017" s="496"/>
    </row>
    <row r="4018" spans="1:4" x14ac:dyDescent="0.2">
      <c r="A4018" s="146"/>
      <c r="D4018" s="496"/>
    </row>
    <row r="4019" spans="1:4" x14ac:dyDescent="0.2">
      <c r="A4019" s="146"/>
      <c r="D4019" s="496"/>
    </row>
    <row r="4020" spans="1:4" x14ac:dyDescent="0.2">
      <c r="A4020" s="146"/>
      <c r="D4020" s="496"/>
    </row>
    <row r="4021" spans="1:4" x14ac:dyDescent="0.2">
      <c r="A4021" s="146"/>
      <c r="D4021" s="496"/>
    </row>
    <row r="4022" spans="1:4" x14ac:dyDescent="0.2">
      <c r="A4022" s="146"/>
      <c r="D4022" s="496"/>
    </row>
    <row r="4023" spans="1:4" x14ac:dyDescent="0.2">
      <c r="A4023" s="146"/>
      <c r="D4023" s="496"/>
    </row>
    <row r="4024" spans="1:4" x14ac:dyDescent="0.2">
      <c r="A4024" s="146"/>
      <c r="D4024" s="496"/>
    </row>
    <row r="4025" spans="1:4" x14ac:dyDescent="0.2">
      <c r="A4025" s="146"/>
      <c r="D4025" s="496"/>
    </row>
    <row r="4026" spans="1:4" x14ac:dyDescent="0.2">
      <c r="A4026" s="146"/>
      <c r="D4026" s="496"/>
    </row>
    <row r="4027" spans="1:4" x14ac:dyDescent="0.2">
      <c r="A4027" s="146"/>
      <c r="D4027" s="496"/>
    </row>
    <row r="4028" spans="1:4" x14ac:dyDescent="0.2">
      <c r="A4028" s="146"/>
      <c r="D4028" s="496"/>
    </row>
    <row r="4029" spans="1:4" x14ac:dyDescent="0.2">
      <c r="A4029" s="146"/>
      <c r="D4029" s="496"/>
    </row>
    <row r="4030" spans="1:4" x14ac:dyDescent="0.2">
      <c r="A4030" s="146"/>
      <c r="D4030" s="496"/>
    </row>
    <row r="4031" spans="1:4" x14ac:dyDescent="0.2">
      <c r="A4031" s="146"/>
      <c r="D4031" s="496"/>
    </row>
    <row r="4032" spans="1:4" x14ac:dyDescent="0.2">
      <c r="A4032" s="146"/>
      <c r="D4032" s="496"/>
    </row>
    <row r="4033" spans="1:4" x14ac:dyDescent="0.2">
      <c r="A4033" s="146"/>
      <c r="D4033" s="496"/>
    </row>
    <row r="4034" spans="1:4" x14ac:dyDescent="0.2">
      <c r="A4034" s="146"/>
      <c r="D4034" s="496"/>
    </row>
    <row r="4035" spans="1:4" x14ac:dyDescent="0.2">
      <c r="A4035" s="146"/>
      <c r="D4035" s="496"/>
    </row>
    <row r="4036" spans="1:4" x14ac:dyDescent="0.2">
      <c r="A4036" s="146"/>
      <c r="D4036" s="496"/>
    </row>
    <row r="4037" spans="1:4" x14ac:dyDescent="0.2">
      <c r="A4037" s="146"/>
      <c r="D4037" s="496"/>
    </row>
    <row r="4038" spans="1:4" x14ac:dyDescent="0.2">
      <c r="A4038" s="146"/>
      <c r="D4038" s="496"/>
    </row>
    <row r="4039" spans="1:4" x14ac:dyDescent="0.2">
      <c r="A4039" s="146"/>
      <c r="D4039" s="496"/>
    </row>
    <row r="4040" spans="1:4" x14ac:dyDescent="0.2">
      <c r="A4040" s="146"/>
      <c r="D4040" s="496"/>
    </row>
    <row r="4041" spans="1:4" x14ac:dyDescent="0.2">
      <c r="A4041" s="146"/>
      <c r="D4041" s="496"/>
    </row>
    <row r="4042" spans="1:4" x14ac:dyDescent="0.2">
      <c r="A4042" s="146"/>
      <c r="D4042" s="496"/>
    </row>
    <row r="4043" spans="1:4" x14ac:dyDescent="0.2">
      <c r="A4043" s="146"/>
      <c r="D4043" s="496"/>
    </row>
    <row r="4044" spans="1:4" x14ac:dyDescent="0.2">
      <c r="A4044" s="146"/>
      <c r="D4044" s="496"/>
    </row>
    <row r="4045" spans="1:4" x14ac:dyDescent="0.2">
      <c r="A4045" s="146"/>
      <c r="D4045" s="496"/>
    </row>
    <row r="4046" spans="1:4" x14ac:dyDescent="0.2">
      <c r="A4046" s="146"/>
      <c r="D4046" s="496"/>
    </row>
    <row r="4047" spans="1:4" x14ac:dyDescent="0.2">
      <c r="A4047" s="146"/>
      <c r="D4047" s="496"/>
    </row>
    <row r="4048" spans="1:4" x14ac:dyDescent="0.2">
      <c r="A4048" s="146"/>
      <c r="D4048" s="496"/>
    </row>
    <row r="4049" spans="1:4" x14ac:dyDescent="0.2">
      <c r="A4049" s="146"/>
      <c r="D4049" s="496"/>
    </row>
    <row r="4050" spans="1:4" x14ac:dyDescent="0.2">
      <c r="A4050" s="146"/>
      <c r="D4050" s="496"/>
    </row>
    <row r="4051" spans="1:4" x14ac:dyDescent="0.2">
      <c r="A4051" s="146"/>
      <c r="D4051" s="496"/>
    </row>
    <row r="4052" spans="1:4" x14ac:dyDescent="0.2">
      <c r="A4052" s="146"/>
      <c r="D4052" s="496"/>
    </row>
    <row r="4053" spans="1:4" x14ac:dyDescent="0.2">
      <c r="A4053" s="146"/>
      <c r="D4053" s="496"/>
    </row>
    <row r="4054" spans="1:4" x14ac:dyDescent="0.2">
      <c r="A4054" s="146"/>
      <c r="D4054" s="496"/>
    </row>
    <row r="4055" spans="1:4" x14ac:dyDescent="0.2">
      <c r="A4055" s="146"/>
      <c r="D4055" s="496"/>
    </row>
    <row r="4056" spans="1:4" x14ac:dyDescent="0.2">
      <c r="A4056" s="146"/>
      <c r="D4056" s="496"/>
    </row>
    <row r="4057" spans="1:4" x14ac:dyDescent="0.2">
      <c r="A4057" s="146"/>
      <c r="D4057" s="496"/>
    </row>
    <row r="4058" spans="1:4" x14ac:dyDescent="0.2">
      <c r="A4058" s="146"/>
      <c r="D4058" s="496"/>
    </row>
    <row r="4059" spans="1:4" x14ac:dyDescent="0.2">
      <c r="A4059" s="146"/>
      <c r="D4059" s="496"/>
    </row>
    <row r="4060" spans="1:4" x14ac:dyDescent="0.2">
      <c r="A4060" s="146"/>
      <c r="D4060" s="496"/>
    </row>
    <row r="4061" spans="1:4" x14ac:dyDescent="0.2">
      <c r="A4061" s="146"/>
      <c r="D4061" s="496"/>
    </row>
    <row r="4062" spans="1:4" x14ac:dyDescent="0.2">
      <c r="A4062" s="146"/>
      <c r="D4062" s="496"/>
    </row>
    <row r="4063" spans="1:4" x14ac:dyDescent="0.2">
      <c r="A4063" s="146"/>
      <c r="D4063" s="496"/>
    </row>
    <row r="4064" spans="1:4" x14ac:dyDescent="0.2">
      <c r="A4064" s="146"/>
      <c r="D4064" s="496"/>
    </row>
    <row r="4065" spans="1:4" x14ac:dyDescent="0.2">
      <c r="A4065" s="146"/>
      <c r="D4065" s="496"/>
    </row>
    <row r="4066" spans="1:4" x14ac:dyDescent="0.2">
      <c r="A4066" s="146"/>
      <c r="D4066" s="496"/>
    </row>
    <row r="4067" spans="1:4" x14ac:dyDescent="0.2">
      <c r="A4067" s="146"/>
      <c r="D4067" s="496"/>
    </row>
    <row r="4068" spans="1:4" x14ac:dyDescent="0.2">
      <c r="A4068" s="146"/>
      <c r="D4068" s="496"/>
    </row>
    <row r="4069" spans="1:4" x14ac:dyDescent="0.2">
      <c r="A4069" s="146"/>
      <c r="D4069" s="496"/>
    </row>
    <row r="4070" spans="1:4" x14ac:dyDescent="0.2">
      <c r="A4070" s="146"/>
      <c r="D4070" s="496"/>
    </row>
    <row r="4071" spans="1:4" x14ac:dyDescent="0.2">
      <c r="A4071" s="146"/>
      <c r="D4071" s="496"/>
    </row>
    <row r="4072" spans="1:4" x14ac:dyDescent="0.2">
      <c r="A4072" s="146"/>
      <c r="D4072" s="496"/>
    </row>
    <row r="4073" spans="1:4" x14ac:dyDescent="0.2">
      <c r="A4073" s="146"/>
      <c r="D4073" s="496"/>
    </row>
    <row r="4074" spans="1:4" x14ac:dyDescent="0.2">
      <c r="A4074" s="146"/>
      <c r="D4074" s="496"/>
    </row>
    <row r="4075" spans="1:4" x14ac:dyDescent="0.2">
      <c r="A4075" s="146"/>
      <c r="D4075" s="496"/>
    </row>
    <row r="4076" spans="1:4" x14ac:dyDescent="0.2">
      <c r="A4076" s="146"/>
      <c r="D4076" s="496"/>
    </row>
    <row r="4077" spans="1:4" x14ac:dyDescent="0.2">
      <c r="A4077" s="146"/>
      <c r="D4077" s="496"/>
    </row>
    <row r="4078" spans="1:4" x14ac:dyDescent="0.2">
      <c r="A4078" s="146"/>
      <c r="D4078" s="496"/>
    </row>
    <row r="4079" spans="1:4" x14ac:dyDescent="0.2">
      <c r="A4079" s="146"/>
      <c r="D4079" s="496"/>
    </row>
    <row r="4080" spans="1:4" x14ac:dyDescent="0.2">
      <c r="A4080" s="146"/>
      <c r="D4080" s="496"/>
    </row>
    <row r="4081" spans="1:4" x14ac:dyDescent="0.2">
      <c r="A4081" s="146"/>
      <c r="D4081" s="496"/>
    </row>
    <row r="4082" spans="1:4" x14ac:dyDescent="0.2">
      <c r="A4082" s="146"/>
      <c r="D4082" s="496"/>
    </row>
    <row r="4083" spans="1:4" x14ac:dyDescent="0.2">
      <c r="A4083" s="146"/>
      <c r="D4083" s="496"/>
    </row>
    <row r="4084" spans="1:4" x14ac:dyDescent="0.2">
      <c r="A4084" s="146"/>
      <c r="D4084" s="496"/>
    </row>
    <row r="4085" spans="1:4" x14ac:dyDescent="0.2">
      <c r="A4085" s="146"/>
      <c r="D4085" s="496"/>
    </row>
    <row r="4086" spans="1:4" x14ac:dyDescent="0.2">
      <c r="A4086" s="146"/>
      <c r="D4086" s="496"/>
    </row>
    <row r="4087" spans="1:4" x14ac:dyDescent="0.2">
      <c r="A4087" s="146"/>
      <c r="D4087" s="496"/>
    </row>
    <row r="4088" spans="1:4" x14ac:dyDescent="0.2">
      <c r="A4088" s="146"/>
      <c r="D4088" s="496"/>
    </row>
    <row r="4089" spans="1:4" x14ac:dyDescent="0.2">
      <c r="A4089" s="146"/>
      <c r="D4089" s="496"/>
    </row>
    <row r="4090" spans="1:4" x14ac:dyDescent="0.2">
      <c r="A4090" s="146"/>
      <c r="D4090" s="496"/>
    </row>
    <row r="4091" spans="1:4" x14ac:dyDescent="0.2">
      <c r="A4091" s="146"/>
      <c r="D4091" s="496"/>
    </row>
    <row r="4092" spans="1:4" x14ac:dyDescent="0.2">
      <c r="A4092" s="146"/>
      <c r="D4092" s="496"/>
    </row>
    <row r="4093" spans="1:4" x14ac:dyDescent="0.2">
      <c r="A4093" s="146"/>
      <c r="D4093" s="496"/>
    </row>
    <row r="4094" spans="1:4" x14ac:dyDescent="0.2">
      <c r="A4094" s="146"/>
      <c r="D4094" s="496"/>
    </row>
    <row r="4095" spans="1:4" x14ac:dyDescent="0.2">
      <c r="A4095" s="146"/>
      <c r="D4095" s="496"/>
    </row>
    <row r="4096" spans="1:4" x14ac:dyDescent="0.2">
      <c r="A4096" s="146"/>
      <c r="D4096" s="496"/>
    </row>
    <row r="4097" spans="1:4" x14ac:dyDescent="0.2">
      <c r="A4097" s="146"/>
      <c r="D4097" s="496"/>
    </row>
    <row r="4098" spans="1:4" x14ac:dyDescent="0.2">
      <c r="A4098" s="146"/>
      <c r="D4098" s="496"/>
    </row>
    <row r="4099" spans="1:4" x14ac:dyDescent="0.2">
      <c r="A4099" s="146"/>
      <c r="D4099" s="496"/>
    </row>
    <row r="4100" spans="1:4" x14ac:dyDescent="0.2">
      <c r="A4100" s="146"/>
      <c r="D4100" s="496"/>
    </row>
    <row r="4101" spans="1:4" x14ac:dyDescent="0.2">
      <c r="A4101" s="146"/>
      <c r="D4101" s="496"/>
    </row>
    <row r="4102" spans="1:4" x14ac:dyDescent="0.2">
      <c r="A4102" s="146"/>
      <c r="D4102" s="496"/>
    </row>
    <row r="4103" spans="1:4" x14ac:dyDescent="0.2">
      <c r="A4103" s="146"/>
      <c r="D4103" s="496"/>
    </row>
    <row r="4104" spans="1:4" x14ac:dyDescent="0.2">
      <c r="A4104" s="146"/>
      <c r="D4104" s="496"/>
    </row>
    <row r="4105" spans="1:4" x14ac:dyDescent="0.2">
      <c r="A4105" s="146"/>
      <c r="D4105" s="496"/>
    </row>
    <row r="4106" spans="1:4" x14ac:dyDescent="0.2">
      <c r="A4106" s="146"/>
      <c r="D4106" s="496"/>
    </row>
    <row r="4107" spans="1:4" x14ac:dyDescent="0.2">
      <c r="A4107" s="146"/>
      <c r="D4107" s="496"/>
    </row>
    <row r="4108" spans="1:4" x14ac:dyDescent="0.2">
      <c r="A4108" s="146"/>
      <c r="D4108" s="496"/>
    </row>
    <row r="4109" spans="1:4" x14ac:dyDescent="0.2">
      <c r="A4109" s="146"/>
      <c r="D4109" s="496"/>
    </row>
    <row r="4110" spans="1:4" x14ac:dyDescent="0.2">
      <c r="A4110" s="146"/>
      <c r="D4110" s="496"/>
    </row>
    <row r="4111" spans="1:4" x14ac:dyDescent="0.2">
      <c r="A4111" s="146"/>
      <c r="D4111" s="496"/>
    </row>
    <row r="4112" spans="1:4" x14ac:dyDescent="0.2">
      <c r="A4112" s="146"/>
      <c r="D4112" s="496"/>
    </row>
    <row r="4113" spans="1:4" x14ac:dyDescent="0.2">
      <c r="A4113" s="146"/>
      <c r="D4113" s="496"/>
    </row>
    <row r="4114" spans="1:4" x14ac:dyDescent="0.2">
      <c r="A4114" s="146"/>
      <c r="D4114" s="496"/>
    </row>
    <row r="4115" spans="1:4" x14ac:dyDescent="0.2">
      <c r="A4115" s="146"/>
      <c r="D4115" s="496"/>
    </row>
    <row r="4116" spans="1:4" x14ac:dyDescent="0.2">
      <c r="A4116" s="146"/>
      <c r="D4116" s="496"/>
    </row>
    <row r="4117" spans="1:4" x14ac:dyDescent="0.2">
      <c r="A4117" s="146"/>
      <c r="D4117" s="496"/>
    </row>
    <row r="4118" spans="1:4" x14ac:dyDescent="0.2">
      <c r="A4118" s="146"/>
      <c r="D4118" s="496"/>
    </row>
    <row r="4119" spans="1:4" x14ac:dyDescent="0.2">
      <c r="A4119" s="146"/>
      <c r="D4119" s="496"/>
    </row>
    <row r="4120" spans="1:4" x14ac:dyDescent="0.2">
      <c r="A4120" s="146"/>
      <c r="D4120" s="496"/>
    </row>
    <row r="4121" spans="1:4" x14ac:dyDescent="0.2">
      <c r="A4121" s="146"/>
      <c r="D4121" s="496"/>
    </row>
    <row r="4122" spans="1:4" x14ac:dyDescent="0.2">
      <c r="A4122" s="146"/>
      <c r="D4122" s="496"/>
    </row>
    <row r="4123" spans="1:4" x14ac:dyDescent="0.2">
      <c r="A4123" s="146"/>
      <c r="D4123" s="496"/>
    </row>
    <row r="4124" spans="1:4" x14ac:dyDescent="0.2">
      <c r="A4124" s="146"/>
      <c r="D4124" s="496"/>
    </row>
    <row r="4125" spans="1:4" x14ac:dyDescent="0.2">
      <c r="A4125" s="146"/>
      <c r="D4125" s="496"/>
    </row>
    <row r="4126" spans="1:4" x14ac:dyDescent="0.2">
      <c r="A4126" s="146"/>
      <c r="D4126" s="496"/>
    </row>
    <row r="4127" spans="1:4" x14ac:dyDescent="0.2">
      <c r="A4127" s="146"/>
      <c r="D4127" s="496"/>
    </row>
    <row r="4128" spans="1:4" x14ac:dyDescent="0.2">
      <c r="A4128" s="146"/>
      <c r="D4128" s="496"/>
    </row>
    <row r="4129" spans="1:4" x14ac:dyDescent="0.2">
      <c r="A4129" s="146"/>
      <c r="D4129" s="496"/>
    </row>
    <row r="4130" spans="1:4" x14ac:dyDescent="0.2">
      <c r="A4130" s="146"/>
      <c r="D4130" s="496"/>
    </row>
    <row r="4131" spans="1:4" x14ac:dyDescent="0.2">
      <c r="A4131" s="146"/>
      <c r="D4131" s="496"/>
    </row>
    <row r="4132" spans="1:4" x14ac:dyDescent="0.2">
      <c r="A4132" s="146"/>
      <c r="D4132" s="496"/>
    </row>
    <row r="4133" spans="1:4" x14ac:dyDescent="0.2">
      <c r="A4133" s="146"/>
      <c r="D4133" s="496"/>
    </row>
    <row r="4134" spans="1:4" x14ac:dyDescent="0.2">
      <c r="A4134" s="146"/>
      <c r="D4134" s="496"/>
    </row>
    <row r="4135" spans="1:4" x14ac:dyDescent="0.2">
      <c r="A4135" s="146"/>
      <c r="D4135" s="496"/>
    </row>
    <row r="4136" spans="1:4" x14ac:dyDescent="0.2">
      <c r="A4136" s="146"/>
      <c r="D4136" s="496"/>
    </row>
    <row r="4137" spans="1:4" x14ac:dyDescent="0.2">
      <c r="A4137" s="146"/>
      <c r="D4137" s="496"/>
    </row>
    <row r="4138" spans="1:4" x14ac:dyDescent="0.2">
      <c r="A4138" s="146"/>
      <c r="D4138" s="496"/>
    </row>
    <row r="4139" spans="1:4" x14ac:dyDescent="0.2">
      <c r="A4139" s="146"/>
      <c r="D4139" s="496"/>
    </row>
    <row r="4140" spans="1:4" x14ac:dyDescent="0.2">
      <c r="A4140" s="146"/>
      <c r="D4140" s="496"/>
    </row>
    <row r="4141" spans="1:4" x14ac:dyDescent="0.2">
      <c r="A4141" s="146"/>
      <c r="D4141" s="496"/>
    </row>
    <row r="4142" spans="1:4" x14ac:dyDescent="0.2">
      <c r="A4142" s="146"/>
      <c r="D4142" s="496"/>
    </row>
    <row r="4143" spans="1:4" x14ac:dyDescent="0.2">
      <c r="A4143" s="146"/>
      <c r="D4143" s="496"/>
    </row>
    <row r="4144" spans="1:4" x14ac:dyDescent="0.2">
      <c r="A4144" s="146"/>
      <c r="D4144" s="496"/>
    </row>
    <row r="4145" spans="1:4" x14ac:dyDescent="0.2">
      <c r="A4145" s="146"/>
      <c r="D4145" s="496"/>
    </row>
    <row r="4146" spans="1:4" x14ac:dyDescent="0.2">
      <c r="A4146" s="146"/>
      <c r="D4146" s="496"/>
    </row>
    <row r="4147" spans="1:4" x14ac:dyDescent="0.2">
      <c r="A4147" s="146"/>
      <c r="D4147" s="496"/>
    </row>
    <row r="4148" spans="1:4" x14ac:dyDescent="0.2">
      <c r="A4148" s="146"/>
      <c r="D4148" s="496"/>
    </row>
    <row r="4149" spans="1:4" x14ac:dyDescent="0.2">
      <c r="A4149" s="146"/>
      <c r="D4149" s="496"/>
    </row>
    <row r="4150" spans="1:4" x14ac:dyDescent="0.2">
      <c r="A4150" s="146"/>
      <c r="D4150" s="496"/>
    </row>
    <row r="4151" spans="1:4" x14ac:dyDescent="0.2">
      <c r="A4151" s="146"/>
      <c r="D4151" s="496"/>
    </row>
    <row r="4152" spans="1:4" x14ac:dyDescent="0.2">
      <c r="A4152" s="146"/>
      <c r="D4152" s="496"/>
    </row>
    <row r="4153" spans="1:4" x14ac:dyDescent="0.2">
      <c r="A4153" s="146"/>
      <c r="D4153" s="496"/>
    </row>
    <row r="4154" spans="1:4" x14ac:dyDescent="0.2">
      <c r="A4154" s="146"/>
      <c r="D4154" s="496"/>
    </row>
    <row r="4155" spans="1:4" x14ac:dyDescent="0.2">
      <c r="A4155" s="146"/>
      <c r="D4155" s="496"/>
    </row>
    <row r="4156" spans="1:4" x14ac:dyDescent="0.2">
      <c r="A4156" s="146"/>
      <c r="D4156" s="496"/>
    </row>
    <row r="4157" spans="1:4" x14ac:dyDescent="0.2">
      <c r="A4157" s="146"/>
      <c r="D4157" s="496"/>
    </row>
    <row r="4158" spans="1:4" x14ac:dyDescent="0.2">
      <c r="A4158" s="146"/>
      <c r="D4158" s="496"/>
    </row>
    <row r="4159" spans="1:4" x14ac:dyDescent="0.2">
      <c r="A4159" s="146"/>
      <c r="D4159" s="496"/>
    </row>
    <row r="4160" spans="1:4" x14ac:dyDescent="0.2">
      <c r="A4160" s="146"/>
      <c r="D4160" s="496"/>
    </row>
    <row r="4161" spans="1:4" x14ac:dyDescent="0.2">
      <c r="A4161" s="146"/>
      <c r="D4161" s="496"/>
    </row>
    <row r="4162" spans="1:4" x14ac:dyDescent="0.2">
      <c r="A4162" s="146"/>
      <c r="D4162" s="496"/>
    </row>
    <row r="4163" spans="1:4" x14ac:dyDescent="0.2">
      <c r="A4163" s="146"/>
      <c r="D4163" s="496"/>
    </row>
    <row r="4164" spans="1:4" x14ac:dyDescent="0.2">
      <c r="A4164" s="146"/>
      <c r="D4164" s="496"/>
    </row>
    <row r="4165" spans="1:4" x14ac:dyDescent="0.2">
      <c r="A4165" s="146"/>
      <c r="D4165" s="496"/>
    </row>
    <row r="4166" spans="1:4" x14ac:dyDescent="0.2">
      <c r="A4166" s="146"/>
      <c r="D4166" s="496"/>
    </row>
    <row r="4167" spans="1:4" x14ac:dyDescent="0.2">
      <c r="A4167" s="146"/>
      <c r="D4167" s="496"/>
    </row>
    <row r="4168" spans="1:4" x14ac:dyDescent="0.2">
      <c r="A4168" s="146"/>
      <c r="D4168" s="496"/>
    </row>
    <row r="4169" spans="1:4" x14ac:dyDescent="0.2">
      <c r="A4169" s="146"/>
      <c r="D4169" s="496"/>
    </row>
    <row r="4170" spans="1:4" x14ac:dyDescent="0.2">
      <c r="A4170" s="146"/>
      <c r="D4170" s="496"/>
    </row>
    <row r="4171" spans="1:4" x14ac:dyDescent="0.2">
      <c r="A4171" s="146"/>
      <c r="D4171" s="496"/>
    </row>
    <row r="4172" spans="1:4" x14ac:dyDescent="0.2">
      <c r="A4172" s="146"/>
      <c r="D4172" s="496"/>
    </row>
    <row r="4173" spans="1:4" x14ac:dyDescent="0.2">
      <c r="A4173" s="146"/>
      <c r="D4173" s="496"/>
    </row>
    <row r="4174" spans="1:4" x14ac:dyDescent="0.2">
      <c r="A4174" s="146"/>
      <c r="D4174" s="496"/>
    </row>
    <row r="4175" spans="1:4" x14ac:dyDescent="0.2">
      <c r="A4175" s="146"/>
      <c r="D4175" s="496"/>
    </row>
    <row r="4176" spans="1:4" x14ac:dyDescent="0.2">
      <c r="A4176" s="146"/>
      <c r="D4176" s="496"/>
    </row>
    <row r="4177" spans="1:4" x14ac:dyDescent="0.2">
      <c r="A4177" s="146"/>
      <c r="D4177" s="496"/>
    </row>
    <row r="4178" spans="1:4" x14ac:dyDescent="0.2">
      <c r="A4178" s="146"/>
      <c r="D4178" s="496"/>
    </row>
    <row r="4179" spans="1:4" x14ac:dyDescent="0.2">
      <c r="A4179" s="146"/>
      <c r="D4179" s="496"/>
    </row>
    <row r="4180" spans="1:4" x14ac:dyDescent="0.2">
      <c r="A4180" s="146"/>
      <c r="D4180" s="496"/>
    </row>
    <row r="4181" spans="1:4" x14ac:dyDescent="0.2">
      <c r="A4181" s="146"/>
      <c r="D4181" s="496"/>
    </row>
    <row r="4182" spans="1:4" x14ac:dyDescent="0.2">
      <c r="A4182" s="146"/>
      <c r="D4182" s="496"/>
    </row>
    <row r="4183" spans="1:4" x14ac:dyDescent="0.2">
      <c r="A4183" s="146"/>
      <c r="D4183" s="496"/>
    </row>
    <row r="4184" spans="1:4" x14ac:dyDescent="0.2">
      <c r="A4184" s="146"/>
      <c r="D4184" s="496"/>
    </row>
    <row r="4185" spans="1:4" x14ac:dyDescent="0.2">
      <c r="A4185" s="146"/>
      <c r="D4185" s="496"/>
    </row>
    <row r="4186" spans="1:4" x14ac:dyDescent="0.2">
      <c r="A4186" s="146"/>
      <c r="D4186" s="496"/>
    </row>
    <row r="4187" spans="1:4" x14ac:dyDescent="0.2">
      <c r="A4187" s="146"/>
      <c r="D4187" s="496"/>
    </row>
    <row r="4188" spans="1:4" x14ac:dyDescent="0.2">
      <c r="A4188" s="146"/>
      <c r="D4188" s="496"/>
    </row>
    <row r="4189" spans="1:4" x14ac:dyDescent="0.2">
      <c r="A4189" s="146"/>
      <c r="D4189" s="496"/>
    </row>
    <row r="4190" spans="1:4" x14ac:dyDescent="0.2">
      <c r="A4190" s="146"/>
      <c r="D4190" s="496"/>
    </row>
    <row r="4191" spans="1:4" x14ac:dyDescent="0.2">
      <c r="A4191" s="146"/>
      <c r="D4191" s="496"/>
    </row>
    <row r="4192" spans="1:4" x14ac:dyDescent="0.2">
      <c r="A4192" s="146"/>
      <c r="D4192" s="496"/>
    </row>
    <row r="4193" spans="1:4" x14ac:dyDescent="0.2">
      <c r="A4193" s="146"/>
      <c r="D4193" s="496"/>
    </row>
    <row r="4194" spans="1:4" x14ac:dyDescent="0.2">
      <c r="A4194" s="146"/>
      <c r="D4194" s="496"/>
    </row>
    <row r="4195" spans="1:4" x14ac:dyDescent="0.2">
      <c r="A4195" s="146"/>
      <c r="D4195" s="496"/>
    </row>
    <row r="4196" spans="1:4" x14ac:dyDescent="0.2">
      <c r="A4196" s="146"/>
      <c r="D4196" s="496"/>
    </row>
    <row r="4197" spans="1:4" x14ac:dyDescent="0.2">
      <c r="A4197" s="146"/>
      <c r="D4197" s="496"/>
    </row>
    <row r="4198" spans="1:4" x14ac:dyDescent="0.2">
      <c r="A4198" s="146"/>
      <c r="D4198" s="496"/>
    </row>
    <row r="4199" spans="1:4" x14ac:dyDescent="0.2">
      <c r="A4199" s="146"/>
      <c r="D4199" s="496"/>
    </row>
    <row r="4200" spans="1:4" x14ac:dyDescent="0.2">
      <c r="A4200" s="146"/>
      <c r="D4200" s="496"/>
    </row>
    <row r="4201" spans="1:4" x14ac:dyDescent="0.2">
      <c r="A4201" s="146"/>
      <c r="D4201" s="496"/>
    </row>
    <row r="4202" spans="1:4" x14ac:dyDescent="0.2">
      <c r="A4202" s="146"/>
      <c r="D4202" s="496"/>
    </row>
    <row r="4203" spans="1:4" x14ac:dyDescent="0.2">
      <c r="A4203" s="146"/>
      <c r="D4203" s="496"/>
    </row>
    <row r="4204" spans="1:4" x14ac:dyDescent="0.2">
      <c r="A4204" s="146"/>
      <c r="D4204" s="496"/>
    </row>
    <row r="4205" spans="1:4" x14ac:dyDescent="0.2">
      <c r="A4205" s="146"/>
      <c r="D4205" s="496"/>
    </row>
    <row r="4206" spans="1:4" x14ac:dyDescent="0.2">
      <c r="A4206" s="146"/>
      <c r="D4206" s="496"/>
    </row>
    <row r="4207" spans="1:4" x14ac:dyDescent="0.2">
      <c r="A4207" s="146"/>
      <c r="D4207" s="496"/>
    </row>
    <row r="4208" spans="1:4" x14ac:dyDescent="0.2">
      <c r="A4208" s="146"/>
      <c r="D4208" s="496"/>
    </row>
    <row r="4209" spans="1:4" x14ac:dyDescent="0.2">
      <c r="A4209" s="146"/>
      <c r="D4209" s="496"/>
    </row>
    <row r="4210" spans="1:4" x14ac:dyDescent="0.2">
      <c r="A4210" s="146"/>
      <c r="D4210" s="496"/>
    </row>
    <row r="4211" spans="1:4" x14ac:dyDescent="0.2">
      <c r="A4211" s="146"/>
      <c r="D4211" s="496"/>
    </row>
    <row r="4212" spans="1:4" x14ac:dyDescent="0.2">
      <c r="A4212" s="146"/>
      <c r="D4212" s="496"/>
    </row>
    <row r="4213" spans="1:4" x14ac:dyDescent="0.2">
      <c r="A4213" s="146"/>
      <c r="D4213" s="496"/>
    </row>
    <row r="4214" spans="1:4" x14ac:dyDescent="0.2">
      <c r="A4214" s="146"/>
      <c r="D4214" s="496"/>
    </row>
    <row r="4215" spans="1:4" x14ac:dyDescent="0.2">
      <c r="A4215" s="146"/>
      <c r="D4215" s="496"/>
    </row>
    <row r="4216" spans="1:4" x14ac:dyDescent="0.2">
      <c r="A4216" s="146"/>
      <c r="D4216" s="496"/>
    </row>
    <row r="4217" spans="1:4" x14ac:dyDescent="0.2">
      <c r="A4217" s="146"/>
      <c r="D4217" s="496"/>
    </row>
    <row r="4218" spans="1:4" x14ac:dyDescent="0.2">
      <c r="A4218" s="146"/>
      <c r="D4218" s="496"/>
    </row>
    <row r="4219" spans="1:4" x14ac:dyDescent="0.2">
      <c r="A4219" s="146"/>
      <c r="D4219" s="496"/>
    </row>
    <row r="4220" spans="1:4" x14ac:dyDescent="0.2">
      <c r="A4220" s="146"/>
      <c r="D4220" s="496"/>
    </row>
    <row r="4221" spans="1:4" x14ac:dyDescent="0.2">
      <c r="A4221" s="146"/>
      <c r="D4221" s="496"/>
    </row>
    <row r="4222" spans="1:4" x14ac:dyDescent="0.2">
      <c r="A4222" s="146"/>
      <c r="D4222" s="496"/>
    </row>
    <row r="4223" spans="1:4" x14ac:dyDescent="0.2">
      <c r="A4223" s="146"/>
      <c r="D4223" s="496"/>
    </row>
    <row r="4224" spans="1:4" x14ac:dyDescent="0.2">
      <c r="A4224" s="146"/>
      <c r="D4224" s="496"/>
    </row>
    <row r="4225" spans="1:4" x14ac:dyDescent="0.2">
      <c r="A4225" s="146"/>
      <c r="D4225" s="496"/>
    </row>
    <row r="4226" spans="1:4" x14ac:dyDescent="0.2">
      <c r="A4226" s="146"/>
      <c r="D4226" s="496"/>
    </row>
    <row r="4227" spans="1:4" x14ac:dyDescent="0.2">
      <c r="A4227" s="146"/>
      <c r="D4227" s="496"/>
    </row>
    <row r="4228" spans="1:4" x14ac:dyDescent="0.2">
      <c r="A4228" s="146"/>
      <c r="D4228" s="496"/>
    </row>
    <row r="4229" spans="1:4" x14ac:dyDescent="0.2">
      <c r="A4229" s="146"/>
      <c r="D4229" s="496"/>
    </row>
    <row r="4230" spans="1:4" x14ac:dyDescent="0.2">
      <c r="A4230" s="146"/>
      <c r="D4230" s="496"/>
    </row>
    <row r="4231" spans="1:4" x14ac:dyDescent="0.2">
      <c r="A4231" s="146"/>
      <c r="D4231" s="496"/>
    </row>
    <row r="4232" spans="1:4" x14ac:dyDescent="0.2">
      <c r="A4232" s="146"/>
      <c r="D4232" s="496"/>
    </row>
    <row r="4233" spans="1:4" x14ac:dyDescent="0.2">
      <c r="A4233" s="146"/>
      <c r="D4233" s="496"/>
    </row>
    <row r="4234" spans="1:4" x14ac:dyDescent="0.2">
      <c r="A4234" s="146"/>
      <c r="D4234" s="496"/>
    </row>
    <row r="4235" spans="1:4" x14ac:dyDescent="0.2">
      <c r="A4235" s="146"/>
      <c r="D4235" s="496"/>
    </row>
    <row r="4236" spans="1:4" x14ac:dyDescent="0.2">
      <c r="A4236" s="146"/>
      <c r="D4236" s="496"/>
    </row>
    <row r="4237" spans="1:4" x14ac:dyDescent="0.2">
      <c r="A4237" s="146"/>
      <c r="D4237" s="496"/>
    </row>
    <row r="4238" spans="1:4" x14ac:dyDescent="0.2">
      <c r="A4238" s="146"/>
      <c r="D4238" s="496"/>
    </row>
    <row r="4239" spans="1:4" x14ac:dyDescent="0.2">
      <c r="A4239" s="146"/>
      <c r="D4239" s="496"/>
    </row>
    <row r="4240" spans="1:4" x14ac:dyDescent="0.2">
      <c r="A4240" s="146"/>
      <c r="D4240" s="496"/>
    </row>
    <row r="4241" spans="1:4" x14ac:dyDescent="0.2">
      <c r="A4241" s="146"/>
      <c r="D4241" s="496"/>
    </row>
    <row r="4242" spans="1:4" x14ac:dyDescent="0.2">
      <c r="A4242" s="146"/>
      <c r="D4242" s="496"/>
    </row>
    <row r="4243" spans="1:4" x14ac:dyDescent="0.2">
      <c r="A4243" s="146"/>
      <c r="D4243" s="496"/>
    </row>
    <row r="4244" spans="1:4" x14ac:dyDescent="0.2">
      <c r="A4244" s="146"/>
      <c r="D4244" s="496"/>
    </row>
    <row r="4245" spans="1:4" x14ac:dyDescent="0.2">
      <c r="A4245" s="146"/>
      <c r="D4245" s="496"/>
    </row>
    <row r="4246" spans="1:4" x14ac:dyDescent="0.2">
      <c r="A4246" s="146"/>
      <c r="D4246" s="496"/>
    </row>
    <row r="4247" spans="1:4" x14ac:dyDescent="0.2">
      <c r="A4247" s="146"/>
      <c r="D4247" s="496"/>
    </row>
    <row r="4248" spans="1:4" x14ac:dyDescent="0.2">
      <c r="A4248" s="146"/>
      <c r="D4248" s="496"/>
    </row>
    <row r="4249" spans="1:4" x14ac:dyDescent="0.2">
      <c r="A4249" s="146"/>
      <c r="D4249" s="496"/>
    </row>
    <row r="4250" spans="1:4" x14ac:dyDescent="0.2">
      <c r="A4250" s="146"/>
      <c r="D4250" s="496"/>
    </row>
    <row r="4251" spans="1:4" x14ac:dyDescent="0.2">
      <c r="A4251" s="146"/>
      <c r="D4251" s="496"/>
    </row>
    <row r="4252" spans="1:4" x14ac:dyDescent="0.2">
      <c r="A4252" s="146"/>
      <c r="D4252" s="496"/>
    </row>
    <row r="4253" spans="1:4" x14ac:dyDescent="0.2">
      <c r="A4253" s="146"/>
      <c r="D4253" s="496"/>
    </row>
    <row r="4254" spans="1:4" x14ac:dyDescent="0.2">
      <c r="A4254" s="146"/>
      <c r="D4254" s="496"/>
    </row>
    <row r="4255" spans="1:4" x14ac:dyDescent="0.2">
      <c r="A4255" s="146"/>
      <c r="D4255" s="496"/>
    </row>
    <row r="4256" spans="1:4" x14ac:dyDescent="0.2">
      <c r="A4256" s="146"/>
      <c r="D4256" s="496"/>
    </row>
    <row r="4257" spans="1:4" x14ac:dyDescent="0.2">
      <c r="A4257" s="146"/>
      <c r="D4257" s="496"/>
    </row>
    <row r="4258" spans="1:4" x14ac:dyDescent="0.2">
      <c r="A4258" s="146"/>
      <c r="D4258" s="496"/>
    </row>
    <row r="4259" spans="1:4" x14ac:dyDescent="0.2">
      <c r="A4259" s="146"/>
      <c r="D4259" s="496"/>
    </row>
    <row r="4260" spans="1:4" x14ac:dyDescent="0.2">
      <c r="A4260" s="146"/>
      <c r="D4260" s="496"/>
    </row>
    <row r="4261" spans="1:4" x14ac:dyDescent="0.2">
      <c r="A4261" s="146"/>
      <c r="D4261" s="496"/>
    </row>
    <row r="4262" spans="1:4" x14ac:dyDescent="0.2">
      <c r="A4262" s="146"/>
      <c r="D4262" s="496"/>
    </row>
    <row r="4263" spans="1:4" x14ac:dyDescent="0.2">
      <c r="A4263" s="146"/>
      <c r="D4263" s="496"/>
    </row>
    <row r="4264" spans="1:4" x14ac:dyDescent="0.2">
      <c r="A4264" s="146"/>
      <c r="D4264" s="496"/>
    </row>
    <row r="4265" spans="1:4" x14ac:dyDescent="0.2">
      <c r="A4265" s="146"/>
      <c r="D4265" s="496"/>
    </row>
    <row r="4266" spans="1:4" x14ac:dyDescent="0.2">
      <c r="A4266" s="146"/>
      <c r="D4266" s="496"/>
    </row>
    <row r="4267" spans="1:4" x14ac:dyDescent="0.2">
      <c r="A4267" s="146"/>
      <c r="D4267" s="496"/>
    </row>
    <row r="4268" spans="1:4" x14ac:dyDescent="0.2">
      <c r="A4268" s="146"/>
      <c r="D4268" s="496"/>
    </row>
    <row r="4269" spans="1:4" x14ac:dyDescent="0.2">
      <c r="A4269" s="146"/>
      <c r="D4269" s="496"/>
    </row>
    <row r="4270" spans="1:4" x14ac:dyDescent="0.2">
      <c r="A4270" s="146"/>
      <c r="D4270" s="496"/>
    </row>
    <row r="4271" spans="1:4" x14ac:dyDescent="0.2">
      <c r="A4271" s="146"/>
      <c r="D4271" s="496"/>
    </row>
    <row r="4272" spans="1:4" x14ac:dyDescent="0.2">
      <c r="A4272" s="146"/>
      <c r="D4272" s="496"/>
    </row>
    <row r="4273" spans="1:4" x14ac:dyDescent="0.2">
      <c r="A4273" s="146"/>
      <c r="D4273" s="496"/>
    </row>
    <row r="4274" spans="1:4" x14ac:dyDescent="0.2">
      <c r="A4274" s="146"/>
      <c r="D4274" s="496"/>
    </row>
    <row r="4275" spans="1:4" x14ac:dyDescent="0.2">
      <c r="A4275" s="146"/>
      <c r="D4275" s="496"/>
    </row>
    <row r="4276" spans="1:4" x14ac:dyDescent="0.2">
      <c r="A4276" s="146"/>
      <c r="D4276" s="496"/>
    </row>
    <row r="4277" spans="1:4" x14ac:dyDescent="0.2">
      <c r="A4277" s="146"/>
      <c r="D4277" s="496"/>
    </row>
    <row r="4278" spans="1:4" x14ac:dyDescent="0.2">
      <c r="A4278" s="146"/>
      <c r="D4278" s="496"/>
    </row>
    <row r="4279" spans="1:4" x14ac:dyDescent="0.2">
      <c r="A4279" s="146"/>
      <c r="D4279" s="496"/>
    </row>
    <row r="4280" spans="1:4" x14ac:dyDescent="0.2">
      <c r="A4280" s="146"/>
      <c r="D4280" s="496"/>
    </row>
    <row r="4281" spans="1:4" x14ac:dyDescent="0.2">
      <c r="A4281" s="146"/>
      <c r="D4281" s="496"/>
    </row>
    <row r="4282" spans="1:4" x14ac:dyDescent="0.2">
      <c r="A4282" s="146"/>
      <c r="D4282" s="496"/>
    </row>
    <row r="4283" spans="1:4" x14ac:dyDescent="0.2">
      <c r="A4283" s="146"/>
      <c r="D4283" s="496"/>
    </row>
    <row r="4284" spans="1:4" x14ac:dyDescent="0.2">
      <c r="A4284" s="146"/>
      <c r="D4284" s="496"/>
    </row>
    <row r="4285" spans="1:4" x14ac:dyDescent="0.2">
      <c r="A4285" s="146"/>
      <c r="D4285" s="496"/>
    </row>
    <row r="4286" spans="1:4" x14ac:dyDescent="0.2">
      <c r="A4286" s="146"/>
      <c r="D4286" s="496"/>
    </row>
    <row r="4287" spans="1:4" x14ac:dyDescent="0.2">
      <c r="A4287" s="146"/>
      <c r="D4287" s="496"/>
    </row>
    <row r="4288" spans="1:4" x14ac:dyDescent="0.2">
      <c r="A4288" s="146"/>
      <c r="D4288" s="496"/>
    </row>
    <row r="4289" spans="1:4" x14ac:dyDescent="0.2">
      <c r="A4289" s="146"/>
      <c r="D4289" s="496"/>
    </row>
    <row r="4290" spans="1:4" x14ac:dyDescent="0.2">
      <c r="A4290" s="146"/>
      <c r="D4290" s="496"/>
    </row>
    <row r="4291" spans="1:4" x14ac:dyDescent="0.2">
      <c r="A4291" s="146"/>
      <c r="D4291" s="496"/>
    </row>
    <row r="4292" spans="1:4" x14ac:dyDescent="0.2">
      <c r="A4292" s="146"/>
      <c r="D4292" s="496"/>
    </row>
    <row r="4293" spans="1:4" x14ac:dyDescent="0.2">
      <c r="A4293" s="146"/>
      <c r="D4293" s="496"/>
    </row>
    <row r="4294" spans="1:4" x14ac:dyDescent="0.2">
      <c r="A4294" s="146"/>
      <c r="D4294" s="496"/>
    </row>
    <row r="4295" spans="1:4" x14ac:dyDescent="0.2">
      <c r="A4295" s="146"/>
      <c r="D4295" s="496"/>
    </row>
    <row r="4296" spans="1:4" x14ac:dyDescent="0.2">
      <c r="A4296" s="146"/>
      <c r="D4296" s="496"/>
    </row>
    <row r="4297" spans="1:4" x14ac:dyDescent="0.2">
      <c r="A4297" s="146"/>
      <c r="D4297" s="496"/>
    </row>
    <row r="4298" spans="1:4" x14ac:dyDescent="0.2">
      <c r="A4298" s="146"/>
      <c r="D4298" s="496"/>
    </row>
    <row r="4299" spans="1:4" x14ac:dyDescent="0.2">
      <c r="A4299" s="146"/>
      <c r="D4299" s="496"/>
    </row>
    <row r="4300" spans="1:4" x14ac:dyDescent="0.2">
      <c r="A4300" s="146"/>
      <c r="D4300" s="496"/>
    </row>
    <row r="4301" spans="1:4" x14ac:dyDescent="0.2">
      <c r="A4301" s="146"/>
      <c r="D4301" s="496"/>
    </row>
    <row r="4302" spans="1:4" x14ac:dyDescent="0.2">
      <c r="A4302" s="146"/>
      <c r="D4302" s="496"/>
    </row>
    <row r="4303" spans="1:4" x14ac:dyDescent="0.2">
      <c r="A4303" s="146"/>
      <c r="D4303" s="496"/>
    </row>
    <row r="4304" spans="1:4" x14ac:dyDescent="0.2">
      <c r="A4304" s="146"/>
      <c r="D4304" s="496"/>
    </row>
    <row r="4305" spans="1:4" x14ac:dyDescent="0.2">
      <c r="A4305" s="146"/>
      <c r="D4305" s="496"/>
    </row>
    <row r="4306" spans="1:4" x14ac:dyDescent="0.2">
      <c r="A4306" s="146"/>
      <c r="D4306" s="496"/>
    </row>
    <row r="4307" spans="1:4" x14ac:dyDescent="0.2">
      <c r="A4307" s="146"/>
      <c r="D4307" s="496"/>
    </row>
    <row r="4308" spans="1:4" x14ac:dyDescent="0.2">
      <c r="A4308" s="146"/>
      <c r="D4308" s="496"/>
    </row>
    <row r="4309" spans="1:4" x14ac:dyDescent="0.2">
      <c r="A4309" s="146"/>
      <c r="D4309" s="496"/>
    </row>
    <row r="4310" spans="1:4" x14ac:dyDescent="0.2">
      <c r="A4310" s="146"/>
      <c r="D4310" s="496"/>
    </row>
    <row r="4311" spans="1:4" x14ac:dyDescent="0.2">
      <c r="A4311" s="146"/>
      <c r="D4311" s="496"/>
    </row>
    <row r="4312" spans="1:4" x14ac:dyDescent="0.2">
      <c r="A4312" s="146"/>
      <c r="D4312" s="496"/>
    </row>
    <row r="4313" spans="1:4" x14ac:dyDescent="0.2">
      <c r="A4313" s="146"/>
      <c r="D4313" s="496"/>
    </row>
    <row r="4314" spans="1:4" x14ac:dyDescent="0.2">
      <c r="A4314" s="146"/>
      <c r="D4314" s="496"/>
    </row>
    <row r="4315" spans="1:4" x14ac:dyDescent="0.2">
      <c r="A4315" s="146"/>
      <c r="D4315" s="496"/>
    </row>
    <row r="4316" spans="1:4" x14ac:dyDescent="0.2">
      <c r="A4316" s="146"/>
      <c r="D4316" s="496"/>
    </row>
    <row r="4317" spans="1:4" x14ac:dyDescent="0.2">
      <c r="A4317" s="146"/>
      <c r="D4317" s="496"/>
    </row>
    <row r="4318" spans="1:4" x14ac:dyDescent="0.2">
      <c r="A4318" s="146"/>
      <c r="D4318" s="496"/>
    </row>
    <row r="4319" spans="1:4" x14ac:dyDescent="0.2">
      <c r="A4319" s="146"/>
      <c r="D4319" s="496"/>
    </row>
    <row r="4320" spans="1:4" x14ac:dyDescent="0.2">
      <c r="A4320" s="146"/>
      <c r="D4320" s="496"/>
    </row>
    <row r="4321" spans="1:4" x14ac:dyDescent="0.2">
      <c r="A4321" s="146"/>
      <c r="D4321" s="496"/>
    </row>
    <row r="4322" spans="1:4" x14ac:dyDescent="0.2">
      <c r="A4322" s="146"/>
      <c r="D4322" s="496"/>
    </row>
    <row r="4323" spans="1:4" x14ac:dyDescent="0.2">
      <c r="A4323" s="146"/>
      <c r="D4323" s="496"/>
    </row>
    <row r="4324" spans="1:4" x14ac:dyDescent="0.2">
      <c r="A4324" s="146"/>
      <c r="D4324" s="496"/>
    </row>
    <row r="4325" spans="1:4" x14ac:dyDescent="0.2">
      <c r="A4325" s="146"/>
      <c r="D4325" s="496"/>
    </row>
    <row r="4326" spans="1:4" x14ac:dyDescent="0.2">
      <c r="A4326" s="146"/>
      <c r="D4326" s="496"/>
    </row>
    <row r="4327" spans="1:4" x14ac:dyDescent="0.2">
      <c r="A4327" s="146"/>
      <c r="D4327" s="496"/>
    </row>
    <row r="4328" spans="1:4" x14ac:dyDescent="0.2">
      <c r="A4328" s="146"/>
      <c r="D4328" s="496"/>
    </row>
    <row r="4329" spans="1:4" x14ac:dyDescent="0.2">
      <c r="A4329" s="146"/>
      <c r="D4329" s="496"/>
    </row>
    <row r="4330" spans="1:4" x14ac:dyDescent="0.2">
      <c r="A4330" s="146"/>
      <c r="D4330" s="496"/>
    </row>
    <row r="4331" spans="1:4" x14ac:dyDescent="0.2">
      <c r="A4331" s="146"/>
      <c r="D4331" s="496"/>
    </row>
    <row r="4332" spans="1:4" x14ac:dyDescent="0.2">
      <c r="A4332" s="146"/>
      <c r="D4332" s="496"/>
    </row>
    <row r="4333" spans="1:4" x14ac:dyDescent="0.2">
      <c r="A4333" s="146"/>
      <c r="D4333" s="496"/>
    </row>
    <row r="4334" spans="1:4" x14ac:dyDescent="0.2">
      <c r="A4334" s="146"/>
      <c r="D4334" s="496"/>
    </row>
    <row r="4335" spans="1:4" x14ac:dyDescent="0.2">
      <c r="A4335" s="146"/>
      <c r="D4335" s="496"/>
    </row>
    <row r="4336" spans="1:4" x14ac:dyDescent="0.2">
      <c r="A4336" s="146"/>
      <c r="D4336" s="496"/>
    </row>
    <row r="4337" spans="1:4" x14ac:dyDescent="0.2">
      <c r="A4337" s="146"/>
      <c r="D4337" s="496"/>
    </row>
    <row r="4338" spans="1:4" x14ac:dyDescent="0.2">
      <c r="A4338" s="146"/>
      <c r="D4338" s="496"/>
    </row>
    <row r="4339" spans="1:4" x14ac:dyDescent="0.2">
      <c r="A4339" s="146"/>
      <c r="D4339" s="496"/>
    </row>
    <row r="4340" spans="1:4" x14ac:dyDescent="0.2">
      <c r="A4340" s="146"/>
      <c r="D4340" s="496"/>
    </row>
    <row r="4341" spans="1:4" x14ac:dyDescent="0.2">
      <c r="A4341" s="146"/>
      <c r="D4341" s="496"/>
    </row>
    <row r="4342" spans="1:4" x14ac:dyDescent="0.2">
      <c r="A4342" s="146"/>
      <c r="D4342" s="496"/>
    </row>
    <row r="4343" spans="1:4" x14ac:dyDescent="0.2">
      <c r="A4343" s="146"/>
      <c r="D4343" s="496"/>
    </row>
    <row r="4344" spans="1:4" x14ac:dyDescent="0.2">
      <c r="A4344" s="146"/>
      <c r="D4344" s="496"/>
    </row>
    <row r="4345" spans="1:4" x14ac:dyDescent="0.2">
      <c r="A4345" s="146"/>
      <c r="D4345" s="496"/>
    </row>
    <row r="4346" spans="1:4" x14ac:dyDescent="0.2">
      <c r="A4346" s="146"/>
      <c r="D4346" s="496"/>
    </row>
    <row r="4347" spans="1:4" x14ac:dyDescent="0.2">
      <c r="A4347" s="146"/>
      <c r="D4347" s="496"/>
    </row>
    <row r="4348" spans="1:4" x14ac:dyDescent="0.2">
      <c r="A4348" s="146"/>
      <c r="D4348" s="496"/>
    </row>
    <row r="4349" spans="1:4" x14ac:dyDescent="0.2">
      <c r="A4349" s="146"/>
      <c r="D4349" s="496"/>
    </row>
    <row r="4350" spans="1:4" x14ac:dyDescent="0.2">
      <c r="A4350" s="146"/>
      <c r="D4350" s="496"/>
    </row>
    <row r="4351" spans="1:4" x14ac:dyDescent="0.2">
      <c r="A4351" s="146"/>
      <c r="D4351" s="496"/>
    </row>
    <row r="4352" spans="1:4" x14ac:dyDescent="0.2">
      <c r="A4352" s="146"/>
      <c r="D4352" s="496"/>
    </row>
    <row r="4353" spans="1:4" x14ac:dyDescent="0.2">
      <c r="A4353" s="146"/>
      <c r="D4353" s="496"/>
    </row>
    <row r="4354" spans="1:4" x14ac:dyDescent="0.2">
      <c r="A4354" s="146"/>
      <c r="D4354" s="496"/>
    </row>
    <row r="4355" spans="1:4" x14ac:dyDescent="0.2">
      <c r="A4355" s="146"/>
      <c r="D4355" s="496"/>
    </row>
    <row r="4356" spans="1:4" x14ac:dyDescent="0.2">
      <c r="A4356" s="146"/>
      <c r="D4356" s="496"/>
    </row>
    <row r="4357" spans="1:4" x14ac:dyDescent="0.2">
      <c r="A4357" s="146"/>
      <c r="D4357" s="496"/>
    </row>
    <row r="4358" spans="1:4" x14ac:dyDescent="0.2">
      <c r="A4358" s="146"/>
      <c r="D4358" s="496"/>
    </row>
    <row r="4359" spans="1:4" x14ac:dyDescent="0.2">
      <c r="A4359" s="146"/>
      <c r="D4359" s="496"/>
    </row>
    <row r="4360" spans="1:4" x14ac:dyDescent="0.2">
      <c r="A4360" s="146"/>
      <c r="D4360" s="496"/>
    </row>
    <row r="4361" spans="1:4" x14ac:dyDescent="0.2">
      <c r="A4361" s="146"/>
      <c r="D4361" s="496"/>
    </row>
    <row r="4362" spans="1:4" x14ac:dyDescent="0.2">
      <c r="A4362" s="146"/>
      <c r="D4362" s="496"/>
    </row>
    <row r="4363" spans="1:4" x14ac:dyDescent="0.2">
      <c r="A4363" s="146"/>
      <c r="D4363" s="496"/>
    </row>
    <row r="4364" spans="1:4" x14ac:dyDescent="0.2">
      <c r="A4364" s="146"/>
      <c r="D4364" s="496"/>
    </row>
    <row r="4365" spans="1:4" x14ac:dyDescent="0.2">
      <c r="A4365" s="146"/>
      <c r="D4365" s="496"/>
    </row>
    <row r="4366" spans="1:4" x14ac:dyDescent="0.2">
      <c r="A4366" s="146"/>
      <c r="D4366" s="496"/>
    </row>
    <row r="4367" spans="1:4" x14ac:dyDescent="0.2">
      <c r="A4367" s="146"/>
      <c r="D4367" s="496"/>
    </row>
    <row r="4368" spans="1:4" x14ac:dyDescent="0.2">
      <c r="A4368" s="146"/>
      <c r="D4368" s="496"/>
    </row>
    <row r="4369" spans="1:4" x14ac:dyDescent="0.2">
      <c r="A4369" s="146"/>
      <c r="D4369" s="496"/>
    </row>
    <row r="4370" spans="1:4" x14ac:dyDescent="0.2">
      <c r="A4370" s="146"/>
      <c r="D4370" s="496"/>
    </row>
    <row r="4371" spans="1:4" x14ac:dyDescent="0.2">
      <c r="A4371" s="146"/>
      <c r="D4371" s="496"/>
    </row>
    <row r="4372" spans="1:4" x14ac:dyDescent="0.2">
      <c r="A4372" s="146"/>
      <c r="D4372" s="496"/>
    </row>
    <row r="4373" spans="1:4" x14ac:dyDescent="0.2">
      <c r="A4373" s="146"/>
      <c r="D4373" s="496"/>
    </row>
    <row r="4374" spans="1:4" x14ac:dyDescent="0.2">
      <c r="A4374" s="146"/>
      <c r="D4374" s="496"/>
    </row>
    <row r="4375" spans="1:4" x14ac:dyDescent="0.2">
      <c r="A4375" s="146"/>
      <c r="D4375" s="496"/>
    </row>
    <row r="4376" spans="1:4" x14ac:dyDescent="0.2">
      <c r="A4376" s="146"/>
      <c r="D4376" s="496"/>
    </row>
    <row r="4377" spans="1:4" x14ac:dyDescent="0.2">
      <c r="A4377" s="146"/>
      <c r="D4377" s="496"/>
    </row>
    <row r="4378" spans="1:4" x14ac:dyDescent="0.2">
      <c r="A4378" s="146"/>
      <c r="D4378" s="496"/>
    </row>
    <row r="4379" spans="1:4" x14ac:dyDescent="0.2">
      <c r="A4379" s="146"/>
      <c r="D4379" s="496"/>
    </row>
    <row r="4380" spans="1:4" x14ac:dyDescent="0.2">
      <c r="A4380" s="146"/>
      <c r="D4380" s="496"/>
    </row>
    <row r="4381" spans="1:4" x14ac:dyDescent="0.2">
      <c r="A4381" s="146"/>
      <c r="D4381" s="496"/>
    </row>
    <row r="4382" spans="1:4" x14ac:dyDescent="0.2">
      <c r="A4382" s="146"/>
      <c r="D4382" s="496"/>
    </row>
    <row r="4383" spans="1:4" x14ac:dyDescent="0.2">
      <c r="A4383" s="146"/>
      <c r="D4383" s="496"/>
    </row>
    <row r="4384" spans="1:4" x14ac:dyDescent="0.2">
      <c r="A4384" s="146"/>
      <c r="D4384" s="496"/>
    </row>
    <row r="4385" spans="1:4" x14ac:dyDescent="0.2">
      <c r="A4385" s="146"/>
      <c r="D4385" s="496"/>
    </row>
    <row r="4386" spans="1:4" x14ac:dyDescent="0.2">
      <c r="A4386" s="146"/>
      <c r="D4386" s="496"/>
    </row>
    <row r="4387" spans="1:4" x14ac:dyDescent="0.2">
      <c r="A4387" s="146"/>
      <c r="D4387" s="496"/>
    </row>
    <row r="4388" spans="1:4" x14ac:dyDescent="0.2">
      <c r="A4388" s="146"/>
      <c r="D4388" s="496"/>
    </row>
    <row r="4389" spans="1:4" x14ac:dyDescent="0.2">
      <c r="A4389" s="146"/>
      <c r="D4389" s="496"/>
    </row>
    <row r="4390" spans="1:4" x14ac:dyDescent="0.2">
      <c r="A4390" s="146"/>
      <c r="D4390" s="496"/>
    </row>
    <row r="4391" spans="1:4" x14ac:dyDescent="0.2">
      <c r="A4391" s="146"/>
      <c r="D4391" s="496"/>
    </row>
    <row r="4392" spans="1:4" x14ac:dyDescent="0.2">
      <c r="A4392" s="146"/>
      <c r="D4392" s="496"/>
    </row>
    <row r="4393" spans="1:4" x14ac:dyDescent="0.2">
      <c r="A4393" s="146"/>
      <c r="D4393" s="496"/>
    </row>
    <row r="4394" spans="1:4" x14ac:dyDescent="0.2">
      <c r="A4394" s="146"/>
      <c r="D4394" s="496"/>
    </row>
    <row r="4395" spans="1:4" x14ac:dyDescent="0.2">
      <c r="A4395" s="146"/>
      <c r="D4395" s="496"/>
    </row>
    <row r="4396" spans="1:4" x14ac:dyDescent="0.2">
      <c r="A4396" s="146"/>
      <c r="D4396" s="496"/>
    </row>
    <row r="4397" spans="1:4" x14ac:dyDescent="0.2">
      <c r="A4397" s="146"/>
      <c r="D4397" s="496"/>
    </row>
    <row r="4398" spans="1:4" x14ac:dyDescent="0.2">
      <c r="A4398" s="146"/>
      <c r="D4398" s="496"/>
    </row>
    <row r="4399" spans="1:4" x14ac:dyDescent="0.2">
      <c r="A4399" s="146"/>
      <c r="D4399" s="496"/>
    </row>
    <row r="4400" spans="1:4" x14ac:dyDescent="0.2">
      <c r="A4400" s="146"/>
      <c r="D4400" s="496"/>
    </row>
    <row r="4401" spans="1:4" x14ac:dyDescent="0.2">
      <c r="A4401" s="146"/>
      <c r="D4401" s="496"/>
    </row>
    <row r="4402" spans="1:4" x14ac:dyDescent="0.2">
      <c r="A4402" s="146"/>
      <c r="D4402" s="496"/>
    </row>
    <row r="4403" spans="1:4" x14ac:dyDescent="0.2">
      <c r="A4403" s="146"/>
      <c r="D4403" s="496"/>
    </row>
    <row r="4404" spans="1:4" x14ac:dyDescent="0.2">
      <c r="A4404" s="146"/>
      <c r="D4404" s="496"/>
    </row>
    <row r="4405" spans="1:4" x14ac:dyDescent="0.2">
      <c r="A4405" s="146"/>
      <c r="D4405" s="496"/>
    </row>
    <row r="4406" spans="1:4" x14ac:dyDescent="0.2">
      <c r="A4406" s="146"/>
      <c r="D4406" s="496"/>
    </row>
    <row r="4407" spans="1:4" x14ac:dyDescent="0.2">
      <c r="A4407" s="146"/>
      <c r="D4407" s="496"/>
    </row>
    <row r="4408" spans="1:4" x14ac:dyDescent="0.2">
      <c r="A4408" s="146"/>
      <c r="D4408" s="496"/>
    </row>
    <row r="4409" spans="1:4" x14ac:dyDescent="0.2">
      <c r="A4409" s="146"/>
      <c r="D4409" s="496"/>
    </row>
    <row r="4410" spans="1:4" x14ac:dyDescent="0.2">
      <c r="A4410" s="146"/>
      <c r="D4410" s="496"/>
    </row>
    <row r="4411" spans="1:4" x14ac:dyDescent="0.2">
      <c r="A4411" s="146"/>
      <c r="D4411" s="496"/>
    </row>
    <row r="4412" spans="1:4" x14ac:dyDescent="0.2">
      <c r="A4412" s="146"/>
      <c r="D4412" s="496"/>
    </row>
    <row r="4413" spans="1:4" x14ac:dyDescent="0.2">
      <c r="A4413" s="146"/>
      <c r="D4413" s="496"/>
    </row>
    <row r="4414" spans="1:4" x14ac:dyDescent="0.2">
      <c r="A4414" s="146"/>
      <c r="D4414" s="496"/>
    </row>
    <row r="4415" spans="1:4" x14ac:dyDescent="0.2">
      <c r="A4415" s="146"/>
      <c r="D4415" s="496"/>
    </row>
    <row r="4416" spans="1:4" x14ac:dyDescent="0.2">
      <c r="A4416" s="146"/>
      <c r="D4416" s="496"/>
    </row>
    <row r="4417" spans="1:4" x14ac:dyDescent="0.2">
      <c r="A4417" s="146"/>
      <c r="D4417" s="496"/>
    </row>
    <row r="4418" spans="1:4" x14ac:dyDescent="0.2">
      <c r="A4418" s="146"/>
      <c r="D4418" s="496"/>
    </row>
    <row r="4419" spans="1:4" x14ac:dyDescent="0.2">
      <c r="A4419" s="146"/>
      <c r="D4419" s="496"/>
    </row>
    <row r="4420" spans="1:4" x14ac:dyDescent="0.2">
      <c r="A4420" s="146"/>
      <c r="D4420" s="496"/>
    </row>
    <row r="4421" spans="1:4" x14ac:dyDescent="0.2">
      <c r="A4421" s="146"/>
      <c r="D4421" s="496"/>
    </row>
    <row r="4422" spans="1:4" x14ac:dyDescent="0.2">
      <c r="A4422" s="146"/>
      <c r="D4422" s="496"/>
    </row>
    <row r="4423" spans="1:4" x14ac:dyDescent="0.2">
      <c r="A4423" s="146"/>
      <c r="D4423" s="496"/>
    </row>
    <row r="4424" spans="1:4" x14ac:dyDescent="0.2">
      <c r="A4424" s="146"/>
      <c r="D4424" s="496"/>
    </row>
    <row r="4425" spans="1:4" x14ac:dyDescent="0.2">
      <c r="A4425" s="146"/>
      <c r="D4425" s="496"/>
    </row>
    <row r="4426" spans="1:4" x14ac:dyDescent="0.2">
      <c r="A4426" s="146"/>
      <c r="D4426" s="496"/>
    </row>
    <row r="4427" spans="1:4" x14ac:dyDescent="0.2">
      <c r="A4427" s="146"/>
      <c r="D4427" s="496"/>
    </row>
    <row r="4428" spans="1:4" x14ac:dyDescent="0.2">
      <c r="A4428" s="146"/>
      <c r="D4428" s="496"/>
    </row>
    <row r="4429" spans="1:4" x14ac:dyDescent="0.2">
      <c r="A4429" s="146"/>
      <c r="D4429" s="496"/>
    </row>
    <row r="4430" spans="1:4" x14ac:dyDescent="0.2">
      <c r="A4430" s="146"/>
      <c r="D4430" s="496"/>
    </row>
    <row r="4431" spans="1:4" x14ac:dyDescent="0.2">
      <c r="A4431" s="146"/>
      <c r="D4431" s="496"/>
    </row>
    <row r="4432" spans="1:4" x14ac:dyDescent="0.2">
      <c r="A4432" s="146"/>
      <c r="D4432" s="496"/>
    </row>
    <row r="4433" spans="1:4" x14ac:dyDescent="0.2">
      <c r="A4433" s="146"/>
      <c r="D4433" s="496"/>
    </row>
    <row r="4434" spans="1:4" x14ac:dyDescent="0.2">
      <c r="A4434" s="146"/>
      <c r="D4434" s="496"/>
    </row>
    <row r="4435" spans="1:4" x14ac:dyDescent="0.2">
      <c r="A4435" s="146"/>
      <c r="D4435" s="496"/>
    </row>
    <row r="4436" spans="1:4" x14ac:dyDescent="0.2">
      <c r="A4436" s="146"/>
      <c r="D4436" s="496"/>
    </row>
    <row r="4437" spans="1:4" x14ac:dyDescent="0.2">
      <c r="A4437" s="146"/>
      <c r="D4437" s="496"/>
    </row>
    <row r="4438" spans="1:4" x14ac:dyDescent="0.2">
      <c r="A4438" s="146"/>
      <c r="D4438" s="496"/>
    </row>
    <row r="4439" spans="1:4" x14ac:dyDescent="0.2">
      <c r="A4439" s="146"/>
      <c r="D4439" s="496"/>
    </row>
    <row r="4440" spans="1:4" x14ac:dyDescent="0.2">
      <c r="A4440" s="146"/>
      <c r="D4440" s="496"/>
    </row>
    <row r="4441" spans="1:4" x14ac:dyDescent="0.2">
      <c r="A4441" s="146"/>
      <c r="D4441" s="496"/>
    </row>
    <row r="4442" spans="1:4" x14ac:dyDescent="0.2">
      <c r="A4442" s="146"/>
      <c r="D4442" s="496"/>
    </row>
    <row r="4443" spans="1:4" x14ac:dyDescent="0.2">
      <c r="A4443" s="146"/>
      <c r="D4443" s="496"/>
    </row>
    <row r="4444" spans="1:4" x14ac:dyDescent="0.2">
      <c r="A4444" s="146"/>
      <c r="D4444" s="496"/>
    </row>
    <row r="4445" spans="1:4" x14ac:dyDescent="0.2">
      <c r="A4445" s="146"/>
      <c r="D4445" s="496"/>
    </row>
    <row r="4446" spans="1:4" x14ac:dyDescent="0.2">
      <c r="A4446" s="146"/>
      <c r="D4446" s="496"/>
    </row>
    <row r="4447" spans="1:4" x14ac:dyDescent="0.2">
      <c r="A4447" s="146"/>
      <c r="D4447" s="496"/>
    </row>
    <row r="4448" spans="1:4" x14ac:dyDescent="0.2">
      <c r="A4448" s="146"/>
      <c r="D4448" s="496"/>
    </row>
    <row r="4449" spans="1:4" x14ac:dyDescent="0.2">
      <c r="A4449" s="146"/>
      <c r="D4449" s="496"/>
    </row>
    <row r="4450" spans="1:4" x14ac:dyDescent="0.2">
      <c r="A4450" s="146"/>
      <c r="D4450" s="496"/>
    </row>
    <row r="4451" spans="1:4" x14ac:dyDescent="0.2">
      <c r="A4451" s="146"/>
      <c r="D4451" s="496"/>
    </row>
    <row r="4452" spans="1:4" x14ac:dyDescent="0.2">
      <c r="A4452" s="146"/>
      <c r="D4452" s="496"/>
    </row>
    <row r="4453" spans="1:4" x14ac:dyDescent="0.2">
      <c r="A4453" s="146"/>
      <c r="D4453" s="496"/>
    </row>
    <row r="4454" spans="1:4" x14ac:dyDescent="0.2">
      <c r="A4454" s="146"/>
      <c r="D4454" s="496"/>
    </row>
    <row r="4455" spans="1:4" x14ac:dyDescent="0.2">
      <c r="A4455" s="146"/>
      <c r="D4455" s="496"/>
    </row>
    <row r="4456" spans="1:4" x14ac:dyDescent="0.2">
      <c r="A4456" s="146"/>
      <c r="D4456" s="496"/>
    </row>
    <row r="4457" spans="1:4" x14ac:dyDescent="0.2">
      <c r="A4457" s="146"/>
      <c r="D4457" s="496"/>
    </row>
    <row r="4458" spans="1:4" x14ac:dyDescent="0.2">
      <c r="A4458" s="146"/>
      <c r="D4458" s="496"/>
    </row>
    <row r="4459" spans="1:4" x14ac:dyDescent="0.2">
      <c r="A4459" s="146"/>
      <c r="D4459" s="496"/>
    </row>
    <row r="4460" spans="1:4" x14ac:dyDescent="0.2">
      <c r="A4460" s="146"/>
      <c r="D4460" s="496"/>
    </row>
    <row r="4461" spans="1:4" x14ac:dyDescent="0.2">
      <c r="A4461" s="146"/>
      <c r="D4461" s="496"/>
    </row>
    <row r="4462" spans="1:4" x14ac:dyDescent="0.2">
      <c r="A4462" s="146"/>
      <c r="D4462" s="496"/>
    </row>
    <row r="4463" spans="1:4" x14ac:dyDescent="0.2">
      <c r="A4463" s="146"/>
      <c r="D4463" s="496"/>
    </row>
    <row r="4464" spans="1:4" x14ac:dyDescent="0.2">
      <c r="A4464" s="146"/>
      <c r="D4464" s="496"/>
    </row>
    <row r="4465" spans="1:4" x14ac:dyDescent="0.2">
      <c r="A4465" s="146"/>
      <c r="D4465" s="496"/>
    </row>
    <row r="4466" spans="1:4" x14ac:dyDescent="0.2">
      <c r="A4466" s="146"/>
      <c r="D4466" s="496"/>
    </row>
    <row r="4467" spans="1:4" x14ac:dyDescent="0.2">
      <c r="A4467" s="146"/>
      <c r="D4467" s="496"/>
    </row>
    <row r="4468" spans="1:4" x14ac:dyDescent="0.2">
      <c r="A4468" s="146"/>
      <c r="D4468" s="496"/>
    </row>
    <row r="4469" spans="1:4" x14ac:dyDescent="0.2">
      <c r="A4469" s="146"/>
      <c r="D4469" s="496"/>
    </row>
    <row r="4470" spans="1:4" x14ac:dyDescent="0.2">
      <c r="A4470" s="146"/>
      <c r="D4470" s="496"/>
    </row>
    <row r="4471" spans="1:4" x14ac:dyDescent="0.2">
      <c r="A4471" s="146"/>
      <c r="D4471" s="496"/>
    </row>
    <row r="4472" spans="1:4" x14ac:dyDescent="0.2">
      <c r="A4472" s="146"/>
      <c r="D4472" s="496"/>
    </row>
    <row r="4473" spans="1:4" x14ac:dyDescent="0.2">
      <c r="A4473" s="146"/>
      <c r="D4473" s="496"/>
    </row>
    <row r="4474" spans="1:4" x14ac:dyDescent="0.2">
      <c r="A4474" s="146"/>
      <c r="D4474" s="496"/>
    </row>
    <row r="4475" spans="1:4" x14ac:dyDescent="0.2">
      <c r="A4475" s="146"/>
      <c r="D4475" s="496"/>
    </row>
    <row r="4476" spans="1:4" x14ac:dyDescent="0.2">
      <c r="A4476" s="146"/>
      <c r="D4476" s="496"/>
    </row>
    <row r="4477" spans="1:4" x14ac:dyDescent="0.2">
      <c r="A4477" s="146"/>
      <c r="D4477" s="496"/>
    </row>
    <row r="4478" spans="1:4" x14ac:dyDescent="0.2">
      <c r="A4478" s="146"/>
      <c r="D4478" s="496"/>
    </row>
    <row r="4479" spans="1:4" x14ac:dyDescent="0.2">
      <c r="A4479" s="146"/>
      <c r="D4479" s="496"/>
    </row>
    <row r="4480" spans="1:4" x14ac:dyDescent="0.2">
      <c r="A4480" s="146"/>
      <c r="D4480" s="496"/>
    </row>
    <row r="4481" spans="1:4" x14ac:dyDescent="0.2">
      <c r="A4481" s="146"/>
      <c r="D4481" s="496"/>
    </row>
    <row r="4482" spans="1:4" x14ac:dyDescent="0.2">
      <c r="A4482" s="146"/>
      <c r="D4482" s="496"/>
    </row>
    <row r="4483" spans="1:4" x14ac:dyDescent="0.2">
      <c r="A4483" s="146"/>
      <c r="D4483" s="496"/>
    </row>
    <row r="4484" spans="1:4" x14ac:dyDescent="0.2">
      <c r="A4484" s="146"/>
      <c r="D4484" s="496"/>
    </row>
    <row r="4485" spans="1:4" x14ac:dyDescent="0.2">
      <c r="A4485" s="146"/>
      <c r="D4485" s="496"/>
    </row>
    <row r="4486" spans="1:4" x14ac:dyDescent="0.2">
      <c r="A4486" s="146"/>
      <c r="D4486" s="496"/>
    </row>
    <row r="4487" spans="1:4" x14ac:dyDescent="0.2">
      <c r="A4487" s="146"/>
      <c r="D4487" s="496"/>
    </row>
    <row r="4488" spans="1:4" x14ac:dyDescent="0.2">
      <c r="A4488" s="146"/>
      <c r="D4488" s="496"/>
    </row>
    <row r="4489" spans="1:4" x14ac:dyDescent="0.2">
      <c r="A4489" s="146"/>
      <c r="D4489" s="496"/>
    </row>
    <row r="4490" spans="1:4" x14ac:dyDescent="0.2">
      <c r="A4490" s="146"/>
      <c r="D4490" s="496"/>
    </row>
    <row r="4491" spans="1:4" x14ac:dyDescent="0.2">
      <c r="A4491" s="146"/>
      <c r="D4491" s="496"/>
    </row>
    <row r="4492" spans="1:4" x14ac:dyDescent="0.2">
      <c r="A4492" s="146"/>
      <c r="D4492" s="496"/>
    </row>
    <row r="4493" spans="1:4" x14ac:dyDescent="0.2">
      <c r="A4493" s="146"/>
      <c r="D4493" s="496"/>
    </row>
    <row r="4494" spans="1:4" x14ac:dyDescent="0.2">
      <c r="A4494" s="146"/>
      <c r="D4494" s="496"/>
    </row>
    <row r="4495" spans="1:4" x14ac:dyDescent="0.2">
      <c r="A4495" s="146"/>
      <c r="D4495" s="496"/>
    </row>
    <row r="4496" spans="1:4" x14ac:dyDescent="0.2">
      <c r="A4496" s="146"/>
      <c r="D4496" s="496"/>
    </row>
    <row r="4497" spans="1:4" x14ac:dyDescent="0.2">
      <c r="A4497" s="146"/>
      <c r="D4497" s="496"/>
    </row>
    <row r="4498" spans="1:4" x14ac:dyDescent="0.2">
      <c r="A4498" s="146"/>
      <c r="D4498" s="496"/>
    </row>
    <row r="4499" spans="1:4" x14ac:dyDescent="0.2">
      <c r="A4499" s="146"/>
      <c r="D4499" s="496"/>
    </row>
    <row r="4500" spans="1:4" x14ac:dyDescent="0.2">
      <c r="A4500" s="146"/>
      <c r="D4500" s="496"/>
    </row>
    <row r="4501" spans="1:4" x14ac:dyDescent="0.2">
      <c r="A4501" s="146"/>
      <c r="D4501" s="496"/>
    </row>
    <row r="4502" spans="1:4" x14ac:dyDescent="0.2">
      <c r="A4502" s="146"/>
      <c r="D4502" s="496"/>
    </row>
    <row r="4503" spans="1:4" x14ac:dyDescent="0.2">
      <c r="A4503" s="146"/>
      <c r="D4503" s="496"/>
    </row>
    <row r="4504" spans="1:4" x14ac:dyDescent="0.2">
      <c r="A4504" s="146"/>
      <c r="D4504" s="496"/>
    </row>
    <row r="4505" spans="1:4" x14ac:dyDescent="0.2">
      <c r="A4505" s="146"/>
      <c r="D4505" s="496"/>
    </row>
    <row r="4506" spans="1:4" x14ac:dyDescent="0.2">
      <c r="A4506" s="146"/>
      <c r="D4506" s="496"/>
    </row>
    <row r="4507" spans="1:4" x14ac:dyDescent="0.2">
      <c r="A4507" s="146"/>
      <c r="D4507" s="496"/>
    </row>
    <row r="4508" spans="1:4" x14ac:dyDescent="0.2">
      <c r="A4508" s="146"/>
      <c r="D4508" s="496"/>
    </row>
    <row r="4509" spans="1:4" x14ac:dyDescent="0.2">
      <c r="A4509" s="146"/>
      <c r="D4509" s="496"/>
    </row>
    <row r="4510" spans="1:4" x14ac:dyDescent="0.2">
      <c r="A4510" s="146"/>
      <c r="D4510" s="496"/>
    </row>
    <row r="4511" spans="1:4" x14ac:dyDescent="0.2">
      <c r="A4511" s="146"/>
      <c r="D4511" s="496"/>
    </row>
    <row r="4512" spans="1:4" x14ac:dyDescent="0.2">
      <c r="A4512" s="146"/>
      <c r="D4512" s="496"/>
    </row>
    <row r="4513" spans="1:4" x14ac:dyDescent="0.2">
      <c r="A4513" s="146"/>
      <c r="D4513" s="496"/>
    </row>
    <row r="4514" spans="1:4" x14ac:dyDescent="0.2">
      <c r="A4514" s="146"/>
      <c r="D4514" s="496"/>
    </row>
    <row r="4515" spans="1:4" x14ac:dyDescent="0.2">
      <c r="A4515" s="146"/>
      <c r="D4515" s="496"/>
    </row>
    <row r="4516" spans="1:4" x14ac:dyDescent="0.2">
      <c r="A4516" s="146"/>
      <c r="D4516" s="496"/>
    </row>
    <row r="4517" spans="1:4" x14ac:dyDescent="0.2">
      <c r="A4517" s="146"/>
      <c r="D4517" s="496"/>
    </row>
    <row r="4518" spans="1:4" x14ac:dyDescent="0.2">
      <c r="A4518" s="146"/>
      <c r="D4518" s="496"/>
    </row>
    <row r="4519" spans="1:4" x14ac:dyDescent="0.2">
      <c r="A4519" s="146"/>
      <c r="D4519" s="496"/>
    </row>
    <row r="4520" spans="1:4" x14ac:dyDescent="0.2">
      <c r="A4520" s="146"/>
      <c r="D4520" s="496"/>
    </row>
    <row r="4521" spans="1:4" x14ac:dyDescent="0.2">
      <c r="A4521" s="146"/>
      <c r="D4521" s="496"/>
    </row>
    <row r="4522" spans="1:4" x14ac:dyDescent="0.2">
      <c r="A4522" s="146"/>
      <c r="D4522" s="496"/>
    </row>
    <row r="4523" spans="1:4" x14ac:dyDescent="0.2">
      <c r="A4523" s="146"/>
      <c r="D4523" s="496"/>
    </row>
    <row r="4524" spans="1:4" x14ac:dyDescent="0.2">
      <c r="A4524" s="146"/>
      <c r="D4524" s="496"/>
    </row>
    <row r="4525" spans="1:4" x14ac:dyDescent="0.2">
      <c r="A4525" s="146"/>
      <c r="D4525" s="496"/>
    </row>
    <row r="4526" spans="1:4" x14ac:dyDescent="0.2">
      <c r="A4526" s="146"/>
      <c r="D4526" s="496"/>
    </row>
    <row r="4527" spans="1:4" x14ac:dyDescent="0.2">
      <c r="A4527" s="146"/>
      <c r="D4527" s="496"/>
    </row>
    <row r="4528" spans="1:4" x14ac:dyDescent="0.2">
      <c r="A4528" s="146"/>
      <c r="D4528" s="496"/>
    </row>
    <row r="4529" spans="1:4" x14ac:dyDescent="0.2">
      <c r="A4529" s="146"/>
      <c r="D4529" s="496"/>
    </row>
    <row r="4530" spans="1:4" x14ac:dyDescent="0.2">
      <c r="A4530" s="146"/>
      <c r="D4530" s="496"/>
    </row>
    <row r="4531" spans="1:4" x14ac:dyDescent="0.2">
      <c r="A4531" s="146"/>
      <c r="D4531" s="496"/>
    </row>
    <row r="4532" spans="1:4" x14ac:dyDescent="0.2">
      <c r="A4532" s="146"/>
      <c r="D4532" s="496"/>
    </row>
    <row r="4533" spans="1:4" x14ac:dyDescent="0.2">
      <c r="A4533" s="146"/>
      <c r="D4533" s="496"/>
    </row>
    <row r="4534" spans="1:4" x14ac:dyDescent="0.2">
      <c r="A4534" s="146"/>
      <c r="D4534" s="496"/>
    </row>
    <row r="4535" spans="1:4" x14ac:dyDescent="0.2">
      <c r="A4535" s="146"/>
      <c r="D4535" s="496"/>
    </row>
    <row r="4536" spans="1:4" x14ac:dyDescent="0.2">
      <c r="A4536" s="146"/>
      <c r="D4536" s="496"/>
    </row>
    <row r="4537" spans="1:4" x14ac:dyDescent="0.2">
      <c r="A4537" s="146"/>
      <c r="D4537" s="496"/>
    </row>
    <row r="4538" spans="1:4" x14ac:dyDescent="0.2">
      <c r="A4538" s="146"/>
      <c r="D4538" s="496"/>
    </row>
    <row r="4539" spans="1:4" x14ac:dyDescent="0.2">
      <c r="A4539" s="146"/>
      <c r="D4539" s="496"/>
    </row>
    <row r="4540" spans="1:4" x14ac:dyDescent="0.2">
      <c r="A4540" s="146"/>
      <c r="D4540" s="496"/>
    </row>
    <row r="4541" spans="1:4" x14ac:dyDescent="0.2">
      <c r="A4541" s="146"/>
      <c r="D4541" s="496"/>
    </row>
    <row r="4542" spans="1:4" x14ac:dyDescent="0.2">
      <c r="A4542" s="146"/>
      <c r="D4542" s="496"/>
    </row>
    <row r="4543" spans="1:4" x14ac:dyDescent="0.2">
      <c r="A4543" s="146"/>
      <c r="D4543" s="496"/>
    </row>
    <row r="4544" spans="1:4" x14ac:dyDescent="0.2">
      <c r="A4544" s="146"/>
      <c r="D4544" s="496"/>
    </row>
    <row r="4545" spans="1:4" x14ac:dyDescent="0.2">
      <c r="A4545" s="146"/>
      <c r="D4545" s="496"/>
    </row>
    <row r="4546" spans="1:4" x14ac:dyDescent="0.2">
      <c r="A4546" s="146"/>
      <c r="D4546" s="496"/>
    </row>
    <row r="4547" spans="1:4" x14ac:dyDescent="0.2">
      <c r="A4547" s="146"/>
      <c r="D4547" s="496"/>
    </row>
    <row r="4548" spans="1:4" x14ac:dyDescent="0.2">
      <c r="A4548" s="146"/>
      <c r="D4548" s="496"/>
    </row>
    <row r="4549" spans="1:4" x14ac:dyDescent="0.2">
      <c r="A4549" s="146"/>
      <c r="D4549" s="496"/>
    </row>
    <row r="4550" spans="1:4" x14ac:dyDescent="0.2">
      <c r="A4550" s="146"/>
      <c r="D4550" s="496"/>
    </row>
    <row r="4551" spans="1:4" x14ac:dyDescent="0.2">
      <c r="A4551" s="146"/>
      <c r="D4551" s="496"/>
    </row>
    <row r="4552" spans="1:4" x14ac:dyDescent="0.2">
      <c r="A4552" s="146"/>
      <c r="D4552" s="496"/>
    </row>
    <row r="4553" spans="1:4" x14ac:dyDescent="0.2">
      <c r="A4553" s="146"/>
      <c r="D4553" s="496"/>
    </row>
    <row r="4554" spans="1:4" x14ac:dyDescent="0.2">
      <c r="A4554" s="146"/>
      <c r="D4554" s="496"/>
    </row>
    <row r="4555" spans="1:4" x14ac:dyDescent="0.2">
      <c r="A4555" s="146"/>
      <c r="D4555" s="496"/>
    </row>
    <row r="4556" spans="1:4" x14ac:dyDescent="0.2">
      <c r="A4556" s="146"/>
      <c r="D4556" s="496"/>
    </row>
    <row r="4557" spans="1:4" x14ac:dyDescent="0.2">
      <c r="A4557" s="146"/>
      <c r="D4557" s="496"/>
    </row>
    <row r="4558" spans="1:4" x14ac:dyDescent="0.2">
      <c r="A4558" s="146"/>
      <c r="D4558" s="496"/>
    </row>
    <row r="4559" spans="1:4" x14ac:dyDescent="0.2">
      <c r="A4559" s="146"/>
      <c r="D4559" s="496"/>
    </row>
    <row r="4560" spans="1:4" x14ac:dyDescent="0.2">
      <c r="A4560" s="146"/>
      <c r="D4560" s="496"/>
    </row>
    <row r="4561" spans="1:4" x14ac:dyDescent="0.2">
      <c r="A4561" s="146"/>
      <c r="D4561" s="496"/>
    </row>
    <row r="4562" spans="1:4" x14ac:dyDescent="0.2">
      <c r="A4562" s="146"/>
      <c r="D4562" s="496"/>
    </row>
    <row r="4563" spans="1:4" x14ac:dyDescent="0.2">
      <c r="A4563" s="146"/>
      <c r="D4563" s="496"/>
    </row>
    <row r="4564" spans="1:4" x14ac:dyDescent="0.2">
      <c r="A4564" s="146"/>
      <c r="D4564" s="496"/>
    </row>
    <row r="4565" spans="1:4" x14ac:dyDescent="0.2">
      <c r="A4565" s="146"/>
      <c r="D4565" s="496"/>
    </row>
    <row r="4566" spans="1:4" x14ac:dyDescent="0.2">
      <c r="A4566" s="146"/>
      <c r="D4566" s="496"/>
    </row>
    <row r="4567" spans="1:4" x14ac:dyDescent="0.2">
      <c r="A4567" s="146"/>
      <c r="D4567" s="496"/>
    </row>
    <row r="4568" spans="1:4" x14ac:dyDescent="0.2">
      <c r="A4568" s="146"/>
      <c r="D4568" s="496"/>
    </row>
    <row r="4569" spans="1:4" x14ac:dyDescent="0.2">
      <c r="A4569" s="146"/>
      <c r="D4569" s="496"/>
    </row>
    <row r="4570" spans="1:4" x14ac:dyDescent="0.2">
      <c r="A4570" s="146"/>
      <c r="D4570" s="496"/>
    </row>
    <row r="4571" spans="1:4" x14ac:dyDescent="0.2">
      <c r="A4571" s="146"/>
      <c r="D4571" s="496"/>
    </row>
    <row r="4572" spans="1:4" x14ac:dyDescent="0.2">
      <c r="A4572" s="146"/>
      <c r="D4572" s="496"/>
    </row>
    <row r="4573" spans="1:4" x14ac:dyDescent="0.2">
      <c r="A4573" s="146"/>
      <c r="D4573" s="496"/>
    </row>
    <row r="4574" spans="1:4" x14ac:dyDescent="0.2">
      <c r="A4574" s="146"/>
      <c r="D4574" s="496"/>
    </row>
    <row r="4575" spans="1:4" x14ac:dyDescent="0.2">
      <c r="A4575" s="146"/>
      <c r="D4575" s="496"/>
    </row>
    <row r="4576" spans="1:4" x14ac:dyDescent="0.2">
      <c r="A4576" s="146"/>
      <c r="D4576" s="496"/>
    </row>
    <row r="4577" spans="1:4" x14ac:dyDescent="0.2">
      <c r="A4577" s="146"/>
      <c r="D4577" s="496"/>
    </row>
    <row r="4578" spans="1:4" x14ac:dyDescent="0.2">
      <c r="A4578" s="146"/>
      <c r="D4578" s="496"/>
    </row>
    <row r="4579" spans="1:4" x14ac:dyDescent="0.2">
      <c r="A4579" s="146"/>
      <c r="D4579" s="496"/>
    </row>
    <row r="4580" spans="1:4" x14ac:dyDescent="0.2">
      <c r="A4580" s="146"/>
      <c r="D4580" s="496"/>
    </row>
    <row r="4581" spans="1:4" x14ac:dyDescent="0.2">
      <c r="A4581" s="146"/>
      <c r="D4581" s="496"/>
    </row>
    <row r="4582" spans="1:4" x14ac:dyDescent="0.2">
      <c r="A4582" s="146"/>
      <c r="D4582" s="496"/>
    </row>
    <row r="4583" spans="1:4" x14ac:dyDescent="0.2">
      <c r="A4583" s="146"/>
      <c r="D4583" s="496"/>
    </row>
    <row r="4584" spans="1:4" x14ac:dyDescent="0.2">
      <c r="A4584" s="146"/>
      <c r="D4584" s="496"/>
    </row>
    <row r="4585" spans="1:4" x14ac:dyDescent="0.2">
      <c r="A4585" s="146"/>
      <c r="D4585" s="496"/>
    </row>
    <row r="4586" spans="1:4" x14ac:dyDescent="0.2">
      <c r="A4586" s="146"/>
      <c r="D4586" s="496"/>
    </row>
    <row r="4587" spans="1:4" x14ac:dyDescent="0.2">
      <c r="A4587" s="146"/>
      <c r="D4587" s="496"/>
    </row>
    <row r="4588" spans="1:4" x14ac:dyDescent="0.2">
      <c r="A4588" s="146"/>
      <c r="D4588" s="496"/>
    </row>
    <row r="4589" spans="1:4" x14ac:dyDescent="0.2">
      <c r="A4589" s="146"/>
      <c r="D4589" s="496"/>
    </row>
    <row r="4590" spans="1:4" x14ac:dyDescent="0.2">
      <c r="A4590" s="146"/>
      <c r="D4590" s="496"/>
    </row>
    <row r="4591" spans="1:4" x14ac:dyDescent="0.2">
      <c r="A4591" s="146"/>
      <c r="D4591" s="496"/>
    </row>
    <row r="4592" spans="1:4" x14ac:dyDescent="0.2">
      <c r="A4592" s="146"/>
      <c r="D4592" s="496"/>
    </row>
    <row r="4593" spans="1:4" x14ac:dyDescent="0.2">
      <c r="A4593" s="146"/>
      <c r="D4593" s="496"/>
    </row>
    <row r="4594" spans="1:4" x14ac:dyDescent="0.2">
      <c r="A4594" s="146"/>
      <c r="D4594" s="496"/>
    </row>
    <row r="4595" spans="1:4" x14ac:dyDescent="0.2">
      <c r="A4595" s="146"/>
      <c r="D4595" s="496"/>
    </row>
    <row r="4596" spans="1:4" x14ac:dyDescent="0.2">
      <c r="A4596" s="146"/>
      <c r="D4596" s="496"/>
    </row>
    <row r="4597" spans="1:4" x14ac:dyDescent="0.2">
      <c r="A4597" s="146"/>
      <c r="D4597" s="496"/>
    </row>
    <row r="4598" spans="1:4" x14ac:dyDescent="0.2">
      <c r="A4598" s="146"/>
      <c r="D4598" s="496"/>
    </row>
    <row r="4599" spans="1:4" x14ac:dyDescent="0.2">
      <c r="A4599" s="146"/>
      <c r="D4599" s="496"/>
    </row>
    <row r="4600" spans="1:4" x14ac:dyDescent="0.2">
      <c r="A4600" s="146"/>
      <c r="D4600" s="496"/>
    </row>
    <row r="4601" spans="1:4" x14ac:dyDescent="0.2">
      <c r="A4601" s="146"/>
      <c r="D4601" s="496"/>
    </row>
    <row r="4602" spans="1:4" x14ac:dyDescent="0.2">
      <c r="A4602" s="146"/>
      <c r="D4602" s="496"/>
    </row>
    <row r="4603" spans="1:4" x14ac:dyDescent="0.2">
      <c r="A4603" s="146"/>
      <c r="D4603" s="496"/>
    </row>
    <row r="4604" spans="1:4" x14ac:dyDescent="0.2">
      <c r="A4604" s="146"/>
      <c r="D4604" s="496"/>
    </row>
    <row r="4605" spans="1:4" x14ac:dyDescent="0.2">
      <c r="A4605" s="146"/>
      <c r="D4605" s="496"/>
    </row>
    <row r="4606" spans="1:4" x14ac:dyDescent="0.2">
      <c r="A4606" s="146"/>
      <c r="D4606" s="496"/>
    </row>
    <row r="4607" spans="1:4" x14ac:dyDescent="0.2">
      <c r="A4607" s="146"/>
      <c r="D4607" s="496"/>
    </row>
    <row r="4608" spans="1:4" x14ac:dyDescent="0.2">
      <c r="A4608" s="146"/>
      <c r="D4608" s="496"/>
    </row>
    <row r="4609" spans="1:4" x14ac:dyDescent="0.2">
      <c r="A4609" s="146"/>
      <c r="D4609" s="496"/>
    </row>
    <row r="4610" spans="1:4" x14ac:dyDescent="0.2">
      <c r="A4610" s="146"/>
      <c r="D4610" s="496"/>
    </row>
    <row r="4611" spans="1:4" x14ac:dyDescent="0.2">
      <c r="A4611" s="146"/>
      <c r="D4611" s="496"/>
    </row>
    <row r="4612" spans="1:4" x14ac:dyDescent="0.2">
      <c r="A4612" s="146"/>
      <c r="D4612" s="496"/>
    </row>
    <row r="4613" spans="1:4" x14ac:dyDescent="0.2">
      <c r="A4613" s="146"/>
      <c r="D4613" s="496"/>
    </row>
    <row r="4614" spans="1:4" x14ac:dyDescent="0.2">
      <c r="A4614" s="146"/>
      <c r="D4614" s="496"/>
    </row>
    <row r="4615" spans="1:4" x14ac:dyDescent="0.2">
      <c r="A4615" s="146"/>
      <c r="D4615" s="496"/>
    </row>
    <row r="4616" spans="1:4" x14ac:dyDescent="0.2">
      <c r="A4616" s="146"/>
      <c r="D4616" s="496"/>
    </row>
    <row r="4617" spans="1:4" x14ac:dyDescent="0.2">
      <c r="A4617" s="146"/>
      <c r="D4617" s="496"/>
    </row>
    <row r="4618" spans="1:4" x14ac:dyDescent="0.2">
      <c r="A4618" s="146"/>
      <c r="D4618" s="496"/>
    </row>
    <row r="4619" spans="1:4" x14ac:dyDescent="0.2">
      <c r="A4619" s="146"/>
      <c r="D4619" s="496"/>
    </row>
    <row r="4620" spans="1:4" x14ac:dyDescent="0.2">
      <c r="A4620" s="146"/>
      <c r="D4620" s="496"/>
    </row>
    <row r="4621" spans="1:4" x14ac:dyDescent="0.2">
      <c r="A4621" s="146"/>
      <c r="D4621" s="496"/>
    </row>
    <row r="4622" spans="1:4" x14ac:dyDescent="0.2">
      <c r="A4622" s="146"/>
      <c r="D4622" s="496"/>
    </row>
    <row r="4623" spans="1:4" x14ac:dyDescent="0.2">
      <c r="A4623" s="146"/>
      <c r="D4623" s="496"/>
    </row>
    <row r="4624" spans="1:4" x14ac:dyDescent="0.2">
      <c r="A4624" s="146"/>
      <c r="D4624" s="496"/>
    </row>
    <row r="4625" spans="1:4" x14ac:dyDescent="0.2">
      <c r="A4625" s="146"/>
      <c r="D4625" s="496"/>
    </row>
    <row r="4626" spans="1:4" x14ac:dyDescent="0.2">
      <c r="A4626" s="146"/>
      <c r="D4626" s="496"/>
    </row>
    <row r="4627" spans="1:4" x14ac:dyDescent="0.2">
      <c r="A4627" s="146"/>
      <c r="D4627" s="496"/>
    </row>
    <row r="4628" spans="1:4" x14ac:dyDescent="0.2">
      <c r="A4628" s="146"/>
      <c r="D4628" s="496"/>
    </row>
    <row r="4629" spans="1:4" x14ac:dyDescent="0.2">
      <c r="A4629" s="146"/>
      <c r="D4629" s="496"/>
    </row>
    <row r="4630" spans="1:4" x14ac:dyDescent="0.2">
      <c r="A4630" s="146"/>
      <c r="D4630" s="496"/>
    </row>
    <row r="4631" spans="1:4" x14ac:dyDescent="0.2">
      <c r="A4631" s="146"/>
      <c r="D4631" s="496"/>
    </row>
    <row r="4632" spans="1:4" x14ac:dyDescent="0.2">
      <c r="A4632" s="146"/>
      <c r="D4632" s="496"/>
    </row>
    <row r="4633" spans="1:4" x14ac:dyDescent="0.2">
      <c r="A4633" s="146"/>
      <c r="D4633" s="496"/>
    </row>
    <row r="4634" spans="1:4" x14ac:dyDescent="0.2">
      <c r="A4634" s="146"/>
      <c r="D4634" s="496"/>
    </row>
    <row r="4635" spans="1:4" x14ac:dyDescent="0.2">
      <c r="A4635" s="146"/>
      <c r="D4635" s="496"/>
    </row>
    <row r="4636" spans="1:4" x14ac:dyDescent="0.2">
      <c r="A4636" s="146"/>
      <c r="D4636" s="496"/>
    </row>
    <row r="4637" spans="1:4" x14ac:dyDescent="0.2">
      <c r="A4637" s="146"/>
      <c r="D4637" s="496"/>
    </row>
    <row r="4638" spans="1:4" x14ac:dyDescent="0.2">
      <c r="A4638" s="146"/>
      <c r="D4638" s="496"/>
    </row>
    <row r="4639" spans="1:4" x14ac:dyDescent="0.2">
      <c r="A4639" s="146"/>
      <c r="D4639" s="496"/>
    </row>
    <row r="4640" spans="1:4" x14ac:dyDescent="0.2">
      <c r="A4640" s="146"/>
      <c r="D4640" s="496"/>
    </row>
    <row r="4641" spans="1:4" x14ac:dyDescent="0.2">
      <c r="A4641" s="146"/>
      <c r="D4641" s="496"/>
    </row>
    <row r="4642" spans="1:4" x14ac:dyDescent="0.2">
      <c r="A4642" s="146"/>
      <c r="D4642" s="496"/>
    </row>
    <row r="4643" spans="1:4" x14ac:dyDescent="0.2">
      <c r="A4643" s="146"/>
      <c r="D4643" s="496"/>
    </row>
    <row r="4644" spans="1:4" x14ac:dyDescent="0.2">
      <c r="A4644" s="146"/>
      <c r="D4644" s="496"/>
    </row>
    <row r="4645" spans="1:4" x14ac:dyDescent="0.2">
      <c r="A4645" s="146"/>
      <c r="D4645" s="496"/>
    </row>
    <row r="4646" spans="1:4" x14ac:dyDescent="0.2">
      <c r="A4646" s="146"/>
      <c r="D4646" s="496"/>
    </row>
    <row r="4647" spans="1:4" x14ac:dyDescent="0.2">
      <c r="A4647" s="146"/>
      <c r="D4647" s="496"/>
    </row>
    <row r="4648" spans="1:4" x14ac:dyDescent="0.2">
      <c r="A4648" s="146"/>
      <c r="D4648" s="496"/>
    </row>
    <row r="4649" spans="1:4" x14ac:dyDescent="0.2">
      <c r="A4649" s="146"/>
      <c r="D4649" s="496"/>
    </row>
    <row r="4650" spans="1:4" x14ac:dyDescent="0.2">
      <c r="A4650" s="146"/>
      <c r="D4650" s="496"/>
    </row>
    <row r="4651" spans="1:4" x14ac:dyDescent="0.2">
      <c r="A4651" s="146"/>
      <c r="D4651" s="496"/>
    </row>
    <row r="4652" spans="1:4" x14ac:dyDescent="0.2">
      <c r="A4652" s="146"/>
      <c r="D4652" s="496"/>
    </row>
    <row r="4653" spans="1:4" x14ac:dyDescent="0.2">
      <c r="A4653" s="146"/>
      <c r="D4653" s="496"/>
    </row>
    <row r="4654" spans="1:4" x14ac:dyDescent="0.2">
      <c r="A4654" s="146"/>
      <c r="D4654" s="496"/>
    </row>
    <row r="4655" spans="1:4" x14ac:dyDescent="0.2">
      <c r="A4655" s="146"/>
      <c r="D4655" s="496"/>
    </row>
    <row r="4656" spans="1:4" x14ac:dyDescent="0.2">
      <c r="A4656" s="146"/>
      <c r="D4656" s="496"/>
    </row>
    <row r="4657" spans="1:4" x14ac:dyDescent="0.2">
      <c r="A4657" s="146"/>
      <c r="D4657" s="496"/>
    </row>
    <row r="4658" spans="1:4" x14ac:dyDescent="0.2">
      <c r="A4658" s="146"/>
      <c r="D4658" s="496"/>
    </row>
    <row r="4659" spans="1:4" x14ac:dyDescent="0.2">
      <c r="A4659" s="146"/>
      <c r="D4659" s="496"/>
    </row>
    <row r="4660" spans="1:4" x14ac:dyDescent="0.2">
      <c r="A4660" s="146"/>
      <c r="D4660" s="496"/>
    </row>
    <row r="4661" spans="1:4" x14ac:dyDescent="0.2">
      <c r="A4661" s="146"/>
      <c r="D4661" s="496"/>
    </row>
    <row r="4662" spans="1:4" x14ac:dyDescent="0.2">
      <c r="A4662" s="146"/>
      <c r="D4662" s="496"/>
    </row>
    <row r="4663" spans="1:4" x14ac:dyDescent="0.2">
      <c r="A4663" s="146"/>
      <c r="D4663" s="496"/>
    </row>
    <row r="4664" spans="1:4" x14ac:dyDescent="0.2">
      <c r="A4664" s="146"/>
      <c r="D4664" s="496"/>
    </row>
    <row r="4665" spans="1:4" x14ac:dyDescent="0.2">
      <c r="A4665" s="146"/>
      <c r="D4665" s="496"/>
    </row>
    <row r="4666" spans="1:4" x14ac:dyDescent="0.2">
      <c r="A4666" s="146"/>
      <c r="D4666" s="496"/>
    </row>
    <row r="4667" spans="1:4" x14ac:dyDescent="0.2">
      <c r="A4667" s="146"/>
      <c r="D4667" s="496"/>
    </row>
    <row r="4668" spans="1:4" x14ac:dyDescent="0.2">
      <c r="A4668" s="146"/>
      <c r="D4668" s="496"/>
    </row>
    <row r="4669" spans="1:4" x14ac:dyDescent="0.2">
      <c r="A4669" s="146"/>
      <c r="D4669" s="496"/>
    </row>
    <row r="4670" spans="1:4" x14ac:dyDescent="0.2">
      <c r="A4670" s="146"/>
      <c r="D4670" s="496"/>
    </row>
    <row r="4671" spans="1:4" x14ac:dyDescent="0.2">
      <c r="A4671" s="146"/>
      <c r="D4671" s="496"/>
    </row>
    <row r="4672" spans="1:4" x14ac:dyDescent="0.2">
      <c r="A4672" s="146"/>
      <c r="D4672" s="496"/>
    </row>
    <row r="4673" spans="1:4" x14ac:dyDescent="0.2">
      <c r="A4673" s="146"/>
      <c r="D4673" s="496"/>
    </row>
    <row r="4674" spans="1:4" x14ac:dyDescent="0.2">
      <c r="A4674" s="146"/>
      <c r="D4674" s="496"/>
    </row>
    <row r="4675" spans="1:4" x14ac:dyDescent="0.2">
      <c r="A4675" s="146"/>
      <c r="D4675" s="496"/>
    </row>
    <row r="4676" spans="1:4" x14ac:dyDescent="0.2">
      <c r="A4676" s="146"/>
      <c r="D4676" s="496"/>
    </row>
    <row r="4677" spans="1:4" x14ac:dyDescent="0.2">
      <c r="A4677" s="146"/>
      <c r="D4677" s="496"/>
    </row>
    <row r="4678" spans="1:4" x14ac:dyDescent="0.2">
      <c r="A4678" s="146"/>
      <c r="D4678" s="496"/>
    </row>
    <row r="4679" spans="1:4" x14ac:dyDescent="0.2">
      <c r="A4679" s="146"/>
      <c r="D4679" s="496"/>
    </row>
    <row r="4680" spans="1:4" x14ac:dyDescent="0.2">
      <c r="A4680" s="146"/>
      <c r="D4680" s="496"/>
    </row>
    <row r="4681" spans="1:4" x14ac:dyDescent="0.2">
      <c r="A4681" s="146"/>
      <c r="D4681" s="496"/>
    </row>
    <row r="4682" spans="1:4" x14ac:dyDescent="0.2">
      <c r="A4682" s="146"/>
      <c r="D4682" s="496"/>
    </row>
    <row r="4683" spans="1:4" x14ac:dyDescent="0.2">
      <c r="A4683" s="146"/>
      <c r="D4683" s="496"/>
    </row>
    <row r="4684" spans="1:4" x14ac:dyDescent="0.2">
      <c r="A4684" s="146"/>
      <c r="D4684" s="496"/>
    </row>
    <row r="4685" spans="1:4" x14ac:dyDescent="0.2">
      <c r="A4685" s="146"/>
      <c r="D4685" s="496"/>
    </row>
    <row r="4686" spans="1:4" x14ac:dyDescent="0.2">
      <c r="A4686" s="146"/>
      <c r="D4686" s="496"/>
    </row>
    <row r="4687" spans="1:4" x14ac:dyDescent="0.2">
      <c r="A4687" s="146"/>
      <c r="D4687" s="496"/>
    </row>
    <row r="4688" spans="1:4" x14ac:dyDescent="0.2">
      <c r="A4688" s="146"/>
      <c r="D4688" s="496"/>
    </row>
    <row r="4689" spans="1:4" x14ac:dyDescent="0.2">
      <c r="A4689" s="146"/>
      <c r="D4689" s="496"/>
    </row>
    <row r="4690" spans="1:4" x14ac:dyDescent="0.2">
      <c r="A4690" s="146"/>
      <c r="D4690" s="496"/>
    </row>
    <row r="4691" spans="1:4" x14ac:dyDescent="0.2">
      <c r="A4691" s="146"/>
      <c r="D4691" s="496"/>
    </row>
    <row r="4692" spans="1:4" x14ac:dyDescent="0.2">
      <c r="A4692" s="146"/>
      <c r="D4692" s="496"/>
    </row>
    <row r="4693" spans="1:4" x14ac:dyDescent="0.2">
      <c r="A4693" s="146"/>
      <c r="D4693" s="496"/>
    </row>
    <row r="4694" spans="1:4" x14ac:dyDescent="0.2">
      <c r="A4694" s="146"/>
      <c r="D4694" s="496"/>
    </row>
    <row r="4695" spans="1:4" x14ac:dyDescent="0.2">
      <c r="A4695" s="146"/>
      <c r="D4695" s="496"/>
    </row>
    <row r="4696" spans="1:4" x14ac:dyDescent="0.2">
      <c r="A4696" s="146"/>
      <c r="D4696" s="496"/>
    </row>
    <row r="4697" spans="1:4" x14ac:dyDescent="0.2">
      <c r="A4697" s="146"/>
      <c r="D4697" s="496"/>
    </row>
    <row r="4698" spans="1:4" x14ac:dyDescent="0.2">
      <c r="A4698" s="146"/>
      <c r="D4698" s="496"/>
    </row>
    <row r="4699" spans="1:4" x14ac:dyDescent="0.2">
      <c r="A4699" s="146"/>
      <c r="D4699" s="496"/>
    </row>
    <row r="4700" spans="1:4" x14ac:dyDescent="0.2">
      <c r="A4700" s="146"/>
      <c r="D4700" s="496"/>
    </row>
    <row r="4701" spans="1:4" x14ac:dyDescent="0.2">
      <c r="A4701" s="146"/>
      <c r="D4701" s="496"/>
    </row>
    <row r="4702" spans="1:4" x14ac:dyDescent="0.2">
      <c r="A4702" s="146"/>
      <c r="D4702" s="496"/>
    </row>
    <row r="4703" spans="1:4" x14ac:dyDescent="0.2">
      <c r="A4703" s="146"/>
      <c r="D4703" s="496"/>
    </row>
    <row r="4704" spans="1:4" x14ac:dyDescent="0.2">
      <c r="A4704" s="146"/>
      <c r="D4704" s="496"/>
    </row>
    <row r="4705" spans="1:4" x14ac:dyDescent="0.2">
      <c r="A4705" s="146"/>
      <c r="D4705" s="496"/>
    </row>
    <row r="4706" spans="1:4" x14ac:dyDescent="0.2">
      <c r="A4706" s="146"/>
      <c r="D4706" s="496"/>
    </row>
    <row r="4707" spans="1:4" x14ac:dyDescent="0.2">
      <c r="A4707" s="146"/>
      <c r="D4707" s="496"/>
    </row>
    <row r="4708" spans="1:4" x14ac:dyDescent="0.2">
      <c r="A4708" s="146"/>
      <c r="D4708" s="496"/>
    </row>
    <row r="4709" spans="1:4" x14ac:dyDescent="0.2">
      <c r="A4709" s="146"/>
      <c r="D4709" s="496"/>
    </row>
    <row r="4710" spans="1:4" x14ac:dyDescent="0.2">
      <c r="A4710" s="146"/>
      <c r="D4710" s="496"/>
    </row>
    <row r="4711" spans="1:4" x14ac:dyDescent="0.2">
      <c r="A4711" s="146"/>
      <c r="D4711" s="496"/>
    </row>
    <row r="4712" spans="1:4" x14ac:dyDescent="0.2">
      <c r="A4712" s="146"/>
      <c r="D4712" s="496"/>
    </row>
    <row r="4713" spans="1:4" x14ac:dyDescent="0.2">
      <c r="A4713" s="146"/>
      <c r="D4713" s="496"/>
    </row>
    <row r="4714" spans="1:4" x14ac:dyDescent="0.2">
      <c r="A4714" s="146"/>
      <c r="D4714" s="496"/>
    </row>
    <row r="4715" spans="1:4" x14ac:dyDescent="0.2">
      <c r="A4715" s="146"/>
      <c r="D4715" s="496"/>
    </row>
    <row r="4716" spans="1:4" x14ac:dyDescent="0.2">
      <c r="A4716" s="146"/>
      <c r="D4716" s="496"/>
    </row>
    <row r="4717" spans="1:4" x14ac:dyDescent="0.2">
      <c r="A4717" s="146"/>
      <c r="D4717" s="496"/>
    </row>
    <row r="4718" spans="1:4" x14ac:dyDescent="0.2">
      <c r="A4718" s="146"/>
      <c r="D4718" s="496"/>
    </row>
    <row r="4719" spans="1:4" x14ac:dyDescent="0.2">
      <c r="A4719" s="146"/>
      <c r="D4719" s="496"/>
    </row>
    <row r="4720" spans="1:4" x14ac:dyDescent="0.2">
      <c r="A4720" s="146"/>
      <c r="D4720" s="496"/>
    </row>
    <row r="4721" spans="1:4" x14ac:dyDescent="0.2">
      <c r="A4721" s="146"/>
      <c r="D4721" s="496"/>
    </row>
    <row r="4722" spans="1:4" x14ac:dyDescent="0.2">
      <c r="A4722" s="146"/>
      <c r="D4722" s="496"/>
    </row>
    <row r="4723" spans="1:4" x14ac:dyDescent="0.2">
      <c r="A4723" s="146"/>
      <c r="D4723" s="496"/>
    </row>
    <row r="4724" spans="1:4" x14ac:dyDescent="0.2">
      <c r="A4724" s="146"/>
      <c r="D4724" s="496"/>
    </row>
    <row r="4725" spans="1:4" x14ac:dyDescent="0.2">
      <c r="A4725" s="146"/>
      <c r="D4725" s="496"/>
    </row>
    <row r="4726" spans="1:4" x14ac:dyDescent="0.2">
      <c r="A4726" s="146"/>
      <c r="D4726" s="496"/>
    </row>
    <row r="4727" spans="1:4" x14ac:dyDescent="0.2">
      <c r="A4727" s="146"/>
      <c r="D4727" s="496"/>
    </row>
    <row r="4728" spans="1:4" x14ac:dyDescent="0.2">
      <c r="A4728" s="146"/>
      <c r="D4728" s="496"/>
    </row>
    <row r="4729" spans="1:4" x14ac:dyDescent="0.2">
      <c r="A4729" s="146"/>
      <c r="D4729" s="496"/>
    </row>
    <row r="4730" spans="1:4" x14ac:dyDescent="0.2">
      <c r="A4730" s="146"/>
      <c r="D4730" s="496"/>
    </row>
    <row r="4731" spans="1:4" x14ac:dyDescent="0.2">
      <c r="A4731" s="146"/>
      <c r="D4731" s="496"/>
    </row>
    <row r="4732" spans="1:4" x14ac:dyDescent="0.2">
      <c r="A4732" s="146"/>
      <c r="D4732" s="496"/>
    </row>
    <row r="4733" spans="1:4" x14ac:dyDescent="0.2">
      <c r="A4733" s="146"/>
      <c r="D4733" s="496"/>
    </row>
    <row r="4734" spans="1:4" x14ac:dyDescent="0.2">
      <c r="A4734" s="146"/>
      <c r="D4734" s="496"/>
    </row>
    <row r="4735" spans="1:4" x14ac:dyDescent="0.2">
      <c r="A4735" s="146"/>
      <c r="D4735" s="496"/>
    </row>
    <row r="4736" spans="1:4" x14ac:dyDescent="0.2">
      <c r="A4736" s="146"/>
      <c r="D4736" s="496"/>
    </row>
    <row r="4737" spans="1:4" x14ac:dyDescent="0.2">
      <c r="A4737" s="146"/>
      <c r="D4737" s="496"/>
    </row>
    <row r="4738" spans="1:4" x14ac:dyDescent="0.2">
      <c r="A4738" s="146"/>
      <c r="D4738" s="496"/>
    </row>
    <row r="4739" spans="1:4" x14ac:dyDescent="0.2">
      <c r="A4739" s="146"/>
      <c r="D4739" s="496"/>
    </row>
    <row r="4740" spans="1:4" x14ac:dyDescent="0.2">
      <c r="A4740" s="146"/>
      <c r="D4740" s="496"/>
    </row>
    <row r="4741" spans="1:4" x14ac:dyDescent="0.2">
      <c r="A4741" s="146"/>
      <c r="D4741" s="496"/>
    </row>
    <row r="4742" spans="1:4" x14ac:dyDescent="0.2">
      <c r="A4742" s="146"/>
      <c r="D4742" s="496"/>
    </row>
    <row r="4743" spans="1:4" x14ac:dyDescent="0.2">
      <c r="A4743" s="146"/>
      <c r="D4743" s="496"/>
    </row>
    <row r="4744" spans="1:4" x14ac:dyDescent="0.2">
      <c r="A4744" s="146"/>
      <c r="D4744" s="496"/>
    </row>
    <row r="4745" spans="1:4" x14ac:dyDescent="0.2">
      <c r="A4745" s="146"/>
      <c r="D4745" s="496"/>
    </row>
    <row r="4746" spans="1:4" x14ac:dyDescent="0.2">
      <c r="A4746" s="146"/>
      <c r="D4746" s="496"/>
    </row>
    <row r="4747" spans="1:4" x14ac:dyDescent="0.2">
      <c r="A4747" s="146"/>
      <c r="D4747" s="496"/>
    </row>
    <row r="4748" spans="1:4" x14ac:dyDescent="0.2">
      <c r="A4748" s="146"/>
      <c r="D4748" s="496"/>
    </row>
    <row r="4749" spans="1:4" x14ac:dyDescent="0.2">
      <c r="A4749" s="146"/>
      <c r="D4749" s="496"/>
    </row>
    <row r="4750" spans="1:4" x14ac:dyDescent="0.2">
      <c r="A4750" s="146"/>
      <c r="D4750" s="496"/>
    </row>
    <row r="4751" spans="1:4" x14ac:dyDescent="0.2">
      <c r="A4751" s="146"/>
      <c r="D4751" s="496"/>
    </row>
    <row r="4752" spans="1:4" x14ac:dyDescent="0.2">
      <c r="A4752" s="146"/>
      <c r="D4752" s="496"/>
    </row>
    <row r="4753" spans="1:4" x14ac:dyDescent="0.2">
      <c r="A4753" s="146"/>
      <c r="D4753" s="496"/>
    </row>
    <row r="4754" spans="1:4" x14ac:dyDescent="0.2">
      <c r="A4754" s="146"/>
      <c r="D4754" s="496"/>
    </row>
    <row r="4755" spans="1:4" x14ac:dyDescent="0.2">
      <c r="A4755" s="146"/>
      <c r="D4755" s="496"/>
    </row>
    <row r="4756" spans="1:4" x14ac:dyDescent="0.2">
      <c r="A4756" s="146"/>
      <c r="D4756" s="496"/>
    </row>
    <row r="4757" spans="1:4" x14ac:dyDescent="0.2">
      <c r="A4757" s="146"/>
      <c r="D4757" s="496"/>
    </row>
    <row r="4758" spans="1:4" x14ac:dyDescent="0.2">
      <c r="A4758" s="146"/>
      <c r="D4758" s="496"/>
    </row>
    <row r="4759" spans="1:4" x14ac:dyDescent="0.2">
      <c r="A4759" s="146"/>
      <c r="D4759" s="496"/>
    </row>
    <row r="4760" spans="1:4" x14ac:dyDescent="0.2">
      <c r="A4760" s="146"/>
      <c r="D4760" s="496"/>
    </row>
    <row r="4761" spans="1:4" x14ac:dyDescent="0.2">
      <c r="A4761" s="146"/>
      <c r="D4761" s="496"/>
    </row>
    <row r="4762" spans="1:4" x14ac:dyDescent="0.2">
      <c r="A4762" s="146"/>
      <c r="D4762" s="496"/>
    </row>
    <row r="4763" spans="1:4" x14ac:dyDescent="0.2">
      <c r="A4763" s="146"/>
      <c r="D4763" s="496"/>
    </row>
    <row r="4764" spans="1:4" x14ac:dyDescent="0.2">
      <c r="A4764" s="146"/>
      <c r="D4764" s="496"/>
    </row>
    <row r="4765" spans="1:4" x14ac:dyDescent="0.2">
      <c r="A4765" s="146"/>
      <c r="D4765" s="496"/>
    </row>
    <row r="4766" spans="1:4" x14ac:dyDescent="0.2">
      <c r="A4766" s="146"/>
      <c r="D4766" s="496"/>
    </row>
    <row r="4767" spans="1:4" x14ac:dyDescent="0.2">
      <c r="A4767" s="146"/>
      <c r="D4767" s="496"/>
    </row>
    <row r="4768" spans="1:4" x14ac:dyDescent="0.2">
      <c r="A4768" s="146"/>
      <c r="D4768" s="496"/>
    </row>
    <row r="4769" spans="1:4" x14ac:dyDescent="0.2">
      <c r="A4769" s="146"/>
      <c r="D4769" s="496"/>
    </row>
    <row r="4770" spans="1:4" x14ac:dyDescent="0.2">
      <c r="A4770" s="146"/>
      <c r="D4770" s="496"/>
    </row>
    <row r="4771" spans="1:4" x14ac:dyDescent="0.2">
      <c r="A4771" s="146"/>
      <c r="D4771" s="496"/>
    </row>
    <row r="4772" spans="1:4" x14ac:dyDescent="0.2">
      <c r="A4772" s="146"/>
      <c r="D4772" s="496"/>
    </row>
    <row r="4773" spans="1:4" x14ac:dyDescent="0.2">
      <c r="A4773" s="146"/>
      <c r="D4773" s="496"/>
    </row>
    <row r="4774" spans="1:4" x14ac:dyDescent="0.2">
      <c r="A4774" s="146"/>
      <c r="D4774" s="496"/>
    </row>
    <row r="4775" spans="1:4" x14ac:dyDescent="0.2">
      <c r="A4775" s="146"/>
      <c r="D4775" s="496"/>
    </row>
    <row r="4776" spans="1:4" x14ac:dyDescent="0.2">
      <c r="A4776" s="146"/>
      <c r="D4776" s="496"/>
    </row>
    <row r="4777" spans="1:4" x14ac:dyDescent="0.2">
      <c r="A4777" s="146"/>
      <c r="D4777" s="496"/>
    </row>
    <row r="4778" spans="1:4" x14ac:dyDescent="0.2">
      <c r="A4778" s="146"/>
      <c r="D4778" s="496"/>
    </row>
    <row r="4779" spans="1:4" x14ac:dyDescent="0.2">
      <c r="A4779" s="146"/>
      <c r="D4779" s="496"/>
    </row>
    <row r="4780" spans="1:4" x14ac:dyDescent="0.2">
      <c r="A4780" s="146"/>
      <c r="D4780" s="496"/>
    </row>
    <row r="4781" spans="1:4" x14ac:dyDescent="0.2">
      <c r="A4781" s="146"/>
      <c r="D4781" s="496"/>
    </row>
    <row r="4782" spans="1:4" x14ac:dyDescent="0.2">
      <c r="A4782" s="146"/>
      <c r="D4782" s="496"/>
    </row>
    <row r="4783" spans="1:4" x14ac:dyDescent="0.2">
      <c r="A4783" s="146"/>
      <c r="D4783" s="496"/>
    </row>
    <row r="4784" spans="1:4" x14ac:dyDescent="0.2">
      <c r="A4784" s="146"/>
      <c r="D4784" s="496"/>
    </row>
    <row r="4785" spans="1:4" x14ac:dyDescent="0.2">
      <c r="A4785" s="146"/>
      <c r="D4785" s="496"/>
    </row>
    <row r="4786" spans="1:4" x14ac:dyDescent="0.2">
      <c r="A4786" s="146"/>
      <c r="D4786" s="496"/>
    </row>
    <row r="4787" spans="1:4" x14ac:dyDescent="0.2">
      <c r="A4787" s="146"/>
      <c r="D4787" s="496"/>
    </row>
    <row r="4788" spans="1:4" x14ac:dyDescent="0.2">
      <c r="A4788" s="146"/>
      <c r="D4788" s="496"/>
    </row>
    <row r="4789" spans="1:4" x14ac:dyDescent="0.2">
      <c r="A4789" s="146"/>
      <c r="D4789" s="496"/>
    </row>
    <row r="4790" spans="1:4" x14ac:dyDescent="0.2">
      <c r="A4790" s="146"/>
      <c r="D4790" s="496"/>
    </row>
    <row r="4791" spans="1:4" x14ac:dyDescent="0.2">
      <c r="A4791" s="146"/>
      <c r="D4791" s="496"/>
    </row>
    <row r="4792" spans="1:4" x14ac:dyDescent="0.2">
      <c r="A4792" s="146"/>
      <c r="D4792" s="496"/>
    </row>
    <row r="4793" spans="1:4" x14ac:dyDescent="0.2">
      <c r="A4793" s="146"/>
      <c r="D4793" s="496"/>
    </row>
    <row r="4794" spans="1:4" x14ac:dyDescent="0.2">
      <c r="A4794" s="146"/>
      <c r="D4794" s="496"/>
    </row>
    <row r="4795" spans="1:4" x14ac:dyDescent="0.2">
      <c r="A4795" s="146"/>
      <c r="D4795" s="496"/>
    </row>
    <row r="4796" spans="1:4" x14ac:dyDescent="0.2">
      <c r="A4796" s="146"/>
      <c r="D4796" s="496"/>
    </row>
    <row r="4797" spans="1:4" x14ac:dyDescent="0.2">
      <c r="A4797" s="146"/>
      <c r="D4797" s="496"/>
    </row>
    <row r="4798" spans="1:4" x14ac:dyDescent="0.2">
      <c r="A4798" s="146"/>
      <c r="D4798" s="496"/>
    </row>
    <row r="4799" spans="1:4" x14ac:dyDescent="0.2">
      <c r="A4799" s="146"/>
      <c r="D4799" s="496"/>
    </row>
    <row r="4800" spans="1:4" x14ac:dyDescent="0.2">
      <c r="A4800" s="146"/>
      <c r="D4800" s="496"/>
    </row>
    <row r="4801" spans="1:4" x14ac:dyDescent="0.2">
      <c r="A4801" s="146"/>
      <c r="D4801" s="496"/>
    </row>
    <row r="4802" spans="1:4" x14ac:dyDescent="0.2">
      <c r="A4802" s="146"/>
      <c r="D4802" s="496"/>
    </row>
    <row r="4803" spans="1:4" x14ac:dyDescent="0.2">
      <c r="A4803" s="146"/>
      <c r="D4803" s="496"/>
    </row>
    <row r="4804" spans="1:4" x14ac:dyDescent="0.2">
      <c r="A4804" s="146"/>
      <c r="D4804" s="496"/>
    </row>
    <row r="4805" spans="1:4" x14ac:dyDescent="0.2">
      <c r="A4805" s="146"/>
      <c r="D4805" s="496"/>
    </row>
    <row r="4806" spans="1:4" x14ac:dyDescent="0.2">
      <c r="A4806" s="146"/>
      <c r="D4806" s="496"/>
    </row>
    <row r="4807" spans="1:4" x14ac:dyDescent="0.2">
      <c r="A4807" s="146"/>
      <c r="D4807" s="496"/>
    </row>
    <row r="4808" spans="1:4" x14ac:dyDescent="0.2">
      <c r="A4808" s="146"/>
      <c r="D4808" s="496"/>
    </row>
    <row r="4809" spans="1:4" x14ac:dyDescent="0.2">
      <c r="A4809" s="146"/>
      <c r="D4809" s="496"/>
    </row>
    <row r="4810" spans="1:4" x14ac:dyDescent="0.2">
      <c r="A4810" s="146"/>
      <c r="D4810" s="496"/>
    </row>
    <row r="4811" spans="1:4" x14ac:dyDescent="0.2">
      <c r="A4811" s="146"/>
      <c r="D4811" s="496"/>
    </row>
    <row r="4812" spans="1:4" x14ac:dyDescent="0.2">
      <c r="A4812" s="146"/>
      <c r="D4812" s="496"/>
    </row>
    <row r="4813" spans="1:4" x14ac:dyDescent="0.2">
      <c r="A4813" s="146"/>
      <c r="D4813" s="496"/>
    </row>
    <row r="4814" spans="1:4" x14ac:dyDescent="0.2">
      <c r="A4814" s="146"/>
      <c r="D4814" s="496"/>
    </row>
    <row r="4815" spans="1:4" x14ac:dyDescent="0.2">
      <c r="A4815" s="146"/>
      <c r="D4815" s="496"/>
    </row>
    <row r="4816" spans="1:4" x14ac:dyDescent="0.2">
      <c r="A4816" s="146"/>
      <c r="D4816" s="496"/>
    </row>
    <row r="4817" spans="1:4" x14ac:dyDescent="0.2">
      <c r="A4817" s="146"/>
      <c r="D4817" s="496"/>
    </row>
    <row r="4818" spans="1:4" x14ac:dyDescent="0.2">
      <c r="A4818" s="146"/>
      <c r="D4818" s="496"/>
    </row>
    <row r="4819" spans="1:4" x14ac:dyDescent="0.2">
      <c r="A4819" s="146"/>
      <c r="D4819" s="496"/>
    </row>
    <row r="4820" spans="1:4" x14ac:dyDescent="0.2">
      <c r="A4820" s="146"/>
      <c r="D4820" s="496"/>
    </row>
    <row r="4821" spans="1:4" x14ac:dyDescent="0.2">
      <c r="A4821" s="146"/>
      <c r="D4821" s="496"/>
    </row>
    <row r="4822" spans="1:4" x14ac:dyDescent="0.2">
      <c r="A4822" s="146"/>
      <c r="D4822" s="496"/>
    </row>
    <row r="4823" spans="1:4" x14ac:dyDescent="0.2">
      <c r="A4823" s="146"/>
      <c r="D4823" s="496"/>
    </row>
    <row r="4824" spans="1:4" x14ac:dyDescent="0.2">
      <c r="A4824" s="146"/>
      <c r="D4824" s="496"/>
    </row>
    <row r="4825" spans="1:4" x14ac:dyDescent="0.2">
      <c r="A4825" s="146"/>
      <c r="D4825" s="496"/>
    </row>
    <row r="4826" spans="1:4" x14ac:dyDescent="0.2">
      <c r="A4826" s="146"/>
      <c r="D4826" s="496"/>
    </row>
    <row r="4827" spans="1:4" x14ac:dyDescent="0.2">
      <c r="A4827" s="146"/>
      <c r="D4827" s="496"/>
    </row>
    <row r="4828" spans="1:4" x14ac:dyDescent="0.2">
      <c r="A4828" s="146"/>
      <c r="D4828" s="496"/>
    </row>
    <row r="4829" spans="1:4" x14ac:dyDescent="0.2">
      <c r="A4829" s="146"/>
      <c r="D4829" s="496"/>
    </row>
    <row r="4830" spans="1:4" x14ac:dyDescent="0.2">
      <c r="A4830" s="146"/>
      <c r="D4830" s="496"/>
    </row>
    <row r="4831" spans="1:4" x14ac:dyDescent="0.2">
      <c r="A4831" s="146"/>
      <c r="D4831" s="496"/>
    </row>
    <row r="4832" spans="1:4" x14ac:dyDescent="0.2">
      <c r="A4832" s="146"/>
      <c r="D4832" s="496"/>
    </row>
    <row r="4833" spans="1:4" x14ac:dyDescent="0.2">
      <c r="A4833" s="146"/>
      <c r="D4833" s="496"/>
    </row>
    <row r="4834" spans="1:4" x14ac:dyDescent="0.2">
      <c r="A4834" s="146"/>
      <c r="D4834" s="496"/>
    </row>
    <row r="4835" spans="1:4" x14ac:dyDescent="0.2">
      <c r="A4835" s="146"/>
      <c r="D4835" s="496"/>
    </row>
    <row r="4836" spans="1:4" x14ac:dyDescent="0.2">
      <c r="A4836" s="146"/>
      <c r="D4836" s="496"/>
    </row>
    <row r="4837" spans="1:4" x14ac:dyDescent="0.2">
      <c r="A4837" s="146"/>
      <c r="D4837" s="496"/>
    </row>
    <row r="4838" spans="1:4" x14ac:dyDescent="0.2">
      <c r="A4838" s="146"/>
      <c r="D4838" s="496"/>
    </row>
    <row r="4839" spans="1:4" x14ac:dyDescent="0.2">
      <c r="A4839" s="146"/>
      <c r="D4839" s="496"/>
    </row>
    <row r="4840" spans="1:4" x14ac:dyDescent="0.2">
      <c r="A4840" s="146"/>
      <c r="D4840" s="496"/>
    </row>
    <row r="4841" spans="1:4" x14ac:dyDescent="0.2">
      <c r="A4841" s="146"/>
      <c r="D4841" s="496"/>
    </row>
    <row r="4842" spans="1:4" x14ac:dyDescent="0.2">
      <c r="A4842" s="146"/>
      <c r="D4842" s="496"/>
    </row>
    <row r="4843" spans="1:4" x14ac:dyDescent="0.2">
      <c r="A4843" s="146"/>
      <c r="D4843" s="496"/>
    </row>
    <row r="4844" spans="1:4" x14ac:dyDescent="0.2">
      <c r="A4844" s="146"/>
      <c r="D4844" s="496"/>
    </row>
    <row r="4845" spans="1:4" x14ac:dyDescent="0.2">
      <c r="A4845" s="146"/>
      <c r="D4845" s="496"/>
    </row>
    <row r="4846" spans="1:4" x14ac:dyDescent="0.2">
      <c r="A4846" s="146"/>
      <c r="D4846" s="496"/>
    </row>
    <row r="4847" spans="1:4" x14ac:dyDescent="0.2">
      <c r="A4847" s="146"/>
      <c r="D4847" s="496"/>
    </row>
    <row r="4848" spans="1:4" x14ac:dyDescent="0.2">
      <c r="A4848" s="146"/>
      <c r="D4848" s="496"/>
    </row>
    <row r="4849" spans="1:4" x14ac:dyDescent="0.2">
      <c r="A4849" s="146"/>
      <c r="D4849" s="496"/>
    </row>
    <row r="4850" spans="1:4" x14ac:dyDescent="0.2">
      <c r="A4850" s="146"/>
      <c r="D4850" s="496"/>
    </row>
    <row r="4851" spans="1:4" x14ac:dyDescent="0.2">
      <c r="A4851" s="146"/>
      <c r="D4851" s="496"/>
    </row>
    <row r="4852" spans="1:4" x14ac:dyDescent="0.2">
      <c r="A4852" s="146"/>
      <c r="D4852" s="496"/>
    </row>
    <row r="4853" spans="1:4" x14ac:dyDescent="0.2">
      <c r="A4853" s="146"/>
      <c r="D4853" s="496"/>
    </row>
    <row r="4854" spans="1:4" x14ac:dyDescent="0.2">
      <c r="A4854" s="146"/>
      <c r="D4854" s="496"/>
    </row>
    <row r="4855" spans="1:4" x14ac:dyDescent="0.2">
      <c r="A4855" s="146"/>
      <c r="D4855" s="496"/>
    </row>
    <row r="4856" spans="1:4" x14ac:dyDescent="0.2">
      <c r="A4856" s="146"/>
      <c r="D4856" s="496"/>
    </row>
    <row r="4857" spans="1:4" x14ac:dyDescent="0.2">
      <c r="A4857" s="146"/>
      <c r="D4857" s="496"/>
    </row>
    <row r="4858" spans="1:4" x14ac:dyDescent="0.2">
      <c r="A4858" s="146"/>
      <c r="D4858" s="496"/>
    </row>
    <row r="4859" spans="1:4" x14ac:dyDescent="0.2">
      <c r="A4859" s="146"/>
      <c r="D4859" s="496"/>
    </row>
    <row r="4860" spans="1:4" x14ac:dyDescent="0.2">
      <c r="A4860" s="146"/>
      <c r="D4860" s="496"/>
    </row>
    <row r="4861" spans="1:4" x14ac:dyDescent="0.2">
      <c r="A4861" s="146"/>
      <c r="D4861" s="496"/>
    </row>
    <row r="4862" spans="1:4" x14ac:dyDescent="0.2">
      <c r="A4862" s="146"/>
      <c r="D4862" s="496"/>
    </row>
    <row r="4863" spans="1:4" x14ac:dyDescent="0.2">
      <c r="A4863" s="146"/>
      <c r="D4863" s="496"/>
    </row>
    <row r="4864" spans="1:4" x14ac:dyDescent="0.2">
      <c r="A4864" s="146"/>
      <c r="D4864" s="496"/>
    </row>
    <row r="4865" spans="1:4" x14ac:dyDescent="0.2">
      <c r="A4865" s="146"/>
      <c r="D4865" s="496"/>
    </row>
    <row r="4866" spans="1:4" x14ac:dyDescent="0.2">
      <c r="A4866" s="146"/>
      <c r="D4866" s="496"/>
    </row>
    <row r="4867" spans="1:4" x14ac:dyDescent="0.2">
      <c r="A4867" s="146"/>
      <c r="D4867" s="496"/>
    </row>
    <row r="4868" spans="1:4" x14ac:dyDescent="0.2">
      <c r="A4868" s="146"/>
      <c r="D4868" s="496"/>
    </row>
    <row r="4869" spans="1:4" x14ac:dyDescent="0.2">
      <c r="A4869" s="146"/>
      <c r="D4869" s="496"/>
    </row>
    <row r="4870" spans="1:4" x14ac:dyDescent="0.2">
      <c r="A4870" s="146"/>
      <c r="D4870" s="496"/>
    </row>
    <row r="4871" spans="1:4" x14ac:dyDescent="0.2">
      <c r="A4871" s="146"/>
      <c r="D4871" s="496"/>
    </row>
    <row r="4872" spans="1:4" x14ac:dyDescent="0.2">
      <c r="A4872" s="146"/>
      <c r="D4872" s="496"/>
    </row>
    <row r="4873" spans="1:4" x14ac:dyDescent="0.2">
      <c r="A4873" s="146"/>
      <c r="D4873" s="496"/>
    </row>
    <row r="4874" spans="1:4" x14ac:dyDescent="0.2">
      <c r="A4874" s="146"/>
      <c r="D4874" s="496"/>
    </row>
    <row r="4875" spans="1:4" x14ac:dyDescent="0.2">
      <c r="A4875" s="146"/>
      <c r="D4875" s="496"/>
    </row>
    <row r="4876" spans="1:4" x14ac:dyDescent="0.2">
      <c r="A4876" s="146"/>
      <c r="D4876" s="496"/>
    </row>
    <row r="4877" spans="1:4" x14ac:dyDescent="0.2">
      <c r="A4877" s="146"/>
      <c r="D4877" s="496"/>
    </row>
    <row r="4878" spans="1:4" x14ac:dyDescent="0.2">
      <c r="A4878" s="146"/>
      <c r="D4878" s="496"/>
    </row>
    <row r="4879" spans="1:4" x14ac:dyDescent="0.2">
      <c r="A4879" s="146"/>
      <c r="D4879" s="496"/>
    </row>
    <row r="4880" spans="1:4" x14ac:dyDescent="0.2">
      <c r="A4880" s="146"/>
      <c r="D4880" s="496"/>
    </row>
    <row r="4881" spans="1:4" x14ac:dyDescent="0.2">
      <c r="A4881" s="146"/>
      <c r="D4881" s="496"/>
    </row>
    <row r="4882" spans="1:4" x14ac:dyDescent="0.2">
      <c r="A4882" s="146"/>
      <c r="D4882" s="496"/>
    </row>
    <row r="4883" spans="1:4" x14ac:dyDescent="0.2">
      <c r="A4883" s="146"/>
      <c r="D4883" s="496"/>
    </row>
    <row r="4884" spans="1:4" x14ac:dyDescent="0.2">
      <c r="A4884" s="146"/>
      <c r="D4884" s="496"/>
    </row>
    <row r="4885" spans="1:4" x14ac:dyDescent="0.2">
      <c r="A4885" s="146"/>
      <c r="D4885" s="496"/>
    </row>
    <row r="4886" spans="1:4" x14ac:dyDescent="0.2">
      <c r="A4886" s="146"/>
      <c r="D4886" s="496"/>
    </row>
    <row r="4887" spans="1:4" x14ac:dyDescent="0.2">
      <c r="A4887" s="146"/>
      <c r="D4887" s="496"/>
    </row>
    <row r="4888" spans="1:4" x14ac:dyDescent="0.2">
      <c r="A4888" s="146"/>
      <c r="D4888" s="496"/>
    </row>
    <row r="4889" spans="1:4" x14ac:dyDescent="0.2">
      <c r="A4889" s="146"/>
      <c r="D4889" s="496"/>
    </row>
    <row r="4890" spans="1:4" x14ac:dyDescent="0.2">
      <c r="A4890" s="146"/>
      <c r="D4890" s="496"/>
    </row>
    <row r="4891" spans="1:4" x14ac:dyDescent="0.2">
      <c r="A4891" s="146"/>
      <c r="D4891" s="496"/>
    </row>
    <row r="4892" spans="1:4" x14ac:dyDescent="0.2">
      <c r="A4892" s="146"/>
      <c r="D4892" s="496"/>
    </row>
    <row r="4893" spans="1:4" x14ac:dyDescent="0.2">
      <c r="A4893" s="146"/>
      <c r="D4893" s="496"/>
    </row>
    <row r="4894" spans="1:4" x14ac:dyDescent="0.2">
      <c r="A4894" s="146"/>
      <c r="D4894" s="496"/>
    </row>
    <row r="4895" spans="1:4" x14ac:dyDescent="0.2">
      <c r="A4895" s="146"/>
      <c r="D4895" s="496"/>
    </row>
    <row r="4896" spans="1:4" x14ac:dyDescent="0.2">
      <c r="A4896" s="146"/>
      <c r="D4896" s="496"/>
    </row>
    <row r="4897" spans="1:4" x14ac:dyDescent="0.2">
      <c r="A4897" s="146"/>
      <c r="D4897" s="496"/>
    </row>
    <row r="4898" spans="1:4" x14ac:dyDescent="0.2">
      <c r="A4898" s="146"/>
      <c r="D4898" s="496"/>
    </row>
    <row r="4899" spans="1:4" x14ac:dyDescent="0.2">
      <c r="A4899" s="146"/>
      <c r="D4899" s="496"/>
    </row>
    <row r="4900" spans="1:4" x14ac:dyDescent="0.2">
      <c r="A4900" s="146"/>
      <c r="D4900" s="496"/>
    </row>
    <row r="4901" spans="1:4" x14ac:dyDescent="0.2">
      <c r="A4901" s="146"/>
      <c r="D4901" s="496"/>
    </row>
    <row r="4902" spans="1:4" x14ac:dyDescent="0.2">
      <c r="A4902" s="146"/>
      <c r="D4902" s="496"/>
    </row>
    <row r="4903" spans="1:4" x14ac:dyDescent="0.2">
      <c r="A4903" s="146"/>
      <c r="D4903" s="496"/>
    </row>
    <row r="4904" spans="1:4" x14ac:dyDescent="0.2">
      <c r="A4904" s="146"/>
      <c r="D4904" s="496"/>
    </row>
    <row r="4905" spans="1:4" x14ac:dyDescent="0.2">
      <c r="A4905" s="146"/>
      <c r="D4905" s="496"/>
    </row>
    <row r="4906" spans="1:4" x14ac:dyDescent="0.2">
      <c r="A4906" s="146"/>
      <c r="D4906" s="496"/>
    </row>
    <row r="4907" spans="1:4" x14ac:dyDescent="0.2">
      <c r="A4907" s="146"/>
      <c r="D4907" s="496"/>
    </row>
    <row r="4908" spans="1:4" x14ac:dyDescent="0.2">
      <c r="A4908" s="146"/>
      <c r="D4908" s="496"/>
    </row>
    <row r="4909" spans="1:4" x14ac:dyDescent="0.2">
      <c r="A4909" s="146"/>
      <c r="D4909" s="496"/>
    </row>
    <row r="4910" spans="1:4" x14ac:dyDescent="0.2">
      <c r="A4910" s="146"/>
      <c r="D4910" s="496"/>
    </row>
    <row r="4911" spans="1:4" x14ac:dyDescent="0.2">
      <c r="A4911" s="146"/>
      <c r="D4911" s="496"/>
    </row>
    <row r="4912" spans="1:4" x14ac:dyDescent="0.2">
      <c r="A4912" s="146"/>
      <c r="D4912" s="496"/>
    </row>
    <row r="4913" spans="1:4" x14ac:dyDescent="0.2">
      <c r="A4913" s="146"/>
      <c r="D4913" s="496"/>
    </row>
    <row r="4914" spans="1:4" x14ac:dyDescent="0.2">
      <c r="A4914" s="146"/>
      <c r="D4914" s="496"/>
    </row>
    <row r="4915" spans="1:4" x14ac:dyDescent="0.2">
      <c r="A4915" s="146"/>
      <c r="D4915" s="496"/>
    </row>
    <row r="4916" spans="1:4" x14ac:dyDescent="0.2">
      <c r="A4916" s="146"/>
      <c r="D4916" s="496"/>
    </row>
    <row r="4917" spans="1:4" x14ac:dyDescent="0.2">
      <c r="A4917" s="146"/>
      <c r="D4917" s="496"/>
    </row>
    <row r="4918" spans="1:4" x14ac:dyDescent="0.2">
      <c r="A4918" s="146"/>
      <c r="D4918" s="496"/>
    </row>
    <row r="4919" spans="1:4" x14ac:dyDescent="0.2">
      <c r="A4919" s="146"/>
      <c r="D4919" s="496"/>
    </row>
    <row r="4920" spans="1:4" x14ac:dyDescent="0.2">
      <c r="A4920" s="146"/>
      <c r="D4920" s="496"/>
    </row>
    <row r="4921" spans="1:4" x14ac:dyDescent="0.2">
      <c r="A4921" s="146"/>
      <c r="D4921" s="496"/>
    </row>
    <row r="4922" spans="1:4" x14ac:dyDescent="0.2">
      <c r="A4922" s="146"/>
      <c r="D4922" s="496"/>
    </row>
    <row r="4923" spans="1:4" x14ac:dyDescent="0.2">
      <c r="A4923" s="146"/>
      <c r="D4923" s="496"/>
    </row>
    <row r="4924" spans="1:4" x14ac:dyDescent="0.2">
      <c r="A4924" s="146"/>
      <c r="D4924" s="496"/>
    </row>
    <row r="4925" spans="1:4" x14ac:dyDescent="0.2">
      <c r="A4925" s="146"/>
      <c r="D4925" s="496"/>
    </row>
    <row r="4926" spans="1:4" x14ac:dyDescent="0.2">
      <c r="A4926" s="146"/>
      <c r="D4926" s="496"/>
    </row>
    <row r="4927" spans="1:4" x14ac:dyDescent="0.2">
      <c r="A4927" s="146"/>
      <c r="D4927" s="496"/>
    </row>
    <row r="4928" spans="1:4" x14ac:dyDescent="0.2">
      <c r="A4928" s="146"/>
      <c r="D4928" s="496"/>
    </row>
    <row r="4929" spans="1:4" x14ac:dyDescent="0.2">
      <c r="A4929" s="146"/>
      <c r="D4929" s="496"/>
    </row>
    <row r="4930" spans="1:4" x14ac:dyDescent="0.2">
      <c r="A4930" s="146"/>
      <c r="D4930" s="496"/>
    </row>
    <row r="4931" spans="1:4" x14ac:dyDescent="0.2">
      <c r="A4931" s="146"/>
      <c r="D4931" s="496"/>
    </row>
    <row r="4932" spans="1:4" x14ac:dyDescent="0.2">
      <c r="A4932" s="146"/>
      <c r="D4932" s="496"/>
    </row>
    <row r="4933" spans="1:4" x14ac:dyDescent="0.2">
      <c r="A4933" s="146"/>
      <c r="D4933" s="496"/>
    </row>
    <row r="4934" spans="1:4" x14ac:dyDescent="0.2">
      <c r="A4934" s="146"/>
      <c r="D4934" s="496"/>
    </row>
    <row r="4935" spans="1:4" x14ac:dyDescent="0.2">
      <c r="A4935" s="146"/>
      <c r="D4935" s="496"/>
    </row>
    <row r="4936" spans="1:4" x14ac:dyDescent="0.2">
      <c r="A4936" s="146"/>
      <c r="D4936" s="496"/>
    </row>
    <row r="4937" spans="1:4" x14ac:dyDescent="0.2">
      <c r="A4937" s="146"/>
      <c r="D4937" s="496"/>
    </row>
    <row r="4938" spans="1:4" x14ac:dyDescent="0.2">
      <c r="A4938" s="146"/>
      <c r="D4938" s="496"/>
    </row>
    <row r="4939" spans="1:4" x14ac:dyDescent="0.2">
      <c r="A4939" s="146"/>
      <c r="D4939" s="496"/>
    </row>
    <row r="4940" spans="1:4" x14ac:dyDescent="0.2">
      <c r="A4940" s="146"/>
      <c r="D4940" s="496"/>
    </row>
    <row r="4941" spans="1:4" x14ac:dyDescent="0.2">
      <c r="A4941" s="146"/>
      <c r="D4941" s="496"/>
    </row>
    <row r="4942" spans="1:4" x14ac:dyDescent="0.2">
      <c r="A4942" s="146"/>
      <c r="D4942" s="496"/>
    </row>
    <row r="4943" spans="1:4" x14ac:dyDescent="0.2">
      <c r="A4943" s="146"/>
      <c r="D4943" s="496"/>
    </row>
    <row r="4944" spans="1:4" x14ac:dyDescent="0.2">
      <c r="A4944" s="146"/>
      <c r="D4944" s="496"/>
    </row>
    <row r="4945" spans="1:4" x14ac:dyDescent="0.2">
      <c r="A4945" s="146"/>
      <c r="D4945" s="496"/>
    </row>
    <row r="4946" spans="1:4" x14ac:dyDescent="0.2">
      <c r="A4946" s="146"/>
      <c r="D4946" s="496"/>
    </row>
    <row r="4947" spans="1:4" x14ac:dyDescent="0.2">
      <c r="A4947" s="146"/>
      <c r="D4947" s="496"/>
    </row>
    <row r="4948" spans="1:4" x14ac:dyDescent="0.2">
      <c r="A4948" s="146"/>
      <c r="D4948" s="496"/>
    </row>
    <row r="4949" spans="1:4" x14ac:dyDescent="0.2">
      <c r="A4949" s="146"/>
      <c r="D4949" s="496"/>
    </row>
    <row r="4950" spans="1:4" x14ac:dyDescent="0.2">
      <c r="A4950" s="146"/>
      <c r="D4950" s="496"/>
    </row>
    <row r="4951" spans="1:4" x14ac:dyDescent="0.2">
      <c r="A4951" s="146"/>
      <c r="D4951" s="496"/>
    </row>
    <row r="4952" spans="1:4" x14ac:dyDescent="0.2">
      <c r="A4952" s="146"/>
      <c r="D4952" s="496"/>
    </row>
    <row r="4953" spans="1:4" x14ac:dyDescent="0.2">
      <c r="A4953" s="146"/>
      <c r="D4953" s="496"/>
    </row>
    <row r="4954" spans="1:4" x14ac:dyDescent="0.2">
      <c r="A4954" s="146"/>
      <c r="D4954" s="496"/>
    </row>
    <row r="4955" spans="1:4" x14ac:dyDescent="0.2">
      <c r="A4955" s="146"/>
      <c r="D4955" s="496"/>
    </row>
    <row r="4956" spans="1:4" x14ac:dyDescent="0.2">
      <c r="A4956" s="146"/>
      <c r="D4956" s="496"/>
    </row>
    <row r="4957" spans="1:4" x14ac:dyDescent="0.2">
      <c r="A4957" s="146"/>
      <c r="D4957" s="496"/>
    </row>
    <row r="4958" spans="1:4" x14ac:dyDescent="0.2">
      <c r="A4958" s="146"/>
      <c r="D4958" s="496"/>
    </row>
    <row r="4959" spans="1:4" x14ac:dyDescent="0.2">
      <c r="A4959" s="146"/>
      <c r="D4959" s="496"/>
    </row>
    <row r="4960" spans="1:4" x14ac:dyDescent="0.2">
      <c r="A4960" s="146"/>
      <c r="D4960" s="496"/>
    </row>
    <row r="4961" spans="1:4" x14ac:dyDescent="0.2">
      <c r="A4961" s="146"/>
      <c r="D4961" s="496"/>
    </row>
    <row r="4962" spans="1:4" x14ac:dyDescent="0.2">
      <c r="A4962" s="146"/>
      <c r="D4962" s="496"/>
    </row>
    <row r="4963" spans="1:4" x14ac:dyDescent="0.2">
      <c r="A4963" s="146"/>
      <c r="D4963" s="496"/>
    </row>
    <row r="4964" spans="1:4" x14ac:dyDescent="0.2">
      <c r="A4964" s="146"/>
      <c r="D4964" s="496"/>
    </row>
    <row r="4965" spans="1:4" x14ac:dyDescent="0.2">
      <c r="A4965" s="146"/>
      <c r="D4965" s="496"/>
    </row>
    <row r="4966" spans="1:4" x14ac:dyDescent="0.2">
      <c r="A4966" s="146"/>
      <c r="D4966" s="496"/>
    </row>
    <row r="4967" spans="1:4" x14ac:dyDescent="0.2">
      <c r="A4967" s="146"/>
      <c r="D4967" s="496"/>
    </row>
    <row r="4968" spans="1:4" x14ac:dyDescent="0.2">
      <c r="A4968" s="146"/>
      <c r="D4968" s="496"/>
    </row>
    <row r="4969" spans="1:4" x14ac:dyDescent="0.2">
      <c r="A4969" s="146"/>
      <c r="D4969" s="496"/>
    </row>
    <row r="4970" spans="1:4" x14ac:dyDescent="0.2">
      <c r="A4970" s="146"/>
      <c r="D4970" s="496"/>
    </row>
    <row r="4971" spans="1:4" x14ac:dyDescent="0.2">
      <c r="A4971" s="146"/>
      <c r="D4971" s="496"/>
    </row>
    <row r="4972" spans="1:4" x14ac:dyDescent="0.2">
      <c r="A4972" s="146"/>
      <c r="D4972" s="496"/>
    </row>
    <row r="4973" spans="1:4" x14ac:dyDescent="0.2">
      <c r="A4973" s="146"/>
      <c r="D4973" s="496"/>
    </row>
    <row r="4974" spans="1:4" x14ac:dyDescent="0.2">
      <c r="A4974" s="146"/>
      <c r="D4974" s="496"/>
    </row>
    <row r="4975" spans="1:4" x14ac:dyDescent="0.2">
      <c r="A4975" s="146"/>
      <c r="D4975" s="496"/>
    </row>
    <row r="4976" spans="1:4" x14ac:dyDescent="0.2">
      <c r="A4976" s="146"/>
      <c r="D4976" s="496"/>
    </row>
    <row r="4977" spans="1:4" x14ac:dyDescent="0.2">
      <c r="A4977" s="146"/>
      <c r="D4977" s="496"/>
    </row>
    <row r="4978" spans="1:4" x14ac:dyDescent="0.2">
      <c r="A4978" s="146"/>
      <c r="D4978" s="496"/>
    </row>
    <row r="4979" spans="1:4" x14ac:dyDescent="0.2">
      <c r="A4979" s="146"/>
      <c r="D4979" s="496"/>
    </row>
    <row r="4980" spans="1:4" x14ac:dyDescent="0.2">
      <c r="A4980" s="146"/>
      <c r="D4980" s="496"/>
    </row>
    <row r="4981" spans="1:4" x14ac:dyDescent="0.2">
      <c r="A4981" s="146"/>
      <c r="D4981" s="496"/>
    </row>
    <row r="4982" spans="1:4" x14ac:dyDescent="0.2">
      <c r="A4982" s="146"/>
      <c r="D4982" s="496"/>
    </row>
    <row r="4983" spans="1:4" x14ac:dyDescent="0.2">
      <c r="A4983" s="146"/>
      <c r="D4983" s="496"/>
    </row>
    <row r="4984" spans="1:4" x14ac:dyDescent="0.2">
      <c r="A4984" s="146"/>
      <c r="D4984" s="496"/>
    </row>
    <row r="4985" spans="1:4" x14ac:dyDescent="0.2">
      <c r="A4985" s="146"/>
      <c r="D4985" s="496"/>
    </row>
    <row r="4986" spans="1:4" x14ac:dyDescent="0.2">
      <c r="A4986" s="146"/>
      <c r="D4986" s="496"/>
    </row>
    <row r="4987" spans="1:4" x14ac:dyDescent="0.2">
      <c r="A4987" s="146"/>
      <c r="D4987" s="496"/>
    </row>
    <row r="4988" spans="1:4" x14ac:dyDescent="0.2">
      <c r="A4988" s="146"/>
      <c r="D4988" s="496"/>
    </row>
    <row r="4989" spans="1:4" x14ac:dyDescent="0.2">
      <c r="A4989" s="146"/>
      <c r="D4989" s="496"/>
    </row>
    <row r="4990" spans="1:4" x14ac:dyDescent="0.2">
      <c r="A4990" s="146"/>
      <c r="D4990" s="496"/>
    </row>
    <row r="4991" spans="1:4" x14ac:dyDescent="0.2">
      <c r="A4991" s="146"/>
      <c r="D4991" s="496"/>
    </row>
    <row r="4992" spans="1:4" x14ac:dyDescent="0.2">
      <c r="A4992" s="146"/>
      <c r="D4992" s="496"/>
    </row>
    <row r="4993" spans="1:4" x14ac:dyDescent="0.2">
      <c r="A4993" s="146"/>
      <c r="D4993" s="496"/>
    </row>
    <row r="4994" spans="1:4" x14ac:dyDescent="0.2">
      <c r="A4994" s="146"/>
      <c r="D4994" s="496"/>
    </row>
    <row r="4995" spans="1:4" x14ac:dyDescent="0.2">
      <c r="A4995" s="146"/>
      <c r="D4995" s="496"/>
    </row>
    <row r="4996" spans="1:4" x14ac:dyDescent="0.2">
      <c r="A4996" s="146"/>
      <c r="D4996" s="496"/>
    </row>
    <row r="4997" spans="1:4" x14ac:dyDescent="0.2">
      <c r="A4997" s="146"/>
      <c r="D4997" s="496"/>
    </row>
    <row r="4998" spans="1:4" x14ac:dyDescent="0.2">
      <c r="A4998" s="146"/>
      <c r="D4998" s="496"/>
    </row>
    <row r="4999" spans="1:4" x14ac:dyDescent="0.2">
      <c r="A4999" s="146"/>
      <c r="D4999" s="496"/>
    </row>
    <row r="5000" spans="1:4" x14ac:dyDescent="0.2">
      <c r="A5000" s="146"/>
      <c r="D5000" s="496"/>
    </row>
    <row r="5001" spans="1:4" x14ac:dyDescent="0.2">
      <c r="A5001" s="146"/>
      <c r="D5001" s="496"/>
    </row>
    <row r="5002" spans="1:4" x14ac:dyDescent="0.2">
      <c r="A5002" s="146"/>
      <c r="D5002" s="496"/>
    </row>
    <row r="5003" spans="1:4" x14ac:dyDescent="0.2">
      <c r="A5003" s="146"/>
      <c r="D5003" s="496"/>
    </row>
    <row r="5004" spans="1:4" x14ac:dyDescent="0.2">
      <c r="A5004" s="146"/>
      <c r="D5004" s="496"/>
    </row>
    <row r="5005" spans="1:4" x14ac:dyDescent="0.2">
      <c r="A5005" s="146"/>
      <c r="D5005" s="496"/>
    </row>
    <row r="5006" spans="1:4" x14ac:dyDescent="0.2">
      <c r="A5006" s="146"/>
      <c r="D5006" s="496"/>
    </row>
    <row r="5007" spans="1:4" x14ac:dyDescent="0.2">
      <c r="A5007" s="146"/>
      <c r="D5007" s="496"/>
    </row>
    <row r="5008" spans="1:4" x14ac:dyDescent="0.2">
      <c r="A5008" s="146"/>
      <c r="D5008" s="496"/>
    </row>
    <row r="5009" spans="1:4" x14ac:dyDescent="0.2">
      <c r="A5009" s="146"/>
      <c r="D5009" s="496"/>
    </row>
    <row r="5010" spans="1:4" x14ac:dyDescent="0.2">
      <c r="A5010" s="146"/>
      <c r="D5010" s="496"/>
    </row>
    <row r="5011" spans="1:4" x14ac:dyDescent="0.2">
      <c r="A5011" s="146"/>
      <c r="D5011" s="496"/>
    </row>
    <row r="5012" spans="1:4" x14ac:dyDescent="0.2">
      <c r="A5012" s="146"/>
      <c r="D5012" s="496"/>
    </row>
    <row r="5013" spans="1:4" x14ac:dyDescent="0.2">
      <c r="A5013" s="146"/>
      <c r="D5013" s="496"/>
    </row>
    <row r="5014" spans="1:4" x14ac:dyDescent="0.2">
      <c r="A5014" s="146"/>
      <c r="D5014" s="496"/>
    </row>
    <row r="5015" spans="1:4" x14ac:dyDescent="0.2">
      <c r="A5015" s="146"/>
      <c r="D5015" s="496"/>
    </row>
    <row r="5016" spans="1:4" x14ac:dyDescent="0.2">
      <c r="A5016" s="146"/>
      <c r="D5016" s="496"/>
    </row>
    <row r="5017" spans="1:4" x14ac:dyDescent="0.2">
      <c r="A5017" s="146"/>
      <c r="D5017" s="496"/>
    </row>
    <row r="5018" spans="1:4" x14ac:dyDescent="0.2">
      <c r="A5018" s="146"/>
      <c r="D5018" s="496"/>
    </row>
    <row r="5019" spans="1:4" x14ac:dyDescent="0.2">
      <c r="A5019" s="146"/>
      <c r="D5019" s="496"/>
    </row>
    <row r="5020" spans="1:4" x14ac:dyDescent="0.2">
      <c r="A5020" s="146"/>
      <c r="D5020" s="496"/>
    </row>
    <row r="5021" spans="1:4" x14ac:dyDescent="0.2">
      <c r="A5021" s="146"/>
      <c r="D5021" s="496"/>
    </row>
    <row r="5022" spans="1:4" x14ac:dyDescent="0.2">
      <c r="A5022" s="146"/>
      <c r="D5022" s="496"/>
    </row>
    <row r="5023" spans="1:4" x14ac:dyDescent="0.2">
      <c r="A5023" s="146"/>
      <c r="D5023" s="496"/>
    </row>
    <row r="5024" spans="1:4" x14ac:dyDescent="0.2">
      <c r="A5024" s="146"/>
      <c r="D5024" s="496"/>
    </row>
    <row r="5025" spans="1:4" x14ac:dyDescent="0.2">
      <c r="A5025" s="146"/>
      <c r="D5025" s="496"/>
    </row>
    <row r="5026" spans="1:4" x14ac:dyDescent="0.2">
      <c r="A5026" s="146"/>
      <c r="D5026" s="496"/>
    </row>
    <row r="5027" spans="1:4" x14ac:dyDescent="0.2">
      <c r="A5027" s="146"/>
      <c r="D5027" s="496"/>
    </row>
    <row r="5028" spans="1:4" x14ac:dyDescent="0.2">
      <c r="A5028" s="146"/>
      <c r="D5028" s="496"/>
    </row>
    <row r="5029" spans="1:4" x14ac:dyDescent="0.2">
      <c r="A5029" s="146"/>
      <c r="D5029" s="496"/>
    </row>
    <row r="5030" spans="1:4" x14ac:dyDescent="0.2">
      <c r="A5030" s="146"/>
      <c r="D5030" s="496"/>
    </row>
    <row r="5031" spans="1:4" x14ac:dyDescent="0.2">
      <c r="A5031" s="146"/>
      <c r="D5031" s="496"/>
    </row>
    <row r="5032" spans="1:4" x14ac:dyDescent="0.2">
      <c r="A5032" s="146"/>
      <c r="D5032" s="496"/>
    </row>
    <row r="5033" spans="1:4" x14ac:dyDescent="0.2">
      <c r="A5033" s="146"/>
      <c r="D5033" s="496"/>
    </row>
    <row r="5034" spans="1:4" x14ac:dyDescent="0.2">
      <c r="A5034" s="146"/>
      <c r="D5034" s="496"/>
    </row>
    <row r="5035" spans="1:4" x14ac:dyDescent="0.2">
      <c r="A5035" s="146"/>
      <c r="D5035" s="496"/>
    </row>
    <row r="5036" spans="1:4" x14ac:dyDescent="0.2">
      <c r="A5036" s="146"/>
      <c r="D5036" s="496"/>
    </row>
    <row r="5037" spans="1:4" x14ac:dyDescent="0.2">
      <c r="A5037" s="146"/>
      <c r="D5037" s="496"/>
    </row>
    <row r="5038" spans="1:4" x14ac:dyDescent="0.2">
      <c r="A5038" s="146"/>
      <c r="D5038" s="496"/>
    </row>
    <row r="5039" spans="1:4" x14ac:dyDescent="0.2">
      <c r="A5039" s="146"/>
      <c r="D5039" s="496"/>
    </row>
    <row r="5040" spans="1:4" x14ac:dyDescent="0.2">
      <c r="A5040" s="146"/>
      <c r="D5040" s="496"/>
    </row>
    <row r="5041" spans="1:4" x14ac:dyDescent="0.2">
      <c r="A5041" s="146"/>
      <c r="D5041" s="496"/>
    </row>
    <row r="5042" spans="1:4" x14ac:dyDescent="0.2">
      <c r="A5042" s="146"/>
      <c r="D5042" s="496"/>
    </row>
    <row r="5043" spans="1:4" x14ac:dyDescent="0.2">
      <c r="A5043" s="146"/>
      <c r="D5043" s="496"/>
    </row>
    <row r="5044" spans="1:4" x14ac:dyDescent="0.2">
      <c r="A5044" s="146"/>
      <c r="D5044" s="496"/>
    </row>
    <row r="5045" spans="1:4" x14ac:dyDescent="0.2">
      <c r="A5045" s="146"/>
      <c r="D5045" s="496"/>
    </row>
    <row r="5046" spans="1:4" x14ac:dyDescent="0.2">
      <c r="A5046" s="146"/>
      <c r="D5046" s="496"/>
    </row>
    <row r="5047" spans="1:4" x14ac:dyDescent="0.2">
      <c r="A5047" s="146"/>
      <c r="D5047" s="496"/>
    </row>
    <row r="5048" spans="1:4" x14ac:dyDescent="0.2">
      <c r="A5048" s="146"/>
      <c r="D5048" s="496"/>
    </row>
    <row r="5049" spans="1:4" x14ac:dyDescent="0.2">
      <c r="A5049" s="146"/>
      <c r="D5049" s="496"/>
    </row>
    <row r="5050" spans="1:4" x14ac:dyDescent="0.2">
      <c r="A5050" s="146"/>
      <c r="D5050" s="496"/>
    </row>
    <row r="5051" spans="1:4" x14ac:dyDescent="0.2">
      <c r="A5051" s="146"/>
      <c r="D5051" s="496"/>
    </row>
    <row r="5052" spans="1:4" x14ac:dyDescent="0.2">
      <c r="A5052" s="146"/>
      <c r="D5052" s="496"/>
    </row>
    <row r="5053" spans="1:4" x14ac:dyDescent="0.2">
      <c r="A5053" s="146"/>
      <c r="D5053" s="496"/>
    </row>
    <row r="5054" spans="1:4" x14ac:dyDescent="0.2">
      <c r="A5054" s="146"/>
      <c r="D5054" s="496"/>
    </row>
    <row r="5055" spans="1:4" x14ac:dyDescent="0.2">
      <c r="A5055" s="146"/>
      <c r="D5055" s="496"/>
    </row>
    <row r="5056" spans="1:4" x14ac:dyDescent="0.2">
      <c r="A5056" s="146"/>
      <c r="D5056" s="496"/>
    </row>
    <row r="5057" spans="1:4" x14ac:dyDescent="0.2">
      <c r="A5057" s="146"/>
      <c r="D5057" s="496"/>
    </row>
    <row r="5058" spans="1:4" x14ac:dyDescent="0.2">
      <c r="A5058" s="146"/>
      <c r="D5058" s="496"/>
    </row>
    <row r="5059" spans="1:4" x14ac:dyDescent="0.2">
      <c r="A5059" s="146"/>
      <c r="D5059" s="496"/>
    </row>
    <row r="5060" spans="1:4" x14ac:dyDescent="0.2">
      <c r="A5060" s="146"/>
      <c r="D5060" s="496"/>
    </row>
    <row r="5061" spans="1:4" x14ac:dyDescent="0.2">
      <c r="A5061" s="146"/>
      <c r="D5061" s="496"/>
    </row>
    <row r="5062" spans="1:4" x14ac:dyDescent="0.2">
      <c r="A5062" s="146"/>
      <c r="D5062" s="496"/>
    </row>
    <row r="5063" spans="1:4" x14ac:dyDescent="0.2">
      <c r="A5063" s="146"/>
      <c r="D5063" s="496"/>
    </row>
    <row r="5064" spans="1:4" x14ac:dyDescent="0.2">
      <c r="A5064" s="146"/>
      <c r="D5064" s="496"/>
    </row>
    <row r="5065" spans="1:4" x14ac:dyDescent="0.2">
      <c r="A5065" s="146"/>
      <c r="D5065" s="496"/>
    </row>
    <row r="5066" spans="1:4" x14ac:dyDescent="0.2">
      <c r="A5066" s="146"/>
      <c r="D5066" s="496"/>
    </row>
    <row r="5067" spans="1:4" x14ac:dyDescent="0.2">
      <c r="A5067" s="146"/>
      <c r="D5067" s="496"/>
    </row>
    <row r="5068" spans="1:4" x14ac:dyDescent="0.2">
      <c r="A5068" s="146"/>
      <c r="D5068" s="496"/>
    </row>
    <row r="5069" spans="1:4" x14ac:dyDescent="0.2">
      <c r="A5069" s="146"/>
      <c r="D5069" s="496"/>
    </row>
    <row r="5070" spans="1:4" x14ac:dyDescent="0.2">
      <c r="A5070" s="146"/>
      <c r="D5070" s="496"/>
    </row>
    <row r="5071" spans="1:4" x14ac:dyDescent="0.2">
      <c r="A5071" s="146"/>
      <c r="D5071" s="496"/>
    </row>
    <row r="5072" spans="1:4" x14ac:dyDescent="0.2">
      <c r="A5072" s="146"/>
      <c r="D5072" s="496"/>
    </row>
    <row r="5073" spans="1:4" x14ac:dyDescent="0.2">
      <c r="A5073" s="146"/>
      <c r="D5073" s="496"/>
    </row>
    <row r="5074" spans="1:4" x14ac:dyDescent="0.2">
      <c r="A5074" s="146"/>
      <c r="D5074" s="496"/>
    </row>
    <row r="5075" spans="1:4" x14ac:dyDescent="0.2">
      <c r="A5075" s="146"/>
      <c r="D5075" s="496"/>
    </row>
    <row r="5076" spans="1:4" x14ac:dyDescent="0.2">
      <c r="A5076" s="146"/>
      <c r="D5076" s="496"/>
    </row>
    <row r="5077" spans="1:4" x14ac:dyDescent="0.2">
      <c r="A5077" s="146"/>
      <c r="D5077" s="496"/>
    </row>
    <row r="5078" spans="1:4" x14ac:dyDescent="0.2">
      <c r="A5078" s="146"/>
      <c r="D5078" s="496"/>
    </row>
    <row r="5079" spans="1:4" x14ac:dyDescent="0.2">
      <c r="A5079" s="146"/>
      <c r="D5079" s="496"/>
    </row>
    <row r="5080" spans="1:4" x14ac:dyDescent="0.2">
      <c r="A5080" s="146"/>
      <c r="D5080" s="496"/>
    </row>
    <row r="5081" spans="1:4" x14ac:dyDescent="0.2">
      <c r="A5081" s="146"/>
      <c r="D5081" s="496"/>
    </row>
    <row r="5082" spans="1:4" x14ac:dyDescent="0.2">
      <c r="A5082" s="146"/>
      <c r="D5082" s="496"/>
    </row>
    <row r="5083" spans="1:4" x14ac:dyDescent="0.2">
      <c r="A5083" s="146"/>
      <c r="D5083" s="496"/>
    </row>
    <row r="5084" spans="1:4" x14ac:dyDescent="0.2">
      <c r="A5084" s="146"/>
      <c r="D5084" s="496"/>
    </row>
    <row r="5085" spans="1:4" x14ac:dyDescent="0.2">
      <c r="A5085" s="146"/>
      <c r="D5085" s="496"/>
    </row>
    <row r="5086" spans="1:4" x14ac:dyDescent="0.2">
      <c r="A5086" s="146"/>
      <c r="D5086" s="496"/>
    </row>
    <row r="5087" spans="1:4" x14ac:dyDescent="0.2">
      <c r="A5087" s="146"/>
      <c r="D5087" s="496"/>
    </row>
    <row r="5088" spans="1:4" x14ac:dyDescent="0.2">
      <c r="A5088" s="146"/>
      <c r="D5088" s="496"/>
    </row>
    <row r="5089" spans="1:4" x14ac:dyDescent="0.2">
      <c r="A5089" s="146"/>
      <c r="D5089" s="496"/>
    </row>
    <row r="5090" spans="1:4" x14ac:dyDescent="0.2">
      <c r="A5090" s="146"/>
      <c r="D5090" s="496"/>
    </row>
    <row r="5091" spans="1:4" x14ac:dyDescent="0.2">
      <c r="A5091" s="146"/>
      <c r="D5091" s="496"/>
    </row>
    <row r="5092" spans="1:4" x14ac:dyDescent="0.2">
      <c r="A5092" s="146"/>
      <c r="D5092" s="496"/>
    </row>
    <row r="5093" spans="1:4" x14ac:dyDescent="0.2">
      <c r="A5093" s="146"/>
      <c r="D5093" s="496"/>
    </row>
    <row r="5094" spans="1:4" x14ac:dyDescent="0.2">
      <c r="A5094" s="146"/>
      <c r="D5094" s="496"/>
    </row>
    <row r="5095" spans="1:4" x14ac:dyDescent="0.2">
      <c r="A5095" s="146"/>
      <c r="D5095" s="496"/>
    </row>
    <row r="5096" spans="1:4" x14ac:dyDescent="0.2">
      <c r="A5096" s="146"/>
      <c r="D5096" s="496"/>
    </row>
    <row r="5097" spans="1:4" x14ac:dyDescent="0.2">
      <c r="A5097" s="146"/>
      <c r="D5097" s="496"/>
    </row>
    <row r="5098" spans="1:4" x14ac:dyDescent="0.2">
      <c r="A5098" s="146"/>
      <c r="D5098" s="496"/>
    </row>
    <row r="5099" spans="1:4" x14ac:dyDescent="0.2">
      <c r="A5099" s="146"/>
      <c r="D5099" s="496"/>
    </row>
    <row r="5100" spans="1:4" x14ac:dyDescent="0.2">
      <c r="A5100" s="146"/>
      <c r="D5100" s="496"/>
    </row>
    <row r="5101" spans="1:4" x14ac:dyDescent="0.2">
      <c r="A5101" s="146"/>
      <c r="D5101" s="496"/>
    </row>
    <row r="5102" spans="1:4" x14ac:dyDescent="0.2">
      <c r="A5102" s="146"/>
      <c r="D5102" s="496"/>
    </row>
    <row r="5103" spans="1:4" x14ac:dyDescent="0.2">
      <c r="A5103" s="146"/>
      <c r="D5103" s="496"/>
    </row>
    <row r="5104" spans="1:4" x14ac:dyDescent="0.2">
      <c r="A5104" s="146"/>
      <c r="D5104" s="496"/>
    </row>
    <row r="5105" spans="1:4" x14ac:dyDescent="0.2">
      <c r="A5105" s="146"/>
      <c r="D5105" s="496"/>
    </row>
    <row r="5106" spans="1:4" x14ac:dyDescent="0.2">
      <c r="A5106" s="146"/>
      <c r="D5106" s="496"/>
    </row>
    <row r="5107" spans="1:4" x14ac:dyDescent="0.2">
      <c r="A5107" s="146"/>
      <c r="D5107" s="496"/>
    </row>
    <row r="5108" spans="1:4" x14ac:dyDescent="0.2">
      <c r="A5108" s="146"/>
      <c r="D5108" s="496"/>
    </row>
    <row r="5109" spans="1:4" x14ac:dyDescent="0.2">
      <c r="A5109" s="146"/>
      <c r="D5109" s="496"/>
    </row>
    <row r="5110" spans="1:4" x14ac:dyDescent="0.2">
      <c r="A5110" s="146"/>
      <c r="D5110" s="496"/>
    </row>
    <row r="5111" spans="1:4" x14ac:dyDescent="0.2">
      <c r="A5111" s="146"/>
      <c r="D5111" s="496"/>
    </row>
    <row r="5112" spans="1:4" x14ac:dyDescent="0.2">
      <c r="A5112" s="146"/>
      <c r="D5112" s="496"/>
    </row>
    <row r="5113" spans="1:4" x14ac:dyDescent="0.2">
      <c r="A5113" s="146"/>
      <c r="D5113" s="496"/>
    </row>
    <row r="5114" spans="1:4" x14ac:dyDescent="0.2">
      <c r="A5114" s="146"/>
      <c r="D5114" s="496"/>
    </row>
    <row r="5115" spans="1:4" x14ac:dyDescent="0.2">
      <c r="A5115" s="146"/>
      <c r="D5115" s="496"/>
    </row>
    <row r="5116" spans="1:4" x14ac:dyDescent="0.2">
      <c r="A5116" s="146"/>
      <c r="D5116" s="496"/>
    </row>
    <row r="5117" spans="1:4" x14ac:dyDescent="0.2">
      <c r="A5117" s="146"/>
      <c r="D5117" s="496"/>
    </row>
    <row r="5118" spans="1:4" x14ac:dyDescent="0.2">
      <c r="A5118" s="146"/>
      <c r="D5118" s="496"/>
    </row>
    <row r="5119" spans="1:4" x14ac:dyDescent="0.2">
      <c r="A5119" s="146"/>
      <c r="D5119" s="496"/>
    </row>
    <row r="5120" spans="1:4" x14ac:dyDescent="0.2">
      <c r="A5120" s="146"/>
      <c r="D5120" s="496"/>
    </row>
    <row r="5121" spans="1:4" x14ac:dyDescent="0.2">
      <c r="A5121" s="146"/>
      <c r="D5121" s="496"/>
    </row>
    <row r="5122" spans="1:4" x14ac:dyDescent="0.2">
      <c r="A5122" s="146"/>
      <c r="D5122" s="496"/>
    </row>
    <row r="5123" spans="1:4" x14ac:dyDescent="0.2">
      <c r="A5123" s="146"/>
      <c r="D5123" s="496"/>
    </row>
    <row r="5124" spans="1:4" x14ac:dyDescent="0.2">
      <c r="A5124" s="146"/>
      <c r="D5124" s="496"/>
    </row>
    <row r="5125" spans="1:4" x14ac:dyDescent="0.2">
      <c r="A5125" s="146"/>
      <c r="D5125" s="496"/>
    </row>
    <row r="5126" spans="1:4" x14ac:dyDescent="0.2">
      <c r="A5126" s="146"/>
      <c r="D5126" s="496"/>
    </row>
    <row r="5127" spans="1:4" x14ac:dyDescent="0.2">
      <c r="A5127" s="146"/>
      <c r="D5127" s="496"/>
    </row>
    <row r="5128" spans="1:4" x14ac:dyDescent="0.2">
      <c r="A5128" s="146"/>
      <c r="D5128" s="496"/>
    </row>
    <row r="5129" spans="1:4" x14ac:dyDescent="0.2">
      <c r="A5129" s="146"/>
      <c r="D5129" s="496"/>
    </row>
    <row r="5130" spans="1:4" x14ac:dyDescent="0.2">
      <c r="A5130" s="146"/>
      <c r="D5130" s="496"/>
    </row>
    <row r="5131" spans="1:4" x14ac:dyDescent="0.2">
      <c r="A5131" s="146"/>
      <c r="D5131" s="496"/>
    </row>
    <row r="5132" spans="1:4" x14ac:dyDescent="0.2">
      <c r="A5132" s="146"/>
      <c r="D5132" s="496"/>
    </row>
    <row r="5133" spans="1:4" x14ac:dyDescent="0.2">
      <c r="A5133" s="146"/>
      <c r="D5133" s="496"/>
    </row>
    <row r="5134" spans="1:4" x14ac:dyDescent="0.2">
      <c r="A5134" s="146"/>
      <c r="D5134" s="496"/>
    </row>
    <row r="5135" spans="1:4" x14ac:dyDescent="0.2">
      <c r="A5135" s="146"/>
      <c r="D5135" s="496"/>
    </row>
    <row r="5136" spans="1:4" x14ac:dyDescent="0.2">
      <c r="A5136" s="146"/>
      <c r="D5136" s="496"/>
    </row>
    <row r="5137" spans="1:4" x14ac:dyDescent="0.2">
      <c r="A5137" s="146"/>
      <c r="D5137" s="496"/>
    </row>
    <row r="5138" spans="1:4" x14ac:dyDescent="0.2">
      <c r="A5138" s="146"/>
      <c r="D5138" s="496"/>
    </row>
    <row r="5139" spans="1:4" x14ac:dyDescent="0.2">
      <c r="A5139" s="146"/>
      <c r="D5139" s="496"/>
    </row>
    <row r="5140" spans="1:4" x14ac:dyDescent="0.2">
      <c r="A5140" s="146"/>
      <c r="D5140" s="496"/>
    </row>
    <row r="5141" spans="1:4" x14ac:dyDescent="0.2">
      <c r="A5141" s="146"/>
      <c r="D5141" s="496"/>
    </row>
    <row r="5142" spans="1:4" x14ac:dyDescent="0.2">
      <c r="A5142" s="146"/>
      <c r="D5142" s="496"/>
    </row>
    <row r="5143" spans="1:4" x14ac:dyDescent="0.2">
      <c r="A5143" s="146"/>
      <c r="D5143" s="496"/>
    </row>
    <row r="5144" spans="1:4" x14ac:dyDescent="0.2">
      <c r="A5144" s="146"/>
      <c r="D5144" s="496"/>
    </row>
    <row r="5145" spans="1:4" x14ac:dyDescent="0.2">
      <c r="A5145" s="146"/>
      <c r="D5145" s="496"/>
    </row>
    <row r="5146" spans="1:4" x14ac:dyDescent="0.2">
      <c r="A5146" s="146"/>
      <c r="D5146" s="496"/>
    </row>
    <row r="5147" spans="1:4" x14ac:dyDescent="0.2">
      <c r="A5147" s="146"/>
      <c r="D5147" s="496"/>
    </row>
    <row r="5148" spans="1:4" x14ac:dyDescent="0.2">
      <c r="A5148" s="146"/>
      <c r="D5148" s="496"/>
    </row>
    <row r="5149" spans="1:4" x14ac:dyDescent="0.2">
      <c r="A5149" s="146"/>
      <c r="D5149" s="496"/>
    </row>
    <row r="5150" spans="1:4" x14ac:dyDescent="0.2">
      <c r="A5150" s="146"/>
      <c r="D5150" s="496"/>
    </row>
    <row r="5151" spans="1:4" x14ac:dyDescent="0.2">
      <c r="A5151" s="146"/>
      <c r="D5151" s="496"/>
    </row>
    <row r="5152" spans="1:4" x14ac:dyDescent="0.2">
      <c r="A5152" s="146"/>
      <c r="D5152" s="496"/>
    </row>
    <row r="5153" spans="1:4" x14ac:dyDescent="0.2">
      <c r="A5153" s="146"/>
      <c r="D5153" s="496"/>
    </row>
    <row r="5154" spans="1:4" x14ac:dyDescent="0.2">
      <c r="A5154" s="146"/>
      <c r="D5154" s="496"/>
    </row>
    <row r="5155" spans="1:4" x14ac:dyDescent="0.2">
      <c r="A5155" s="146"/>
      <c r="D5155" s="496"/>
    </row>
    <row r="5156" spans="1:4" x14ac:dyDescent="0.2">
      <c r="A5156" s="146"/>
      <c r="D5156" s="496"/>
    </row>
    <row r="5157" spans="1:4" x14ac:dyDescent="0.2">
      <c r="A5157" s="146"/>
      <c r="D5157" s="496"/>
    </row>
    <row r="5158" spans="1:4" x14ac:dyDescent="0.2">
      <c r="A5158" s="146"/>
      <c r="D5158" s="496"/>
    </row>
    <row r="5159" spans="1:4" x14ac:dyDescent="0.2">
      <c r="A5159" s="146"/>
      <c r="D5159" s="496"/>
    </row>
    <row r="5160" spans="1:4" x14ac:dyDescent="0.2">
      <c r="A5160" s="146"/>
      <c r="D5160" s="496"/>
    </row>
    <row r="5161" spans="1:4" x14ac:dyDescent="0.2">
      <c r="A5161" s="146"/>
      <c r="D5161" s="496"/>
    </row>
    <row r="5162" spans="1:4" x14ac:dyDescent="0.2">
      <c r="A5162" s="146"/>
      <c r="D5162" s="496"/>
    </row>
    <row r="5163" spans="1:4" x14ac:dyDescent="0.2">
      <c r="A5163" s="146"/>
      <c r="D5163" s="496"/>
    </row>
    <row r="5164" spans="1:4" x14ac:dyDescent="0.2">
      <c r="A5164" s="146"/>
      <c r="D5164" s="496"/>
    </row>
    <row r="5165" spans="1:4" x14ac:dyDescent="0.2">
      <c r="A5165" s="146"/>
      <c r="D5165" s="496"/>
    </row>
    <row r="5166" spans="1:4" x14ac:dyDescent="0.2">
      <c r="A5166" s="146"/>
      <c r="D5166" s="496"/>
    </row>
    <row r="5167" spans="1:4" x14ac:dyDescent="0.2">
      <c r="A5167" s="146"/>
      <c r="D5167" s="496"/>
    </row>
    <row r="5168" spans="1:4" x14ac:dyDescent="0.2">
      <c r="A5168" s="146"/>
      <c r="D5168" s="496"/>
    </row>
    <row r="5169" spans="1:4" x14ac:dyDescent="0.2">
      <c r="A5169" s="146"/>
      <c r="D5169" s="496"/>
    </row>
    <row r="5170" spans="1:4" x14ac:dyDescent="0.2">
      <c r="A5170" s="146"/>
      <c r="D5170" s="496"/>
    </row>
    <row r="5171" spans="1:4" x14ac:dyDescent="0.2">
      <c r="A5171" s="146"/>
      <c r="D5171" s="496"/>
    </row>
    <row r="5172" spans="1:4" x14ac:dyDescent="0.2">
      <c r="A5172" s="146"/>
      <c r="D5172" s="496"/>
    </row>
    <row r="5173" spans="1:4" x14ac:dyDescent="0.2">
      <c r="A5173" s="146"/>
      <c r="D5173" s="496"/>
    </row>
    <row r="5174" spans="1:4" x14ac:dyDescent="0.2">
      <c r="A5174" s="146"/>
      <c r="D5174" s="496"/>
    </row>
    <row r="5175" spans="1:4" x14ac:dyDescent="0.2">
      <c r="A5175" s="146"/>
      <c r="D5175" s="496"/>
    </row>
    <row r="5176" spans="1:4" x14ac:dyDescent="0.2">
      <c r="A5176" s="146"/>
      <c r="D5176" s="496"/>
    </row>
    <row r="5177" spans="1:4" x14ac:dyDescent="0.2">
      <c r="A5177" s="146"/>
      <c r="D5177" s="496"/>
    </row>
    <row r="5178" spans="1:4" x14ac:dyDescent="0.2">
      <c r="A5178" s="146"/>
      <c r="D5178" s="496"/>
    </row>
    <row r="5179" spans="1:4" x14ac:dyDescent="0.2">
      <c r="A5179" s="146"/>
      <c r="D5179" s="496"/>
    </row>
    <row r="5180" spans="1:4" x14ac:dyDescent="0.2">
      <c r="A5180" s="146"/>
      <c r="D5180" s="496"/>
    </row>
    <row r="5181" spans="1:4" x14ac:dyDescent="0.2">
      <c r="A5181" s="146"/>
      <c r="D5181" s="496"/>
    </row>
    <row r="5182" spans="1:4" x14ac:dyDescent="0.2">
      <c r="A5182" s="146"/>
      <c r="D5182" s="496"/>
    </row>
    <row r="5183" spans="1:4" x14ac:dyDescent="0.2">
      <c r="A5183" s="146"/>
      <c r="D5183" s="496"/>
    </row>
    <row r="5184" spans="1:4" x14ac:dyDescent="0.2">
      <c r="A5184" s="146"/>
      <c r="D5184" s="496"/>
    </row>
    <row r="5185" spans="1:4" x14ac:dyDescent="0.2">
      <c r="A5185" s="146"/>
      <c r="D5185" s="496"/>
    </row>
    <row r="5186" spans="1:4" x14ac:dyDescent="0.2">
      <c r="A5186" s="146"/>
      <c r="D5186" s="496"/>
    </row>
    <row r="5187" spans="1:4" x14ac:dyDescent="0.2">
      <c r="A5187" s="146"/>
      <c r="D5187" s="496"/>
    </row>
    <row r="5188" spans="1:4" x14ac:dyDescent="0.2">
      <c r="A5188" s="146"/>
      <c r="D5188" s="496"/>
    </row>
    <row r="5189" spans="1:4" x14ac:dyDescent="0.2">
      <c r="A5189" s="146"/>
      <c r="D5189" s="496"/>
    </row>
    <row r="5190" spans="1:4" x14ac:dyDescent="0.2">
      <c r="A5190" s="146"/>
      <c r="D5190" s="496"/>
    </row>
    <row r="5191" spans="1:4" x14ac:dyDescent="0.2">
      <c r="A5191" s="146"/>
      <c r="D5191" s="496"/>
    </row>
    <row r="5192" spans="1:4" x14ac:dyDescent="0.2">
      <c r="A5192" s="146"/>
      <c r="D5192" s="496"/>
    </row>
    <row r="5193" spans="1:4" x14ac:dyDescent="0.2">
      <c r="A5193" s="146"/>
      <c r="D5193" s="496"/>
    </row>
    <row r="5194" spans="1:4" x14ac:dyDescent="0.2">
      <c r="A5194" s="146"/>
      <c r="D5194" s="496"/>
    </row>
    <row r="5195" spans="1:4" x14ac:dyDescent="0.2">
      <c r="A5195" s="146"/>
      <c r="D5195" s="496"/>
    </row>
    <row r="5196" spans="1:4" x14ac:dyDescent="0.2">
      <c r="A5196" s="146"/>
      <c r="D5196" s="496"/>
    </row>
    <row r="5197" spans="1:4" x14ac:dyDescent="0.2">
      <c r="A5197" s="146"/>
      <c r="D5197" s="496"/>
    </row>
    <row r="5198" spans="1:4" x14ac:dyDescent="0.2">
      <c r="A5198" s="146"/>
      <c r="D5198" s="496"/>
    </row>
    <row r="5199" spans="1:4" x14ac:dyDescent="0.2">
      <c r="A5199" s="146"/>
      <c r="D5199" s="496"/>
    </row>
    <row r="5200" spans="1:4" x14ac:dyDescent="0.2">
      <c r="A5200" s="146"/>
      <c r="D5200" s="496"/>
    </row>
    <row r="5201" spans="1:4" x14ac:dyDescent="0.2">
      <c r="A5201" s="146"/>
      <c r="D5201" s="496"/>
    </row>
    <row r="5202" spans="1:4" x14ac:dyDescent="0.2">
      <c r="A5202" s="146"/>
      <c r="D5202" s="496"/>
    </row>
    <row r="5203" spans="1:4" x14ac:dyDescent="0.2">
      <c r="A5203" s="146"/>
      <c r="D5203" s="496"/>
    </row>
    <row r="5204" spans="1:4" x14ac:dyDescent="0.2">
      <c r="A5204" s="146"/>
      <c r="D5204" s="496"/>
    </row>
    <row r="5205" spans="1:4" x14ac:dyDescent="0.2">
      <c r="A5205" s="146"/>
      <c r="D5205" s="496"/>
    </row>
    <row r="5206" spans="1:4" x14ac:dyDescent="0.2">
      <c r="A5206" s="146"/>
      <c r="D5206" s="496"/>
    </row>
    <row r="5207" spans="1:4" x14ac:dyDescent="0.2">
      <c r="A5207" s="146"/>
      <c r="D5207" s="496"/>
    </row>
    <row r="5208" spans="1:4" x14ac:dyDescent="0.2">
      <c r="A5208" s="146"/>
      <c r="D5208" s="496"/>
    </row>
    <row r="5209" spans="1:4" x14ac:dyDescent="0.2">
      <c r="A5209" s="146"/>
      <c r="D5209" s="496"/>
    </row>
    <row r="5210" spans="1:4" x14ac:dyDescent="0.2">
      <c r="A5210" s="146"/>
      <c r="D5210" s="496"/>
    </row>
    <row r="5211" spans="1:4" x14ac:dyDescent="0.2">
      <c r="A5211" s="146"/>
      <c r="D5211" s="496"/>
    </row>
    <row r="5212" spans="1:4" x14ac:dyDescent="0.2">
      <c r="A5212" s="146"/>
      <c r="D5212" s="496"/>
    </row>
    <row r="5213" spans="1:4" x14ac:dyDescent="0.2">
      <c r="A5213" s="146"/>
      <c r="D5213" s="496"/>
    </row>
    <row r="5214" spans="1:4" x14ac:dyDescent="0.2">
      <c r="A5214" s="146"/>
      <c r="D5214" s="496"/>
    </row>
    <row r="5215" spans="1:4" x14ac:dyDescent="0.2">
      <c r="A5215" s="146"/>
      <c r="D5215" s="496"/>
    </row>
    <row r="5216" spans="1:4" x14ac:dyDescent="0.2">
      <c r="A5216" s="146"/>
      <c r="D5216" s="496"/>
    </row>
    <row r="5217" spans="1:4" x14ac:dyDescent="0.2">
      <c r="A5217" s="146"/>
      <c r="D5217" s="496"/>
    </row>
    <row r="5218" spans="1:4" x14ac:dyDescent="0.2">
      <c r="A5218" s="146"/>
      <c r="D5218" s="496"/>
    </row>
    <row r="5219" spans="1:4" x14ac:dyDescent="0.2">
      <c r="A5219" s="146"/>
      <c r="D5219" s="496"/>
    </row>
    <row r="5220" spans="1:4" x14ac:dyDescent="0.2">
      <c r="A5220" s="146"/>
      <c r="D5220" s="496"/>
    </row>
    <row r="5221" spans="1:4" x14ac:dyDescent="0.2">
      <c r="A5221" s="146"/>
      <c r="D5221" s="496"/>
    </row>
    <row r="5222" spans="1:4" x14ac:dyDescent="0.2">
      <c r="A5222" s="146"/>
      <c r="D5222" s="496"/>
    </row>
    <row r="5223" spans="1:4" x14ac:dyDescent="0.2">
      <c r="A5223" s="146"/>
      <c r="D5223" s="496"/>
    </row>
    <row r="5224" spans="1:4" x14ac:dyDescent="0.2">
      <c r="A5224" s="146"/>
      <c r="D5224" s="496"/>
    </row>
    <row r="5225" spans="1:4" x14ac:dyDescent="0.2">
      <c r="A5225" s="146"/>
      <c r="D5225" s="496"/>
    </row>
    <row r="5226" spans="1:4" x14ac:dyDescent="0.2">
      <c r="A5226" s="146"/>
      <c r="D5226" s="496"/>
    </row>
    <row r="5227" spans="1:4" x14ac:dyDescent="0.2">
      <c r="A5227" s="146"/>
      <c r="D5227" s="496"/>
    </row>
    <row r="5228" spans="1:4" x14ac:dyDescent="0.2">
      <c r="A5228" s="146"/>
      <c r="D5228" s="496"/>
    </row>
    <row r="5229" spans="1:4" x14ac:dyDescent="0.2">
      <c r="A5229" s="146"/>
      <c r="D5229" s="496"/>
    </row>
    <row r="5230" spans="1:4" x14ac:dyDescent="0.2">
      <c r="A5230" s="146"/>
      <c r="D5230" s="496"/>
    </row>
    <row r="5231" spans="1:4" x14ac:dyDescent="0.2">
      <c r="A5231" s="146"/>
      <c r="D5231" s="496"/>
    </row>
    <row r="5232" spans="1:4" x14ac:dyDescent="0.2">
      <c r="A5232" s="146"/>
      <c r="D5232" s="496"/>
    </row>
    <row r="5233" spans="1:4" x14ac:dyDescent="0.2">
      <c r="A5233" s="146"/>
      <c r="D5233" s="496"/>
    </row>
    <row r="5234" spans="1:4" x14ac:dyDescent="0.2">
      <c r="A5234" s="146"/>
      <c r="D5234" s="496"/>
    </row>
    <row r="5235" spans="1:4" x14ac:dyDescent="0.2">
      <c r="A5235" s="146"/>
      <c r="D5235" s="496"/>
    </row>
    <row r="5236" spans="1:4" x14ac:dyDescent="0.2">
      <c r="A5236" s="146"/>
      <c r="D5236" s="496"/>
    </row>
    <row r="5237" spans="1:4" x14ac:dyDescent="0.2">
      <c r="A5237" s="146"/>
      <c r="D5237" s="496"/>
    </row>
    <row r="5238" spans="1:4" x14ac:dyDescent="0.2">
      <c r="A5238" s="146"/>
      <c r="D5238" s="496"/>
    </row>
    <row r="5239" spans="1:4" x14ac:dyDescent="0.2">
      <c r="A5239" s="146"/>
      <c r="D5239" s="496"/>
    </row>
    <row r="5240" spans="1:4" x14ac:dyDescent="0.2">
      <c r="A5240" s="146"/>
      <c r="D5240" s="496"/>
    </row>
    <row r="5241" spans="1:4" x14ac:dyDescent="0.2">
      <c r="A5241" s="146"/>
      <c r="D5241" s="496"/>
    </row>
    <row r="5242" spans="1:4" x14ac:dyDescent="0.2">
      <c r="A5242" s="146"/>
      <c r="D5242" s="496"/>
    </row>
    <row r="5243" spans="1:4" x14ac:dyDescent="0.2">
      <c r="A5243" s="146"/>
      <c r="D5243" s="496"/>
    </row>
    <row r="5244" spans="1:4" x14ac:dyDescent="0.2">
      <c r="A5244" s="146"/>
      <c r="D5244" s="496"/>
    </row>
    <row r="5245" spans="1:4" x14ac:dyDescent="0.2">
      <c r="A5245" s="146"/>
      <c r="D5245" s="496"/>
    </row>
    <row r="5246" spans="1:4" x14ac:dyDescent="0.2">
      <c r="A5246" s="146"/>
      <c r="D5246" s="496"/>
    </row>
    <row r="5247" spans="1:4" x14ac:dyDescent="0.2">
      <c r="A5247" s="146"/>
      <c r="D5247" s="496"/>
    </row>
    <row r="5248" spans="1:4" x14ac:dyDescent="0.2">
      <c r="A5248" s="146"/>
      <c r="D5248" s="496"/>
    </row>
    <row r="5249" spans="1:4" x14ac:dyDescent="0.2">
      <c r="A5249" s="146"/>
      <c r="D5249" s="496"/>
    </row>
    <row r="5250" spans="1:4" x14ac:dyDescent="0.2">
      <c r="A5250" s="146"/>
      <c r="D5250" s="496"/>
    </row>
    <row r="5251" spans="1:4" x14ac:dyDescent="0.2">
      <c r="A5251" s="146"/>
      <c r="D5251" s="496"/>
    </row>
    <row r="5252" spans="1:4" x14ac:dyDescent="0.2">
      <c r="A5252" s="146"/>
      <c r="D5252" s="496"/>
    </row>
    <row r="5253" spans="1:4" x14ac:dyDescent="0.2">
      <c r="A5253" s="146"/>
      <c r="D5253" s="496"/>
    </row>
    <row r="5254" spans="1:4" x14ac:dyDescent="0.2">
      <c r="A5254" s="146"/>
      <c r="D5254" s="496"/>
    </row>
    <row r="5255" spans="1:4" x14ac:dyDescent="0.2">
      <c r="A5255" s="146"/>
      <c r="D5255" s="496"/>
    </row>
    <row r="5256" spans="1:4" x14ac:dyDescent="0.2">
      <c r="A5256" s="146"/>
      <c r="D5256" s="496"/>
    </row>
    <row r="5257" spans="1:4" x14ac:dyDescent="0.2">
      <c r="A5257" s="146"/>
      <c r="D5257" s="496"/>
    </row>
    <row r="5258" spans="1:4" x14ac:dyDescent="0.2">
      <c r="A5258" s="146"/>
      <c r="D5258" s="496"/>
    </row>
    <row r="5259" spans="1:4" x14ac:dyDescent="0.2">
      <c r="A5259" s="146"/>
      <c r="D5259" s="496"/>
    </row>
    <row r="5260" spans="1:4" x14ac:dyDescent="0.2">
      <c r="A5260" s="146"/>
      <c r="D5260" s="496"/>
    </row>
    <row r="5261" spans="1:4" x14ac:dyDescent="0.2">
      <c r="A5261" s="146"/>
      <c r="D5261" s="496"/>
    </row>
    <row r="5262" spans="1:4" x14ac:dyDescent="0.2">
      <c r="A5262" s="146"/>
      <c r="D5262" s="496"/>
    </row>
    <row r="5263" spans="1:4" x14ac:dyDescent="0.2">
      <c r="A5263" s="146"/>
      <c r="D5263" s="496"/>
    </row>
    <row r="5264" spans="1:4" x14ac:dyDescent="0.2">
      <c r="A5264" s="146"/>
      <c r="D5264" s="496"/>
    </row>
    <row r="5265" spans="1:4" x14ac:dyDescent="0.2">
      <c r="A5265" s="146"/>
      <c r="D5265" s="496"/>
    </row>
    <row r="5266" spans="1:4" x14ac:dyDescent="0.2">
      <c r="A5266" s="146"/>
      <c r="D5266" s="496"/>
    </row>
    <row r="5267" spans="1:4" x14ac:dyDescent="0.2">
      <c r="A5267" s="146"/>
      <c r="D5267" s="496"/>
    </row>
    <row r="5268" spans="1:4" x14ac:dyDescent="0.2">
      <c r="A5268" s="146"/>
      <c r="D5268" s="496"/>
    </row>
    <row r="5269" spans="1:4" x14ac:dyDescent="0.2">
      <c r="A5269" s="146"/>
      <c r="D5269" s="496"/>
    </row>
    <row r="5270" spans="1:4" x14ac:dyDescent="0.2">
      <c r="A5270" s="146"/>
      <c r="D5270" s="496"/>
    </row>
    <row r="5271" spans="1:4" x14ac:dyDescent="0.2">
      <c r="A5271" s="146"/>
      <c r="D5271" s="496"/>
    </row>
    <row r="5272" spans="1:4" x14ac:dyDescent="0.2">
      <c r="A5272" s="146"/>
      <c r="D5272" s="496"/>
    </row>
    <row r="5273" spans="1:4" x14ac:dyDescent="0.2">
      <c r="A5273" s="146"/>
      <c r="D5273" s="496"/>
    </row>
    <row r="5274" spans="1:4" x14ac:dyDescent="0.2">
      <c r="A5274" s="146"/>
      <c r="D5274" s="496"/>
    </row>
    <row r="5275" spans="1:4" x14ac:dyDescent="0.2">
      <c r="A5275" s="146"/>
      <c r="D5275" s="496"/>
    </row>
    <row r="5276" spans="1:4" x14ac:dyDescent="0.2">
      <c r="A5276" s="146"/>
      <c r="D5276" s="496"/>
    </row>
    <row r="5277" spans="1:4" x14ac:dyDescent="0.2">
      <c r="A5277" s="146"/>
      <c r="D5277" s="496"/>
    </row>
    <row r="5278" spans="1:4" x14ac:dyDescent="0.2">
      <c r="A5278" s="146"/>
      <c r="D5278" s="496"/>
    </row>
    <row r="5279" spans="1:4" x14ac:dyDescent="0.2">
      <c r="A5279" s="146"/>
      <c r="D5279" s="496"/>
    </row>
    <row r="5280" spans="1:4" x14ac:dyDescent="0.2">
      <c r="A5280" s="146"/>
      <c r="D5280" s="496"/>
    </row>
    <row r="5281" spans="1:4" x14ac:dyDescent="0.2">
      <c r="A5281" s="146"/>
      <c r="D5281" s="496"/>
    </row>
    <row r="5282" spans="1:4" x14ac:dyDescent="0.2">
      <c r="A5282" s="146"/>
      <c r="D5282" s="496"/>
    </row>
    <row r="5283" spans="1:4" x14ac:dyDescent="0.2">
      <c r="A5283" s="146"/>
      <c r="D5283" s="496"/>
    </row>
    <row r="5284" spans="1:4" x14ac:dyDescent="0.2">
      <c r="A5284" s="146"/>
      <c r="D5284" s="496"/>
    </row>
    <row r="5285" spans="1:4" x14ac:dyDescent="0.2">
      <c r="A5285" s="146"/>
      <c r="D5285" s="496"/>
    </row>
    <row r="5286" spans="1:4" x14ac:dyDescent="0.2">
      <c r="A5286" s="146"/>
      <c r="D5286" s="496"/>
    </row>
    <row r="5287" spans="1:4" x14ac:dyDescent="0.2">
      <c r="A5287" s="146"/>
      <c r="D5287" s="496"/>
    </row>
    <row r="5288" spans="1:4" x14ac:dyDescent="0.2">
      <c r="A5288" s="146"/>
      <c r="D5288" s="496"/>
    </row>
    <row r="5289" spans="1:4" x14ac:dyDescent="0.2">
      <c r="A5289" s="146"/>
      <c r="D5289" s="496"/>
    </row>
    <row r="5290" spans="1:4" x14ac:dyDescent="0.2">
      <c r="A5290" s="146"/>
      <c r="D5290" s="496"/>
    </row>
    <row r="5291" spans="1:4" x14ac:dyDescent="0.2">
      <c r="A5291" s="146"/>
      <c r="D5291" s="496"/>
    </row>
    <row r="5292" spans="1:4" x14ac:dyDescent="0.2">
      <c r="A5292" s="146"/>
      <c r="D5292" s="496"/>
    </row>
    <row r="5293" spans="1:4" x14ac:dyDescent="0.2">
      <c r="A5293" s="146"/>
      <c r="D5293" s="496"/>
    </row>
    <row r="5294" spans="1:4" x14ac:dyDescent="0.2">
      <c r="A5294" s="146"/>
      <c r="D5294" s="496"/>
    </row>
    <row r="5295" spans="1:4" x14ac:dyDescent="0.2">
      <c r="A5295" s="146"/>
      <c r="D5295" s="496"/>
    </row>
    <row r="5296" spans="1:4" x14ac:dyDescent="0.2">
      <c r="A5296" s="146"/>
      <c r="D5296" s="496"/>
    </row>
    <row r="5297" spans="1:4" x14ac:dyDescent="0.2">
      <c r="A5297" s="146"/>
      <c r="D5297" s="496"/>
    </row>
    <row r="5298" spans="1:4" x14ac:dyDescent="0.2">
      <c r="A5298" s="146"/>
      <c r="D5298" s="496"/>
    </row>
    <row r="5299" spans="1:4" x14ac:dyDescent="0.2">
      <c r="A5299" s="146"/>
      <c r="D5299" s="496"/>
    </row>
    <row r="5300" spans="1:4" x14ac:dyDescent="0.2">
      <c r="A5300" s="146"/>
      <c r="D5300" s="496"/>
    </row>
    <row r="5301" spans="1:4" x14ac:dyDescent="0.2">
      <c r="A5301" s="146"/>
      <c r="D5301" s="496"/>
    </row>
    <row r="5302" spans="1:4" x14ac:dyDescent="0.2">
      <c r="A5302" s="146"/>
      <c r="D5302" s="496"/>
    </row>
    <row r="5303" spans="1:4" x14ac:dyDescent="0.2">
      <c r="A5303" s="146"/>
      <c r="D5303" s="496"/>
    </row>
    <row r="5304" spans="1:4" x14ac:dyDescent="0.2">
      <c r="A5304" s="146"/>
      <c r="D5304" s="496"/>
    </row>
    <row r="5305" spans="1:4" x14ac:dyDescent="0.2">
      <c r="A5305" s="146"/>
      <c r="D5305" s="496"/>
    </row>
    <row r="5306" spans="1:4" x14ac:dyDescent="0.2">
      <c r="A5306" s="146"/>
      <c r="D5306" s="496"/>
    </row>
    <row r="5307" spans="1:4" x14ac:dyDescent="0.2">
      <c r="A5307" s="146"/>
      <c r="D5307" s="496"/>
    </row>
    <row r="5308" spans="1:4" x14ac:dyDescent="0.2">
      <c r="A5308" s="146"/>
      <c r="D5308" s="496"/>
    </row>
    <row r="5309" spans="1:4" x14ac:dyDescent="0.2">
      <c r="A5309" s="146"/>
      <c r="D5309" s="496"/>
    </row>
    <row r="5310" spans="1:4" x14ac:dyDescent="0.2">
      <c r="A5310" s="146"/>
      <c r="D5310" s="496"/>
    </row>
    <row r="5311" spans="1:4" x14ac:dyDescent="0.2">
      <c r="A5311" s="146"/>
      <c r="D5311" s="496"/>
    </row>
    <row r="5312" spans="1:4" x14ac:dyDescent="0.2">
      <c r="A5312" s="146"/>
      <c r="D5312" s="496"/>
    </row>
    <row r="5313" spans="1:4" x14ac:dyDescent="0.2">
      <c r="A5313" s="146"/>
      <c r="D5313" s="496"/>
    </row>
    <row r="5314" spans="1:4" x14ac:dyDescent="0.2">
      <c r="A5314" s="146"/>
      <c r="D5314" s="496"/>
    </row>
    <row r="5315" spans="1:4" x14ac:dyDescent="0.2">
      <c r="A5315" s="146"/>
      <c r="D5315" s="496"/>
    </row>
    <row r="5316" spans="1:4" x14ac:dyDescent="0.2">
      <c r="A5316" s="146"/>
      <c r="D5316" s="496"/>
    </row>
    <row r="5317" spans="1:4" x14ac:dyDescent="0.2">
      <c r="A5317" s="146"/>
      <c r="D5317" s="496"/>
    </row>
    <row r="5318" spans="1:4" x14ac:dyDescent="0.2">
      <c r="A5318" s="146"/>
      <c r="D5318" s="496"/>
    </row>
    <row r="5319" spans="1:4" x14ac:dyDescent="0.2">
      <c r="A5319" s="146"/>
      <c r="D5319" s="496"/>
    </row>
    <row r="5320" spans="1:4" x14ac:dyDescent="0.2">
      <c r="A5320" s="146"/>
      <c r="D5320" s="496"/>
    </row>
    <row r="5321" spans="1:4" x14ac:dyDescent="0.2">
      <c r="A5321" s="146"/>
      <c r="D5321" s="496"/>
    </row>
    <row r="5322" spans="1:4" x14ac:dyDescent="0.2">
      <c r="A5322" s="146"/>
      <c r="D5322" s="496"/>
    </row>
    <row r="5323" spans="1:4" x14ac:dyDescent="0.2">
      <c r="A5323" s="146"/>
      <c r="D5323" s="496"/>
    </row>
    <row r="5324" spans="1:4" x14ac:dyDescent="0.2">
      <c r="A5324" s="146"/>
      <c r="D5324" s="496"/>
    </row>
    <row r="5325" spans="1:4" x14ac:dyDescent="0.2">
      <c r="A5325" s="146"/>
      <c r="D5325" s="496"/>
    </row>
    <row r="5326" spans="1:4" x14ac:dyDescent="0.2">
      <c r="A5326" s="146"/>
      <c r="D5326" s="496"/>
    </row>
    <row r="5327" spans="1:4" x14ac:dyDescent="0.2">
      <c r="A5327" s="146"/>
      <c r="D5327" s="496"/>
    </row>
    <row r="5328" spans="1:4" x14ac:dyDescent="0.2">
      <c r="A5328" s="146"/>
      <c r="D5328" s="496"/>
    </row>
    <row r="5329" spans="1:4" x14ac:dyDescent="0.2">
      <c r="A5329" s="146"/>
      <c r="D5329" s="496"/>
    </row>
    <row r="5330" spans="1:4" x14ac:dyDescent="0.2">
      <c r="A5330" s="146"/>
      <c r="D5330" s="496"/>
    </row>
    <row r="5331" spans="1:4" x14ac:dyDescent="0.2">
      <c r="A5331" s="146"/>
      <c r="D5331" s="496"/>
    </row>
    <row r="5332" spans="1:4" x14ac:dyDescent="0.2">
      <c r="A5332" s="146"/>
      <c r="D5332" s="496"/>
    </row>
    <row r="5333" spans="1:4" x14ac:dyDescent="0.2">
      <c r="A5333" s="146"/>
      <c r="D5333" s="496"/>
    </row>
    <row r="5334" spans="1:4" x14ac:dyDescent="0.2">
      <c r="A5334" s="146"/>
      <c r="D5334" s="496"/>
    </row>
    <row r="5335" spans="1:4" x14ac:dyDescent="0.2">
      <c r="A5335" s="146"/>
      <c r="D5335" s="496"/>
    </row>
    <row r="5336" spans="1:4" x14ac:dyDescent="0.2">
      <c r="A5336" s="146"/>
      <c r="D5336" s="496"/>
    </row>
    <row r="5337" spans="1:4" x14ac:dyDescent="0.2">
      <c r="A5337" s="146"/>
      <c r="D5337" s="496"/>
    </row>
    <row r="5338" spans="1:4" x14ac:dyDescent="0.2">
      <c r="A5338" s="146"/>
      <c r="D5338" s="496"/>
    </row>
    <row r="5339" spans="1:4" x14ac:dyDescent="0.2">
      <c r="A5339" s="146"/>
      <c r="D5339" s="496"/>
    </row>
    <row r="5340" spans="1:4" x14ac:dyDescent="0.2">
      <c r="A5340" s="146"/>
      <c r="D5340" s="496"/>
    </row>
    <row r="5341" spans="1:4" x14ac:dyDescent="0.2">
      <c r="A5341" s="146"/>
      <c r="D5341" s="496"/>
    </row>
    <row r="5342" spans="1:4" x14ac:dyDescent="0.2">
      <c r="A5342" s="146"/>
      <c r="D5342" s="496"/>
    </row>
    <row r="5343" spans="1:4" x14ac:dyDescent="0.2">
      <c r="A5343" s="146"/>
      <c r="D5343" s="496"/>
    </row>
    <row r="5344" spans="1:4" x14ac:dyDescent="0.2">
      <c r="A5344" s="146"/>
      <c r="D5344" s="496"/>
    </row>
    <row r="5345" spans="1:4" x14ac:dyDescent="0.2">
      <c r="A5345" s="146"/>
      <c r="D5345" s="496"/>
    </row>
    <row r="5346" spans="1:4" x14ac:dyDescent="0.2">
      <c r="A5346" s="146"/>
      <c r="D5346" s="496"/>
    </row>
    <row r="5347" spans="1:4" x14ac:dyDescent="0.2">
      <c r="A5347" s="146"/>
      <c r="D5347" s="496"/>
    </row>
    <row r="5348" spans="1:4" x14ac:dyDescent="0.2">
      <c r="A5348" s="146"/>
      <c r="D5348" s="496"/>
    </row>
    <row r="5349" spans="1:4" x14ac:dyDescent="0.2">
      <c r="A5349" s="146"/>
      <c r="D5349" s="496"/>
    </row>
    <row r="5350" spans="1:4" x14ac:dyDescent="0.2">
      <c r="A5350" s="146"/>
      <c r="D5350" s="496"/>
    </row>
    <row r="5351" spans="1:4" x14ac:dyDescent="0.2">
      <c r="A5351" s="146"/>
      <c r="D5351" s="496"/>
    </row>
    <row r="5352" spans="1:4" x14ac:dyDescent="0.2">
      <c r="A5352" s="146"/>
      <c r="D5352" s="496"/>
    </row>
    <row r="5353" spans="1:4" x14ac:dyDescent="0.2">
      <c r="A5353" s="146"/>
      <c r="D5353" s="496"/>
    </row>
    <row r="5354" spans="1:4" x14ac:dyDescent="0.2">
      <c r="A5354" s="146"/>
      <c r="D5354" s="496"/>
    </row>
    <row r="5355" spans="1:4" x14ac:dyDescent="0.2">
      <c r="A5355" s="146"/>
      <c r="D5355" s="496"/>
    </row>
    <row r="5356" spans="1:4" x14ac:dyDescent="0.2">
      <c r="A5356" s="146"/>
      <c r="D5356" s="496"/>
    </row>
    <row r="5357" spans="1:4" x14ac:dyDescent="0.2">
      <c r="A5357" s="146"/>
      <c r="D5357" s="496"/>
    </row>
    <row r="5358" spans="1:4" x14ac:dyDescent="0.2">
      <c r="A5358" s="146"/>
      <c r="D5358" s="496"/>
    </row>
    <row r="5359" spans="1:4" x14ac:dyDescent="0.2">
      <c r="A5359" s="146"/>
      <c r="D5359" s="496"/>
    </row>
    <row r="5360" spans="1:4" x14ac:dyDescent="0.2">
      <c r="A5360" s="146"/>
      <c r="D5360" s="496"/>
    </row>
    <row r="5361" spans="1:4" x14ac:dyDescent="0.2">
      <c r="A5361" s="146"/>
      <c r="D5361" s="496"/>
    </row>
    <row r="5362" spans="1:4" x14ac:dyDescent="0.2">
      <c r="A5362" s="146"/>
      <c r="D5362" s="496"/>
    </row>
    <row r="5363" spans="1:4" x14ac:dyDescent="0.2">
      <c r="A5363" s="146"/>
      <c r="D5363" s="496"/>
    </row>
    <row r="5364" spans="1:4" x14ac:dyDescent="0.2">
      <c r="A5364" s="146"/>
      <c r="D5364" s="496"/>
    </row>
    <row r="5365" spans="1:4" x14ac:dyDescent="0.2">
      <c r="A5365" s="146"/>
      <c r="D5365" s="496"/>
    </row>
    <row r="5366" spans="1:4" x14ac:dyDescent="0.2">
      <c r="A5366" s="146"/>
      <c r="D5366" s="496"/>
    </row>
    <row r="5367" spans="1:4" x14ac:dyDescent="0.2">
      <c r="A5367" s="146"/>
      <c r="D5367" s="496"/>
    </row>
    <row r="5368" spans="1:4" x14ac:dyDescent="0.2">
      <c r="A5368" s="146"/>
      <c r="D5368" s="496"/>
    </row>
    <row r="5369" spans="1:4" x14ac:dyDescent="0.2">
      <c r="A5369" s="146"/>
      <c r="D5369" s="496"/>
    </row>
    <row r="5370" spans="1:4" x14ac:dyDescent="0.2">
      <c r="A5370" s="146"/>
      <c r="D5370" s="496"/>
    </row>
    <row r="5371" spans="1:4" x14ac:dyDescent="0.2">
      <c r="A5371" s="146"/>
      <c r="D5371" s="496"/>
    </row>
    <row r="5372" spans="1:4" x14ac:dyDescent="0.2">
      <c r="A5372" s="146"/>
      <c r="D5372" s="496"/>
    </row>
    <row r="5373" spans="1:4" x14ac:dyDescent="0.2">
      <c r="A5373" s="146"/>
      <c r="D5373" s="496"/>
    </row>
    <row r="5374" spans="1:4" x14ac:dyDescent="0.2">
      <c r="A5374" s="146"/>
      <c r="D5374" s="496"/>
    </row>
    <row r="5375" spans="1:4" x14ac:dyDescent="0.2">
      <c r="A5375" s="146"/>
      <c r="D5375" s="496"/>
    </row>
    <row r="5376" spans="1:4" x14ac:dyDescent="0.2">
      <c r="A5376" s="146"/>
      <c r="D5376" s="496"/>
    </row>
    <row r="5377" spans="1:4" x14ac:dyDescent="0.2">
      <c r="A5377" s="146"/>
      <c r="D5377" s="496"/>
    </row>
    <row r="5378" spans="1:4" x14ac:dyDescent="0.2">
      <c r="A5378" s="146"/>
      <c r="D5378" s="496"/>
    </row>
    <row r="5379" spans="1:4" x14ac:dyDescent="0.2">
      <c r="A5379" s="146"/>
      <c r="D5379" s="496"/>
    </row>
    <row r="5380" spans="1:4" x14ac:dyDescent="0.2">
      <c r="A5380" s="146"/>
      <c r="D5380" s="496"/>
    </row>
    <row r="5381" spans="1:4" x14ac:dyDescent="0.2">
      <c r="A5381" s="146"/>
      <c r="D5381" s="496"/>
    </row>
    <row r="5382" spans="1:4" x14ac:dyDescent="0.2">
      <c r="A5382" s="146"/>
      <c r="D5382" s="496"/>
    </row>
    <row r="5383" spans="1:4" x14ac:dyDescent="0.2">
      <c r="A5383" s="146"/>
      <c r="D5383" s="496"/>
    </row>
    <row r="5384" spans="1:4" x14ac:dyDescent="0.2">
      <c r="A5384" s="146"/>
      <c r="D5384" s="496"/>
    </row>
    <row r="5385" spans="1:4" x14ac:dyDescent="0.2">
      <c r="A5385" s="146"/>
      <c r="D5385" s="496"/>
    </row>
    <row r="5386" spans="1:4" x14ac:dyDescent="0.2">
      <c r="A5386" s="146"/>
      <c r="D5386" s="496"/>
    </row>
    <row r="5387" spans="1:4" x14ac:dyDescent="0.2">
      <c r="A5387" s="146"/>
      <c r="D5387" s="496"/>
    </row>
    <row r="5388" spans="1:4" x14ac:dyDescent="0.2">
      <c r="A5388" s="146"/>
      <c r="D5388" s="496"/>
    </row>
    <row r="5389" spans="1:4" x14ac:dyDescent="0.2">
      <c r="A5389" s="146"/>
      <c r="D5389" s="496"/>
    </row>
    <row r="5390" spans="1:4" x14ac:dyDescent="0.2">
      <c r="A5390" s="146"/>
      <c r="D5390" s="496"/>
    </row>
    <row r="5391" spans="1:4" x14ac:dyDescent="0.2">
      <c r="A5391" s="146"/>
      <c r="D5391" s="496"/>
    </row>
    <row r="5392" spans="1:4" x14ac:dyDescent="0.2">
      <c r="A5392" s="146"/>
      <c r="D5392" s="496"/>
    </row>
    <row r="5393" spans="1:4" x14ac:dyDescent="0.2">
      <c r="A5393" s="146"/>
      <c r="D5393" s="496"/>
    </row>
    <row r="5394" spans="1:4" x14ac:dyDescent="0.2">
      <c r="A5394" s="146"/>
      <c r="D5394" s="496"/>
    </row>
    <row r="5395" spans="1:4" x14ac:dyDescent="0.2">
      <c r="A5395" s="146"/>
      <c r="D5395" s="496"/>
    </row>
    <row r="5396" spans="1:4" x14ac:dyDescent="0.2">
      <c r="A5396" s="146"/>
      <c r="D5396" s="496"/>
    </row>
    <row r="5397" spans="1:4" x14ac:dyDescent="0.2">
      <c r="A5397" s="146"/>
      <c r="D5397" s="496"/>
    </row>
    <row r="5398" spans="1:4" x14ac:dyDescent="0.2">
      <c r="A5398" s="146"/>
      <c r="D5398" s="496"/>
    </row>
    <row r="5399" spans="1:4" x14ac:dyDescent="0.2">
      <c r="A5399" s="146"/>
      <c r="D5399" s="496"/>
    </row>
    <row r="5400" spans="1:4" x14ac:dyDescent="0.2">
      <c r="A5400" s="146"/>
      <c r="D5400" s="496"/>
    </row>
    <row r="5401" spans="1:4" x14ac:dyDescent="0.2">
      <c r="A5401" s="146"/>
      <c r="D5401" s="496"/>
    </row>
    <row r="5402" spans="1:4" x14ac:dyDescent="0.2">
      <c r="A5402" s="146"/>
      <c r="D5402" s="496"/>
    </row>
    <row r="5403" spans="1:4" x14ac:dyDescent="0.2">
      <c r="A5403" s="146"/>
      <c r="D5403" s="496"/>
    </row>
    <row r="5404" spans="1:4" x14ac:dyDescent="0.2">
      <c r="A5404" s="146"/>
      <c r="D5404" s="496"/>
    </row>
    <row r="5405" spans="1:4" x14ac:dyDescent="0.2">
      <c r="A5405" s="146"/>
      <c r="D5405" s="496"/>
    </row>
    <row r="5406" spans="1:4" x14ac:dyDescent="0.2">
      <c r="A5406" s="146"/>
      <c r="D5406" s="496"/>
    </row>
    <row r="5407" spans="1:4" x14ac:dyDescent="0.2">
      <c r="A5407" s="146"/>
      <c r="D5407" s="496"/>
    </row>
    <row r="5408" spans="1:4" x14ac:dyDescent="0.2">
      <c r="A5408" s="146"/>
      <c r="D5408" s="496"/>
    </row>
    <row r="5409" spans="1:4" x14ac:dyDescent="0.2">
      <c r="A5409" s="146"/>
      <c r="D5409" s="496"/>
    </row>
    <row r="5410" spans="1:4" x14ac:dyDescent="0.2">
      <c r="A5410" s="146"/>
      <c r="D5410" s="496"/>
    </row>
    <row r="5411" spans="1:4" x14ac:dyDescent="0.2">
      <c r="A5411" s="146"/>
      <c r="D5411" s="496"/>
    </row>
    <row r="5412" spans="1:4" x14ac:dyDescent="0.2">
      <c r="A5412" s="146"/>
      <c r="D5412" s="496"/>
    </row>
    <row r="5413" spans="1:4" x14ac:dyDescent="0.2">
      <c r="A5413" s="146"/>
      <c r="D5413" s="496"/>
    </row>
    <row r="5414" spans="1:4" x14ac:dyDescent="0.2">
      <c r="A5414" s="146"/>
      <c r="D5414" s="496"/>
    </row>
    <row r="5415" spans="1:4" x14ac:dyDescent="0.2">
      <c r="A5415" s="146"/>
      <c r="D5415" s="496"/>
    </row>
    <row r="5416" spans="1:4" x14ac:dyDescent="0.2">
      <c r="A5416" s="146"/>
      <c r="D5416" s="496"/>
    </row>
    <row r="5417" spans="1:4" x14ac:dyDescent="0.2">
      <c r="A5417" s="146"/>
      <c r="D5417" s="496"/>
    </row>
    <row r="5418" spans="1:4" x14ac:dyDescent="0.2">
      <c r="A5418" s="146"/>
      <c r="D5418" s="496"/>
    </row>
    <row r="5419" spans="1:4" x14ac:dyDescent="0.2">
      <c r="A5419" s="146"/>
      <c r="D5419" s="496"/>
    </row>
    <row r="5420" spans="1:4" x14ac:dyDescent="0.2">
      <c r="A5420" s="146"/>
      <c r="D5420" s="496"/>
    </row>
    <row r="5421" spans="1:4" x14ac:dyDescent="0.2">
      <c r="A5421" s="146"/>
      <c r="D5421" s="496"/>
    </row>
    <row r="5422" spans="1:4" x14ac:dyDescent="0.2">
      <c r="A5422" s="146"/>
      <c r="D5422" s="496"/>
    </row>
    <row r="5423" spans="1:4" x14ac:dyDescent="0.2">
      <c r="A5423" s="146"/>
      <c r="D5423" s="496"/>
    </row>
    <row r="5424" spans="1:4" x14ac:dyDescent="0.2">
      <c r="A5424" s="146"/>
      <c r="D5424" s="496"/>
    </row>
    <row r="5425" spans="1:4" x14ac:dyDescent="0.2">
      <c r="A5425" s="146"/>
      <c r="D5425" s="496"/>
    </row>
    <row r="5426" spans="1:4" x14ac:dyDescent="0.2">
      <c r="A5426" s="146"/>
      <c r="D5426" s="496"/>
    </row>
    <row r="5427" spans="1:4" x14ac:dyDescent="0.2">
      <c r="A5427" s="146"/>
      <c r="D5427" s="496"/>
    </row>
    <row r="5428" spans="1:4" x14ac:dyDescent="0.2">
      <c r="A5428" s="146"/>
      <c r="D5428" s="496"/>
    </row>
    <row r="5429" spans="1:4" x14ac:dyDescent="0.2">
      <c r="A5429" s="146"/>
      <c r="D5429" s="496"/>
    </row>
    <row r="5430" spans="1:4" x14ac:dyDescent="0.2">
      <c r="A5430" s="146"/>
      <c r="D5430" s="496"/>
    </row>
    <row r="5431" spans="1:4" x14ac:dyDescent="0.2">
      <c r="A5431" s="146"/>
      <c r="D5431" s="496"/>
    </row>
    <row r="5432" spans="1:4" x14ac:dyDescent="0.2">
      <c r="A5432" s="146"/>
      <c r="D5432" s="496"/>
    </row>
    <row r="5433" spans="1:4" x14ac:dyDescent="0.2">
      <c r="A5433" s="146"/>
      <c r="D5433" s="496"/>
    </row>
    <row r="5434" spans="1:4" x14ac:dyDescent="0.2">
      <c r="A5434" s="146"/>
      <c r="D5434" s="496"/>
    </row>
    <row r="5435" spans="1:4" x14ac:dyDescent="0.2">
      <c r="A5435" s="146"/>
      <c r="D5435" s="496"/>
    </row>
    <row r="5436" spans="1:4" x14ac:dyDescent="0.2">
      <c r="A5436" s="146"/>
      <c r="D5436" s="496"/>
    </row>
    <row r="5437" spans="1:4" x14ac:dyDescent="0.2">
      <c r="A5437" s="146"/>
      <c r="D5437" s="496"/>
    </row>
    <row r="5438" spans="1:4" x14ac:dyDescent="0.2">
      <c r="A5438" s="146"/>
      <c r="D5438" s="496"/>
    </row>
    <row r="5439" spans="1:4" x14ac:dyDescent="0.2">
      <c r="A5439" s="146"/>
      <c r="D5439" s="496"/>
    </row>
    <row r="5440" spans="1:4" x14ac:dyDescent="0.2">
      <c r="A5440" s="146"/>
      <c r="D5440" s="496"/>
    </row>
    <row r="5441" spans="1:4" x14ac:dyDescent="0.2">
      <c r="A5441" s="146"/>
      <c r="D5441" s="496"/>
    </row>
    <row r="5442" spans="1:4" x14ac:dyDescent="0.2">
      <c r="A5442" s="146"/>
      <c r="D5442" s="496"/>
    </row>
    <row r="5443" spans="1:4" x14ac:dyDescent="0.2">
      <c r="A5443" s="146"/>
      <c r="D5443" s="496"/>
    </row>
    <row r="5444" spans="1:4" x14ac:dyDescent="0.2">
      <c r="A5444" s="146"/>
      <c r="D5444" s="496"/>
    </row>
    <row r="5445" spans="1:4" x14ac:dyDescent="0.2">
      <c r="A5445" s="146"/>
      <c r="D5445" s="496"/>
    </row>
    <row r="5446" spans="1:4" x14ac:dyDescent="0.2">
      <c r="A5446" s="146"/>
      <c r="D5446" s="496"/>
    </row>
    <row r="5447" spans="1:4" x14ac:dyDescent="0.2">
      <c r="A5447" s="146"/>
      <c r="D5447" s="496"/>
    </row>
    <row r="5448" spans="1:4" x14ac:dyDescent="0.2">
      <c r="A5448" s="146"/>
      <c r="D5448" s="496"/>
    </row>
    <row r="5449" spans="1:4" x14ac:dyDescent="0.2">
      <c r="A5449" s="146"/>
      <c r="D5449" s="496"/>
    </row>
    <row r="5450" spans="1:4" x14ac:dyDescent="0.2">
      <c r="A5450" s="146"/>
      <c r="D5450" s="496"/>
    </row>
    <row r="5451" spans="1:4" x14ac:dyDescent="0.2">
      <c r="A5451" s="146"/>
      <c r="D5451" s="496"/>
    </row>
    <row r="5452" spans="1:4" x14ac:dyDescent="0.2">
      <c r="A5452" s="146"/>
      <c r="D5452" s="496"/>
    </row>
    <row r="5453" spans="1:4" x14ac:dyDescent="0.2">
      <c r="A5453" s="146"/>
      <c r="D5453" s="496"/>
    </row>
    <row r="5454" spans="1:4" x14ac:dyDescent="0.2">
      <c r="A5454" s="146"/>
      <c r="D5454" s="496"/>
    </row>
    <row r="5455" spans="1:4" x14ac:dyDescent="0.2">
      <c r="A5455" s="146"/>
      <c r="D5455" s="496"/>
    </row>
    <row r="5456" spans="1:4" x14ac:dyDescent="0.2">
      <c r="A5456" s="146"/>
      <c r="D5456" s="496"/>
    </row>
    <row r="5457" spans="1:4" x14ac:dyDescent="0.2">
      <c r="A5457" s="146"/>
      <c r="D5457" s="496"/>
    </row>
    <row r="5458" spans="1:4" x14ac:dyDescent="0.2">
      <c r="A5458" s="146"/>
      <c r="D5458" s="496"/>
    </row>
    <row r="5459" spans="1:4" x14ac:dyDescent="0.2">
      <c r="A5459" s="146"/>
      <c r="D5459" s="496"/>
    </row>
    <row r="5460" spans="1:4" x14ac:dyDescent="0.2">
      <c r="A5460" s="146"/>
      <c r="D5460" s="496"/>
    </row>
    <row r="5461" spans="1:4" x14ac:dyDescent="0.2">
      <c r="A5461" s="146"/>
      <c r="D5461" s="496"/>
    </row>
    <row r="5462" spans="1:4" x14ac:dyDescent="0.2">
      <c r="A5462" s="146"/>
      <c r="D5462" s="496"/>
    </row>
    <row r="5463" spans="1:4" x14ac:dyDescent="0.2">
      <c r="A5463" s="146"/>
      <c r="D5463" s="496"/>
    </row>
    <row r="5464" spans="1:4" x14ac:dyDescent="0.2">
      <c r="A5464" s="146"/>
      <c r="D5464" s="496"/>
    </row>
    <row r="5465" spans="1:4" x14ac:dyDescent="0.2">
      <c r="A5465" s="146"/>
      <c r="D5465" s="496"/>
    </row>
    <row r="5466" spans="1:4" x14ac:dyDescent="0.2">
      <c r="A5466" s="146"/>
      <c r="D5466" s="496"/>
    </row>
    <row r="5467" spans="1:4" x14ac:dyDescent="0.2">
      <c r="A5467" s="146"/>
      <c r="D5467" s="496"/>
    </row>
    <row r="5468" spans="1:4" x14ac:dyDescent="0.2">
      <c r="A5468" s="146"/>
      <c r="D5468" s="496"/>
    </row>
    <row r="5469" spans="1:4" x14ac:dyDescent="0.2">
      <c r="A5469" s="146"/>
      <c r="D5469" s="496"/>
    </row>
    <row r="5470" spans="1:4" x14ac:dyDescent="0.2">
      <c r="A5470" s="146"/>
      <c r="D5470" s="496"/>
    </row>
    <row r="5471" spans="1:4" x14ac:dyDescent="0.2">
      <c r="A5471" s="146"/>
      <c r="D5471" s="496"/>
    </row>
    <row r="5472" spans="1:4" x14ac:dyDescent="0.2">
      <c r="A5472" s="146"/>
      <c r="D5472" s="496"/>
    </row>
    <row r="5473" spans="1:4" x14ac:dyDescent="0.2">
      <c r="A5473" s="146"/>
      <c r="D5473" s="496"/>
    </row>
    <row r="5474" spans="1:4" x14ac:dyDescent="0.2">
      <c r="A5474" s="146"/>
      <c r="D5474" s="496"/>
    </row>
    <row r="5475" spans="1:4" x14ac:dyDescent="0.2">
      <c r="A5475" s="146"/>
      <c r="D5475" s="496"/>
    </row>
    <row r="5476" spans="1:4" x14ac:dyDescent="0.2">
      <c r="A5476" s="146"/>
      <c r="D5476" s="496"/>
    </row>
    <row r="5477" spans="1:4" x14ac:dyDescent="0.2">
      <c r="A5477" s="146"/>
      <c r="D5477" s="496"/>
    </row>
    <row r="5478" spans="1:4" x14ac:dyDescent="0.2">
      <c r="A5478" s="146"/>
      <c r="D5478" s="496"/>
    </row>
    <row r="5479" spans="1:4" x14ac:dyDescent="0.2">
      <c r="A5479" s="146"/>
      <c r="D5479" s="496"/>
    </row>
    <row r="5480" spans="1:4" x14ac:dyDescent="0.2">
      <c r="A5480" s="146"/>
      <c r="D5480" s="496"/>
    </row>
    <row r="5481" spans="1:4" x14ac:dyDescent="0.2">
      <c r="A5481" s="146"/>
      <c r="D5481" s="496"/>
    </row>
    <row r="5482" spans="1:4" x14ac:dyDescent="0.2">
      <c r="A5482" s="146"/>
      <c r="D5482" s="496"/>
    </row>
    <row r="5483" spans="1:4" x14ac:dyDescent="0.2">
      <c r="A5483" s="146"/>
      <c r="D5483" s="496"/>
    </row>
    <row r="5484" spans="1:4" x14ac:dyDescent="0.2">
      <c r="A5484" s="146"/>
      <c r="D5484" s="496"/>
    </row>
    <row r="5485" spans="1:4" x14ac:dyDescent="0.2">
      <c r="A5485" s="146"/>
      <c r="D5485" s="496"/>
    </row>
    <row r="5486" spans="1:4" x14ac:dyDescent="0.2">
      <c r="A5486" s="146"/>
      <c r="D5486" s="496"/>
    </row>
    <row r="5487" spans="1:4" x14ac:dyDescent="0.2">
      <c r="A5487" s="146"/>
      <c r="D5487" s="496"/>
    </row>
    <row r="5488" spans="1:4" x14ac:dyDescent="0.2">
      <c r="A5488" s="146"/>
      <c r="D5488" s="496"/>
    </row>
    <row r="5489" spans="1:4" x14ac:dyDescent="0.2">
      <c r="A5489" s="146"/>
      <c r="D5489" s="496"/>
    </row>
    <row r="5490" spans="1:4" x14ac:dyDescent="0.2">
      <c r="A5490" s="146"/>
      <c r="D5490" s="496"/>
    </row>
    <row r="5491" spans="1:4" x14ac:dyDescent="0.2">
      <c r="A5491" s="146"/>
      <c r="D5491" s="496"/>
    </row>
    <row r="5492" spans="1:4" x14ac:dyDescent="0.2">
      <c r="A5492" s="146"/>
      <c r="D5492" s="496"/>
    </row>
    <row r="5493" spans="1:4" x14ac:dyDescent="0.2">
      <c r="A5493" s="146"/>
      <c r="D5493" s="496"/>
    </row>
    <row r="5494" spans="1:4" x14ac:dyDescent="0.2">
      <c r="A5494" s="146"/>
      <c r="D5494" s="496"/>
    </row>
    <row r="5495" spans="1:4" x14ac:dyDescent="0.2">
      <c r="A5495" s="146"/>
      <c r="D5495" s="496"/>
    </row>
    <row r="5496" spans="1:4" x14ac:dyDescent="0.2">
      <c r="A5496" s="146"/>
      <c r="D5496" s="496"/>
    </row>
    <row r="5497" spans="1:4" x14ac:dyDescent="0.2">
      <c r="A5497" s="146"/>
      <c r="D5497" s="496"/>
    </row>
    <row r="5498" spans="1:4" x14ac:dyDescent="0.2">
      <c r="A5498" s="146"/>
      <c r="D5498" s="496"/>
    </row>
    <row r="5499" spans="1:4" x14ac:dyDescent="0.2">
      <c r="A5499" s="146"/>
      <c r="D5499" s="496"/>
    </row>
    <row r="5500" spans="1:4" x14ac:dyDescent="0.2">
      <c r="A5500" s="146"/>
      <c r="D5500" s="496"/>
    </row>
    <row r="5501" spans="1:4" x14ac:dyDescent="0.2">
      <c r="A5501" s="146"/>
      <c r="D5501" s="496"/>
    </row>
    <row r="5502" spans="1:4" x14ac:dyDescent="0.2">
      <c r="A5502" s="146"/>
      <c r="D5502" s="496"/>
    </row>
    <row r="5503" spans="1:4" x14ac:dyDescent="0.2">
      <c r="A5503" s="146"/>
      <c r="D5503" s="496"/>
    </row>
    <row r="5504" spans="1:4" x14ac:dyDescent="0.2">
      <c r="A5504" s="146"/>
      <c r="D5504" s="496"/>
    </row>
    <row r="5505" spans="1:4" x14ac:dyDescent="0.2">
      <c r="A5505" s="146"/>
      <c r="D5505" s="496"/>
    </row>
    <row r="5506" spans="1:4" x14ac:dyDescent="0.2">
      <c r="A5506" s="146"/>
      <c r="D5506" s="496"/>
    </row>
    <row r="5507" spans="1:4" x14ac:dyDescent="0.2">
      <c r="A5507" s="146"/>
      <c r="D5507" s="496"/>
    </row>
    <row r="5508" spans="1:4" x14ac:dyDescent="0.2">
      <c r="A5508" s="146"/>
      <c r="D5508" s="496"/>
    </row>
    <row r="5509" spans="1:4" x14ac:dyDescent="0.2">
      <c r="A5509" s="146"/>
      <c r="D5509" s="496"/>
    </row>
    <row r="5510" spans="1:4" x14ac:dyDescent="0.2">
      <c r="A5510" s="146"/>
      <c r="D5510" s="496"/>
    </row>
    <row r="5511" spans="1:4" x14ac:dyDescent="0.2">
      <c r="A5511" s="146"/>
      <c r="D5511" s="496"/>
    </row>
    <row r="5512" spans="1:4" x14ac:dyDescent="0.2">
      <c r="A5512" s="146"/>
      <c r="D5512" s="496"/>
    </row>
    <row r="5513" spans="1:4" x14ac:dyDescent="0.2">
      <c r="A5513" s="146"/>
      <c r="D5513" s="496"/>
    </row>
    <row r="5514" spans="1:4" x14ac:dyDescent="0.2">
      <c r="A5514" s="146"/>
      <c r="D5514" s="496"/>
    </row>
    <row r="5515" spans="1:4" x14ac:dyDescent="0.2">
      <c r="A5515" s="146"/>
      <c r="D5515" s="496"/>
    </row>
    <row r="5516" spans="1:4" x14ac:dyDescent="0.2">
      <c r="A5516" s="146"/>
      <c r="D5516" s="496"/>
    </row>
    <row r="5517" spans="1:4" x14ac:dyDescent="0.2">
      <c r="A5517" s="146"/>
      <c r="D5517" s="496"/>
    </row>
    <row r="5518" spans="1:4" x14ac:dyDescent="0.2">
      <c r="A5518" s="146"/>
      <c r="D5518" s="496"/>
    </row>
    <row r="5519" spans="1:4" x14ac:dyDescent="0.2">
      <c r="A5519" s="146"/>
      <c r="D5519" s="496"/>
    </row>
    <row r="5520" spans="1:4" x14ac:dyDescent="0.2">
      <c r="A5520" s="146"/>
      <c r="D5520" s="496"/>
    </row>
    <row r="5521" spans="1:4" x14ac:dyDescent="0.2">
      <c r="A5521" s="146"/>
      <c r="D5521" s="496"/>
    </row>
    <row r="5522" spans="1:4" x14ac:dyDescent="0.2">
      <c r="A5522" s="146"/>
      <c r="D5522" s="496"/>
    </row>
    <row r="5523" spans="1:4" x14ac:dyDescent="0.2">
      <c r="A5523" s="146"/>
      <c r="D5523" s="496"/>
    </row>
    <row r="5524" spans="1:4" x14ac:dyDescent="0.2">
      <c r="A5524" s="146"/>
      <c r="D5524" s="496"/>
    </row>
    <row r="5525" spans="1:4" x14ac:dyDescent="0.2">
      <c r="A5525" s="146"/>
      <c r="D5525" s="496"/>
    </row>
    <row r="5526" spans="1:4" x14ac:dyDescent="0.2">
      <c r="A5526" s="146"/>
      <c r="D5526" s="496"/>
    </row>
    <row r="5527" spans="1:4" x14ac:dyDescent="0.2">
      <c r="A5527" s="146"/>
      <c r="D5527" s="496"/>
    </row>
    <row r="5528" spans="1:4" x14ac:dyDescent="0.2">
      <c r="A5528" s="146"/>
      <c r="D5528" s="496"/>
    </row>
    <row r="5529" spans="1:4" x14ac:dyDescent="0.2">
      <c r="A5529" s="146"/>
      <c r="D5529" s="496"/>
    </row>
    <row r="5530" spans="1:4" x14ac:dyDescent="0.2">
      <c r="A5530" s="146"/>
      <c r="D5530" s="496"/>
    </row>
    <row r="5531" spans="1:4" x14ac:dyDescent="0.2">
      <c r="A5531" s="146"/>
      <c r="D5531" s="496"/>
    </row>
    <row r="5532" spans="1:4" x14ac:dyDescent="0.2">
      <c r="A5532" s="146"/>
      <c r="D5532" s="496"/>
    </row>
    <row r="5533" spans="1:4" x14ac:dyDescent="0.2">
      <c r="A5533" s="146"/>
      <c r="D5533" s="496"/>
    </row>
    <row r="5534" spans="1:4" x14ac:dyDescent="0.2">
      <c r="A5534" s="146"/>
      <c r="D5534" s="496"/>
    </row>
    <row r="5535" spans="1:4" x14ac:dyDescent="0.2">
      <c r="A5535" s="146"/>
      <c r="D5535" s="496"/>
    </row>
    <row r="5536" spans="1:4" x14ac:dyDescent="0.2">
      <c r="A5536" s="146"/>
      <c r="D5536" s="496"/>
    </row>
    <row r="5537" spans="1:4" x14ac:dyDescent="0.2">
      <c r="A5537" s="146"/>
      <c r="D5537" s="496"/>
    </row>
    <row r="5538" spans="1:4" x14ac:dyDescent="0.2">
      <c r="A5538" s="146"/>
      <c r="D5538" s="496"/>
    </row>
    <row r="5539" spans="1:4" x14ac:dyDescent="0.2">
      <c r="A5539" s="146"/>
      <c r="D5539" s="496"/>
    </row>
    <row r="5540" spans="1:4" x14ac:dyDescent="0.2">
      <c r="A5540" s="146"/>
      <c r="D5540" s="496"/>
    </row>
    <row r="5541" spans="1:4" x14ac:dyDescent="0.2">
      <c r="A5541" s="146"/>
      <c r="D5541" s="496"/>
    </row>
    <row r="5542" spans="1:4" x14ac:dyDescent="0.2">
      <c r="A5542" s="146"/>
      <c r="D5542" s="496"/>
    </row>
    <row r="5543" spans="1:4" x14ac:dyDescent="0.2">
      <c r="A5543" s="146"/>
      <c r="D5543" s="496"/>
    </row>
    <row r="5544" spans="1:4" x14ac:dyDescent="0.2">
      <c r="A5544" s="146"/>
      <c r="D5544" s="496"/>
    </row>
    <row r="5545" spans="1:4" x14ac:dyDescent="0.2">
      <c r="A5545" s="146"/>
      <c r="D5545" s="496"/>
    </row>
    <row r="5546" spans="1:4" x14ac:dyDescent="0.2">
      <c r="A5546" s="146"/>
      <c r="D5546" s="496"/>
    </row>
    <row r="5547" spans="1:4" x14ac:dyDescent="0.2">
      <c r="A5547" s="146"/>
      <c r="D5547" s="496"/>
    </row>
    <row r="5548" spans="1:4" x14ac:dyDescent="0.2">
      <c r="A5548" s="146"/>
      <c r="D5548" s="496"/>
    </row>
    <row r="5549" spans="1:4" x14ac:dyDescent="0.2">
      <c r="A5549" s="146"/>
      <c r="D5549" s="496"/>
    </row>
    <row r="5550" spans="1:4" x14ac:dyDescent="0.2">
      <c r="A5550" s="146"/>
      <c r="D5550" s="496"/>
    </row>
    <row r="5551" spans="1:4" x14ac:dyDescent="0.2">
      <c r="A5551" s="146"/>
      <c r="D5551" s="496"/>
    </row>
    <row r="5552" spans="1:4" x14ac:dyDescent="0.2">
      <c r="A5552" s="146"/>
      <c r="D5552" s="496"/>
    </row>
    <row r="5553" spans="1:4" x14ac:dyDescent="0.2">
      <c r="A5553" s="146"/>
      <c r="D5553" s="496"/>
    </row>
    <row r="5554" spans="1:4" x14ac:dyDescent="0.2">
      <c r="A5554" s="146"/>
      <c r="D5554" s="496"/>
    </row>
    <row r="5555" spans="1:4" x14ac:dyDescent="0.2">
      <c r="A5555" s="146"/>
      <c r="D5555" s="496"/>
    </row>
    <row r="5556" spans="1:4" x14ac:dyDescent="0.2">
      <c r="A5556" s="146"/>
      <c r="D5556" s="496"/>
    </row>
    <row r="5557" spans="1:4" x14ac:dyDescent="0.2">
      <c r="A5557" s="146"/>
      <c r="D5557" s="496"/>
    </row>
    <row r="5558" spans="1:4" x14ac:dyDescent="0.2">
      <c r="A5558" s="146"/>
      <c r="D5558" s="496"/>
    </row>
    <row r="5559" spans="1:4" x14ac:dyDescent="0.2">
      <c r="A5559" s="146"/>
      <c r="D5559" s="496"/>
    </row>
    <row r="5560" spans="1:4" x14ac:dyDescent="0.2">
      <c r="A5560" s="146"/>
      <c r="D5560" s="496"/>
    </row>
    <row r="5561" spans="1:4" x14ac:dyDescent="0.2">
      <c r="A5561" s="146"/>
      <c r="D5561" s="496"/>
    </row>
    <row r="5562" spans="1:4" x14ac:dyDescent="0.2">
      <c r="A5562" s="146"/>
      <c r="D5562" s="496"/>
    </row>
    <row r="5563" spans="1:4" x14ac:dyDescent="0.2">
      <c r="A5563" s="146"/>
      <c r="D5563" s="496"/>
    </row>
    <row r="5564" spans="1:4" x14ac:dyDescent="0.2">
      <c r="A5564" s="146"/>
      <c r="D5564" s="496"/>
    </row>
    <row r="5565" spans="1:4" x14ac:dyDescent="0.2">
      <c r="A5565" s="146"/>
      <c r="D5565" s="496"/>
    </row>
    <row r="5566" spans="1:4" x14ac:dyDescent="0.2">
      <c r="A5566" s="146"/>
      <c r="D5566" s="496"/>
    </row>
    <row r="5567" spans="1:4" x14ac:dyDescent="0.2">
      <c r="A5567" s="146"/>
      <c r="D5567" s="496"/>
    </row>
    <row r="5568" spans="1:4" x14ac:dyDescent="0.2">
      <c r="A5568" s="146"/>
      <c r="D5568" s="496"/>
    </row>
    <row r="5569" spans="1:4" x14ac:dyDescent="0.2">
      <c r="A5569" s="146"/>
      <c r="D5569" s="496"/>
    </row>
    <row r="5570" spans="1:4" x14ac:dyDescent="0.2">
      <c r="A5570" s="146"/>
      <c r="D5570" s="496"/>
    </row>
    <row r="5571" spans="1:4" x14ac:dyDescent="0.2">
      <c r="A5571" s="146"/>
      <c r="D5571" s="496"/>
    </row>
    <row r="5572" spans="1:4" x14ac:dyDescent="0.2">
      <c r="A5572" s="146"/>
      <c r="D5572" s="496"/>
    </row>
    <row r="5573" spans="1:4" x14ac:dyDescent="0.2">
      <c r="A5573" s="146"/>
      <c r="D5573" s="496"/>
    </row>
    <row r="5574" spans="1:4" x14ac:dyDescent="0.2">
      <c r="A5574" s="146"/>
      <c r="D5574" s="496"/>
    </row>
    <row r="5575" spans="1:4" x14ac:dyDescent="0.2">
      <c r="A5575" s="146"/>
      <c r="D5575" s="496"/>
    </row>
    <row r="5576" spans="1:4" x14ac:dyDescent="0.2">
      <c r="A5576" s="146"/>
      <c r="D5576" s="496"/>
    </row>
    <row r="5577" spans="1:4" x14ac:dyDescent="0.2">
      <c r="A5577" s="146"/>
      <c r="D5577" s="496"/>
    </row>
    <row r="5578" spans="1:4" x14ac:dyDescent="0.2">
      <c r="A5578" s="146"/>
      <c r="D5578" s="496"/>
    </row>
    <row r="5579" spans="1:4" x14ac:dyDescent="0.2">
      <c r="A5579" s="146"/>
      <c r="D5579" s="496"/>
    </row>
    <row r="5580" spans="1:4" x14ac:dyDescent="0.2">
      <c r="A5580" s="146"/>
      <c r="D5580" s="496"/>
    </row>
    <row r="5581" spans="1:4" x14ac:dyDescent="0.2">
      <c r="A5581" s="146"/>
      <c r="D5581" s="496"/>
    </row>
    <row r="5582" spans="1:4" x14ac:dyDescent="0.2">
      <c r="A5582" s="146"/>
      <c r="D5582" s="496"/>
    </row>
    <row r="5583" spans="1:4" x14ac:dyDescent="0.2">
      <c r="A5583" s="146"/>
      <c r="D5583" s="496"/>
    </row>
    <row r="5584" spans="1:4" x14ac:dyDescent="0.2">
      <c r="A5584" s="146"/>
      <c r="D5584" s="496"/>
    </row>
    <row r="5585" spans="1:4" x14ac:dyDescent="0.2">
      <c r="A5585" s="146"/>
      <c r="D5585" s="496"/>
    </row>
    <row r="5586" spans="1:4" x14ac:dyDescent="0.2">
      <c r="A5586" s="146"/>
      <c r="D5586" s="496"/>
    </row>
    <row r="5587" spans="1:4" x14ac:dyDescent="0.2">
      <c r="A5587" s="146"/>
      <c r="D5587" s="496"/>
    </row>
    <row r="5588" spans="1:4" x14ac:dyDescent="0.2">
      <c r="A5588" s="146"/>
      <c r="D5588" s="496"/>
    </row>
    <row r="5589" spans="1:4" x14ac:dyDescent="0.2">
      <c r="A5589" s="146"/>
      <c r="D5589" s="496"/>
    </row>
    <row r="5590" spans="1:4" x14ac:dyDescent="0.2">
      <c r="A5590" s="146"/>
      <c r="D5590" s="496"/>
    </row>
    <row r="5591" spans="1:4" x14ac:dyDescent="0.2">
      <c r="A5591" s="146"/>
      <c r="D5591" s="496"/>
    </row>
    <row r="5592" spans="1:4" x14ac:dyDescent="0.2">
      <c r="A5592" s="146"/>
      <c r="D5592" s="496"/>
    </row>
    <row r="5593" spans="1:4" x14ac:dyDescent="0.2">
      <c r="A5593" s="146"/>
      <c r="D5593" s="496"/>
    </row>
    <row r="5594" spans="1:4" x14ac:dyDescent="0.2">
      <c r="A5594" s="146"/>
      <c r="D5594" s="496"/>
    </row>
    <row r="5595" spans="1:4" x14ac:dyDescent="0.2">
      <c r="A5595" s="146"/>
      <c r="D5595" s="496"/>
    </row>
    <row r="5596" spans="1:4" x14ac:dyDescent="0.2">
      <c r="A5596" s="146"/>
      <c r="D5596" s="496"/>
    </row>
    <row r="5597" spans="1:4" x14ac:dyDescent="0.2">
      <c r="A5597" s="146"/>
      <c r="D5597" s="496"/>
    </row>
    <row r="5598" spans="1:4" x14ac:dyDescent="0.2">
      <c r="A5598" s="146"/>
      <c r="D5598" s="496"/>
    </row>
    <row r="5599" spans="1:4" x14ac:dyDescent="0.2">
      <c r="A5599" s="146"/>
      <c r="D5599" s="496"/>
    </row>
    <row r="5600" spans="1:4" x14ac:dyDescent="0.2">
      <c r="A5600" s="146"/>
      <c r="D5600" s="496"/>
    </row>
    <row r="5601" spans="1:4" x14ac:dyDescent="0.2">
      <c r="A5601" s="146"/>
      <c r="D5601" s="496"/>
    </row>
    <row r="5602" spans="1:4" x14ac:dyDescent="0.2">
      <c r="A5602" s="146"/>
      <c r="D5602" s="496"/>
    </row>
    <row r="5603" spans="1:4" x14ac:dyDescent="0.2">
      <c r="A5603" s="146"/>
      <c r="D5603" s="496"/>
    </row>
    <row r="5604" spans="1:4" x14ac:dyDescent="0.2">
      <c r="A5604" s="146"/>
      <c r="D5604" s="496"/>
    </row>
    <row r="5605" spans="1:4" x14ac:dyDescent="0.2">
      <c r="A5605" s="146"/>
      <c r="D5605" s="496"/>
    </row>
    <row r="5606" spans="1:4" x14ac:dyDescent="0.2">
      <c r="A5606" s="146"/>
      <c r="D5606" s="496"/>
    </row>
    <row r="5607" spans="1:4" x14ac:dyDescent="0.2">
      <c r="A5607" s="146"/>
      <c r="D5607" s="496"/>
    </row>
    <row r="5608" spans="1:4" x14ac:dyDescent="0.2">
      <c r="A5608" s="146"/>
      <c r="D5608" s="496"/>
    </row>
    <row r="5609" spans="1:4" x14ac:dyDescent="0.2">
      <c r="A5609" s="146"/>
      <c r="D5609" s="496"/>
    </row>
    <row r="5610" spans="1:4" x14ac:dyDescent="0.2">
      <c r="A5610" s="146"/>
      <c r="D5610" s="496"/>
    </row>
    <row r="5611" spans="1:4" x14ac:dyDescent="0.2">
      <c r="A5611" s="146"/>
      <c r="D5611" s="496"/>
    </row>
    <row r="5612" spans="1:4" x14ac:dyDescent="0.2">
      <c r="A5612" s="146"/>
      <c r="D5612" s="496"/>
    </row>
    <row r="5613" spans="1:4" x14ac:dyDescent="0.2">
      <c r="A5613" s="146"/>
      <c r="D5613" s="496"/>
    </row>
    <row r="5614" spans="1:4" x14ac:dyDescent="0.2">
      <c r="A5614" s="146"/>
      <c r="D5614" s="496"/>
    </row>
    <row r="5615" spans="1:4" x14ac:dyDescent="0.2">
      <c r="A5615" s="146"/>
      <c r="D5615" s="496"/>
    </row>
    <row r="5616" spans="1:4" x14ac:dyDescent="0.2">
      <c r="A5616" s="146"/>
      <c r="D5616" s="496"/>
    </row>
    <row r="5617" spans="1:4" x14ac:dyDescent="0.2">
      <c r="A5617" s="146"/>
      <c r="D5617" s="496"/>
    </row>
    <row r="5618" spans="1:4" x14ac:dyDescent="0.2">
      <c r="A5618" s="146"/>
      <c r="D5618" s="496"/>
    </row>
    <row r="5619" spans="1:4" x14ac:dyDescent="0.2">
      <c r="A5619" s="146"/>
      <c r="D5619" s="496"/>
    </row>
    <row r="5620" spans="1:4" x14ac:dyDescent="0.2">
      <c r="A5620" s="146"/>
      <c r="D5620" s="496"/>
    </row>
    <row r="5621" spans="1:4" x14ac:dyDescent="0.2">
      <c r="A5621" s="146"/>
      <c r="D5621" s="496"/>
    </row>
    <row r="5622" spans="1:4" x14ac:dyDescent="0.2">
      <c r="A5622" s="146"/>
      <c r="D5622" s="496"/>
    </row>
    <row r="5623" spans="1:4" x14ac:dyDescent="0.2">
      <c r="A5623" s="146"/>
      <c r="D5623" s="496"/>
    </row>
    <row r="5624" spans="1:4" x14ac:dyDescent="0.2">
      <c r="A5624" s="146"/>
      <c r="D5624" s="496"/>
    </row>
    <row r="5625" spans="1:4" x14ac:dyDescent="0.2">
      <c r="A5625" s="146"/>
      <c r="D5625" s="496"/>
    </row>
    <row r="5626" spans="1:4" x14ac:dyDescent="0.2">
      <c r="A5626" s="146"/>
      <c r="D5626" s="496"/>
    </row>
    <row r="5627" spans="1:4" x14ac:dyDescent="0.2">
      <c r="A5627" s="146"/>
      <c r="D5627" s="496"/>
    </row>
    <row r="5628" spans="1:4" x14ac:dyDescent="0.2">
      <c r="A5628" s="146"/>
      <c r="D5628" s="496"/>
    </row>
    <row r="5629" spans="1:4" x14ac:dyDescent="0.2">
      <c r="A5629" s="146"/>
      <c r="D5629" s="496"/>
    </row>
    <row r="5630" spans="1:4" x14ac:dyDescent="0.2">
      <c r="A5630" s="146"/>
      <c r="D5630" s="496"/>
    </row>
    <row r="5631" spans="1:4" x14ac:dyDescent="0.2">
      <c r="A5631" s="146"/>
      <c r="D5631" s="496"/>
    </row>
    <row r="5632" spans="1:4" x14ac:dyDescent="0.2">
      <c r="A5632" s="146"/>
      <c r="D5632" s="496"/>
    </row>
    <row r="5633" spans="1:4" x14ac:dyDescent="0.2">
      <c r="A5633" s="146"/>
      <c r="D5633" s="496"/>
    </row>
    <row r="5634" spans="1:4" x14ac:dyDescent="0.2">
      <c r="A5634" s="146"/>
      <c r="D5634" s="496"/>
    </row>
    <row r="5635" spans="1:4" x14ac:dyDescent="0.2">
      <c r="A5635" s="146"/>
      <c r="D5635" s="496"/>
    </row>
    <row r="5636" spans="1:4" x14ac:dyDescent="0.2">
      <c r="A5636" s="146"/>
      <c r="D5636" s="496"/>
    </row>
    <row r="5637" spans="1:4" x14ac:dyDescent="0.2">
      <c r="A5637" s="146"/>
      <c r="D5637" s="496"/>
    </row>
    <row r="5638" spans="1:4" x14ac:dyDescent="0.2">
      <c r="A5638" s="146"/>
      <c r="D5638" s="496"/>
    </row>
    <row r="5639" spans="1:4" x14ac:dyDescent="0.2">
      <c r="A5639" s="146"/>
      <c r="D5639" s="496"/>
    </row>
    <row r="5640" spans="1:4" x14ac:dyDescent="0.2">
      <c r="A5640" s="146"/>
      <c r="D5640" s="496"/>
    </row>
    <row r="5641" spans="1:4" x14ac:dyDescent="0.2">
      <c r="A5641" s="146"/>
      <c r="D5641" s="496"/>
    </row>
    <row r="5642" spans="1:4" x14ac:dyDescent="0.2">
      <c r="A5642" s="146"/>
      <c r="D5642" s="496"/>
    </row>
    <row r="5643" spans="1:4" x14ac:dyDescent="0.2">
      <c r="A5643" s="146"/>
      <c r="D5643" s="496"/>
    </row>
    <row r="5644" spans="1:4" x14ac:dyDescent="0.2">
      <c r="A5644" s="146"/>
      <c r="D5644" s="496"/>
    </row>
    <row r="5645" spans="1:4" x14ac:dyDescent="0.2">
      <c r="A5645" s="146"/>
      <c r="D5645" s="496"/>
    </row>
    <row r="5646" spans="1:4" x14ac:dyDescent="0.2">
      <c r="A5646" s="146"/>
      <c r="D5646" s="496"/>
    </row>
    <row r="5647" spans="1:4" x14ac:dyDescent="0.2">
      <c r="A5647" s="146"/>
      <c r="D5647" s="496"/>
    </row>
    <row r="5648" spans="1:4" x14ac:dyDescent="0.2">
      <c r="A5648" s="146"/>
      <c r="D5648" s="496"/>
    </row>
    <row r="5649" spans="1:4" x14ac:dyDescent="0.2">
      <c r="A5649" s="146"/>
      <c r="D5649" s="496"/>
    </row>
    <row r="5650" spans="1:4" x14ac:dyDescent="0.2">
      <c r="A5650" s="146"/>
      <c r="D5650" s="496"/>
    </row>
    <row r="5651" spans="1:4" x14ac:dyDescent="0.2">
      <c r="A5651" s="146"/>
      <c r="D5651" s="496"/>
    </row>
    <row r="5652" spans="1:4" x14ac:dyDescent="0.2">
      <c r="A5652" s="146"/>
      <c r="D5652" s="496"/>
    </row>
    <row r="5653" spans="1:4" x14ac:dyDescent="0.2">
      <c r="A5653" s="146"/>
      <c r="D5653" s="496"/>
    </row>
    <row r="5654" spans="1:4" x14ac:dyDescent="0.2">
      <c r="A5654" s="146"/>
      <c r="D5654" s="496"/>
    </row>
    <row r="5655" spans="1:4" x14ac:dyDescent="0.2">
      <c r="A5655" s="146"/>
      <c r="D5655" s="496"/>
    </row>
    <row r="5656" spans="1:4" x14ac:dyDescent="0.2">
      <c r="A5656" s="146"/>
      <c r="D5656" s="496"/>
    </row>
    <row r="5657" spans="1:4" x14ac:dyDescent="0.2">
      <c r="A5657" s="146"/>
      <c r="D5657" s="496"/>
    </row>
    <row r="5658" spans="1:4" x14ac:dyDescent="0.2">
      <c r="A5658" s="146"/>
      <c r="D5658" s="496"/>
    </row>
    <row r="5659" spans="1:4" x14ac:dyDescent="0.2">
      <c r="A5659" s="146"/>
      <c r="D5659" s="496"/>
    </row>
    <row r="5660" spans="1:4" x14ac:dyDescent="0.2">
      <c r="A5660" s="146"/>
      <c r="D5660" s="496"/>
    </row>
    <row r="5661" spans="1:4" x14ac:dyDescent="0.2">
      <c r="A5661" s="146"/>
      <c r="D5661" s="496"/>
    </row>
    <row r="5662" spans="1:4" x14ac:dyDescent="0.2">
      <c r="A5662" s="146"/>
      <c r="D5662" s="496"/>
    </row>
    <row r="5663" spans="1:4" x14ac:dyDescent="0.2">
      <c r="A5663" s="146"/>
      <c r="D5663" s="496"/>
    </row>
    <row r="5664" spans="1:4" x14ac:dyDescent="0.2">
      <c r="A5664" s="146"/>
      <c r="D5664" s="496"/>
    </row>
    <row r="5665" spans="1:4" x14ac:dyDescent="0.2">
      <c r="A5665" s="146"/>
      <c r="D5665" s="496"/>
    </row>
    <row r="5666" spans="1:4" x14ac:dyDescent="0.2">
      <c r="A5666" s="146"/>
      <c r="D5666" s="496"/>
    </row>
    <row r="5667" spans="1:4" x14ac:dyDescent="0.2">
      <c r="A5667" s="146"/>
      <c r="D5667" s="496"/>
    </row>
    <row r="5668" spans="1:4" x14ac:dyDescent="0.2">
      <c r="A5668" s="146"/>
      <c r="D5668" s="496"/>
    </row>
    <row r="5669" spans="1:4" x14ac:dyDescent="0.2">
      <c r="A5669" s="146"/>
      <c r="D5669" s="496"/>
    </row>
    <row r="5670" spans="1:4" x14ac:dyDescent="0.2">
      <c r="A5670" s="146"/>
      <c r="D5670" s="496"/>
    </row>
    <row r="5671" spans="1:4" x14ac:dyDescent="0.2">
      <c r="A5671" s="146"/>
      <c r="D5671" s="496"/>
    </row>
    <row r="5672" spans="1:4" x14ac:dyDescent="0.2">
      <c r="A5672" s="146"/>
      <c r="D5672" s="496"/>
    </row>
    <row r="5673" spans="1:4" x14ac:dyDescent="0.2">
      <c r="A5673" s="146"/>
      <c r="D5673" s="496"/>
    </row>
    <row r="5674" spans="1:4" x14ac:dyDescent="0.2">
      <c r="A5674" s="146"/>
      <c r="D5674" s="496"/>
    </row>
    <row r="5675" spans="1:4" x14ac:dyDescent="0.2">
      <c r="A5675" s="146"/>
      <c r="D5675" s="496"/>
    </row>
    <row r="5676" spans="1:4" x14ac:dyDescent="0.2">
      <c r="A5676" s="146"/>
      <c r="D5676" s="496"/>
    </row>
    <row r="5677" spans="1:4" x14ac:dyDescent="0.2">
      <c r="A5677" s="146"/>
      <c r="D5677" s="496"/>
    </row>
    <row r="5678" spans="1:4" x14ac:dyDescent="0.2">
      <c r="A5678" s="146"/>
      <c r="D5678" s="496"/>
    </row>
    <row r="5679" spans="1:4" x14ac:dyDescent="0.2">
      <c r="A5679" s="146"/>
      <c r="D5679" s="496"/>
    </row>
    <row r="5680" spans="1:4" x14ac:dyDescent="0.2">
      <c r="A5680" s="146"/>
      <c r="D5680" s="496"/>
    </row>
    <row r="5681" spans="1:4" x14ac:dyDescent="0.2">
      <c r="A5681" s="146"/>
      <c r="D5681" s="496"/>
    </row>
    <row r="5682" spans="1:4" x14ac:dyDescent="0.2">
      <c r="A5682" s="146"/>
      <c r="D5682" s="496"/>
    </row>
    <row r="5683" spans="1:4" x14ac:dyDescent="0.2">
      <c r="A5683" s="146"/>
      <c r="D5683" s="496"/>
    </row>
    <row r="5684" spans="1:4" x14ac:dyDescent="0.2">
      <c r="A5684" s="146"/>
      <c r="D5684" s="496"/>
    </row>
    <row r="5685" spans="1:4" x14ac:dyDescent="0.2">
      <c r="A5685" s="146"/>
      <c r="D5685" s="496"/>
    </row>
    <row r="5686" spans="1:4" x14ac:dyDescent="0.2">
      <c r="A5686" s="146"/>
      <c r="D5686" s="496"/>
    </row>
    <row r="5687" spans="1:4" x14ac:dyDescent="0.2">
      <c r="A5687" s="146"/>
      <c r="D5687" s="496"/>
    </row>
    <row r="5688" spans="1:4" x14ac:dyDescent="0.2">
      <c r="A5688" s="146"/>
      <c r="D5688" s="496"/>
    </row>
    <row r="5689" spans="1:4" x14ac:dyDescent="0.2">
      <c r="A5689" s="146"/>
      <c r="D5689" s="496"/>
    </row>
    <row r="5690" spans="1:4" x14ac:dyDescent="0.2">
      <c r="A5690" s="146"/>
      <c r="D5690" s="496"/>
    </row>
    <row r="5691" spans="1:4" x14ac:dyDescent="0.2">
      <c r="A5691" s="146"/>
      <c r="D5691" s="496"/>
    </row>
    <row r="5692" spans="1:4" x14ac:dyDescent="0.2">
      <c r="A5692" s="146"/>
      <c r="D5692" s="496"/>
    </row>
    <row r="5693" spans="1:4" x14ac:dyDescent="0.2">
      <c r="A5693" s="146"/>
      <c r="D5693" s="496"/>
    </row>
    <row r="5694" spans="1:4" x14ac:dyDescent="0.2">
      <c r="A5694" s="146"/>
      <c r="D5694" s="496"/>
    </row>
    <row r="5695" spans="1:4" x14ac:dyDescent="0.2">
      <c r="A5695" s="146"/>
      <c r="D5695" s="496"/>
    </row>
    <row r="5696" spans="1:4" x14ac:dyDescent="0.2">
      <c r="A5696" s="146"/>
      <c r="D5696" s="496"/>
    </row>
    <row r="5697" spans="1:4" x14ac:dyDescent="0.2">
      <c r="A5697" s="146"/>
      <c r="D5697" s="496"/>
    </row>
    <row r="5698" spans="1:4" x14ac:dyDescent="0.2">
      <c r="A5698" s="146"/>
      <c r="D5698" s="496"/>
    </row>
    <row r="5699" spans="1:4" x14ac:dyDescent="0.2">
      <c r="A5699" s="146"/>
      <c r="D5699" s="496"/>
    </row>
    <row r="5700" spans="1:4" x14ac:dyDescent="0.2">
      <c r="A5700" s="146"/>
      <c r="D5700" s="496"/>
    </row>
    <row r="5701" spans="1:4" x14ac:dyDescent="0.2">
      <c r="A5701" s="146"/>
      <c r="D5701" s="496"/>
    </row>
    <row r="5702" spans="1:4" x14ac:dyDescent="0.2">
      <c r="A5702" s="146"/>
      <c r="D5702" s="496"/>
    </row>
    <row r="5703" spans="1:4" x14ac:dyDescent="0.2">
      <c r="A5703" s="146"/>
      <c r="D5703" s="496"/>
    </row>
    <row r="5704" spans="1:4" x14ac:dyDescent="0.2">
      <c r="A5704" s="146"/>
      <c r="D5704" s="496"/>
    </row>
    <row r="5705" spans="1:4" x14ac:dyDescent="0.2">
      <c r="A5705" s="146"/>
      <c r="D5705" s="496"/>
    </row>
    <row r="5706" spans="1:4" x14ac:dyDescent="0.2">
      <c r="A5706" s="146"/>
      <c r="D5706" s="496"/>
    </row>
    <row r="5707" spans="1:4" x14ac:dyDescent="0.2">
      <c r="A5707" s="146"/>
      <c r="D5707" s="496"/>
    </row>
    <row r="5708" spans="1:4" x14ac:dyDescent="0.2">
      <c r="A5708" s="146"/>
      <c r="D5708" s="496"/>
    </row>
    <row r="5709" spans="1:4" x14ac:dyDescent="0.2">
      <c r="A5709" s="146"/>
      <c r="D5709" s="496"/>
    </row>
    <row r="5710" spans="1:4" x14ac:dyDescent="0.2">
      <c r="A5710" s="146"/>
      <c r="D5710" s="496"/>
    </row>
    <row r="5711" spans="1:4" x14ac:dyDescent="0.2">
      <c r="A5711" s="146"/>
      <c r="D5711" s="496"/>
    </row>
    <row r="5712" spans="1:4" x14ac:dyDescent="0.2">
      <c r="A5712" s="146"/>
      <c r="D5712" s="496"/>
    </row>
    <row r="5713" spans="1:4" x14ac:dyDescent="0.2">
      <c r="A5713" s="146"/>
      <c r="D5713" s="496"/>
    </row>
    <row r="5714" spans="1:4" x14ac:dyDescent="0.2">
      <c r="A5714" s="146"/>
      <c r="D5714" s="496"/>
    </row>
    <row r="5715" spans="1:4" x14ac:dyDescent="0.2">
      <c r="A5715" s="146"/>
      <c r="D5715" s="496"/>
    </row>
    <row r="5716" spans="1:4" x14ac:dyDescent="0.2">
      <c r="A5716" s="146"/>
      <c r="D5716" s="496"/>
    </row>
    <row r="5717" spans="1:4" x14ac:dyDescent="0.2">
      <c r="A5717" s="146"/>
      <c r="D5717" s="496"/>
    </row>
    <row r="5718" spans="1:4" x14ac:dyDescent="0.2">
      <c r="A5718" s="146"/>
      <c r="D5718" s="496"/>
    </row>
    <row r="5719" spans="1:4" x14ac:dyDescent="0.2">
      <c r="A5719" s="146"/>
      <c r="D5719" s="496"/>
    </row>
    <row r="5720" spans="1:4" x14ac:dyDescent="0.2">
      <c r="A5720" s="146"/>
      <c r="D5720" s="496"/>
    </row>
    <row r="5721" spans="1:4" x14ac:dyDescent="0.2">
      <c r="A5721" s="146"/>
      <c r="D5721" s="496"/>
    </row>
    <row r="5722" spans="1:4" x14ac:dyDescent="0.2">
      <c r="A5722" s="146"/>
      <c r="D5722" s="496"/>
    </row>
    <row r="5723" spans="1:4" x14ac:dyDescent="0.2">
      <c r="A5723" s="146"/>
      <c r="D5723" s="496"/>
    </row>
    <row r="5724" spans="1:4" x14ac:dyDescent="0.2">
      <c r="A5724" s="146"/>
      <c r="D5724" s="496"/>
    </row>
    <row r="5725" spans="1:4" x14ac:dyDescent="0.2">
      <c r="A5725" s="146"/>
      <c r="D5725" s="496"/>
    </row>
    <row r="5726" spans="1:4" x14ac:dyDescent="0.2">
      <c r="A5726" s="146"/>
      <c r="D5726" s="496"/>
    </row>
    <row r="5727" spans="1:4" x14ac:dyDescent="0.2">
      <c r="A5727" s="146"/>
      <c r="D5727" s="496"/>
    </row>
    <row r="5728" spans="1:4" x14ac:dyDescent="0.2">
      <c r="A5728" s="146"/>
      <c r="D5728" s="496"/>
    </row>
    <row r="5729" spans="1:4" x14ac:dyDescent="0.2">
      <c r="A5729" s="146"/>
      <c r="D5729" s="496"/>
    </row>
    <row r="5730" spans="1:4" x14ac:dyDescent="0.2">
      <c r="A5730" s="146"/>
      <c r="D5730" s="496"/>
    </row>
    <row r="5731" spans="1:4" x14ac:dyDescent="0.2">
      <c r="A5731" s="146"/>
      <c r="D5731" s="496"/>
    </row>
    <row r="5732" spans="1:4" x14ac:dyDescent="0.2">
      <c r="A5732" s="146"/>
      <c r="D5732" s="496"/>
    </row>
    <row r="5733" spans="1:4" x14ac:dyDescent="0.2">
      <c r="A5733" s="146"/>
      <c r="D5733" s="496"/>
    </row>
    <row r="5734" spans="1:4" x14ac:dyDescent="0.2">
      <c r="A5734" s="146"/>
      <c r="D5734" s="496"/>
    </row>
    <row r="5735" spans="1:4" x14ac:dyDescent="0.2">
      <c r="A5735" s="146"/>
      <c r="D5735" s="496"/>
    </row>
    <row r="5736" spans="1:4" x14ac:dyDescent="0.2">
      <c r="A5736" s="146"/>
      <c r="D5736" s="496"/>
    </row>
    <row r="5737" spans="1:4" x14ac:dyDescent="0.2">
      <c r="A5737" s="146"/>
      <c r="D5737" s="496"/>
    </row>
    <row r="5738" spans="1:4" x14ac:dyDescent="0.2">
      <c r="A5738" s="146"/>
      <c r="D5738" s="496"/>
    </row>
    <row r="5739" spans="1:4" x14ac:dyDescent="0.2">
      <c r="A5739" s="146"/>
      <c r="D5739" s="496"/>
    </row>
    <row r="5740" spans="1:4" x14ac:dyDescent="0.2">
      <c r="A5740" s="146"/>
      <c r="D5740" s="496"/>
    </row>
    <row r="5741" spans="1:4" x14ac:dyDescent="0.2">
      <c r="A5741" s="146"/>
      <c r="D5741" s="496"/>
    </row>
    <row r="5742" spans="1:4" x14ac:dyDescent="0.2">
      <c r="A5742" s="146"/>
      <c r="D5742" s="496"/>
    </row>
    <row r="5743" spans="1:4" x14ac:dyDescent="0.2">
      <c r="A5743" s="146"/>
      <c r="D5743" s="496"/>
    </row>
    <row r="5744" spans="1:4" x14ac:dyDescent="0.2">
      <c r="A5744" s="146"/>
      <c r="D5744" s="496"/>
    </row>
    <row r="5745" spans="1:4" x14ac:dyDescent="0.2">
      <c r="A5745" s="146"/>
      <c r="D5745" s="496"/>
    </row>
    <row r="5746" spans="1:4" x14ac:dyDescent="0.2">
      <c r="A5746" s="146"/>
      <c r="D5746" s="496"/>
    </row>
    <row r="5747" spans="1:4" x14ac:dyDescent="0.2">
      <c r="A5747" s="146"/>
      <c r="D5747" s="496"/>
    </row>
    <row r="5748" spans="1:4" x14ac:dyDescent="0.2">
      <c r="A5748" s="146"/>
      <c r="D5748" s="496"/>
    </row>
    <row r="5749" spans="1:4" x14ac:dyDescent="0.2">
      <c r="A5749" s="146"/>
      <c r="D5749" s="496"/>
    </row>
    <row r="5750" spans="1:4" x14ac:dyDescent="0.2">
      <c r="A5750" s="146"/>
      <c r="D5750" s="496"/>
    </row>
    <row r="5751" spans="1:4" x14ac:dyDescent="0.2">
      <c r="A5751" s="146"/>
      <c r="D5751" s="496"/>
    </row>
    <row r="5752" spans="1:4" x14ac:dyDescent="0.2">
      <c r="A5752" s="146"/>
      <c r="D5752" s="496"/>
    </row>
    <row r="5753" spans="1:4" x14ac:dyDescent="0.2">
      <c r="A5753" s="146"/>
      <c r="D5753" s="496"/>
    </row>
    <row r="5754" spans="1:4" x14ac:dyDescent="0.2">
      <c r="A5754" s="146"/>
      <c r="D5754" s="496"/>
    </row>
    <row r="5755" spans="1:4" x14ac:dyDescent="0.2">
      <c r="A5755" s="146"/>
      <c r="D5755" s="496"/>
    </row>
    <row r="5756" spans="1:4" x14ac:dyDescent="0.2">
      <c r="A5756" s="146"/>
      <c r="D5756" s="496"/>
    </row>
    <row r="5757" spans="1:4" x14ac:dyDescent="0.2">
      <c r="A5757" s="146"/>
      <c r="D5757" s="496"/>
    </row>
    <row r="5758" spans="1:4" x14ac:dyDescent="0.2">
      <c r="A5758" s="146"/>
      <c r="D5758" s="496"/>
    </row>
    <row r="5759" spans="1:4" x14ac:dyDescent="0.2">
      <c r="A5759" s="146"/>
      <c r="D5759" s="496"/>
    </row>
    <row r="5760" spans="1:4" x14ac:dyDescent="0.2">
      <c r="A5760" s="146"/>
      <c r="D5760" s="496"/>
    </row>
    <row r="5761" spans="1:4" x14ac:dyDescent="0.2">
      <c r="A5761" s="146"/>
      <c r="D5761" s="496"/>
    </row>
    <row r="5762" spans="1:4" x14ac:dyDescent="0.2">
      <c r="A5762" s="146"/>
      <c r="D5762" s="496"/>
    </row>
    <row r="5763" spans="1:4" x14ac:dyDescent="0.2">
      <c r="A5763" s="146"/>
      <c r="D5763" s="496"/>
    </row>
    <row r="5764" spans="1:4" x14ac:dyDescent="0.2">
      <c r="A5764" s="146"/>
      <c r="D5764" s="496"/>
    </row>
    <row r="5765" spans="1:4" x14ac:dyDescent="0.2">
      <c r="A5765" s="146"/>
      <c r="D5765" s="496"/>
    </row>
    <row r="5766" spans="1:4" x14ac:dyDescent="0.2">
      <c r="A5766" s="146"/>
      <c r="D5766" s="496"/>
    </row>
    <row r="5767" spans="1:4" x14ac:dyDescent="0.2">
      <c r="A5767" s="146"/>
      <c r="D5767" s="496"/>
    </row>
    <row r="5768" spans="1:4" x14ac:dyDescent="0.2">
      <c r="A5768" s="146"/>
      <c r="D5768" s="496"/>
    </row>
    <row r="5769" spans="1:4" x14ac:dyDescent="0.2">
      <c r="A5769" s="146"/>
      <c r="D5769" s="496"/>
    </row>
    <row r="5770" spans="1:4" x14ac:dyDescent="0.2">
      <c r="A5770" s="146"/>
      <c r="D5770" s="496"/>
    </row>
    <row r="5771" spans="1:4" x14ac:dyDescent="0.2">
      <c r="A5771" s="146"/>
      <c r="D5771" s="496"/>
    </row>
    <row r="5772" spans="1:4" x14ac:dyDescent="0.2">
      <c r="A5772" s="146"/>
      <c r="D5772" s="496"/>
    </row>
    <row r="5773" spans="1:4" x14ac:dyDescent="0.2">
      <c r="A5773" s="146"/>
      <c r="D5773" s="496"/>
    </row>
    <row r="5774" spans="1:4" x14ac:dyDescent="0.2">
      <c r="A5774" s="146"/>
      <c r="D5774" s="496"/>
    </row>
    <row r="5775" spans="1:4" x14ac:dyDescent="0.2">
      <c r="A5775" s="146"/>
      <c r="D5775" s="496"/>
    </row>
    <row r="5776" spans="1:4" x14ac:dyDescent="0.2">
      <c r="A5776" s="146"/>
      <c r="D5776" s="496"/>
    </row>
    <row r="5777" spans="1:4" x14ac:dyDescent="0.2">
      <c r="A5777" s="146"/>
      <c r="D5777" s="496"/>
    </row>
    <row r="5778" spans="1:4" x14ac:dyDescent="0.2">
      <c r="A5778" s="146"/>
      <c r="D5778" s="496"/>
    </row>
    <row r="5779" spans="1:4" x14ac:dyDescent="0.2">
      <c r="A5779" s="146"/>
      <c r="D5779" s="496"/>
    </row>
    <row r="5780" spans="1:4" x14ac:dyDescent="0.2">
      <c r="A5780" s="146"/>
      <c r="D5780" s="496"/>
    </row>
    <row r="5781" spans="1:4" x14ac:dyDescent="0.2">
      <c r="A5781" s="146"/>
      <c r="D5781" s="496"/>
    </row>
    <row r="5782" spans="1:4" x14ac:dyDescent="0.2">
      <c r="A5782" s="146"/>
      <c r="D5782" s="496"/>
    </row>
    <row r="5783" spans="1:4" x14ac:dyDescent="0.2">
      <c r="A5783" s="146"/>
      <c r="D5783" s="496"/>
    </row>
    <row r="5784" spans="1:4" x14ac:dyDescent="0.2">
      <c r="A5784" s="146"/>
      <c r="D5784" s="496"/>
    </row>
    <row r="5785" spans="1:4" x14ac:dyDescent="0.2">
      <c r="A5785" s="146"/>
      <c r="D5785" s="496"/>
    </row>
    <row r="5786" spans="1:4" x14ac:dyDescent="0.2">
      <c r="A5786" s="146"/>
      <c r="D5786" s="496"/>
    </row>
    <row r="5787" spans="1:4" x14ac:dyDescent="0.2">
      <c r="A5787" s="146"/>
      <c r="D5787" s="496"/>
    </row>
    <row r="5788" spans="1:4" x14ac:dyDescent="0.2">
      <c r="A5788" s="146"/>
      <c r="D5788" s="496"/>
    </row>
    <row r="5789" spans="1:4" x14ac:dyDescent="0.2">
      <c r="A5789" s="146"/>
      <c r="D5789" s="496"/>
    </row>
    <row r="5790" spans="1:4" x14ac:dyDescent="0.2">
      <c r="A5790" s="146"/>
      <c r="D5790" s="496"/>
    </row>
    <row r="5791" spans="1:4" x14ac:dyDescent="0.2">
      <c r="A5791" s="146"/>
      <c r="D5791" s="496"/>
    </row>
    <row r="5792" spans="1:4" x14ac:dyDescent="0.2">
      <c r="A5792" s="146"/>
      <c r="D5792" s="496"/>
    </row>
    <row r="5793" spans="1:4" x14ac:dyDescent="0.2">
      <c r="A5793" s="146"/>
      <c r="D5793" s="496"/>
    </row>
    <row r="5794" spans="1:4" x14ac:dyDescent="0.2">
      <c r="A5794" s="146"/>
      <c r="D5794" s="496"/>
    </row>
    <row r="5795" spans="1:4" x14ac:dyDescent="0.2">
      <c r="A5795" s="146"/>
      <c r="D5795" s="496"/>
    </row>
    <row r="5796" spans="1:4" x14ac:dyDescent="0.2">
      <c r="A5796" s="146"/>
      <c r="D5796" s="496"/>
    </row>
    <row r="5797" spans="1:4" x14ac:dyDescent="0.2">
      <c r="A5797" s="146"/>
      <c r="D5797" s="496"/>
    </row>
    <row r="5798" spans="1:4" x14ac:dyDescent="0.2">
      <c r="A5798" s="146"/>
      <c r="D5798" s="496"/>
    </row>
    <row r="5799" spans="1:4" x14ac:dyDescent="0.2">
      <c r="A5799" s="146"/>
      <c r="D5799" s="496"/>
    </row>
    <row r="5800" spans="1:4" x14ac:dyDescent="0.2">
      <c r="A5800" s="146"/>
      <c r="D5800" s="496"/>
    </row>
    <row r="5801" spans="1:4" x14ac:dyDescent="0.2">
      <c r="A5801" s="146"/>
      <c r="D5801" s="496"/>
    </row>
    <row r="5802" spans="1:4" x14ac:dyDescent="0.2">
      <c r="A5802" s="146"/>
      <c r="D5802" s="496"/>
    </row>
    <row r="5803" spans="1:4" x14ac:dyDescent="0.2">
      <c r="A5803" s="146"/>
      <c r="D5803" s="496"/>
    </row>
    <row r="5804" spans="1:4" x14ac:dyDescent="0.2">
      <c r="A5804" s="146"/>
      <c r="D5804" s="496"/>
    </row>
    <row r="5805" spans="1:4" x14ac:dyDescent="0.2">
      <c r="A5805" s="146"/>
      <c r="D5805" s="496"/>
    </row>
    <row r="5806" spans="1:4" x14ac:dyDescent="0.2">
      <c r="A5806" s="146"/>
      <c r="D5806" s="496"/>
    </row>
    <row r="5807" spans="1:4" x14ac:dyDescent="0.2">
      <c r="A5807" s="146"/>
      <c r="D5807" s="496"/>
    </row>
    <row r="5808" spans="1:4" x14ac:dyDescent="0.2">
      <c r="A5808" s="146"/>
      <c r="D5808" s="496"/>
    </row>
    <row r="5809" spans="1:4" x14ac:dyDescent="0.2">
      <c r="A5809" s="146"/>
      <c r="D5809" s="496"/>
    </row>
    <row r="5810" spans="1:4" x14ac:dyDescent="0.2">
      <c r="A5810" s="146"/>
      <c r="D5810" s="496"/>
    </row>
    <row r="5811" spans="1:4" x14ac:dyDescent="0.2">
      <c r="A5811" s="146"/>
      <c r="D5811" s="496"/>
    </row>
    <row r="5812" spans="1:4" x14ac:dyDescent="0.2">
      <c r="A5812" s="146"/>
      <c r="D5812" s="496"/>
    </row>
    <row r="5813" spans="1:4" x14ac:dyDescent="0.2">
      <c r="A5813" s="146"/>
      <c r="D5813" s="496"/>
    </row>
    <row r="5814" spans="1:4" x14ac:dyDescent="0.2">
      <c r="A5814" s="146"/>
      <c r="D5814" s="496"/>
    </row>
    <row r="5815" spans="1:4" x14ac:dyDescent="0.2">
      <c r="A5815" s="146"/>
      <c r="D5815" s="496"/>
    </row>
    <row r="5816" spans="1:4" x14ac:dyDescent="0.2">
      <c r="A5816" s="146"/>
      <c r="D5816" s="496"/>
    </row>
    <row r="5817" spans="1:4" x14ac:dyDescent="0.2">
      <c r="A5817" s="146"/>
      <c r="D5817" s="496"/>
    </row>
    <row r="5818" spans="1:4" x14ac:dyDescent="0.2">
      <c r="A5818" s="146"/>
      <c r="D5818" s="496"/>
    </row>
    <row r="5819" spans="1:4" x14ac:dyDescent="0.2">
      <c r="A5819" s="146"/>
      <c r="D5819" s="496"/>
    </row>
    <row r="5820" spans="1:4" x14ac:dyDescent="0.2">
      <c r="A5820" s="146"/>
      <c r="D5820" s="496"/>
    </row>
    <row r="5821" spans="1:4" x14ac:dyDescent="0.2">
      <c r="A5821" s="146"/>
      <c r="D5821" s="496"/>
    </row>
    <row r="5822" spans="1:4" x14ac:dyDescent="0.2">
      <c r="A5822" s="146"/>
      <c r="D5822" s="496"/>
    </row>
    <row r="5823" spans="1:4" x14ac:dyDescent="0.2">
      <c r="A5823" s="146"/>
      <c r="D5823" s="496"/>
    </row>
    <row r="5824" spans="1:4" x14ac:dyDescent="0.2">
      <c r="A5824" s="146"/>
      <c r="D5824" s="496"/>
    </row>
    <row r="5825" spans="1:4" x14ac:dyDescent="0.2">
      <c r="A5825" s="146"/>
      <c r="D5825" s="496"/>
    </row>
    <row r="5826" spans="1:4" x14ac:dyDescent="0.2">
      <c r="A5826" s="146"/>
      <c r="D5826" s="496"/>
    </row>
    <row r="5827" spans="1:4" x14ac:dyDescent="0.2">
      <c r="A5827" s="146"/>
      <c r="D5827" s="496"/>
    </row>
    <row r="5828" spans="1:4" x14ac:dyDescent="0.2">
      <c r="A5828" s="146"/>
      <c r="D5828" s="496"/>
    </row>
    <row r="5829" spans="1:4" x14ac:dyDescent="0.2">
      <c r="A5829" s="146"/>
      <c r="D5829" s="496"/>
    </row>
    <row r="5830" spans="1:4" x14ac:dyDescent="0.2">
      <c r="A5830" s="146"/>
      <c r="D5830" s="496"/>
    </row>
    <row r="5831" spans="1:4" x14ac:dyDescent="0.2">
      <c r="A5831" s="146"/>
      <c r="D5831" s="496"/>
    </row>
    <row r="5832" spans="1:4" x14ac:dyDescent="0.2">
      <c r="A5832" s="146"/>
      <c r="D5832" s="496"/>
    </row>
    <row r="5833" spans="1:4" x14ac:dyDescent="0.2">
      <c r="A5833" s="146"/>
      <c r="D5833" s="496"/>
    </row>
    <row r="5834" spans="1:4" x14ac:dyDescent="0.2">
      <c r="A5834" s="146"/>
      <c r="D5834" s="496"/>
    </row>
    <row r="5835" spans="1:4" x14ac:dyDescent="0.2">
      <c r="A5835" s="146"/>
      <c r="D5835" s="496"/>
    </row>
    <row r="5836" spans="1:4" x14ac:dyDescent="0.2">
      <c r="A5836" s="146"/>
      <c r="D5836" s="496"/>
    </row>
    <row r="5837" spans="1:4" x14ac:dyDescent="0.2">
      <c r="A5837" s="146"/>
      <c r="D5837" s="496"/>
    </row>
    <row r="5838" spans="1:4" x14ac:dyDescent="0.2">
      <c r="A5838" s="146"/>
      <c r="D5838" s="496"/>
    </row>
    <row r="5839" spans="1:4" x14ac:dyDescent="0.2">
      <c r="A5839" s="146"/>
      <c r="D5839" s="496"/>
    </row>
    <row r="5840" spans="1:4" x14ac:dyDescent="0.2">
      <c r="A5840" s="146"/>
      <c r="D5840" s="496"/>
    </row>
    <row r="5841" spans="1:4" x14ac:dyDescent="0.2">
      <c r="A5841" s="146"/>
      <c r="D5841" s="496"/>
    </row>
    <row r="5842" spans="1:4" x14ac:dyDescent="0.2">
      <c r="A5842" s="146"/>
      <c r="D5842" s="496"/>
    </row>
    <row r="5843" spans="1:4" x14ac:dyDescent="0.2">
      <c r="A5843" s="146"/>
      <c r="D5843" s="496"/>
    </row>
    <row r="5844" spans="1:4" x14ac:dyDescent="0.2">
      <c r="A5844" s="146"/>
      <c r="D5844" s="496"/>
    </row>
    <row r="5845" spans="1:4" x14ac:dyDescent="0.2">
      <c r="A5845" s="146"/>
      <c r="D5845" s="496"/>
    </row>
    <row r="5846" spans="1:4" x14ac:dyDescent="0.2">
      <c r="A5846" s="146"/>
      <c r="D5846" s="496"/>
    </row>
    <row r="5847" spans="1:4" x14ac:dyDescent="0.2">
      <c r="A5847" s="146"/>
      <c r="D5847" s="496"/>
    </row>
    <row r="5848" spans="1:4" x14ac:dyDescent="0.2">
      <c r="A5848" s="146"/>
      <c r="D5848" s="496"/>
    </row>
    <row r="5849" spans="1:4" x14ac:dyDescent="0.2">
      <c r="A5849" s="146"/>
      <c r="D5849" s="496"/>
    </row>
    <row r="5850" spans="1:4" x14ac:dyDescent="0.2">
      <c r="A5850" s="146"/>
      <c r="D5850" s="496"/>
    </row>
    <row r="5851" spans="1:4" x14ac:dyDescent="0.2">
      <c r="A5851" s="146"/>
      <c r="D5851" s="496"/>
    </row>
    <row r="5852" spans="1:4" x14ac:dyDescent="0.2">
      <c r="A5852" s="146"/>
      <c r="D5852" s="496"/>
    </row>
    <row r="5853" spans="1:4" x14ac:dyDescent="0.2">
      <c r="A5853" s="146"/>
      <c r="D5853" s="496"/>
    </row>
    <row r="5854" spans="1:4" x14ac:dyDescent="0.2">
      <c r="A5854" s="146"/>
      <c r="D5854" s="496"/>
    </row>
    <row r="5855" spans="1:4" x14ac:dyDescent="0.2">
      <c r="A5855" s="146"/>
      <c r="D5855" s="496"/>
    </row>
    <row r="5856" spans="1:4" x14ac:dyDescent="0.2">
      <c r="A5856" s="146"/>
      <c r="D5856" s="496"/>
    </row>
    <row r="5857" spans="1:4" x14ac:dyDescent="0.2">
      <c r="A5857" s="146"/>
      <c r="D5857" s="496"/>
    </row>
    <row r="5858" spans="1:4" x14ac:dyDescent="0.2">
      <c r="A5858" s="146"/>
      <c r="D5858" s="496"/>
    </row>
    <row r="5859" spans="1:4" x14ac:dyDescent="0.2">
      <c r="A5859" s="146"/>
      <c r="D5859" s="496"/>
    </row>
    <row r="5860" spans="1:4" x14ac:dyDescent="0.2">
      <c r="A5860" s="146"/>
      <c r="D5860" s="496"/>
    </row>
    <row r="5861" spans="1:4" x14ac:dyDescent="0.2">
      <c r="A5861" s="146"/>
      <c r="D5861" s="496"/>
    </row>
    <row r="5862" spans="1:4" x14ac:dyDescent="0.2">
      <c r="A5862" s="146"/>
      <c r="D5862" s="496"/>
    </row>
    <row r="5863" spans="1:4" x14ac:dyDescent="0.2">
      <c r="A5863" s="146"/>
      <c r="D5863" s="496"/>
    </row>
    <row r="5864" spans="1:4" x14ac:dyDescent="0.2">
      <c r="A5864" s="146"/>
      <c r="D5864" s="496"/>
    </row>
    <row r="5865" spans="1:4" x14ac:dyDescent="0.2">
      <c r="A5865" s="146"/>
      <c r="D5865" s="496"/>
    </row>
    <row r="5866" spans="1:4" x14ac:dyDescent="0.2">
      <c r="A5866" s="146"/>
      <c r="D5866" s="496"/>
    </row>
    <row r="5867" spans="1:4" x14ac:dyDescent="0.2">
      <c r="A5867" s="146"/>
      <c r="D5867" s="496"/>
    </row>
    <row r="5868" spans="1:4" x14ac:dyDescent="0.2">
      <c r="A5868" s="146"/>
      <c r="D5868" s="496"/>
    </row>
    <row r="5869" spans="1:4" x14ac:dyDescent="0.2">
      <c r="A5869" s="146"/>
      <c r="D5869" s="496"/>
    </row>
    <row r="5870" spans="1:4" x14ac:dyDescent="0.2">
      <c r="A5870" s="146"/>
      <c r="D5870" s="496"/>
    </row>
    <row r="5871" spans="1:4" x14ac:dyDescent="0.2">
      <c r="A5871" s="146"/>
      <c r="D5871" s="496"/>
    </row>
    <row r="5872" spans="1:4" x14ac:dyDescent="0.2">
      <c r="A5872" s="146"/>
      <c r="D5872" s="496"/>
    </row>
    <row r="5873" spans="1:4" x14ac:dyDescent="0.2">
      <c r="A5873" s="146"/>
      <c r="D5873" s="496"/>
    </row>
    <row r="5874" spans="1:4" x14ac:dyDescent="0.2">
      <c r="A5874" s="146"/>
      <c r="D5874" s="496"/>
    </row>
    <row r="5875" spans="1:4" x14ac:dyDescent="0.2">
      <c r="A5875" s="146"/>
      <c r="D5875" s="496"/>
    </row>
    <row r="5876" spans="1:4" x14ac:dyDescent="0.2">
      <c r="A5876" s="146"/>
      <c r="D5876" s="496"/>
    </row>
    <row r="5877" spans="1:4" x14ac:dyDescent="0.2">
      <c r="A5877" s="146"/>
      <c r="D5877" s="496"/>
    </row>
    <row r="5878" spans="1:4" x14ac:dyDescent="0.2">
      <c r="A5878" s="146"/>
      <c r="D5878" s="496"/>
    </row>
    <row r="5879" spans="1:4" x14ac:dyDescent="0.2">
      <c r="A5879" s="146"/>
      <c r="D5879" s="496"/>
    </row>
    <row r="5880" spans="1:4" x14ac:dyDescent="0.2">
      <c r="A5880" s="146"/>
      <c r="D5880" s="496"/>
    </row>
    <row r="5881" spans="1:4" x14ac:dyDescent="0.2">
      <c r="A5881" s="146"/>
      <c r="D5881" s="496"/>
    </row>
    <row r="5882" spans="1:4" x14ac:dyDescent="0.2">
      <c r="A5882" s="146"/>
      <c r="D5882" s="496"/>
    </row>
    <row r="5883" spans="1:4" x14ac:dyDescent="0.2">
      <c r="A5883" s="146"/>
      <c r="D5883" s="496"/>
    </row>
    <row r="5884" spans="1:4" x14ac:dyDescent="0.2">
      <c r="A5884" s="146"/>
      <c r="D5884" s="496"/>
    </row>
    <row r="5885" spans="1:4" x14ac:dyDescent="0.2">
      <c r="A5885" s="146"/>
      <c r="D5885" s="496"/>
    </row>
    <row r="5886" spans="1:4" x14ac:dyDescent="0.2">
      <c r="A5886" s="146"/>
      <c r="D5886" s="496"/>
    </row>
    <row r="5887" spans="1:4" x14ac:dyDescent="0.2">
      <c r="A5887" s="146"/>
      <c r="D5887" s="496"/>
    </row>
    <row r="5888" spans="1:4" x14ac:dyDescent="0.2">
      <c r="A5888" s="146"/>
      <c r="D5888" s="496"/>
    </row>
    <row r="5889" spans="1:4" x14ac:dyDescent="0.2">
      <c r="A5889" s="146"/>
      <c r="D5889" s="496"/>
    </row>
    <row r="5890" spans="1:4" x14ac:dyDescent="0.2">
      <c r="A5890" s="146"/>
      <c r="D5890" s="496"/>
    </row>
    <row r="5891" spans="1:4" x14ac:dyDescent="0.2">
      <c r="A5891" s="146"/>
      <c r="D5891" s="496"/>
    </row>
    <row r="5892" spans="1:4" x14ac:dyDescent="0.2">
      <c r="A5892" s="146"/>
      <c r="D5892" s="496"/>
    </row>
    <row r="5893" spans="1:4" x14ac:dyDescent="0.2">
      <c r="A5893" s="146"/>
      <c r="D5893" s="496"/>
    </row>
    <row r="5894" spans="1:4" x14ac:dyDescent="0.2">
      <c r="A5894" s="146"/>
      <c r="D5894" s="496"/>
    </row>
    <row r="5895" spans="1:4" x14ac:dyDescent="0.2">
      <c r="A5895" s="146"/>
      <c r="D5895" s="496"/>
    </row>
    <row r="5896" spans="1:4" x14ac:dyDescent="0.2">
      <c r="A5896" s="146"/>
      <c r="D5896" s="496"/>
    </row>
    <row r="5897" spans="1:4" x14ac:dyDescent="0.2">
      <c r="A5897" s="146"/>
      <c r="D5897" s="496"/>
    </row>
    <row r="5898" spans="1:4" x14ac:dyDescent="0.2">
      <c r="A5898" s="146"/>
      <c r="D5898" s="496"/>
    </row>
    <row r="5899" spans="1:4" x14ac:dyDescent="0.2">
      <c r="A5899" s="146"/>
      <c r="D5899" s="496"/>
    </row>
    <row r="5900" spans="1:4" x14ac:dyDescent="0.2">
      <c r="A5900" s="146"/>
      <c r="D5900" s="496"/>
    </row>
    <row r="5901" spans="1:4" x14ac:dyDescent="0.2">
      <c r="A5901" s="146"/>
      <c r="D5901" s="496"/>
    </row>
    <row r="5902" spans="1:4" x14ac:dyDescent="0.2">
      <c r="A5902" s="146"/>
      <c r="D5902" s="496"/>
    </row>
    <row r="5903" spans="1:4" x14ac:dyDescent="0.2">
      <c r="A5903" s="146"/>
      <c r="D5903" s="496"/>
    </row>
    <row r="5904" spans="1:4" x14ac:dyDescent="0.2">
      <c r="A5904" s="146"/>
      <c r="D5904" s="496"/>
    </row>
    <row r="5905" spans="1:4" x14ac:dyDescent="0.2">
      <c r="A5905" s="146"/>
      <c r="D5905" s="496"/>
    </row>
    <row r="5906" spans="1:4" x14ac:dyDescent="0.2">
      <c r="A5906" s="146"/>
      <c r="D5906" s="496"/>
    </row>
    <row r="5907" spans="1:4" x14ac:dyDescent="0.2">
      <c r="A5907" s="146"/>
      <c r="D5907" s="496"/>
    </row>
    <row r="5908" spans="1:4" x14ac:dyDescent="0.2">
      <c r="A5908" s="146"/>
      <c r="D5908" s="496"/>
    </row>
    <row r="5909" spans="1:4" x14ac:dyDescent="0.2">
      <c r="A5909" s="146"/>
      <c r="D5909" s="496"/>
    </row>
    <row r="5910" spans="1:4" x14ac:dyDescent="0.2">
      <c r="A5910" s="146"/>
      <c r="D5910" s="496"/>
    </row>
    <row r="5911" spans="1:4" x14ac:dyDescent="0.2">
      <c r="A5911" s="146"/>
      <c r="D5911" s="496"/>
    </row>
    <row r="5912" spans="1:4" x14ac:dyDescent="0.2">
      <c r="A5912" s="146"/>
      <c r="D5912" s="496"/>
    </row>
    <row r="5913" spans="1:4" x14ac:dyDescent="0.2">
      <c r="A5913" s="146"/>
      <c r="D5913" s="496"/>
    </row>
    <row r="5914" spans="1:4" x14ac:dyDescent="0.2">
      <c r="A5914" s="146"/>
      <c r="D5914" s="496"/>
    </row>
    <row r="5915" spans="1:4" x14ac:dyDescent="0.2">
      <c r="A5915" s="146"/>
      <c r="D5915" s="496"/>
    </row>
    <row r="5916" spans="1:4" x14ac:dyDescent="0.2">
      <c r="A5916" s="146"/>
      <c r="D5916" s="496"/>
    </row>
    <row r="5917" spans="1:4" x14ac:dyDescent="0.2">
      <c r="A5917" s="146"/>
      <c r="D5917" s="496"/>
    </row>
    <row r="5918" spans="1:4" x14ac:dyDescent="0.2">
      <c r="A5918" s="146"/>
      <c r="D5918" s="496"/>
    </row>
    <row r="5919" spans="1:4" x14ac:dyDescent="0.2">
      <c r="A5919" s="146"/>
      <c r="D5919" s="496"/>
    </row>
    <row r="5920" spans="1:4" x14ac:dyDescent="0.2">
      <c r="A5920" s="146"/>
      <c r="D5920" s="496"/>
    </row>
    <row r="5921" spans="1:4" x14ac:dyDescent="0.2">
      <c r="A5921" s="146"/>
      <c r="D5921" s="496"/>
    </row>
    <row r="5922" spans="1:4" x14ac:dyDescent="0.2">
      <c r="A5922" s="146"/>
      <c r="D5922" s="496"/>
    </row>
    <row r="5923" spans="1:4" x14ac:dyDescent="0.2">
      <c r="A5923" s="146"/>
      <c r="D5923" s="496"/>
    </row>
    <row r="5924" spans="1:4" x14ac:dyDescent="0.2">
      <c r="A5924" s="146"/>
      <c r="D5924" s="496"/>
    </row>
    <row r="5925" spans="1:4" x14ac:dyDescent="0.2">
      <c r="A5925" s="146"/>
      <c r="D5925" s="496"/>
    </row>
    <row r="5926" spans="1:4" x14ac:dyDescent="0.2">
      <c r="A5926" s="146"/>
      <c r="D5926" s="496"/>
    </row>
    <row r="5927" spans="1:4" x14ac:dyDescent="0.2">
      <c r="A5927" s="146"/>
      <c r="D5927" s="496"/>
    </row>
    <row r="5928" spans="1:4" x14ac:dyDescent="0.2">
      <c r="A5928" s="146"/>
      <c r="D5928" s="496"/>
    </row>
    <row r="5929" spans="1:4" x14ac:dyDescent="0.2">
      <c r="A5929" s="146"/>
      <c r="D5929" s="496"/>
    </row>
    <row r="5930" spans="1:4" x14ac:dyDescent="0.2">
      <c r="A5930" s="146"/>
      <c r="D5930" s="496"/>
    </row>
    <row r="5931" spans="1:4" x14ac:dyDescent="0.2">
      <c r="A5931" s="146"/>
      <c r="D5931" s="496"/>
    </row>
    <row r="5932" spans="1:4" x14ac:dyDescent="0.2">
      <c r="A5932" s="146"/>
      <c r="D5932" s="496"/>
    </row>
    <row r="5933" spans="1:4" x14ac:dyDescent="0.2">
      <c r="A5933" s="146"/>
      <c r="D5933" s="496"/>
    </row>
    <row r="5934" spans="1:4" x14ac:dyDescent="0.2">
      <c r="A5934" s="146"/>
      <c r="D5934" s="496"/>
    </row>
    <row r="5935" spans="1:4" x14ac:dyDescent="0.2">
      <c r="A5935" s="146"/>
      <c r="D5935" s="496"/>
    </row>
    <row r="5936" spans="1:4" x14ac:dyDescent="0.2">
      <c r="A5936" s="146"/>
      <c r="D5936" s="496"/>
    </row>
    <row r="5937" spans="1:4" x14ac:dyDescent="0.2">
      <c r="A5937" s="146"/>
      <c r="D5937" s="496"/>
    </row>
    <row r="5938" spans="1:4" x14ac:dyDescent="0.2">
      <c r="A5938" s="146"/>
      <c r="D5938" s="496"/>
    </row>
    <row r="5939" spans="1:4" x14ac:dyDescent="0.2">
      <c r="A5939" s="146"/>
      <c r="D5939" s="496"/>
    </row>
    <row r="5940" spans="1:4" x14ac:dyDescent="0.2">
      <c r="A5940" s="146"/>
      <c r="D5940" s="496"/>
    </row>
    <row r="5941" spans="1:4" x14ac:dyDescent="0.2">
      <c r="A5941" s="146"/>
      <c r="D5941" s="496"/>
    </row>
    <row r="5942" spans="1:4" x14ac:dyDescent="0.2">
      <c r="A5942" s="146"/>
      <c r="D5942" s="496"/>
    </row>
    <row r="5943" spans="1:4" x14ac:dyDescent="0.2">
      <c r="A5943" s="146"/>
      <c r="D5943" s="496"/>
    </row>
    <row r="5944" spans="1:4" x14ac:dyDescent="0.2">
      <c r="A5944" s="146"/>
      <c r="D5944" s="496"/>
    </row>
    <row r="5945" spans="1:4" x14ac:dyDescent="0.2">
      <c r="A5945" s="146"/>
      <c r="D5945" s="496"/>
    </row>
    <row r="5946" spans="1:4" x14ac:dyDescent="0.2">
      <c r="A5946" s="146"/>
      <c r="D5946" s="496"/>
    </row>
    <row r="5947" spans="1:4" x14ac:dyDescent="0.2">
      <c r="A5947" s="146"/>
      <c r="D5947" s="496"/>
    </row>
    <row r="5948" spans="1:4" x14ac:dyDescent="0.2">
      <c r="A5948" s="146"/>
      <c r="D5948" s="496"/>
    </row>
    <row r="5949" spans="1:4" x14ac:dyDescent="0.2">
      <c r="A5949" s="146"/>
      <c r="D5949" s="496"/>
    </row>
    <row r="5950" spans="1:4" x14ac:dyDescent="0.2">
      <c r="A5950" s="146"/>
      <c r="D5950" s="496"/>
    </row>
    <row r="5951" spans="1:4" x14ac:dyDescent="0.2">
      <c r="A5951" s="146"/>
      <c r="D5951" s="496"/>
    </row>
    <row r="5952" spans="1:4" x14ac:dyDescent="0.2">
      <c r="A5952" s="146"/>
      <c r="D5952" s="496"/>
    </row>
    <row r="5953" spans="1:4" x14ac:dyDescent="0.2">
      <c r="A5953" s="146"/>
      <c r="D5953" s="496"/>
    </row>
    <row r="5954" spans="1:4" x14ac:dyDescent="0.2">
      <c r="A5954" s="146"/>
      <c r="D5954" s="496"/>
    </row>
    <row r="5955" spans="1:4" x14ac:dyDescent="0.2">
      <c r="A5955" s="146"/>
      <c r="D5955" s="496"/>
    </row>
    <row r="5956" spans="1:4" x14ac:dyDescent="0.2">
      <c r="A5956" s="146"/>
      <c r="D5956" s="496"/>
    </row>
    <row r="5957" spans="1:4" x14ac:dyDescent="0.2">
      <c r="A5957" s="146"/>
      <c r="D5957" s="496"/>
    </row>
    <row r="5958" spans="1:4" x14ac:dyDescent="0.2">
      <c r="A5958" s="146"/>
      <c r="D5958" s="496"/>
    </row>
    <row r="5959" spans="1:4" x14ac:dyDescent="0.2">
      <c r="A5959" s="146"/>
      <c r="D5959" s="496"/>
    </row>
    <row r="5960" spans="1:4" x14ac:dyDescent="0.2">
      <c r="A5960" s="146"/>
      <c r="D5960" s="496"/>
    </row>
    <row r="5961" spans="1:4" x14ac:dyDescent="0.2">
      <c r="A5961" s="146"/>
      <c r="D5961" s="496"/>
    </row>
    <row r="5962" spans="1:4" x14ac:dyDescent="0.2">
      <c r="A5962" s="146"/>
      <c r="D5962" s="496"/>
    </row>
    <row r="5963" spans="1:4" x14ac:dyDescent="0.2">
      <c r="A5963" s="146"/>
      <c r="D5963" s="496"/>
    </row>
    <row r="5964" spans="1:4" x14ac:dyDescent="0.2">
      <c r="A5964" s="146"/>
      <c r="D5964" s="496"/>
    </row>
    <row r="5965" spans="1:4" x14ac:dyDescent="0.2">
      <c r="A5965" s="146"/>
      <c r="D5965" s="496"/>
    </row>
    <row r="5966" spans="1:4" x14ac:dyDescent="0.2">
      <c r="A5966" s="146"/>
      <c r="D5966" s="496"/>
    </row>
    <row r="5967" spans="1:4" x14ac:dyDescent="0.2">
      <c r="A5967" s="146"/>
      <c r="D5967" s="496"/>
    </row>
    <row r="5968" spans="1:4" x14ac:dyDescent="0.2">
      <c r="A5968" s="146"/>
      <c r="D5968" s="496"/>
    </row>
    <row r="5969" spans="1:4" x14ac:dyDescent="0.2">
      <c r="A5969" s="146"/>
      <c r="D5969" s="496"/>
    </row>
    <row r="5970" spans="1:4" x14ac:dyDescent="0.2">
      <c r="A5970" s="146"/>
      <c r="D5970" s="496"/>
    </row>
    <row r="5971" spans="1:4" x14ac:dyDescent="0.2">
      <c r="A5971" s="146"/>
      <c r="D5971" s="496"/>
    </row>
    <row r="5972" spans="1:4" x14ac:dyDescent="0.2">
      <c r="A5972" s="146"/>
      <c r="D5972" s="496"/>
    </row>
    <row r="5973" spans="1:4" x14ac:dyDescent="0.2">
      <c r="A5973" s="146"/>
      <c r="D5973" s="496"/>
    </row>
    <row r="5974" spans="1:4" x14ac:dyDescent="0.2">
      <c r="A5974" s="146"/>
      <c r="D5974" s="496"/>
    </row>
    <row r="5975" spans="1:4" x14ac:dyDescent="0.2">
      <c r="A5975" s="146"/>
      <c r="D5975" s="496"/>
    </row>
    <row r="5976" spans="1:4" x14ac:dyDescent="0.2">
      <c r="A5976" s="146"/>
      <c r="D5976" s="496"/>
    </row>
    <row r="5977" spans="1:4" x14ac:dyDescent="0.2">
      <c r="A5977" s="146"/>
      <c r="D5977" s="496"/>
    </row>
    <row r="5978" spans="1:4" x14ac:dyDescent="0.2">
      <c r="A5978" s="146"/>
      <c r="D5978" s="496"/>
    </row>
    <row r="5979" spans="1:4" x14ac:dyDescent="0.2">
      <c r="A5979" s="146"/>
      <c r="D5979" s="496"/>
    </row>
    <row r="5980" spans="1:4" x14ac:dyDescent="0.2">
      <c r="A5980" s="146"/>
      <c r="D5980" s="496"/>
    </row>
    <row r="5981" spans="1:4" x14ac:dyDescent="0.2">
      <c r="A5981" s="146"/>
      <c r="D5981" s="496"/>
    </row>
    <row r="5982" spans="1:4" x14ac:dyDescent="0.2">
      <c r="A5982" s="146"/>
      <c r="D5982" s="496"/>
    </row>
    <row r="5983" spans="1:4" x14ac:dyDescent="0.2">
      <c r="A5983" s="146"/>
      <c r="D5983" s="496"/>
    </row>
    <row r="5984" spans="1:4" x14ac:dyDescent="0.2">
      <c r="A5984" s="146"/>
      <c r="D5984" s="496"/>
    </row>
    <row r="5985" spans="1:4" x14ac:dyDescent="0.2">
      <c r="A5985" s="146"/>
      <c r="D5985" s="496"/>
    </row>
    <row r="5986" spans="1:4" x14ac:dyDescent="0.2">
      <c r="A5986" s="146"/>
      <c r="D5986" s="496"/>
    </row>
    <row r="5987" spans="1:4" x14ac:dyDescent="0.2">
      <c r="A5987" s="146"/>
      <c r="D5987" s="496"/>
    </row>
    <row r="5988" spans="1:4" x14ac:dyDescent="0.2">
      <c r="A5988" s="146"/>
      <c r="D5988" s="496"/>
    </row>
    <row r="5989" spans="1:4" x14ac:dyDescent="0.2">
      <c r="A5989" s="146"/>
      <c r="D5989" s="496"/>
    </row>
    <row r="5990" spans="1:4" x14ac:dyDescent="0.2">
      <c r="A5990" s="146"/>
      <c r="D5990" s="496"/>
    </row>
    <row r="5991" spans="1:4" x14ac:dyDescent="0.2">
      <c r="A5991" s="146"/>
      <c r="D5991" s="496"/>
    </row>
    <row r="5992" spans="1:4" x14ac:dyDescent="0.2">
      <c r="A5992" s="146"/>
      <c r="D5992" s="496"/>
    </row>
    <row r="5993" spans="1:4" x14ac:dyDescent="0.2">
      <c r="A5993" s="146"/>
      <c r="D5993" s="496"/>
    </row>
    <row r="5994" spans="1:4" x14ac:dyDescent="0.2">
      <c r="A5994" s="146"/>
      <c r="D5994" s="496"/>
    </row>
    <row r="5995" spans="1:4" x14ac:dyDescent="0.2">
      <c r="A5995" s="146"/>
      <c r="D5995" s="496"/>
    </row>
    <row r="5996" spans="1:4" x14ac:dyDescent="0.2">
      <c r="A5996" s="146"/>
      <c r="D5996" s="496"/>
    </row>
    <row r="5997" spans="1:4" x14ac:dyDescent="0.2">
      <c r="A5997" s="146"/>
      <c r="D5997" s="496"/>
    </row>
    <row r="5998" spans="1:4" x14ac:dyDescent="0.2">
      <c r="A5998" s="146"/>
      <c r="D5998" s="496"/>
    </row>
    <row r="5999" spans="1:4" x14ac:dyDescent="0.2">
      <c r="A5999" s="146"/>
      <c r="D5999" s="496"/>
    </row>
    <row r="6000" spans="1:4" x14ac:dyDescent="0.2">
      <c r="A6000" s="146"/>
      <c r="D6000" s="496"/>
    </row>
    <row r="6001" spans="1:4" x14ac:dyDescent="0.2">
      <c r="A6001" s="146"/>
      <c r="D6001" s="496"/>
    </row>
    <row r="6002" spans="1:4" x14ac:dyDescent="0.2">
      <c r="A6002" s="146"/>
      <c r="D6002" s="496"/>
    </row>
    <row r="6003" spans="1:4" x14ac:dyDescent="0.2">
      <c r="A6003" s="146"/>
      <c r="D6003" s="496"/>
    </row>
    <row r="6004" spans="1:4" x14ac:dyDescent="0.2">
      <c r="A6004" s="146"/>
      <c r="D6004" s="496"/>
    </row>
    <row r="6005" spans="1:4" x14ac:dyDescent="0.2">
      <c r="A6005" s="146"/>
      <c r="D6005" s="496"/>
    </row>
    <row r="6006" spans="1:4" x14ac:dyDescent="0.2">
      <c r="A6006" s="146"/>
      <c r="D6006" s="496"/>
    </row>
    <row r="6007" spans="1:4" x14ac:dyDescent="0.2">
      <c r="A6007" s="146"/>
      <c r="D6007" s="496"/>
    </row>
    <row r="6008" spans="1:4" x14ac:dyDescent="0.2">
      <c r="A6008" s="146"/>
      <c r="D6008" s="496"/>
    </row>
    <row r="6009" spans="1:4" x14ac:dyDescent="0.2">
      <c r="A6009" s="146"/>
      <c r="D6009" s="496"/>
    </row>
    <row r="6010" spans="1:4" x14ac:dyDescent="0.2">
      <c r="A6010" s="146"/>
      <c r="D6010" s="496"/>
    </row>
    <row r="6011" spans="1:4" x14ac:dyDescent="0.2">
      <c r="A6011" s="146"/>
      <c r="D6011" s="496"/>
    </row>
    <row r="6012" spans="1:4" x14ac:dyDescent="0.2">
      <c r="A6012" s="146"/>
      <c r="D6012" s="496"/>
    </row>
    <row r="6013" spans="1:4" x14ac:dyDescent="0.2">
      <c r="A6013" s="146"/>
      <c r="D6013" s="496"/>
    </row>
    <row r="6014" spans="1:4" x14ac:dyDescent="0.2">
      <c r="A6014" s="146"/>
      <c r="D6014" s="496"/>
    </row>
    <row r="6015" spans="1:4" x14ac:dyDescent="0.2">
      <c r="A6015" s="146"/>
      <c r="D6015" s="496"/>
    </row>
    <row r="6016" spans="1:4" x14ac:dyDescent="0.2">
      <c r="A6016" s="146"/>
      <c r="D6016" s="496"/>
    </row>
    <row r="6017" spans="1:4" x14ac:dyDescent="0.2">
      <c r="A6017" s="146"/>
      <c r="D6017" s="496"/>
    </row>
    <row r="6018" spans="1:4" x14ac:dyDescent="0.2">
      <c r="A6018" s="146"/>
      <c r="D6018" s="496"/>
    </row>
    <row r="6019" spans="1:4" x14ac:dyDescent="0.2">
      <c r="A6019" s="146"/>
      <c r="D6019" s="496"/>
    </row>
    <row r="6020" spans="1:4" x14ac:dyDescent="0.2">
      <c r="A6020" s="146"/>
      <c r="D6020" s="496"/>
    </row>
    <row r="6021" spans="1:4" x14ac:dyDescent="0.2">
      <c r="A6021" s="146"/>
      <c r="D6021" s="496"/>
    </row>
    <row r="6022" spans="1:4" x14ac:dyDescent="0.2">
      <c r="A6022" s="146"/>
      <c r="D6022" s="496"/>
    </row>
    <row r="6023" spans="1:4" x14ac:dyDescent="0.2">
      <c r="A6023" s="146"/>
      <c r="D6023" s="496"/>
    </row>
    <row r="6024" spans="1:4" x14ac:dyDescent="0.2">
      <c r="A6024" s="146"/>
      <c r="D6024" s="496"/>
    </row>
    <row r="6025" spans="1:4" x14ac:dyDescent="0.2">
      <c r="A6025" s="146"/>
      <c r="D6025" s="496"/>
    </row>
    <row r="6026" spans="1:4" x14ac:dyDescent="0.2">
      <c r="A6026" s="146"/>
      <c r="D6026" s="496"/>
    </row>
    <row r="6027" spans="1:4" x14ac:dyDescent="0.2">
      <c r="A6027" s="146"/>
      <c r="D6027" s="496"/>
    </row>
    <row r="6028" spans="1:4" x14ac:dyDescent="0.2">
      <c r="A6028" s="146"/>
      <c r="D6028" s="496"/>
    </row>
    <row r="6029" spans="1:4" x14ac:dyDescent="0.2">
      <c r="A6029" s="146"/>
      <c r="D6029" s="496"/>
    </row>
    <row r="6030" spans="1:4" x14ac:dyDescent="0.2">
      <c r="A6030" s="146"/>
      <c r="D6030" s="496"/>
    </row>
    <row r="6031" spans="1:4" x14ac:dyDescent="0.2">
      <c r="A6031" s="146"/>
      <c r="D6031" s="496"/>
    </row>
    <row r="6032" spans="1:4" x14ac:dyDescent="0.2">
      <c r="A6032" s="146"/>
      <c r="D6032" s="496"/>
    </row>
    <row r="6033" spans="1:4" x14ac:dyDescent="0.2">
      <c r="A6033" s="146"/>
      <c r="D6033" s="496"/>
    </row>
    <row r="6034" spans="1:4" x14ac:dyDescent="0.2">
      <c r="A6034" s="146"/>
      <c r="D6034" s="496"/>
    </row>
    <row r="6035" spans="1:4" x14ac:dyDescent="0.2">
      <c r="A6035" s="146"/>
      <c r="D6035" s="496"/>
    </row>
    <row r="6036" spans="1:4" x14ac:dyDescent="0.2">
      <c r="A6036" s="146"/>
      <c r="D6036" s="496"/>
    </row>
    <row r="6037" spans="1:4" x14ac:dyDescent="0.2">
      <c r="A6037" s="146"/>
      <c r="D6037" s="496"/>
    </row>
    <row r="6038" spans="1:4" x14ac:dyDescent="0.2">
      <c r="A6038" s="146"/>
      <c r="D6038" s="496"/>
    </row>
    <row r="6039" spans="1:4" x14ac:dyDescent="0.2">
      <c r="A6039" s="146"/>
      <c r="D6039" s="496"/>
    </row>
    <row r="6040" spans="1:4" x14ac:dyDescent="0.2">
      <c r="A6040" s="146"/>
      <c r="D6040" s="496"/>
    </row>
    <row r="6041" spans="1:4" x14ac:dyDescent="0.2">
      <c r="A6041" s="146"/>
      <c r="D6041" s="496"/>
    </row>
    <row r="6042" spans="1:4" x14ac:dyDescent="0.2">
      <c r="A6042" s="146"/>
      <c r="D6042" s="496"/>
    </row>
    <row r="6043" spans="1:4" x14ac:dyDescent="0.2">
      <c r="A6043" s="146"/>
      <c r="D6043" s="496"/>
    </row>
    <row r="6044" spans="1:4" x14ac:dyDescent="0.2">
      <c r="A6044" s="146"/>
      <c r="D6044" s="496"/>
    </row>
    <row r="6045" spans="1:4" x14ac:dyDescent="0.2">
      <c r="A6045" s="146"/>
      <c r="D6045" s="496"/>
    </row>
    <row r="6046" spans="1:4" x14ac:dyDescent="0.2">
      <c r="A6046" s="146"/>
      <c r="D6046" s="496"/>
    </row>
    <row r="6047" spans="1:4" x14ac:dyDescent="0.2">
      <c r="A6047" s="146"/>
      <c r="D6047" s="496"/>
    </row>
    <row r="6048" spans="1:4" x14ac:dyDescent="0.2">
      <c r="A6048" s="146"/>
      <c r="D6048" s="496"/>
    </row>
    <row r="6049" spans="1:4" x14ac:dyDescent="0.2">
      <c r="A6049" s="146"/>
      <c r="D6049" s="496"/>
    </row>
    <row r="6050" spans="1:4" x14ac:dyDescent="0.2">
      <c r="A6050" s="146"/>
      <c r="D6050" s="496"/>
    </row>
    <row r="6051" spans="1:4" x14ac:dyDescent="0.2">
      <c r="A6051" s="146"/>
      <c r="D6051" s="496"/>
    </row>
    <row r="6052" spans="1:4" x14ac:dyDescent="0.2">
      <c r="A6052" s="146"/>
      <c r="D6052" s="496"/>
    </row>
    <row r="6053" spans="1:4" x14ac:dyDescent="0.2">
      <c r="A6053" s="146"/>
      <c r="D6053" s="496"/>
    </row>
    <row r="6054" spans="1:4" x14ac:dyDescent="0.2">
      <c r="A6054" s="146"/>
      <c r="D6054" s="496"/>
    </row>
    <row r="6055" spans="1:4" x14ac:dyDescent="0.2">
      <c r="A6055" s="146"/>
      <c r="D6055" s="496"/>
    </row>
    <row r="6056" spans="1:4" x14ac:dyDescent="0.2">
      <c r="A6056" s="146"/>
      <c r="D6056" s="496"/>
    </row>
    <row r="6057" spans="1:4" x14ac:dyDescent="0.2">
      <c r="A6057" s="146"/>
      <c r="D6057" s="496"/>
    </row>
    <row r="6058" spans="1:4" x14ac:dyDescent="0.2">
      <c r="A6058" s="146"/>
      <c r="D6058" s="496"/>
    </row>
    <row r="6059" spans="1:4" x14ac:dyDescent="0.2">
      <c r="A6059" s="146"/>
      <c r="D6059" s="496"/>
    </row>
    <row r="6060" spans="1:4" x14ac:dyDescent="0.2">
      <c r="A6060" s="146"/>
      <c r="D6060" s="496"/>
    </row>
    <row r="6061" spans="1:4" x14ac:dyDescent="0.2">
      <c r="A6061" s="146"/>
      <c r="D6061" s="496"/>
    </row>
    <row r="6062" spans="1:4" x14ac:dyDescent="0.2">
      <c r="A6062" s="146"/>
      <c r="D6062" s="496"/>
    </row>
    <row r="6063" spans="1:4" x14ac:dyDescent="0.2">
      <c r="A6063" s="146"/>
      <c r="D6063" s="496"/>
    </row>
    <row r="6064" spans="1:4" x14ac:dyDescent="0.2">
      <c r="A6064" s="146"/>
      <c r="D6064" s="496"/>
    </row>
    <row r="6065" spans="1:4" x14ac:dyDescent="0.2">
      <c r="A6065" s="146"/>
      <c r="D6065" s="496"/>
    </row>
    <row r="6066" spans="1:4" x14ac:dyDescent="0.2">
      <c r="A6066" s="146"/>
      <c r="D6066" s="496"/>
    </row>
    <row r="6067" spans="1:4" x14ac:dyDescent="0.2">
      <c r="A6067" s="146"/>
      <c r="D6067" s="496"/>
    </row>
    <row r="6068" spans="1:4" x14ac:dyDescent="0.2">
      <c r="A6068" s="146"/>
      <c r="D6068" s="496"/>
    </row>
    <row r="6069" spans="1:4" x14ac:dyDescent="0.2">
      <c r="A6069" s="146"/>
      <c r="D6069" s="496"/>
    </row>
    <row r="6070" spans="1:4" x14ac:dyDescent="0.2">
      <c r="A6070" s="146"/>
      <c r="D6070" s="496"/>
    </row>
    <row r="6071" spans="1:4" x14ac:dyDescent="0.2">
      <c r="A6071" s="146"/>
      <c r="D6071" s="496"/>
    </row>
    <row r="6072" spans="1:4" x14ac:dyDescent="0.2">
      <c r="A6072" s="146"/>
      <c r="D6072" s="496"/>
    </row>
    <row r="6073" spans="1:4" x14ac:dyDescent="0.2">
      <c r="A6073" s="146"/>
      <c r="D6073" s="496"/>
    </row>
    <row r="6074" spans="1:4" x14ac:dyDescent="0.2">
      <c r="A6074" s="146"/>
      <c r="D6074" s="496"/>
    </row>
    <row r="6075" spans="1:4" x14ac:dyDescent="0.2">
      <c r="A6075" s="146"/>
      <c r="D6075" s="496"/>
    </row>
    <row r="6076" spans="1:4" x14ac:dyDescent="0.2">
      <c r="A6076" s="146"/>
      <c r="D6076" s="496"/>
    </row>
    <row r="6077" spans="1:4" x14ac:dyDescent="0.2">
      <c r="A6077" s="146"/>
      <c r="D6077" s="496"/>
    </row>
    <row r="6078" spans="1:4" x14ac:dyDescent="0.2">
      <c r="A6078" s="146"/>
      <c r="D6078" s="496"/>
    </row>
    <row r="6079" spans="1:4" x14ac:dyDescent="0.2">
      <c r="A6079" s="146"/>
      <c r="D6079" s="496"/>
    </row>
    <row r="6080" spans="1:4" x14ac:dyDescent="0.2">
      <c r="A6080" s="146"/>
      <c r="D6080" s="496"/>
    </row>
    <row r="6081" spans="1:4" x14ac:dyDescent="0.2">
      <c r="A6081" s="146"/>
      <c r="D6081" s="496"/>
    </row>
    <row r="6082" spans="1:4" x14ac:dyDescent="0.2">
      <c r="A6082" s="146"/>
      <c r="D6082" s="496"/>
    </row>
    <row r="6083" spans="1:4" x14ac:dyDescent="0.2">
      <c r="A6083" s="146"/>
      <c r="D6083" s="496"/>
    </row>
    <row r="6084" spans="1:4" x14ac:dyDescent="0.2">
      <c r="A6084" s="146"/>
      <c r="D6084" s="496"/>
    </row>
    <row r="6085" spans="1:4" x14ac:dyDescent="0.2">
      <c r="A6085" s="146"/>
      <c r="D6085" s="496"/>
    </row>
    <row r="6086" spans="1:4" x14ac:dyDescent="0.2">
      <c r="A6086" s="146"/>
      <c r="D6086" s="496"/>
    </row>
    <row r="6087" spans="1:4" x14ac:dyDescent="0.2">
      <c r="A6087" s="146"/>
      <c r="D6087" s="496"/>
    </row>
    <row r="6088" spans="1:4" x14ac:dyDescent="0.2">
      <c r="A6088" s="146"/>
      <c r="D6088" s="496"/>
    </row>
    <row r="6089" spans="1:4" x14ac:dyDescent="0.2">
      <c r="A6089" s="146"/>
      <c r="D6089" s="496"/>
    </row>
    <row r="6090" spans="1:4" x14ac:dyDescent="0.2">
      <c r="A6090" s="146"/>
      <c r="D6090" s="496"/>
    </row>
    <row r="6091" spans="1:4" x14ac:dyDescent="0.2">
      <c r="A6091" s="146"/>
      <c r="D6091" s="496"/>
    </row>
    <row r="6092" spans="1:4" x14ac:dyDescent="0.2">
      <c r="A6092" s="146"/>
      <c r="D6092" s="496"/>
    </row>
    <row r="6093" spans="1:4" x14ac:dyDescent="0.2">
      <c r="A6093" s="146"/>
      <c r="D6093" s="496"/>
    </row>
    <row r="6094" spans="1:4" x14ac:dyDescent="0.2">
      <c r="A6094" s="146"/>
      <c r="D6094" s="496"/>
    </row>
    <row r="6095" spans="1:4" x14ac:dyDescent="0.2">
      <c r="A6095" s="146"/>
      <c r="D6095" s="496"/>
    </row>
    <row r="6096" spans="1:4" x14ac:dyDescent="0.2">
      <c r="A6096" s="146"/>
      <c r="D6096" s="496"/>
    </row>
    <row r="6097" spans="1:4" x14ac:dyDescent="0.2">
      <c r="A6097" s="146"/>
      <c r="D6097" s="496"/>
    </row>
    <row r="6098" spans="1:4" x14ac:dyDescent="0.2">
      <c r="A6098" s="146"/>
      <c r="D6098" s="496"/>
    </row>
    <row r="6099" spans="1:4" x14ac:dyDescent="0.2">
      <c r="A6099" s="146"/>
      <c r="D6099" s="496"/>
    </row>
    <row r="6100" spans="1:4" x14ac:dyDescent="0.2">
      <c r="A6100" s="146"/>
      <c r="D6100" s="496"/>
    </row>
    <row r="6101" spans="1:4" x14ac:dyDescent="0.2">
      <c r="A6101" s="146"/>
      <c r="D6101" s="496"/>
    </row>
    <row r="6102" spans="1:4" x14ac:dyDescent="0.2">
      <c r="A6102" s="146"/>
      <c r="D6102" s="496"/>
    </row>
    <row r="6103" spans="1:4" x14ac:dyDescent="0.2">
      <c r="A6103" s="146"/>
      <c r="D6103" s="496"/>
    </row>
    <row r="6104" spans="1:4" x14ac:dyDescent="0.2">
      <c r="A6104" s="146"/>
      <c r="D6104" s="496"/>
    </row>
    <row r="6105" spans="1:4" x14ac:dyDescent="0.2">
      <c r="A6105" s="146"/>
      <c r="D6105" s="496"/>
    </row>
    <row r="6106" spans="1:4" x14ac:dyDescent="0.2">
      <c r="A6106" s="146"/>
      <c r="D6106" s="496"/>
    </row>
    <row r="6107" spans="1:4" x14ac:dyDescent="0.2">
      <c r="A6107" s="146"/>
      <c r="D6107" s="496"/>
    </row>
    <row r="6108" spans="1:4" x14ac:dyDescent="0.2">
      <c r="A6108" s="146"/>
      <c r="D6108" s="496"/>
    </row>
    <row r="6109" spans="1:4" x14ac:dyDescent="0.2">
      <c r="A6109" s="146"/>
      <c r="D6109" s="496"/>
    </row>
    <row r="6110" spans="1:4" x14ac:dyDescent="0.2">
      <c r="A6110" s="146"/>
      <c r="D6110" s="496"/>
    </row>
    <row r="6111" spans="1:4" x14ac:dyDescent="0.2">
      <c r="A6111" s="146"/>
      <c r="D6111" s="496"/>
    </row>
    <row r="6112" spans="1:4" x14ac:dyDescent="0.2">
      <c r="A6112" s="146"/>
      <c r="D6112" s="496"/>
    </row>
    <row r="6113" spans="1:4" x14ac:dyDescent="0.2">
      <c r="A6113" s="146"/>
      <c r="D6113" s="496"/>
    </row>
    <row r="6114" spans="1:4" x14ac:dyDescent="0.2">
      <c r="A6114" s="146"/>
      <c r="D6114" s="496"/>
    </row>
    <row r="6115" spans="1:4" x14ac:dyDescent="0.2">
      <c r="A6115" s="146"/>
      <c r="D6115" s="496"/>
    </row>
    <row r="6116" spans="1:4" x14ac:dyDescent="0.2">
      <c r="A6116" s="146"/>
      <c r="D6116" s="496"/>
    </row>
    <row r="6117" spans="1:4" x14ac:dyDescent="0.2">
      <c r="A6117" s="146"/>
      <c r="D6117" s="496"/>
    </row>
    <row r="6118" spans="1:4" x14ac:dyDescent="0.2">
      <c r="A6118" s="146"/>
      <c r="D6118" s="496"/>
    </row>
    <row r="6119" spans="1:4" x14ac:dyDescent="0.2">
      <c r="A6119" s="146"/>
      <c r="D6119" s="496"/>
    </row>
    <row r="6120" spans="1:4" x14ac:dyDescent="0.2">
      <c r="A6120" s="146"/>
      <c r="D6120" s="496"/>
    </row>
    <row r="6121" spans="1:4" x14ac:dyDescent="0.2">
      <c r="A6121" s="146"/>
      <c r="D6121" s="496"/>
    </row>
    <row r="6122" spans="1:4" x14ac:dyDescent="0.2">
      <c r="A6122" s="146"/>
      <c r="D6122" s="496"/>
    </row>
    <row r="6123" spans="1:4" x14ac:dyDescent="0.2">
      <c r="A6123" s="146"/>
      <c r="D6123" s="496"/>
    </row>
    <row r="6124" spans="1:4" x14ac:dyDescent="0.2">
      <c r="A6124" s="146"/>
      <c r="D6124" s="496"/>
    </row>
    <row r="6125" spans="1:4" x14ac:dyDescent="0.2">
      <c r="A6125" s="146"/>
      <c r="D6125" s="496"/>
    </row>
    <row r="6126" spans="1:4" x14ac:dyDescent="0.2">
      <c r="A6126" s="146"/>
      <c r="D6126" s="496"/>
    </row>
    <row r="6127" spans="1:4" x14ac:dyDescent="0.2">
      <c r="A6127" s="146"/>
      <c r="D6127" s="496"/>
    </row>
    <row r="6128" spans="1:4" x14ac:dyDescent="0.2">
      <c r="A6128" s="146"/>
      <c r="D6128" s="496"/>
    </row>
    <row r="6129" spans="1:4" x14ac:dyDescent="0.2">
      <c r="A6129" s="146"/>
      <c r="D6129" s="496"/>
    </row>
    <row r="6130" spans="1:4" x14ac:dyDescent="0.2">
      <c r="A6130" s="146"/>
      <c r="D6130" s="496"/>
    </row>
    <row r="6131" spans="1:4" x14ac:dyDescent="0.2">
      <c r="A6131" s="146"/>
      <c r="D6131" s="496"/>
    </row>
    <row r="6132" spans="1:4" x14ac:dyDescent="0.2">
      <c r="A6132" s="146"/>
      <c r="D6132" s="496"/>
    </row>
    <row r="6133" spans="1:4" x14ac:dyDescent="0.2">
      <c r="A6133" s="146"/>
      <c r="D6133" s="496"/>
    </row>
    <row r="6134" spans="1:4" x14ac:dyDescent="0.2">
      <c r="A6134" s="146"/>
      <c r="D6134" s="496"/>
    </row>
    <row r="6135" spans="1:4" x14ac:dyDescent="0.2">
      <c r="A6135" s="146"/>
      <c r="D6135" s="496"/>
    </row>
    <row r="6136" spans="1:4" x14ac:dyDescent="0.2">
      <c r="A6136" s="146"/>
      <c r="D6136" s="496"/>
    </row>
    <row r="6137" spans="1:4" x14ac:dyDescent="0.2">
      <c r="A6137" s="146"/>
      <c r="D6137" s="496"/>
    </row>
    <row r="6138" spans="1:4" x14ac:dyDescent="0.2">
      <c r="A6138" s="146"/>
      <c r="D6138" s="496"/>
    </row>
    <row r="6139" spans="1:4" x14ac:dyDescent="0.2">
      <c r="A6139" s="146"/>
      <c r="D6139" s="496"/>
    </row>
    <row r="6140" spans="1:4" x14ac:dyDescent="0.2">
      <c r="A6140" s="146"/>
      <c r="D6140" s="496"/>
    </row>
    <row r="6141" spans="1:4" x14ac:dyDescent="0.2">
      <c r="A6141" s="146"/>
      <c r="D6141" s="496"/>
    </row>
    <row r="6142" spans="1:4" x14ac:dyDescent="0.2">
      <c r="A6142" s="146"/>
      <c r="D6142" s="496"/>
    </row>
    <row r="6143" spans="1:4" x14ac:dyDescent="0.2">
      <c r="A6143" s="146"/>
      <c r="D6143" s="496"/>
    </row>
    <row r="6144" spans="1:4" x14ac:dyDescent="0.2">
      <c r="A6144" s="146"/>
      <c r="D6144" s="496"/>
    </row>
    <row r="6145" spans="1:4" x14ac:dyDescent="0.2">
      <c r="A6145" s="146"/>
      <c r="D6145" s="496"/>
    </row>
    <row r="6146" spans="1:4" x14ac:dyDescent="0.2">
      <c r="A6146" s="146"/>
      <c r="D6146" s="496"/>
    </row>
    <row r="6147" spans="1:4" x14ac:dyDescent="0.2">
      <c r="A6147" s="146"/>
      <c r="D6147" s="496"/>
    </row>
    <row r="6148" spans="1:4" x14ac:dyDescent="0.2">
      <c r="A6148" s="146"/>
      <c r="D6148" s="496"/>
    </row>
    <row r="6149" spans="1:4" x14ac:dyDescent="0.2">
      <c r="A6149" s="146"/>
      <c r="D6149" s="496"/>
    </row>
    <row r="6150" spans="1:4" x14ac:dyDescent="0.2">
      <c r="A6150" s="146"/>
      <c r="D6150" s="496"/>
    </row>
    <row r="6151" spans="1:4" x14ac:dyDescent="0.2">
      <c r="A6151" s="146"/>
      <c r="D6151" s="496"/>
    </row>
    <row r="6152" spans="1:4" x14ac:dyDescent="0.2">
      <c r="A6152" s="146"/>
      <c r="D6152" s="496"/>
    </row>
    <row r="6153" spans="1:4" x14ac:dyDescent="0.2">
      <c r="A6153" s="146"/>
      <c r="D6153" s="496"/>
    </row>
    <row r="6154" spans="1:4" x14ac:dyDescent="0.2">
      <c r="A6154" s="146"/>
      <c r="D6154" s="496"/>
    </row>
    <row r="6155" spans="1:4" x14ac:dyDescent="0.2">
      <c r="A6155" s="146"/>
      <c r="D6155" s="496"/>
    </row>
    <row r="6156" spans="1:4" x14ac:dyDescent="0.2">
      <c r="A6156" s="146"/>
      <c r="D6156" s="496"/>
    </row>
    <row r="6157" spans="1:4" x14ac:dyDescent="0.2">
      <c r="A6157" s="146"/>
      <c r="D6157" s="496"/>
    </row>
    <row r="6158" spans="1:4" x14ac:dyDescent="0.2">
      <c r="A6158" s="146"/>
      <c r="D6158" s="496"/>
    </row>
    <row r="6159" spans="1:4" x14ac:dyDescent="0.2">
      <c r="A6159" s="146"/>
      <c r="D6159" s="496"/>
    </row>
    <row r="6160" spans="1:4" x14ac:dyDescent="0.2">
      <c r="A6160" s="146"/>
      <c r="D6160" s="496"/>
    </row>
    <row r="6161" spans="1:4" x14ac:dyDescent="0.2">
      <c r="A6161" s="146"/>
      <c r="D6161" s="496"/>
    </row>
    <row r="6162" spans="1:4" x14ac:dyDescent="0.2">
      <c r="A6162" s="146"/>
      <c r="D6162" s="496"/>
    </row>
    <row r="6163" spans="1:4" x14ac:dyDescent="0.2">
      <c r="A6163" s="146"/>
      <c r="D6163" s="496"/>
    </row>
    <row r="6164" spans="1:4" x14ac:dyDescent="0.2">
      <c r="A6164" s="146"/>
      <c r="D6164" s="496"/>
    </row>
    <row r="6165" spans="1:4" x14ac:dyDescent="0.2">
      <c r="A6165" s="146"/>
      <c r="D6165" s="496"/>
    </row>
    <row r="6166" spans="1:4" x14ac:dyDescent="0.2">
      <c r="A6166" s="146"/>
      <c r="D6166" s="496"/>
    </row>
    <row r="6167" spans="1:4" x14ac:dyDescent="0.2">
      <c r="A6167" s="146"/>
      <c r="D6167" s="496"/>
    </row>
    <row r="6168" spans="1:4" x14ac:dyDescent="0.2">
      <c r="A6168" s="146"/>
      <c r="D6168" s="496"/>
    </row>
    <row r="6169" spans="1:4" x14ac:dyDescent="0.2">
      <c r="A6169" s="146"/>
      <c r="D6169" s="496"/>
    </row>
    <row r="6170" spans="1:4" x14ac:dyDescent="0.2">
      <c r="A6170" s="146"/>
      <c r="D6170" s="496"/>
    </row>
    <row r="6171" spans="1:4" x14ac:dyDescent="0.2">
      <c r="A6171" s="146"/>
      <c r="D6171" s="496"/>
    </row>
    <row r="6172" spans="1:4" x14ac:dyDescent="0.2">
      <c r="A6172" s="146"/>
      <c r="D6172" s="496"/>
    </row>
    <row r="6173" spans="1:4" x14ac:dyDescent="0.2">
      <c r="A6173" s="146"/>
      <c r="D6173" s="496"/>
    </row>
    <row r="6174" spans="1:4" x14ac:dyDescent="0.2">
      <c r="A6174" s="146"/>
      <c r="D6174" s="496"/>
    </row>
    <row r="6175" spans="1:4" x14ac:dyDescent="0.2">
      <c r="A6175" s="146"/>
      <c r="D6175" s="496"/>
    </row>
    <row r="6176" spans="1:4" x14ac:dyDescent="0.2">
      <c r="A6176" s="146"/>
      <c r="D6176" s="496"/>
    </row>
    <row r="6177" spans="1:4" x14ac:dyDescent="0.2">
      <c r="A6177" s="146"/>
      <c r="D6177" s="496"/>
    </row>
    <row r="6178" spans="1:4" x14ac:dyDescent="0.2">
      <c r="A6178" s="146"/>
      <c r="D6178" s="496"/>
    </row>
    <row r="6179" spans="1:4" x14ac:dyDescent="0.2">
      <c r="A6179" s="146"/>
      <c r="D6179" s="496"/>
    </row>
    <row r="6180" spans="1:4" x14ac:dyDescent="0.2">
      <c r="A6180" s="146"/>
      <c r="D6180" s="496"/>
    </row>
    <row r="6181" spans="1:4" x14ac:dyDescent="0.2">
      <c r="A6181" s="146"/>
      <c r="D6181" s="496"/>
    </row>
    <row r="6182" spans="1:4" x14ac:dyDescent="0.2">
      <c r="A6182" s="146"/>
      <c r="D6182" s="496"/>
    </row>
    <row r="6183" spans="1:4" x14ac:dyDescent="0.2">
      <c r="A6183" s="146"/>
      <c r="D6183" s="496"/>
    </row>
    <row r="6184" spans="1:4" x14ac:dyDescent="0.2">
      <c r="A6184" s="146"/>
      <c r="D6184" s="496"/>
    </row>
    <row r="6185" spans="1:4" x14ac:dyDescent="0.2">
      <c r="A6185" s="146"/>
      <c r="D6185" s="496"/>
    </row>
    <row r="6186" spans="1:4" x14ac:dyDescent="0.2">
      <c r="A6186" s="146"/>
      <c r="D6186" s="496"/>
    </row>
    <row r="6187" spans="1:4" x14ac:dyDescent="0.2">
      <c r="A6187" s="146"/>
      <c r="D6187" s="496"/>
    </row>
    <row r="6188" spans="1:4" x14ac:dyDescent="0.2">
      <c r="A6188" s="146"/>
      <c r="D6188" s="496"/>
    </row>
    <row r="6189" spans="1:4" x14ac:dyDescent="0.2">
      <c r="A6189" s="146"/>
      <c r="D6189" s="496"/>
    </row>
    <row r="6190" spans="1:4" x14ac:dyDescent="0.2">
      <c r="A6190" s="146"/>
      <c r="D6190" s="496"/>
    </row>
    <row r="6191" spans="1:4" x14ac:dyDescent="0.2">
      <c r="A6191" s="146"/>
      <c r="D6191" s="496"/>
    </row>
    <row r="6192" spans="1:4" x14ac:dyDescent="0.2">
      <c r="A6192" s="146"/>
      <c r="D6192" s="496"/>
    </row>
    <row r="6193" spans="1:4" x14ac:dyDescent="0.2">
      <c r="A6193" s="146"/>
      <c r="D6193" s="496"/>
    </row>
    <row r="6194" spans="1:4" x14ac:dyDescent="0.2">
      <c r="A6194" s="146"/>
      <c r="D6194" s="496"/>
    </row>
    <row r="6195" spans="1:4" x14ac:dyDescent="0.2">
      <c r="A6195" s="146"/>
      <c r="D6195" s="496"/>
    </row>
    <row r="6196" spans="1:4" x14ac:dyDescent="0.2">
      <c r="A6196" s="146"/>
      <c r="D6196" s="496"/>
    </row>
    <row r="6197" spans="1:4" x14ac:dyDescent="0.2">
      <c r="A6197" s="146"/>
      <c r="D6197" s="496"/>
    </row>
    <row r="6198" spans="1:4" x14ac:dyDescent="0.2">
      <c r="A6198" s="146"/>
      <c r="D6198" s="496"/>
    </row>
    <row r="6199" spans="1:4" x14ac:dyDescent="0.2">
      <c r="A6199" s="146"/>
      <c r="D6199" s="496"/>
    </row>
    <row r="6200" spans="1:4" x14ac:dyDescent="0.2">
      <c r="A6200" s="146"/>
      <c r="D6200" s="496"/>
    </row>
    <row r="6201" spans="1:4" x14ac:dyDescent="0.2">
      <c r="A6201" s="146"/>
      <c r="D6201" s="496"/>
    </row>
    <row r="6202" spans="1:4" x14ac:dyDescent="0.2">
      <c r="A6202" s="146"/>
      <c r="D6202" s="496"/>
    </row>
    <row r="6203" spans="1:4" x14ac:dyDescent="0.2">
      <c r="A6203" s="146"/>
      <c r="D6203" s="496"/>
    </row>
    <row r="6204" spans="1:4" x14ac:dyDescent="0.2">
      <c r="A6204" s="146"/>
      <c r="D6204" s="496"/>
    </row>
    <row r="6205" spans="1:4" x14ac:dyDescent="0.2">
      <c r="A6205" s="146"/>
      <c r="D6205" s="496"/>
    </row>
    <row r="6206" spans="1:4" x14ac:dyDescent="0.2">
      <c r="A6206" s="146"/>
      <c r="D6206" s="496"/>
    </row>
    <row r="6207" spans="1:4" x14ac:dyDescent="0.2">
      <c r="A6207" s="146"/>
      <c r="D6207" s="496"/>
    </row>
    <row r="6208" spans="1:4" x14ac:dyDescent="0.2">
      <c r="A6208" s="146"/>
      <c r="D6208" s="496"/>
    </row>
    <row r="6209" spans="1:4" x14ac:dyDescent="0.2">
      <c r="A6209" s="146"/>
      <c r="D6209" s="496"/>
    </row>
    <row r="6210" spans="1:4" x14ac:dyDescent="0.2">
      <c r="A6210" s="146"/>
      <c r="D6210" s="496"/>
    </row>
    <row r="6211" spans="1:4" x14ac:dyDescent="0.2">
      <c r="A6211" s="146"/>
      <c r="D6211" s="496"/>
    </row>
    <row r="6212" spans="1:4" x14ac:dyDescent="0.2">
      <c r="A6212" s="146"/>
      <c r="D6212" s="496"/>
    </row>
    <row r="6213" spans="1:4" x14ac:dyDescent="0.2">
      <c r="A6213" s="146"/>
      <c r="D6213" s="496"/>
    </row>
    <row r="6214" spans="1:4" x14ac:dyDescent="0.2">
      <c r="A6214" s="146"/>
      <c r="D6214" s="496"/>
    </row>
    <row r="6215" spans="1:4" x14ac:dyDescent="0.2">
      <c r="A6215" s="146"/>
      <c r="D6215" s="496"/>
    </row>
    <row r="6216" spans="1:4" x14ac:dyDescent="0.2">
      <c r="A6216" s="146"/>
      <c r="D6216" s="496"/>
    </row>
    <row r="6217" spans="1:4" x14ac:dyDescent="0.2">
      <c r="A6217" s="146"/>
      <c r="D6217" s="496"/>
    </row>
    <row r="6218" spans="1:4" x14ac:dyDescent="0.2">
      <c r="A6218" s="146"/>
      <c r="D6218" s="496"/>
    </row>
    <row r="6219" spans="1:4" x14ac:dyDescent="0.2">
      <c r="A6219" s="146"/>
      <c r="D6219" s="496"/>
    </row>
    <row r="6220" spans="1:4" x14ac:dyDescent="0.2">
      <c r="A6220" s="146"/>
      <c r="D6220" s="496"/>
    </row>
    <row r="6221" spans="1:4" x14ac:dyDescent="0.2">
      <c r="A6221" s="146"/>
      <c r="D6221" s="496"/>
    </row>
    <row r="6222" spans="1:4" x14ac:dyDescent="0.2">
      <c r="A6222" s="146"/>
      <c r="D6222" s="496"/>
    </row>
    <row r="6223" spans="1:4" x14ac:dyDescent="0.2">
      <c r="A6223" s="146"/>
      <c r="D6223" s="496"/>
    </row>
    <row r="6224" spans="1:4" x14ac:dyDescent="0.2">
      <c r="A6224" s="146"/>
      <c r="D6224" s="496"/>
    </row>
    <row r="6225" spans="1:4" x14ac:dyDescent="0.2">
      <c r="A6225" s="146"/>
      <c r="D6225" s="496"/>
    </row>
    <row r="6226" spans="1:4" x14ac:dyDescent="0.2">
      <c r="A6226" s="146"/>
      <c r="D6226" s="496"/>
    </row>
    <row r="6227" spans="1:4" x14ac:dyDescent="0.2">
      <c r="A6227" s="146"/>
      <c r="D6227" s="496"/>
    </row>
    <row r="6228" spans="1:4" x14ac:dyDescent="0.2">
      <c r="A6228" s="146"/>
      <c r="D6228" s="496"/>
    </row>
    <row r="6229" spans="1:4" x14ac:dyDescent="0.2">
      <c r="A6229" s="146"/>
      <c r="D6229" s="496"/>
    </row>
    <row r="6230" spans="1:4" x14ac:dyDescent="0.2">
      <c r="A6230" s="146"/>
      <c r="D6230" s="496"/>
    </row>
    <row r="6231" spans="1:4" x14ac:dyDescent="0.2">
      <c r="A6231" s="146"/>
      <c r="D6231" s="496"/>
    </row>
    <row r="6232" spans="1:4" x14ac:dyDescent="0.2">
      <c r="A6232" s="146"/>
      <c r="D6232" s="496"/>
    </row>
    <row r="6233" spans="1:4" x14ac:dyDescent="0.2">
      <c r="A6233" s="146"/>
      <c r="D6233" s="496"/>
    </row>
    <row r="6234" spans="1:4" x14ac:dyDescent="0.2">
      <c r="A6234" s="146"/>
      <c r="D6234" s="496"/>
    </row>
    <row r="6235" spans="1:4" x14ac:dyDescent="0.2">
      <c r="A6235" s="146"/>
      <c r="D6235" s="496"/>
    </row>
    <row r="6236" spans="1:4" x14ac:dyDescent="0.2">
      <c r="A6236" s="146"/>
      <c r="D6236" s="496"/>
    </row>
    <row r="6237" spans="1:4" x14ac:dyDescent="0.2">
      <c r="A6237" s="146"/>
      <c r="D6237" s="496"/>
    </row>
    <row r="6238" spans="1:4" x14ac:dyDescent="0.2">
      <c r="A6238" s="146"/>
      <c r="D6238" s="496"/>
    </row>
    <row r="6239" spans="1:4" x14ac:dyDescent="0.2">
      <c r="A6239" s="146"/>
      <c r="D6239" s="496"/>
    </row>
    <row r="6240" spans="1:4" x14ac:dyDescent="0.2">
      <c r="A6240" s="146"/>
      <c r="D6240" s="496"/>
    </row>
    <row r="6241" spans="1:4" x14ac:dyDescent="0.2">
      <c r="A6241" s="146"/>
      <c r="D6241" s="496"/>
    </row>
    <row r="6242" spans="1:4" x14ac:dyDescent="0.2">
      <c r="A6242" s="146"/>
      <c r="D6242" s="496"/>
    </row>
    <row r="6243" spans="1:4" x14ac:dyDescent="0.2">
      <c r="A6243" s="146"/>
      <c r="D6243" s="496"/>
    </row>
    <row r="6244" spans="1:4" x14ac:dyDescent="0.2">
      <c r="A6244" s="146"/>
      <c r="D6244" s="496"/>
    </row>
    <row r="6245" spans="1:4" x14ac:dyDescent="0.2">
      <c r="A6245" s="146"/>
      <c r="D6245" s="496"/>
    </row>
    <row r="6246" spans="1:4" x14ac:dyDescent="0.2">
      <c r="A6246" s="146"/>
      <c r="D6246" s="496"/>
    </row>
    <row r="6247" spans="1:4" x14ac:dyDescent="0.2">
      <c r="A6247" s="146"/>
      <c r="D6247" s="496"/>
    </row>
    <row r="6248" spans="1:4" x14ac:dyDescent="0.2">
      <c r="A6248" s="146"/>
      <c r="D6248" s="496"/>
    </row>
    <row r="6249" spans="1:4" x14ac:dyDescent="0.2">
      <c r="A6249" s="146"/>
      <c r="D6249" s="496"/>
    </row>
    <row r="6250" spans="1:4" x14ac:dyDescent="0.2">
      <c r="A6250" s="146"/>
      <c r="D6250" s="496"/>
    </row>
    <row r="6251" spans="1:4" x14ac:dyDescent="0.2">
      <c r="A6251" s="146"/>
      <c r="D6251" s="496"/>
    </row>
    <row r="6252" spans="1:4" x14ac:dyDescent="0.2">
      <c r="A6252" s="146"/>
      <c r="D6252" s="496"/>
    </row>
    <row r="6253" spans="1:4" x14ac:dyDescent="0.2">
      <c r="A6253" s="146"/>
      <c r="D6253" s="496"/>
    </row>
    <row r="6254" spans="1:4" x14ac:dyDescent="0.2">
      <c r="A6254" s="146"/>
      <c r="D6254" s="496"/>
    </row>
    <row r="6255" spans="1:4" x14ac:dyDescent="0.2">
      <c r="A6255" s="146"/>
      <c r="D6255" s="496"/>
    </row>
    <row r="6256" spans="1:4" x14ac:dyDescent="0.2">
      <c r="A6256" s="146"/>
      <c r="D6256" s="496"/>
    </row>
    <row r="6257" spans="1:4" x14ac:dyDescent="0.2">
      <c r="A6257" s="146"/>
      <c r="D6257" s="496"/>
    </row>
    <row r="6258" spans="1:4" x14ac:dyDescent="0.2">
      <c r="A6258" s="146"/>
      <c r="D6258" s="496"/>
    </row>
    <row r="6259" spans="1:4" x14ac:dyDescent="0.2">
      <c r="A6259" s="146"/>
      <c r="D6259" s="496"/>
    </row>
    <row r="6260" spans="1:4" x14ac:dyDescent="0.2">
      <c r="A6260" s="146"/>
      <c r="D6260" s="496"/>
    </row>
    <row r="6261" spans="1:4" x14ac:dyDescent="0.2">
      <c r="A6261" s="146"/>
      <c r="D6261" s="496"/>
    </row>
    <row r="6262" spans="1:4" x14ac:dyDescent="0.2">
      <c r="A6262" s="146"/>
      <c r="D6262" s="496"/>
    </row>
    <row r="6263" spans="1:4" x14ac:dyDescent="0.2">
      <c r="A6263" s="146"/>
      <c r="D6263" s="496"/>
    </row>
    <row r="6264" spans="1:4" x14ac:dyDescent="0.2">
      <c r="A6264" s="146"/>
      <c r="D6264" s="496"/>
    </row>
    <row r="6265" spans="1:4" x14ac:dyDescent="0.2">
      <c r="A6265" s="146"/>
      <c r="D6265" s="496"/>
    </row>
    <row r="6266" spans="1:4" x14ac:dyDescent="0.2">
      <c r="A6266" s="146"/>
      <c r="D6266" s="496"/>
    </row>
    <row r="6267" spans="1:4" x14ac:dyDescent="0.2">
      <c r="A6267" s="146"/>
      <c r="D6267" s="496"/>
    </row>
    <row r="6268" spans="1:4" x14ac:dyDescent="0.2">
      <c r="A6268" s="146"/>
      <c r="D6268" s="496"/>
    </row>
    <row r="6269" spans="1:4" x14ac:dyDescent="0.2">
      <c r="A6269" s="146"/>
      <c r="D6269" s="496"/>
    </row>
    <row r="6270" spans="1:4" x14ac:dyDescent="0.2">
      <c r="A6270" s="146"/>
      <c r="D6270" s="496"/>
    </row>
    <row r="6271" spans="1:4" x14ac:dyDescent="0.2">
      <c r="A6271" s="146"/>
      <c r="D6271" s="496"/>
    </row>
    <row r="6272" spans="1:4" x14ac:dyDescent="0.2">
      <c r="A6272" s="146"/>
      <c r="D6272" s="496"/>
    </row>
    <row r="6273" spans="1:4" x14ac:dyDescent="0.2">
      <c r="A6273" s="146"/>
      <c r="D6273" s="496"/>
    </row>
    <row r="6274" spans="1:4" x14ac:dyDescent="0.2">
      <c r="A6274" s="146"/>
      <c r="D6274" s="496"/>
    </row>
    <row r="6275" spans="1:4" x14ac:dyDescent="0.2">
      <c r="A6275" s="146"/>
      <c r="D6275" s="496"/>
    </row>
    <row r="6276" spans="1:4" x14ac:dyDescent="0.2">
      <c r="A6276" s="146"/>
      <c r="D6276" s="496"/>
    </row>
    <row r="6277" spans="1:4" x14ac:dyDescent="0.2">
      <c r="A6277" s="146"/>
      <c r="D6277" s="496"/>
    </row>
    <row r="6278" spans="1:4" x14ac:dyDescent="0.2">
      <c r="A6278" s="146"/>
      <c r="D6278" s="496"/>
    </row>
    <row r="6279" spans="1:4" x14ac:dyDescent="0.2">
      <c r="A6279" s="146"/>
      <c r="D6279" s="496"/>
    </row>
    <row r="6280" spans="1:4" x14ac:dyDescent="0.2">
      <c r="A6280" s="146"/>
      <c r="D6280" s="496"/>
    </row>
    <row r="6281" spans="1:4" x14ac:dyDescent="0.2">
      <c r="A6281" s="146"/>
      <c r="D6281" s="496"/>
    </row>
    <row r="6282" spans="1:4" x14ac:dyDescent="0.2">
      <c r="A6282" s="146"/>
      <c r="D6282" s="496"/>
    </row>
    <row r="6283" spans="1:4" x14ac:dyDescent="0.2">
      <c r="A6283" s="146"/>
      <c r="D6283" s="496"/>
    </row>
    <row r="6284" spans="1:4" x14ac:dyDescent="0.2">
      <c r="A6284" s="146"/>
      <c r="D6284" s="496"/>
    </row>
    <row r="6285" spans="1:4" x14ac:dyDescent="0.2">
      <c r="A6285" s="146"/>
      <c r="D6285" s="496"/>
    </row>
    <row r="6286" spans="1:4" x14ac:dyDescent="0.2">
      <c r="A6286" s="146"/>
      <c r="D6286" s="496"/>
    </row>
    <row r="6287" spans="1:4" x14ac:dyDescent="0.2">
      <c r="A6287" s="146"/>
      <c r="D6287" s="496"/>
    </row>
    <row r="6288" spans="1:4" x14ac:dyDescent="0.2">
      <c r="A6288" s="146"/>
      <c r="D6288" s="496"/>
    </row>
    <row r="6289" spans="1:4" x14ac:dyDescent="0.2">
      <c r="A6289" s="146"/>
      <c r="D6289" s="496"/>
    </row>
    <row r="6290" spans="1:4" x14ac:dyDescent="0.2">
      <c r="A6290" s="146"/>
      <c r="D6290" s="496"/>
    </row>
    <row r="6291" spans="1:4" x14ac:dyDescent="0.2">
      <c r="A6291" s="146"/>
      <c r="D6291" s="496"/>
    </row>
    <row r="6292" spans="1:4" x14ac:dyDescent="0.2">
      <c r="A6292" s="146"/>
      <c r="D6292" s="496"/>
    </row>
    <row r="6293" spans="1:4" x14ac:dyDescent="0.2">
      <c r="A6293" s="146"/>
      <c r="D6293" s="496"/>
    </row>
    <row r="6294" spans="1:4" x14ac:dyDescent="0.2">
      <c r="A6294" s="146"/>
      <c r="D6294" s="496"/>
    </row>
    <row r="6295" spans="1:4" x14ac:dyDescent="0.2">
      <c r="A6295" s="146"/>
      <c r="D6295" s="496"/>
    </row>
    <row r="6296" spans="1:4" x14ac:dyDescent="0.2">
      <c r="A6296" s="146"/>
      <c r="D6296" s="496"/>
    </row>
    <row r="6297" spans="1:4" x14ac:dyDescent="0.2">
      <c r="A6297" s="146"/>
      <c r="D6297" s="496"/>
    </row>
    <row r="6298" spans="1:4" x14ac:dyDescent="0.2">
      <c r="A6298" s="146"/>
      <c r="D6298" s="496"/>
    </row>
    <row r="6299" spans="1:4" x14ac:dyDescent="0.2">
      <c r="A6299" s="146"/>
      <c r="D6299" s="496"/>
    </row>
    <row r="6300" spans="1:4" x14ac:dyDescent="0.2">
      <c r="A6300" s="146"/>
      <c r="D6300" s="496"/>
    </row>
    <row r="6301" spans="1:4" x14ac:dyDescent="0.2">
      <c r="A6301" s="146"/>
      <c r="D6301" s="496"/>
    </row>
    <row r="6302" spans="1:4" x14ac:dyDescent="0.2">
      <c r="A6302" s="146"/>
      <c r="D6302" s="496"/>
    </row>
    <row r="6303" spans="1:4" x14ac:dyDescent="0.2">
      <c r="A6303" s="146"/>
      <c r="D6303" s="496"/>
    </row>
    <row r="6304" spans="1:4" x14ac:dyDescent="0.2">
      <c r="A6304" s="146"/>
      <c r="D6304" s="496"/>
    </row>
    <row r="6305" spans="1:4" x14ac:dyDescent="0.2">
      <c r="A6305" s="146"/>
      <c r="D6305" s="496"/>
    </row>
    <row r="6306" spans="1:4" x14ac:dyDescent="0.2">
      <c r="A6306" s="146"/>
      <c r="D6306" s="496"/>
    </row>
    <row r="6307" spans="1:4" x14ac:dyDescent="0.2">
      <c r="A6307" s="146"/>
      <c r="D6307" s="496"/>
    </row>
    <row r="6308" spans="1:4" x14ac:dyDescent="0.2">
      <c r="A6308" s="146"/>
      <c r="D6308" s="496"/>
    </row>
    <row r="6309" spans="1:4" x14ac:dyDescent="0.2">
      <c r="A6309" s="146"/>
      <c r="D6309" s="496"/>
    </row>
    <row r="6310" spans="1:4" x14ac:dyDescent="0.2">
      <c r="A6310" s="146"/>
      <c r="D6310" s="496"/>
    </row>
    <row r="6311" spans="1:4" x14ac:dyDescent="0.2">
      <c r="A6311" s="146"/>
      <c r="D6311" s="496"/>
    </row>
    <row r="6312" spans="1:4" x14ac:dyDescent="0.2">
      <c r="A6312" s="146"/>
      <c r="D6312" s="496"/>
    </row>
    <row r="6313" spans="1:4" x14ac:dyDescent="0.2">
      <c r="A6313" s="146"/>
      <c r="D6313" s="496"/>
    </row>
    <row r="6314" spans="1:4" x14ac:dyDescent="0.2">
      <c r="A6314" s="146"/>
      <c r="D6314" s="496"/>
    </row>
    <row r="6315" spans="1:4" x14ac:dyDescent="0.2">
      <c r="A6315" s="146"/>
      <c r="D6315" s="496"/>
    </row>
    <row r="6316" spans="1:4" x14ac:dyDescent="0.2">
      <c r="A6316" s="146"/>
      <c r="D6316" s="496"/>
    </row>
    <row r="6317" spans="1:4" x14ac:dyDescent="0.2">
      <c r="A6317" s="146"/>
      <c r="D6317" s="496"/>
    </row>
    <row r="6318" spans="1:4" x14ac:dyDescent="0.2">
      <c r="A6318" s="146"/>
      <c r="D6318" s="496"/>
    </row>
    <row r="6319" spans="1:4" x14ac:dyDescent="0.2">
      <c r="A6319" s="146"/>
      <c r="D6319" s="496"/>
    </row>
    <row r="6320" spans="1:4" x14ac:dyDescent="0.2">
      <c r="A6320" s="146"/>
      <c r="D6320" s="496"/>
    </row>
    <row r="6321" spans="1:4" x14ac:dyDescent="0.2">
      <c r="A6321" s="146"/>
      <c r="D6321" s="496"/>
    </row>
    <row r="6322" spans="1:4" x14ac:dyDescent="0.2">
      <c r="A6322" s="146"/>
      <c r="D6322" s="496"/>
    </row>
    <row r="6323" spans="1:4" x14ac:dyDescent="0.2">
      <c r="A6323" s="146"/>
      <c r="D6323" s="496"/>
    </row>
    <row r="6324" spans="1:4" x14ac:dyDescent="0.2">
      <c r="A6324" s="146"/>
      <c r="D6324" s="496"/>
    </row>
    <row r="6325" spans="1:4" x14ac:dyDescent="0.2">
      <c r="A6325" s="146"/>
      <c r="D6325" s="496"/>
    </row>
    <row r="6326" spans="1:4" x14ac:dyDescent="0.2">
      <c r="A6326" s="146"/>
      <c r="D6326" s="496"/>
    </row>
    <row r="6327" spans="1:4" x14ac:dyDescent="0.2">
      <c r="A6327" s="146"/>
      <c r="D6327" s="496"/>
    </row>
    <row r="6328" spans="1:4" x14ac:dyDescent="0.2">
      <c r="A6328" s="146"/>
      <c r="D6328" s="496"/>
    </row>
    <row r="6329" spans="1:4" x14ac:dyDescent="0.2">
      <c r="A6329" s="146"/>
      <c r="D6329" s="496"/>
    </row>
    <row r="6330" spans="1:4" x14ac:dyDescent="0.2">
      <c r="A6330" s="146"/>
      <c r="D6330" s="496"/>
    </row>
    <row r="6331" spans="1:4" x14ac:dyDescent="0.2">
      <c r="A6331" s="146"/>
      <c r="D6331" s="496"/>
    </row>
    <row r="6332" spans="1:4" x14ac:dyDescent="0.2">
      <c r="A6332" s="146"/>
      <c r="D6332" s="496"/>
    </row>
    <row r="6333" spans="1:4" x14ac:dyDescent="0.2">
      <c r="A6333" s="146"/>
      <c r="D6333" s="496"/>
    </row>
    <row r="6334" spans="1:4" x14ac:dyDescent="0.2">
      <c r="A6334" s="146"/>
      <c r="D6334" s="496"/>
    </row>
    <row r="6335" spans="1:4" x14ac:dyDescent="0.2">
      <c r="A6335" s="146"/>
      <c r="D6335" s="496"/>
    </row>
    <row r="6336" spans="1:4" x14ac:dyDescent="0.2">
      <c r="A6336" s="146"/>
      <c r="D6336" s="496"/>
    </row>
    <row r="6337" spans="1:4" x14ac:dyDescent="0.2">
      <c r="A6337" s="146"/>
      <c r="D6337" s="496"/>
    </row>
    <row r="6338" spans="1:4" x14ac:dyDescent="0.2">
      <c r="A6338" s="146"/>
      <c r="D6338" s="496"/>
    </row>
    <row r="6339" spans="1:4" x14ac:dyDescent="0.2">
      <c r="A6339" s="146"/>
      <c r="D6339" s="496"/>
    </row>
    <row r="6340" spans="1:4" x14ac:dyDescent="0.2">
      <c r="A6340" s="146"/>
      <c r="D6340" s="496"/>
    </row>
    <row r="6341" spans="1:4" x14ac:dyDescent="0.2">
      <c r="A6341" s="146"/>
      <c r="D6341" s="496"/>
    </row>
    <row r="6342" spans="1:4" x14ac:dyDescent="0.2">
      <c r="A6342" s="146"/>
      <c r="D6342" s="496"/>
    </row>
    <row r="6343" spans="1:4" x14ac:dyDescent="0.2">
      <c r="A6343" s="146"/>
      <c r="D6343" s="496"/>
    </row>
    <row r="6344" spans="1:4" x14ac:dyDescent="0.2">
      <c r="A6344" s="146"/>
      <c r="D6344" s="496"/>
    </row>
    <row r="6345" spans="1:4" x14ac:dyDescent="0.2">
      <c r="A6345" s="146"/>
      <c r="D6345" s="496"/>
    </row>
    <row r="6346" spans="1:4" x14ac:dyDescent="0.2">
      <c r="A6346" s="146"/>
      <c r="D6346" s="496"/>
    </row>
    <row r="6347" spans="1:4" x14ac:dyDescent="0.2">
      <c r="A6347" s="146"/>
      <c r="D6347" s="496"/>
    </row>
    <row r="6348" spans="1:4" x14ac:dyDescent="0.2">
      <c r="A6348" s="146"/>
      <c r="D6348" s="496"/>
    </row>
    <row r="6349" spans="1:4" x14ac:dyDescent="0.2">
      <c r="A6349" s="146"/>
      <c r="D6349" s="496"/>
    </row>
    <row r="6350" spans="1:4" x14ac:dyDescent="0.2">
      <c r="A6350" s="146"/>
      <c r="D6350" s="496"/>
    </row>
    <row r="6351" spans="1:4" x14ac:dyDescent="0.2">
      <c r="A6351" s="146"/>
      <c r="D6351" s="496"/>
    </row>
    <row r="6352" spans="1:4" x14ac:dyDescent="0.2">
      <c r="A6352" s="146"/>
      <c r="D6352" s="496"/>
    </row>
    <row r="6353" spans="1:4" x14ac:dyDescent="0.2">
      <c r="A6353" s="146"/>
      <c r="D6353" s="496"/>
    </row>
    <row r="6354" spans="1:4" x14ac:dyDescent="0.2">
      <c r="A6354" s="146"/>
      <c r="D6354" s="496"/>
    </row>
    <row r="6355" spans="1:4" x14ac:dyDescent="0.2">
      <c r="A6355" s="146"/>
      <c r="D6355" s="496"/>
    </row>
    <row r="6356" spans="1:4" x14ac:dyDescent="0.2">
      <c r="A6356" s="146"/>
      <c r="D6356" s="496"/>
    </row>
    <row r="6357" spans="1:4" x14ac:dyDescent="0.2">
      <c r="A6357" s="146"/>
      <c r="D6357" s="496"/>
    </row>
    <row r="6358" spans="1:4" x14ac:dyDescent="0.2">
      <c r="A6358" s="146"/>
      <c r="D6358" s="496"/>
    </row>
    <row r="6359" spans="1:4" x14ac:dyDescent="0.2">
      <c r="A6359" s="146"/>
      <c r="D6359" s="496"/>
    </row>
    <row r="6360" spans="1:4" x14ac:dyDescent="0.2">
      <c r="A6360" s="146"/>
      <c r="D6360" s="496"/>
    </row>
    <row r="6361" spans="1:4" x14ac:dyDescent="0.2">
      <c r="A6361" s="146"/>
      <c r="D6361" s="496"/>
    </row>
    <row r="6362" spans="1:4" x14ac:dyDescent="0.2">
      <c r="A6362" s="146"/>
      <c r="D6362" s="496"/>
    </row>
    <row r="6363" spans="1:4" x14ac:dyDescent="0.2">
      <c r="A6363" s="146"/>
      <c r="D6363" s="496"/>
    </row>
    <row r="6364" spans="1:4" x14ac:dyDescent="0.2">
      <c r="A6364" s="146"/>
      <c r="D6364" s="496"/>
    </row>
    <row r="6365" spans="1:4" x14ac:dyDescent="0.2">
      <c r="A6365" s="146"/>
      <c r="D6365" s="496"/>
    </row>
    <row r="6366" spans="1:4" x14ac:dyDescent="0.2">
      <c r="A6366" s="146"/>
      <c r="D6366" s="496"/>
    </row>
    <row r="6367" spans="1:4" x14ac:dyDescent="0.2">
      <c r="A6367" s="146"/>
      <c r="D6367" s="496"/>
    </row>
    <row r="6368" spans="1:4" x14ac:dyDescent="0.2">
      <c r="A6368" s="146"/>
      <c r="D6368" s="496"/>
    </row>
    <row r="6369" spans="1:4" x14ac:dyDescent="0.2">
      <c r="A6369" s="146"/>
      <c r="D6369" s="496"/>
    </row>
    <row r="6370" spans="1:4" x14ac:dyDescent="0.2">
      <c r="A6370" s="146"/>
      <c r="D6370" s="496"/>
    </row>
    <row r="6371" spans="1:4" x14ac:dyDescent="0.2">
      <c r="A6371" s="146"/>
      <c r="D6371" s="496"/>
    </row>
    <row r="6372" spans="1:4" x14ac:dyDescent="0.2">
      <c r="A6372" s="146"/>
      <c r="D6372" s="496"/>
    </row>
    <row r="6373" spans="1:4" x14ac:dyDescent="0.2">
      <c r="A6373" s="146"/>
      <c r="D6373" s="496"/>
    </row>
    <row r="6374" spans="1:4" x14ac:dyDescent="0.2">
      <c r="A6374" s="146"/>
      <c r="D6374" s="496"/>
    </row>
    <row r="6375" spans="1:4" x14ac:dyDescent="0.2">
      <c r="A6375" s="146"/>
      <c r="D6375" s="496"/>
    </row>
    <row r="6376" spans="1:4" x14ac:dyDescent="0.2">
      <c r="A6376" s="146"/>
      <c r="D6376" s="496"/>
    </row>
    <row r="6377" spans="1:4" x14ac:dyDescent="0.2">
      <c r="A6377" s="146"/>
      <c r="D6377" s="496"/>
    </row>
    <row r="6378" spans="1:4" x14ac:dyDescent="0.2">
      <c r="A6378" s="146"/>
      <c r="D6378" s="496"/>
    </row>
    <row r="6379" spans="1:4" x14ac:dyDescent="0.2">
      <c r="A6379" s="146"/>
      <c r="D6379" s="496"/>
    </row>
    <row r="6380" spans="1:4" x14ac:dyDescent="0.2">
      <c r="A6380" s="146"/>
      <c r="D6380" s="496"/>
    </row>
    <row r="6381" spans="1:4" x14ac:dyDescent="0.2">
      <c r="A6381" s="146"/>
      <c r="D6381" s="496"/>
    </row>
    <row r="6382" spans="1:4" x14ac:dyDescent="0.2">
      <c r="A6382" s="146"/>
      <c r="D6382" s="496"/>
    </row>
    <row r="6383" spans="1:4" x14ac:dyDescent="0.2">
      <c r="A6383" s="146"/>
      <c r="D6383" s="496"/>
    </row>
    <row r="6384" spans="1:4" x14ac:dyDescent="0.2">
      <c r="A6384" s="146"/>
      <c r="D6384" s="496"/>
    </row>
    <row r="6385" spans="1:4" x14ac:dyDescent="0.2">
      <c r="A6385" s="146"/>
      <c r="D6385" s="496"/>
    </row>
    <row r="6386" spans="1:4" x14ac:dyDescent="0.2">
      <c r="A6386" s="146"/>
      <c r="D6386" s="496"/>
    </row>
    <row r="6387" spans="1:4" x14ac:dyDescent="0.2">
      <c r="A6387" s="146"/>
      <c r="D6387" s="496"/>
    </row>
    <row r="6388" spans="1:4" x14ac:dyDescent="0.2">
      <c r="A6388" s="146"/>
      <c r="D6388" s="496"/>
    </row>
    <row r="6389" spans="1:4" x14ac:dyDescent="0.2">
      <c r="A6389" s="146"/>
      <c r="D6389" s="496"/>
    </row>
    <row r="6390" spans="1:4" x14ac:dyDescent="0.2">
      <c r="A6390" s="146"/>
      <c r="D6390" s="496"/>
    </row>
    <row r="6391" spans="1:4" x14ac:dyDescent="0.2">
      <c r="A6391" s="146"/>
      <c r="D6391" s="496"/>
    </row>
    <row r="6392" spans="1:4" x14ac:dyDescent="0.2">
      <c r="A6392" s="146"/>
      <c r="D6392" s="496"/>
    </row>
    <row r="6393" spans="1:4" x14ac:dyDescent="0.2">
      <c r="A6393" s="146"/>
      <c r="D6393" s="496"/>
    </row>
    <row r="6394" spans="1:4" x14ac:dyDescent="0.2">
      <c r="A6394" s="146"/>
      <c r="D6394" s="496"/>
    </row>
    <row r="6395" spans="1:4" x14ac:dyDescent="0.2">
      <c r="A6395" s="146"/>
      <c r="D6395" s="496"/>
    </row>
    <row r="6396" spans="1:4" x14ac:dyDescent="0.2">
      <c r="A6396" s="146"/>
      <c r="D6396" s="496"/>
    </row>
    <row r="6397" spans="1:4" x14ac:dyDescent="0.2">
      <c r="A6397" s="146"/>
      <c r="D6397" s="496"/>
    </row>
    <row r="6398" spans="1:4" x14ac:dyDescent="0.2">
      <c r="A6398" s="146"/>
      <c r="D6398" s="496"/>
    </row>
    <row r="6399" spans="1:4" x14ac:dyDescent="0.2">
      <c r="A6399" s="146"/>
      <c r="D6399" s="496"/>
    </row>
    <row r="6400" spans="1:4" x14ac:dyDescent="0.2">
      <c r="A6400" s="146"/>
      <c r="D6400" s="496"/>
    </row>
    <row r="6401" spans="1:4" x14ac:dyDescent="0.2">
      <c r="A6401" s="146"/>
      <c r="D6401" s="496"/>
    </row>
    <row r="6402" spans="1:4" x14ac:dyDescent="0.2">
      <c r="A6402" s="146"/>
      <c r="D6402" s="496"/>
    </row>
    <row r="6403" spans="1:4" x14ac:dyDescent="0.2">
      <c r="A6403" s="146"/>
      <c r="D6403" s="496"/>
    </row>
    <row r="6404" spans="1:4" x14ac:dyDescent="0.2">
      <c r="A6404" s="146"/>
      <c r="D6404" s="496"/>
    </row>
    <row r="6405" spans="1:4" x14ac:dyDescent="0.2">
      <c r="A6405" s="146"/>
      <c r="D6405" s="496"/>
    </row>
    <row r="6406" spans="1:4" x14ac:dyDescent="0.2">
      <c r="A6406" s="146"/>
      <c r="D6406" s="496"/>
    </row>
    <row r="6407" spans="1:4" x14ac:dyDescent="0.2">
      <c r="A6407" s="146"/>
      <c r="D6407" s="496"/>
    </row>
    <row r="6408" spans="1:4" x14ac:dyDescent="0.2">
      <c r="A6408" s="146"/>
      <c r="D6408" s="496"/>
    </row>
    <row r="6409" spans="1:4" x14ac:dyDescent="0.2">
      <c r="A6409" s="146"/>
      <c r="D6409" s="496"/>
    </row>
    <row r="6410" spans="1:4" x14ac:dyDescent="0.2">
      <c r="A6410" s="146"/>
      <c r="D6410" s="496"/>
    </row>
    <row r="6411" spans="1:4" x14ac:dyDescent="0.2">
      <c r="A6411" s="146"/>
      <c r="D6411" s="496"/>
    </row>
    <row r="6412" spans="1:4" x14ac:dyDescent="0.2">
      <c r="A6412" s="146"/>
      <c r="D6412" s="496"/>
    </row>
    <row r="6413" spans="1:4" x14ac:dyDescent="0.2">
      <c r="A6413" s="146"/>
      <c r="D6413" s="496"/>
    </row>
    <row r="6414" spans="1:4" x14ac:dyDescent="0.2">
      <c r="A6414" s="146"/>
      <c r="D6414" s="496"/>
    </row>
    <row r="6415" spans="1:4" x14ac:dyDescent="0.2">
      <c r="A6415" s="146"/>
      <c r="D6415" s="496"/>
    </row>
    <row r="6416" spans="1:4" x14ac:dyDescent="0.2">
      <c r="A6416" s="146"/>
      <c r="D6416" s="496"/>
    </row>
    <row r="6417" spans="1:4" x14ac:dyDescent="0.2">
      <c r="A6417" s="146"/>
      <c r="D6417" s="496"/>
    </row>
    <row r="6418" spans="1:4" x14ac:dyDescent="0.2">
      <c r="A6418" s="146"/>
      <c r="D6418" s="496"/>
    </row>
    <row r="6419" spans="1:4" x14ac:dyDescent="0.2">
      <c r="A6419" s="146"/>
      <c r="D6419" s="496"/>
    </row>
    <row r="6420" spans="1:4" x14ac:dyDescent="0.2">
      <c r="A6420" s="146"/>
      <c r="D6420" s="496"/>
    </row>
    <row r="6421" spans="1:4" x14ac:dyDescent="0.2">
      <c r="A6421" s="146"/>
      <c r="D6421" s="496"/>
    </row>
    <row r="6422" spans="1:4" x14ac:dyDescent="0.2">
      <c r="A6422" s="146"/>
      <c r="D6422" s="496"/>
    </row>
    <row r="6423" spans="1:4" x14ac:dyDescent="0.2">
      <c r="A6423" s="146"/>
      <c r="D6423" s="496"/>
    </row>
    <row r="6424" spans="1:4" x14ac:dyDescent="0.2">
      <c r="A6424" s="146"/>
      <c r="D6424" s="496"/>
    </row>
    <row r="6425" spans="1:4" x14ac:dyDescent="0.2">
      <c r="A6425" s="146"/>
      <c r="D6425" s="496"/>
    </row>
    <row r="6426" spans="1:4" x14ac:dyDescent="0.2">
      <c r="A6426" s="146"/>
      <c r="D6426" s="496"/>
    </row>
    <row r="6427" spans="1:4" x14ac:dyDescent="0.2">
      <c r="A6427" s="146"/>
      <c r="D6427" s="496"/>
    </row>
    <row r="6428" spans="1:4" x14ac:dyDescent="0.2">
      <c r="A6428" s="146"/>
      <c r="D6428" s="496"/>
    </row>
    <row r="6429" spans="1:4" x14ac:dyDescent="0.2">
      <c r="A6429" s="146"/>
      <c r="D6429" s="496"/>
    </row>
    <row r="6430" spans="1:4" x14ac:dyDescent="0.2">
      <c r="A6430" s="146"/>
      <c r="D6430" s="496"/>
    </row>
    <row r="6431" spans="1:4" x14ac:dyDescent="0.2">
      <c r="A6431" s="146"/>
      <c r="D6431" s="496"/>
    </row>
    <row r="6432" spans="1:4" x14ac:dyDescent="0.2">
      <c r="A6432" s="146"/>
      <c r="D6432" s="496"/>
    </row>
    <row r="6433" spans="1:4" x14ac:dyDescent="0.2">
      <c r="A6433" s="146"/>
      <c r="D6433" s="496"/>
    </row>
    <row r="6434" spans="1:4" x14ac:dyDescent="0.2">
      <c r="A6434" s="146"/>
      <c r="D6434" s="496"/>
    </row>
    <row r="6435" spans="1:4" x14ac:dyDescent="0.2">
      <c r="A6435" s="146"/>
      <c r="D6435" s="496"/>
    </row>
    <row r="6436" spans="1:4" x14ac:dyDescent="0.2">
      <c r="A6436" s="146"/>
      <c r="D6436" s="496"/>
    </row>
    <row r="6437" spans="1:4" x14ac:dyDescent="0.2">
      <c r="A6437" s="146"/>
      <c r="D6437" s="496"/>
    </row>
    <row r="6438" spans="1:4" x14ac:dyDescent="0.2">
      <c r="A6438" s="146"/>
      <c r="D6438" s="496"/>
    </row>
    <row r="6439" spans="1:4" x14ac:dyDescent="0.2">
      <c r="A6439" s="146"/>
      <c r="D6439" s="496"/>
    </row>
    <row r="6440" spans="1:4" x14ac:dyDescent="0.2">
      <c r="A6440" s="146"/>
      <c r="D6440" s="496"/>
    </row>
    <row r="6441" spans="1:4" x14ac:dyDescent="0.2">
      <c r="A6441" s="146"/>
      <c r="D6441" s="496"/>
    </row>
    <row r="6442" spans="1:4" x14ac:dyDescent="0.2">
      <c r="A6442" s="146"/>
      <c r="D6442" s="496"/>
    </row>
    <row r="6443" spans="1:4" x14ac:dyDescent="0.2">
      <c r="A6443" s="146"/>
      <c r="D6443" s="496"/>
    </row>
    <row r="6444" spans="1:4" x14ac:dyDescent="0.2">
      <c r="A6444" s="146"/>
      <c r="D6444" s="496"/>
    </row>
    <row r="6445" spans="1:4" x14ac:dyDescent="0.2">
      <c r="A6445" s="146"/>
      <c r="D6445" s="496"/>
    </row>
    <row r="6446" spans="1:4" x14ac:dyDescent="0.2">
      <c r="A6446" s="146"/>
      <c r="D6446" s="496"/>
    </row>
    <row r="6447" spans="1:4" x14ac:dyDescent="0.2">
      <c r="A6447" s="146"/>
      <c r="D6447" s="496"/>
    </row>
    <row r="6448" spans="1:4" x14ac:dyDescent="0.2">
      <c r="A6448" s="146"/>
      <c r="D6448" s="496"/>
    </row>
    <row r="6449" spans="1:4" x14ac:dyDescent="0.2">
      <c r="A6449" s="146"/>
      <c r="D6449" s="496"/>
    </row>
    <row r="6450" spans="1:4" x14ac:dyDescent="0.2">
      <c r="A6450" s="146"/>
      <c r="D6450" s="496"/>
    </row>
    <row r="6451" spans="1:4" x14ac:dyDescent="0.2">
      <c r="A6451" s="146"/>
      <c r="D6451" s="496"/>
    </row>
    <row r="6452" spans="1:4" x14ac:dyDescent="0.2">
      <c r="A6452" s="146"/>
      <c r="D6452" s="496"/>
    </row>
    <row r="6453" spans="1:4" x14ac:dyDescent="0.2">
      <c r="A6453" s="146"/>
      <c r="D6453" s="496"/>
    </row>
    <row r="6454" spans="1:4" x14ac:dyDescent="0.2">
      <c r="A6454" s="146"/>
      <c r="D6454" s="496"/>
    </row>
    <row r="6455" spans="1:4" x14ac:dyDescent="0.2">
      <c r="A6455" s="146"/>
      <c r="D6455" s="496"/>
    </row>
    <row r="6456" spans="1:4" x14ac:dyDescent="0.2">
      <c r="A6456" s="146"/>
      <c r="D6456" s="496"/>
    </row>
    <row r="6457" spans="1:4" x14ac:dyDescent="0.2">
      <c r="A6457" s="146"/>
      <c r="D6457" s="496"/>
    </row>
    <row r="6458" spans="1:4" x14ac:dyDescent="0.2">
      <c r="A6458" s="146"/>
      <c r="D6458" s="496"/>
    </row>
    <row r="6459" spans="1:4" x14ac:dyDescent="0.2">
      <c r="A6459" s="146"/>
      <c r="D6459" s="496"/>
    </row>
    <row r="6460" spans="1:4" x14ac:dyDescent="0.2">
      <c r="A6460" s="146"/>
      <c r="D6460" s="496"/>
    </row>
    <row r="6461" spans="1:4" x14ac:dyDescent="0.2">
      <c r="A6461" s="146"/>
      <c r="D6461" s="496"/>
    </row>
    <row r="6462" spans="1:4" x14ac:dyDescent="0.2">
      <c r="A6462" s="146"/>
      <c r="D6462" s="496"/>
    </row>
    <row r="6463" spans="1:4" x14ac:dyDescent="0.2">
      <c r="A6463" s="146"/>
      <c r="D6463" s="496"/>
    </row>
    <row r="6464" spans="1:4" x14ac:dyDescent="0.2">
      <c r="A6464" s="146"/>
      <c r="D6464" s="496"/>
    </row>
    <row r="6465" spans="1:4" x14ac:dyDescent="0.2">
      <c r="A6465" s="146"/>
      <c r="D6465" s="496"/>
    </row>
    <row r="6466" spans="1:4" x14ac:dyDescent="0.2">
      <c r="A6466" s="146"/>
      <c r="D6466" s="496"/>
    </row>
    <row r="6467" spans="1:4" x14ac:dyDescent="0.2">
      <c r="A6467" s="146"/>
      <c r="D6467" s="496"/>
    </row>
    <row r="6468" spans="1:4" x14ac:dyDescent="0.2">
      <c r="A6468" s="146"/>
      <c r="D6468" s="496"/>
    </row>
    <row r="6469" spans="1:4" x14ac:dyDescent="0.2">
      <c r="A6469" s="146"/>
      <c r="D6469" s="496"/>
    </row>
    <row r="6470" spans="1:4" x14ac:dyDescent="0.2">
      <c r="A6470" s="146"/>
      <c r="D6470" s="496"/>
    </row>
    <row r="6471" spans="1:4" x14ac:dyDescent="0.2">
      <c r="A6471" s="146"/>
      <c r="D6471" s="496"/>
    </row>
    <row r="6472" spans="1:4" x14ac:dyDescent="0.2">
      <c r="A6472" s="146"/>
      <c r="D6472" s="496"/>
    </row>
    <row r="6473" spans="1:4" x14ac:dyDescent="0.2">
      <c r="A6473" s="146"/>
      <c r="D6473" s="496"/>
    </row>
    <row r="6474" spans="1:4" x14ac:dyDescent="0.2">
      <c r="A6474" s="146"/>
      <c r="D6474" s="496"/>
    </row>
    <row r="6475" spans="1:4" x14ac:dyDescent="0.2">
      <c r="A6475" s="146"/>
      <c r="D6475" s="496"/>
    </row>
    <row r="6476" spans="1:4" x14ac:dyDescent="0.2">
      <c r="A6476" s="146"/>
      <c r="D6476" s="496"/>
    </row>
    <row r="6477" spans="1:4" x14ac:dyDescent="0.2">
      <c r="A6477" s="146"/>
      <c r="D6477" s="496"/>
    </row>
    <row r="6478" spans="1:4" x14ac:dyDescent="0.2">
      <c r="A6478" s="146"/>
      <c r="D6478" s="496"/>
    </row>
    <row r="6479" spans="1:4" x14ac:dyDescent="0.2">
      <c r="A6479" s="146"/>
      <c r="D6479" s="496"/>
    </row>
    <row r="6480" spans="1:4" x14ac:dyDescent="0.2">
      <c r="A6480" s="146"/>
      <c r="D6480" s="496"/>
    </row>
    <row r="6481" spans="1:4" x14ac:dyDescent="0.2">
      <c r="A6481" s="146"/>
      <c r="D6481" s="496"/>
    </row>
    <row r="6482" spans="1:4" x14ac:dyDescent="0.2">
      <c r="A6482" s="146"/>
      <c r="D6482" s="496"/>
    </row>
    <row r="6483" spans="1:4" x14ac:dyDescent="0.2">
      <c r="A6483" s="146"/>
      <c r="D6483" s="496"/>
    </row>
    <row r="6484" spans="1:4" x14ac:dyDescent="0.2">
      <c r="A6484" s="146"/>
      <c r="D6484" s="496"/>
    </row>
    <row r="6485" spans="1:4" x14ac:dyDescent="0.2">
      <c r="A6485" s="146"/>
      <c r="D6485" s="496"/>
    </row>
    <row r="6486" spans="1:4" x14ac:dyDescent="0.2">
      <c r="A6486" s="146"/>
      <c r="D6486" s="496"/>
    </row>
    <row r="6487" spans="1:4" x14ac:dyDescent="0.2">
      <c r="A6487" s="146"/>
      <c r="D6487" s="496"/>
    </row>
    <row r="6488" spans="1:4" x14ac:dyDescent="0.2">
      <c r="A6488" s="146"/>
      <c r="D6488" s="496"/>
    </row>
    <row r="6489" spans="1:4" x14ac:dyDescent="0.2">
      <c r="A6489" s="146"/>
      <c r="D6489" s="496"/>
    </row>
    <row r="6490" spans="1:4" x14ac:dyDescent="0.2">
      <c r="A6490" s="146"/>
      <c r="D6490" s="496"/>
    </row>
    <row r="6491" spans="1:4" x14ac:dyDescent="0.2">
      <c r="A6491" s="146"/>
      <c r="D6491" s="496"/>
    </row>
    <row r="6492" spans="1:4" x14ac:dyDescent="0.2">
      <c r="A6492" s="146"/>
      <c r="D6492" s="496"/>
    </row>
    <row r="6493" spans="1:4" x14ac:dyDescent="0.2">
      <c r="A6493" s="146"/>
      <c r="D6493" s="496"/>
    </row>
    <row r="6494" spans="1:4" x14ac:dyDescent="0.2">
      <c r="A6494" s="146"/>
      <c r="D6494" s="496"/>
    </row>
    <row r="6495" spans="1:4" x14ac:dyDescent="0.2">
      <c r="A6495" s="146"/>
      <c r="D6495" s="496"/>
    </row>
    <row r="6496" spans="1:4" x14ac:dyDescent="0.2">
      <c r="A6496" s="146"/>
      <c r="D6496" s="496"/>
    </row>
    <row r="6497" spans="1:4" x14ac:dyDescent="0.2">
      <c r="A6497" s="146"/>
      <c r="D6497" s="496"/>
    </row>
    <row r="6498" spans="1:4" x14ac:dyDescent="0.2">
      <c r="A6498" s="146"/>
      <c r="D6498" s="496"/>
    </row>
    <row r="6499" spans="1:4" x14ac:dyDescent="0.2">
      <c r="A6499" s="146"/>
      <c r="D6499" s="496"/>
    </row>
    <row r="6500" spans="1:4" x14ac:dyDescent="0.2">
      <c r="A6500" s="146"/>
      <c r="D6500" s="496"/>
    </row>
    <row r="6501" spans="1:4" x14ac:dyDescent="0.2">
      <c r="A6501" s="146"/>
      <c r="D6501" s="496"/>
    </row>
    <row r="6502" spans="1:4" x14ac:dyDescent="0.2">
      <c r="A6502" s="146"/>
      <c r="D6502" s="496"/>
    </row>
    <row r="6503" spans="1:4" x14ac:dyDescent="0.2">
      <c r="A6503" s="146"/>
      <c r="D6503" s="496"/>
    </row>
    <row r="6504" spans="1:4" x14ac:dyDescent="0.2">
      <c r="A6504" s="146"/>
      <c r="D6504" s="496"/>
    </row>
    <row r="6505" spans="1:4" x14ac:dyDescent="0.2">
      <c r="A6505" s="146"/>
      <c r="D6505" s="496"/>
    </row>
    <row r="6506" spans="1:4" x14ac:dyDescent="0.2">
      <c r="A6506" s="146"/>
      <c r="D6506" s="496"/>
    </row>
    <row r="6507" spans="1:4" x14ac:dyDescent="0.2">
      <c r="A6507" s="146"/>
      <c r="D6507" s="496"/>
    </row>
    <row r="6508" spans="1:4" x14ac:dyDescent="0.2">
      <c r="A6508" s="146"/>
      <c r="D6508" s="496"/>
    </row>
    <row r="6509" spans="1:4" x14ac:dyDescent="0.2">
      <c r="A6509" s="146"/>
      <c r="D6509" s="496"/>
    </row>
    <row r="6510" spans="1:4" x14ac:dyDescent="0.2">
      <c r="A6510" s="146"/>
      <c r="D6510" s="496"/>
    </row>
    <row r="6511" spans="1:4" x14ac:dyDescent="0.2">
      <c r="A6511" s="146"/>
      <c r="D6511" s="496"/>
    </row>
    <row r="6512" spans="1:4" x14ac:dyDescent="0.2">
      <c r="A6512" s="146"/>
      <c r="D6512" s="496"/>
    </row>
    <row r="6513" spans="1:4" x14ac:dyDescent="0.2">
      <c r="A6513" s="146"/>
      <c r="D6513" s="496"/>
    </row>
    <row r="6514" spans="1:4" x14ac:dyDescent="0.2">
      <c r="A6514" s="146"/>
      <c r="D6514" s="496"/>
    </row>
    <row r="6515" spans="1:4" x14ac:dyDescent="0.2">
      <c r="A6515" s="146"/>
      <c r="D6515" s="496"/>
    </row>
    <row r="6516" spans="1:4" x14ac:dyDescent="0.2">
      <c r="A6516" s="146"/>
      <c r="D6516" s="496"/>
    </row>
    <row r="6517" spans="1:4" x14ac:dyDescent="0.2">
      <c r="A6517" s="146"/>
      <c r="D6517" s="496"/>
    </row>
    <row r="6518" spans="1:4" x14ac:dyDescent="0.2">
      <c r="A6518" s="146"/>
      <c r="D6518" s="496"/>
    </row>
    <row r="6519" spans="1:4" x14ac:dyDescent="0.2">
      <c r="A6519" s="146"/>
      <c r="D6519" s="496"/>
    </row>
    <row r="6520" spans="1:4" x14ac:dyDescent="0.2">
      <c r="A6520" s="146"/>
      <c r="D6520" s="496"/>
    </row>
    <row r="6521" spans="1:4" x14ac:dyDescent="0.2">
      <c r="A6521" s="146"/>
      <c r="D6521" s="496"/>
    </row>
    <row r="6522" spans="1:4" x14ac:dyDescent="0.2">
      <c r="A6522" s="146"/>
      <c r="D6522" s="496"/>
    </row>
    <row r="6523" spans="1:4" x14ac:dyDescent="0.2">
      <c r="A6523" s="146"/>
      <c r="D6523" s="496"/>
    </row>
    <row r="6524" spans="1:4" x14ac:dyDescent="0.2">
      <c r="A6524" s="146"/>
      <c r="D6524" s="496"/>
    </row>
    <row r="6525" spans="1:4" x14ac:dyDescent="0.2">
      <c r="A6525" s="146"/>
      <c r="D6525" s="496"/>
    </row>
    <row r="6526" spans="1:4" x14ac:dyDescent="0.2">
      <c r="A6526" s="146"/>
      <c r="D6526" s="496"/>
    </row>
    <row r="6527" spans="1:4" x14ac:dyDescent="0.2">
      <c r="A6527" s="146"/>
      <c r="D6527" s="496"/>
    </row>
    <row r="6528" spans="1:4" x14ac:dyDescent="0.2">
      <c r="A6528" s="146"/>
      <c r="D6528" s="496"/>
    </row>
    <row r="6529" spans="1:4" x14ac:dyDescent="0.2">
      <c r="A6529" s="146"/>
      <c r="D6529" s="496"/>
    </row>
    <row r="6530" spans="1:4" x14ac:dyDescent="0.2">
      <c r="A6530" s="146"/>
      <c r="D6530" s="496"/>
    </row>
    <row r="6531" spans="1:4" x14ac:dyDescent="0.2">
      <c r="A6531" s="146"/>
      <c r="D6531" s="496"/>
    </row>
    <row r="6532" spans="1:4" x14ac:dyDescent="0.2">
      <c r="A6532" s="146"/>
      <c r="D6532" s="496"/>
    </row>
    <row r="6533" spans="1:4" x14ac:dyDescent="0.2">
      <c r="A6533" s="146"/>
      <c r="D6533" s="496"/>
    </row>
    <row r="6534" spans="1:4" x14ac:dyDescent="0.2">
      <c r="A6534" s="146"/>
      <c r="D6534" s="496"/>
    </row>
    <row r="6535" spans="1:4" x14ac:dyDescent="0.2">
      <c r="A6535" s="146"/>
      <c r="D6535" s="496"/>
    </row>
    <row r="6536" spans="1:4" x14ac:dyDescent="0.2">
      <c r="A6536" s="146"/>
      <c r="D6536" s="496"/>
    </row>
    <row r="6537" spans="1:4" x14ac:dyDescent="0.2">
      <c r="A6537" s="146"/>
      <c r="D6537" s="496"/>
    </row>
    <row r="6538" spans="1:4" x14ac:dyDescent="0.2">
      <c r="A6538" s="146"/>
      <c r="D6538" s="496"/>
    </row>
    <row r="6539" spans="1:4" x14ac:dyDescent="0.2">
      <c r="A6539" s="146"/>
      <c r="D6539" s="496"/>
    </row>
    <row r="6540" spans="1:4" x14ac:dyDescent="0.2">
      <c r="A6540" s="146"/>
      <c r="D6540" s="496"/>
    </row>
    <row r="6541" spans="1:4" x14ac:dyDescent="0.2">
      <c r="A6541" s="146"/>
      <c r="D6541" s="496"/>
    </row>
    <row r="6542" spans="1:4" x14ac:dyDescent="0.2">
      <c r="A6542" s="146"/>
      <c r="D6542" s="496"/>
    </row>
    <row r="6543" spans="1:4" x14ac:dyDescent="0.2">
      <c r="A6543" s="146"/>
      <c r="D6543" s="496"/>
    </row>
    <row r="6544" spans="1:4" x14ac:dyDescent="0.2">
      <c r="A6544" s="146"/>
      <c r="D6544" s="496"/>
    </row>
    <row r="6545" spans="1:4" x14ac:dyDescent="0.2">
      <c r="A6545" s="146"/>
      <c r="D6545" s="496"/>
    </row>
    <row r="6546" spans="1:4" x14ac:dyDescent="0.2">
      <c r="A6546" s="146"/>
      <c r="D6546" s="496"/>
    </row>
    <row r="6547" spans="1:4" x14ac:dyDescent="0.2">
      <c r="A6547" s="146"/>
      <c r="D6547" s="496"/>
    </row>
    <row r="6548" spans="1:4" x14ac:dyDescent="0.2">
      <c r="A6548" s="146"/>
      <c r="D6548" s="496"/>
    </row>
    <row r="6549" spans="1:4" x14ac:dyDescent="0.2">
      <c r="A6549" s="146"/>
      <c r="D6549" s="496"/>
    </row>
    <row r="6550" spans="1:4" x14ac:dyDescent="0.2">
      <c r="A6550" s="146"/>
      <c r="D6550" s="496"/>
    </row>
    <row r="6551" spans="1:4" x14ac:dyDescent="0.2">
      <c r="A6551" s="146"/>
      <c r="D6551" s="496"/>
    </row>
    <row r="6552" spans="1:4" x14ac:dyDescent="0.2">
      <c r="A6552" s="146"/>
      <c r="D6552" s="496"/>
    </row>
    <row r="6553" spans="1:4" x14ac:dyDescent="0.2">
      <c r="A6553" s="146"/>
      <c r="D6553" s="496"/>
    </row>
    <row r="6554" spans="1:4" x14ac:dyDescent="0.2">
      <c r="A6554" s="146"/>
      <c r="D6554" s="496"/>
    </row>
    <row r="6555" spans="1:4" x14ac:dyDescent="0.2">
      <c r="A6555" s="146"/>
      <c r="D6555" s="496"/>
    </row>
    <row r="6556" spans="1:4" x14ac:dyDescent="0.2">
      <c r="A6556" s="146"/>
      <c r="D6556" s="496"/>
    </row>
    <row r="6557" spans="1:4" x14ac:dyDescent="0.2">
      <c r="A6557" s="146"/>
      <c r="D6557" s="496"/>
    </row>
    <row r="6558" spans="1:4" x14ac:dyDescent="0.2">
      <c r="A6558" s="146"/>
      <c r="D6558" s="496"/>
    </row>
    <row r="6559" spans="1:4" x14ac:dyDescent="0.2">
      <c r="A6559" s="146"/>
      <c r="D6559" s="496"/>
    </row>
    <row r="6560" spans="1:4" x14ac:dyDescent="0.2">
      <c r="A6560" s="146"/>
      <c r="D6560" s="496"/>
    </row>
    <row r="6561" spans="1:4" x14ac:dyDescent="0.2">
      <c r="A6561" s="146"/>
      <c r="D6561" s="496"/>
    </row>
    <row r="6562" spans="1:4" x14ac:dyDescent="0.2">
      <c r="A6562" s="146"/>
      <c r="D6562" s="496"/>
    </row>
    <row r="6563" spans="1:4" x14ac:dyDescent="0.2">
      <c r="A6563" s="146"/>
      <c r="D6563" s="496"/>
    </row>
    <row r="6564" spans="1:4" x14ac:dyDescent="0.2">
      <c r="A6564" s="146"/>
      <c r="D6564" s="496"/>
    </row>
    <row r="6565" spans="1:4" x14ac:dyDescent="0.2">
      <c r="A6565" s="146"/>
      <c r="D6565" s="496"/>
    </row>
    <row r="6566" spans="1:4" x14ac:dyDescent="0.2">
      <c r="A6566" s="146"/>
      <c r="D6566" s="496"/>
    </row>
    <row r="6567" spans="1:4" x14ac:dyDescent="0.2">
      <c r="A6567" s="146"/>
      <c r="D6567" s="496"/>
    </row>
    <row r="6568" spans="1:4" x14ac:dyDescent="0.2">
      <c r="A6568" s="146"/>
      <c r="D6568" s="496"/>
    </row>
    <row r="6569" spans="1:4" x14ac:dyDescent="0.2">
      <c r="A6569" s="146"/>
      <c r="D6569" s="496"/>
    </row>
    <row r="6570" spans="1:4" x14ac:dyDescent="0.2">
      <c r="A6570" s="146"/>
      <c r="D6570" s="496"/>
    </row>
    <row r="6571" spans="1:4" x14ac:dyDescent="0.2">
      <c r="A6571" s="146"/>
      <c r="D6571" s="496"/>
    </row>
    <row r="6572" spans="1:4" x14ac:dyDescent="0.2">
      <c r="A6572" s="146"/>
      <c r="D6572" s="496"/>
    </row>
    <row r="6573" spans="1:4" x14ac:dyDescent="0.2">
      <c r="A6573" s="146"/>
      <c r="D6573" s="496"/>
    </row>
    <row r="6574" spans="1:4" x14ac:dyDescent="0.2">
      <c r="A6574" s="146"/>
      <c r="D6574" s="496"/>
    </row>
    <row r="6575" spans="1:4" x14ac:dyDescent="0.2">
      <c r="A6575" s="146"/>
      <c r="D6575" s="496"/>
    </row>
    <row r="6576" spans="1:4" x14ac:dyDescent="0.2">
      <c r="A6576" s="146"/>
      <c r="D6576" s="496"/>
    </row>
    <row r="6577" spans="1:4" x14ac:dyDescent="0.2">
      <c r="A6577" s="146"/>
      <c r="D6577" s="496"/>
    </row>
    <row r="6578" spans="1:4" x14ac:dyDescent="0.2">
      <c r="A6578" s="146"/>
      <c r="D6578" s="496"/>
    </row>
    <row r="6579" spans="1:4" x14ac:dyDescent="0.2">
      <c r="A6579" s="146"/>
      <c r="D6579" s="496"/>
    </row>
    <row r="6580" spans="1:4" x14ac:dyDescent="0.2">
      <c r="A6580" s="146"/>
      <c r="D6580" s="496"/>
    </row>
    <row r="6581" spans="1:4" x14ac:dyDescent="0.2">
      <c r="A6581" s="146"/>
      <c r="D6581" s="496"/>
    </row>
    <row r="6582" spans="1:4" x14ac:dyDescent="0.2">
      <c r="A6582" s="146"/>
      <c r="D6582" s="496"/>
    </row>
    <row r="6583" spans="1:4" x14ac:dyDescent="0.2">
      <c r="A6583" s="146"/>
      <c r="D6583" s="496"/>
    </row>
    <row r="6584" spans="1:4" x14ac:dyDescent="0.2">
      <c r="A6584" s="146"/>
      <c r="D6584" s="496"/>
    </row>
    <row r="6585" spans="1:4" x14ac:dyDescent="0.2">
      <c r="A6585" s="146"/>
      <c r="D6585" s="496"/>
    </row>
    <row r="6586" spans="1:4" x14ac:dyDescent="0.2">
      <c r="A6586" s="146"/>
      <c r="D6586" s="496"/>
    </row>
    <row r="6587" spans="1:4" x14ac:dyDescent="0.2">
      <c r="A6587" s="146"/>
      <c r="D6587" s="496"/>
    </row>
    <row r="6588" spans="1:4" x14ac:dyDescent="0.2">
      <c r="A6588" s="146"/>
      <c r="D6588" s="496"/>
    </row>
    <row r="6589" spans="1:4" x14ac:dyDescent="0.2">
      <c r="A6589" s="146"/>
      <c r="D6589" s="496"/>
    </row>
    <row r="6590" spans="1:4" x14ac:dyDescent="0.2">
      <c r="A6590" s="146"/>
      <c r="D6590" s="496"/>
    </row>
    <row r="6591" spans="1:4" x14ac:dyDescent="0.2">
      <c r="A6591" s="146"/>
      <c r="D6591" s="496"/>
    </row>
    <row r="6592" spans="1:4" x14ac:dyDescent="0.2">
      <c r="A6592" s="146"/>
      <c r="D6592" s="496"/>
    </row>
    <row r="6593" spans="1:4" x14ac:dyDescent="0.2">
      <c r="A6593" s="146"/>
      <c r="D6593" s="496"/>
    </row>
    <row r="6594" spans="1:4" x14ac:dyDescent="0.2">
      <c r="A6594" s="146"/>
      <c r="D6594" s="496"/>
    </row>
    <row r="6595" spans="1:4" x14ac:dyDescent="0.2">
      <c r="A6595" s="146"/>
      <c r="D6595" s="496"/>
    </row>
    <row r="6596" spans="1:4" x14ac:dyDescent="0.2">
      <c r="A6596" s="146"/>
      <c r="D6596" s="496"/>
    </row>
    <row r="6597" spans="1:4" x14ac:dyDescent="0.2">
      <c r="A6597" s="146"/>
      <c r="D6597" s="496"/>
    </row>
    <row r="6598" spans="1:4" x14ac:dyDescent="0.2">
      <c r="A6598" s="146"/>
      <c r="D6598" s="496"/>
    </row>
    <row r="6599" spans="1:4" x14ac:dyDescent="0.2">
      <c r="A6599" s="146"/>
      <c r="D6599" s="496"/>
    </row>
    <row r="6600" spans="1:4" x14ac:dyDescent="0.2">
      <c r="A6600" s="146"/>
      <c r="D6600" s="496"/>
    </row>
    <row r="6601" spans="1:4" x14ac:dyDescent="0.2">
      <c r="A6601" s="146"/>
      <c r="D6601" s="496"/>
    </row>
    <row r="6602" spans="1:4" x14ac:dyDescent="0.2">
      <c r="A6602" s="146"/>
      <c r="D6602" s="496"/>
    </row>
    <row r="6603" spans="1:4" x14ac:dyDescent="0.2">
      <c r="A6603" s="146"/>
      <c r="D6603" s="496"/>
    </row>
    <row r="6604" spans="1:4" x14ac:dyDescent="0.2">
      <c r="A6604" s="146"/>
      <c r="D6604" s="496"/>
    </row>
    <row r="6605" spans="1:4" x14ac:dyDescent="0.2">
      <c r="A6605" s="146"/>
      <c r="D6605" s="496"/>
    </row>
    <row r="6606" spans="1:4" x14ac:dyDescent="0.2">
      <c r="A6606" s="146"/>
      <c r="D6606" s="496"/>
    </row>
    <row r="6607" spans="1:4" x14ac:dyDescent="0.2">
      <c r="A6607" s="146"/>
      <c r="D6607" s="496"/>
    </row>
    <row r="6608" spans="1:4" x14ac:dyDescent="0.2">
      <c r="A6608" s="146"/>
      <c r="D6608" s="496"/>
    </row>
    <row r="6609" spans="1:4" x14ac:dyDescent="0.2">
      <c r="A6609" s="146"/>
      <c r="D6609" s="496"/>
    </row>
    <row r="6610" spans="1:4" x14ac:dyDescent="0.2">
      <c r="A6610" s="146"/>
      <c r="D6610" s="496"/>
    </row>
    <row r="6611" spans="1:4" x14ac:dyDescent="0.2">
      <c r="A6611" s="146"/>
      <c r="D6611" s="496"/>
    </row>
    <row r="6612" spans="1:4" x14ac:dyDescent="0.2">
      <c r="A6612" s="146"/>
      <c r="D6612" s="496"/>
    </row>
    <row r="6613" spans="1:4" x14ac:dyDescent="0.2">
      <c r="A6613" s="146"/>
      <c r="D6613" s="496"/>
    </row>
    <row r="6614" spans="1:4" x14ac:dyDescent="0.2">
      <c r="A6614" s="146"/>
      <c r="D6614" s="496"/>
    </row>
    <row r="6615" spans="1:4" x14ac:dyDescent="0.2">
      <c r="A6615" s="146"/>
      <c r="D6615" s="496"/>
    </row>
    <row r="6616" spans="1:4" x14ac:dyDescent="0.2">
      <c r="A6616" s="146"/>
      <c r="D6616" s="496"/>
    </row>
    <row r="6617" spans="1:4" x14ac:dyDescent="0.2">
      <c r="A6617" s="146"/>
      <c r="D6617" s="496"/>
    </row>
    <row r="6618" spans="1:4" x14ac:dyDescent="0.2">
      <c r="A6618" s="146"/>
      <c r="D6618" s="496"/>
    </row>
    <row r="6619" spans="1:4" x14ac:dyDescent="0.2">
      <c r="A6619" s="146"/>
      <c r="D6619" s="496"/>
    </row>
    <row r="6620" spans="1:4" x14ac:dyDescent="0.2">
      <c r="A6620" s="146"/>
      <c r="D6620" s="496"/>
    </row>
    <row r="6621" spans="1:4" x14ac:dyDescent="0.2">
      <c r="A6621" s="146"/>
      <c r="D6621" s="496"/>
    </row>
    <row r="6622" spans="1:4" x14ac:dyDescent="0.2">
      <c r="A6622" s="146"/>
      <c r="D6622" s="496"/>
    </row>
    <row r="6623" spans="1:4" x14ac:dyDescent="0.2">
      <c r="A6623" s="146"/>
      <c r="D6623" s="496"/>
    </row>
    <row r="6624" spans="1:4" x14ac:dyDescent="0.2">
      <c r="A6624" s="146"/>
      <c r="D6624" s="496"/>
    </row>
    <row r="6625" spans="1:4" x14ac:dyDescent="0.2">
      <c r="A6625" s="146"/>
      <c r="D6625" s="496"/>
    </row>
    <row r="6626" spans="1:4" x14ac:dyDescent="0.2">
      <c r="A6626" s="146"/>
      <c r="D6626" s="496"/>
    </row>
    <row r="6627" spans="1:4" x14ac:dyDescent="0.2">
      <c r="A6627" s="146"/>
      <c r="D6627" s="496"/>
    </row>
    <row r="6628" spans="1:4" x14ac:dyDescent="0.2">
      <c r="A6628" s="146"/>
      <c r="D6628" s="496"/>
    </row>
    <row r="6629" spans="1:4" x14ac:dyDescent="0.2">
      <c r="A6629" s="146"/>
      <c r="D6629" s="496"/>
    </row>
    <row r="6630" spans="1:4" x14ac:dyDescent="0.2">
      <c r="A6630" s="146"/>
      <c r="D6630" s="496"/>
    </row>
    <row r="6631" spans="1:4" x14ac:dyDescent="0.2">
      <c r="A6631" s="146"/>
      <c r="D6631" s="496"/>
    </row>
    <row r="6632" spans="1:4" x14ac:dyDescent="0.2">
      <c r="A6632" s="146"/>
      <c r="D6632" s="496"/>
    </row>
    <row r="6633" spans="1:4" x14ac:dyDescent="0.2">
      <c r="A6633" s="146"/>
      <c r="D6633" s="496"/>
    </row>
    <row r="6634" spans="1:4" x14ac:dyDescent="0.2">
      <c r="A6634" s="146"/>
      <c r="D6634" s="496"/>
    </row>
    <row r="6635" spans="1:4" x14ac:dyDescent="0.2">
      <c r="A6635" s="146"/>
      <c r="D6635" s="496"/>
    </row>
    <row r="6636" spans="1:4" x14ac:dyDescent="0.2">
      <c r="A6636" s="146"/>
      <c r="D6636" s="496"/>
    </row>
    <row r="6637" spans="1:4" x14ac:dyDescent="0.2">
      <c r="A6637" s="146"/>
      <c r="D6637" s="496"/>
    </row>
    <row r="6638" spans="1:4" x14ac:dyDescent="0.2">
      <c r="A6638" s="146"/>
      <c r="D6638" s="496"/>
    </row>
    <row r="6639" spans="1:4" x14ac:dyDescent="0.2">
      <c r="A6639" s="146"/>
      <c r="D6639" s="496"/>
    </row>
    <row r="6640" spans="1:4" x14ac:dyDescent="0.2">
      <c r="A6640" s="146"/>
      <c r="D6640" s="496"/>
    </row>
    <row r="6641" spans="1:4" x14ac:dyDescent="0.2">
      <c r="A6641" s="146"/>
      <c r="D6641" s="496"/>
    </row>
    <row r="6642" spans="1:4" x14ac:dyDescent="0.2">
      <c r="A6642" s="146"/>
      <c r="D6642" s="496"/>
    </row>
    <row r="6643" spans="1:4" x14ac:dyDescent="0.2">
      <c r="A6643" s="146"/>
      <c r="D6643" s="496"/>
    </row>
    <row r="6644" spans="1:4" x14ac:dyDescent="0.2">
      <c r="A6644" s="146"/>
      <c r="D6644" s="496"/>
    </row>
    <row r="6645" spans="1:4" x14ac:dyDescent="0.2">
      <c r="A6645" s="146"/>
      <c r="D6645" s="496"/>
    </row>
    <row r="6646" spans="1:4" x14ac:dyDescent="0.2">
      <c r="A6646" s="146"/>
      <c r="D6646" s="496"/>
    </row>
    <row r="6647" spans="1:4" x14ac:dyDescent="0.2">
      <c r="A6647" s="146"/>
      <c r="D6647" s="496"/>
    </row>
    <row r="6648" spans="1:4" x14ac:dyDescent="0.2">
      <c r="A6648" s="146"/>
      <c r="D6648" s="496"/>
    </row>
    <row r="6649" spans="1:4" x14ac:dyDescent="0.2">
      <c r="A6649" s="146"/>
      <c r="D6649" s="496"/>
    </row>
    <row r="6650" spans="1:4" x14ac:dyDescent="0.2">
      <c r="A6650" s="146"/>
      <c r="D6650" s="496"/>
    </row>
    <row r="6651" spans="1:4" x14ac:dyDescent="0.2">
      <c r="A6651" s="146"/>
      <c r="D6651" s="496"/>
    </row>
    <row r="6652" spans="1:4" x14ac:dyDescent="0.2">
      <c r="A6652" s="146"/>
      <c r="D6652" s="496"/>
    </row>
    <row r="6653" spans="1:4" x14ac:dyDescent="0.2">
      <c r="A6653" s="146"/>
      <c r="D6653" s="496"/>
    </row>
    <row r="6654" spans="1:4" x14ac:dyDescent="0.2">
      <c r="A6654" s="146"/>
      <c r="D6654" s="496"/>
    </row>
    <row r="6655" spans="1:4" x14ac:dyDescent="0.2">
      <c r="A6655" s="146"/>
      <c r="D6655" s="496"/>
    </row>
    <row r="6656" spans="1:4" x14ac:dyDescent="0.2">
      <c r="A6656" s="146"/>
      <c r="D6656" s="496"/>
    </row>
    <row r="6657" spans="1:4" x14ac:dyDescent="0.2">
      <c r="A6657" s="146"/>
      <c r="D6657" s="496"/>
    </row>
    <row r="6658" spans="1:4" x14ac:dyDescent="0.2">
      <c r="A6658" s="146"/>
      <c r="D6658" s="496"/>
    </row>
    <row r="6659" spans="1:4" x14ac:dyDescent="0.2">
      <c r="A6659" s="146"/>
      <c r="D6659" s="496"/>
    </row>
    <row r="6660" spans="1:4" x14ac:dyDescent="0.2">
      <c r="A6660" s="146"/>
      <c r="D6660" s="496"/>
    </row>
    <row r="6661" spans="1:4" x14ac:dyDescent="0.2">
      <c r="A6661" s="146"/>
      <c r="D6661" s="496"/>
    </row>
    <row r="6662" spans="1:4" x14ac:dyDescent="0.2">
      <c r="A6662" s="146"/>
      <c r="D6662" s="496"/>
    </row>
    <row r="6663" spans="1:4" x14ac:dyDescent="0.2">
      <c r="A6663" s="146"/>
      <c r="D6663" s="496"/>
    </row>
    <row r="6664" spans="1:4" x14ac:dyDescent="0.2">
      <c r="A6664" s="146"/>
      <c r="D6664" s="496"/>
    </row>
    <row r="6665" spans="1:4" x14ac:dyDescent="0.2">
      <c r="A6665" s="146"/>
      <c r="D6665" s="496"/>
    </row>
    <row r="6666" spans="1:4" x14ac:dyDescent="0.2">
      <c r="A6666" s="146"/>
      <c r="D6666" s="496"/>
    </row>
    <row r="6667" spans="1:4" x14ac:dyDescent="0.2">
      <c r="A6667" s="146"/>
      <c r="D6667" s="496"/>
    </row>
    <row r="6668" spans="1:4" x14ac:dyDescent="0.2">
      <c r="A6668" s="146"/>
      <c r="D6668" s="496"/>
    </row>
    <row r="6669" spans="1:4" x14ac:dyDescent="0.2">
      <c r="A6669" s="146"/>
      <c r="D6669" s="496"/>
    </row>
    <row r="6670" spans="1:4" x14ac:dyDescent="0.2">
      <c r="A6670" s="146"/>
      <c r="D6670" s="496"/>
    </row>
    <row r="6671" spans="1:4" x14ac:dyDescent="0.2">
      <c r="A6671" s="146"/>
      <c r="D6671" s="496"/>
    </row>
    <row r="6672" spans="1:4" x14ac:dyDescent="0.2">
      <c r="A6672" s="146"/>
      <c r="D6672" s="496"/>
    </row>
    <row r="6673" spans="1:4" x14ac:dyDescent="0.2">
      <c r="A6673" s="146"/>
      <c r="D6673" s="496"/>
    </row>
    <row r="6674" spans="1:4" x14ac:dyDescent="0.2">
      <c r="A6674" s="146"/>
      <c r="D6674" s="496"/>
    </row>
    <row r="6675" spans="1:4" x14ac:dyDescent="0.2">
      <c r="A6675" s="146"/>
      <c r="D6675" s="496"/>
    </row>
    <row r="6676" spans="1:4" x14ac:dyDescent="0.2">
      <c r="A6676" s="146"/>
      <c r="D6676" s="496"/>
    </row>
    <row r="6677" spans="1:4" x14ac:dyDescent="0.2">
      <c r="A6677" s="146"/>
      <c r="D6677" s="496"/>
    </row>
    <row r="6678" spans="1:4" x14ac:dyDescent="0.2">
      <c r="A6678" s="146"/>
      <c r="D6678" s="496"/>
    </row>
    <row r="6679" spans="1:4" x14ac:dyDescent="0.2">
      <c r="A6679" s="146"/>
      <c r="D6679" s="496"/>
    </row>
    <row r="6680" spans="1:4" x14ac:dyDescent="0.2">
      <c r="A6680" s="146"/>
      <c r="D6680" s="496"/>
    </row>
    <row r="6681" spans="1:4" x14ac:dyDescent="0.2">
      <c r="A6681" s="146"/>
      <c r="D6681" s="496"/>
    </row>
    <row r="6682" spans="1:4" x14ac:dyDescent="0.2">
      <c r="A6682" s="146"/>
      <c r="D6682" s="496"/>
    </row>
    <row r="6683" spans="1:4" x14ac:dyDescent="0.2">
      <c r="A6683" s="146"/>
      <c r="D6683" s="496"/>
    </row>
    <row r="6684" spans="1:4" x14ac:dyDescent="0.2">
      <c r="A6684" s="146"/>
      <c r="D6684" s="496"/>
    </row>
    <row r="6685" spans="1:4" x14ac:dyDescent="0.2">
      <c r="A6685" s="146"/>
      <c r="D6685" s="496"/>
    </row>
    <row r="6686" spans="1:4" x14ac:dyDescent="0.2">
      <c r="A6686" s="146"/>
      <c r="D6686" s="496"/>
    </row>
    <row r="6687" spans="1:4" x14ac:dyDescent="0.2">
      <c r="A6687" s="146"/>
      <c r="D6687" s="496"/>
    </row>
    <row r="6688" spans="1:4" x14ac:dyDescent="0.2">
      <c r="A6688" s="146"/>
      <c r="D6688" s="496"/>
    </row>
    <row r="6689" spans="1:4" x14ac:dyDescent="0.2">
      <c r="A6689" s="146"/>
      <c r="D6689" s="496"/>
    </row>
    <row r="6690" spans="1:4" x14ac:dyDescent="0.2">
      <c r="A6690" s="146"/>
      <c r="D6690" s="496"/>
    </row>
    <row r="6691" spans="1:4" x14ac:dyDescent="0.2">
      <c r="A6691" s="146"/>
      <c r="D6691" s="496"/>
    </row>
    <row r="6692" spans="1:4" x14ac:dyDescent="0.2">
      <c r="A6692" s="146"/>
      <c r="D6692" s="496"/>
    </row>
    <row r="6693" spans="1:4" x14ac:dyDescent="0.2">
      <c r="A6693" s="146"/>
      <c r="D6693" s="496"/>
    </row>
    <row r="6694" spans="1:4" x14ac:dyDescent="0.2">
      <c r="A6694" s="146"/>
      <c r="D6694" s="496"/>
    </row>
    <row r="6695" spans="1:4" x14ac:dyDescent="0.2">
      <c r="A6695" s="146"/>
      <c r="D6695" s="496"/>
    </row>
    <row r="6696" spans="1:4" x14ac:dyDescent="0.2">
      <c r="A6696" s="146"/>
      <c r="D6696" s="496"/>
    </row>
    <row r="6697" spans="1:4" x14ac:dyDescent="0.2">
      <c r="A6697" s="146"/>
      <c r="D6697" s="496"/>
    </row>
    <row r="6698" spans="1:4" x14ac:dyDescent="0.2">
      <c r="A6698" s="146"/>
      <c r="D6698" s="496"/>
    </row>
    <row r="6699" spans="1:4" x14ac:dyDescent="0.2">
      <c r="A6699" s="146"/>
      <c r="D6699" s="496"/>
    </row>
    <row r="6700" spans="1:4" x14ac:dyDescent="0.2">
      <c r="A6700" s="146"/>
      <c r="D6700" s="496"/>
    </row>
    <row r="6701" spans="1:4" x14ac:dyDescent="0.2">
      <c r="A6701" s="146"/>
      <c r="D6701" s="496"/>
    </row>
    <row r="6702" spans="1:4" x14ac:dyDescent="0.2">
      <c r="A6702" s="146"/>
      <c r="D6702" s="496"/>
    </row>
    <row r="6703" spans="1:4" x14ac:dyDescent="0.2">
      <c r="A6703" s="146"/>
      <c r="D6703" s="496"/>
    </row>
    <row r="6704" spans="1:4" x14ac:dyDescent="0.2">
      <c r="A6704" s="146"/>
      <c r="D6704" s="496"/>
    </row>
    <row r="6705" spans="1:4" x14ac:dyDescent="0.2">
      <c r="A6705" s="146"/>
      <c r="D6705" s="496"/>
    </row>
    <row r="6706" spans="1:4" x14ac:dyDescent="0.2">
      <c r="A6706" s="146"/>
      <c r="D6706" s="496"/>
    </row>
    <row r="6707" spans="1:4" x14ac:dyDescent="0.2">
      <c r="A6707" s="146"/>
      <c r="D6707" s="496"/>
    </row>
    <row r="6708" spans="1:4" x14ac:dyDescent="0.2">
      <c r="A6708" s="146"/>
      <c r="D6708" s="496"/>
    </row>
    <row r="6709" spans="1:4" x14ac:dyDescent="0.2">
      <c r="A6709" s="146"/>
      <c r="D6709" s="496"/>
    </row>
    <row r="6710" spans="1:4" x14ac:dyDescent="0.2">
      <c r="A6710" s="146"/>
      <c r="D6710" s="496"/>
    </row>
    <row r="6711" spans="1:4" x14ac:dyDescent="0.2">
      <c r="A6711" s="146"/>
      <c r="D6711" s="496"/>
    </row>
    <row r="6712" spans="1:4" x14ac:dyDescent="0.2">
      <c r="A6712" s="146"/>
      <c r="D6712" s="496"/>
    </row>
    <row r="6713" spans="1:4" x14ac:dyDescent="0.2">
      <c r="A6713" s="146"/>
      <c r="D6713" s="496"/>
    </row>
    <row r="6714" spans="1:4" x14ac:dyDescent="0.2">
      <c r="A6714" s="146"/>
      <c r="D6714" s="496"/>
    </row>
    <row r="6715" spans="1:4" x14ac:dyDescent="0.2">
      <c r="A6715" s="146"/>
      <c r="D6715" s="496"/>
    </row>
    <row r="6716" spans="1:4" x14ac:dyDescent="0.2">
      <c r="A6716" s="146"/>
      <c r="D6716" s="496"/>
    </row>
    <row r="6717" spans="1:4" x14ac:dyDescent="0.2">
      <c r="A6717" s="146"/>
      <c r="D6717" s="496"/>
    </row>
    <row r="6718" spans="1:4" x14ac:dyDescent="0.2">
      <c r="A6718" s="146"/>
      <c r="D6718" s="496"/>
    </row>
    <row r="6719" spans="1:4" x14ac:dyDescent="0.2">
      <c r="A6719" s="146"/>
      <c r="D6719" s="496"/>
    </row>
    <row r="6720" spans="1:4" x14ac:dyDescent="0.2">
      <c r="A6720" s="146"/>
      <c r="D6720" s="496"/>
    </row>
    <row r="6721" spans="1:4" x14ac:dyDescent="0.2">
      <c r="A6721" s="146"/>
      <c r="D6721" s="496"/>
    </row>
    <row r="6722" spans="1:4" x14ac:dyDescent="0.2">
      <c r="A6722" s="146"/>
      <c r="D6722" s="496"/>
    </row>
    <row r="6723" spans="1:4" x14ac:dyDescent="0.2">
      <c r="A6723" s="146"/>
      <c r="D6723" s="496"/>
    </row>
    <row r="6724" spans="1:4" x14ac:dyDescent="0.2">
      <c r="A6724" s="146"/>
      <c r="D6724" s="496"/>
    </row>
    <row r="6725" spans="1:4" x14ac:dyDescent="0.2">
      <c r="A6725" s="146"/>
      <c r="D6725" s="496"/>
    </row>
    <row r="6726" spans="1:4" x14ac:dyDescent="0.2">
      <c r="A6726" s="146"/>
      <c r="D6726" s="496"/>
    </row>
    <row r="6727" spans="1:4" x14ac:dyDescent="0.2">
      <c r="A6727" s="146"/>
      <c r="D6727" s="496"/>
    </row>
    <row r="6728" spans="1:4" x14ac:dyDescent="0.2">
      <c r="A6728" s="146"/>
      <c r="D6728" s="496"/>
    </row>
    <row r="6729" spans="1:4" x14ac:dyDescent="0.2">
      <c r="A6729" s="146"/>
      <c r="D6729" s="496"/>
    </row>
    <row r="6730" spans="1:4" x14ac:dyDescent="0.2">
      <c r="A6730" s="146"/>
      <c r="D6730" s="496"/>
    </row>
    <row r="6731" spans="1:4" x14ac:dyDescent="0.2">
      <c r="A6731" s="146"/>
      <c r="D6731" s="496"/>
    </row>
    <row r="6732" spans="1:4" x14ac:dyDescent="0.2">
      <c r="A6732" s="146"/>
      <c r="D6732" s="496"/>
    </row>
    <row r="6733" spans="1:4" x14ac:dyDescent="0.2">
      <c r="A6733" s="146"/>
      <c r="D6733" s="496"/>
    </row>
    <row r="6734" spans="1:4" x14ac:dyDescent="0.2">
      <c r="A6734" s="146"/>
      <c r="D6734" s="496"/>
    </row>
    <row r="6735" spans="1:4" x14ac:dyDescent="0.2">
      <c r="A6735" s="146"/>
      <c r="D6735" s="496"/>
    </row>
    <row r="6736" spans="1:4" x14ac:dyDescent="0.2">
      <c r="A6736" s="146"/>
      <c r="D6736" s="496"/>
    </row>
    <row r="6737" spans="1:4" x14ac:dyDescent="0.2">
      <c r="A6737" s="146"/>
      <c r="D6737" s="496"/>
    </row>
    <row r="6738" spans="1:4" x14ac:dyDescent="0.2">
      <c r="A6738" s="146"/>
      <c r="D6738" s="496"/>
    </row>
    <row r="6739" spans="1:4" x14ac:dyDescent="0.2">
      <c r="A6739" s="146"/>
      <c r="D6739" s="496"/>
    </row>
    <row r="6740" spans="1:4" x14ac:dyDescent="0.2">
      <c r="A6740" s="146"/>
      <c r="D6740" s="496"/>
    </row>
    <row r="6741" spans="1:4" x14ac:dyDescent="0.2">
      <c r="A6741" s="146"/>
      <c r="D6741" s="496"/>
    </row>
    <row r="6742" spans="1:4" x14ac:dyDescent="0.2">
      <c r="A6742" s="146"/>
      <c r="D6742" s="496"/>
    </row>
    <row r="6743" spans="1:4" x14ac:dyDescent="0.2">
      <c r="A6743" s="146"/>
      <c r="D6743" s="496"/>
    </row>
    <row r="6744" spans="1:4" x14ac:dyDescent="0.2">
      <c r="A6744" s="146"/>
      <c r="D6744" s="496"/>
    </row>
    <row r="6745" spans="1:4" x14ac:dyDescent="0.2">
      <c r="A6745" s="146"/>
      <c r="D6745" s="496"/>
    </row>
    <row r="6746" spans="1:4" x14ac:dyDescent="0.2">
      <c r="A6746" s="146"/>
      <c r="D6746" s="496"/>
    </row>
    <row r="6747" spans="1:4" x14ac:dyDescent="0.2">
      <c r="A6747" s="146"/>
      <c r="D6747" s="496"/>
    </row>
    <row r="6748" spans="1:4" x14ac:dyDescent="0.2">
      <c r="A6748" s="146"/>
      <c r="D6748" s="496"/>
    </row>
    <row r="6749" spans="1:4" x14ac:dyDescent="0.2">
      <c r="A6749" s="146"/>
      <c r="D6749" s="496"/>
    </row>
    <row r="6750" spans="1:4" x14ac:dyDescent="0.2">
      <c r="A6750" s="146"/>
      <c r="D6750" s="496"/>
    </row>
    <row r="6751" spans="1:4" x14ac:dyDescent="0.2">
      <c r="A6751" s="146"/>
      <c r="D6751" s="496"/>
    </row>
    <row r="6752" spans="1:4" x14ac:dyDescent="0.2">
      <c r="A6752" s="146"/>
      <c r="D6752" s="496"/>
    </row>
    <row r="6753" spans="1:4" x14ac:dyDescent="0.2">
      <c r="A6753" s="146"/>
      <c r="D6753" s="496"/>
    </row>
    <row r="6754" spans="1:4" x14ac:dyDescent="0.2">
      <c r="A6754" s="146"/>
      <c r="D6754" s="496"/>
    </row>
    <row r="6755" spans="1:4" x14ac:dyDescent="0.2">
      <c r="A6755" s="146"/>
      <c r="D6755" s="496"/>
    </row>
    <row r="6756" spans="1:4" x14ac:dyDescent="0.2">
      <c r="A6756" s="146"/>
      <c r="D6756" s="496"/>
    </row>
    <row r="6757" spans="1:4" x14ac:dyDescent="0.2">
      <c r="A6757" s="146"/>
      <c r="D6757" s="496"/>
    </row>
    <row r="6758" spans="1:4" x14ac:dyDescent="0.2">
      <c r="A6758" s="146"/>
      <c r="D6758" s="496"/>
    </row>
    <row r="6759" spans="1:4" x14ac:dyDescent="0.2">
      <c r="A6759" s="146"/>
      <c r="D6759" s="496"/>
    </row>
    <row r="6760" spans="1:4" x14ac:dyDescent="0.2">
      <c r="A6760" s="146"/>
      <c r="D6760" s="496"/>
    </row>
    <row r="6761" spans="1:4" x14ac:dyDescent="0.2">
      <c r="A6761" s="146"/>
      <c r="D6761" s="496"/>
    </row>
    <row r="6762" spans="1:4" x14ac:dyDescent="0.2">
      <c r="A6762" s="146"/>
      <c r="D6762" s="496"/>
    </row>
    <row r="6763" spans="1:4" x14ac:dyDescent="0.2">
      <c r="A6763" s="146"/>
      <c r="D6763" s="496"/>
    </row>
    <row r="6764" spans="1:4" x14ac:dyDescent="0.2">
      <c r="A6764" s="146"/>
      <c r="D6764" s="496"/>
    </row>
    <row r="6765" spans="1:4" x14ac:dyDescent="0.2">
      <c r="A6765" s="146"/>
      <c r="D6765" s="496"/>
    </row>
    <row r="6766" spans="1:4" x14ac:dyDescent="0.2">
      <c r="A6766" s="146"/>
      <c r="D6766" s="496"/>
    </row>
    <row r="6767" spans="1:4" x14ac:dyDescent="0.2">
      <c r="A6767" s="146"/>
      <c r="D6767" s="496"/>
    </row>
    <row r="6768" spans="1:4" x14ac:dyDescent="0.2">
      <c r="A6768" s="146"/>
      <c r="D6768" s="496"/>
    </row>
    <row r="6769" spans="1:4" x14ac:dyDescent="0.2">
      <c r="A6769" s="146"/>
      <c r="D6769" s="496"/>
    </row>
    <row r="6770" spans="1:4" x14ac:dyDescent="0.2">
      <c r="A6770" s="146"/>
      <c r="D6770" s="496"/>
    </row>
    <row r="6771" spans="1:4" x14ac:dyDescent="0.2">
      <c r="A6771" s="146"/>
      <c r="D6771" s="496"/>
    </row>
    <row r="6772" spans="1:4" x14ac:dyDescent="0.2">
      <c r="A6772" s="146"/>
      <c r="D6772" s="496"/>
    </row>
    <row r="6773" spans="1:4" x14ac:dyDescent="0.2">
      <c r="A6773" s="146"/>
      <c r="D6773" s="496"/>
    </row>
    <row r="6774" spans="1:4" x14ac:dyDescent="0.2">
      <c r="A6774" s="146"/>
      <c r="D6774" s="496"/>
    </row>
    <row r="6775" spans="1:4" x14ac:dyDescent="0.2">
      <c r="A6775" s="146"/>
      <c r="D6775" s="496"/>
    </row>
    <row r="6776" spans="1:4" x14ac:dyDescent="0.2">
      <c r="A6776" s="146"/>
      <c r="D6776" s="496"/>
    </row>
    <row r="6777" spans="1:4" x14ac:dyDescent="0.2">
      <c r="A6777" s="146"/>
      <c r="D6777" s="496"/>
    </row>
    <row r="6778" spans="1:4" x14ac:dyDescent="0.2">
      <c r="A6778" s="146"/>
      <c r="D6778" s="496"/>
    </row>
    <row r="6779" spans="1:4" x14ac:dyDescent="0.2">
      <c r="A6779" s="146"/>
      <c r="D6779" s="496"/>
    </row>
    <row r="6780" spans="1:4" x14ac:dyDescent="0.2">
      <c r="A6780" s="146"/>
      <c r="D6780" s="496"/>
    </row>
    <row r="6781" spans="1:4" x14ac:dyDescent="0.2">
      <c r="A6781" s="146"/>
      <c r="D6781" s="496"/>
    </row>
    <row r="6782" spans="1:4" x14ac:dyDescent="0.2">
      <c r="A6782" s="146"/>
      <c r="D6782" s="496"/>
    </row>
    <row r="6783" spans="1:4" x14ac:dyDescent="0.2">
      <c r="A6783" s="146"/>
      <c r="D6783" s="496"/>
    </row>
    <row r="6784" spans="1:4" x14ac:dyDescent="0.2">
      <c r="A6784" s="146"/>
      <c r="D6784" s="496"/>
    </row>
    <row r="6785" spans="1:4" x14ac:dyDescent="0.2">
      <c r="A6785" s="146"/>
      <c r="D6785" s="496"/>
    </row>
    <row r="6786" spans="1:4" x14ac:dyDescent="0.2">
      <c r="A6786" s="146"/>
      <c r="D6786" s="496"/>
    </row>
    <row r="6787" spans="1:4" x14ac:dyDescent="0.2">
      <c r="A6787" s="146"/>
      <c r="D6787" s="496"/>
    </row>
    <row r="6788" spans="1:4" x14ac:dyDescent="0.2">
      <c r="A6788" s="146"/>
      <c r="D6788" s="496"/>
    </row>
    <row r="6789" spans="1:4" x14ac:dyDescent="0.2">
      <c r="A6789" s="146"/>
      <c r="D6789" s="496"/>
    </row>
    <row r="6790" spans="1:4" x14ac:dyDescent="0.2">
      <c r="A6790" s="146"/>
      <c r="D6790" s="496"/>
    </row>
    <row r="6791" spans="1:4" x14ac:dyDescent="0.2">
      <c r="A6791" s="146"/>
      <c r="D6791" s="496"/>
    </row>
    <row r="6792" spans="1:4" x14ac:dyDescent="0.2">
      <c r="A6792" s="146"/>
      <c r="D6792" s="496"/>
    </row>
    <row r="6793" spans="1:4" x14ac:dyDescent="0.2">
      <c r="A6793" s="146"/>
      <c r="D6793" s="496"/>
    </row>
    <row r="6794" spans="1:4" x14ac:dyDescent="0.2">
      <c r="A6794" s="146"/>
      <c r="D6794" s="496"/>
    </row>
    <row r="6795" spans="1:4" x14ac:dyDescent="0.2">
      <c r="A6795" s="146"/>
      <c r="D6795" s="496"/>
    </row>
    <row r="6796" spans="1:4" x14ac:dyDescent="0.2">
      <c r="A6796" s="146"/>
      <c r="D6796" s="496"/>
    </row>
    <row r="6797" spans="1:4" x14ac:dyDescent="0.2">
      <c r="A6797" s="146"/>
      <c r="D6797" s="496"/>
    </row>
    <row r="6798" spans="1:4" x14ac:dyDescent="0.2">
      <c r="A6798" s="146"/>
      <c r="D6798" s="496"/>
    </row>
    <row r="6799" spans="1:4" x14ac:dyDescent="0.2">
      <c r="A6799" s="146"/>
      <c r="D6799" s="496"/>
    </row>
    <row r="6800" spans="1:4" x14ac:dyDescent="0.2">
      <c r="A6800" s="146"/>
      <c r="D6800" s="496"/>
    </row>
    <row r="6801" spans="1:4" x14ac:dyDescent="0.2">
      <c r="A6801" s="146"/>
      <c r="D6801" s="496"/>
    </row>
    <row r="6802" spans="1:4" x14ac:dyDescent="0.2">
      <c r="A6802" s="146"/>
      <c r="D6802" s="496"/>
    </row>
    <row r="6803" spans="1:4" x14ac:dyDescent="0.2">
      <c r="A6803" s="146"/>
      <c r="D6803" s="496"/>
    </row>
    <row r="6804" spans="1:4" x14ac:dyDescent="0.2">
      <c r="A6804" s="146"/>
      <c r="D6804" s="496"/>
    </row>
    <row r="6805" spans="1:4" x14ac:dyDescent="0.2">
      <c r="A6805" s="146"/>
      <c r="D6805" s="496"/>
    </row>
    <row r="6806" spans="1:4" x14ac:dyDescent="0.2">
      <c r="A6806" s="146"/>
      <c r="D6806" s="496"/>
    </row>
    <row r="6807" spans="1:4" x14ac:dyDescent="0.2">
      <c r="A6807" s="146"/>
      <c r="D6807" s="496"/>
    </row>
    <row r="6808" spans="1:4" x14ac:dyDescent="0.2">
      <c r="A6808" s="146"/>
      <c r="D6808" s="496"/>
    </row>
    <row r="6809" spans="1:4" x14ac:dyDescent="0.2">
      <c r="A6809" s="146"/>
      <c r="D6809" s="496"/>
    </row>
    <row r="6810" spans="1:4" x14ac:dyDescent="0.2">
      <c r="A6810" s="146"/>
      <c r="D6810" s="496"/>
    </row>
    <row r="6811" spans="1:4" x14ac:dyDescent="0.2">
      <c r="A6811" s="146"/>
      <c r="D6811" s="496"/>
    </row>
    <row r="6812" spans="1:4" x14ac:dyDescent="0.2">
      <c r="A6812" s="146"/>
      <c r="D6812" s="496"/>
    </row>
    <row r="6813" spans="1:4" x14ac:dyDescent="0.2">
      <c r="A6813" s="146"/>
      <c r="D6813" s="496"/>
    </row>
    <row r="6814" spans="1:4" x14ac:dyDescent="0.2">
      <c r="A6814" s="146"/>
      <c r="D6814" s="496"/>
    </row>
    <row r="6815" spans="1:4" x14ac:dyDescent="0.2">
      <c r="A6815" s="146"/>
      <c r="D6815" s="496"/>
    </row>
    <row r="6816" spans="1:4" x14ac:dyDescent="0.2">
      <c r="A6816" s="146"/>
      <c r="D6816" s="496"/>
    </row>
    <row r="6817" spans="1:4" x14ac:dyDescent="0.2">
      <c r="A6817" s="146"/>
      <c r="D6817" s="496"/>
    </row>
    <row r="6818" spans="1:4" x14ac:dyDescent="0.2">
      <c r="A6818" s="146"/>
      <c r="D6818" s="496"/>
    </row>
    <row r="6819" spans="1:4" x14ac:dyDescent="0.2">
      <c r="A6819" s="146"/>
      <c r="D6819" s="496"/>
    </row>
    <row r="6820" spans="1:4" x14ac:dyDescent="0.2">
      <c r="A6820" s="146"/>
      <c r="D6820" s="496"/>
    </row>
    <row r="6821" spans="1:4" x14ac:dyDescent="0.2">
      <c r="A6821" s="146"/>
      <c r="D6821" s="496"/>
    </row>
    <row r="6822" spans="1:4" x14ac:dyDescent="0.2">
      <c r="A6822" s="146"/>
      <c r="D6822" s="496"/>
    </row>
    <row r="6823" spans="1:4" x14ac:dyDescent="0.2">
      <c r="A6823" s="146"/>
      <c r="D6823" s="496"/>
    </row>
    <row r="6824" spans="1:4" x14ac:dyDescent="0.2">
      <c r="A6824" s="146"/>
      <c r="D6824" s="496"/>
    </row>
    <row r="6825" spans="1:4" x14ac:dyDescent="0.2">
      <c r="A6825" s="146"/>
      <c r="D6825" s="496"/>
    </row>
    <row r="6826" spans="1:4" x14ac:dyDescent="0.2">
      <c r="A6826" s="146"/>
      <c r="D6826" s="496"/>
    </row>
    <row r="6827" spans="1:4" x14ac:dyDescent="0.2">
      <c r="A6827" s="146"/>
      <c r="D6827" s="496"/>
    </row>
    <row r="6828" spans="1:4" x14ac:dyDescent="0.2">
      <c r="A6828" s="146"/>
      <c r="D6828" s="496"/>
    </row>
    <row r="6829" spans="1:4" x14ac:dyDescent="0.2">
      <c r="A6829" s="146"/>
      <c r="D6829" s="496"/>
    </row>
    <row r="6830" spans="1:4" x14ac:dyDescent="0.2">
      <c r="A6830" s="146"/>
      <c r="D6830" s="496"/>
    </row>
    <row r="6831" spans="1:4" x14ac:dyDescent="0.2">
      <c r="A6831" s="146"/>
      <c r="D6831" s="496"/>
    </row>
    <row r="6832" spans="1:4" x14ac:dyDescent="0.2">
      <c r="A6832" s="146"/>
      <c r="D6832" s="496"/>
    </row>
    <row r="6833" spans="1:4" x14ac:dyDescent="0.2">
      <c r="A6833" s="146"/>
      <c r="D6833" s="496"/>
    </row>
    <row r="6834" spans="1:4" x14ac:dyDescent="0.2">
      <c r="A6834" s="146"/>
      <c r="D6834" s="496"/>
    </row>
    <row r="6835" spans="1:4" x14ac:dyDescent="0.2">
      <c r="A6835" s="146"/>
      <c r="D6835" s="496"/>
    </row>
    <row r="6836" spans="1:4" x14ac:dyDescent="0.2">
      <c r="A6836" s="146"/>
      <c r="D6836" s="496"/>
    </row>
    <row r="6837" spans="1:4" x14ac:dyDescent="0.2">
      <c r="A6837" s="146"/>
      <c r="D6837" s="496"/>
    </row>
    <row r="6838" spans="1:4" x14ac:dyDescent="0.2">
      <c r="A6838" s="146"/>
      <c r="D6838" s="496"/>
    </row>
    <row r="6839" spans="1:4" x14ac:dyDescent="0.2">
      <c r="A6839" s="146"/>
      <c r="D6839" s="496"/>
    </row>
    <row r="6840" spans="1:4" x14ac:dyDescent="0.2">
      <c r="A6840" s="146"/>
      <c r="D6840" s="496"/>
    </row>
    <row r="6841" spans="1:4" x14ac:dyDescent="0.2">
      <c r="A6841" s="146"/>
      <c r="D6841" s="496"/>
    </row>
    <row r="6842" spans="1:4" x14ac:dyDescent="0.2">
      <c r="A6842" s="146"/>
      <c r="D6842" s="496"/>
    </row>
    <row r="6843" spans="1:4" x14ac:dyDescent="0.2">
      <c r="A6843" s="146"/>
      <c r="D6843" s="496"/>
    </row>
    <row r="6844" spans="1:4" x14ac:dyDescent="0.2">
      <c r="A6844" s="146"/>
      <c r="D6844" s="496"/>
    </row>
    <row r="6845" spans="1:4" x14ac:dyDescent="0.2">
      <c r="A6845" s="146"/>
      <c r="D6845" s="496"/>
    </row>
    <row r="6846" spans="1:4" x14ac:dyDescent="0.2">
      <c r="A6846" s="146"/>
      <c r="D6846" s="496"/>
    </row>
    <row r="6847" spans="1:4" x14ac:dyDescent="0.2">
      <c r="A6847" s="146"/>
      <c r="D6847" s="496"/>
    </row>
    <row r="6848" spans="1:4" x14ac:dyDescent="0.2">
      <c r="A6848" s="146"/>
      <c r="D6848" s="496"/>
    </row>
    <row r="6849" spans="1:4" x14ac:dyDescent="0.2">
      <c r="A6849" s="146"/>
      <c r="D6849" s="496"/>
    </row>
    <row r="6850" spans="1:4" x14ac:dyDescent="0.2">
      <c r="A6850" s="146"/>
      <c r="D6850" s="496"/>
    </row>
    <row r="6851" spans="1:4" x14ac:dyDescent="0.2">
      <c r="A6851" s="146"/>
      <c r="D6851" s="496"/>
    </row>
    <row r="6852" spans="1:4" x14ac:dyDescent="0.2">
      <c r="A6852" s="146"/>
      <c r="D6852" s="496"/>
    </row>
    <row r="6853" spans="1:4" x14ac:dyDescent="0.2">
      <c r="A6853" s="146"/>
      <c r="D6853" s="496"/>
    </row>
    <row r="6854" spans="1:4" x14ac:dyDescent="0.2">
      <c r="A6854" s="146"/>
      <c r="D6854" s="496"/>
    </row>
    <row r="6855" spans="1:4" x14ac:dyDescent="0.2">
      <c r="A6855" s="146"/>
      <c r="D6855" s="496"/>
    </row>
    <row r="6856" spans="1:4" x14ac:dyDescent="0.2">
      <c r="A6856" s="146"/>
      <c r="D6856" s="496"/>
    </row>
    <row r="6857" spans="1:4" x14ac:dyDescent="0.2">
      <c r="A6857" s="146"/>
      <c r="D6857" s="496"/>
    </row>
    <row r="6858" spans="1:4" x14ac:dyDescent="0.2">
      <c r="A6858" s="146"/>
      <c r="D6858" s="496"/>
    </row>
    <row r="6859" spans="1:4" x14ac:dyDescent="0.2">
      <c r="A6859" s="146"/>
      <c r="D6859" s="496"/>
    </row>
    <row r="6860" spans="1:4" x14ac:dyDescent="0.2">
      <c r="A6860" s="146"/>
      <c r="D6860" s="496"/>
    </row>
    <row r="6861" spans="1:4" x14ac:dyDescent="0.2">
      <c r="A6861" s="146"/>
      <c r="D6861" s="496"/>
    </row>
    <row r="6862" spans="1:4" x14ac:dyDescent="0.2">
      <c r="A6862" s="146"/>
      <c r="D6862" s="496"/>
    </row>
    <row r="6863" spans="1:4" x14ac:dyDescent="0.2">
      <c r="A6863" s="146"/>
      <c r="D6863" s="496"/>
    </row>
    <row r="6864" spans="1:4" x14ac:dyDescent="0.2">
      <c r="A6864" s="146"/>
      <c r="D6864" s="496"/>
    </row>
    <row r="6865" spans="1:4" x14ac:dyDescent="0.2">
      <c r="A6865" s="146"/>
      <c r="D6865" s="496"/>
    </row>
    <row r="6866" spans="1:4" x14ac:dyDescent="0.2">
      <c r="A6866" s="146"/>
      <c r="D6866" s="496"/>
    </row>
    <row r="6867" spans="1:4" x14ac:dyDescent="0.2">
      <c r="A6867" s="146"/>
      <c r="D6867" s="496"/>
    </row>
    <row r="6868" spans="1:4" x14ac:dyDescent="0.2">
      <c r="A6868" s="146"/>
      <c r="D6868" s="496"/>
    </row>
    <row r="6869" spans="1:4" x14ac:dyDescent="0.2">
      <c r="A6869" s="146"/>
      <c r="D6869" s="496"/>
    </row>
    <row r="6870" spans="1:4" x14ac:dyDescent="0.2">
      <c r="A6870" s="146"/>
      <c r="D6870" s="496"/>
    </row>
    <row r="6871" spans="1:4" x14ac:dyDescent="0.2">
      <c r="A6871" s="146"/>
      <c r="D6871" s="496"/>
    </row>
    <row r="6872" spans="1:4" x14ac:dyDescent="0.2">
      <c r="A6872" s="146"/>
      <c r="D6872" s="496"/>
    </row>
    <row r="6873" spans="1:4" x14ac:dyDescent="0.2">
      <c r="A6873" s="146"/>
      <c r="D6873" s="496"/>
    </row>
    <row r="6874" spans="1:4" x14ac:dyDescent="0.2">
      <c r="A6874" s="146"/>
      <c r="D6874" s="496"/>
    </row>
    <row r="6875" spans="1:4" x14ac:dyDescent="0.2">
      <c r="A6875" s="146"/>
      <c r="D6875" s="496"/>
    </row>
    <row r="6876" spans="1:4" x14ac:dyDescent="0.2">
      <c r="A6876" s="146"/>
      <c r="D6876" s="496"/>
    </row>
    <row r="6877" spans="1:4" x14ac:dyDescent="0.2">
      <c r="A6877" s="146"/>
      <c r="D6877" s="496"/>
    </row>
    <row r="6878" spans="1:4" x14ac:dyDescent="0.2">
      <c r="A6878" s="146"/>
      <c r="D6878" s="496"/>
    </row>
    <row r="6879" spans="1:4" x14ac:dyDescent="0.2">
      <c r="A6879" s="146"/>
      <c r="D6879" s="496"/>
    </row>
    <row r="6880" spans="1:4" x14ac:dyDescent="0.2">
      <c r="A6880" s="146"/>
      <c r="D6880" s="496"/>
    </row>
    <row r="6881" spans="1:4" x14ac:dyDescent="0.2">
      <c r="A6881" s="146"/>
      <c r="D6881" s="496"/>
    </row>
    <row r="6882" spans="1:4" x14ac:dyDescent="0.2">
      <c r="A6882" s="146"/>
      <c r="D6882" s="496"/>
    </row>
    <row r="6883" spans="1:4" x14ac:dyDescent="0.2">
      <c r="A6883" s="146"/>
      <c r="D6883" s="496"/>
    </row>
    <row r="6884" spans="1:4" x14ac:dyDescent="0.2">
      <c r="A6884" s="146"/>
      <c r="D6884" s="496"/>
    </row>
    <row r="6885" spans="1:4" x14ac:dyDescent="0.2">
      <c r="A6885" s="146"/>
      <c r="D6885" s="496"/>
    </row>
    <row r="6886" spans="1:4" x14ac:dyDescent="0.2">
      <c r="A6886" s="146"/>
      <c r="D6886" s="496"/>
    </row>
    <row r="6887" spans="1:4" x14ac:dyDescent="0.2">
      <c r="A6887" s="146"/>
      <c r="D6887" s="496"/>
    </row>
    <row r="6888" spans="1:4" x14ac:dyDescent="0.2">
      <c r="A6888" s="146"/>
      <c r="D6888" s="496"/>
    </row>
    <row r="6889" spans="1:4" x14ac:dyDescent="0.2">
      <c r="A6889" s="146"/>
      <c r="D6889" s="496"/>
    </row>
    <row r="6890" spans="1:4" x14ac:dyDescent="0.2">
      <c r="A6890" s="146"/>
      <c r="D6890" s="496"/>
    </row>
    <row r="6891" spans="1:4" x14ac:dyDescent="0.2">
      <c r="A6891" s="146"/>
      <c r="D6891" s="496"/>
    </row>
    <row r="6892" spans="1:4" x14ac:dyDescent="0.2">
      <c r="A6892" s="146"/>
      <c r="D6892" s="496"/>
    </row>
    <row r="6893" spans="1:4" x14ac:dyDescent="0.2">
      <c r="A6893" s="146"/>
      <c r="D6893" s="496"/>
    </row>
    <row r="6894" spans="1:4" x14ac:dyDescent="0.2">
      <c r="A6894" s="146"/>
      <c r="D6894" s="496"/>
    </row>
    <row r="6895" spans="1:4" x14ac:dyDescent="0.2">
      <c r="A6895" s="146"/>
      <c r="D6895" s="496"/>
    </row>
    <row r="6896" spans="1:4" x14ac:dyDescent="0.2">
      <c r="A6896" s="146"/>
      <c r="D6896" s="496"/>
    </row>
    <row r="6897" spans="1:4" x14ac:dyDescent="0.2">
      <c r="A6897" s="146"/>
      <c r="D6897" s="496"/>
    </row>
    <row r="6898" spans="1:4" x14ac:dyDescent="0.2">
      <c r="A6898" s="146"/>
      <c r="D6898" s="496"/>
    </row>
    <row r="6899" spans="1:4" x14ac:dyDescent="0.2">
      <c r="A6899" s="146"/>
      <c r="D6899" s="496"/>
    </row>
    <row r="6900" spans="1:4" x14ac:dyDescent="0.2">
      <c r="A6900" s="146"/>
      <c r="D6900" s="496"/>
    </row>
    <row r="6901" spans="1:4" x14ac:dyDescent="0.2">
      <c r="A6901" s="146"/>
      <c r="D6901" s="496"/>
    </row>
    <row r="6902" spans="1:4" x14ac:dyDescent="0.2">
      <c r="A6902" s="146"/>
      <c r="D6902" s="496"/>
    </row>
    <row r="6903" spans="1:4" x14ac:dyDescent="0.2">
      <c r="A6903" s="146"/>
      <c r="D6903" s="496"/>
    </row>
    <row r="6904" spans="1:4" x14ac:dyDescent="0.2">
      <c r="A6904" s="146"/>
      <c r="D6904" s="496"/>
    </row>
    <row r="6905" spans="1:4" x14ac:dyDescent="0.2">
      <c r="A6905" s="146"/>
      <c r="D6905" s="496"/>
    </row>
    <row r="6906" spans="1:4" x14ac:dyDescent="0.2">
      <c r="A6906" s="146"/>
      <c r="D6906" s="496"/>
    </row>
    <row r="6907" spans="1:4" x14ac:dyDescent="0.2">
      <c r="A6907" s="146"/>
      <c r="D6907" s="496"/>
    </row>
    <row r="6908" spans="1:4" x14ac:dyDescent="0.2">
      <c r="A6908" s="146"/>
      <c r="D6908" s="496"/>
    </row>
    <row r="6909" spans="1:4" x14ac:dyDescent="0.2">
      <c r="A6909" s="146"/>
      <c r="D6909" s="496"/>
    </row>
    <row r="6910" spans="1:4" x14ac:dyDescent="0.2">
      <c r="A6910" s="146"/>
      <c r="D6910" s="496"/>
    </row>
    <row r="6911" spans="1:4" x14ac:dyDescent="0.2">
      <c r="A6911" s="146"/>
      <c r="D6911" s="496"/>
    </row>
    <row r="6912" spans="1:4" x14ac:dyDescent="0.2">
      <c r="A6912" s="146"/>
      <c r="D6912" s="496"/>
    </row>
    <row r="6913" spans="1:4" x14ac:dyDescent="0.2">
      <c r="A6913" s="146"/>
      <c r="D6913" s="496"/>
    </row>
    <row r="6914" spans="1:4" x14ac:dyDescent="0.2">
      <c r="A6914" s="146"/>
      <c r="D6914" s="496"/>
    </row>
    <row r="6915" spans="1:4" x14ac:dyDescent="0.2">
      <c r="A6915" s="146"/>
      <c r="D6915" s="496"/>
    </row>
    <row r="6916" spans="1:4" x14ac:dyDescent="0.2">
      <c r="A6916" s="146"/>
      <c r="D6916" s="496"/>
    </row>
    <row r="6917" spans="1:4" x14ac:dyDescent="0.2">
      <c r="A6917" s="146"/>
      <c r="D6917" s="496"/>
    </row>
    <row r="6918" spans="1:4" x14ac:dyDescent="0.2">
      <c r="A6918" s="146"/>
      <c r="D6918" s="496"/>
    </row>
    <row r="6919" spans="1:4" x14ac:dyDescent="0.2">
      <c r="A6919" s="146"/>
      <c r="D6919" s="496"/>
    </row>
    <row r="6920" spans="1:4" x14ac:dyDescent="0.2">
      <c r="A6920" s="146"/>
      <c r="D6920" s="496"/>
    </row>
    <row r="6921" spans="1:4" x14ac:dyDescent="0.2">
      <c r="A6921" s="146"/>
      <c r="D6921" s="496"/>
    </row>
    <row r="6922" spans="1:4" x14ac:dyDescent="0.2">
      <c r="A6922" s="146"/>
      <c r="D6922" s="496"/>
    </row>
    <row r="6923" spans="1:4" x14ac:dyDescent="0.2">
      <c r="A6923" s="146"/>
      <c r="D6923" s="496"/>
    </row>
    <row r="6924" spans="1:4" x14ac:dyDescent="0.2">
      <c r="A6924" s="146"/>
      <c r="D6924" s="496"/>
    </row>
    <row r="6925" spans="1:4" x14ac:dyDescent="0.2">
      <c r="A6925" s="146"/>
      <c r="D6925" s="496"/>
    </row>
    <row r="6926" spans="1:4" x14ac:dyDescent="0.2">
      <c r="A6926" s="146"/>
      <c r="D6926" s="496"/>
    </row>
    <row r="6927" spans="1:4" x14ac:dyDescent="0.2">
      <c r="A6927" s="146"/>
      <c r="D6927" s="496"/>
    </row>
    <row r="6928" spans="1:4" x14ac:dyDescent="0.2">
      <c r="A6928" s="146"/>
      <c r="D6928" s="496"/>
    </row>
    <row r="6929" spans="1:4" x14ac:dyDescent="0.2">
      <c r="A6929" s="146"/>
      <c r="D6929" s="496"/>
    </row>
    <row r="6930" spans="1:4" x14ac:dyDescent="0.2">
      <c r="A6930" s="146"/>
      <c r="D6930" s="496"/>
    </row>
    <row r="6931" spans="1:4" x14ac:dyDescent="0.2">
      <c r="A6931" s="146"/>
      <c r="D6931" s="496"/>
    </row>
    <row r="6932" spans="1:4" x14ac:dyDescent="0.2">
      <c r="A6932" s="146"/>
      <c r="D6932" s="496"/>
    </row>
    <row r="6933" spans="1:4" x14ac:dyDescent="0.2">
      <c r="A6933" s="146"/>
      <c r="D6933" s="496"/>
    </row>
    <row r="6934" spans="1:4" x14ac:dyDescent="0.2">
      <c r="A6934" s="146"/>
      <c r="D6934" s="496"/>
    </row>
    <row r="6935" spans="1:4" x14ac:dyDescent="0.2">
      <c r="A6935" s="146"/>
      <c r="D6935" s="496"/>
    </row>
    <row r="6936" spans="1:4" x14ac:dyDescent="0.2">
      <c r="A6936" s="146"/>
      <c r="D6936" s="496"/>
    </row>
    <row r="6937" spans="1:4" x14ac:dyDescent="0.2">
      <c r="A6937" s="146"/>
      <c r="D6937" s="496"/>
    </row>
    <row r="6938" spans="1:4" x14ac:dyDescent="0.2">
      <c r="A6938" s="146"/>
      <c r="D6938" s="496"/>
    </row>
    <row r="6939" spans="1:4" x14ac:dyDescent="0.2">
      <c r="A6939" s="146"/>
      <c r="D6939" s="496"/>
    </row>
    <row r="6940" spans="1:4" x14ac:dyDescent="0.2">
      <c r="A6940" s="146"/>
      <c r="D6940" s="496"/>
    </row>
    <row r="6941" spans="1:4" x14ac:dyDescent="0.2">
      <c r="A6941" s="146"/>
      <c r="D6941" s="496"/>
    </row>
    <row r="6942" spans="1:4" x14ac:dyDescent="0.2">
      <c r="A6942" s="146"/>
      <c r="D6942" s="496"/>
    </row>
    <row r="6943" spans="1:4" x14ac:dyDescent="0.2">
      <c r="A6943" s="146"/>
      <c r="D6943" s="496"/>
    </row>
    <row r="6944" spans="1:4" x14ac:dyDescent="0.2">
      <c r="A6944" s="146"/>
      <c r="D6944" s="496"/>
    </row>
    <row r="6945" spans="1:4" x14ac:dyDescent="0.2">
      <c r="A6945" s="146"/>
      <c r="D6945" s="496"/>
    </row>
    <row r="6946" spans="1:4" x14ac:dyDescent="0.2">
      <c r="A6946" s="146"/>
      <c r="D6946" s="496"/>
    </row>
    <row r="6947" spans="1:4" x14ac:dyDescent="0.2">
      <c r="A6947" s="146"/>
      <c r="D6947" s="496"/>
    </row>
    <row r="6948" spans="1:4" x14ac:dyDescent="0.2">
      <c r="A6948" s="146"/>
      <c r="D6948" s="496"/>
    </row>
    <row r="6949" spans="1:4" x14ac:dyDescent="0.2">
      <c r="A6949" s="146"/>
      <c r="D6949" s="496"/>
    </row>
    <row r="6950" spans="1:4" x14ac:dyDescent="0.2">
      <c r="A6950" s="146"/>
      <c r="D6950" s="496"/>
    </row>
    <row r="6951" spans="1:4" x14ac:dyDescent="0.2">
      <c r="A6951" s="146"/>
      <c r="D6951" s="496"/>
    </row>
    <row r="6952" spans="1:4" x14ac:dyDescent="0.2">
      <c r="A6952" s="146"/>
      <c r="D6952" s="496"/>
    </row>
    <row r="6953" spans="1:4" x14ac:dyDescent="0.2">
      <c r="A6953" s="146"/>
      <c r="D6953" s="496"/>
    </row>
    <row r="6954" spans="1:4" x14ac:dyDescent="0.2">
      <c r="A6954" s="146"/>
      <c r="D6954" s="496"/>
    </row>
    <row r="6955" spans="1:4" x14ac:dyDescent="0.2">
      <c r="A6955" s="146"/>
      <c r="D6955" s="496"/>
    </row>
    <row r="6956" spans="1:4" x14ac:dyDescent="0.2">
      <c r="A6956" s="146"/>
      <c r="D6956" s="496"/>
    </row>
    <row r="6957" spans="1:4" x14ac:dyDescent="0.2">
      <c r="A6957" s="146"/>
      <c r="D6957" s="496"/>
    </row>
    <row r="6958" spans="1:4" x14ac:dyDescent="0.2">
      <c r="A6958" s="146"/>
      <c r="D6958" s="496"/>
    </row>
    <row r="6959" spans="1:4" x14ac:dyDescent="0.2">
      <c r="A6959" s="146"/>
      <c r="D6959" s="496"/>
    </row>
    <row r="6960" spans="1:4" x14ac:dyDescent="0.2">
      <c r="A6960" s="146"/>
      <c r="D6960" s="496"/>
    </row>
    <row r="6961" spans="1:4" x14ac:dyDescent="0.2">
      <c r="A6961" s="146"/>
      <c r="D6961" s="496"/>
    </row>
    <row r="6962" spans="1:4" x14ac:dyDescent="0.2">
      <c r="A6962" s="146"/>
      <c r="D6962" s="496"/>
    </row>
    <row r="6963" spans="1:4" x14ac:dyDescent="0.2">
      <c r="A6963" s="146"/>
      <c r="D6963" s="496"/>
    </row>
    <row r="6964" spans="1:4" x14ac:dyDescent="0.2">
      <c r="A6964" s="146"/>
      <c r="D6964" s="496"/>
    </row>
    <row r="6965" spans="1:4" x14ac:dyDescent="0.2">
      <c r="A6965" s="146"/>
      <c r="D6965" s="496"/>
    </row>
    <row r="6966" spans="1:4" x14ac:dyDescent="0.2">
      <c r="A6966" s="146"/>
      <c r="D6966" s="496"/>
    </row>
    <row r="6967" spans="1:4" x14ac:dyDescent="0.2">
      <c r="A6967" s="146"/>
      <c r="D6967" s="496"/>
    </row>
    <row r="6968" spans="1:4" x14ac:dyDescent="0.2">
      <c r="A6968" s="146"/>
      <c r="D6968" s="496"/>
    </row>
    <row r="6969" spans="1:4" x14ac:dyDescent="0.2">
      <c r="A6969" s="146"/>
      <c r="D6969" s="496"/>
    </row>
    <row r="6970" spans="1:4" x14ac:dyDescent="0.2">
      <c r="A6970" s="146"/>
      <c r="D6970" s="496"/>
    </row>
    <row r="6971" spans="1:4" x14ac:dyDescent="0.2">
      <c r="A6971" s="146"/>
      <c r="D6971" s="496"/>
    </row>
    <row r="6972" spans="1:4" x14ac:dyDescent="0.2">
      <c r="A6972" s="146"/>
      <c r="D6972" s="496"/>
    </row>
    <row r="6973" spans="1:4" x14ac:dyDescent="0.2">
      <c r="A6973" s="146"/>
      <c r="D6973" s="496"/>
    </row>
    <row r="6974" spans="1:4" x14ac:dyDescent="0.2">
      <c r="A6974" s="146"/>
      <c r="D6974" s="496"/>
    </row>
    <row r="6975" spans="1:4" x14ac:dyDescent="0.2">
      <c r="A6975" s="146"/>
      <c r="D6975" s="496"/>
    </row>
    <row r="6976" spans="1:4" x14ac:dyDescent="0.2">
      <c r="A6976" s="146"/>
      <c r="D6976" s="496"/>
    </row>
    <row r="6977" spans="1:4" x14ac:dyDescent="0.2">
      <c r="A6977" s="146"/>
      <c r="D6977" s="496"/>
    </row>
    <row r="6978" spans="1:4" x14ac:dyDescent="0.2">
      <c r="A6978" s="146"/>
      <c r="D6978" s="496"/>
    </row>
    <row r="6979" spans="1:4" x14ac:dyDescent="0.2">
      <c r="A6979" s="146"/>
      <c r="D6979" s="496"/>
    </row>
    <row r="6980" spans="1:4" x14ac:dyDescent="0.2">
      <c r="A6980" s="146"/>
      <c r="D6980" s="496"/>
    </row>
    <row r="6981" spans="1:4" x14ac:dyDescent="0.2">
      <c r="A6981" s="146"/>
      <c r="D6981" s="496"/>
    </row>
    <row r="6982" spans="1:4" x14ac:dyDescent="0.2">
      <c r="A6982" s="146"/>
      <c r="D6982" s="496"/>
    </row>
    <row r="6983" spans="1:4" x14ac:dyDescent="0.2">
      <c r="A6983" s="146"/>
      <c r="D6983" s="496"/>
    </row>
    <row r="6984" spans="1:4" x14ac:dyDescent="0.2">
      <c r="A6984" s="146"/>
      <c r="D6984" s="496"/>
    </row>
    <row r="6985" spans="1:4" x14ac:dyDescent="0.2">
      <c r="A6985" s="146"/>
      <c r="D6985" s="496"/>
    </row>
    <row r="6986" spans="1:4" x14ac:dyDescent="0.2">
      <c r="A6986" s="146"/>
      <c r="D6986" s="496"/>
    </row>
    <row r="6987" spans="1:4" x14ac:dyDescent="0.2">
      <c r="A6987" s="146"/>
      <c r="D6987" s="496"/>
    </row>
    <row r="6988" spans="1:4" x14ac:dyDescent="0.2">
      <c r="A6988" s="146"/>
      <c r="D6988" s="496"/>
    </row>
    <row r="6989" spans="1:4" x14ac:dyDescent="0.2">
      <c r="A6989" s="146"/>
      <c r="D6989" s="496"/>
    </row>
    <row r="6990" spans="1:4" x14ac:dyDescent="0.2">
      <c r="A6990" s="146"/>
      <c r="D6990" s="496"/>
    </row>
    <row r="6991" spans="1:4" x14ac:dyDescent="0.2">
      <c r="A6991" s="146"/>
      <c r="D6991" s="496"/>
    </row>
    <row r="6992" spans="1:4" x14ac:dyDescent="0.2">
      <c r="A6992" s="146"/>
      <c r="D6992" s="496"/>
    </row>
    <row r="6993" spans="1:4" x14ac:dyDescent="0.2">
      <c r="A6993" s="146"/>
      <c r="D6993" s="496"/>
    </row>
    <row r="6994" spans="1:4" x14ac:dyDescent="0.2">
      <c r="A6994" s="146"/>
      <c r="D6994" s="496"/>
    </row>
    <row r="6995" spans="1:4" x14ac:dyDescent="0.2">
      <c r="A6995" s="146"/>
      <c r="D6995" s="496"/>
    </row>
    <row r="6996" spans="1:4" x14ac:dyDescent="0.2">
      <c r="A6996" s="146"/>
      <c r="D6996" s="496"/>
    </row>
    <row r="6997" spans="1:4" x14ac:dyDescent="0.2">
      <c r="A6997" s="146"/>
      <c r="D6997" s="496"/>
    </row>
    <row r="6998" spans="1:4" x14ac:dyDescent="0.2">
      <c r="A6998" s="146"/>
      <c r="D6998" s="496"/>
    </row>
    <row r="6999" spans="1:4" x14ac:dyDescent="0.2">
      <c r="A6999" s="146"/>
      <c r="D6999" s="496"/>
    </row>
    <row r="7000" spans="1:4" x14ac:dyDescent="0.2">
      <c r="A7000" s="146"/>
      <c r="D7000" s="496"/>
    </row>
    <row r="7001" spans="1:4" x14ac:dyDescent="0.2">
      <c r="A7001" s="146"/>
      <c r="D7001" s="496"/>
    </row>
    <row r="7002" spans="1:4" x14ac:dyDescent="0.2">
      <c r="A7002" s="146"/>
      <c r="D7002" s="496"/>
    </row>
    <row r="7003" spans="1:4" x14ac:dyDescent="0.2">
      <c r="A7003" s="146"/>
      <c r="D7003" s="496"/>
    </row>
    <row r="7004" spans="1:4" x14ac:dyDescent="0.2">
      <c r="A7004" s="146"/>
      <c r="D7004" s="496"/>
    </row>
    <row r="7005" spans="1:4" x14ac:dyDescent="0.2">
      <c r="A7005" s="146"/>
      <c r="D7005" s="496"/>
    </row>
    <row r="7006" spans="1:4" x14ac:dyDescent="0.2">
      <c r="A7006" s="146"/>
      <c r="D7006" s="496"/>
    </row>
    <row r="7007" spans="1:4" x14ac:dyDescent="0.2">
      <c r="A7007" s="146"/>
      <c r="D7007" s="496"/>
    </row>
    <row r="7008" spans="1:4" x14ac:dyDescent="0.2">
      <c r="A7008" s="146"/>
      <c r="D7008" s="496"/>
    </row>
    <row r="7009" spans="1:4" x14ac:dyDescent="0.2">
      <c r="A7009" s="146"/>
      <c r="D7009" s="496"/>
    </row>
    <row r="7010" spans="1:4" x14ac:dyDescent="0.2">
      <c r="A7010" s="146"/>
      <c r="D7010" s="496"/>
    </row>
    <row r="7011" spans="1:4" x14ac:dyDescent="0.2">
      <c r="A7011" s="146"/>
      <c r="D7011" s="496"/>
    </row>
    <row r="7012" spans="1:4" x14ac:dyDescent="0.2">
      <c r="A7012" s="146"/>
      <c r="D7012" s="496"/>
    </row>
    <row r="7013" spans="1:4" x14ac:dyDescent="0.2">
      <c r="A7013" s="146"/>
      <c r="D7013" s="496"/>
    </row>
    <row r="7014" spans="1:4" x14ac:dyDescent="0.2">
      <c r="A7014" s="146"/>
      <c r="D7014" s="496"/>
    </row>
    <row r="7015" spans="1:4" x14ac:dyDescent="0.2">
      <c r="A7015" s="146"/>
      <c r="D7015" s="496"/>
    </row>
    <row r="7016" spans="1:4" x14ac:dyDescent="0.2">
      <c r="A7016" s="146"/>
      <c r="D7016" s="496"/>
    </row>
    <row r="7017" spans="1:4" x14ac:dyDescent="0.2">
      <c r="A7017" s="146"/>
      <c r="D7017" s="496"/>
    </row>
    <row r="7018" spans="1:4" x14ac:dyDescent="0.2">
      <c r="A7018" s="146"/>
      <c r="D7018" s="496"/>
    </row>
    <row r="7019" spans="1:4" x14ac:dyDescent="0.2">
      <c r="A7019" s="146"/>
      <c r="D7019" s="496"/>
    </row>
    <row r="7020" spans="1:4" x14ac:dyDescent="0.2">
      <c r="A7020" s="146"/>
      <c r="D7020" s="496"/>
    </row>
    <row r="7021" spans="1:4" x14ac:dyDescent="0.2">
      <c r="A7021" s="146"/>
      <c r="D7021" s="496"/>
    </row>
    <row r="7022" spans="1:4" x14ac:dyDescent="0.2">
      <c r="A7022" s="146"/>
      <c r="D7022" s="496"/>
    </row>
    <row r="7023" spans="1:4" x14ac:dyDescent="0.2">
      <c r="A7023" s="146"/>
      <c r="D7023" s="496"/>
    </row>
    <row r="7024" spans="1:4" x14ac:dyDescent="0.2">
      <c r="A7024" s="146"/>
      <c r="D7024" s="496"/>
    </row>
    <row r="7025" spans="1:4" x14ac:dyDescent="0.2">
      <c r="A7025" s="146"/>
      <c r="D7025" s="496"/>
    </row>
    <row r="7026" spans="1:4" x14ac:dyDescent="0.2">
      <c r="A7026" s="146"/>
      <c r="D7026" s="496"/>
    </row>
    <row r="7027" spans="1:4" x14ac:dyDescent="0.2">
      <c r="A7027" s="146"/>
      <c r="D7027" s="496"/>
    </row>
    <row r="7028" spans="1:4" x14ac:dyDescent="0.2">
      <c r="A7028" s="146"/>
      <c r="D7028" s="496"/>
    </row>
    <row r="7029" spans="1:4" x14ac:dyDescent="0.2">
      <c r="A7029" s="146"/>
      <c r="D7029" s="496"/>
    </row>
    <row r="7030" spans="1:4" x14ac:dyDescent="0.2">
      <c r="A7030" s="146"/>
      <c r="D7030" s="496"/>
    </row>
    <row r="7031" spans="1:4" x14ac:dyDescent="0.2">
      <c r="A7031" s="146"/>
      <c r="D7031" s="496"/>
    </row>
    <row r="7032" spans="1:4" x14ac:dyDescent="0.2">
      <c r="A7032" s="146"/>
      <c r="D7032" s="496"/>
    </row>
    <row r="7033" spans="1:4" x14ac:dyDescent="0.2">
      <c r="A7033" s="146"/>
      <c r="D7033" s="496"/>
    </row>
    <row r="7034" spans="1:4" x14ac:dyDescent="0.2">
      <c r="A7034" s="146"/>
      <c r="D7034" s="496"/>
    </row>
    <row r="7035" spans="1:4" x14ac:dyDescent="0.2">
      <c r="A7035" s="146"/>
      <c r="D7035" s="496"/>
    </row>
    <row r="7036" spans="1:4" x14ac:dyDescent="0.2">
      <c r="A7036" s="146"/>
      <c r="D7036" s="496"/>
    </row>
    <row r="7037" spans="1:4" x14ac:dyDescent="0.2">
      <c r="A7037" s="146"/>
      <c r="D7037" s="496"/>
    </row>
    <row r="7038" spans="1:4" x14ac:dyDescent="0.2">
      <c r="A7038" s="146"/>
      <c r="D7038" s="496"/>
    </row>
    <row r="7039" spans="1:4" x14ac:dyDescent="0.2">
      <c r="A7039" s="146"/>
      <c r="D7039" s="496"/>
    </row>
    <row r="7040" spans="1:4" x14ac:dyDescent="0.2">
      <c r="A7040" s="146"/>
      <c r="D7040" s="496"/>
    </row>
    <row r="7041" spans="1:4" x14ac:dyDescent="0.2">
      <c r="A7041" s="146"/>
      <c r="D7041" s="496"/>
    </row>
    <row r="7042" spans="1:4" x14ac:dyDescent="0.2">
      <c r="A7042" s="146"/>
      <c r="D7042" s="496"/>
    </row>
    <row r="7043" spans="1:4" x14ac:dyDescent="0.2">
      <c r="A7043" s="146"/>
      <c r="D7043" s="496"/>
    </row>
    <row r="7044" spans="1:4" x14ac:dyDescent="0.2">
      <c r="A7044" s="146"/>
      <c r="D7044" s="496"/>
    </row>
    <row r="7045" spans="1:4" x14ac:dyDescent="0.2">
      <c r="A7045" s="146"/>
      <c r="D7045" s="496"/>
    </row>
    <row r="7046" spans="1:4" x14ac:dyDescent="0.2">
      <c r="A7046" s="146"/>
      <c r="D7046" s="496"/>
    </row>
    <row r="7047" spans="1:4" x14ac:dyDescent="0.2">
      <c r="A7047" s="146"/>
      <c r="D7047" s="496"/>
    </row>
    <row r="7048" spans="1:4" x14ac:dyDescent="0.2">
      <c r="A7048" s="146"/>
      <c r="D7048" s="496"/>
    </row>
    <row r="7049" spans="1:4" x14ac:dyDescent="0.2">
      <c r="A7049" s="146"/>
      <c r="D7049" s="496"/>
    </row>
    <row r="7050" spans="1:4" x14ac:dyDescent="0.2">
      <c r="A7050" s="146"/>
      <c r="D7050" s="496"/>
    </row>
    <row r="7051" spans="1:4" x14ac:dyDescent="0.2">
      <c r="A7051" s="146"/>
      <c r="D7051" s="496"/>
    </row>
    <row r="7052" spans="1:4" x14ac:dyDescent="0.2">
      <c r="A7052" s="146"/>
      <c r="D7052" s="496"/>
    </row>
    <row r="7053" spans="1:4" x14ac:dyDescent="0.2">
      <c r="A7053" s="146"/>
      <c r="D7053" s="496"/>
    </row>
    <row r="7054" spans="1:4" x14ac:dyDescent="0.2">
      <c r="A7054" s="146"/>
      <c r="D7054" s="496"/>
    </row>
    <row r="7055" spans="1:4" x14ac:dyDescent="0.2">
      <c r="A7055" s="146"/>
      <c r="D7055" s="496"/>
    </row>
    <row r="7056" spans="1:4" x14ac:dyDescent="0.2">
      <c r="A7056" s="146"/>
      <c r="D7056" s="496"/>
    </row>
    <row r="7057" spans="1:4" x14ac:dyDescent="0.2">
      <c r="A7057" s="146"/>
      <c r="D7057" s="496"/>
    </row>
    <row r="7058" spans="1:4" x14ac:dyDescent="0.2">
      <c r="A7058" s="146"/>
      <c r="D7058" s="496"/>
    </row>
    <row r="7059" spans="1:4" x14ac:dyDescent="0.2">
      <c r="A7059" s="146"/>
      <c r="D7059" s="496"/>
    </row>
    <row r="7060" spans="1:4" x14ac:dyDescent="0.2">
      <c r="A7060" s="146"/>
      <c r="D7060" s="496"/>
    </row>
    <row r="7061" spans="1:4" x14ac:dyDescent="0.2">
      <c r="A7061" s="146"/>
      <c r="D7061" s="496"/>
    </row>
    <row r="7062" spans="1:4" x14ac:dyDescent="0.2">
      <c r="A7062" s="146"/>
      <c r="D7062" s="496"/>
    </row>
    <row r="7063" spans="1:4" x14ac:dyDescent="0.2">
      <c r="A7063" s="146"/>
      <c r="D7063" s="496"/>
    </row>
    <row r="7064" spans="1:4" x14ac:dyDescent="0.2">
      <c r="A7064" s="146"/>
      <c r="D7064" s="496"/>
    </row>
    <row r="7065" spans="1:4" x14ac:dyDescent="0.2">
      <c r="A7065" s="146"/>
      <c r="D7065" s="496"/>
    </row>
    <row r="7066" spans="1:4" x14ac:dyDescent="0.2">
      <c r="A7066" s="146"/>
      <c r="D7066" s="496"/>
    </row>
    <row r="7067" spans="1:4" x14ac:dyDescent="0.2">
      <c r="A7067" s="146"/>
      <c r="D7067" s="496"/>
    </row>
    <row r="7068" spans="1:4" x14ac:dyDescent="0.2">
      <c r="A7068" s="146"/>
      <c r="D7068" s="496"/>
    </row>
    <row r="7069" spans="1:4" x14ac:dyDescent="0.2">
      <c r="A7069" s="146"/>
      <c r="D7069" s="496"/>
    </row>
    <row r="7070" spans="1:4" x14ac:dyDescent="0.2">
      <c r="A7070" s="146"/>
      <c r="D7070" s="496"/>
    </row>
    <row r="7071" spans="1:4" x14ac:dyDescent="0.2">
      <c r="A7071" s="146"/>
      <c r="D7071" s="496"/>
    </row>
    <row r="7072" spans="1:4" x14ac:dyDescent="0.2">
      <c r="A7072" s="146"/>
      <c r="D7072" s="496"/>
    </row>
    <row r="7073" spans="1:4" x14ac:dyDescent="0.2">
      <c r="A7073" s="146"/>
      <c r="D7073" s="496"/>
    </row>
    <row r="7074" spans="1:4" x14ac:dyDescent="0.2">
      <c r="A7074" s="146"/>
      <c r="D7074" s="496"/>
    </row>
    <row r="7075" spans="1:4" x14ac:dyDescent="0.2">
      <c r="A7075" s="146"/>
      <c r="D7075" s="496"/>
    </row>
    <row r="7076" spans="1:4" x14ac:dyDescent="0.2">
      <c r="A7076" s="146"/>
      <c r="D7076" s="496"/>
    </row>
    <row r="7077" spans="1:4" x14ac:dyDescent="0.2">
      <c r="A7077" s="146"/>
      <c r="D7077" s="496"/>
    </row>
    <row r="7078" spans="1:4" x14ac:dyDescent="0.2">
      <c r="A7078" s="146"/>
      <c r="D7078" s="496"/>
    </row>
    <row r="7079" spans="1:4" x14ac:dyDescent="0.2">
      <c r="A7079" s="146"/>
      <c r="D7079" s="496"/>
    </row>
    <row r="7080" spans="1:4" x14ac:dyDescent="0.2">
      <c r="A7080" s="146"/>
      <c r="D7080" s="496"/>
    </row>
    <row r="7081" spans="1:4" x14ac:dyDescent="0.2">
      <c r="A7081" s="146"/>
      <c r="D7081" s="496"/>
    </row>
    <row r="7082" spans="1:4" x14ac:dyDescent="0.2">
      <c r="A7082" s="146"/>
      <c r="D7082" s="496"/>
    </row>
    <row r="7083" spans="1:4" x14ac:dyDescent="0.2">
      <c r="A7083" s="146"/>
      <c r="D7083" s="496"/>
    </row>
    <row r="7084" spans="1:4" x14ac:dyDescent="0.2">
      <c r="A7084" s="146"/>
      <c r="D7084" s="496"/>
    </row>
    <row r="7085" spans="1:4" x14ac:dyDescent="0.2">
      <c r="A7085" s="146"/>
      <c r="D7085" s="496"/>
    </row>
    <row r="7086" spans="1:4" x14ac:dyDescent="0.2">
      <c r="A7086" s="146"/>
      <c r="D7086" s="496"/>
    </row>
    <row r="7087" spans="1:4" x14ac:dyDescent="0.2">
      <c r="A7087" s="146"/>
      <c r="D7087" s="496"/>
    </row>
    <row r="7088" spans="1:4" x14ac:dyDescent="0.2">
      <c r="A7088" s="146"/>
      <c r="D7088" s="496"/>
    </row>
    <row r="7089" spans="1:4" x14ac:dyDescent="0.2">
      <c r="A7089" s="146"/>
      <c r="D7089" s="496"/>
    </row>
    <row r="7090" spans="1:4" x14ac:dyDescent="0.2">
      <c r="A7090" s="146"/>
      <c r="D7090" s="496"/>
    </row>
    <row r="7091" spans="1:4" x14ac:dyDescent="0.2">
      <c r="A7091" s="146"/>
      <c r="D7091" s="496"/>
    </row>
    <row r="7092" spans="1:4" x14ac:dyDescent="0.2">
      <c r="A7092" s="146"/>
      <c r="D7092" s="496"/>
    </row>
    <row r="7093" spans="1:4" x14ac:dyDescent="0.2">
      <c r="A7093" s="146"/>
      <c r="D7093" s="496"/>
    </row>
    <row r="7094" spans="1:4" x14ac:dyDescent="0.2">
      <c r="A7094" s="146"/>
      <c r="D7094" s="496"/>
    </row>
    <row r="7095" spans="1:4" x14ac:dyDescent="0.2">
      <c r="A7095" s="146"/>
      <c r="D7095" s="496"/>
    </row>
    <row r="7096" spans="1:4" x14ac:dyDescent="0.2">
      <c r="A7096" s="146"/>
      <c r="D7096" s="496"/>
    </row>
    <row r="7097" spans="1:4" x14ac:dyDescent="0.2">
      <c r="A7097" s="146"/>
      <c r="D7097" s="496"/>
    </row>
    <row r="7098" spans="1:4" x14ac:dyDescent="0.2">
      <c r="A7098" s="146"/>
      <c r="D7098" s="496"/>
    </row>
    <row r="7099" spans="1:4" x14ac:dyDescent="0.2">
      <c r="A7099" s="146"/>
      <c r="D7099" s="496"/>
    </row>
    <row r="7100" spans="1:4" x14ac:dyDescent="0.2">
      <c r="A7100" s="146"/>
      <c r="D7100" s="496"/>
    </row>
    <row r="7101" spans="1:4" x14ac:dyDescent="0.2">
      <c r="A7101" s="146"/>
      <c r="D7101" s="496"/>
    </row>
    <row r="7102" spans="1:4" x14ac:dyDescent="0.2">
      <c r="A7102" s="146"/>
      <c r="D7102" s="496"/>
    </row>
    <row r="7103" spans="1:4" x14ac:dyDescent="0.2">
      <c r="A7103" s="146"/>
      <c r="D7103" s="496"/>
    </row>
    <row r="7104" spans="1:4" x14ac:dyDescent="0.2">
      <c r="A7104" s="146"/>
      <c r="D7104" s="496"/>
    </row>
    <row r="7105" spans="1:4" x14ac:dyDescent="0.2">
      <c r="A7105" s="146"/>
      <c r="D7105" s="496"/>
    </row>
    <row r="7106" spans="1:4" x14ac:dyDescent="0.2">
      <c r="A7106" s="146"/>
      <c r="D7106" s="496"/>
    </row>
    <row r="7107" spans="1:4" x14ac:dyDescent="0.2">
      <c r="A7107" s="146"/>
      <c r="D7107" s="496"/>
    </row>
    <row r="7108" spans="1:4" x14ac:dyDescent="0.2">
      <c r="A7108" s="146"/>
      <c r="D7108" s="496"/>
    </row>
    <row r="7109" spans="1:4" x14ac:dyDescent="0.2">
      <c r="A7109" s="146"/>
      <c r="D7109" s="496"/>
    </row>
    <row r="7110" spans="1:4" x14ac:dyDescent="0.2">
      <c r="A7110" s="146"/>
      <c r="D7110" s="496"/>
    </row>
    <row r="7111" spans="1:4" x14ac:dyDescent="0.2">
      <c r="A7111" s="146"/>
      <c r="D7111" s="496"/>
    </row>
    <row r="7112" spans="1:4" x14ac:dyDescent="0.2">
      <c r="A7112" s="146"/>
      <c r="D7112" s="496"/>
    </row>
    <row r="7113" spans="1:4" x14ac:dyDescent="0.2">
      <c r="A7113" s="146"/>
      <c r="D7113" s="496"/>
    </row>
    <row r="7114" spans="1:4" x14ac:dyDescent="0.2">
      <c r="A7114" s="146"/>
      <c r="D7114" s="496"/>
    </row>
    <row r="7115" spans="1:4" x14ac:dyDescent="0.2">
      <c r="A7115" s="146"/>
      <c r="D7115" s="496"/>
    </row>
    <row r="7116" spans="1:4" x14ac:dyDescent="0.2">
      <c r="A7116" s="146"/>
      <c r="D7116" s="496"/>
    </row>
    <row r="7117" spans="1:4" x14ac:dyDescent="0.2">
      <c r="A7117" s="146"/>
      <c r="D7117" s="496"/>
    </row>
    <row r="7118" spans="1:4" x14ac:dyDescent="0.2">
      <c r="A7118" s="146"/>
      <c r="D7118" s="496"/>
    </row>
    <row r="7119" spans="1:4" x14ac:dyDescent="0.2">
      <c r="A7119" s="146"/>
      <c r="D7119" s="496"/>
    </row>
    <row r="7120" spans="1:4" x14ac:dyDescent="0.2">
      <c r="A7120" s="146"/>
      <c r="D7120" s="496"/>
    </row>
    <row r="7121" spans="1:4" x14ac:dyDescent="0.2">
      <c r="A7121" s="146"/>
      <c r="D7121" s="496"/>
    </row>
    <row r="7122" spans="1:4" x14ac:dyDescent="0.2">
      <c r="A7122" s="146"/>
      <c r="D7122" s="496"/>
    </row>
    <row r="7123" spans="1:4" x14ac:dyDescent="0.2">
      <c r="A7123" s="146"/>
      <c r="D7123" s="496"/>
    </row>
    <row r="7124" spans="1:4" x14ac:dyDescent="0.2">
      <c r="A7124" s="146"/>
      <c r="D7124" s="496"/>
    </row>
    <row r="7125" spans="1:4" x14ac:dyDescent="0.2">
      <c r="A7125" s="146"/>
      <c r="D7125" s="496"/>
    </row>
    <row r="7126" spans="1:4" x14ac:dyDescent="0.2">
      <c r="A7126" s="146"/>
      <c r="D7126" s="496"/>
    </row>
    <row r="7127" spans="1:4" x14ac:dyDescent="0.2">
      <c r="A7127" s="146"/>
      <c r="D7127" s="496"/>
    </row>
    <row r="7128" spans="1:4" x14ac:dyDescent="0.2">
      <c r="A7128" s="146"/>
      <c r="D7128" s="496"/>
    </row>
    <row r="7129" spans="1:4" x14ac:dyDescent="0.2">
      <c r="A7129" s="146"/>
      <c r="D7129" s="496"/>
    </row>
    <row r="7130" spans="1:4" x14ac:dyDescent="0.2">
      <c r="A7130" s="146"/>
      <c r="D7130" s="496"/>
    </row>
    <row r="7131" spans="1:4" x14ac:dyDescent="0.2">
      <c r="A7131" s="146"/>
      <c r="D7131" s="496"/>
    </row>
    <row r="7132" spans="1:4" x14ac:dyDescent="0.2">
      <c r="A7132" s="146"/>
      <c r="D7132" s="496"/>
    </row>
    <row r="7133" spans="1:4" x14ac:dyDescent="0.2">
      <c r="A7133" s="146"/>
      <c r="D7133" s="496"/>
    </row>
    <row r="7134" spans="1:4" x14ac:dyDescent="0.2">
      <c r="A7134" s="146"/>
      <c r="D7134" s="496"/>
    </row>
    <row r="7135" spans="1:4" x14ac:dyDescent="0.2">
      <c r="A7135" s="146"/>
      <c r="D7135" s="496"/>
    </row>
    <row r="7136" spans="1:4" x14ac:dyDescent="0.2">
      <c r="A7136" s="146"/>
      <c r="D7136" s="496"/>
    </row>
    <row r="7137" spans="1:4" x14ac:dyDescent="0.2">
      <c r="A7137" s="146"/>
      <c r="D7137" s="496"/>
    </row>
    <row r="7138" spans="1:4" x14ac:dyDescent="0.2">
      <c r="A7138" s="146"/>
      <c r="D7138" s="496"/>
    </row>
    <row r="7139" spans="1:4" x14ac:dyDescent="0.2">
      <c r="A7139" s="146"/>
      <c r="D7139" s="496"/>
    </row>
    <row r="7140" spans="1:4" x14ac:dyDescent="0.2">
      <c r="A7140" s="146"/>
      <c r="D7140" s="496"/>
    </row>
    <row r="7141" spans="1:4" x14ac:dyDescent="0.2">
      <c r="A7141" s="146"/>
      <c r="D7141" s="496"/>
    </row>
    <row r="7142" spans="1:4" x14ac:dyDescent="0.2">
      <c r="A7142" s="146"/>
      <c r="D7142" s="496"/>
    </row>
    <row r="7143" spans="1:4" x14ac:dyDescent="0.2">
      <c r="A7143" s="146"/>
      <c r="D7143" s="496"/>
    </row>
    <row r="7144" spans="1:4" x14ac:dyDescent="0.2">
      <c r="A7144" s="146"/>
      <c r="D7144" s="496"/>
    </row>
    <row r="7145" spans="1:4" x14ac:dyDescent="0.2">
      <c r="A7145" s="146"/>
      <c r="D7145" s="496"/>
    </row>
    <row r="7146" spans="1:4" x14ac:dyDescent="0.2">
      <c r="A7146" s="146"/>
      <c r="D7146" s="496"/>
    </row>
    <row r="7147" spans="1:4" x14ac:dyDescent="0.2">
      <c r="A7147" s="146"/>
      <c r="D7147" s="496"/>
    </row>
    <row r="7148" spans="1:4" x14ac:dyDescent="0.2">
      <c r="A7148" s="146"/>
      <c r="D7148" s="496"/>
    </row>
    <row r="7149" spans="1:4" x14ac:dyDescent="0.2">
      <c r="A7149" s="146"/>
      <c r="D7149" s="496"/>
    </row>
    <row r="7150" spans="1:4" x14ac:dyDescent="0.2">
      <c r="A7150" s="146"/>
      <c r="D7150" s="496"/>
    </row>
    <row r="7151" spans="1:4" x14ac:dyDescent="0.2">
      <c r="A7151" s="146"/>
      <c r="D7151" s="496"/>
    </row>
    <row r="7152" spans="1:4" x14ac:dyDescent="0.2">
      <c r="A7152" s="146"/>
      <c r="D7152" s="496"/>
    </row>
    <row r="7153" spans="1:4" x14ac:dyDescent="0.2">
      <c r="A7153" s="146"/>
      <c r="D7153" s="496"/>
    </row>
    <row r="7154" spans="1:4" x14ac:dyDescent="0.2">
      <c r="A7154" s="146"/>
      <c r="D7154" s="496"/>
    </row>
    <row r="7155" spans="1:4" x14ac:dyDescent="0.2">
      <c r="A7155" s="146"/>
      <c r="D7155" s="496"/>
    </row>
    <row r="7156" spans="1:4" x14ac:dyDescent="0.2">
      <c r="A7156" s="146"/>
      <c r="D7156" s="496"/>
    </row>
    <row r="7157" spans="1:4" x14ac:dyDescent="0.2">
      <c r="A7157" s="146"/>
      <c r="D7157" s="496"/>
    </row>
    <row r="7158" spans="1:4" x14ac:dyDescent="0.2">
      <c r="A7158" s="146"/>
      <c r="D7158" s="496"/>
    </row>
    <row r="7159" spans="1:4" x14ac:dyDescent="0.2">
      <c r="A7159" s="146"/>
      <c r="D7159" s="496"/>
    </row>
    <row r="7160" spans="1:4" x14ac:dyDescent="0.2">
      <c r="A7160" s="146"/>
      <c r="D7160" s="496"/>
    </row>
    <row r="7161" spans="1:4" x14ac:dyDescent="0.2">
      <c r="A7161" s="146"/>
      <c r="D7161" s="496"/>
    </row>
    <row r="7162" spans="1:4" x14ac:dyDescent="0.2">
      <c r="A7162" s="146"/>
      <c r="D7162" s="496"/>
    </row>
    <row r="7163" spans="1:4" x14ac:dyDescent="0.2">
      <c r="A7163" s="146"/>
      <c r="D7163" s="496"/>
    </row>
    <row r="7164" spans="1:4" x14ac:dyDescent="0.2">
      <c r="A7164" s="146"/>
      <c r="D7164" s="496"/>
    </row>
    <row r="7165" spans="1:4" x14ac:dyDescent="0.2">
      <c r="A7165" s="146"/>
      <c r="D7165" s="496"/>
    </row>
    <row r="7166" spans="1:4" x14ac:dyDescent="0.2">
      <c r="A7166" s="146"/>
      <c r="D7166" s="496"/>
    </row>
    <row r="7167" spans="1:4" x14ac:dyDescent="0.2">
      <c r="A7167" s="146"/>
      <c r="D7167" s="496"/>
    </row>
    <row r="7168" spans="1:4" x14ac:dyDescent="0.2">
      <c r="A7168" s="146"/>
      <c r="D7168" s="496"/>
    </row>
    <row r="7169" spans="1:4" x14ac:dyDescent="0.2">
      <c r="A7169" s="146"/>
      <c r="D7169" s="496"/>
    </row>
    <row r="7170" spans="1:4" x14ac:dyDescent="0.2">
      <c r="A7170" s="146"/>
      <c r="D7170" s="496"/>
    </row>
    <row r="7171" spans="1:4" x14ac:dyDescent="0.2">
      <c r="A7171" s="146"/>
      <c r="D7171" s="496"/>
    </row>
    <row r="7172" spans="1:4" x14ac:dyDescent="0.2">
      <c r="A7172" s="146"/>
      <c r="D7172" s="496"/>
    </row>
    <row r="7173" spans="1:4" x14ac:dyDescent="0.2">
      <c r="A7173" s="146"/>
      <c r="D7173" s="496"/>
    </row>
    <row r="7174" spans="1:4" x14ac:dyDescent="0.2">
      <c r="A7174" s="146"/>
      <c r="D7174" s="496"/>
    </row>
    <row r="7175" spans="1:4" x14ac:dyDescent="0.2">
      <c r="A7175" s="146"/>
      <c r="D7175" s="496"/>
    </row>
    <row r="7176" spans="1:4" x14ac:dyDescent="0.2">
      <c r="A7176" s="146"/>
      <c r="D7176" s="496"/>
    </row>
    <row r="7177" spans="1:4" x14ac:dyDescent="0.2">
      <c r="A7177" s="146"/>
      <c r="D7177" s="496"/>
    </row>
    <row r="7178" spans="1:4" x14ac:dyDescent="0.2">
      <c r="A7178" s="146"/>
      <c r="D7178" s="496"/>
    </row>
    <row r="7179" spans="1:4" x14ac:dyDescent="0.2">
      <c r="A7179" s="146"/>
      <c r="D7179" s="496"/>
    </row>
    <row r="7180" spans="1:4" x14ac:dyDescent="0.2">
      <c r="A7180" s="146"/>
      <c r="D7180" s="496"/>
    </row>
    <row r="7181" spans="1:4" x14ac:dyDescent="0.2">
      <c r="A7181" s="146"/>
      <c r="D7181" s="496"/>
    </row>
    <row r="7182" spans="1:4" x14ac:dyDescent="0.2">
      <c r="A7182" s="146"/>
      <c r="D7182" s="496"/>
    </row>
    <row r="7183" spans="1:4" x14ac:dyDescent="0.2">
      <c r="A7183" s="146"/>
      <c r="D7183" s="496"/>
    </row>
    <row r="7184" spans="1:4" x14ac:dyDescent="0.2">
      <c r="A7184" s="146"/>
      <c r="D7184" s="496"/>
    </row>
    <row r="7185" spans="1:4" x14ac:dyDescent="0.2">
      <c r="A7185" s="146"/>
      <c r="D7185" s="496"/>
    </row>
    <row r="7186" spans="1:4" x14ac:dyDescent="0.2">
      <c r="A7186" s="146"/>
      <c r="D7186" s="496"/>
    </row>
    <row r="7187" spans="1:4" x14ac:dyDescent="0.2">
      <c r="A7187" s="146"/>
      <c r="D7187" s="496"/>
    </row>
    <row r="7188" spans="1:4" x14ac:dyDescent="0.2">
      <c r="A7188" s="146"/>
      <c r="D7188" s="496"/>
    </row>
    <row r="7189" spans="1:4" x14ac:dyDescent="0.2">
      <c r="A7189" s="146"/>
      <c r="D7189" s="496"/>
    </row>
    <row r="7190" spans="1:4" x14ac:dyDescent="0.2">
      <c r="A7190" s="146"/>
      <c r="D7190" s="496"/>
    </row>
    <row r="7191" spans="1:4" x14ac:dyDescent="0.2">
      <c r="A7191" s="146"/>
      <c r="D7191" s="496"/>
    </row>
    <row r="7192" spans="1:4" x14ac:dyDescent="0.2">
      <c r="A7192" s="146"/>
      <c r="D7192" s="496"/>
    </row>
    <row r="7193" spans="1:4" x14ac:dyDescent="0.2">
      <c r="A7193" s="146"/>
      <c r="D7193" s="496"/>
    </row>
    <row r="7194" spans="1:4" x14ac:dyDescent="0.2">
      <c r="A7194" s="146"/>
      <c r="D7194" s="496"/>
    </row>
    <row r="7195" spans="1:4" x14ac:dyDescent="0.2">
      <c r="A7195" s="146"/>
      <c r="D7195" s="496"/>
    </row>
    <row r="7196" spans="1:4" x14ac:dyDescent="0.2">
      <c r="A7196" s="146"/>
      <c r="D7196" s="496"/>
    </row>
    <row r="7197" spans="1:4" x14ac:dyDescent="0.2">
      <c r="A7197" s="146"/>
      <c r="D7197" s="496"/>
    </row>
    <row r="7198" spans="1:4" x14ac:dyDescent="0.2">
      <c r="A7198" s="146"/>
      <c r="D7198" s="496"/>
    </row>
    <row r="7199" spans="1:4" x14ac:dyDescent="0.2">
      <c r="A7199" s="146"/>
      <c r="D7199" s="496"/>
    </row>
    <row r="7200" spans="1:4" x14ac:dyDescent="0.2">
      <c r="A7200" s="146"/>
      <c r="D7200" s="496"/>
    </row>
    <row r="7201" spans="1:4" x14ac:dyDescent="0.2">
      <c r="A7201" s="146"/>
      <c r="D7201" s="496"/>
    </row>
    <row r="7202" spans="1:4" x14ac:dyDescent="0.2">
      <c r="A7202" s="146"/>
      <c r="D7202" s="496"/>
    </row>
    <row r="7203" spans="1:4" x14ac:dyDescent="0.2">
      <c r="A7203" s="146"/>
      <c r="D7203" s="496"/>
    </row>
    <row r="7204" spans="1:4" x14ac:dyDescent="0.2">
      <c r="A7204" s="146"/>
      <c r="D7204" s="496"/>
    </row>
    <row r="7205" spans="1:4" x14ac:dyDescent="0.2">
      <c r="A7205" s="146"/>
      <c r="D7205" s="496"/>
    </row>
    <row r="7206" spans="1:4" x14ac:dyDescent="0.2">
      <c r="A7206" s="146"/>
      <c r="D7206" s="496"/>
    </row>
    <row r="7207" spans="1:4" x14ac:dyDescent="0.2">
      <c r="A7207" s="146"/>
      <c r="D7207" s="496"/>
    </row>
    <row r="7208" spans="1:4" x14ac:dyDescent="0.2">
      <c r="A7208" s="146"/>
      <c r="D7208" s="496"/>
    </row>
    <row r="7209" spans="1:4" x14ac:dyDescent="0.2">
      <c r="A7209" s="146"/>
      <c r="D7209" s="496"/>
    </row>
    <row r="7210" spans="1:4" x14ac:dyDescent="0.2">
      <c r="A7210" s="146"/>
      <c r="D7210" s="496"/>
    </row>
    <row r="7211" spans="1:4" x14ac:dyDescent="0.2">
      <c r="A7211" s="146"/>
      <c r="D7211" s="496"/>
    </row>
    <row r="7212" spans="1:4" x14ac:dyDescent="0.2">
      <c r="A7212" s="146"/>
      <c r="D7212" s="496"/>
    </row>
    <row r="7213" spans="1:4" x14ac:dyDescent="0.2">
      <c r="A7213" s="146"/>
      <c r="D7213" s="496"/>
    </row>
    <row r="7214" spans="1:4" x14ac:dyDescent="0.2">
      <c r="A7214" s="146"/>
      <c r="D7214" s="496"/>
    </row>
    <row r="7215" spans="1:4" x14ac:dyDescent="0.2">
      <c r="A7215" s="146"/>
      <c r="D7215" s="496"/>
    </row>
    <row r="7216" spans="1:4" x14ac:dyDescent="0.2">
      <c r="A7216" s="146"/>
      <c r="D7216" s="496"/>
    </row>
    <row r="7217" spans="1:4" x14ac:dyDescent="0.2">
      <c r="A7217" s="146"/>
      <c r="D7217" s="496"/>
    </row>
    <row r="7218" spans="1:4" x14ac:dyDescent="0.2">
      <c r="A7218" s="146"/>
      <c r="D7218" s="496"/>
    </row>
    <row r="7219" spans="1:4" x14ac:dyDescent="0.2">
      <c r="A7219" s="146"/>
      <c r="D7219" s="496"/>
    </row>
    <row r="7220" spans="1:4" x14ac:dyDescent="0.2">
      <c r="A7220" s="146"/>
      <c r="D7220" s="496"/>
    </row>
    <row r="7221" spans="1:4" x14ac:dyDescent="0.2">
      <c r="A7221" s="146"/>
      <c r="D7221" s="496"/>
    </row>
    <row r="7222" spans="1:4" x14ac:dyDescent="0.2">
      <c r="A7222" s="146"/>
      <c r="D7222" s="496"/>
    </row>
    <row r="7223" spans="1:4" x14ac:dyDescent="0.2">
      <c r="A7223" s="146"/>
      <c r="D7223" s="496"/>
    </row>
    <row r="7224" spans="1:4" x14ac:dyDescent="0.2">
      <c r="A7224" s="146"/>
      <c r="D7224" s="496"/>
    </row>
    <row r="7225" spans="1:4" x14ac:dyDescent="0.2">
      <c r="A7225" s="146"/>
      <c r="D7225" s="496"/>
    </row>
    <row r="7226" spans="1:4" x14ac:dyDescent="0.2">
      <c r="A7226" s="146"/>
      <c r="D7226" s="496"/>
    </row>
    <row r="7227" spans="1:4" x14ac:dyDescent="0.2">
      <c r="A7227" s="146"/>
      <c r="D7227" s="496"/>
    </row>
    <row r="7228" spans="1:4" x14ac:dyDescent="0.2">
      <c r="A7228" s="146"/>
      <c r="D7228" s="496"/>
    </row>
    <row r="7229" spans="1:4" x14ac:dyDescent="0.2">
      <c r="A7229" s="146"/>
      <c r="D7229" s="496"/>
    </row>
    <row r="7230" spans="1:4" x14ac:dyDescent="0.2">
      <c r="A7230" s="146"/>
      <c r="D7230" s="496"/>
    </row>
    <row r="7231" spans="1:4" x14ac:dyDescent="0.2">
      <c r="A7231" s="146"/>
      <c r="D7231" s="496"/>
    </row>
    <row r="7232" spans="1:4" x14ac:dyDescent="0.2">
      <c r="A7232" s="146"/>
      <c r="D7232" s="496"/>
    </row>
    <row r="7233" spans="1:4" x14ac:dyDescent="0.2">
      <c r="A7233" s="146"/>
      <c r="D7233" s="496"/>
    </row>
    <row r="7234" spans="1:4" x14ac:dyDescent="0.2">
      <c r="A7234" s="146"/>
      <c r="D7234" s="496"/>
    </row>
    <row r="7235" spans="1:4" x14ac:dyDescent="0.2">
      <c r="A7235" s="146"/>
      <c r="D7235" s="496"/>
    </row>
    <row r="7236" spans="1:4" x14ac:dyDescent="0.2">
      <c r="A7236" s="146"/>
      <c r="D7236" s="496"/>
    </row>
    <row r="7237" spans="1:4" x14ac:dyDescent="0.2">
      <c r="A7237" s="146"/>
      <c r="D7237" s="496"/>
    </row>
    <row r="7238" spans="1:4" x14ac:dyDescent="0.2">
      <c r="A7238" s="146"/>
      <c r="D7238" s="496"/>
    </row>
    <row r="7239" spans="1:4" x14ac:dyDescent="0.2">
      <c r="A7239" s="146"/>
      <c r="D7239" s="496"/>
    </row>
    <row r="7240" spans="1:4" x14ac:dyDescent="0.2">
      <c r="A7240" s="146"/>
      <c r="D7240" s="496"/>
    </row>
    <row r="7241" spans="1:4" x14ac:dyDescent="0.2">
      <c r="A7241" s="146"/>
      <c r="D7241" s="496"/>
    </row>
    <row r="7242" spans="1:4" x14ac:dyDescent="0.2">
      <c r="A7242" s="146"/>
      <c r="D7242" s="496"/>
    </row>
    <row r="7243" spans="1:4" x14ac:dyDescent="0.2">
      <c r="A7243" s="146"/>
      <c r="D7243" s="496"/>
    </row>
    <row r="7244" spans="1:4" x14ac:dyDescent="0.2">
      <c r="A7244" s="146"/>
      <c r="D7244" s="496"/>
    </row>
    <row r="7245" spans="1:4" x14ac:dyDescent="0.2">
      <c r="A7245" s="146"/>
      <c r="D7245" s="496"/>
    </row>
    <row r="7246" spans="1:4" x14ac:dyDescent="0.2">
      <c r="A7246" s="146"/>
      <c r="D7246" s="496"/>
    </row>
    <row r="7247" spans="1:4" x14ac:dyDescent="0.2">
      <c r="A7247" s="146"/>
      <c r="D7247" s="496"/>
    </row>
    <row r="7248" spans="1:4" x14ac:dyDescent="0.2">
      <c r="A7248" s="146"/>
      <c r="D7248" s="496"/>
    </row>
    <row r="7249" spans="1:4" x14ac:dyDescent="0.2">
      <c r="A7249" s="146"/>
      <c r="D7249" s="496"/>
    </row>
    <row r="7250" spans="1:4" x14ac:dyDescent="0.2">
      <c r="A7250" s="146"/>
      <c r="D7250" s="496"/>
    </row>
    <row r="7251" spans="1:4" x14ac:dyDescent="0.2">
      <c r="A7251" s="146"/>
      <c r="D7251" s="496"/>
    </row>
    <row r="7252" spans="1:4" x14ac:dyDescent="0.2">
      <c r="A7252" s="146"/>
      <c r="D7252" s="496"/>
    </row>
    <row r="7253" spans="1:4" x14ac:dyDescent="0.2">
      <c r="A7253" s="146"/>
      <c r="D7253" s="496"/>
    </row>
    <row r="7254" spans="1:4" x14ac:dyDescent="0.2">
      <c r="A7254" s="146"/>
      <c r="D7254" s="496"/>
    </row>
    <row r="7255" spans="1:4" x14ac:dyDescent="0.2">
      <c r="A7255" s="146"/>
      <c r="D7255" s="496"/>
    </row>
    <row r="7256" spans="1:4" x14ac:dyDescent="0.2">
      <c r="A7256" s="146"/>
      <c r="D7256" s="496"/>
    </row>
    <row r="7257" spans="1:4" x14ac:dyDescent="0.2">
      <c r="A7257" s="146"/>
      <c r="D7257" s="496"/>
    </row>
    <row r="7258" spans="1:4" x14ac:dyDescent="0.2">
      <c r="A7258" s="146"/>
      <c r="D7258" s="496"/>
    </row>
    <row r="7259" spans="1:4" x14ac:dyDescent="0.2">
      <c r="A7259" s="146"/>
      <c r="D7259" s="496"/>
    </row>
    <row r="7260" spans="1:4" x14ac:dyDescent="0.2">
      <c r="A7260" s="146"/>
      <c r="D7260" s="496"/>
    </row>
    <row r="7261" spans="1:4" x14ac:dyDescent="0.2">
      <c r="A7261" s="146"/>
      <c r="D7261" s="496"/>
    </row>
    <row r="7262" spans="1:4" x14ac:dyDescent="0.2">
      <c r="A7262" s="146"/>
      <c r="D7262" s="496"/>
    </row>
    <row r="7263" spans="1:4" x14ac:dyDescent="0.2">
      <c r="A7263" s="146"/>
      <c r="D7263" s="496"/>
    </row>
    <row r="7264" spans="1:4" x14ac:dyDescent="0.2">
      <c r="A7264" s="146"/>
      <c r="D7264" s="496"/>
    </row>
    <row r="7265" spans="1:4" x14ac:dyDescent="0.2">
      <c r="A7265" s="146"/>
      <c r="D7265" s="496"/>
    </row>
    <row r="7266" spans="1:4" x14ac:dyDescent="0.2">
      <c r="A7266" s="146"/>
      <c r="D7266" s="496"/>
    </row>
    <row r="7267" spans="1:4" x14ac:dyDescent="0.2">
      <c r="A7267" s="146"/>
      <c r="D7267" s="496"/>
    </row>
    <row r="7268" spans="1:4" x14ac:dyDescent="0.2">
      <c r="A7268" s="146"/>
      <c r="D7268" s="496"/>
    </row>
    <row r="7269" spans="1:4" x14ac:dyDescent="0.2">
      <c r="A7269" s="146"/>
      <c r="D7269" s="496"/>
    </row>
    <row r="7270" spans="1:4" x14ac:dyDescent="0.2">
      <c r="A7270" s="146"/>
      <c r="D7270" s="496"/>
    </row>
    <row r="7271" spans="1:4" x14ac:dyDescent="0.2">
      <c r="A7271" s="146"/>
      <c r="D7271" s="496"/>
    </row>
    <row r="7272" spans="1:4" x14ac:dyDescent="0.2">
      <c r="A7272" s="146"/>
      <c r="D7272" s="496"/>
    </row>
    <row r="7273" spans="1:4" x14ac:dyDescent="0.2">
      <c r="A7273" s="146"/>
      <c r="D7273" s="496"/>
    </row>
    <row r="7274" spans="1:4" x14ac:dyDescent="0.2">
      <c r="A7274" s="146"/>
      <c r="D7274" s="496"/>
    </row>
    <row r="7275" spans="1:4" x14ac:dyDescent="0.2">
      <c r="A7275" s="146"/>
      <c r="D7275" s="496"/>
    </row>
    <row r="7276" spans="1:4" x14ac:dyDescent="0.2">
      <c r="A7276" s="146"/>
      <c r="D7276" s="496"/>
    </row>
    <row r="7277" spans="1:4" x14ac:dyDescent="0.2">
      <c r="A7277" s="146"/>
      <c r="D7277" s="496"/>
    </row>
    <row r="7278" spans="1:4" x14ac:dyDescent="0.2">
      <c r="A7278" s="146"/>
      <c r="D7278" s="496"/>
    </row>
    <row r="7279" spans="1:4" x14ac:dyDescent="0.2">
      <c r="A7279" s="146"/>
      <c r="D7279" s="496"/>
    </row>
    <row r="7280" spans="1:4" x14ac:dyDescent="0.2">
      <c r="A7280" s="146"/>
      <c r="D7280" s="496"/>
    </row>
    <row r="7281" spans="1:4" x14ac:dyDescent="0.2">
      <c r="A7281" s="146"/>
      <c r="D7281" s="496"/>
    </row>
    <row r="7282" spans="1:4" x14ac:dyDescent="0.2">
      <c r="A7282" s="146"/>
      <c r="D7282" s="496"/>
    </row>
    <row r="7283" spans="1:4" x14ac:dyDescent="0.2">
      <c r="A7283" s="146"/>
      <c r="D7283" s="496"/>
    </row>
    <row r="7284" spans="1:4" x14ac:dyDescent="0.2">
      <c r="A7284" s="146"/>
      <c r="D7284" s="496"/>
    </row>
    <row r="7285" spans="1:4" x14ac:dyDescent="0.2">
      <c r="A7285" s="146"/>
      <c r="D7285" s="496"/>
    </row>
    <row r="7286" spans="1:4" x14ac:dyDescent="0.2">
      <c r="A7286" s="146"/>
      <c r="D7286" s="496"/>
    </row>
    <row r="7287" spans="1:4" x14ac:dyDescent="0.2">
      <c r="A7287" s="146"/>
      <c r="D7287" s="496"/>
    </row>
    <row r="7288" spans="1:4" x14ac:dyDescent="0.2">
      <c r="A7288" s="146"/>
      <c r="D7288" s="496"/>
    </row>
    <row r="7289" spans="1:4" x14ac:dyDescent="0.2">
      <c r="A7289" s="146"/>
      <c r="D7289" s="496"/>
    </row>
    <row r="7290" spans="1:4" x14ac:dyDescent="0.2">
      <c r="A7290" s="146"/>
      <c r="D7290" s="496"/>
    </row>
    <row r="7291" spans="1:4" x14ac:dyDescent="0.2">
      <c r="A7291" s="146"/>
      <c r="D7291" s="496"/>
    </row>
    <row r="7292" spans="1:4" x14ac:dyDescent="0.2">
      <c r="A7292" s="146"/>
      <c r="D7292" s="496"/>
    </row>
    <row r="7293" spans="1:4" x14ac:dyDescent="0.2">
      <c r="A7293" s="146"/>
      <c r="D7293" s="496"/>
    </row>
    <row r="7294" spans="1:4" x14ac:dyDescent="0.2">
      <c r="A7294" s="146"/>
      <c r="D7294" s="496"/>
    </row>
    <row r="7295" spans="1:4" x14ac:dyDescent="0.2">
      <c r="A7295" s="146"/>
      <c r="D7295" s="496"/>
    </row>
    <row r="7296" spans="1:4" x14ac:dyDescent="0.2">
      <c r="A7296" s="146"/>
      <c r="D7296" s="496"/>
    </row>
    <row r="7297" spans="1:4" x14ac:dyDescent="0.2">
      <c r="A7297" s="146"/>
      <c r="D7297" s="496"/>
    </row>
    <row r="7298" spans="1:4" x14ac:dyDescent="0.2">
      <c r="A7298" s="146"/>
      <c r="D7298" s="496"/>
    </row>
    <row r="7299" spans="1:4" x14ac:dyDescent="0.2">
      <c r="A7299" s="146"/>
      <c r="D7299" s="496"/>
    </row>
    <row r="7300" spans="1:4" x14ac:dyDescent="0.2">
      <c r="A7300" s="146"/>
      <c r="D7300" s="496"/>
    </row>
    <row r="7301" spans="1:4" x14ac:dyDescent="0.2">
      <c r="A7301" s="146"/>
      <c r="D7301" s="496"/>
    </row>
    <row r="7302" spans="1:4" x14ac:dyDescent="0.2">
      <c r="A7302" s="146"/>
      <c r="D7302" s="496"/>
    </row>
    <row r="7303" spans="1:4" x14ac:dyDescent="0.2">
      <c r="A7303" s="146"/>
      <c r="D7303" s="496"/>
    </row>
    <row r="7304" spans="1:4" x14ac:dyDescent="0.2">
      <c r="A7304" s="146"/>
      <c r="D7304" s="496"/>
    </row>
    <row r="7305" spans="1:4" x14ac:dyDescent="0.2">
      <c r="A7305" s="146"/>
      <c r="D7305" s="496"/>
    </row>
    <row r="7306" spans="1:4" x14ac:dyDescent="0.2">
      <c r="A7306" s="146"/>
      <c r="D7306" s="496"/>
    </row>
    <row r="7307" spans="1:4" x14ac:dyDescent="0.2">
      <c r="A7307" s="146"/>
      <c r="D7307" s="496"/>
    </row>
    <row r="7308" spans="1:4" x14ac:dyDescent="0.2">
      <c r="A7308" s="146"/>
      <c r="D7308" s="496"/>
    </row>
    <row r="7309" spans="1:4" x14ac:dyDescent="0.2">
      <c r="A7309" s="146"/>
      <c r="D7309" s="496"/>
    </row>
    <row r="7310" spans="1:4" x14ac:dyDescent="0.2">
      <c r="A7310" s="146"/>
      <c r="D7310" s="496"/>
    </row>
    <row r="7311" spans="1:4" x14ac:dyDescent="0.2">
      <c r="A7311" s="146"/>
      <c r="D7311" s="496"/>
    </row>
    <row r="7312" spans="1:4" x14ac:dyDescent="0.2">
      <c r="A7312" s="146"/>
      <c r="D7312" s="496"/>
    </row>
    <row r="7313" spans="1:4" x14ac:dyDescent="0.2">
      <c r="A7313" s="146"/>
      <c r="D7313" s="496"/>
    </row>
    <row r="7314" spans="1:4" x14ac:dyDescent="0.2">
      <c r="A7314" s="146"/>
      <c r="D7314" s="496"/>
    </row>
    <row r="7315" spans="1:4" x14ac:dyDescent="0.2">
      <c r="A7315" s="146"/>
      <c r="D7315" s="496"/>
    </row>
    <row r="7316" spans="1:4" x14ac:dyDescent="0.2">
      <c r="A7316" s="146"/>
      <c r="D7316" s="496"/>
    </row>
    <row r="7317" spans="1:4" x14ac:dyDescent="0.2">
      <c r="A7317" s="146"/>
      <c r="D7317" s="496"/>
    </row>
    <row r="7318" spans="1:4" x14ac:dyDescent="0.2">
      <c r="A7318" s="146"/>
      <c r="D7318" s="496"/>
    </row>
    <row r="7319" spans="1:4" x14ac:dyDescent="0.2">
      <c r="A7319" s="146"/>
      <c r="D7319" s="496"/>
    </row>
    <row r="7320" spans="1:4" x14ac:dyDescent="0.2">
      <c r="A7320" s="146"/>
      <c r="D7320" s="496"/>
    </row>
    <row r="7321" spans="1:4" x14ac:dyDescent="0.2">
      <c r="A7321" s="146"/>
      <c r="D7321" s="496"/>
    </row>
    <row r="7322" spans="1:4" x14ac:dyDescent="0.2">
      <c r="A7322" s="146"/>
      <c r="D7322" s="496"/>
    </row>
    <row r="7323" spans="1:4" x14ac:dyDescent="0.2">
      <c r="A7323" s="146"/>
      <c r="D7323" s="496"/>
    </row>
    <row r="7324" spans="1:4" x14ac:dyDescent="0.2">
      <c r="A7324" s="146"/>
      <c r="D7324" s="496"/>
    </row>
    <row r="7325" spans="1:4" x14ac:dyDescent="0.2">
      <c r="A7325" s="146"/>
      <c r="D7325" s="496"/>
    </row>
    <row r="7326" spans="1:4" x14ac:dyDescent="0.2">
      <c r="A7326" s="146"/>
      <c r="D7326" s="496"/>
    </row>
    <row r="7327" spans="1:4" x14ac:dyDescent="0.2">
      <c r="A7327" s="146"/>
      <c r="D7327" s="496"/>
    </row>
    <row r="7328" spans="1:4" x14ac:dyDescent="0.2">
      <c r="A7328" s="146"/>
      <c r="D7328" s="496"/>
    </row>
    <row r="7329" spans="1:4" x14ac:dyDescent="0.2">
      <c r="A7329" s="146"/>
      <c r="D7329" s="496"/>
    </row>
    <row r="7330" spans="1:4" x14ac:dyDescent="0.2">
      <c r="A7330" s="146"/>
      <c r="D7330" s="496"/>
    </row>
    <row r="7331" spans="1:4" x14ac:dyDescent="0.2">
      <c r="A7331" s="146"/>
      <c r="D7331" s="496"/>
    </row>
    <row r="7332" spans="1:4" x14ac:dyDescent="0.2">
      <c r="A7332" s="146"/>
      <c r="D7332" s="496"/>
    </row>
    <row r="7333" spans="1:4" x14ac:dyDescent="0.2">
      <c r="A7333" s="146"/>
      <c r="D7333" s="496"/>
    </row>
    <row r="7334" spans="1:4" x14ac:dyDescent="0.2">
      <c r="A7334" s="146"/>
      <c r="D7334" s="496"/>
    </row>
    <row r="7335" spans="1:4" x14ac:dyDescent="0.2">
      <c r="A7335" s="146"/>
      <c r="D7335" s="496"/>
    </row>
    <row r="7336" spans="1:4" x14ac:dyDescent="0.2">
      <c r="A7336" s="146"/>
      <c r="D7336" s="496"/>
    </row>
    <row r="7337" spans="1:4" x14ac:dyDescent="0.2">
      <c r="A7337" s="146"/>
      <c r="D7337" s="496"/>
    </row>
    <row r="7338" spans="1:4" x14ac:dyDescent="0.2">
      <c r="A7338" s="146"/>
      <c r="D7338" s="496"/>
    </row>
    <row r="7339" spans="1:4" x14ac:dyDescent="0.2">
      <c r="A7339" s="146"/>
      <c r="D7339" s="496"/>
    </row>
    <row r="7340" spans="1:4" x14ac:dyDescent="0.2">
      <c r="A7340" s="146"/>
      <c r="D7340" s="496"/>
    </row>
    <row r="7341" spans="1:4" x14ac:dyDescent="0.2">
      <c r="A7341" s="146"/>
      <c r="D7341" s="496"/>
    </row>
    <row r="7342" spans="1:4" x14ac:dyDescent="0.2">
      <c r="A7342" s="146"/>
      <c r="D7342" s="496"/>
    </row>
    <row r="7343" spans="1:4" x14ac:dyDescent="0.2">
      <c r="A7343" s="146"/>
      <c r="D7343" s="496"/>
    </row>
    <row r="7344" spans="1:4" x14ac:dyDescent="0.2">
      <c r="A7344" s="146"/>
      <c r="D7344" s="496"/>
    </row>
    <row r="7345" spans="1:4" x14ac:dyDescent="0.2">
      <c r="A7345" s="146"/>
      <c r="D7345" s="496"/>
    </row>
    <row r="7346" spans="1:4" x14ac:dyDescent="0.2">
      <c r="A7346" s="146"/>
      <c r="D7346" s="496"/>
    </row>
    <row r="7347" spans="1:4" x14ac:dyDescent="0.2">
      <c r="A7347" s="146"/>
      <c r="D7347" s="496"/>
    </row>
    <row r="7348" spans="1:4" x14ac:dyDescent="0.2">
      <c r="A7348" s="146"/>
      <c r="D7348" s="496"/>
    </row>
    <row r="7349" spans="1:4" x14ac:dyDescent="0.2">
      <c r="A7349" s="146"/>
      <c r="D7349" s="496"/>
    </row>
    <row r="7350" spans="1:4" x14ac:dyDescent="0.2">
      <c r="A7350" s="146"/>
      <c r="D7350" s="496"/>
    </row>
    <row r="7351" spans="1:4" x14ac:dyDescent="0.2">
      <c r="A7351" s="146"/>
      <c r="D7351" s="496"/>
    </row>
    <row r="7352" spans="1:4" x14ac:dyDescent="0.2">
      <c r="A7352" s="146"/>
      <c r="D7352" s="496"/>
    </row>
    <row r="7353" spans="1:4" x14ac:dyDescent="0.2">
      <c r="A7353" s="146"/>
      <c r="D7353" s="496"/>
    </row>
    <row r="7354" spans="1:4" x14ac:dyDescent="0.2">
      <c r="A7354" s="146"/>
      <c r="D7354" s="496"/>
    </row>
    <row r="7355" spans="1:4" x14ac:dyDescent="0.2">
      <c r="A7355" s="146"/>
      <c r="D7355" s="496"/>
    </row>
    <row r="7356" spans="1:4" x14ac:dyDescent="0.2">
      <c r="A7356" s="146"/>
      <c r="D7356" s="496"/>
    </row>
    <row r="7357" spans="1:4" x14ac:dyDescent="0.2">
      <c r="A7357" s="146"/>
      <c r="D7357" s="496"/>
    </row>
    <row r="7358" spans="1:4" x14ac:dyDescent="0.2">
      <c r="A7358" s="146"/>
      <c r="D7358" s="496"/>
    </row>
    <row r="7359" spans="1:4" x14ac:dyDescent="0.2">
      <c r="A7359" s="146"/>
      <c r="D7359" s="496"/>
    </row>
    <row r="7360" spans="1:4" x14ac:dyDescent="0.2">
      <c r="A7360" s="146"/>
      <c r="D7360" s="496"/>
    </row>
    <row r="7361" spans="1:4" x14ac:dyDescent="0.2">
      <c r="A7361" s="146"/>
      <c r="D7361" s="496"/>
    </row>
    <row r="7362" spans="1:4" x14ac:dyDescent="0.2">
      <c r="A7362" s="146"/>
      <c r="D7362" s="496"/>
    </row>
    <row r="7363" spans="1:4" x14ac:dyDescent="0.2">
      <c r="A7363" s="146"/>
      <c r="D7363" s="496"/>
    </row>
    <row r="7364" spans="1:4" x14ac:dyDescent="0.2">
      <c r="A7364" s="146"/>
      <c r="D7364" s="496"/>
    </row>
    <row r="7365" spans="1:4" x14ac:dyDescent="0.2">
      <c r="A7365" s="146"/>
      <c r="D7365" s="496"/>
    </row>
    <row r="7366" spans="1:4" x14ac:dyDescent="0.2">
      <c r="A7366" s="146"/>
      <c r="D7366" s="496"/>
    </row>
    <row r="7367" spans="1:4" x14ac:dyDescent="0.2">
      <c r="A7367" s="146"/>
      <c r="D7367" s="496"/>
    </row>
    <row r="7368" spans="1:4" x14ac:dyDescent="0.2">
      <c r="A7368" s="146"/>
      <c r="D7368" s="496"/>
    </row>
    <row r="7369" spans="1:4" x14ac:dyDescent="0.2">
      <c r="A7369" s="146"/>
      <c r="D7369" s="496"/>
    </row>
    <row r="7370" spans="1:4" x14ac:dyDescent="0.2">
      <c r="A7370" s="146"/>
      <c r="D7370" s="496"/>
    </row>
    <row r="7371" spans="1:4" x14ac:dyDescent="0.2">
      <c r="A7371" s="146"/>
      <c r="D7371" s="496"/>
    </row>
    <row r="7372" spans="1:4" x14ac:dyDescent="0.2">
      <c r="A7372" s="146"/>
      <c r="D7372" s="496"/>
    </row>
    <row r="7373" spans="1:4" x14ac:dyDescent="0.2">
      <c r="A7373" s="146"/>
      <c r="D7373" s="496"/>
    </row>
    <row r="7374" spans="1:4" x14ac:dyDescent="0.2">
      <c r="A7374" s="146"/>
      <c r="D7374" s="496"/>
    </row>
    <row r="7375" spans="1:4" x14ac:dyDescent="0.2">
      <c r="A7375" s="146"/>
      <c r="D7375" s="496"/>
    </row>
    <row r="7376" spans="1:4" x14ac:dyDescent="0.2">
      <c r="A7376" s="146"/>
      <c r="D7376" s="496"/>
    </row>
    <row r="7377" spans="1:4" x14ac:dyDescent="0.2">
      <c r="A7377" s="146"/>
      <c r="D7377" s="496"/>
    </row>
    <row r="7378" spans="1:4" x14ac:dyDescent="0.2">
      <c r="A7378" s="146"/>
      <c r="D7378" s="496"/>
    </row>
    <row r="7379" spans="1:4" x14ac:dyDescent="0.2">
      <c r="A7379" s="146"/>
      <c r="D7379" s="496"/>
    </row>
    <row r="7380" spans="1:4" x14ac:dyDescent="0.2">
      <c r="A7380" s="146"/>
      <c r="D7380" s="496"/>
    </row>
    <row r="7381" spans="1:4" x14ac:dyDescent="0.2">
      <c r="A7381" s="146"/>
      <c r="D7381" s="496"/>
    </row>
    <row r="7382" spans="1:4" x14ac:dyDescent="0.2">
      <c r="A7382" s="146"/>
      <c r="D7382" s="496"/>
    </row>
    <row r="7383" spans="1:4" x14ac:dyDescent="0.2">
      <c r="A7383" s="146"/>
      <c r="D7383" s="496"/>
    </row>
    <row r="7384" spans="1:4" x14ac:dyDescent="0.2">
      <c r="A7384" s="146"/>
      <c r="D7384" s="496"/>
    </row>
    <row r="7385" spans="1:4" x14ac:dyDescent="0.2">
      <c r="A7385" s="146"/>
      <c r="D7385" s="496"/>
    </row>
    <row r="7386" spans="1:4" x14ac:dyDescent="0.2">
      <c r="A7386" s="146"/>
      <c r="D7386" s="496"/>
    </row>
    <row r="7387" spans="1:4" x14ac:dyDescent="0.2">
      <c r="A7387" s="146"/>
      <c r="D7387" s="496"/>
    </row>
    <row r="7388" spans="1:4" x14ac:dyDescent="0.2">
      <c r="A7388" s="146"/>
      <c r="D7388" s="496"/>
    </row>
    <row r="7389" spans="1:4" x14ac:dyDescent="0.2">
      <c r="A7389" s="146"/>
      <c r="D7389" s="496"/>
    </row>
    <row r="7390" spans="1:4" x14ac:dyDescent="0.2">
      <c r="A7390" s="146"/>
      <c r="D7390" s="496"/>
    </row>
    <row r="7391" spans="1:4" x14ac:dyDescent="0.2">
      <c r="A7391" s="146"/>
      <c r="D7391" s="496"/>
    </row>
    <row r="7392" spans="1:4" x14ac:dyDescent="0.2">
      <c r="A7392" s="146"/>
      <c r="D7392" s="496"/>
    </row>
    <row r="7393" spans="1:4" x14ac:dyDescent="0.2">
      <c r="A7393" s="146"/>
      <c r="D7393" s="496"/>
    </row>
    <row r="7394" spans="1:4" x14ac:dyDescent="0.2">
      <c r="A7394" s="146"/>
      <c r="D7394" s="496"/>
    </row>
    <row r="7395" spans="1:4" x14ac:dyDescent="0.2">
      <c r="A7395" s="146"/>
      <c r="D7395" s="496"/>
    </row>
    <row r="7396" spans="1:4" x14ac:dyDescent="0.2">
      <c r="A7396" s="146"/>
      <c r="D7396" s="496"/>
    </row>
    <row r="7397" spans="1:4" x14ac:dyDescent="0.2">
      <c r="A7397" s="146"/>
      <c r="D7397" s="496"/>
    </row>
    <row r="7398" spans="1:4" x14ac:dyDescent="0.2">
      <c r="A7398" s="146"/>
      <c r="D7398" s="496"/>
    </row>
    <row r="7399" spans="1:4" x14ac:dyDescent="0.2">
      <c r="A7399" s="146"/>
      <c r="D7399" s="496"/>
    </row>
    <row r="7400" spans="1:4" x14ac:dyDescent="0.2">
      <c r="A7400" s="146"/>
      <c r="D7400" s="496"/>
    </row>
    <row r="7401" spans="1:4" x14ac:dyDescent="0.2">
      <c r="A7401" s="146"/>
      <c r="D7401" s="496"/>
    </row>
    <row r="7402" spans="1:4" x14ac:dyDescent="0.2">
      <c r="A7402" s="146"/>
      <c r="D7402" s="496"/>
    </row>
    <row r="7403" spans="1:4" x14ac:dyDescent="0.2">
      <c r="A7403" s="146"/>
      <c r="D7403" s="496"/>
    </row>
    <row r="7404" spans="1:4" x14ac:dyDescent="0.2">
      <c r="A7404" s="146"/>
      <c r="D7404" s="496"/>
    </row>
    <row r="7405" spans="1:4" x14ac:dyDescent="0.2">
      <c r="A7405" s="146"/>
      <c r="D7405" s="496"/>
    </row>
    <row r="7406" spans="1:4" x14ac:dyDescent="0.2">
      <c r="A7406" s="146"/>
      <c r="D7406" s="496"/>
    </row>
    <row r="7407" spans="1:4" x14ac:dyDescent="0.2">
      <c r="A7407" s="146"/>
      <c r="D7407" s="496"/>
    </row>
    <row r="7408" spans="1:4" x14ac:dyDescent="0.2">
      <c r="A7408" s="146"/>
      <c r="D7408" s="496"/>
    </row>
    <row r="7409" spans="1:4" x14ac:dyDescent="0.2">
      <c r="A7409" s="146"/>
      <c r="D7409" s="496"/>
    </row>
    <row r="7410" spans="1:4" x14ac:dyDescent="0.2">
      <c r="A7410" s="146"/>
      <c r="D7410" s="496"/>
    </row>
    <row r="7411" spans="1:4" x14ac:dyDescent="0.2">
      <c r="A7411" s="146"/>
      <c r="D7411" s="496"/>
    </row>
    <row r="7412" spans="1:4" x14ac:dyDescent="0.2">
      <c r="A7412" s="146"/>
      <c r="D7412" s="496"/>
    </row>
    <row r="7413" spans="1:4" x14ac:dyDescent="0.2">
      <c r="A7413" s="146"/>
      <c r="D7413" s="496"/>
    </row>
    <row r="7414" spans="1:4" x14ac:dyDescent="0.2">
      <c r="A7414" s="146"/>
      <c r="D7414" s="496"/>
    </row>
    <row r="7415" spans="1:4" x14ac:dyDescent="0.2">
      <c r="A7415" s="146"/>
      <c r="D7415" s="496"/>
    </row>
    <row r="7416" spans="1:4" x14ac:dyDescent="0.2">
      <c r="A7416" s="146"/>
      <c r="D7416" s="496"/>
    </row>
    <row r="7417" spans="1:4" x14ac:dyDescent="0.2">
      <c r="A7417" s="146"/>
      <c r="D7417" s="496"/>
    </row>
    <row r="7418" spans="1:4" x14ac:dyDescent="0.2">
      <c r="A7418" s="146"/>
      <c r="D7418" s="496"/>
    </row>
    <row r="7419" spans="1:4" x14ac:dyDescent="0.2">
      <c r="A7419" s="146"/>
      <c r="D7419" s="496"/>
    </row>
    <row r="7420" spans="1:4" x14ac:dyDescent="0.2">
      <c r="A7420" s="146"/>
      <c r="D7420" s="496"/>
    </row>
    <row r="7421" spans="1:4" x14ac:dyDescent="0.2">
      <c r="A7421" s="146"/>
      <c r="D7421" s="496"/>
    </row>
    <row r="7422" spans="1:4" x14ac:dyDescent="0.2">
      <c r="A7422" s="146"/>
      <c r="D7422" s="496"/>
    </row>
    <row r="7423" spans="1:4" x14ac:dyDescent="0.2">
      <c r="A7423" s="146"/>
      <c r="D7423" s="496"/>
    </row>
    <row r="7424" spans="1:4" x14ac:dyDescent="0.2">
      <c r="A7424" s="146"/>
      <c r="D7424" s="496"/>
    </row>
    <row r="7425" spans="1:4" x14ac:dyDescent="0.2">
      <c r="A7425" s="146"/>
      <c r="D7425" s="496"/>
    </row>
    <row r="7426" spans="1:4" x14ac:dyDescent="0.2">
      <c r="A7426" s="146"/>
      <c r="D7426" s="496"/>
    </row>
    <row r="7427" spans="1:4" x14ac:dyDescent="0.2">
      <c r="A7427" s="146"/>
      <c r="D7427" s="496"/>
    </row>
    <row r="7428" spans="1:4" x14ac:dyDescent="0.2">
      <c r="A7428" s="146"/>
      <c r="D7428" s="496"/>
    </row>
    <row r="7429" spans="1:4" x14ac:dyDescent="0.2">
      <c r="A7429" s="146"/>
      <c r="D7429" s="496"/>
    </row>
    <row r="7430" spans="1:4" x14ac:dyDescent="0.2">
      <c r="A7430" s="146"/>
      <c r="D7430" s="496"/>
    </row>
    <row r="7431" spans="1:4" x14ac:dyDescent="0.2">
      <c r="A7431" s="146"/>
      <c r="D7431" s="496"/>
    </row>
    <row r="7432" spans="1:4" x14ac:dyDescent="0.2">
      <c r="A7432" s="146"/>
      <c r="D7432" s="496"/>
    </row>
    <row r="7433" spans="1:4" x14ac:dyDescent="0.2">
      <c r="A7433" s="146"/>
      <c r="D7433" s="496"/>
    </row>
    <row r="7434" spans="1:4" x14ac:dyDescent="0.2">
      <c r="A7434" s="146"/>
      <c r="D7434" s="496"/>
    </row>
    <row r="7435" spans="1:4" x14ac:dyDescent="0.2">
      <c r="A7435" s="146"/>
      <c r="D7435" s="496"/>
    </row>
    <row r="7436" spans="1:4" x14ac:dyDescent="0.2">
      <c r="A7436" s="146"/>
      <c r="D7436" s="496"/>
    </row>
    <row r="7437" spans="1:4" x14ac:dyDescent="0.2">
      <c r="A7437" s="146"/>
      <c r="D7437" s="496"/>
    </row>
    <row r="7438" spans="1:4" x14ac:dyDescent="0.2">
      <c r="A7438" s="146"/>
      <c r="D7438" s="496"/>
    </row>
    <row r="7439" spans="1:4" x14ac:dyDescent="0.2">
      <c r="A7439" s="146"/>
      <c r="D7439" s="496"/>
    </row>
    <row r="7440" spans="1:4" x14ac:dyDescent="0.2">
      <c r="A7440" s="146"/>
      <c r="D7440" s="496"/>
    </row>
    <row r="7441" spans="1:4" x14ac:dyDescent="0.2">
      <c r="A7441" s="146"/>
      <c r="D7441" s="496"/>
    </row>
    <row r="7442" spans="1:4" x14ac:dyDescent="0.2">
      <c r="A7442" s="146"/>
      <c r="D7442" s="496"/>
    </row>
    <row r="7443" spans="1:4" x14ac:dyDescent="0.2">
      <c r="A7443" s="146"/>
      <c r="D7443" s="496"/>
    </row>
    <row r="7444" spans="1:4" x14ac:dyDescent="0.2">
      <c r="A7444" s="146"/>
      <c r="D7444" s="496"/>
    </row>
    <row r="7445" spans="1:4" x14ac:dyDescent="0.2">
      <c r="A7445" s="146"/>
      <c r="D7445" s="496"/>
    </row>
    <row r="7446" spans="1:4" x14ac:dyDescent="0.2">
      <c r="A7446" s="146"/>
      <c r="D7446" s="496"/>
    </row>
    <row r="7447" spans="1:4" x14ac:dyDescent="0.2">
      <c r="A7447" s="146"/>
      <c r="D7447" s="496"/>
    </row>
    <row r="7448" spans="1:4" x14ac:dyDescent="0.2">
      <c r="A7448" s="146"/>
      <c r="D7448" s="496"/>
    </row>
    <row r="7449" spans="1:4" x14ac:dyDescent="0.2">
      <c r="A7449" s="146"/>
      <c r="D7449" s="496"/>
    </row>
    <row r="7450" spans="1:4" x14ac:dyDescent="0.2">
      <c r="A7450" s="146"/>
      <c r="D7450" s="496"/>
    </row>
    <row r="7451" spans="1:4" x14ac:dyDescent="0.2">
      <c r="A7451" s="146"/>
      <c r="D7451" s="496"/>
    </row>
    <row r="7452" spans="1:4" x14ac:dyDescent="0.2">
      <c r="A7452" s="146"/>
      <c r="D7452" s="496"/>
    </row>
    <row r="7453" spans="1:4" x14ac:dyDescent="0.2">
      <c r="A7453" s="146"/>
      <c r="D7453" s="496"/>
    </row>
    <row r="7454" spans="1:4" x14ac:dyDescent="0.2">
      <c r="A7454" s="146"/>
      <c r="D7454" s="496"/>
    </row>
    <row r="7455" spans="1:4" x14ac:dyDescent="0.2">
      <c r="A7455" s="146"/>
      <c r="D7455" s="496"/>
    </row>
    <row r="7456" spans="1:4" x14ac:dyDescent="0.2">
      <c r="A7456" s="146"/>
      <c r="D7456" s="496"/>
    </row>
    <row r="7457" spans="1:4" x14ac:dyDescent="0.2">
      <c r="A7457" s="146"/>
      <c r="D7457" s="496"/>
    </row>
    <row r="7458" spans="1:4" x14ac:dyDescent="0.2">
      <c r="A7458" s="146"/>
      <c r="D7458" s="496"/>
    </row>
    <row r="7459" spans="1:4" x14ac:dyDescent="0.2">
      <c r="A7459" s="146"/>
      <c r="D7459" s="496"/>
    </row>
    <row r="7460" spans="1:4" x14ac:dyDescent="0.2">
      <c r="A7460" s="146"/>
      <c r="D7460" s="496"/>
    </row>
    <row r="7461" spans="1:4" x14ac:dyDescent="0.2">
      <c r="A7461" s="146"/>
      <c r="D7461" s="496"/>
    </row>
    <row r="7462" spans="1:4" x14ac:dyDescent="0.2">
      <c r="A7462" s="146"/>
      <c r="D7462" s="496"/>
    </row>
    <row r="7463" spans="1:4" x14ac:dyDescent="0.2">
      <c r="A7463" s="146"/>
      <c r="D7463" s="496"/>
    </row>
    <row r="7464" spans="1:4" x14ac:dyDescent="0.2">
      <c r="A7464" s="146"/>
      <c r="D7464" s="496"/>
    </row>
    <row r="7465" spans="1:4" x14ac:dyDescent="0.2">
      <c r="A7465" s="146"/>
      <c r="D7465" s="496"/>
    </row>
    <row r="7466" spans="1:4" x14ac:dyDescent="0.2">
      <c r="A7466" s="146"/>
      <c r="D7466" s="496"/>
    </row>
    <row r="7467" spans="1:4" x14ac:dyDescent="0.2">
      <c r="A7467" s="146"/>
      <c r="D7467" s="496"/>
    </row>
    <row r="7468" spans="1:4" x14ac:dyDescent="0.2">
      <c r="A7468" s="146"/>
      <c r="D7468" s="496"/>
    </row>
    <row r="7469" spans="1:4" x14ac:dyDescent="0.2">
      <c r="A7469" s="146"/>
      <c r="D7469" s="496"/>
    </row>
    <row r="7470" spans="1:4" x14ac:dyDescent="0.2">
      <c r="A7470" s="146"/>
      <c r="D7470" s="496"/>
    </row>
    <row r="7471" spans="1:4" x14ac:dyDescent="0.2">
      <c r="A7471" s="146"/>
      <c r="D7471" s="496"/>
    </row>
    <row r="7472" spans="1:4" x14ac:dyDescent="0.2">
      <c r="A7472" s="146"/>
      <c r="D7472" s="496"/>
    </row>
    <row r="7473" spans="1:4" x14ac:dyDescent="0.2">
      <c r="A7473" s="146"/>
      <c r="D7473" s="496"/>
    </row>
    <row r="7474" spans="1:4" x14ac:dyDescent="0.2">
      <c r="A7474" s="146"/>
      <c r="D7474" s="496"/>
    </row>
    <row r="7475" spans="1:4" x14ac:dyDescent="0.2">
      <c r="A7475" s="146"/>
      <c r="D7475" s="496"/>
    </row>
    <row r="7476" spans="1:4" x14ac:dyDescent="0.2">
      <c r="A7476" s="146"/>
      <c r="D7476" s="496"/>
    </row>
    <row r="7477" spans="1:4" x14ac:dyDescent="0.2">
      <c r="A7477" s="146"/>
      <c r="D7477" s="496"/>
    </row>
    <row r="7478" spans="1:4" x14ac:dyDescent="0.2">
      <c r="A7478" s="146"/>
      <c r="D7478" s="496"/>
    </row>
    <row r="7479" spans="1:4" x14ac:dyDescent="0.2">
      <c r="A7479" s="146"/>
      <c r="D7479" s="496"/>
    </row>
    <row r="7480" spans="1:4" x14ac:dyDescent="0.2">
      <c r="A7480" s="146"/>
      <c r="D7480" s="496"/>
    </row>
    <row r="7481" spans="1:4" x14ac:dyDescent="0.2">
      <c r="A7481" s="146"/>
      <c r="D7481" s="496"/>
    </row>
    <row r="7482" spans="1:4" x14ac:dyDescent="0.2">
      <c r="A7482" s="146"/>
      <c r="D7482" s="496"/>
    </row>
    <row r="7483" spans="1:4" x14ac:dyDescent="0.2">
      <c r="A7483" s="146"/>
      <c r="D7483" s="496"/>
    </row>
    <row r="7484" spans="1:4" x14ac:dyDescent="0.2">
      <c r="A7484" s="146"/>
      <c r="D7484" s="496"/>
    </row>
    <row r="7485" spans="1:4" x14ac:dyDescent="0.2">
      <c r="A7485" s="146"/>
      <c r="D7485" s="496"/>
    </row>
    <row r="7486" spans="1:4" x14ac:dyDescent="0.2">
      <c r="A7486" s="146"/>
      <c r="D7486" s="496"/>
    </row>
    <row r="7487" spans="1:4" x14ac:dyDescent="0.2">
      <c r="A7487" s="146"/>
      <c r="D7487" s="496"/>
    </row>
    <row r="7488" spans="1:4" x14ac:dyDescent="0.2">
      <c r="A7488" s="146"/>
      <c r="D7488" s="496"/>
    </row>
    <row r="7489" spans="1:4" x14ac:dyDescent="0.2">
      <c r="A7489" s="146"/>
      <c r="D7489" s="496"/>
    </row>
    <row r="7490" spans="1:4" x14ac:dyDescent="0.2">
      <c r="A7490" s="146"/>
      <c r="D7490" s="496"/>
    </row>
    <row r="7491" spans="1:4" x14ac:dyDescent="0.2">
      <c r="A7491" s="146"/>
      <c r="D7491" s="496"/>
    </row>
    <row r="7492" spans="1:4" x14ac:dyDescent="0.2">
      <c r="A7492" s="146"/>
      <c r="D7492" s="496"/>
    </row>
    <row r="7493" spans="1:4" x14ac:dyDescent="0.2">
      <c r="A7493" s="146"/>
      <c r="D7493" s="496"/>
    </row>
    <row r="7494" spans="1:4" x14ac:dyDescent="0.2">
      <c r="A7494" s="146"/>
      <c r="D7494" s="496"/>
    </row>
    <row r="7495" spans="1:4" x14ac:dyDescent="0.2">
      <c r="A7495" s="146"/>
      <c r="D7495" s="496"/>
    </row>
    <row r="7496" spans="1:4" x14ac:dyDescent="0.2">
      <c r="A7496" s="146"/>
      <c r="D7496" s="496"/>
    </row>
    <row r="7497" spans="1:4" x14ac:dyDescent="0.2">
      <c r="A7497" s="146"/>
      <c r="D7497" s="496"/>
    </row>
    <row r="7498" spans="1:4" x14ac:dyDescent="0.2">
      <c r="A7498" s="146"/>
      <c r="D7498" s="496"/>
    </row>
    <row r="7499" spans="1:4" x14ac:dyDescent="0.2">
      <c r="A7499" s="146"/>
      <c r="D7499" s="496"/>
    </row>
    <row r="7500" spans="1:4" x14ac:dyDescent="0.2">
      <c r="A7500" s="146"/>
      <c r="D7500" s="496"/>
    </row>
    <row r="7501" spans="1:4" x14ac:dyDescent="0.2">
      <c r="A7501" s="146"/>
      <c r="D7501" s="496"/>
    </row>
    <row r="7502" spans="1:4" x14ac:dyDescent="0.2">
      <c r="A7502" s="146"/>
      <c r="D7502" s="496"/>
    </row>
    <row r="7503" spans="1:4" x14ac:dyDescent="0.2">
      <c r="A7503" s="146"/>
      <c r="D7503" s="496"/>
    </row>
    <row r="7504" spans="1:4" x14ac:dyDescent="0.2">
      <c r="A7504" s="146"/>
      <c r="D7504" s="496"/>
    </row>
    <row r="7505" spans="1:4" x14ac:dyDescent="0.2">
      <c r="A7505" s="146"/>
      <c r="D7505" s="496"/>
    </row>
    <row r="7506" spans="1:4" x14ac:dyDescent="0.2">
      <c r="A7506" s="146"/>
      <c r="D7506" s="496"/>
    </row>
    <row r="7507" spans="1:4" x14ac:dyDescent="0.2">
      <c r="A7507" s="146"/>
      <c r="D7507" s="496"/>
    </row>
    <row r="7508" spans="1:4" x14ac:dyDescent="0.2">
      <c r="A7508" s="146"/>
      <c r="D7508" s="496"/>
    </row>
    <row r="7509" spans="1:4" x14ac:dyDescent="0.2">
      <c r="A7509" s="146"/>
      <c r="D7509" s="496"/>
    </row>
    <row r="7510" spans="1:4" x14ac:dyDescent="0.2">
      <c r="A7510" s="146"/>
      <c r="D7510" s="496"/>
    </row>
    <row r="7511" spans="1:4" x14ac:dyDescent="0.2">
      <c r="A7511" s="146"/>
      <c r="D7511" s="496"/>
    </row>
    <row r="7512" spans="1:4" x14ac:dyDescent="0.2">
      <c r="A7512" s="146"/>
      <c r="D7512" s="496"/>
    </row>
    <row r="7513" spans="1:4" x14ac:dyDescent="0.2">
      <c r="A7513" s="146"/>
      <c r="D7513" s="496"/>
    </row>
    <row r="7514" spans="1:4" x14ac:dyDescent="0.2">
      <c r="A7514" s="146"/>
      <c r="D7514" s="496"/>
    </row>
    <row r="7515" spans="1:4" x14ac:dyDescent="0.2">
      <c r="A7515" s="146"/>
      <c r="D7515" s="496"/>
    </row>
    <row r="7516" spans="1:4" x14ac:dyDescent="0.2">
      <c r="A7516" s="146"/>
      <c r="D7516" s="496"/>
    </row>
    <row r="7517" spans="1:4" x14ac:dyDescent="0.2">
      <c r="A7517" s="146"/>
      <c r="D7517" s="496"/>
    </row>
    <row r="7518" spans="1:4" x14ac:dyDescent="0.2">
      <c r="A7518" s="146"/>
      <c r="D7518" s="496"/>
    </row>
    <row r="7519" spans="1:4" x14ac:dyDescent="0.2">
      <c r="A7519" s="146"/>
      <c r="D7519" s="496"/>
    </row>
    <row r="7520" spans="1:4" x14ac:dyDescent="0.2">
      <c r="A7520" s="146"/>
      <c r="D7520" s="496"/>
    </row>
    <row r="7521" spans="1:4" x14ac:dyDescent="0.2">
      <c r="A7521" s="146"/>
      <c r="D7521" s="496"/>
    </row>
    <row r="7522" spans="1:4" x14ac:dyDescent="0.2">
      <c r="A7522" s="146"/>
      <c r="D7522" s="496"/>
    </row>
    <row r="7523" spans="1:4" x14ac:dyDescent="0.2">
      <c r="A7523" s="146"/>
      <c r="D7523" s="496"/>
    </row>
    <row r="7524" spans="1:4" x14ac:dyDescent="0.2">
      <c r="A7524" s="146"/>
      <c r="D7524" s="496"/>
    </row>
    <row r="7525" spans="1:4" x14ac:dyDescent="0.2">
      <c r="A7525" s="146"/>
      <c r="D7525" s="496"/>
    </row>
    <row r="7526" spans="1:4" x14ac:dyDescent="0.2">
      <c r="A7526" s="146"/>
      <c r="D7526" s="496"/>
    </row>
    <row r="7527" spans="1:4" x14ac:dyDescent="0.2">
      <c r="A7527" s="146"/>
      <c r="D7527" s="496"/>
    </row>
    <row r="7528" spans="1:4" x14ac:dyDescent="0.2">
      <c r="A7528" s="146"/>
      <c r="D7528" s="496"/>
    </row>
    <row r="7529" spans="1:4" x14ac:dyDescent="0.2">
      <c r="A7529" s="146"/>
      <c r="D7529" s="496"/>
    </row>
    <row r="7530" spans="1:4" x14ac:dyDescent="0.2">
      <c r="A7530" s="146"/>
      <c r="D7530" s="496"/>
    </row>
    <row r="7531" spans="1:4" x14ac:dyDescent="0.2">
      <c r="A7531" s="146"/>
      <c r="D7531" s="496"/>
    </row>
    <row r="7532" spans="1:4" x14ac:dyDescent="0.2">
      <c r="A7532" s="146"/>
      <c r="D7532" s="496"/>
    </row>
    <row r="7533" spans="1:4" x14ac:dyDescent="0.2">
      <c r="A7533" s="146"/>
      <c r="D7533" s="496"/>
    </row>
    <row r="7534" spans="1:4" x14ac:dyDescent="0.2">
      <c r="A7534" s="146"/>
      <c r="D7534" s="496"/>
    </row>
    <row r="7535" spans="1:4" x14ac:dyDescent="0.2">
      <c r="A7535" s="146"/>
      <c r="D7535" s="496"/>
    </row>
    <row r="7536" spans="1:4" x14ac:dyDescent="0.2">
      <c r="A7536" s="146"/>
      <c r="D7536" s="496"/>
    </row>
    <row r="7537" spans="1:4" x14ac:dyDescent="0.2">
      <c r="A7537" s="146"/>
      <c r="D7537" s="496"/>
    </row>
    <row r="7538" spans="1:4" x14ac:dyDescent="0.2">
      <c r="A7538" s="146"/>
      <c r="D7538" s="496"/>
    </row>
    <row r="7539" spans="1:4" x14ac:dyDescent="0.2">
      <c r="A7539" s="146"/>
      <c r="D7539" s="496"/>
    </row>
    <row r="7540" spans="1:4" x14ac:dyDescent="0.2">
      <c r="A7540" s="146"/>
      <c r="D7540" s="496"/>
    </row>
    <row r="7541" spans="1:4" x14ac:dyDescent="0.2">
      <c r="A7541" s="146"/>
      <c r="D7541" s="496"/>
    </row>
    <row r="7542" spans="1:4" x14ac:dyDescent="0.2">
      <c r="A7542" s="146"/>
      <c r="D7542" s="496"/>
    </row>
    <row r="7543" spans="1:4" x14ac:dyDescent="0.2">
      <c r="A7543" s="146"/>
      <c r="D7543" s="496"/>
    </row>
    <row r="7544" spans="1:4" x14ac:dyDescent="0.2">
      <c r="A7544" s="146"/>
      <c r="D7544" s="496"/>
    </row>
    <row r="7545" spans="1:4" x14ac:dyDescent="0.2">
      <c r="A7545" s="146"/>
      <c r="D7545" s="496"/>
    </row>
    <row r="7546" spans="1:4" x14ac:dyDescent="0.2">
      <c r="A7546" s="146"/>
      <c r="D7546" s="496"/>
    </row>
    <row r="7547" spans="1:4" x14ac:dyDescent="0.2">
      <c r="A7547" s="146"/>
      <c r="D7547" s="496"/>
    </row>
    <row r="7548" spans="1:4" x14ac:dyDescent="0.2">
      <c r="A7548" s="146"/>
      <c r="D7548" s="496"/>
    </row>
    <row r="7549" spans="1:4" x14ac:dyDescent="0.2">
      <c r="A7549" s="146"/>
      <c r="D7549" s="496"/>
    </row>
    <row r="7550" spans="1:4" x14ac:dyDescent="0.2">
      <c r="A7550" s="146"/>
      <c r="D7550" s="496"/>
    </row>
    <row r="7551" spans="1:4" x14ac:dyDescent="0.2">
      <c r="A7551" s="146"/>
      <c r="D7551" s="496"/>
    </row>
    <row r="7552" spans="1:4" x14ac:dyDescent="0.2">
      <c r="A7552" s="146"/>
      <c r="D7552" s="496"/>
    </row>
    <row r="7553" spans="1:4" x14ac:dyDescent="0.2">
      <c r="A7553" s="146"/>
      <c r="D7553" s="496"/>
    </row>
    <row r="7554" spans="1:4" x14ac:dyDescent="0.2">
      <c r="A7554" s="146"/>
      <c r="D7554" s="496"/>
    </row>
    <row r="7555" spans="1:4" x14ac:dyDescent="0.2">
      <c r="A7555" s="146"/>
      <c r="D7555" s="496"/>
    </row>
    <row r="7556" spans="1:4" x14ac:dyDescent="0.2">
      <c r="A7556" s="146"/>
      <c r="D7556" s="496"/>
    </row>
    <row r="7557" spans="1:4" x14ac:dyDescent="0.2">
      <c r="A7557" s="146"/>
      <c r="D7557" s="496"/>
    </row>
    <row r="7558" spans="1:4" x14ac:dyDescent="0.2">
      <c r="A7558" s="146"/>
      <c r="D7558" s="496"/>
    </row>
    <row r="7559" spans="1:4" x14ac:dyDescent="0.2">
      <c r="A7559" s="146"/>
      <c r="D7559" s="496"/>
    </row>
    <row r="7560" spans="1:4" x14ac:dyDescent="0.2">
      <c r="A7560" s="146"/>
      <c r="D7560" s="496"/>
    </row>
    <row r="7561" spans="1:4" x14ac:dyDescent="0.2">
      <c r="A7561" s="146"/>
      <c r="D7561" s="496"/>
    </row>
    <row r="7562" spans="1:4" x14ac:dyDescent="0.2">
      <c r="A7562" s="146"/>
      <c r="D7562" s="496"/>
    </row>
    <row r="7563" spans="1:4" x14ac:dyDescent="0.2">
      <c r="A7563" s="146"/>
      <c r="D7563" s="496"/>
    </row>
    <row r="7564" spans="1:4" x14ac:dyDescent="0.2">
      <c r="A7564" s="146"/>
      <c r="D7564" s="496"/>
    </row>
    <row r="7565" spans="1:4" x14ac:dyDescent="0.2">
      <c r="A7565" s="146"/>
      <c r="D7565" s="496"/>
    </row>
    <row r="7566" spans="1:4" x14ac:dyDescent="0.2">
      <c r="A7566" s="146"/>
      <c r="D7566" s="496"/>
    </row>
    <row r="7567" spans="1:4" x14ac:dyDescent="0.2">
      <c r="A7567" s="146"/>
      <c r="D7567" s="496"/>
    </row>
    <row r="7568" spans="1:4" x14ac:dyDescent="0.2">
      <c r="A7568" s="146"/>
      <c r="D7568" s="496"/>
    </row>
    <row r="7569" spans="1:4" x14ac:dyDescent="0.2">
      <c r="A7569" s="146"/>
      <c r="D7569" s="496"/>
    </row>
    <row r="7570" spans="1:4" x14ac:dyDescent="0.2">
      <c r="A7570" s="146"/>
      <c r="D7570" s="496"/>
    </row>
    <row r="7571" spans="1:4" x14ac:dyDescent="0.2">
      <c r="A7571" s="146"/>
      <c r="D7571" s="496"/>
    </row>
    <row r="7572" spans="1:4" x14ac:dyDescent="0.2">
      <c r="A7572" s="146"/>
      <c r="D7572" s="496"/>
    </row>
    <row r="7573" spans="1:4" x14ac:dyDescent="0.2">
      <c r="A7573" s="146"/>
      <c r="D7573" s="496"/>
    </row>
    <row r="7574" spans="1:4" x14ac:dyDescent="0.2">
      <c r="A7574" s="146"/>
      <c r="D7574" s="496"/>
    </row>
    <row r="7575" spans="1:4" x14ac:dyDescent="0.2">
      <c r="A7575" s="146"/>
      <c r="D7575" s="496"/>
    </row>
    <row r="7576" spans="1:4" x14ac:dyDescent="0.2">
      <c r="A7576" s="146"/>
      <c r="D7576" s="496"/>
    </row>
    <row r="7577" spans="1:4" x14ac:dyDescent="0.2">
      <c r="A7577" s="146"/>
      <c r="D7577" s="496"/>
    </row>
    <row r="7578" spans="1:4" x14ac:dyDescent="0.2">
      <c r="A7578" s="146"/>
      <c r="D7578" s="496"/>
    </row>
    <row r="7579" spans="1:4" x14ac:dyDescent="0.2">
      <c r="A7579" s="146"/>
      <c r="D7579" s="496"/>
    </row>
    <row r="7580" spans="1:4" x14ac:dyDescent="0.2">
      <c r="A7580" s="146"/>
      <c r="D7580" s="496"/>
    </row>
    <row r="7581" spans="1:4" x14ac:dyDescent="0.2">
      <c r="A7581" s="146"/>
      <c r="D7581" s="496"/>
    </row>
    <row r="7582" spans="1:4" x14ac:dyDescent="0.2">
      <c r="A7582" s="146"/>
      <c r="D7582" s="496"/>
    </row>
    <row r="7583" spans="1:4" x14ac:dyDescent="0.2">
      <c r="A7583" s="146"/>
      <c r="D7583" s="496"/>
    </row>
    <row r="7584" spans="1:4" x14ac:dyDescent="0.2">
      <c r="A7584" s="146"/>
      <c r="D7584" s="496"/>
    </row>
    <row r="7585" spans="1:4" x14ac:dyDescent="0.2">
      <c r="A7585" s="146"/>
      <c r="D7585" s="496"/>
    </row>
    <row r="7586" spans="1:4" x14ac:dyDescent="0.2">
      <c r="A7586" s="146"/>
      <c r="D7586" s="496"/>
    </row>
    <row r="7587" spans="1:4" x14ac:dyDescent="0.2">
      <c r="A7587" s="146"/>
      <c r="D7587" s="496"/>
    </row>
    <row r="7588" spans="1:4" x14ac:dyDescent="0.2">
      <c r="A7588" s="146"/>
      <c r="D7588" s="496"/>
    </row>
    <row r="7589" spans="1:4" x14ac:dyDescent="0.2">
      <c r="A7589" s="146"/>
      <c r="D7589" s="496"/>
    </row>
    <row r="7590" spans="1:4" x14ac:dyDescent="0.2">
      <c r="A7590" s="146"/>
      <c r="D7590" s="496"/>
    </row>
    <row r="7591" spans="1:4" x14ac:dyDescent="0.2">
      <c r="A7591" s="146"/>
      <c r="D7591" s="496"/>
    </row>
    <row r="7592" spans="1:4" x14ac:dyDescent="0.2">
      <c r="A7592" s="146"/>
      <c r="D7592" s="496"/>
    </row>
    <row r="7593" spans="1:4" x14ac:dyDescent="0.2">
      <c r="A7593" s="146"/>
      <c r="D7593" s="496"/>
    </row>
    <row r="7594" spans="1:4" x14ac:dyDescent="0.2">
      <c r="A7594" s="146"/>
      <c r="D7594" s="496"/>
    </row>
    <row r="7595" spans="1:4" x14ac:dyDescent="0.2">
      <c r="A7595" s="146"/>
      <c r="D7595" s="496"/>
    </row>
    <row r="7596" spans="1:4" x14ac:dyDescent="0.2">
      <c r="A7596" s="146"/>
      <c r="D7596" s="496"/>
    </row>
    <row r="7597" spans="1:4" x14ac:dyDescent="0.2">
      <c r="A7597" s="146"/>
      <c r="D7597" s="496"/>
    </row>
    <row r="7598" spans="1:4" x14ac:dyDescent="0.2">
      <c r="A7598" s="146"/>
      <c r="D7598" s="496"/>
    </row>
    <row r="7599" spans="1:4" x14ac:dyDescent="0.2">
      <c r="A7599" s="146"/>
      <c r="D7599" s="496"/>
    </row>
    <row r="7600" spans="1:4" x14ac:dyDescent="0.2">
      <c r="A7600" s="146"/>
      <c r="D7600" s="496"/>
    </row>
    <row r="7601" spans="1:4" x14ac:dyDescent="0.2">
      <c r="A7601" s="146"/>
      <c r="D7601" s="496"/>
    </row>
    <row r="7602" spans="1:4" x14ac:dyDescent="0.2">
      <c r="A7602" s="146"/>
      <c r="D7602" s="496"/>
    </row>
    <row r="7603" spans="1:4" x14ac:dyDescent="0.2">
      <c r="A7603" s="146"/>
      <c r="D7603" s="496"/>
    </row>
    <row r="7604" spans="1:4" x14ac:dyDescent="0.2">
      <c r="A7604" s="146"/>
      <c r="D7604" s="496"/>
    </row>
    <row r="7605" spans="1:4" x14ac:dyDescent="0.2">
      <c r="A7605" s="146"/>
      <c r="D7605" s="496"/>
    </row>
    <row r="7606" spans="1:4" x14ac:dyDescent="0.2">
      <c r="A7606" s="146"/>
      <c r="D7606" s="496"/>
    </row>
    <row r="7607" spans="1:4" x14ac:dyDescent="0.2">
      <c r="A7607" s="146"/>
      <c r="D7607" s="496"/>
    </row>
    <row r="7608" spans="1:4" x14ac:dyDescent="0.2">
      <c r="A7608" s="146"/>
      <c r="D7608" s="496"/>
    </row>
    <row r="7609" spans="1:4" x14ac:dyDescent="0.2">
      <c r="A7609" s="146"/>
      <c r="D7609" s="496"/>
    </row>
    <row r="7610" spans="1:4" x14ac:dyDescent="0.2">
      <c r="A7610" s="146"/>
      <c r="D7610" s="496"/>
    </row>
    <row r="7611" spans="1:4" x14ac:dyDescent="0.2">
      <c r="A7611" s="146"/>
      <c r="D7611" s="496"/>
    </row>
    <row r="7612" spans="1:4" x14ac:dyDescent="0.2">
      <c r="A7612" s="146"/>
      <c r="D7612" s="496"/>
    </row>
    <row r="7613" spans="1:4" x14ac:dyDescent="0.2">
      <c r="A7613" s="146"/>
      <c r="D7613" s="496"/>
    </row>
    <row r="7614" spans="1:4" x14ac:dyDescent="0.2">
      <c r="A7614" s="146"/>
      <c r="D7614" s="496"/>
    </row>
    <row r="7615" spans="1:4" x14ac:dyDescent="0.2">
      <c r="A7615" s="146"/>
      <c r="D7615" s="496"/>
    </row>
    <row r="7616" spans="1:4" x14ac:dyDescent="0.2">
      <c r="A7616" s="146"/>
      <c r="D7616" s="496"/>
    </row>
    <row r="7617" spans="1:4" x14ac:dyDescent="0.2">
      <c r="A7617" s="146"/>
      <c r="D7617" s="496"/>
    </row>
    <row r="7618" spans="1:4" x14ac:dyDescent="0.2">
      <c r="A7618" s="146"/>
      <c r="D7618" s="496"/>
    </row>
    <row r="7619" spans="1:4" x14ac:dyDescent="0.2">
      <c r="A7619" s="146"/>
      <c r="D7619" s="496"/>
    </row>
    <row r="7620" spans="1:4" x14ac:dyDescent="0.2">
      <c r="A7620" s="146"/>
      <c r="D7620" s="496"/>
    </row>
    <row r="7621" spans="1:4" x14ac:dyDescent="0.2">
      <c r="A7621" s="146"/>
      <c r="D7621" s="496"/>
    </row>
    <row r="7622" spans="1:4" x14ac:dyDescent="0.2">
      <c r="A7622" s="146"/>
      <c r="D7622" s="496"/>
    </row>
    <row r="7623" spans="1:4" x14ac:dyDescent="0.2">
      <c r="A7623" s="146"/>
      <c r="D7623" s="496"/>
    </row>
    <row r="7624" spans="1:4" x14ac:dyDescent="0.2">
      <c r="A7624" s="146"/>
      <c r="D7624" s="496"/>
    </row>
    <row r="7625" spans="1:4" x14ac:dyDescent="0.2">
      <c r="A7625" s="146"/>
      <c r="D7625" s="496"/>
    </row>
    <row r="7626" spans="1:4" x14ac:dyDescent="0.2">
      <c r="A7626" s="146"/>
      <c r="D7626" s="496"/>
    </row>
    <row r="7627" spans="1:4" x14ac:dyDescent="0.2">
      <c r="A7627" s="146"/>
      <c r="D7627" s="496"/>
    </row>
    <row r="7628" spans="1:4" x14ac:dyDescent="0.2">
      <c r="A7628" s="146"/>
      <c r="D7628" s="496"/>
    </row>
    <row r="7629" spans="1:4" x14ac:dyDescent="0.2">
      <c r="A7629" s="146"/>
      <c r="D7629" s="496"/>
    </row>
    <row r="7630" spans="1:4" x14ac:dyDescent="0.2">
      <c r="A7630" s="146"/>
      <c r="D7630" s="496"/>
    </row>
    <row r="7631" spans="1:4" x14ac:dyDescent="0.2">
      <c r="A7631" s="146"/>
      <c r="D7631" s="496"/>
    </row>
    <row r="7632" spans="1:4" x14ac:dyDescent="0.2">
      <c r="A7632" s="146"/>
      <c r="D7632" s="496"/>
    </row>
    <row r="7633" spans="1:4" x14ac:dyDescent="0.2">
      <c r="A7633" s="146"/>
      <c r="D7633" s="496"/>
    </row>
    <row r="7634" spans="1:4" x14ac:dyDescent="0.2">
      <c r="A7634" s="146"/>
      <c r="D7634" s="496"/>
    </row>
    <row r="7635" spans="1:4" x14ac:dyDescent="0.2">
      <c r="A7635" s="146"/>
      <c r="D7635" s="496"/>
    </row>
    <row r="7636" spans="1:4" x14ac:dyDescent="0.2">
      <c r="A7636" s="146"/>
      <c r="D7636" s="496"/>
    </row>
    <row r="7637" spans="1:4" x14ac:dyDescent="0.2">
      <c r="A7637" s="146"/>
      <c r="D7637" s="496"/>
    </row>
    <row r="7638" spans="1:4" x14ac:dyDescent="0.2">
      <c r="A7638" s="146"/>
      <c r="D7638" s="496"/>
    </row>
    <row r="7639" spans="1:4" x14ac:dyDescent="0.2">
      <c r="A7639" s="146"/>
      <c r="D7639" s="496"/>
    </row>
    <row r="7640" spans="1:4" x14ac:dyDescent="0.2">
      <c r="A7640" s="146"/>
      <c r="D7640" s="496"/>
    </row>
    <row r="7641" spans="1:4" x14ac:dyDescent="0.2">
      <c r="A7641" s="146"/>
      <c r="D7641" s="496"/>
    </row>
    <row r="7642" spans="1:4" x14ac:dyDescent="0.2">
      <c r="A7642" s="146"/>
      <c r="D7642" s="496"/>
    </row>
    <row r="7643" spans="1:4" x14ac:dyDescent="0.2">
      <c r="A7643" s="146"/>
      <c r="D7643" s="496"/>
    </row>
    <row r="7644" spans="1:4" x14ac:dyDescent="0.2">
      <c r="A7644" s="146"/>
      <c r="D7644" s="496"/>
    </row>
    <row r="7645" spans="1:4" x14ac:dyDescent="0.2">
      <c r="A7645" s="146"/>
      <c r="D7645" s="496"/>
    </row>
    <row r="7646" spans="1:4" x14ac:dyDescent="0.2">
      <c r="A7646" s="146"/>
      <c r="D7646" s="496"/>
    </row>
    <row r="7647" spans="1:4" x14ac:dyDescent="0.2">
      <c r="A7647" s="146"/>
      <c r="D7647" s="496"/>
    </row>
    <row r="7648" spans="1:4" x14ac:dyDescent="0.2">
      <c r="A7648" s="146"/>
      <c r="D7648" s="496"/>
    </row>
    <row r="7649" spans="1:4" x14ac:dyDescent="0.2">
      <c r="A7649" s="146"/>
      <c r="D7649" s="496"/>
    </row>
    <row r="7650" spans="1:4" x14ac:dyDescent="0.2">
      <c r="A7650" s="146"/>
      <c r="D7650" s="496"/>
    </row>
    <row r="7651" spans="1:4" x14ac:dyDescent="0.2">
      <c r="A7651" s="146"/>
      <c r="D7651" s="496"/>
    </row>
    <row r="7652" spans="1:4" x14ac:dyDescent="0.2">
      <c r="A7652" s="146"/>
      <c r="D7652" s="496"/>
    </row>
    <row r="7653" spans="1:4" x14ac:dyDescent="0.2">
      <c r="A7653" s="146"/>
      <c r="D7653" s="496"/>
    </row>
    <row r="7654" spans="1:4" x14ac:dyDescent="0.2">
      <c r="A7654" s="146"/>
      <c r="D7654" s="496"/>
    </row>
    <row r="7655" spans="1:4" x14ac:dyDescent="0.2">
      <c r="A7655" s="146"/>
      <c r="D7655" s="496"/>
    </row>
    <row r="7656" spans="1:4" x14ac:dyDescent="0.2">
      <c r="A7656" s="146"/>
      <c r="D7656" s="496"/>
    </row>
    <row r="7657" spans="1:4" x14ac:dyDescent="0.2">
      <c r="A7657" s="146"/>
      <c r="D7657" s="496"/>
    </row>
    <row r="7658" spans="1:4" x14ac:dyDescent="0.2">
      <c r="A7658" s="146"/>
      <c r="D7658" s="496"/>
    </row>
    <row r="7659" spans="1:4" x14ac:dyDescent="0.2">
      <c r="A7659" s="146"/>
      <c r="D7659" s="496"/>
    </row>
    <row r="7660" spans="1:4" x14ac:dyDescent="0.2">
      <c r="A7660" s="146"/>
      <c r="D7660" s="496"/>
    </row>
    <row r="7661" spans="1:4" x14ac:dyDescent="0.2">
      <c r="A7661" s="146"/>
      <c r="D7661" s="496"/>
    </row>
    <row r="7662" spans="1:4" x14ac:dyDescent="0.2">
      <c r="A7662" s="146"/>
      <c r="D7662" s="496"/>
    </row>
    <row r="7663" spans="1:4" x14ac:dyDescent="0.2">
      <c r="A7663" s="146"/>
      <c r="D7663" s="496"/>
    </row>
    <row r="7664" spans="1:4" x14ac:dyDescent="0.2">
      <c r="A7664" s="146"/>
      <c r="D7664" s="496"/>
    </row>
    <row r="7665" spans="1:4" x14ac:dyDescent="0.2">
      <c r="A7665" s="146"/>
      <c r="D7665" s="496"/>
    </row>
    <row r="7666" spans="1:4" x14ac:dyDescent="0.2">
      <c r="A7666" s="146"/>
      <c r="D7666" s="496"/>
    </row>
    <row r="7667" spans="1:4" x14ac:dyDescent="0.2">
      <c r="A7667" s="146"/>
      <c r="D7667" s="496"/>
    </row>
    <row r="7668" spans="1:4" x14ac:dyDescent="0.2">
      <c r="A7668" s="146"/>
      <c r="D7668" s="496"/>
    </row>
    <row r="7669" spans="1:4" x14ac:dyDescent="0.2">
      <c r="A7669" s="146"/>
      <c r="D7669" s="496"/>
    </row>
    <row r="7670" spans="1:4" x14ac:dyDescent="0.2">
      <c r="A7670" s="146"/>
      <c r="D7670" s="496"/>
    </row>
    <row r="7671" spans="1:4" x14ac:dyDescent="0.2">
      <c r="A7671" s="146"/>
      <c r="D7671" s="496"/>
    </row>
    <row r="7672" spans="1:4" x14ac:dyDescent="0.2">
      <c r="A7672" s="146"/>
      <c r="D7672" s="496"/>
    </row>
    <row r="7673" spans="1:4" x14ac:dyDescent="0.2">
      <c r="A7673" s="146"/>
      <c r="D7673" s="496"/>
    </row>
    <row r="7674" spans="1:4" x14ac:dyDescent="0.2">
      <c r="A7674" s="146"/>
      <c r="D7674" s="496"/>
    </row>
    <row r="7675" spans="1:4" x14ac:dyDescent="0.2">
      <c r="A7675" s="146"/>
      <c r="D7675" s="496"/>
    </row>
    <row r="7676" spans="1:4" x14ac:dyDescent="0.2">
      <c r="A7676" s="146"/>
      <c r="D7676" s="496"/>
    </row>
    <row r="7677" spans="1:4" x14ac:dyDescent="0.2">
      <c r="A7677" s="146"/>
      <c r="D7677" s="496"/>
    </row>
    <row r="7678" spans="1:4" x14ac:dyDescent="0.2">
      <c r="A7678" s="146"/>
      <c r="D7678" s="496"/>
    </row>
    <row r="7679" spans="1:4" x14ac:dyDescent="0.2">
      <c r="A7679" s="146"/>
      <c r="D7679" s="496"/>
    </row>
    <row r="7680" spans="1:4" x14ac:dyDescent="0.2">
      <c r="A7680" s="146"/>
      <c r="D7680" s="496"/>
    </row>
    <row r="7681" spans="1:4" x14ac:dyDescent="0.2">
      <c r="A7681" s="146"/>
      <c r="D7681" s="496"/>
    </row>
    <row r="7682" spans="1:4" x14ac:dyDescent="0.2">
      <c r="A7682" s="146"/>
      <c r="D7682" s="496"/>
    </row>
    <row r="7683" spans="1:4" x14ac:dyDescent="0.2">
      <c r="A7683" s="146"/>
      <c r="D7683" s="496"/>
    </row>
    <row r="7684" spans="1:4" x14ac:dyDescent="0.2">
      <c r="A7684" s="146"/>
      <c r="D7684" s="496"/>
    </row>
    <row r="7685" spans="1:4" x14ac:dyDescent="0.2">
      <c r="A7685" s="146"/>
      <c r="D7685" s="496"/>
    </row>
    <row r="7686" spans="1:4" x14ac:dyDescent="0.2">
      <c r="A7686" s="146"/>
      <c r="D7686" s="496"/>
    </row>
    <row r="7687" spans="1:4" x14ac:dyDescent="0.2">
      <c r="A7687" s="146"/>
      <c r="D7687" s="496"/>
    </row>
    <row r="7688" spans="1:4" x14ac:dyDescent="0.2">
      <c r="A7688" s="146"/>
      <c r="D7688" s="496"/>
    </row>
    <row r="7689" spans="1:4" x14ac:dyDescent="0.2">
      <c r="A7689" s="146"/>
      <c r="D7689" s="496"/>
    </row>
    <row r="7690" spans="1:4" x14ac:dyDescent="0.2">
      <c r="A7690" s="146"/>
      <c r="D7690" s="496"/>
    </row>
    <row r="7691" spans="1:4" x14ac:dyDescent="0.2">
      <c r="A7691" s="146"/>
      <c r="D7691" s="496"/>
    </row>
    <row r="7692" spans="1:4" x14ac:dyDescent="0.2">
      <c r="A7692" s="146"/>
      <c r="D7692" s="496"/>
    </row>
    <row r="7693" spans="1:4" x14ac:dyDescent="0.2">
      <c r="A7693" s="146"/>
      <c r="D7693" s="496"/>
    </row>
    <row r="7694" spans="1:4" x14ac:dyDescent="0.2">
      <c r="A7694" s="146"/>
      <c r="D7694" s="496"/>
    </row>
    <row r="7695" spans="1:4" x14ac:dyDescent="0.2">
      <c r="A7695" s="146"/>
      <c r="D7695" s="496"/>
    </row>
    <row r="7696" spans="1:4" x14ac:dyDescent="0.2">
      <c r="A7696" s="146"/>
      <c r="D7696" s="496"/>
    </row>
    <row r="7697" spans="1:4" x14ac:dyDescent="0.2">
      <c r="A7697" s="146"/>
      <c r="D7697" s="496"/>
    </row>
    <row r="7698" spans="1:4" x14ac:dyDescent="0.2">
      <c r="A7698" s="146"/>
      <c r="D7698" s="496"/>
    </row>
    <row r="7699" spans="1:4" x14ac:dyDescent="0.2">
      <c r="A7699" s="146"/>
      <c r="D7699" s="496"/>
    </row>
    <row r="7700" spans="1:4" x14ac:dyDescent="0.2">
      <c r="A7700" s="146"/>
      <c r="D7700" s="496"/>
    </row>
    <row r="7701" spans="1:4" x14ac:dyDescent="0.2">
      <c r="A7701" s="146"/>
      <c r="D7701" s="496"/>
    </row>
    <row r="7702" spans="1:4" x14ac:dyDescent="0.2">
      <c r="A7702" s="146"/>
      <c r="D7702" s="496"/>
    </row>
    <row r="7703" spans="1:4" x14ac:dyDescent="0.2">
      <c r="A7703" s="146"/>
      <c r="D7703" s="496"/>
    </row>
    <row r="7704" spans="1:4" x14ac:dyDescent="0.2">
      <c r="A7704" s="146"/>
      <c r="D7704" s="496"/>
    </row>
    <row r="7705" spans="1:4" x14ac:dyDescent="0.2">
      <c r="A7705" s="146"/>
      <c r="D7705" s="496"/>
    </row>
    <row r="7706" spans="1:4" x14ac:dyDescent="0.2">
      <c r="A7706" s="146"/>
      <c r="D7706" s="496"/>
    </row>
    <row r="7707" spans="1:4" x14ac:dyDescent="0.2">
      <c r="A7707" s="146"/>
      <c r="D7707" s="496"/>
    </row>
    <row r="7708" spans="1:4" x14ac:dyDescent="0.2">
      <c r="A7708" s="146"/>
      <c r="D7708" s="496"/>
    </row>
    <row r="7709" spans="1:4" x14ac:dyDescent="0.2">
      <c r="A7709" s="146"/>
      <c r="D7709" s="496"/>
    </row>
    <row r="7710" spans="1:4" x14ac:dyDescent="0.2">
      <c r="A7710" s="146"/>
      <c r="D7710" s="496"/>
    </row>
    <row r="7711" spans="1:4" x14ac:dyDescent="0.2">
      <c r="A7711" s="146"/>
      <c r="D7711" s="496"/>
    </row>
    <row r="7712" spans="1:4" x14ac:dyDescent="0.2">
      <c r="A7712" s="146"/>
      <c r="D7712" s="496"/>
    </row>
    <row r="7713" spans="1:4" x14ac:dyDescent="0.2">
      <c r="A7713" s="146"/>
      <c r="D7713" s="496"/>
    </row>
    <row r="7714" spans="1:4" x14ac:dyDescent="0.2">
      <c r="A7714" s="146"/>
      <c r="D7714" s="496"/>
    </row>
    <row r="7715" spans="1:4" x14ac:dyDescent="0.2">
      <c r="A7715" s="146"/>
      <c r="D7715" s="496"/>
    </row>
    <row r="7716" spans="1:4" x14ac:dyDescent="0.2">
      <c r="A7716" s="146"/>
      <c r="D7716" s="496"/>
    </row>
    <row r="7717" spans="1:4" x14ac:dyDescent="0.2">
      <c r="A7717" s="146"/>
      <c r="D7717" s="496"/>
    </row>
    <row r="7718" spans="1:4" x14ac:dyDescent="0.2">
      <c r="A7718" s="146"/>
      <c r="D7718" s="496"/>
    </row>
    <row r="7719" spans="1:4" x14ac:dyDescent="0.2">
      <c r="A7719" s="146"/>
      <c r="D7719" s="496"/>
    </row>
    <row r="7720" spans="1:4" x14ac:dyDescent="0.2">
      <c r="A7720" s="146"/>
      <c r="D7720" s="496"/>
    </row>
    <row r="7721" spans="1:4" x14ac:dyDescent="0.2">
      <c r="A7721" s="146"/>
      <c r="D7721" s="496"/>
    </row>
    <row r="7722" spans="1:4" x14ac:dyDescent="0.2">
      <c r="A7722" s="146"/>
      <c r="D7722" s="496"/>
    </row>
    <row r="7723" spans="1:4" x14ac:dyDescent="0.2">
      <c r="A7723" s="146"/>
      <c r="D7723" s="496"/>
    </row>
    <row r="7724" spans="1:4" x14ac:dyDescent="0.2">
      <c r="A7724" s="146"/>
      <c r="D7724" s="496"/>
    </row>
    <row r="7725" spans="1:4" x14ac:dyDescent="0.2">
      <c r="A7725" s="146"/>
      <c r="D7725" s="496"/>
    </row>
    <row r="7726" spans="1:4" x14ac:dyDescent="0.2">
      <c r="A7726" s="146"/>
      <c r="D7726" s="496"/>
    </row>
    <row r="7727" spans="1:4" x14ac:dyDescent="0.2">
      <c r="A7727" s="146"/>
      <c r="D7727" s="496"/>
    </row>
    <row r="7728" spans="1:4" x14ac:dyDescent="0.2">
      <c r="A7728" s="146"/>
      <c r="D7728" s="496"/>
    </row>
    <row r="7729" spans="1:4" x14ac:dyDescent="0.2">
      <c r="A7729" s="146"/>
      <c r="D7729" s="496"/>
    </row>
    <row r="7730" spans="1:4" x14ac:dyDescent="0.2">
      <c r="A7730" s="146"/>
      <c r="D7730" s="496"/>
    </row>
    <row r="7731" spans="1:4" x14ac:dyDescent="0.2">
      <c r="A7731" s="146"/>
      <c r="D7731" s="496"/>
    </row>
    <row r="7732" spans="1:4" x14ac:dyDescent="0.2">
      <c r="A7732" s="146"/>
      <c r="D7732" s="496"/>
    </row>
    <row r="7733" spans="1:4" x14ac:dyDescent="0.2">
      <c r="A7733" s="146"/>
      <c r="D7733" s="496"/>
    </row>
    <row r="7734" spans="1:4" x14ac:dyDescent="0.2">
      <c r="A7734" s="146"/>
      <c r="D7734" s="496"/>
    </row>
    <row r="7735" spans="1:4" x14ac:dyDescent="0.2">
      <c r="A7735" s="146"/>
      <c r="D7735" s="496"/>
    </row>
    <row r="7736" spans="1:4" x14ac:dyDescent="0.2">
      <c r="A7736" s="146"/>
      <c r="D7736" s="496"/>
    </row>
    <row r="7737" spans="1:4" x14ac:dyDescent="0.2">
      <c r="A7737" s="146"/>
      <c r="D7737" s="496"/>
    </row>
    <row r="7738" spans="1:4" x14ac:dyDescent="0.2">
      <c r="A7738" s="146"/>
      <c r="D7738" s="496"/>
    </row>
    <row r="7739" spans="1:4" x14ac:dyDescent="0.2">
      <c r="A7739" s="146"/>
      <c r="D7739" s="496"/>
    </row>
    <row r="7740" spans="1:4" x14ac:dyDescent="0.2">
      <c r="A7740" s="146"/>
      <c r="D7740" s="496"/>
    </row>
    <row r="7741" spans="1:4" x14ac:dyDescent="0.2">
      <c r="A7741" s="146"/>
      <c r="D7741" s="496"/>
    </row>
    <row r="7742" spans="1:4" x14ac:dyDescent="0.2">
      <c r="A7742" s="146"/>
      <c r="D7742" s="496"/>
    </row>
    <row r="7743" spans="1:4" x14ac:dyDescent="0.2">
      <c r="A7743" s="146"/>
      <c r="D7743" s="496"/>
    </row>
    <row r="7744" spans="1:4" x14ac:dyDescent="0.2">
      <c r="A7744" s="146"/>
      <c r="D7744" s="496"/>
    </row>
    <row r="7745" spans="1:4" x14ac:dyDescent="0.2">
      <c r="A7745" s="146"/>
      <c r="D7745" s="496"/>
    </row>
    <row r="7746" spans="1:4" x14ac:dyDescent="0.2">
      <c r="A7746" s="146"/>
      <c r="D7746" s="496"/>
    </row>
    <row r="7747" spans="1:4" x14ac:dyDescent="0.2">
      <c r="A7747" s="146"/>
      <c r="D7747" s="496"/>
    </row>
    <row r="7748" spans="1:4" x14ac:dyDescent="0.2">
      <c r="A7748" s="146"/>
      <c r="D7748" s="496"/>
    </row>
    <row r="7749" spans="1:4" x14ac:dyDescent="0.2">
      <c r="A7749" s="146"/>
      <c r="D7749" s="496"/>
    </row>
    <row r="7750" spans="1:4" x14ac:dyDescent="0.2">
      <c r="A7750" s="146"/>
      <c r="D7750" s="496"/>
    </row>
    <row r="7751" spans="1:4" x14ac:dyDescent="0.2">
      <c r="A7751" s="146"/>
      <c r="D7751" s="496"/>
    </row>
    <row r="7752" spans="1:4" x14ac:dyDescent="0.2">
      <c r="A7752" s="146"/>
      <c r="D7752" s="496"/>
    </row>
    <row r="7753" spans="1:4" x14ac:dyDescent="0.2">
      <c r="A7753" s="146"/>
      <c r="D7753" s="496"/>
    </row>
    <row r="7754" spans="1:4" x14ac:dyDescent="0.2">
      <c r="A7754" s="146"/>
      <c r="D7754" s="496"/>
    </row>
    <row r="7755" spans="1:4" x14ac:dyDescent="0.2">
      <c r="A7755" s="146"/>
      <c r="D7755" s="496"/>
    </row>
    <row r="7756" spans="1:4" x14ac:dyDescent="0.2">
      <c r="A7756" s="146"/>
      <c r="D7756" s="496"/>
    </row>
    <row r="7757" spans="1:4" x14ac:dyDescent="0.2">
      <c r="A7757" s="146"/>
      <c r="D7757" s="496"/>
    </row>
    <row r="7758" spans="1:4" x14ac:dyDescent="0.2">
      <c r="A7758" s="146"/>
      <c r="D7758" s="496"/>
    </row>
    <row r="7759" spans="1:4" x14ac:dyDescent="0.2">
      <c r="A7759" s="146"/>
      <c r="D7759" s="496"/>
    </row>
    <row r="7760" spans="1:4" x14ac:dyDescent="0.2">
      <c r="A7760" s="146"/>
      <c r="D7760" s="496"/>
    </row>
    <row r="7761" spans="1:4" x14ac:dyDescent="0.2">
      <c r="A7761" s="146"/>
      <c r="D7761" s="496"/>
    </row>
    <row r="7762" spans="1:4" x14ac:dyDescent="0.2">
      <c r="A7762" s="146"/>
      <c r="D7762" s="496"/>
    </row>
    <row r="7763" spans="1:4" x14ac:dyDescent="0.2">
      <c r="A7763" s="146"/>
      <c r="D7763" s="496"/>
    </row>
    <row r="7764" spans="1:4" x14ac:dyDescent="0.2">
      <c r="A7764" s="146"/>
      <c r="D7764" s="496"/>
    </row>
    <row r="7765" spans="1:4" x14ac:dyDescent="0.2">
      <c r="A7765" s="146"/>
      <c r="D7765" s="496"/>
    </row>
    <row r="7766" spans="1:4" x14ac:dyDescent="0.2">
      <c r="A7766" s="146"/>
      <c r="D7766" s="496"/>
    </row>
    <row r="7767" spans="1:4" x14ac:dyDescent="0.2">
      <c r="A7767" s="146"/>
      <c r="D7767" s="496"/>
    </row>
    <row r="7768" spans="1:4" x14ac:dyDescent="0.2">
      <c r="A7768" s="146"/>
      <c r="D7768" s="496"/>
    </row>
    <row r="7769" spans="1:4" x14ac:dyDescent="0.2">
      <c r="A7769" s="146"/>
      <c r="D7769" s="496"/>
    </row>
    <row r="7770" spans="1:4" x14ac:dyDescent="0.2">
      <c r="A7770" s="146"/>
      <c r="D7770" s="496"/>
    </row>
    <row r="7771" spans="1:4" x14ac:dyDescent="0.2">
      <c r="A7771" s="146"/>
      <c r="D7771" s="496"/>
    </row>
    <row r="7772" spans="1:4" x14ac:dyDescent="0.2">
      <c r="A7772" s="146"/>
      <c r="D7772" s="496"/>
    </row>
    <row r="7773" spans="1:4" x14ac:dyDescent="0.2">
      <c r="A7773" s="146"/>
      <c r="D7773" s="496"/>
    </row>
    <row r="7774" spans="1:4" x14ac:dyDescent="0.2">
      <c r="A7774" s="146"/>
      <c r="D7774" s="496"/>
    </row>
    <row r="7775" spans="1:4" x14ac:dyDescent="0.2">
      <c r="A7775" s="146"/>
      <c r="D7775" s="496"/>
    </row>
    <row r="7776" spans="1:4" x14ac:dyDescent="0.2">
      <c r="A7776" s="146"/>
      <c r="D7776" s="496"/>
    </row>
    <row r="7777" spans="1:4" x14ac:dyDescent="0.2">
      <c r="A7777" s="146"/>
      <c r="D7777" s="496"/>
    </row>
    <row r="7778" spans="1:4" x14ac:dyDescent="0.2">
      <c r="A7778" s="146"/>
      <c r="D7778" s="496"/>
    </row>
    <row r="7779" spans="1:4" x14ac:dyDescent="0.2">
      <c r="A7779" s="146"/>
      <c r="D7779" s="496"/>
    </row>
    <row r="7780" spans="1:4" x14ac:dyDescent="0.2">
      <c r="A7780" s="146"/>
      <c r="D7780" s="496"/>
    </row>
    <row r="7781" spans="1:4" x14ac:dyDescent="0.2">
      <c r="A7781" s="146"/>
      <c r="D7781" s="496"/>
    </row>
    <row r="7782" spans="1:4" x14ac:dyDescent="0.2">
      <c r="A7782" s="146"/>
      <c r="D7782" s="496"/>
    </row>
    <row r="7783" spans="1:4" x14ac:dyDescent="0.2">
      <c r="A7783" s="146"/>
      <c r="D7783" s="496"/>
    </row>
    <row r="7784" spans="1:4" x14ac:dyDescent="0.2">
      <c r="A7784" s="146"/>
      <c r="D7784" s="496"/>
    </row>
    <row r="7785" spans="1:4" x14ac:dyDescent="0.2">
      <c r="A7785" s="146"/>
      <c r="D7785" s="496"/>
    </row>
    <row r="7786" spans="1:4" x14ac:dyDescent="0.2">
      <c r="A7786" s="146"/>
      <c r="D7786" s="496"/>
    </row>
    <row r="7787" spans="1:4" x14ac:dyDescent="0.2">
      <c r="A7787" s="146"/>
      <c r="D7787" s="496"/>
    </row>
    <row r="7788" spans="1:4" x14ac:dyDescent="0.2">
      <c r="A7788" s="146"/>
      <c r="D7788" s="496"/>
    </row>
    <row r="7789" spans="1:4" x14ac:dyDescent="0.2">
      <c r="A7789" s="146"/>
      <c r="D7789" s="496"/>
    </row>
    <row r="7790" spans="1:4" x14ac:dyDescent="0.2">
      <c r="A7790" s="146"/>
      <c r="D7790" s="496"/>
    </row>
    <row r="7791" spans="1:4" x14ac:dyDescent="0.2">
      <c r="A7791" s="146"/>
      <c r="D7791" s="496"/>
    </row>
    <row r="7792" spans="1:4" x14ac:dyDescent="0.2">
      <c r="A7792" s="146"/>
      <c r="D7792" s="496"/>
    </row>
    <row r="7793" spans="1:4" x14ac:dyDescent="0.2">
      <c r="A7793" s="146"/>
      <c r="D7793" s="496"/>
    </row>
    <row r="7794" spans="1:4" x14ac:dyDescent="0.2">
      <c r="A7794" s="146"/>
      <c r="D7794" s="496"/>
    </row>
    <row r="7795" spans="1:4" x14ac:dyDescent="0.2">
      <c r="A7795" s="146"/>
      <c r="D7795" s="496"/>
    </row>
    <row r="7796" spans="1:4" x14ac:dyDescent="0.2">
      <c r="A7796" s="146"/>
      <c r="D7796" s="496"/>
    </row>
    <row r="7797" spans="1:4" x14ac:dyDescent="0.2">
      <c r="A7797" s="146"/>
      <c r="D7797" s="496"/>
    </row>
    <row r="7798" spans="1:4" x14ac:dyDescent="0.2">
      <c r="A7798" s="146"/>
      <c r="D7798" s="496"/>
    </row>
    <row r="7799" spans="1:4" x14ac:dyDescent="0.2">
      <c r="A7799" s="146"/>
      <c r="D7799" s="496"/>
    </row>
    <row r="7800" spans="1:4" x14ac:dyDescent="0.2">
      <c r="A7800" s="146"/>
      <c r="D7800" s="496"/>
    </row>
    <row r="7801" spans="1:4" x14ac:dyDescent="0.2">
      <c r="A7801" s="146"/>
      <c r="D7801" s="496"/>
    </row>
    <row r="7802" spans="1:4" x14ac:dyDescent="0.2">
      <c r="A7802" s="146"/>
      <c r="D7802" s="496"/>
    </row>
    <row r="7803" spans="1:4" x14ac:dyDescent="0.2">
      <c r="A7803" s="146"/>
      <c r="D7803" s="496"/>
    </row>
    <row r="7804" spans="1:4" x14ac:dyDescent="0.2">
      <c r="A7804" s="146"/>
      <c r="D7804" s="496"/>
    </row>
    <row r="7805" spans="1:4" x14ac:dyDescent="0.2">
      <c r="A7805" s="146"/>
      <c r="D7805" s="496"/>
    </row>
    <row r="7806" spans="1:4" x14ac:dyDescent="0.2">
      <c r="A7806" s="146"/>
      <c r="D7806" s="496"/>
    </row>
    <row r="7807" spans="1:4" x14ac:dyDescent="0.2">
      <c r="A7807" s="146"/>
      <c r="D7807" s="496"/>
    </row>
    <row r="7808" spans="1:4" x14ac:dyDescent="0.2">
      <c r="A7808" s="146"/>
      <c r="D7808" s="496"/>
    </row>
    <row r="7809" spans="1:4" x14ac:dyDescent="0.2">
      <c r="A7809" s="146"/>
      <c r="D7809" s="496"/>
    </row>
    <row r="7810" spans="1:4" x14ac:dyDescent="0.2">
      <c r="A7810" s="146"/>
      <c r="D7810" s="496"/>
    </row>
    <row r="7811" spans="1:4" x14ac:dyDescent="0.2">
      <c r="A7811" s="146"/>
      <c r="D7811" s="496"/>
    </row>
    <row r="7812" spans="1:4" x14ac:dyDescent="0.2">
      <c r="A7812" s="146"/>
      <c r="D7812" s="496"/>
    </row>
    <row r="7813" spans="1:4" x14ac:dyDescent="0.2">
      <c r="A7813" s="146"/>
      <c r="D7813" s="496"/>
    </row>
    <row r="7814" spans="1:4" x14ac:dyDescent="0.2">
      <c r="A7814" s="146"/>
      <c r="D7814" s="496"/>
    </row>
    <row r="7815" spans="1:4" x14ac:dyDescent="0.2">
      <c r="A7815" s="146"/>
      <c r="D7815" s="496"/>
    </row>
    <row r="7816" spans="1:4" x14ac:dyDescent="0.2">
      <c r="A7816" s="146"/>
      <c r="D7816" s="496"/>
    </row>
    <row r="7817" spans="1:4" x14ac:dyDescent="0.2">
      <c r="A7817" s="146"/>
      <c r="D7817" s="496"/>
    </row>
    <row r="7818" spans="1:4" x14ac:dyDescent="0.2">
      <c r="A7818" s="146"/>
      <c r="D7818" s="496"/>
    </row>
    <row r="7819" spans="1:4" x14ac:dyDescent="0.2">
      <c r="A7819" s="146"/>
      <c r="D7819" s="496"/>
    </row>
    <row r="7820" spans="1:4" x14ac:dyDescent="0.2">
      <c r="A7820" s="146"/>
      <c r="D7820" s="496"/>
    </row>
    <row r="7821" spans="1:4" x14ac:dyDescent="0.2">
      <c r="A7821" s="146"/>
      <c r="D7821" s="496"/>
    </row>
    <row r="7822" spans="1:4" x14ac:dyDescent="0.2">
      <c r="A7822" s="146"/>
      <c r="D7822" s="496"/>
    </row>
    <row r="7823" spans="1:4" x14ac:dyDescent="0.2">
      <c r="A7823" s="146"/>
      <c r="D7823" s="496"/>
    </row>
    <row r="7824" spans="1:4" x14ac:dyDescent="0.2">
      <c r="A7824" s="146"/>
      <c r="D7824" s="496"/>
    </row>
    <row r="7825" spans="1:4" x14ac:dyDescent="0.2">
      <c r="A7825" s="146"/>
      <c r="D7825" s="496"/>
    </row>
    <row r="7826" spans="1:4" x14ac:dyDescent="0.2">
      <c r="A7826" s="146"/>
      <c r="D7826" s="496"/>
    </row>
    <row r="7827" spans="1:4" x14ac:dyDescent="0.2">
      <c r="A7827" s="146"/>
      <c r="D7827" s="496"/>
    </row>
    <row r="7828" spans="1:4" x14ac:dyDescent="0.2">
      <c r="A7828" s="146"/>
      <c r="D7828" s="496"/>
    </row>
    <row r="7829" spans="1:4" x14ac:dyDescent="0.2">
      <c r="A7829" s="146"/>
      <c r="D7829" s="496"/>
    </row>
    <row r="7830" spans="1:4" x14ac:dyDescent="0.2">
      <c r="A7830" s="146"/>
      <c r="D7830" s="496"/>
    </row>
    <row r="7831" spans="1:4" x14ac:dyDescent="0.2">
      <c r="A7831" s="146"/>
      <c r="D7831" s="496"/>
    </row>
    <row r="7832" spans="1:4" x14ac:dyDescent="0.2">
      <c r="A7832" s="146"/>
      <c r="D7832" s="496"/>
    </row>
    <row r="7833" spans="1:4" x14ac:dyDescent="0.2">
      <c r="A7833" s="146"/>
      <c r="D7833" s="496"/>
    </row>
    <row r="7834" spans="1:4" x14ac:dyDescent="0.2">
      <c r="A7834" s="146"/>
      <c r="D7834" s="496"/>
    </row>
    <row r="7835" spans="1:4" x14ac:dyDescent="0.2">
      <c r="A7835" s="146"/>
      <c r="D7835" s="496"/>
    </row>
    <row r="7836" spans="1:4" x14ac:dyDescent="0.2">
      <c r="A7836" s="146"/>
      <c r="D7836" s="496"/>
    </row>
    <row r="7837" spans="1:4" x14ac:dyDescent="0.2">
      <c r="A7837" s="146"/>
      <c r="D7837" s="496"/>
    </row>
    <row r="7838" spans="1:4" x14ac:dyDescent="0.2">
      <c r="A7838" s="146"/>
      <c r="D7838" s="496"/>
    </row>
    <row r="7839" spans="1:4" x14ac:dyDescent="0.2">
      <c r="A7839" s="146"/>
      <c r="D7839" s="496"/>
    </row>
    <row r="7840" spans="1:4" x14ac:dyDescent="0.2">
      <c r="A7840" s="146"/>
      <c r="D7840" s="496"/>
    </row>
    <row r="7841" spans="1:4" x14ac:dyDescent="0.2">
      <c r="A7841" s="146"/>
      <c r="D7841" s="496"/>
    </row>
    <row r="7842" spans="1:4" x14ac:dyDescent="0.2">
      <c r="A7842" s="146"/>
      <c r="D7842" s="496"/>
    </row>
    <row r="7843" spans="1:4" x14ac:dyDescent="0.2">
      <c r="A7843" s="146"/>
      <c r="D7843" s="496"/>
    </row>
    <row r="7844" spans="1:4" x14ac:dyDescent="0.2">
      <c r="A7844" s="146"/>
      <c r="D7844" s="496"/>
    </row>
    <row r="7845" spans="1:4" x14ac:dyDescent="0.2">
      <c r="A7845" s="146"/>
      <c r="D7845" s="496"/>
    </row>
    <row r="7846" spans="1:4" x14ac:dyDescent="0.2">
      <c r="A7846" s="146"/>
      <c r="D7846" s="496"/>
    </row>
    <row r="7847" spans="1:4" x14ac:dyDescent="0.2">
      <c r="A7847" s="146"/>
      <c r="D7847" s="496"/>
    </row>
    <row r="7848" spans="1:4" x14ac:dyDescent="0.2">
      <c r="A7848" s="146"/>
      <c r="D7848" s="496"/>
    </row>
    <row r="7849" spans="1:4" x14ac:dyDescent="0.2">
      <c r="A7849" s="146"/>
      <c r="D7849" s="496"/>
    </row>
    <row r="7850" spans="1:4" x14ac:dyDescent="0.2">
      <c r="A7850" s="146"/>
      <c r="D7850" s="496"/>
    </row>
    <row r="7851" spans="1:4" x14ac:dyDescent="0.2">
      <c r="A7851" s="146"/>
      <c r="D7851" s="496"/>
    </row>
    <row r="7852" spans="1:4" x14ac:dyDescent="0.2">
      <c r="A7852" s="146"/>
      <c r="D7852" s="496"/>
    </row>
    <row r="7853" spans="1:4" x14ac:dyDescent="0.2">
      <c r="A7853" s="146"/>
      <c r="D7853" s="496"/>
    </row>
    <row r="7854" spans="1:4" x14ac:dyDescent="0.2">
      <c r="A7854" s="146"/>
      <c r="D7854" s="496"/>
    </row>
    <row r="7855" spans="1:4" x14ac:dyDescent="0.2">
      <c r="A7855" s="146"/>
      <c r="D7855" s="496"/>
    </row>
    <row r="7856" spans="1:4" x14ac:dyDescent="0.2">
      <c r="A7856" s="146"/>
      <c r="D7856" s="496"/>
    </row>
    <row r="7857" spans="1:4" x14ac:dyDescent="0.2">
      <c r="A7857" s="146"/>
      <c r="D7857" s="496"/>
    </row>
    <row r="7858" spans="1:4" x14ac:dyDescent="0.2">
      <c r="A7858" s="146"/>
      <c r="D7858" s="496"/>
    </row>
    <row r="7859" spans="1:4" x14ac:dyDescent="0.2">
      <c r="A7859" s="146"/>
      <c r="D7859" s="496"/>
    </row>
    <row r="7860" spans="1:4" x14ac:dyDescent="0.2">
      <c r="A7860" s="146"/>
      <c r="D7860" s="496"/>
    </row>
    <row r="7861" spans="1:4" x14ac:dyDescent="0.2">
      <c r="A7861" s="146"/>
      <c r="D7861" s="496"/>
    </row>
    <row r="7862" spans="1:4" x14ac:dyDescent="0.2">
      <c r="A7862" s="146"/>
      <c r="D7862" s="496"/>
    </row>
    <row r="7863" spans="1:4" x14ac:dyDescent="0.2">
      <c r="A7863" s="146"/>
      <c r="D7863" s="496"/>
    </row>
    <row r="7864" spans="1:4" x14ac:dyDescent="0.2">
      <c r="A7864" s="146"/>
      <c r="D7864" s="496"/>
    </row>
    <row r="7865" spans="1:4" x14ac:dyDescent="0.2">
      <c r="A7865" s="146"/>
      <c r="D7865" s="496"/>
    </row>
    <row r="7866" spans="1:4" x14ac:dyDescent="0.2">
      <c r="A7866" s="146"/>
      <c r="D7866" s="496"/>
    </row>
    <row r="7867" spans="1:4" x14ac:dyDescent="0.2">
      <c r="A7867" s="146"/>
      <c r="D7867" s="496"/>
    </row>
    <row r="7868" spans="1:4" x14ac:dyDescent="0.2">
      <c r="A7868" s="146"/>
      <c r="D7868" s="496"/>
    </row>
    <row r="7869" spans="1:4" x14ac:dyDescent="0.2">
      <c r="A7869" s="146"/>
      <c r="D7869" s="496"/>
    </row>
    <row r="7870" spans="1:4" x14ac:dyDescent="0.2">
      <c r="A7870" s="146"/>
      <c r="D7870" s="496"/>
    </row>
    <row r="7871" spans="1:4" x14ac:dyDescent="0.2">
      <c r="A7871" s="146"/>
      <c r="D7871" s="496"/>
    </row>
    <row r="7872" spans="1:4" x14ac:dyDescent="0.2">
      <c r="A7872" s="146"/>
      <c r="D7872" s="496"/>
    </row>
    <row r="7873" spans="1:4" x14ac:dyDescent="0.2">
      <c r="A7873" s="146"/>
      <c r="D7873" s="496"/>
    </row>
    <row r="7874" spans="1:4" x14ac:dyDescent="0.2">
      <c r="A7874" s="146"/>
      <c r="D7874" s="496"/>
    </row>
    <row r="7875" spans="1:4" x14ac:dyDescent="0.2">
      <c r="A7875" s="146"/>
      <c r="D7875" s="496"/>
    </row>
    <row r="7876" spans="1:4" x14ac:dyDescent="0.2">
      <c r="A7876" s="146"/>
      <c r="D7876" s="496"/>
    </row>
    <row r="7877" spans="1:4" x14ac:dyDescent="0.2">
      <c r="A7877" s="146"/>
      <c r="D7877" s="496"/>
    </row>
    <row r="7878" spans="1:4" x14ac:dyDescent="0.2">
      <c r="A7878" s="146"/>
      <c r="D7878" s="496"/>
    </row>
    <row r="7879" spans="1:4" x14ac:dyDescent="0.2">
      <c r="A7879" s="146"/>
      <c r="D7879" s="496"/>
    </row>
    <row r="7880" spans="1:4" x14ac:dyDescent="0.2">
      <c r="A7880" s="146"/>
      <c r="D7880" s="496"/>
    </row>
    <row r="7881" spans="1:4" x14ac:dyDescent="0.2">
      <c r="A7881" s="146"/>
      <c r="D7881" s="496"/>
    </row>
    <row r="7882" spans="1:4" x14ac:dyDescent="0.2">
      <c r="A7882" s="146"/>
      <c r="D7882" s="496"/>
    </row>
    <row r="7883" spans="1:4" x14ac:dyDescent="0.2">
      <c r="A7883" s="146"/>
      <c r="D7883" s="496"/>
    </row>
    <row r="7884" spans="1:4" x14ac:dyDescent="0.2">
      <c r="A7884" s="146"/>
      <c r="D7884" s="496"/>
    </row>
    <row r="7885" spans="1:4" x14ac:dyDescent="0.2">
      <c r="A7885" s="146"/>
      <c r="D7885" s="496"/>
    </row>
    <row r="7886" spans="1:4" x14ac:dyDescent="0.2">
      <c r="A7886" s="146"/>
      <c r="D7886" s="496"/>
    </row>
    <row r="7887" spans="1:4" x14ac:dyDescent="0.2">
      <c r="A7887" s="146"/>
      <c r="D7887" s="496"/>
    </row>
    <row r="7888" spans="1:4" x14ac:dyDescent="0.2">
      <c r="A7888" s="146"/>
      <c r="D7888" s="496"/>
    </row>
    <row r="7889" spans="1:4" x14ac:dyDescent="0.2">
      <c r="A7889" s="146"/>
      <c r="D7889" s="496"/>
    </row>
    <row r="7890" spans="1:4" x14ac:dyDescent="0.2">
      <c r="A7890" s="146"/>
      <c r="D7890" s="496"/>
    </row>
    <row r="7891" spans="1:4" x14ac:dyDescent="0.2">
      <c r="A7891" s="146"/>
      <c r="D7891" s="496"/>
    </row>
    <row r="7892" spans="1:4" x14ac:dyDescent="0.2">
      <c r="A7892" s="146"/>
      <c r="D7892" s="496"/>
    </row>
    <row r="7893" spans="1:4" x14ac:dyDescent="0.2">
      <c r="A7893" s="146"/>
      <c r="D7893" s="496"/>
    </row>
    <row r="7894" spans="1:4" x14ac:dyDescent="0.2">
      <c r="A7894" s="146"/>
      <c r="D7894" s="496"/>
    </row>
    <row r="7895" spans="1:4" x14ac:dyDescent="0.2">
      <c r="A7895" s="146"/>
      <c r="D7895" s="496"/>
    </row>
    <row r="7896" spans="1:4" x14ac:dyDescent="0.2">
      <c r="A7896" s="146"/>
      <c r="D7896" s="496"/>
    </row>
    <row r="7897" spans="1:4" x14ac:dyDescent="0.2">
      <c r="A7897" s="146"/>
      <c r="D7897" s="496"/>
    </row>
    <row r="7898" spans="1:4" x14ac:dyDescent="0.2">
      <c r="A7898" s="146"/>
      <c r="D7898" s="496"/>
    </row>
    <row r="7899" spans="1:4" x14ac:dyDescent="0.2">
      <c r="A7899" s="146"/>
      <c r="D7899" s="496"/>
    </row>
    <row r="7900" spans="1:4" x14ac:dyDescent="0.2">
      <c r="A7900" s="146"/>
      <c r="D7900" s="496"/>
    </row>
    <row r="7901" spans="1:4" x14ac:dyDescent="0.2">
      <c r="A7901" s="146"/>
      <c r="D7901" s="496"/>
    </row>
    <row r="7902" spans="1:4" x14ac:dyDescent="0.2">
      <c r="A7902" s="146"/>
      <c r="D7902" s="496"/>
    </row>
    <row r="7903" spans="1:4" x14ac:dyDescent="0.2">
      <c r="A7903" s="146"/>
      <c r="D7903" s="496"/>
    </row>
    <row r="7904" spans="1:4" x14ac:dyDescent="0.2">
      <c r="A7904" s="146"/>
      <c r="D7904" s="496"/>
    </row>
    <row r="7905" spans="1:4" x14ac:dyDescent="0.2">
      <c r="A7905" s="146"/>
      <c r="D7905" s="496"/>
    </row>
    <row r="7906" spans="1:4" x14ac:dyDescent="0.2">
      <c r="A7906" s="146"/>
      <c r="D7906" s="496"/>
    </row>
    <row r="7907" spans="1:4" x14ac:dyDescent="0.2">
      <c r="A7907" s="146"/>
      <c r="D7907" s="496"/>
    </row>
    <row r="7908" spans="1:4" x14ac:dyDescent="0.2">
      <c r="A7908" s="146"/>
      <c r="D7908" s="496"/>
    </row>
    <row r="7909" spans="1:4" x14ac:dyDescent="0.2">
      <c r="A7909" s="146"/>
      <c r="D7909" s="496"/>
    </row>
    <row r="7910" spans="1:4" x14ac:dyDescent="0.2">
      <c r="A7910" s="146"/>
      <c r="D7910" s="496"/>
    </row>
    <row r="7911" spans="1:4" x14ac:dyDescent="0.2">
      <c r="A7911" s="146"/>
      <c r="D7911" s="496"/>
    </row>
    <row r="7912" spans="1:4" x14ac:dyDescent="0.2">
      <c r="A7912" s="146"/>
      <c r="D7912" s="496"/>
    </row>
    <row r="7913" spans="1:4" x14ac:dyDescent="0.2">
      <c r="A7913" s="146"/>
      <c r="D7913" s="496"/>
    </row>
    <row r="7914" spans="1:4" x14ac:dyDescent="0.2">
      <c r="A7914" s="146"/>
      <c r="D7914" s="496"/>
    </row>
    <row r="7915" spans="1:4" x14ac:dyDescent="0.2">
      <c r="A7915" s="146"/>
      <c r="D7915" s="496"/>
    </row>
    <row r="7916" spans="1:4" x14ac:dyDescent="0.2">
      <c r="A7916" s="146"/>
      <c r="D7916" s="496"/>
    </row>
    <row r="7917" spans="1:4" x14ac:dyDescent="0.2">
      <c r="A7917" s="146"/>
      <c r="D7917" s="496"/>
    </row>
    <row r="7918" spans="1:4" x14ac:dyDescent="0.2">
      <c r="A7918" s="146"/>
      <c r="D7918" s="496"/>
    </row>
    <row r="7919" spans="1:4" x14ac:dyDescent="0.2">
      <c r="A7919" s="146"/>
      <c r="D7919" s="496"/>
    </row>
    <row r="7920" spans="1:4" x14ac:dyDescent="0.2">
      <c r="A7920" s="146"/>
      <c r="D7920" s="496"/>
    </row>
    <row r="7921" spans="1:4" x14ac:dyDescent="0.2">
      <c r="A7921" s="146"/>
      <c r="D7921" s="496"/>
    </row>
    <row r="7922" spans="1:4" x14ac:dyDescent="0.2">
      <c r="A7922" s="146"/>
      <c r="D7922" s="496"/>
    </row>
    <row r="7923" spans="1:4" x14ac:dyDescent="0.2">
      <c r="A7923" s="146"/>
      <c r="D7923" s="496"/>
    </row>
    <row r="7924" spans="1:4" x14ac:dyDescent="0.2">
      <c r="A7924" s="146"/>
      <c r="D7924" s="496"/>
    </row>
    <row r="7925" spans="1:4" x14ac:dyDescent="0.2">
      <c r="A7925" s="146"/>
      <c r="D7925" s="496"/>
    </row>
    <row r="7926" spans="1:4" x14ac:dyDescent="0.2">
      <c r="A7926" s="146"/>
      <c r="D7926" s="496"/>
    </row>
    <row r="7927" spans="1:4" x14ac:dyDescent="0.2">
      <c r="A7927" s="146"/>
      <c r="D7927" s="496"/>
    </row>
    <row r="7928" spans="1:4" x14ac:dyDescent="0.2">
      <c r="A7928" s="146"/>
      <c r="D7928" s="496"/>
    </row>
    <row r="7929" spans="1:4" x14ac:dyDescent="0.2">
      <c r="A7929" s="146"/>
      <c r="D7929" s="496"/>
    </row>
    <row r="7930" spans="1:4" x14ac:dyDescent="0.2">
      <c r="A7930" s="146"/>
      <c r="D7930" s="496"/>
    </row>
    <row r="7931" spans="1:4" x14ac:dyDescent="0.2">
      <c r="A7931" s="146"/>
      <c r="D7931" s="496"/>
    </row>
    <row r="7932" spans="1:4" x14ac:dyDescent="0.2">
      <c r="A7932" s="146"/>
      <c r="D7932" s="496"/>
    </row>
    <row r="7933" spans="1:4" x14ac:dyDescent="0.2">
      <c r="A7933" s="146"/>
      <c r="D7933" s="496"/>
    </row>
    <row r="7934" spans="1:4" x14ac:dyDescent="0.2">
      <c r="A7934" s="146"/>
      <c r="D7934" s="496"/>
    </row>
    <row r="7935" spans="1:4" x14ac:dyDescent="0.2">
      <c r="A7935" s="146"/>
      <c r="D7935" s="496"/>
    </row>
    <row r="7936" spans="1:4" x14ac:dyDescent="0.2">
      <c r="A7936" s="146"/>
      <c r="D7936" s="496"/>
    </row>
    <row r="7937" spans="1:4" x14ac:dyDescent="0.2">
      <c r="A7937" s="146"/>
      <c r="D7937" s="496"/>
    </row>
    <row r="7938" spans="1:4" x14ac:dyDescent="0.2">
      <c r="A7938" s="146"/>
      <c r="D7938" s="496"/>
    </row>
    <row r="7939" spans="1:4" x14ac:dyDescent="0.2">
      <c r="A7939" s="146"/>
      <c r="D7939" s="496"/>
    </row>
    <row r="7940" spans="1:4" x14ac:dyDescent="0.2">
      <c r="A7940" s="146"/>
      <c r="D7940" s="496"/>
    </row>
    <row r="7941" spans="1:4" x14ac:dyDescent="0.2">
      <c r="A7941" s="146"/>
      <c r="D7941" s="496"/>
    </row>
    <row r="7942" spans="1:4" x14ac:dyDescent="0.2">
      <c r="A7942" s="146"/>
      <c r="D7942" s="496"/>
    </row>
    <row r="7943" spans="1:4" x14ac:dyDescent="0.2">
      <c r="A7943" s="146"/>
      <c r="D7943" s="496"/>
    </row>
    <row r="7944" spans="1:4" x14ac:dyDescent="0.2">
      <c r="A7944" s="146"/>
      <c r="D7944" s="496"/>
    </row>
    <row r="7945" spans="1:4" x14ac:dyDescent="0.2">
      <c r="A7945" s="146"/>
      <c r="D7945" s="496"/>
    </row>
    <row r="7946" spans="1:4" x14ac:dyDescent="0.2">
      <c r="A7946" s="146"/>
      <c r="D7946" s="496"/>
    </row>
    <row r="7947" spans="1:4" x14ac:dyDescent="0.2">
      <c r="A7947" s="146"/>
      <c r="D7947" s="496"/>
    </row>
    <row r="7948" spans="1:4" x14ac:dyDescent="0.2">
      <c r="A7948" s="146"/>
      <c r="D7948" s="496"/>
    </row>
    <row r="7949" spans="1:4" x14ac:dyDescent="0.2">
      <c r="A7949" s="146"/>
      <c r="D7949" s="496"/>
    </row>
    <row r="7950" spans="1:4" x14ac:dyDescent="0.2">
      <c r="A7950" s="146"/>
      <c r="D7950" s="496"/>
    </row>
    <row r="7951" spans="1:4" x14ac:dyDescent="0.2">
      <c r="A7951" s="146"/>
      <c r="D7951" s="496"/>
    </row>
    <row r="7952" spans="1:4" x14ac:dyDescent="0.2">
      <c r="A7952" s="146"/>
      <c r="D7952" s="496"/>
    </row>
    <row r="7953" spans="1:4" x14ac:dyDescent="0.2">
      <c r="A7953" s="146"/>
      <c r="D7953" s="496"/>
    </row>
    <row r="7954" spans="1:4" x14ac:dyDescent="0.2">
      <c r="A7954" s="146"/>
      <c r="D7954" s="496"/>
    </row>
    <row r="7955" spans="1:4" x14ac:dyDescent="0.2">
      <c r="A7955" s="146"/>
      <c r="D7955" s="496"/>
    </row>
    <row r="7956" spans="1:4" x14ac:dyDescent="0.2">
      <c r="A7956" s="146"/>
      <c r="D7956" s="496"/>
    </row>
    <row r="7957" spans="1:4" x14ac:dyDescent="0.2">
      <c r="A7957" s="146"/>
      <c r="D7957" s="496"/>
    </row>
    <row r="7958" spans="1:4" x14ac:dyDescent="0.2">
      <c r="A7958" s="146"/>
      <c r="D7958" s="496"/>
    </row>
    <row r="7959" spans="1:4" x14ac:dyDescent="0.2">
      <c r="A7959" s="146"/>
      <c r="D7959" s="496"/>
    </row>
    <row r="7960" spans="1:4" x14ac:dyDescent="0.2">
      <c r="A7960" s="146"/>
      <c r="D7960" s="496"/>
    </row>
    <row r="7961" spans="1:4" x14ac:dyDescent="0.2">
      <c r="A7961" s="146"/>
      <c r="D7961" s="496"/>
    </row>
    <row r="7962" spans="1:4" x14ac:dyDescent="0.2">
      <c r="A7962" s="146"/>
      <c r="D7962" s="496"/>
    </row>
    <row r="7963" spans="1:4" x14ac:dyDescent="0.2">
      <c r="A7963" s="146"/>
      <c r="D7963" s="496"/>
    </row>
    <row r="7964" spans="1:4" x14ac:dyDescent="0.2">
      <c r="A7964" s="146"/>
      <c r="D7964" s="496"/>
    </row>
    <row r="7965" spans="1:4" x14ac:dyDescent="0.2">
      <c r="A7965" s="146"/>
      <c r="D7965" s="496"/>
    </row>
    <row r="7966" spans="1:4" x14ac:dyDescent="0.2">
      <c r="A7966" s="146"/>
      <c r="D7966" s="496"/>
    </row>
    <row r="7967" spans="1:4" x14ac:dyDescent="0.2">
      <c r="A7967" s="146"/>
      <c r="D7967" s="496"/>
    </row>
    <row r="7968" spans="1:4" x14ac:dyDescent="0.2">
      <c r="A7968" s="146"/>
      <c r="D7968" s="496"/>
    </row>
    <row r="7969" spans="1:4" x14ac:dyDescent="0.2">
      <c r="A7969" s="146"/>
      <c r="D7969" s="496"/>
    </row>
    <row r="7970" spans="1:4" x14ac:dyDescent="0.2">
      <c r="A7970" s="146"/>
      <c r="D7970" s="496"/>
    </row>
    <row r="7971" spans="1:4" x14ac:dyDescent="0.2">
      <c r="A7971" s="146"/>
      <c r="D7971" s="496"/>
    </row>
    <row r="7972" spans="1:4" x14ac:dyDescent="0.2">
      <c r="A7972" s="146"/>
      <c r="D7972" s="496"/>
    </row>
    <row r="7973" spans="1:4" x14ac:dyDescent="0.2">
      <c r="A7973" s="146"/>
      <c r="D7973" s="496"/>
    </row>
    <row r="7974" spans="1:4" x14ac:dyDescent="0.2">
      <c r="A7974" s="146"/>
      <c r="D7974" s="496"/>
    </row>
    <row r="7975" spans="1:4" x14ac:dyDescent="0.2">
      <c r="A7975" s="146"/>
      <c r="D7975" s="496"/>
    </row>
    <row r="7976" spans="1:4" x14ac:dyDescent="0.2">
      <c r="A7976" s="146"/>
      <c r="D7976" s="496"/>
    </row>
    <row r="7977" spans="1:4" x14ac:dyDescent="0.2">
      <c r="A7977" s="146"/>
      <c r="D7977" s="496"/>
    </row>
    <row r="7978" spans="1:4" x14ac:dyDescent="0.2">
      <c r="A7978" s="146"/>
      <c r="D7978" s="496"/>
    </row>
    <row r="7979" spans="1:4" x14ac:dyDescent="0.2">
      <c r="A7979" s="146"/>
      <c r="D7979" s="496"/>
    </row>
    <row r="7980" spans="1:4" x14ac:dyDescent="0.2">
      <c r="A7980" s="146"/>
      <c r="D7980" s="496"/>
    </row>
    <row r="7981" spans="1:4" x14ac:dyDescent="0.2">
      <c r="A7981" s="146"/>
      <c r="D7981" s="496"/>
    </row>
    <row r="7982" spans="1:4" x14ac:dyDescent="0.2">
      <c r="A7982" s="146"/>
      <c r="D7982" s="496"/>
    </row>
    <row r="7983" spans="1:4" x14ac:dyDescent="0.2">
      <c r="A7983" s="146"/>
      <c r="D7983" s="496"/>
    </row>
    <row r="7984" spans="1:4" x14ac:dyDescent="0.2">
      <c r="A7984" s="146"/>
      <c r="D7984" s="496"/>
    </row>
    <row r="7985" spans="1:4" x14ac:dyDescent="0.2">
      <c r="A7985" s="146"/>
      <c r="D7985" s="496"/>
    </row>
    <row r="7986" spans="1:4" x14ac:dyDescent="0.2">
      <c r="A7986" s="146"/>
      <c r="D7986" s="496"/>
    </row>
    <row r="7987" spans="1:4" x14ac:dyDescent="0.2">
      <c r="A7987" s="146"/>
      <c r="D7987" s="496"/>
    </row>
    <row r="7988" spans="1:4" x14ac:dyDescent="0.2">
      <c r="A7988" s="146"/>
      <c r="D7988" s="496"/>
    </row>
    <row r="7989" spans="1:4" x14ac:dyDescent="0.2">
      <c r="A7989" s="146"/>
      <c r="D7989" s="496"/>
    </row>
    <row r="7990" spans="1:4" x14ac:dyDescent="0.2">
      <c r="A7990" s="146"/>
      <c r="D7990" s="496"/>
    </row>
    <row r="7991" spans="1:4" x14ac:dyDescent="0.2">
      <c r="A7991" s="146"/>
      <c r="D7991" s="496"/>
    </row>
    <row r="7992" spans="1:4" x14ac:dyDescent="0.2">
      <c r="A7992" s="146"/>
      <c r="D7992" s="496"/>
    </row>
    <row r="7993" spans="1:4" x14ac:dyDescent="0.2">
      <c r="A7993" s="146"/>
      <c r="D7993" s="496"/>
    </row>
    <row r="7994" spans="1:4" x14ac:dyDescent="0.2">
      <c r="A7994" s="146"/>
      <c r="D7994" s="496"/>
    </row>
    <row r="7995" spans="1:4" x14ac:dyDescent="0.2">
      <c r="A7995" s="146"/>
      <c r="D7995" s="496"/>
    </row>
    <row r="7996" spans="1:4" x14ac:dyDescent="0.2">
      <c r="A7996" s="146"/>
      <c r="D7996" s="496"/>
    </row>
    <row r="7997" spans="1:4" x14ac:dyDescent="0.2">
      <c r="A7997" s="146"/>
      <c r="D7997" s="496"/>
    </row>
    <row r="7998" spans="1:4" x14ac:dyDescent="0.2">
      <c r="A7998" s="146"/>
      <c r="D7998" s="496"/>
    </row>
    <row r="7999" spans="1:4" x14ac:dyDescent="0.2">
      <c r="A7999" s="146"/>
      <c r="D7999" s="496"/>
    </row>
    <row r="8000" spans="1:4" x14ac:dyDescent="0.2">
      <c r="A8000" s="146"/>
      <c r="D8000" s="496"/>
    </row>
    <row r="8001" spans="1:4" x14ac:dyDescent="0.2">
      <c r="A8001" s="146"/>
      <c r="D8001" s="496"/>
    </row>
    <row r="8002" spans="1:4" x14ac:dyDescent="0.2">
      <c r="A8002" s="146"/>
      <c r="D8002" s="496"/>
    </row>
    <row r="8003" spans="1:4" x14ac:dyDescent="0.2">
      <c r="A8003" s="146"/>
      <c r="D8003" s="496"/>
    </row>
    <row r="8004" spans="1:4" x14ac:dyDescent="0.2">
      <c r="A8004" s="146"/>
      <c r="D8004" s="496"/>
    </row>
    <row r="8005" spans="1:4" x14ac:dyDescent="0.2">
      <c r="A8005" s="146"/>
      <c r="D8005" s="496"/>
    </row>
    <row r="8006" spans="1:4" x14ac:dyDescent="0.2">
      <c r="A8006" s="146"/>
      <c r="D8006" s="496"/>
    </row>
    <row r="8007" spans="1:4" x14ac:dyDescent="0.2">
      <c r="A8007" s="146"/>
      <c r="D8007" s="496"/>
    </row>
    <row r="8008" spans="1:4" x14ac:dyDescent="0.2">
      <c r="A8008" s="146"/>
      <c r="D8008" s="496"/>
    </row>
    <row r="8009" spans="1:4" x14ac:dyDescent="0.2">
      <c r="A8009" s="146"/>
      <c r="D8009" s="496"/>
    </row>
    <row r="8010" spans="1:4" x14ac:dyDescent="0.2">
      <c r="A8010" s="146"/>
      <c r="D8010" s="496"/>
    </row>
    <row r="8011" spans="1:4" x14ac:dyDescent="0.2">
      <c r="A8011" s="146"/>
      <c r="D8011" s="496"/>
    </row>
    <row r="8012" spans="1:4" x14ac:dyDescent="0.2">
      <c r="A8012" s="146"/>
      <c r="D8012" s="496"/>
    </row>
    <row r="8013" spans="1:4" x14ac:dyDescent="0.2">
      <c r="A8013" s="146"/>
      <c r="D8013" s="496"/>
    </row>
    <row r="8014" spans="1:4" x14ac:dyDescent="0.2">
      <c r="A8014" s="146"/>
      <c r="D8014" s="496"/>
    </row>
    <row r="8015" spans="1:4" x14ac:dyDescent="0.2">
      <c r="A8015" s="146"/>
      <c r="D8015" s="496"/>
    </row>
    <row r="8016" spans="1:4" x14ac:dyDescent="0.2">
      <c r="A8016" s="146"/>
      <c r="D8016" s="496"/>
    </row>
    <row r="8017" spans="1:4" x14ac:dyDescent="0.2">
      <c r="A8017" s="146"/>
      <c r="D8017" s="496"/>
    </row>
    <row r="8018" spans="1:4" x14ac:dyDescent="0.2">
      <c r="A8018" s="146"/>
      <c r="D8018" s="496"/>
    </row>
    <row r="8019" spans="1:4" x14ac:dyDescent="0.2">
      <c r="A8019" s="146"/>
      <c r="D8019" s="496"/>
    </row>
    <row r="8020" spans="1:4" x14ac:dyDescent="0.2">
      <c r="A8020" s="146"/>
      <c r="D8020" s="496"/>
    </row>
    <row r="8021" spans="1:4" x14ac:dyDescent="0.2">
      <c r="A8021" s="146"/>
      <c r="D8021" s="496"/>
    </row>
    <row r="8022" spans="1:4" x14ac:dyDescent="0.2">
      <c r="A8022" s="146"/>
      <c r="D8022" s="496"/>
    </row>
    <row r="8023" spans="1:4" x14ac:dyDescent="0.2">
      <c r="A8023" s="146"/>
      <c r="D8023" s="496"/>
    </row>
    <row r="8024" spans="1:4" x14ac:dyDescent="0.2">
      <c r="A8024" s="146"/>
      <c r="D8024" s="496"/>
    </row>
    <row r="8025" spans="1:4" x14ac:dyDescent="0.2">
      <c r="A8025" s="146"/>
      <c r="D8025" s="496"/>
    </row>
    <row r="8026" spans="1:4" x14ac:dyDescent="0.2">
      <c r="A8026" s="146"/>
      <c r="D8026" s="496"/>
    </row>
    <row r="8027" spans="1:4" x14ac:dyDescent="0.2">
      <c r="A8027" s="146"/>
      <c r="D8027" s="496"/>
    </row>
    <row r="8028" spans="1:4" x14ac:dyDescent="0.2">
      <c r="A8028" s="146"/>
      <c r="D8028" s="496"/>
    </row>
    <row r="8029" spans="1:4" x14ac:dyDescent="0.2">
      <c r="A8029" s="146"/>
      <c r="D8029" s="496"/>
    </row>
    <row r="8030" spans="1:4" x14ac:dyDescent="0.2">
      <c r="A8030" s="146"/>
      <c r="D8030" s="496"/>
    </row>
    <row r="8031" spans="1:4" x14ac:dyDescent="0.2">
      <c r="A8031" s="146"/>
      <c r="D8031" s="496"/>
    </row>
    <row r="8032" spans="1:4" x14ac:dyDescent="0.2">
      <c r="A8032" s="146"/>
      <c r="D8032" s="496"/>
    </row>
    <row r="8033" spans="1:4" x14ac:dyDescent="0.2">
      <c r="A8033" s="146"/>
      <c r="D8033" s="496"/>
    </row>
    <row r="8034" spans="1:4" x14ac:dyDescent="0.2">
      <c r="A8034" s="146"/>
      <c r="D8034" s="496"/>
    </row>
    <row r="8035" spans="1:4" x14ac:dyDescent="0.2">
      <c r="A8035" s="146"/>
      <c r="D8035" s="496"/>
    </row>
    <row r="8036" spans="1:4" x14ac:dyDescent="0.2">
      <c r="A8036" s="146"/>
      <c r="D8036" s="496"/>
    </row>
    <row r="8037" spans="1:4" x14ac:dyDescent="0.2">
      <c r="A8037" s="146"/>
      <c r="D8037" s="496"/>
    </row>
    <row r="8038" spans="1:4" x14ac:dyDescent="0.2">
      <c r="A8038" s="146"/>
      <c r="D8038" s="496"/>
    </row>
    <row r="8039" spans="1:4" x14ac:dyDescent="0.2">
      <c r="A8039" s="146"/>
      <c r="D8039" s="496"/>
    </row>
    <row r="8040" spans="1:4" x14ac:dyDescent="0.2">
      <c r="A8040" s="146"/>
      <c r="D8040" s="496"/>
    </row>
    <row r="8041" spans="1:4" x14ac:dyDescent="0.2">
      <c r="A8041" s="146"/>
      <c r="D8041" s="496"/>
    </row>
    <row r="8042" spans="1:4" x14ac:dyDescent="0.2">
      <c r="A8042" s="146"/>
      <c r="D8042" s="496"/>
    </row>
    <row r="8043" spans="1:4" x14ac:dyDescent="0.2">
      <c r="A8043" s="146"/>
      <c r="D8043" s="496"/>
    </row>
    <row r="8044" spans="1:4" x14ac:dyDescent="0.2">
      <c r="A8044" s="146"/>
      <c r="D8044" s="496"/>
    </row>
    <row r="8045" spans="1:4" x14ac:dyDescent="0.2">
      <c r="A8045" s="146"/>
      <c r="D8045" s="496"/>
    </row>
    <row r="8046" spans="1:4" x14ac:dyDescent="0.2">
      <c r="A8046" s="146"/>
      <c r="D8046" s="496"/>
    </row>
    <row r="8047" spans="1:4" x14ac:dyDescent="0.2">
      <c r="A8047" s="146"/>
      <c r="D8047" s="496"/>
    </row>
    <row r="8048" spans="1:4" x14ac:dyDescent="0.2">
      <c r="A8048" s="146"/>
      <c r="D8048" s="496"/>
    </row>
    <row r="8049" spans="1:4" x14ac:dyDescent="0.2">
      <c r="A8049" s="146"/>
      <c r="D8049" s="496"/>
    </row>
    <row r="8050" spans="1:4" x14ac:dyDescent="0.2">
      <c r="A8050" s="146"/>
      <c r="D8050" s="496"/>
    </row>
    <row r="8051" spans="1:4" x14ac:dyDescent="0.2">
      <c r="A8051" s="146"/>
      <c r="D8051" s="496"/>
    </row>
    <row r="8052" spans="1:4" x14ac:dyDescent="0.2">
      <c r="A8052" s="146"/>
      <c r="D8052" s="496"/>
    </row>
    <row r="8053" spans="1:4" x14ac:dyDescent="0.2">
      <c r="A8053" s="146"/>
      <c r="D8053" s="496"/>
    </row>
    <row r="8054" spans="1:4" x14ac:dyDescent="0.2">
      <c r="A8054" s="146"/>
      <c r="D8054" s="496"/>
    </row>
    <row r="8055" spans="1:4" x14ac:dyDescent="0.2">
      <c r="A8055" s="146"/>
      <c r="D8055" s="496"/>
    </row>
    <row r="8056" spans="1:4" x14ac:dyDescent="0.2">
      <c r="A8056" s="146"/>
      <c r="D8056" s="496"/>
    </row>
    <row r="8057" spans="1:4" x14ac:dyDescent="0.2">
      <c r="A8057" s="146"/>
      <c r="D8057" s="496"/>
    </row>
    <row r="8058" spans="1:4" x14ac:dyDescent="0.2">
      <c r="A8058" s="146"/>
      <c r="D8058" s="496"/>
    </row>
    <row r="8059" spans="1:4" x14ac:dyDescent="0.2">
      <c r="A8059" s="146"/>
      <c r="D8059" s="496"/>
    </row>
    <row r="8060" spans="1:4" x14ac:dyDescent="0.2">
      <c r="A8060" s="146"/>
      <c r="D8060" s="496"/>
    </row>
    <row r="8061" spans="1:4" x14ac:dyDescent="0.2">
      <c r="A8061" s="146"/>
      <c r="D8061" s="496"/>
    </row>
    <row r="8062" spans="1:4" x14ac:dyDescent="0.2">
      <c r="A8062" s="146"/>
      <c r="D8062" s="496"/>
    </row>
    <row r="8063" spans="1:4" x14ac:dyDescent="0.2">
      <c r="A8063" s="146"/>
      <c r="D8063" s="496"/>
    </row>
    <row r="8064" spans="1:4" x14ac:dyDescent="0.2">
      <c r="A8064" s="146"/>
      <c r="D8064" s="496"/>
    </row>
    <row r="8065" spans="1:4" x14ac:dyDescent="0.2">
      <c r="A8065" s="146"/>
      <c r="D8065" s="496"/>
    </row>
    <row r="8066" spans="1:4" x14ac:dyDescent="0.2">
      <c r="A8066" s="146"/>
      <c r="D8066" s="496"/>
    </row>
    <row r="8067" spans="1:4" x14ac:dyDescent="0.2">
      <c r="A8067" s="146"/>
      <c r="D8067" s="496"/>
    </row>
    <row r="8068" spans="1:4" x14ac:dyDescent="0.2">
      <c r="A8068" s="146"/>
      <c r="D8068" s="496"/>
    </row>
    <row r="8069" spans="1:4" x14ac:dyDescent="0.2">
      <c r="A8069" s="146"/>
      <c r="D8069" s="496"/>
    </row>
    <row r="8070" spans="1:4" x14ac:dyDescent="0.2">
      <c r="A8070" s="146"/>
      <c r="D8070" s="496"/>
    </row>
    <row r="8071" spans="1:4" x14ac:dyDescent="0.2">
      <c r="A8071" s="146"/>
      <c r="D8071" s="496"/>
    </row>
    <row r="8072" spans="1:4" x14ac:dyDescent="0.2">
      <c r="A8072" s="146"/>
      <c r="D8072" s="496"/>
    </row>
    <row r="8073" spans="1:4" x14ac:dyDescent="0.2">
      <c r="A8073" s="146"/>
      <c r="D8073" s="496"/>
    </row>
    <row r="8074" spans="1:4" x14ac:dyDescent="0.2">
      <c r="A8074" s="146"/>
      <c r="D8074" s="496"/>
    </row>
    <row r="8075" spans="1:4" x14ac:dyDescent="0.2">
      <c r="A8075" s="146"/>
      <c r="D8075" s="496"/>
    </row>
    <row r="8076" spans="1:4" x14ac:dyDescent="0.2">
      <c r="A8076" s="146"/>
      <c r="D8076" s="496"/>
    </row>
    <row r="8077" spans="1:4" x14ac:dyDescent="0.2">
      <c r="A8077" s="146"/>
      <c r="D8077" s="496"/>
    </row>
    <row r="8078" spans="1:4" x14ac:dyDescent="0.2">
      <c r="A8078" s="146"/>
      <c r="D8078" s="496"/>
    </row>
    <row r="8079" spans="1:4" x14ac:dyDescent="0.2">
      <c r="A8079" s="146"/>
      <c r="D8079" s="496"/>
    </row>
    <row r="8080" spans="1:4" x14ac:dyDescent="0.2">
      <c r="A8080" s="146"/>
      <c r="D8080" s="496"/>
    </row>
    <row r="8081" spans="1:4" x14ac:dyDescent="0.2">
      <c r="A8081" s="146"/>
      <c r="D8081" s="496"/>
    </row>
    <row r="8082" spans="1:4" x14ac:dyDescent="0.2">
      <c r="A8082" s="146"/>
      <c r="D8082" s="496"/>
    </row>
    <row r="8083" spans="1:4" x14ac:dyDescent="0.2">
      <c r="A8083" s="146"/>
      <c r="D8083" s="496"/>
    </row>
    <row r="8084" spans="1:4" x14ac:dyDescent="0.2">
      <c r="A8084" s="146"/>
      <c r="D8084" s="496"/>
    </row>
    <row r="8085" spans="1:4" x14ac:dyDescent="0.2">
      <c r="A8085" s="146"/>
      <c r="D8085" s="496"/>
    </row>
    <row r="8086" spans="1:4" x14ac:dyDescent="0.2">
      <c r="A8086" s="146"/>
      <c r="D8086" s="496"/>
    </row>
    <row r="8087" spans="1:4" x14ac:dyDescent="0.2">
      <c r="A8087" s="146"/>
      <c r="D8087" s="496"/>
    </row>
    <row r="8088" spans="1:4" x14ac:dyDescent="0.2">
      <c r="A8088" s="146"/>
      <c r="D8088" s="496"/>
    </row>
    <row r="8089" spans="1:4" x14ac:dyDescent="0.2">
      <c r="A8089" s="146"/>
      <c r="D8089" s="496"/>
    </row>
    <row r="8090" spans="1:4" x14ac:dyDescent="0.2">
      <c r="A8090" s="146"/>
      <c r="D8090" s="496"/>
    </row>
    <row r="8091" spans="1:4" x14ac:dyDescent="0.2">
      <c r="A8091" s="146"/>
      <c r="D8091" s="496"/>
    </row>
    <row r="8092" spans="1:4" x14ac:dyDescent="0.2">
      <c r="A8092" s="146"/>
      <c r="D8092" s="496"/>
    </row>
    <row r="8093" spans="1:4" x14ac:dyDescent="0.2">
      <c r="A8093" s="146"/>
      <c r="D8093" s="496"/>
    </row>
    <row r="8094" spans="1:4" x14ac:dyDescent="0.2">
      <c r="A8094" s="146"/>
      <c r="D8094" s="496"/>
    </row>
    <row r="8095" spans="1:4" x14ac:dyDescent="0.2">
      <c r="A8095" s="146"/>
      <c r="D8095" s="496"/>
    </row>
    <row r="8096" spans="1:4" x14ac:dyDescent="0.2">
      <c r="A8096" s="146"/>
      <c r="D8096" s="496"/>
    </row>
    <row r="8097" spans="1:4" x14ac:dyDescent="0.2">
      <c r="A8097" s="146"/>
      <c r="D8097" s="496"/>
    </row>
    <row r="8098" spans="1:4" x14ac:dyDescent="0.2">
      <c r="A8098" s="146"/>
      <c r="D8098" s="496"/>
    </row>
    <row r="8099" spans="1:4" x14ac:dyDescent="0.2">
      <c r="A8099" s="146"/>
      <c r="D8099" s="496"/>
    </row>
    <row r="8100" spans="1:4" x14ac:dyDescent="0.2">
      <c r="A8100" s="146"/>
      <c r="D8100" s="496"/>
    </row>
    <row r="8101" spans="1:4" x14ac:dyDescent="0.2">
      <c r="A8101" s="146"/>
      <c r="D8101" s="496"/>
    </row>
    <row r="8102" spans="1:4" x14ac:dyDescent="0.2">
      <c r="A8102" s="146"/>
      <c r="D8102" s="496"/>
    </row>
    <row r="8103" spans="1:4" x14ac:dyDescent="0.2">
      <c r="A8103" s="146"/>
      <c r="D8103" s="496"/>
    </row>
    <row r="8104" spans="1:4" x14ac:dyDescent="0.2">
      <c r="A8104" s="146"/>
      <c r="D8104" s="496"/>
    </row>
    <row r="8105" spans="1:4" x14ac:dyDescent="0.2">
      <c r="A8105" s="146"/>
      <c r="D8105" s="496"/>
    </row>
    <row r="8106" spans="1:4" x14ac:dyDescent="0.2">
      <c r="A8106" s="146"/>
      <c r="D8106" s="496"/>
    </row>
    <row r="8107" spans="1:4" x14ac:dyDescent="0.2">
      <c r="A8107" s="146"/>
      <c r="D8107" s="496"/>
    </row>
    <row r="8108" spans="1:4" x14ac:dyDescent="0.2">
      <c r="A8108" s="146"/>
      <c r="D8108" s="496"/>
    </row>
    <row r="8109" spans="1:4" x14ac:dyDescent="0.2">
      <c r="A8109" s="146"/>
      <c r="D8109" s="496"/>
    </row>
    <row r="8110" spans="1:4" x14ac:dyDescent="0.2">
      <c r="A8110" s="146"/>
      <c r="D8110" s="496"/>
    </row>
    <row r="8111" spans="1:4" x14ac:dyDescent="0.2">
      <c r="A8111" s="146"/>
      <c r="D8111" s="496"/>
    </row>
    <row r="8112" spans="1:4" x14ac:dyDescent="0.2">
      <c r="A8112" s="146"/>
      <c r="D8112" s="496"/>
    </row>
    <row r="8113" spans="1:4" x14ac:dyDescent="0.2">
      <c r="A8113" s="146"/>
      <c r="D8113" s="496"/>
    </row>
    <row r="8114" spans="1:4" x14ac:dyDescent="0.2">
      <c r="A8114" s="146"/>
      <c r="D8114" s="496"/>
    </row>
    <row r="8115" spans="1:4" x14ac:dyDescent="0.2">
      <c r="A8115" s="146"/>
      <c r="D8115" s="496"/>
    </row>
    <row r="8116" spans="1:4" x14ac:dyDescent="0.2">
      <c r="A8116" s="146"/>
      <c r="D8116" s="496"/>
    </row>
    <row r="8117" spans="1:4" x14ac:dyDescent="0.2">
      <c r="A8117" s="146"/>
      <c r="D8117" s="496"/>
    </row>
    <row r="8118" spans="1:4" x14ac:dyDescent="0.2">
      <c r="A8118" s="146"/>
      <c r="D8118" s="496"/>
    </row>
    <row r="8119" spans="1:4" x14ac:dyDescent="0.2">
      <c r="A8119" s="146"/>
      <c r="D8119" s="496"/>
    </row>
    <row r="8120" spans="1:4" x14ac:dyDescent="0.2">
      <c r="A8120" s="146"/>
      <c r="D8120" s="496"/>
    </row>
    <row r="8121" spans="1:4" x14ac:dyDescent="0.2">
      <c r="A8121" s="146"/>
      <c r="D8121" s="496"/>
    </row>
    <row r="8122" spans="1:4" x14ac:dyDescent="0.2">
      <c r="A8122" s="146"/>
      <c r="D8122" s="496"/>
    </row>
    <row r="8123" spans="1:4" x14ac:dyDescent="0.2">
      <c r="A8123" s="146"/>
      <c r="D8123" s="496"/>
    </row>
    <row r="8124" spans="1:4" x14ac:dyDescent="0.2">
      <c r="A8124" s="146"/>
      <c r="D8124" s="496"/>
    </row>
    <row r="8125" spans="1:4" x14ac:dyDescent="0.2">
      <c r="A8125" s="146"/>
      <c r="D8125" s="496"/>
    </row>
    <row r="8126" spans="1:4" x14ac:dyDescent="0.2">
      <c r="A8126" s="146"/>
      <c r="D8126" s="496"/>
    </row>
    <row r="8127" spans="1:4" x14ac:dyDescent="0.2">
      <c r="A8127" s="146"/>
      <c r="D8127" s="496"/>
    </row>
    <row r="8128" spans="1:4" x14ac:dyDescent="0.2">
      <c r="A8128" s="146"/>
      <c r="D8128" s="496"/>
    </row>
    <row r="8129" spans="1:4" x14ac:dyDescent="0.2">
      <c r="A8129" s="146"/>
      <c r="D8129" s="496"/>
    </row>
    <row r="8130" spans="1:4" x14ac:dyDescent="0.2">
      <c r="A8130" s="146"/>
      <c r="D8130" s="496"/>
    </row>
    <row r="8131" spans="1:4" x14ac:dyDescent="0.2">
      <c r="A8131" s="146"/>
      <c r="D8131" s="496"/>
    </row>
    <row r="8132" spans="1:4" x14ac:dyDescent="0.2">
      <c r="A8132" s="146"/>
      <c r="D8132" s="496"/>
    </row>
    <row r="8133" spans="1:4" x14ac:dyDescent="0.2">
      <c r="A8133" s="146"/>
      <c r="D8133" s="496"/>
    </row>
    <row r="8134" spans="1:4" x14ac:dyDescent="0.2">
      <c r="A8134" s="146"/>
      <c r="D8134" s="496"/>
    </row>
    <row r="8135" spans="1:4" x14ac:dyDescent="0.2">
      <c r="A8135" s="146"/>
      <c r="D8135" s="496"/>
    </row>
    <row r="8136" spans="1:4" x14ac:dyDescent="0.2">
      <c r="A8136" s="146"/>
      <c r="D8136" s="496"/>
    </row>
    <row r="8137" spans="1:4" x14ac:dyDescent="0.2">
      <c r="A8137" s="146"/>
      <c r="D8137" s="496"/>
    </row>
    <row r="8138" spans="1:4" x14ac:dyDescent="0.2">
      <c r="A8138" s="146"/>
      <c r="D8138" s="496"/>
    </row>
    <row r="8139" spans="1:4" x14ac:dyDescent="0.2">
      <c r="A8139" s="146"/>
      <c r="D8139" s="496"/>
    </row>
    <row r="8140" spans="1:4" x14ac:dyDescent="0.2">
      <c r="A8140" s="146"/>
      <c r="D8140" s="496"/>
    </row>
    <row r="8141" spans="1:4" x14ac:dyDescent="0.2">
      <c r="A8141" s="146"/>
      <c r="D8141" s="496"/>
    </row>
    <row r="8142" spans="1:4" x14ac:dyDescent="0.2">
      <c r="A8142" s="146"/>
      <c r="D8142" s="496"/>
    </row>
    <row r="8143" spans="1:4" x14ac:dyDescent="0.2">
      <c r="A8143" s="146"/>
      <c r="D8143" s="496"/>
    </row>
    <row r="8144" spans="1:4" x14ac:dyDescent="0.2">
      <c r="A8144" s="146"/>
      <c r="D8144" s="496"/>
    </row>
    <row r="8145" spans="1:4" x14ac:dyDescent="0.2">
      <c r="A8145" s="146"/>
      <c r="D8145" s="496"/>
    </row>
    <row r="8146" spans="1:4" x14ac:dyDescent="0.2">
      <c r="A8146" s="146"/>
      <c r="D8146" s="496"/>
    </row>
    <row r="8147" spans="1:4" x14ac:dyDescent="0.2">
      <c r="A8147" s="146"/>
      <c r="D8147" s="496"/>
    </row>
    <row r="8148" spans="1:4" x14ac:dyDescent="0.2">
      <c r="A8148" s="146"/>
      <c r="D8148" s="496"/>
    </row>
    <row r="8149" spans="1:4" x14ac:dyDescent="0.2">
      <c r="A8149" s="146"/>
      <c r="D8149" s="496"/>
    </row>
    <row r="8150" spans="1:4" x14ac:dyDescent="0.2">
      <c r="A8150" s="146"/>
      <c r="D8150" s="496"/>
    </row>
    <row r="8151" spans="1:4" x14ac:dyDescent="0.2">
      <c r="A8151" s="146"/>
      <c r="D8151" s="496"/>
    </row>
    <row r="8152" spans="1:4" x14ac:dyDescent="0.2">
      <c r="A8152" s="146"/>
      <c r="D8152" s="496"/>
    </row>
    <row r="8153" spans="1:4" x14ac:dyDescent="0.2">
      <c r="A8153" s="146"/>
      <c r="D8153" s="496"/>
    </row>
    <row r="8154" spans="1:4" x14ac:dyDescent="0.2">
      <c r="A8154" s="146"/>
      <c r="D8154" s="496"/>
    </row>
    <row r="8155" spans="1:4" x14ac:dyDescent="0.2">
      <c r="A8155" s="146"/>
      <c r="D8155" s="496"/>
    </row>
    <row r="8156" spans="1:4" x14ac:dyDescent="0.2">
      <c r="A8156" s="146"/>
      <c r="D8156" s="496"/>
    </row>
    <row r="8157" spans="1:4" x14ac:dyDescent="0.2">
      <c r="A8157" s="146"/>
      <c r="D8157" s="496"/>
    </row>
    <row r="8158" spans="1:4" x14ac:dyDescent="0.2">
      <c r="A8158" s="146"/>
      <c r="D8158" s="496"/>
    </row>
    <row r="8159" spans="1:4" x14ac:dyDescent="0.2">
      <c r="A8159" s="146"/>
      <c r="D8159" s="496"/>
    </row>
    <row r="8160" spans="1:4" x14ac:dyDescent="0.2">
      <c r="A8160" s="146"/>
      <c r="D8160" s="496"/>
    </row>
    <row r="8161" spans="1:4" x14ac:dyDescent="0.2">
      <c r="A8161" s="146"/>
      <c r="D8161" s="496"/>
    </row>
    <row r="8162" spans="1:4" x14ac:dyDescent="0.2">
      <c r="A8162" s="146"/>
      <c r="D8162" s="496"/>
    </row>
    <row r="8163" spans="1:4" x14ac:dyDescent="0.2">
      <c r="A8163" s="146"/>
      <c r="D8163" s="496"/>
    </row>
    <row r="8164" spans="1:4" x14ac:dyDescent="0.2">
      <c r="A8164" s="146"/>
      <c r="D8164" s="496"/>
    </row>
    <row r="8165" spans="1:4" x14ac:dyDescent="0.2">
      <c r="A8165" s="146"/>
      <c r="D8165" s="496"/>
    </row>
    <row r="8166" spans="1:4" x14ac:dyDescent="0.2">
      <c r="A8166" s="146"/>
      <c r="D8166" s="496"/>
    </row>
    <row r="8167" spans="1:4" x14ac:dyDescent="0.2">
      <c r="A8167" s="146"/>
      <c r="D8167" s="496"/>
    </row>
    <row r="8168" spans="1:4" x14ac:dyDescent="0.2">
      <c r="A8168" s="146"/>
      <c r="D8168" s="496"/>
    </row>
    <row r="8169" spans="1:4" x14ac:dyDescent="0.2">
      <c r="A8169" s="146"/>
      <c r="D8169" s="496"/>
    </row>
    <row r="8170" spans="1:4" x14ac:dyDescent="0.2">
      <c r="A8170" s="146"/>
      <c r="D8170" s="496"/>
    </row>
    <row r="8171" spans="1:4" x14ac:dyDescent="0.2">
      <c r="A8171" s="146"/>
      <c r="D8171" s="496"/>
    </row>
    <row r="8172" spans="1:4" x14ac:dyDescent="0.2">
      <c r="A8172" s="146"/>
      <c r="D8172" s="496"/>
    </row>
    <row r="8173" spans="1:4" x14ac:dyDescent="0.2">
      <c r="A8173" s="146"/>
      <c r="D8173" s="496"/>
    </row>
    <row r="8174" spans="1:4" x14ac:dyDescent="0.2">
      <c r="A8174" s="146"/>
      <c r="D8174" s="496"/>
    </row>
    <row r="8175" spans="1:4" x14ac:dyDescent="0.2">
      <c r="A8175" s="146"/>
      <c r="D8175" s="496"/>
    </row>
    <row r="8176" spans="1:4" x14ac:dyDescent="0.2">
      <c r="A8176" s="146"/>
      <c r="D8176" s="496"/>
    </row>
    <row r="8177" spans="1:4" x14ac:dyDescent="0.2">
      <c r="A8177" s="146"/>
      <c r="D8177" s="496"/>
    </row>
    <row r="8178" spans="1:4" x14ac:dyDescent="0.2">
      <c r="A8178" s="146"/>
      <c r="D8178" s="496"/>
    </row>
    <row r="8179" spans="1:4" x14ac:dyDescent="0.2">
      <c r="A8179" s="146"/>
      <c r="D8179" s="496"/>
    </row>
    <row r="8180" spans="1:4" x14ac:dyDescent="0.2">
      <c r="A8180" s="146"/>
      <c r="D8180" s="496"/>
    </row>
    <row r="8181" spans="1:4" x14ac:dyDescent="0.2">
      <c r="A8181" s="146"/>
      <c r="D8181" s="496"/>
    </row>
    <row r="8182" spans="1:4" x14ac:dyDescent="0.2">
      <c r="A8182" s="146"/>
      <c r="D8182" s="496"/>
    </row>
    <row r="8183" spans="1:4" x14ac:dyDescent="0.2">
      <c r="A8183" s="146"/>
      <c r="D8183" s="496"/>
    </row>
    <row r="8184" spans="1:4" x14ac:dyDescent="0.2">
      <c r="A8184" s="146"/>
      <c r="D8184" s="496"/>
    </row>
    <row r="8185" spans="1:4" x14ac:dyDescent="0.2">
      <c r="A8185" s="146"/>
      <c r="D8185" s="496"/>
    </row>
    <row r="8186" spans="1:4" x14ac:dyDescent="0.2">
      <c r="A8186" s="146"/>
      <c r="D8186" s="496"/>
    </row>
    <row r="8187" spans="1:4" x14ac:dyDescent="0.2">
      <c r="A8187" s="146"/>
      <c r="D8187" s="496"/>
    </row>
    <row r="8188" spans="1:4" x14ac:dyDescent="0.2">
      <c r="A8188" s="146"/>
      <c r="D8188" s="496"/>
    </row>
    <row r="8189" spans="1:4" x14ac:dyDescent="0.2">
      <c r="A8189" s="146"/>
      <c r="D8189" s="496"/>
    </row>
    <row r="8190" spans="1:4" x14ac:dyDescent="0.2">
      <c r="A8190" s="146"/>
      <c r="D8190" s="496"/>
    </row>
    <row r="8191" spans="1:4" x14ac:dyDescent="0.2">
      <c r="A8191" s="146"/>
      <c r="D8191" s="496"/>
    </row>
    <row r="8192" spans="1:4" x14ac:dyDescent="0.2">
      <c r="A8192" s="146"/>
      <c r="D8192" s="496"/>
    </row>
    <row r="8193" spans="1:4" x14ac:dyDescent="0.2">
      <c r="A8193" s="146"/>
      <c r="D8193" s="496"/>
    </row>
    <row r="8194" spans="1:4" x14ac:dyDescent="0.2">
      <c r="A8194" s="146"/>
      <c r="D8194" s="496"/>
    </row>
    <row r="8195" spans="1:4" x14ac:dyDescent="0.2">
      <c r="A8195" s="146"/>
      <c r="D8195" s="496"/>
    </row>
    <row r="8196" spans="1:4" x14ac:dyDescent="0.2">
      <c r="A8196" s="146"/>
      <c r="D8196" s="496"/>
    </row>
    <row r="8197" spans="1:4" x14ac:dyDescent="0.2">
      <c r="A8197" s="146"/>
      <c r="D8197" s="496"/>
    </row>
    <row r="8198" spans="1:4" x14ac:dyDescent="0.2">
      <c r="A8198" s="146"/>
      <c r="D8198" s="496"/>
    </row>
    <row r="8199" spans="1:4" x14ac:dyDescent="0.2">
      <c r="A8199" s="146"/>
      <c r="D8199" s="496"/>
    </row>
    <row r="8200" spans="1:4" x14ac:dyDescent="0.2">
      <c r="A8200" s="146"/>
      <c r="D8200" s="496"/>
    </row>
    <row r="8201" spans="1:4" x14ac:dyDescent="0.2">
      <c r="A8201" s="146"/>
      <c r="D8201" s="496"/>
    </row>
    <row r="8202" spans="1:4" x14ac:dyDescent="0.2">
      <c r="A8202" s="146"/>
      <c r="D8202" s="496"/>
    </row>
    <row r="8203" spans="1:4" x14ac:dyDescent="0.2">
      <c r="A8203" s="146"/>
      <c r="D8203" s="496"/>
    </row>
    <row r="8204" spans="1:4" x14ac:dyDescent="0.2">
      <c r="A8204" s="146"/>
      <c r="D8204" s="496"/>
    </row>
    <row r="8205" spans="1:4" x14ac:dyDescent="0.2">
      <c r="A8205" s="146"/>
      <c r="D8205" s="496"/>
    </row>
    <row r="8206" spans="1:4" x14ac:dyDescent="0.2">
      <c r="A8206" s="146"/>
      <c r="D8206" s="496"/>
    </row>
    <row r="8207" spans="1:4" x14ac:dyDescent="0.2">
      <c r="A8207" s="146"/>
      <c r="D8207" s="496"/>
    </row>
    <row r="8208" spans="1:4" x14ac:dyDescent="0.2">
      <c r="A8208" s="146"/>
      <c r="D8208" s="496"/>
    </row>
    <row r="8209" spans="1:4" x14ac:dyDescent="0.2">
      <c r="A8209" s="146"/>
      <c r="D8209" s="496"/>
    </row>
    <row r="8210" spans="1:4" x14ac:dyDescent="0.2">
      <c r="A8210" s="146"/>
      <c r="D8210" s="496"/>
    </row>
    <row r="8211" spans="1:4" x14ac:dyDescent="0.2">
      <c r="A8211" s="146"/>
      <c r="D8211" s="496"/>
    </row>
    <row r="8212" spans="1:4" x14ac:dyDescent="0.2">
      <c r="A8212" s="146"/>
      <c r="D8212" s="496"/>
    </row>
    <row r="8213" spans="1:4" x14ac:dyDescent="0.2">
      <c r="A8213" s="146"/>
      <c r="D8213" s="496"/>
    </row>
    <row r="8214" spans="1:4" x14ac:dyDescent="0.2">
      <c r="A8214" s="146"/>
      <c r="D8214" s="496"/>
    </row>
    <row r="8215" spans="1:4" x14ac:dyDescent="0.2">
      <c r="A8215" s="146"/>
      <c r="D8215" s="496"/>
    </row>
    <row r="8216" spans="1:4" x14ac:dyDescent="0.2">
      <c r="A8216" s="146"/>
      <c r="D8216" s="496"/>
    </row>
    <row r="8217" spans="1:4" x14ac:dyDescent="0.2">
      <c r="A8217" s="146"/>
      <c r="D8217" s="496"/>
    </row>
    <row r="8218" spans="1:4" x14ac:dyDescent="0.2">
      <c r="A8218" s="146"/>
      <c r="D8218" s="496"/>
    </row>
    <row r="8219" spans="1:4" x14ac:dyDescent="0.2">
      <c r="A8219" s="146"/>
      <c r="D8219" s="496"/>
    </row>
    <row r="8220" spans="1:4" x14ac:dyDescent="0.2">
      <c r="A8220" s="146"/>
      <c r="D8220" s="496"/>
    </row>
    <row r="8221" spans="1:4" x14ac:dyDescent="0.2">
      <c r="A8221" s="146"/>
      <c r="D8221" s="496"/>
    </row>
    <row r="8222" spans="1:4" x14ac:dyDescent="0.2">
      <c r="A8222" s="146"/>
      <c r="D8222" s="496"/>
    </row>
    <row r="8223" spans="1:4" x14ac:dyDescent="0.2">
      <c r="A8223" s="146"/>
      <c r="D8223" s="496"/>
    </row>
    <row r="8224" spans="1:4" x14ac:dyDescent="0.2">
      <c r="A8224" s="146"/>
      <c r="D8224" s="496"/>
    </row>
    <row r="8225" spans="1:4" x14ac:dyDescent="0.2">
      <c r="A8225" s="146"/>
      <c r="D8225" s="496"/>
    </row>
    <row r="8226" spans="1:4" x14ac:dyDescent="0.2">
      <c r="A8226" s="146"/>
      <c r="D8226" s="496"/>
    </row>
    <row r="8227" spans="1:4" x14ac:dyDescent="0.2">
      <c r="A8227" s="146"/>
      <c r="D8227" s="496"/>
    </row>
    <row r="8228" spans="1:4" x14ac:dyDescent="0.2">
      <c r="A8228" s="146"/>
      <c r="D8228" s="496"/>
    </row>
    <row r="8229" spans="1:4" x14ac:dyDescent="0.2">
      <c r="A8229" s="146"/>
      <c r="D8229" s="496"/>
    </row>
    <row r="8230" spans="1:4" x14ac:dyDescent="0.2">
      <c r="A8230" s="146"/>
      <c r="D8230" s="496"/>
    </row>
    <row r="8231" spans="1:4" x14ac:dyDescent="0.2">
      <c r="A8231" s="146"/>
      <c r="D8231" s="496"/>
    </row>
    <row r="8232" spans="1:4" x14ac:dyDescent="0.2">
      <c r="A8232" s="146"/>
      <c r="D8232" s="496"/>
    </row>
    <row r="8233" spans="1:4" x14ac:dyDescent="0.2">
      <c r="A8233" s="146"/>
      <c r="D8233" s="496"/>
    </row>
    <row r="8234" spans="1:4" x14ac:dyDescent="0.2">
      <c r="A8234" s="146"/>
      <c r="D8234" s="496"/>
    </row>
    <row r="8235" spans="1:4" x14ac:dyDescent="0.2">
      <c r="A8235" s="146"/>
      <c r="D8235" s="496"/>
    </row>
    <row r="8236" spans="1:4" x14ac:dyDescent="0.2">
      <c r="A8236" s="146"/>
      <c r="D8236" s="496"/>
    </row>
    <row r="8237" spans="1:4" x14ac:dyDescent="0.2">
      <c r="A8237" s="146"/>
      <c r="D8237" s="496"/>
    </row>
    <row r="8238" spans="1:4" x14ac:dyDescent="0.2">
      <c r="A8238" s="146"/>
      <c r="D8238" s="496"/>
    </row>
    <row r="8239" spans="1:4" x14ac:dyDescent="0.2">
      <c r="A8239" s="146"/>
      <c r="D8239" s="496"/>
    </row>
    <row r="8240" spans="1:4" x14ac:dyDescent="0.2">
      <c r="A8240" s="146"/>
      <c r="D8240" s="496"/>
    </row>
    <row r="8241" spans="1:4" x14ac:dyDescent="0.2">
      <c r="A8241" s="146"/>
      <c r="D8241" s="496"/>
    </row>
    <row r="8242" spans="1:4" x14ac:dyDescent="0.2">
      <c r="A8242" s="146"/>
      <c r="D8242" s="496"/>
    </row>
    <row r="8243" spans="1:4" x14ac:dyDescent="0.2">
      <c r="A8243" s="146"/>
      <c r="D8243" s="496"/>
    </row>
    <row r="8244" spans="1:4" x14ac:dyDescent="0.2">
      <c r="A8244" s="146"/>
      <c r="D8244" s="496"/>
    </row>
    <row r="8245" spans="1:4" x14ac:dyDescent="0.2">
      <c r="A8245" s="146"/>
      <c r="D8245" s="496"/>
    </row>
    <row r="8246" spans="1:4" x14ac:dyDescent="0.2">
      <c r="A8246" s="146"/>
      <c r="D8246" s="496"/>
    </row>
    <row r="8247" spans="1:4" x14ac:dyDescent="0.2">
      <c r="A8247" s="146"/>
      <c r="D8247" s="496"/>
    </row>
    <row r="8248" spans="1:4" x14ac:dyDescent="0.2">
      <c r="A8248" s="146"/>
      <c r="D8248" s="496"/>
    </row>
    <row r="8249" spans="1:4" x14ac:dyDescent="0.2">
      <c r="A8249" s="146"/>
      <c r="D8249" s="496"/>
    </row>
    <row r="8250" spans="1:4" x14ac:dyDescent="0.2">
      <c r="A8250" s="146"/>
      <c r="D8250" s="496"/>
    </row>
    <row r="8251" spans="1:4" x14ac:dyDescent="0.2">
      <c r="A8251" s="146"/>
      <c r="D8251" s="496"/>
    </row>
    <row r="8252" spans="1:4" x14ac:dyDescent="0.2">
      <c r="A8252" s="146"/>
      <c r="D8252" s="496"/>
    </row>
    <row r="8253" spans="1:4" x14ac:dyDescent="0.2">
      <c r="A8253" s="146"/>
      <c r="D8253" s="496"/>
    </row>
    <row r="8254" spans="1:4" x14ac:dyDescent="0.2">
      <c r="A8254" s="146"/>
      <c r="D8254" s="496"/>
    </row>
    <row r="8255" spans="1:4" x14ac:dyDescent="0.2">
      <c r="A8255" s="146"/>
      <c r="D8255" s="496"/>
    </row>
    <row r="8256" spans="1:4" x14ac:dyDescent="0.2">
      <c r="A8256" s="146"/>
      <c r="D8256" s="496"/>
    </row>
    <row r="8257" spans="1:4" x14ac:dyDescent="0.2">
      <c r="A8257" s="146"/>
      <c r="D8257" s="496"/>
    </row>
    <row r="8258" spans="1:4" x14ac:dyDescent="0.2">
      <c r="A8258" s="146"/>
      <c r="D8258" s="496"/>
    </row>
    <row r="8259" spans="1:4" x14ac:dyDescent="0.2">
      <c r="A8259" s="146"/>
      <c r="D8259" s="496"/>
    </row>
    <row r="8260" spans="1:4" x14ac:dyDescent="0.2">
      <c r="A8260" s="146"/>
      <c r="D8260" s="496"/>
    </row>
    <row r="8261" spans="1:4" x14ac:dyDescent="0.2">
      <c r="A8261" s="146"/>
      <c r="D8261" s="496"/>
    </row>
    <row r="8262" spans="1:4" x14ac:dyDescent="0.2">
      <c r="A8262" s="146"/>
      <c r="D8262" s="496"/>
    </row>
    <row r="8263" spans="1:4" x14ac:dyDescent="0.2">
      <c r="A8263" s="146"/>
      <c r="D8263" s="496"/>
    </row>
    <row r="8264" spans="1:4" x14ac:dyDescent="0.2">
      <c r="A8264" s="146"/>
      <c r="D8264" s="496"/>
    </row>
    <row r="8265" spans="1:4" x14ac:dyDescent="0.2">
      <c r="A8265" s="146"/>
      <c r="D8265" s="496"/>
    </row>
    <row r="8266" spans="1:4" x14ac:dyDescent="0.2">
      <c r="A8266" s="146"/>
      <c r="D8266" s="496"/>
    </row>
    <row r="8267" spans="1:4" x14ac:dyDescent="0.2">
      <c r="A8267" s="146"/>
      <c r="D8267" s="496"/>
    </row>
    <row r="8268" spans="1:4" x14ac:dyDescent="0.2">
      <c r="A8268" s="146"/>
      <c r="D8268" s="496"/>
    </row>
    <row r="8269" spans="1:4" x14ac:dyDescent="0.2">
      <c r="A8269" s="146"/>
      <c r="D8269" s="496"/>
    </row>
    <row r="8270" spans="1:4" x14ac:dyDescent="0.2">
      <c r="A8270" s="146"/>
      <c r="D8270" s="496"/>
    </row>
    <row r="8271" spans="1:4" x14ac:dyDescent="0.2">
      <c r="A8271" s="146"/>
      <c r="D8271" s="496"/>
    </row>
    <row r="8272" spans="1:4" x14ac:dyDescent="0.2">
      <c r="A8272" s="146"/>
      <c r="D8272" s="496"/>
    </row>
    <row r="8273" spans="1:4" x14ac:dyDescent="0.2">
      <c r="A8273" s="146"/>
      <c r="D8273" s="496"/>
    </row>
    <row r="8274" spans="1:4" x14ac:dyDescent="0.2">
      <c r="A8274" s="146"/>
      <c r="D8274" s="496"/>
    </row>
    <row r="8275" spans="1:4" x14ac:dyDescent="0.2">
      <c r="A8275" s="146"/>
      <c r="D8275" s="496"/>
    </row>
    <row r="8276" spans="1:4" x14ac:dyDescent="0.2">
      <c r="A8276" s="146"/>
      <c r="D8276" s="496"/>
    </row>
    <row r="8277" spans="1:4" x14ac:dyDescent="0.2">
      <c r="A8277" s="146"/>
      <c r="D8277" s="496"/>
    </row>
    <row r="8278" spans="1:4" x14ac:dyDescent="0.2">
      <c r="A8278" s="146"/>
      <c r="D8278" s="496"/>
    </row>
    <row r="8279" spans="1:4" x14ac:dyDescent="0.2">
      <c r="A8279" s="146"/>
      <c r="D8279" s="496"/>
    </row>
    <row r="8280" spans="1:4" x14ac:dyDescent="0.2">
      <c r="A8280" s="146"/>
      <c r="D8280" s="496"/>
    </row>
    <row r="8281" spans="1:4" x14ac:dyDescent="0.2">
      <c r="A8281" s="146"/>
      <c r="D8281" s="496"/>
    </row>
    <row r="8282" spans="1:4" x14ac:dyDescent="0.2">
      <c r="A8282" s="146"/>
      <c r="D8282" s="496"/>
    </row>
    <row r="8283" spans="1:4" x14ac:dyDescent="0.2">
      <c r="A8283" s="146"/>
      <c r="D8283" s="496"/>
    </row>
    <row r="8284" spans="1:4" x14ac:dyDescent="0.2">
      <c r="A8284" s="146"/>
      <c r="D8284" s="496"/>
    </row>
    <row r="8285" spans="1:4" x14ac:dyDescent="0.2">
      <c r="A8285" s="146"/>
      <c r="D8285" s="496"/>
    </row>
    <row r="8286" spans="1:4" x14ac:dyDescent="0.2">
      <c r="A8286" s="146"/>
      <c r="D8286" s="496"/>
    </row>
    <row r="8287" spans="1:4" x14ac:dyDescent="0.2">
      <c r="A8287" s="146"/>
      <c r="D8287" s="496"/>
    </row>
    <row r="8288" spans="1:4" x14ac:dyDescent="0.2">
      <c r="A8288" s="146"/>
      <c r="D8288" s="496"/>
    </row>
    <row r="8289" spans="1:4" x14ac:dyDescent="0.2">
      <c r="A8289" s="146"/>
      <c r="D8289" s="496"/>
    </row>
    <row r="8290" spans="1:4" x14ac:dyDescent="0.2">
      <c r="A8290" s="146"/>
      <c r="D8290" s="496"/>
    </row>
    <row r="8291" spans="1:4" x14ac:dyDescent="0.2">
      <c r="A8291" s="146"/>
      <c r="D8291" s="496"/>
    </row>
    <row r="8292" spans="1:4" x14ac:dyDescent="0.2">
      <c r="A8292" s="146"/>
      <c r="D8292" s="496"/>
    </row>
    <row r="8293" spans="1:4" x14ac:dyDescent="0.2">
      <c r="A8293" s="146"/>
      <c r="D8293" s="496"/>
    </row>
    <row r="8294" spans="1:4" x14ac:dyDescent="0.2">
      <c r="A8294" s="146"/>
      <c r="D8294" s="496"/>
    </row>
    <row r="8295" spans="1:4" x14ac:dyDescent="0.2">
      <c r="A8295" s="146"/>
      <c r="D8295" s="496"/>
    </row>
    <row r="8296" spans="1:4" x14ac:dyDescent="0.2">
      <c r="A8296" s="146"/>
      <c r="D8296" s="496"/>
    </row>
    <row r="8297" spans="1:4" x14ac:dyDescent="0.2">
      <c r="A8297" s="146"/>
      <c r="D8297" s="496"/>
    </row>
    <row r="8298" spans="1:4" x14ac:dyDescent="0.2">
      <c r="A8298" s="146"/>
      <c r="D8298" s="496"/>
    </row>
    <row r="8299" spans="1:4" x14ac:dyDescent="0.2">
      <c r="A8299" s="146"/>
      <c r="D8299" s="496"/>
    </row>
    <row r="8300" spans="1:4" x14ac:dyDescent="0.2">
      <c r="A8300" s="146"/>
      <c r="D8300" s="496"/>
    </row>
    <row r="8301" spans="1:4" x14ac:dyDescent="0.2">
      <c r="A8301" s="146"/>
      <c r="D8301" s="496"/>
    </row>
    <row r="8302" spans="1:4" x14ac:dyDescent="0.2">
      <c r="A8302" s="146"/>
      <c r="D8302" s="496"/>
    </row>
    <row r="8303" spans="1:4" x14ac:dyDescent="0.2">
      <c r="A8303" s="146"/>
      <c r="D8303" s="496"/>
    </row>
    <row r="8304" spans="1:4" x14ac:dyDescent="0.2">
      <c r="A8304" s="146"/>
      <c r="D8304" s="496"/>
    </row>
    <row r="8305" spans="1:4" x14ac:dyDescent="0.2">
      <c r="A8305" s="146"/>
      <c r="D8305" s="496"/>
    </row>
    <row r="8306" spans="1:4" x14ac:dyDescent="0.2">
      <c r="A8306" s="146"/>
      <c r="D8306" s="496"/>
    </row>
    <row r="8307" spans="1:4" x14ac:dyDescent="0.2">
      <c r="A8307" s="146"/>
      <c r="D8307" s="496"/>
    </row>
    <row r="8308" spans="1:4" x14ac:dyDescent="0.2">
      <c r="A8308" s="146"/>
      <c r="D8308" s="496"/>
    </row>
    <row r="8309" spans="1:4" x14ac:dyDescent="0.2">
      <c r="A8309" s="146"/>
      <c r="D8309" s="496"/>
    </row>
    <row r="8310" spans="1:4" x14ac:dyDescent="0.2">
      <c r="A8310" s="146"/>
      <c r="D8310" s="496"/>
    </row>
    <row r="8311" spans="1:4" x14ac:dyDescent="0.2">
      <c r="A8311" s="146"/>
      <c r="D8311" s="496"/>
    </row>
    <row r="8312" spans="1:4" x14ac:dyDescent="0.2">
      <c r="A8312" s="146"/>
      <c r="D8312" s="496"/>
    </row>
    <row r="8313" spans="1:4" x14ac:dyDescent="0.2">
      <c r="A8313" s="146"/>
      <c r="D8313" s="496"/>
    </row>
    <row r="8314" spans="1:4" x14ac:dyDescent="0.2">
      <c r="A8314" s="146"/>
      <c r="D8314" s="496"/>
    </row>
    <row r="8315" spans="1:4" x14ac:dyDescent="0.2">
      <c r="A8315" s="146"/>
      <c r="D8315" s="496"/>
    </row>
    <row r="8316" spans="1:4" x14ac:dyDescent="0.2">
      <c r="A8316" s="146"/>
      <c r="D8316" s="496"/>
    </row>
    <row r="8317" spans="1:4" x14ac:dyDescent="0.2">
      <c r="A8317" s="146"/>
      <c r="D8317" s="496"/>
    </row>
    <row r="8318" spans="1:4" x14ac:dyDescent="0.2">
      <c r="A8318" s="146"/>
      <c r="D8318" s="496"/>
    </row>
    <row r="8319" spans="1:4" x14ac:dyDescent="0.2">
      <c r="A8319" s="146"/>
      <c r="D8319" s="496"/>
    </row>
    <row r="8320" spans="1:4" x14ac:dyDescent="0.2">
      <c r="A8320" s="146"/>
      <c r="D8320" s="496"/>
    </row>
    <row r="8321" spans="1:4" x14ac:dyDescent="0.2">
      <c r="A8321" s="146"/>
      <c r="D8321" s="496"/>
    </row>
    <row r="8322" spans="1:4" x14ac:dyDescent="0.2">
      <c r="A8322" s="146"/>
      <c r="D8322" s="496"/>
    </row>
    <row r="8323" spans="1:4" x14ac:dyDescent="0.2">
      <c r="A8323" s="146"/>
      <c r="D8323" s="496"/>
    </row>
    <row r="8324" spans="1:4" x14ac:dyDescent="0.2">
      <c r="A8324" s="146"/>
      <c r="D8324" s="496"/>
    </row>
    <row r="8325" spans="1:4" x14ac:dyDescent="0.2">
      <c r="A8325" s="146"/>
      <c r="D8325" s="496"/>
    </row>
    <row r="8326" spans="1:4" x14ac:dyDescent="0.2">
      <c r="A8326" s="146"/>
      <c r="D8326" s="496"/>
    </row>
    <row r="8327" spans="1:4" x14ac:dyDescent="0.2">
      <c r="A8327" s="146"/>
      <c r="D8327" s="496"/>
    </row>
    <row r="8328" spans="1:4" x14ac:dyDescent="0.2">
      <c r="A8328" s="146"/>
      <c r="D8328" s="496"/>
    </row>
    <row r="8329" spans="1:4" x14ac:dyDescent="0.2">
      <c r="A8329" s="146"/>
      <c r="D8329" s="496"/>
    </row>
    <row r="8330" spans="1:4" x14ac:dyDescent="0.2">
      <c r="A8330" s="146"/>
      <c r="D8330" s="496"/>
    </row>
    <row r="8331" spans="1:4" x14ac:dyDescent="0.2">
      <c r="A8331" s="146"/>
      <c r="D8331" s="496"/>
    </row>
    <row r="8332" spans="1:4" x14ac:dyDescent="0.2">
      <c r="A8332" s="146"/>
      <c r="D8332" s="496"/>
    </row>
    <row r="8333" spans="1:4" x14ac:dyDescent="0.2">
      <c r="A8333" s="146"/>
      <c r="D8333" s="496"/>
    </row>
    <row r="8334" spans="1:4" x14ac:dyDescent="0.2">
      <c r="A8334" s="146"/>
      <c r="D8334" s="496"/>
    </row>
    <row r="8335" spans="1:4" x14ac:dyDescent="0.2">
      <c r="A8335" s="146"/>
      <c r="D8335" s="496"/>
    </row>
    <row r="8336" spans="1:4" x14ac:dyDescent="0.2">
      <c r="A8336" s="146"/>
      <c r="D8336" s="496"/>
    </row>
    <row r="8337" spans="1:4" x14ac:dyDescent="0.2">
      <c r="A8337" s="146"/>
      <c r="D8337" s="496"/>
    </row>
    <row r="8338" spans="1:4" x14ac:dyDescent="0.2">
      <c r="A8338" s="146"/>
      <c r="D8338" s="496"/>
    </row>
    <row r="8339" spans="1:4" x14ac:dyDescent="0.2">
      <c r="A8339" s="146"/>
      <c r="D8339" s="496"/>
    </row>
    <row r="8340" spans="1:4" x14ac:dyDescent="0.2">
      <c r="A8340" s="146"/>
      <c r="D8340" s="496"/>
    </row>
    <row r="8341" spans="1:4" x14ac:dyDescent="0.2">
      <c r="A8341" s="146"/>
      <c r="D8341" s="496"/>
    </row>
    <row r="8342" spans="1:4" x14ac:dyDescent="0.2">
      <c r="A8342" s="146"/>
      <c r="D8342" s="496"/>
    </row>
    <row r="8343" spans="1:4" x14ac:dyDescent="0.2">
      <c r="A8343" s="146"/>
      <c r="D8343" s="496"/>
    </row>
    <row r="8344" spans="1:4" x14ac:dyDescent="0.2">
      <c r="A8344" s="146"/>
      <c r="D8344" s="496"/>
    </row>
    <row r="8345" spans="1:4" x14ac:dyDescent="0.2">
      <c r="A8345" s="146"/>
      <c r="D8345" s="496"/>
    </row>
    <row r="8346" spans="1:4" x14ac:dyDescent="0.2">
      <c r="A8346" s="146"/>
      <c r="D8346" s="496"/>
    </row>
    <row r="8347" spans="1:4" x14ac:dyDescent="0.2">
      <c r="A8347" s="146"/>
      <c r="D8347" s="496"/>
    </row>
    <row r="8348" spans="1:4" x14ac:dyDescent="0.2">
      <c r="A8348" s="146"/>
      <c r="D8348" s="496"/>
    </row>
    <row r="8349" spans="1:4" x14ac:dyDescent="0.2">
      <c r="A8349" s="146"/>
      <c r="D8349" s="496"/>
    </row>
    <row r="8350" spans="1:4" x14ac:dyDescent="0.2">
      <c r="A8350" s="146"/>
      <c r="D8350" s="496"/>
    </row>
    <row r="8351" spans="1:4" x14ac:dyDescent="0.2">
      <c r="A8351" s="146"/>
      <c r="D8351" s="496"/>
    </row>
    <row r="8352" spans="1:4" x14ac:dyDescent="0.2">
      <c r="A8352" s="146"/>
      <c r="D8352" s="496"/>
    </row>
    <row r="8353" spans="1:4" x14ac:dyDescent="0.2">
      <c r="A8353" s="146"/>
      <c r="D8353" s="496"/>
    </row>
    <row r="8354" spans="1:4" x14ac:dyDescent="0.2">
      <c r="A8354" s="146"/>
      <c r="D8354" s="496"/>
    </row>
    <row r="8355" spans="1:4" x14ac:dyDescent="0.2">
      <c r="A8355" s="146"/>
      <c r="D8355" s="496"/>
    </row>
    <row r="8356" spans="1:4" x14ac:dyDescent="0.2">
      <c r="A8356" s="146"/>
      <c r="D8356" s="496"/>
    </row>
    <row r="8357" spans="1:4" x14ac:dyDescent="0.2">
      <c r="A8357" s="146"/>
      <c r="D8357" s="496"/>
    </row>
    <row r="8358" spans="1:4" x14ac:dyDescent="0.2">
      <c r="A8358" s="146"/>
      <c r="D8358" s="496"/>
    </row>
    <row r="8359" spans="1:4" x14ac:dyDescent="0.2">
      <c r="A8359" s="146"/>
      <c r="D8359" s="496"/>
    </row>
    <row r="8360" spans="1:4" x14ac:dyDescent="0.2">
      <c r="A8360" s="146"/>
      <c r="D8360" s="496"/>
    </row>
    <row r="8361" spans="1:4" x14ac:dyDescent="0.2">
      <c r="A8361" s="146"/>
      <c r="D8361" s="496"/>
    </row>
    <row r="8362" spans="1:4" x14ac:dyDescent="0.2">
      <c r="A8362" s="146"/>
      <c r="D8362" s="496"/>
    </row>
    <row r="8363" spans="1:4" x14ac:dyDescent="0.2">
      <c r="A8363" s="146"/>
      <c r="D8363" s="496"/>
    </row>
    <row r="8364" spans="1:4" x14ac:dyDescent="0.2">
      <c r="A8364" s="146"/>
      <c r="D8364" s="496"/>
    </row>
    <row r="8365" spans="1:4" x14ac:dyDescent="0.2">
      <c r="A8365" s="146"/>
      <c r="D8365" s="496"/>
    </row>
    <row r="8366" spans="1:4" x14ac:dyDescent="0.2">
      <c r="A8366" s="146"/>
      <c r="D8366" s="496"/>
    </row>
    <row r="8367" spans="1:4" x14ac:dyDescent="0.2">
      <c r="A8367" s="146"/>
      <c r="D8367" s="496"/>
    </row>
    <row r="8368" spans="1:4" x14ac:dyDescent="0.2">
      <c r="A8368" s="146"/>
      <c r="D8368" s="496"/>
    </row>
    <row r="8369" spans="1:4" x14ac:dyDescent="0.2">
      <c r="A8369" s="146"/>
      <c r="D8369" s="496"/>
    </row>
    <row r="8370" spans="1:4" x14ac:dyDescent="0.2">
      <c r="A8370" s="146"/>
      <c r="D8370" s="496"/>
    </row>
    <row r="8371" spans="1:4" x14ac:dyDescent="0.2">
      <c r="A8371" s="146"/>
      <c r="D8371" s="496"/>
    </row>
    <row r="8372" spans="1:4" x14ac:dyDescent="0.2">
      <c r="A8372" s="146"/>
      <c r="D8372" s="496"/>
    </row>
    <row r="8373" spans="1:4" x14ac:dyDescent="0.2">
      <c r="A8373" s="146"/>
      <c r="D8373" s="496"/>
    </row>
    <row r="8374" spans="1:4" x14ac:dyDescent="0.2">
      <c r="A8374" s="146"/>
      <c r="D8374" s="496"/>
    </row>
    <row r="8375" spans="1:4" x14ac:dyDescent="0.2">
      <c r="A8375" s="146"/>
      <c r="D8375" s="496"/>
    </row>
    <row r="8376" spans="1:4" x14ac:dyDescent="0.2">
      <c r="A8376" s="146"/>
      <c r="D8376" s="496"/>
    </row>
    <row r="8377" spans="1:4" x14ac:dyDescent="0.2">
      <c r="A8377" s="146"/>
      <c r="D8377" s="496"/>
    </row>
    <row r="8378" spans="1:4" x14ac:dyDescent="0.2">
      <c r="A8378" s="146"/>
      <c r="D8378" s="496"/>
    </row>
    <row r="8379" spans="1:4" x14ac:dyDescent="0.2">
      <c r="A8379" s="146"/>
      <c r="D8379" s="496"/>
    </row>
    <row r="8380" spans="1:4" x14ac:dyDescent="0.2">
      <c r="A8380" s="146"/>
      <c r="D8380" s="496"/>
    </row>
    <row r="8381" spans="1:4" x14ac:dyDescent="0.2">
      <c r="A8381" s="146"/>
      <c r="D8381" s="496"/>
    </row>
    <row r="8382" spans="1:4" x14ac:dyDescent="0.2">
      <c r="A8382" s="146"/>
      <c r="D8382" s="496"/>
    </row>
    <row r="8383" spans="1:4" x14ac:dyDescent="0.2">
      <c r="A8383" s="146"/>
      <c r="D8383" s="496"/>
    </row>
    <row r="8384" spans="1:4" x14ac:dyDescent="0.2">
      <c r="A8384" s="146"/>
      <c r="D8384" s="496"/>
    </row>
    <row r="8385" spans="1:4" x14ac:dyDescent="0.2">
      <c r="A8385" s="146"/>
      <c r="D8385" s="496"/>
    </row>
    <row r="8386" spans="1:4" x14ac:dyDescent="0.2">
      <c r="A8386" s="146"/>
      <c r="D8386" s="496"/>
    </row>
    <row r="8387" spans="1:4" x14ac:dyDescent="0.2">
      <c r="A8387" s="146"/>
      <c r="D8387" s="496"/>
    </row>
    <row r="8388" spans="1:4" x14ac:dyDescent="0.2">
      <c r="A8388" s="146"/>
      <c r="D8388" s="496"/>
    </row>
    <row r="8389" spans="1:4" x14ac:dyDescent="0.2">
      <c r="A8389" s="146"/>
      <c r="D8389" s="496"/>
    </row>
    <row r="8390" spans="1:4" x14ac:dyDescent="0.2">
      <c r="A8390" s="146"/>
      <c r="D8390" s="496"/>
    </row>
    <row r="8391" spans="1:4" x14ac:dyDescent="0.2">
      <c r="A8391" s="146"/>
      <c r="D8391" s="496"/>
    </row>
    <row r="8392" spans="1:4" x14ac:dyDescent="0.2">
      <c r="A8392" s="146"/>
      <c r="D8392" s="496"/>
    </row>
    <row r="8393" spans="1:4" x14ac:dyDescent="0.2">
      <c r="A8393" s="146"/>
      <c r="D8393" s="496"/>
    </row>
    <row r="8394" spans="1:4" x14ac:dyDescent="0.2">
      <c r="A8394" s="146"/>
      <c r="D8394" s="496"/>
    </row>
    <row r="8395" spans="1:4" x14ac:dyDescent="0.2">
      <c r="A8395" s="146"/>
      <c r="D8395" s="496"/>
    </row>
    <row r="8396" spans="1:4" x14ac:dyDescent="0.2">
      <c r="A8396" s="146"/>
      <c r="D8396" s="496"/>
    </row>
    <row r="8397" spans="1:4" x14ac:dyDescent="0.2">
      <c r="A8397" s="146"/>
      <c r="D8397" s="496"/>
    </row>
    <row r="8398" spans="1:4" x14ac:dyDescent="0.2">
      <c r="A8398" s="146"/>
      <c r="D8398" s="496"/>
    </row>
    <row r="8399" spans="1:4" x14ac:dyDescent="0.2">
      <c r="A8399" s="146"/>
      <c r="D8399" s="496"/>
    </row>
    <row r="8400" spans="1:4" x14ac:dyDescent="0.2">
      <c r="A8400" s="146"/>
      <c r="D8400" s="496"/>
    </row>
    <row r="8401" spans="1:4" x14ac:dyDescent="0.2">
      <c r="A8401" s="146"/>
      <c r="D8401" s="496"/>
    </row>
    <row r="8402" spans="1:4" x14ac:dyDescent="0.2">
      <c r="A8402" s="146"/>
      <c r="D8402" s="496"/>
    </row>
    <row r="8403" spans="1:4" x14ac:dyDescent="0.2">
      <c r="A8403" s="146"/>
      <c r="D8403" s="496"/>
    </row>
    <row r="8404" spans="1:4" x14ac:dyDescent="0.2">
      <c r="A8404" s="146"/>
      <c r="D8404" s="496"/>
    </row>
    <row r="8405" spans="1:4" x14ac:dyDescent="0.2">
      <c r="A8405" s="146"/>
      <c r="D8405" s="496"/>
    </row>
    <row r="8406" spans="1:4" x14ac:dyDescent="0.2">
      <c r="A8406" s="146"/>
      <c r="D8406" s="496"/>
    </row>
    <row r="8407" spans="1:4" x14ac:dyDescent="0.2">
      <c r="A8407" s="146"/>
      <c r="D8407" s="496"/>
    </row>
    <row r="8408" spans="1:4" x14ac:dyDescent="0.2">
      <c r="A8408" s="146"/>
      <c r="D8408" s="496"/>
    </row>
    <row r="8409" spans="1:4" x14ac:dyDescent="0.2">
      <c r="A8409" s="146"/>
      <c r="D8409" s="496"/>
    </row>
    <row r="8410" spans="1:4" x14ac:dyDescent="0.2">
      <c r="A8410" s="146"/>
      <c r="D8410" s="496"/>
    </row>
    <row r="8411" spans="1:4" x14ac:dyDescent="0.2">
      <c r="A8411" s="146"/>
      <c r="D8411" s="496"/>
    </row>
    <row r="8412" spans="1:4" x14ac:dyDescent="0.2">
      <c r="A8412" s="146"/>
      <c r="D8412" s="496"/>
    </row>
    <row r="8413" spans="1:4" x14ac:dyDescent="0.2">
      <c r="A8413" s="146"/>
      <c r="D8413" s="496"/>
    </row>
    <row r="8414" spans="1:4" x14ac:dyDescent="0.2">
      <c r="A8414" s="146"/>
      <c r="D8414" s="496"/>
    </row>
    <row r="8415" spans="1:4" x14ac:dyDescent="0.2">
      <c r="A8415" s="146"/>
      <c r="D8415" s="496"/>
    </row>
    <row r="8416" spans="1:4" x14ac:dyDescent="0.2">
      <c r="A8416" s="146"/>
      <c r="D8416" s="496"/>
    </row>
    <row r="8417" spans="1:4" x14ac:dyDescent="0.2">
      <c r="A8417" s="146"/>
      <c r="D8417" s="496"/>
    </row>
    <row r="8418" spans="1:4" x14ac:dyDescent="0.2">
      <c r="A8418" s="146"/>
      <c r="D8418" s="496"/>
    </row>
    <row r="8419" spans="1:4" x14ac:dyDescent="0.2">
      <c r="A8419" s="146"/>
      <c r="D8419" s="496"/>
    </row>
    <row r="8420" spans="1:4" x14ac:dyDescent="0.2">
      <c r="A8420" s="146"/>
      <c r="D8420" s="496"/>
    </row>
    <row r="8421" spans="1:4" x14ac:dyDescent="0.2">
      <c r="A8421" s="146"/>
      <c r="D8421" s="496"/>
    </row>
    <row r="8422" spans="1:4" x14ac:dyDescent="0.2">
      <c r="A8422" s="146"/>
      <c r="D8422" s="496"/>
    </row>
    <row r="8423" spans="1:4" x14ac:dyDescent="0.2">
      <c r="A8423" s="146"/>
      <c r="D8423" s="496"/>
    </row>
    <row r="8424" spans="1:4" x14ac:dyDescent="0.2">
      <c r="A8424" s="146"/>
      <c r="D8424" s="496"/>
    </row>
    <row r="8425" spans="1:4" x14ac:dyDescent="0.2">
      <c r="A8425" s="146"/>
      <c r="D8425" s="496"/>
    </row>
    <row r="8426" spans="1:4" x14ac:dyDescent="0.2">
      <c r="A8426" s="146"/>
      <c r="D8426" s="496"/>
    </row>
    <row r="8427" spans="1:4" x14ac:dyDescent="0.2">
      <c r="A8427" s="146"/>
      <c r="D8427" s="496"/>
    </row>
    <row r="8428" spans="1:4" x14ac:dyDescent="0.2">
      <c r="A8428" s="146"/>
      <c r="D8428" s="496"/>
    </row>
    <row r="8429" spans="1:4" x14ac:dyDescent="0.2">
      <c r="A8429" s="146"/>
      <c r="D8429" s="496"/>
    </row>
    <row r="8430" spans="1:4" x14ac:dyDescent="0.2">
      <c r="A8430" s="146"/>
      <c r="D8430" s="496"/>
    </row>
    <row r="8431" spans="1:4" x14ac:dyDescent="0.2">
      <c r="A8431" s="146"/>
      <c r="D8431" s="496"/>
    </row>
    <row r="8432" spans="1:4" x14ac:dyDescent="0.2">
      <c r="A8432" s="146"/>
      <c r="D8432" s="496"/>
    </row>
    <row r="8433" spans="1:4" x14ac:dyDescent="0.2">
      <c r="A8433" s="146"/>
      <c r="D8433" s="496"/>
    </row>
    <row r="8434" spans="1:4" x14ac:dyDescent="0.2">
      <c r="A8434" s="146"/>
      <c r="D8434" s="496"/>
    </row>
    <row r="8435" spans="1:4" x14ac:dyDescent="0.2">
      <c r="A8435" s="146"/>
      <c r="D8435" s="496"/>
    </row>
    <row r="8436" spans="1:4" x14ac:dyDescent="0.2">
      <c r="A8436" s="146"/>
      <c r="D8436" s="496"/>
    </row>
    <row r="8437" spans="1:4" x14ac:dyDescent="0.2">
      <c r="A8437" s="146"/>
      <c r="D8437" s="496"/>
    </row>
    <row r="8438" spans="1:4" x14ac:dyDescent="0.2">
      <c r="A8438" s="146"/>
      <c r="D8438" s="496"/>
    </row>
    <row r="8439" spans="1:4" x14ac:dyDescent="0.2">
      <c r="A8439" s="146"/>
      <c r="D8439" s="496"/>
    </row>
    <row r="8440" spans="1:4" x14ac:dyDescent="0.2">
      <c r="A8440" s="146"/>
      <c r="D8440" s="496"/>
    </row>
    <row r="8441" spans="1:4" x14ac:dyDescent="0.2">
      <c r="A8441" s="146"/>
      <c r="D8441" s="496"/>
    </row>
    <row r="8442" spans="1:4" x14ac:dyDescent="0.2">
      <c r="A8442" s="146"/>
      <c r="D8442" s="496"/>
    </row>
    <row r="8443" spans="1:4" x14ac:dyDescent="0.2">
      <c r="A8443" s="146"/>
      <c r="D8443" s="496"/>
    </row>
    <row r="8444" spans="1:4" x14ac:dyDescent="0.2">
      <c r="A8444" s="146"/>
      <c r="D8444" s="496"/>
    </row>
    <row r="8445" spans="1:4" x14ac:dyDescent="0.2">
      <c r="A8445" s="146"/>
      <c r="D8445" s="496"/>
    </row>
    <row r="8446" spans="1:4" x14ac:dyDescent="0.2">
      <c r="A8446" s="146"/>
      <c r="D8446" s="496"/>
    </row>
    <row r="8447" spans="1:4" x14ac:dyDescent="0.2">
      <c r="A8447" s="146"/>
      <c r="D8447" s="496"/>
    </row>
    <row r="8448" spans="1:4" x14ac:dyDescent="0.2">
      <c r="A8448" s="146"/>
      <c r="D8448" s="496"/>
    </row>
    <row r="8449" spans="1:4" x14ac:dyDescent="0.2">
      <c r="A8449" s="146"/>
      <c r="D8449" s="496"/>
    </row>
    <row r="8450" spans="1:4" x14ac:dyDescent="0.2">
      <c r="A8450" s="146"/>
      <c r="D8450" s="496"/>
    </row>
    <row r="8451" spans="1:4" x14ac:dyDescent="0.2">
      <c r="A8451" s="146"/>
      <c r="D8451" s="496"/>
    </row>
    <row r="8452" spans="1:4" x14ac:dyDescent="0.2">
      <c r="A8452" s="146"/>
      <c r="D8452" s="496"/>
    </row>
    <row r="8453" spans="1:4" x14ac:dyDescent="0.2">
      <c r="A8453" s="146"/>
      <c r="D8453" s="496"/>
    </row>
    <row r="8454" spans="1:4" x14ac:dyDescent="0.2">
      <c r="A8454" s="146"/>
      <c r="D8454" s="496"/>
    </row>
    <row r="8455" spans="1:4" x14ac:dyDescent="0.2">
      <c r="A8455" s="146"/>
      <c r="D8455" s="496"/>
    </row>
    <row r="8456" spans="1:4" x14ac:dyDescent="0.2">
      <c r="A8456" s="146"/>
      <c r="D8456" s="496"/>
    </row>
    <row r="8457" spans="1:4" x14ac:dyDescent="0.2">
      <c r="A8457" s="146"/>
      <c r="D8457" s="496"/>
    </row>
    <row r="8458" spans="1:4" x14ac:dyDescent="0.2">
      <c r="A8458" s="146"/>
      <c r="D8458" s="496"/>
    </row>
    <row r="8459" spans="1:4" x14ac:dyDescent="0.2">
      <c r="A8459" s="146"/>
      <c r="D8459" s="496"/>
    </row>
    <row r="8460" spans="1:4" x14ac:dyDescent="0.2">
      <c r="A8460" s="146"/>
      <c r="D8460" s="496"/>
    </row>
    <row r="8461" spans="1:4" x14ac:dyDescent="0.2">
      <c r="A8461" s="146"/>
      <c r="D8461" s="496"/>
    </row>
    <row r="8462" spans="1:4" x14ac:dyDescent="0.2">
      <c r="A8462" s="146"/>
      <c r="D8462" s="496"/>
    </row>
    <row r="8463" spans="1:4" x14ac:dyDescent="0.2">
      <c r="A8463" s="146"/>
      <c r="D8463" s="496"/>
    </row>
    <row r="8464" spans="1:4" x14ac:dyDescent="0.2">
      <c r="A8464" s="146"/>
      <c r="D8464" s="496"/>
    </row>
    <row r="8465" spans="1:4" x14ac:dyDescent="0.2">
      <c r="A8465" s="146"/>
      <c r="D8465" s="496"/>
    </row>
    <row r="8466" spans="1:4" x14ac:dyDescent="0.2">
      <c r="A8466" s="146"/>
      <c r="D8466" s="496"/>
    </row>
    <row r="8467" spans="1:4" x14ac:dyDescent="0.2">
      <c r="A8467" s="146"/>
      <c r="D8467" s="496"/>
    </row>
    <row r="8468" spans="1:4" x14ac:dyDescent="0.2">
      <c r="A8468" s="146"/>
      <c r="D8468" s="496"/>
    </row>
    <row r="8469" spans="1:4" x14ac:dyDescent="0.2">
      <c r="A8469" s="146"/>
      <c r="D8469" s="496"/>
    </row>
    <row r="8470" spans="1:4" x14ac:dyDescent="0.2">
      <c r="A8470" s="146"/>
      <c r="D8470" s="496"/>
    </row>
    <row r="8471" spans="1:4" x14ac:dyDescent="0.2">
      <c r="A8471" s="146"/>
      <c r="D8471" s="496"/>
    </row>
    <row r="8472" spans="1:4" x14ac:dyDescent="0.2">
      <c r="A8472" s="146"/>
      <c r="D8472" s="496"/>
    </row>
    <row r="8473" spans="1:4" x14ac:dyDescent="0.2">
      <c r="A8473" s="146"/>
      <c r="D8473" s="496"/>
    </row>
    <row r="8474" spans="1:4" x14ac:dyDescent="0.2">
      <c r="A8474" s="146"/>
      <c r="D8474" s="496"/>
    </row>
    <row r="8475" spans="1:4" x14ac:dyDescent="0.2">
      <c r="A8475" s="146"/>
      <c r="D8475" s="496"/>
    </row>
    <row r="8476" spans="1:4" x14ac:dyDescent="0.2">
      <c r="A8476" s="146"/>
      <c r="D8476" s="496"/>
    </row>
    <row r="8477" spans="1:4" x14ac:dyDescent="0.2">
      <c r="A8477" s="146"/>
      <c r="D8477" s="496"/>
    </row>
    <row r="8478" spans="1:4" x14ac:dyDescent="0.2">
      <c r="A8478" s="146"/>
      <c r="D8478" s="496"/>
    </row>
    <row r="8479" spans="1:4" x14ac:dyDescent="0.2">
      <c r="A8479" s="146"/>
      <c r="D8479" s="496"/>
    </row>
    <row r="8480" spans="1:4" x14ac:dyDescent="0.2">
      <c r="A8480" s="146"/>
      <c r="D8480" s="496"/>
    </row>
    <row r="8481" spans="1:4" x14ac:dyDescent="0.2">
      <c r="A8481" s="146"/>
      <c r="D8481" s="496"/>
    </row>
    <row r="8482" spans="1:4" x14ac:dyDescent="0.2">
      <c r="A8482" s="146"/>
      <c r="D8482" s="496"/>
    </row>
    <row r="8483" spans="1:4" x14ac:dyDescent="0.2">
      <c r="A8483" s="146"/>
      <c r="D8483" s="496"/>
    </row>
    <row r="8484" spans="1:4" x14ac:dyDescent="0.2">
      <c r="A8484" s="146"/>
      <c r="D8484" s="496"/>
    </row>
    <row r="8485" spans="1:4" x14ac:dyDescent="0.2">
      <c r="A8485" s="146"/>
      <c r="D8485" s="496"/>
    </row>
    <row r="8486" spans="1:4" x14ac:dyDescent="0.2">
      <c r="A8486" s="146"/>
      <c r="D8486" s="496"/>
    </row>
    <row r="8487" spans="1:4" x14ac:dyDescent="0.2">
      <c r="A8487" s="146"/>
      <c r="D8487" s="496"/>
    </row>
    <row r="8488" spans="1:4" x14ac:dyDescent="0.2">
      <c r="A8488" s="146"/>
      <c r="D8488" s="496"/>
    </row>
    <row r="8489" spans="1:4" x14ac:dyDescent="0.2">
      <c r="A8489" s="146"/>
      <c r="D8489" s="496"/>
    </row>
    <row r="8490" spans="1:4" x14ac:dyDescent="0.2">
      <c r="A8490" s="146"/>
      <c r="D8490" s="496"/>
    </row>
    <row r="8491" spans="1:4" x14ac:dyDescent="0.2">
      <c r="A8491" s="146"/>
      <c r="D8491" s="496"/>
    </row>
    <row r="8492" spans="1:4" x14ac:dyDescent="0.2">
      <c r="A8492" s="146"/>
      <c r="D8492" s="496"/>
    </row>
    <row r="8493" spans="1:4" x14ac:dyDescent="0.2">
      <c r="A8493" s="146"/>
      <c r="D8493" s="496"/>
    </row>
    <row r="8494" spans="1:4" x14ac:dyDescent="0.2">
      <c r="A8494" s="146"/>
      <c r="D8494" s="496"/>
    </row>
    <row r="8495" spans="1:4" x14ac:dyDescent="0.2">
      <c r="A8495" s="146"/>
      <c r="D8495" s="496"/>
    </row>
    <row r="8496" spans="1:4" x14ac:dyDescent="0.2">
      <c r="A8496" s="146"/>
      <c r="D8496" s="496"/>
    </row>
    <row r="8497" spans="1:4" x14ac:dyDescent="0.2">
      <c r="A8497" s="146"/>
      <c r="D8497" s="496"/>
    </row>
    <row r="8498" spans="1:4" x14ac:dyDescent="0.2">
      <c r="A8498" s="146"/>
      <c r="D8498" s="496"/>
    </row>
    <row r="8499" spans="1:4" x14ac:dyDescent="0.2">
      <c r="A8499" s="146"/>
      <c r="D8499" s="496"/>
    </row>
    <row r="8500" spans="1:4" x14ac:dyDescent="0.2">
      <c r="A8500" s="146"/>
      <c r="D8500" s="496"/>
    </row>
    <row r="8501" spans="1:4" x14ac:dyDescent="0.2">
      <c r="A8501" s="146"/>
      <c r="D8501" s="496"/>
    </row>
    <row r="8502" spans="1:4" x14ac:dyDescent="0.2">
      <c r="A8502" s="146"/>
      <c r="D8502" s="496"/>
    </row>
    <row r="8503" spans="1:4" x14ac:dyDescent="0.2">
      <c r="A8503" s="146"/>
      <c r="D8503" s="496"/>
    </row>
    <row r="8504" spans="1:4" x14ac:dyDescent="0.2">
      <c r="A8504" s="146"/>
      <c r="D8504" s="496"/>
    </row>
    <row r="8505" spans="1:4" x14ac:dyDescent="0.2">
      <c r="A8505" s="146"/>
      <c r="D8505" s="496"/>
    </row>
    <row r="8506" spans="1:4" x14ac:dyDescent="0.2">
      <c r="A8506" s="146"/>
      <c r="D8506" s="496"/>
    </row>
    <row r="8507" spans="1:4" x14ac:dyDescent="0.2">
      <c r="A8507" s="146"/>
      <c r="D8507" s="496"/>
    </row>
    <row r="8508" spans="1:4" x14ac:dyDescent="0.2">
      <c r="A8508" s="146"/>
      <c r="D8508" s="496"/>
    </row>
    <row r="8509" spans="1:4" x14ac:dyDescent="0.2">
      <c r="A8509" s="146"/>
      <c r="D8509" s="496"/>
    </row>
    <row r="8510" spans="1:4" x14ac:dyDescent="0.2">
      <c r="A8510" s="146"/>
      <c r="D8510" s="496"/>
    </row>
    <row r="8511" spans="1:4" x14ac:dyDescent="0.2">
      <c r="A8511" s="146"/>
      <c r="D8511" s="496"/>
    </row>
    <row r="8512" spans="1:4" x14ac:dyDescent="0.2">
      <c r="A8512" s="146"/>
      <c r="D8512" s="496"/>
    </row>
    <row r="8513" spans="1:4" x14ac:dyDescent="0.2">
      <c r="A8513" s="146"/>
      <c r="D8513" s="496"/>
    </row>
    <row r="8514" spans="1:4" x14ac:dyDescent="0.2">
      <c r="A8514" s="146"/>
      <c r="D8514" s="496"/>
    </row>
    <row r="8515" spans="1:4" x14ac:dyDescent="0.2">
      <c r="A8515" s="146"/>
      <c r="D8515" s="496"/>
    </row>
    <row r="8516" spans="1:4" x14ac:dyDescent="0.2">
      <c r="A8516" s="146"/>
      <c r="D8516" s="496"/>
    </row>
    <row r="8517" spans="1:4" x14ac:dyDescent="0.2">
      <c r="A8517" s="146"/>
      <c r="D8517" s="496"/>
    </row>
    <row r="8518" spans="1:4" x14ac:dyDescent="0.2">
      <c r="A8518" s="146"/>
      <c r="D8518" s="496"/>
    </row>
    <row r="8519" spans="1:4" x14ac:dyDescent="0.2">
      <c r="A8519" s="146"/>
      <c r="D8519" s="496"/>
    </row>
    <row r="8520" spans="1:4" x14ac:dyDescent="0.2">
      <c r="A8520" s="146"/>
      <c r="D8520" s="496"/>
    </row>
    <row r="8521" spans="1:4" x14ac:dyDescent="0.2">
      <c r="A8521" s="146"/>
      <c r="D8521" s="496"/>
    </row>
    <row r="8522" spans="1:4" x14ac:dyDescent="0.2">
      <c r="A8522" s="146"/>
      <c r="D8522" s="496"/>
    </row>
    <row r="8523" spans="1:4" x14ac:dyDescent="0.2">
      <c r="A8523" s="146"/>
      <c r="D8523" s="496"/>
    </row>
    <row r="8524" spans="1:4" x14ac:dyDescent="0.2">
      <c r="A8524" s="146"/>
      <c r="D8524" s="496"/>
    </row>
    <row r="8525" spans="1:4" x14ac:dyDescent="0.2">
      <c r="A8525" s="146"/>
      <c r="D8525" s="496"/>
    </row>
    <row r="8526" spans="1:4" x14ac:dyDescent="0.2">
      <c r="A8526" s="146"/>
      <c r="D8526" s="496"/>
    </row>
    <row r="8527" spans="1:4" x14ac:dyDescent="0.2">
      <c r="A8527" s="146"/>
      <c r="D8527" s="496"/>
    </row>
    <row r="8528" spans="1:4" x14ac:dyDescent="0.2">
      <c r="A8528" s="146"/>
      <c r="D8528" s="496"/>
    </row>
    <row r="8529" spans="1:4" x14ac:dyDescent="0.2">
      <c r="A8529" s="146"/>
      <c r="D8529" s="496"/>
    </row>
    <row r="8530" spans="1:4" x14ac:dyDescent="0.2">
      <c r="A8530" s="146"/>
      <c r="D8530" s="496"/>
    </row>
    <row r="8531" spans="1:4" x14ac:dyDescent="0.2">
      <c r="A8531" s="146"/>
      <c r="D8531" s="496"/>
    </row>
    <row r="8532" spans="1:4" x14ac:dyDescent="0.2">
      <c r="A8532" s="146"/>
      <c r="D8532" s="496"/>
    </row>
    <row r="8533" spans="1:4" x14ac:dyDescent="0.2">
      <c r="A8533" s="146"/>
      <c r="D8533" s="496"/>
    </row>
    <row r="8534" spans="1:4" x14ac:dyDescent="0.2">
      <c r="A8534" s="146"/>
      <c r="D8534" s="496"/>
    </row>
    <row r="8535" spans="1:4" x14ac:dyDescent="0.2">
      <c r="A8535" s="146"/>
      <c r="D8535" s="496"/>
    </row>
    <row r="8536" spans="1:4" x14ac:dyDescent="0.2">
      <c r="A8536" s="146"/>
      <c r="D8536" s="496"/>
    </row>
    <row r="8537" spans="1:4" x14ac:dyDescent="0.2">
      <c r="A8537" s="146"/>
      <c r="D8537" s="496"/>
    </row>
    <row r="8538" spans="1:4" x14ac:dyDescent="0.2">
      <c r="A8538" s="146"/>
      <c r="D8538" s="496"/>
    </row>
    <row r="8539" spans="1:4" x14ac:dyDescent="0.2">
      <c r="A8539" s="146"/>
      <c r="D8539" s="496"/>
    </row>
    <row r="8540" spans="1:4" x14ac:dyDescent="0.2">
      <c r="A8540" s="146"/>
      <c r="D8540" s="496"/>
    </row>
    <row r="8541" spans="1:4" x14ac:dyDescent="0.2">
      <c r="A8541" s="146"/>
      <c r="D8541" s="496"/>
    </row>
    <row r="8542" spans="1:4" x14ac:dyDescent="0.2">
      <c r="A8542" s="146"/>
      <c r="D8542" s="496"/>
    </row>
    <row r="8543" spans="1:4" x14ac:dyDescent="0.2">
      <c r="A8543" s="146"/>
      <c r="D8543" s="496"/>
    </row>
    <row r="8544" spans="1:4" x14ac:dyDescent="0.2">
      <c r="A8544" s="146"/>
      <c r="D8544" s="496"/>
    </row>
    <row r="8545" spans="1:4" x14ac:dyDescent="0.2">
      <c r="A8545" s="146"/>
      <c r="D8545" s="496"/>
    </row>
    <row r="8546" spans="1:4" x14ac:dyDescent="0.2">
      <c r="A8546" s="146"/>
      <c r="D8546" s="496"/>
    </row>
    <row r="8547" spans="1:4" x14ac:dyDescent="0.2">
      <c r="A8547" s="146"/>
      <c r="D8547" s="496"/>
    </row>
    <row r="8548" spans="1:4" x14ac:dyDescent="0.2">
      <c r="A8548" s="146"/>
      <c r="D8548" s="496"/>
    </row>
    <row r="8549" spans="1:4" x14ac:dyDescent="0.2">
      <c r="A8549" s="146"/>
      <c r="D8549" s="496"/>
    </row>
    <row r="8550" spans="1:4" x14ac:dyDescent="0.2">
      <c r="A8550" s="146"/>
      <c r="D8550" s="496"/>
    </row>
    <row r="8551" spans="1:4" x14ac:dyDescent="0.2">
      <c r="A8551" s="146"/>
      <c r="D8551" s="496"/>
    </row>
    <row r="8552" spans="1:4" x14ac:dyDescent="0.2">
      <c r="A8552" s="146"/>
      <c r="D8552" s="496"/>
    </row>
    <row r="8553" spans="1:4" x14ac:dyDescent="0.2">
      <c r="A8553" s="146"/>
      <c r="D8553" s="496"/>
    </row>
    <row r="8554" spans="1:4" x14ac:dyDescent="0.2">
      <c r="A8554" s="146"/>
      <c r="D8554" s="496"/>
    </row>
    <row r="8555" spans="1:4" x14ac:dyDescent="0.2">
      <c r="A8555" s="146"/>
      <c r="D8555" s="496"/>
    </row>
    <row r="8556" spans="1:4" x14ac:dyDescent="0.2">
      <c r="A8556" s="146"/>
      <c r="D8556" s="496"/>
    </row>
    <row r="8557" spans="1:4" x14ac:dyDescent="0.2">
      <c r="A8557" s="146"/>
      <c r="D8557" s="496"/>
    </row>
    <row r="8558" spans="1:4" x14ac:dyDescent="0.2">
      <c r="A8558" s="146"/>
      <c r="D8558" s="496"/>
    </row>
    <row r="8559" spans="1:4" x14ac:dyDescent="0.2">
      <c r="A8559" s="146"/>
      <c r="D8559" s="496"/>
    </row>
    <row r="8560" spans="1:4" x14ac:dyDescent="0.2">
      <c r="A8560" s="146"/>
      <c r="D8560" s="496"/>
    </row>
    <row r="8561" spans="1:4" x14ac:dyDescent="0.2">
      <c r="A8561" s="146"/>
      <c r="D8561" s="496"/>
    </row>
    <row r="8562" spans="1:4" x14ac:dyDescent="0.2">
      <c r="A8562" s="146"/>
      <c r="D8562" s="496"/>
    </row>
    <row r="8563" spans="1:4" x14ac:dyDescent="0.2">
      <c r="A8563" s="146"/>
      <c r="D8563" s="496"/>
    </row>
    <row r="8564" spans="1:4" x14ac:dyDescent="0.2">
      <c r="A8564" s="146"/>
      <c r="D8564" s="496"/>
    </row>
    <row r="8565" spans="1:4" x14ac:dyDescent="0.2">
      <c r="A8565" s="146"/>
      <c r="D8565" s="496"/>
    </row>
    <row r="8566" spans="1:4" x14ac:dyDescent="0.2">
      <c r="A8566" s="146"/>
      <c r="D8566" s="496"/>
    </row>
    <row r="8567" spans="1:4" x14ac:dyDescent="0.2">
      <c r="A8567" s="146"/>
      <c r="D8567" s="496"/>
    </row>
    <row r="8568" spans="1:4" x14ac:dyDescent="0.2">
      <c r="A8568" s="146"/>
      <c r="D8568" s="496"/>
    </row>
    <row r="8569" spans="1:4" x14ac:dyDescent="0.2">
      <c r="A8569" s="146"/>
      <c r="D8569" s="496"/>
    </row>
    <row r="8570" spans="1:4" x14ac:dyDescent="0.2">
      <c r="A8570" s="146"/>
      <c r="D8570" s="496"/>
    </row>
    <row r="8571" spans="1:4" x14ac:dyDescent="0.2">
      <c r="A8571" s="146"/>
      <c r="D8571" s="496"/>
    </row>
    <row r="8572" spans="1:4" x14ac:dyDescent="0.2">
      <c r="A8572" s="146"/>
      <c r="D8572" s="496"/>
    </row>
    <row r="8573" spans="1:4" x14ac:dyDescent="0.2">
      <c r="A8573" s="146"/>
      <c r="D8573" s="496"/>
    </row>
    <row r="8574" spans="1:4" x14ac:dyDescent="0.2">
      <c r="A8574" s="146"/>
      <c r="D8574" s="496"/>
    </row>
    <row r="8575" spans="1:4" x14ac:dyDescent="0.2">
      <c r="A8575" s="146"/>
      <c r="D8575" s="496"/>
    </row>
    <row r="8576" spans="1:4" x14ac:dyDescent="0.2">
      <c r="A8576" s="146"/>
      <c r="D8576" s="496"/>
    </row>
    <row r="8577" spans="1:4" x14ac:dyDescent="0.2">
      <c r="A8577" s="146"/>
      <c r="D8577" s="496"/>
    </row>
    <row r="8578" spans="1:4" x14ac:dyDescent="0.2">
      <c r="A8578" s="146"/>
      <c r="D8578" s="496"/>
    </row>
    <row r="8579" spans="1:4" x14ac:dyDescent="0.2">
      <c r="A8579" s="146"/>
      <c r="D8579" s="496"/>
    </row>
    <row r="8580" spans="1:4" x14ac:dyDescent="0.2">
      <c r="A8580" s="146"/>
      <c r="D8580" s="496"/>
    </row>
    <row r="8581" spans="1:4" x14ac:dyDescent="0.2">
      <c r="A8581" s="146"/>
      <c r="D8581" s="496"/>
    </row>
    <row r="8582" spans="1:4" x14ac:dyDescent="0.2">
      <c r="A8582" s="146"/>
      <c r="D8582" s="496"/>
    </row>
    <row r="8583" spans="1:4" x14ac:dyDescent="0.2">
      <c r="A8583" s="146"/>
      <c r="D8583" s="496"/>
    </row>
    <row r="8584" spans="1:4" x14ac:dyDescent="0.2">
      <c r="A8584" s="146"/>
      <c r="D8584" s="496"/>
    </row>
    <row r="8585" spans="1:4" x14ac:dyDescent="0.2">
      <c r="A8585" s="146"/>
      <c r="D8585" s="496"/>
    </row>
    <row r="8586" spans="1:4" x14ac:dyDescent="0.2">
      <c r="A8586" s="146"/>
      <c r="D8586" s="496"/>
    </row>
    <row r="8587" spans="1:4" x14ac:dyDescent="0.2">
      <c r="A8587" s="146"/>
      <c r="D8587" s="496"/>
    </row>
    <row r="8588" spans="1:4" x14ac:dyDescent="0.2">
      <c r="A8588" s="146"/>
      <c r="D8588" s="496"/>
    </row>
    <row r="8589" spans="1:4" x14ac:dyDescent="0.2">
      <c r="A8589" s="146"/>
      <c r="D8589" s="496"/>
    </row>
    <row r="8590" spans="1:4" x14ac:dyDescent="0.2">
      <c r="A8590" s="146"/>
      <c r="D8590" s="496"/>
    </row>
    <row r="8591" spans="1:4" x14ac:dyDescent="0.2">
      <c r="A8591" s="146"/>
      <c r="D8591" s="496"/>
    </row>
    <row r="8592" spans="1:4" x14ac:dyDescent="0.2">
      <c r="A8592" s="146"/>
      <c r="D8592" s="496"/>
    </row>
    <row r="8593" spans="1:4" x14ac:dyDescent="0.2">
      <c r="A8593" s="146"/>
      <c r="D8593" s="496"/>
    </row>
    <row r="8594" spans="1:4" x14ac:dyDescent="0.2">
      <c r="A8594" s="146"/>
      <c r="D8594" s="496"/>
    </row>
    <row r="8595" spans="1:4" x14ac:dyDescent="0.2">
      <c r="A8595" s="146"/>
      <c r="D8595" s="496"/>
    </row>
    <row r="8596" spans="1:4" x14ac:dyDescent="0.2">
      <c r="A8596" s="146"/>
      <c r="D8596" s="496"/>
    </row>
    <row r="8597" spans="1:4" x14ac:dyDescent="0.2">
      <c r="A8597" s="146"/>
      <c r="D8597" s="496"/>
    </row>
    <row r="8598" spans="1:4" x14ac:dyDescent="0.2">
      <c r="A8598" s="146"/>
      <c r="D8598" s="496"/>
    </row>
    <row r="8599" spans="1:4" x14ac:dyDescent="0.2">
      <c r="A8599" s="146"/>
      <c r="D8599" s="496"/>
    </row>
    <row r="8600" spans="1:4" x14ac:dyDescent="0.2">
      <c r="A8600" s="146"/>
      <c r="D8600" s="496"/>
    </row>
    <row r="8601" spans="1:4" x14ac:dyDescent="0.2">
      <c r="A8601" s="146"/>
      <c r="D8601" s="496"/>
    </row>
    <row r="8602" spans="1:4" x14ac:dyDescent="0.2">
      <c r="A8602" s="146"/>
      <c r="D8602" s="496"/>
    </row>
    <row r="8603" spans="1:4" x14ac:dyDescent="0.2">
      <c r="A8603" s="146"/>
      <c r="D8603" s="496"/>
    </row>
    <row r="8604" spans="1:4" x14ac:dyDescent="0.2">
      <c r="A8604" s="146"/>
      <c r="D8604" s="496"/>
    </row>
    <row r="8605" spans="1:4" x14ac:dyDescent="0.2">
      <c r="A8605" s="146"/>
      <c r="D8605" s="496"/>
    </row>
    <row r="8606" spans="1:4" x14ac:dyDescent="0.2">
      <c r="A8606" s="146"/>
      <c r="D8606" s="496"/>
    </row>
    <row r="8607" spans="1:4" x14ac:dyDescent="0.2">
      <c r="A8607" s="146"/>
      <c r="D8607" s="496"/>
    </row>
    <row r="8608" spans="1:4" x14ac:dyDescent="0.2">
      <c r="A8608" s="146"/>
      <c r="D8608" s="496"/>
    </row>
    <row r="8609" spans="1:4" x14ac:dyDescent="0.2">
      <c r="A8609" s="146"/>
      <c r="D8609" s="496"/>
    </row>
    <row r="8610" spans="1:4" x14ac:dyDescent="0.2">
      <c r="A8610" s="146"/>
      <c r="D8610" s="496"/>
    </row>
    <row r="8611" spans="1:4" x14ac:dyDescent="0.2">
      <c r="A8611" s="146"/>
      <c r="D8611" s="496"/>
    </row>
    <row r="8612" spans="1:4" x14ac:dyDescent="0.2">
      <c r="A8612" s="146"/>
      <c r="D8612" s="496"/>
    </row>
    <row r="8613" spans="1:4" x14ac:dyDescent="0.2">
      <c r="A8613" s="146"/>
      <c r="D8613" s="496"/>
    </row>
    <row r="8614" spans="1:4" x14ac:dyDescent="0.2">
      <c r="A8614" s="146"/>
      <c r="D8614" s="496"/>
    </row>
    <row r="8615" spans="1:4" x14ac:dyDescent="0.2">
      <c r="A8615" s="146"/>
      <c r="D8615" s="496"/>
    </row>
    <row r="8616" spans="1:4" x14ac:dyDescent="0.2">
      <c r="A8616" s="146"/>
      <c r="D8616" s="496"/>
    </row>
    <row r="8617" spans="1:4" x14ac:dyDescent="0.2">
      <c r="A8617" s="146"/>
      <c r="D8617" s="496"/>
    </row>
    <row r="8618" spans="1:4" x14ac:dyDescent="0.2">
      <c r="A8618" s="146"/>
      <c r="D8618" s="496"/>
    </row>
    <row r="8619" spans="1:4" x14ac:dyDescent="0.2">
      <c r="A8619" s="146"/>
      <c r="D8619" s="496"/>
    </row>
    <row r="8620" spans="1:4" x14ac:dyDescent="0.2">
      <c r="A8620" s="146"/>
      <c r="D8620" s="496"/>
    </row>
    <row r="8621" spans="1:4" x14ac:dyDescent="0.2">
      <c r="A8621" s="146"/>
      <c r="D8621" s="496"/>
    </row>
    <row r="8622" spans="1:4" x14ac:dyDescent="0.2">
      <c r="A8622" s="146"/>
      <c r="D8622" s="496"/>
    </row>
    <row r="8623" spans="1:4" x14ac:dyDescent="0.2">
      <c r="A8623" s="146"/>
      <c r="D8623" s="496"/>
    </row>
    <row r="8624" spans="1:4" x14ac:dyDescent="0.2">
      <c r="A8624" s="146"/>
      <c r="D8624" s="496"/>
    </row>
    <row r="8625" spans="1:4" x14ac:dyDescent="0.2">
      <c r="A8625" s="146"/>
      <c r="D8625" s="496"/>
    </row>
    <row r="8626" spans="1:4" x14ac:dyDescent="0.2">
      <c r="A8626" s="146"/>
      <c r="D8626" s="496"/>
    </row>
    <row r="8627" spans="1:4" x14ac:dyDescent="0.2">
      <c r="A8627" s="146"/>
      <c r="D8627" s="496"/>
    </row>
    <row r="8628" spans="1:4" x14ac:dyDescent="0.2">
      <c r="A8628" s="146"/>
      <c r="D8628" s="496"/>
    </row>
    <row r="8629" spans="1:4" x14ac:dyDescent="0.2">
      <c r="A8629" s="146"/>
      <c r="D8629" s="496"/>
    </row>
    <row r="8630" spans="1:4" x14ac:dyDescent="0.2">
      <c r="A8630" s="146"/>
      <c r="D8630" s="496"/>
    </row>
    <row r="8631" spans="1:4" x14ac:dyDescent="0.2">
      <c r="A8631" s="146"/>
      <c r="D8631" s="496"/>
    </row>
    <row r="8632" spans="1:4" x14ac:dyDescent="0.2">
      <c r="A8632" s="146"/>
      <c r="D8632" s="496"/>
    </row>
    <row r="8633" spans="1:4" x14ac:dyDescent="0.2">
      <c r="A8633" s="146"/>
      <c r="D8633" s="496"/>
    </row>
    <row r="8634" spans="1:4" x14ac:dyDescent="0.2">
      <c r="A8634" s="146"/>
      <c r="D8634" s="496"/>
    </row>
    <row r="8635" spans="1:4" x14ac:dyDescent="0.2">
      <c r="A8635" s="146"/>
      <c r="D8635" s="496"/>
    </row>
    <row r="8636" spans="1:4" x14ac:dyDescent="0.2">
      <c r="A8636" s="146"/>
      <c r="D8636" s="496"/>
    </row>
    <row r="8637" spans="1:4" x14ac:dyDescent="0.2">
      <c r="A8637" s="146"/>
      <c r="D8637" s="496"/>
    </row>
    <row r="8638" spans="1:4" x14ac:dyDescent="0.2">
      <c r="A8638" s="146"/>
      <c r="D8638" s="496"/>
    </row>
    <row r="8639" spans="1:4" x14ac:dyDescent="0.2">
      <c r="A8639" s="146"/>
      <c r="D8639" s="496"/>
    </row>
    <row r="8640" spans="1:4" x14ac:dyDescent="0.2">
      <c r="A8640" s="146"/>
      <c r="D8640" s="496"/>
    </row>
    <row r="8641" spans="1:4" x14ac:dyDescent="0.2">
      <c r="A8641" s="146"/>
      <c r="D8641" s="496"/>
    </row>
    <row r="8642" spans="1:4" x14ac:dyDescent="0.2">
      <c r="A8642" s="146"/>
      <c r="D8642" s="496"/>
    </row>
    <row r="8643" spans="1:4" x14ac:dyDescent="0.2">
      <c r="A8643" s="146"/>
      <c r="D8643" s="496"/>
    </row>
    <row r="8644" spans="1:4" x14ac:dyDescent="0.2">
      <c r="A8644" s="146"/>
      <c r="D8644" s="496"/>
    </row>
    <row r="8645" spans="1:4" x14ac:dyDescent="0.2">
      <c r="A8645" s="146"/>
      <c r="D8645" s="496"/>
    </row>
    <row r="8646" spans="1:4" x14ac:dyDescent="0.2">
      <c r="A8646" s="146"/>
      <c r="D8646" s="496"/>
    </row>
    <row r="8647" spans="1:4" x14ac:dyDescent="0.2">
      <c r="A8647" s="146"/>
      <c r="D8647" s="496"/>
    </row>
    <row r="8648" spans="1:4" x14ac:dyDescent="0.2">
      <c r="A8648" s="146"/>
      <c r="D8648" s="496"/>
    </row>
    <row r="8649" spans="1:4" x14ac:dyDescent="0.2">
      <c r="A8649" s="146"/>
      <c r="D8649" s="496"/>
    </row>
    <row r="8650" spans="1:4" x14ac:dyDescent="0.2">
      <c r="A8650" s="146"/>
      <c r="D8650" s="496"/>
    </row>
    <row r="8651" spans="1:4" x14ac:dyDescent="0.2">
      <c r="A8651" s="146"/>
      <c r="D8651" s="496"/>
    </row>
    <row r="8652" spans="1:4" x14ac:dyDescent="0.2">
      <c r="A8652" s="146"/>
      <c r="D8652" s="496"/>
    </row>
    <row r="8653" spans="1:4" x14ac:dyDescent="0.2">
      <c r="A8653" s="146"/>
      <c r="D8653" s="496"/>
    </row>
    <row r="8654" spans="1:4" x14ac:dyDescent="0.2">
      <c r="A8654" s="146"/>
      <c r="D8654" s="496"/>
    </row>
    <row r="8655" spans="1:4" x14ac:dyDescent="0.2">
      <c r="A8655" s="146"/>
      <c r="D8655" s="496"/>
    </row>
    <row r="8656" spans="1:4" x14ac:dyDescent="0.2">
      <c r="A8656" s="146"/>
      <c r="D8656" s="496"/>
    </row>
    <row r="8657" spans="1:4" x14ac:dyDescent="0.2">
      <c r="A8657" s="146"/>
      <c r="D8657" s="496"/>
    </row>
    <row r="8658" spans="1:4" x14ac:dyDescent="0.2">
      <c r="A8658" s="146"/>
      <c r="D8658" s="496"/>
    </row>
    <row r="8659" spans="1:4" x14ac:dyDescent="0.2">
      <c r="A8659" s="146"/>
      <c r="D8659" s="496"/>
    </row>
    <row r="8660" spans="1:4" x14ac:dyDescent="0.2">
      <c r="A8660" s="146"/>
      <c r="D8660" s="496"/>
    </row>
    <row r="8661" spans="1:4" x14ac:dyDescent="0.2">
      <c r="A8661" s="146"/>
      <c r="D8661" s="496"/>
    </row>
    <row r="8662" spans="1:4" x14ac:dyDescent="0.2">
      <c r="A8662" s="146"/>
      <c r="D8662" s="496"/>
    </row>
    <row r="8663" spans="1:4" x14ac:dyDescent="0.2">
      <c r="A8663" s="146"/>
      <c r="D8663" s="496"/>
    </row>
    <row r="8664" spans="1:4" x14ac:dyDescent="0.2">
      <c r="A8664" s="146"/>
      <c r="D8664" s="496"/>
    </row>
    <row r="8665" spans="1:4" x14ac:dyDescent="0.2">
      <c r="A8665" s="146"/>
      <c r="D8665" s="496"/>
    </row>
    <row r="8666" spans="1:4" x14ac:dyDescent="0.2">
      <c r="A8666" s="146"/>
      <c r="D8666" s="496"/>
    </row>
    <row r="8667" spans="1:4" x14ac:dyDescent="0.2">
      <c r="A8667" s="146"/>
      <c r="D8667" s="496"/>
    </row>
    <row r="8668" spans="1:4" x14ac:dyDescent="0.2">
      <c r="A8668" s="146"/>
      <c r="D8668" s="496"/>
    </row>
    <row r="8669" spans="1:4" x14ac:dyDescent="0.2">
      <c r="A8669" s="146"/>
      <c r="D8669" s="496"/>
    </row>
    <row r="8670" spans="1:4" x14ac:dyDescent="0.2">
      <c r="A8670" s="146"/>
      <c r="D8670" s="496"/>
    </row>
    <row r="8671" spans="1:4" x14ac:dyDescent="0.2">
      <c r="A8671" s="146"/>
      <c r="D8671" s="496"/>
    </row>
    <row r="8672" spans="1:4" x14ac:dyDescent="0.2">
      <c r="A8672" s="146"/>
      <c r="D8672" s="496"/>
    </row>
    <row r="8673" spans="1:4" x14ac:dyDescent="0.2">
      <c r="A8673" s="146"/>
      <c r="D8673" s="496"/>
    </row>
    <row r="8674" spans="1:4" x14ac:dyDescent="0.2">
      <c r="A8674" s="146"/>
      <c r="D8674" s="496"/>
    </row>
    <row r="8675" spans="1:4" x14ac:dyDescent="0.2">
      <c r="A8675" s="146"/>
      <c r="D8675" s="496"/>
    </row>
    <row r="8676" spans="1:4" x14ac:dyDescent="0.2">
      <c r="A8676" s="146"/>
      <c r="D8676" s="496"/>
    </row>
    <row r="8677" spans="1:4" x14ac:dyDescent="0.2">
      <c r="A8677" s="146"/>
      <c r="D8677" s="496"/>
    </row>
    <row r="8678" spans="1:4" x14ac:dyDescent="0.2">
      <c r="A8678" s="146"/>
      <c r="D8678" s="496"/>
    </row>
    <row r="8679" spans="1:4" x14ac:dyDescent="0.2">
      <c r="A8679" s="146"/>
      <c r="D8679" s="496"/>
    </row>
    <row r="8680" spans="1:4" x14ac:dyDescent="0.2">
      <c r="A8680" s="146"/>
      <c r="D8680" s="496"/>
    </row>
    <row r="8681" spans="1:4" x14ac:dyDescent="0.2">
      <c r="A8681" s="146"/>
      <c r="D8681" s="496"/>
    </row>
    <row r="8682" spans="1:4" x14ac:dyDescent="0.2">
      <c r="A8682" s="146"/>
      <c r="D8682" s="496"/>
    </row>
    <row r="8683" spans="1:4" x14ac:dyDescent="0.2">
      <c r="A8683" s="146"/>
      <c r="D8683" s="496"/>
    </row>
    <row r="8684" spans="1:4" x14ac:dyDescent="0.2">
      <c r="A8684" s="146"/>
      <c r="D8684" s="496"/>
    </row>
    <row r="8685" spans="1:4" x14ac:dyDescent="0.2">
      <c r="A8685" s="146"/>
      <c r="D8685" s="496"/>
    </row>
    <row r="8686" spans="1:4" x14ac:dyDescent="0.2">
      <c r="A8686" s="146"/>
      <c r="D8686" s="496"/>
    </row>
    <row r="8687" spans="1:4" x14ac:dyDescent="0.2">
      <c r="A8687" s="146"/>
      <c r="D8687" s="496"/>
    </row>
    <row r="8688" spans="1:4" x14ac:dyDescent="0.2">
      <c r="A8688" s="146"/>
      <c r="D8688" s="496"/>
    </row>
    <row r="8689" spans="1:4" x14ac:dyDescent="0.2">
      <c r="A8689" s="146"/>
      <c r="D8689" s="496"/>
    </row>
    <row r="8690" spans="1:4" x14ac:dyDescent="0.2">
      <c r="A8690" s="146"/>
      <c r="D8690" s="496"/>
    </row>
    <row r="8691" spans="1:4" x14ac:dyDescent="0.2">
      <c r="A8691" s="146"/>
      <c r="D8691" s="496"/>
    </row>
    <row r="8692" spans="1:4" x14ac:dyDescent="0.2">
      <c r="A8692" s="146"/>
      <c r="D8692" s="496"/>
    </row>
    <row r="8693" spans="1:4" x14ac:dyDescent="0.2">
      <c r="A8693" s="146"/>
      <c r="D8693" s="496"/>
    </row>
    <row r="8694" spans="1:4" x14ac:dyDescent="0.2">
      <c r="A8694" s="146"/>
      <c r="D8694" s="496"/>
    </row>
    <row r="8695" spans="1:4" x14ac:dyDescent="0.2">
      <c r="A8695" s="146"/>
      <c r="D8695" s="496"/>
    </row>
    <row r="8696" spans="1:4" x14ac:dyDescent="0.2">
      <c r="A8696" s="146"/>
      <c r="D8696" s="496"/>
    </row>
    <row r="8697" spans="1:4" x14ac:dyDescent="0.2">
      <c r="A8697" s="146"/>
      <c r="D8697" s="496"/>
    </row>
    <row r="8698" spans="1:4" x14ac:dyDescent="0.2">
      <c r="A8698" s="146"/>
      <c r="D8698" s="496"/>
    </row>
    <row r="8699" spans="1:4" x14ac:dyDescent="0.2">
      <c r="A8699" s="146"/>
      <c r="D8699" s="496"/>
    </row>
    <row r="8700" spans="1:4" x14ac:dyDescent="0.2">
      <c r="A8700" s="146"/>
      <c r="D8700" s="496"/>
    </row>
    <row r="8701" spans="1:4" x14ac:dyDescent="0.2">
      <c r="A8701" s="146"/>
      <c r="D8701" s="496"/>
    </row>
    <row r="8702" spans="1:4" x14ac:dyDescent="0.2">
      <c r="A8702" s="146"/>
      <c r="D8702" s="496"/>
    </row>
    <row r="8703" spans="1:4" x14ac:dyDescent="0.2">
      <c r="A8703" s="146"/>
      <c r="D8703" s="496"/>
    </row>
    <row r="8704" spans="1:4" x14ac:dyDescent="0.2">
      <c r="A8704" s="146"/>
      <c r="D8704" s="496"/>
    </row>
    <row r="8705" spans="1:4" x14ac:dyDescent="0.2">
      <c r="A8705" s="146"/>
      <c r="D8705" s="496"/>
    </row>
    <row r="8706" spans="1:4" x14ac:dyDescent="0.2">
      <c r="A8706" s="146"/>
      <c r="D8706" s="496"/>
    </row>
    <row r="8707" spans="1:4" x14ac:dyDescent="0.2">
      <c r="A8707" s="146"/>
      <c r="D8707" s="496"/>
    </row>
    <row r="8708" spans="1:4" x14ac:dyDescent="0.2">
      <c r="A8708" s="146"/>
      <c r="D8708" s="496"/>
    </row>
    <row r="8709" spans="1:4" x14ac:dyDescent="0.2">
      <c r="A8709" s="146"/>
      <c r="D8709" s="496"/>
    </row>
    <row r="8710" spans="1:4" x14ac:dyDescent="0.2">
      <c r="A8710" s="146"/>
      <c r="D8710" s="496"/>
    </row>
    <row r="8711" spans="1:4" x14ac:dyDescent="0.2">
      <c r="A8711" s="146"/>
      <c r="D8711" s="496"/>
    </row>
    <row r="8712" spans="1:4" x14ac:dyDescent="0.2">
      <c r="A8712" s="146"/>
      <c r="D8712" s="496"/>
    </row>
    <row r="8713" spans="1:4" x14ac:dyDescent="0.2">
      <c r="A8713" s="146"/>
      <c r="D8713" s="496"/>
    </row>
    <row r="8714" spans="1:4" x14ac:dyDescent="0.2">
      <c r="A8714" s="146"/>
      <c r="D8714" s="496"/>
    </row>
    <row r="8715" spans="1:4" x14ac:dyDescent="0.2">
      <c r="A8715" s="146"/>
      <c r="D8715" s="496"/>
    </row>
    <row r="8716" spans="1:4" x14ac:dyDescent="0.2">
      <c r="A8716" s="146"/>
      <c r="D8716" s="496"/>
    </row>
    <row r="8717" spans="1:4" x14ac:dyDescent="0.2">
      <c r="A8717" s="146"/>
      <c r="D8717" s="496"/>
    </row>
    <row r="8718" spans="1:4" x14ac:dyDescent="0.2">
      <c r="A8718" s="146"/>
      <c r="D8718" s="496"/>
    </row>
    <row r="8719" spans="1:4" x14ac:dyDescent="0.2">
      <c r="A8719" s="146"/>
      <c r="D8719" s="496"/>
    </row>
    <row r="8720" spans="1:4" x14ac:dyDescent="0.2">
      <c r="A8720" s="146"/>
      <c r="D8720" s="496"/>
    </row>
    <row r="8721" spans="1:4" x14ac:dyDescent="0.2">
      <c r="A8721" s="146"/>
      <c r="D8721" s="496"/>
    </row>
    <row r="8722" spans="1:4" x14ac:dyDescent="0.2">
      <c r="A8722" s="146"/>
      <c r="D8722" s="496"/>
    </row>
    <row r="8723" spans="1:4" x14ac:dyDescent="0.2">
      <c r="A8723" s="146"/>
      <c r="D8723" s="496"/>
    </row>
    <row r="8724" spans="1:4" x14ac:dyDescent="0.2">
      <c r="A8724" s="146"/>
      <c r="D8724" s="496"/>
    </row>
    <row r="8725" spans="1:4" x14ac:dyDescent="0.2">
      <c r="A8725" s="146"/>
      <c r="D8725" s="496"/>
    </row>
    <row r="8726" spans="1:4" x14ac:dyDescent="0.2">
      <c r="A8726" s="146"/>
      <c r="D8726" s="496"/>
    </row>
    <row r="8727" spans="1:4" x14ac:dyDescent="0.2">
      <c r="A8727" s="146"/>
      <c r="D8727" s="496"/>
    </row>
    <row r="8728" spans="1:4" x14ac:dyDescent="0.2">
      <c r="A8728" s="146"/>
      <c r="D8728" s="496"/>
    </row>
    <row r="8729" spans="1:4" x14ac:dyDescent="0.2">
      <c r="A8729" s="146"/>
      <c r="D8729" s="496"/>
    </row>
    <row r="8730" spans="1:4" x14ac:dyDescent="0.2">
      <c r="A8730" s="146"/>
      <c r="D8730" s="496"/>
    </row>
    <row r="8731" spans="1:4" x14ac:dyDescent="0.2">
      <c r="A8731" s="146"/>
      <c r="D8731" s="496"/>
    </row>
    <row r="8732" spans="1:4" x14ac:dyDescent="0.2">
      <c r="A8732" s="146"/>
      <c r="D8732" s="496"/>
    </row>
    <row r="8733" spans="1:4" x14ac:dyDescent="0.2">
      <c r="A8733" s="146"/>
      <c r="D8733" s="496"/>
    </row>
    <row r="8734" spans="1:4" x14ac:dyDescent="0.2">
      <c r="A8734" s="146"/>
      <c r="D8734" s="496"/>
    </row>
    <row r="8735" spans="1:4" x14ac:dyDescent="0.2">
      <c r="A8735" s="146"/>
      <c r="D8735" s="496"/>
    </row>
    <row r="8736" spans="1:4" x14ac:dyDescent="0.2">
      <c r="A8736" s="146"/>
      <c r="D8736" s="496"/>
    </row>
    <row r="8737" spans="1:4" x14ac:dyDescent="0.2">
      <c r="A8737" s="146"/>
      <c r="D8737" s="496"/>
    </row>
    <row r="8738" spans="1:4" x14ac:dyDescent="0.2">
      <c r="A8738" s="146"/>
      <c r="D8738" s="496"/>
    </row>
    <row r="8739" spans="1:4" x14ac:dyDescent="0.2">
      <c r="A8739" s="146"/>
      <c r="D8739" s="496"/>
    </row>
    <row r="8740" spans="1:4" x14ac:dyDescent="0.2">
      <c r="A8740" s="146"/>
      <c r="D8740" s="496"/>
    </row>
    <row r="8741" spans="1:4" x14ac:dyDescent="0.2">
      <c r="A8741" s="146"/>
      <c r="D8741" s="496"/>
    </row>
    <row r="8742" spans="1:4" x14ac:dyDescent="0.2">
      <c r="A8742" s="146"/>
      <c r="D8742" s="496"/>
    </row>
    <row r="8743" spans="1:4" x14ac:dyDescent="0.2">
      <c r="A8743" s="146"/>
      <c r="D8743" s="496"/>
    </row>
    <row r="8744" spans="1:4" x14ac:dyDescent="0.2">
      <c r="A8744" s="146"/>
      <c r="D8744" s="496"/>
    </row>
    <row r="8745" spans="1:4" x14ac:dyDescent="0.2">
      <c r="A8745" s="146"/>
      <c r="D8745" s="496"/>
    </row>
    <row r="8746" spans="1:4" x14ac:dyDescent="0.2">
      <c r="A8746" s="146"/>
      <c r="D8746" s="496"/>
    </row>
    <row r="8747" spans="1:4" x14ac:dyDescent="0.2">
      <c r="A8747" s="146"/>
      <c r="D8747" s="496"/>
    </row>
    <row r="8748" spans="1:4" x14ac:dyDescent="0.2">
      <c r="A8748" s="146"/>
      <c r="D8748" s="496"/>
    </row>
    <row r="8749" spans="1:4" x14ac:dyDescent="0.2">
      <c r="A8749" s="146"/>
      <c r="D8749" s="496"/>
    </row>
    <row r="8750" spans="1:4" x14ac:dyDescent="0.2">
      <c r="A8750" s="146"/>
      <c r="D8750" s="496"/>
    </row>
    <row r="8751" spans="1:4" x14ac:dyDescent="0.2">
      <c r="A8751" s="146"/>
      <c r="D8751" s="496"/>
    </row>
    <row r="8752" spans="1:4" x14ac:dyDescent="0.2">
      <c r="A8752" s="146"/>
      <c r="D8752" s="496"/>
    </row>
    <row r="8753" spans="1:4" x14ac:dyDescent="0.2">
      <c r="A8753" s="146"/>
      <c r="D8753" s="496"/>
    </row>
    <row r="8754" spans="1:4" x14ac:dyDescent="0.2">
      <c r="A8754" s="146"/>
      <c r="D8754" s="496"/>
    </row>
    <row r="8755" spans="1:4" x14ac:dyDescent="0.2">
      <c r="A8755" s="146"/>
      <c r="D8755" s="496"/>
    </row>
    <row r="8756" spans="1:4" x14ac:dyDescent="0.2">
      <c r="A8756" s="146"/>
      <c r="D8756" s="496"/>
    </row>
    <row r="8757" spans="1:4" x14ac:dyDescent="0.2">
      <c r="A8757" s="146"/>
      <c r="D8757" s="496"/>
    </row>
    <row r="8758" spans="1:4" x14ac:dyDescent="0.2">
      <c r="A8758" s="146"/>
      <c r="D8758" s="496"/>
    </row>
    <row r="8759" spans="1:4" x14ac:dyDescent="0.2">
      <c r="A8759" s="146"/>
      <c r="D8759" s="496"/>
    </row>
    <row r="8760" spans="1:4" x14ac:dyDescent="0.2">
      <c r="A8760" s="146"/>
      <c r="D8760" s="496"/>
    </row>
    <row r="8761" spans="1:4" x14ac:dyDescent="0.2">
      <c r="A8761" s="146"/>
      <c r="D8761" s="496"/>
    </row>
    <row r="8762" spans="1:4" x14ac:dyDescent="0.2">
      <c r="A8762" s="146"/>
      <c r="D8762" s="496"/>
    </row>
    <row r="8763" spans="1:4" x14ac:dyDescent="0.2">
      <c r="A8763" s="146"/>
      <c r="D8763" s="496"/>
    </row>
    <row r="8764" spans="1:4" x14ac:dyDescent="0.2">
      <c r="A8764" s="146"/>
      <c r="D8764" s="496"/>
    </row>
    <row r="8765" spans="1:4" x14ac:dyDescent="0.2">
      <c r="A8765" s="146"/>
      <c r="D8765" s="496"/>
    </row>
    <row r="8766" spans="1:4" x14ac:dyDescent="0.2">
      <c r="A8766" s="146"/>
      <c r="D8766" s="496"/>
    </row>
    <row r="8767" spans="1:4" x14ac:dyDescent="0.2">
      <c r="A8767" s="146"/>
      <c r="D8767" s="496"/>
    </row>
    <row r="8768" spans="1:4" x14ac:dyDescent="0.2">
      <c r="A8768" s="146"/>
      <c r="D8768" s="496"/>
    </row>
    <row r="8769" spans="1:4" x14ac:dyDescent="0.2">
      <c r="A8769" s="146"/>
      <c r="D8769" s="496"/>
    </row>
    <row r="8770" spans="1:4" x14ac:dyDescent="0.2">
      <c r="A8770" s="146"/>
      <c r="D8770" s="496"/>
    </row>
    <row r="8771" spans="1:4" x14ac:dyDescent="0.2">
      <c r="A8771" s="146"/>
      <c r="D8771" s="496"/>
    </row>
    <row r="8772" spans="1:4" x14ac:dyDescent="0.2">
      <c r="A8772" s="146"/>
      <c r="D8772" s="496"/>
    </row>
    <row r="8773" spans="1:4" x14ac:dyDescent="0.2">
      <c r="A8773" s="146"/>
      <c r="D8773" s="496"/>
    </row>
    <row r="8774" spans="1:4" x14ac:dyDescent="0.2">
      <c r="A8774" s="146"/>
      <c r="D8774" s="496"/>
    </row>
    <row r="8775" spans="1:4" x14ac:dyDescent="0.2">
      <c r="A8775" s="146"/>
      <c r="D8775" s="496"/>
    </row>
    <row r="8776" spans="1:4" x14ac:dyDescent="0.2">
      <c r="A8776" s="146"/>
      <c r="D8776" s="496"/>
    </row>
    <row r="8777" spans="1:4" x14ac:dyDescent="0.2">
      <c r="A8777" s="146"/>
      <c r="D8777" s="496"/>
    </row>
    <row r="8778" spans="1:4" x14ac:dyDescent="0.2">
      <c r="A8778" s="146"/>
      <c r="D8778" s="496"/>
    </row>
    <row r="8779" spans="1:4" x14ac:dyDescent="0.2">
      <c r="A8779" s="146"/>
      <c r="D8779" s="496"/>
    </row>
    <row r="8780" spans="1:4" x14ac:dyDescent="0.2">
      <c r="A8780" s="146"/>
      <c r="D8780" s="496"/>
    </row>
    <row r="8781" spans="1:4" x14ac:dyDescent="0.2">
      <c r="A8781" s="146"/>
      <c r="D8781" s="496"/>
    </row>
    <row r="8782" spans="1:4" x14ac:dyDescent="0.2">
      <c r="A8782" s="146"/>
      <c r="D8782" s="496"/>
    </row>
    <row r="8783" spans="1:4" x14ac:dyDescent="0.2">
      <c r="A8783" s="146"/>
      <c r="D8783" s="496"/>
    </row>
    <row r="8784" spans="1:4" x14ac:dyDescent="0.2">
      <c r="A8784" s="146"/>
      <c r="D8784" s="496"/>
    </row>
    <row r="8785" spans="1:4" x14ac:dyDescent="0.2">
      <c r="A8785" s="146"/>
      <c r="D8785" s="496"/>
    </row>
    <row r="8786" spans="1:4" x14ac:dyDescent="0.2">
      <c r="A8786" s="146"/>
      <c r="D8786" s="496"/>
    </row>
    <row r="8787" spans="1:4" x14ac:dyDescent="0.2">
      <c r="A8787" s="146"/>
      <c r="D8787" s="496"/>
    </row>
    <row r="8788" spans="1:4" x14ac:dyDescent="0.2">
      <c r="A8788" s="146"/>
      <c r="D8788" s="496"/>
    </row>
    <row r="8789" spans="1:4" x14ac:dyDescent="0.2">
      <c r="A8789" s="146"/>
      <c r="D8789" s="496"/>
    </row>
    <row r="8790" spans="1:4" x14ac:dyDescent="0.2">
      <c r="A8790" s="146"/>
      <c r="D8790" s="496"/>
    </row>
    <row r="8791" spans="1:4" x14ac:dyDescent="0.2">
      <c r="A8791" s="146"/>
      <c r="D8791" s="496"/>
    </row>
    <row r="8792" spans="1:4" x14ac:dyDescent="0.2">
      <c r="A8792" s="146"/>
      <c r="D8792" s="496"/>
    </row>
    <row r="8793" spans="1:4" x14ac:dyDescent="0.2">
      <c r="A8793" s="146"/>
      <c r="D8793" s="496"/>
    </row>
    <row r="8794" spans="1:4" x14ac:dyDescent="0.2">
      <c r="A8794" s="146"/>
      <c r="D8794" s="496"/>
    </row>
    <row r="8795" spans="1:4" x14ac:dyDescent="0.2">
      <c r="A8795" s="146"/>
      <c r="D8795" s="496"/>
    </row>
    <row r="8796" spans="1:4" x14ac:dyDescent="0.2">
      <c r="A8796" s="146"/>
      <c r="D8796" s="496"/>
    </row>
    <row r="8797" spans="1:4" x14ac:dyDescent="0.2">
      <c r="A8797" s="146"/>
      <c r="D8797" s="496"/>
    </row>
    <row r="8798" spans="1:4" x14ac:dyDescent="0.2">
      <c r="A8798" s="146"/>
      <c r="D8798" s="496"/>
    </row>
    <row r="8799" spans="1:4" x14ac:dyDescent="0.2">
      <c r="A8799" s="146"/>
      <c r="D8799" s="496"/>
    </row>
    <row r="8800" spans="1:4" x14ac:dyDescent="0.2">
      <c r="A8800" s="146"/>
      <c r="D8800" s="496"/>
    </row>
    <row r="8801" spans="1:4" x14ac:dyDescent="0.2">
      <c r="A8801" s="146"/>
      <c r="D8801" s="496"/>
    </row>
    <row r="8802" spans="1:4" x14ac:dyDescent="0.2">
      <c r="A8802" s="146"/>
      <c r="D8802" s="496"/>
    </row>
    <row r="8803" spans="1:4" x14ac:dyDescent="0.2">
      <c r="A8803" s="146"/>
      <c r="D8803" s="496"/>
    </row>
    <row r="8804" spans="1:4" x14ac:dyDescent="0.2">
      <c r="A8804" s="146"/>
      <c r="D8804" s="496"/>
    </row>
    <row r="8805" spans="1:4" x14ac:dyDescent="0.2">
      <c r="A8805" s="146"/>
      <c r="D8805" s="496"/>
    </row>
    <row r="8806" spans="1:4" x14ac:dyDescent="0.2">
      <c r="A8806" s="146"/>
      <c r="D8806" s="496"/>
    </row>
    <row r="8807" spans="1:4" x14ac:dyDescent="0.2">
      <c r="A8807" s="146"/>
      <c r="D8807" s="496"/>
    </row>
    <row r="8808" spans="1:4" x14ac:dyDescent="0.2">
      <c r="A8808" s="146"/>
      <c r="D8808" s="496"/>
    </row>
    <row r="8809" spans="1:4" x14ac:dyDescent="0.2">
      <c r="A8809" s="146"/>
      <c r="D8809" s="496"/>
    </row>
    <row r="8810" spans="1:4" x14ac:dyDescent="0.2">
      <c r="A8810" s="146"/>
      <c r="D8810" s="496"/>
    </row>
    <row r="8811" spans="1:4" x14ac:dyDescent="0.2">
      <c r="A8811" s="146"/>
      <c r="D8811" s="496"/>
    </row>
    <row r="8812" spans="1:4" x14ac:dyDescent="0.2">
      <c r="A8812" s="146"/>
      <c r="D8812" s="496"/>
    </row>
    <row r="8813" spans="1:4" x14ac:dyDescent="0.2">
      <c r="A8813" s="146"/>
      <c r="D8813" s="496"/>
    </row>
    <row r="8814" spans="1:4" x14ac:dyDescent="0.2">
      <c r="A8814" s="146"/>
      <c r="D8814" s="496"/>
    </row>
    <row r="8815" spans="1:4" x14ac:dyDescent="0.2">
      <c r="A8815" s="146"/>
      <c r="D8815" s="496"/>
    </row>
    <row r="8816" spans="1:4" x14ac:dyDescent="0.2">
      <c r="A8816" s="146"/>
      <c r="D8816" s="496"/>
    </row>
    <row r="8817" spans="1:4" x14ac:dyDescent="0.2">
      <c r="A8817" s="146"/>
      <c r="D8817" s="496"/>
    </row>
    <row r="8818" spans="1:4" x14ac:dyDescent="0.2">
      <c r="A8818" s="146"/>
      <c r="D8818" s="496"/>
    </row>
    <row r="8819" spans="1:4" x14ac:dyDescent="0.2">
      <c r="A8819" s="146"/>
      <c r="D8819" s="496"/>
    </row>
    <row r="8820" spans="1:4" x14ac:dyDescent="0.2">
      <c r="A8820" s="146"/>
      <c r="D8820" s="496"/>
    </row>
    <row r="8821" spans="1:4" x14ac:dyDescent="0.2">
      <c r="A8821" s="146"/>
      <c r="D8821" s="496"/>
    </row>
    <row r="8822" spans="1:4" x14ac:dyDescent="0.2">
      <c r="A8822" s="146"/>
      <c r="D8822" s="496"/>
    </row>
    <row r="8823" spans="1:4" x14ac:dyDescent="0.2">
      <c r="A8823" s="146"/>
      <c r="D8823" s="496"/>
    </row>
    <row r="8824" spans="1:4" x14ac:dyDescent="0.2">
      <c r="A8824" s="146"/>
      <c r="D8824" s="496"/>
    </row>
    <row r="8825" spans="1:4" x14ac:dyDescent="0.2">
      <c r="A8825" s="146"/>
      <c r="D8825" s="496"/>
    </row>
    <row r="8826" spans="1:4" x14ac:dyDescent="0.2">
      <c r="A8826" s="146"/>
      <c r="D8826" s="496"/>
    </row>
    <row r="8827" spans="1:4" x14ac:dyDescent="0.2">
      <c r="A8827" s="146"/>
      <c r="D8827" s="496"/>
    </row>
    <row r="8828" spans="1:4" x14ac:dyDescent="0.2">
      <c r="A8828" s="146"/>
      <c r="D8828" s="496"/>
    </row>
    <row r="8829" spans="1:4" x14ac:dyDescent="0.2">
      <c r="A8829" s="146"/>
      <c r="D8829" s="496"/>
    </row>
    <row r="8830" spans="1:4" x14ac:dyDescent="0.2">
      <c r="A8830" s="146"/>
      <c r="D8830" s="496"/>
    </row>
    <row r="8831" spans="1:4" x14ac:dyDescent="0.2">
      <c r="A8831" s="146"/>
      <c r="D8831" s="496"/>
    </row>
    <row r="8832" spans="1:4" x14ac:dyDescent="0.2">
      <c r="A8832" s="146"/>
      <c r="D8832" s="496"/>
    </row>
    <row r="8833" spans="1:4" x14ac:dyDescent="0.2">
      <c r="A8833" s="146"/>
      <c r="D8833" s="496"/>
    </row>
    <row r="8834" spans="1:4" x14ac:dyDescent="0.2">
      <c r="A8834" s="146"/>
      <c r="D8834" s="496"/>
    </row>
    <row r="8835" spans="1:4" x14ac:dyDescent="0.2">
      <c r="A8835" s="146"/>
      <c r="D8835" s="496"/>
    </row>
    <row r="8836" spans="1:4" x14ac:dyDescent="0.2">
      <c r="A8836" s="146"/>
      <c r="D8836" s="496"/>
    </row>
    <row r="8837" spans="1:4" x14ac:dyDescent="0.2">
      <c r="A8837" s="146"/>
      <c r="D8837" s="496"/>
    </row>
    <row r="8838" spans="1:4" x14ac:dyDescent="0.2">
      <c r="A8838" s="146"/>
      <c r="D8838" s="496"/>
    </row>
    <row r="8839" spans="1:4" x14ac:dyDescent="0.2">
      <c r="A8839" s="146"/>
      <c r="D8839" s="496"/>
    </row>
    <row r="8840" spans="1:4" x14ac:dyDescent="0.2">
      <c r="A8840" s="146"/>
      <c r="D8840" s="496"/>
    </row>
    <row r="8841" spans="1:4" x14ac:dyDescent="0.2">
      <c r="A8841" s="146"/>
      <c r="D8841" s="496"/>
    </row>
    <row r="8842" spans="1:4" x14ac:dyDescent="0.2">
      <c r="A8842" s="146"/>
      <c r="D8842" s="496"/>
    </row>
    <row r="8843" spans="1:4" x14ac:dyDescent="0.2">
      <c r="A8843" s="146"/>
      <c r="D8843" s="496"/>
    </row>
    <row r="8844" spans="1:4" x14ac:dyDescent="0.2">
      <c r="A8844" s="146"/>
      <c r="D8844" s="496"/>
    </row>
    <row r="8845" spans="1:4" x14ac:dyDescent="0.2">
      <c r="A8845" s="146"/>
      <c r="D8845" s="496"/>
    </row>
    <row r="8846" spans="1:4" x14ac:dyDescent="0.2">
      <c r="A8846" s="146"/>
      <c r="D8846" s="496"/>
    </row>
    <row r="8847" spans="1:4" x14ac:dyDescent="0.2">
      <c r="A8847" s="146"/>
      <c r="D8847" s="496"/>
    </row>
    <row r="8848" spans="1:4" x14ac:dyDescent="0.2">
      <c r="A8848" s="146"/>
      <c r="D8848" s="496"/>
    </row>
    <row r="8849" spans="1:4" x14ac:dyDescent="0.2">
      <c r="A8849" s="146"/>
      <c r="D8849" s="496"/>
    </row>
    <row r="8850" spans="1:4" x14ac:dyDescent="0.2">
      <c r="A8850" s="146"/>
      <c r="D8850" s="496"/>
    </row>
    <row r="8851" spans="1:4" x14ac:dyDescent="0.2">
      <c r="A8851" s="146"/>
      <c r="D8851" s="496"/>
    </row>
    <row r="8852" spans="1:4" x14ac:dyDescent="0.2">
      <c r="A8852" s="146"/>
      <c r="D8852" s="496"/>
    </row>
    <row r="8853" spans="1:4" x14ac:dyDescent="0.2">
      <c r="A8853" s="146"/>
      <c r="D8853" s="496"/>
    </row>
    <row r="8854" spans="1:4" x14ac:dyDescent="0.2">
      <c r="A8854" s="146"/>
      <c r="D8854" s="496"/>
    </row>
    <row r="8855" spans="1:4" x14ac:dyDescent="0.2">
      <c r="A8855" s="146"/>
      <c r="D8855" s="496"/>
    </row>
    <row r="8856" spans="1:4" x14ac:dyDescent="0.2">
      <c r="A8856" s="146"/>
      <c r="D8856" s="496"/>
    </row>
    <row r="8857" spans="1:4" x14ac:dyDescent="0.2">
      <c r="A8857" s="146"/>
      <c r="D8857" s="496"/>
    </row>
    <row r="8858" spans="1:4" x14ac:dyDescent="0.2">
      <c r="A8858" s="146"/>
      <c r="D8858" s="496"/>
    </row>
    <row r="8859" spans="1:4" x14ac:dyDescent="0.2">
      <c r="A8859" s="146"/>
      <c r="D8859" s="496"/>
    </row>
    <row r="8860" spans="1:4" x14ac:dyDescent="0.2">
      <c r="A8860" s="146"/>
      <c r="D8860" s="496"/>
    </row>
    <row r="8861" spans="1:4" x14ac:dyDescent="0.2">
      <c r="A8861" s="146"/>
      <c r="D8861" s="496"/>
    </row>
    <row r="8862" spans="1:4" x14ac:dyDescent="0.2">
      <c r="A8862" s="146"/>
      <c r="D8862" s="496"/>
    </row>
    <row r="8863" spans="1:4" x14ac:dyDescent="0.2">
      <c r="A8863" s="146"/>
      <c r="D8863" s="496"/>
    </row>
    <row r="8864" spans="1:4" x14ac:dyDescent="0.2">
      <c r="A8864" s="146"/>
      <c r="D8864" s="496"/>
    </row>
    <row r="8865" spans="1:4" x14ac:dyDescent="0.2">
      <c r="A8865" s="146"/>
      <c r="D8865" s="496"/>
    </row>
    <row r="8866" spans="1:4" x14ac:dyDescent="0.2">
      <c r="A8866" s="146"/>
      <c r="D8866" s="496"/>
    </row>
    <row r="8867" spans="1:4" x14ac:dyDescent="0.2">
      <c r="A8867" s="146"/>
      <c r="D8867" s="496"/>
    </row>
    <row r="8868" spans="1:4" x14ac:dyDescent="0.2">
      <c r="A8868" s="146"/>
      <c r="D8868" s="496"/>
    </row>
    <row r="8869" spans="1:4" x14ac:dyDescent="0.2">
      <c r="A8869" s="146"/>
      <c r="D8869" s="496"/>
    </row>
    <row r="8870" spans="1:4" x14ac:dyDescent="0.2">
      <c r="A8870" s="146"/>
      <c r="D8870" s="496"/>
    </row>
    <row r="8871" spans="1:4" x14ac:dyDescent="0.2">
      <c r="A8871" s="146"/>
      <c r="D8871" s="496"/>
    </row>
    <row r="8872" spans="1:4" x14ac:dyDescent="0.2">
      <c r="A8872" s="146"/>
      <c r="D8872" s="496"/>
    </row>
    <row r="8873" spans="1:4" x14ac:dyDescent="0.2">
      <c r="A8873" s="146"/>
      <c r="D8873" s="496"/>
    </row>
    <row r="8874" spans="1:4" x14ac:dyDescent="0.2">
      <c r="A8874" s="146"/>
      <c r="D8874" s="496"/>
    </row>
    <row r="8875" spans="1:4" x14ac:dyDescent="0.2">
      <c r="A8875" s="146"/>
      <c r="D8875" s="496"/>
    </row>
    <row r="8876" spans="1:4" x14ac:dyDescent="0.2">
      <c r="A8876" s="146"/>
      <c r="D8876" s="496"/>
    </row>
    <row r="8877" spans="1:4" x14ac:dyDescent="0.2">
      <c r="A8877" s="146"/>
      <c r="D8877" s="496"/>
    </row>
    <row r="8878" spans="1:4" x14ac:dyDescent="0.2">
      <c r="A8878" s="146"/>
      <c r="D8878" s="496"/>
    </row>
    <row r="8879" spans="1:4" x14ac:dyDescent="0.2">
      <c r="A8879" s="146"/>
      <c r="D8879" s="496"/>
    </row>
    <row r="8880" spans="1:4" x14ac:dyDescent="0.2">
      <c r="A8880" s="146"/>
      <c r="D8880" s="496"/>
    </row>
    <row r="8881" spans="1:4" x14ac:dyDescent="0.2">
      <c r="A8881" s="146"/>
      <c r="D8881" s="496"/>
    </row>
    <row r="8882" spans="1:4" x14ac:dyDescent="0.2">
      <c r="A8882" s="146"/>
      <c r="D8882" s="496"/>
    </row>
    <row r="8883" spans="1:4" x14ac:dyDescent="0.2">
      <c r="A8883" s="146"/>
      <c r="D8883" s="496"/>
    </row>
    <row r="8884" spans="1:4" x14ac:dyDescent="0.2">
      <c r="A8884" s="146"/>
      <c r="D8884" s="496"/>
    </row>
    <row r="8885" spans="1:4" x14ac:dyDescent="0.2">
      <c r="A8885" s="146"/>
      <c r="D8885" s="496"/>
    </row>
    <row r="8886" spans="1:4" x14ac:dyDescent="0.2">
      <c r="A8886" s="146"/>
      <c r="D8886" s="496"/>
    </row>
    <row r="8887" spans="1:4" x14ac:dyDescent="0.2">
      <c r="A8887" s="146"/>
      <c r="D8887" s="496"/>
    </row>
    <row r="8888" spans="1:4" x14ac:dyDescent="0.2">
      <c r="A8888" s="146"/>
      <c r="D8888" s="496"/>
    </row>
    <row r="8889" spans="1:4" x14ac:dyDescent="0.2">
      <c r="A8889" s="146"/>
      <c r="D8889" s="496"/>
    </row>
    <row r="8890" spans="1:4" x14ac:dyDescent="0.2">
      <c r="A8890" s="146"/>
      <c r="D8890" s="496"/>
    </row>
    <row r="8891" spans="1:4" x14ac:dyDescent="0.2">
      <c r="A8891" s="146"/>
      <c r="D8891" s="496"/>
    </row>
    <row r="8892" spans="1:4" x14ac:dyDescent="0.2">
      <c r="A8892" s="146"/>
      <c r="D8892" s="496"/>
    </row>
    <row r="8893" spans="1:4" x14ac:dyDescent="0.2">
      <c r="A8893" s="146"/>
      <c r="D8893" s="496"/>
    </row>
    <row r="8894" spans="1:4" x14ac:dyDescent="0.2">
      <c r="A8894" s="146"/>
      <c r="D8894" s="496"/>
    </row>
    <row r="8895" spans="1:4" x14ac:dyDescent="0.2">
      <c r="A8895" s="146"/>
      <c r="D8895" s="496"/>
    </row>
    <row r="8896" spans="1:4" x14ac:dyDescent="0.2">
      <c r="A8896" s="146"/>
      <c r="D8896" s="496"/>
    </row>
    <row r="8897" spans="1:4" x14ac:dyDescent="0.2">
      <c r="A8897" s="146"/>
      <c r="D8897" s="496"/>
    </row>
    <row r="8898" spans="1:4" x14ac:dyDescent="0.2">
      <c r="A8898" s="146"/>
      <c r="D8898" s="496"/>
    </row>
    <row r="8899" spans="1:4" x14ac:dyDescent="0.2">
      <c r="A8899" s="146"/>
      <c r="D8899" s="496"/>
    </row>
    <row r="8900" spans="1:4" x14ac:dyDescent="0.2">
      <c r="A8900" s="146"/>
      <c r="D8900" s="496"/>
    </row>
    <row r="8901" spans="1:4" x14ac:dyDescent="0.2">
      <c r="A8901" s="146"/>
      <c r="D8901" s="496"/>
    </row>
    <row r="8902" spans="1:4" x14ac:dyDescent="0.2">
      <c r="A8902" s="146"/>
      <c r="D8902" s="496"/>
    </row>
    <row r="8903" spans="1:4" x14ac:dyDescent="0.2">
      <c r="A8903" s="146"/>
      <c r="D8903" s="496"/>
    </row>
    <row r="8904" spans="1:4" x14ac:dyDescent="0.2">
      <c r="A8904" s="146"/>
      <c r="D8904" s="496"/>
    </row>
    <row r="8905" spans="1:4" x14ac:dyDescent="0.2">
      <c r="A8905" s="146"/>
      <c r="D8905" s="496"/>
    </row>
    <row r="8906" spans="1:4" x14ac:dyDescent="0.2">
      <c r="A8906" s="146"/>
      <c r="D8906" s="496"/>
    </row>
    <row r="8907" spans="1:4" x14ac:dyDescent="0.2">
      <c r="A8907" s="146"/>
      <c r="D8907" s="496"/>
    </row>
    <row r="8908" spans="1:4" x14ac:dyDescent="0.2">
      <c r="A8908" s="146"/>
      <c r="D8908" s="496"/>
    </row>
    <row r="8909" spans="1:4" x14ac:dyDescent="0.2">
      <c r="A8909" s="146"/>
      <c r="D8909" s="496"/>
    </row>
    <row r="8910" spans="1:4" x14ac:dyDescent="0.2">
      <c r="A8910" s="146"/>
      <c r="D8910" s="496"/>
    </row>
    <row r="8911" spans="1:4" x14ac:dyDescent="0.2">
      <c r="A8911" s="146"/>
      <c r="D8911" s="496"/>
    </row>
    <row r="8912" spans="1:4" x14ac:dyDescent="0.2">
      <c r="A8912" s="146"/>
      <c r="D8912" s="496"/>
    </row>
    <row r="8913" spans="1:4" x14ac:dyDescent="0.2">
      <c r="A8913" s="146"/>
      <c r="D8913" s="496"/>
    </row>
    <row r="8914" spans="1:4" x14ac:dyDescent="0.2">
      <c r="A8914" s="146"/>
      <c r="D8914" s="496"/>
    </row>
    <row r="8915" spans="1:4" x14ac:dyDescent="0.2">
      <c r="A8915" s="146"/>
      <c r="D8915" s="496"/>
    </row>
    <row r="8916" spans="1:4" x14ac:dyDescent="0.2">
      <c r="A8916" s="146"/>
      <c r="D8916" s="496"/>
    </row>
    <row r="8917" spans="1:4" x14ac:dyDescent="0.2">
      <c r="A8917" s="146"/>
      <c r="D8917" s="496"/>
    </row>
    <row r="8918" spans="1:4" x14ac:dyDescent="0.2">
      <c r="A8918" s="146"/>
      <c r="D8918" s="496"/>
    </row>
    <row r="8919" spans="1:4" x14ac:dyDescent="0.2">
      <c r="A8919" s="146"/>
      <c r="D8919" s="496"/>
    </row>
    <row r="8920" spans="1:4" x14ac:dyDescent="0.2">
      <c r="A8920" s="146"/>
      <c r="D8920" s="496"/>
    </row>
    <row r="8921" spans="1:4" x14ac:dyDescent="0.2">
      <c r="A8921" s="146"/>
      <c r="D8921" s="496"/>
    </row>
    <row r="8922" spans="1:4" x14ac:dyDescent="0.2">
      <c r="A8922" s="146"/>
      <c r="D8922" s="496"/>
    </row>
    <row r="8923" spans="1:4" x14ac:dyDescent="0.2">
      <c r="A8923" s="146"/>
      <c r="D8923" s="496"/>
    </row>
    <row r="8924" spans="1:4" x14ac:dyDescent="0.2">
      <c r="A8924" s="146"/>
      <c r="D8924" s="496"/>
    </row>
    <row r="8925" spans="1:4" x14ac:dyDescent="0.2">
      <c r="A8925" s="146"/>
      <c r="D8925" s="496"/>
    </row>
    <row r="8926" spans="1:4" x14ac:dyDescent="0.2">
      <c r="A8926" s="146"/>
      <c r="D8926" s="496"/>
    </row>
    <row r="8927" spans="1:4" x14ac:dyDescent="0.2">
      <c r="A8927" s="146"/>
      <c r="D8927" s="496"/>
    </row>
    <row r="8928" spans="1:4" x14ac:dyDescent="0.2">
      <c r="A8928" s="146"/>
      <c r="D8928" s="496"/>
    </row>
    <row r="8929" spans="1:4" x14ac:dyDescent="0.2">
      <c r="A8929" s="146"/>
      <c r="D8929" s="496"/>
    </row>
    <row r="8930" spans="1:4" x14ac:dyDescent="0.2">
      <c r="A8930" s="146"/>
      <c r="D8930" s="496"/>
    </row>
    <row r="8931" spans="1:4" x14ac:dyDescent="0.2">
      <c r="A8931" s="146"/>
      <c r="D8931" s="496"/>
    </row>
    <row r="8932" spans="1:4" x14ac:dyDescent="0.2">
      <c r="A8932" s="146"/>
      <c r="D8932" s="496"/>
    </row>
    <row r="8933" spans="1:4" x14ac:dyDescent="0.2">
      <c r="A8933" s="146"/>
      <c r="D8933" s="496"/>
    </row>
    <row r="8934" spans="1:4" x14ac:dyDescent="0.2">
      <c r="A8934" s="146"/>
      <c r="D8934" s="496"/>
    </row>
    <row r="8935" spans="1:4" x14ac:dyDescent="0.2">
      <c r="A8935" s="146"/>
      <c r="D8935" s="496"/>
    </row>
    <row r="8936" spans="1:4" x14ac:dyDescent="0.2">
      <c r="A8936" s="146"/>
      <c r="D8936" s="496"/>
    </row>
    <row r="8937" spans="1:4" x14ac:dyDescent="0.2">
      <c r="A8937" s="146"/>
      <c r="D8937" s="496"/>
    </row>
    <row r="8938" spans="1:4" x14ac:dyDescent="0.2">
      <c r="A8938" s="146"/>
      <c r="D8938" s="496"/>
    </row>
    <row r="8939" spans="1:4" x14ac:dyDescent="0.2">
      <c r="A8939" s="146"/>
      <c r="D8939" s="496"/>
    </row>
    <row r="8940" spans="1:4" x14ac:dyDescent="0.2">
      <c r="A8940" s="146"/>
      <c r="D8940" s="496"/>
    </row>
    <row r="8941" spans="1:4" x14ac:dyDescent="0.2">
      <c r="A8941" s="146"/>
      <c r="D8941" s="496"/>
    </row>
    <row r="8942" spans="1:4" x14ac:dyDescent="0.2">
      <c r="A8942" s="146"/>
      <c r="D8942" s="496"/>
    </row>
    <row r="8943" spans="1:4" x14ac:dyDescent="0.2">
      <c r="A8943" s="146"/>
      <c r="D8943" s="496"/>
    </row>
    <row r="8944" spans="1:4" x14ac:dyDescent="0.2">
      <c r="A8944" s="146"/>
      <c r="D8944" s="496"/>
    </row>
    <row r="8945" spans="1:4" x14ac:dyDescent="0.2">
      <c r="A8945" s="146"/>
      <c r="D8945" s="496"/>
    </row>
    <row r="8946" spans="1:4" x14ac:dyDescent="0.2">
      <c r="A8946" s="146"/>
      <c r="D8946" s="496"/>
    </row>
    <row r="8947" spans="1:4" x14ac:dyDescent="0.2">
      <c r="A8947" s="146"/>
      <c r="D8947" s="496"/>
    </row>
    <row r="8948" spans="1:4" x14ac:dyDescent="0.2">
      <c r="A8948" s="146"/>
      <c r="D8948" s="496"/>
    </row>
    <row r="8949" spans="1:4" x14ac:dyDescent="0.2">
      <c r="A8949" s="146"/>
      <c r="D8949" s="496"/>
    </row>
    <row r="8950" spans="1:4" x14ac:dyDescent="0.2">
      <c r="A8950" s="146"/>
      <c r="D8950" s="496"/>
    </row>
    <row r="8951" spans="1:4" x14ac:dyDescent="0.2">
      <c r="A8951" s="146"/>
      <c r="D8951" s="496"/>
    </row>
    <row r="8952" spans="1:4" x14ac:dyDescent="0.2">
      <c r="A8952" s="146"/>
      <c r="D8952" s="496"/>
    </row>
    <row r="8953" spans="1:4" x14ac:dyDescent="0.2">
      <c r="A8953" s="146"/>
      <c r="D8953" s="496"/>
    </row>
    <row r="8954" spans="1:4" x14ac:dyDescent="0.2">
      <c r="A8954" s="146"/>
      <c r="D8954" s="496"/>
    </row>
    <row r="8955" spans="1:4" x14ac:dyDescent="0.2">
      <c r="A8955" s="146"/>
      <c r="D8955" s="496"/>
    </row>
    <row r="8956" spans="1:4" x14ac:dyDescent="0.2">
      <c r="A8956" s="146"/>
      <c r="D8956" s="496"/>
    </row>
    <row r="8957" spans="1:4" x14ac:dyDescent="0.2">
      <c r="A8957" s="146"/>
      <c r="D8957" s="496"/>
    </row>
    <row r="8958" spans="1:4" x14ac:dyDescent="0.2">
      <c r="A8958" s="146"/>
      <c r="D8958" s="496"/>
    </row>
    <row r="8959" spans="1:4" x14ac:dyDescent="0.2">
      <c r="A8959" s="146"/>
      <c r="D8959" s="496"/>
    </row>
    <row r="8960" spans="1:4" x14ac:dyDescent="0.2">
      <c r="A8960" s="146"/>
      <c r="D8960" s="496"/>
    </row>
    <row r="8961" spans="1:4" x14ac:dyDescent="0.2">
      <c r="A8961" s="146"/>
      <c r="D8961" s="496"/>
    </row>
    <row r="8962" spans="1:4" x14ac:dyDescent="0.2">
      <c r="A8962" s="146"/>
      <c r="D8962" s="496"/>
    </row>
    <row r="8963" spans="1:4" x14ac:dyDescent="0.2">
      <c r="A8963" s="146"/>
      <c r="D8963" s="496"/>
    </row>
    <row r="8964" spans="1:4" x14ac:dyDescent="0.2">
      <c r="A8964" s="146"/>
      <c r="D8964" s="496"/>
    </row>
    <row r="8965" spans="1:4" x14ac:dyDescent="0.2">
      <c r="A8965" s="146"/>
      <c r="D8965" s="496"/>
    </row>
    <row r="8966" spans="1:4" x14ac:dyDescent="0.2">
      <c r="A8966" s="146"/>
      <c r="D8966" s="496"/>
    </row>
    <row r="8967" spans="1:4" x14ac:dyDescent="0.2">
      <c r="A8967" s="146"/>
      <c r="D8967" s="496"/>
    </row>
    <row r="8968" spans="1:4" x14ac:dyDescent="0.2">
      <c r="A8968" s="146"/>
      <c r="D8968" s="496"/>
    </row>
    <row r="8969" spans="1:4" x14ac:dyDescent="0.2">
      <c r="A8969" s="146"/>
      <c r="D8969" s="496"/>
    </row>
    <row r="8970" spans="1:4" x14ac:dyDescent="0.2">
      <c r="A8970" s="146"/>
      <c r="D8970" s="496"/>
    </row>
    <row r="8971" spans="1:4" x14ac:dyDescent="0.2">
      <c r="A8971" s="146"/>
      <c r="D8971" s="496"/>
    </row>
    <row r="8972" spans="1:4" x14ac:dyDescent="0.2">
      <c r="A8972" s="146"/>
      <c r="D8972" s="496"/>
    </row>
    <row r="8973" spans="1:4" x14ac:dyDescent="0.2">
      <c r="A8973" s="146"/>
      <c r="D8973" s="496"/>
    </row>
    <row r="8974" spans="1:4" x14ac:dyDescent="0.2">
      <c r="A8974" s="146"/>
      <c r="D8974" s="496"/>
    </row>
    <row r="8975" spans="1:4" x14ac:dyDescent="0.2">
      <c r="A8975" s="146"/>
      <c r="D8975" s="496"/>
    </row>
    <row r="8976" spans="1:4" x14ac:dyDescent="0.2">
      <c r="A8976" s="146"/>
      <c r="D8976" s="496"/>
    </row>
    <row r="8977" spans="1:4" x14ac:dyDescent="0.2">
      <c r="A8977" s="146"/>
      <c r="D8977" s="496"/>
    </row>
    <row r="8978" spans="1:4" x14ac:dyDescent="0.2">
      <c r="A8978" s="146"/>
      <c r="D8978" s="496"/>
    </row>
    <row r="8979" spans="1:4" x14ac:dyDescent="0.2">
      <c r="A8979" s="146"/>
      <c r="D8979" s="496"/>
    </row>
    <row r="8980" spans="1:4" x14ac:dyDescent="0.2">
      <c r="A8980" s="146"/>
      <c r="D8980" s="496"/>
    </row>
    <row r="8981" spans="1:4" x14ac:dyDescent="0.2">
      <c r="A8981" s="146"/>
      <c r="D8981" s="496"/>
    </row>
    <row r="8982" spans="1:4" x14ac:dyDescent="0.2">
      <c r="A8982" s="146"/>
      <c r="D8982" s="496"/>
    </row>
    <row r="8983" spans="1:4" x14ac:dyDescent="0.2">
      <c r="A8983" s="146"/>
      <c r="D8983" s="496"/>
    </row>
    <row r="8984" spans="1:4" x14ac:dyDescent="0.2">
      <c r="A8984" s="146"/>
      <c r="D8984" s="496"/>
    </row>
    <row r="8985" spans="1:4" x14ac:dyDescent="0.2">
      <c r="A8985" s="146"/>
      <c r="D8985" s="496"/>
    </row>
    <row r="8986" spans="1:4" x14ac:dyDescent="0.2">
      <c r="A8986" s="146"/>
      <c r="D8986" s="496"/>
    </row>
    <row r="8987" spans="1:4" x14ac:dyDescent="0.2">
      <c r="A8987" s="146"/>
      <c r="D8987" s="496"/>
    </row>
    <row r="8988" spans="1:4" x14ac:dyDescent="0.2">
      <c r="A8988" s="146"/>
      <c r="D8988" s="496"/>
    </row>
    <row r="8989" spans="1:4" x14ac:dyDescent="0.2">
      <c r="A8989" s="146"/>
      <c r="D8989" s="496"/>
    </row>
    <row r="8990" spans="1:4" x14ac:dyDescent="0.2">
      <c r="A8990" s="146"/>
      <c r="D8990" s="496"/>
    </row>
    <row r="8991" spans="1:4" x14ac:dyDescent="0.2">
      <c r="A8991" s="146"/>
      <c r="D8991" s="496"/>
    </row>
    <row r="8992" spans="1:4" x14ac:dyDescent="0.2">
      <c r="A8992" s="146"/>
      <c r="D8992" s="496"/>
    </row>
    <row r="8993" spans="1:4" x14ac:dyDescent="0.2">
      <c r="A8993" s="146"/>
      <c r="D8993" s="496"/>
    </row>
    <row r="8994" spans="1:4" x14ac:dyDescent="0.2">
      <c r="A8994" s="146"/>
      <c r="D8994" s="496"/>
    </row>
    <row r="8995" spans="1:4" x14ac:dyDescent="0.2">
      <c r="A8995" s="146"/>
      <c r="D8995" s="496"/>
    </row>
    <row r="8996" spans="1:4" x14ac:dyDescent="0.2">
      <c r="A8996" s="146"/>
      <c r="D8996" s="496"/>
    </row>
    <row r="8997" spans="1:4" x14ac:dyDescent="0.2">
      <c r="A8997" s="146"/>
      <c r="D8997" s="496"/>
    </row>
    <row r="8998" spans="1:4" x14ac:dyDescent="0.2">
      <c r="A8998" s="146"/>
      <c r="D8998" s="496"/>
    </row>
    <row r="8999" spans="1:4" x14ac:dyDescent="0.2">
      <c r="A8999" s="146"/>
      <c r="D8999" s="496"/>
    </row>
    <row r="9000" spans="1:4" x14ac:dyDescent="0.2">
      <c r="A9000" s="146"/>
      <c r="D9000" s="496"/>
    </row>
    <row r="9001" spans="1:4" x14ac:dyDescent="0.2">
      <c r="A9001" s="146"/>
      <c r="D9001" s="496"/>
    </row>
    <row r="9002" spans="1:4" x14ac:dyDescent="0.2">
      <c r="A9002" s="146"/>
      <c r="D9002" s="496"/>
    </row>
    <row r="9003" spans="1:4" x14ac:dyDescent="0.2">
      <c r="A9003" s="146"/>
      <c r="D9003" s="496"/>
    </row>
    <row r="9004" spans="1:4" x14ac:dyDescent="0.2">
      <c r="A9004" s="146"/>
      <c r="D9004" s="496"/>
    </row>
    <row r="9005" spans="1:4" x14ac:dyDescent="0.2">
      <c r="A9005" s="146"/>
      <c r="D9005" s="496"/>
    </row>
    <row r="9006" spans="1:4" x14ac:dyDescent="0.2">
      <c r="A9006" s="146"/>
      <c r="D9006" s="496"/>
    </row>
    <row r="9007" spans="1:4" x14ac:dyDescent="0.2">
      <c r="A9007" s="146"/>
      <c r="D9007" s="496"/>
    </row>
    <row r="9008" spans="1:4" x14ac:dyDescent="0.2">
      <c r="A9008" s="146"/>
      <c r="D9008" s="496"/>
    </row>
    <row r="9009" spans="1:4" x14ac:dyDescent="0.2">
      <c r="A9009" s="146"/>
      <c r="D9009" s="496"/>
    </row>
    <row r="9010" spans="1:4" x14ac:dyDescent="0.2">
      <c r="A9010" s="146"/>
      <c r="D9010" s="496"/>
    </row>
    <row r="9011" spans="1:4" x14ac:dyDescent="0.2">
      <c r="A9011" s="146"/>
      <c r="D9011" s="496"/>
    </row>
    <row r="9012" spans="1:4" x14ac:dyDescent="0.2">
      <c r="A9012" s="146"/>
      <c r="D9012" s="496"/>
    </row>
    <row r="9013" spans="1:4" x14ac:dyDescent="0.2">
      <c r="A9013" s="146"/>
      <c r="D9013" s="496"/>
    </row>
    <row r="9014" spans="1:4" x14ac:dyDescent="0.2">
      <c r="A9014" s="146"/>
      <c r="D9014" s="496"/>
    </row>
    <row r="9015" spans="1:4" x14ac:dyDescent="0.2">
      <c r="A9015" s="146"/>
      <c r="D9015" s="496"/>
    </row>
    <row r="9016" spans="1:4" x14ac:dyDescent="0.2">
      <c r="A9016" s="146"/>
      <c r="D9016" s="496"/>
    </row>
    <row r="9017" spans="1:4" x14ac:dyDescent="0.2">
      <c r="A9017" s="146"/>
      <c r="D9017" s="496"/>
    </row>
    <row r="9018" spans="1:4" x14ac:dyDescent="0.2">
      <c r="A9018" s="146"/>
      <c r="D9018" s="496"/>
    </row>
    <row r="9019" spans="1:4" x14ac:dyDescent="0.2">
      <c r="A9019" s="146"/>
      <c r="D9019" s="496"/>
    </row>
    <row r="9020" spans="1:4" x14ac:dyDescent="0.2">
      <c r="A9020" s="146"/>
      <c r="D9020" s="496"/>
    </row>
    <row r="9021" spans="1:4" x14ac:dyDescent="0.2">
      <c r="A9021" s="146"/>
      <c r="D9021" s="496"/>
    </row>
    <row r="9022" spans="1:4" x14ac:dyDescent="0.2">
      <c r="A9022" s="146"/>
      <c r="D9022" s="496"/>
    </row>
    <row r="9023" spans="1:4" x14ac:dyDescent="0.2">
      <c r="A9023" s="146"/>
      <c r="D9023" s="496"/>
    </row>
    <row r="9024" spans="1:4" x14ac:dyDescent="0.2">
      <c r="A9024" s="146"/>
      <c r="D9024" s="496"/>
    </row>
    <row r="9025" spans="1:4" x14ac:dyDescent="0.2">
      <c r="A9025" s="146"/>
      <c r="D9025" s="496"/>
    </row>
    <row r="9026" spans="1:4" x14ac:dyDescent="0.2">
      <c r="A9026" s="146"/>
      <c r="D9026" s="496"/>
    </row>
    <row r="9027" spans="1:4" x14ac:dyDescent="0.2">
      <c r="A9027" s="146"/>
      <c r="D9027" s="496"/>
    </row>
    <row r="9028" spans="1:4" x14ac:dyDescent="0.2">
      <c r="A9028" s="146"/>
      <c r="D9028" s="496"/>
    </row>
    <row r="9029" spans="1:4" x14ac:dyDescent="0.2">
      <c r="A9029" s="146"/>
      <c r="D9029" s="496"/>
    </row>
    <row r="9030" spans="1:4" x14ac:dyDescent="0.2">
      <c r="A9030" s="146"/>
      <c r="D9030" s="496"/>
    </row>
    <row r="9031" spans="1:4" x14ac:dyDescent="0.2">
      <c r="A9031" s="146"/>
      <c r="D9031" s="496"/>
    </row>
    <row r="9032" spans="1:4" x14ac:dyDescent="0.2">
      <c r="A9032" s="146"/>
      <c r="D9032" s="496"/>
    </row>
    <row r="9033" spans="1:4" x14ac:dyDescent="0.2">
      <c r="A9033" s="146"/>
      <c r="D9033" s="496"/>
    </row>
    <row r="9034" spans="1:4" x14ac:dyDescent="0.2">
      <c r="A9034" s="146"/>
      <c r="D9034" s="496"/>
    </row>
    <row r="9035" spans="1:4" x14ac:dyDescent="0.2">
      <c r="A9035" s="146"/>
      <c r="D9035" s="496"/>
    </row>
    <row r="9036" spans="1:4" x14ac:dyDescent="0.2">
      <c r="A9036" s="146"/>
      <c r="D9036" s="496"/>
    </row>
    <row r="9037" spans="1:4" x14ac:dyDescent="0.2">
      <c r="A9037" s="146"/>
      <c r="D9037" s="496"/>
    </row>
    <row r="9038" spans="1:4" x14ac:dyDescent="0.2">
      <c r="A9038" s="146"/>
      <c r="D9038" s="496"/>
    </row>
    <row r="9039" spans="1:4" x14ac:dyDescent="0.2">
      <c r="A9039" s="146"/>
      <c r="D9039" s="496"/>
    </row>
    <row r="9040" spans="1:4" x14ac:dyDescent="0.2">
      <c r="A9040" s="146"/>
      <c r="D9040" s="496"/>
    </row>
    <row r="9041" spans="1:4" x14ac:dyDescent="0.2">
      <c r="A9041" s="146"/>
      <c r="D9041" s="496"/>
    </row>
    <row r="9042" spans="1:4" x14ac:dyDescent="0.2">
      <c r="A9042" s="146"/>
      <c r="D9042" s="496"/>
    </row>
    <row r="9043" spans="1:4" x14ac:dyDescent="0.2">
      <c r="A9043" s="146"/>
      <c r="D9043" s="496"/>
    </row>
    <row r="9044" spans="1:4" x14ac:dyDescent="0.2">
      <c r="A9044" s="146"/>
      <c r="D9044" s="496"/>
    </row>
    <row r="9045" spans="1:4" x14ac:dyDescent="0.2">
      <c r="A9045" s="146"/>
      <c r="D9045" s="496"/>
    </row>
    <row r="9046" spans="1:4" x14ac:dyDescent="0.2">
      <c r="A9046" s="146"/>
      <c r="D9046" s="496"/>
    </row>
    <row r="9047" spans="1:4" x14ac:dyDescent="0.2">
      <c r="A9047" s="146"/>
      <c r="D9047" s="496"/>
    </row>
    <row r="9048" spans="1:4" x14ac:dyDescent="0.2">
      <c r="A9048" s="146"/>
      <c r="D9048" s="496"/>
    </row>
    <row r="9049" spans="1:4" x14ac:dyDescent="0.2">
      <c r="A9049" s="146"/>
      <c r="D9049" s="496"/>
    </row>
    <row r="9050" spans="1:4" x14ac:dyDescent="0.2">
      <c r="A9050" s="146"/>
      <c r="D9050" s="496"/>
    </row>
    <row r="9051" spans="1:4" x14ac:dyDescent="0.2">
      <c r="A9051" s="146"/>
      <c r="D9051" s="496"/>
    </row>
    <row r="9052" spans="1:4" x14ac:dyDescent="0.2">
      <c r="A9052" s="146"/>
      <c r="D9052" s="496"/>
    </row>
    <row r="9053" spans="1:4" x14ac:dyDescent="0.2">
      <c r="A9053" s="146"/>
      <c r="D9053" s="496"/>
    </row>
    <row r="9054" spans="1:4" x14ac:dyDescent="0.2">
      <c r="A9054" s="146"/>
      <c r="D9054" s="496"/>
    </row>
    <row r="9055" spans="1:4" x14ac:dyDescent="0.2">
      <c r="A9055" s="146"/>
      <c r="D9055" s="496"/>
    </row>
    <row r="9056" spans="1:4" x14ac:dyDescent="0.2">
      <c r="A9056" s="146"/>
      <c r="D9056" s="496"/>
    </row>
    <row r="9057" spans="1:4" x14ac:dyDescent="0.2">
      <c r="A9057" s="146"/>
      <c r="D9057" s="496"/>
    </row>
    <row r="9058" spans="1:4" x14ac:dyDescent="0.2">
      <c r="A9058" s="146"/>
      <c r="D9058" s="496"/>
    </row>
    <row r="9059" spans="1:4" x14ac:dyDescent="0.2">
      <c r="A9059" s="146"/>
      <c r="D9059" s="496"/>
    </row>
    <row r="9060" spans="1:4" x14ac:dyDescent="0.2">
      <c r="A9060" s="146"/>
      <c r="D9060" s="496"/>
    </row>
    <row r="9061" spans="1:4" x14ac:dyDescent="0.2">
      <c r="A9061" s="146"/>
      <c r="D9061" s="496"/>
    </row>
    <row r="9062" spans="1:4" x14ac:dyDescent="0.2">
      <c r="A9062" s="146"/>
      <c r="D9062" s="496"/>
    </row>
    <row r="9063" spans="1:4" x14ac:dyDescent="0.2">
      <c r="A9063" s="146"/>
      <c r="D9063" s="496"/>
    </row>
    <row r="9064" spans="1:4" x14ac:dyDescent="0.2">
      <c r="A9064" s="146"/>
      <c r="D9064" s="496"/>
    </row>
    <row r="9065" spans="1:4" x14ac:dyDescent="0.2">
      <c r="A9065" s="146"/>
      <c r="D9065" s="496"/>
    </row>
    <row r="9066" spans="1:4" x14ac:dyDescent="0.2">
      <c r="A9066" s="146"/>
      <c r="D9066" s="496"/>
    </row>
    <row r="9067" spans="1:4" x14ac:dyDescent="0.2">
      <c r="A9067" s="146"/>
      <c r="D9067" s="496"/>
    </row>
    <row r="9068" spans="1:4" x14ac:dyDescent="0.2">
      <c r="A9068" s="146"/>
      <c r="D9068" s="496"/>
    </row>
    <row r="9069" spans="1:4" x14ac:dyDescent="0.2">
      <c r="A9069" s="146"/>
      <c r="D9069" s="496"/>
    </row>
    <row r="9070" spans="1:4" x14ac:dyDescent="0.2">
      <c r="A9070" s="146"/>
      <c r="D9070" s="496"/>
    </row>
    <row r="9071" spans="1:4" x14ac:dyDescent="0.2">
      <c r="A9071" s="146"/>
      <c r="D9071" s="496"/>
    </row>
    <row r="9072" spans="1:4" x14ac:dyDescent="0.2">
      <c r="A9072" s="146"/>
      <c r="D9072" s="496"/>
    </row>
    <row r="9073" spans="1:4" x14ac:dyDescent="0.2">
      <c r="A9073" s="146"/>
      <c r="D9073" s="496"/>
    </row>
    <row r="9074" spans="1:4" x14ac:dyDescent="0.2">
      <c r="A9074" s="146"/>
      <c r="D9074" s="496"/>
    </row>
    <row r="9075" spans="1:4" x14ac:dyDescent="0.2">
      <c r="A9075" s="146"/>
      <c r="D9075" s="496"/>
    </row>
    <row r="9076" spans="1:4" x14ac:dyDescent="0.2">
      <c r="A9076" s="146"/>
      <c r="D9076" s="496"/>
    </row>
    <row r="9077" spans="1:4" x14ac:dyDescent="0.2">
      <c r="A9077" s="146"/>
      <c r="D9077" s="496"/>
    </row>
    <row r="9078" spans="1:4" x14ac:dyDescent="0.2">
      <c r="A9078" s="146"/>
      <c r="D9078" s="496"/>
    </row>
    <row r="9079" spans="1:4" x14ac:dyDescent="0.2">
      <c r="A9079" s="146"/>
      <c r="D9079" s="496"/>
    </row>
    <row r="9080" spans="1:4" x14ac:dyDescent="0.2">
      <c r="A9080" s="146"/>
      <c r="D9080" s="496"/>
    </row>
    <row r="9081" spans="1:4" x14ac:dyDescent="0.2">
      <c r="A9081" s="146"/>
      <c r="D9081" s="496"/>
    </row>
    <row r="9082" spans="1:4" x14ac:dyDescent="0.2">
      <c r="A9082" s="146"/>
      <c r="D9082" s="496"/>
    </row>
    <row r="9083" spans="1:4" x14ac:dyDescent="0.2">
      <c r="A9083" s="146"/>
      <c r="D9083" s="496"/>
    </row>
    <row r="9084" spans="1:4" x14ac:dyDescent="0.2">
      <c r="A9084" s="146"/>
      <c r="D9084" s="496"/>
    </row>
    <row r="9085" spans="1:4" x14ac:dyDescent="0.2">
      <c r="A9085" s="146"/>
      <c r="D9085" s="496"/>
    </row>
    <row r="9086" spans="1:4" x14ac:dyDescent="0.2">
      <c r="A9086" s="146"/>
      <c r="D9086" s="496"/>
    </row>
    <row r="9087" spans="1:4" x14ac:dyDescent="0.2">
      <c r="A9087" s="146"/>
      <c r="D9087" s="496"/>
    </row>
    <row r="9088" spans="1:4" x14ac:dyDescent="0.2">
      <c r="A9088" s="146"/>
      <c r="D9088" s="496"/>
    </row>
    <row r="9089" spans="1:4" x14ac:dyDescent="0.2">
      <c r="A9089" s="146"/>
      <c r="D9089" s="496"/>
    </row>
    <row r="9090" spans="1:4" x14ac:dyDescent="0.2">
      <c r="A9090" s="146"/>
      <c r="D9090" s="496"/>
    </row>
    <row r="9091" spans="1:4" x14ac:dyDescent="0.2">
      <c r="A9091" s="146"/>
      <c r="D9091" s="496"/>
    </row>
    <row r="9092" spans="1:4" x14ac:dyDescent="0.2">
      <c r="A9092" s="146"/>
      <c r="D9092" s="496"/>
    </row>
    <row r="9093" spans="1:4" x14ac:dyDescent="0.2">
      <c r="A9093" s="146"/>
      <c r="D9093" s="496"/>
    </row>
    <row r="9094" spans="1:4" x14ac:dyDescent="0.2">
      <c r="A9094" s="146"/>
      <c r="D9094" s="496"/>
    </row>
    <row r="9095" spans="1:4" x14ac:dyDescent="0.2">
      <c r="A9095" s="146"/>
      <c r="D9095" s="496"/>
    </row>
    <row r="9096" spans="1:4" x14ac:dyDescent="0.2">
      <c r="A9096" s="146"/>
      <c r="D9096" s="496"/>
    </row>
    <row r="9097" spans="1:4" x14ac:dyDescent="0.2">
      <c r="A9097" s="146"/>
      <c r="D9097" s="496"/>
    </row>
    <row r="9098" spans="1:4" x14ac:dyDescent="0.2">
      <c r="A9098" s="146"/>
      <c r="D9098" s="496"/>
    </row>
    <row r="9099" spans="1:4" x14ac:dyDescent="0.2">
      <c r="A9099" s="146"/>
      <c r="D9099" s="496"/>
    </row>
    <row r="9100" spans="1:4" x14ac:dyDescent="0.2">
      <c r="A9100" s="146"/>
      <c r="D9100" s="496"/>
    </row>
    <row r="9101" spans="1:4" x14ac:dyDescent="0.2">
      <c r="A9101" s="146"/>
      <c r="D9101" s="496"/>
    </row>
    <row r="9102" spans="1:4" x14ac:dyDescent="0.2">
      <c r="A9102" s="146"/>
      <c r="D9102" s="496"/>
    </row>
    <row r="9103" spans="1:4" x14ac:dyDescent="0.2">
      <c r="A9103" s="146"/>
      <c r="D9103" s="496"/>
    </row>
    <row r="9104" spans="1:4" x14ac:dyDescent="0.2">
      <c r="A9104" s="146"/>
      <c r="D9104" s="496"/>
    </row>
    <row r="9105" spans="1:4" x14ac:dyDescent="0.2">
      <c r="A9105" s="146"/>
      <c r="D9105" s="496"/>
    </row>
    <row r="9106" spans="1:4" x14ac:dyDescent="0.2">
      <c r="A9106" s="146"/>
      <c r="D9106" s="496"/>
    </row>
    <row r="9107" spans="1:4" x14ac:dyDescent="0.2">
      <c r="A9107" s="146"/>
      <c r="D9107" s="496"/>
    </row>
    <row r="9108" spans="1:4" x14ac:dyDescent="0.2">
      <c r="A9108" s="146"/>
      <c r="D9108" s="496"/>
    </row>
    <row r="9109" spans="1:4" x14ac:dyDescent="0.2">
      <c r="A9109" s="146"/>
      <c r="D9109" s="496"/>
    </row>
    <row r="9110" spans="1:4" x14ac:dyDescent="0.2">
      <c r="A9110" s="146"/>
      <c r="D9110" s="496"/>
    </row>
    <row r="9111" spans="1:4" x14ac:dyDescent="0.2">
      <c r="A9111" s="146"/>
      <c r="D9111" s="496"/>
    </row>
    <row r="9112" spans="1:4" x14ac:dyDescent="0.2">
      <c r="A9112" s="146"/>
      <c r="D9112" s="496"/>
    </row>
    <row r="9113" spans="1:4" x14ac:dyDescent="0.2">
      <c r="A9113" s="146"/>
      <c r="D9113" s="496"/>
    </row>
    <row r="9114" spans="1:4" x14ac:dyDescent="0.2">
      <c r="A9114" s="146"/>
      <c r="D9114" s="496"/>
    </row>
    <row r="9115" spans="1:4" x14ac:dyDescent="0.2">
      <c r="A9115" s="146"/>
      <c r="D9115" s="496"/>
    </row>
    <row r="9116" spans="1:4" x14ac:dyDescent="0.2">
      <c r="A9116" s="146"/>
      <c r="D9116" s="496"/>
    </row>
    <row r="9117" spans="1:4" x14ac:dyDescent="0.2">
      <c r="A9117" s="146"/>
      <c r="D9117" s="496"/>
    </row>
    <row r="9118" spans="1:4" x14ac:dyDescent="0.2">
      <c r="A9118" s="146"/>
      <c r="D9118" s="496"/>
    </row>
    <row r="9119" spans="1:4" x14ac:dyDescent="0.2">
      <c r="A9119" s="146"/>
      <c r="D9119" s="496"/>
    </row>
    <row r="9120" spans="1:4" x14ac:dyDescent="0.2">
      <c r="A9120" s="146"/>
      <c r="D9120" s="496"/>
    </row>
    <row r="9121" spans="1:4" x14ac:dyDescent="0.2">
      <c r="A9121" s="146"/>
      <c r="D9121" s="496"/>
    </row>
    <row r="9122" spans="1:4" x14ac:dyDescent="0.2">
      <c r="A9122" s="146"/>
      <c r="D9122" s="496"/>
    </row>
    <row r="9123" spans="1:4" x14ac:dyDescent="0.2">
      <c r="A9123" s="146"/>
      <c r="D9123" s="496"/>
    </row>
    <row r="9124" spans="1:4" x14ac:dyDescent="0.2">
      <c r="A9124" s="146"/>
      <c r="D9124" s="496"/>
    </row>
    <row r="9125" spans="1:4" x14ac:dyDescent="0.2">
      <c r="A9125" s="146"/>
      <c r="D9125" s="496"/>
    </row>
    <row r="9126" spans="1:4" x14ac:dyDescent="0.2">
      <c r="A9126" s="146"/>
      <c r="D9126" s="496"/>
    </row>
    <row r="9127" spans="1:4" x14ac:dyDescent="0.2">
      <c r="A9127" s="146"/>
      <c r="D9127" s="496"/>
    </row>
    <row r="9128" spans="1:4" x14ac:dyDescent="0.2">
      <c r="A9128" s="146"/>
      <c r="D9128" s="496"/>
    </row>
    <row r="9129" spans="1:4" x14ac:dyDescent="0.2">
      <c r="A9129" s="146"/>
      <c r="D9129" s="496"/>
    </row>
    <row r="9130" spans="1:4" x14ac:dyDescent="0.2">
      <c r="A9130" s="146"/>
      <c r="D9130" s="496"/>
    </row>
    <row r="9131" spans="1:4" x14ac:dyDescent="0.2">
      <c r="A9131" s="146"/>
      <c r="D9131" s="496"/>
    </row>
    <row r="9132" spans="1:4" x14ac:dyDescent="0.2">
      <c r="A9132" s="146"/>
      <c r="D9132" s="496"/>
    </row>
    <row r="9133" spans="1:4" x14ac:dyDescent="0.2">
      <c r="A9133" s="146"/>
      <c r="D9133" s="496"/>
    </row>
    <row r="9134" spans="1:4" x14ac:dyDescent="0.2">
      <c r="A9134" s="146"/>
      <c r="D9134" s="496"/>
    </row>
    <row r="9135" spans="1:4" x14ac:dyDescent="0.2">
      <c r="A9135" s="146"/>
      <c r="D9135" s="496"/>
    </row>
    <row r="9136" spans="1:4" x14ac:dyDescent="0.2">
      <c r="A9136" s="146"/>
      <c r="D9136" s="496"/>
    </row>
    <row r="9137" spans="1:4" x14ac:dyDescent="0.2">
      <c r="A9137" s="146"/>
      <c r="D9137" s="496"/>
    </row>
    <row r="9138" spans="1:4" x14ac:dyDescent="0.2">
      <c r="A9138" s="146"/>
      <c r="D9138" s="496"/>
    </row>
    <row r="9139" spans="1:4" x14ac:dyDescent="0.2">
      <c r="A9139" s="146"/>
      <c r="D9139" s="496"/>
    </row>
    <row r="9140" spans="1:4" x14ac:dyDescent="0.2">
      <c r="A9140" s="146"/>
      <c r="D9140" s="496"/>
    </row>
    <row r="9141" spans="1:4" x14ac:dyDescent="0.2">
      <c r="A9141" s="146"/>
      <c r="D9141" s="496"/>
    </row>
    <row r="9142" spans="1:4" x14ac:dyDescent="0.2">
      <c r="A9142" s="146"/>
      <c r="D9142" s="496"/>
    </row>
    <row r="9143" spans="1:4" x14ac:dyDescent="0.2">
      <c r="A9143" s="146"/>
      <c r="D9143" s="496"/>
    </row>
    <row r="9144" spans="1:4" x14ac:dyDescent="0.2">
      <c r="A9144" s="146"/>
      <c r="D9144" s="496"/>
    </row>
    <row r="9145" spans="1:4" x14ac:dyDescent="0.2">
      <c r="A9145" s="146"/>
      <c r="D9145" s="496"/>
    </row>
    <row r="9146" spans="1:4" x14ac:dyDescent="0.2">
      <c r="A9146" s="146"/>
      <c r="D9146" s="496"/>
    </row>
    <row r="9147" spans="1:4" x14ac:dyDescent="0.2">
      <c r="A9147" s="146"/>
      <c r="D9147" s="496"/>
    </row>
    <row r="9148" spans="1:4" x14ac:dyDescent="0.2">
      <c r="A9148" s="146"/>
      <c r="D9148" s="496"/>
    </row>
    <row r="9149" spans="1:4" x14ac:dyDescent="0.2">
      <c r="A9149" s="146"/>
      <c r="D9149" s="496"/>
    </row>
    <row r="9150" spans="1:4" x14ac:dyDescent="0.2">
      <c r="A9150" s="146"/>
      <c r="D9150" s="496"/>
    </row>
    <row r="9151" spans="1:4" x14ac:dyDescent="0.2">
      <c r="A9151" s="146"/>
      <c r="D9151" s="496"/>
    </row>
    <row r="9152" spans="1:4" x14ac:dyDescent="0.2">
      <c r="A9152" s="146"/>
      <c r="D9152" s="496"/>
    </row>
    <row r="9153" spans="1:4" x14ac:dyDescent="0.2">
      <c r="A9153" s="146"/>
      <c r="D9153" s="496"/>
    </row>
    <row r="9154" spans="1:4" x14ac:dyDescent="0.2">
      <c r="A9154" s="146"/>
      <c r="D9154" s="496"/>
    </row>
    <row r="9155" spans="1:4" x14ac:dyDescent="0.2">
      <c r="A9155" s="146"/>
      <c r="D9155" s="496"/>
    </row>
    <row r="9156" spans="1:4" x14ac:dyDescent="0.2">
      <c r="A9156" s="146"/>
      <c r="D9156" s="496"/>
    </row>
    <row r="9157" spans="1:4" x14ac:dyDescent="0.2">
      <c r="A9157" s="146"/>
      <c r="D9157" s="496"/>
    </row>
    <row r="9158" spans="1:4" x14ac:dyDescent="0.2">
      <c r="A9158" s="146"/>
      <c r="D9158" s="496"/>
    </row>
    <row r="9159" spans="1:4" x14ac:dyDescent="0.2">
      <c r="A9159" s="146"/>
      <c r="D9159" s="496"/>
    </row>
    <row r="9160" spans="1:4" x14ac:dyDescent="0.2">
      <c r="A9160" s="146"/>
      <c r="D9160" s="496"/>
    </row>
    <row r="9161" spans="1:4" x14ac:dyDescent="0.2">
      <c r="A9161" s="146"/>
      <c r="D9161" s="496"/>
    </row>
    <row r="9162" spans="1:4" x14ac:dyDescent="0.2">
      <c r="A9162" s="146"/>
      <c r="D9162" s="496"/>
    </row>
    <row r="9163" spans="1:4" x14ac:dyDescent="0.2">
      <c r="A9163" s="146"/>
      <c r="D9163" s="496"/>
    </row>
    <row r="9164" spans="1:4" x14ac:dyDescent="0.2">
      <c r="A9164" s="146"/>
      <c r="D9164" s="496"/>
    </row>
    <row r="9165" spans="1:4" x14ac:dyDescent="0.2">
      <c r="A9165" s="146"/>
      <c r="D9165" s="496"/>
    </row>
    <row r="9166" spans="1:4" x14ac:dyDescent="0.2">
      <c r="A9166" s="146"/>
      <c r="D9166" s="496"/>
    </row>
    <row r="9167" spans="1:4" x14ac:dyDescent="0.2">
      <c r="A9167" s="146"/>
      <c r="D9167" s="496"/>
    </row>
    <row r="9168" spans="1:4" x14ac:dyDescent="0.2">
      <c r="A9168" s="146"/>
      <c r="D9168" s="496"/>
    </row>
    <row r="9169" spans="1:4" x14ac:dyDescent="0.2">
      <c r="A9169" s="146"/>
      <c r="D9169" s="496"/>
    </row>
    <row r="9170" spans="1:4" x14ac:dyDescent="0.2">
      <c r="A9170" s="146"/>
      <c r="D9170" s="496"/>
    </row>
    <row r="9171" spans="1:4" x14ac:dyDescent="0.2">
      <c r="A9171" s="146"/>
      <c r="D9171" s="496"/>
    </row>
    <row r="9172" spans="1:4" x14ac:dyDescent="0.2">
      <c r="A9172" s="146"/>
      <c r="D9172" s="496"/>
    </row>
    <row r="9173" spans="1:4" x14ac:dyDescent="0.2">
      <c r="A9173" s="146"/>
      <c r="D9173" s="496"/>
    </row>
    <row r="9174" spans="1:4" x14ac:dyDescent="0.2">
      <c r="A9174" s="146"/>
      <c r="D9174" s="496"/>
    </row>
    <row r="9175" spans="1:4" x14ac:dyDescent="0.2">
      <c r="A9175" s="146"/>
      <c r="D9175" s="496"/>
    </row>
    <row r="9176" spans="1:4" x14ac:dyDescent="0.2">
      <c r="A9176" s="146"/>
      <c r="D9176" s="496"/>
    </row>
    <row r="9177" spans="1:4" x14ac:dyDescent="0.2">
      <c r="A9177" s="146"/>
      <c r="D9177" s="496"/>
    </row>
    <row r="9178" spans="1:4" x14ac:dyDescent="0.2">
      <c r="A9178" s="146"/>
      <c r="D9178" s="496"/>
    </row>
    <row r="9179" spans="1:4" x14ac:dyDescent="0.2">
      <c r="A9179" s="146"/>
      <c r="D9179" s="496"/>
    </row>
    <row r="9180" spans="1:4" x14ac:dyDescent="0.2">
      <c r="A9180" s="146"/>
      <c r="D9180" s="496"/>
    </row>
    <row r="9181" spans="1:4" x14ac:dyDescent="0.2">
      <c r="A9181" s="146"/>
      <c r="D9181" s="496"/>
    </row>
    <row r="9182" spans="1:4" x14ac:dyDescent="0.2">
      <c r="A9182" s="146"/>
      <c r="D9182" s="496"/>
    </row>
    <row r="9183" spans="1:4" x14ac:dyDescent="0.2">
      <c r="A9183" s="146"/>
      <c r="D9183" s="496"/>
    </row>
    <row r="9184" spans="1:4" x14ac:dyDescent="0.2">
      <c r="A9184" s="146"/>
      <c r="D9184" s="496"/>
    </row>
    <row r="9185" spans="1:4" x14ac:dyDescent="0.2">
      <c r="A9185" s="146"/>
      <c r="D9185" s="496"/>
    </row>
    <row r="9186" spans="1:4" x14ac:dyDescent="0.2">
      <c r="A9186" s="146"/>
      <c r="D9186" s="496"/>
    </row>
    <row r="9187" spans="1:4" x14ac:dyDescent="0.2">
      <c r="A9187" s="146"/>
      <c r="D9187" s="496"/>
    </row>
    <row r="9188" spans="1:4" x14ac:dyDescent="0.2">
      <c r="A9188" s="146"/>
      <c r="D9188" s="496"/>
    </row>
    <row r="9189" spans="1:4" x14ac:dyDescent="0.2">
      <c r="A9189" s="146"/>
      <c r="D9189" s="496"/>
    </row>
    <row r="9190" spans="1:4" x14ac:dyDescent="0.2">
      <c r="A9190" s="146"/>
      <c r="D9190" s="496"/>
    </row>
    <row r="9191" spans="1:4" x14ac:dyDescent="0.2">
      <c r="A9191" s="146"/>
      <c r="D9191" s="496"/>
    </row>
    <row r="9192" spans="1:4" x14ac:dyDescent="0.2">
      <c r="A9192" s="146"/>
      <c r="D9192" s="496"/>
    </row>
    <row r="9193" spans="1:4" x14ac:dyDescent="0.2">
      <c r="A9193" s="146"/>
      <c r="D9193" s="496"/>
    </row>
    <row r="9194" spans="1:4" x14ac:dyDescent="0.2">
      <c r="A9194" s="146"/>
      <c r="D9194" s="496"/>
    </row>
    <row r="9195" spans="1:4" x14ac:dyDescent="0.2">
      <c r="A9195" s="146"/>
      <c r="D9195" s="496"/>
    </row>
    <row r="9196" spans="1:4" x14ac:dyDescent="0.2">
      <c r="A9196" s="146"/>
      <c r="D9196" s="496"/>
    </row>
    <row r="9197" spans="1:4" x14ac:dyDescent="0.2">
      <c r="A9197" s="146"/>
      <c r="D9197" s="496"/>
    </row>
    <row r="9198" spans="1:4" x14ac:dyDescent="0.2">
      <c r="A9198" s="146"/>
      <c r="D9198" s="496"/>
    </row>
    <row r="9199" spans="1:4" x14ac:dyDescent="0.2">
      <c r="A9199" s="146"/>
      <c r="D9199" s="496"/>
    </row>
    <row r="9200" spans="1:4" x14ac:dyDescent="0.2">
      <c r="A9200" s="146"/>
      <c r="D9200" s="496"/>
    </row>
    <row r="9201" spans="1:4" x14ac:dyDescent="0.2">
      <c r="A9201" s="146"/>
      <c r="D9201" s="496"/>
    </row>
    <row r="9202" spans="1:4" x14ac:dyDescent="0.2">
      <c r="A9202" s="146"/>
      <c r="D9202" s="496"/>
    </row>
    <row r="9203" spans="1:4" x14ac:dyDescent="0.2">
      <c r="A9203" s="146"/>
      <c r="D9203" s="496"/>
    </row>
    <row r="9204" spans="1:4" x14ac:dyDescent="0.2">
      <c r="A9204" s="146"/>
      <c r="D9204" s="496"/>
    </row>
    <row r="9205" spans="1:4" x14ac:dyDescent="0.2">
      <c r="A9205" s="146"/>
      <c r="D9205" s="496"/>
    </row>
    <row r="9206" spans="1:4" x14ac:dyDescent="0.2">
      <c r="A9206" s="146"/>
      <c r="D9206" s="496"/>
    </row>
    <row r="9207" spans="1:4" x14ac:dyDescent="0.2">
      <c r="A9207" s="146"/>
      <c r="D9207" s="496"/>
    </row>
    <row r="9208" spans="1:4" x14ac:dyDescent="0.2">
      <c r="A9208" s="146"/>
      <c r="D9208" s="496"/>
    </row>
    <row r="9209" spans="1:4" x14ac:dyDescent="0.2">
      <c r="A9209" s="146"/>
      <c r="D9209" s="496"/>
    </row>
    <row r="9210" spans="1:4" x14ac:dyDescent="0.2">
      <c r="A9210" s="146"/>
      <c r="D9210" s="496"/>
    </row>
    <row r="9211" spans="1:4" x14ac:dyDescent="0.2">
      <c r="A9211" s="146"/>
      <c r="D9211" s="496"/>
    </row>
    <row r="9212" spans="1:4" x14ac:dyDescent="0.2">
      <c r="A9212" s="146"/>
      <c r="D9212" s="496"/>
    </row>
    <row r="9213" spans="1:4" x14ac:dyDescent="0.2">
      <c r="A9213" s="146"/>
      <c r="D9213" s="496"/>
    </row>
    <row r="9214" spans="1:4" x14ac:dyDescent="0.2">
      <c r="A9214" s="146"/>
      <c r="D9214" s="496"/>
    </row>
    <row r="9215" spans="1:4" x14ac:dyDescent="0.2">
      <c r="A9215" s="146"/>
      <c r="D9215" s="496"/>
    </row>
    <row r="9216" spans="1:4" x14ac:dyDescent="0.2">
      <c r="A9216" s="146"/>
      <c r="D9216" s="496"/>
    </row>
    <row r="9217" spans="1:4" x14ac:dyDescent="0.2">
      <c r="A9217" s="146"/>
      <c r="D9217" s="496"/>
    </row>
    <row r="9218" spans="1:4" x14ac:dyDescent="0.2">
      <c r="A9218" s="146"/>
      <c r="D9218" s="496"/>
    </row>
    <row r="9219" spans="1:4" x14ac:dyDescent="0.2">
      <c r="A9219" s="146"/>
      <c r="D9219" s="496"/>
    </row>
    <row r="9220" spans="1:4" x14ac:dyDescent="0.2">
      <c r="A9220" s="146"/>
      <c r="D9220" s="496"/>
    </row>
    <row r="9221" spans="1:4" x14ac:dyDescent="0.2">
      <c r="A9221" s="146"/>
      <c r="D9221" s="496"/>
    </row>
    <row r="9222" spans="1:4" x14ac:dyDescent="0.2">
      <c r="A9222" s="146"/>
      <c r="D9222" s="496"/>
    </row>
    <row r="9223" spans="1:4" x14ac:dyDescent="0.2">
      <c r="A9223" s="146"/>
      <c r="D9223" s="496"/>
    </row>
    <row r="9224" spans="1:4" x14ac:dyDescent="0.2">
      <c r="A9224" s="146"/>
      <c r="D9224" s="496"/>
    </row>
    <row r="9225" spans="1:4" x14ac:dyDescent="0.2">
      <c r="A9225" s="146"/>
      <c r="D9225" s="496"/>
    </row>
    <row r="9226" spans="1:4" x14ac:dyDescent="0.2">
      <c r="A9226" s="146"/>
      <c r="D9226" s="496"/>
    </row>
    <row r="9227" spans="1:4" x14ac:dyDescent="0.2">
      <c r="A9227" s="146"/>
      <c r="D9227" s="496"/>
    </row>
    <row r="9228" spans="1:4" x14ac:dyDescent="0.2">
      <c r="A9228" s="146"/>
      <c r="D9228" s="496"/>
    </row>
    <row r="9229" spans="1:4" x14ac:dyDescent="0.2">
      <c r="A9229" s="146"/>
      <c r="D9229" s="496"/>
    </row>
    <row r="9230" spans="1:4" x14ac:dyDescent="0.2">
      <c r="A9230" s="146"/>
      <c r="D9230" s="496"/>
    </row>
    <row r="9231" spans="1:4" x14ac:dyDescent="0.2">
      <c r="A9231" s="146"/>
      <c r="D9231" s="496"/>
    </row>
    <row r="9232" spans="1:4" x14ac:dyDescent="0.2">
      <c r="A9232" s="146"/>
      <c r="D9232" s="496"/>
    </row>
    <row r="9233" spans="1:4" x14ac:dyDescent="0.2">
      <c r="A9233" s="146"/>
      <c r="D9233" s="496"/>
    </row>
    <row r="9234" spans="1:4" x14ac:dyDescent="0.2">
      <c r="A9234" s="146"/>
      <c r="D9234" s="496"/>
    </row>
    <row r="9235" spans="1:4" x14ac:dyDescent="0.2">
      <c r="A9235" s="146"/>
      <c r="D9235" s="496"/>
    </row>
    <row r="9236" spans="1:4" x14ac:dyDescent="0.2">
      <c r="A9236" s="146"/>
      <c r="D9236" s="496"/>
    </row>
    <row r="9237" spans="1:4" x14ac:dyDescent="0.2">
      <c r="A9237" s="146"/>
      <c r="D9237" s="496"/>
    </row>
    <row r="9238" spans="1:4" x14ac:dyDescent="0.2">
      <c r="A9238" s="146"/>
      <c r="D9238" s="496"/>
    </row>
    <row r="9239" spans="1:4" x14ac:dyDescent="0.2">
      <c r="A9239" s="146"/>
      <c r="D9239" s="496"/>
    </row>
    <row r="9240" spans="1:4" x14ac:dyDescent="0.2">
      <c r="A9240" s="146"/>
      <c r="D9240" s="496"/>
    </row>
    <row r="9241" spans="1:4" x14ac:dyDescent="0.2">
      <c r="A9241" s="146"/>
      <c r="D9241" s="496"/>
    </row>
    <row r="9242" spans="1:4" x14ac:dyDescent="0.2">
      <c r="A9242" s="146"/>
      <c r="D9242" s="496"/>
    </row>
    <row r="9243" spans="1:4" x14ac:dyDescent="0.2">
      <c r="A9243" s="146"/>
      <c r="D9243" s="496"/>
    </row>
    <row r="9244" spans="1:4" x14ac:dyDescent="0.2">
      <c r="A9244" s="146"/>
      <c r="D9244" s="496"/>
    </row>
    <row r="9245" spans="1:4" x14ac:dyDescent="0.2">
      <c r="A9245" s="146"/>
      <c r="D9245" s="496"/>
    </row>
    <row r="9246" spans="1:4" x14ac:dyDescent="0.2">
      <c r="A9246" s="146"/>
      <c r="D9246" s="496"/>
    </row>
    <row r="9247" spans="1:4" x14ac:dyDescent="0.2">
      <c r="A9247" s="146"/>
      <c r="D9247" s="496"/>
    </row>
    <row r="9248" spans="1:4" x14ac:dyDescent="0.2">
      <c r="A9248" s="146"/>
      <c r="D9248" s="496"/>
    </row>
    <row r="9249" spans="1:4" x14ac:dyDescent="0.2">
      <c r="A9249" s="146"/>
      <c r="D9249" s="496"/>
    </row>
    <row r="9250" spans="1:4" x14ac:dyDescent="0.2">
      <c r="A9250" s="146"/>
      <c r="D9250" s="496"/>
    </row>
    <row r="9251" spans="1:4" x14ac:dyDescent="0.2">
      <c r="A9251" s="146"/>
      <c r="D9251" s="496"/>
    </row>
    <row r="9252" spans="1:4" x14ac:dyDescent="0.2">
      <c r="A9252" s="146"/>
      <c r="D9252" s="496"/>
    </row>
    <row r="9253" spans="1:4" x14ac:dyDescent="0.2">
      <c r="A9253" s="146"/>
      <c r="D9253" s="496"/>
    </row>
    <row r="9254" spans="1:4" x14ac:dyDescent="0.2">
      <c r="A9254" s="146"/>
      <c r="D9254" s="496"/>
    </row>
    <row r="9255" spans="1:4" x14ac:dyDescent="0.2">
      <c r="A9255" s="146"/>
      <c r="D9255" s="496"/>
    </row>
    <row r="9256" spans="1:4" x14ac:dyDescent="0.2">
      <c r="A9256" s="146"/>
      <c r="D9256" s="496"/>
    </row>
    <row r="9257" spans="1:4" x14ac:dyDescent="0.2">
      <c r="A9257" s="146"/>
      <c r="D9257" s="496"/>
    </row>
    <row r="9258" spans="1:4" x14ac:dyDescent="0.2">
      <c r="A9258" s="146"/>
      <c r="D9258" s="496"/>
    </row>
    <row r="9259" spans="1:4" x14ac:dyDescent="0.2">
      <c r="A9259" s="146"/>
      <c r="D9259" s="496"/>
    </row>
    <row r="9260" spans="1:4" x14ac:dyDescent="0.2">
      <c r="A9260" s="146"/>
      <c r="D9260" s="496"/>
    </row>
    <row r="9261" spans="1:4" x14ac:dyDescent="0.2">
      <c r="A9261" s="146"/>
      <c r="D9261" s="496"/>
    </row>
    <row r="9262" spans="1:4" x14ac:dyDescent="0.2">
      <c r="A9262" s="146"/>
      <c r="D9262" s="496"/>
    </row>
    <row r="9263" spans="1:4" x14ac:dyDescent="0.2">
      <c r="A9263" s="146"/>
      <c r="D9263" s="496"/>
    </row>
    <row r="9264" spans="1:4" x14ac:dyDescent="0.2">
      <c r="A9264" s="146"/>
      <c r="D9264" s="496"/>
    </row>
    <row r="9265" spans="1:4" x14ac:dyDescent="0.2">
      <c r="A9265" s="146"/>
      <c r="D9265" s="496"/>
    </row>
    <row r="9266" spans="1:4" x14ac:dyDescent="0.2">
      <c r="A9266" s="146"/>
      <c r="D9266" s="496"/>
    </row>
    <row r="9267" spans="1:4" x14ac:dyDescent="0.2">
      <c r="A9267" s="146"/>
      <c r="D9267" s="496"/>
    </row>
    <row r="9268" spans="1:4" x14ac:dyDescent="0.2">
      <c r="A9268" s="146"/>
      <c r="D9268" s="496"/>
    </row>
    <row r="9269" spans="1:4" x14ac:dyDescent="0.2">
      <c r="A9269" s="146"/>
      <c r="D9269" s="496"/>
    </row>
    <row r="9270" spans="1:4" x14ac:dyDescent="0.2">
      <c r="A9270" s="146"/>
      <c r="D9270" s="496"/>
    </row>
    <row r="9271" spans="1:4" x14ac:dyDescent="0.2">
      <c r="A9271" s="146"/>
      <c r="D9271" s="496"/>
    </row>
    <row r="9272" spans="1:4" x14ac:dyDescent="0.2">
      <c r="A9272" s="146"/>
      <c r="D9272" s="496"/>
    </row>
    <row r="9273" spans="1:4" x14ac:dyDescent="0.2">
      <c r="A9273" s="146"/>
      <c r="D9273" s="496"/>
    </row>
    <row r="9274" spans="1:4" x14ac:dyDescent="0.2">
      <c r="A9274" s="146"/>
      <c r="D9274" s="496"/>
    </row>
    <row r="9275" spans="1:4" x14ac:dyDescent="0.2">
      <c r="A9275" s="146"/>
      <c r="D9275" s="496"/>
    </row>
    <row r="9276" spans="1:4" x14ac:dyDescent="0.2">
      <c r="A9276" s="146"/>
      <c r="D9276" s="496"/>
    </row>
    <row r="9277" spans="1:4" x14ac:dyDescent="0.2">
      <c r="A9277" s="146"/>
      <c r="D9277" s="496"/>
    </row>
    <row r="9278" spans="1:4" x14ac:dyDescent="0.2">
      <c r="A9278" s="146"/>
      <c r="D9278" s="496"/>
    </row>
    <row r="9279" spans="1:4" x14ac:dyDescent="0.2">
      <c r="A9279" s="146"/>
      <c r="D9279" s="496"/>
    </row>
    <row r="9280" spans="1:4" x14ac:dyDescent="0.2">
      <c r="A9280" s="146"/>
      <c r="D9280" s="496"/>
    </row>
    <row r="9281" spans="1:4" x14ac:dyDescent="0.2">
      <c r="A9281" s="146"/>
      <c r="D9281" s="496"/>
    </row>
    <row r="9282" spans="1:4" x14ac:dyDescent="0.2">
      <c r="A9282" s="146"/>
      <c r="D9282" s="496"/>
    </row>
    <row r="9283" spans="1:4" x14ac:dyDescent="0.2">
      <c r="A9283" s="146"/>
      <c r="D9283" s="496"/>
    </row>
    <row r="9284" spans="1:4" x14ac:dyDescent="0.2">
      <c r="A9284" s="146"/>
      <c r="D9284" s="496"/>
    </row>
    <row r="9285" spans="1:4" x14ac:dyDescent="0.2">
      <c r="A9285" s="146"/>
      <c r="D9285" s="496"/>
    </row>
    <row r="9286" spans="1:4" x14ac:dyDescent="0.2">
      <c r="A9286" s="146"/>
      <c r="D9286" s="496"/>
    </row>
    <row r="9287" spans="1:4" x14ac:dyDescent="0.2">
      <c r="A9287" s="146"/>
      <c r="D9287" s="496"/>
    </row>
    <row r="9288" spans="1:4" x14ac:dyDescent="0.2">
      <c r="A9288" s="146"/>
      <c r="D9288" s="496"/>
    </row>
    <row r="9289" spans="1:4" x14ac:dyDescent="0.2">
      <c r="A9289" s="146"/>
      <c r="D9289" s="496"/>
    </row>
    <row r="9290" spans="1:4" x14ac:dyDescent="0.2">
      <c r="A9290" s="146"/>
      <c r="D9290" s="496"/>
    </row>
    <row r="9291" spans="1:4" x14ac:dyDescent="0.2">
      <c r="A9291" s="146"/>
      <c r="D9291" s="496"/>
    </row>
    <row r="9292" spans="1:4" x14ac:dyDescent="0.2">
      <c r="A9292" s="146"/>
      <c r="D9292" s="496"/>
    </row>
    <row r="9293" spans="1:4" x14ac:dyDescent="0.2">
      <c r="A9293" s="146"/>
      <c r="D9293" s="496"/>
    </row>
    <row r="9294" spans="1:4" x14ac:dyDescent="0.2">
      <c r="A9294" s="146"/>
      <c r="D9294" s="496"/>
    </row>
    <row r="9295" spans="1:4" x14ac:dyDescent="0.2">
      <c r="A9295" s="146"/>
      <c r="D9295" s="496"/>
    </row>
    <row r="9296" spans="1:4" x14ac:dyDescent="0.2">
      <c r="A9296" s="146"/>
      <c r="D9296" s="496"/>
    </row>
    <row r="9297" spans="1:4" x14ac:dyDescent="0.2">
      <c r="A9297" s="146"/>
      <c r="D9297" s="496"/>
    </row>
    <row r="9298" spans="1:4" x14ac:dyDescent="0.2">
      <c r="A9298" s="146"/>
      <c r="D9298" s="496"/>
    </row>
    <row r="9299" spans="1:4" x14ac:dyDescent="0.2">
      <c r="A9299" s="146"/>
      <c r="D9299" s="496"/>
    </row>
    <row r="9300" spans="1:4" x14ac:dyDescent="0.2">
      <c r="A9300" s="146"/>
      <c r="D9300" s="496"/>
    </row>
    <row r="9301" spans="1:4" x14ac:dyDescent="0.2">
      <c r="A9301" s="146"/>
      <c r="D9301" s="496"/>
    </row>
    <row r="9302" spans="1:4" x14ac:dyDescent="0.2">
      <c r="A9302" s="146"/>
      <c r="D9302" s="496"/>
    </row>
    <row r="9303" spans="1:4" x14ac:dyDescent="0.2">
      <c r="A9303" s="146"/>
      <c r="D9303" s="496"/>
    </row>
    <row r="9304" spans="1:4" x14ac:dyDescent="0.2">
      <c r="A9304" s="146"/>
      <c r="D9304" s="496"/>
    </row>
    <row r="9305" spans="1:4" x14ac:dyDescent="0.2">
      <c r="A9305" s="146"/>
      <c r="D9305" s="496"/>
    </row>
    <row r="9306" spans="1:4" x14ac:dyDescent="0.2">
      <c r="A9306" s="146"/>
      <c r="D9306" s="496"/>
    </row>
    <row r="9307" spans="1:4" x14ac:dyDescent="0.2">
      <c r="A9307" s="146"/>
      <c r="D9307" s="496"/>
    </row>
    <row r="9308" spans="1:4" x14ac:dyDescent="0.2">
      <c r="A9308" s="146"/>
      <c r="D9308" s="496"/>
    </row>
    <row r="9309" spans="1:4" x14ac:dyDescent="0.2">
      <c r="A9309" s="146"/>
      <c r="D9309" s="496"/>
    </row>
    <row r="9310" spans="1:4" x14ac:dyDescent="0.2">
      <c r="A9310" s="146"/>
      <c r="D9310" s="496"/>
    </row>
    <row r="9311" spans="1:4" x14ac:dyDescent="0.2">
      <c r="A9311" s="146"/>
      <c r="D9311" s="496"/>
    </row>
    <row r="9312" spans="1:4" x14ac:dyDescent="0.2">
      <c r="A9312" s="146"/>
      <c r="D9312" s="496"/>
    </row>
    <row r="9313" spans="1:4" x14ac:dyDescent="0.2">
      <c r="A9313" s="146"/>
      <c r="D9313" s="496"/>
    </row>
    <row r="9314" spans="1:4" x14ac:dyDescent="0.2">
      <c r="A9314" s="146"/>
      <c r="D9314" s="496"/>
    </row>
    <row r="9315" spans="1:4" x14ac:dyDescent="0.2">
      <c r="A9315" s="146"/>
      <c r="D9315" s="496"/>
    </row>
    <row r="9316" spans="1:4" x14ac:dyDescent="0.2">
      <c r="A9316" s="146"/>
      <c r="D9316" s="496"/>
    </row>
    <row r="9317" spans="1:4" x14ac:dyDescent="0.2">
      <c r="A9317" s="146"/>
      <c r="D9317" s="496"/>
    </row>
    <row r="9318" spans="1:4" x14ac:dyDescent="0.2">
      <c r="A9318" s="146"/>
      <c r="D9318" s="496"/>
    </row>
    <row r="9319" spans="1:4" x14ac:dyDescent="0.2">
      <c r="A9319" s="146"/>
      <c r="D9319" s="496"/>
    </row>
    <row r="9320" spans="1:4" x14ac:dyDescent="0.2">
      <c r="A9320" s="146"/>
      <c r="D9320" s="496"/>
    </row>
    <row r="9321" spans="1:4" x14ac:dyDescent="0.2">
      <c r="A9321" s="146"/>
      <c r="D9321" s="496"/>
    </row>
    <row r="9322" spans="1:4" x14ac:dyDescent="0.2">
      <c r="A9322" s="146"/>
      <c r="D9322" s="496"/>
    </row>
    <row r="9323" spans="1:4" x14ac:dyDescent="0.2">
      <c r="A9323" s="146"/>
      <c r="D9323" s="496"/>
    </row>
    <row r="9324" spans="1:4" x14ac:dyDescent="0.2">
      <c r="A9324" s="146"/>
      <c r="D9324" s="496"/>
    </row>
    <row r="9325" spans="1:4" x14ac:dyDescent="0.2">
      <c r="A9325" s="146"/>
      <c r="D9325" s="496"/>
    </row>
    <row r="9326" spans="1:4" x14ac:dyDescent="0.2">
      <c r="A9326" s="146"/>
      <c r="D9326" s="496"/>
    </row>
    <row r="9327" spans="1:4" x14ac:dyDescent="0.2">
      <c r="A9327" s="146"/>
      <c r="D9327" s="496"/>
    </row>
    <row r="9328" spans="1:4" x14ac:dyDescent="0.2">
      <c r="A9328" s="146"/>
      <c r="D9328" s="496"/>
    </row>
    <row r="9329" spans="1:4" x14ac:dyDescent="0.2">
      <c r="A9329" s="146"/>
      <c r="D9329" s="496"/>
    </row>
    <row r="9330" spans="1:4" x14ac:dyDescent="0.2">
      <c r="A9330" s="146"/>
      <c r="D9330" s="496"/>
    </row>
    <row r="9331" spans="1:4" x14ac:dyDescent="0.2">
      <c r="A9331" s="146"/>
      <c r="D9331" s="496"/>
    </row>
    <row r="9332" spans="1:4" x14ac:dyDescent="0.2">
      <c r="A9332" s="146"/>
      <c r="D9332" s="496"/>
    </row>
    <row r="9333" spans="1:4" x14ac:dyDescent="0.2">
      <c r="A9333" s="146"/>
      <c r="D9333" s="496"/>
    </row>
    <row r="9334" spans="1:4" x14ac:dyDescent="0.2">
      <c r="A9334" s="146"/>
      <c r="D9334" s="496"/>
    </row>
    <row r="9335" spans="1:4" x14ac:dyDescent="0.2">
      <c r="A9335" s="146"/>
      <c r="D9335" s="496"/>
    </row>
    <row r="9336" spans="1:4" x14ac:dyDescent="0.2">
      <c r="A9336" s="146"/>
      <c r="D9336" s="496"/>
    </row>
    <row r="9337" spans="1:4" x14ac:dyDescent="0.2">
      <c r="A9337" s="146"/>
      <c r="D9337" s="496"/>
    </row>
    <row r="9338" spans="1:4" x14ac:dyDescent="0.2">
      <c r="A9338" s="146"/>
      <c r="D9338" s="496"/>
    </row>
    <row r="9339" spans="1:4" x14ac:dyDescent="0.2">
      <c r="A9339" s="146"/>
      <c r="D9339" s="496"/>
    </row>
    <row r="9340" spans="1:4" x14ac:dyDescent="0.2">
      <c r="A9340" s="146"/>
      <c r="D9340" s="496"/>
    </row>
    <row r="9341" spans="1:4" x14ac:dyDescent="0.2">
      <c r="A9341" s="146"/>
      <c r="D9341" s="496"/>
    </row>
    <row r="9342" spans="1:4" x14ac:dyDescent="0.2">
      <c r="A9342" s="146"/>
      <c r="D9342" s="496"/>
    </row>
    <row r="9343" spans="1:4" x14ac:dyDescent="0.2">
      <c r="A9343" s="146"/>
      <c r="D9343" s="496"/>
    </row>
    <row r="9344" spans="1:4" x14ac:dyDescent="0.2">
      <c r="A9344" s="146"/>
      <c r="D9344" s="496"/>
    </row>
    <row r="9345" spans="1:4" x14ac:dyDescent="0.2">
      <c r="A9345" s="146"/>
      <c r="D9345" s="496"/>
    </row>
    <row r="9346" spans="1:4" x14ac:dyDescent="0.2">
      <c r="A9346" s="146"/>
      <c r="D9346" s="496"/>
    </row>
    <row r="9347" spans="1:4" x14ac:dyDescent="0.2">
      <c r="A9347" s="146"/>
      <c r="D9347" s="496"/>
    </row>
    <row r="9348" spans="1:4" x14ac:dyDescent="0.2">
      <c r="A9348" s="146"/>
      <c r="D9348" s="496"/>
    </row>
    <row r="9349" spans="1:4" x14ac:dyDescent="0.2">
      <c r="A9349" s="146"/>
      <c r="D9349" s="496"/>
    </row>
    <row r="9350" spans="1:4" x14ac:dyDescent="0.2">
      <c r="A9350" s="146"/>
      <c r="D9350" s="496"/>
    </row>
    <row r="9351" spans="1:4" x14ac:dyDescent="0.2">
      <c r="A9351" s="146"/>
      <c r="D9351" s="496"/>
    </row>
    <row r="9352" spans="1:4" x14ac:dyDescent="0.2">
      <c r="A9352" s="146"/>
      <c r="D9352" s="496"/>
    </row>
    <row r="9353" spans="1:4" x14ac:dyDescent="0.2">
      <c r="A9353" s="146"/>
      <c r="D9353" s="496"/>
    </row>
    <row r="9354" spans="1:4" x14ac:dyDescent="0.2">
      <c r="A9354" s="146"/>
      <c r="D9354" s="496"/>
    </row>
    <row r="9355" spans="1:4" x14ac:dyDescent="0.2">
      <c r="A9355" s="146"/>
      <c r="D9355" s="496"/>
    </row>
    <row r="9356" spans="1:4" x14ac:dyDescent="0.2">
      <c r="A9356" s="146"/>
      <c r="D9356" s="496"/>
    </row>
    <row r="9357" spans="1:4" x14ac:dyDescent="0.2">
      <c r="A9357" s="146"/>
      <c r="D9357" s="496"/>
    </row>
    <row r="9358" spans="1:4" x14ac:dyDescent="0.2">
      <c r="A9358" s="146"/>
      <c r="D9358" s="496"/>
    </row>
    <row r="9359" spans="1:4" x14ac:dyDescent="0.2">
      <c r="A9359" s="146"/>
      <c r="D9359" s="496"/>
    </row>
    <row r="9360" spans="1:4" x14ac:dyDescent="0.2">
      <c r="A9360" s="146"/>
      <c r="D9360" s="496"/>
    </row>
    <row r="9361" spans="1:4" x14ac:dyDescent="0.2">
      <c r="A9361" s="146"/>
      <c r="D9361" s="496"/>
    </row>
    <row r="9362" spans="1:4" x14ac:dyDescent="0.2">
      <c r="A9362" s="146"/>
      <c r="D9362" s="496"/>
    </row>
    <row r="9363" spans="1:4" x14ac:dyDescent="0.2">
      <c r="A9363" s="146"/>
      <c r="D9363" s="496"/>
    </row>
    <row r="9364" spans="1:4" x14ac:dyDescent="0.2">
      <c r="A9364" s="146"/>
      <c r="D9364" s="496"/>
    </row>
    <row r="9365" spans="1:4" x14ac:dyDescent="0.2">
      <c r="A9365" s="146"/>
      <c r="D9365" s="496"/>
    </row>
    <row r="9366" spans="1:4" x14ac:dyDescent="0.2">
      <c r="A9366" s="146"/>
      <c r="D9366" s="496"/>
    </row>
    <row r="9367" spans="1:4" x14ac:dyDescent="0.2">
      <c r="A9367" s="146"/>
      <c r="D9367" s="496"/>
    </row>
    <row r="9368" spans="1:4" x14ac:dyDescent="0.2">
      <c r="A9368" s="146"/>
      <c r="D9368" s="496"/>
    </row>
    <row r="9369" spans="1:4" x14ac:dyDescent="0.2">
      <c r="A9369" s="146"/>
      <c r="D9369" s="496"/>
    </row>
    <row r="9370" spans="1:4" x14ac:dyDescent="0.2">
      <c r="A9370" s="146"/>
      <c r="D9370" s="496"/>
    </row>
    <row r="9371" spans="1:4" x14ac:dyDescent="0.2">
      <c r="A9371" s="146"/>
      <c r="D9371" s="496"/>
    </row>
    <row r="9372" spans="1:4" x14ac:dyDescent="0.2">
      <c r="A9372" s="146"/>
      <c r="D9372" s="496"/>
    </row>
    <row r="9373" spans="1:4" x14ac:dyDescent="0.2">
      <c r="A9373" s="146"/>
      <c r="D9373" s="496"/>
    </row>
    <row r="9374" spans="1:4" x14ac:dyDescent="0.2">
      <c r="A9374" s="146"/>
      <c r="D9374" s="496"/>
    </row>
    <row r="9375" spans="1:4" x14ac:dyDescent="0.2">
      <c r="A9375" s="146"/>
      <c r="D9375" s="496"/>
    </row>
    <row r="9376" spans="1:4" x14ac:dyDescent="0.2">
      <c r="A9376" s="146"/>
      <c r="D9376" s="496"/>
    </row>
    <row r="9377" spans="1:4" x14ac:dyDescent="0.2">
      <c r="A9377" s="146"/>
      <c r="D9377" s="496"/>
    </row>
    <row r="9378" spans="1:4" x14ac:dyDescent="0.2">
      <c r="A9378" s="146"/>
      <c r="D9378" s="496"/>
    </row>
    <row r="9379" spans="1:4" x14ac:dyDescent="0.2">
      <c r="A9379" s="146"/>
      <c r="D9379" s="496"/>
    </row>
    <row r="9380" spans="1:4" x14ac:dyDescent="0.2">
      <c r="A9380" s="146"/>
      <c r="D9380" s="496"/>
    </row>
    <row r="9381" spans="1:4" x14ac:dyDescent="0.2">
      <c r="A9381" s="146"/>
      <c r="D9381" s="496"/>
    </row>
    <row r="9382" spans="1:4" x14ac:dyDescent="0.2">
      <c r="A9382" s="146"/>
      <c r="D9382" s="496"/>
    </row>
    <row r="9383" spans="1:4" x14ac:dyDescent="0.2">
      <c r="A9383" s="146"/>
      <c r="D9383" s="496"/>
    </row>
    <row r="9384" spans="1:4" x14ac:dyDescent="0.2">
      <c r="A9384" s="146"/>
      <c r="D9384" s="496"/>
    </row>
    <row r="9385" spans="1:4" x14ac:dyDescent="0.2">
      <c r="A9385" s="146"/>
      <c r="D9385" s="496"/>
    </row>
    <row r="9386" spans="1:4" x14ac:dyDescent="0.2">
      <c r="A9386" s="146"/>
      <c r="D9386" s="496"/>
    </row>
    <row r="9387" spans="1:4" x14ac:dyDescent="0.2">
      <c r="A9387" s="146"/>
      <c r="D9387" s="496"/>
    </row>
    <row r="9388" spans="1:4" x14ac:dyDescent="0.2">
      <c r="A9388" s="146"/>
      <c r="D9388" s="496"/>
    </row>
    <row r="9389" spans="1:4" x14ac:dyDescent="0.2">
      <c r="A9389" s="146"/>
      <c r="D9389" s="496"/>
    </row>
    <row r="9390" spans="1:4" x14ac:dyDescent="0.2">
      <c r="A9390" s="146"/>
      <c r="D9390" s="496"/>
    </row>
    <row r="9391" spans="1:4" x14ac:dyDescent="0.2">
      <c r="A9391" s="146"/>
      <c r="D9391" s="496"/>
    </row>
    <row r="9392" spans="1:4" x14ac:dyDescent="0.2">
      <c r="A9392" s="146"/>
      <c r="D9392" s="496"/>
    </row>
    <row r="9393" spans="1:4" x14ac:dyDescent="0.2">
      <c r="A9393" s="146"/>
      <c r="D9393" s="496"/>
    </row>
    <row r="9394" spans="1:4" x14ac:dyDescent="0.2">
      <c r="A9394" s="146"/>
      <c r="D9394" s="496"/>
    </row>
    <row r="9395" spans="1:4" x14ac:dyDescent="0.2">
      <c r="A9395" s="146"/>
      <c r="D9395" s="496"/>
    </row>
    <row r="9396" spans="1:4" x14ac:dyDescent="0.2">
      <c r="A9396" s="146"/>
      <c r="D9396" s="496"/>
    </row>
    <row r="9397" spans="1:4" x14ac:dyDescent="0.2">
      <c r="A9397" s="146"/>
      <c r="D9397" s="496"/>
    </row>
    <row r="9398" spans="1:4" x14ac:dyDescent="0.2">
      <c r="A9398" s="146"/>
      <c r="D9398" s="496"/>
    </row>
    <row r="9399" spans="1:4" x14ac:dyDescent="0.2">
      <c r="A9399" s="146"/>
      <c r="D9399" s="496"/>
    </row>
    <row r="9400" spans="1:4" x14ac:dyDescent="0.2">
      <c r="A9400" s="146"/>
      <c r="D9400" s="496"/>
    </row>
    <row r="9401" spans="1:4" x14ac:dyDescent="0.2">
      <c r="A9401" s="146"/>
      <c r="D9401" s="496"/>
    </row>
    <row r="9402" spans="1:4" x14ac:dyDescent="0.2">
      <c r="A9402" s="146"/>
      <c r="D9402" s="496"/>
    </row>
    <row r="9403" spans="1:4" x14ac:dyDescent="0.2">
      <c r="A9403" s="146"/>
      <c r="D9403" s="496"/>
    </row>
    <row r="9404" spans="1:4" x14ac:dyDescent="0.2">
      <c r="A9404" s="146"/>
      <c r="D9404" s="496"/>
    </row>
    <row r="9405" spans="1:4" x14ac:dyDescent="0.2">
      <c r="A9405" s="146"/>
      <c r="D9405" s="496"/>
    </row>
    <row r="9406" spans="1:4" x14ac:dyDescent="0.2">
      <c r="A9406" s="146"/>
      <c r="D9406" s="496"/>
    </row>
    <row r="9407" spans="1:4" x14ac:dyDescent="0.2">
      <c r="A9407" s="146"/>
      <c r="D9407" s="496"/>
    </row>
    <row r="9408" spans="1:4" x14ac:dyDescent="0.2">
      <c r="A9408" s="146"/>
      <c r="D9408" s="496"/>
    </row>
    <row r="9409" spans="1:4" x14ac:dyDescent="0.2">
      <c r="A9409" s="146"/>
      <c r="D9409" s="496"/>
    </row>
    <row r="9410" spans="1:4" x14ac:dyDescent="0.2">
      <c r="A9410" s="146"/>
      <c r="D9410" s="496"/>
    </row>
    <row r="9411" spans="1:4" x14ac:dyDescent="0.2">
      <c r="A9411" s="146"/>
      <c r="D9411" s="496"/>
    </row>
    <row r="9412" spans="1:4" x14ac:dyDescent="0.2">
      <c r="A9412" s="146"/>
      <c r="D9412" s="496"/>
    </row>
    <row r="9413" spans="1:4" x14ac:dyDescent="0.2">
      <c r="A9413" s="146"/>
      <c r="D9413" s="496"/>
    </row>
    <row r="9414" spans="1:4" x14ac:dyDescent="0.2">
      <c r="A9414" s="146"/>
      <c r="D9414" s="496"/>
    </row>
    <row r="9415" spans="1:4" x14ac:dyDescent="0.2">
      <c r="A9415" s="146"/>
      <c r="D9415" s="496"/>
    </row>
    <row r="9416" spans="1:4" x14ac:dyDescent="0.2">
      <c r="A9416" s="146"/>
      <c r="D9416" s="496"/>
    </row>
    <row r="9417" spans="1:4" x14ac:dyDescent="0.2">
      <c r="A9417" s="146"/>
      <c r="D9417" s="496"/>
    </row>
    <row r="9418" spans="1:4" x14ac:dyDescent="0.2">
      <c r="A9418" s="146"/>
      <c r="D9418" s="496"/>
    </row>
    <row r="9419" spans="1:4" x14ac:dyDescent="0.2">
      <c r="A9419" s="146"/>
      <c r="D9419" s="496"/>
    </row>
    <row r="9420" spans="1:4" x14ac:dyDescent="0.2">
      <c r="A9420" s="146"/>
      <c r="D9420" s="496"/>
    </row>
    <row r="9421" spans="1:4" x14ac:dyDescent="0.2">
      <c r="A9421" s="146"/>
      <c r="D9421" s="496"/>
    </row>
    <row r="9422" spans="1:4" x14ac:dyDescent="0.2">
      <c r="A9422" s="146"/>
      <c r="D9422" s="496"/>
    </row>
    <row r="9423" spans="1:4" x14ac:dyDescent="0.2">
      <c r="A9423" s="146"/>
      <c r="D9423" s="496"/>
    </row>
    <row r="9424" spans="1:4" x14ac:dyDescent="0.2">
      <c r="A9424" s="146"/>
      <c r="D9424" s="496"/>
    </row>
    <row r="9425" spans="1:4" x14ac:dyDescent="0.2">
      <c r="A9425" s="146"/>
      <c r="D9425" s="496"/>
    </row>
    <row r="9426" spans="1:4" x14ac:dyDescent="0.2">
      <c r="A9426" s="146"/>
      <c r="D9426" s="496"/>
    </row>
    <row r="9427" spans="1:4" x14ac:dyDescent="0.2">
      <c r="A9427" s="146"/>
      <c r="D9427" s="496"/>
    </row>
    <row r="9428" spans="1:4" x14ac:dyDescent="0.2">
      <c r="A9428" s="146"/>
      <c r="D9428" s="496"/>
    </row>
    <row r="9429" spans="1:4" x14ac:dyDescent="0.2">
      <c r="A9429" s="146"/>
      <c r="D9429" s="496"/>
    </row>
    <row r="9430" spans="1:4" x14ac:dyDescent="0.2">
      <c r="A9430" s="146"/>
      <c r="D9430" s="496"/>
    </row>
    <row r="9431" spans="1:4" x14ac:dyDescent="0.2">
      <c r="A9431" s="146"/>
      <c r="D9431" s="496"/>
    </row>
    <row r="9432" spans="1:4" x14ac:dyDescent="0.2">
      <c r="A9432" s="146"/>
      <c r="D9432" s="496"/>
    </row>
    <row r="9433" spans="1:4" x14ac:dyDescent="0.2">
      <c r="A9433" s="146"/>
      <c r="D9433" s="496"/>
    </row>
    <row r="9434" spans="1:4" x14ac:dyDescent="0.2">
      <c r="A9434" s="146"/>
      <c r="D9434" s="496"/>
    </row>
    <row r="9435" spans="1:4" x14ac:dyDescent="0.2">
      <c r="A9435" s="146"/>
      <c r="D9435" s="496"/>
    </row>
    <row r="9436" spans="1:4" x14ac:dyDescent="0.2">
      <c r="A9436" s="146"/>
      <c r="D9436" s="496"/>
    </row>
    <row r="9437" spans="1:4" x14ac:dyDescent="0.2">
      <c r="A9437" s="146"/>
      <c r="D9437" s="496"/>
    </row>
    <row r="9438" spans="1:4" x14ac:dyDescent="0.2">
      <c r="A9438" s="146"/>
      <c r="D9438" s="496"/>
    </row>
    <row r="9439" spans="1:4" x14ac:dyDescent="0.2">
      <c r="A9439" s="146"/>
      <c r="D9439" s="496"/>
    </row>
    <row r="9440" spans="1:4" x14ac:dyDescent="0.2">
      <c r="A9440" s="146"/>
      <c r="D9440" s="496"/>
    </row>
    <row r="9441" spans="1:4" x14ac:dyDescent="0.2">
      <c r="A9441" s="146"/>
      <c r="D9441" s="496"/>
    </row>
    <row r="9442" spans="1:4" x14ac:dyDescent="0.2">
      <c r="A9442" s="146"/>
      <c r="D9442" s="496"/>
    </row>
    <row r="9443" spans="1:4" x14ac:dyDescent="0.2">
      <c r="A9443" s="146"/>
      <c r="D9443" s="496"/>
    </row>
    <row r="9444" spans="1:4" x14ac:dyDescent="0.2">
      <c r="A9444" s="146"/>
      <c r="D9444" s="496"/>
    </row>
    <row r="9445" spans="1:4" x14ac:dyDescent="0.2">
      <c r="A9445" s="146"/>
      <c r="D9445" s="496"/>
    </row>
    <row r="9446" spans="1:4" x14ac:dyDescent="0.2">
      <c r="A9446" s="146"/>
      <c r="D9446" s="496"/>
    </row>
    <row r="9447" spans="1:4" x14ac:dyDescent="0.2">
      <c r="A9447" s="146"/>
      <c r="D9447" s="496"/>
    </row>
    <row r="9448" spans="1:4" x14ac:dyDescent="0.2">
      <c r="A9448" s="146"/>
      <c r="D9448" s="496"/>
    </row>
    <row r="9449" spans="1:4" x14ac:dyDescent="0.2">
      <c r="A9449" s="146"/>
      <c r="D9449" s="496"/>
    </row>
    <row r="9450" spans="1:4" x14ac:dyDescent="0.2">
      <c r="A9450" s="146"/>
      <c r="D9450" s="496"/>
    </row>
    <row r="9451" spans="1:4" x14ac:dyDescent="0.2">
      <c r="A9451" s="146"/>
      <c r="D9451" s="496"/>
    </row>
    <row r="9452" spans="1:4" x14ac:dyDescent="0.2">
      <c r="A9452" s="146"/>
      <c r="D9452" s="496"/>
    </row>
    <row r="9453" spans="1:4" x14ac:dyDescent="0.2">
      <c r="A9453" s="146"/>
      <c r="D9453" s="496"/>
    </row>
    <row r="9454" spans="1:4" x14ac:dyDescent="0.2">
      <c r="A9454" s="146"/>
      <c r="D9454" s="496"/>
    </row>
    <row r="9455" spans="1:4" x14ac:dyDescent="0.2">
      <c r="A9455" s="146"/>
      <c r="D9455" s="496"/>
    </row>
    <row r="9456" spans="1:4" x14ac:dyDescent="0.2">
      <c r="A9456" s="146"/>
      <c r="D9456" s="496"/>
    </row>
    <row r="9457" spans="1:4" x14ac:dyDescent="0.2">
      <c r="A9457" s="146"/>
      <c r="D9457" s="496"/>
    </row>
    <row r="9458" spans="1:4" x14ac:dyDescent="0.2">
      <c r="A9458" s="146"/>
      <c r="D9458" s="496"/>
    </row>
    <row r="9459" spans="1:4" x14ac:dyDescent="0.2">
      <c r="A9459" s="146"/>
      <c r="D9459" s="496"/>
    </row>
    <row r="9460" spans="1:4" x14ac:dyDescent="0.2">
      <c r="A9460" s="146"/>
      <c r="D9460" s="496"/>
    </row>
    <row r="9461" spans="1:4" x14ac:dyDescent="0.2">
      <c r="A9461" s="146"/>
      <c r="D9461" s="496"/>
    </row>
    <row r="9462" spans="1:4" x14ac:dyDescent="0.2">
      <c r="A9462" s="146"/>
      <c r="D9462" s="496"/>
    </row>
    <row r="9463" spans="1:4" x14ac:dyDescent="0.2">
      <c r="A9463" s="146"/>
      <c r="D9463" s="496"/>
    </row>
    <row r="9464" spans="1:4" x14ac:dyDescent="0.2">
      <c r="A9464" s="146"/>
      <c r="D9464" s="496"/>
    </row>
    <row r="9465" spans="1:4" x14ac:dyDescent="0.2">
      <c r="A9465" s="146"/>
      <c r="D9465" s="496"/>
    </row>
    <row r="9466" spans="1:4" x14ac:dyDescent="0.2">
      <c r="A9466" s="146"/>
      <c r="D9466" s="496"/>
    </row>
    <row r="9467" spans="1:4" x14ac:dyDescent="0.2">
      <c r="A9467" s="146"/>
      <c r="D9467" s="496"/>
    </row>
    <row r="9468" spans="1:4" x14ac:dyDescent="0.2">
      <c r="A9468" s="146"/>
      <c r="D9468" s="496"/>
    </row>
    <row r="9469" spans="1:4" x14ac:dyDescent="0.2">
      <c r="A9469" s="146"/>
      <c r="D9469" s="496"/>
    </row>
    <row r="9470" spans="1:4" x14ac:dyDescent="0.2">
      <c r="A9470" s="146"/>
      <c r="D9470" s="496"/>
    </row>
    <row r="9471" spans="1:4" x14ac:dyDescent="0.2">
      <c r="A9471" s="146"/>
      <c r="D9471" s="496"/>
    </row>
    <row r="9472" spans="1:4" x14ac:dyDescent="0.2">
      <c r="A9472" s="146"/>
      <c r="D9472" s="496"/>
    </row>
    <row r="9473" spans="1:4" x14ac:dyDescent="0.2">
      <c r="A9473" s="146"/>
      <c r="D9473" s="496"/>
    </row>
    <row r="9474" spans="1:4" x14ac:dyDescent="0.2">
      <c r="A9474" s="146"/>
      <c r="D9474" s="496"/>
    </row>
    <row r="9475" spans="1:4" x14ac:dyDescent="0.2">
      <c r="A9475" s="146"/>
      <c r="D9475" s="496"/>
    </row>
    <row r="9476" spans="1:4" x14ac:dyDescent="0.2">
      <c r="A9476" s="146"/>
      <c r="D9476" s="496"/>
    </row>
    <row r="9477" spans="1:4" x14ac:dyDescent="0.2">
      <c r="A9477" s="146"/>
      <c r="D9477" s="496"/>
    </row>
    <row r="9478" spans="1:4" x14ac:dyDescent="0.2">
      <c r="A9478" s="146"/>
      <c r="D9478" s="496"/>
    </row>
    <row r="9479" spans="1:4" x14ac:dyDescent="0.2">
      <c r="A9479" s="146"/>
      <c r="D9479" s="496"/>
    </row>
    <row r="9480" spans="1:4" x14ac:dyDescent="0.2">
      <c r="A9480" s="146"/>
      <c r="D9480" s="496"/>
    </row>
    <row r="9481" spans="1:4" x14ac:dyDescent="0.2">
      <c r="A9481" s="146"/>
      <c r="D9481" s="496"/>
    </row>
    <row r="9482" spans="1:4" x14ac:dyDescent="0.2">
      <c r="A9482" s="146"/>
      <c r="D9482" s="496"/>
    </row>
    <row r="9483" spans="1:4" x14ac:dyDescent="0.2">
      <c r="A9483" s="146"/>
      <c r="D9483" s="496"/>
    </row>
    <row r="9484" spans="1:4" x14ac:dyDescent="0.2">
      <c r="A9484" s="146"/>
      <c r="D9484" s="496"/>
    </row>
    <row r="9485" spans="1:4" x14ac:dyDescent="0.2">
      <c r="A9485" s="146"/>
      <c r="D9485" s="496"/>
    </row>
    <row r="9486" spans="1:4" x14ac:dyDescent="0.2">
      <c r="A9486" s="146"/>
      <c r="D9486" s="496"/>
    </row>
    <row r="9487" spans="1:4" x14ac:dyDescent="0.2">
      <c r="A9487" s="146"/>
      <c r="D9487" s="496"/>
    </row>
    <row r="9488" spans="1:4" x14ac:dyDescent="0.2">
      <c r="A9488" s="146"/>
      <c r="D9488" s="496"/>
    </row>
    <row r="9489" spans="1:4" x14ac:dyDescent="0.2">
      <c r="A9489" s="146"/>
      <c r="D9489" s="496"/>
    </row>
    <row r="9490" spans="1:4" x14ac:dyDescent="0.2">
      <c r="A9490" s="146"/>
      <c r="D9490" s="496"/>
    </row>
    <row r="9491" spans="1:4" x14ac:dyDescent="0.2">
      <c r="A9491" s="146"/>
      <c r="D9491" s="496"/>
    </row>
    <row r="9492" spans="1:4" x14ac:dyDescent="0.2">
      <c r="A9492" s="146"/>
      <c r="D9492" s="496"/>
    </row>
    <row r="9493" spans="1:4" x14ac:dyDescent="0.2">
      <c r="A9493" s="146"/>
      <c r="D9493" s="496"/>
    </row>
    <row r="9494" spans="1:4" x14ac:dyDescent="0.2">
      <c r="A9494" s="146"/>
      <c r="D9494" s="496"/>
    </row>
    <row r="9495" spans="1:4" x14ac:dyDescent="0.2">
      <c r="A9495" s="146"/>
      <c r="D9495" s="496"/>
    </row>
    <row r="9496" spans="1:4" x14ac:dyDescent="0.2">
      <c r="A9496" s="146"/>
      <c r="D9496" s="496"/>
    </row>
    <row r="9497" spans="1:4" x14ac:dyDescent="0.2">
      <c r="A9497" s="146"/>
      <c r="D9497" s="496"/>
    </row>
    <row r="9498" spans="1:4" x14ac:dyDescent="0.2">
      <c r="A9498" s="146"/>
      <c r="D9498" s="496"/>
    </row>
    <row r="9499" spans="1:4" x14ac:dyDescent="0.2">
      <c r="A9499" s="146"/>
      <c r="D9499" s="496"/>
    </row>
    <row r="9500" spans="1:4" x14ac:dyDescent="0.2">
      <c r="A9500" s="146"/>
      <c r="D9500" s="496"/>
    </row>
    <row r="9501" spans="1:4" x14ac:dyDescent="0.2">
      <c r="A9501" s="146"/>
      <c r="D9501" s="496"/>
    </row>
    <row r="9502" spans="1:4" x14ac:dyDescent="0.2">
      <c r="A9502" s="146"/>
      <c r="D9502" s="496"/>
    </row>
    <row r="9503" spans="1:4" x14ac:dyDescent="0.2">
      <c r="A9503" s="146"/>
      <c r="D9503" s="496"/>
    </row>
    <row r="9504" spans="1:4" x14ac:dyDescent="0.2">
      <c r="A9504" s="146"/>
      <c r="D9504" s="496"/>
    </row>
    <row r="9505" spans="1:4" x14ac:dyDescent="0.2">
      <c r="A9505" s="146"/>
      <c r="D9505" s="496"/>
    </row>
    <row r="9506" spans="1:4" x14ac:dyDescent="0.2">
      <c r="A9506" s="146"/>
      <c r="D9506" s="496"/>
    </row>
    <row r="9507" spans="1:4" x14ac:dyDescent="0.2">
      <c r="A9507" s="146"/>
      <c r="D9507" s="496"/>
    </row>
    <row r="9508" spans="1:4" x14ac:dyDescent="0.2">
      <c r="A9508" s="146"/>
      <c r="D9508" s="496"/>
    </row>
    <row r="9509" spans="1:4" x14ac:dyDescent="0.2">
      <c r="A9509" s="146"/>
      <c r="D9509" s="496"/>
    </row>
    <row r="9510" spans="1:4" x14ac:dyDescent="0.2">
      <c r="A9510" s="146"/>
      <c r="D9510" s="496"/>
    </row>
    <row r="9511" spans="1:4" x14ac:dyDescent="0.2">
      <c r="A9511" s="146"/>
      <c r="D9511" s="496"/>
    </row>
    <row r="9512" spans="1:4" x14ac:dyDescent="0.2">
      <c r="A9512" s="146"/>
      <c r="D9512" s="496"/>
    </row>
    <row r="9513" spans="1:4" x14ac:dyDescent="0.2">
      <c r="A9513" s="146"/>
      <c r="D9513" s="496"/>
    </row>
    <row r="9514" spans="1:4" x14ac:dyDescent="0.2">
      <c r="A9514" s="146"/>
      <c r="D9514" s="496"/>
    </row>
    <row r="9515" spans="1:4" x14ac:dyDescent="0.2">
      <c r="A9515" s="146"/>
      <c r="D9515" s="496"/>
    </row>
    <row r="9516" spans="1:4" x14ac:dyDescent="0.2">
      <c r="A9516" s="146"/>
      <c r="D9516" s="496"/>
    </row>
    <row r="9517" spans="1:4" x14ac:dyDescent="0.2">
      <c r="A9517" s="146"/>
      <c r="D9517" s="496"/>
    </row>
    <row r="9518" spans="1:4" x14ac:dyDescent="0.2">
      <c r="A9518" s="146"/>
      <c r="D9518" s="496"/>
    </row>
    <row r="9519" spans="1:4" x14ac:dyDescent="0.2">
      <c r="A9519" s="146"/>
      <c r="D9519" s="496"/>
    </row>
    <row r="9520" spans="1:4" x14ac:dyDescent="0.2">
      <c r="A9520" s="146"/>
      <c r="D9520" s="496"/>
    </row>
    <row r="9521" spans="1:4" x14ac:dyDescent="0.2">
      <c r="A9521" s="146"/>
      <c r="D9521" s="496"/>
    </row>
    <row r="9522" spans="1:4" x14ac:dyDescent="0.2">
      <c r="A9522" s="146"/>
      <c r="D9522" s="496"/>
    </row>
    <row r="9523" spans="1:4" x14ac:dyDescent="0.2">
      <c r="A9523" s="146"/>
      <c r="D9523" s="496"/>
    </row>
    <row r="9524" spans="1:4" x14ac:dyDescent="0.2">
      <c r="A9524" s="146"/>
      <c r="D9524" s="496"/>
    </row>
    <row r="9525" spans="1:4" x14ac:dyDescent="0.2">
      <c r="A9525" s="146"/>
      <c r="D9525" s="496"/>
    </row>
    <row r="9526" spans="1:4" x14ac:dyDescent="0.2">
      <c r="A9526" s="146"/>
      <c r="D9526" s="496"/>
    </row>
    <row r="9527" spans="1:4" x14ac:dyDescent="0.2">
      <c r="A9527" s="146"/>
      <c r="D9527" s="496"/>
    </row>
    <row r="9528" spans="1:4" x14ac:dyDescent="0.2">
      <c r="A9528" s="146"/>
      <c r="D9528" s="496"/>
    </row>
    <row r="9529" spans="1:4" x14ac:dyDescent="0.2">
      <c r="A9529" s="146"/>
      <c r="D9529" s="496"/>
    </row>
    <row r="9530" spans="1:4" x14ac:dyDescent="0.2">
      <c r="A9530" s="146"/>
      <c r="D9530" s="496"/>
    </row>
    <row r="9531" spans="1:4" x14ac:dyDescent="0.2">
      <c r="A9531" s="146"/>
      <c r="D9531" s="496"/>
    </row>
    <row r="9532" spans="1:4" x14ac:dyDescent="0.2">
      <c r="A9532" s="146"/>
      <c r="D9532" s="496"/>
    </row>
    <row r="9533" spans="1:4" x14ac:dyDescent="0.2">
      <c r="A9533" s="146"/>
      <c r="D9533" s="496"/>
    </row>
    <row r="9534" spans="1:4" x14ac:dyDescent="0.2">
      <c r="A9534" s="146"/>
      <c r="D9534" s="496"/>
    </row>
    <row r="9535" spans="1:4" x14ac:dyDescent="0.2">
      <c r="A9535" s="146"/>
      <c r="D9535" s="496"/>
    </row>
    <row r="9536" spans="1:4" x14ac:dyDescent="0.2">
      <c r="A9536" s="146"/>
      <c r="D9536" s="496"/>
    </row>
    <row r="9537" spans="1:4" x14ac:dyDescent="0.2">
      <c r="A9537" s="146"/>
      <c r="D9537" s="496"/>
    </row>
    <row r="9538" spans="1:4" x14ac:dyDescent="0.2">
      <c r="A9538" s="146"/>
      <c r="D9538" s="496"/>
    </row>
    <row r="9539" spans="1:4" x14ac:dyDescent="0.2">
      <c r="A9539" s="146"/>
      <c r="D9539" s="496"/>
    </row>
    <row r="9540" spans="1:4" x14ac:dyDescent="0.2">
      <c r="A9540" s="146"/>
      <c r="D9540" s="496"/>
    </row>
    <row r="9541" spans="1:4" x14ac:dyDescent="0.2">
      <c r="A9541" s="146"/>
      <c r="D9541" s="496"/>
    </row>
    <row r="9542" spans="1:4" x14ac:dyDescent="0.2">
      <c r="A9542" s="146"/>
      <c r="D9542" s="496"/>
    </row>
    <row r="9543" spans="1:4" x14ac:dyDescent="0.2">
      <c r="A9543" s="146"/>
      <c r="D9543" s="496"/>
    </row>
    <row r="9544" spans="1:4" x14ac:dyDescent="0.2">
      <c r="A9544" s="146"/>
      <c r="D9544" s="496"/>
    </row>
    <row r="9545" spans="1:4" x14ac:dyDescent="0.2">
      <c r="A9545" s="146"/>
      <c r="D9545" s="496"/>
    </row>
    <row r="9546" spans="1:4" x14ac:dyDescent="0.2">
      <c r="A9546" s="146"/>
      <c r="D9546" s="496"/>
    </row>
    <row r="9547" spans="1:4" x14ac:dyDescent="0.2">
      <c r="A9547" s="146"/>
      <c r="D9547" s="496"/>
    </row>
    <row r="9548" spans="1:4" x14ac:dyDescent="0.2">
      <c r="A9548" s="146"/>
      <c r="D9548" s="496"/>
    </row>
    <row r="9549" spans="1:4" x14ac:dyDescent="0.2">
      <c r="A9549" s="146"/>
      <c r="D9549" s="496"/>
    </row>
    <row r="9550" spans="1:4" x14ac:dyDescent="0.2">
      <c r="A9550" s="146"/>
      <c r="D9550" s="496"/>
    </row>
    <row r="9551" spans="1:4" x14ac:dyDescent="0.2">
      <c r="A9551" s="146"/>
      <c r="D9551" s="496"/>
    </row>
    <row r="9552" spans="1:4" x14ac:dyDescent="0.2">
      <c r="A9552" s="146"/>
      <c r="D9552" s="496"/>
    </row>
    <row r="9553" spans="1:4" x14ac:dyDescent="0.2">
      <c r="A9553" s="146"/>
      <c r="D9553" s="496"/>
    </row>
    <row r="9554" spans="1:4" x14ac:dyDescent="0.2">
      <c r="A9554" s="146"/>
      <c r="D9554" s="496"/>
    </row>
    <row r="9555" spans="1:4" x14ac:dyDescent="0.2">
      <c r="A9555" s="146"/>
      <c r="D9555" s="496"/>
    </row>
    <row r="9556" spans="1:4" x14ac:dyDescent="0.2">
      <c r="A9556" s="146"/>
      <c r="D9556" s="496"/>
    </row>
    <row r="9557" spans="1:4" x14ac:dyDescent="0.2">
      <c r="A9557" s="146"/>
      <c r="D9557" s="496"/>
    </row>
    <row r="9558" spans="1:4" x14ac:dyDescent="0.2">
      <c r="A9558" s="146"/>
      <c r="D9558" s="496"/>
    </row>
    <row r="9559" spans="1:4" x14ac:dyDescent="0.2">
      <c r="A9559" s="146"/>
      <c r="D9559" s="496"/>
    </row>
    <row r="9560" spans="1:4" x14ac:dyDescent="0.2">
      <c r="A9560" s="146"/>
      <c r="D9560" s="496"/>
    </row>
    <row r="9561" spans="1:4" x14ac:dyDescent="0.2">
      <c r="A9561" s="146"/>
      <c r="D9561" s="496"/>
    </row>
    <row r="9562" spans="1:4" x14ac:dyDescent="0.2">
      <c r="A9562" s="146"/>
      <c r="D9562" s="496"/>
    </row>
    <row r="9563" spans="1:4" x14ac:dyDescent="0.2">
      <c r="A9563" s="146"/>
      <c r="D9563" s="496"/>
    </row>
    <row r="9564" spans="1:4" x14ac:dyDescent="0.2">
      <c r="A9564" s="146"/>
      <c r="D9564" s="496"/>
    </row>
    <row r="9565" spans="1:4" x14ac:dyDescent="0.2">
      <c r="A9565" s="146"/>
      <c r="D9565" s="496"/>
    </row>
    <row r="9566" spans="1:4" x14ac:dyDescent="0.2">
      <c r="A9566" s="146"/>
      <c r="D9566" s="496"/>
    </row>
    <row r="9567" spans="1:4" x14ac:dyDescent="0.2">
      <c r="A9567" s="146"/>
      <c r="D9567" s="496"/>
    </row>
    <row r="9568" spans="1:4" x14ac:dyDescent="0.2">
      <c r="A9568" s="146"/>
      <c r="D9568" s="496"/>
    </row>
    <row r="9569" spans="1:4" x14ac:dyDescent="0.2">
      <c r="A9569" s="146"/>
      <c r="D9569" s="496"/>
    </row>
    <row r="9570" spans="1:4" x14ac:dyDescent="0.2">
      <c r="A9570" s="146"/>
      <c r="D9570" s="496"/>
    </row>
    <row r="9571" spans="1:4" x14ac:dyDescent="0.2">
      <c r="A9571" s="146"/>
      <c r="D9571" s="496"/>
    </row>
    <row r="9572" spans="1:4" x14ac:dyDescent="0.2">
      <c r="A9572" s="146"/>
      <c r="D9572" s="496"/>
    </row>
    <row r="9573" spans="1:4" x14ac:dyDescent="0.2">
      <c r="A9573" s="146"/>
      <c r="D9573" s="496"/>
    </row>
    <row r="9574" spans="1:4" x14ac:dyDescent="0.2">
      <c r="A9574" s="146"/>
      <c r="D9574" s="496"/>
    </row>
    <row r="9575" spans="1:4" x14ac:dyDescent="0.2">
      <c r="A9575" s="146"/>
      <c r="D9575" s="496"/>
    </row>
    <row r="9576" spans="1:4" x14ac:dyDescent="0.2">
      <c r="A9576" s="146"/>
      <c r="D9576" s="496"/>
    </row>
    <row r="9577" spans="1:4" x14ac:dyDescent="0.2">
      <c r="A9577" s="146"/>
      <c r="D9577" s="496"/>
    </row>
    <row r="9578" spans="1:4" x14ac:dyDescent="0.2">
      <c r="A9578" s="146"/>
      <c r="D9578" s="496"/>
    </row>
    <row r="9579" spans="1:4" x14ac:dyDescent="0.2">
      <c r="A9579" s="146"/>
      <c r="D9579" s="496"/>
    </row>
    <row r="9580" spans="1:4" x14ac:dyDescent="0.2">
      <c r="A9580" s="146"/>
      <c r="D9580" s="496"/>
    </row>
    <row r="9581" spans="1:4" x14ac:dyDescent="0.2">
      <c r="A9581" s="146"/>
      <c r="D9581" s="496"/>
    </row>
    <row r="9582" spans="1:4" x14ac:dyDescent="0.2">
      <c r="A9582" s="146"/>
      <c r="D9582" s="496"/>
    </row>
    <row r="9583" spans="1:4" x14ac:dyDescent="0.2">
      <c r="A9583" s="146"/>
      <c r="D9583" s="496"/>
    </row>
    <row r="9584" spans="1:4" x14ac:dyDescent="0.2">
      <c r="A9584" s="146"/>
      <c r="D9584" s="496"/>
    </row>
    <row r="9585" spans="1:4" x14ac:dyDescent="0.2">
      <c r="A9585" s="146"/>
      <c r="D9585" s="496"/>
    </row>
    <row r="9586" spans="1:4" x14ac:dyDescent="0.2">
      <c r="A9586" s="146"/>
      <c r="D9586" s="496"/>
    </row>
    <row r="9587" spans="1:4" x14ac:dyDescent="0.2">
      <c r="A9587" s="146"/>
      <c r="D9587" s="496"/>
    </row>
    <row r="9588" spans="1:4" x14ac:dyDescent="0.2">
      <c r="A9588" s="146"/>
      <c r="D9588" s="496"/>
    </row>
    <row r="9589" spans="1:4" x14ac:dyDescent="0.2">
      <c r="A9589" s="146"/>
      <c r="D9589" s="496"/>
    </row>
    <row r="9590" spans="1:4" x14ac:dyDescent="0.2">
      <c r="A9590" s="146"/>
      <c r="D9590" s="496"/>
    </row>
    <row r="9591" spans="1:4" x14ac:dyDescent="0.2">
      <c r="A9591" s="146"/>
      <c r="D9591" s="496"/>
    </row>
    <row r="9592" spans="1:4" x14ac:dyDescent="0.2">
      <c r="A9592" s="146"/>
      <c r="D9592" s="496"/>
    </row>
    <row r="9593" spans="1:4" x14ac:dyDescent="0.2">
      <c r="A9593" s="146"/>
      <c r="D9593" s="496"/>
    </row>
    <row r="9594" spans="1:4" x14ac:dyDescent="0.2">
      <c r="A9594" s="146"/>
      <c r="D9594" s="496"/>
    </row>
    <row r="9595" spans="1:4" x14ac:dyDescent="0.2">
      <c r="A9595" s="146"/>
      <c r="D9595" s="496"/>
    </row>
    <row r="9596" spans="1:4" x14ac:dyDescent="0.2">
      <c r="A9596" s="146"/>
      <c r="D9596" s="496"/>
    </row>
    <row r="9597" spans="1:4" x14ac:dyDescent="0.2">
      <c r="A9597" s="146"/>
      <c r="D9597" s="496"/>
    </row>
    <row r="9598" spans="1:4" x14ac:dyDescent="0.2">
      <c r="A9598" s="146"/>
      <c r="D9598" s="496"/>
    </row>
    <row r="9599" spans="1:4" x14ac:dyDescent="0.2">
      <c r="A9599" s="146"/>
      <c r="D9599" s="496"/>
    </row>
    <row r="9600" spans="1:4" x14ac:dyDescent="0.2">
      <c r="A9600" s="146"/>
      <c r="D9600" s="496"/>
    </row>
    <row r="9601" spans="1:4" x14ac:dyDescent="0.2">
      <c r="A9601" s="146"/>
      <c r="D9601" s="496"/>
    </row>
    <row r="9602" spans="1:4" x14ac:dyDescent="0.2">
      <c r="A9602" s="146"/>
      <c r="D9602" s="496"/>
    </row>
    <row r="9603" spans="1:4" x14ac:dyDescent="0.2">
      <c r="A9603" s="146"/>
      <c r="D9603" s="496"/>
    </row>
    <row r="9604" spans="1:4" x14ac:dyDescent="0.2">
      <c r="A9604" s="146"/>
      <c r="D9604" s="496"/>
    </row>
    <row r="9605" spans="1:4" x14ac:dyDescent="0.2">
      <c r="A9605" s="146"/>
      <c r="D9605" s="496"/>
    </row>
    <row r="9606" spans="1:4" x14ac:dyDescent="0.2">
      <c r="A9606" s="146"/>
      <c r="D9606" s="496"/>
    </row>
    <row r="9607" spans="1:4" x14ac:dyDescent="0.2">
      <c r="A9607" s="146"/>
      <c r="D9607" s="496"/>
    </row>
    <row r="9608" spans="1:4" x14ac:dyDescent="0.2">
      <c r="A9608" s="146"/>
      <c r="D9608" s="496"/>
    </row>
    <row r="9609" spans="1:4" x14ac:dyDescent="0.2">
      <c r="A9609" s="146"/>
      <c r="D9609" s="496"/>
    </row>
    <row r="9610" spans="1:4" x14ac:dyDescent="0.2">
      <c r="A9610" s="146"/>
      <c r="D9610" s="496"/>
    </row>
    <row r="9611" spans="1:4" x14ac:dyDescent="0.2">
      <c r="A9611" s="146"/>
      <c r="D9611" s="496"/>
    </row>
    <row r="9612" spans="1:4" x14ac:dyDescent="0.2">
      <c r="A9612" s="146"/>
      <c r="D9612" s="496"/>
    </row>
    <row r="9613" spans="1:4" x14ac:dyDescent="0.2">
      <c r="A9613" s="146"/>
      <c r="D9613" s="496"/>
    </row>
    <row r="9614" spans="1:4" x14ac:dyDescent="0.2">
      <c r="A9614" s="146"/>
      <c r="D9614" s="496"/>
    </row>
    <row r="9615" spans="1:4" x14ac:dyDescent="0.2">
      <c r="A9615" s="146"/>
      <c r="D9615" s="496"/>
    </row>
    <row r="9616" spans="1:4" x14ac:dyDescent="0.2">
      <c r="A9616" s="146"/>
      <c r="D9616" s="496"/>
    </row>
    <row r="9617" spans="1:4" x14ac:dyDescent="0.2">
      <c r="A9617" s="146"/>
      <c r="D9617" s="496"/>
    </row>
    <row r="9618" spans="1:4" x14ac:dyDescent="0.2">
      <c r="A9618" s="146"/>
      <c r="D9618" s="496"/>
    </row>
    <row r="9619" spans="1:4" x14ac:dyDescent="0.2">
      <c r="A9619" s="146"/>
      <c r="D9619" s="496"/>
    </row>
    <row r="9620" spans="1:4" x14ac:dyDescent="0.2">
      <c r="A9620" s="146"/>
      <c r="D9620" s="496"/>
    </row>
    <row r="9621" spans="1:4" x14ac:dyDescent="0.2">
      <c r="A9621" s="146"/>
      <c r="D9621" s="496"/>
    </row>
    <row r="9622" spans="1:4" x14ac:dyDescent="0.2">
      <c r="A9622" s="146"/>
      <c r="D9622" s="496"/>
    </row>
    <row r="9623" spans="1:4" x14ac:dyDescent="0.2">
      <c r="A9623" s="146"/>
      <c r="D9623" s="496"/>
    </row>
    <row r="9624" spans="1:4" x14ac:dyDescent="0.2">
      <c r="A9624" s="146"/>
      <c r="D9624" s="496"/>
    </row>
    <row r="9625" spans="1:4" x14ac:dyDescent="0.2">
      <c r="A9625" s="146"/>
      <c r="D9625" s="496"/>
    </row>
    <row r="9626" spans="1:4" x14ac:dyDescent="0.2">
      <c r="A9626" s="146"/>
      <c r="D9626" s="496"/>
    </row>
    <row r="9627" spans="1:4" x14ac:dyDescent="0.2">
      <c r="A9627" s="146"/>
      <c r="D9627" s="496"/>
    </row>
    <row r="9628" spans="1:4" x14ac:dyDescent="0.2">
      <c r="A9628" s="146"/>
      <c r="D9628" s="496"/>
    </row>
    <row r="9629" spans="1:4" x14ac:dyDescent="0.2">
      <c r="A9629" s="146"/>
      <c r="D9629" s="496"/>
    </row>
    <row r="9630" spans="1:4" x14ac:dyDescent="0.2">
      <c r="A9630" s="146"/>
      <c r="D9630" s="496"/>
    </row>
    <row r="9631" spans="1:4" x14ac:dyDescent="0.2">
      <c r="A9631" s="146"/>
      <c r="D9631" s="496"/>
    </row>
    <row r="9632" spans="1:4" x14ac:dyDescent="0.2">
      <c r="A9632" s="146"/>
      <c r="D9632" s="496"/>
    </row>
    <row r="9633" spans="1:4" x14ac:dyDescent="0.2">
      <c r="A9633" s="146"/>
      <c r="D9633" s="496"/>
    </row>
    <row r="9634" spans="1:4" x14ac:dyDescent="0.2">
      <c r="A9634" s="146"/>
      <c r="D9634" s="496"/>
    </row>
    <row r="9635" spans="1:4" x14ac:dyDescent="0.2">
      <c r="A9635" s="146"/>
      <c r="D9635" s="496"/>
    </row>
    <row r="9636" spans="1:4" x14ac:dyDescent="0.2">
      <c r="A9636" s="146"/>
      <c r="D9636" s="496"/>
    </row>
    <row r="9637" spans="1:4" x14ac:dyDescent="0.2">
      <c r="A9637" s="146"/>
      <c r="D9637" s="496"/>
    </row>
    <row r="9638" spans="1:4" x14ac:dyDescent="0.2">
      <c r="A9638" s="146"/>
      <c r="D9638" s="496"/>
    </row>
    <row r="9639" spans="1:4" x14ac:dyDescent="0.2">
      <c r="A9639" s="146"/>
      <c r="D9639" s="496"/>
    </row>
    <row r="9640" spans="1:4" x14ac:dyDescent="0.2">
      <c r="A9640" s="146"/>
      <c r="D9640" s="496"/>
    </row>
    <row r="9641" spans="1:4" x14ac:dyDescent="0.2">
      <c r="A9641" s="146"/>
      <c r="D9641" s="496"/>
    </row>
    <row r="9642" spans="1:4" x14ac:dyDescent="0.2">
      <c r="A9642" s="146"/>
      <c r="D9642" s="496"/>
    </row>
    <row r="9643" spans="1:4" x14ac:dyDescent="0.2">
      <c r="A9643" s="146"/>
      <c r="D9643" s="496"/>
    </row>
    <row r="9644" spans="1:4" x14ac:dyDescent="0.2">
      <c r="A9644" s="146"/>
      <c r="D9644" s="496"/>
    </row>
    <row r="9645" spans="1:4" x14ac:dyDescent="0.2">
      <c r="A9645" s="146"/>
      <c r="D9645" s="496"/>
    </row>
    <row r="9646" spans="1:4" x14ac:dyDescent="0.2">
      <c r="A9646" s="146"/>
      <c r="D9646" s="496"/>
    </row>
    <row r="9647" spans="1:4" x14ac:dyDescent="0.2">
      <c r="A9647" s="146"/>
      <c r="D9647" s="496"/>
    </row>
    <row r="9648" spans="1:4" x14ac:dyDescent="0.2">
      <c r="A9648" s="146"/>
      <c r="D9648" s="496"/>
    </row>
    <row r="9649" spans="1:4" x14ac:dyDescent="0.2">
      <c r="A9649" s="146"/>
      <c r="D9649" s="496"/>
    </row>
    <row r="9650" spans="1:4" x14ac:dyDescent="0.2">
      <c r="A9650" s="146"/>
      <c r="D9650" s="496"/>
    </row>
    <row r="9651" spans="1:4" x14ac:dyDescent="0.2">
      <c r="A9651" s="146"/>
      <c r="D9651" s="496"/>
    </row>
    <row r="9652" spans="1:4" x14ac:dyDescent="0.2">
      <c r="A9652" s="146"/>
      <c r="D9652" s="496"/>
    </row>
    <row r="9653" spans="1:4" x14ac:dyDescent="0.2">
      <c r="A9653" s="146"/>
      <c r="D9653" s="496"/>
    </row>
    <row r="9654" spans="1:4" x14ac:dyDescent="0.2">
      <c r="A9654" s="146"/>
      <c r="D9654" s="496"/>
    </row>
    <row r="9655" spans="1:4" x14ac:dyDescent="0.2">
      <c r="A9655" s="146"/>
      <c r="D9655" s="496"/>
    </row>
    <row r="9656" spans="1:4" x14ac:dyDescent="0.2">
      <c r="A9656" s="146"/>
      <c r="D9656" s="496"/>
    </row>
    <row r="9657" spans="1:4" x14ac:dyDescent="0.2">
      <c r="A9657" s="146"/>
      <c r="D9657" s="496"/>
    </row>
    <row r="9658" spans="1:4" x14ac:dyDescent="0.2">
      <c r="A9658" s="146"/>
      <c r="D9658" s="496"/>
    </row>
    <row r="9659" spans="1:4" x14ac:dyDescent="0.2">
      <c r="A9659" s="146"/>
      <c r="D9659" s="496"/>
    </row>
    <row r="9660" spans="1:4" x14ac:dyDescent="0.2">
      <c r="A9660" s="146"/>
      <c r="D9660" s="496"/>
    </row>
    <row r="9661" spans="1:4" x14ac:dyDescent="0.2">
      <c r="A9661" s="146"/>
      <c r="D9661" s="496"/>
    </row>
    <row r="9662" spans="1:4" x14ac:dyDescent="0.2">
      <c r="A9662" s="146"/>
      <c r="D9662" s="496"/>
    </row>
    <row r="9663" spans="1:4" x14ac:dyDescent="0.2">
      <c r="A9663" s="146"/>
      <c r="D9663" s="496"/>
    </row>
    <row r="9664" spans="1:4" x14ac:dyDescent="0.2">
      <c r="A9664" s="146"/>
      <c r="D9664" s="496"/>
    </row>
    <row r="9665" spans="1:4" x14ac:dyDescent="0.2">
      <c r="A9665" s="146"/>
      <c r="D9665" s="496"/>
    </row>
    <row r="9666" spans="1:4" x14ac:dyDescent="0.2">
      <c r="A9666" s="146"/>
      <c r="D9666" s="496"/>
    </row>
    <row r="9667" spans="1:4" x14ac:dyDescent="0.2">
      <c r="A9667" s="146"/>
      <c r="D9667" s="496"/>
    </row>
    <row r="9668" spans="1:4" x14ac:dyDescent="0.2">
      <c r="A9668" s="146"/>
      <c r="D9668" s="496"/>
    </row>
    <row r="9669" spans="1:4" x14ac:dyDescent="0.2">
      <c r="A9669" s="146"/>
      <c r="D9669" s="496"/>
    </row>
    <row r="9670" spans="1:4" x14ac:dyDescent="0.2">
      <c r="A9670" s="146"/>
      <c r="D9670" s="496"/>
    </row>
    <row r="9671" spans="1:4" x14ac:dyDescent="0.2">
      <c r="A9671" s="146"/>
      <c r="D9671" s="496"/>
    </row>
    <row r="9672" spans="1:4" x14ac:dyDescent="0.2">
      <c r="A9672" s="146"/>
      <c r="D9672" s="496"/>
    </row>
    <row r="9673" spans="1:4" x14ac:dyDescent="0.2">
      <c r="A9673" s="146"/>
      <c r="D9673" s="496"/>
    </row>
    <row r="9674" spans="1:4" x14ac:dyDescent="0.2">
      <c r="A9674" s="146"/>
      <c r="D9674" s="496"/>
    </row>
    <row r="9675" spans="1:4" x14ac:dyDescent="0.2">
      <c r="A9675" s="146"/>
      <c r="D9675" s="496"/>
    </row>
    <row r="9676" spans="1:4" x14ac:dyDescent="0.2">
      <c r="A9676" s="146"/>
      <c r="D9676" s="496"/>
    </row>
    <row r="9677" spans="1:4" x14ac:dyDescent="0.2">
      <c r="A9677" s="146"/>
      <c r="D9677" s="496"/>
    </row>
    <row r="9678" spans="1:4" x14ac:dyDescent="0.2">
      <c r="A9678" s="146"/>
      <c r="D9678" s="496"/>
    </row>
    <row r="9679" spans="1:4" x14ac:dyDescent="0.2">
      <c r="A9679" s="146"/>
      <c r="D9679" s="496"/>
    </row>
    <row r="9680" spans="1:4" x14ac:dyDescent="0.2">
      <c r="A9680" s="146"/>
      <c r="D9680" s="496"/>
    </row>
    <row r="9681" spans="1:4" x14ac:dyDescent="0.2">
      <c r="A9681" s="146"/>
      <c r="D9681" s="496"/>
    </row>
    <row r="9682" spans="1:4" x14ac:dyDescent="0.2">
      <c r="A9682" s="146"/>
      <c r="D9682" s="496"/>
    </row>
    <row r="9683" spans="1:4" x14ac:dyDescent="0.2">
      <c r="A9683" s="146"/>
      <c r="D9683" s="496"/>
    </row>
    <row r="9684" spans="1:4" x14ac:dyDescent="0.2">
      <c r="A9684" s="146"/>
      <c r="D9684" s="496"/>
    </row>
    <row r="9685" spans="1:4" x14ac:dyDescent="0.2">
      <c r="A9685" s="146"/>
      <c r="D9685" s="496"/>
    </row>
    <row r="9686" spans="1:4" x14ac:dyDescent="0.2">
      <c r="A9686" s="146"/>
      <c r="D9686" s="496"/>
    </row>
    <row r="9687" spans="1:4" x14ac:dyDescent="0.2">
      <c r="A9687" s="146"/>
      <c r="D9687" s="496"/>
    </row>
    <row r="9688" spans="1:4" x14ac:dyDescent="0.2">
      <c r="A9688" s="146"/>
      <c r="D9688" s="496"/>
    </row>
    <row r="9689" spans="1:4" x14ac:dyDescent="0.2">
      <c r="A9689" s="146"/>
      <c r="D9689" s="496"/>
    </row>
    <row r="9690" spans="1:4" x14ac:dyDescent="0.2">
      <c r="A9690" s="146"/>
      <c r="D9690" s="496"/>
    </row>
    <row r="9691" spans="1:4" x14ac:dyDescent="0.2">
      <c r="A9691" s="146"/>
      <c r="D9691" s="496"/>
    </row>
    <row r="9692" spans="1:4" x14ac:dyDescent="0.2">
      <c r="A9692" s="146"/>
      <c r="D9692" s="496"/>
    </row>
    <row r="9693" spans="1:4" x14ac:dyDescent="0.2">
      <c r="A9693" s="146"/>
      <c r="D9693" s="496"/>
    </row>
    <row r="9694" spans="1:4" x14ac:dyDescent="0.2">
      <c r="A9694" s="146"/>
      <c r="D9694" s="496"/>
    </row>
    <row r="9695" spans="1:4" x14ac:dyDescent="0.2">
      <c r="A9695" s="146"/>
      <c r="D9695" s="496"/>
    </row>
    <row r="9696" spans="1:4" x14ac:dyDescent="0.2">
      <c r="A9696" s="146"/>
      <c r="D9696" s="496"/>
    </row>
    <row r="9697" spans="1:4" x14ac:dyDescent="0.2">
      <c r="A9697" s="146"/>
      <c r="D9697" s="496"/>
    </row>
    <row r="9698" spans="1:4" x14ac:dyDescent="0.2">
      <c r="A9698" s="146"/>
      <c r="D9698" s="496"/>
    </row>
    <row r="9699" spans="1:4" x14ac:dyDescent="0.2">
      <c r="A9699" s="146"/>
      <c r="D9699" s="496"/>
    </row>
    <row r="9700" spans="1:4" x14ac:dyDescent="0.2">
      <c r="A9700" s="146"/>
      <c r="D9700" s="496"/>
    </row>
    <row r="9701" spans="1:4" x14ac:dyDescent="0.2">
      <c r="A9701" s="146"/>
      <c r="D9701" s="496"/>
    </row>
    <row r="9702" spans="1:4" x14ac:dyDescent="0.2">
      <c r="A9702" s="146"/>
      <c r="D9702" s="496"/>
    </row>
    <row r="9703" spans="1:4" x14ac:dyDescent="0.2">
      <c r="A9703" s="146"/>
      <c r="D9703" s="496"/>
    </row>
    <row r="9704" spans="1:4" x14ac:dyDescent="0.2">
      <c r="A9704" s="146"/>
      <c r="D9704" s="496"/>
    </row>
    <row r="9705" spans="1:4" x14ac:dyDescent="0.2">
      <c r="A9705" s="146"/>
      <c r="D9705" s="496"/>
    </row>
    <row r="9706" spans="1:4" x14ac:dyDescent="0.2">
      <c r="A9706" s="146"/>
      <c r="D9706" s="496"/>
    </row>
    <row r="9707" spans="1:4" x14ac:dyDescent="0.2">
      <c r="A9707" s="146"/>
      <c r="D9707" s="496"/>
    </row>
    <row r="9708" spans="1:4" x14ac:dyDescent="0.2">
      <c r="A9708" s="146"/>
      <c r="D9708" s="496"/>
    </row>
    <row r="9709" spans="1:4" x14ac:dyDescent="0.2">
      <c r="A9709" s="146"/>
      <c r="D9709" s="496"/>
    </row>
    <row r="9710" spans="1:4" x14ac:dyDescent="0.2">
      <c r="A9710" s="146"/>
      <c r="D9710" s="496"/>
    </row>
    <row r="9711" spans="1:4" x14ac:dyDescent="0.2">
      <c r="A9711" s="146"/>
      <c r="D9711" s="496"/>
    </row>
    <row r="9712" spans="1:4" x14ac:dyDescent="0.2">
      <c r="A9712" s="146"/>
      <c r="D9712" s="496"/>
    </row>
    <row r="9713" spans="1:4" x14ac:dyDescent="0.2">
      <c r="A9713" s="146"/>
      <c r="D9713" s="496"/>
    </row>
    <row r="9714" spans="1:4" x14ac:dyDescent="0.2">
      <c r="A9714" s="146"/>
      <c r="D9714" s="496"/>
    </row>
    <row r="9715" spans="1:4" x14ac:dyDescent="0.2">
      <c r="A9715" s="146"/>
      <c r="D9715" s="496"/>
    </row>
    <row r="9716" spans="1:4" x14ac:dyDescent="0.2">
      <c r="A9716" s="146"/>
      <c r="D9716" s="496"/>
    </row>
    <row r="9717" spans="1:4" x14ac:dyDescent="0.2">
      <c r="A9717" s="146"/>
      <c r="D9717" s="496"/>
    </row>
    <row r="9718" spans="1:4" x14ac:dyDescent="0.2">
      <c r="A9718" s="146"/>
      <c r="D9718" s="496"/>
    </row>
    <row r="9719" spans="1:4" x14ac:dyDescent="0.2">
      <c r="A9719" s="146"/>
      <c r="D9719" s="496"/>
    </row>
    <row r="9720" spans="1:4" x14ac:dyDescent="0.2">
      <c r="A9720" s="146"/>
      <c r="D9720" s="496"/>
    </row>
    <row r="9721" spans="1:4" x14ac:dyDescent="0.2">
      <c r="A9721" s="146"/>
      <c r="D9721" s="496"/>
    </row>
    <row r="9722" spans="1:4" x14ac:dyDescent="0.2">
      <c r="A9722" s="146"/>
      <c r="D9722" s="496"/>
    </row>
    <row r="9723" spans="1:4" x14ac:dyDescent="0.2">
      <c r="A9723" s="146"/>
      <c r="D9723" s="496"/>
    </row>
    <row r="9724" spans="1:4" x14ac:dyDescent="0.2">
      <c r="A9724" s="146"/>
      <c r="D9724" s="496"/>
    </row>
    <row r="9725" spans="1:4" x14ac:dyDescent="0.2">
      <c r="A9725" s="146"/>
      <c r="D9725" s="496"/>
    </row>
    <row r="9726" spans="1:4" x14ac:dyDescent="0.2">
      <c r="A9726" s="146"/>
      <c r="D9726" s="496"/>
    </row>
    <row r="9727" spans="1:4" x14ac:dyDescent="0.2">
      <c r="A9727" s="146"/>
      <c r="D9727" s="496"/>
    </row>
    <row r="9728" spans="1:4" x14ac:dyDescent="0.2">
      <c r="A9728" s="146"/>
      <c r="D9728" s="496"/>
    </row>
    <row r="9729" spans="1:4" x14ac:dyDescent="0.2">
      <c r="A9729" s="146"/>
      <c r="D9729" s="496"/>
    </row>
    <row r="9730" spans="1:4" x14ac:dyDescent="0.2">
      <c r="A9730" s="146"/>
      <c r="D9730" s="496"/>
    </row>
    <row r="9731" spans="1:4" x14ac:dyDescent="0.2">
      <c r="A9731" s="146"/>
      <c r="D9731" s="496"/>
    </row>
    <row r="9732" spans="1:4" x14ac:dyDescent="0.2">
      <c r="A9732" s="146"/>
      <c r="D9732" s="496"/>
    </row>
    <row r="9733" spans="1:4" x14ac:dyDescent="0.2">
      <c r="A9733" s="146"/>
      <c r="D9733" s="496"/>
    </row>
    <row r="9734" spans="1:4" x14ac:dyDescent="0.2">
      <c r="A9734" s="146"/>
      <c r="D9734" s="496"/>
    </row>
    <row r="9735" spans="1:4" x14ac:dyDescent="0.2">
      <c r="A9735" s="146"/>
      <c r="D9735" s="496"/>
    </row>
    <row r="9736" spans="1:4" x14ac:dyDescent="0.2">
      <c r="A9736" s="146"/>
      <c r="D9736" s="496"/>
    </row>
    <row r="9737" spans="1:4" x14ac:dyDescent="0.2">
      <c r="A9737" s="146"/>
      <c r="D9737" s="496"/>
    </row>
    <row r="9738" spans="1:4" x14ac:dyDescent="0.2">
      <c r="A9738" s="146"/>
      <c r="D9738" s="496"/>
    </row>
    <row r="9739" spans="1:4" x14ac:dyDescent="0.2">
      <c r="A9739" s="146"/>
      <c r="D9739" s="496"/>
    </row>
    <row r="9740" spans="1:4" x14ac:dyDescent="0.2">
      <c r="A9740" s="146"/>
      <c r="D9740" s="496"/>
    </row>
    <row r="9741" spans="1:4" x14ac:dyDescent="0.2">
      <c r="A9741" s="146"/>
      <c r="D9741" s="496"/>
    </row>
    <row r="9742" spans="1:4" x14ac:dyDescent="0.2">
      <c r="A9742" s="146"/>
      <c r="D9742" s="496"/>
    </row>
    <row r="9743" spans="1:4" x14ac:dyDescent="0.2">
      <c r="A9743" s="146"/>
      <c r="D9743" s="496"/>
    </row>
    <row r="9744" spans="1:4" x14ac:dyDescent="0.2">
      <c r="A9744" s="146"/>
      <c r="D9744" s="496"/>
    </row>
    <row r="9745" spans="1:4" x14ac:dyDescent="0.2">
      <c r="A9745" s="146"/>
      <c r="D9745" s="496"/>
    </row>
    <row r="9746" spans="1:4" x14ac:dyDescent="0.2">
      <c r="A9746" s="146"/>
      <c r="D9746" s="496"/>
    </row>
    <row r="9747" spans="1:4" x14ac:dyDescent="0.2">
      <c r="A9747" s="146"/>
      <c r="D9747" s="496"/>
    </row>
    <row r="9748" spans="1:4" x14ac:dyDescent="0.2">
      <c r="A9748" s="146"/>
      <c r="D9748" s="496"/>
    </row>
    <row r="9749" spans="1:4" x14ac:dyDescent="0.2">
      <c r="A9749" s="146"/>
      <c r="D9749" s="496"/>
    </row>
    <row r="9750" spans="1:4" x14ac:dyDescent="0.2">
      <c r="A9750" s="146"/>
      <c r="D9750" s="496"/>
    </row>
    <row r="9751" spans="1:4" x14ac:dyDescent="0.2">
      <c r="A9751" s="146"/>
      <c r="D9751" s="496"/>
    </row>
    <row r="9752" spans="1:4" x14ac:dyDescent="0.2">
      <c r="A9752" s="146"/>
      <c r="D9752" s="496"/>
    </row>
    <row r="9753" spans="1:4" x14ac:dyDescent="0.2">
      <c r="A9753" s="146"/>
      <c r="D9753" s="496"/>
    </row>
    <row r="9754" spans="1:4" x14ac:dyDescent="0.2">
      <c r="A9754" s="146"/>
      <c r="D9754" s="496"/>
    </row>
    <row r="9755" spans="1:4" x14ac:dyDescent="0.2">
      <c r="A9755" s="146"/>
      <c r="D9755" s="496"/>
    </row>
    <row r="9756" spans="1:4" x14ac:dyDescent="0.2">
      <c r="A9756" s="146"/>
      <c r="D9756" s="496"/>
    </row>
    <row r="9757" spans="1:4" x14ac:dyDescent="0.2">
      <c r="A9757" s="146"/>
      <c r="D9757" s="496"/>
    </row>
    <row r="9758" spans="1:4" x14ac:dyDescent="0.2">
      <c r="A9758" s="146"/>
      <c r="D9758" s="496"/>
    </row>
    <row r="9759" spans="1:4" x14ac:dyDescent="0.2">
      <c r="A9759" s="146"/>
      <c r="D9759" s="496"/>
    </row>
    <row r="9760" spans="1:4" x14ac:dyDescent="0.2">
      <c r="A9760" s="146"/>
      <c r="D9760" s="496"/>
    </row>
    <row r="9761" spans="1:4" x14ac:dyDescent="0.2">
      <c r="A9761" s="146"/>
      <c r="D9761" s="496"/>
    </row>
    <row r="9762" spans="1:4" x14ac:dyDescent="0.2">
      <c r="A9762" s="146"/>
      <c r="D9762" s="496"/>
    </row>
    <row r="9763" spans="1:4" x14ac:dyDescent="0.2">
      <c r="A9763" s="146"/>
      <c r="D9763" s="496"/>
    </row>
    <row r="9764" spans="1:4" x14ac:dyDescent="0.2">
      <c r="A9764" s="146"/>
      <c r="D9764" s="496"/>
    </row>
    <row r="9765" spans="1:4" x14ac:dyDescent="0.2">
      <c r="A9765" s="146"/>
      <c r="D9765" s="496"/>
    </row>
    <row r="9766" spans="1:4" x14ac:dyDescent="0.2">
      <c r="A9766" s="146"/>
      <c r="D9766" s="496"/>
    </row>
    <row r="9767" spans="1:4" x14ac:dyDescent="0.2">
      <c r="A9767" s="146"/>
      <c r="D9767" s="496"/>
    </row>
    <row r="9768" spans="1:4" x14ac:dyDescent="0.2">
      <c r="A9768" s="146"/>
      <c r="D9768" s="496"/>
    </row>
    <row r="9769" spans="1:4" x14ac:dyDescent="0.2">
      <c r="A9769" s="146"/>
      <c r="D9769" s="496"/>
    </row>
    <row r="9770" spans="1:4" x14ac:dyDescent="0.2">
      <c r="A9770" s="146"/>
      <c r="D9770" s="496"/>
    </row>
    <row r="9771" spans="1:4" x14ac:dyDescent="0.2">
      <c r="A9771" s="146"/>
      <c r="D9771" s="496"/>
    </row>
    <row r="9772" spans="1:4" x14ac:dyDescent="0.2">
      <c r="A9772" s="146"/>
      <c r="D9772" s="496"/>
    </row>
    <row r="9773" spans="1:4" x14ac:dyDescent="0.2">
      <c r="A9773" s="146"/>
      <c r="D9773" s="496"/>
    </row>
    <row r="9774" spans="1:4" x14ac:dyDescent="0.2">
      <c r="A9774" s="146"/>
      <c r="D9774" s="496"/>
    </row>
    <row r="9775" spans="1:4" x14ac:dyDescent="0.2">
      <c r="A9775" s="146"/>
      <c r="D9775" s="496"/>
    </row>
    <row r="9776" spans="1:4" x14ac:dyDescent="0.2">
      <c r="A9776" s="146"/>
      <c r="D9776" s="496"/>
    </row>
    <row r="9777" spans="1:4" x14ac:dyDescent="0.2">
      <c r="A9777" s="146"/>
      <c r="D9777" s="496"/>
    </row>
    <row r="9778" spans="1:4" x14ac:dyDescent="0.2">
      <c r="A9778" s="146"/>
      <c r="D9778" s="496"/>
    </row>
    <row r="9779" spans="1:4" x14ac:dyDescent="0.2">
      <c r="A9779" s="146"/>
      <c r="D9779" s="496"/>
    </row>
    <row r="9780" spans="1:4" x14ac:dyDescent="0.2">
      <c r="A9780" s="146"/>
      <c r="D9780" s="496"/>
    </row>
    <row r="9781" spans="1:4" x14ac:dyDescent="0.2">
      <c r="A9781" s="146"/>
      <c r="D9781" s="496"/>
    </row>
    <row r="9782" spans="1:4" x14ac:dyDescent="0.2">
      <c r="A9782" s="146"/>
      <c r="D9782" s="496"/>
    </row>
    <row r="9783" spans="1:4" x14ac:dyDescent="0.2">
      <c r="A9783" s="146"/>
      <c r="D9783" s="496"/>
    </row>
    <row r="9784" spans="1:4" x14ac:dyDescent="0.2">
      <c r="A9784" s="146"/>
      <c r="D9784" s="496"/>
    </row>
    <row r="9785" spans="1:4" x14ac:dyDescent="0.2">
      <c r="A9785" s="146"/>
      <c r="D9785" s="496"/>
    </row>
    <row r="9786" spans="1:4" x14ac:dyDescent="0.2">
      <c r="A9786" s="146"/>
      <c r="D9786" s="496"/>
    </row>
    <row r="9787" spans="1:4" x14ac:dyDescent="0.2">
      <c r="A9787" s="146"/>
      <c r="D9787" s="496"/>
    </row>
    <row r="9788" spans="1:4" x14ac:dyDescent="0.2">
      <c r="A9788" s="146"/>
      <c r="D9788" s="496"/>
    </row>
    <row r="9789" spans="1:4" x14ac:dyDescent="0.2">
      <c r="A9789" s="146"/>
      <c r="D9789" s="496"/>
    </row>
    <row r="9790" spans="1:4" x14ac:dyDescent="0.2">
      <c r="A9790" s="146"/>
      <c r="D9790" s="496"/>
    </row>
    <row r="9791" spans="1:4" x14ac:dyDescent="0.2">
      <c r="A9791" s="146"/>
      <c r="D9791" s="496"/>
    </row>
    <row r="9792" spans="1:4" x14ac:dyDescent="0.2">
      <c r="A9792" s="146"/>
      <c r="D9792" s="496"/>
    </row>
    <row r="9793" spans="1:4" x14ac:dyDescent="0.2">
      <c r="A9793" s="146"/>
      <c r="D9793" s="496"/>
    </row>
    <row r="9794" spans="1:4" x14ac:dyDescent="0.2">
      <c r="A9794" s="146"/>
      <c r="D9794" s="496"/>
    </row>
    <row r="9795" spans="1:4" x14ac:dyDescent="0.2">
      <c r="A9795" s="146"/>
      <c r="D9795" s="496"/>
    </row>
    <row r="9796" spans="1:4" x14ac:dyDescent="0.2">
      <c r="A9796" s="146"/>
      <c r="D9796" s="496"/>
    </row>
    <row r="9797" spans="1:4" x14ac:dyDescent="0.2">
      <c r="A9797" s="146"/>
      <c r="D9797" s="496"/>
    </row>
    <row r="9798" spans="1:4" x14ac:dyDescent="0.2">
      <c r="A9798" s="146"/>
      <c r="D9798" s="496"/>
    </row>
    <row r="9799" spans="1:4" x14ac:dyDescent="0.2">
      <c r="A9799" s="146"/>
      <c r="D9799" s="496"/>
    </row>
    <row r="9800" spans="1:4" x14ac:dyDescent="0.2">
      <c r="A9800" s="146"/>
      <c r="D9800" s="496"/>
    </row>
    <row r="9801" spans="1:4" x14ac:dyDescent="0.2">
      <c r="A9801" s="146"/>
      <c r="D9801" s="496"/>
    </row>
    <row r="9802" spans="1:4" x14ac:dyDescent="0.2">
      <c r="A9802" s="146"/>
      <c r="D9802" s="496"/>
    </row>
    <row r="9803" spans="1:4" x14ac:dyDescent="0.2">
      <c r="A9803" s="146"/>
      <c r="D9803" s="496"/>
    </row>
    <row r="9804" spans="1:4" x14ac:dyDescent="0.2">
      <c r="A9804" s="146"/>
      <c r="D9804" s="496"/>
    </row>
    <row r="9805" spans="1:4" x14ac:dyDescent="0.2">
      <c r="A9805" s="146"/>
      <c r="D9805" s="496"/>
    </row>
    <row r="9806" spans="1:4" x14ac:dyDescent="0.2">
      <c r="A9806" s="146"/>
      <c r="D9806" s="496"/>
    </row>
    <row r="9807" spans="1:4" x14ac:dyDescent="0.2">
      <c r="A9807" s="146"/>
      <c r="D9807" s="496"/>
    </row>
    <row r="9808" spans="1:4" x14ac:dyDescent="0.2">
      <c r="A9808" s="146"/>
      <c r="D9808" s="496"/>
    </row>
    <row r="9809" spans="1:4" x14ac:dyDescent="0.2">
      <c r="A9809" s="146"/>
      <c r="D9809" s="496"/>
    </row>
    <row r="9810" spans="1:4" x14ac:dyDescent="0.2">
      <c r="A9810" s="146"/>
      <c r="D9810" s="496"/>
    </row>
    <row r="9811" spans="1:4" x14ac:dyDescent="0.2">
      <c r="A9811" s="146"/>
      <c r="D9811" s="496"/>
    </row>
    <row r="9812" spans="1:4" x14ac:dyDescent="0.2">
      <c r="A9812" s="146"/>
      <c r="D9812" s="496"/>
    </row>
    <row r="9813" spans="1:4" x14ac:dyDescent="0.2">
      <c r="A9813" s="146"/>
      <c r="D9813" s="496"/>
    </row>
    <row r="9814" spans="1:4" x14ac:dyDescent="0.2">
      <c r="A9814" s="146"/>
      <c r="D9814" s="496"/>
    </row>
    <row r="9815" spans="1:4" x14ac:dyDescent="0.2">
      <c r="A9815" s="146"/>
      <c r="D9815" s="496"/>
    </row>
    <row r="9816" spans="1:4" x14ac:dyDescent="0.2">
      <c r="A9816" s="146"/>
      <c r="D9816" s="496"/>
    </row>
    <row r="9817" spans="1:4" x14ac:dyDescent="0.2">
      <c r="A9817" s="146"/>
      <c r="D9817" s="496"/>
    </row>
    <row r="9818" spans="1:4" x14ac:dyDescent="0.2">
      <c r="A9818" s="146"/>
      <c r="D9818" s="496"/>
    </row>
    <row r="9819" spans="1:4" x14ac:dyDescent="0.2">
      <c r="A9819" s="146"/>
      <c r="D9819" s="496"/>
    </row>
    <row r="9820" spans="1:4" x14ac:dyDescent="0.2">
      <c r="A9820" s="146"/>
      <c r="D9820" s="496"/>
    </row>
    <row r="9821" spans="1:4" x14ac:dyDescent="0.2">
      <c r="A9821" s="146"/>
      <c r="D9821" s="496"/>
    </row>
    <row r="9822" spans="1:4" x14ac:dyDescent="0.2">
      <c r="A9822" s="146"/>
      <c r="D9822" s="496"/>
    </row>
    <row r="9823" spans="1:4" x14ac:dyDescent="0.2">
      <c r="A9823" s="146"/>
      <c r="D9823" s="496"/>
    </row>
    <row r="9824" spans="1:4" x14ac:dyDescent="0.2">
      <c r="A9824" s="146"/>
      <c r="D9824" s="496"/>
    </row>
    <row r="9825" spans="1:4" x14ac:dyDescent="0.2">
      <c r="A9825" s="146"/>
      <c r="D9825" s="496"/>
    </row>
    <row r="9826" spans="1:4" x14ac:dyDescent="0.2">
      <c r="A9826" s="146"/>
      <c r="D9826" s="496"/>
    </row>
    <row r="9827" spans="1:4" x14ac:dyDescent="0.2">
      <c r="A9827" s="146"/>
      <c r="D9827" s="496"/>
    </row>
    <row r="9828" spans="1:4" x14ac:dyDescent="0.2">
      <c r="A9828" s="146"/>
      <c r="D9828" s="496"/>
    </row>
    <row r="9829" spans="1:4" x14ac:dyDescent="0.2">
      <c r="A9829" s="146"/>
      <c r="D9829" s="496"/>
    </row>
    <row r="9830" spans="1:4" x14ac:dyDescent="0.2">
      <c r="A9830" s="146"/>
      <c r="D9830" s="496"/>
    </row>
    <row r="9831" spans="1:4" x14ac:dyDescent="0.2">
      <c r="A9831" s="146"/>
      <c r="D9831" s="496"/>
    </row>
    <row r="9832" spans="1:4" x14ac:dyDescent="0.2">
      <c r="A9832" s="146"/>
      <c r="D9832" s="496"/>
    </row>
    <row r="9833" spans="1:4" x14ac:dyDescent="0.2">
      <c r="A9833" s="146"/>
      <c r="D9833" s="496"/>
    </row>
    <row r="9834" spans="1:4" x14ac:dyDescent="0.2">
      <c r="A9834" s="146"/>
      <c r="D9834" s="496"/>
    </row>
    <row r="9835" spans="1:4" x14ac:dyDescent="0.2">
      <c r="A9835" s="146"/>
      <c r="D9835" s="496"/>
    </row>
    <row r="9836" spans="1:4" x14ac:dyDescent="0.2">
      <c r="A9836" s="146"/>
      <c r="D9836" s="496"/>
    </row>
    <row r="9837" spans="1:4" x14ac:dyDescent="0.2">
      <c r="A9837" s="146"/>
      <c r="D9837" s="496"/>
    </row>
    <row r="9838" spans="1:4" x14ac:dyDescent="0.2">
      <c r="A9838" s="146"/>
      <c r="D9838" s="496"/>
    </row>
    <row r="9839" spans="1:4" x14ac:dyDescent="0.2">
      <c r="A9839" s="146"/>
      <c r="D9839" s="496"/>
    </row>
    <row r="9840" spans="1:4" x14ac:dyDescent="0.2">
      <c r="A9840" s="146"/>
      <c r="D9840" s="496"/>
    </row>
    <row r="9841" spans="1:4" x14ac:dyDescent="0.2">
      <c r="A9841" s="146"/>
      <c r="D9841" s="496"/>
    </row>
    <row r="9842" spans="1:4" x14ac:dyDescent="0.2">
      <c r="A9842" s="146"/>
      <c r="D9842" s="496"/>
    </row>
    <row r="9843" spans="1:4" x14ac:dyDescent="0.2">
      <c r="A9843" s="146"/>
      <c r="D9843" s="496"/>
    </row>
    <row r="9844" spans="1:4" x14ac:dyDescent="0.2">
      <c r="A9844" s="146"/>
      <c r="D9844" s="496"/>
    </row>
    <row r="9845" spans="1:4" x14ac:dyDescent="0.2">
      <c r="A9845" s="146"/>
      <c r="D9845" s="496"/>
    </row>
    <row r="9846" spans="1:4" x14ac:dyDescent="0.2">
      <c r="A9846" s="146"/>
      <c r="D9846" s="496"/>
    </row>
    <row r="9847" spans="1:4" x14ac:dyDescent="0.2">
      <c r="A9847" s="146"/>
      <c r="D9847" s="496"/>
    </row>
    <row r="9848" spans="1:4" x14ac:dyDescent="0.2">
      <c r="A9848" s="146"/>
      <c r="D9848" s="496"/>
    </row>
    <row r="9849" spans="1:4" x14ac:dyDescent="0.2">
      <c r="A9849" s="146"/>
      <c r="D9849" s="496"/>
    </row>
    <row r="9850" spans="1:4" x14ac:dyDescent="0.2">
      <c r="A9850" s="146"/>
      <c r="D9850" s="496"/>
    </row>
    <row r="9851" spans="1:4" x14ac:dyDescent="0.2">
      <c r="A9851" s="146"/>
      <c r="D9851" s="496"/>
    </row>
    <row r="9852" spans="1:4" x14ac:dyDescent="0.2">
      <c r="A9852" s="146"/>
      <c r="D9852" s="496"/>
    </row>
    <row r="9853" spans="1:4" x14ac:dyDescent="0.2">
      <c r="A9853" s="146"/>
      <c r="D9853" s="496"/>
    </row>
    <row r="9854" spans="1:4" x14ac:dyDescent="0.2">
      <c r="A9854" s="146"/>
      <c r="D9854" s="496"/>
    </row>
    <row r="9855" spans="1:4" x14ac:dyDescent="0.2">
      <c r="A9855" s="146"/>
      <c r="D9855" s="496"/>
    </row>
    <row r="9856" spans="1:4" x14ac:dyDescent="0.2">
      <c r="A9856" s="146"/>
      <c r="D9856" s="496"/>
    </row>
    <row r="9857" spans="1:4" x14ac:dyDescent="0.2">
      <c r="A9857" s="146"/>
      <c r="D9857" s="496"/>
    </row>
    <row r="9858" spans="1:4" x14ac:dyDescent="0.2">
      <c r="A9858" s="146"/>
      <c r="D9858" s="496"/>
    </row>
    <row r="9859" spans="1:4" x14ac:dyDescent="0.2">
      <c r="A9859" s="146"/>
      <c r="D9859" s="496"/>
    </row>
    <row r="9860" spans="1:4" x14ac:dyDescent="0.2">
      <c r="A9860" s="146"/>
      <c r="D9860" s="496"/>
    </row>
    <row r="9861" spans="1:4" x14ac:dyDescent="0.2">
      <c r="A9861" s="146"/>
      <c r="D9861" s="496"/>
    </row>
    <row r="9862" spans="1:4" x14ac:dyDescent="0.2">
      <c r="A9862" s="146"/>
      <c r="D9862" s="496"/>
    </row>
    <row r="9863" spans="1:4" x14ac:dyDescent="0.2">
      <c r="A9863" s="146"/>
      <c r="D9863" s="496"/>
    </row>
    <row r="9864" spans="1:4" x14ac:dyDescent="0.2">
      <c r="A9864" s="146"/>
      <c r="D9864" s="496"/>
    </row>
    <row r="9865" spans="1:4" x14ac:dyDescent="0.2">
      <c r="A9865" s="146"/>
      <c r="D9865" s="496"/>
    </row>
    <row r="9866" spans="1:4" x14ac:dyDescent="0.2">
      <c r="A9866" s="146"/>
      <c r="D9866" s="496"/>
    </row>
    <row r="9867" spans="1:4" x14ac:dyDescent="0.2">
      <c r="A9867" s="146"/>
      <c r="D9867" s="496"/>
    </row>
    <row r="9868" spans="1:4" x14ac:dyDescent="0.2">
      <c r="A9868" s="146"/>
      <c r="D9868" s="496"/>
    </row>
    <row r="9869" spans="1:4" x14ac:dyDescent="0.2">
      <c r="A9869" s="146"/>
      <c r="D9869" s="496"/>
    </row>
    <row r="9870" spans="1:4" x14ac:dyDescent="0.2">
      <c r="A9870" s="146"/>
      <c r="D9870" s="496"/>
    </row>
    <row r="9871" spans="1:4" x14ac:dyDescent="0.2">
      <c r="A9871" s="146"/>
      <c r="D9871" s="496"/>
    </row>
    <row r="9872" spans="1:4" x14ac:dyDescent="0.2">
      <c r="A9872" s="146"/>
      <c r="D9872" s="496"/>
    </row>
    <row r="9873" spans="1:4" x14ac:dyDescent="0.2">
      <c r="A9873" s="146"/>
      <c r="D9873" s="496"/>
    </row>
    <row r="9874" spans="1:4" x14ac:dyDescent="0.2">
      <c r="A9874" s="146"/>
      <c r="D9874" s="496"/>
    </row>
    <row r="9875" spans="1:4" x14ac:dyDescent="0.2">
      <c r="A9875" s="146"/>
      <c r="D9875" s="496"/>
    </row>
    <row r="9876" spans="1:4" x14ac:dyDescent="0.2">
      <c r="A9876" s="146"/>
      <c r="D9876" s="496"/>
    </row>
    <row r="9877" spans="1:4" x14ac:dyDescent="0.2">
      <c r="A9877" s="146"/>
      <c r="D9877" s="496"/>
    </row>
    <row r="9878" spans="1:4" x14ac:dyDescent="0.2">
      <c r="A9878" s="146"/>
      <c r="D9878" s="496"/>
    </row>
    <row r="9879" spans="1:4" x14ac:dyDescent="0.2">
      <c r="A9879" s="146"/>
      <c r="D9879" s="496"/>
    </row>
    <row r="9880" spans="1:4" x14ac:dyDescent="0.2">
      <c r="A9880" s="146"/>
      <c r="D9880" s="496"/>
    </row>
    <row r="9881" spans="1:4" x14ac:dyDescent="0.2">
      <c r="A9881" s="146"/>
      <c r="D9881" s="496"/>
    </row>
    <row r="9882" spans="1:4" x14ac:dyDescent="0.2">
      <c r="A9882" s="146"/>
      <c r="D9882" s="496"/>
    </row>
    <row r="9883" spans="1:4" x14ac:dyDescent="0.2">
      <c r="A9883" s="146"/>
      <c r="D9883" s="496"/>
    </row>
    <row r="9884" spans="1:4" x14ac:dyDescent="0.2">
      <c r="A9884" s="146"/>
      <c r="D9884" s="496"/>
    </row>
    <row r="9885" spans="1:4" x14ac:dyDescent="0.2">
      <c r="A9885" s="146"/>
      <c r="D9885" s="496"/>
    </row>
    <row r="9886" spans="1:4" x14ac:dyDescent="0.2">
      <c r="A9886" s="146"/>
      <c r="D9886" s="496"/>
    </row>
    <row r="9887" spans="1:4" x14ac:dyDescent="0.2">
      <c r="A9887" s="146"/>
      <c r="D9887" s="496"/>
    </row>
    <row r="9888" spans="1:4" x14ac:dyDescent="0.2">
      <c r="A9888" s="146"/>
      <c r="D9888" s="496"/>
    </row>
    <row r="9889" spans="1:4" x14ac:dyDescent="0.2">
      <c r="A9889" s="146"/>
      <c r="D9889" s="496"/>
    </row>
    <row r="9890" spans="1:4" x14ac:dyDescent="0.2">
      <c r="A9890" s="146"/>
      <c r="D9890" s="496"/>
    </row>
    <row r="9891" spans="1:4" x14ac:dyDescent="0.2">
      <c r="A9891" s="146"/>
      <c r="D9891" s="496"/>
    </row>
    <row r="9892" spans="1:4" x14ac:dyDescent="0.2">
      <c r="A9892" s="146"/>
      <c r="D9892" s="496"/>
    </row>
    <row r="9893" spans="1:4" x14ac:dyDescent="0.2">
      <c r="A9893" s="146"/>
      <c r="D9893" s="496"/>
    </row>
    <row r="9894" spans="1:4" x14ac:dyDescent="0.2">
      <c r="A9894" s="146"/>
      <c r="D9894" s="496"/>
    </row>
    <row r="9895" spans="1:4" x14ac:dyDescent="0.2">
      <c r="A9895" s="146"/>
      <c r="D9895" s="496"/>
    </row>
    <row r="9896" spans="1:4" x14ac:dyDescent="0.2">
      <c r="A9896" s="146"/>
      <c r="D9896" s="496"/>
    </row>
    <row r="9897" spans="1:4" x14ac:dyDescent="0.2">
      <c r="A9897" s="146"/>
      <c r="D9897" s="496"/>
    </row>
    <row r="9898" spans="1:4" x14ac:dyDescent="0.2">
      <c r="A9898" s="146"/>
      <c r="D9898" s="496"/>
    </row>
    <row r="9899" spans="1:4" x14ac:dyDescent="0.2">
      <c r="A9899" s="146"/>
      <c r="D9899" s="496"/>
    </row>
    <row r="9900" spans="1:4" x14ac:dyDescent="0.2">
      <c r="A9900" s="146"/>
      <c r="D9900" s="496"/>
    </row>
    <row r="9901" spans="1:4" x14ac:dyDescent="0.2">
      <c r="A9901" s="146"/>
      <c r="D9901" s="496"/>
    </row>
    <row r="9902" spans="1:4" x14ac:dyDescent="0.2">
      <c r="A9902" s="146"/>
      <c r="D9902" s="496"/>
    </row>
    <row r="9903" spans="1:4" x14ac:dyDescent="0.2">
      <c r="A9903" s="146"/>
      <c r="D9903" s="496"/>
    </row>
    <row r="9904" spans="1:4" x14ac:dyDescent="0.2">
      <c r="A9904" s="146"/>
      <c r="D9904" s="496"/>
    </row>
    <row r="9905" spans="1:4" x14ac:dyDescent="0.2">
      <c r="A9905" s="146"/>
      <c r="D9905" s="496"/>
    </row>
    <row r="9906" spans="1:4" x14ac:dyDescent="0.2">
      <c r="A9906" s="146"/>
      <c r="D9906" s="496"/>
    </row>
    <row r="9907" spans="1:4" x14ac:dyDescent="0.2">
      <c r="A9907" s="146"/>
      <c r="D9907" s="496"/>
    </row>
    <row r="9908" spans="1:4" x14ac:dyDescent="0.2">
      <c r="A9908" s="146"/>
      <c r="D9908" s="496"/>
    </row>
    <row r="9909" spans="1:4" x14ac:dyDescent="0.2">
      <c r="A9909" s="146"/>
      <c r="D9909" s="496"/>
    </row>
    <row r="9910" spans="1:4" x14ac:dyDescent="0.2">
      <c r="A9910" s="146"/>
      <c r="D9910" s="496"/>
    </row>
    <row r="9911" spans="1:4" x14ac:dyDescent="0.2">
      <c r="A9911" s="146"/>
      <c r="D9911" s="496"/>
    </row>
    <row r="9912" spans="1:4" x14ac:dyDescent="0.2">
      <c r="A9912" s="146"/>
      <c r="D9912" s="496"/>
    </row>
    <row r="9913" spans="1:4" x14ac:dyDescent="0.2">
      <c r="A9913" s="146"/>
      <c r="D9913" s="496"/>
    </row>
    <row r="9914" spans="1:4" x14ac:dyDescent="0.2">
      <c r="A9914" s="146"/>
      <c r="D9914" s="496"/>
    </row>
    <row r="9915" spans="1:4" x14ac:dyDescent="0.2">
      <c r="A9915" s="146"/>
      <c r="D9915" s="496"/>
    </row>
    <row r="9916" spans="1:4" x14ac:dyDescent="0.2">
      <c r="A9916" s="146"/>
      <c r="D9916" s="496"/>
    </row>
    <row r="9917" spans="1:4" x14ac:dyDescent="0.2">
      <c r="A9917" s="146"/>
      <c r="D9917" s="496"/>
    </row>
    <row r="9918" spans="1:4" x14ac:dyDescent="0.2">
      <c r="A9918" s="146"/>
      <c r="D9918" s="496"/>
    </row>
    <row r="9919" spans="1:4" x14ac:dyDescent="0.2">
      <c r="A9919" s="146"/>
      <c r="D9919" s="496"/>
    </row>
    <row r="9920" spans="1:4" x14ac:dyDescent="0.2">
      <c r="A9920" s="146"/>
      <c r="D9920" s="496"/>
    </row>
    <row r="9921" spans="1:4" x14ac:dyDescent="0.2">
      <c r="A9921" s="146"/>
      <c r="D9921" s="496"/>
    </row>
    <row r="9922" spans="1:4" x14ac:dyDescent="0.2">
      <c r="A9922" s="146"/>
      <c r="D9922" s="496"/>
    </row>
    <row r="9923" spans="1:4" x14ac:dyDescent="0.2">
      <c r="A9923" s="146"/>
      <c r="D9923" s="496"/>
    </row>
    <row r="9924" spans="1:4" x14ac:dyDescent="0.2">
      <c r="A9924" s="146"/>
      <c r="D9924" s="496"/>
    </row>
    <row r="9925" spans="1:4" x14ac:dyDescent="0.2">
      <c r="A9925" s="146"/>
      <c r="D9925" s="496"/>
    </row>
    <row r="9926" spans="1:4" x14ac:dyDescent="0.2">
      <c r="A9926" s="146"/>
      <c r="D9926" s="496"/>
    </row>
    <row r="9927" spans="1:4" x14ac:dyDescent="0.2">
      <c r="A9927" s="146"/>
      <c r="D9927" s="496"/>
    </row>
    <row r="9928" spans="1:4" x14ac:dyDescent="0.2">
      <c r="A9928" s="146"/>
      <c r="D9928" s="496"/>
    </row>
    <row r="9929" spans="1:4" x14ac:dyDescent="0.2">
      <c r="A9929" s="146"/>
      <c r="D9929" s="496"/>
    </row>
    <row r="9930" spans="1:4" x14ac:dyDescent="0.2">
      <c r="A9930" s="146"/>
      <c r="D9930" s="496"/>
    </row>
    <row r="9931" spans="1:4" x14ac:dyDescent="0.2">
      <c r="A9931" s="146"/>
      <c r="D9931" s="496"/>
    </row>
    <row r="9932" spans="1:4" x14ac:dyDescent="0.2">
      <c r="A9932" s="146"/>
      <c r="D9932" s="496"/>
    </row>
    <row r="9933" spans="1:4" x14ac:dyDescent="0.2">
      <c r="A9933" s="146"/>
      <c r="D9933" s="496"/>
    </row>
    <row r="9934" spans="1:4" x14ac:dyDescent="0.2">
      <c r="A9934" s="146"/>
      <c r="D9934" s="496"/>
    </row>
    <row r="9935" spans="1:4" x14ac:dyDescent="0.2">
      <c r="A9935" s="146"/>
      <c r="D9935" s="496"/>
    </row>
    <row r="9936" spans="1:4" x14ac:dyDescent="0.2">
      <c r="A9936" s="146"/>
      <c r="D9936" s="496"/>
    </row>
    <row r="9937" spans="1:4" x14ac:dyDescent="0.2">
      <c r="A9937" s="146"/>
      <c r="D9937" s="496"/>
    </row>
    <row r="9938" spans="1:4" x14ac:dyDescent="0.2">
      <c r="A9938" s="146"/>
      <c r="D9938" s="496"/>
    </row>
    <row r="9939" spans="1:4" x14ac:dyDescent="0.2">
      <c r="A9939" s="146"/>
      <c r="D9939" s="496"/>
    </row>
    <row r="9940" spans="1:4" x14ac:dyDescent="0.2">
      <c r="A9940" s="146"/>
      <c r="D9940" s="496"/>
    </row>
    <row r="9941" spans="1:4" x14ac:dyDescent="0.2">
      <c r="A9941" s="146"/>
      <c r="D9941" s="496"/>
    </row>
    <row r="9942" spans="1:4" x14ac:dyDescent="0.2">
      <c r="A9942" s="146"/>
      <c r="D9942" s="496"/>
    </row>
    <row r="9943" spans="1:4" x14ac:dyDescent="0.2">
      <c r="A9943" s="146"/>
      <c r="D9943" s="496"/>
    </row>
    <row r="9944" spans="1:4" x14ac:dyDescent="0.2">
      <c r="A9944" s="146"/>
      <c r="D9944" s="496"/>
    </row>
    <row r="9945" spans="1:4" x14ac:dyDescent="0.2">
      <c r="A9945" s="146"/>
      <c r="D9945" s="496"/>
    </row>
    <row r="9946" spans="1:4" x14ac:dyDescent="0.2">
      <c r="A9946" s="146"/>
      <c r="D9946" s="496"/>
    </row>
    <row r="9947" spans="1:4" x14ac:dyDescent="0.2">
      <c r="A9947" s="146"/>
      <c r="D9947" s="496"/>
    </row>
    <row r="9948" spans="1:4" x14ac:dyDescent="0.2">
      <c r="A9948" s="146"/>
      <c r="D9948" s="496"/>
    </row>
    <row r="9949" spans="1:4" x14ac:dyDescent="0.2">
      <c r="A9949" s="146"/>
      <c r="D9949" s="496"/>
    </row>
    <row r="9950" spans="1:4" x14ac:dyDescent="0.2">
      <c r="A9950" s="146"/>
      <c r="D9950" s="496"/>
    </row>
    <row r="9951" spans="1:4" x14ac:dyDescent="0.2">
      <c r="A9951" s="146"/>
      <c r="D9951" s="496"/>
    </row>
    <row r="9952" spans="1:4" x14ac:dyDescent="0.2">
      <c r="A9952" s="146"/>
      <c r="D9952" s="496"/>
    </row>
    <row r="9953" spans="1:4" x14ac:dyDescent="0.2">
      <c r="A9953" s="146"/>
      <c r="D9953" s="496"/>
    </row>
    <row r="9954" spans="1:4" x14ac:dyDescent="0.2">
      <c r="A9954" s="146"/>
      <c r="D9954" s="496"/>
    </row>
    <row r="9955" spans="1:4" x14ac:dyDescent="0.2">
      <c r="A9955" s="146"/>
      <c r="D9955" s="496"/>
    </row>
    <row r="9956" spans="1:4" x14ac:dyDescent="0.2">
      <c r="A9956" s="146"/>
      <c r="D9956" s="496"/>
    </row>
    <row r="9957" spans="1:4" x14ac:dyDescent="0.2">
      <c r="A9957" s="146"/>
      <c r="D9957" s="496"/>
    </row>
    <row r="9958" spans="1:4" x14ac:dyDescent="0.2">
      <c r="A9958" s="146"/>
      <c r="D9958" s="496"/>
    </row>
    <row r="9959" spans="1:4" x14ac:dyDescent="0.2">
      <c r="A9959" s="146"/>
      <c r="D9959" s="496"/>
    </row>
    <row r="9960" spans="1:4" x14ac:dyDescent="0.2">
      <c r="A9960" s="146"/>
      <c r="D9960" s="496"/>
    </row>
    <row r="9961" spans="1:4" x14ac:dyDescent="0.2">
      <c r="A9961" s="146"/>
      <c r="D9961" s="496"/>
    </row>
    <row r="9962" spans="1:4" x14ac:dyDescent="0.2">
      <c r="A9962" s="146"/>
      <c r="D9962" s="496"/>
    </row>
    <row r="9963" spans="1:4" x14ac:dyDescent="0.2">
      <c r="A9963" s="146"/>
      <c r="D9963" s="496"/>
    </row>
    <row r="9964" spans="1:4" x14ac:dyDescent="0.2">
      <c r="A9964" s="146"/>
      <c r="D9964" s="496"/>
    </row>
    <row r="9965" spans="1:4" x14ac:dyDescent="0.2">
      <c r="A9965" s="146"/>
      <c r="D9965" s="496"/>
    </row>
    <row r="9966" spans="1:4" x14ac:dyDescent="0.2">
      <c r="A9966" s="146"/>
      <c r="D9966" s="496"/>
    </row>
    <row r="9967" spans="1:4" x14ac:dyDescent="0.2">
      <c r="A9967" s="146"/>
      <c r="D9967" s="496"/>
    </row>
    <row r="9968" spans="1:4" x14ac:dyDescent="0.2">
      <c r="A9968" s="146"/>
      <c r="D9968" s="496"/>
    </row>
    <row r="9969" spans="1:4" x14ac:dyDescent="0.2">
      <c r="A9969" s="146"/>
      <c r="D9969" s="496"/>
    </row>
    <row r="9970" spans="1:4" x14ac:dyDescent="0.2">
      <c r="A9970" s="146"/>
      <c r="D9970" s="496"/>
    </row>
    <row r="9971" spans="1:4" x14ac:dyDescent="0.2">
      <c r="A9971" s="146"/>
      <c r="D9971" s="496"/>
    </row>
    <row r="9972" spans="1:4" x14ac:dyDescent="0.2">
      <c r="A9972" s="146"/>
      <c r="D9972" s="496"/>
    </row>
    <row r="9973" spans="1:4" x14ac:dyDescent="0.2">
      <c r="A9973" s="146"/>
      <c r="D9973" s="496"/>
    </row>
    <row r="9974" spans="1:4" x14ac:dyDescent="0.2">
      <c r="A9974" s="146"/>
      <c r="D9974" s="496"/>
    </row>
    <row r="9975" spans="1:4" x14ac:dyDescent="0.2">
      <c r="A9975" s="146"/>
      <c r="D9975" s="496"/>
    </row>
    <row r="9976" spans="1:4" x14ac:dyDescent="0.2">
      <c r="A9976" s="146"/>
      <c r="D9976" s="496"/>
    </row>
    <row r="9977" spans="1:4" x14ac:dyDescent="0.2">
      <c r="A9977" s="146"/>
      <c r="D9977" s="496"/>
    </row>
    <row r="9978" spans="1:4" x14ac:dyDescent="0.2">
      <c r="A9978" s="146"/>
      <c r="D9978" s="496"/>
    </row>
    <row r="9979" spans="1:4" x14ac:dyDescent="0.2">
      <c r="A9979" s="146"/>
      <c r="D9979" s="496"/>
    </row>
    <row r="9980" spans="1:4" x14ac:dyDescent="0.2">
      <c r="A9980" s="146"/>
      <c r="D9980" s="496"/>
    </row>
    <row r="9981" spans="1:4" x14ac:dyDescent="0.2">
      <c r="A9981" s="146"/>
      <c r="D9981" s="496"/>
    </row>
    <row r="9982" spans="1:4" x14ac:dyDescent="0.2">
      <c r="A9982" s="146"/>
      <c r="D9982" s="496"/>
    </row>
    <row r="9983" spans="1:4" x14ac:dyDescent="0.2">
      <c r="A9983" s="146"/>
      <c r="D9983" s="496"/>
    </row>
    <row r="9984" spans="1:4" x14ac:dyDescent="0.2">
      <c r="A9984" s="146"/>
      <c r="D9984" s="496"/>
    </row>
    <row r="9985" spans="1:4" x14ac:dyDescent="0.2">
      <c r="A9985" s="146"/>
      <c r="D9985" s="496"/>
    </row>
    <row r="9986" spans="1:4" x14ac:dyDescent="0.2">
      <c r="A9986" s="146"/>
      <c r="D9986" s="496"/>
    </row>
    <row r="9987" spans="1:4" x14ac:dyDescent="0.2">
      <c r="A9987" s="146"/>
      <c r="D9987" s="496"/>
    </row>
    <row r="9988" spans="1:4" x14ac:dyDescent="0.2">
      <c r="A9988" s="146"/>
      <c r="D9988" s="496"/>
    </row>
    <row r="9989" spans="1:4" x14ac:dyDescent="0.2">
      <c r="A9989" s="146"/>
      <c r="D9989" s="496"/>
    </row>
    <row r="9990" spans="1:4" x14ac:dyDescent="0.2">
      <c r="A9990" s="146"/>
      <c r="D9990" s="496"/>
    </row>
    <row r="9991" spans="1:4" x14ac:dyDescent="0.2">
      <c r="A9991" s="146"/>
      <c r="D9991" s="496"/>
    </row>
    <row r="9992" spans="1:4" x14ac:dyDescent="0.2">
      <c r="A9992" s="146"/>
      <c r="D9992" s="496"/>
    </row>
    <row r="9993" spans="1:4" x14ac:dyDescent="0.2">
      <c r="A9993" s="146"/>
      <c r="D9993" s="496"/>
    </row>
    <row r="9994" spans="1:4" x14ac:dyDescent="0.2">
      <c r="A9994" s="146"/>
      <c r="D9994" s="496"/>
    </row>
    <row r="9995" spans="1:4" x14ac:dyDescent="0.2">
      <c r="A9995" s="146"/>
      <c r="D9995" s="496"/>
    </row>
    <row r="9996" spans="1:4" x14ac:dyDescent="0.2">
      <c r="A9996" s="146"/>
      <c r="D9996" s="496"/>
    </row>
    <row r="9997" spans="1:4" x14ac:dyDescent="0.2">
      <c r="A9997" s="146"/>
      <c r="D9997" s="496"/>
    </row>
    <row r="9998" spans="1:4" x14ac:dyDescent="0.2">
      <c r="A9998" s="146"/>
      <c r="D9998" s="496"/>
    </row>
    <row r="9999" spans="1:4" x14ac:dyDescent="0.2">
      <c r="A9999" s="146"/>
      <c r="D9999" s="496"/>
    </row>
    <row r="10000" spans="1:4" x14ac:dyDescent="0.2">
      <c r="A10000" s="146"/>
      <c r="D10000" s="496"/>
    </row>
    <row r="10001" spans="1:4" x14ac:dyDescent="0.2">
      <c r="A10001" s="146"/>
      <c r="D10001" s="496"/>
    </row>
    <row r="10002" spans="1:4" x14ac:dyDescent="0.2">
      <c r="A10002" s="146"/>
      <c r="D10002" s="496"/>
    </row>
    <row r="10003" spans="1:4" x14ac:dyDescent="0.2">
      <c r="A10003" s="146"/>
      <c r="D10003" s="496"/>
    </row>
    <row r="10004" spans="1:4" x14ac:dyDescent="0.2">
      <c r="A10004" s="146"/>
      <c r="D10004" s="496"/>
    </row>
    <row r="10005" spans="1:4" x14ac:dyDescent="0.2">
      <c r="A10005" s="146"/>
      <c r="D10005" s="496"/>
    </row>
    <row r="10006" spans="1:4" x14ac:dyDescent="0.2">
      <c r="A10006" s="146"/>
      <c r="D10006" s="496"/>
    </row>
    <row r="10007" spans="1:4" x14ac:dyDescent="0.2">
      <c r="A10007" s="146"/>
      <c r="D10007" s="496"/>
    </row>
    <row r="10008" spans="1:4" x14ac:dyDescent="0.2">
      <c r="A10008" s="146"/>
      <c r="D10008" s="496"/>
    </row>
    <row r="10009" spans="1:4" x14ac:dyDescent="0.2">
      <c r="A10009" s="146"/>
      <c r="D10009" s="496"/>
    </row>
    <row r="10010" spans="1:4" x14ac:dyDescent="0.2">
      <c r="A10010" s="146"/>
      <c r="D10010" s="496"/>
    </row>
    <row r="10011" spans="1:4" x14ac:dyDescent="0.2">
      <c r="A10011" s="146"/>
      <c r="D10011" s="496"/>
    </row>
    <row r="10012" spans="1:4" x14ac:dyDescent="0.2">
      <c r="A10012" s="146"/>
      <c r="D10012" s="496"/>
    </row>
    <row r="10013" spans="1:4" x14ac:dyDescent="0.2">
      <c r="A10013" s="146"/>
      <c r="D10013" s="496"/>
    </row>
    <row r="10014" spans="1:4" x14ac:dyDescent="0.2">
      <c r="A10014" s="146"/>
      <c r="D10014" s="496"/>
    </row>
    <row r="10015" spans="1:4" x14ac:dyDescent="0.2">
      <c r="A10015" s="146"/>
      <c r="D10015" s="496"/>
    </row>
    <row r="10016" spans="1:4" x14ac:dyDescent="0.2">
      <c r="A10016" s="146"/>
      <c r="D10016" s="496"/>
    </row>
    <row r="10017" spans="1:4" x14ac:dyDescent="0.2">
      <c r="A10017" s="146"/>
      <c r="D10017" s="496"/>
    </row>
    <row r="10018" spans="1:4" x14ac:dyDescent="0.2">
      <c r="A10018" s="146"/>
      <c r="D10018" s="496"/>
    </row>
    <row r="10019" spans="1:4" x14ac:dyDescent="0.2">
      <c r="A10019" s="146"/>
      <c r="D10019" s="496"/>
    </row>
    <row r="10020" spans="1:4" x14ac:dyDescent="0.2">
      <c r="A10020" s="146"/>
      <c r="D10020" s="496"/>
    </row>
    <row r="10021" spans="1:4" x14ac:dyDescent="0.2">
      <c r="A10021" s="146"/>
      <c r="D10021" s="496"/>
    </row>
    <row r="10022" spans="1:4" x14ac:dyDescent="0.2">
      <c r="A10022" s="146"/>
      <c r="D10022" s="496"/>
    </row>
    <row r="10023" spans="1:4" x14ac:dyDescent="0.2">
      <c r="A10023" s="146"/>
      <c r="D10023" s="496"/>
    </row>
    <row r="10024" spans="1:4" x14ac:dyDescent="0.2">
      <c r="A10024" s="146"/>
      <c r="D10024" s="496"/>
    </row>
    <row r="10025" spans="1:4" x14ac:dyDescent="0.2">
      <c r="A10025" s="146"/>
      <c r="D10025" s="496"/>
    </row>
    <row r="10026" spans="1:4" x14ac:dyDescent="0.2">
      <c r="A10026" s="146"/>
      <c r="D10026" s="496"/>
    </row>
    <row r="10027" spans="1:4" x14ac:dyDescent="0.2">
      <c r="A10027" s="146"/>
      <c r="D10027" s="496"/>
    </row>
    <row r="10028" spans="1:4" x14ac:dyDescent="0.2">
      <c r="A10028" s="146"/>
      <c r="D10028" s="496"/>
    </row>
    <row r="10029" spans="1:4" x14ac:dyDescent="0.2">
      <c r="A10029" s="146"/>
      <c r="D10029" s="496"/>
    </row>
    <row r="10030" spans="1:4" x14ac:dyDescent="0.2">
      <c r="A10030" s="146"/>
      <c r="D10030" s="496"/>
    </row>
    <row r="10031" spans="1:4" x14ac:dyDescent="0.2">
      <c r="A10031" s="146"/>
      <c r="D10031" s="496"/>
    </row>
    <row r="10032" spans="1:4" x14ac:dyDescent="0.2">
      <c r="A10032" s="146"/>
      <c r="D10032" s="496"/>
    </row>
    <row r="10033" spans="1:4" x14ac:dyDescent="0.2">
      <c r="A10033" s="146"/>
      <c r="D10033" s="496"/>
    </row>
    <row r="10034" spans="1:4" x14ac:dyDescent="0.2">
      <c r="A10034" s="146"/>
      <c r="D10034" s="496"/>
    </row>
    <row r="10035" spans="1:4" x14ac:dyDescent="0.2">
      <c r="A10035" s="146"/>
      <c r="D10035" s="496"/>
    </row>
    <row r="10036" spans="1:4" x14ac:dyDescent="0.2">
      <c r="A10036" s="146"/>
      <c r="D10036" s="496"/>
    </row>
    <row r="10037" spans="1:4" x14ac:dyDescent="0.2">
      <c r="A10037" s="146"/>
      <c r="D10037" s="496"/>
    </row>
    <row r="10038" spans="1:4" x14ac:dyDescent="0.2">
      <c r="A10038" s="146"/>
      <c r="D10038" s="496"/>
    </row>
    <row r="10039" spans="1:4" x14ac:dyDescent="0.2">
      <c r="A10039" s="146"/>
      <c r="D10039" s="496"/>
    </row>
    <row r="10040" spans="1:4" x14ac:dyDescent="0.2">
      <c r="A10040" s="146"/>
      <c r="D10040" s="496"/>
    </row>
    <row r="10041" spans="1:4" x14ac:dyDescent="0.2">
      <c r="A10041" s="146"/>
      <c r="D10041" s="496"/>
    </row>
    <row r="10042" spans="1:4" x14ac:dyDescent="0.2">
      <c r="A10042" s="146"/>
      <c r="D10042" s="496"/>
    </row>
    <row r="10043" spans="1:4" x14ac:dyDescent="0.2">
      <c r="A10043" s="146"/>
      <c r="D10043" s="496"/>
    </row>
    <row r="10044" spans="1:4" x14ac:dyDescent="0.2">
      <c r="A10044" s="146"/>
      <c r="D10044" s="496"/>
    </row>
    <row r="10045" spans="1:4" x14ac:dyDescent="0.2">
      <c r="A10045" s="146"/>
      <c r="D10045" s="496"/>
    </row>
    <row r="10046" spans="1:4" x14ac:dyDescent="0.2">
      <c r="A10046" s="146"/>
      <c r="D10046" s="496"/>
    </row>
    <row r="10047" spans="1:4" x14ac:dyDescent="0.2">
      <c r="A10047" s="146"/>
      <c r="D10047" s="496"/>
    </row>
    <row r="10048" spans="1:4" x14ac:dyDescent="0.2">
      <c r="A10048" s="146"/>
      <c r="D10048" s="496"/>
    </row>
    <row r="10049" spans="1:4" x14ac:dyDescent="0.2">
      <c r="A10049" s="146"/>
      <c r="D10049" s="496"/>
    </row>
    <row r="10050" spans="1:4" x14ac:dyDescent="0.2">
      <c r="A10050" s="146"/>
      <c r="D10050" s="496"/>
    </row>
    <row r="10051" spans="1:4" x14ac:dyDescent="0.2">
      <c r="A10051" s="146"/>
      <c r="D10051" s="496"/>
    </row>
    <row r="10052" spans="1:4" x14ac:dyDescent="0.2">
      <c r="A10052" s="146"/>
      <c r="D10052" s="496"/>
    </row>
    <row r="10053" spans="1:4" x14ac:dyDescent="0.2">
      <c r="A10053" s="146"/>
      <c r="D10053" s="496"/>
    </row>
    <row r="10054" spans="1:4" x14ac:dyDescent="0.2">
      <c r="A10054" s="146"/>
      <c r="D10054" s="496"/>
    </row>
    <row r="10055" spans="1:4" x14ac:dyDescent="0.2">
      <c r="A10055" s="146"/>
      <c r="D10055" s="496"/>
    </row>
    <row r="10056" spans="1:4" x14ac:dyDescent="0.2">
      <c r="A10056" s="146"/>
      <c r="D10056" s="496"/>
    </row>
    <row r="10057" spans="1:4" x14ac:dyDescent="0.2">
      <c r="A10057" s="146"/>
      <c r="D10057" s="496"/>
    </row>
    <row r="10058" spans="1:4" x14ac:dyDescent="0.2">
      <c r="A10058" s="146"/>
      <c r="D10058" s="496"/>
    </row>
    <row r="10059" spans="1:4" x14ac:dyDescent="0.2">
      <c r="A10059" s="146"/>
      <c r="D10059" s="496"/>
    </row>
    <row r="10060" spans="1:4" x14ac:dyDescent="0.2">
      <c r="A10060" s="146"/>
      <c r="D10060" s="496"/>
    </row>
    <row r="10061" spans="1:4" x14ac:dyDescent="0.2">
      <c r="A10061" s="146"/>
      <c r="D10061" s="496"/>
    </row>
    <row r="10062" spans="1:4" x14ac:dyDescent="0.2">
      <c r="A10062" s="146"/>
      <c r="D10062" s="496"/>
    </row>
    <row r="10063" spans="1:4" x14ac:dyDescent="0.2">
      <c r="A10063" s="146"/>
      <c r="D10063" s="496"/>
    </row>
    <row r="10064" spans="1:4" x14ac:dyDescent="0.2">
      <c r="A10064" s="146"/>
      <c r="D10064" s="496"/>
    </row>
    <row r="10065" spans="1:4" x14ac:dyDescent="0.2">
      <c r="A10065" s="146"/>
      <c r="D10065" s="496"/>
    </row>
    <row r="10066" spans="1:4" x14ac:dyDescent="0.2">
      <c r="A10066" s="146"/>
      <c r="D10066" s="496"/>
    </row>
    <row r="10067" spans="1:4" x14ac:dyDescent="0.2">
      <c r="A10067" s="146"/>
      <c r="D10067" s="496"/>
    </row>
    <row r="10068" spans="1:4" x14ac:dyDescent="0.2">
      <c r="A10068" s="146"/>
      <c r="D10068" s="496"/>
    </row>
    <row r="10069" spans="1:4" x14ac:dyDescent="0.2">
      <c r="A10069" s="146"/>
      <c r="D10069" s="496"/>
    </row>
    <row r="10070" spans="1:4" x14ac:dyDescent="0.2">
      <c r="A10070" s="146"/>
      <c r="D10070" s="496"/>
    </row>
    <row r="10071" spans="1:4" x14ac:dyDescent="0.2">
      <c r="A10071" s="146"/>
      <c r="D10071" s="496"/>
    </row>
    <row r="10072" spans="1:4" x14ac:dyDescent="0.2">
      <c r="A10072" s="146"/>
      <c r="D10072" s="496"/>
    </row>
    <row r="10073" spans="1:4" x14ac:dyDescent="0.2">
      <c r="A10073" s="146"/>
      <c r="D10073" s="496"/>
    </row>
    <row r="10074" spans="1:4" x14ac:dyDescent="0.2">
      <c r="A10074" s="146"/>
      <c r="D10074" s="496"/>
    </row>
    <row r="10075" spans="1:4" x14ac:dyDescent="0.2">
      <c r="A10075" s="146"/>
      <c r="D10075" s="496"/>
    </row>
    <row r="10076" spans="1:4" x14ac:dyDescent="0.2">
      <c r="A10076" s="146"/>
      <c r="D10076" s="496"/>
    </row>
    <row r="10077" spans="1:4" x14ac:dyDescent="0.2">
      <c r="A10077" s="146"/>
      <c r="D10077" s="496"/>
    </row>
    <row r="10078" spans="1:4" x14ac:dyDescent="0.2">
      <c r="A10078" s="146"/>
      <c r="D10078" s="496"/>
    </row>
    <row r="10079" spans="1:4" x14ac:dyDescent="0.2">
      <c r="A10079" s="146"/>
      <c r="D10079" s="496"/>
    </row>
    <row r="10080" spans="1:4" x14ac:dyDescent="0.2">
      <c r="A10080" s="146"/>
      <c r="D10080" s="496"/>
    </row>
    <row r="10081" spans="1:4" x14ac:dyDescent="0.2">
      <c r="A10081" s="146"/>
      <c r="D10081" s="496"/>
    </row>
    <row r="10082" spans="1:4" x14ac:dyDescent="0.2">
      <c r="A10082" s="146"/>
      <c r="D10082" s="496"/>
    </row>
    <row r="10083" spans="1:4" x14ac:dyDescent="0.2">
      <c r="A10083" s="146"/>
      <c r="D10083" s="496"/>
    </row>
    <row r="10084" spans="1:4" x14ac:dyDescent="0.2">
      <c r="A10084" s="146"/>
      <c r="D10084" s="496"/>
    </row>
    <row r="10085" spans="1:4" x14ac:dyDescent="0.2">
      <c r="A10085" s="146"/>
      <c r="D10085" s="496"/>
    </row>
    <row r="10086" spans="1:4" x14ac:dyDescent="0.2">
      <c r="A10086" s="146"/>
      <c r="D10086" s="496"/>
    </row>
    <row r="10087" spans="1:4" x14ac:dyDescent="0.2">
      <c r="A10087" s="146"/>
      <c r="D10087" s="496"/>
    </row>
    <row r="10088" spans="1:4" x14ac:dyDescent="0.2">
      <c r="A10088" s="146"/>
      <c r="D10088" s="496"/>
    </row>
    <row r="10089" spans="1:4" x14ac:dyDescent="0.2">
      <c r="A10089" s="146"/>
      <c r="D10089" s="496"/>
    </row>
    <row r="10090" spans="1:4" x14ac:dyDescent="0.2">
      <c r="A10090" s="146"/>
      <c r="D10090" s="496"/>
    </row>
    <row r="10091" spans="1:4" x14ac:dyDescent="0.2">
      <c r="A10091" s="146"/>
      <c r="D10091" s="496"/>
    </row>
    <row r="10092" spans="1:4" x14ac:dyDescent="0.2">
      <c r="A10092" s="146"/>
      <c r="D10092" s="496"/>
    </row>
    <row r="10093" spans="1:4" x14ac:dyDescent="0.2">
      <c r="A10093" s="146"/>
      <c r="D10093" s="496"/>
    </row>
    <row r="10094" spans="1:4" x14ac:dyDescent="0.2">
      <c r="A10094" s="146"/>
      <c r="D10094" s="496"/>
    </row>
    <row r="10095" spans="1:4" x14ac:dyDescent="0.2">
      <c r="A10095" s="146"/>
      <c r="D10095" s="496"/>
    </row>
    <row r="10096" spans="1:4" x14ac:dyDescent="0.2">
      <c r="A10096" s="146"/>
      <c r="D10096" s="496"/>
    </row>
    <row r="10097" spans="1:4" x14ac:dyDescent="0.2">
      <c r="A10097" s="146"/>
      <c r="D10097" s="496"/>
    </row>
    <row r="10098" spans="1:4" x14ac:dyDescent="0.2">
      <c r="A10098" s="146"/>
      <c r="D10098" s="496"/>
    </row>
    <row r="10099" spans="1:4" x14ac:dyDescent="0.2">
      <c r="A10099" s="146"/>
      <c r="D10099" s="496"/>
    </row>
    <row r="10100" spans="1:4" x14ac:dyDescent="0.2">
      <c r="A10100" s="146"/>
      <c r="D10100" s="496"/>
    </row>
    <row r="10101" spans="1:4" x14ac:dyDescent="0.2">
      <c r="A10101" s="146"/>
      <c r="D10101" s="496"/>
    </row>
    <row r="10102" spans="1:4" x14ac:dyDescent="0.2">
      <c r="A10102" s="146"/>
      <c r="D10102" s="496"/>
    </row>
    <row r="10103" spans="1:4" x14ac:dyDescent="0.2">
      <c r="A10103" s="146"/>
      <c r="D10103" s="496"/>
    </row>
    <row r="10104" spans="1:4" x14ac:dyDescent="0.2">
      <c r="A10104" s="146"/>
      <c r="D10104" s="496"/>
    </row>
    <row r="10105" spans="1:4" x14ac:dyDescent="0.2">
      <c r="A10105" s="146"/>
      <c r="D10105" s="496"/>
    </row>
    <row r="10106" spans="1:4" x14ac:dyDescent="0.2">
      <c r="A10106" s="146"/>
      <c r="D10106" s="496"/>
    </row>
    <row r="10107" spans="1:4" x14ac:dyDescent="0.2">
      <c r="A10107" s="146"/>
      <c r="D10107" s="496"/>
    </row>
    <row r="10108" spans="1:4" x14ac:dyDescent="0.2">
      <c r="A10108" s="146"/>
      <c r="D10108" s="496"/>
    </row>
    <row r="10109" spans="1:4" x14ac:dyDescent="0.2">
      <c r="A10109" s="146"/>
      <c r="D10109" s="496"/>
    </row>
    <row r="10110" spans="1:4" x14ac:dyDescent="0.2">
      <c r="A10110" s="146"/>
      <c r="D10110" s="496"/>
    </row>
    <row r="10111" spans="1:4" x14ac:dyDescent="0.2">
      <c r="A10111" s="146"/>
      <c r="D10111" s="496"/>
    </row>
    <row r="10112" spans="1:4" x14ac:dyDescent="0.2">
      <c r="A10112" s="146"/>
      <c r="D10112" s="496"/>
    </row>
    <row r="10113" spans="1:4" x14ac:dyDescent="0.2">
      <c r="A10113" s="146"/>
      <c r="D10113" s="496"/>
    </row>
    <row r="10114" spans="1:4" x14ac:dyDescent="0.2">
      <c r="A10114" s="146"/>
      <c r="D10114" s="496"/>
    </row>
    <row r="10115" spans="1:4" x14ac:dyDescent="0.2">
      <c r="A10115" s="146"/>
      <c r="D10115" s="496"/>
    </row>
    <row r="10116" spans="1:4" x14ac:dyDescent="0.2">
      <c r="A10116" s="146"/>
      <c r="D10116" s="496"/>
    </row>
    <row r="10117" spans="1:4" x14ac:dyDescent="0.2">
      <c r="A10117" s="146"/>
      <c r="D10117" s="496"/>
    </row>
    <row r="10118" spans="1:4" x14ac:dyDescent="0.2">
      <c r="A10118" s="146"/>
      <c r="D10118" s="496"/>
    </row>
    <row r="10119" spans="1:4" x14ac:dyDescent="0.2">
      <c r="A10119" s="146"/>
      <c r="D10119" s="496"/>
    </row>
    <row r="10120" spans="1:4" x14ac:dyDescent="0.2">
      <c r="A10120" s="146"/>
      <c r="D10120" s="496"/>
    </row>
    <row r="10121" spans="1:4" x14ac:dyDescent="0.2">
      <c r="A10121" s="146"/>
      <c r="D10121" s="496"/>
    </row>
    <row r="10122" spans="1:4" x14ac:dyDescent="0.2">
      <c r="A10122" s="146"/>
      <c r="D10122" s="496"/>
    </row>
    <row r="10123" spans="1:4" x14ac:dyDescent="0.2">
      <c r="A10123" s="146"/>
      <c r="D10123" s="496"/>
    </row>
    <row r="10124" spans="1:4" x14ac:dyDescent="0.2">
      <c r="A10124" s="146"/>
      <c r="D10124" s="496"/>
    </row>
    <row r="10125" spans="1:4" x14ac:dyDescent="0.2">
      <c r="A10125" s="146"/>
      <c r="D10125" s="496"/>
    </row>
    <row r="10126" spans="1:4" x14ac:dyDescent="0.2">
      <c r="A10126" s="146"/>
      <c r="D10126" s="496"/>
    </row>
    <row r="10127" spans="1:4" x14ac:dyDescent="0.2">
      <c r="A10127" s="146"/>
      <c r="D10127" s="496"/>
    </row>
    <row r="10128" spans="1:4" x14ac:dyDescent="0.2">
      <c r="A10128" s="146"/>
      <c r="D10128" s="496"/>
    </row>
    <row r="10129" spans="1:4" x14ac:dyDescent="0.2">
      <c r="A10129" s="146"/>
      <c r="D10129" s="496"/>
    </row>
    <row r="10130" spans="1:4" x14ac:dyDescent="0.2">
      <c r="A10130" s="146"/>
      <c r="D10130" s="496"/>
    </row>
    <row r="10131" spans="1:4" x14ac:dyDescent="0.2">
      <c r="A10131" s="146"/>
      <c r="D10131" s="496"/>
    </row>
    <row r="10132" spans="1:4" x14ac:dyDescent="0.2">
      <c r="A10132" s="146"/>
      <c r="D10132" s="496"/>
    </row>
    <row r="10133" spans="1:4" x14ac:dyDescent="0.2">
      <c r="A10133" s="146"/>
      <c r="D10133" s="496"/>
    </row>
    <row r="10134" spans="1:4" x14ac:dyDescent="0.2">
      <c r="A10134" s="146"/>
      <c r="D10134" s="496"/>
    </row>
    <row r="10135" spans="1:4" x14ac:dyDescent="0.2">
      <c r="A10135" s="146"/>
      <c r="D10135" s="496"/>
    </row>
    <row r="10136" spans="1:4" x14ac:dyDescent="0.2">
      <c r="A10136" s="146"/>
      <c r="D10136" s="496"/>
    </row>
    <row r="10137" spans="1:4" x14ac:dyDescent="0.2">
      <c r="A10137" s="146"/>
      <c r="D10137" s="496"/>
    </row>
    <row r="10138" spans="1:4" x14ac:dyDescent="0.2">
      <c r="A10138" s="146"/>
      <c r="D10138" s="496"/>
    </row>
    <row r="10139" spans="1:4" x14ac:dyDescent="0.2">
      <c r="A10139" s="146"/>
      <c r="D10139" s="496"/>
    </row>
    <row r="10140" spans="1:4" x14ac:dyDescent="0.2">
      <c r="A10140" s="146"/>
      <c r="D10140" s="496"/>
    </row>
    <row r="10141" spans="1:4" x14ac:dyDescent="0.2">
      <c r="A10141" s="146"/>
      <c r="D10141" s="496"/>
    </row>
    <row r="10142" spans="1:4" x14ac:dyDescent="0.2">
      <c r="A10142" s="146"/>
      <c r="D10142" s="496"/>
    </row>
    <row r="10143" spans="1:4" x14ac:dyDescent="0.2">
      <c r="A10143" s="146"/>
      <c r="D10143" s="496"/>
    </row>
    <row r="10144" spans="1:4" x14ac:dyDescent="0.2">
      <c r="A10144" s="146"/>
      <c r="D10144" s="496"/>
    </row>
    <row r="10145" spans="1:4" x14ac:dyDescent="0.2">
      <c r="A10145" s="146"/>
      <c r="D10145" s="496"/>
    </row>
    <row r="10146" spans="1:4" x14ac:dyDescent="0.2">
      <c r="A10146" s="146"/>
      <c r="D10146" s="496"/>
    </row>
    <row r="10147" spans="1:4" x14ac:dyDescent="0.2">
      <c r="A10147" s="146"/>
      <c r="D10147" s="496"/>
    </row>
    <row r="10148" spans="1:4" x14ac:dyDescent="0.2">
      <c r="A10148" s="146"/>
      <c r="D10148" s="496"/>
    </row>
    <row r="10149" spans="1:4" x14ac:dyDescent="0.2">
      <c r="A10149" s="146"/>
      <c r="D10149" s="496"/>
    </row>
    <row r="10150" spans="1:4" x14ac:dyDescent="0.2">
      <c r="A10150" s="146"/>
      <c r="D10150" s="496"/>
    </row>
    <row r="10151" spans="1:4" x14ac:dyDescent="0.2">
      <c r="A10151" s="146"/>
      <c r="D10151" s="496"/>
    </row>
    <row r="10152" spans="1:4" x14ac:dyDescent="0.2">
      <c r="A10152" s="146"/>
      <c r="D10152" s="496"/>
    </row>
    <row r="10153" spans="1:4" x14ac:dyDescent="0.2">
      <c r="A10153" s="146"/>
      <c r="D10153" s="496"/>
    </row>
    <row r="10154" spans="1:4" x14ac:dyDescent="0.2">
      <c r="A10154" s="146"/>
      <c r="D10154" s="496"/>
    </row>
    <row r="10155" spans="1:4" x14ac:dyDescent="0.2">
      <c r="A10155" s="146"/>
      <c r="D10155" s="496"/>
    </row>
    <row r="10156" spans="1:4" x14ac:dyDescent="0.2">
      <c r="A10156" s="146"/>
      <c r="D10156" s="496"/>
    </row>
    <row r="10157" spans="1:4" x14ac:dyDescent="0.2">
      <c r="A10157" s="146"/>
      <c r="D10157" s="496"/>
    </row>
    <row r="10158" spans="1:4" x14ac:dyDescent="0.2">
      <c r="A10158" s="146"/>
      <c r="D10158" s="496"/>
    </row>
    <row r="10159" spans="1:4" x14ac:dyDescent="0.2">
      <c r="A10159" s="146"/>
      <c r="D10159" s="496"/>
    </row>
    <row r="10160" spans="1:4" x14ac:dyDescent="0.2">
      <c r="A10160" s="146"/>
      <c r="D10160" s="496"/>
    </row>
    <row r="10161" spans="1:4" x14ac:dyDescent="0.2">
      <c r="A10161" s="146"/>
      <c r="D10161" s="496"/>
    </row>
    <row r="10162" spans="1:4" x14ac:dyDescent="0.2">
      <c r="A10162" s="146"/>
      <c r="D10162" s="496"/>
    </row>
    <row r="10163" spans="1:4" x14ac:dyDescent="0.2">
      <c r="A10163" s="146"/>
      <c r="D10163" s="496"/>
    </row>
    <row r="10164" spans="1:4" x14ac:dyDescent="0.2">
      <c r="A10164" s="146"/>
      <c r="D10164" s="496"/>
    </row>
    <row r="10165" spans="1:4" x14ac:dyDescent="0.2">
      <c r="A10165" s="146"/>
      <c r="D10165" s="496"/>
    </row>
    <row r="10166" spans="1:4" x14ac:dyDescent="0.2">
      <c r="A10166" s="146"/>
      <c r="D10166" s="496"/>
    </row>
    <row r="10167" spans="1:4" x14ac:dyDescent="0.2">
      <c r="A10167" s="146"/>
      <c r="D10167" s="496"/>
    </row>
    <row r="10168" spans="1:4" x14ac:dyDescent="0.2">
      <c r="A10168" s="146"/>
      <c r="D10168" s="496"/>
    </row>
    <row r="10169" spans="1:4" x14ac:dyDescent="0.2">
      <c r="A10169" s="146"/>
      <c r="D10169" s="496"/>
    </row>
    <row r="10170" spans="1:4" x14ac:dyDescent="0.2">
      <c r="A10170" s="146"/>
      <c r="D10170" s="496"/>
    </row>
    <row r="10171" spans="1:4" x14ac:dyDescent="0.2">
      <c r="A10171" s="146"/>
      <c r="D10171" s="496"/>
    </row>
    <row r="10172" spans="1:4" x14ac:dyDescent="0.2">
      <c r="A10172" s="146"/>
      <c r="D10172" s="496"/>
    </row>
    <row r="10173" spans="1:4" x14ac:dyDescent="0.2">
      <c r="A10173" s="146"/>
      <c r="D10173" s="496"/>
    </row>
    <row r="10174" spans="1:4" x14ac:dyDescent="0.2">
      <c r="A10174" s="146"/>
      <c r="D10174" s="496"/>
    </row>
    <row r="10175" spans="1:4" x14ac:dyDescent="0.2">
      <c r="A10175" s="146"/>
      <c r="D10175" s="496"/>
    </row>
    <row r="10176" spans="1:4" x14ac:dyDescent="0.2">
      <c r="A10176" s="146"/>
      <c r="D10176" s="496"/>
    </row>
    <row r="10177" spans="1:4" x14ac:dyDescent="0.2">
      <c r="A10177" s="146"/>
      <c r="D10177" s="496"/>
    </row>
    <row r="10178" spans="1:4" x14ac:dyDescent="0.2">
      <c r="A10178" s="146"/>
      <c r="D10178" s="496"/>
    </row>
    <row r="10179" spans="1:4" x14ac:dyDescent="0.2">
      <c r="A10179" s="146"/>
      <c r="D10179" s="496"/>
    </row>
    <row r="10180" spans="1:4" x14ac:dyDescent="0.2">
      <c r="A10180" s="146"/>
      <c r="D10180" s="496"/>
    </row>
    <row r="10181" spans="1:4" x14ac:dyDescent="0.2">
      <c r="A10181" s="146"/>
      <c r="D10181" s="496"/>
    </row>
    <row r="10182" spans="1:4" x14ac:dyDescent="0.2">
      <c r="A10182" s="146"/>
      <c r="D10182" s="496"/>
    </row>
    <row r="10183" spans="1:4" x14ac:dyDescent="0.2">
      <c r="A10183" s="146"/>
      <c r="D10183" s="496"/>
    </row>
    <row r="10184" spans="1:4" x14ac:dyDescent="0.2">
      <c r="A10184" s="146"/>
      <c r="D10184" s="496"/>
    </row>
    <row r="10185" spans="1:4" x14ac:dyDescent="0.2">
      <c r="A10185" s="146"/>
      <c r="D10185" s="496"/>
    </row>
    <row r="10186" spans="1:4" x14ac:dyDescent="0.2">
      <c r="A10186" s="146"/>
      <c r="D10186" s="496"/>
    </row>
    <row r="10187" spans="1:4" x14ac:dyDescent="0.2">
      <c r="A10187" s="146"/>
      <c r="D10187" s="496"/>
    </row>
    <row r="10188" spans="1:4" x14ac:dyDescent="0.2">
      <c r="A10188" s="146"/>
      <c r="D10188" s="496"/>
    </row>
    <row r="10189" spans="1:4" x14ac:dyDescent="0.2">
      <c r="A10189" s="146"/>
      <c r="D10189" s="496"/>
    </row>
    <row r="10190" spans="1:4" x14ac:dyDescent="0.2">
      <c r="A10190" s="146"/>
      <c r="D10190" s="496"/>
    </row>
    <row r="10191" spans="1:4" x14ac:dyDescent="0.2">
      <c r="A10191" s="146"/>
      <c r="D10191" s="496"/>
    </row>
    <row r="10192" spans="1:4" x14ac:dyDescent="0.2">
      <c r="A10192" s="146"/>
      <c r="D10192" s="496"/>
    </row>
    <row r="10193" spans="1:4" x14ac:dyDescent="0.2">
      <c r="A10193" s="146"/>
      <c r="D10193" s="496"/>
    </row>
    <row r="10194" spans="1:4" x14ac:dyDescent="0.2">
      <c r="A10194" s="146"/>
      <c r="D10194" s="496"/>
    </row>
    <row r="10195" spans="1:4" x14ac:dyDescent="0.2">
      <c r="A10195" s="146"/>
      <c r="D10195" s="496"/>
    </row>
    <row r="10196" spans="1:4" x14ac:dyDescent="0.2">
      <c r="A10196" s="146"/>
      <c r="D10196" s="496"/>
    </row>
    <row r="10197" spans="1:4" x14ac:dyDescent="0.2">
      <c r="A10197" s="146"/>
      <c r="D10197" s="496"/>
    </row>
    <row r="10198" spans="1:4" x14ac:dyDescent="0.2">
      <c r="A10198" s="146"/>
      <c r="D10198" s="496"/>
    </row>
    <row r="10199" spans="1:4" x14ac:dyDescent="0.2">
      <c r="A10199" s="146"/>
      <c r="D10199" s="496"/>
    </row>
    <row r="10200" spans="1:4" x14ac:dyDescent="0.2">
      <c r="A10200" s="146"/>
      <c r="D10200" s="496"/>
    </row>
    <row r="10201" spans="1:4" x14ac:dyDescent="0.2">
      <c r="A10201" s="146"/>
      <c r="D10201" s="496"/>
    </row>
    <row r="10202" spans="1:4" x14ac:dyDescent="0.2">
      <c r="A10202" s="146"/>
      <c r="D10202" s="496"/>
    </row>
    <row r="10203" spans="1:4" x14ac:dyDescent="0.2">
      <c r="A10203" s="146"/>
      <c r="D10203" s="496"/>
    </row>
    <row r="10204" spans="1:4" x14ac:dyDescent="0.2">
      <c r="A10204" s="146"/>
      <c r="D10204" s="496"/>
    </row>
    <row r="10205" spans="1:4" x14ac:dyDescent="0.2">
      <c r="A10205" s="146"/>
      <c r="D10205" s="496"/>
    </row>
    <row r="10206" spans="1:4" x14ac:dyDescent="0.2">
      <c r="A10206" s="146"/>
      <c r="D10206" s="496"/>
    </row>
    <row r="10207" spans="1:4" x14ac:dyDescent="0.2">
      <c r="A10207" s="146"/>
      <c r="D10207" s="496"/>
    </row>
    <row r="10208" spans="1:4" x14ac:dyDescent="0.2">
      <c r="A10208" s="146"/>
      <c r="D10208" s="496"/>
    </row>
    <row r="10209" spans="1:4" x14ac:dyDescent="0.2">
      <c r="A10209" s="146"/>
      <c r="D10209" s="496"/>
    </row>
    <row r="10210" spans="1:4" x14ac:dyDescent="0.2">
      <c r="A10210" s="146"/>
      <c r="D10210" s="496"/>
    </row>
    <row r="10211" spans="1:4" x14ac:dyDescent="0.2">
      <c r="A10211" s="146"/>
      <c r="D10211" s="496"/>
    </row>
    <row r="10212" spans="1:4" x14ac:dyDescent="0.2">
      <c r="A10212" s="146"/>
      <c r="D10212" s="496"/>
    </row>
    <row r="10213" spans="1:4" x14ac:dyDescent="0.2">
      <c r="A10213" s="146"/>
      <c r="D10213" s="496"/>
    </row>
    <row r="10214" spans="1:4" x14ac:dyDescent="0.2">
      <c r="A10214" s="146"/>
      <c r="D10214" s="496"/>
    </row>
    <row r="10215" spans="1:4" x14ac:dyDescent="0.2">
      <c r="A10215" s="146"/>
      <c r="D10215" s="496"/>
    </row>
    <row r="10216" spans="1:4" x14ac:dyDescent="0.2">
      <c r="A10216" s="146"/>
      <c r="D10216" s="496"/>
    </row>
    <row r="10217" spans="1:4" x14ac:dyDescent="0.2">
      <c r="A10217" s="146"/>
      <c r="D10217" s="496"/>
    </row>
    <row r="10218" spans="1:4" x14ac:dyDescent="0.2">
      <c r="A10218" s="146"/>
      <c r="D10218" s="496"/>
    </row>
    <row r="10219" spans="1:4" x14ac:dyDescent="0.2">
      <c r="A10219" s="146"/>
      <c r="D10219" s="496"/>
    </row>
    <row r="10220" spans="1:4" x14ac:dyDescent="0.2">
      <c r="A10220" s="146"/>
      <c r="D10220" s="496"/>
    </row>
    <row r="10221" spans="1:4" x14ac:dyDescent="0.2">
      <c r="A10221" s="146"/>
      <c r="D10221" s="496"/>
    </row>
    <row r="10222" spans="1:4" x14ac:dyDescent="0.2">
      <c r="A10222" s="146"/>
      <c r="D10222" s="496"/>
    </row>
    <row r="10223" spans="1:4" x14ac:dyDescent="0.2">
      <c r="A10223" s="146"/>
      <c r="D10223" s="496"/>
    </row>
    <row r="10224" spans="1:4" x14ac:dyDescent="0.2">
      <c r="A10224" s="146"/>
      <c r="D10224" s="496"/>
    </row>
    <row r="10225" spans="1:4" x14ac:dyDescent="0.2">
      <c r="A10225" s="146"/>
      <c r="D10225" s="496"/>
    </row>
    <row r="10226" spans="1:4" x14ac:dyDescent="0.2">
      <c r="A10226" s="146"/>
      <c r="D10226" s="496"/>
    </row>
    <row r="10227" spans="1:4" x14ac:dyDescent="0.2">
      <c r="A10227" s="146"/>
      <c r="D10227" s="496"/>
    </row>
    <row r="10228" spans="1:4" x14ac:dyDescent="0.2">
      <c r="A10228" s="146"/>
      <c r="D10228" s="496"/>
    </row>
    <row r="10229" spans="1:4" x14ac:dyDescent="0.2">
      <c r="A10229" s="146"/>
      <c r="D10229" s="496"/>
    </row>
    <row r="10230" spans="1:4" x14ac:dyDescent="0.2">
      <c r="A10230" s="146"/>
      <c r="D10230" s="496"/>
    </row>
    <row r="10231" spans="1:4" x14ac:dyDescent="0.2">
      <c r="A10231" s="146"/>
      <c r="D10231" s="496"/>
    </row>
    <row r="10232" spans="1:4" x14ac:dyDescent="0.2">
      <c r="A10232" s="146"/>
      <c r="D10232" s="496"/>
    </row>
    <row r="10233" spans="1:4" x14ac:dyDescent="0.2">
      <c r="A10233" s="146"/>
      <c r="D10233" s="496"/>
    </row>
    <row r="10234" spans="1:4" x14ac:dyDescent="0.2">
      <c r="A10234" s="146"/>
      <c r="D10234" s="496"/>
    </row>
    <row r="10235" spans="1:4" x14ac:dyDescent="0.2">
      <c r="A10235" s="146"/>
      <c r="D10235" s="496"/>
    </row>
    <row r="10236" spans="1:4" x14ac:dyDescent="0.2">
      <c r="A10236" s="146"/>
      <c r="D10236" s="496"/>
    </row>
    <row r="10237" spans="1:4" x14ac:dyDescent="0.2">
      <c r="A10237" s="146"/>
      <c r="D10237" s="496"/>
    </row>
    <row r="10238" spans="1:4" x14ac:dyDescent="0.2">
      <c r="A10238" s="146"/>
      <c r="D10238" s="496"/>
    </row>
    <row r="10239" spans="1:4" x14ac:dyDescent="0.2">
      <c r="A10239" s="146"/>
      <c r="D10239" s="496"/>
    </row>
    <row r="10240" spans="1:4" x14ac:dyDescent="0.2">
      <c r="A10240" s="146"/>
      <c r="D10240" s="496"/>
    </row>
    <row r="10241" spans="1:4" x14ac:dyDescent="0.2">
      <c r="A10241" s="146"/>
      <c r="D10241" s="496"/>
    </row>
    <row r="10242" spans="1:4" x14ac:dyDescent="0.2">
      <c r="A10242" s="146"/>
      <c r="D10242" s="496"/>
    </row>
    <row r="10243" spans="1:4" x14ac:dyDescent="0.2">
      <c r="A10243" s="146"/>
      <c r="D10243" s="496"/>
    </row>
    <row r="10244" spans="1:4" x14ac:dyDescent="0.2">
      <c r="A10244" s="146"/>
      <c r="D10244" s="496"/>
    </row>
    <row r="10245" spans="1:4" x14ac:dyDescent="0.2">
      <c r="A10245" s="146"/>
      <c r="D10245" s="496"/>
    </row>
    <row r="10246" spans="1:4" x14ac:dyDescent="0.2">
      <c r="A10246" s="146"/>
      <c r="D10246" s="496"/>
    </row>
    <row r="10247" spans="1:4" x14ac:dyDescent="0.2">
      <c r="A10247" s="146"/>
      <c r="D10247" s="496"/>
    </row>
    <row r="10248" spans="1:4" x14ac:dyDescent="0.2">
      <c r="A10248" s="146"/>
      <c r="D10248" s="496"/>
    </row>
    <row r="10249" spans="1:4" x14ac:dyDescent="0.2">
      <c r="A10249" s="146"/>
      <c r="D10249" s="496"/>
    </row>
    <row r="10250" spans="1:4" x14ac:dyDescent="0.2">
      <c r="A10250" s="146"/>
      <c r="D10250" s="496"/>
    </row>
    <row r="10251" spans="1:4" x14ac:dyDescent="0.2">
      <c r="A10251" s="146"/>
      <c r="D10251" s="496"/>
    </row>
    <row r="10252" spans="1:4" x14ac:dyDescent="0.2">
      <c r="A10252" s="146"/>
      <c r="D10252" s="496"/>
    </row>
    <row r="10253" spans="1:4" x14ac:dyDescent="0.2">
      <c r="A10253" s="146"/>
      <c r="D10253" s="496"/>
    </row>
    <row r="10254" spans="1:4" x14ac:dyDescent="0.2">
      <c r="A10254" s="146"/>
      <c r="D10254" s="496"/>
    </row>
    <row r="10255" spans="1:4" x14ac:dyDescent="0.2">
      <c r="A10255" s="146"/>
      <c r="D10255" s="496"/>
    </row>
    <row r="10256" spans="1:4" x14ac:dyDescent="0.2">
      <c r="A10256" s="146"/>
      <c r="D10256" s="496"/>
    </row>
    <row r="10257" spans="1:4" x14ac:dyDescent="0.2">
      <c r="A10257" s="146"/>
      <c r="D10257" s="496"/>
    </row>
    <row r="10258" spans="1:4" x14ac:dyDescent="0.2">
      <c r="A10258" s="146"/>
      <c r="D10258" s="496"/>
    </row>
    <row r="10259" spans="1:4" x14ac:dyDescent="0.2">
      <c r="A10259" s="146"/>
      <c r="D10259" s="496"/>
    </row>
    <row r="10260" spans="1:4" x14ac:dyDescent="0.2">
      <c r="A10260" s="146"/>
      <c r="D10260" s="496"/>
    </row>
    <row r="10261" spans="1:4" x14ac:dyDescent="0.2">
      <c r="A10261" s="146"/>
      <c r="D10261" s="496"/>
    </row>
    <row r="10262" spans="1:4" x14ac:dyDescent="0.2">
      <c r="A10262" s="146"/>
      <c r="D10262" s="496"/>
    </row>
    <row r="10263" spans="1:4" x14ac:dyDescent="0.2">
      <c r="A10263" s="146"/>
      <c r="D10263" s="496"/>
    </row>
    <row r="10264" spans="1:4" x14ac:dyDescent="0.2">
      <c r="A10264" s="146"/>
      <c r="D10264" s="496"/>
    </row>
    <row r="10265" spans="1:4" x14ac:dyDescent="0.2">
      <c r="A10265" s="146"/>
      <c r="D10265" s="496"/>
    </row>
    <row r="10266" spans="1:4" x14ac:dyDescent="0.2">
      <c r="A10266" s="146"/>
      <c r="D10266" s="496"/>
    </row>
    <row r="10267" spans="1:4" x14ac:dyDescent="0.2">
      <c r="A10267" s="146"/>
      <c r="D10267" s="496"/>
    </row>
    <row r="10268" spans="1:4" x14ac:dyDescent="0.2">
      <c r="A10268" s="146"/>
      <c r="D10268" s="496"/>
    </row>
    <row r="10269" spans="1:4" x14ac:dyDescent="0.2">
      <c r="A10269" s="146"/>
      <c r="D10269" s="496"/>
    </row>
    <row r="10270" spans="1:4" x14ac:dyDescent="0.2">
      <c r="A10270" s="146"/>
      <c r="D10270" s="496"/>
    </row>
    <row r="10271" spans="1:4" x14ac:dyDescent="0.2">
      <c r="A10271" s="146"/>
      <c r="D10271" s="496"/>
    </row>
    <row r="10272" spans="1:4" x14ac:dyDescent="0.2">
      <c r="A10272" s="146"/>
      <c r="D10272" s="496"/>
    </row>
    <row r="10273" spans="1:4" x14ac:dyDescent="0.2">
      <c r="A10273" s="146"/>
      <c r="D10273" s="496"/>
    </row>
    <row r="10274" spans="1:4" x14ac:dyDescent="0.2">
      <c r="A10274" s="146"/>
      <c r="D10274" s="496"/>
    </row>
    <row r="10275" spans="1:4" x14ac:dyDescent="0.2">
      <c r="A10275" s="146"/>
      <c r="D10275" s="496"/>
    </row>
    <row r="10276" spans="1:4" x14ac:dyDescent="0.2">
      <c r="A10276" s="146"/>
      <c r="D10276" s="496"/>
    </row>
    <row r="10277" spans="1:4" x14ac:dyDescent="0.2">
      <c r="A10277" s="146"/>
      <c r="D10277" s="496"/>
    </row>
    <row r="10278" spans="1:4" x14ac:dyDescent="0.2">
      <c r="A10278" s="146"/>
      <c r="D10278" s="496"/>
    </row>
    <row r="10279" spans="1:4" x14ac:dyDescent="0.2">
      <c r="A10279" s="146"/>
      <c r="D10279" s="496"/>
    </row>
    <row r="10280" spans="1:4" x14ac:dyDescent="0.2">
      <c r="A10280" s="146"/>
      <c r="D10280" s="496"/>
    </row>
    <row r="10281" spans="1:4" x14ac:dyDescent="0.2">
      <c r="A10281" s="146"/>
      <c r="D10281" s="496"/>
    </row>
    <row r="10282" spans="1:4" x14ac:dyDescent="0.2">
      <c r="A10282" s="146"/>
      <c r="D10282" s="496"/>
    </row>
    <row r="10283" spans="1:4" x14ac:dyDescent="0.2">
      <c r="A10283" s="146"/>
      <c r="D10283" s="496"/>
    </row>
    <row r="10284" spans="1:4" x14ac:dyDescent="0.2">
      <c r="A10284" s="146"/>
      <c r="D10284" s="496"/>
    </row>
    <row r="10285" spans="1:4" x14ac:dyDescent="0.2">
      <c r="A10285" s="146"/>
      <c r="D10285" s="496"/>
    </row>
    <row r="10286" spans="1:4" x14ac:dyDescent="0.2">
      <c r="A10286" s="146"/>
      <c r="D10286" s="496"/>
    </row>
    <row r="10287" spans="1:4" x14ac:dyDescent="0.2">
      <c r="A10287" s="146"/>
      <c r="D10287" s="496"/>
    </row>
    <row r="10288" spans="1:4" x14ac:dyDescent="0.2">
      <c r="A10288" s="146"/>
      <c r="D10288" s="496"/>
    </row>
    <row r="10289" spans="1:4" x14ac:dyDescent="0.2">
      <c r="A10289" s="146"/>
      <c r="D10289" s="496"/>
    </row>
    <row r="10290" spans="1:4" x14ac:dyDescent="0.2">
      <c r="A10290" s="146"/>
      <c r="D10290" s="496"/>
    </row>
    <row r="10291" spans="1:4" x14ac:dyDescent="0.2">
      <c r="A10291" s="146"/>
      <c r="D10291" s="496"/>
    </row>
    <row r="10292" spans="1:4" x14ac:dyDescent="0.2">
      <c r="A10292" s="146"/>
      <c r="D10292" s="496"/>
    </row>
    <row r="10293" spans="1:4" x14ac:dyDescent="0.2">
      <c r="A10293" s="146"/>
      <c r="D10293" s="496"/>
    </row>
    <row r="10294" spans="1:4" x14ac:dyDescent="0.2">
      <c r="A10294" s="146"/>
      <c r="D10294" s="496"/>
    </row>
    <row r="10295" spans="1:4" x14ac:dyDescent="0.2">
      <c r="A10295" s="146"/>
      <c r="D10295" s="496"/>
    </row>
    <row r="10296" spans="1:4" x14ac:dyDescent="0.2">
      <c r="A10296" s="146"/>
      <c r="D10296" s="496"/>
    </row>
    <row r="10297" spans="1:4" x14ac:dyDescent="0.2">
      <c r="A10297" s="146"/>
      <c r="D10297" s="496"/>
    </row>
    <row r="10298" spans="1:4" x14ac:dyDescent="0.2">
      <c r="A10298" s="146"/>
      <c r="D10298" s="496"/>
    </row>
    <row r="10299" spans="1:4" x14ac:dyDescent="0.2">
      <c r="A10299" s="146"/>
      <c r="D10299" s="496"/>
    </row>
    <row r="10300" spans="1:4" x14ac:dyDescent="0.2">
      <c r="A10300" s="146"/>
      <c r="D10300" s="496"/>
    </row>
    <row r="10301" spans="1:4" x14ac:dyDescent="0.2">
      <c r="A10301" s="146"/>
      <c r="D10301" s="496"/>
    </row>
    <row r="10302" spans="1:4" x14ac:dyDescent="0.2">
      <c r="A10302" s="146"/>
      <c r="D10302" s="496"/>
    </row>
    <row r="10303" spans="1:4" x14ac:dyDescent="0.2">
      <c r="A10303" s="146"/>
      <c r="D10303" s="496"/>
    </row>
    <row r="10304" spans="1:4" x14ac:dyDescent="0.2">
      <c r="A10304" s="146"/>
      <c r="D10304" s="496"/>
    </row>
    <row r="10305" spans="1:4" x14ac:dyDescent="0.2">
      <c r="A10305" s="146"/>
      <c r="D10305" s="496"/>
    </row>
    <row r="10306" spans="1:4" x14ac:dyDescent="0.2">
      <c r="A10306" s="146"/>
      <c r="D10306" s="496"/>
    </row>
    <row r="10307" spans="1:4" x14ac:dyDescent="0.2">
      <c r="A10307" s="146"/>
      <c r="D10307" s="496"/>
    </row>
    <row r="10308" spans="1:4" x14ac:dyDescent="0.2">
      <c r="A10308" s="146"/>
      <c r="D10308" s="496"/>
    </row>
    <row r="10309" spans="1:4" x14ac:dyDescent="0.2">
      <c r="A10309" s="146"/>
      <c r="D10309" s="496"/>
    </row>
    <row r="10310" spans="1:4" x14ac:dyDescent="0.2">
      <c r="A10310" s="146"/>
      <c r="D10310" s="496"/>
    </row>
    <row r="10311" spans="1:4" x14ac:dyDescent="0.2">
      <c r="A10311" s="146"/>
      <c r="D10311" s="496"/>
    </row>
    <row r="10312" spans="1:4" x14ac:dyDescent="0.2">
      <c r="A10312" s="146"/>
      <c r="D10312" s="496"/>
    </row>
    <row r="10313" spans="1:4" x14ac:dyDescent="0.2">
      <c r="A10313" s="146"/>
      <c r="D10313" s="496"/>
    </row>
    <row r="10314" spans="1:4" x14ac:dyDescent="0.2">
      <c r="A10314" s="146"/>
      <c r="D10314" s="496"/>
    </row>
    <row r="10315" spans="1:4" x14ac:dyDescent="0.2">
      <c r="A10315" s="146"/>
      <c r="D10315" s="496"/>
    </row>
    <row r="10316" spans="1:4" x14ac:dyDescent="0.2">
      <c r="A10316" s="146"/>
      <c r="D10316" s="496"/>
    </row>
    <row r="10317" spans="1:4" x14ac:dyDescent="0.2">
      <c r="A10317" s="146"/>
      <c r="D10317" s="496"/>
    </row>
    <row r="10318" spans="1:4" x14ac:dyDescent="0.2">
      <c r="A10318" s="146"/>
      <c r="D10318" s="496"/>
    </row>
    <row r="10319" spans="1:4" x14ac:dyDescent="0.2">
      <c r="A10319" s="146"/>
      <c r="D10319" s="496"/>
    </row>
    <row r="10320" spans="1:4" x14ac:dyDescent="0.2">
      <c r="A10320" s="146"/>
      <c r="D10320" s="496"/>
    </row>
    <row r="10321" spans="1:4" x14ac:dyDescent="0.2">
      <c r="A10321" s="146"/>
      <c r="D10321" s="496"/>
    </row>
    <row r="10322" spans="1:4" x14ac:dyDescent="0.2">
      <c r="A10322" s="146"/>
      <c r="D10322" s="496"/>
    </row>
    <row r="10323" spans="1:4" x14ac:dyDescent="0.2">
      <c r="A10323" s="146"/>
      <c r="D10323" s="496"/>
    </row>
    <row r="10324" spans="1:4" x14ac:dyDescent="0.2">
      <c r="A10324" s="146"/>
      <c r="D10324" s="496"/>
    </row>
    <row r="10325" spans="1:4" x14ac:dyDescent="0.2">
      <c r="A10325" s="146"/>
      <c r="D10325" s="496"/>
    </row>
    <row r="10326" spans="1:4" x14ac:dyDescent="0.2">
      <c r="A10326" s="146"/>
      <c r="D10326" s="496"/>
    </row>
    <row r="10327" spans="1:4" x14ac:dyDescent="0.2">
      <c r="A10327" s="146"/>
      <c r="D10327" s="496"/>
    </row>
    <row r="10328" spans="1:4" x14ac:dyDescent="0.2">
      <c r="A10328" s="146"/>
      <c r="D10328" s="496"/>
    </row>
    <row r="10329" spans="1:4" x14ac:dyDescent="0.2">
      <c r="A10329" s="146"/>
      <c r="D10329" s="496"/>
    </row>
    <row r="10330" spans="1:4" x14ac:dyDescent="0.2">
      <c r="A10330" s="146"/>
      <c r="D10330" s="496"/>
    </row>
    <row r="10331" spans="1:4" x14ac:dyDescent="0.2">
      <c r="A10331" s="146"/>
      <c r="D10331" s="496"/>
    </row>
    <row r="10332" spans="1:4" x14ac:dyDescent="0.2">
      <c r="A10332" s="146"/>
      <c r="D10332" s="496"/>
    </row>
    <row r="10333" spans="1:4" x14ac:dyDescent="0.2">
      <c r="A10333" s="146"/>
      <c r="D10333" s="496"/>
    </row>
    <row r="10334" spans="1:4" x14ac:dyDescent="0.2">
      <c r="A10334" s="146"/>
      <c r="D10334" s="496"/>
    </row>
    <row r="10335" spans="1:4" x14ac:dyDescent="0.2">
      <c r="A10335" s="146"/>
      <c r="D10335" s="496"/>
    </row>
    <row r="10336" spans="1:4" x14ac:dyDescent="0.2">
      <c r="A10336" s="146"/>
      <c r="D10336" s="496"/>
    </row>
    <row r="10337" spans="1:4" x14ac:dyDescent="0.2">
      <c r="A10337" s="146"/>
      <c r="D10337" s="496"/>
    </row>
    <row r="10338" spans="1:4" x14ac:dyDescent="0.2">
      <c r="A10338" s="146"/>
      <c r="D10338" s="496"/>
    </row>
    <row r="10339" spans="1:4" x14ac:dyDescent="0.2">
      <c r="A10339" s="146"/>
      <c r="D10339" s="496"/>
    </row>
    <row r="10340" spans="1:4" x14ac:dyDescent="0.2">
      <c r="A10340" s="146"/>
      <c r="D10340" s="496"/>
    </row>
    <row r="10341" spans="1:4" x14ac:dyDescent="0.2">
      <c r="A10341" s="146"/>
      <c r="D10341" s="496"/>
    </row>
    <row r="10342" spans="1:4" x14ac:dyDescent="0.2">
      <c r="A10342" s="146"/>
      <c r="D10342" s="496"/>
    </row>
    <row r="10343" spans="1:4" x14ac:dyDescent="0.2">
      <c r="A10343" s="146"/>
      <c r="D10343" s="496"/>
    </row>
    <row r="10344" spans="1:4" x14ac:dyDescent="0.2">
      <c r="A10344" s="146"/>
      <c r="D10344" s="496"/>
    </row>
    <row r="10345" spans="1:4" x14ac:dyDescent="0.2">
      <c r="A10345" s="146"/>
      <c r="D10345" s="496"/>
    </row>
    <row r="10346" spans="1:4" x14ac:dyDescent="0.2">
      <c r="A10346" s="146"/>
      <c r="D10346" s="496"/>
    </row>
    <row r="10347" spans="1:4" x14ac:dyDescent="0.2">
      <c r="A10347" s="146"/>
      <c r="D10347" s="496"/>
    </row>
    <row r="10348" spans="1:4" x14ac:dyDescent="0.2">
      <c r="A10348" s="146"/>
      <c r="D10348" s="496"/>
    </row>
    <row r="10349" spans="1:4" x14ac:dyDescent="0.2">
      <c r="A10349" s="146"/>
      <c r="D10349" s="496"/>
    </row>
    <row r="10350" spans="1:4" x14ac:dyDescent="0.2">
      <c r="A10350" s="146"/>
      <c r="D10350" s="496"/>
    </row>
    <row r="10351" spans="1:4" x14ac:dyDescent="0.2">
      <c r="A10351" s="146"/>
      <c r="D10351" s="496"/>
    </row>
    <row r="10352" spans="1:4" x14ac:dyDescent="0.2">
      <c r="A10352" s="146"/>
      <c r="D10352" s="496"/>
    </row>
    <row r="10353" spans="1:4" x14ac:dyDescent="0.2">
      <c r="A10353" s="146"/>
      <c r="D10353" s="496"/>
    </row>
    <row r="10354" spans="1:4" x14ac:dyDescent="0.2">
      <c r="A10354" s="146"/>
      <c r="D10354" s="496"/>
    </row>
    <row r="10355" spans="1:4" x14ac:dyDescent="0.2">
      <c r="A10355" s="146"/>
      <c r="D10355" s="496"/>
    </row>
    <row r="10356" spans="1:4" x14ac:dyDescent="0.2">
      <c r="A10356" s="146"/>
      <c r="D10356" s="496"/>
    </row>
    <row r="10357" spans="1:4" x14ac:dyDescent="0.2">
      <c r="A10357" s="146"/>
      <c r="D10357" s="496"/>
    </row>
    <row r="10358" spans="1:4" x14ac:dyDescent="0.2">
      <c r="A10358" s="146"/>
      <c r="D10358" s="496"/>
    </row>
    <row r="10359" spans="1:4" x14ac:dyDescent="0.2">
      <c r="A10359" s="146"/>
      <c r="D10359" s="496"/>
    </row>
    <row r="10360" spans="1:4" x14ac:dyDescent="0.2">
      <c r="A10360" s="146"/>
      <c r="D10360" s="496"/>
    </row>
    <row r="10361" spans="1:4" x14ac:dyDescent="0.2">
      <c r="A10361" s="146"/>
      <c r="D10361" s="496"/>
    </row>
    <row r="10362" spans="1:4" x14ac:dyDescent="0.2">
      <c r="A10362" s="146"/>
      <c r="D10362" s="496"/>
    </row>
    <row r="10363" spans="1:4" x14ac:dyDescent="0.2">
      <c r="A10363" s="146"/>
      <c r="D10363" s="496"/>
    </row>
    <row r="10364" spans="1:4" x14ac:dyDescent="0.2">
      <c r="A10364" s="146"/>
      <c r="D10364" s="496"/>
    </row>
    <row r="10365" spans="1:4" x14ac:dyDescent="0.2">
      <c r="A10365" s="146"/>
      <c r="D10365" s="496"/>
    </row>
    <row r="10366" spans="1:4" x14ac:dyDescent="0.2">
      <c r="A10366" s="146"/>
      <c r="D10366" s="496"/>
    </row>
    <row r="10367" spans="1:4" x14ac:dyDescent="0.2">
      <c r="A10367" s="146"/>
      <c r="D10367" s="496"/>
    </row>
    <row r="10368" spans="1:4" x14ac:dyDescent="0.2">
      <c r="A10368" s="146"/>
      <c r="D10368" s="496"/>
    </row>
    <row r="10369" spans="1:4" x14ac:dyDescent="0.2">
      <c r="A10369" s="146"/>
      <c r="D10369" s="496"/>
    </row>
    <row r="10370" spans="1:4" x14ac:dyDescent="0.2">
      <c r="A10370" s="146"/>
      <c r="D10370" s="496"/>
    </row>
    <row r="10371" spans="1:4" x14ac:dyDescent="0.2">
      <c r="A10371" s="146"/>
      <c r="D10371" s="496"/>
    </row>
    <row r="10372" spans="1:4" x14ac:dyDescent="0.2">
      <c r="A10372" s="146"/>
      <c r="D10372" s="496"/>
    </row>
    <row r="10373" spans="1:4" x14ac:dyDescent="0.2">
      <c r="A10373" s="146"/>
      <c r="D10373" s="496"/>
    </row>
    <row r="10374" spans="1:4" x14ac:dyDescent="0.2">
      <c r="A10374" s="146"/>
      <c r="D10374" s="496"/>
    </row>
    <row r="10375" spans="1:4" x14ac:dyDescent="0.2">
      <c r="A10375" s="146"/>
      <c r="D10375" s="496"/>
    </row>
    <row r="10376" spans="1:4" x14ac:dyDescent="0.2">
      <c r="A10376" s="146"/>
      <c r="D10376" s="496"/>
    </row>
    <row r="10377" spans="1:4" x14ac:dyDescent="0.2">
      <c r="A10377" s="146"/>
      <c r="D10377" s="496"/>
    </row>
    <row r="10378" spans="1:4" x14ac:dyDescent="0.2">
      <c r="A10378" s="146"/>
      <c r="D10378" s="496"/>
    </row>
    <row r="10379" spans="1:4" x14ac:dyDescent="0.2">
      <c r="A10379" s="146"/>
      <c r="D10379" s="496"/>
    </row>
    <row r="10380" spans="1:4" x14ac:dyDescent="0.2">
      <c r="A10380" s="146"/>
      <c r="D10380" s="496"/>
    </row>
    <row r="10381" spans="1:4" x14ac:dyDescent="0.2">
      <c r="A10381" s="146"/>
      <c r="D10381" s="496"/>
    </row>
    <row r="10382" spans="1:4" x14ac:dyDescent="0.2">
      <c r="A10382" s="146"/>
      <c r="D10382" s="496"/>
    </row>
    <row r="10383" spans="1:4" x14ac:dyDescent="0.2">
      <c r="A10383" s="146"/>
      <c r="D10383" s="496"/>
    </row>
    <row r="10384" spans="1:4" x14ac:dyDescent="0.2">
      <c r="A10384" s="146"/>
      <c r="D10384" s="496"/>
    </row>
    <row r="10385" spans="1:4" x14ac:dyDescent="0.2">
      <c r="A10385" s="146"/>
      <c r="D10385" s="496"/>
    </row>
    <row r="10386" spans="1:4" x14ac:dyDescent="0.2">
      <c r="A10386" s="146"/>
      <c r="D10386" s="496"/>
    </row>
    <row r="10387" spans="1:4" x14ac:dyDescent="0.2">
      <c r="A10387" s="146"/>
      <c r="D10387" s="496"/>
    </row>
    <row r="10388" spans="1:4" x14ac:dyDescent="0.2">
      <c r="A10388" s="146"/>
      <c r="D10388" s="496"/>
    </row>
    <row r="10389" spans="1:4" x14ac:dyDescent="0.2">
      <c r="A10389" s="146"/>
      <c r="D10389" s="496"/>
    </row>
    <row r="10390" spans="1:4" x14ac:dyDescent="0.2">
      <c r="A10390" s="146"/>
      <c r="D10390" s="496"/>
    </row>
    <row r="10391" spans="1:4" x14ac:dyDescent="0.2">
      <c r="A10391" s="146"/>
      <c r="D10391" s="496"/>
    </row>
    <row r="10392" spans="1:4" x14ac:dyDescent="0.2">
      <c r="A10392" s="146"/>
      <c r="D10392" s="496"/>
    </row>
    <row r="10393" spans="1:4" x14ac:dyDescent="0.2">
      <c r="A10393" s="146"/>
      <c r="D10393" s="496"/>
    </row>
    <row r="10394" spans="1:4" x14ac:dyDescent="0.2">
      <c r="A10394" s="146"/>
      <c r="D10394" s="496"/>
    </row>
    <row r="10395" spans="1:4" x14ac:dyDescent="0.2">
      <c r="A10395" s="146"/>
      <c r="D10395" s="496"/>
    </row>
    <row r="10396" spans="1:4" x14ac:dyDescent="0.2">
      <c r="A10396" s="146"/>
      <c r="D10396" s="496"/>
    </row>
    <row r="10397" spans="1:4" x14ac:dyDescent="0.2">
      <c r="A10397" s="146"/>
      <c r="D10397" s="496"/>
    </row>
    <row r="10398" spans="1:4" x14ac:dyDescent="0.2">
      <c r="A10398" s="146"/>
      <c r="D10398" s="496"/>
    </row>
    <row r="10399" spans="1:4" x14ac:dyDescent="0.2">
      <c r="A10399" s="146"/>
      <c r="D10399" s="496"/>
    </row>
    <row r="10400" spans="1:4" x14ac:dyDescent="0.2">
      <c r="A10400" s="146"/>
      <c r="D10400" s="496"/>
    </row>
    <row r="10401" spans="1:4" x14ac:dyDescent="0.2">
      <c r="A10401" s="146"/>
      <c r="D10401" s="496"/>
    </row>
    <row r="10402" spans="1:4" x14ac:dyDescent="0.2">
      <c r="A10402" s="146"/>
      <c r="D10402" s="496"/>
    </row>
    <row r="10403" spans="1:4" x14ac:dyDescent="0.2">
      <c r="A10403" s="146"/>
      <c r="D10403" s="496"/>
    </row>
    <row r="10404" spans="1:4" x14ac:dyDescent="0.2">
      <c r="A10404" s="146"/>
      <c r="D10404" s="496"/>
    </row>
    <row r="10405" spans="1:4" x14ac:dyDescent="0.2">
      <c r="A10405" s="146"/>
      <c r="D10405" s="496"/>
    </row>
    <row r="10406" spans="1:4" x14ac:dyDescent="0.2">
      <c r="A10406" s="146"/>
      <c r="D10406" s="496"/>
    </row>
    <row r="10407" spans="1:4" x14ac:dyDescent="0.2">
      <c r="A10407" s="146"/>
      <c r="D10407" s="496"/>
    </row>
    <row r="10408" spans="1:4" x14ac:dyDescent="0.2">
      <c r="A10408" s="146"/>
      <c r="D10408" s="496"/>
    </row>
    <row r="10409" spans="1:4" x14ac:dyDescent="0.2">
      <c r="A10409" s="146"/>
      <c r="D10409" s="496"/>
    </row>
    <row r="10410" spans="1:4" x14ac:dyDescent="0.2">
      <c r="A10410" s="146"/>
      <c r="D10410" s="496"/>
    </row>
    <row r="10411" spans="1:4" x14ac:dyDescent="0.2">
      <c r="A10411" s="146"/>
      <c r="D10411" s="496"/>
    </row>
    <row r="10412" spans="1:4" x14ac:dyDescent="0.2">
      <c r="A10412" s="146"/>
      <c r="D10412" s="496"/>
    </row>
    <row r="10413" spans="1:4" x14ac:dyDescent="0.2">
      <c r="A10413" s="146"/>
      <c r="D10413" s="496"/>
    </row>
    <row r="10414" spans="1:4" x14ac:dyDescent="0.2">
      <c r="A10414" s="146"/>
      <c r="D10414" s="496"/>
    </row>
    <row r="10415" spans="1:4" x14ac:dyDescent="0.2">
      <c r="A10415" s="146"/>
      <c r="D10415" s="496"/>
    </row>
    <row r="10416" spans="1:4" x14ac:dyDescent="0.2">
      <c r="A10416" s="146"/>
      <c r="D10416" s="496"/>
    </row>
    <row r="10417" spans="1:4" x14ac:dyDescent="0.2">
      <c r="A10417" s="146"/>
      <c r="D10417" s="496"/>
    </row>
    <row r="10418" spans="1:4" x14ac:dyDescent="0.2">
      <c r="A10418" s="146"/>
      <c r="D10418" s="496"/>
    </row>
    <row r="10419" spans="1:4" x14ac:dyDescent="0.2">
      <c r="A10419" s="146"/>
      <c r="D10419" s="496"/>
    </row>
    <row r="10420" spans="1:4" x14ac:dyDescent="0.2">
      <c r="A10420" s="146"/>
      <c r="D10420" s="496"/>
    </row>
    <row r="10421" spans="1:4" x14ac:dyDescent="0.2">
      <c r="A10421" s="146"/>
      <c r="D10421" s="496"/>
    </row>
    <row r="10422" spans="1:4" x14ac:dyDescent="0.2">
      <c r="A10422" s="146"/>
      <c r="D10422" s="496"/>
    </row>
    <row r="10423" spans="1:4" x14ac:dyDescent="0.2">
      <c r="A10423" s="146"/>
      <c r="D10423" s="496"/>
    </row>
    <row r="10424" spans="1:4" x14ac:dyDescent="0.2">
      <c r="A10424" s="146"/>
      <c r="D10424" s="496"/>
    </row>
    <row r="10425" spans="1:4" x14ac:dyDescent="0.2">
      <c r="A10425" s="146"/>
      <c r="D10425" s="496"/>
    </row>
    <row r="10426" spans="1:4" x14ac:dyDescent="0.2">
      <c r="A10426" s="146"/>
      <c r="D10426" s="496"/>
    </row>
    <row r="10427" spans="1:4" x14ac:dyDescent="0.2">
      <c r="A10427" s="146"/>
      <c r="D10427" s="496"/>
    </row>
    <row r="10428" spans="1:4" x14ac:dyDescent="0.2">
      <c r="A10428" s="146"/>
      <c r="D10428" s="496"/>
    </row>
    <row r="10429" spans="1:4" x14ac:dyDescent="0.2">
      <c r="A10429" s="146"/>
      <c r="D10429" s="496"/>
    </row>
    <row r="10430" spans="1:4" x14ac:dyDescent="0.2">
      <c r="A10430" s="146"/>
      <c r="D10430" s="496"/>
    </row>
    <row r="10431" spans="1:4" x14ac:dyDescent="0.2">
      <c r="A10431" s="146"/>
      <c r="D10431" s="496"/>
    </row>
    <row r="10432" spans="1:4" x14ac:dyDescent="0.2">
      <c r="A10432" s="146"/>
      <c r="D10432" s="496"/>
    </row>
    <row r="10433" spans="1:4" x14ac:dyDescent="0.2">
      <c r="A10433" s="146"/>
      <c r="D10433" s="496"/>
    </row>
    <row r="10434" spans="1:4" x14ac:dyDescent="0.2">
      <c r="A10434" s="146"/>
      <c r="D10434" s="496"/>
    </row>
    <row r="10435" spans="1:4" x14ac:dyDescent="0.2">
      <c r="A10435" s="146"/>
      <c r="D10435" s="496"/>
    </row>
    <row r="10436" spans="1:4" x14ac:dyDescent="0.2">
      <c r="A10436" s="146"/>
      <c r="D10436" s="496"/>
    </row>
    <row r="10437" spans="1:4" x14ac:dyDescent="0.2">
      <c r="A10437" s="146"/>
      <c r="D10437" s="496"/>
    </row>
    <row r="10438" spans="1:4" x14ac:dyDescent="0.2">
      <c r="A10438" s="146"/>
      <c r="D10438" s="496"/>
    </row>
    <row r="10439" spans="1:4" x14ac:dyDescent="0.2">
      <c r="A10439" s="146"/>
      <c r="D10439" s="496"/>
    </row>
    <row r="10440" spans="1:4" x14ac:dyDescent="0.2">
      <c r="A10440" s="146"/>
      <c r="D10440" s="496"/>
    </row>
    <row r="10441" spans="1:4" x14ac:dyDescent="0.2">
      <c r="A10441" s="146"/>
      <c r="D10441" s="496"/>
    </row>
    <row r="10442" spans="1:4" x14ac:dyDescent="0.2">
      <c r="A10442" s="146"/>
      <c r="D10442" s="496"/>
    </row>
    <row r="10443" spans="1:4" x14ac:dyDescent="0.2">
      <c r="A10443" s="146"/>
      <c r="D10443" s="496"/>
    </row>
    <row r="10444" spans="1:4" x14ac:dyDescent="0.2">
      <c r="A10444" s="146"/>
      <c r="D10444" s="496"/>
    </row>
    <row r="10445" spans="1:4" x14ac:dyDescent="0.2">
      <c r="A10445" s="146"/>
      <c r="D10445" s="496"/>
    </row>
    <row r="10446" spans="1:4" x14ac:dyDescent="0.2">
      <c r="A10446" s="146"/>
      <c r="D10446" s="496"/>
    </row>
    <row r="10447" spans="1:4" x14ac:dyDescent="0.2">
      <c r="A10447" s="146"/>
      <c r="D10447" s="496"/>
    </row>
    <row r="10448" spans="1:4" x14ac:dyDescent="0.2">
      <c r="A10448" s="146"/>
      <c r="D10448" s="496"/>
    </row>
    <row r="10449" spans="1:4" x14ac:dyDescent="0.2">
      <c r="A10449" s="146"/>
      <c r="D10449" s="496"/>
    </row>
    <row r="10450" spans="1:4" x14ac:dyDescent="0.2">
      <c r="A10450" s="146"/>
      <c r="D10450" s="496"/>
    </row>
    <row r="10451" spans="1:4" x14ac:dyDescent="0.2">
      <c r="A10451" s="146"/>
      <c r="D10451" s="496"/>
    </row>
    <row r="10452" spans="1:4" x14ac:dyDescent="0.2">
      <c r="A10452" s="146"/>
      <c r="D10452" s="496"/>
    </row>
    <row r="10453" spans="1:4" x14ac:dyDescent="0.2">
      <c r="A10453" s="146"/>
      <c r="D10453" s="496"/>
    </row>
    <row r="10454" spans="1:4" x14ac:dyDescent="0.2">
      <c r="A10454" s="146"/>
      <c r="D10454" s="496"/>
    </row>
    <row r="10455" spans="1:4" x14ac:dyDescent="0.2">
      <c r="A10455" s="146"/>
      <c r="D10455" s="496"/>
    </row>
    <row r="10456" spans="1:4" x14ac:dyDescent="0.2">
      <c r="A10456" s="146"/>
      <c r="D10456" s="496"/>
    </row>
    <row r="10457" spans="1:4" x14ac:dyDescent="0.2">
      <c r="A10457" s="146"/>
      <c r="D10457" s="496"/>
    </row>
    <row r="10458" spans="1:4" x14ac:dyDescent="0.2">
      <c r="A10458" s="146"/>
      <c r="D10458" s="496"/>
    </row>
    <row r="10459" spans="1:4" x14ac:dyDescent="0.2">
      <c r="A10459" s="146"/>
      <c r="D10459" s="496"/>
    </row>
    <row r="10460" spans="1:4" x14ac:dyDescent="0.2">
      <c r="A10460" s="146"/>
      <c r="D10460" s="496"/>
    </row>
    <row r="10461" spans="1:4" x14ac:dyDescent="0.2">
      <c r="A10461" s="146"/>
      <c r="D10461" s="496"/>
    </row>
    <row r="10462" spans="1:4" x14ac:dyDescent="0.2">
      <c r="A10462" s="146"/>
      <c r="D10462" s="496"/>
    </row>
    <row r="10463" spans="1:4" x14ac:dyDescent="0.2">
      <c r="A10463" s="146"/>
      <c r="D10463" s="496"/>
    </row>
    <row r="10464" spans="1:4" x14ac:dyDescent="0.2">
      <c r="A10464" s="146"/>
      <c r="D10464" s="496"/>
    </row>
    <row r="10465" spans="1:4" x14ac:dyDescent="0.2">
      <c r="A10465" s="146"/>
      <c r="D10465" s="496"/>
    </row>
    <row r="10466" spans="1:4" x14ac:dyDescent="0.2">
      <c r="A10466" s="146"/>
      <c r="D10466" s="496"/>
    </row>
    <row r="10467" spans="1:4" x14ac:dyDescent="0.2">
      <c r="A10467" s="146"/>
      <c r="D10467" s="496"/>
    </row>
    <row r="10468" spans="1:4" x14ac:dyDescent="0.2">
      <c r="A10468" s="146"/>
      <c r="D10468" s="496"/>
    </row>
    <row r="10469" spans="1:4" x14ac:dyDescent="0.2">
      <c r="A10469" s="146"/>
      <c r="D10469" s="496"/>
    </row>
    <row r="10470" spans="1:4" x14ac:dyDescent="0.2">
      <c r="A10470" s="146"/>
      <c r="D10470" s="496"/>
    </row>
    <row r="10471" spans="1:4" x14ac:dyDescent="0.2">
      <c r="A10471" s="146"/>
      <c r="D10471" s="496"/>
    </row>
    <row r="10472" spans="1:4" x14ac:dyDescent="0.2">
      <c r="A10472" s="146"/>
      <c r="D10472" s="496"/>
    </row>
    <row r="10473" spans="1:4" x14ac:dyDescent="0.2">
      <c r="A10473" s="146"/>
      <c r="D10473" s="496"/>
    </row>
    <row r="10474" spans="1:4" x14ac:dyDescent="0.2">
      <c r="A10474" s="146"/>
      <c r="D10474" s="496"/>
    </row>
    <row r="10475" spans="1:4" x14ac:dyDescent="0.2">
      <c r="A10475" s="146"/>
      <c r="D10475" s="496"/>
    </row>
    <row r="10476" spans="1:4" x14ac:dyDescent="0.2">
      <c r="A10476" s="146"/>
      <c r="D10476" s="496"/>
    </row>
    <row r="10477" spans="1:4" x14ac:dyDescent="0.2">
      <c r="A10477" s="146"/>
      <c r="D10477" s="496"/>
    </row>
    <row r="10478" spans="1:4" x14ac:dyDescent="0.2">
      <c r="A10478" s="146"/>
      <c r="D10478" s="496"/>
    </row>
    <row r="10479" spans="1:4" x14ac:dyDescent="0.2">
      <c r="A10479" s="146"/>
      <c r="D10479" s="496"/>
    </row>
    <row r="10480" spans="1:4" x14ac:dyDescent="0.2">
      <c r="A10480" s="146"/>
      <c r="D10480" s="496"/>
    </row>
    <row r="10481" spans="1:4" x14ac:dyDescent="0.2">
      <c r="A10481" s="146"/>
      <c r="D10481" s="496"/>
    </row>
    <row r="10482" spans="1:4" x14ac:dyDescent="0.2">
      <c r="A10482" s="146"/>
      <c r="D10482" s="496"/>
    </row>
    <row r="10483" spans="1:4" x14ac:dyDescent="0.2">
      <c r="A10483" s="146"/>
      <c r="D10483" s="496"/>
    </row>
    <row r="10484" spans="1:4" x14ac:dyDescent="0.2">
      <c r="A10484" s="146"/>
      <c r="D10484" s="496"/>
    </row>
    <row r="10485" spans="1:4" x14ac:dyDescent="0.2">
      <c r="A10485" s="146"/>
      <c r="D10485" s="496"/>
    </row>
    <row r="10486" spans="1:4" x14ac:dyDescent="0.2">
      <c r="A10486" s="146"/>
      <c r="D10486" s="496"/>
    </row>
    <row r="10487" spans="1:4" x14ac:dyDescent="0.2">
      <c r="A10487" s="146"/>
      <c r="D10487" s="496"/>
    </row>
    <row r="10488" spans="1:4" x14ac:dyDescent="0.2">
      <c r="A10488" s="146"/>
      <c r="D10488" s="496"/>
    </row>
    <row r="10489" spans="1:4" x14ac:dyDescent="0.2">
      <c r="A10489" s="146"/>
      <c r="D10489" s="496"/>
    </row>
    <row r="10490" spans="1:4" x14ac:dyDescent="0.2">
      <c r="A10490" s="146"/>
      <c r="D10490" s="496"/>
    </row>
    <row r="10491" spans="1:4" x14ac:dyDescent="0.2">
      <c r="A10491" s="146"/>
      <c r="D10491" s="496"/>
    </row>
    <row r="10492" spans="1:4" x14ac:dyDescent="0.2">
      <c r="A10492" s="146"/>
      <c r="D10492" s="496"/>
    </row>
    <row r="10493" spans="1:4" x14ac:dyDescent="0.2">
      <c r="A10493" s="146"/>
      <c r="D10493" s="496"/>
    </row>
    <row r="10494" spans="1:4" x14ac:dyDescent="0.2">
      <c r="A10494" s="146"/>
      <c r="D10494" s="496"/>
    </row>
    <row r="10495" spans="1:4" x14ac:dyDescent="0.2">
      <c r="A10495" s="146"/>
      <c r="D10495" s="496"/>
    </row>
    <row r="10496" spans="1:4" x14ac:dyDescent="0.2">
      <c r="A10496" s="146"/>
      <c r="D10496" s="496"/>
    </row>
    <row r="10497" spans="1:4" x14ac:dyDescent="0.2">
      <c r="A10497" s="146"/>
      <c r="D10497" s="496"/>
    </row>
    <row r="10498" spans="1:4" x14ac:dyDescent="0.2">
      <c r="A10498" s="146"/>
      <c r="D10498" s="496"/>
    </row>
    <row r="10499" spans="1:4" x14ac:dyDescent="0.2">
      <c r="A10499" s="146"/>
      <c r="D10499" s="496"/>
    </row>
    <row r="10500" spans="1:4" x14ac:dyDescent="0.2">
      <c r="A10500" s="146"/>
      <c r="D10500" s="496"/>
    </row>
    <row r="10501" spans="1:4" x14ac:dyDescent="0.2">
      <c r="A10501" s="146"/>
      <c r="D10501" s="496"/>
    </row>
    <row r="10502" spans="1:4" x14ac:dyDescent="0.2">
      <c r="A10502" s="146"/>
      <c r="D10502" s="496"/>
    </row>
    <row r="10503" spans="1:4" x14ac:dyDescent="0.2">
      <c r="A10503" s="146"/>
      <c r="D10503" s="496"/>
    </row>
    <row r="10504" spans="1:4" x14ac:dyDescent="0.2">
      <c r="A10504" s="146"/>
      <c r="D10504" s="496"/>
    </row>
    <row r="10505" spans="1:4" x14ac:dyDescent="0.2">
      <c r="A10505" s="146"/>
      <c r="D10505" s="496"/>
    </row>
    <row r="10506" spans="1:4" x14ac:dyDescent="0.2">
      <c r="A10506" s="146"/>
      <c r="D10506" s="496"/>
    </row>
    <row r="10507" spans="1:4" x14ac:dyDescent="0.2">
      <c r="A10507" s="146"/>
      <c r="D10507" s="496"/>
    </row>
    <row r="10508" spans="1:4" x14ac:dyDescent="0.2">
      <c r="A10508" s="146"/>
      <c r="D10508" s="496"/>
    </row>
    <row r="10509" spans="1:4" x14ac:dyDescent="0.2">
      <c r="A10509" s="146"/>
      <c r="D10509" s="496"/>
    </row>
    <row r="10510" spans="1:4" x14ac:dyDescent="0.2">
      <c r="A10510" s="146"/>
      <c r="D10510" s="496"/>
    </row>
    <row r="10511" spans="1:4" x14ac:dyDescent="0.2">
      <c r="A10511" s="146"/>
      <c r="D10511" s="496"/>
    </row>
    <row r="10512" spans="1:4" x14ac:dyDescent="0.2">
      <c r="A10512" s="146"/>
      <c r="D10512" s="496"/>
    </row>
    <row r="10513" spans="1:4" x14ac:dyDescent="0.2">
      <c r="A10513" s="146"/>
      <c r="D10513" s="496"/>
    </row>
    <row r="10514" spans="1:4" x14ac:dyDescent="0.2">
      <c r="A10514" s="146"/>
      <c r="D10514" s="496"/>
    </row>
    <row r="10515" spans="1:4" x14ac:dyDescent="0.2">
      <c r="A10515" s="146"/>
      <c r="D10515" s="496"/>
    </row>
    <row r="10516" spans="1:4" x14ac:dyDescent="0.2">
      <c r="A10516" s="146"/>
      <c r="D10516" s="496"/>
    </row>
    <row r="10517" spans="1:4" x14ac:dyDescent="0.2">
      <c r="A10517" s="146"/>
      <c r="D10517" s="496"/>
    </row>
    <row r="10518" spans="1:4" x14ac:dyDescent="0.2">
      <c r="A10518" s="146"/>
      <c r="D10518" s="496"/>
    </row>
    <row r="10519" spans="1:4" x14ac:dyDescent="0.2">
      <c r="A10519" s="146"/>
      <c r="D10519" s="496"/>
    </row>
    <row r="10520" spans="1:4" x14ac:dyDescent="0.2">
      <c r="A10520" s="146"/>
      <c r="D10520" s="496"/>
    </row>
    <row r="10521" spans="1:4" x14ac:dyDescent="0.2">
      <c r="A10521" s="146"/>
      <c r="D10521" s="496"/>
    </row>
    <row r="10522" spans="1:4" x14ac:dyDescent="0.2">
      <c r="A10522" s="146"/>
      <c r="D10522" s="496"/>
    </row>
    <row r="10523" spans="1:4" x14ac:dyDescent="0.2">
      <c r="A10523" s="146"/>
      <c r="D10523" s="496"/>
    </row>
    <row r="10524" spans="1:4" x14ac:dyDescent="0.2">
      <c r="A10524" s="146"/>
      <c r="D10524" s="496"/>
    </row>
    <row r="10525" spans="1:4" x14ac:dyDescent="0.2">
      <c r="A10525" s="146"/>
      <c r="D10525" s="496"/>
    </row>
    <row r="10526" spans="1:4" x14ac:dyDescent="0.2">
      <c r="A10526" s="146"/>
      <c r="D10526" s="496"/>
    </row>
    <row r="10527" spans="1:4" x14ac:dyDescent="0.2">
      <c r="A10527" s="146"/>
      <c r="D10527" s="496"/>
    </row>
    <row r="10528" spans="1:4" x14ac:dyDescent="0.2">
      <c r="A10528" s="146"/>
      <c r="D10528" s="496"/>
    </row>
    <row r="10529" spans="1:4" x14ac:dyDescent="0.2">
      <c r="A10529" s="146"/>
      <c r="D10529" s="496"/>
    </row>
    <row r="10530" spans="1:4" x14ac:dyDescent="0.2">
      <c r="A10530" s="146"/>
      <c r="D10530" s="496"/>
    </row>
    <row r="10531" spans="1:4" x14ac:dyDescent="0.2">
      <c r="A10531" s="146"/>
      <c r="D10531" s="496"/>
    </row>
    <row r="10532" spans="1:4" x14ac:dyDescent="0.2">
      <c r="A10532" s="146"/>
      <c r="D10532" s="496"/>
    </row>
    <row r="10533" spans="1:4" x14ac:dyDescent="0.2">
      <c r="A10533" s="146"/>
      <c r="D10533" s="496"/>
    </row>
    <row r="10534" spans="1:4" x14ac:dyDescent="0.2">
      <c r="A10534" s="146"/>
      <c r="D10534" s="496"/>
    </row>
    <row r="10535" spans="1:4" x14ac:dyDescent="0.2">
      <c r="A10535" s="146"/>
      <c r="D10535" s="496"/>
    </row>
    <row r="10536" spans="1:4" x14ac:dyDescent="0.2">
      <c r="A10536" s="146"/>
      <c r="D10536" s="496"/>
    </row>
    <row r="10537" spans="1:4" x14ac:dyDescent="0.2">
      <c r="A10537" s="146"/>
      <c r="D10537" s="496"/>
    </row>
    <row r="10538" spans="1:4" x14ac:dyDescent="0.2">
      <c r="A10538" s="146"/>
      <c r="D10538" s="496"/>
    </row>
    <row r="10539" spans="1:4" x14ac:dyDescent="0.2">
      <c r="A10539" s="146"/>
      <c r="D10539" s="496"/>
    </row>
    <row r="10540" spans="1:4" x14ac:dyDescent="0.2">
      <c r="A10540" s="146"/>
      <c r="D10540" s="496"/>
    </row>
    <row r="10541" spans="1:4" x14ac:dyDescent="0.2">
      <c r="A10541" s="146"/>
      <c r="D10541" s="496"/>
    </row>
    <row r="10542" spans="1:4" x14ac:dyDescent="0.2">
      <c r="A10542" s="146"/>
      <c r="D10542" s="496"/>
    </row>
    <row r="10543" spans="1:4" x14ac:dyDescent="0.2">
      <c r="A10543" s="146"/>
      <c r="D10543" s="496"/>
    </row>
    <row r="10544" spans="1:4" x14ac:dyDescent="0.2">
      <c r="A10544" s="146"/>
      <c r="D10544" s="496"/>
    </row>
    <row r="10545" spans="1:4" x14ac:dyDescent="0.2">
      <c r="A10545" s="146"/>
      <c r="D10545" s="496"/>
    </row>
    <row r="10546" spans="1:4" x14ac:dyDescent="0.2">
      <c r="A10546" s="146"/>
      <c r="D10546" s="496"/>
    </row>
    <row r="10547" spans="1:4" x14ac:dyDescent="0.2">
      <c r="A10547" s="146"/>
      <c r="D10547" s="496"/>
    </row>
    <row r="10548" spans="1:4" x14ac:dyDescent="0.2">
      <c r="A10548" s="146"/>
      <c r="D10548" s="496"/>
    </row>
    <row r="10549" spans="1:4" x14ac:dyDescent="0.2">
      <c r="A10549" s="146"/>
      <c r="D10549" s="496"/>
    </row>
    <row r="10550" spans="1:4" x14ac:dyDescent="0.2">
      <c r="A10550" s="146"/>
      <c r="D10550" s="496"/>
    </row>
    <row r="10551" spans="1:4" x14ac:dyDescent="0.2">
      <c r="A10551" s="146"/>
      <c r="D10551" s="496"/>
    </row>
    <row r="10552" spans="1:4" x14ac:dyDescent="0.2">
      <c r="A10552" s="146"/>
      <c r="D10552" s="496"/>
    </row>
    <row r="10553" spans="1:4" x14ac:dyDescent="0.2">
      <c r="A10553" s="146"/>
      <c r="D10553" s="496"/>
    </row>
    <row r="10554" spans="1:4" x14ac:dyDescent="0.2">
      <c r="A10554" s="146"/>
      <c r="D10554" s="496"/>
    </row>
    <row r="10555" spans="1:4" x14ac:dyDescent="0.2">
      <c r="A10555" s="146"/>
      <c r="D10555" s="496"/>
    </row>
    <row r="10556" spans="1:4" x14ac:dyDescent="0.2">
      <c r="A10556" s="146"/>
      <c r="D10556" s="496"/>
    </row>
    <row r="10557" spans="1:4" x14ac:dyDescent="0.2">
      <c r="A10557" s="146"/>
      <c r="D10557" s="496"/>
    </row>
    <row r="10558" spans="1:4" x14ac:dyDescent="0.2">
      <c r="A10558" s="146"/>
      <c r="D10558" s="496"/>
    </row>
    <row r="10559" spans="1:4" x14ac:dyDescent="0.2">
      <c r="A10559" s="146"/>
      <c r="D10559" s="496"/>
    </row>
    <row r="10560" spans="1:4" x14ac:dyDescent="0.2">
      <c r="A10560" s="146"/>
      <c r="D10560" s="496"/>
    </row>
    <row r="10561" spans="1:4" x14ac:dyDescent="0.2">
      <c r="A10561" s="146"/>
      <c r="D10561" s="496"/>
    </row>
    <row r="10562" spans="1:4" x14ac:dyDescent="0.2">
      <c r="A10562" s="146"/>
      <c r="D10562" s="496"/>
    </row>
    <row r="10563" spans="1:4" x14ac:dyDescent="0.2">
      <c r="A10563" s="146"/>
      <c r="D10563" s="496"/>
    </row>
    <row r="10564" spans="1:4" x14ac:dyDescent="0.2">
      <c r="A10564" s="146"/>
      <c r="D10564" s="496"/>
    </row>
    <row r="10565" spans="1:4" x14ac:dyDescent="0.2">
      <c r="A10565" s="146"/>
      <c r="D10565" s="496"/>
    </row>
    <row r="10566" spans="1:4" x14ac:dyDescent="0.2">
      <c r="A10566" s="146"/>
      <c r="D10566" s="496"/>
    </row>
    <row r="10567" spans="1:4" x14ac:dyDescent="0.2">
      <c r="A10567" s="146"/>
      <c r="D10567" s="496"/>
    </row>
    <row r="10568" spans="1:4" x14ac:dyDescent="0.2">
      <c r="A10568" s="146"/>
      <c r="D10568" s="496"/>
    </row>
    <row r="10569" spans="1:4" x14ac:dyDescent="0.2">
      <c r="A10569" s="146"/>
      <c r="D10569" s="496"/>
    </row>
    <row r="10570" spans="1:4" x14ac:dyDescent="0.2">
      <c r="A10570" s="146"/>
      <c r="D10570" s="496"/>
    </row>
    <row r="10571" spans="1:4" x14ac:dyDescent="0.2">
      <c r="A10571" s="146"/>
      <c r="D10571" s="496"/>
    </row>
    <row r="10572" spans="1:4" x14ac:dyDescent="0.2">
      <c r="A10572" s="146"/>
      <c r="D10572" s="496"/>
    </row>
    <row r="10573" spans="1:4" x14ac:dyDescent="0.2">
      <c r="A10573" s="146"/>
      <c r="D10573" s="496"/>
    </row>
    <row r="10574" spans="1:4" x14ac:dyDescent="0.2">
      <c r="A10574" s="146"/>
      <c r="D10574" s="496"/>
    </row>
    <row r="10575" spans="1:4" x14ac:dyDescent="0.2">
      <c r="A10575" s="146"/>
      <c r="D10575" s="496"/>
    </row>
    <row r="10576" spans="1:4" x14ac:dyDescent="0.2">
      <c r="A10576" s="146"/>
      <c r="D10576" s="496"/>
    </row>
    <row r="10577" spans="1:4" x14ac:dyDescent="0.2">
      <c r="A10577" s="146"/>
      <c r="D10577" s="496"/>
    </row>
    <row r="10578" spans="1:4" x14ac:dyDescent="0.2">
      <c r="A10578" s="146"/>
      <c r="D10578" s="496"/>
    </row>
    <row r="10579" spans="1:4" x14ac:dyDescent="0.2">
      <c r="A10579" s="146"/>
      <c r="D10579" s="496"/>
    </row>
    <row r="10580" spans="1:4" x14ac:dyDescent="0.2">
      <c r="A10580" s="146"/>
      <c r="D10580" s="496"/>
    </row>
    <row r="10581" spans="1:4" x14ac:dyDescent="0.2">
      <c r="A10581" s="146"/>
      <c r="D10581" s="496"/>
    </row>
    <row r="10582" spans="1:4" x14ac:dyDescent="0.2">
      <c r="A10582" s="146"/>
      <c r="D10582" s="496"/>
    </row>
    <row r="10583" spans="1:4" x14ac:dyDescent="0.2">
      <c r="A10583" s="146"/>
      <c r="D10583" s="496"/>
    </row>
    <row r="10584" spans="1:4" x14ac:dyDescent="0.2">
      <c r="A10584" s="146"/>
      <c r="D10584" s="496"/>
    </row>
    <row r="10585" spans="1:4" x14ac:dyDescent="0.2">
      <c r="A10585" s="146"/>
      <c r="D10585" s="496"/>
    </row>
    <row r="10586" spans="1:4" x14ac:dyDescent="0.2">
      <c r="A10586" s="146"/>
      <c r="D10586" s="496"/>
    </row>
    <row r="10587" spans="1:4" x14ac:dyDescent="0.2">
      <c r="A10587" s="146"/>
      <c r="D10587" s="496"/>
    </row>
    <row r="10588" spans="1:4" x14ac:dyDescent="0.2">
      <c r="A10588" s="146"/>
      <c r="D10588" s="496"/>
    </row>
    <row r="10589" spans="1:4" x14ac:dyDescent="0.2">
      <c r="A10589" s="146"/>
      <c r="D10589" s="496"/>
    </row>
    <row r="10590" spans="1:4" x14ac:dyDescent="0.2">
      <c r="A10590" s="146"/>
      <c r="D10590" s="496"/>
    </row>
    <row r="10591" spans="1:4" x14ac:dyDescent="0.2">
      <c r="A10591" s="146"/>
      <c r="D10591" s="496"/>
    </row>
    <row r="10592" spans="1:4" x14ac:dyDescent="0.2">
      <c r="A10592" s="146"/>
      <c r="D10592" s="496"/>
    </row>
    <row r="10593" spans="1:4" x14ac:dyDescent="0.2">
      <c r="A10593" s="146"/>
      <c r="D10593" s="496"/>
    </row>
    <row r="10594" spans="1:4" x14ac:dyDescent="0.2">
      <c r="A10594" s="146"/>
      <c r="D10594" s="496"/>
    </row>
    <row r="10595" spans="1:4" x14ac:dyDescent="0.2">
      <c r="A10595" s="146"/>
      <c r="D10595" s="496"/>
    </row>
    <row r="10596" spans="1:4" x14ac:dyDescent="0.2">
      <c r="A10596" s="146"/>
      <c r="D10596" s="496"/>
    </row>
    <row r="10597" spans="1:4" x14ac:dyDescent="0.2">
      <c r="A10597" s="146"/>
      <c r="D10597" s="496"/>
    </row>
    <row r="10598" spans="1:4" x14ac:dyDescent="0.2">
      <c r="A10598" s="146"/>
      <c r="D10598" s="496"/>
    </row>
    <row r="10599" spans="1:4" x14ac:dyDescent="0.2">
      <c r="A10599" s="146"/>
      <c r="D10599" s="496"/>
    </row>
    <row r="10600" spans="1:4" x14ac:dyDescent="0.2">
      <c r="A10600" s="146"/>
      <c r="D10600" s="496"/>
    </row>
    <row r="10601" spans="1:4" x14ac:dyDescent="0.2">
      <c r="A10601" s="146"/>
      <c r="D10601" s="496"/>
    </row>
    <row r="10602" spans="1:4" x14ac:dyDescent="0.2">
      <c r="A10602" s="146"/>
      <c r="D10602" s="496"/>
    </row>
    <row r="10603" spans="1:4" x14ac:dyDescent="0.2">
      <c r="A10603" s="146"/>
      <c r="D10603" s="496"/>
    </row>
    <row r="10604" spans="1:4" x14ac:dyDescent="0.2">
      <c r="A10604" s="146"/>
      <c r="D10604" s="496"/>
    </row>
    <row r="10605" spans="1:4" x14ac:dyDescent="0.2">
      <c r="A10605" s="146"/>
      <c r="D10605" s="496"/>
    </row>
    <row r="10606" spans="1:4" x14ac:dyDescent="0.2">
      <c r="A10606" s="146"/>
      <c r="D10606" s="496"/>
    </row>
    <row r="10607" spans="1:4" x14ac:dyDescent="0.2">
      <c r="A10607" s="146"/>
      <c r="D10607" s="496"/>
    </row>
    <row r="10608" spans="1:4" x14ac:dyDescent="0.2">
      <c r="A10608" s="146"/>
      <c r="D10608" s="496"/>
    </row>
    <row r="10609" spans="1:4" x14ac:dyDescent="0.2">
      <c r="A10609" s="146"/>
      <c r="D10609" s="496"/>
    </row>
    <row r="10610" spans="1:4" x14ac:dyDescent="0.2">
      <c r="A10610" s="146"/>
      <c r="D10610" s="496"/>
    </row>
    <row r="10611" spans="1:4" x14ac:dyDescent="0.2">
      <c r="A10611" s="146"/>
      <c r="D10611" s="496"/>
    </row>
    <row r="10612" spans="1:4" x14ac:dyDescent="0.2">
      <c r="A10612" s="146"/>
      <c r="D10612" s="496"/>
    </row>
    <row r="10613" spans="1:4" x14ac:dyDescent="0.2">
      <c r="A10613" s="146"/>
      <c r="D10613" s="496"/>
    </row>
    <row r="10614" spans="1:4" x14ac:dyDescent="0.2">
      <c r="A10614" s="146"/>
      <c r="D10614" s="496"/>
    </row>
    <row r="10615" spans="1:4" x14ac:dyDescent="0.2">
      <c r="A10615" s="146"/>
      <c r="D10615" s="496"/>
    </row>
    <row r="10616" spans="1:4" x14ac:dyDescent="0.2">
      <c r="A10616" s="146"/>
      <c r="D10616" s="496"/>
    </row>
    <row r="10617" spans="1:4" x14ac:dyDescent="0.2">
      <c r="A10617" s="146"/>
      <c r="D10617" s="496"/>
    </row>
    <row r="10618" spans="1:4" x14ac:dyDescent="0.2">
      <c r="A10618" s="146"/>
      <c r="D10618" s="496"/>
    </row>
    <row r="10619" spans="1:4" x14ac:dyDescent="0.2">
      <c r="A10619" s="146"/>
      <c r="D10619" s="496"/>
    </row>
    <row r="10620" spans="1:4" x14ac:dyDescent="0.2">
      <c r="A10620" s="146"/>
      <c r="D10620" s="496"/>
    </row>
    <row r="10621" spans="1:4" x14ac:dyDescent="0.2">
      <c r="A10621" s="146"/>
      <c r="D10621" s="496"/>
    </row>
    <row r="10622" spans="1:4" x14ac:dyDescent="0.2">
      <c r="A10622" s="146"/>
      <c r="D10622" s="496"/>
    </row>
    <row r="10623" spans="1:4" x14ac:dyDescent="0.2">
      <c r="A10623" s="146"/>
      <c r="D10623" s="496"/>
    </row>
    <row r="10624" spans="1:4" x14ac:dyDescent="0.2">
      <c r="A10624" s="146"/>
      <c r="D10624" s="496"/>
    </row>
    <row r="10625" spans="1:4" x14ac:dyDescent="0.2">
      <c r="A10625" s="146"/>
      <c r="D10625" s="496"/>
    </row>
    <row r="10626" spans="1:4" x14ac:dyDescent="0.2">
      <c r="A10626" s="146"/>
      <c r="D10626" s="496"/>
    </row>
    <row r="10627" spans="1:4" x14ac:dyDescent="0.2">
      <c r="A10627" s="146"/>
      <c r="D10627" s="496"/>
    </row>
    <row r="10628" spans="1:4" x14ac:dyDescent="0.2">
      <c r="A10628" s="146"/>
      <c r="D10628" s="496"/>
    </row>
    <row r="10629" spans="1:4" x14ac:dyDescent="0.2">
      <c r="A10629" s="146"/>
      <c r="D10629" s="496"/>
    </row>
    <row r="10630" spans="1:4" x14ac:dyDescent="0.2">
      <c r="A10630" s="146"/>
      <c r="D10630" s="496"/>
    </row>
    <row r="10631" spans="1:4" x14ac:dyDescent="0.2">
      <c r="A10631" s="146"/>
      <c r="D10631" s="496"/>
    </row>
    <row r="10632" spans="1:4" x14ac:dyDescent="0.2">
      <c r="A10632" s="146"/>
      <c r="D10632" s="496"/>
    </row>
    <row r="10633" spans="1:4" x14ac:dyDescent="0.2">
      <c r="A10633" s="146"/>
      <c r="D10633" s="496"/>
    </row>
    <row r="10634" spans="1:4" x14ac:dyDescent="0.2">
      <c r="A10634" s="146"/>
      <c r="D10634" s="496"/>
    </row>
    <row r="10635" spans="1:4" x14ac:dyDescent="0.2">
      <c r="A10635" s="146"/>
      <c r="D10635" s="496"/>
    </row>
    <row r="10636" spans="1:4" x14ac:dyDescent="0.2">
      <c r="A10636" s="146"/>
      <c r="D10636" s="496"/>
    </row>
    <row r="10637" spans="1:4" x14ac:dyDescent="0.2">
      <c r="A10637" s="146"/>
      <c r="D10637" s="496"/>
    </row>
    <row r="10638" spans="1:4" x14ac:dyDescent="0.2">
      <c r="A10638" s="146"/>
      <c r="D10638" s="496"/>
    </row>
    <row r="10639" spans="1:4" x14ac:dyDescent="0.2">
      <c r="A10639" s="146"/>
      <c r="D10639" s="496"/>
    </row>
    <row r="10640" spans="1:4" x14ac:dyDescent="0.2">
      <c r="A10640" s="146"/>
      <c r="D10640" s="496"/>
    </row>
    <row r="10641" spans="1:4" x14ac:dyDescent="0.2">
      <c r="A10641" s="146"/>
      <c r="D10641" s="496"/>
    </row>
    <row r="10642" spans="1:4" x14ac:dyDescent="0.2">
      <c r="A10642" s="146"/>
      <c r="D10642" s="496"/>
    </row>
    <row r="10643" spans="1:4" x14ac:dyDescent="0.2">
      <c r="A10643" s="146"/>
      <c r="D10643" s="496"/>
    </row>
    <row r="10644" spans="1:4" x14ac:dyDescent="0.2">
      <c r="A10644" s="146"/>
      <c r="D10644" s="496"/>
    </row>
    <row r="10645" spans="1:4" x14ac:dyDescent="0.2">
      <c r="A10645" s="146"/>
      <c r="D10645" s="496"/>
    </row>
    <row r="10646" spans="1:4" x14ac:dyDescent="0.2">
      <c r="A10646" s="146"/>
      <c r="D10646" s="496"/>
    </row>
    <row r="10647" spans="1:4" x14ac:dyDescent="0.2">
      <c r="A10647" s="146"/>
      <c r="D10647" s="496"/>
    </row>
    <row r="10648" spans="1:4" x14ac:dyDescent="0.2">
      <c r="A10648" s="146"/>
      <c r="D10648" s="496"/>
    </row>
    <row r="10649" spans="1:4" x14ac:dyDescent="0.2">
      <c r="A10649" s="146"/>
      <c r="D10649" s="496"/>
    </row>
    <row r="10650" spans="1:4" x14ac:dyDescent="0.2">
      <c r="A10650" s="146"/>
      <c r="D10650" s="496"/>
    </row>
    <row r="10651" spans="1:4" x14ac:dyDescent="0.2">
      <c r="A10651" s="146"/>
      <c r="D10651" s="496"/>
    </row>
    <row r="10652" spans="1:4" x14ac:dyDescent="0.2">
      <c r="A10652" s="146"/>
      <c r="D10652" s="496"/>
    </row>
    <row r="10653" spans="1:4" x14ac:dyDescent="0.2">
      <c r="A10653" s="146"/>
      <c r="D10653" s="496"/>
    </row>
    <row r="10654" spans="1:4" x14ac:dyDescent="0.2">
      <c r="A10654" s="146"/>
      <c r="D10654" s="496"/>
    </row>
    <row r="10655" spans="1:4" x14ac:dyDescent="0.2">
      <c r="A10655" s="146"/>
      <c r="D10655" s="496"/>
    </row>
    <row r="10656" spans="1:4" x14ac:dyDescent="0.2">
      <c r="A10656" s="146"/>
      <c r="D10656" s="496"/>
    </row>
    <row r="10657" spans="1:4" x14ac:dyDescent="0.2">
      <c r="A10657" s="146"/>
      <c r="D10657" s="496"/>
    </row>
    <row r="10658" spans="1:4" x14ac:dyDescent="0.2">
      <c r="A10658" s="146"/>
      <c r="D10658" s="496"/>
    </row>
    <row r="10659" spans="1:4" x14ac:dyDescent="0.2">
      <c r="A10659" s="146"/>
      <c r="D10659" s="496"/>
    </row>
    <row r="10660" spans="1:4" x14ac:dyDescent="0.2">
      <c r="A10660" s="146"/>
      <c r="D10660" s="496"/>
    </row>
    <row r="10661" spans="1:4" x14ac:dyDescent="0.2">
      <c r="A10661" s="146"/>
      <c r="D10661" s="496"/>
    </row>
    <row r="10662" spans="1:4" x14ac:dyDescent="0.2">
      <c r="A10662" s="146"/>
      <c r="D10662" s="496"/>
    </row>
    <row r="10663" spans="1:4" x14ac:dyDescent="0.2">
      <c r="A10663" s="146"/>
      <c r="D10663" s="496"/>
    </row>
    <row r="10664" spans="1:4" x14ac:dyDescent="0.2">
      <c r="A10664" s="146"/>
      <c r="D10664" s="496"/>
    </row>
    <row r="10665" spans="1:4" x14ac:dyDescent="0.2">
      <c r="A10665" s="146"/>
      <c r="D10665" s="496"/>
    </row>
    <row r="10666" spans="1:4" x14ac:dyDescent="0.2">
      <c r="A10666" s="146"/>
      <c r="D10666" s="496"/>
    </row>
    <row r="10667" spans="1:4" x14ac:dyDescent="0.2">
      <c r="A10667" s="146"/>
      <c r="D10667" s="496"/>
    </row>
    <row r="10668" spans="1:4" x14ac:dyDescent="0.2">
      <c r="A10668" s="146"/>
      <c r="D10668" s="496"/>
    </row>
    <row r="10669" spans="1:4" x14ac:dyDescent="0.2">
      <c r="A10669" s="146"/>
      <c r="D10669" s="496"/>
    </row>
    <row r="10670" spans="1:4" x14ac:dyDescent="0.2">
      <c r="A10670" s="146"/>
      <c r="D10670" s="496"/>
    </row>
    <row r="10671" spans="1:4" x14ac:dyDescent="0.2">
      <c r="A10671" s="146"/>
      <c r="D10671" s="496"/>
    </row>
    <row r="10672" spans="1:4" x14ac:dyDescent="0.2">
      <c r="A10672" s="146"/>
      <c r="D10672" s="496"/>
    </row>
    <row r="10673" spans="1:4" x14ac:dyDescent="0.2">
      <c r="A10673" s="146"/>
      <c r="D10673" s="496"/>
    </row>
    <row r="10674" spans="1:4" x14ac:dyDescent="0.2">
      <c r="A10674" s="146"/>
      <c r="D10674" s="496"/>
    </row>
    <row r="10675" spans="1:4" x14ac:dyDescent="0.2">
      <c r="A10675" s="146"/>
      <c r="D10675" s="496"/>
    </row>
    <row r="10676" spans="1:4" x14ac:dyDescent="0.2">
      <c r="A10676" s="146"/>
      <c r="D10676" s="496"/>
    </row>
    <row r="10677" spans="1:4" x14ac:dyDescent="0.2">
      <c r="A10677" s="146"/>
      <c r="D10677" s="496"/>
    </row>
    <row r="10678" spans="1:4" x14ac:dyDescent="0.2">
      <c r="A10678" s="146"/>
      <c r="D10678" s="496"/>
    </row>
    <row r="10679" spans="1:4" x14ac:dyDescent="0.2">
      <c r="A10679" s="146"/>
      <c r="D10679" s="496"/>
    </row>
    <row r="10680" spans="1:4" x14ac:dyDescent="0.2">
      <c r="A10680" s="146"/>
      <c r="D10680" s="496"/>
    </row>
    <row r="10681" spans="1:4" x14ac:dyDescent="0.2">
      <c r="A10681" s="146"/>
      <c r="D10681" s="496"/>
    </row>
    <row r="10682" spans="1:4" x14ac:dyDescent="0.2">
      <c r="A10682" s="146"/>
      <c r="D10682" s="496"/>
    </row>
    <row r="10683" spans="1:4" x14ac:dyDescent="0.2">
      <c r="A10683" s="146"/>
      <c r="D10683" s="496"/>
    </row>
    <row r="10684" spans="1:4" x14ac:dyDescent="0.2">
      <c r="A10684" s="146"/>
      <c r="D10684" s="496"/>
    </row>
    <row r="10685" spans="1:4" x14ac:dyDescent="0.2">
      <c r="A10685" s="146"/>
      <c r="D10685" s="496"/>
    </row>
    <row r="10686" spans="1:4" x14ac:dyDescent="0.2">
      <c r="A10686" s="146"/>
      <c r="D10686" s="496"/>
    </row>
    <row r="10687" spans="1:4" x14ac:dyDescent="0.2">
      <c r="A10687" s="146"/>
      <c r="D10687" s="496"/>
    </row>
    <row r="10688" spans="1:4" x14ac:dyDescent="0.2">
      <c r="A10688" s="146"/>
      <c r="D10688" s="496"/>
    </row>
    <row r="10689" spans="1:4" x14ac:dyDescent="0.2">
      <c r="A10689" s="146"/>
      <c r="D10689" s="496"/>
    </row>
    <row r="10690" spans="1:4" x14ac:dyDescent="0.2">
      <c r="A10690" s="146"/>
      <c r="D10690" s="496"/>
    </row>
    <row r="10691" spans="1:4" x14ac:dyDescent="0.2">
      <c r="A10691" s="146"/>
      <c r="D10691" s="496"/>
    </row>
    <row r="10692" spans="1:4" x14ac:dyDescent="0.2">
      <c r="A10692" s="146"/>
      <c r="D10692" s="496"/>
    </row>
    <row r="10693" spans="1:4" x14ac:dyDescent="0.2">
      <c r="A10693" s="146"/>
      <c r="D10693" s="496"/>
    </row>
    <row r="10694" spans="1:4" x14ac:dyDescent="0.2">
      <c r="A10694" s="146"/>
      <c r="D10694" s="496"/>
    </row>
    <row r="10695" spans="1:4" x14ac:dyDescent="0.2">
      <c r="A10695" s="146"/>
      <c r="D10695" s="496"/>
    </row>
    <row r="10696" spans="1:4" x14ac:dyDescent="0.2">
      <c r="A10696" s="146"/>
      <c r="D10696" s="496"/>
    </row>
    <row r="10697" spans="1:4" x14ac:dyDescent="0.2">
      <c r="A10697" s="146"/>
      <c r="D10697" s="496"/>
    </row>
    <row r="10698" spans="1:4" x14ac:dyDescent="0.2">
      <c r="A10698" s="146"/>
      <c r="D10698" s="496"/>
    </row>
    <row r="10699" spans="1:4" x14ac:dyDescent="0.2">
      <c r="A10699" s="146"/>
      <c r="D10699" s="496"/>
    </row>
    <row r="10700" spans="1:4" x14ac:dyDescent="0.2">
      <c r="A10700" s="146"/>
      <c r="D10700" s="496"/>
    </row>
    <row r="10701" spans="1:4" x14ac:dyDescent="0.2">
      <c r="A10701" s="146"/>
      <c r="D10701" s="496"/>
    </row>
    <row r="10702" spans="1:4" x14ac:dyDescent="0.2">
      <c r="A10702" s="146"/>
      <c r="D10702" s="496"/>
    </row>
    <row r="10703" spans="1:4" x14ac:dyDescent="0.2">
      <c r="A10703" s="146"/>
      <c r="D10703" s="496"/>
    </row>
    <row r="10704" spans="1:4" x14ac:dyDescent="0.2">
      <c r="A10704" s="146"/>
      <c r="D10704" s="496"/>
    </row>
    <row r="10705" spans="1:4" x14ac:dyDescent="0.2">
      <c r="A10705" s="146"/>
      <c r="D10705" s="496"/>
    </row>
    <row r="10706" spans="1:4" x14ac:dyDescent="0.2">
      <c r="A10706" s="146"/>
      <c r="D10706" s="496"/>
    </row>
    <row r="10707" spans="1:4" x14ac:dyDescent="0.2">
      <c r="A10707" s="146"/>
      <c r="D10707" s="496"/>
    </row>
    <row r="10708" spans="1:4" x14ac:dyDescent="0.2">
      <c r="A10708" s="146"/>
      <c r="D10708" s="496"/>
    </row>
    <row r="10709" spans="1:4" x14ac:dyDescent="0.2">
      <c r="A10709" s="146"/>
      <c r="D10709" s="496"/>
    </row>
    <row r="10710" spans="1:4" x14ac:dyDescent="0.2">
      <c r="A10710" s="146"/>
      <c r="D10710" s="496"/>
    </row>
    <row r="10711" spans="1:4" x14ac:dyDescent="0.2">
      <c r="A10711" s="146"/>
      <c r="D10711" s="496"/>
    </row>
    <row r="10712" spans="1:4" x14ac:dyDescent="0.2">
      <c r="A10712" s="146"/>
      <c r="D10712" s="496"/>
    </row>
    <row r="10713" spans="1:4" x14ac:dyDescent="0.2">
      <c r="A10713" s="146"/>
      <c r="D10713" s="496"/>
    </row>
    <row r="10714" spans="1:4" x14ac:dyDescent="0.2">
      <c r="A10714" s="146"/>
      <c r="D10714" s="496"/>
    </row>
    <row r="10715" spans="1:4" x14ac:dyDescent="0.2">
      <c r="A10715" s="146"/>
      <c r="D10715" s="496"/>
    </row>
    <row r="10716" spans="1:4" x14ac:dyDescent="0.2">
      <c r="A10716" s="146"/>
      <c r="D10716" s="496"/>
    </row>
    <row r="10717" spans="1:4" x14ac:dyDescent="0.2">
      <c r="A10717" s="146"/>
      <c r="D10717" s="496"/>
    </row>
    <row r="10718" spans="1:4" x14ac:dyDescent="0.2">
      <c r="A10718" s="146"/>
      <c r="D10718" s="496"/>
    </row>
    <row r="10719" spans="1:4" x14ac:dyDescent="0.2">
      <c r="A10719" s="146"/>
      <c r="D10719" s="496"/>
    </row>
    <row r="10720" spans="1:4" x14ac:dyDescent="0.2">
      <c r="A10720" s="146"/>
      <c r="D10720" s="496"/>
    </row>
    <row r="10721" spans="1:4" x14ac:dyDescent="0.2">
      <c r="A10721" s="146"/>
      <c r="D10721" s="496"/>
    </row>
    <row r="10722" spans="1:4" x14ac:dyDescent="0.2">
      <c r="A10722" s="146"/>
      <c r="D10722" s="496"/>
    </row>
    <row r="10723" spans="1:4" x14ac:dyDescent="0.2">
      <c r="A10723" s="146"/>
      <c r="D10723" s="496"/>
    </row>
    <row r="10724" spans="1:4" x14ac:dyDescent="0.2">
      <c r="A10724" s="146"/>
      <c r="D10724" s="496"/>
    </row>
    <row r="10725" spans="1:4" x14ac:dyDescent="0.2">
      <c r="A10725" s="146"/>
      <c r="D10725" s="496"/>
    </row>
    <row r="10726" spans="1:4" x14ac:dyDescent="0.2">
      <c r="A10726" s="146"/>
      <c r="D10726" s="496"/>
    </row>
    <row r="10727" spans="1:4" x14ac:dyDescent="0.2">
      <c r="A10727" s="146"/>
      <c r="D10727" s="496"/>
    </row>
    <row r="10728" spans="1:4" x14ac:dyDescent="0.2">
      <c r="A10728" s="146"/>
      <c r="D10728" s="496"/>
    </row>
    <row r="10729" spans="1:4" x14ac:dyDescent="0.2">
      <c r="A10729" s="146"/>
      <c r="D10729" s="496"/>
    </row>
    <row r="10730" spans="1:4" x14ac:dyDescent="0.2">
      <c r="A10730" s="146"/>
      <c r="D10730" s="496"/>
    </row>
    <row r="10731" spans="1:4" x14ac:dyDescent="0.2">
      <c r="A10731" s="146"/>
      <c r="D10731" s="496"/>
    </row>
    <row r="10732" spans="1:4" x14ac:dyDescent="0.2">
      <c r="A10732" s="146"/>
      <c r="D10732" s="496"/>
    </row>
    <row r="10733" spans="1:4" x14ac:dyDescent="0.2">
      <c r="A10733" s="146"/>
      <c r="D10733" s="496"/>
    </row>
    <row r="10734" spans="1:4" x14ac:dyDescent="0.2">
      <c r="A10734" s="146"/>
      <c r="D10734" s="496"/>
    </row>
    <row r="10735" spans="1:4" x14ac:dyDescent="0.2">
      <c r="A10735" s="146"/>
      <c r="D10735" s="496"/>
    </row>
    <row r="10736" spans="1:4" x14ac:dyDescent="0.2">
      <c r="A10736" s="146"/>
      <c r="D10736" s="496"/>
    </row>
    <row r="10737" spans="1:4" x14ac:dyDescent="0.2">
      <c r="A10737" s="146"/>
      <c r="D10737" s="496"/>
    </row>
    <row r="10738" spans="1:4" x14ac:dyDescent="0.2">
      <c r="A10738" s="146"/>
      <c r="D10738" s="496"/>
    </row>
    <row r="10739" spans="1:4" x14ac:dyDescent="0.2">
      <c r="A10739" s="146"/>
      <c r="D10739" s="496"/>
    </row>
    <row r="10740" spans="1:4" x14ac:dyDescent="0.2">
      <c r="A10740" s="146"/>
      <c r="D10740" s="496"/>
    </row>
    <row r="10741" spans="1:4" x14ac:dyDescent="0.2">
      <c r="A10741" s="146"/>
      <c r="D10741" s="496"/>
    </row>
    <row r="10742" spans="1:4" x14ac:dyDescent="0.2">
      <c r="A10742" s="146"/>
      <c r="D10742" s="496"/>
    </row>
    <row r="10743" spans="1:4" x14ac:dyDescent="0.2">
      <c r="A10743" s="146"/>
      <c r="D10743" s="496"/>
    </row>
    <row r="10744" spans="1:4" x14ac:dyDescent="0.2">
      <c r="A10744" s="146"/>
      <c r="D10744" s="496"/>
    </row>
    <row r="10745" spans="1:4" x14ac:dyDescent="0.2">
      <c r="A10745" s="146"/>
      <c r="D10745" s="496"/>
    </row>
    <row r="10746" spans="1:4" x14ac:dyDescent="0.2">
      <c r="A10746" s="146"/>
      <c r="D10746" s="496"/>
    </row>
    <row r="10747" spans="1:4" x14ac:dyDescent="0.2">
      <c r="A10747" s="146"/>
      <c r="D10747" s="496"/>
    </row>
    <row r="10748" spans="1:4" x14ac:dyDescent="0.2">
      <c r="A10748" s="146"/>
      <c r="D10748" s="496"/>
    </row>
    <row r="10749" spans="1:4" x14ac:dyDescent="0.2">
      <c r="A10749" s="146"/>
      <c r="D10749" s="496"/>
    </row>
    <row r="10750" spans="1:4" x14ac:dyDescent="0.2">
      <c r="A10750" s="146"/>
      <c r="D10750" s="496"/>
    </row>
    <row r="10751" spans="1:4" x14ac:dyDescent="0.2">
      <c r="A10751" s="146"/>
      <c r="D10751" s="496"/>
    </row>
    <row r="10752" spans="1:4" x14ac:dyDescent="0.2">
      <c r="A10752" s="146"/>
      <c r="D10752" s="496"/>
    </row>
    <row r="10753" spans="1:4" x14ac:dyDescent="0.2">
      <c r="A10753" s="146"/>
      <c r="D10753" s="496"/>
    </row>
    <row r="10754" spans="1:4" x14ac:dyDescent="0.2">
      <c r="A10754" s="146"/>
      <c r="D10754" s="496"/>
    </row>
    <row r="10755" spans="1:4" x14ac:dyDescent="0.2">
      <c r="A10755" s="146"/>
      <c r="D10755" s="496"/>
    </row>
    <row r="10756" spans="1:4" x14ac:dyDescent="0.2">
      <c r="A10756" s="146"/>
      <c r="D10756" s="496"/>
    </row>
    <row r="10757" spans="1:4" x14ac:dyDescent="0.2">
      <c r="A10757" s="146"/>
      <c r="D10757" s="496"/>
    </row>
    <row r="10758" spans="1:4" x14ac:dyDescent="0.2">
      <c r="A10758" s="146"/>
      <c r="D10758" s="496"/>
    </row>
    <row r="10759" spans="1:4" x14ac:dyDescent="0.2">
      <c r="A10759" s="146"/>
      <c r="D10759" s="496"/>
    </row>
    <row r="10760" spans="1:4" x14ac:dyDescent="0.2">
      <c r="A10760" s="146"/>
      <c r="D10760" s="496"/>
    </row>
    <row r="10761" spans="1:4" x14ac:dyDescent="0.2">
      <c r="A10761" s="146"/>
      <c r="D10761" s="496"/>
    </row>
    <row r="10762" spans="1:4" x14ac:dyDescent="0.2">
      <c r="A10762" s="146"/>
      <c r="D10762" s="496"/>
    </row>
    <row r="10763" spans="1:4" x14ac:dyDescent="0.2">
      <c r="A10763" s="146"/>
      <c r="D10763" s="496"/>
    </row>
    <row r="10764" spans="1:4" x14ac:dyDescent="0.2">
      <c r="A10764" s="146"/>
      <c r="D10764" s="496"/>
    </row>
    <row r="10765" spans="1:4" x14ac:dyDescent="0.2">
      <c r="A10765" s="146"/>
      <c r="D10765" s="496"/>
    </row>
    <row r="10766" spans="1:4" x14ac:dyDescent="0.2">
      <c r="A10766" s="146"/>
      <c r="D10766" s="496"/>
    </row>
    <row r="10767" spans="1:4" x14ac:dyDescent="0.2">
      <c r="A10767" s="146"/>
      <c r="D10767" s="496"/>
    </row>
    <row r="10768" spans="1:4" x14ac:dyDescent="0.2">
      <c r="A10768" s="146"/>
      <c r="D10768" s="496"/>
    </row>
    <row r="10769" spans="1:4" x14ac:dyDescent="0.2">
      <c r="A10769" s="146"/>
      <c r="D10769" s="496"/>
    </row>
    <row r="10770" spans="1:4" x14ac:dyDescent="0.2">
      <c r="A10770" s="146"/>
      <c r="D10770" s="496"/>
    </row>
    <row r="10771" spans="1:4" x14ac:dyDescent="0.2">
      <c r="A10771" s="146"/>
      <c r="D10771" s="496"/>
    </row>
    <row r="10772" spans="1:4" x14ac:dyDescent="0.2">
      <c r="A10772" s="146"/>
      <c r="D10772" s="496"/>
    </row>
    <row r="10773" spans="1:4" x14ac:dyDescent="0.2">
      <c r="A10773" s="146"/>
      <c r="D10773" s="496"/>
    </row>
    <row r="10774" spans="1:4" x14ac:dyDescent="0.2">
      <c r="A10774" s="146"/>
      <c r="D10774" s="496"/>
    </row>
    <row r="10775" spans="1:4" x14ac:dyDescent="0.2">
      <c r="A10775" s="146"/>
      <c r="D10775" s="496"/>
    </row>
    <row r="10776" spans="1:4" x14ac:dyDescent="0.2">
      <c r="A10776" s="146"/>
      <c r="D10776" s="496"/>
    </row>
    <row r="10777" spans="1:4" x14ac:dyDescent="0.2">
      <c r="A10777" s="146"/>
      <c r="D10777" s="496"/>
    </row>
    <row r="10778" spans="1:4" x14ac:dyDescent="0.2">
      <c r="A10778" s="146"/>
      <c r="D10778" s="496"/>
    </row>
    <row r="10779" spans="1:4" x14ac:dyDescent="0.2">
      <c r="A10779" s="146"/>
      <c r="D10779" s="496"/>
    </row>
    <row r="10780" spans="1:4" x14ac:dyDescent="0.2">
      <c r="A10780" s="146"/>
      <c r="D10780" s="496"/>
    </row>
    <row r="10781" spans="1:4" x14ac:dyDescent="0.2">
      <c r="A10781" s="146"/>
      <c r="D10781" s="496"/>
    </row>
    <row r="10782" spans="1:4" x14ac:dyDescent="0.2">
      <c r="A10782" s="146"/>
      <c r="D10782" s="496"/>
    </row>
    <row r="10783" spans="1:4" x14ac:dyDescent="0.2">
      <c r="A10783" s="146"/>
      <c r="D10783" s="496"/>
    </row>
    <row r="10784" spans="1:4" x14ac:dyDescent="0.2">
      <c r="A10784" s="146"/>
      <c r="D10784" s="496"/>
    </row>
    <row r="10785" spans="1:4" x14ac:dyDescent="0.2">
      <c r="A10785" s="146"/>
      <c r="D10785" s="496"/>
    </row>
    <row r="10786" spans="1:4" x14ac:dyDescent="0.2">
      <c r="A10786" s="146"/>
      <c r="D10786" s="496"/>
    </row>
    <row r="10787" spans="1:4" x14ac:dyDescent="0.2">
      <c r="A10787" s="146"/>
      <c r="D10787" s="496"/>
    </row>
    <row r="10788" spans="1:4" x14ac:dyDescent="0.2">
      <c r="A10788" s="146"/>
      <c r="D10788" s="496"/>
    </row>
    <row r="10789" spans="1:4" x14ac:dyDescent="0.2">
      <c r="A10789" s="146"/>
      <c r="D10789" s="496"/>
    </row>
    <row r="10790" spans="1:4" x14ac:dyDescent="0.2">
      <c r="A10790" s="146"/>
      <c r="D10790" s="496"/>
    </row>
    <row r="10791" spans="1:4" x14ac:dyDescent="0.2">
      <c r="A10791" s="146"/>
      <c r="D10791" s="496"/>
    </row>
    <row r="10792" spans="1:4" x14ac:dyDescent="0.2">
      <c r="A10792" s="146"/>
      <c r="D10792" s="496"/>
    </row>
    <row r="10793" spans="1:4" x14ac:dyDescent="0.2">
      <c r="A10793" s="146"/>
      <c r="D10793" s="496"/>
    </row>
    <row r="10794" spans="1:4" x14ac:dyDescent="0.2">
      <c r="A10794" s="146"/>
      <c r="D10794" s="496"/>
    </row>
    <row r="10795" spans="1:4" x14ac:dyDescent="0.2">
      <c r="A10795" s="146"/>
      <c r="D10795" s="496"/>
    </row>
    <row r="10796" spans="1:4" x14ac:dyDescent="0.2">
      <c r="A10796" s="146"/>
      <c r="D10796" s="496"/>
    </row>
    <row r="10797" spans="1:4" x14ac:dyDescent="0.2">
      <c r="A10797" s="146"/>
      <c r="D10797" s="496"/>
    </row>
    <row r="10798" spans="1:4" x14ac:dyDescent="0.2">
      <c r="A10798" s="146"/>
      <c r="D10798" s="496"/>
    </row>
    <row r="10799" spans="1:4" x14ac:dyDescent="0.2">
      <c r="A10799" s="146"/>
      <c r="D10799" s="496"/>
    </row>
    <row r="10800" spans="1:4" x14ac:dyDescent="0.2">
      <c r="A10800" s="146"/>
      <c r="D10800" s="496"/>
    </row>
    <row r="10801" spans="1:4" x14ac:dyDescent="0.2">
      <c r="A10801" s="146"/>
      <c r="D10801" s="496"/>
    </row>
    <row r="10802" spans="1:4" x14ac:dyDescent="0.2">
      <c r="A10802" s="146"/>
      <c r="D10802" s="496"/>
    </row>
    <row r="10803" spans="1:4" x14ac:dyDescent="0.2">
      <c r="A10803" s="146"/>
      <c r="D10803" s="496"/>
    </row>
    <row r="10804" spans="1:4" x14ac:dyDescent="0.2">
      <c r="A10804" s="146"/>
      <c r="D10804" s="496"/>
    </row>
    <row r="10805" spans="1:4" x14ac:dyDescent="0.2">
      <c r="A10805" s="146"/>
      <c r="D10805" s="496"/>
    </row>
    <row r="10806" spans="1:4" x14ac:dyDescent="0.2">
      <c r="A10806" s="146"/>
      <c r="D10806" s="496"/>
    </row>
    <row r="10807" spans="1:4" x14ac:dyDescent="0.2">
      <c r="A10807" s="146"/>
      <c r="D10807" s="496"/>
    </row>
    <row r="10808" spans="1:4" x14ac:dyDescent="0.2">
      <c r="A10808" s="146"/>
      <c r="D10808" s="496"/>
    </row>
    <row r="10809" spans="1:4" x14ac:dyDescent="0.2">
      <c r="A10809" s="146"/>
      <c r="D10809" s="496"/>
    </row>
    <row r="10810" spans="1:4" x14ac:dyDescent="0.2">
      <c r="A10810" s="146"/>
      <c r="D10810" s="496"/>
    </row>
    <row r="10811" spans="1:4" x14ac:dyDescent="0.2">
      <c r="A10811" s="146"/>
      <c r="D10811" s="496"/>
    </row>
    <row r="10812" spans="1:4" x14ac:dyDescent="0.2">
      <c r="A10812" s="146"/>
      <c r="D10812" s="496"/>
    </row>
    <row r="10813" spans="1:4" x14ac:dyDescent="0.2">
      <c r="A10813" s="146"/>
      <c r="D10813" s="496"/>
    </row>
    <row r="10814" spans="1:4" x14ac:dyDescent="0.2">
      <c r="A10814" s="146"/>
      <c r="D10814" s="496"/>
    </row>
    <row r="10815" spans="1:4" x14ac:dyDescent="0.2">
      <c r="A10815" s="146"/>
      <c r="D10815" s="496"/>
    </row>
    <row r="10816" spans="1:4" x14ac:dyDescent="0.2">
      <c r="A10816" s="146"/>
      <c r="D10816" s="496"/>
    </row>
    <row r="10817" spans="1:4" x14ac:dyDescent="0.2">
      <c r="A10817" s="146"/>
      <c r="D10817" s="496"/>
    </row>
    <row r="10818" spans="1:4" x14ac:dyDescent="0.2">
      <c r="A10818" s="146"/>
      <c r="D10818" s="496"/>
    </row>
    <row r="10819" spans="1:4" x14ac:dyDescent="0.2">
      <c r="A10819" s="146"/>
      <c r="D10819" s="496"/>
    </row>
    <row r="10820" spans="1:4" x14ac:dyDescent="0.2">
      <c r="A10820" s="146"/>
      <c r="D10820" s="496"/>
    </row>
    <row r="10821" spans="1:4" x14ac:dyDescent="0.2">
      <c r="A10821" s="146"/>
      <c r="D10821" s="496"/>
    </row>
    <row r="10822" spans="1:4" x14ac:dyDescent="0.2">
      <c r="A10822" s="146"/>
      <c r="D10822" s="496"/>
    </row>
    <row r="10823" spans="1:4" x14ac:dyDescent="0.2">
      <c r="A10823" s="146"/>
      <c r="D10823" s="496"/>
    </row>
    <row r="10824" spans="1:4" x14ac:dyDescent="0.2">
      <c r="A10824" s="146"/>
      <c r="D10824" s="496"/>
    </row>
    <row r="10825" spans="1:4" x14ac:dyDescent="0.2">
      <c r="A10825" s="146"/>
      <c r="D10825" s="496"/>
    </row>
    <row r="10826" spans="1:4" x14ac:dyDescent="0.2">
      <c r="A10826" s="146"/>
      <c r="D10826" s="496"/>
    </row>
    <row r="10827" spans="1:4" x14ac:dyDescent="0.2">
      <c r="A10827" s="146"/>
      <c r="D10827" s="496"/>
    </row>
    <row r="10828" spans="1:4" x14ac:dyDescent="0.2">
      <c r="A10828" s="146"/>
      <c r="D10828" s="496"/>
    </row>
    <row r="10829" spans="1:4" x14ac:dyDescent="0.2">
      <c r="A10829" s="146"/>
      <c r="D10829" s="496"/>
    </row>
    <row r="10830" spans="1:4" x14ac:dyDescent="0.2">
      <c r="A10830" s="146"/>
      <c r="D10830" s="496"/>
    </row>
    <row r="10831" spans="1:4" x14ac:dyDescent="0.2">
      <c r="A10831" s="146"/>
      <c r="D10831" s="496"/>
    </row>
    <row r="10832" spans="1:4" x14ac:dyDescent="0.2">
      <c r="A10832" s="146"/>
      <c r="D10832" s="496"/>
    </row>
    <row r="10833" spans="1:4" x14ac:dyDescent="0.2">
      <c r="A10833" s="146"/>
      <c r="D10833" s="496"/>
    </row>
    <row r="10834" spans="1:4" x14ac:dyDescent="0.2">
      <c r="A10834" s="146"/>
      <c r="D10834" s="496"/>
    </row>
    <row r="10835" spans="1:4" x14ac:dyDescent="0.2">
      <c r="A10835" s="146"/>
      <c r="D10835" s="496"/>
    </row>
    <row r="10836" spans="1:4" x14ac:dyDescent="0.2">
      <c r="A10836" s="146"/>
      <c r="D10836" s="496"/>
    </row>
    <row r="10837" spans="1:4" x14ac:dyDescent="0.2">
      <c r="A10837" s="146"/>
      <c r="D10837" s="496"/>
    </row>
    <row r="10838" spans="1:4" x14ac:dyDescent="0.2">
      <c r="A10838" s="146"/>
      <c r="D10838" s="496"/>
    </row>
    <row r="10839" spans="1:4" x14ac:dyDescent="0.2">
      <c r="A10839" s="146"/>
      <c r="D10839" s="496"/>
    </row>
    <row r="10840" spans="1:4" x14ac:dyDescent="0.2">
      <c r="A10840" s="146"/>
      <c r="D10840" s="496"/>
    </row>
    <row r="10841" spans="1:4" x14ac:dyDescent="0.2">
      <c r="A10841" s="146"/>
      <c r="D10841" s="496"/>
    </row>
    <row r="10842" spans="1:4" x14ac:dyDescent="0.2">
      <c r="A10842" s="146"/>
      <c r="D10842" s="496"/>
    </row>
    <row r="10843" spans="1:4" x14ac:dyDescent="0.2">
      <c r="A10843" s="146"/>
      <c r="D10843" s="496"/>
    </row>
    <row r="10844" spans="1:4" x14ac:dyDescent="0.2">
      <c r="A10844" s="146"/>
      <c r="D10844" s="496"/>
    </row>
    <row r="10845" spans="1:4" x14ac:dyDescent="0.2">
      <c r="A10845" s="146"/>
      <c r="D10845" s="496"/>
    </row>
    <row r="10846" spans="1:4" x14ac:dyDescent="0.2">
      <c r="A10846" s="146"/>
      <c r="D10846" s="496"/>
    </row>
    <row r="10847" spans="1:4" x14ac:dyDescent="0.2">
      <c r="A10847" s="146"/>
      <c r="D10847" s="496"/>
    </row>
    <row r="10848" spans="1:4" x14ac:dyDescent="0.2">
      <c r="A10848" s="146"/>
      <c r="D10848" s="496"/>
    </row>
    <row r="10849" spans="1:4" x14ac:dyDescent="0.2">
      <c r="A10849" s="146"/>
      <c r="D10849" s="496"/>
    </row>
    <row r="10850" spans="1:4" x14ac:dyDescent="0.2">
      <c r="A10850" s="146"/>
      <c r="D10850" s="496"/>
    </row>
    <row r="10851" spans="1:4" x14ac:dyDescent="0.2">
      <c r="A10851" s="146"/>
      <c r="D10851" s="496"/>
    </row>
    <row r="10852" spans="1:4" x14ac:dyDescent="0.2">
      <c r="A10852" s="146"/>
      <c r="D10852" s="496"/>
    </row>
    <row r="10853" spans="1:4" x14ac:dyDescent="0.2">
      <c r="A10853" s="146"/>
      <c r="D10853" s="496"/>
    </row>
    <row r="10854" spans="1:4" x14ac:dyDescent="0.2">
      <c r="A10854" s="146"/>
      <c r="D10854" s="496"/>
    </row>
    <row r="10855" spans="1:4" x14ac:dyDescent="0.2">
      <c r="A10855" s="146"/>
      <c r="D10855" s="496"/>
    </row>
    <row r="10856" spans="1:4" x14ac:dyDescent="0.2">
      <c r="A10856" s="146"/>
      <c r="D10856" s="496"/>
    </row>
    <row r="10857" spans="1:4" x14ac:dyDescent="0.2">
      <c r="A10857" s="146"/>
      <c r="D10857" s="496"/>
    </row>
    <row r="10858" spans="1:4" x14ac:dyDescent="0.2">
      <c r="A10858" s="146"/>
      <c r="D10858" s="496"/>
    </row>
    <row r="10859" spans="1:4" x14ac:dyDescent="0.2">
      <c r="A10859" s="146"/>
      <c r="D10859" s="496"/>
    </row>
    <row r="10860" spans="1:4" x14ac:dyDescent="0.2">
      <c r="A10860" s="146"/>
      <c r="D10860" s="496"/>
    </row>
    <row r="10861" spans="1:4" x14ac:dyDescent="0.2">
      <c r="A10861" s="146"/>
      <c r="D10861" s="496"/>
    </row>
    <row r="10862" spans="1:4" x14ac:dyDescent="0.2">
      <c r="A10862" s="146"/>
      <c r="D10862" s="496"/>
    </row>
    <row r="10863" spans="1:4" x14ac:dyDescent="0.2">
      <c r="A10863" s="146"/>
      <c r="D10863" s="496"/>
    </row>
    <row r="10864" spans="1:4" x14ac:dyDescent="0.2">
      <c r="A10864" s="146"/>
      <c r="D10864" s="496"/>
    </row>
    <row r="10865" spans="1:4" x14ac:dyDescent="0.2">
      <c r="A10865" s="146"/>
      <c r="D10865" s="496"/>
    </row>
    <row r="10866" spans="1:4" x14ac:dyDescent="0.2">
      <c r="A10866" s="146"/>
      <c r="D10866" s="496"/>
    </row>
    <row r="10867" spans="1:4" x14ac:dyDescent="0.2">
      <c r="A10867" s="146"/>
      <c r="D10867" s="496"/>
    </row>
    <row r="10868" spans="1:4" x14ac:dyDescent="0.2">
      <c r="A10868" s="146"/>
      <c r="D10868" s="496"/>
    </row>
    <row r="10869" spans="1:4" x14ac:dyDescent="0.2">
      <c r="A10869" s="146"/>
      <c r="D10869" s="496"/>
    </row>
    <row r="10870" spans="1:4" x14ac:dyDescent="0.2">
      <c r="A10870" s="146"/>
      <c r="D10870" s="496"/>
    </row>
    <row r="10871" spans="1:4" x14ac:dyDescent="0.2">
      <c r="A10871" s="146"/>
      <c r="D10871" s="496"/>
    </row>
    <row r="10872" spans="1:4" x14ac:dyDescent="0.2">
      <c r="A10872" s="146"/>
      <c r="D10872" s="496"/>
    </row>
    <row r="10873" spans="1:4" x14ac:dyDescent="0.2">
      <c r="A10873" s="146"/>
      <c r="D10873" s="496"/>
    </row>
    <row r="10874" spans="1:4" x14ac:dyDescent="0.2">
      <c r="A10874" s="146"/>
      <c r="D10874" s="496"/>
    </row>
    <row r="10875" spans="1:4" x14ac:dyDescent="0.2">
      <c r="A10875" s="146"/>
      <c r="D10875" s="496"/>
    </row>
    <row r="10876" spans="1:4" x14ac:dyDescent="0.2">
      <c r="A10876" s="146"/>
      <c r="D10876" s="496"/>
    </row>
    <row r="10877" spans="1:4" x14ac:dyDescent="0.2">
      <c r="A10877" s="146"/>
      <c r="D10877" s="496"/>
    </row>
    <row r="10878" spans="1:4" x14ac:dyDescent="0.2">
      <c r="A10878" s="146"/>
      <c r="D10878" s="496"/>
    </row>
    <row r="10879" spans="1:4" x14ac:dyDescent="0.2">
      <c r="A10879" s="146"/>
      <c r="D10879" s="496"/>
    </row>
    <row r="10880" spans="1:4" x14ac:dyDescent="0.2">
      <c r="A10880" s="146"/>
      <c r="D10880" s="496"/>
    </row>
    <row r="10881" spans="1:4" x14ac:dyDescent="0.2">
      <c r="A10881" s="146"/>
      <c r="D10881" s="496"/>
    </row>
    <row r="10882" spans="1:4" x14ac:dyDescent="0.2">
      <c r="A10882" s="146"/>
      <c r="D10882" s="496"/>
    </row>
    <row r="10883" spans="1:4" x14ac:dyDescent="0.2">
      <c r="A10883" s="146"/>
      <c r="D10883" s="496"/>
    </row>
    <row r="10884" spans="1:4" x14ac:dyDescent="0.2">
      <c r="A10884" s="146"/>
      <c r="D10884" s="496"/>
    </row>
    <row r="10885" spans="1:4" x14ac:dyDescent="0.2">
      <c r="A10885" s="146"/>
      <c r="D10885" s="496"/>
    </row>
    <row r="10886" spans="1:4" x14ac:dyDescent="0.2">
      <c r="A10886" s="146"/>
      <c r="D10886" s="496"/>
    </row>
    <row r="10887" spans="1:4" x14ac:dyDescent="0.2">
      <c r="A10887" s="146"/>
      <c r="D10887" s="496"/>
    </row>
    <row r="10888" spans="1:4" x14ac:dyDescent="0.2">
      <c r="A10888" s="146"/>
      <c r="D10888" s="496"/>
    </row>
    <row r="10889" spans="1:4" x14ac:dyDescent="0.2">
      <c r="A10889" s="146"/>
      <c r="D10889" s="496"/>
    </row>
    <row r="10890" spans="1:4" x14ac:dyDescent="0.2">
      <c r="A10890" s="146"/>
      <c r="D10890" s="496"/>
    </row>
    <row r="10891" spans="1:4" x14ac:dyDescent="0.2">
      <c r="A10891" s="146"/>
      <c r="D10891" s="496"/>
    </row>
    <row r="10892" spans="1:4" x14ac:dyDescent="0.2">
      <c r="A10892" s="146"/>
      <c r="D10892" s="496"/>
    </row>
    <row r="10893" spans="1:4" x14ac:dyDescent="0.2">
      <c r="A10893" s="146"/>
      <c r="D10893" s="496"/>
    </row>
    <row r="10894" spans="1:4" x14ac:dyDescent="0.2">
      <c r="A10894" s="146"/>
      <c r="D10894" s="496"/>
    </row>
    <row r="10895" spans="1:4" x14ac:dyDescent="0.2">
      <c r="A10895" s="146"/>
      <c r="D10895" s="496"/>
    </row>
    <row r="10896" spans="1:4" x14ac:dyDescent="0.2">
      <c r="A10896" s="146"/>
      <c r="D10896" s="496"/>
    </row>
    <row r="10897" spans="1:4" x14ac:dyDescent="0.2">
      <c r="A10897" s="146"/>
      <c r="D10897" s="496"/>
    </row>
    <row r="10898" spans="1:4" x14ac:dyDescent="0.2">
      <c r="A10898" s="146"/>
      <c r="D10898" s="496"/>
    </row>
    <row r="10899" spans="1:4" x14ac:dyDescent="0.2">
      <c r="A10899" s="146"/>
      <c r="D10899" s="496"/>
    </row>
    <row r="10900" spans="1:4" x14ac:dyDescent="0.2">
      <c r="A10900" s="146"/>
      <c r="D10900" s="496"/>
    </row>
    <row r="10901" spans="1:4" x14ac:dyDescent="0.2">
      <c r="A10901" s="146"/>
      <c r="D10901" s="496"/>
    </row>
    <row r="10902" spans="1:4" x14ac:dyDescent="0.2">
      <c r="A10902" s="146"/>
      <c r="D10902" s="496"/>
    </row>
    <row r="10903" spans="1:4" x14ac:dyDescent="0.2">
      <c r="A10903" s="146"/>
      <c r="D10903" s="496"/>
    </row>
    <row r="10904" spans="1:4" x14ac:dyDescent="0.2">
      <c r="A10904" s="146"/>
      <c r="D10904" s="496"/>
    </row>
    <row r="10905" spans="1:4" x14ac:dyDescent="0.2">
      <c r="A10905" s="146"/>
      <c r="D10905" s="496"/>
    </row>
    <row r="10906" spans="1:4" x14ac:dyDescent="0.2">
      <c r="A10906" s="146"/>
      <c r="D10906" s="496"/>
    </row>
    <row r="10907" spans="1:4" x14ac:dyDescent="0.2">
      <c r="A10907" s="146"/>
      <c r="D10907" s="496"/>
    </row>
    <row r="10908" spans="1:4" x14ac:dyDescent="0.2">
      <c r="A10908" s="146"/>
      <c r="D10908" s="496"/>
    </row>
    <row r="10909" spans="1:4" x14ac:dyDescent="0.2">
      <c r="A10909" s="146"/>
      <c r="D10909" s="496"/>
    </row>
    <row r="10910" spans="1:4" x14ac:dyDescent="0.2">
      <c r="A10910" s="146"/>
      <c r="D10910" s="496"/>
    </row>
    <row r="10911" spans="1:4" x14ac:dyDescent="0.2">
      <c r="A10911" s="146"/>
      <c r="D10911" s="496"/>
    </row>
    <row r="10912" spans="1:4" x14ac:dyDescent="0.2">
      <c r="A10912" s="146"/>
      <c r="D10912" s="496"/>
    </row>
    <row r="10913" spans="1:4" x14ac:dyDescent="0.2">
      <c r="A10913" s="146"/>
      <c r="D10913" s="496"/>
    </row>
    <row r="10914" spans="1:4" x14ac:dyDescent="0.2">
      <c r="A10914" s="146"/>
      <c r="D10914" s="496"/>
    </row>
    <row r="10915" spans="1:4" x14ac:dyDescent="0.2">
      <c r="A10915" s="146"/>
      <c r="D10915" s="496"/>
    </row>
    <row r="10916" spans="1:4" x14ac:dyDescent="0.2">
      <c r="A10916" s="146"/>
      <c r="D10916" s="496"/>
    </row>
    <row r="10917" spans="1:4" x14ac:dyDescent="0.2">
      <c r="A10917" s="146"/>
      <c r="D10917" s="496"/>
    </row>
    <row r="10918" spans="1:4" x14ac:dyDescent="0.2">
      <c r="A10918" s="146"/>
      <c r="D10918" s="496"/>
    </row>
    <row r="10919" spans="1:4" x14ac:dyDescent="0.2">
      <c r="A10919" s="146"/>
      <c r="D10919" s="496"/>
    </row>
    <row r="10920" spans="1:4" x14ac:dyDescent="0.2">
      <c r="A10920" s="146"/>
      <c r="D10920" s="496"/>
    </row>
    <row r="10921" spans="1:4" x14ac:dyDescent="0.2">
      <c r="A10921" s="146"/>
      <c r="D10921" s="496"/>
    </row>
    <row r="10922" spans="1:4" x14ac:dyDescent="0.2">
      <c r="A10922" s="146"/>
      <c r="D10922" s="496"/>
    </row>
    <row r="10923" spans="1:4" x14ac:dyDescent="0.2">
      <c r="A10923" s="146"/>
      <c r="D10923" s="496"/>
    </row>
    <row r="10924" spans="1:4" x14ac:dyDescent="0.2">
      <c r="A10924" s="146"/>
      <c r="D10924" s="496"/>
    </row>
    <row r="10925" spans="1:4" x14ac:dyDescent="0.2">
      <c r="A10925" s="146"/>
      <c r="D10925" s="496"/>
    </row>
    <row r="10926" spans="1:4" x14ac:dyDescent="0.2">
      <c r="A10926" s="146"/>
      <c r="D10926" s="496"/>
    </row>
    <row r="10927" spans="1:4" x14ac:dyDescent="0.2">
      <c r="A10927" s="146"/>
      <c r="D10927" s="496"/>
    </row>
    <row r="10928" spans="1:4" x14ac:dyDescent="0.2">
      <c r="A10928" s="146"/>
      <c r="D10928" s="496"/>
    </row>
    <row r="10929" spans="1:4" x14ac:dyDescent="0.2">
      <c r="A10929" s="146"/>
      <c r="D10929" s="496"/>
    </row>
    <row r="10930" spans="1:4" x14ac:dyDescent="0.2">
      <c r="A10930" s="146"/>
      <c r="D10930" s="496"/>
    </row>
    <row r="10931" spans="1:4" x14ac:dyDescent="0.2">
      <c r="A10931" s="146"/>
      <c r="D10931" s="496"/>
    </row>
    <row r="10932" spans="1:4" x14ac:dyDescent="0.2">
      <c r="A10932" s="146"/>
      <c r="D10932" s="496"/>
    </row>
    <row r="10933" spans="1:4" x14ac:dyDescent="0.2">
      <c r="A10933" s="146"/>
      <c r="D10933" s="496"/>
    </row>
    <row r="10934" spans="1:4" x14ac:dyDescent="0.2">
      <c r="A10934" s="146"/>
      <c r="D10934" s="496"/>
    </row>
    <row r="10935" spans="1:4" x14ac:dyDescent="0.2">
      <c r="A10935" s="146"/>
      <c r="D10935" s="496"/>
    </row>
    <row r="10936" spans="1:4" x14ac:dyDescent="0.2">
      <c r="A10936" s="146"/>
      <c r="D10936" s="496"/>
    </row>
    <row r="10937" spans="1:4" x14ac:dyDescent="0.2">
      <c r="A10937" s="146"/>
      <c r="D10937" s="496"/>
    </row>
    <row r="10938" spans="1:4" x14ac:dyDescent="0.2">
      <c r="A10938" s="146"/>
      <c r="D10938" s="496"/>
    </row>
    <row r="10939" spans="1:4" x14ac:dyDescent="0.2">
      <c r="A10939" s="146"/>
      <c r="D10939" s="496"/>
    </row>
    <row r="10940" spans="1:4" x14ac:dyDescent="0.2">
      <c r="A10940" s="146"/>
      <c r="D10940" s="496"/>
    </row>
    <row r="10941" spans="1:4" x14ac:dyDescent="0.2">
      <c r="A10941" s="146"/>
      <c r="D10941" s="496"/>
    </row>
    <row r="10942" spans="1:4" x14ac:dyDescent="0.2">
      <c r="A10942" s="146"/>
      <c r="D10942" s="496"/>
    </row>
    <row r="10943" spans="1:4" x14ac:dyDescent="0.2">
      <c r="A10943" s="146"/>
      <c r="D10943" s="496"/>
    </row>
    <row r="10944" spans="1:4" x14ac:dyDescent="0.2">
      <c r="A10944" s="146"/>
      <c r="D10944" s="496"/>
    </row>
    <row r="10945" spans="1:4" x14ac:dyDescent="0.2">
      <c r="A10945" s="146"/>
      <c r="D10945" s="496"/>
    </row>
    <row r="10946" spans="1:4" x14ac:dyDescent="0.2">
      <c r="A10946" s="146"/>
      <c r="D10946" s="496"/>
    </row>
    <row r="10947" spans="1:4" x14ac:dyDescent="0.2">
      <c r="A10947" s="146"/>
      <c r="D10947" s="496"/>
    </row>
    <row r="10948" spans="1:4" x14ac:dyDescent="0.2">
      <c r="A10948" s="146"/>
      <c r="D10948" s="496"/>
    </row>
    <row r="10949" spans="1:4" x14ac:dyDescent="0.2">
      <c r="A10949" s="146"/>
      <c r="D10949" s="496"/>
    </row>
    <row r="10950" spans="1:4" x14ac:dyDescent="0.2">
      <c r="A10950" s="146"/>
      <c r="D10950" s="496"/>
    </row>
    <row r="10951" spans="1:4" x14ac:dyDescent="0.2">
      <c r="A10951" s="146"/>
      <c r="D10951" s="496"/>
    </row>
    <row r="10952" spans="1:4" x14ac:dyDescent="0.2">
      <c r="A10952" s="146"/>
      <c r="D10952" s="496"/>
    </row>
    <row r="10953" spans="1:4" x14ac:dyDescent="0.2">
      <c r="A10953" s="146"/>
      <c r="D10953" s="496"/>
    </row>
    <row r="10954" spans="1:4" x14ac:dyDescent="0.2">
      <c r="A10954" s="146"/>
      <c r="D10954" s="496"/>
    </row>
    <row r="10955" spans="1:4" x14ac:dyDescent="0.2">
      <c r="A10955" s="146"/>
      <c r="D10955" s="496"/>
    </row>
    <row r="10956" spans="1:4" x14ac:dyDescent="0.2">
      <c r="A10956" s="146"/>
      <c r="D10956" s="496"/>
    </row>
    <row r="10957" spans="1:4" x14ac:dyDescent="0.2">
      <c r="A10957" s="146"/>
      <c r="D10957" s="496"/>
    </row>
    <row r="10958" spans="1:4" x14ac:dyDescent="0.2">
      <c r="A10958" s="146"/>
      <c r="D10958" s="496"/>
    </row>
    <row r="10959" spans="1:4" x14ac:dyDescent="0.2">
      <c r="A10959" s="146"/>
      <c r="D10959" s="496"/>
    </row>
    <row r="10960" spans="1:4" x14ac:dyDescent="0.2">
      <c r="A10960" s="146"/>
      <c r="D10960" s="496"/>
    </row>
    <row r="10961" spans="1:4" x14ac:dyDescent="0.2">
      <c r="A10961" s="146"/>
      <c r="D10961" s="496"/>
    </row>
    <row r="10962" spans="1:4" x14ac:dyDescent="0.2">
      <c r="A10962" s="146"/>
      <c r="D10962" s="496"/>
    </row>
    <row r="10963" spans="1:4" x14ac:dyDescent="0.2">
      <c r="A10963" s="146"/>
      <c r="D10963" s="496"/>
    </row>
    <row r="10964" spans="1:4" x14ac:dyDescent="0.2">
      <c r="A10964" s="146"/>
      <c r="D10964" s="496"/>
    </row>
    <row r="10965" spans="1:4" x14ac:dyDescent="0.2">
      <c r="A10965" s="146"/>
      <c r="D10965" s="496"/>
    </row>
    <row r="10966" spans="1:4" x14ac:dyDescent="0.2">
      <c r="A10966" s="146"/>
      <c r="D10966" s="496"/>
    </row>
    <row r="10967" spans="1:4" x14ac:dyDescent="0.2">
      <c r="A10967" s="146"/>
      <c r="D10967" s="496"/>
    </row>
    <row r="10968" spans="1:4" x14ac:dyDescent="0.2">
      <c r="A10968" s="146"/>
      <c r="D10968" s="496"/>
    </row>
    <row r="10969" spans="1:4" x14ac:dyDescent="0.2">
      <c r="A10969" s="146"/>
      <c r="D10969" s="496"/>
    </row>
    <row r="10970" spans="1:4" x14ac:dyDescent="0.2">
      <c r="A10970" s="146"/>
      <c r="D10970" s="496"/>
    </row>
    <row r="10971" spans="1:4" x14ac:dyDescent="0.2">
      <c r="A10971" s="146"/>
      <c r="D10971" s="496"/>
    </row>
    <row r="10972" spans="1:4" x14ac:dyDescent="0.2">
      <c r="A10972" s="146"/>
      <c r="D10972" s="496"/>
    </row>
    <row r="10973" spans="1:4" x14ac:dyDescent="0.2">
      <c r="A10973" s="146"/>
      <c r="D10973" s="496"/>
    </row>
    <row r="10974" spans="1:4" x14ac:dyDescent="0.2">
      <c r="A10974" s="146"/>
      <c r="D10974" s="496"/>
    </row>
    <row r="10975" spans="1:4" x14ac:dyDescent="0.2">
      <c r="A10975" s="146"/>
      <c r="D10975" s="496"/>
    </row>
    <row r="10976" spans="1:4" x14ac:dyDescent="0.2">
      <c r="A10976" s="146"/>
      <c r="D10976" s="496"/>
    </row>
    <row r="10977" spans="1:4" x14ac:dyDescent="0.2">
      <c r="A10977" s="146"/>
      <c r="D10977" s="496"/>
    </row>
    <row r="10978" spans="1:4" x14ac:dyDescent="0.2">
      <c r="A10978" s="146"/>
      <c r="D10978" s="496"/>
    </row>
    <row r="10979" spans="1:4" x14ac:dyDescent="0.2">
      <c r="A10979" s="146"/>
      <c r="D10979" s="496"/>
    </row>
    <row r="10980" spans="1:4" x14ac:dyDescent="0.2">
      <c r="A10980" s="146"/>
      <c r="D10980" s="496"/>
    </row>
    <row r="10981" spans="1:4" x14ac:dyDescent="0.2">
      <c r="A10981" s="146"/>
      <c r="D10981" s="496"/>
    </row>
    <row r="10982" spans="1:4" x14ac:dyDescent="0.2">
      <c r="A10982" s="146"/>
      <c r="D10982" s="496"/>
    </row>
    <row r="10983" spans="1:4" x14ac:dyDescent="0.2">
      <c r="A10983" s="146"/>
      <c r="D10983" s="496"/>
    </row>
    <row r="10984" spans="1:4" x14ac:dyDescent="0.2">
      <c r="A10984" s="146"/>
      <c r="D10984" s="496"/>
    </row>
    <row r="10985" spans="1:4" x14ac:dyDescent="0.2">
      <c r="A10985" s="146"/>
      <c r="D10985" s="496"/>
    </row>
    <row r="10986" spans="1:4" x14ac:dyDescent="0.2">
      <c r="A10986" s="146"/>
      <c r="D10986" s="496"/>
    </row>
    <row r="10987" spans="1:4" x14ac:dyDescent="0.2">
      <c r="A10987" s="146"/>
      <c r="D10987" s="496"/>
    </row>
    <row r="10988" spans="1:4" x14ac:dyDescent="0.2">
      <c r="A10988" s="146"/>
      <c r="D10988" s="496"/>
    </row>
    <row r="10989" spans="1:4" x14ac:dyDescent="0.2">
      <c r="A10989" s="146"/>
      <c r="D10989" s="496"/>
    </row>
    <row r="10990" spans="1:4" x14ac:dyDescent="0.2">
      <c r="A10990" s="146"/>
      <c r="D10990" s="496"/>
    </row>
    <row r="10991" spans="1:4" x14ac:dyDescent="0.2">
      <c r="A10991" s="146"/>
      <c r="D10991" s="496"/>
    </row>
    <row r="10992" spans="1:4" x14ac:dyDescent="0.2">
      <c r="A10992" s="146"/>
      <c r="D10992" s="496"/>
    </row>
    <row r="10993" spans="1:4" x14ac:dyDescent="0.2">
      <c r="A10993" s="146"/>
      <c r="D10993" s="496"/>
    </row>
    <row r="10994" spans="1:4" x14ac:dyDescent="0.2">
      <c r="A10994" s="146"/>
      <c r="D10994" s="496"/>
    </row>
    <row r="10995" spans="1:4" x14ac:dyDescent="0.2">
      <c r="A10995" s="146"/>
      <c r="D10995" s="496"/>
    </row>
    <row r="10996" spans="1:4" x14ac:dyDescent="0.2">
      <c r="A10996" s="146"/>
      <c r="D10996" s="496"/>
    </row>
    <row r="10997" spans="1:4" x14ac:dyDescent="0.2">
      <c r="A10997" s="146"/>
      <c r="D10997" s="496"/>
    </row>
    <row r="10998" spans="1:4" x14ac:dyDescent="0.2">
      <c r="A10998" s="146"/>
      <c r="D10998" s="496"/>
    </row>
    <row r="10999" spans="1:4" x14ac:dyDescent="0.2">
      <c r="A10999" s="146"/>
      <c r="D10999" s="496"/>
    </row>
    <row r="11000" spans="1:4" x14ac:dyDescent="0.2">
      <c r="A11000" s="146"/>
      <c r="D11000" s="496"/>
    </row>
    <row r="11001" spans="1:4" x14ac:dyDescent="0.2">
      <c r="A11001" s="146"/>
      <c r="D11001" s="496"/>
    </row>
    <row r="11002" spans="1:4" x14ac:dyDescent="0.2">
      <c r="A11002" s="146"/>
      <c r="D11002" s="496"/>
    </row>
    <row r="11003" spans="1:4" x14ac:dyDescent="0.2">
      <c r="A11003" s="146"/>
      <c r="D11003" s="496"/>
    </row>
    <row r="11004" spans="1:4" x14ac:dyDescent="0.2">
      <c r="A11004" s="146"/>
      <c r="D11004" s="496"/>
    </row>
    <row r="11005" spans="1:4" x14ac:dyDescent="0.2">
      <c r="A11005" s="146"/>
      <c r="D11005" s="496"/>
    </row>
    <row r="11006" spans="1:4" x14ac:dyDescent="0.2">
      <c r="A11006" s="146"/>
      <c r="D11006" s="496"/>
    </row>
    <row r="11007" spans="1:4" x14ac:dyDescent="0.2">
      <c r="A11007" s="146"/>
      <c r="D11007" s="496"/>
    </row>
    <row r="11008" spans="1:4" x14ac:dyDescent="0.2">
      <c r="A11008" s="146"/>
      <c r="D11008" s="496"/>
    </row>
    <row r="11009" spans="1:4" x14ac:dyDescent="0.2">
      <c r="A11009" s="146"/>
      <c r="D11009" s="496"/>
    </row>
    <row r="11010" spans="1:4" x14ac:dyDescent="0.2">
      <c r="A11010" s="146"/>
      <c r="D11010" s="496"/>
    </row>
    <row r="11011" spans="1:4" x14ac:dyDescent="0.2">
      <c r="A11011" s="146"/>
      <c r="D11011" s="496"/>
    </row>
    <row r="11012" spans="1:4" x14ac:dyDescent="0.2">
      <c r="A11012" s="146"/>
      <c r="D11012" s="496"/>
    </row>
    <row r="11013" spans="1:4" x14ac:dyDescent="0.2">
      <c r="A11013" s="146"/>
      <c r="D11013" s="496"/>
    </row>
    <row r="11014" spans="1:4" x14ac:dyDescent="0.2">
      <c r="A11014" s="146"/>
      <c r="D11014" s="496"/>
    </row>
    <row r="11015" spans="1:4" x14ac:dyDescent="0.2">
      <c r="A11015" s="146"/>
      <c r="D11015" s="496"/>
    </row>
    <row r="11016" spans="1:4" x14ac:dyDescent="0.2">
      <c r="A11016" s="146"/>
      <c r="D11016" s="496"/>
    </row>
    <row r="11017" spans="1:4" x14ac:dyDescent="0.2">
      <c r="A11017" s="146"/>
      <c r="D11017" s="496"/>
    </row>
    <row r="11018" spans="1:4" x14ac:dyDescent="0.2">
      <c r="A11018" s="146"/>
      <c r="D11018" s="496"/>
    </row>
    <row r="11019" spans="1:4" x14ac:dyDescent="0.2">
      <c r="A11019" s="146"/>
      <c r="D11019" s="496"/>
    </row>
    <row r="11020" spans="1:4" x14ac:dyDescent="0.2">
      <c r="A11020" s="146"/>
      <c r="D11020" s="496"/>
    </row>
    <row r="11021" spans="1:4" x14ac:dyDescent="0.2">
      <c r="A11021" s="146"/>
      <c r="D11021" s="496"/>
    </row>
    <row r="11022" spans="1:4" x14ac:dyDescent="0.2">
      <c r="A11022" s="146"/>
      <c r="D11022" s="496"/>
    </row>
    <row r="11023" spans="1:4" x14ac:dyDescent="0.2">
      <c r="A11023" s="146"/>
      <c r="D11023" s="496"/>
    </row>
    <row r="11024" spans="1:4" x14ac:dyDescent="0.2">
      <c r="A11024" s="146"/>
      <c r="D11024" s="496"/>
    </row>
    <row r="11025" spans="1:4" x14ac:dyDescent="0.2">
      <c r="A11025" s="146"/>
      <c r="D11025" s="496"/>
    </row>
    <row r="11026" spans="1:4" x14ac:dyDescent="0.2">
      <c r="A11026" s="146"/>
      <c r="D11026" s="496"/>
    </row>
    <row r="11027" spans="1:4" x14ac:dyDescent="0.2">
      <c r="A11027" s="146"/>
      <c r="D11027" s="496"/>
    </row>
    <row r="11028" spans="1:4" x14ac:dyDescent="0.2">
      <c r="A11028" s="146"/>
      <c r="D11028" s="496"/>
    </row>
    <row r="11029" spans="1:4" x14ac:dyDescent="0.2">
      <c r="A11029" s="146"/>
      <c r="D11029" s="496"/>
    </row>
    <row r="11030" spans="1:4" x14ac:dyDescent="0.2">
      <c r="A11030" s="146"/>
      <c r="D11030" s="496"/>
    </row>
    <row r="11031" spans="1:4" x14ac:dyDescent="0.2">
      <c r="A11031" s="146"/>
      <c r="D11031" s="496"/>
    </row>
    <row r="11032" spans="1:4" x14ac:dyDescent="0.2">
      <c r="A11032" s="146"/>
      <c r="D11032" s="496"/>
    </row>
    <row r="11033" spans="1:4" x14ac:dyDescent="0.2">
      <c r="A11033" s="146"/>
      <c r="D11033" s="496"/>
    </row>
    <row r="11034" spans="1:4" x14ac:dyDescent="0.2">
      <c r="A11034" s="146"/>
      <c r="D11034" s="496"/>
    </row>
    <row r="11035" spans="1:4" x14ac:dyDescent="0.2">
      <c r="A11035" s="146"/>
      <c r="D11035" s="496"/>
    </row>
    <row r="11036" spans="1:4" x14ac:dyDescent="0.2">
      <c r="A11036" s="146"/>
      <c r="D11036" s="496"/>
    </row>
    <row r="11037" spans="1:4" x14ac:dyDescent="0.2">
      <c r="A11037" s="146"/>
      <c r="D11037" s="496"/>
    </row>
    <row r="11038" spans="1:4" x14ac:dyDescent="0.2">
      <c r="A11038" s="146"/>
      <c r="D11038" s="496"/>
    </row>
    <row r="11039" spans="1:4" x14ac:dyDescent="0.2">
      <c r="A11039" s="146"/>
      <c r="D11039" s="496"/>
    </row>
    <row r="11040" spans="1:4" x14ac:dyDescent="0.2">
      <c r="A11040" s="146"/>
      <c r="D11040" s="496"/>
    </row>
    <row r="11041" spans="1:4" x14ac:dyDescent="0.2">
      <c r="A11041" s="146"/>
      <c r="D11041" s="496"/>
    </row>
    <row r="11042" spans="1:4" x14ac:dyDescent="0.2">
      <c r="A11042" s="146"/>
      <c r="D11042" s="496"/>
    </row>
    <row r="11043" spans="1:4" x14ac:dyDescent="0.2">
      <c r="A11043" s="146"/>
      <c r="D11043" s="496"/>
    </row>
    <row r="11044" spans="1:4" x14ac:dyDescent="0.2">
      <c r="A11044" s="146"/>
      <c r="D11044" s="496"/>
    </row>
    <row r="11045" spans="1:4" x14ac:dyDescent="0.2">
      <c r="A11045" s="146"/>
      <c r="D11045" s="496"/>
    </row>
    <row r="11046" spans="1:4" x14ac:dyDescent="0.2">
      <c r="A11046" s="146"/>
      <c r="D11046" s="496"/>
    </row>
    <row r="11047" spans="1:4" x14ac:dyDescent="0.2">
      <c r="A11047" s="146"/>
      <c r="D11047" s="496"/>
    </row>
    <row r="11048" spans="1:4" x14ac:dyDescent="0.2">
      <c r="A11048" s="146"/>
      <c r="D11048" s="496"/>
    </row>
    <row r="11049" spans="1:4" x14ac:dyDescent="0.2">
      <c r="A11049" s="146"/>
      <c r="D11049" s="496"/>
    </row>
    <row r="11050" spans="1:4" x14ac:dyDescent="0.2">
      <c r="A11050" s="146"/>
      <c r="D11050" s="496"/>
    </row>
    <row r="11051" spans="1:4" x14ac:dyDescent="0.2">
      <c r="A11051" s="146"/>
      <c r="D11051" s="496"/>
    </row>
    <row r="11052" spans="1:4" x14ac:dyDescent="0.2">
      <c r="A11052" s="146"/>
      <c r="D11052" s="496"/>
    </row>
    <row r="11053" spans="1:4" x14ac:dyDescent="0.2">
      <c r="A11053" s="146"/>
      <c r="D11053" s="496"/>
    </row>
    <row r="11054" spans="1:4" x14ac:dyDescent="0.2">
      <c r="A11054" s="146"/>
      <c r="D11054" s="496"/>
    </row>
    <row r="11055" spans="1:4" x14ac:dyDescent="0.2">
      <c r="A11055" s="146"/>
      <c r="D11055" s="496"/>
    </row>
    <row r="11056" spans="1:4" x14ac:dyDescent="0.2">
      <c r="A11056" s="146"/>
      <c r="D11056" s="496"/>
    </row>
    <row r="11057" spans="1:4" x14ac:dyDescent="0.2">
      <c r="A11057" s="146"/>
      <c r="D11057" s="496"/>
    </row>
    <row r="11058" spans="1:4" x14ac:dyDescent="0.2">
      <c r="A11058" s="146"/>
      <c r="D11058" s="496"/>
    </row>
    <row r="11059" spans="1:4" x14ac:dyDescent="0.2">
      <c r="A11059" s="146"/>
      <c r="D11059" s="496"/>
    </row>
    <row r="11060" spans="1:4" x14ac:dyDescent="0.2">
      <c r="A11060" s="146"/>
      <c r="D11060" s="496"/>
    </row>
    <row r="11061" spans="1:4" x14ac:dyDescent="0.2">
      <c r="A11061" s="146"/>
      <c r="D11061" s="496"/>
    </row>
    <row r="11062" spans="1:4" x14ac:dyDescent="0.2">
      <c r="A11062" s="146"/>
      <c r="D11062" s="496"/>
    </row>
    <row r="11063" spans="1:4" x14ac:dyDescent="0.2">
      <c r="A11063" s="146"/>
      <c r="D11063" s="496"/>
    </row>
    <row r="11064" spans="1:4" x14ac:dyDescent="0.2">
      <c r="A11064" s="146"/>
      <c r="D11064" s="496"/>
    </row>
    <row r="11065" spans="1:4" x14ac:dyDescent="0.2">
      <c r="A11065" s="146"/>
      <c r="D11065" s="496"/>
    </row>
    <row r="11066" spans="1:4" x14ac:dyDescent="0.2">
      <c r="A11066" s="146"/>
      <c r="D11066" s="496"/>
    </row>
    <row r="11067" spans="1:4" x14ac:dyDescent="0.2">
      <c r="A11067" s="146"/>
      <c r="D11067" s="496"/>
    </row>
    <row r="11068" spans="1:4" x14ac:dyDescent="0.2">
      <c r="A11068" s="146"/>
      <c r="D11068" s="496"/>
    </row>
    <row r="11069" spans="1:4" x14ac:dyDescent="0.2">
      <c r="A11069" s="146"/>
      <c r="D11069" s="496"/>
    </row>
    <row r="11070" spans="1:4" x14ac:dyDescent="0.2">
      <c r="A11070" s="146"/>
      <c r="D11070" s="496"/>
    </row>
    <row r="11071" spans="1:4" x14ac:dyDescent="0.2">
      <c r="A11071" s="146"/>
      <c r="D11071" s="496"/>
    </row>
    <row r="11072" spans="1:4" x14ac:dyDescent="0.2">
      <c r="A11072" s="146"/>
      <c r="D11072" s="496"/>
    </row>
    <row r="11073" spans="1:4" x14ac:dyDescent="0.2">
      <c r="A11073" s="146"/>
      <c r="D11073" s="496"/>
    </row>
    <row r="11074" spans="1:4" x14ac:dyDescent="0.2">
      <c r="A11074" s="146"/>
      <c r="D11074" s="496"/>
    </row>
    <row r="11075" spans="1:4" x14ac:dyDescent="0.2">
      <c r="A11075" s="146"/>
      <c r="D11075" s="496"/>
    </row>
    <row r="11076" spans="1:4" x14ac:dyDescent="0.2">
      <c r="A11076" s="146"/>
      <c r="D11076" s="496"/>
    </row>
    <row r="11077" spans="1:4" x14ac:dyDescent="0.2">
      <c r="A11077" s="146"/>
      <c r="D11077" s="496"/>
    </row>
    <row r="11078" spans="1:4" x14ac:dyDescent="0.2">
      <c r="A11078" s="146"/>
      <c r="D11078" s="496"/>
    </row>
    <row r="11079" spans="1:4" x14ac:dyDescent="0.2">
      <c r="A11079" s="146"/>
      <c r="D11079" s="496"/>
    </row>
    <row r="11080" spans="1:4" x14ac:dyDescent="0.2">
      <c r="A11080" s="146"/>
      <c r="D11080" s="496"/>
    </row>
    <row r="11081" spans="1:4" x14ac:dyDescent="0.2">
      <c r="A11081" s="146"/>
      <c r="D11081" s="496"/>
    </row>
    <row r="11082" spans="1:4" x14ac:dyDescent="0.2">
      <c r="A11082" s="146"/>
      <c r="D11082" s="496"/>
    </row>
    <row r="11083" spans="1:4" x14ac:dyDescent="0.2">
      <c r="A11083" s="146"/>
      <c r="D11083" s="496"/>
    </row>
    <row r="11084" spans="1:4" x14ac:dyDescent="0.2">
      <c r="A11084" s="146"/>
      <c r="D11084" s="496"/>
    </row>
    <row r="11085" spans="1:4" x14ac:dyDescent="0.2">
      <c r="A11085" s="146"/>
      <c r="D11085" s="496"/>
    </row>
    <row r="11086" spans="1:4" x14ac:dyDescent="0.2">
      <c r="A11086" s="146"/>
      <c r="D11086" s="496"/>
    </row>
    <row r="11087" spans="1:4" x14ac:dyDescent="0.2">
      <c r="A11087" s="146"/>
      <c r="D11087" s="496"/>
    </row>
    <row r="11088" spans="1:4" x14ac:dyDescent="0.2">
      <c r="A11088" s="146"/>
      <c r="D11088" s="496"/>
    </row>
    <row r="11089" spans="1:4" x14ac:dyDescent="0.2">
      <c r="A11089" s="146"/>
      <c r="D11089" s="496"/>
    </row>
    <row r="11090" spans="1:4" x14ac:dyDescent="0.2">
      <c r="A11090" s="146"/>
      <c r="D11090" s="496"/>
    </row>
    <row r="11091" spans="1:4" x14ac:dyDescent="0.2">
      <c r="A11091" s="146"/>
      <c r="D11091" s="496"/>
    </row>
    <row r="11092" spans="1:4" x14ac:dyDescent="0.2">
      <c r="A11092" s="146"/>
      <c r="D11092" s="496"/>
    </row>
    <row r="11093" spans="1:4" x14ac:dyDescent="0.2">
      <c r="A11093" s="146"/>
      <c r="D11093" s="496"/>
    </row>
    <row r="11094" spans="1:4" x14ac:dyDescent="0.2">
      <c r="A11094" s="146"/>
      <c r="D11094" s="496"/>
    </row>
    <row r="11095" spans="1:4" x14ac:dyDescent="0.2">
      <c r="A11095" s="146"/>
      <c r="D11095" s="496"/>
    </row>
    <row r="11096" spans="1:4" x14ac:dyDescent="0.2">
      <c r="A11096" s="146"/>
      <c r="D11096" s="496"/>
    </row>
    <row r="11097" spans="1:4" x14ac:dyDescent="0.2">
      <c r="A11097" s="146"/>
      <c r="D11097" s="496"/>
    </row>
    <row r="11098" spans="1:4" x14ac:dyDescent="0.2">
      <c r="A11098" s="146"/>
      <c r="D11098" s="496"/>
    </row>
    <row r="11099" spans="1:4" x14ac:dyDescent="0.2">
      <c r="A11099" s="146"/>
      <c r="D11099" s="496"/>
    </row>
    <row r="11100" spans="1:4" x14ac:dyDescent="0.2">
      <c r="A11100" s="146"/>
      <c r="D11100" s="496"/>
    </row>
    <row r="11101" spans="1:4" x14ac:dyDescent="0.2">
      <c r="A11101" s="146"/>
      <c r="D11101" s="496"/>
    </row>
    <row r="11102" spans="1:4" x14ac:dyDescent="0.2">
      <c r="A11102" s="146"/>
      <c r="D11102" s="496"/>
    </row>
    <row r="11103" spans="1:4" x14ac:dyDescent="0.2">
      <c r="A11103" s="146"/>
      <c r="D11103" s="496"/>
    </row>
    <row r="11104" spans="1:4" x14ac:dyDescent="0.2">
      <c r="A11104" s="146"/>
      <c r="D11104" s="496"/>
    </row>
    <row r="11105" spans="1:4" x14ac:dyDescent="0.2">
      <c r="A11105" s="146"/>
      <c r="D11105" s="496"/>
    </row>
    <row r="11106" spans="1:4" x14ac:dyDescent="0.2">
      <c r="A11106" s="146"/>
      <c r="D11106" s="496"/>
    </row>
    <row r="11107" spans="1:4" x14ac:dyDescent="0.2">
      <c r="A11107" s="146"/>
      <c r="D11107" s="496"/>
    </row>
    <row r="11108" spans="1:4" x14ac:dyDescent="0.2">
      <c r="A11108" s="146"/>
      <c r="D11108" s="496"/>
    </row>
    <row r="11109" spans="1:4" x14ac:dyDescent="0.2">
      <c r="A11109" s="146"/>
      <c r="D11109" s="496"/>
    </row>
    <row r="11110" spans="1:4" x14ac:dyDescent="0.2">
      <c r="A11110" s="146"/>
      <c r="D11110" s="496"/>
    </row>
    <row r="11111" spans="1:4" x14ac:dyDescent="0.2">
      <c r="A11111" s="146"/>
      <c r="D11111" s="496"/>
    </row>
    <row r="11112" spans="1:4" x14ac:dyDescent="0.2">
      <c r="A11112" s="146"/>
      <c r="D11112" s="496"/>
    </row>
    <row r="11113" spans="1:4" x14ac:dyDescent="0.2">
      <c r="A11113" s="146"/>
      <c r="D11113" s="496"/>
    </row>
    <row r="11114" spans="1:4" x14ac:dyDescent="0.2">
      <c r="A11114" s="146"/>
      <c r="D11114" s="496"/>
    </row>
    <row r="11115" spans="1:4" x14ac:dyDescent="0.2">
      <c r="A11115" s="146"/>
      <c r="D11115" s="496"/>
    </row>
    <row r="11116" spans="1:4" x14ac:dyDescent="0.2">
      <c r="A11116" s="146"/>
      <c r="D11116" s="496"/>
    </row>
    <row r="11117" spans="1:4" x14ac:dyDescent="0.2">
      <c r="A11117" s="146"/>
      <c r="D11117" s="496"/>
    </row>
    <row r="11118" spans="1:4" x14ac:dyDescent="0.2">
      <c r="A11118" s="146"/>
      <c r="D11118" s="496"/>
    </row>
    <row r="11119" spans="1:4" x14ac:dyDescent="0.2">
      <c r="A11119" s="146"/>
      <c r="D11119" s="496"/>
    </row>
    <row r="11120" spans="1:4" x14ac:dyDescent="0.2">
      <c r="A11120" s="146"/>
      <c r="D11120" s="496"/>
    </row>
    <row r="11121" spans="1:4" x14ac:dyDescent="0.2">
      <c r="A11121" s="146"/>
      <c r="D11121" s="496"/>
    </row>
    <row r="11122" spans="1:4" x14ac:dyDescent="0.2">
      <c r="A11122" s="146"/>
      <c r="D11122" s="496"/>
    </row>
    <row r="11123" spans="1:4" x14ac:dyDescent="0.2">
      <c r="A11123" s="146"/>
      <c r="D11123" s="496"/>
    </row>
    <row r="11124" spans="1:4" x14ac:dyDescent="0.2">
      <c r="A11124" s="146"/>
      <c r="D11124" s="496"/>
    </row>
    <row r="11125" spans="1:4" x14ac:dyDescent="0.2">
      <c r="A11125" s="146"/>
      <c r="D11125" s="496"/>
    </row>
    <row r="11126" spans="1:4" x14ac:dyDescent="0.2">
      <c r="A11126" s="146"/>
      <c r="D11126" s="496"/>
    </row>
    <row r="11127" spans="1:4" x14ac:dyDescent="0.2">
      <c r="A11127" s="146"/>
      <c r="D11127" s="496"/>
    </row>
    <row r="11128" spans="1:4" x14ac:dyDescent="0.2">
      <c r="A11128" s="146"/>
      <c r="D11128" s="496"/>
    </row>
    <row r="11129" spans="1:4" x14ac:dyDescent="0.2">
      <c r="A11129" s="146"/>
      <c r="D11129" s="496"/>
    </row>
    <row r="11130" spans="1:4" x14ac:dyDescent="0.2">
      <c r="A11130" s="146"/>
      <c r="D11130" s="496"/>
    </row>
    <row r="11131" spans="1:4" x14ac:dyDescent="0.2">
      <c r="A11131" s="146"/>
      <c r="D11131" s="496"/>
    </row>
    <row r="11132" spans="1:4" x14ac:dyDescent="0.2">
      <c r="A11132" s="146"/>
      <c r="D11132" s="496"/>
    </row>
    <row r="11133" spans="1:4" x14ac:dyDescent="0.2">
      <c r="A11133" s="146"/>
      <c r="D11133" s="496"/>
    </row>
    <row r="11134" spans="1:4" x14ac:dyDescent="0.2">
      <c r="A11134" s="146"/>
      <c r="D11134" s="496"/>
    </row>
    <row r="11135" spans="1:4" x14ac:dyDescent="0.2">
      <c r="A11135" s="146"/>
      <c r="D11135" s="496"/>
    </row>
    <row r="11136" spans="1:4" x14ac:dyDescent="0.2">
      <c r="A11136" s="146"/>
      <c r="D11136" s="496"/>
    </row>
    <row r="11137" spans="1:4" x14ac:dyDescent="0.2">
      <c r="A11137" s="146"/>
      <c r="D11137" s="496"/>
    </row>
    <row r="11138" spans="1:4" x14ac:dyDescent="0.2">
      <c r="A11138" s="146"/>
      <c r="D11138" s="496"/>
    </row>
    <row r="11139" spans="1:4" x14ac:dyDescent="0.2">
      <c r="A11139" s="146"/>
      <c r="D11139" s="496"/>
    </row>
    <row r="11140" spans="1:4" x14ac:dyDescent="0.2">
      <c r="A11140" s="146"/>
      <c r="D11140" s="496"/>
    </row>
    <row r="11141" spans="1:4" x14ac:dyDescent="0.2">
      <c r="A11141" s="146"/>
      <c r="D11141" s="496"/>
    </row>
    <row r="11142" spans="1:4" x14ac:dyDescent="0.2">
      <c r="A11142" s="146"/>
      <c r="D11142" s="496"/>
    </row>
    <row r="11143" spans="1:4" x14ac:dyDescent="0.2">
      <c r="A11143" s="146"/>
      <c r="D11143" s="496"/>
    </row>
    <row r="11144" spans="1:4" x14ac:dyDescent="0.2">
      <c r="A11144" s="146"/>
      <c r="D11144" s="496"/>
    </row>
    <row r="11145" spans="1:4" x14ac:dyDescent="0.2">
      <c r="A11145" s="146"/>
      <c r="D11145" s="496"/>
    </row>
    <row r="11146" spans="1:4" x14ac:dyDescent="0.2">
      <c r="A11146" s="146"/>
      <c r="D11146" s="496"/>
    </row>
    <row r="11147" spans="1:4" x14ac:dyDescent="0.2">
      <c r="A11147" s="146"/>
      <c r="D11147" s="496"/>
    </row>
    <row r="11148" spans="1:4" x14ac:dyDescent="0.2">
      <c r="A11148" s="146"/>
      <c r="D11148" s="496"/>
    </row>
    <row r="11149" spans="1:4" x14ac:dyDescent="0.2">
      <c r="A11149" s="146"/>
      <c r="D11149" s="496"/>
    </row>
    <row r="11150" spans="1:4" x14ac:dyDescent="0.2">
      <c r="A11150" s="146"/>
      <c r="D11150" s="496"/>
    </row>
    <row r="11151" spans="1:4" x14ac:dyDescent="0.2">
      <c r="A11151" s="146"/>
      <c r="D11151" s="496"/>
    </row>
    <row r="11152" spans="1:4" x14ac:dyDescent="0.2">
      <c r="A11152" s="146"/>
      <c r="D11152" s="496"/>
    </row>
    <row r="11153" spans="1:4" x14ac:dyDescent="0.2">
      <c r="A11153" s="146"/>
      <c r="D11153" s="496"/>
    </row>
    <row r="11154" spans="1:4" x14ac:dyDescent="0.2">
      <c r="A11154" s="146"/>
      <c r="D11154" s="496"/>
    </row>
    <row r="11155" spans="1:4" x14ac:dyDescent="0.2">
      <c r="A11155" s="146"/>
      <c r="D11155" s="496"/>
    </row>
    <row r="11156" spans="1:4" x14ac:dyDescent="0.2">
      <c r="A11156" s="146"/>
      <c r="D11156" s="496"/>
    </row>
    <row r="11157" spans="1:4" x14ac:dyDescent="0.2">
      <c r="A11157" s="146"/>
      <c r="D11157" s="496"/>
    </row>
    <row r="11158" spans="1:4" x14ac:dyDescent="0.2">
      <c r="A11158" s="146"/>
      <c r="D11158" s="496"/>
    </row>
    <row r="11159" spans="1:4" x14ac:dyDescent="0.2">
      <c r="A11159" s="146"/>
      <c r="D11159" s="496"/>
    </row>
    <row r="11160" spans="1:4" x14ac:dyDescent="0.2">
      <c r="A11160" s="146"/>
      <c r="D11160" s="496"/>
    </row>
    <row r="11161" spans="1:4" x14ac:dyDescent="0.2">
      <c r="A11161" s="146"/>
      <c r="D11161" s="496"/>
    </row>
    <row r="11162" spans="1:4" x14ac:dyDescent="0.2">
      <c r="A11162" s="146"/>
      <c r="D11162" s="496"/>
    </row>
    <row r="11163" spans="1:4" x14ac:dyDescent="0.2">
      <c r="A11163" s="146"/>
      <c r="D11163" s="496"/>
    </row>
    <row r="11164" spans="1:4" x14ac:dyDescent="0.2">
      <c r="A11164" s="146"/>
      <c r="D11164" s="496"/>
    </row>
    <row r="11165" spans="1:4" x14ac:dyDescent="0.2">
      <c r="A11165" s="146"/>
      <c r="D11165" s="496"/>
    </row>
    <row r="11166" spans="1:4" x14ac:dyDescent="0.2">
      <c r="A11166" s="146"/>
      <c r="D11166" s="496"/>
    </row>
    <row r="11167" spans="1:4" x14ac:dyDescent="0.2">
      <c r="A11167" s="146"/>
      <c r="D11167" s="496"/>
    </row>
    <row r="11168" spans="1:4" x14ac:dyDescent="0.2">
      <c r="A11168" s="146"/>
      <c r="D11168" s="496"/>
    </row>
    <row r="11169" spans="1:4" x14ac:dyDescent="0.2">
      <c r="A11169" s="146"/>
      <c r="D11169" s="496"/>
    </row>
    <row r="11170" spans="1:4" x14ac:dyDescent="0.2">
      <c r="A11170" s="146"/>
      <c r="D11170" s="496"/>
    </row>
    <row r="11171" spans="1:4" x14ac:dyDescent="0.2">
      <c r="A11171" s="146"/>
      <c r="D11171" s="496"/>
    </row>
    <row r="11172" spans="1:4" x14ac:dyDescent="0.2">
      <c r="A11172" s="146"/>
      <c r="D11172" s="496"/>
    </row>
    <row r="11173" spans="1:4" x14ac:dyDescent="0.2">
      <c r="A11173" s="146"/>
      <c r="D11173" s="496"/>
    </row>
    <row r="11174" spans="1:4" x14ac:dyDescent="0.2">
      <c r="A11174" s="146"/>
      <c r="D11174" s="496"/>
    </row>
    <row r="11175" spans="1:4" x14ac:dyDescent="0.2">
      <c r="A11175" s="146"/>
      <c r="D11175" s="496"/>
    </row>
    <row r="11176" spans="1:4" x14ac:dyDescent="0.2">
      <c r="A11176" s="146"/>
      <c r="D11176" s="496"/>
    </row>
    <row r="11177" spans="1:4" x14ac:dyDescent="0.2">
      <c r="A11177" s="146"/>
      <c r="D11177" s="496"/>
    </row>
    <row r="11178" spans="1:4" x14ac:dyDescent="0.2">
      <c r="A11178" s="146"/>
      <c r="D11178" s="496"/>
    </row>
    <row r="11179" spans="1:4" x14ac:dyDescent="0.2">
      <c r="A11179" s="146"/>
      <c r="D11179" s="496"/>
    </row>
    <row r="11180" spans="1:4" x14ac:dyDescent="0.2">
      <c r="A11180" s="146"/>
      <c r="D11180" s="496"/>
    </row>
    <row r="11181" spans="1:4" x14ac:dyDescent="0.2">
      <c r="A11181" s="146"/>
      <c r="D11181" s="496"/>
    </row>
    <row r="11182" spans="1:4" x14ac:dyDescent="0.2">
      <c r="A11182" s="146"/>
      <c r="D11182" s="496"/>
    </row>
    <row r="11183" spans="1:4" x14ac:dyDescent="0.2">
      <c r="A11183" s="146"/>
      <c r="D11183" s="496"/>
    </row>
    <row r="11184" spans="1:4" x14ac:dyDescent="0.2">
      <c r="A11184" s="146"/>
      <c r="D11184" s="496"/>
    </row>
    <row r="11185" spans="1:4" x14ac:dyDescent="0.2">
      <c r="A11185" s="146"/>
      <c r="D11185" s="496"/>
    </row>
    <row r="11186" spans="1:4" x14ac:dyDescent="0.2">
      <c r="A11186" s="146"/>
      <c r="D11186" s="496"/>
    </row>
    <row r="11187" spans="1:4" x14ac:dyDescent="0.2">
      <c r="A11187" s="146"/>
      <c r="D11187" s="496"/>
    </row>
    <row r="11188" spans="1:4" x14ac:dyDescent="0.2">
      <c r="A11188" s="146"/>
      <c r="D11188" s="496"/>
    </row>
    <row r="11189" spans="1:4" x14ac:dyDescent="0.2">
      <c r="A11189" s="146"/>
      <c r="D11189" s="496"/>
    </row>
    <row r="11190" spans="1:4" x14ac:dyDescent="0.2">
      <c r="A11190" s="146"/>
      <c r="D11190" s="496"/>
    </row>
    <row r="11191" spans="1:4" x14ac:dyDescent="0.2">
      <c r="A11191" s="146"/>
      <c r="D11191" s="496"/>
    </row>
    <row r="11192" spans="1:4" x14ac:dyDescent="0.2">
      <c r="A11192" s="146"/>
      <c r="D11192" s="496"/>
    </row>
    <row r="11193" spans="1:4" x14ac:dyDescent="0.2">
      <c r="A11193" s="146"/>
      <c r="D11193" s="496"/>
    </row>
    <row r="11194" spans="1:4" x14ac:dyDescent="0.2">
      <c r="A11194" s="146"/>
      <c r="D11194" s="496"/>
    </row>
    <row r="11195" spans="1:4" x14ac:dyDescent="0.2">
      <c r="A11195" s="146"/>
      <c r="D11195" s="496"/>
    </row>
    <row r="11196" spans="1:4" x14ac:dyDescent="0.2">
      <c r="A11196" s="146"/>
      <c r="D11196" s="496"/>
    </row>
    <row r="11197" spans="1:4" x14ac:dyDescent="0.2">
      <c r="A11197" s="146"/>
      <c r="D11197" s="496"/>
    </row>
    <row r="11198" spans="1:4" x14ac:dyDescent="0.2">
      <c r="A11198" s="146"/>
      <c r="D11198" s="496"/>
    </row>
    <row r="11199" spans="1:4" x14ac:dyDescent="0.2">
      <c r="A11199" s="146"/>
      <c r="D11199" s="496"/>
    </row>
    <row r="11200" spans="1:4" x14ac:dyDescent="0.2">
      <c r="A11200" s="146"/>
      <c r="D11200" s="496"/>
    </row>
    <row r="11201" spans="1:4" x14ac:dyDescent="0.2">
      <c r="A11201" s="146"/>
      <c r="D11201" s="496"/>
    </row>
    <row r="11202" spans="1:4" x14ac:dyDescent="0.2">
      <c r="A11202" s="146"/>
      <c r="D11202" s="496"/>
    </row>
    <row r="11203" spans="1:4" x14ac:dyDescent="0.2">
      <c r="A11203" s="146"/>
      <c r="D11203" s="496"/>
    </row>
    <row r="11204" spans="1:4" x14ac:dyDescent="0.2">
      <c r="A11204" s="146"/>
      <c r="D11204" s="496"/>
    </row>
    <row r="11205" spans="1:4" x14ac:dyDescent="0.2">
      <c r="A11205" s="146"/>
      <c r="D11205" s="496"/>
    </row>
    <row r="11206" spans="1:4" x14ac:dyDescent="0.2">
      <c r="A11206" s="146"/>
      <c r="D11206" s="496"/>
    </row>
    <row r="11207" spans="1:4" x14ac:dyDescent="0.2">
      <c r="A11207" s="146"/>
      <c r="D11207" s="496"/>
    </row>
    <row r="11208" spans="1:4" x14ac:dyDescent="0.2">
      <c r="A11208" s="146"/>
      <c r="D11208" s="496"/>
    </row>
    <row r="11209" spans="1:4" x14ac:dyDescent="0.2">
      <c r="A11209" s="146"/>
      <c r="D11209" s="496"/>
    </row>
    <row r="11210" spans="1:4" x14ac:dyDescent="0.2">
      <c r="A11210" s="146"/>
      <c r="D11210" s="496"/>
    </row>
    <row r="11211" spans="1:4" x14ac:dyDescent="0.2">
      <c r="A11211" s="146"/>
      <c r="D11211" s="496"/>
    </row>
    <row r="11212" spans="1:4" x14ac:dyDescent="0.2">
      <c r="A11212" s="146"/>
      <c r="D11212" s="496"/>
    </row>
    <row r="11213" spans="1:4" x14ac:dyDescent="0.2">
      <c r="A11213" s="146"/>
      <c r="D11213" s="496"/>
    </row>
    <row r="11214" spans="1:4" x14ac:dyDescent="0.2">
      <c r="A11214" s="146"/>
      <c r="D11214" s="496"/>
    </row>
    <row r="11215" spans="1:4" x14ac:dyDescent="0.2">
      <c r="A11215" s="146"/>
      <c r="D11215" s="496"/>
    </row>
    <row r="11216" spans="1:4" x14ac:dyDescent="0.2">
      <c r="A11216" s="146"/>
      <c r="D11216" s="496"/>
    </row>
    <row r="11217" spans="1:4" x14ac:dyDescent="0.2">
      <c r="A11217" s="146"/>
      <c r="D11217" s="496"/>
    </row>
    <row r="11218" spans="1:4" x14ac:dyDescent="0.2">
      <c r="A11218" s="146"/>
      <c r="D11218" s="496"/>
    </row>
    <row r="11219" spans="1:4" x14ac:dyDescent="0.2">
      <c r="A11219" s="146"/>
      <c r="D11219" s="496"/>
    </row>
    <row r="11220" spans="1:4" x14ac:dyDescent="0.2">
      <c r="A11220" s="146"/>
      <c r="D11220" s="496"/>
    </row>
    <row r="11221" spans="1:4" x14ac:dyDescent="0.2">
      <c r="A11221" s="146"/>
      <c r="D11221" s="496"/>
    </row>
    <row r="11222" spans="1:4" x14ac:dyDescent="0.2">
      <c r="A11222" s="146"/>
      <c r="D11222" s="496"/>
    </row>
    <row r="11223" spans="1:4" x14ac:dyDescent="0.2">
      <c r="A11223" s="146"/>
      <c r="D11223" s="496"/>
    </row>
    <row r="11224" spans="1:4" x14ac:dyDescent="0.2">
      <c r="A11224" s="146"/>
      <c r="D11224" s="496"/>
    </row>
    <row r="11225" spans="1:4" x14ac:dyDescent="0.2">
      <c r="A11225" s="146"/>
      <c r="D11225" s="496"/>
    </row>
    <row r="11226" spans="1:4" x14ac:dyDescent="0.2">
      <c r="A11226" s="146"/>
      <c r="D11226" s="496"/>
    </row>
    <row r="11227" spans="1:4" x14ac:dyDescent="0.2">
      <c r="A11227" s="146"/>
      <c r="D11227" s="496"/>
    </row>
    <row r="11228" spans="1:4" x14ac:dyDescent="0.2">
      <c r="A11228" s="146"/>
      <c r="D11228" s="496"/>
    </row>
    <row r="11229" spans="1:4" x14ac:dyDescent="0.2">
      <c r="A11229" s="146"/>
      <c r="D11229" s="496"/>
    </row>
    <row r="11230" spans="1:4" x14ac:dyDescent="0.2">
      <c r="A11230" s="146"/>
      <c r="D11230" s="496"/>
    </row>
    <row r="11231" spans="1:4" x14ac:dyDescent="0.2">
      <c r="A11231" s="146"/>
      <c r="D11231" s="496"/>
    </row>
    <row r="11232" spans="1:4" x14ac:dyDescent="0.2">
      <c r="A11232" s="146"/>
      <c r="D11232" s="496"/>
    </row>
    <row r="11233" spans="1:4" x14ac:dyDescent="0.2">
      <c r="A11233" s="146"/>
      <c r="D11233" s="496"/>
    </row>
    <row r="11234" spans="1:4" x14ac:dyDescent="0.2">
      <c r="A11234" s="146"/>
      <c r="D11234" s="496"/>
    </row>
    <row r="11235" spans="1:4" x14ac:dyDescent="0.2">
      <c r="A11235" s="146"/>
      <c r="D11235" s="496"/>
    </row>
    <row r="11236" spans="1:4" x14ac:dyDescent="0.2">
      <c r="A11236" s="146"/>
      <c r="D11236" s="496"/>
    </row>
    <row r="11237" spans="1:4" x14ac:dyDescent="0.2">
      <c r="A11237" s="146"/>
      <c r="D11237" s="496"/>
    </row>
    <row r="11238" spans="1:4" x14ac:dyDescent="0.2">
      <c r="A11238" s="146"/>
      <c r="D11238" s="496"/>
    </row>
    <row r="11239" spans="1:4" x14ac:dyDescent="0.2">
      <c r="A11239" s="146"/>
      <c r="D11239" s="496"/>
    </row>
    <row r="11240" spans="1:4" x14ac:dyDescent="0.2">
      <c r="A11240" s="146"/>
      <c r="D11240" s="496"/>
    </row>
    <row r="11241" spans="1:4" x14ac:dyDescent="0.2">
      <c r="A11241" s="146"/>
      <c r="D11241" s="496"/>
    </row>
    <row r="11242" spans="1:4" x14ac:dyDescent="0.2">
      <c r="A11242" s="146"/>
      <c r="D11242" s="496"/>
    </row>
    <row r="11243" spans="1:4" x14ac:dyDescent="0.2">
      <c r="A11243" s="146"/>
      <c r="D11243" s="496"/>
    </row>
    <row r="11244" spans="1:4" x14ac:dyDescent="0.2">
      <c r="A11244" s="146"/>
      <c r="D11244" s="496"/>
    </row>
    <row r="11245" spans="1:4" x14ac:dyDescent="0.2">
      <c r="A11245" s="146"/>
      <c r="D11245" s="496"/>
    </row>
    <row r="11246" spans="1:4" x14ac:dyDescent="0.2">
      <c r="A11246" s="146"/>
      <c r="D11246" s="496"/>
    </row>
    <row r="11247" spans="1:4" x14ac:dyDescent="0.2">
      <c r="A11247" s="146"/>
      <c r="D11247" s="496"/>
    </row>
    <row r="11248" spans="1:4" x14ac:dyDescent="0.2">
      <c r="A11248" s="146"/>
      <c r="D11248" s="496"/>
    </row>
    <row r="11249" spans="1:4" x14ac:dyDescent="0.2">
      <c r="A11249" s="146"/>
      <c r="D11249" s="496"/>
    </row>
    <row r="11250" spans="1:4" x14ac:dyDescent="0.2">
      <c r="A11250" s="146"/>
      <c r="D11250" s="496"/>
    </row>
    <row r="11251" spans="1:4" x14ac:dyDescent="0.2">
      <c r="A11251" s="146"/>
      <c r="D11251" s="496"/>
    </row>
    <row r="11252" spans="1:4" x14ac:dyDescent="0.2">
      <c r="A11252" s="146"/>
      <c r="D11252" s="496"/>
    </row>
    <row r="11253" spans="1:4" x14ac:dyDescent="0.2">
      <c r="A11253" s="146"/>
      <c r="D11253" s="496"/>
    </row>
    <row r="11254" spans="1:4" x14ac:dyDescent="0.2">
      <c r="A11254" s="146"/>
      <c r="D11254" s="496"/>
    </row>
    <row r="11255" spans="1:4" x14ac:dyDescent="0.2">
      <c r="A11255" s="146"/>
      <c r="D11255" s="496"/>
    </row>
    <row r="11256" spans="1:4" x14ac:dyDescent="0.2">
      <c r="A11256" s="146"/>
      <c r="D11256" s="496"/>
    </row>
    <row r="11257" spans="1:4" x14ac:dyDescent="0.2">
      <c r="A11257" s="146"/>
      <c r="D11257" s="496"/>
    </row>
    <row r="11258" spans="1:4" x14ac:dyDescent="0.2">
      <c r="A11258" s="146"/>
      <c r="D11258" s="496"/>
    </row>
    <row r="11259" spans="1:4" x14ac:dyDescent="0.2">
      <c r="A11259" s="146"/>
      <c r="D11259" s="496"/>
    </row>
    <row r="11260" spans="1:4" x14ac:dyDescent="0.2">
      <c r="A11260" s="146"/>
      <c r="D11260" s="496"/>
    </row>
    <row r="11261" spans="1:4" x14ac:dyDescent="0.2">
      <c r="A11261" s="146"/>
      <c r="D11261" s="496"/>
    </row>
    <row r="11262" spans="1:4" x14ac:dyDescent="0.2">
      <c r="A11262" s="146"/>
      <c r="D11262" s="496"/>
    </row>
    <row r="11263" spans="1:4" x14ac:dyDescent="0.2">
      <c r="A11263" s="146"/>
      <c r="D11263" s="496"/>
    </row>
    <row r="11264" spans="1:4" x14ac:dyDescent="0.2">
      <c r="A11264" s="146"/>
      <c r="D11264" s="496"/>
    </row>
    <row r="11265" spans="1:4" x14ac:dyDescent="0.2">
      <c r="A11265" s="146"/>
      <c r="D11265" s="496"/>
    </row>
    <row r="11266" spans="1:4" x14ac:dyDescent="0.2">
      <c r="A11266" s="146"/>
      <c r="D11266" s="496"/>
    </row>
    <row r="11267" spans="1:4" x14ac:dyDescent="0.2">
      <c r="A11267" s="146"/>
      <c r="D11267" s="496"/>
    </row>
    <row r="11268" spans="1:4" x14ac:dyDescent="0.2">
      <c r="A11268" s="146"/>
      <c r="D11268" s="496"/>
    </row>
    <row r="11269" spans="1:4" x14ac:dyDescent="0.2">
      <c r="A11269" s="146"/>
      <c r="D11269" s="496"/>
    </row>
    <row r="11270" spans="1:4" x14ac:dyDescent="0.2">
      <c r="A11270" s="146"/>
      <c r="D11270" s="496"/>
    </row>
    <row r="11271" spans="1:4" x14ac:dyDescent="0.2">
      <c r="A11271" s="146"/>
      <c r="D11271" s="496"/>
    </row>
    <row r="11272" spans="1:4" x14ac:dyDescent="0.2">
      <c r="A11272" s="146"/>
      <c r="D11272" s="496"/>
    </row>
    <row r="11273" spans="1:4" x14ac:dyDescent="0.2">
      <c r="A11273" s="146"/>
      <c r="D11273" s="496"/>
    </row>
    <row r="11274" spans="1:4" x14ac:dyDescent="0.2">
      <c r="A11274" s="146"/>
      <c r="D11274" s="496"/>
    </row>
    <row r="11275" spans="1:4" x14ac:dyDescent="0.2">
      <c r="A11275" s="146"/>
      <c r="D11275" s="496"/>
    </row>
    <row r="11276" spans="1:4" x14ac:dyDescent="0.2">
      <c r="A11276" s="146"/>
      <c r="D11276" s="496"/>
    </row>
    <row r="11277" spans="1:4" x14ac:dyDescent="0.2">
      <c r="A11277" s="146"/>
      <c r="D11277" s="496"/>
    </row>
    <row r="11278" spans="1:4" x14ac:dyDescent="0.2">
      <c r="A11278" s="146"/>
      <c r="D11278" s="496"/>
    </row>
    <row r="11279" spans="1:4" x14ac:dyDescent="0.2">
      <c r="A11279" s="146"/>
      <c r="D11279" s="496"/>
    </row>
    <row r="11280" spans="1:4" x14ac:dyDescent="0.2">
      <c r="A11280" s="146"/>
      <c r="D11280" s="496"/>
    </row>
    <row r="11281" spans="1:4" x14ac:dyDescent="0.2">
      <c r="A11281" s="146"/>
      <c r="D11281" s="496"/>
    </row>
    <row r="11282" spans="1:4" x14ac:dyDescent="0.2">
      <c r="A11282" s="146"/>
      <c r="D11282" s="496"/>
    </row>
    <row r="11283" spans="1:4" x14ac:dyDescent="0.2">
      <c r="A11283" s="146"/>
      <c r="D11283" s="496"/>
    </row>
    <row r="11284" spans="1:4" x14ac:dyDescent="0.2">
      <c r="A11284" s="146"/>
      <c r="D11284" s="496"/>
    </row>
    <row r="11285" spans="1:4" x14ac:dyDescent="0.2">
      <c r="A11285" s="146"/>
      <c r="D11285" s="496"/>
    </row>
    <row r="11286" spans="1:4" x14ac:dyDescent="0.2">
      <c r="A11286" s="146"/>
      <c r="D11286" s="496"/>
    </row>
    <row r="11287" spans="1:4" x14ac:dyDescent="0.2">
      <c r="A11287" s="146"/>
      <c r="D11287" s="496"/>
    </row>
    <row r="11288" spans="1:4" x14ac:dyDescent="0.2">
      <c r="A11288" s="146"/>
      <c r="D11288" s="496"/>
    </row>
    <row r="11289" spans="1:4" x14ac:dyDescent="0.2">
      <c r="A11289" s="146"/>
      <c r="D11289" s="496"/>
    </row>
    <row r="11290" spans="1:4" x14ac:dyDescent="0.2">
      <c r="A11290" s="146"/>
      <c r="D11290" s="496"/>
    </row>
    <row r="11291" spans="1:4" x14ac:dyDescent="0.2">
      <c r="A11291" s="146"/>
      <c r="D11291" s="496"/>
    </row>
    <row r="11292" spans="1:4" x14ac:dyDescent="0.2">
      <c r="A11292" s="146"/>
      <c r="D11292" s="496"/>
    </row>
    <row r="11293" spans="1:4" x14ac:dyDescent="0.2">
      <c r="A11293" s="146"/>
      <c r="D11293" s="496"/>
    </row>
    <row r="11294" spans="1:4" x14ac:dyDescent="0.2">
      <c r="A11294" s="146"/>
      <c r="D11294" s="496"/>
    </row>
    <row r="11295" spans="1:4" x14ac:dyDescent="0.2">
      <c r="A11295" s="146"/>
      <c r="D11295" s="496"/>
    </row>
    <row r="11296" spans="1:4" x14ac:dyDescent="0.2">
      <c r="A11296" s="146"/>
      <c r="D11296" s="496"/>
    </row>
    <row r="11297" spans="1:4" x14ac:dyDescent="0.2">
      <c r="A11297" s="146"/>
      <c r="D11297" s="496"/>
    </row>
    <row r="11298" spans="1:4" x14ac:dyDescent="0.2">
      <c r="A11298" s="146"/>
      <c r="D11298" s="496"/>
    </row>
    <row r="11299" spans="1:4" x14ac:dyDescent="0.2">
      <c r="A11299" s="146"/>
      <c r="D11299" s="496"/>
    </row>
    <row r="11300" spans="1:4" x14ac:dyDescent="0.2">
      <c r="A11300" s="146"/>
      <c r="D11300" s="496"/>
    </row>
    <row r="11301" spans="1:4" x14ac:dyDescent="0.2">
      <c r="A11301" s="146"/>
      <c r="D11301" s="496"/>
    </row>
    <row r="11302" spans="1:4" x14ac:dyDescent="0.2">
      <c r="A11302" s="146"/>
      <c r="D11302" s="496"/>
    </row>
    <row r="11303" spans="1:4" x14ac:dyDescent="0.2">
      <c r="A11303" s="146"/>
      <c r="D11303" s="496"/>
    </row>
    <row r="11304" spans="1:4" x14ac:dyDescent="0.2">
      <c r="A11304" s="146"/>
      <c r="D11304" s="496"/>
    </row>
    <row r="11305" spans="1:4" x14ac:dyDescent="0.2">
      <c r="A11305" s="146"/>
      <c r="D11305" s="496"/>
    </row>
    <row r="11306" spans="1:4" x14ac:dyDescent="0.2">
      <c r="A11306" s="146"/>
      <c r="D11306" s="496"/>
    </row>
    <row r="11307" spans="1:4" x14ac:dyDescent="0.2">
      <c r="A11307" s="146"/>
      <c r="D11307" s="496"/>
    </row>
    <row r="11308" spans="1:4" x14ac:dyDescent="0.2">
      <c r="A11308" s="146"/>
      <c r="D11308" s="496"/>
    </row>
    <row r="11309" spans="1:4" x14ac:dyDescent="0.2">
      <c r="A11309" s="146"/>
      <c r="D11309" s="496"/>
    </row>
    <row r="11310" spans="1:4" x14ac:dyDescent="0.2">
      <c r="A11310" s="146"/>
      <c r="D11310" s="496"/>
    </row>
    <row r="11311" spans="1:4" x14ac:dyDescent="0.2">
      <c r="A11311" s="146"/>
      <c r="D11311" s="496"/>
    </row>
    <row r="11312" spans="1:4" x14ac:dyDescent="0.2">
      <c r="A11312" s="146"/>
      <c r="D11312" s="496"/>
    </row>
    <row r="11313" spans="1:4" x14ac:dyDescent="0.2">
      <c r="A11313" s="146"/>
      <c r="D11313" s="496"/>
    </row>
    <row r="11314" spans="1:4" x14ac:dyDescent="0.2">
      <c r="A11314" s="146"/>
      <c r="D11314" s="496"/>
    </row>
    <row r="11315" spans="1:4" x14ac:dyDescent="0.2">
      <c r="A11315" s="146"/>
      <c r="D11315" s="496"/>
    </row>
    <row r="11316" spans="1:4" x14ac:dyDescent="0.2">
      <c r="A11316" s="146"/>
      <c r="D11316" s="496"/>
    </row>
    <row r="11317" spans="1:4" x14ac:dyDescent="0.2">
      <c r="A11317" s="146"/>
      <c r="D11317" s="496"/>
    </row>
    <row r="11318" spans="1:4" x14ac:dyDescent="0.2">
      <c r="A11318" s="146"/>
      <c r="D11318" s="496"/>
    </row>
    <row r="11319" spans="1:4" x14ac:dyDescent="0.2">
      <c r="A11319" s="146"/>
      <c r="D11319" s="496"/>
    </row>
    <row r="11320" spans="1:4" x14ac:dyDescent="0.2">
      <c r="A11320" s="146"/>
      <c r="D11320" s="496"/>
    </row>
    <row r="11321" spans="1:4" x14ac:dyDescent="0.2">
      <c r="A11321" s="146"/>
      <c r="D11321" s="496"/>
    </row>
    <row r="11322" spans="1:4" x14ac:dyDescent="0.2">
      <c r="A11322" s="146"/>
      <c r="D11322" s="496"/>
    </row>
    <row r="11323" spans="1:4" x14ac:dyDescent="0.2">
      <c r="A11323" s="146"/>
      <c r="D11323" s="496"/>
    </row>
    <row r="11324" spans="1:4" x14ac:dyDescent="0.2">
      <c r="A11324" s="146"/>
      <c r="D11324" s="496"/>
    </row>
    <row r="11325" spans="1:4" x14ac:dyDescent="0.2">
      <c r="A11325" s="146"/>
      <c r="D11325" s="496"/>
    </row>
    <row r="11326" spans="1:4" x14ac:dyDescent="0.2">
      <c r="A11326" s="146"/>
      <c r="D11326" s="496"/>
    </row>
    <row r="11327" spans="1:4" x14ac:dyDescent="0.2">
      <c r="A11327" s="146"/>
      <c r="D11327" s="496"/>
    </row>
    <row r="11328" spans="1:4" x14ac:dyDescent="0.2">
      <c r="A11328" s="146"/>
      <c r="D11328" s="496"/>
    </row>
    <row r="11329" spans="1:4" x14ac:dyDescent="0.2">
      <c r="A11329" s="146"/>
      <c r="D11329" s="496"/>
    </row>
    <row r="11330" spans="1:4" x14ac:dyDescent="0.2">
      <c r="A11330" s="146"/>
      <c r="D11330" s="496"/>
    </row>
    <row r="11331" spans="1:4" x14ac:dyDescent="0.2">
      <c r="A11331" s="146"/>
      <c r="D11331" s="496"/>
    </row>
    <row r="11332" spans="1:4" x14ac:dyDescent="0.2">
      <c r="A11332" s="146"/>
      <c r="D11332" s="496"/>
    </row>
    <row r="11333" spans="1:4" x14ac:dyDescent="0.2">
      <c r="A11333" s="146"/>
      <c r="D11333" s="496"/>
    </row>
    <row r="11334" spans="1:4" x14ac:dyDescent="0.2">
      <c r="A11334" s="146"/>
      <c r="D11334" s="496"/>
    </row>
    <row r="11335" spans="1:4" x14ac:dyDescent="0.2">
      <c r="A11335" s="146"/>
      <c r="D11335" s="496"/>
    </row>
    <row r="11336" spans="1:4" x14ac:dyDescent="0.2">
      <c r="A11336" s="146"/>
      <c r="D11336" s="496"/>
    </row>
    <row r="11337" spans="1:4" x14ac:dyDescent="0.2">
      <c r="A11337" s="146"/>
      <c r="D11337" s="496"/>
    </row>
    <row r="11338" spans="1:4" x14ac:dyDescent="0.2">
      <c r="A11338" s="146"/>
      <c r="D11338" s="496"/>
    </row>
    <row r="11339" spans="1:4" x14ac:dyDescent="0.2">
      <c r="A11339" s="146"/>
      <c r="D11339" s="496"/>
    </row>
    <row r="11340" spans="1:4" x14ac:dyDescent="0.2">
      <c r="A11340" s="146"/>
      <c r="D11340" s="496"/>
    </row>
    <row r="11341" spans="1:4" x14ac:dyDescent="0.2">
      <c r="A11341" s="146"/>
      <c r="D11341" s="496"/>
    </row>
    <row r="11342" spans="1:4" x14ac:dyDescent="0.2">
      <c r="A11342" s="146"/>
      <c r="D11342" s="496"/>
    </row>
    <row r="11343" spans="1:4" x14ac:dyDescent="0.2">
      <c r="A11343" s="146"/>
      <c r="D11343" s="496"/>
    </row>
    <row r="11344" spans="1:4" x14ac:dyDescent="0.2">
      <c r="A11344" s="146"/>
      <c r="D11344" s="496"/>
    </row>
    <row r="11345" spans="1:4" x14ac:dyDescent="0.2">
      <c r="A11345" s="146"/>
      <c r="D11345" s="496"/>
    </row>
    <row r="11346" spans="1:4" x14ac:dyDescent="0.2">
      <c r="A11346" s="146"/>
      <c r="D11346" s="496"/>
    </row>
    <row r="11347" spans="1:4" x14ac:dyDescent="0.2">
      <c r="A11347" s="146"/>
      <c r="D11347" s="496"/>
    </row>
    <row r="11348" spans="1:4" x14ac:dyDescent="0.2">
      <c r="A11348" s="146"/>
      <c r="D11348" s="496"/>
    </row>
    <row r="11349" spans="1:4" x14ac:dyDescent="0.2">
      <c r="A11349" s="146"/>
      <c r="D11349" s="496"/>
    </row>
    <row r="11350" spans="1:4" x14ac:dyDescent="0.2">
      <c r="A11350" s="146"/>
      <c r="D11350" s="496"/>
    </row>
    <row r="11351" spans="1:4" x14ac:dyDescent="0.2">
      <c r="A11351" s="146"/>
      <c r="D11351" s="496"/>
    </row>
    <row r="11352" spans="1:4" x14ac:dyDescent="0.2">
      <c r="A11352" s="146"/>
      <c r="D11352" s="496"/>
    </row>
    <row r="11353" spans="1:4" x14ac:dyDescent="0.2">
      <c r="A11353" s="146"/>
      <c r="D11353" s="496"/>
    </row>
    <row r="11354" spans="1:4" x14ac:dyDescent="0.2">
      <c r="A11354" s="146"/>
      <c r="D11354" s="496"/>
    </row>
    <row r="11355" spans="1:4" x14ac:dyDescent="0.2">
      <c r="A11355" s="146"/>
      <c r="D11355" s="496"/>
    </row>
    <row r="11356" spans="1:4" x14ac:dyDescent="0.2">
      <c r="A11356" s="146"/>
      <c r="D11356" s="496"/>
    </row>
    <row r="11357" spans="1:4" x14ac:dyDescent="0.2">
      <c r="A11357" s="146"/>
      <c r="D11357" s="496"/>
    </row>
    <row r="11358" spans="1:4" x14ac:dyDescent="0.2">
      <c r="A11358" s="146"/>
      <c r="D11358" s="496"/>
    </row>
    <row r="11359" spans="1:4" x14ac:dyDescent="0.2">
      <c r="A11359" s="146"/>
      <c r="D11359" s="496"/>
    </row>
    <row r="11360" spans="1:4" x14ac:dyDescent="0.2">
      <c r="A11360" s="146"/>
      <c r="D11360" s="496"/>
    </row>
    <row r="11361" spans="1:4" x14ac:dyDescent="0.2">
      <c r="A11361" s="146"/>
      <c r="D11361" s="496"/>
    </row>
    <row r="11362" spans="1:4" x14ac:dyDescent="0.2">
      <c r="A11362" s="146"/>
      <c r="D11362" s="496"/>
    </row>
    <row r="11363" spans="1:4" x14ac:dyDescent="0.2">
      <c r="A11363" s="146"/>
      <c r="D11363" s="496"/>
    </row>
    <row r="11364" spans="1:4" x14ac:dyDescent="0.2">
      <c r="A11364" s="146"/>
      <c r="D11364" s="496"/>
    </row>
    <row r="11365" spans="1:4" x14ac:dyDescent="0.2">
      <c r="A11365" s="146"/>
      <c r="D11365" s="496"/>
    </row>
    <row r="11366" spans="1:4" x14ac:dyDescent="0.2">
      <c r="A11366" s="146"/>
      <c r="D11366" s="496"/>
    </row>
    <row r="11367" spans="1:4" x14ac:dyDescent="0.2">
      <c r="A11367" s="146"/>
      <c r="D11367" s="496"/>
    </row>
    <row r="11368" spans="1:4" x14ac:dyDescent="0.2">
      <c r="A11368" s="146"/>
      <c r="D11368" s="496"/>
    </row>
    <row r="11369" spans="1:4" x14ac:dyDescent="0.2">
      <c r="A11369" s="146"/>
      <c r="D11369" s="496"/>
    </row>
    <row r="11370" spans="1:4" x14ac:dyDescent="0.2">
      <c r="A11370" s="146"/>
      <c r="D11370" s="496"/>
    </row>
    <row r="11371" spans="1:4" x14ac:dyDescent="0.2">
      <c r="A11371" s="146"/>
      <c r="D11371" s="496"/>
    </row>
    <row r="11372" spans="1:4" x14ac:dyDescent="0.2">
      <c r="A11372" s="146"/>
      <c r="D11372" s="496"/>
    </row>
    <row r="11373" spans="1:4" x14ac:dyDescent="0.2">
      <c r="A11373" s="146"/>
      <c r="D11373" s="496"/>
    </row>
    <row r="11374" spans="1:4" x14ac:dyDescent="0.2">
      <c r="A11374" s="146"/>
      <c r="D11374" s="496"/>
    </row>
    <row r="11375" spans="1:4" x14ac:dyDescent="0.2">
      <c r="A11375" s="146"/>
      <c r="D11375" s="496"/>
    </row>
    <row r="11376" spans="1:4" x14ac:dyDescent="0.2">
      <c r="A11376" s="146"/>
      <c r="D11376" s="496"/>
    </row>
    <row r="11377" spans="1:4" x14ac:dyDescent="0.2">
      <c r="A11377" s="146"/>
      <c r="D11377" s="496"/>
    </row>
    <row r="11378" spans="1:4" x14ac:dyDescent="0.2">
      <c r="A11378" s="146"/>
      <c r="D11378" s="496"/>
    </row>
    <row r="11379" spans="1:4" x14ac:dyDescent="0.2">
      <c r="A11379" s="146"/>
      <c r="D11379" s="496"/>
    </row>
    <row r="11380" spans="1:4" x14ac:dyDescent="0.2">
      <c r="A11380" s="146"/>
      <c r="D11380" s="496"/>
    </row>
    <row r="11381" spans="1:4" x14ac:dyDescent="0.2">
      <c r="A11381" s="146"/>
      <c r="D11381" s="496"/>
    </row>
    <row r="11382" spans="1:4" x14ac:dyDescent="0.2">
      <c r="A11382" s="146"/>
      <c r="D11382" s="496"/>
    </row>
    <row r="11383" spans="1:4" x14ac:dyDescent="0.2">
      <c r="A11383" s="146"/>
      <c r="D11383" s="496"/>
    </row>
    <row r="11384" spans="1:4" x14ac:dyDescent="0.2">
      <c r="A11384" s="146"/>
      <c r="D11384" s="496"/>
    </row>
    <row r="11385" spans="1:4" x14ac:dyDescent="0.2">
      <c r="A11385" s="146"/>
      <c r="D11385" s="496"/>
    </row>
    <row r="11386" spans="1:4" x14ac:dyDescent="0.2">
      <c r="A11386" s="146"/>
      <c r="D11386" s="496"/>
    </row>
    <row r="11387" spans="1:4" x14ac:dyDescent="0.2">
      <c r="A11387" s="146"/>
      <c r="D11387" s="496"/>
    </row>
    <row r="11388" spans="1:4" x14ac:dyDescent="0.2">
      <c r="A11388" s="146"/>
      <c r="D11388" s="496"/>
    </row>
    <row r="11389" spans="1:4" x14ac:dyDescent="0.2">
      <c r="A11389" s="146"/>
      <c r="D11389" s="496"/>
    </row>
    <row r="11390" spans="1:4" x14ac:dyDescent="0.2">
      <c r="A11390" s="146"/>
      <c r="D11390" s="496"/>
    </row>
    <row r="11391" spans="1:4" x14ac:dyDescent="0.2">
      <c r="A11391" s="146"/>
      <c r="D11391" s="496"/>
    </row>
    <row r="11392" spans="1:4" x14ac:dyDescent="0.2">
      <c r="A11392" s="146"/>
      <c r="D11392" s="496"/>
    </row>
    <row r="11393" spans="1:4" x14ac:dyDescent="0.2">
      <c r="A11393" s="146"/>
      <c r="D11393" s="496"/>
    </row>
    <row r="11394" spans="1:4" x14ac:dyDescent="0.2">
      <c r="A11394" s="146"/>
      <c r="D11394" s="496"/>
    </row>
    <row r="11395" spans="1:4" x14ac:dyDescent="0.2">
      <c r="A11395" s="146"/>
      <c r="D11395" s="496"/>
    </row>
    <row r="11396" spans="1:4" x14ac:dyDescent="0.2">
      <c r="A11396" s="146"/>
      <c r="D11396" s="496"/>
    </row>
    <row r="11397" spans="1:4" x14ac:dyDescent="0.2">
      <c r="A11397" s="146"/>
      <c r="D11397" s="496"/>
    </row>
    <row r="11398" spans="1:4" x14ac:dyDescent="0.2">
      <c r="A11398" s="146"/>
      <c r="D11398" s="496"/>
    </row>
    <row r="11399" spans="1:4" x14ac:dyDescent="0.2">
      <c r="A11399" s="146"/>
      <c r="D11399" s="496"/>
    </row>
    <row r="11400" spans="1:4" x14ac:dyDescent="0.2">
      <c r="A11400" s="146"/>
      <c r="D11400" s="496"/>
    </row>
    <row r="11401" spans="1:4" x14ac:dyDescent="0.2">
      <c r="A11401" s="146"/>
      <c r="D11401" s="496"/>
    </row>
    <row r="11402" spans="1:4" x14ac:dyDescent="0.2">
      <c r="A11402" s="146"/>
      <c r="D11402" s="496"/>
    </row>
    <row r="11403" spans="1:4" x14ac:dyDescent="0.2">
      <c r="A11403" s="146"/>
      <c r="D11403" s="496"/>
    </row>
    <row r="11404" spans="1:4" x14ac:dyDescent="0.2">
      <c r="A11404" s="146"/>
      <c r="D11404" s="496"/>
    </row>
    <row r="11405" spans="1:4" x14ac:dyDescent="0.2">
      <c r="A11405" s="146"/>
      <c r="D11405" s="496"/>
    </row>
    <row r="11406" spans="1:4" x14ac:dyDescent="0.2">
      <c r="A11406" s="146"/>
      <c r="D11406" s="496"/>
    </row>
    <row r="11407" spans="1:4" x14ac:dyDescent="0.2">
      <c r="A11407" s="146"/>
      <c r="D11407" s="496"/>
    </row>
    <row r="11408" spans="1:4" x14ac:dyDescent="0.2">
      <c r="A11408" s="146"/>
      <c r="D11408" s="496"/>
    </row>
    <row r="11409" spans="1:4" x14ac:dyDescent="0.2">
      <c r="A11409" s="146"/>
      <c r="D11409" s="496"/>
    </row>
    <row r="11410" spans="1:4" x14ac:dyDescent="0.2">
      <c r="A11410" s="146"/>
      <c r="D11410" s="496"/>
    </row>
    <row r="11411" spans="1:4" x14ac:dyDescent="0.2">
      <c r="A11411" s="146"/>
      <c r="D11411" s="496"/>
    </row>
    <row r="11412" spans="1:4" x14ac:dyDescent="0.2">
      <c r="A11412" s="146"/>
      <c r="D11412" s="496"/>
    </row>
    <row r="11413" spans="1:4" x14ac:dyDescent="0.2">
      <c r="A11413" s="146"/>
      <c r="D11413" s="496"/>
    </row>
    <row r="11414" spans="1:4" x14ac:dyDescent="0.2">
      <c r="A11414" s="146"/>
      <c r="D11414" s="496"/>
    </row>
    <row r="11415" spans="1:4" x14ac:dyDescent="0.2">
      <c r="A11415" s="146"/>
      <c r="D11415" s="496"/>
    </row>
    <row r="11416" spans="1:4" x14ac:dyDescent="0.2">
      <c r="A11416" s="146"/>
      <c r="D11416" s="496"/>
    </row>
    <row r="11417" spans="1:4" x14ac:dyDescent="0.2">
      <c r="A11417" s="146"/>
      <c r="D11417" s="496"/>
    </row>
    <row r="11418" spans="1:4" x14ac:dyDescent="0.2">
      <c r="A11418" s="146"/>
      <c r="D11418" s="496"/>
    </row>
    <row r="11419" spans="1:4" x14ac:dyDescent="0.2">
      <c r="A11419" s="146"/>
      <c r="D11419" s="496"/>
    </row>
    <row r="11420" spans="1:4" x14ac:dyDescent="0.2">
      <c r="A11420" s="146"/>
      <c r="D11420" s="496"/>
    </row>
    <row r="11421" spans="1:4" x14ac:dyDescent="0.2">
      <c r="A11421" s="146"/>
      <c r="D11421" s="496"/>
    </row>
    <row r="11422" spans="1:4" x14ac:dyDescent="0.2">
      <c r="A11422" s="146"/>
      <c r="D11422" s="496"/>
    </row>
    <row r="11423" spans="1:4" x14ac:dyDescent="0.2">
      <c r="A11423" s="146"/>
      <c r="D11423" s="496"/>
    </row>
    <row r="11424" spans="1:4" x14ac:dyDescent="0.2">
      <c r="A11424" s="146"/>
      <c r="D11424" s="496"/>
    </row>
    <row r="11425" spans="1:4" x14ac:dyDescent="0.2">
      <c r="A11425" s="146"/>
      <c r="D11425" s="496"/>
    </row>
    <row r="11426" spans="1:4" x14ac:dyDescent="0.2">
      <c r="A11426" s="146"/>
      <c r="D11426" s="496"/>
    </row>
    <row r="11427" spans="1:4" x14ac:dyDescent="0.2">
      <c r="A11427" s="146"/>
      <c r="D11427" s="496"/>
    </row>
    <row r="11428" spans="1:4" x14ac:dyDescent="0.2">
      <c r="A11428" s="146"/>
      <c r="D11428" s="496"/>
    </row>
    <row r="11429" spans="1:4" x14ac:dyDescent="0.2">
      <c r="A11429" s="146"/>
      <c r="D11429" s="496"/>
    </row>
    <row r="11430" spans="1:4" x14ac:dyDescent="0.2">
      <c r="A11430" s="146"/>
      <c r="D11430" s="496"/>
    </row>
    <row r="11431" spans="1:4" x14ac:dyDescent="0.2">
      <c r="A11431" s="146"/>
      <c r="D11431" s="496"/>
    </row>
    <row r="11432" spans="1:4" x14ac:dyDescent="0.2">
      <c r="A11432" s="146"/>
      <c r="D11432" s="496"/>
    </row>
    <row r="11433" spans="1:4" x14ac:dyDescent="0.2">
      <c r="A11433" s="146"/>
      <c r="D11433" s="496"/>
    </row>
    <row r="11434" spans="1:4" x14ac:dyDescent="0.2">
      <c r="A11434" s="146"/>
      <c r="D11434" s="496"/>
    </row>
    <row r="11435" spans="1:4" x14ac:dyDescent="0.2">
      <c r="A11435" s="146"/>
      <c r="D11435" s="496"/>
    </row>
    <row r="11436" spans="1:4" x14ac:dyDescent="0.2">
      <c r="A11436" s="146"/>
      <c r="D11436" s="496"/>
    </row>
    <row r="11437" spans="1:4" x14ac:dyDescent="0.2">
      <c r="A11437" s="146"/>
      <c r="D11437" s="496"/>
    </row>
    <row r="11438" spans="1:4" x14ac:dyDescent="0.2">
      <c r="A11438" s="146"/>
      <c r="D11438" s="496"/>
    </row>
    <row r="11439" spans="1:4" x14ac:dyDescent="0.2">
      <c r="A11439" s="146"/>
      <c r="D11439" s="496"/>
    </row>
    <row r="11440" spans="1:4" x14ac:dyDescent="0.2">
      <c r="A11440" s="146"/>
      <c r="D11440" s="496"/>
    </row>
    <row r="11441" spans="1:4" x14ac:dyDescent="0.2">
      <c r="A11441" s="146"/>
      <c r="D11441" s="496"/>
    </row>
    <row r="11442" spans="1:4" x14ac:dyDescent="0.2">
      <c r="A11442" s="146"/>
      <c r="D11442" s="496"/>
    </row>
    <row r="11443" spans="1:4" x14ac:dyDescent="0.2">
      <c r="A11443" s="146"/>
      <c r="D11443" s="496"/>
    </row>
    <row r="11444" spans="1:4" x14ac:dyDescent="0.2">
      <c r="A11444" s="146"/>
      <c r="D11444" s="496"/>
    </row>
    <row r="11445" spans="1:4" x14ac:dyDescent="0.2">
      <c r="A11445" s="146"/>
      <c r="D11445" s="496"/>
    </row>
    <row r="11446" spans="1:4" x14ac:dyDescent="0.2">
      <c r="A11446" s="146"/>
      <c r="D11446" s="496"/>
    </row>
    <row r="11447" spans="1:4" x14ac:dyDescent="0.2">
      <c r="A11447" s="146"/>
      <c r="D11447" s="496"/>
    </row>
    <row r="11448" spans="1:4" x14ac:dyDescent="0.2">
      <c r="A11448" s="146"/>
      <c r="D11448" s="496"/>
    </row>
    <row r="11449" spans="1:4" x14ac:dyDescent="0.2">
      <c r="A11449" s="146"/>
      <c r="D11449" s="496"/>
    </row>
    <row r="11450" spans="1:4" x14ac:dyDescent="0.2">
      <c r="A11450" s="146"/>
      <c r="D11450" s="496"/>
    </row>
    <row r="11451" spans="1:4" x14ac:dyDescent="0.2">
      <c r="A11451" s="146"/>
      <c r="D11451" s="496"/>
    </row>
    <row r="11452" spans="1:4" x14ac:dyDescent="0.2">
      <c r="A11452" s="146"/>
      <c r="D11452" s="496"/>
    </row>
    <row r="11453" spans="1:4" x14ac:dyDescent="0.2">
      <c r="A11453" s="146"/>
      <c r="D11453" s="496"/>
    </row>
    <row r="11454" spans="1:4" x14ac:dyDescent="0.2">
      <c r="A11454" s="146"/>
      <c r="D11454" s="496"/>
    </row>
    <row r="11455" spans="1:4" x14ac:dyDescent="0.2">
      <c r="A11455" s="146"/>
      <c r="D11455" s="496"/>
    </row>
    <row r="11456" spans="1:4" x14ac:dyDescent="0.2">
      <c r="A11456" s="146"/>
      <c r="D11456" s="496"/>
    </row>
    <row r="11457" spans="1:4" x14ac:dyDescent="0.2">
      <c r="A11457" s="146"/>
      <c r="D11457" s="496"/>
    </row>
    <row r="11458" spans="1:4" x14ac:dyDescent="0.2">
      <c r="A11458" s="146"/>
      <c r="D11458" s="496"/>
    </row>
    <row r="11459" spans="1:4" x14ac:dyDescent="0.2">
      <c r="A11459" s="146"/>
      <c r="D11459" s="496"/>
    </row>
    <row r="11460" spans="1:4" x14ac:dyDescent="0.2">
      <c r="A11460" s="146"/>
      <c r="D11460" s="496"/>
    </row>
    <row r="11461" spans="1:4" x14ac:dyDescent="0.2">
      <c r="A11461" s="146"/>
      <c r="D11461" s="496"/>
    </row>
    <row r="11462" spans="1:4" x14ac:dyDescent="0.2">
      <c r="A11462" s="146"/>
      <c r="D11462" s="496"/>
    </row>
    <row r="11463" spans="1:4" x14ac:dyDescent="0.2">
      <c r="A11463" s="146"/>
      <c r="D11463" s="496"/>
    </row>
    <row r="11464" spans="1:4" x14ac:dyDescent="0.2">
      <c r="A11464" s="146"/>
      <c r="D11464" s="496"/>
    </row>
    <row r="11465" spans="1:4" x14ac:dyDescent="0.2">
      <c r="A11465" s="146"/>
      <c r="D11465" s="496"/>
    </row>
    <row r="11466" spans="1:4" x14ac:dyDescent="0.2">
      <c r="A11466" s="146"/>
      <c r="D11466" s="496"/>
    </row>
    <row r="11467" spans="1:4" x14ac:dyDescent="0.2">
      <c r="A11467" s="146"/>
      <c r="D11467" s="496"/>
    </row>
    <row r="11468" spans="1:4" x14ac:dyDescent="0.2">
      <c r="A11468" s="146"/>
      <c r="D11468" s="496"/>
    </row>
    <row r="11469" spans="1:4" x14ac:dyDescent="0.2">
      <c r="A11469" s="146"/>
      <c r="D11469" s="496"/>
    </row>
    <row r="11470" spans="1:4" x14ac:dyDescent="0.2">
      <c r="A11470" s="146"/>
      <c r="D11470" s="496"/>
    </row>
    <row r="11471" spans="1:4" x14ac:dyDescent="0.2">
      <c r="A11471" s="146"/>
      <c r="D11471" s="496"/>
    </row>
    <row r="11472" spans="1:4" x14ac:dyDescent="0.2">
      <c r="A11472" s="146"/>
      <c r="D11472" s="496"/>
    </row>
    <row r="11473" spans="1:4" x14ac:dyDescent="0.2">
      <c r="A11473" s="146"/>
      <c r="D11473" s="496"/>
    </row>
    <row r="11474" spans="1:4" x14ac:dyDescent="0.2">
      <c r="A11474" s="146"/>
      <c r="D11474" s="496"/>
    </row>
    <row r="11475" spans="1:4" x14ac:dyDescent="0.2">
      <c r="A11475" s="146"/>
      <c r="D11475" s="496"/>
    </row>
    <row r="11476" spans="1:4" x14ac:dyDescent="0.2">
      <c r="A11476" s="146"/>
      <c r="D11476" s="496"/>
    </row>
    <row r="11477" spans="1:4" x14ac:dyDescent="0.2">
      <c r="A11477" s="146"/>
      <c r="D11477" s="496"/>
    </row>
    <row r="11478" spans="1:4" x14ac:dyDescent="0.2">
      <c r="A11478" s="146"/>
      <c r="D11478" s="496"/>
    </row>
    <row r="11479" spans="1:4" x14ac:dyDescent="0.2">
      <c r="A11479" s="146"/>
      <c r="D11479" s="496"/>
    </row>
    <row r="11480" spans="1:4" x14ac:dyDescent="0.2">
      <c r="A11480" s="146"/>
      <c r="D11480" s="496"/>
    </row>
    <row r="11481" spans="1:4" x14ac:dyDescent="0.2">
      <c r="A11481" s="146"/>
      <c r="D11481" s="496"/>
    </row>
    <row r="11482" spans="1:4" x14ac:dyDescent="0.2">
      <c r="A11482" s="146"/>
      <c r="D11482" s="496"/>
    </row>
    <row r="11483" spans="1:4" x14ac:dyDescent="0.2">
      <c r="A11483" s="146"/>
      <c r="D11483" s="496"/>
    </row>
    <row r="11484" spans="1:4" x14ac:dyDescent="0.2">
      <c r="A11484" s="146"/>
      <c r="D11484" s="496"/>
    </row>
    <row r="11485" spans="1:4" x14ac:dyDescent="0.2">
      <c r="A11485" s="146"/>
      <c r="D11485" s="496"/>
    </row>
    <row r="11486" spans="1:4" x14ac:dyDescent="0.2">
      <c r="A11486" s="146"/>
      <c r="D11486" s="496"/>
    </row>
    <row r="11487" spans="1:4" x14ac:dyDescent="0.2">
      <c r="A11487" s="146"/>
      <c r="D11487" s="496"/>
    </row>
    <row r="11488" spans="1:4" x14ac:dyDescent="0.2">
      <c r="A11488" s="146"/>
      <c r="D11488" s="496"/>
    </row>
    <row r="11489" spans="1:4" x14ac:dyDescent="0.2">
      <c r="A11489" s="146"/>
      <c r="D11489" s="496"/>
    </row>
    <row r="11490" spans="1:4" x14ac:dyDescent="0.2">
      <c r="A11490" s="146"/>
      <c r="D11490" s="496"/>
    </row>
    <row r="11491" spans="1:4" x14ac:dyDescent="0.2">
      <c r="A11491" s="146"/>
      <c r="D11491" s="496"/>
    </row>
    <row r="11492" spans="1:4" x14ac:dyDescent="0.2">
      <c r="A11492" s="146"/>
      <c r="D11492" s="496"/>
    </row>
    <row r="11493" spans="1:4" x14ac:dyDescent="0.2">
      <c r="A11493" s="146"/>
      <c r="D11493" s="496"/>
    </row>
    <row r="11494" spans="1:4" x14ac:dyDescent="0.2">
      <c r="A11494" s="146"/>
      <c r="D11494" s="496"/>
    </row>
    <row r="11495" spans="1:4" x14ac:dyDescent="0.2">
      <c r="A11495" s="146"/>
      <c r="D11495" s="496"/>
    </row>
    <row r="11496" spans="1:4" x14ac:dyDescent="0.2">
      <c r="A11496" s="146"/>
      <c r="D11496" s="496"/>
    </row>
    <row r="11497" spans="1:4" x14ac:dyDescent="0.2">
      <c r="A11497" s="146"/>
      <c r="D11497" s="496"/>
    </row>
    <row r="11498" spans="1:4" x14ac:dyDescent="0.2">
      <c r="A11498" s="146"/>
      <c r="D11498" s="496"/>
    </row>
    <row r="11499" spans="1:4" x14ac:dyDescent="0.2">
      <c r="A11499" s="146"/>
      <c r="D11499" s="496"/>
    </row>
    <row r="11500" spans="1:4" x14ac:dyDescent="0.2">
      <c r="A11500" s="146"/>
      <c r="D11500" s="496"/>
    </row>
    <row r="11501" spans="1:4" x14ac:dyDescent="0.2">
      <c r="A11501" s="146"/>
      <c r="D11501" s="496"/>
    </row>
    <row r="11502" spans="1:4" x14ac:dyDescent="0.2">
      <c r="A11502" s="146"/>
      <c r="D11502" s="496"/>
    </row>
    <row r="11503" spans="1:4" x14ac:dyDescent="0.2">
      <c r="A11503" s="146"/>
      <c r="D11503" s="496"/>
    </row>
    <row r="11504" spans="1:4" x14ac:dyDescent="0.2">
      <c r="A11504" s="146"/>
      <c r="D11504" s="496"/>
    </row>
    <row r="11505" spans="1:4" x14ac:dyDescent="0.2">
      <c r="A11505" s="146"/>
      <c r="D11505" s="496"/>
    </row>
    <row r="11506" spans="1:4" x14ac:dyDescent="0.2">
      <c r="A11506" s="146"/>
      <c r="D11506" s="496"/>
    </row>
    <row r="11507" spans="1:4" x14ac:dyDescent="0.2">
      <c r="A11507" s="146"/>
      <c r="D11507" s="496"/>
    </row>
    <row r="11508" spans="1:4" x14ac:dyDescent="0.2">
      <c r="A11508" s="146"/>
      <c r="D11508" s="496"/>
    </row>
    <row r="11509" spans="1:4" x14ac:dyDescent="0.2">
      <c r="A11509" s="146"/>
      <c r="D11509" s="496"/>
    </row>
    <row r="11510" spans="1:4" x14ac:dyDescent="0.2">
      <c r="A11510" s="146"/>
      <c r="D11510" s="496"/>
    </row>
    <row r="11511" spans="1:4" x14ac:dyDescent="0.2">
      <c r="A11511" s="146"/>
      <c r="D11511" s="496"/>
    </row>
    <row r="11512" spans="1:4" x14ac:dyDescent="0.2">
      <c r="A11512" s="146"/>
      <c r="D11512" s="496"/>
    </row>
    <row r="11513" spans="1:4" x14ac:dyDescent="0.2">
      <c r="A11513" s="146"/>
      <c r="D11513" s="496"/>
    </row>
    <row r="11514" spans="1:4" x14ac:dyDescent="0.2">
      <c r="A11514" s="146"/>
      <c r="D11514" s="496"/>
    </row>
    <row r="11515" spans="1:4" x14ac:dyDescent="0.2">
      <c r="A11515" s="146"/>
      <c r="D11515" s="496"/>
    </row>
    <row r="11516" spans="1:4" x14ac:dyDescent="0.2">
      <c r="A11516" s="146"/>
      <c r="D11516" s="496"/>
    </row>
    <row r="11517" spans="1:4" x14ac:dyDescent="0.2">
      <c r="A11517" s="146"/>
      <c r="D11517" s="496"/>
    </row>
    <row r="11518" spans="1:4" x14ac:dyDescent="0.2">
      <c r="A11518" s="146"/>
      <c r="D11518" s="496"/>
    </row>
    <row r="11519" spans="1:4" x14ac:dyDescent="0.2">
      <c r="A11519" s="146"/>
      <c r="D11519" s="496"/>
    </row>
    <row r="11520" spans="1:4" x14ac:dyDescent="0.2">
      <c r="A11520" s="146"/>
      <c r="D11520" s="496"/>
    </row>
    <row r="11521" spans="1:4" x14ac:dyDescent="0.2">
      <c r="A11521" s="146"/>
      <c r="D11521" s="496"/>
    </row>
    <row r="11522" spans="1:4" x14ac:dyDescent="0.2">
      <c r="A11522" s="146"/>
      <c r="D11522" s="496"/>
    </row>
    <row r="11523" spans="1:4" x14ac:dyDescent="0.2">
      <c r="A11523" s="146"/>
      <c r="D11523" s="496"/>
    </row>
    <row r="11524" spans="1:4" x14ac:dyDescent="0.2">
      <c r="A11524" s="146"/>
      <c r="D11524" s="496"/>
    </row>
    <row r="11525" spans="1:4" x14ac:dyDescent="0.2">
      <c r="A11525" s="146"/>
      <c r="D11525" s="496"/>
    </row>
    <row r="11526" spans="1:4" x14ac:dyDescent="0.2">
      <c r="A11526" s="146"/>
      <c r="D11526" s="496"/>
    </row>
    <row r="11527" spans="1:4" x14ac:dyDescent="0.2">
      <c r="A11527" s="146"/>
      <c r="D11527" s="496"/>
    </row>
    <row r="11528" spans="1:4" x14ac:dyDescent="0.2">
      <c r="A11528" s="146"/>
      <c r="D11528" s="496"/>
    </row>
    <row r="11529" spans="1:4" x14ac:dyDescent="0.2">
      <c r="A11529" s="146"/>
      <c r="D11529" s="496"/>
    </row>
    <row r="11530" spans="1:4" x14ac:dyDescent="0.2">
      <c r="A11530" s="146"/>
      <c r="D11530" s="496"/>
    </row>
    <row r="11531" spans="1:4" x14ac:dyDescent="0.2">
      <c r="A11531" s="146"/>
      <c r="D11531" s="496"/>
    </row>
    <row r="11532" spans="1:4" x14ac:dyDescent="0.2">
      <c r="A11532" s="146"/>
      <c r="D11532" s="496"/>
    </row>
    <row r="11533" spans="1:4" x14ac:dyDescent="0.2">
      <c r="A11533" s="146"/>
      <c r="D11533" s="496"/>
    </row>
    <row r="11534" spans="1:4" x14ac:dyDescent="0.2">
      <c r="A11534" s="146"/>
      <c r="D11534" s="496"/>
    </row>
    <row r="11535" spans="1:4" x14ac:dyDescent="0.2">
      <c r="A11535" s="146"/>
      <c r="D11535" s="496"/>
    </row>
    <row r="11536" spans="1:4" x14ac:dyDescent="0.2">
      <c r="A11536" s="146"/>
      <c r="D11536" s="496"/>
    </row>
    <row r="11537" spans="1:4" x14ac:dyDescent="0.2">
      <c r="A11537" s="146"/>
      <c r="D11537" s="496"/>
    </row>
    <row r="11538" spans="1:4" x14ac:dyDescent="0.2">
      <c r="A11538" s="146"/>
      <c r="D11538" s="496"/>
    </row>
    <row r="11539" spans="1:4" x14ac:dyDescent="0.2">
      <c r="A11539" s="146"/>
      <c r="D11539" s="496"/>
    </row>
    <row r="11540" spans="1:4" x14ac:dyDescent="0.2">
      <c r="A11540" s="146"/>
      <c r="D11540" s="496"/>
    </row>
    <row r="11541" spans="1:4" x14ac:dyDescent="0.2">
      <c r="A11541" s="146"/>
      <c r="D11541" s="496"/>
    </row>
    <row r="11542" spans="1:4" x14ac:dyDescent="0.2">
      <c r="A11542" s="146"/>
      <c r="D11542" s="496"/>
    </row>
    <row r="11543" spans="1:4" x14ac:dyDescent="0.2">
      <c r="A11543" s="146"/>
      <c r="D11543" s="496"/>
    </row>
    <row r="11544" spans="1:4" x14ac:dyDescent="0.2">
      <c r="A11544" s="146"/>
      <c r="D11544" s="496"/>
    </row>
    <row r="11545" spans="1:4" x14ac:dyDescent="0.2">
      <c r="A11545" s="146"/>
      <c r="D11545" s="496"/>
    </row>
    <row r="11546" spans="1:4" x14ac:dyDescent="0.2">
      <c r="A11546" s="146"/>
      <c r="D11546" s="496"/>
    </row>
    <row r="11547" spans="1:4" x14ac:dyDescent="0.2">
      <c r="A11547" s="146"/>
      <c r="D11547" s="496"/>
    </row>
    <row r="11548" spans="1:4" x14ac:dyDescent="0.2">
      <c r="A11548" s="146"/>
      <c r="D11548" s="496"/>
    </row>
    <row r="11549" spans="1:4" x14ac:dyDescent="0.2">
      <c r="A11549" s="146"/>
      <c r="D11549" s="496"/>
    </row>
    <row r="11550" spans="1:4" x14ac:dyDescent="0.2">
      <c r="A11550" s="146"/>
      <c r="D11550" s="496"/>
    </row>
    <row r="11551" spans="1:4" x14ac:dyDescent="0.2">
      <c r="A11551" s="146"/>
      <c r="D11551" s="496"/>
    </row>
    <row r="11552" spans="1:4" x14ac:dyDescent="0.2">
      <c r="A11552" s="146"/>
      <c r="D11552" s="496"/>
    </row>
    <row r="11553" spans="1:4" x14ac:dyDescent="0.2">
      <c r="A11553" s="146"/>
      <c r="D11553" s="496"/>
    </row>
    <row r="11554" spans="1:4" x14ac:dyDescent="0.2">
      <c r="A11554" s="146"/>
      <c r="D11554" s="496"/>
    </row>
    <row r="11555" spans="1:4" x14ac:dyDescent="0.2">
      <c r="A11555" s="146"/>
      <c r="D11555" s="496"/>
    </row>
    <row r="11556" spans="1:4" x14ac:dyDescent="0.2">
      <c r="A11556" s="146"/>
      <c r="D11556" s="496"/>
    </row>
    <row r="11557" spans="1:4" x14ac:dyDescent="0.2">
      <c r="A11557" s="146"/>
      <c r="D11557" s="496"/>
    </row>
    <row r="11558" spans="1:4" x14ac:dyDescent="0.2">
      <c r="A11558" s="146"/>
      <c r="D11558" s="496"/>
    </row>
    <row r="11559" spans="1:4" x14ac:dyDescent="0.2">
      <c r="A11559" s="146"/>
      <c r="D11559" s="496"/>
    </row>
    <row r="11560" spans="1:4" x14ac:dyDescent="0.2">
      <c r="A11560" s="146"/>
      <c r="D11560" s="496"/>
    </row>
    <row r="11561" spans="1:4" x14ac:dyDescent="0.2">
      <c r="A11561" s="146"/>
      <c r="D11561" s="496"/>
    </row>
    <row r="11562" spans="1:4" x14ac:dyDescent="0.2">
      <c r="A11562" s="146"/>
      <c r="D11562" s="496"/>
    </row>
    <row r="11563" spans="1:4" x14ac:dyDescent="0.2">
      <c r="A11563" s="146"/>
      <c r="D11563" s="496"/>
    </row>
    <row r="11564" spans="1:4" x14ac:dyDescent="0.2">
      <c r="A11564" s="146"/>
      <c r="D11564" s="496"/>
    </row>
    <row r="11565" spans="1:4" x14ac:dyDescent="0.2">
      <c r="A11565" s="146"/>
      <c r="D11565" s="496"/>
    </row>
    <row r="11566" spans="1:4" x14ac:dyDescent="0.2">
      <c r="A11566" s="146"/>
      <c r="D11566" s="496"/>
    </row>
    <row r="11567" spans="1:4" x14ac:dyDescent="0.2">
      <c r="A11567" s="146"/>
      <c r="D11567" s="496"/>
    </row>
    <row r="11568" spans="1:4" x14ac:dyDescent="0.2">
      <c r="A11568" s="146"/>
      <c r="D11568" s="496"/>
    </row>
    <row r="11569" spans="1:4" x14ac:dyDescent="0.2">
      <c r="A11569" s="146"/>
      <c r="D11569" s="496"/>
    </row>
    <row r="11570" spans="1:4" x14ac:dyDescent="0.2">
      <c r="A11570" s="146"/>
      <c r="D11570" s="496"/>
    </row>
    <row r="11571" spans="1:4" x14ac:dyDescent="0.2">
      <c r="A11571" s="146"/>
      <c r="D11571" s="496"/>
    </row>
    <row r="11572" spans="1:4" x14ac:dyDescent="0.2">
      <c r="A11572" s="146"/>
      <c r="D11572" s="496"/>
    </row>
    <row r="11573" spans="1:4" x14ac:dyDescent="0.2">
      <c r="A11573" s="146"/>
      <c r="D11573" s="496"/>
    </row>
    <row r="11574" spans="1:4" x14ac:dyDescent="0.2">
      <c r="A11574" s="146"/>
      <c r="D11574" s="496"/>
    </row>
    <row r="11575" spans="1:4" x14ac:dyDescent="0.2">
      <c r="A11575" s="146"/>
      <c r="D11575" s="496"/>
    </row>
    <row r="11576" spans="1:4" x14ac:dyDescent="0.2">
      <c r="A11576" s="146"/>
      <c r="D11576" s="496"/>
    </row>
    <row r="11577" spans="1:4" x14ac:dyDescent="0.2">
      <c r="A11577" s="146"/>
      <c r="D11577" s="496"/>
    </row>
    <row r="11578" spans="1:4" x14ac:dyDescent="0.2">
      <c r="A11578" s="146"/>
      <c r="D11578" s="496"/>
    </row>
    <row r="11579" spans="1:4" x14ac:dyDescent="0.2">
      <c r="A11579" s="146"/>
      <c r="D11579" s="496"/>
    </row>
    <row r="11580" spans="1:4" x14ac:dyDescent="0.2">
      <c r="A11580" s="146"/>
      <c r="D11580" s="496"/>
    </row>
    <row r="11581" spans="1:4" x14ac:dyDescent="0.2">
      <c r="A11581" s="146"/>
      <c r="D11581" s="496"/>
    </row>
    <row r="11582" spans="1:4" x14ac:dyDescent="0.2">
      <c r="A11582" s="146"/>
      <c r="D11582" s="496"/>
    </row>
    <row r="11583" spans="1:4" x14ac:dyDescent="0.2">
      <c r="A11583" s="146"/>
      <c r="D11583" s="496"/>
    </row>
    <row r="11584" spans="1:4" x14ac:dyDescent="0.2">
      <c r="A11584" s="146"/>
      <c r="D11584" s="496"/>
    </row>
    <row r="11585" spans="1:4" x14ac:dyDescent="0.2">
      <c r="A11585" s="146"/>
      <c r="D11585" s="496"/>
    </row>
    <row r="11586" spans="1:4" x14ac:dyDescent="0.2">
      <c r="A11586" s="146"/>
      <c r="D11586" s="496"/>
    </row>
    <row r="11587" spans="1:4" x14ac:dyDescent="0.2">
      <c r="A11587" s="146"/>
      <c r="D11587" s="496"/>
    </row>
    <row r="11588" spans="1:4" x14ac:dyDescent="0.2">
      <c r="A11588" s="146"/>
      <c r="D11588" s="496"/>
    </row>
    <row r="11589" spans="1:4" x14ac:dyDescent="0.2">
      <c r="A11589" s="146"/>
      <c r="D11589" s="496"/>
    </row>
    <row r="11590" spans="1:4" x14ac:dyDescent="0.2">
      <c r="A11590" s="146"/>
      <c r="D11590" s="496"/>
    </row>
    <row r="11591" spans="1:4" x14ac:dyDescent="0.2">
      <c r="A11591" s="146"/>
      <c r="D11591" s="496"/>
    </row>
    <row r="11592" spans="1:4" x14ac:dyDescent="0.2">
      <c r="A11592" s="146"/>
      <c r="D11592" s="496"/>
    </row>
    <row r="11593" spans="1:4" x14ac:dyDescent="0.2">
      <c r="A11593" s="146"/>
      <c r="D11593" s="496"/>
    </row>
    <row r="11594" spans="1:4" x14ac:dyDescent="0.2">
      <c r="A11594" s="146"/>
      <c r="D11594" s="496"/>
    </row>
    <row r="11595" spans="1:4" x14ac:dyDescent="0.2">
      <c r="A11595" s="146"/>
      <c r="D11595" s="496"/>
    </row>
    <row r="11596" spans="1:4" x14ac:dyDescent="0.2">
      <c r="A11596" s="146"/>
      <c r="D11596" s="496"/>
    </row>
    <row r="11597" spans="1:4" x14ac:dyDescent="0.2">
      <c r="A11597" s="146"/>
      <c r="D11597" s="496"/>
    </row>
    <row r="11598" spans="1:4" x14ac:dyDescent="0.2">
      <c r="A11598" s="146"/>
      <c r="D11598" s="496"/>
    </row>
    <row r="11599" spans="1:4" x14ac:dyDescent="0.2">
      <c r="A11599" s="146"/>
      <c r="D11599" s="496"/>
    </row>
    <row r="11600" spans="1:4" x14ac:dyDescent="0.2">
      <c r="A11600" s="146"/>
      <c r="D11600" s="496"/>
    </row>
    <row r="11601" spans="1:4" x14ac:dyDescent="0.2">
      <c r="A11601" s="146"/>
      <c r="D11601" s="496"/>
    </row>
    <row r="11602" spans="1:4" x14ac:dyDescent="0.2">
      <c r="A11602" s="146"/>
      <c r="D11602" s="496"/>
    </row>
    <row r="11603" spans="1:4" x14ac:dyDescent="0.2">
      <c r="A11603" s="146"/>
      <c r="D11603" s="496"/>
    </row>
    <row r="11604" spans="1:4" x14ac:dyDescent="0.2">
      <c r="A11604" s="146"/>
      <c r="D11604" s="496"/>
    </row>
    <row r="11605" spans="1:4" x14ac:dyDescent="0.2">
      <c r="A11605" s="146"/>
      <c r="D11605" s="496"/>
    </row>
    <row r="11606" spans="1:4" x14ac:dyDescent="0.2">
      <c r="A11606" s="146"/>
      <c r="D11606" s="496"/>
    </row>
    <row r="11607" spans="1:4" x14ac:dyDescent="0.2">
      <c r="A11607" s="146"/>
      <c r="D11607" s="496"/>
    </row>
    <row r="11608" spans="1:4" x14ac:dyDescent="0.2">
      <c r="A11608" s="146"/>
      <c r="D11608" s="496"/>
    </row>
    <row r="11609" spans="1:4" x14ac:dyDescent="0.2">
      <c r="A11609" s="146"/>
      <c r="D11609" s="496"/>
    </row>
    <row r="11610" spans="1:4" x14ac:dyDescent="0.2">
      <c r="A11610" s="146"/>
      <c r="D11610" s="496"/>
    </row>
    <row r="11611" spans="1:4" x14ac:dyDescent="0.2">
      <c r="A11611" s="146"/>
      <c r="D11611" s="496"/>
    </row>
    <row r="11612" spans="1:4" x14ac:dyDescent="0.2">
      <c r="A11612" s="146"/>
      <c r="D11612" s="496"/>
    </row>
    <row r="11613" spans="1:4" x14ac:dyDescent="0.2">
      <c r="A11613" s="146"/>
      <c r="D11613" s="496"/>
    </row>
    <row r="11614" spans="1:4" x14ac:dyDescent="0.2">
      <c r="A11614" s="146"/>
      <c r="D11614" s="496"/>
    </row>
    <row r="11615" spans="1:4" x14ac:dyDescent="0.2">
      <c r="A11615" s="146"/>
      <c r="D11615" s="496"/>
    </row>
    <row r="11616" spans="1:4" x14ac:dyDescent="0.2">
      <c r="A11616" s="146"/>
      <c r="D11616" s="496"/>
    </row>
    <row r="11617" spans="1:4" x14ac:dyDescent="0.2">
      <c r="A11617" s="146"/>
      <c r="D11617" s="496"/>
    </row>
    <row r="11618" spans="1:4" x14ac:dyDescent="0.2">
      <c r="A11618" s="146"/>
      <c r="D11618" s="496"/>
    </row>
    <row r="11619" spans="1:4" x14ac:dyDescent="0.2">
      <c r="A11619" s="146"/>
      <c r="D11619" s="496"/>
    </row>
    <row r="11620" spans="1:4" x14ac:dyDescent="0.2">
      <c r="A11620" s="146"/>
      <c r="D11620" s="496"/>
    </row>
    <row r="11621" spans="1:4" x14ac:dyDescent="0.2">
      <c r="A11621" s="146"/>
      <c r="D11621" s="496"/>
    </row>
    <row r="11622" spans="1:4" x14ac:dyDescent="0.2">
      <c r="A11622" s="146"/>
      <c r="D11622" s="496"/>
    </row>
    <row r="11623" spans="1:4" x14ac:dyDescent="0.2">
      <c r="A11623" s="146"/>
      <c r="D11623" s="496"/>
    </row>
    <row r="11624" spans="1:4" x14ac:dyDescent="0.2">
      <c r="A11624" s="146"/>
      <c r="D11624" s="496"/>
    </row>
    <row r="11625" spans="1:4" x14ac:dyDescent="0.2">
      <c r="A11625" s="146"/>
      <c r="D11625" s="496"/>
    </row>
    <row r="11626" spans="1:4" x14ac:dyDescent="0.2">
      <c r="A11626" s="146"/>
      <c r="D11626" s="496"/>
    </row>
    <row r="11627" spans="1:4" x14ac:dyDescent="0.2">
      <c r="A11627" s="146"/>
      <c r="D11627" s="496"/>
    </row>
    <row r="11628" spans="1:4" x14ac:dyDescent="0.2">
      <c r="A11628" s="146"/>
      <c r="D11628" s="496"/>
    </row>
    <row r="11629" spans="1:4" x14ac:dyDescent="0.2">
      <c r="A11629" s="146"/>
      <c r="D11629" s="496"/>
    </row>
    <row r="11630" spans="1:4" x14ac:dyDescent="0.2">
      <c r="A11630" s="146"/>
      <c r="D11630" s="496"/>
    </row>
    <row r="11631" spans="1:4" x14ac:dyDescent="0.2">
      <c r="A11631" s="146"/>
      <c r="D11631" s="496"/>
    </row>
    <row r="11632" spans="1:4" x14ac:dyDescent="0.2">
      <c r="A11632" s="146"/>
      <c r="D11632" s="496"/>
    </row>
    <row r="11633" spans="1:4" x14ac:dyDescent="0.2">
      <c r="A11633" s="146"/>
      <c r="D11633" s="496"/>
    </row>
    <row r="11634" spans="1:4" x14ac:dyDescent="0.2">
      <c r="A11634" s="146"/>
      <c r="D11634" s="496"/>
    </row>
    <row r="11635" spans="1:4" x14ac:dyDescent="0.2">
      <c r="A11635" s="146"/>
      <c r="D11635" s="496"/>
    </row>
    <row r="11636" spans="1:4" x14ac:dyDescent="0.2">
      <c r="A11636" s="146"/>
      <c r="D11636" s="496"/>
    </row>
    <row r="11637" spans="1:4" x14ac:dyDescent="0.2">
      <c r="A11637" s="146"/>
      <c r="D11637" s="496"/>
    </row>
    <row r="11638" spans="1:4" x14ac:dyDescent="0.2">
      <c r="A11638" s="146"/>
      <c r="D11638" s="496"/>
    </row>
    <row r="11639" spans="1:4" x14ac:dyDescent="0.2">
      <c r="A11639" s="146"/>
      <c r="D11639" s="496"/>
    </row>
    <row r="11640" spans="1:4" x14ac:dyDescent="0.2">
      <c r="A11640" s="146"/>
      <c r="D11640" s="496"/>
    </row>
    <row r="11641" spans="1:4" x14ac:dyDescent="0.2">
      <c r="A11641" s="146"/>
      <c r="D11641" s="496"/>
    </row>
    <row r="11642" spans="1:4" x14ac:dyDescent="0.2">
      <c r="A11642" s="146"/>
      <c r="D11642" s="496"/>
    </row>
    <row r="11643" spans="1:4" x14ac:dyDescent="0.2">
      <c r="A11643" s="146"/>
      <c r="D11643" s="496"/>
    </row>
    <row r="11644" spans="1:4" x14ac:dyDescent="0.2">
      <c r="A11644" s="146"/>
      <c r="D11644" s="496"/>
    </row>
    <row r="11645" spans="1:4" x14ac:dyDescent="0.2">
      <c r="A11645" s="146"/>
      <c r="D11645" s="496"/>
    </row>
    <row r="11646" spans="1:4" x14ac:dyDescent="0.2">
      <c r="A11646" s="146"/>
      <c r="D11646" s="496"/>
    </row>
    <row r="11647" spans="1:4" x14ac:dyDescent="0.2">
      <c r="A11647" s="146"/>
      <c r="D11647" s="496"/>
    </row>
    <row r="11648" spans="1:4" x14ac:dyDescent="0.2">
      <c r="A11648" s="146"/>
      <c r="D11648" s="496"/>
    </row>
    <row r="11649" spans="1:4" x14ac:dyDescent="0.2">
      <c r="A11649" s="146"/>
      <c r="D11649" s="496"/>
    </row>
    <row r="11650" spans="1:4" x14ac:dyDescent="0.2">
      <c r="A11650" s="146"/>
      <c r="D11650" s="496"/>
    </row>
    <row r="11651" spans="1:4" x14ac:dyDescent="0.2">
      <c r="A11651" s="146"/>
      <c r="D11651" s="496"/>
    </row>
    <row r="11652" spans="1:4" x14ac:dyDescent="0.2">
      <c r="A11652" s="146"/>
      <c r="D11652" s="496"/>
    </row>
    <row r="11653" spans="1:4" x14ac:dyDescent="0.2">
      <c r="A11653" s="146"/>
      <c r="D11653" s="496"/>
    </row>
    <row r="11654" spans="1:4" x14ac:dyDescent="0.2">
      <c r="A11654" s="146"/>
      <c r="D11654" s="496"/>
    </row>
    <row r="11655" spans="1:4" x14ac:dyDescent="0.2">
      <c r="A11655" s="146"/>
      <c r="D11655" s="496"/>
    </row>
    <row r="11656" spans="1:4" x14ac:dyDescent="0.2">
      <c r="A11656" s="146"/>
      <c r="D11656" s="496"/>
    </row>
    <row r="11657" spans="1:4" x14ac:dyDescent="0.2">
      <c r="A11657" s="146"/>
      <c r="D11657" s="496"/>
    </row>
    <row r="11658" spans="1:4" x14ac:dyDescent="0.2">
      <c r="A11658" s="146"/>
      <c r="D11658" s="496"/>
    </row>
    <row r="11659" spans="1:4" x14ac:dyDescent="0.2">
      <c r="A11659" s="146"/>
      <c r="D11659" s="496"/>
    </row>
    <row r="11660" spans="1:4" x14ac:dyDescent="0.2">
      <c r="A11660" s="146"/>
      <c r="D11660" s="496"/>
    </row>
    <row r="11661" spans="1:4" x14ac:dyDescent="0.2">
      <c r="A11661" s="146"/>
      <c r="D11661" s="496"/>
    </row>
    <row r="11662" spans="1:4" x14ac:dyDescent="0.2">
      <c r="A11662" s="146"/>
      <c r="D11662" s="496"/>
    </row>
    <row r="11663" spans="1:4" x14ac:dyDescent="0.2">
      <c r="A11663" s="146"/>
      <c r="D11663" s="496"/>
    </row>
    <row r="11664" spans="1:4" x14ac:dyDescent="0.2">
      <c r="A11664" s="146"/>
      <c r="D11664" s="496"/>
    </row>
    <row r="11665" spans="1:4" x14ac:dyDescent="0.2">
      <c r="A11665" s="146"/>
      <c r="D11665" s="496"/>
    </row>
    <row r="11666" spans="1:4" x14ac:dyDescent="0.2">
      <c r="A11666" s="146"/>
      <c r="D11666" s="496"/>
    </row>
    <row r="11667" spans="1:4" x14ac:dyDescent="0.2">
      <c r="A11667" s="146"/>
      <c r="D11667" s="496"/>
    </row>
    <row r="11668" spans="1:4" x14ac:dyDescent="0.2">
      <c r="A11668" s="146"/>
      <c r="D11668" s="496"/>
    </row>
    <row r="11669" spans="1:4" x14ac:dyDescent="0.2">
      <c r="A11669" s="146"/>
      <c r="D11669" s="496"/>
    </row>
    <row r="11670" spans="1:4" x14ac:dyDescent="0.2">
      <c r="A11670" s="146"/>
      <c r="D11670" s="496"/>
    </row>
    <row r="11671" spans="1:4" x14ac:dyDescent="0.2">
      <c r="A11671" s="146"/>
      <c r="D11671" s="496"/>
    </row>
    <row r="11672" spans="1:4" x14ac:dyDescent="0.2">
      <c r="A11672" s="146"/>
      <c r="D11672" s="496"/>
    </row>
    <row r="11673" spans="1:4" x14ac:dyDescent="0.2">
      <c r="A11673" s="146"/>
      <c r="D11673" s="496"/>
    </row>
    <row r="11674" spans="1:4" x14ac:dyDescent="0.2">
      <c r="A11674" s="146"/>
      <c r="D11674" s="496"/>
    </row>
    <row r="11675" spans="1:4" x14ac:dyDescent="0.2">
      <c r="A11675" s="146"/>
      <c r="D11675" s="496"/>
    </row>
    <row r="11676" spans="1:4" x14ac:dyDescent="0.2">
      <c r="A11676" s="146"/>
      <c r="D11676" s="496"/>
    </row>
    <row r="11677" spans="1:4" x14ac:dyDescent="0.2">
      <c r="A11677" s="146"/>
      <c r="D11677" s="496"/>
    </row>
    <row r="11678" spans="1:4" x14ac:dyDescent="0.2">
      <c r="A11678" s="146"/>
      <c r="D11678" s="496"/>
    </row>
    <row r="11679" spans="1:4" x14ac:dyDescent="0.2">
      <c r="A11679" s="146"/>
      <c r="D11679" s="496"/>
    </row>
    <row r="11680" spans="1:4" x14ac:dyDescent="0.2">
      <c r="A11680" s="146"/>
      <c r="D11680" s="496"/>
    </row>
    <row r="11681" spans="1:4" x14ac:dyDescent="0.2">
      <c r="A11681" s="146"/>
      <c r="D11681" s="496"/>
    </row>
    <row r="11682" spans="1:4" x14ac:dyDescent="0.2">
      <c r="A11682" s="146"/>
      <c r="D11682" s="496"/>
    </row>
    <row r="11683" spans="1:4" x14ac:dyDescent="0.2">
      <c r="A11683" s="146"/>
      <c r="D11683" s="496"/>
    </row>
    <row r="11684" spans="1:4" x14ac:dyDescent="0.2">
      <c r="A11684" s="146"/>
      <c r="D11684" s="496"/>
    </row>
    <row r="11685" spans="1:4" x14ac:dyDescent="0.2">
      <c r="A11685" s="146"/>
      <c r="D11685" s="496"/>
    </row>
    <row r="11686" spans="1:4" x14ac:dyDescent="0.2">
      <c r="A11686" s="146"/>
      <c r="D11686" s="496"/>
    </row>
    <row r="11687" spans="1:4" x14ac:dyDescent="0.2">
      <c r="A11687" s="146"/>
      <c r="D11687" s="496"/>
    </row>
    <row r="11688" spans="1:4" x14ac:dyDescent="0.2">
      <c r="A11688" s="146"/>
      <c r="D11688" s="496"/>
    </row>
    <row r="11689" spans="1:4" x14ac:dyDescent="0.2">
      <c r="A11689" s="146"/>
      <c r="D11689" s="496"/>
    </row>
    <row r="11690" spans="1:4" x14ac:dyDescent="0.2">
      <c r="A11690" s="146"/>
      <c r="D11690" s="496"/>
    </row>
    <row r="11691" spans="1:4" x14ac:dyDescent="0.2">
      <c r="A11691" s="146"/>
      <c r="D11691" s="496"/>
    </row>
    <row r="11692" spans="1:4" x14ac:dyDescent="0.2">
      <c r="A11692" s="146"/>
      <c r="D11692" s="496"/>
    </row>
    <row r="11693" spans="1:4" x14ac:dyDescent="0.2">
      <c r="A11693" s="146"/>
      <c r="D11693" s="496"/>
    </row>
    <row r="11694" spans="1:4" x14ac:dyDescent="0.2">
      <c r="A11694" s="146"/>
      <c r="D11694" s="496"/>
    </row>
    <row r="11695" spans="1:4" x14ac:dyDescent="0.2">
      <c r="A11695" s="146"/>
      <c r="D11695" s="496"/>
    </row>
    <row r="11696" spans="1:4" x14ac:dyDescent="0.2">
      <c r="A11696" s="146"/>
      <c r="D11696" s="496"/>
    </row>
    <row r="11697" spans="1:4" x14ac:dyDescent="0.2">
      <c r="A11697" s="146"/>
      <c r="D11697" s="496"/>
    </row>
    <row r="11698" spans="1:4" x14ac:dyDescent="0.2">
      <c r="A11698" s="146"/>
      <c r="D11698" s="496"/>
    </row>
    <row r="11699" spans="1:4" x14ac:dyDescent="0.2">
      <c r="A11699" s="146"/>
      <c r="D11699" s="496"/>
    </row>
    <row r="11700" spans="1:4" x14ac:dyDescent="0.2">
      <c r="A11700" s="146"/>
      <c r="D11700" s="496"/>
    </row>
    <row r="11701" spans="1:4" x14ac:dyDescent="0.2">
      <c r="A11701" s="146"/>
      <c r="D11701" s="496"/>
    </row>
    <row r="11702" spans="1:4" x14ac:dyDescent="0.2">
      <c r="A11702" s="146"/>
      <c r="D11702" s="496"/>
    </row>
    <row r="11703" spans="1:4" x14ac:dyDescent="0.2">
      <c r="A11703" s="146"/>
      <c r="D11703" s="496"/>
    </row>
    <row r="11704" spans="1:4" x14ac:dyDescent="0.2">
      <c r="A11704" s="146"/>
      <c r="D11704" s="496"/>
    </row>
    <row r="11705" spans="1:4" x14ac:dyDescent="0.2">
      <c r="A11705" s="146"/>
      <c r="D11705" s="496"/>
    </row>
    <row r="11706" spans="1:4" x14ac:dyDescent="0.2">
      <c r="A11706" s="146"/>
      <c r="D11706" s="496"/>
    </row>
    <row r="11707" spans="1:4" x14ac:dyDescent="0.2">
      <c r="A11707" s="146"/>
      <c r="D11707" s="496"/>
    </row>
    <row r="11708" spans="1:4" x14ac:dyDescent="0.2">
      <c r="A11708" s="146"/>
      <c r="D11708" s="496"/>
    </row>
    <row r="11709" spans="1:4" x14ac:dyDescent="0.2">
      <c r="A11709" s="146"/>
      <c r="D11709" s="496"/>
    </row>
    <row r="11710" spans="1:4" x14ac:dyDescent="0.2">
      <c r="A11710" s="146"/>
      <c r="D11710" s="496"/>
    </row>
    <row r="11711" spans="1:4" x14ac:dyDescent="0.2">
      <c r="A11711" s="146"/>
      <c r="D11711" s="496"/>
    </row>
    <row r="11712" spans="1:4" x14ac:dyDescent="0.2">
      <c r="A11712" s="146"/>
      <c r="D11712" s="496"/>
    </row>
    <row r="11713" spans="1:4" x14ac:dyDescent="0.2">
      <c r="A11713" s="146"/>
      <c r="D11713" s="496"/>
    </row>
    <row r="11714" spans="1:4" x14ac:dyDescent="0.2">
      <c r="A11714" s="146"/>
      <c r="D11714" s="496"/>
    </row>
    <row r="11715" spans="1:4" x14ac:dyDescent="0.2">
      <c r="A11715" s="146"/>
      <c r="D11715" s="496"/>
    </row>
    <row r="11716" spans="1:4" x14ac:dyDescent="0.2">
      <c r="A11716" s="146"/>
      <c r="D11716" s="496"/>
    </row>
    <row r="11717" spans="1:4" x14ac:dyDescent="0.2">
      <c r="A11717" s="146"/>
      <c r="D11717" s="496"/>
    </row>
    <row r="11718" spans="1:4" x14ac:dyDescent="0.2">
      <c r="A11718" s="146"/>
      <c r="D11718" s="496"/>
    </row>
    <row r="11719" spans="1:4" x14ac:dyDescent="0.2">
      <c r="A11719" s="146"/>
      <c r="D11719" s="496"/>
    </row>
    <row r="11720" spans="1:4" x14ac:dyDescent="0.2">
      <c r="A11720" s="146"/>
      <c r="D11720" s="496"/>
    </row>
    <row r="11721" spans="1:4" x14ac:dyDescent="0.2">
      <c r="A11721" s="146"/>
      <c r="D11721" s="496"/>
    </row>
    <row r="11722" spans="1:4" x14ac:dyDescent="0.2">
      <c r="A11722" s="146"/>
      <c r="D11722" s="496"/>
    </row>
    <row r="11723" spans="1:4" x14ac:dyDescent="0.2">
      <c r="A11723" s="146"/>
      <c r="D11723" s="496"/>
    </row>
    <row r="11724" spans="1:4" x14ac:dyDescent="0.2">
      <c r="A11724" s="146"/>
      <c r="D11724" s="496"/>
    </row>
    <row r="11725" spans="1:4" x14ac:dyDescent="0.2">
      <c r="A11725" s="146"/>
      <c r="D11725" s="496"/>
    </row>
    <row r="11726" spans="1:4" x14ac:dyDescent="0.2">
      <c r="A11726" s="146"/>
      <c r="D11726" s="496"/>
    </row>
    <row r="11727" spans="1:4" x14ac:dyDescent="0.2">
      <c r="A11727" s="146"/>
      <c r="D11727" s="496"/>
    </row>
    <row r="11728" spans="1:4" x14ac:dyDescent="0.2">
      <c r="A11728" s="146"/>
      <c r="D11728" s="496"/>
    </row>
    <row r="11729" spans="1:4" x14ac:dyDescent="0.2">
      <c r="A11729" s="146"/>
      <c r="D11729" s="496"/>
    </row>
    <row r="11730" spans="1:4" x14ac:dyDescent="0.2">
      <c r="A11730" s="146"/>
      <c r="D11730" s="496"/>
    </row>
    <row r="11731" spans="1:4" x14ac:dyDescent="0.2">
      <c r="A11731" s="146"/>
      <c r="D11731" s="496"/>
    </row>
    <row r="11732" spans="1:4" x14ac:dyDescent="0.2">
      <c r="A11732" s="146"/>
      <c r="D11732" s="496"/>
    </row>
    <row r="11733" spans="1:4" x14ac:dyDescent="0.2">
      <c r="A11733" s="146"/>
      <c r="D11733" s="496"/>
    </row>
    <row r="11734" spans="1:4" x14ac:dyDescent="0.2">
      <c r="A11734" s="146"/>
      <c r="D11734" s="496"/>
    </row>
    <row r="11735" spans="1:4" x14ac:dyDescent="0.2">
      <c r="A11735" s="146"/>
      <c r="D11735" s="496"/>
    </row>
    <row r="11736" spans="1:4" x14ac:dyDescent="0.2">
      <c r="A11736" s="146"/>
      <c r="D11736" s="496"/>
    </row>
    <row r="11737" spans="1:4" x14ac:dyDescent="0.2">
      <c r="A11737" s="146"/>
      <c r="D11737" s="496"/>
    </row>
    <row r="11738" spans="1:4" x14ac:dyDescent="0.2">
      <c r="A11738" s="146"/>
      <c r="D11738" s="496"/>
    </row>
    <row r="11739" spans="1:4" x14ac:dyDescent="0.2">
      <c r="A11739" s="146"/>
      <c r="D11739" s="496"/>
    </row>
    <row r="11740" spans="1:4" x14ac:dyDescent="0.2">
      <c r="A11740" s="146"/>
      <c r="D11740" s="496"/>
    </row>
    <row r="11741" spans="1:4" x14ac:dyDescent="0.2">
      <c r="A11741" s="146"/>
      <c r="D11741" s="496"/>
    </row>
    <row r="11742" spans="1:4" x14ac:dyDescent="0.2">
      <c r="A11742" s="146"/>
      <c r="D11742" s="496"/>
    </row>
    <row r="11743" spans="1:4" x14ac:dyDescent="0.2">
      <c r="A11743" s="146"/>
      <c r="D11743" s="496"/>
    </row>
    <row r="11744" spans="1:4" x14ac:dyDescent="0.2">
      <c r="A11744" s="146"/>
      <c r="D11744" s="496"/>
    </row>
    <row r="11745" spans="1:4" x14ac:dyDescent="0.2">
      <c r="A11745" s="146"/>
      <c r="D11745" s="496"/>
    </row>
    <row r="11746" spans="1:4" x14ac:dyDescent="0.2">
      <c r="A11746" s="146"/>
      <c r="D11746" s="496"/>
    </row>
    <row r="11747" spans="1:4" x14ac:dyDescent="0.2">
      <c r="A11747" s="146"/>
      <c r="D11747" s="496"/>
    </row>
    <row r="11748" spans="1:4" x14ac:dyDescent="0.2">
      <c r="A11748" s="146"/>
      <c r="D11748" s="496"/>
    </row>
    <row r="11749" spans="1:4" x14ac:dyDescent="0.2">
      <c r="A11749" s="146"/>
      <c r="D11749" s="496"/>
    </row>
    <row r="11750" spans="1:4" x14ac:dyDescent="0.2">
      <c r="A11750" s="146"/>
      <c r="D11750" s="496"/>
    </row>
    <row r="11751" spans="1:4" x14ac:dyDescent="0.2">
      <c r="A11751" s="146"/>
      <c r="D11751" s="496"/>
    </row>
    <row r="11752" spans="1:4" x14ac:dyDescent="0.2">
      <c r="A11752" s="146"/>
      <c r="D11752" s="496"/>
    </row>
    <row r="11753" spans="1:4" x14ac:dyDescent="0.2">
      <c r="A11753" s="146"/>
      <c r="D11753" s="496"/>
    </row>
    <row r="11754" spans="1:4" x14ac:dyDescent="0.2">
      <c r="A11754" s="146"/>
      <c r="D11754" s="496"/>
    </row>
    <row r="11755" spans="1:4" x14ac:dyDescent="0.2">
      <c r="A11755" s="146"/>
      <c r="D11755" s="496"/>
    </row>
    <row r="11756" spans="1:4" x14ac:dyDescent="0.2">
      <c r="A11756" s="146"/>
      <c r="D11756" s="496"/>
    </row>
    <row r="11757" spans="1:4" x14ac:dyDescent="0.2">
      <c r="A11757" s="146"/>
      <c r="D11757" s="496"/>
    </row>
    <row r="11758" spans="1:4" x14ac:dyDescent="0.2">
      <c r="A11758" s="146"/>
      <c r="D11758" s="496"/>
    </row>
    <row r="11759" spans="1:4" x14ac:dyDescent="0.2">
      <c r="A11759" s="146"/>
      <c r="D11759" s="496"/>
    </row>
    <row r="11760" spans="1:4" x14ac:dyDescent="0.2">
      <c r="A11760" s="146"/>
      <c r="D11760" s="496"/>
    </row>
    <row r="11761" spans="1:4" x14ac:dyDescent="0.2">
      <c r="A11761" s="146"/>
      <c r="D11761" s="496"/>
    </row>
    <row r="11762" spans="1:4" x14ac:dyDescent="0.2">
      <c r="A11762" s="146"/>
      <c r="D11762" s="496"/>
    </row>
    <row r="11763" spans="1:4" x14ac:dyDescent="0.2">
      <c r="A11763" s="146"/>
      <c r="D11763" s="496"/>
    </row>
    <row r="11764" spans="1:4" x14ac:dyDescent="0.2">
      <c r="A11764" s="146"/>
      <c r="D11764" s="496"/>
    </row>
    <row r="11765" spans="1:4" x14ac:dyDescent="0.2">
      <c r="A11765" s="146"/>
      <c r="D11765" s="496"/>
    </row>
    <row r="11766" spans="1:4" x14ac:dyDescent="0.2">
      <c r="A11766" s="146"/>
      <c r="D11766" s="496"/>
    </row>
    <row r="11767" spans="1:4" x14ac:dyDescent="0.2">
      <c r="A11767" s="146"/>
      <c r="D11767" s="496"/>
    </row>
    <row r="11768" spans="1:4" x14ac:dyDescent="0.2">
      <c r="A11768" s="146"/>
      <c r="D11768" s="496"/>
    </row>
    <row r="11769" spans="1:4" x14ac:dyDescent="0.2">
      <c r="A11769" s="146"/>
      <c r="D11769" s="496"/>
    </row>
    <row r="11770" spans="1:4" x14ac:dyDescent="0.2">
      <c r="A11770" s="146"/>
      <c r="D11770" s="496"/>
    </row>
    <row r="11771" spans="1:4" x14ac:dyDescent="0.2">
      <c r="A11771" s="146"/>
      <c r="D11771" s="496"/>
    </row>
    <row r="11772" spans="1:4" x14ac:dyDescent="0.2">
      <c r="A11772" s="146"/>
      <c r="D11772" s="496"/>
    </row>
    <row r="11773" spans="1:4" x14ac:dyDescent="0.2">
      <c r="A11773" s="146"/>
      <c r="D11773" s="496"/>
    </row>
    <row r="11774" spans="1:4" x14ac:dyDescent="0.2">
      <c r="A11774" s="146"/>
      <c r="D11774" s="496"/>
    </row>
    <row r="11775" spans="1:4" x14ac:dyDescent="0.2">
      <c r="A11775" s="146"/>
      <c r="D11775" s="496"/>
    </row>
    <row r="11776" spans="1:4" x14ac:dyDescent="0.2">
      <c r="A11776" s="146"/>
      <c r="D11776" s="496"/>
    </row>
    <row r="11777" spans="1:4" x14ac:dyDescent="0.2">
      <c r="A11777" s="146"/>
      <c r="D11777" s="496"/>
    </row>
    <row r="11778" spans="1:4" x14ac:dyDescent="0.2">
      <c r="A11778" s="146"/>
      <c r="D11778" s="496"/>
    </row>
    <row r="11779" spans="1:4" x14ac:dyDescent="0.2">
      <c r="A11779" s="146"/>
      <c r="D11779" s="496"/>
    </row>
    <row r="11780" spans="1:4" x14ac:dyDescent="0.2">
      <c r="A11780" s="146"/>
      <c r="D11780" s="496"/>
    </row>
    <row r="11781" spans="1:4" x14ac:dyDescent="0.2">
      <c r="A11781" s="146"/>
      <c r="D11781" s="496"/>
    </row>
    <row r="11782" spans="1:4" x14ac:dyDescent="0.2">
      <c r="A11782" s="146"/>
      <c r="D11782" s="496"/>
    </row>
    <row r="11783" spans="1:4" x14ac:dyDescent="0.2">
      <c r="A11783" s="146"/>
      <c r="D11783" s="496"/>
    </row>
    <row r="11784" spans="1:4" x14ac:dyDescent="0.2">
      <c r="A11784" s="146"/>
      <c r="D11784" s="496"/>
    </row>
    <row r="11785" spans="1:4" x14ac:dyDescent="0.2">
      <c r="A11785" s="146"/>
      <c r="D11785" s="496"/>
    </row>
    <row r="11786" spans="1:4" x14ac:dyDescent="0.2">
      <c r="A11786" s="146"/>
      <c r="D11786" s="496"/>
    </row>
    <row r="11787" spans="1:4" x14ac:dyDescent="0.2">
      <c r="A11787" s="146"/>
      <c r="D11787" s="496"/>
    </row>
    <row r="11788" spans="1:4" x14ac:dyDescent="0.2">
      <c r="A11788" s="146"/>
      <c r="D11788" s="496"/>
    </row>
    <row r="11789" spans="1:4" x14ac:dyDescent="0.2">
      <c r="A11789" s="146"/>
      <c r="D11789" s="496"/>
    </row>
    <row r="11790" spans="1:4" x14ac:dyDescent="0.2">
      <c r="A11790" s="146"/>
      <c r="D11790" s="496"/>
    </row>
    <row r="11791" spans="1:4" x14ac:dyDescent="0.2">
      <c r="A11791" s="146"/>
      <c r="D11791" s="496"/>
    </row>
    <row r="11792" spans="1:4" x14ac:dyDescent="0.2">
      <c r="A11792" s="146"/>
      <c r="D11792" s="496"/>
    </row>
    <row r="11793" spans="1:4" x14ac:dyDescent="0.2">
      <c r="A11793" s="146"/>
      <c r="D11793" s="496"/>
    </row>
    <row r="11794" spans="1:4" x14ac:dyDescent="0.2">
      <c r="A11794" s="146"/>
      <c r="D11794" s="496"/>
    </row>
    <row r="11795" spans="1:4" x14ac:dyDescent="0.2">
      <c r="A11795" s="146"/>
      <c r="D11795" s="496"/>
    </row>
    <row r="11796" spans="1:4" x14ac:dyDescent="0.2">
      <c r="A11796" s="146"/>
      <c r="D11796" s="496"/>
    </row>
    <row r="11797" spans="1:4" x14ac:dyDescent="0.2">
      <c r="A11797" s="146"/>
      <c r="D11797" s="496"/>
    </row>
    <row r="11798" spans="1:4" x14ac:dyDescent="0.2">
      <c r="A11798" s="146"/>
      <c r="D11798" s="496"/>
    </row>
    <row r="11799" spans="1:4" x14ac:dyDescent="0.2">
      <c r="A11799" s="146"/>
      <c r="D11799" s="496"/>
    </row>
    <row r="11800" spans="1:4" x14ac:dyDescent="0.2">
      <c r="A11800" s="146"/>
      <c r="D11800" s="496"/>
    </row>
    <row r="11801" spans="1:4" x14ac:dyDescent="0.2">
      <c r="A11801" s="146"/>
      <c r="D11801" s="496"/>
    </row>
    <row r="11802" spans="1:4" x14ac:dyDescent="0.2">
      <c r="A11802" s="146"/>
      <c r="D11802" s="496"/>
    </row>
    <row r="11803" spans="1:4" x14ac:dyDescent="0.2">
      <c r="A11803" s="146"/>
      <c r="D11803" s="496"/>
    </row>
    <row r="11804" spans="1:4" x14ac:dyDescent="0.2">
      <c r="A11804" s="146"/>
      <c r="D11804" s="496"/>
    </row>
    <row r="11805" spans="1:4" x14ac:dyDescent="0.2">
      <c r="A11805" s="146"/>
      <c r="D11805" s="496"/>
    </row>
    <row r="11806" spans="1:4" x14ac:dyDescent="0.2">
      <c r="A11806" s="146"/>
      <c r="D11806" s="496"/>
    </row>
    <row r="11807" spans="1:4" x14ac:dyDescent="0.2">
      <c r="A11807" s="146"/>
      <c r="D11807" s="496"/>
    </row>
    <row r="11808" spans="1:4" x14ac:dyDescent="0.2">
      <c r="A11808" s="146"/>
      <c r="D11808" s="496"/>
    </row>
    <row r="11809" spans="1:4" x14ac:dyDescent="0.2">
      <c r="A11809" s="146"/>
      <c r="D11809" s="496"/>
    </row>
    <row r="11810" spans="1:4" x14ac:dyDescent="0.2">
      <c r="A11810" s="146"/>
      <c r="D11810" s="496"/>
    </row>
    <row r="11811" spans="1:4" x14ac:dyDescent="0.2">
      <c r="A11811" s="146"/>
      <c r="D11811" s="496"/>
    </row>
    <row r="11812" spans="1:4" x14ac:dyDescent="0.2">
      <c r="A11812" s="146"/>
      <c r="D11812" s="496"/>
    </row>
    <row r="11813" spans="1:4" x14ac:dyDescent="0.2">
      <c r="A11813" s="146"/>
      <c r="D11813" s="496"/>
    </row>
    <row r="11814" spans="1:4" x14ac:dyDescent="0.2">
      <c r="A11814" s="146"/>
      <c r="D11814" s="496"/>
    </row>
    <row r="11815" spans="1:4" x14ac:dyDescent="0.2">
      <c r="A11815" s="146"/>
      <c r="D11815" s="496"/>
    </row>
    <row r="11816" spans="1:4" x14ac:dyDescent="0.2">
      <c r="A11816" s="146"/>
      <c r="D11816" s="496"/>
    </row>
    <row r="11817" spans="1:4" x14ac:dyDescent="0.2">
      <c r="A11817" s="146"/>
      <c r="D11817" s="496"/>
    </row>
    <row r="11818" spans="1:4" x14ac:dyDescent="0.2">
      <c r="A11818" s="146"/>
      <c r="D11818" s="496"/>
    </row>
    <row r="11819" spans="1:4" x14ac:dyDescent="0.2">
      <c r="A11819" s="146"/>
      <c r="D11819" s="496"/>
    </row>
    <row r="11820" spans="1:4" x14ac:dyDescent="0.2">
      <c r="A11820" s="146"/>
      <c r="D11820" s="496"/>
    </row>
    <row r="11821" spans="1:4" x14ac:dyDescent="0.2">
      <c r="A11821" s="146"/>
      <c r="D11821" s="496"/>
    </row>
    <row r="11822" spans="1:4" x14ac:dyDescent="0.2">
      <c r="A11822" s="146"/>
      <c r="D11822" s="496"/>
    </row>
    <row r="11823" spans="1:4" x14ac:dyDescent="0.2">
      <c r="A11823" s="146"/>
      <c r="D11823" s="496"/>
    </row>
    <row r="11824" spans="1:4" x14ac:dyDescent="0.2">
      <c r="A11824" s="146"/>
      <c r="D11824" s="496"/>
    </row>
    <row r="11825" spans="1:4" x14ac:dyDescent="0.2">
      <c r="A11825" s="146"/>
      <c r="D11825" s="496"/>
    </row>
    <row r="11826" spans="1:4" x14ac:dyDescent="0.2">
      <c r="A11826" s="146"/>
      <c r="D11826" s="496"/>
    </row>
    <row r="11827" spans="1:4" x14ac:dyDescent="0.2">
      <c r="A11827" s="146"/>
      <c r="D11827" s="496"/>
    </row>
    <row r="11828" spans="1:4" x14ac:dyDescent="0.2">
      <c r="A11828" s="146"/>
      <c r="D11828" s="496"/>
    </row>
    <row r="11829" spans="1:4" x14ac:dyDescent="0.2">
      <c r="A11829" s="146"/>
      <c r="D11829" s="496"/>
    </row>
    <row r="11830" spans="1:4" x14ac:dyDescent="0.2">
      <c r="A11830" s="146"/>
      <c r="D11830" s="496"/>
    </row>
    <row r="11831" spans="1:4" x14ac:dyDescent="0.2">
      <c r="A11831" s="146"/>
      <c r="D11831" s="496"/>
    </row>
    <row r="11832" spans="1:4" x14ac:dyDescent="0.2">
      <c r="A11832" s="146"/>
      <c r="D11832" s="496"/>
    </row>
    <row r="11833" spans="1:4" x14ac:dyDescent="0.2">
      <c r="A11833" s="146"/>
      <c r="D11833" s="496"/>
    </row>
    <row r="11834" spans="1:4" x14ac:dyDescent="0.2">
      <c r="A11834" s="146"/>
      <c r="D11834" s="496"/>
    </row>
    <row r="11835" spans="1:4" x14ac:dyDescent="0.2">
      <c r="A11835" s="146"/>
      <c r="D11835" s="496"/>
    </row>
    <row r="11836" spans="1:4" x14ac:dyDescent="0.2">
      <c r="A11836" s="146"/>
      <c r="D11836" s="496"/>
    </row>
    <row r="11837" spans="1:4" x14ac:dyDescent="0.2">
      <c r="A11837" s="146"/>
      <c r="D11837" s="496"/>
    </row>
    <row r="11838" spans="1:4" x14ac:dyDescent="0.2">
      <c r="A11838" s="146"/>
      <c r="D11838" s="496"/>
    </row>
    <row r="11839" spans="1:4" x14ac:dyDescent="0.2">
      <c r="A11839" s="146"/>
      <c r="D11839" s="496"/>
    </row>
    <row r="11840" spans="1:4" x14ac:dyDescent="0.2">
      <c r="A11840" s="146"/>
      <c r="D11840" s="496"/>
    </row>
    <row r="11841" spans="1:4" x14ac:dyDescent="0.2">
      <c r="A11841" s="146"/>
      <c r="D11841" s="496"/>
    </row>
    <row r="11842" spans="1:4" x14ac:dyDescent="0.2">
      <c r="A11842" s="146"/>
      <c r="D11842" s="496"/>
    </row>
    <row r="11843" spans="1:4" x14ac:dyDescent="0.2">
      <c r="A11843" s="146"/>
      <c r="D11843" s="496"/>
    </row>
    <row r="11844" spans="1:4" x14ac:dyDescent="0.2">
      <c r="A11844" s="146"/>
      <c r="D11844" s="496"/>
    </row>
    <row r="11845" spans="1:4" x14ac:dyDescent="0.2">
      <c r="A11845" s="146"/>
      <c r="D11845" s="496"/>
    </row>
    <row r="11846" spans="1:4" x14ac:dyDescent="0.2">
      <c r="A11846" s="146"/>
      <c r="D11846" s="496"/>
    </row>
    <row r="11847" spans="1:4" x14ac:dyDescent="0.2">
      <c r="A11847" s="146"/>
      <c r="D11847" s="496"/>
    </row>
    <row r="11848" spans="1:4" x14ac:dyDescent="0.2">
      <c r="A11848" s="146"/>
      <c r="D11848" s="496"/>
    </row>
    <row r="11849" spans="1:4" x14ac:dyDescent="0.2">
      <c r="A11849" s="146"/>
      <c r="D11849" s="496"/>
    </row>
    <row r="11850" spans="1:4" x14ac:dyDescent="0.2">
      <c r="A11850" s="146"/>
      <c r="D11850" s="496"/>
    </row>
    <row r="11851" spans="1:4" x14ac:dyDescent="0.2">
      <c r="A11851" s="146"/>
      <c r="D11851" s="496"/>
    </row>
    <row r="11852" spans="1:4" x14ac:dyDescent="0.2">
      <c r="A11852" s="146"/>
      <c r="D11852" s="496"/>
    </row>
    <row r="11853" spans="1:4" x14ac:dyDescent="0.2">
      <c r="A11853" s="146"/>
      <c r="D11853" s="496"/>
    </row>
    <row r="11854" spans="1:4" x14ac:dyDescent="0.2">
      <c r="A11854" s="146"/>
      <c r="D11854" s="496"/>
    </row>
    <row r="11855" spans="1:4" x14ac:dyDescent="0.2">
      <c r="A11855" s="146"/>
      <c r="D11855" s="496"/>
    </row>
    <row r="11856" spans="1:4" x14ac:dyDescent="0.2">
      <c r="A11856" s="146"/>
      <c r="D11856" s="496"/>
    </row>
    <row r="11857" spans="1:4" x14ac:dyDescent="0.2">
      <c r="A11857" s="146"/>
      <c r="D11857" s="496"/>
    </row>
    <row r="11858" spans="1:4" x14ac:dyDescent="0.2">
      <c r="A11858" s="146"/>
      <c r="D11858" s="496"/>
    </row>
    <row r="11859" spans="1:4" x14ac:dyDescent="0.2">
      <c r="A11859" s="146"/>
      <c r="D11859" s="496"/>
    </row>
    <row r="11860" spans="1:4" x14ac:dyDescent="0.2">
      <c r="A11860" s="146"/>
      <c r="D11860" s="496"/>
    </row>
    <row r="11861" spans="1:4" x14ac:dyDescent="0.2">
      <c r="A11861" s="146"/>
      <c r="D11861" s="496"/>
    </row>
    <row r="11862" spans="1:4" x14ac:dyDescent="0.2">
      <c r="A11862" s="146"/>
      <c r="D11862" s="496"/>
    </row>
    <row r="11863" spans="1:4" x14ac:dyDescent="0.2">
      <c r="A11863" s="146"/>
      <c r="D11863" s="496"/>
    </row>
    <row r="11864" spans="1:4" x14ac:dyDescent="0.2">
      <c r="A11864" s="146"/>
      <c r="D11864" s="496"/>
    </row>
    <row r="11865" spans="1:4" x14ac:dyDescent="0.2">
      <c r="A11865" s="146"/>
      <c r="D11865" s="496"/>
    </row>
    <row r="11866" spans="1:4" x14ac:dyDescent="0.2">
      <c r="A11866" s="146"/>
      <c r="D11866" s="496"/>
    </row>
    <row r="11867" spans="1:4" x14ac:dyDescent="0.2">
      <c r="A11867" s="146"/>
      <c r="D11867" s="496"/>
    </row>
    <row r="11868" spans="1:4" x14ac:dyDescent="0.2">
      <c r="A11868" s="146"/>
      <c r="D11868" s="496"/>
    </row>
    <row r="11869" spans="1:4" x14ac:dyDescent="0.2">
      <c r="A11869" s="146"/>
      <c r="D11869" s="496"/>
    </row>
    <row r="11870" spans="1:4" x14ac:dyDescent="0.2">
      <c r="A11870" s="146"/>
      <c r="D11870" s="496"/>
    </row>
    <row r="11871" spans="1:4" x14ac:dyDescent="0.2">
      <c r="A11871" s="146"/>
      <c r="D11871" s="496"/>
    </row>
    <row r="11872" spans="1:4" x14ac:dyDescent="0.2">
      <c r="A11872" s="146"/>
      <c r="D11872" s="496"/>
    </row>
    <row r="11873" spans="1:4" x14ac:dyDescent="0.2">
      <c r="A11873" s="146"/>
      <c r="D11873" s="496"/>
    </row>
    <row r="11874" spans="1:4" x14ac:dyDescent="0.2">
      <c r="A11874" s="146"/>
      <c r="D11874" s="496"/>
    </row>
    <row r="11875" spans="1:4" x14ac:dyDescent="0.2">
      <c r="A11875" s="146"/>
      <c r="D11875" s="496"/>
    </row>
    <row r="11876" spans="1:4" x14ac:dyDescent="0.2">
      <c r="A11876" s="146"/>
      <c r="D11876" s="496"/>
    </row>
    <row r="11877" spans="1:4" x14ac:dyDescent="0.2">
      <c r="A11877" s="146"/>
      <c r="D11877" s="496"/>
    </row>
    <row r="11878" spans="1:4" x14ac:dyDescent="0.2">
      <c r="A11878" s="146"/>
      <c r="D11878" s="496"/>
    </row>
    <row r="11879" spans="1:4" x14ac:dyDescent="0.2">
      <c r="A11879" s="146"/>
      <c r="D11879" s="496"/>
    </row>
    <row r="11880" spans="1:4" x14ac:dyDescent="0.2">
      <c r="A11880" s="146"/>
      <c r="D11880" s="496"/>
    </row>
    <row r="11881" spans="1:4" x14ac:dyDescent="0.2">
      <c r="A11881" s="146"/>
      <c r="D11881" s="496"/>
    </row>
    <row r="11882" spans="1:4" x14ac:dyDescent="0.2">
      <c r="A11882" s="146"/>
      <c r="D11882" s="496"/>
    </row>
    <row r="11883" spans="1:4" x14ac:dyDescent="0.2">
      <c r="A11883" s="146"/>
      <c r="D11883" s="496"/>
    </row>
    <row r="11884" spans="1:4" x14ac:dyDescent="0.2">
      <c r="A11884" s="146"/>
      <c r="D11884" s="496"/>
    </row>
    <row r="11885" spans="1:4" x14ac:dyDescent="0.2">
      <c r="A11885" s="146"/>
      <c r="D11885" s="496"/>
    </row>
    <row r="11886" spans="1:4" x14ac:dyDescent="0.2">
      <c r="A11886" s="146"/>
      <c r="D11886" s="496"/>
    </row>
    <row r="11887" spans="1:4" x14ac:dyDescent="0.2">
      <c r="A11887" s="146"/>
      <c r="D11887" s="496"/>
    </row>
    <row r="11888" spans="1:4" x14ac:dyDescent="0.2">
      <c r="A11888" s="146"/>
      <c r="D11888" s="496"/>
    </row>
    <row r="11889" spans="1:4" x14ac:dyDescent="0.2">
      <c r="A11889" s="146"/>
      <c r="D11889" s="496"/>
    </row>
    <row r="11890" spans="1:4" x14ac:dyDescent="0.2">
      <c r="A11890" s="146"/>
      <c r="D11890" s="496"/>
    </row>
    <row r="11891" spans="1:4" x14ac:dyDescent="0.2">
      <c r="A11891" s="146"/>
      <c r="D11891" s="496"/>
    </row>
    <row r="11892" spans="1:4" x14ac:dyDescent="0.2">
      <c r="A11892" s="146"/>
      <c r="D11892" s="496"/>
    </row>
    <row r="11893" spans="1:4" x14ac:dyDescent="0.2">
      <c r="A11893" s="146"/>
      <c r="D11893" s="496"/>
    </row>
    <row r="11894" spans="1:4" x14ac:dyDescent="0.2">
      <c r="A11894" s="146"/>
      <c r="D11894" s="496"/>
    </row>
    <row r="11895" spans="1:4" x14ac:dyDescent="0.2">
      <c r="A11895" s="146"/>
      <c r="D11895" s="496"/>
    </row>
    <row r="11896" spans="1:4" x14ac:dyDescent="0.2">
      <c r="A11896" s="146"/>
      <c r="D11896" s="496"/>
    </row>
    <row r="11897" spans="1:4" x14ac:dyDescent="0.2">
      <c r="A11897" s="146"/>
      <c r="D11897" s="496"/>
    </row>
    <row r="11898" spans="1:4" x14ac:dyDescent="0.2">
      <c r="A11898" s="146"/>
      <c r="D11898" s="496"/>
    </row>
    <row r="11899" spans="1:4" x14ac:dyDescent="0.2">
      <c r="A11899" s="146"/>
      <c r="D11899" s="496"/>
    </row>
    <row r="11900" spans="1:4" x14ac:dyDescent="0.2">
      <c r="A11900" s="146"/>
      <c r="D11900" s="496"/>
    </row>
    <row r="11901" spans="1:4" x14ac:dyDescent="0.2">
      <c r="A11901" s="146"/>
      <c r="D11901" s="496"/>
    </row>
    <row r="11902" spans="1:4" x14ac:dyDescent="0.2">
      <c r="A11902" s="146"/>
      <c r="D11902" s="496"/>
    </row>
    <row r="11903" spans="1:4" x14ac:dyDescent="0.2">
      <c r="A11903" s="146"/>
      <c r="D11903" s="496"/>
    </row>
    <row r="11904" spans="1:4" x14ac:dyDescent="0.2">
      <c r="A11904" s="146"/>
      <c r="D11904" s="496"/>
    </row>
    <row r="11905" spans="1:4" x14ac:dyDescent="0.2">
      <c r="A11905" s="146"/>
      <c r="D11905" s="496"/>
    </row>
    <row r="11906" spans="1:4" x14ac:dyDescent="0.2">
      <c r="A11906" s="146"/>
      <c r="D11906" s="496"/>
    </row>
    <row r="11907" spans="1:4" x14ac:dyDescent="0.2">
      <c r="A11907" s="146"/>
      <c r="D11907" s="496"/>
    </row>
    <row r="11908" spans="1:4" x14ac:dyDescent="0.2">
      <c r="A11908" s="146"/>
      <c r="D11908" s="496"/>
    </row>
    <row r="11909" spans="1:4" x14ac:dyDescent="0.2">
      <c r="A11909" s="146"/>
      <c r="D11909" s="496"/>
    </row>
    <row r="11910" spans="1:4" x14ac:dyDescent="0.2">
      <c r="A11910" s="146"/>
      <c r="D11910" s="496"/>
    </row>
    <row r="11911" spans="1:4" x14ac:dyDescent="0.2">
      <c r="A11911" s="146"/>
      <c r="D11911" s="496"/>
    </row>
    <row r="11912" spans="1:4" x14ac:dyDescent="0.2">
      <c r="A11912" s="146"/>
      <c r="D11912" s="496"/>
    </row>
    <row r="11913" spans="1:4" x14ac:dyDescent="0.2">
      <c r="A11913" s="146"/>
      <c r="D11913" s="496"/>
    </row>
    <row r="11914" spans="1:4" x14ac:dyDescent="0.2">
      <c r="A11914" s="146"/>
      <c r="D11914" s="496"/>
    </row>
    <row r="11915" spans="1:4" x14ac:dyDescent="0.2">
      <c r="A11915" s="146"/>
      <c r="D11915" s="496"/>
    </row>
    <row r="11916" spans="1:4" x14ac:dyDescent="0.2">
      <c r="A11916" s="146"/>
      <c r="D11916" s="496"/>
    </row>
    <row r="11917" spans="1:4" x14ac:dyDescent="0.2">
      <c r="A11917" s="146"/>
      <c r="D11917" s="496"/>
    </row>
    <row r="11918" spans="1:4" x14ac:dyDescent="0.2">
      <c r="A11918" s="146"/>
      <c r="D11918" s="496"/>
    </row>
    <row r="11919" spans="1:4" x14ac:dyDescent="0.2">
      <c r="A11919" s="146"/>
      <c r="D11919" s="496"/>
    </row>
    <row r="11920" spans="1:4" x14ac:dyDescent="0.2">
      <c r="A11920" s="146"/>
      <c r="D11920" s="496"/>
    </row>
    <row r="11921" spans="1:4" x14ac:dyDescent="0.2">
      <c r="A11921" s="146"/>
      <c r="D11921" s="496"/>
    </row>
    <row r="11922" spans="1:4" x14ac:dyDescent="0.2">
      <c r="A11922" s="146"/>
      <c r="D11922" s="496"/>
    </row>
    <row r="11923" spans="1:4" x14ac:dyDescent="0.2">
      <c r="A11923" s="146"/>
      <c r="D11923" s="496"/>
    </row>
    <row r="11924" spans="1:4" x14ac:dyDescent="0.2">
      <c r="A11924" s="146"/>
      <c r="D11924" s="496"/>
    </row>
    <row r="11925" spans="1:4" x14ac:dyDescent="0.2">
      <c r="A11925" s="146"/>
      <c r="D11925" s="496"/>
    </row>
    <row r="11926" spans="1:4" x14ac:dyDescent="0.2">
      <c r="A11926" s="146"/>
      <c r="D11926" s="496"/>
    </row>
    <row r="11927" spans="1:4" x14ac:dyDescent="0.2">
      <c r="A11927" s="146"/>
      <c r="D11927" s="496"/>
    </row>
    <row r="11928" spans="1:4" x14ac:dyDescent="0.2">
      <c r="A11928" s="146"/>
      <c r="D11928" s="496"/>
    </row>
    <row r="11929" spans="1:4" x14ac:dyDescent="0.2">
      <c r="A11929" s="146"/>
      <c r="D11929" s="496"/>
    </row>
    <row r="11930" spans="1:4" x14ac:dyDescent="0.2">
      <c r="A11930" s="146"/>
      <c r="D11930" s="496"/>
    </row>
    <row r="11931" spans="1:4" x14ac:dyDescent="0.2">
      <c r="A11931" s="146"/>
      <c r="D11931" s="496"/>
    </row>
    <row r="11932" spans="1:4" x14ac:dyDescent="0.2">
      <c r="A11932" s="146"/>
      <c r="D11932" s="496"/>
    </row>
    <row r="11933" spans="1:4" x14ac:dyDescent="0.2">
      <c r="A11933" s="146"/>
      <c r="D11933" s="496"/>
    </row>
    <row r="11934" spans="1:4" x14ac:dyDescent="0.2">
      <c r="A11934" s="146"/>
      <c r="D11934" s="496"/>
    </row>
    <row r="11935" spans="1:4" x14ac:dyDescent="0.2">
      <c r="A11935" s="146"/>
      <c r="D11935" s="496"/>
    </row>
    <row r="11936" spans="1:4" x14ac:dyDescent="0.2">
      <c r="A11936" s="146"/>
      <c r="D11936" s="496"/>
    </row>
    <row r="11937" spans="1:4" x14ac:dyDescent="0.2">
      <c r="A11937" s="146"/>
      <c r="D11937" s="496"/>
    </row>
    <row r="11938" spans="1:4" x14ac:dyDescent="0.2">
      <c r="A11938" s="146"/>
      <c r="D11938" s="496"/>
    </row>
    <row r="11939" spans="1:4" x14ac:dyDescent="0.2">
      <c r="A11939" s="146"/>
      <c r="D11939" s="496"/>
    </row>
    <row r="11940" spans="1:4" x14ac:dyDescent="0.2">
      <c r="A11940" s="146"/>
      <c r="D11940" s="496"/>
    </row>
    <row r="11941" spans="1:4" x14ac:dyDescent="0.2">
      <c r="A11941" s="146"/>
      <c r="D11941" s="496"/>
    </row>
    <row r="11942" spans="1:4" x14ac:dyDescent="0.2">
      <c r="A11942" s="146"/>
      <c r="D11942" s="496"/>
    </row>
    <row r="11943" spans="1:4" x14ac:dyDescent="0.2">
      <c r="A11943" s="146"/>
      <c r="D11943" s="496"/>
    </row>
    <row r="11944" spans="1:4" x14ac:dyDescent="0.2">
      <c r="A11944" s="146"/>
      <c r="D11944" s="496"/>
    </row>
    <row r="11945" spans="1:4" x14ac:dyDescent="0.2">
      <c r="A11945" s="146"/>
      <c r="D11945" s="496"/>
    </row>
    <row r="11946" spans="1:4" x14ac:dyDescent="0.2">
      <c r="A11946" s="146"/>
      <c r="D11946" s="496"/>
    </row>
    <row r="11947" spans="1:4" x14ac:dyDescent="0.2">
      <c r="A11947" s="146"/>
      <c r="D11947" s="496"/>
    </row>
    <row r="11948" spans="1:4" x14ac:dyDescent="0.2">
      <c r="A11948" s="146"/>
      <c r="D11948" s="496"/>
    </row>
    <row r="11949" spans="1:4" x14ac:dyDescent="0.2">
      <c r="A11949" s="146"/>
      <c r="D11949" s="496"/>
    </row>
    <row r="11950" spans="1:4" x14ac:dyDescent="0.2">
      <c r="A11950" s="146"/>
      <c r="D11950" s="496"/>
    </row>
    <row r="11951" spans="1:4" x14ac:dyDescent="0.2">
      <c r="A11951" s="146"/>
      <c r="D11951" s="496"/>
    </row>
    <row r="11952" spans="1:4" x14ac:dyDescent="0.2">
      <c r="A11952" s="146"/>
      <c r="D11952" s="496"/>
    </row>
    <row r="11953" spans="1:4" x14ac:dyDescent="0.2">
      <c r="A11953" s="146"/>
      <c r="D11953" s="496"/>
    </row>
    <row r="11954" spans="1:4" x14ac:dyDescent="0.2">
      <c r="A11954" s="146"/>
      <c r="D11954" s="496"/>
    </row>
    <row r="11955" spans="1:4" x14ac:dyDescent="0.2">
      <c r="A11955" s="146"/>
      <c r="D11955" s="496"/>
    </row>
    <row r="11956" spans="1:4" x14ac:dyDescent="0.2">
      <c r="A11956" s="146"/>
      <c r="D11956" s="496"/>
    </row>
    <row r="11957" spans="1:4" x14ac:dyDescent="0.2">
      <c r="A11957" s="146"/>
      <c r="D11957" s="496"/>
    </row>
    <row r="11958" spans="1:4" x14ac:dyDescent="0.2">
      <c r="A11958" s="146"/>
      <c r="D11958" s="496"/>
    </row>
    <row r="11959" spans="1:4" x14ac:dyDescent="0.2">
      <c r="A11959" s="146"/>
      <c r="D11959" s="496"/>
    </row>
    <row r="11960" spans="1:4" x14ac:dyDescent="0.2">
      <c r="A11960" s="146"/>
      <c r="D11960" s="496"/>
    </row>
    <row r="11961" spans="1:4" x14ac:dyDescent="0.2">
      <c r="A11961" s="146"/>
      <c r="D11961" s="496"/>
    </row>
    <row r="11962" spans="1:4" x14ac:dyDescent="0.2">
      <c r="A11962" s="146"/>
      <c r="D11962" s="496"/>
    </row>
    <row r="11963" spans="1:4" x14ac:dyDescent="0.2">
      <c r="A11963" s="146"/>
      <c r="D11963" s="496"/>
    </row>
    <row r="11964" spans="1:4" x14ac:dyDescent="0.2">
      <c r="A11964" s="146"/>
      <c r="D11964" s="496"/>
    </row>
    <row r="11965" spans="1:4" x14ac:dyDescent="0.2">
      <c r="A11965" s="146"/>
      <c r="D11965" s="496"/>
    </row>
    <row r="11966" spans="1:4" x14ac:dyDescent="0.2">
      <c r="A11966" s="146"/>
      <c r="D11966" s="496"/>
    </row>
    <row r="11967" spans="1:4" x14ac:dyDescent="0.2">
      <c r="A11967" s="146"/>
      <c r="D11967" s="496"/>
    </row>
    <row r="11968" spans="1:4" x14ac:dyDescent="0.2">
      <c r="A11968" s="146"/>
      <c r="D11968" s="496"/>
    </row>
    <row r="11969" spans="1:4" x14ac:dyDescent="0.2">
      <c r="A11969" s="146"/>
      <c r="D11969" s="496"/>
    </row>
    <row r="11970" spans="1:4" x14ac:dyDescent="0.2">
      <c r="A11970" s="146"/>
      <c r="D11970" s="496"/>
    </row>
    <row r="11971" spans="1:4" x14ac:dyDescent="0.2">
      <c r="A11971" s="146"/>
      <c r="D11971" s="496"/>
    </row>
    <row r="11972" spans="1:4" x14ac:dyDescent="0.2">
      <c r="A11972" s="146"/>
      <c r="D11972" s="496"/>
    </row>
    <row r="11973" spans="1:4" x14ac:dyDescent="0.2">
      <c r="A11973" s="146"/>
      <c r="D11973" s="496"/>
    </row>
    <row r="11974" spans="1:4" x14ac:dyDescent="0.2">
      <c r="A11974" s="146"/>
      <c r="D11974" s="496"/>
    </row>
    <row r="11975" spans="1:4" x14ac:dyDescent="0.2">
      <c r="A11975" s="146"/>
      <c r="D11975" s="496"/>
    </row>
    <row r="11976" spans="1:4" x14ac:dyDescent="0.2">
      <c r="A11976" s="146"/>
      <c r="D11976" s="496"/>
    </row>
    <row r="11977" spans="1:4" x14ac:dyDescent="0.2">
      <c r="A11977" s="146"/>
      <c r="D11977" s="496"/>
    </row>
    <row r="11978" spans="1:4" x14ac:dyDescent="0.2">
      <c r="A11978" s="146"/>
      <c r="D11978" s="496"/>
    </row>
    <row r="11979" spans="1:4" x14ac:dyDescent="0.2">
      <c r="A11979" s="146"/>
      <c r="D11979" s="496"/>
    </row>
    <row r="11980" spans="1:4" x14ac:dyDescent="0.2">
      <c r="A11980" s="146"/>
      <c r="D11980" s="496"/>
    </row>
    <row r="11981" spans="1:4" x14ac:dyDescent="0.2">
      <c r="A11981" s="146"/>
      <c r="D11981" s="496"/>
    </row>
    <row r="11982" spans="1:4" x14ac:dyDescent="0.2">
      <c r="A11982" s="146"/>
      <c r="D11982" s="496"/>
    </row>
    <row r="11983" spans="1:4" x14ac:dyDescent="0.2">
      <c r="A11983" s="146"/>
      <c r="D11983" s="496"/>
    </row>
    <row r="11984" spans="1:4" x14ac:dyDescent="0.2">
      <c r="A11984" s="146"/>
      <c r="D11984" s="496"/>
    </row>
    <row r="11985" spans="1:4" x14ac:dyDescent="0.2">
      <c r="A11985" s="146"/>
      <c r="D11985" s="496"/>
    </row>
    <row r="11986" spans="1:4" x14ac:dyDescent="0.2">
      <c r="A11986" s="146"/>
      <c r="D11986" s="496"/>
    </row>
    <row r="11987" spans="1:4" x14ac:dyDescent="0.2">
      <c r="A11987" s="146"/>
      <c r="D11987" s="496"/>
    </row>
    <row r="11988" spans="1:4" x14ac:dyDescent="0.2">
      <c r="A11988" s="146"/>
      <c r="D11988" s="496"/>
    </row>
    <row r="11989" spans="1:4" x14ac:dyDescent="0.2">
      <c r="A11989" s="146"/>
      <c r="D11989" s="496"/>
    </row>
    <row r="11990" spans="1:4" x14ac:dyDescent="0.2">
      <c r="A11990" s="146"/>
      <c r="D11990" s="496"/>
    </row>
    <row r="11991" spans="1:4" x14ac:dyDescent="0.2">
      <c r="A11991" s="146"/>
      <c r="D11991" s="496"/>
    </row>
    <row r="11992" spans="1:4" x14ac:dyDescent="0.2">
      <c r="A11992" s="146"/>
      <c r="D11992" s="496"/>
    </row>
    <row r="11993" spans="1:4" x14ac:dyDescent="0.2">
      <c r="A11993" s="146"/>
      <c r="D11993" s="496"/>
    </row>
    <row r="11994" spans="1:4" x14ac:dyDescent="0.2">
      <c r="A11994" s="146"/>
      <c r="D11994" s="496"/>
    </row>
    <row r="11995" spans="1:4" x14ac:dyDescent="0.2">
      <c r="A11995" s="146"/>
      <c r="D11995" s="496"/>
    </row>
    <row r="11996" spans="1:4" x14ac:dyDescent="0.2">
      <c r="A11996" s="146"/>
      <c r="D11996" s="496"/>
    </row>
    <row r="11997" spans="1:4" x14ac:dyDescent="0.2">
      <c r="A11997" s="146"/>
      <c r="D11997" s="496"/>
    </row>
    <row r="11998" spans="1:4" x14ac:dyDescent="0.2">
      <c r="A11998" s="146"/>
      <c r="D11998" s="496"/>
    </row>
    <row r="11999" spans="1:4" x14ac:dyDescent="0.2">
      <c r="A11999" s="146"/>
      <c r="D11999" s="496"/>
    </row>
    <row r="12000" spans="1:4" x14ac:dyDescent="0.2">
      <c r="A12000" s="146"/>
      <c r="D12000" s="496"/>
    </row>
    <row r="12001" spans="1:4" x14ac:dyDescent="0.2">
      <c r="A12001" s="146"/>
      <c r="D12001" s="496"/>
    </row>
    <row r="12002" spans="1:4" x14ac:dyDescent="0.2">
      <c r="A12002" s="146"/>
      <c r="D12002" s="496"/>
    </row>
    <row r="12003" spans="1:4" x14ac:dyDescent="0.2">
      <c r="A12003" s="146"/>
      <c r="D12003" s="496"/>
    </row>
    <row r="12004" spans="1:4" x14ac:dyDescent="0.2">
      <c r="A12004" s="146"/>
      <c r="D12004" s="496"/>
    </row>
    <row r="12005" spans="1:4" x14ac:dyDescent="0.2">
      <c r="A12005" s="146"/>
      <c r="D12005" s="496"/>
    </row>
    <row r="12006" spans="1:4" x14ac:dyDescent="0.2">
      <c r="A12006" s="146"/>
      <c r="D12006" s="496"/>
    </row>
    <row r="12007" spans="1:4" x14ac:dyDescent="0.2">
      <c r="A12007" s="146"/>
      <c r="D12007" s="496"/>
    </row>
    <row r="12008" spans="1:4" x14ac:dyDescent="0.2">
      <c r="A12008" s="146"/>
      <c r="D12008" s="496"/>
    </row>
    <row r="12009" spans="1:4" x14ac:dyDescent="0.2">
      <c r="A12009" s="146"/>
      <c r="D12009" s="496"/>
    </row>
    <row r="12010" spans="1:4" x14ac:dyDescent="0.2">
      <c r="A12010" s="146"/>
      <c r="D12010" s="496"/>
    </row>
    <row r="12011" spans="1:4" x14ac:dyDescent="0.2">
      <c r="A12011" s="146"/>
      <c r="D12011" s="496"/>
    </row>
    <row r="12012" spans="1:4" x14ac:dyDescent="0.2">
      <c r="A12012" s="146"/>
      <c r="D12012" s="496"/>
    </row>
    <row r="12013" spans="1:4" x14ac:dyDescent="0.2">
      <c r="A12013" s="146"/>
      <c r="D12013" s="496"/>
    </row>
    <row r="12014" spans="1:4" x14ac:dyDescent="0.2">
      <c r="A12014" s="146"/>
      <c r="D12014" s="496"/>
    </row>
    <row r="12015" spans="1:4" x14ac:dyDescent="0.2">
      <c r="A12015" s="146"/>
      <c r="D12015" s="496"/>
    </row>
    <row r="12016" spans="1:4" x14ac:dyDescent="0.2">
      <c r="A12016" s="146"/>
      <c r="D12016" s="496"/>
    </row>
    <row r="12017" spans="1:4" x14ac:dyDescent="0.2">
      <c r="A12017" s="146"/>
      <c r="D12017" s="496"/>
    </row>
    <row r="12018" spans="1:4" x14ac:dyDescent="0.2">
      <c r="A12018" s="146"/>
      <c r="D12018" s="496"/>
    </row>
    <row r="12019" spans="1:4" x14ac:dyDescent="0.2">
      <c r="A12019" s="146"/>
      <c r="D12019" s="496"/>
    </row>
    <row r="12020" spans="1:4" x14ac:dyDescent="0.2">
      <c r="A12020" s="146"/>
      <c r="D12020" s="496"/>
    </row>
    <row r="12021" spans="1:4" x14ac:dyDescent="0.2">
      <c r="A12021" s="146"/>
      <c r="D12021" s="496"/>
    </row>
    <row r="12022" spans="1:4" x14ac:dyDescent="0.2">
      <c r="A12022" s="146"/>
      <c r="D12022" s="496"/>
    </row>
    <row r="12023" spans="1:4" x14ac:dyDescent="0.2">
      <c r="A12023" s="146"/>
      <c r="D12023" s="496"/>
    </row>
    <row r="12024" spans="1:4" x14ac:dyDescent="0.2">
      <c r="A12024" s="146"/>
      <c r="D12024" s="496"/>
    </row>
    <row r="12025" spans="1:4" x14ac:dyDescent="0.2">
      <c r="A12025" s="146"/>
      <c r="D12025" s="496"/>
    </row>
    <row r="12026" spans="1:4" x14ac:dyDescent="0.2">
      <c r="A12026" s="146"/>
      <c r="D12026" s="496"/>
    </row>
    <row r="12027" spans="1:4" x14ac:dyDescent="0.2">
      <c r="A12027" s="146"/>
      <c r="D12027" s="496"/>
    </row>
    <row r="12028" spans="1:4" x14ac:dyDescent="0.2">
      <c r="A12028" s="146"/>
      <c r="D12028" s="496"/>
    </row>
    <row r="12029" spans="1:4" x14ac:dyDescent="0.2">
      <c r="A12029" s="146"/>
      <c r="D12029" s="496"/>
    </row>
    <row r="12030" spans="1:4" x14ac:dyDescent="0.2">
      <c r="A12030" s="146"/>
      <c r="D12030" s="496"/>
    </row>
    <row r="12031" spans="1:4" x14ac:dyDescent="0.2">
      <c r="A12031" s="146"/>
      <c r="D12031" s="496"/>
    </row>
    <row r="12032" spans="1:4" x14ac:dyDescent="0.2">
      <c r="A12032" s="146"/>
      <c r="D12032" s="496"/>
    </row>
    <row r="12033" spans="1:4" x14ac:dyDescent="0.2">
      <c r="A12033" s="146"/>
      <c r="D12033" s="496"/>
    </row>
    <row r="12034" spans="1:4" x14ac:dyDescent="0.2">
      <c r="A12034" s="146"/>
      <c r="D12034" s="496"/>
    </row>
    <row r="12035" spans="1:4" x14ac:dyDescent="0.2">
      <c r="A12035" s="146"/>
      <c r="D12035" s="496"/>
    </row>
    <row r="12036" spans="1:4" x14ac:dyDescent="0.2">
      <c r="A12036" s="146"/>
      <c r="D12036" s="496"/>
    </row>
    <row r="12037" spans="1:4" x14ac:dyDescent="0.2">
      <c r="A12037" s="146"/>
      <c r="D12037" s="496"/>
    </row>
    <row r="12038" spans="1:4" x14ac:dyDescent="0.2">
      <c r="A12038" s="146"/>
      <c r="D12038" s="496"/>
    </row>
    <row r="12039" spans="1:4" x14ac:dyDescent="0.2">
      <c r="A12039" s="146"/>
      <c r="D12039" s="496"/>
    </row>
    <row r="12040" spans="1:4" x14ac:dyDescent="0.2">
      <c r="A12040" s="146"/>
      <c r="D12040" s="496"/>
    </row>
    <row r="12041" spans="1:4" x14ac:dyDescent="0.2">
      <c r="A12041" s="146"/>
      <c r="D12041" s="496"/>
    </row>
    <row r="12042" spans="1:4" x14ac:dyDescent="0.2">
      <c r="A12042" s="146"/>
      <c r="D12042" s="496"/>
    </row>
    <row r="12043" spans="1:4" x14ac:dyDescent="0.2">
      <c r="A12043" s="146"/>
      <c r="D12043" s="496"/>
    </row>
    <row r="12044" spans="1:4" x14ac:dyDescent="0.2">
      <c r="A12044" s="146"/>
      <c r="D12044" s="496"/>
    </row>
    <row r="12045" spans="1:4" x14ac:dyDescent="0.2">
      <c r="A12045" s="146"/>
      <c r="D12045" s="496"/>
    </row>
    <row r="12046" spans="1:4" x14ac:dyDescent="0.2">
      <c r="A12046" s="146"/>
      <c r="D12046" s="496"/>
    </row>
    <row r="12047" spans="1:4" x14ac:dyDescent="0.2">
      <c r="A12047" s="146"/>
      <c r="D12047" s="496"/>
    </row>
    <row r="12048" spans="1:4" x14ac:dyDescent="0.2">
      <c r="A12048" s="146"/>
      <c r="D12048" s="496"/>
    </row>
    <row r="12049" spans="1:4" x14ac:dyDescent="0.2">
      <c r="A12049" s="146"/>
      <c r="D12049" s="496"/>
    </row>
    <row r="12050" spans="1:4" x14ac:dyDescent="0.2">
      <c r="A12050" s="146"/>
      <c r="D12050" s="496"/>
    </row>
    <row r="12051" spans="1:4" x14ac:dyDescent="0.2">
      <c r="A12051" s="146"/>
      <c r="D12051" s="496"/>
    </row>
    <row r="12052" spans="1:4" x14ac:dyDescent="0.2">
      <c r="A12052" s="146"/>
      <c r="D12052" s="496"/>
    </row>
    <row r="12053" spans="1:4" x14ac:dyDescent="0.2">
      <c r="A12053" s="146"/>
      <c r="D12053" s="496"/>
    </row>
    <row r="12054" spans="1:4" x14ac:dyDescent="0.2">
      <c r="A12054" s="146"/>
      <c r="D12054" s="496"/>
    </row>
    <row r="12055" spans="1:4" x14ac:dyDescent="0.2">
      <c r="A12055" s="146"/>
      <c r="D12055" s="496"/>
    </row>
    <row r="12056" spans="1:4" x14ac:dyDescent="0.2">
      <c r="A12056" s="146"/>
      <c r="D12056" s="496"/>
    </row>
    <row r="12057" spans="1:4" x14ac:dyDescent="0.2">
      <c r="A12057" s="146"/>
      <c r="D12057" s="496"/>
    </row>
    <row r="12058" spans="1:4" x14ac:dyDescent="0.2">
      <c r="A12058" s="146"/>
      <c r="D12058" s="496"/>
    </row>
    <row r="12059" spans="1:4" x14ac:dyDescent="0.2">
      <c r="A12059" s="146"/>
      <c r="D12059" s="496"/>
    </row>
    <row r="12060" spans="1:4" x14ac:dyDescent="0.2">
      <c r="A12060" s="146"/>
      <c r="D12060" s="496"/>
    </row>
    <row r="12061" spans="1:4" x14ac:dyDescent="0.2">
      <c r="A12061" s="146"/>
      <c r="D12061" s="496"/>
    </row>
    <row r="12062" spans="1:4" x14ac:dyDescent="0.2">
      <c r="A12062" s="146"/>
      <c r="D12062" s="496"/>
    </row>
    <row r="12063" spans="1:4" x14ac:dyDescent="0.2">
      <c r="A12063" s="146"/>
      <c r="D12063" s="496"/>
    </row>
    <row r="12064" spans="1:4" x14ac:dyDescent="0.2">
      <c r="A12064" s="146"/>
      <c r="D12064" s="496"/>
    </row>
    <row r="12065" spans="1:4" x14ac:dyDescent="0.2">
      <c r="A12065" s="146"/>
      <c r="D12065" s="496"/>
    </row>
    <row r="12066" spans="1:4" x14ac:dyDescent="0.2">
      <c r="A12066" s="146"/>
      <c r="D12066" s="496"/>
    </row>
    <row r="12067" spans="1:4" x14ac:dyDescent="0.2">
      <c r="A12067" s="146"/>
      <c r="D12067" s="496"/>
    </row>
    <row r="12068" spans="1:4" x14ac:dyDescent="0.2">
      <c r="A12068" s="146"/>
      <c r="D12068" s="496"/>
    </row>
    <row r="12069" spans="1:4" x14ac:dyDescent="0.2">
      <c r="A12069" s="146"/>
      <c r="D12069" s="496"/>
    </row>
    <row r="12070" spans="1:4" x14ac:dyDescent="0.2">
      <c r="A12070" s="146"/>
      <c r="D12070" s="496"/>
    </row>
    <row r="12071" spans="1:4" x14ac:dyDescent="0.2">
      <c r="A12071" s="146"/>
      <c r="D12071" s="496"/>
    </row>
    <row r="12072" spans="1:4" x14ac:dyDescent="0.2">
      <c r="A12072" s="146"/>
      <c r="D12072" s="496"/>
    </row>
    <row r="12073" spans="1:4" x14ac:dyDescent="0.2">
      <c r="A12073" s="146"/>
      <c r="D12073" s="496"/>
    </row>
    <row r="12074" spans="1:4" x14ac:dyDescent="0.2">
      <c r="A12074" s="146"/>
      <c r="D12074" s="496"/>
    </row>
    <row r="12075" spans="1:4" x14ac:dyDescent="0.2">
      <c r="A12075" s="146"/>
      <c r="D12075" s="496"/>
    </row>
    <row r="12076" spans="1:4" x14ac:dyDescent="0.2">
      <c r="A12076" s="146"/>
      <c r="D12076" s="496"/>
    </row>
    <row r="12077" spans="1:4" x14ac:dyDescent="0.2">
      <c r="A12077" s="146"/>
      <c r="D12077" s="496"/>
    </row>
    <row r="12078" spans="1:4" x14ac:dyDescent="0.2">
      <c r="A12078" s="146"/>
      <c r="D12078" s="496"/>
    </row>
    <row r="12079" spans="1:4" x14ac:dyDescent="0.2">
      <c r="A12079" s="146"/>
      <c r="D12079" s="496"/>
    </row>
    <row r="12080" spans="1:4" x14ac:dyDescent="0.2">
      <c r="A12080" s="146"/>
      <c r="D12080" s="496"/>
    </row>
    <row r="12081" spans="1:4" x14ac:dyDescent="0.2">
      <c r="A12081" s="146"/>
      <c r="D12081" s="496"/>
    </row>
    <row r="12082" spans="1:4" x14ac:dyDescent="0.2">
      <c r="A12082" s="146"/>
      <c r="D12082" s="496"/>
    </row>
    <row r="12083" spans="1:4" x14ac:dyDescent="0.2">
      <c r="A12083" s="146"/>
      <c r="D12083" s="496"/>
    </row>
    <row r="12084" spans="1:4" x14ac:dyDescent="0.2">
      <c r="A12084" s="146"/>
      <c r="D12084" s="496"/>
    </row>
    <row r="12085" spans="1:4" x14ac:dyDescent="0.2">
      <c r="A12085" s="146"/>
      <c r="D12085" s="496"/>
    </row>
    <row r="12086" spans="1:4" x14ac:dyDescent="0.2">
      <c r="A12086" s="146"/>
      <c r="D12086" s="496"/>
    </row>
    <row r="12087" spans="1:4" x14ac:dyDescent="0.2">
      <c r="A12087" s="146"/>
      <c r="D12087" s="496"/>
    </row>
    <row r="12088" spans="1:4" x14ac:dyDescent="0.2">
      <c r="A12088" s="146"/>
      <c r="D12088" s="496"/>
    </row>
    <row r="12089" spans="1:4" x14ac:dyDescent="0.2">
      <c r="A12089" s="146"/>
      <c r="D12089" s="496"/>
    </row>
    <row r="12090" spans="1:4" x14ac:dyDescent="0.2">
      <c r="A12090" s="146"/>
      <c r="D12090" s="496"/>
    </row>
    <row r="12091" spans="1:4" x14ac:dyDescent="0.2">
      <c r="A12091" s="146"/>
      <c r="D12091" s="496"/>
    </row>
    <row r="12092" spans="1:4" x14ac:dyDescent="0.2">
      <c r="A12092" s="146"/>
      <c r="D12092" s="496"/>
    </row>
    <row r="12093" spans="1:4" x14ac:dyDescent="0.2">
      <c r="A12093" s="146"/>
      <c r="D12093" s="496"/>
    </row>
    <row r="12094" spans="1:4" x14ac:dyDescent="0.2">
      <c r="A12094" s="146"/>
      <c r="D12094" s="496"/>
    </row>
    <row r="12095" spans="1:4" x14ac:dyDescent="0.2">
      <c r="A12095" s="146"/>
      <c r="D12095" s="496"/>
    </row>
    <row r="12096" spans="1:4" x14ac:dyDescent="0.2">
      <c r="A12096" s="146"/>
      <c r="D12096" s="496"/>
    </row>
    <row r="12097" spans="1:4" x14ac:dyDescent="0.2">
      <c r="A12097" s="146"/>
      <c r="D12097" s="496"/>
    </row>
    <row r="12098" spans="1:4" x14ac:dyDescent="0.2">
      <c r="A12098" s="146"/>
      <c r="D12098" s="496"/>
    </row>
    <row r="12099" spans="1:4" x14ac:dyDescent="0.2">
      <c r="A12099" s="146"/>
      <c r="D12099" s="496"/>
    </row>
    <row r="12100" spans="1:4" x14ac:dyDescent="0.2">
      <c r="A12100" s="146"/>
      <c r="D12100" s="496"/>
    </row>
    <row r="12101" spans="1:4" x14ac:dyDescent="0.2">
      <c r="A12101" s="146"/>
      <c r="D12101" s="496"/>
    </row>
    <row r="12102" spans="1:4" x14ac:dyDescent="0.2">
      <c r="A12102" s="146"/>
      <c r="D12102" s="496"/>
    </row>
    <row r="12103" spans="1:4" x14ac:dyDescent="0.2">
      <c r="A12103" s="146"/>
      <c r="D12103" s="496"/>
    </row>
    <row r="12104" spans="1:4" x14ac:dyDescent="0.2">
      <c r="A12104" s="146"/>
      <c r="D12104" s="496"/>
    </row>
    <row r="12105" spans="1:4" x14ac:dyDescent="0.2">
      <c r="A12105" s="146"/>
      <c r="D12105" s="496"/>
    </row>
    <row r="12106" spans="1:4" x14ac:dyDescent="0.2">
      <c r="A12106" s="146"/>
      <c r="D12106" s="496"/>
    </row>
    <row r="12107" spans="1:4" x14ac:dyDescent="0.2">
      <c r="A12107" s="146"/>
      <c r="D12107" s="496"/>
    </row>
    <row r="12108" spans="1:4" x14ac:dyDescent="0.2">
      <c r="A12108" s="146"/>
      <c r="D12108" s="496"/>
    </row>
    <row r="12109" spans="1:4" x14ac:dyDescent="0.2">
      <c r="A12109" s="146"/>
      <c r="D12109" s="496"/>
    </row>
    <row r="12110" spans="1:4" x14ac:dyDescent="0.2">
      <c r="A12110" s="146"/>
      <c r="D12110" s="496"/>
    </row>
    <row r="12111" spans="1:4" x14ac:dyDescent="0.2">
      <c r="A12111" s="146"/>
      <c r="D12111" s="496"/>
    </row>
    <row r="12112" spans="1:4" x14ac:dyDescent="0.2">
      <c r="A12112" s="146"/>
      <c r="D12112" s="496"/>
    </row>
    <row r="12113" spans="1:4" x14ac:dyDescent="0.2">
      <c r="A12113" s="146"/>
      <c r="D12113" s="496"/>
    </row>
    <row r="12114" spans="1:4" x14ac:dyDescent="0.2">
      <c r="A12114" s="146"/>
      <c r="D12114" s="496"/>
    </row>
    <row r="12115" spans="1:4" x14ac:dyDescent="0.2">
      <c r="A12115" s="146"/>
      <c r="D12115" s="496"/>
    </row>
    <row r="12116" spans="1:4" x14ac:dyDescent="0.2">
      <c r="A12116" s="146"/>
      <c r="D12116" s="496"/>
    </row>
    <row r="12117" spans="1:4" x14ac:dyDescent="0.2">
      <c r="A12117" s="146"/>
      <c r="D12117" s="496"/>
    </row>
    <row r="12118" spans="1:4" x14ac:dyDescent="0.2">
      <c r="A12118" s="146"/>
      <c r="D12118" s="496"/>
    </row>
    <row r="12119" spans="1:4" x14ac:dyDescent="0.2">
      <c r="A12119" s="146"/>
      <c r="D12119" s="496"/>
    </row>
    <row r="12120" spans="1:4" x14ac:dyDescent="0.2">
      <c r="A12120" s="146"/>
      <c r="D12120" s="496"/>
    </row>
    <row r="12121" spans="1:4" x14ac:dyDescent="0.2">
      <c r="A12121" s="146"/>
      <c r="D12121" s="496"/>
    </row>
    <row r="12122" spans="1:4" x14ac:dyDescent="0.2">
      <c r="A12122" s="146"/>
      <c r="D12122" s="496"/>
    </row>
    <row r="12123" spans="1:4" x14ac:dyDescent="0.2">
      <c r="A12123" s="146"/>
      <c r="D12123" s="496"/>
    </row>
    <row r="12124" spans="1:4" x14ac:dyDescent="0.2">
      <c r="A12124" s="146"/>
      <c r="D12124" s="496"/>
    </row>
    <row r="12125" spans="1:4" x14ac:dyDescent="0.2">
      <c r="A12125" s="146"/>
      <c r="D12125" s="496"/>
    </row>
    <row r="12126" spans="1:4" x14ac:dyDescent="0.2">
      <c r="A12126" s="146"/>
      <c r="D12126" s="496"/>
    </row>
    <row r="12127" spans="1:4" x14ac:dyDescent="0.2">
      <c r="A12127" s="146"/>
      <c r="D12127" s="496"/>
    </row>
    <row r="12128" spans="1:4" x14ac:dyDescent="0.2">
      <c r="A12128" s="146"/>
      <c r="D12128" s="496"/>
    </row>
    <row r="12129" spans="1:4" x14ac:dyDescent="0.2">
      <c r="A12129" s="146"/>
      <c r="D12129" s="496"/>
    </row>
    <row r="12130" spans="1:4" x14ac:dyDescent="0.2">
      <c r="A12130" s="146"/>
      <c r="D12130" s="496"/>
    </row>
    <row r="12131" spans="1:4" x14ac:dyDescent="0.2">
      <c r="A12131" s="146"/>
      <c r="D12131" s="496"/>
    </row>
    <row r="12132" spans="1:4" x14ac:dyDescent="0.2">
      <c r="A12132" s="146"/>
      <c r="D12132" s="496"/>
    </row>
    <row r="12133" spans="1:4" x14ac:dyDescent="0.2">
      <c r="A12133" s="146"/>
      <c r="D12133" s="496"/>
    </row>
    <row r="12134" spans="1:4" x14ac:dyDescent="0.2">
      <c r="A12134" s="146"/>
      <c r="D12134" s="496"/>
    </row>
    <row r="12135" spans="1:4" x14ac:dyDescent="0.2">
      <c r="A12135" s="146"/>
      <c r="D12135" s="496"/>
    </row>
    <row r="12136" spans="1:4" x14ac:dyDescent="0.2">
      <c r="A12136" s="146"/>
      <c r="D12136" s="496"/>
    </row>
    <row r="12137" spans="1:4" x14ac:dyDescent="0.2">
      <c r="A12137" s="146"/>
      <c r="D12137" s="496"/>
    </row>
    <row r="12138" spans="1:4" x14ac:dyDescent="0.2">
      <c r="A12138" s="146"/>
      <c r="D12138" s="496"/>
    </row>
    <row r="12139" spans="1:4" x14ac:dyDescent="0.2">
      <c r="A12139" s="146"/>
      <c r="D12139" s="496"/>
    </row>
    <row r="12140" spans="1:4" x14ac:dyDescent="0.2">
      <c r="A12140" s="146"/>
      <c r="D12140" s="496"/>
    </row>
    <row r="12141" spans="1:4" x14ac:dyDescent="0.2">
      <c r="A12141" s="146"/>
      <c r="D12141" s="496"/>
    </row>
    <row r="12142" spans="1:4" x14ac:dyDescent="0.2">
      <c r="A12142" s="146"/>
      <c r="D12142" s="496"/>
    </row>
    <row r="12143" spans="1:4" x14ac:dyDescent="0.2">
      <c r="A12143" s="146"/>
      <c r="D12143" s="496"/>
    </row>
    <row r="12144" spans="1:4" x14ac:dyDescent="0.2">
      <c r="A12144" s="146"/>
      <c r="D12144" s="496"/>
    </row>
    <row r="12145" spans="1:4" x14ac:dyDescent="0.2">
      <c r="A12145" s="146"/>
      <c r="D12145" s="496"/>
    </row>
    <row r="12146" spans="1:4" x14ac:dyDescent="0.2">
      <c r="A12146" s="146"/>
      <c r="D12146" s="496"/>
    </row>
    <row r="12147" spans="1:4" x14ac:dyDescent="0.2">
      <c r="A12147" s="146"/>
      <c r="D12147" s="496"/>
    </row>
    <row r="12148" spans="1:4" x14ac:dyDescent="0.2">
      <c r="A12148" s="146"/>
      <c r="D12148" s="496"/>
    </row>
    <row r="12149" spans="1:4" x14ac:dyDescent="0.2">
      <c r="A12149" s="146"/>
      <c r="D12149" s="496"/>
    </row>
    <row r="12150" spans="1:4" x14ac:dyDescent="0.2">
      <c r="A12150" s="146"/>
      <c r="D12150" s="496"/>
    </row>
    <row r="12151" spans="1:4" x14ac:dyDescent="0.2">
      <c r="A12151" s="146"/>
      <c r="D12151" s="496"/>
    </row>
    <row r="12152" spans="1:4" x14ac:dyDescent="0.2">
      <c r="A12152" s="146"/>
      <c r="D12152" s="496"/>
    </row>
    <row r="12153" spans="1:4" x14ac:dyDescent="0.2">
      <c r="A12153" s="146"/>
      <c r="D12153" s="496"/>
    </row>
    <row r="12154" spans="1:4" x14ac:dyDescent="0.2">
      <c r="A12154" s="146"/>
      <c r="D12154" s="496"/>
    </row>
    <row r="12155" spans="1:4" x14ac:dyDescent="0.2">
      <c r="A12155" s="146"/>
      <c r="D12155" s="496"/>
    </row>
    <row r="12156" spans="1:4" x14ac:dyDescent="0.2">
      <c r="A12156" s="146"/>
      <c r="D12156" s="496"/>
    </row>
    <row r="12157" spans="1:4" x14ac:dyDescent="0.2">
      <c r="A12157" s="146"/>
      <c r="D12157" s="496"/>
    </row>
    <row r="12158" spans="1:4" x14ac:dyDescent="0.2">
      <c r="A12158" s="146"/>
      <c r="D12158" s="496"/>
    </row>
    <row r="12159" spans="1:4" x14ac:dyDescent="0.2">
      <c r="A12159" s="146"/>
      <c r="D12159" s="496"/>
    </row>
    <row r="12160" spans="1:4" x14ac:dyDescent="0.2">
      <c r="A12160" s="146"/>
      <c r="D12160" s="496"/>
    </row>
    <row r="12161" spans="1:4" x14ac:dyDescent="0.2">
      <c r="A12161" s="146"/>
      <c r="D12161" s="496"/>
    </row>
    <row r="12162" spans="1:4" x14ac:dyDescent="0.2">
      <c r="A12162" s="146"/>
      <c r="D12162" s="496"/>
    </row>
    <row r="12163" spans="1:4" x14ac:dyDescent="0.2">
      <c r="A12163" s="146"/>
      <c r="D12163" s="496"/>
    </row>
    <row r="12164" spans="1:4" x14ac:dyDescent="0.2">
      <c r="A12164" s="146"/>
      <c r="D12164" s="496"/>
    </row>
    <row r="12165" spans="1:4" x14ac:dyDescent="0.2">
      <c r="A12165" s="146"/>
      <c r="D12165" s="496"/>
    </row>
    <row r="12166" spans="1:4" x14ac:dyDescent="0.2">
      <c r="A12166" s="146"/>
      <c r="D12166" s="496"/>
    </row>
    <row r="12167" spans="1:4" x14ac:dyDescent="0.2">
      <c r="A12167" s="146"/>
      <c r="D12167" s="496"/>
    </row>
    <row r="12168" spans="1:4" x14ac:dyDescent="0.2">
      <c r="A12168" s="146"/>
      <c r="D12168" s="496"/>
    </row>
    <row r="12169" spans="1:4" x14ac:dyDescent="0.2">
      <c r="A12169" s="146"/>
      <c r="D12169" s="496"/>
    </row>
    <row r="12170" spans="1:4" x14ac:dyDescent="0.2">
      <c r="A12170" s="146"/>
      <c r="D12170" s="496"/>
    </row>
    <row r="12171" spans="1:4" x14ac:dyDescent="0.2">
      <c r="A12171" s="146"/>
      <c r="D12171" s="496"/>
    </row>
    <row r="12172" spans="1:4" x14ac:dyDescent="0.2">
      <c r="A12172" s="146"/>
      <c r="D12172" s="496"/>
    </row>
    <row r="12173" spans="1:4" x14ac:dyDescent="0.2">
      <c r="A12173" s="146"/>
      <c r="D12173" s="496"/>
    </row>
    <row r="12174" spans="1:4" x14ac:dyDescent="0.2">
      <c r="A12174" s="146"/>
      <c r="D12174" s="496"/>
    </row>
    <row r="12175" spans="1:4" x14ac:dyDescent="0.2">
      <c r="A12175" s="146"/>
      <c r="D12175" s="496"/>
    </row>
    <row r="12176" spans="1:4" x14ac:dyDescent="0.2">
      <c r="A12176" s="146"/>
      <c r="D12176" s="496"/>
    </row>
    <row r="12177" spans="1:4" x14ac:dyDescent="0.2">
      <c r="A12177" s="146"/>
      <c r="D12177" s="496"/>
    </row>
    <row r="12178" spans="1:4" x14ac:dyDescent="0.2">
      <c r="A12178" s="146"/>
      <c r="D12178" s="496"/>
    </row>
    <row r="12179" spans="1:4" x14ac:dyDescent="0.2">
      <c r="A12179" s="146"/>
      <c r="D12179" s="496"/>
    </row>
    <row r="12180" spans="1:4" x14ac:dyDescent="0.2">
      <c r="A12180" s="146"/>
      <c r="D12180" s="496"/>
    </row>
    <row r="12181" spans="1:4" x14ac:dyDescent="0.2">
      <c r="A12181" s="146"/>
      <c r="D12181" s="496"/>
    </row>
    <row r="12182" spans="1:4" x14ac:dyDescent="0.2">
      <c r="A12182" s="146"/>
      <c r="D12182" s="496"/>
    </row>
    <row r="12183" spans="1:4" x14ac:dyDescent="0.2">
      <c r="A12183" s="146"/>
      <c r="D12183" s="496"/>
    </row>
    <row r="12184" spans="1:4" x14ac:dyDescent="0.2">
      <c r="A12184" s="146"/>
      <c r="D12184" s="496"/>
    </row>
    <row r="12185" spans="1:4" x14ac:dyDescent="0.2">
      <c r="A12185" s="146"/>
      <c r="D12185" s="496"/>
    </row>
    <row r="12186" spans="1:4" x14ac:dyDescent="0.2">
      <c r="A12186" s="146"/>
      <c r="D12186" s="496"/>
    </row>
    <row r="12187" spans="1:4" x14ac:dyDescent="0.2">
      <c r="A12187" s="146"/>
      <c r="D12187" s="496"/>
    </row>
    <row r="12188" spans="1:4" x14ac:dyDescent="0.2">
      <c r="A12188" s="146"/>
      <c r="D12188" s="496"/>
    </row>
    <row r="12189" spans="1:4" x14ac:dyDescent="0.2">
      <c r="A12189" s="146"/>
      <c r="D12189" s="496"/>
    </row>
    <row r="12190" spans="1:4" x14ac:dyDescent="0.2">
      <c r="A12190" s="146"/>
      <c r="D12190" s="496"/>
    </row>
    <row r="12191" spans="1:4" x14ac:dyDescent="0.2">
      <c r="A12191" s="146"/>
      <c r="D12191" s="496"/>
    </row>
    <row r="12192" spans="1:4" x14ac:dyDescent="0.2">
      <c r="A12192" s="146"/>
      <c r="D12192" s="496"/>
    </row>
    <row r="12193" spans="1:4" x14ac:dyDescent="0.2">
      <c r="A12193" s="146"/>
      <c r="D12193" s="496"/>
    </row>
    <row r="12194" spans="1:4" x14ac:dyDescent="0.2">
      <c r="A12194" s="146"/>
      <c r="D12194" s="496"/>
    </row>
    <row r="12195" spans="1:4" x14ac:dyDescent="0.2">
      <c r="A12195" s="146"/>
      <c r="D12195" s="496"/>
    </row>
    <row r="12196" spans="1:4" x14ac:dyDescent="0.2">
      <c r="A12196" s="146"/>
      <c r="D12196" s="496"/>
    </row>
    <row r="12197" spans="1:4" x14ac:dyDescent="0.2">
      <c r="A12197" s="146"/>
      <c r="D12197" s="496"/>
    </row>
    <row r="12198" spans="1:4" x14ac:dyDescent="0.2">
      <c r="A12198" s="146"/>
      <c r="D12198" s="496"/>
    </row>
    <row r="12199" spans="1:4" x14ac:dyDescent="0.2">
      <c r="A12199" s="146"/>
      <c r="D12199" s="496"/>
    </row>
    <row r="12200" spans="1:4" x14ac:dyDescent="0.2">
      <c r="A12200" s="146"/>
      <c r="D12200" s="496"/>
    </row>
    <row r="12201" spans="1:4" x14ac:dyDescent="0.2">
      <c r="A12201" s="146"/>
      <c r="D12201" s="496"/>
    </row>
    <row r="12202" spans="1:4" x14ac:dyDescent="0.2">
      <c r="A12202" s="146"/>
      <c r="D12202" s="496"/>
    </row>
    <row r="12203" spans="1:4" x14ac:dyDescent="0.2">
      <c r="A12203" s="146"/>
      <c r="D12203" s="496"/>
    </row>
    <row r="12204" spans="1:4" x14ac:dyDescent="0.2">
      <c r="A12204" s="146"/>
      <c r="D12204" s="496"/>
    </row>
    <row r="12205" spans="1:4" x14ac:dyDescent="0.2">
      <c r="A12205" s="146"/>
      <c r="D12205" s="496"/>
    </row>
    <row r="12206" spans="1:4" x14ac:dyDescent="0.2">
      <c r="A12206" s="146"/>
      <c r="D12206" s="496"/>
    </row>
    <row r="12207" spans="1:4" x14ac:dyDescent="0.2">
      <c r="A12207" s="146"/>
      <c r="D12207" s="496"/>
    </row>
    <row r="12208" spans="1:4" x14ac:dyDescent="0.2">
      <c r="A12208" s="146"/>
      <c r="D12208" s="496"/>
    </row>
    <row r="12209" spans="1:4" x14ac:dyDescent="0.2">
      <c r="A12209" s="146"/>
      <c r="D12209" s="496"/>
    </row>
    <row r="12210" spans="1:4" x14ac:dyDescent="0.2">
      <c r="A12210" s="146"/>
      <c r="D12210" s="496"/>
    </row>
    <row r="12211" spans="1:4" x14ac:dyDescent="0.2">
      <c r="A12211" s="146"/>
      <c r="D12211" s="496"/>
    </row>
    <row r="12212" spans="1:4" x14ac:dyDescent="0.2">
      <c r="A12212" s="146"/>
      <c r="D12212" s="496"/>
    </row>
    <row r="12213" spans="1:4" x14ac:dyDescent="0.2">
      <c r="A12213" s="146"/>
      <c r="D12213" s="496"/>
    </row>
    <row r="12214" spans="1:4" x14ac:dyDescent="0.2">
      <c r="A12214" s="146"/>
      <c r="D12214" s="496"/>
    </row>
    <row r="12215" spans="1:4" x14ac:dyDescent="0.2">
      <c r="A12215" s="146"/>
      <c r="D12215" s="496"/>
    </row>
    <row r="12216" spans="1:4" x14ac:dyDescent="0.2">
      <c r="A12216" s="146"/>
      <c r="D12216" s="496"/>
    </row>
    <row r="12217" spans="1:4" x14ac:dyDescent="0.2">
      <c r="A12217" s="146"/>
      <c r="D12217" s="496"/>
    </row>
    <row r="12218" spans="1:4" x14ac:dyDescent="0.2">
      <c r="A12218" s="146"/>
      <c r="D12218" s="496"/>
    </row>
    <row r="12219" spans="1:4" x14ac:dyDescent="0.2">
      <c r="A12219" s="146"/>
      <c r="D12219" s="496"/>
    </row>
    <row r="12220" spans="1:4" x14ac:dyDescent="0.2">
      <c r="A12220" s="146"/>
      <c r="D12220" s="496"/>
    </row>
    <row r="12221" spans="1:4" x14ac:dyDescent="0.2">
      <c r="A12221" s="146"/>
      <c r="D12221" s="496"/>
    </row>
    <row r="12222" spans="1:4" x14ac:dyDescent="0.2">
      <c r="A12222" s="146"/>
      <c r="D12222" s="496"/>
    </row>
    <row r="12223" spans="1:4" x14ac:dyDescent="0.2">
      <c r="A12223" s="146"/>
      <c r="D12223" s="496"/>
    </row>
    <row r="12224" spans="1:4" x14ac:dyDescent="0.2">
      <c r="A12224" s="146"/>
      <c r="D12224" s="496"/>
    </row>
    <row r="12225" spans="1:4" x14ac:dyDescent="0.2">
      <c r="A12225" s="146"/>
      <c r="D12225" s="496"/>
    </row>
    <row r="12226" spans="1:4" x14ac:dyDescent="0.2">
      <c r="A12226" s="146"/>
      <c r="D12226" s="496"/>
    </row>
    <row r="12227" spans="1:4" x14ac:dyDescent="0.2">
      <c r="A12227" s="146"/>
      <c r="D12227" s="496"/>
    </row>
    <row r="12228" spans="1:4" x14ac:dyDescent="0.2">
      <c r="A12228" s="146"/>
      <c r="D12228" s="496"/>
    </row>
    <row r="12229" spans="1:4" x14ac:dyDescent="0.2">
      <c r="A12229" s="146"/>
      <c r="D12229" s="496"/>
    </row>
    <row r="12230" spans="1:4" x14ac:dyDescent="0.2">
      <c r="A12230" s="146"/>
      <c r="D12230" s="496"/>
    </row>
    <row r="12231" spans="1:4" x14ac:dyDescent="0.2">
      <c r="A12231" s="146"/>
      <c r="D12231" s="496"/>
    </row>
    <row r="12232" spans="1:4" x14ac:dyDescent="0.2">
      <c r="A12232" s="146"/>
      <c r="D12232" s="496"/>
    </row>
    <row r="12233" spans="1:4" x14ac:dyDescent="0.2">
      <c r="A12233" s="146"/>
      <c r="D12233" s="496"/>
    </row>
    <row r="12234" spans="1:4" x14ac:dyDescent="0.2">
      <c r="A12234" s="146"/>
      <c r="D12234" s="496"/>
    </row>
    <row r="12235" spans="1:4" x14ac:dyDescent="0.2">
      <c r="A12235" s="146"/>
      <c r="D12235" s="496"/>
    </row>
    <row r="12236" spans="1:4" x14ac:dyDescent="0.2">
      <c r="A12236" s="146"/>
      <c r="D12236" s="496"/>
    </row>
    <row r="12237" spans="1:4" x14ac:dyDescent="0.2">
      <c r="A12237" s="146"/>
      <c r="D12237" s="496"/>
    </row>
    <row r="12238" spans="1:4" x14ac:dyDescent="0.2">
      <c r="A12238" s="146"/>
      <c r="D12238" s="496"/>
    </row>
    <row r="12239" spans="1:4" x14ac:dyDescent="0.2">
      <c r="A12239" s="146"/>
      <c r="D12239" s="496"/>
    </row>
    <row r="12240" spans="1:4" x14ac:dyDescent="0.2">
      <c r="A12240" s="146"/>
      <c r="D12240" s="496"/>
    </row>
    <row r="12241" spans="1:4" x14ac:dyDescent="0.2">
      <c r="A12241" s="146"/>
      <c r="D12241" s="496"/>
    </row>
    <row r="12242" spans="1:4" x14ac:dyDescent="0.2">
      <c r="A12242" s="146"/>
      <c r="D12242" s="496"/>
    </row>
    <row r="12243" spans="1:4" x14ac:dyDescent="0.2">
      <c r="A12243" s="146"/>
      <c r="D12243" s="496"/>
    </row>
    <row r="12244" spans="1:4" x14ac:dyDescent="0.2">
      <c r="A12244" s="146"/>
      <c r="D12244" s="496"/>
    </row>
    <row r="12245" spans="1:4" x14ac:dyDescent="0.2">
      <c r="A12245" s="146"/>
      <c r="D12245" s="496"/>
    </row>
    <row r="12246" spans="1:4" x14ac:dyDescent="0.2">
      <c r="A12246" s="146"/>
      <c r="D12246" s="496"/>
    </row>
    <row r="12247" spans="1:4" x14ac:dyDescent="0.2">
      <c r="A12247" s="146"/>
      <c r="D12247" s="496"/>
    </row>
    <row r="12248" spans="1:4" x14ac:dyDescent="0.2">
      <c r="A12248" s="146"/>
      <c r="D12248" s="496"/>
    </row>
    <row r="12249" spans="1:4" x14ac:dyDescent="0.2">
      <c r="A12249" s="146"/>
      <c r="D12249" s="496"/>
    </row>
    <row r="12250" spans="1:4" x14ac:dyDescent="0.2">
      <c r="A12250" s="146"/>
      <c r="D12250" s="496"/>
    </row>
    <row r="12251" spans="1:4" x14ac:dyDescent="0.2">
      <c r="A12251" s="146"/>
      <c r="D12251" s="496"/>
    </row>
    <row r="12252" spans="1:4" x14ac:dyDescent="0.2">
      <c r="A12252" s="146"/>
      <c r="D12252" s="496"/>
    </row>
    <row r="12253" spans="1:4" x14ac:dyDescent="0.2">
      <c r="A12253" s="146"/>
      <c r="D12253" s="496"/>
    </row>
    <row r="12254" spans="1:4" x14ac:dyDescent="0.2">
      <c r="A12254" s="146"/>
      <c r="D12254" s="496"/>
    </row>
    <row r="12255" spans="1:4" x14ac:dyDescent="0.2">
      <c r="A12255" s="146"/>
      <c r="D12255" s="496"/>
    </row>
    <row r="12256" spans="1:4" x14ac:dyDescent="0.2">
      <c r="A12256" s="146"/>
      <c r="D12256" s="496"/>
    </row>
    <row r="12257" spans="1:4" x14ac:dyDescent="0.2">
      <c r="A12257" s="146"/>
      <c r="D12257" s="496"/>
    </row>
    <row r="12258" spans="1:4" x14ac:dyDescent="0.2">
      <c r="A12258" s="146"/>
      <c r="D12258" s="496"/>
    </row>
    <row r="12259" spans="1:4" x14ac:dyDescent="0.2">
      <c r="A12259" s="146"/>
      <c r="D12259" s="496"/>
    </row>
    <row r="12260" spans="1:4" x14ac:dyDescent="0.2">
      <c r="A12260" s="146"/>
      <c r="D12260" s="496"/>
    </row>
    <row r="12261" spans="1:4" x14ac:dyDescent="0.2">
      <c r="A12261" s="146"/>
      <c r="D12261" s="496"/>
    </row>
    <row r="12262" spans="1:4" x14ac:dyDescent="0.2">
      <c r="A12262" s="146"/>
      <c r="D12262" s="496"/>
    </row>
    <row r="12263" spans="1:4" x14ac:dyDescent="0.2">
      <c r="A12263" s="146"/>
      <c r="D12263" s="496"/>
    </row>
    <row r="12264" spans="1:4" x14ac:dyDescent="0.2">
      <c r="A12264" s="146"/>
      <c r="D12264" s="496"/>
    </row>
    <row r="12265" spans="1:4" x14ac:dyDescent="0.2">
      <c r="A12265" s="146"/>
      <c r="D12265" s="496"/>
    </row>
    <row r="12266" spans="1:4" x14ac:dyDescent="0.2">
      <c r="A12266" s="146"/>
      <c r="D12266" s="496"/>
    </row>
    <row r="12267" spans="1:4" x14ac:dyDescent="0.2">
      <c r="A12267" s="146"/>
      <c r="D12267" s="496"/>
    </row>
    <row r="12268" spans="1:4" x14ac:dyDescent="0.2">
      <c r="A12268" s="146"/>
      <c r="D12268" s="496"/>
    </row>
    <row r="12269" spans="1:4" x14ac:dyDescent="0.2">
      <c r="A12269" s="146"/>
      <c r="D12269" s="496"/>
    </row>
    <row r="12270" spans="1:4" x14ac:dyDescent="0.2">
      <c r="A12270" s="146"/>
      <c r="D12270" s="496"/>
    </row>
    <row r="12271" spans="1:4" x14ac:dyDescent="0.2">
      <c r="A12271" s="146"/>
      <c r="D12271" s="496"/>
    </row>
    <row r="12272" spans="1:4" x14ac:dyDescent="0.2">
      <c r="A12272" s="146"/>
      <c r="D12272" s="496"/>
    </row>
    <row r="12273" spans="1:4" x14ac:dyDescent="0.2">
      <c r="A12273" s="146"/>
      <c r="D12273" s="496"/>
    </row>
    <row r="12274" spans="1:4" x14ac:dyDescent="0.2">
      <c r="A12274" s="146"/>
      <c r="D12274" s="496"/>
    </row>
    <row r="12275" spans="1:4" x14ac:dyDescent="0.2">
      <c r="A12275" s="146"/>
      <c r="D12275" s="496"/>
    </row>
    <row r="12276" spans="1:4" x14ac:dyDescent="0.2">
      <c r="A12276" s="146"/>
      <c r="D12276" s="496"/>
    </row>
    <row r="12277" spans="1:4" x14ac:dyDescent="0.2">
      <c r="A12277" s="146"/>
      <c r="D12277" s="496"/>
    </row>
    <row r="12278" spans="1:4" x14ac:dyDescent="0.2">
      <c r="A12278" s="146"/>
      <c r="D12278" s="496"/>
    </row>
    <row r="12279" spans="1:4" x14ac:dyDescent="0.2">
      <c r="A12279" s="146"/>
      <c r="D12279" s="496"/>
    </row>
    <row r="12280" spans="1:4" x14ac:dyDescent="0.2">
      <c r="A12280" s="146"/>
      <c r="D12280" s="496"/>
    </row>
    <row r="12281" spans="1:4" x14ac:dyDescent="0.2">
      <c r="A12281" s="146"/>
      <c r="D12281" s="496"/>
    </row>
    <row r="12282" spans="1:4" x14ac:dyDescent="0.2">
      <c r="A12282" s="146"/>
      <c r="D12282" s="496"/>
    </row>
    <row r="12283" spans="1:4" x14ac:dyDescent="0.2">
      <c r="A12283" s="146"/>
      <c r="D12283" s="496"/>
    </row>
    <row r="12284" spans="1:4" x14ac:dyDescent="0.2">
      <c r="A12284" s="146"/>
      <c r="D12284" s="496"/>
    </row>
    <row r="12285" spans="1:4" x14ac:dyDescent="0.2">
      <c r="A12285" s="146"/>
      <c r="D12285" s="496"/>
    </row>
    <row r="12286" spans="1:4" x14ac:dyDescent="0.2">
      <c r="A12286" s="146"/>
      <c r="D12286" s="496"/>
    </row>
    <row r="12287" spans="1:4" x14ac:dyDescent="0.2">
      <c r="A12287" s="146"/>
      <c r="D12287" s="496"/>
    </row>
    <row r="12288" spans="1:4" x14ac:dyDescent="0.2">
      <c r="A12288" s="146"/>
      <c r="D12288" s="496"/>
    </row>
    <row r="12289" spans="1:4" x14ac:dyDescent="0.2">
      <c r="A12289" s="146"/>
      <c r="D12289" s="496"/>
    </row>
    <row r="12290" spans="1:4" x14ac:dyDescent="0.2">
      <c r="A12290" s="146"/>
      <c r="D12290" s="496"/>
    </row>
    <row r="12291" spans="1:4" x14ac:dyDescent="0.2">
      <c r="A12291" s="146"/>
      <c r="D12291" s="496"/>
    </row>
    <row r="12292" spans="1:4" x14ac:dyDescent="0.2">
      <c r="A12292" s="146"/>
      <c r="D12292" s="496"/>
    </row>
    <row r="12293" spans="1:4" x14ac:dyDescent="0.2">
      <c r="A12293" s="146"/>
      <c r="D12293" s="496"/>
    </row>
    <row r="12294" spans="1:4" x14ac:dyDescent="0.2">
      <c r="A12294" s="146"/>
      <c r="D12294" s="496"/>
    </row>
    <row r="12295" spans="1:4" x14ac:dyDescent="0.2">
      <c r="A12295" s="146"/>
      <c r="D12295" s="496"/>
    </row>
    <row r="12296" spans="1:4" x14ac:dyDescent="0.2">
      <c r="A12296" s="146"/>
      <c r="D12296" s="496"/>
    </row>
    <row r="12297" spans="1:4" x14ac:dyDescent="0.2">
      <c r="A12297" s="146"/>
      <c r="D12297" s="496"/>
    </row>
    <row r="12298" spans="1:4" x14ac:dyDescent="0.2">
      <c r="A12298" s="146"/>
      <c r="D12298" s="496"/>
    </row>
    <row r="12299" spans="1:4" x14ac:dyDescent="0.2">
      <c r="A12299" s="146"/>
      <c r="D12299" s="496"/>
    </row>
    <row r="12300" spans="1:4" x14ac:dyDescent="0.2">
      <c r="A12300" s="146"/>
      <c r="D12300" s="496"/>
    </row>
    <row r="12301" spans="1:4" x14ac:dyDescent="0.2">
      <c r="A12301" s="146"/>
      <c r="D12301" s="496"/>
    </row>
    <row r="12302" spans="1:4" x14ac:dyDescent="0.2">
      <c r="A12302" s="146"/>
      <c r="D12302" s="496"/>
    </row>
    <row r="12303" spans="1:4" x14ac:dyDescent="0.2">
      <c r="A12303" s="146"/>
      <c r="D12303" s="496"/>
    </row>
    <row r="12304" spans="1:4" x14ac:dyDescent="0.2">
      <c r="A12304" s="146"/>
      <c r="D12304" s="496"/>
    </row>
    <row r="12305" spans="1:4" x14ac:dyDescent="0.2">
      <c r="A12305" s="146"/>
      <c r="D12305" s="496"/>
    </row>
    <row r="12306" spans="1:4" x14ac:dyDescent="0.2">
      <c r="A12306" s="146"/>
      <c r="D12306" s="496"/>
    </row>
    <row r="12307" spans="1:4" x14ac:dyDescent="0.2">
      <c r="A12307" s="146"/>
      <c r="D12307" s="496"/>
    </row>
    <row r="12308" spans="1:4" x14ac:dyDescent="0.2">
      <c r="A12308" s="146"/>
      <c r="D12308" s="496"/>
    </row>
    <row r="12309" spans="1:4" x14ac:dyDescent="0.2">
      <c r="A12309" s="146"/>
      <c r="D12309" s="496"/>
    </row>
    <row r="12310" spans="1:4" x14ac:dyDescent="0.2">
      <c r="A12310" s="146"/>
      <c r="D12310" s="496"/>
    </row>
    <row r="12311" spans="1:4" x14ac:dyDescent="0.2">
      <c r="A12311" s="146"/>
      <c r="D12311" s="496"/>
    </row>
    <row r="12312" spans="1:4" x14ac:dyDescent="0.2">
      <c r="A12312" s="146"/>
      <c r="D12312" s="496"/>
    </row>
    <row r="12313" spans="1:4" x14ac:dyDescent="0.2">
      <c r="A12313" s="146"/>
      <c r="D12313" s="496"/>
    </row>
    <row r="12314" spans="1:4" x14ac:dyDescent="0.2">
      <c r="A12314" s="146"/>
      <c r="D12314" s="496"/>
    </row>
    <row r="12315" spans="1:4" x14ac:dyDescent="0.2">
      <c r="A12315" s="146"/>
      <c r="D12315" s="496"/>
    </row>
    <row r="12316" spans="1:4" x14ac:dyDescent="0.2">
      <c r="A12316" s="146"/>
      <c r="D12316" s="496"/>
    </row>
    <row r="12317" spans="1:4" x14ac:dyDescent="0.2">
      <c r="A12317" s="146"/>
      <c r="D12317" s="496"/>
    </row>
    <row r="12318" spans="1:4" x14ac:dyDescent="0.2">
      <c r="A12318" s="146"/>
      <c r="D12318" s="496"/>
    </row>
    <row r="12319" spans="1:4" x14ac:dyDescent="0.2">
      <c r="A12319" s="146"/>
      <c r="D12319" s="496"/>
    </row>
    <row r="12320" spans="1:4" x14ac:dyDescent="0.2">
      <c r="A12320" s="146"/>
      <c r="D12320" s="496"/>
    </row>
    <row r="12321" spans="1:4" x14ac:dyDescent="0.2">
      <c r="A12321" s="146"/>
      <c r="D12321" s="496"/>
    </row>
    <row r="12322" spans="1:4" x14ac:dyDescent="0.2">
      <c r="A12322" s="146"/>
      <c r="D12322" s="496"/>
    </row>
    <row r="12323" spans="1:4" x14ac:dyDescent="0.2">
      <c r="A12323" s="146"/>
      <c r="D12323" s="496"/>
    </row>
    <row r="12324" spans="1:4" x14ac:dyDescent="0.2">
      <c r="A12324" s="146"/>
      <c r="D12324" s="496"/>
    </row>
    <row r="12325" spans="1:4" x14ac:dyDescent="0.2">
      <c r="A12325" s="146"/>
      <c r="D12325" s="496"/>
    </row>
    <row r="12326" spans="1:4" x14ac:dyDescent="0.2">
      <c r="A12326" s="146"/>
      <c r="D12326" s="496"/>
    </row>
    <row r="12327" spans="1:4" x14ac:dyDescent="0.2">
      <c r="A12327" s="146"/>
      <c r="D12327" s="496"/>
    </row>
    <row r="12328" spans="1:4" x14ac:dyDescent="0.2">
      <c r="A12328" s="146"/>
      <c r="D12328" s="496"/>
    </row>
    <row r="12329" spans="1:4" x14ac:dyDescent="0.2">
      <c r="A12329" s="146"/>
      <c r="D12329" s="496"/>
    </row>
    <row r="12330" spans="1:4" x14ac:dyDescent="0.2">
      <c r="A12330" s="146"/>
      <c r="D12330" s="496"/>
    </row>
    <row r="12331" spans="1:4" x14ac:dyDescent="0.2">
      <c r="A12331" s="146"/>
      <c r="D12331" s="496"/>
    </row>
    <row r="12332" spans="1:4" x14ac:dyDescent="0.2">
      <c r="A12332" s="146"/>
      <c r="D12332" s="496"/>
    </row>
    <row r="12333" spans="1:4" x14ac:dyDescent="0.2">
      <c r="A12333" s="146"/>
      <c r="D12333" s="496"/>
    </row>
    <row r="12334" spans="1:4" x14ac:dyDescent="0.2">
      <c r="A12334" s="146"/>
      <c r="D12334" s="496"/>
    </row>
    <row r="12335" spans="1:4" x14ac:dyDescent="0.2">
      <c r="A12335" s="146"/>
      <c r="D12335" s="496"/>
    </row>
    <row r="12336" spans="1:4" x14ac:dyDescent="0.2">
      <c r="A12336" s="146"/>
      <c r="D12336" s="496"/>
    </row>
    <row r="12337" spans="1:4" x14ac:dyDescent="0.2">
      <c r="A12337" s="146"/>
      <c r="D12337" s="496"/>
    </row>
    <row r="12338" spans="1:4" x14ac:dyDescent="0.2">
      <c r="A12338" s="146"/>
      <c r="D12338" s="496"/>
    </row>
    <row r="12339" spans="1:4" x14ac:dyDescent="0.2">
      <c r="A12339" s="146"/>
      <c r="D12339" s="496"/>
    </row>
    <row r="12340" spans="1:4" x14ac:dyDescent="0.2">
      <c r="A12340" s="146"/>
      <c r="D12340" s="496"/>
    </row>
    <row r="12341" spans="1:4" x14ac:dyDescent="0.2">
      <c r="A12341" s="146"/>
      <c r="D12341" s="496"/>
    </row>
    <row r="12342" spans="1:4" x14ac:dyDescent="0.2">
      <c r="A12342" s="146"/>
      <c r="D12342" s="496"/>
    </row>
    <row r="12343" spans="1:4" x14ac:dyDescent="0.2">
      <c r="A12343" s="146"/>
      <c r="D12343" s="496"/>
    </row>
    <row r="12344" spans="1:4" x14ac:dyDescent="0.2">
      <c r="A12344" s="146"/>
      <c r="D12344" s="496"/>
    </row>
    <row r="12345" spans="1:4" x14ac:dyDescent="0.2">
      <c r="A12345" s="146"/>
      <c r="D12345" s="496"/>
    </row>
    <row r="12346" spans="1:4" x14ac:dyDescent="0.2">
      <c r="A12346" s="146"/>
      <c r="D12346" s="496"/>
    </row>
    <row r="12347" spans="1:4" x14ac:dyDescent="0.2">
      <c r="A12347" s="146"/>
      <c r="D12347" s="496"/>
    </row>
    <row r="12348" spans="1:4" x14ac:dyDescent="0.2">
      <c r="A12348" s="146"/>
      <c r="D12348" s="496"/>
    </row>
    <row r="12349" spans="1:4" x14ac:dyDescent="0.2">
      <c r="A12349" s="146"/>
      <c r="D12349" s="496"/>
    </row>
    <row r="12350" spans="1:4" x14ac:dyDescent="0.2">
      <c r="A12350" s="146"/>
      <c r="D12350" s="496"/>
    </row>
    <row r="12351" spans="1:4" x14ac:dyDescent="0.2">
      <c r="A12351" s="146"/>
      <c r="D12351" s="496"/>
    </row>
    <row r="12352" spans="1:4" x14ac:dyDescent="0.2">
      <c r="A12352" s="146"/>
      <c r="D12352" s="496"/>
    </row>
    <row r="12353" spans="1:4" x14ac:dyDescent="0.2">
      <c r="A12353" s="146"/>
      <c r="D12353" s="496"/>
    </row>
    <row r="12354" spans="1:4" x14ac:dyDescent="0.2">
      <c r="A12354" s="146"/>
      <c r="D12354" s="496"/>
    </row>
    <row r="12355" spans="1:4" x14ac:dyDescent="0.2">
      <c r="A12355" s="146"/>
      <c r="D12355" s="496"/>
    </row>
    <row r="12356" spans="1:4" x14ac:dyDescent="0.2">
      <c r="A12356" s="146"/>
      <c r="D12356" s="496"/>
    </row>
    <row r="12357" spans="1:4" x14ac:dyDescent="0.2">
      <c r="A12357" s="146"/>
      <c r="D12357" s="496"/>
    </row>
    <row r="12358" spans="1:4" x14ac:dyDescent="0.2">
      <c r="A12358" s="146"/>
      <c r="D12358" s="496"/>
    </row>
    <row r="12359" spans="1:4" x14ac:dyDescent="0.2">
      <c r="A12359" s="146"/>
      <c r="D12359" s="496"/>
    </row>
    <row r="12360" spans="1:4" x14ac:dyDescent="0.2">
      <c r="A12360" s="146"/>
      <c r="D12360" s="496"/>
    </row>
    <row r="12361" spans="1:4" x14ac:dyDescent="0.2">
      <c r="A12361" s="146"/>
      <c r="D12361" s="496"/>
    </row>
    <row r="12362" spans="1:4" x14ac:dyDescent="0.2">
      <c r="A12362" s="146"/>
      <c r="D12362" s="496"/>
    </row>
    <row r="12363" spans="1:4" x14ac:dyDescent="0.2">
      <c r="A12363" s="146"/>
      <c r="D12363" s="496"/>
    </row>
    <row r="12364" spans="1:4" x14ac:dyDescent="0.2">
      <c r="A12364" s="146"/>
      <c r="D12364" s="496"/>
    </row>
    <row r="12365" spans="1:4" x14ac:dyDescent="0.2">
      <c r="A12365" s="146"/>
      <c r="D12365" s="496"/>
    </row>
    <row r="12366" spans="1:4" x14ac:dyDescent="0.2">
      <c r="A12366" s="146"/>
      <c r="D12366" s="496"/>
    </row>
    <row r="12367" spans="1:4" x14ac:dyDescent="0.2">
      <c r="A12367" s="146"/>
      <c r="D12367" s="496"/>
    </row>
    <row r="12368" spans="1:4" x14ac:dyDescent="0.2">
      <c r="A12368" s="146"/>
      <c r="D12368" s="496"/>
    </row>
    <row r="12369" spans="1:4" x14ac:dyDescent="0.2">
      <c r="A12369" s="146"/>
      <c r="D12369" s="496"/>
    </row>
    <row r="12370" spans="1:4" x14ac:dyDescent="0.2">
      <c r="A12370" s="146"/>
      <c r="D12370" s="496"/>
    </row>
    <row r="12371" spans="1:4" x14ac:dyDescent="0.2">
      <c r="A12371" s="146"/>
      <c r="D12371" s="496"/>
    </row>
    <row r="12372" spans="1:4" x14ac:dyDescent="0.2">
      <c r="A12372" s="146"/>
      <c r="D12372" s="496"/>
    </row>
    <row r="12373" spans="1:4" x14ac:dyDescent="0.2">
      <c r="A12373" s="146"/>
      <c r="D12373" s="496"/>
    </row>
    <row r="12374" spans="1:4" x14ac:dyDescent="0.2">
      <c r="A12374" s="146"/>
      <c r="D12374" s="496"/>
    </row>
    <row r="12375" spans="1:4" x14ac:dyDescent="0.2">
      <c r="A12375" s="146"/>
      <c r="D12375" s="496"/>
    </row>
    <row r="12376" spans="1:4" x14ac:dyDescent="0.2">
      <c r="A12376" s="146"/>
      <c r="D12376" s="496"/>
    </row>
    <row r="12377" spans="1:4" x14ac:dyDescent="0.2">
      <c r="A12377" s="146"/>
      <c r="D12377" s="496"/>
    </row>
    <row r="12378" spans="1:4" x14ac:dyDescent="0.2">
      <c r="A12378" s="146"/>
      <c r="D12378" s="496"/>
    </row>
    <row r="12379" spans="1:4" x14ac:dyDescent="0.2">
      <c r="A12379" s="146"/>
      <c r="D12379" s="496"/>
    </row>
    <row r="12380" spans="1:4" x14ac:dyDescent="0.2">
      <c r="A12380" s="146"/>
      <c r="D12380" s="496"/>
    </row>
    <row r="12381" spans="1:4" x14ac:dyDescent="0.2">
      <c r="A12381" s="146"/>
      <c r="D12381" s="496"/>
    </row>
    <row r="12382" spans="1:4" x14ac:dyDescent="0.2">
      <c r="A12382" s="146"/>
      <c r="D12382" s="496"/>
    </row>
    <row r="12383" spans="1:4" x14ac:dyDescent="0.2">
      <c r="A12383" s="146"/>
      <c r="D12383" s="496"/>
    </row>
    <row r="12384" spans="1:4" x14ac:dyDescent="0.2">
      <c r="A12384" s="146"/>
      <c r="D12384" s="496"/>
    </row>
    <row r="12385" spans="1:4" x14ac:dyDescent="0.2">
      <c r="A12385" s="146"/>
      <c r="D12385" s="496"/>
    </row>
    <row r="12386" spans="1:4" x14ac:dyDescent="0.2">
      <c r="A12386" s="146"/>
      <c r="D12386" s="496"/>
    </row>
    <row r="12387" spans="1:4" x14ac:dyDescent="0.2">
      <c r="A12387" s="146"/>
      <c r="D12387" s="496"/>
    </row>
    <row r="12388" spans="1:4" x14ac:dyDescent="0.2">
      <c r="A12388" s="146"/>
      <c r="D12388" s="496"/>
    </row>
    <row r="12389" spans="1:4" x14ac:dyDescent="0.2">
      <c r="A12389" s="146"/>
      <c r="D12389" s="496"/>
    </row>
    <row r="12390" spans="1:4" x14ac:dyDescent="0.2">
      <c r="A12390" s="146"/>
      <c r="D12390" s="496"/>
    </row>
    <row r="12391" spans="1:4" x14ac:dyDescent="0.2">
      <c r="A12391" s="146"/>
      <c r="D12391" s="496"/>
    </row>
    <row r="12392" spans="1:4" x14ac:dyDescent="0.2">
      <c r="A12392" s="146"/>
      <c r="D12392" s="496"/>
    </row>
    <row r="12393" spans="1:4" x14ac:dyDescent="0.2">
      <c r="A12393" s="146"/>
      <c r="D12393" s="496"/>
    </row>
    <row r="12394" spans="1:4" x14ac:dyDescent="0.2">
      <c r="A12394" s="146"/>
      <c r="D12394" s="496"/>
    </row>
    <row r="12395" spans="1:4" x14ac:dyDescent="0.2">
      <c r="A12395" s="146"/>
      <c r="D12395" s="496"/>
    </row>
    <row r="12396" spans="1:4" x14ac:dyDescent="0.2">
      <c r="A12396" s="146"/>
      <c r="D12396" s="496"/>
    </row>
    <row r="12397" spans="1:4" x14ac:dyDescent="0.2">
      <c r="A12397" s="146"/>
      <c r="D12397" s="496"/>
    </row>
    <row r="12398" spans="1:4" x14ac:dyDescent="0.2">
      <c r="A12398" s="146"/>
      <c r="D12398" s="496"/>
    </row>
    <row r="12399" spans="1:4" x14ac:dyDescent="0.2">
      <c r="A12399" s="146"/>
      <c r="D12399" s="496"/>
    </row>
    <row r="12400" spans="1:4" x14ac:dyDescent="0.2">
      <c r="A12400" s="146"/>
      <c r="D12400" s="496"/>
    </row>
    <row r="12401" spans="1:4" x14ac:dyDescent="0.2">
      <c r="A12401" s="146"/>
      <c r="D12401" s="496"/>
    </row>
    <row r="12402" spans="1:4" x14ac:dyDescent="0.2">
      <c r="A12402" s="146"/>
      <c r="D12402" s="496"/>
    </row>
    <row r="12403" spans="1:4" x14ac:dyDescent="0.2">
      <c r="A12403" s="146"/>
      <c r="D12403" s="496"/>
    </row>
    <row r="12404" spans="1:4" x14ac:dyDescent="0.2">
      <c r="A12404" s="146"/>
      <c r="D12404" s="496"/>
    </row>
    <row r="12405" spans="1:4" x14ac:dyDescent="0.2">
      <c r="A12405" s="146"/>
      <c r="D12405" s="496"/>
    </row>
    <row r="12406" spans="1:4" x14ac:dyDescent="0.2">
      <c r="A12406" s="146"/>
      <c r="D12406" s="496"/>
    </row>
    <row r="12407" spans="1:4" x14ac:dyDescent="0.2">
      <c r="A12407" s="146"/>
      <c r="D12407" s="496"/>
    </row>
    <row r="12408" spans="1:4" x14ac:dyDescent="0.2">
      <c r="A12408" s="146"/>
      <c r="D12408" s="496"/>
    </row>
    <row r="12409" spans="1:4" x14ac:dyDescent="0.2">
      <c r="A12409" s="146"/>
      <c r="D12409" s="496"/>
    </row>
    <row r="12410" spans="1:4" x14ac:dyDescent="0.2">
      <c r="A12410" s="146"/>
      <c r="D12410" s="496"/>
    </row>
    <row r="12411" spans="1:4" x14ac:dyDescent="0.2">
      <c r="A12411" s="146"/>
      <c r="D12411" s="496"/>
    </row>
    <row r="12412" spans="1:4" x14ac:dyDescent="0.2">
      <c r="A12412" s="146"/>
      <c r="D12412" s="496"/>
    </row>
    <row r="12413" spans="1:4" x14ac:dyDescent="0.2">
      <c r="A12413" s="146"/>
      <c r="D12413" s="496"/>
    </row>
    <row r="12414" spans="1:4" x14ac:dyDescent="0.2">
      <c r="A12414" s="146"/>
      <c r="D12414" s="496"/>
    </row>
    <row r="12415" spans="1:4" x14ac:dyDescent="0.2">
      <c r="A12415" s="146"/>
      <c r="D12415" s="496"/>
    </row>
    <row r="12416" spans="1:4" x14ac:dyDescent="0.2">
      <c r="A12416" s="146"/>
      <c r="D12416" s="496"/>
    </row>
    <row r="12417" spans="1:4" x14ac:dyDescent="0.2">
      <c r="A12417" s="146"/>
      <c r="D12417" s="496"/>
    </row>
    <row r="12418" spans="1:4" x14ac:dyDescent="0.2">
      <c r="A12418" s="146"/>
      <c r="D12418" s="496"/>
    </row>
    <row r="12419" spans="1:4" x14ac:dyDescent="0.2">
      <c r="A12419" s="146"/>
      <c r="D12419" s="496"/>
    </row>
    <row r="12420" spans="1:4" x14ac:dyDescent="0.2">
      <c r="A12420" s="146"/>
      <c r="D12420" s="496"/>
    </row>
    <row r="12421" spans="1:4" x14ac:dyDescent="0.2">
      <c r="A12421" s="146"/>
      <c r="D12421" s="496"/>
    </row>
    <row r="12422" spans="1:4" x14ac:dyDescent="0.2">
      <c r="A12422" s="146"/>
      <c r="D12422" s="496"/>
    </row>
    <row r="12423" spans="1:4" x14ac:dyDescent="0.2">
      <c r="A12423" s="146"/>
      <c r="D12423" s="496"/>
    </row>
    <row r="12424" spans="1:4" x14ac:dyDescent="0.2">
      <c r="A12424" s="146"/>
      <c r="D12424" s="496"/>
    </row>
    <row r="12425" spans="1:4" x14ac:dyDescent="0.2">
      <c r="A12425" s="146"/>
      <c r="D12425" s="496"/>
    </row>
    <row r="12426" spans="1:4" x14ac:dyDescent="0.2">
      <c r="A12426" s="146"/>
      <c r="D12426" s="496"/>
    </row>
    <row r="12427" spans="1:4" x14ac:dyDescent="0.2">
      <c r="A12427" s="146"/>
      <c r="D12427" s="496"/>
    </row>
    <row r="12428" spans="1:4" x14ac:dyDescent="0.2">
      <c r="A12428" s="146"/>
      <c r="D12428" s="496"/>
    </row>
    <row r="12429" spans="1:4" x14ac:dyDescent="0.2">
      <c r="A12429" s="146"/>
      <c r="D12429" s="496"/>
    </row>
    <row r="12430" spans="1:4" x14ac:dyDescent="0.2">
      <c r="A12430" s="146"/>
      <c r="D12430" s="496"/>
    </row>
    <row r="12431" spans="1:4" x14ac:dyDescent="0.2">
      <c r="A12431" s="146"/>
      <c r="D12431" s="496"/>
    </row>
    <row r="12432" spans="1:4" x14ac:dyDescent="0.2">
      <c r="A12432" s="146"/>
      <c r="D12432" s="496"/>
    </row>
    <row r="12433" spans="1:4" x14ac:dyDescent="0.2">
      <c r="A12433" s="146"/>
      <c r="D12433" s="496"/>
    </row>
    <row r="12434" spans="1:4" x14ac:dyDescent="0.2">
      <c r="A12434" s="146"/>
      <c r="D12434" s="496"/>
    </row>
    <row r="12435" spans="1:4" x14ac:dyDescent="0.2">
      <c r="A12435" s="146"/>
      <c r="D12435" s="496"/>
    </row>
    <row r="12436" spans="1:4" x14ac:dyDescent="0.2">
      <c r="A12436" s="146"/>
      <c r="D12436" s="496"/>
    </row>
    <row r="12437" spans="1:4" x14ac:dyDescent="0.2">
      <c r="A12437" s="146"/>
      <c r="D12437" s="496"/>
    </row>
    <row r="12438" spans="1:4" x14ac:dyDescent="0.2">
      <c r="A12438" s="146"/>
      <c r="D12438" s="496"/>
    </row>
    <row r="12439" spans="1:4" x14ac:dyDescent="0.2">
      <c r="A12439" s="146"/>
      <c r="D12439" s="496"/>
    </row>
    <row r="12440" spans="1:4" x14ac:dyDescent="0.2">
      <c r="A12440" s="146"/>
      <c r="D12440" s="496"/>
    </row>
    <row r="12441" spans="1:4" x14ac:dyDescent="0.2">
      <c r="A12441" s="146"/>
      <c r="D12441" s="496"/>
    </row>
    <row r="12442" spans="1:4" x14ac:dyDescent="0.2">
      <c r="A12442" s="146"/>
      <c r="D12442" s="496"/>
    </row>
    <row r="12443" spans="1:4" x14ac:dyDescent="0.2">
      <c r="A12443" s="146"/>
      <c r="D12443" s="496"/>
    </row>
    <row r="12444" spans="1:4" x14ac:dyDescent="0.2">
      <c r="A12444" s="146"/>
      <c r="D12444" s="496"/>
    </row>
    <row r="12445" spans="1:4" x14ac:dyDescent="0.2">
      <c r="A12445" s="146"/>
      <c r="D12445" s="496"/>
    </row>
    <row r="12446" spans="1:4" x14ac:dyDescent="0.2">
      <c r="A12446" s="146"/>
      <c r="D12446" s="496"/>
    </row>
    <row r="12447" spans="1:4" x14ac:dyDescent="0.2">
      <c r="A12447" s="146"/>
      <c r="D12447" s="496"/>
    </row>
    <row r="12448" spans="1:4" x14ac:dyDescent="0.2">
      <c r="A12448" s="146"/>
      <c r="D12448" s="496"/>
    </row>
    <row r="12449" spans="1:4" x14ac:dyDescent="0.2">
      <c r="A12449" s="146"/>
      <c r="D12449" s="496"/>
    </row>
    <row r="12450" spans="1:4" x14ac:dyDescent="0.2">
      <c r="A12450" s="146"/>
      <c r="D12450" s="496"/>
    </row>
    <row r="12451" spans="1:4" x14ac:dyDescent="0.2">
      <c r="A12451" s="146"/>
      <c r="D12451" s="496"/>
    </row>
    <row r="12452" spans="1:4" x14ac:dyDescent="0.2">
      <c r="A12452" s="146"/>
      <c r="D12452" s="496"/>
    </row>
    <row r="12453" spans="1:4" x14ac:dyDescent="0.2">
      <c r="A12453" s="146"/>
      <c r="D12453" s="496"/>
    </row>
    <row r="12454" spans="1:4" x14ac:dyDescent="0.2">
      <c r="A12454" s="146"/>
      <c r="D12454" s="496"/>
    </row>
    <row r="12455" spans="1:4" x14ac:dyDescent="0.2">
      <c r="A12455" s="146"/>
      <c r="D12455" s="496"/>
    </row>
    <row r="12456" spans="1:4" x14ac:dyDescent="0.2">
      <c r="A12456" s="146"/>
      <c r="D12456" s="496"/>
    </row>
    <row r="12457" spans="1:4" x14ac:dyDescent="0.2">
      <c r="A12457" s="146"/>
      <c r="D12457" s="496"/>
    </row>
    <row r="12458" spans="1:4" x14ac:dyDescent="0.2">
      <c r="A12458" s="146"/>
      <c r="D12458" s="496"/>
    </row>
    <row r="12459" spans="1:4" x14ac:dyDescent="0.2">
      <c r="A12459" s="146"/>
      <c r="D12459" s="496"/>
    </row>
    <row r="12460" spans="1:4" x14ac:dyDescent="0.2">
      <c r="A12460" s="146"/>
      <c r="D12460" s="496"/>
    </row>
    <row r="12461" spans="1:4" x14ac:dyDescent="0.2">
      <c r="A12461" s="146"/>
      <c r="D12461" s="496"/>
    </row>
    <row r="12462" spans="1:4" x14ac:dyDescent="0.2">
      <c r="A12462" s="146"/>
      <c r="D12462" s="496"/>
    </row>
    <row r="12463" spans="1:4" x14ac:dyDescent="0.2">
      <c r="A12463" s="146"/>
      <c r="D12463" s="496"/>
    </row>
    <row r="12464" spans="1:4" x14ac:dyDescent="0.2">
      <c r="A12464" s="146"/>
      <c r="D12464" s="496"/>
    </row>
    <row r="12465" spans="1:4" x14ac:dyDescent="0.2">
      <c r="A12465" s="146"/>
      <c r="D12465" s="496"/>
    </row>
    <row r="12466" spans="1:4" x14ac:dyDescent="0.2">
      <c r="A12466" s="146"/>
      <c r="D12466" s="496"/>
    </row>
    <row r="12467" spans="1:4" x14ac:dyDescent="0.2">
      <c r="A12467" s="146"/>
      <c r="D12467" s="496"/>
    </row>
    <row r="12468" spans="1:4" x14ac:dyDescent="0.2">
      <c r="A12468" s="146"/>
      <c r="D12468" s="496"/>
    </row>
    <row r="12469" spans="1:4" x14ac:dyDescent="0.2">
      <c r="A12469" s="146"/>
      <c r="D12469" s="496"/>
    </row>
    <row r="12470" spans="1:4" x14ac:dyDescent="0.2">
      <c r="A12470" s="146"/>
      <c r="D12470" s="496"/>
    </row>
    <row r="12471" spans="1:4" x14ac:dyDescent="0.2">
      <c r="A12471" s="146"/>
      <c r="D12471" s="496"/>
    </row>
    <row r="12472" spans="1:4" x14ac:dyDescent="0.2">
      <c r="A12472" s="146"/>
      <c r="D12472" s="496"/>
    </row>
    <row r="12473" spans="1:4" x14ac:dyDescent="0.2">
      <c r="A12473" s="146"/>
      <c r="D12473" s="496"/>
    </row>
    <row r="12474" spans="1:4" x14ac:dyDescent="0.2">
      <c r="A12474" s="146"/>
      <c r="D12474" s="496"/>
    </row>
    <row r="12475" spans="1:4" x14ac:dyDescent="0.2">
      <c r="A12475" s="146"/>
      <c r="D12475" s="496"/>
    </row>
    <row r="12476" spans="1:4" x14ac:dyDescent="0.2">
      <c r="A12476" s="146"/>
      <c r="D12476" s="496"/>
    </row>
    <row r="12477" spans="1:4" x14ac:dyDescent="0.2">
      <c r="A12477" s="146"/>
      <c r="D12477" s="496"/>
    </row>
    <row r="12478" spans="1:4" x14ac:dyDescent="0.2">
      <c r="A12478" s="146"/>
      <c r="D12478" s="496"/>
    </row>
    <row r="12479" spans="1:4" x14ac:dyDescent="0.2">
      <c r="A12479" s="146"/>
      <c r="D12479" s="496"/>
    </row>
    <row r="12480" spans="1:4" x14ac:dyDescent="0.2">
      <c r="A12480" s="146"/>
      <c r="D12480" s="496"/>
    </row>
    <row r="12481" spans="1:4" x14ac:dyDescent="0.2">
      <c r="A12481" s="146"/>
      <c r="D12481" s="496"/>
    </row>
    <row r="12482" spans="1:4" x14ac:dyDescent="0.2">
      <c r="A12482" s="146"/>
      <c r="D12482" s="496"/>
    </row>
    <row r="12483" spans="1:4" x14ac:dyDescent="0.2">
      <c r="A12483" s="146"/>
      <c r="D12483" s="496"/>
    </row>
    <row r="12484" spans="1:4" x14ac:dyDescent="0.2">
      <c r="A12484" s="146"/>
      <c r="D12484" s="496"/>
    </row>
    <row r="12485" spans="1:4" x14ac:dyDescent="0.2">
      <c r="A12485" s="146"/>
      <c r="D12485" s="496"/>
    </row>
    <row r="12486" spans="1:4" x14ac:dyDescent="0.2">
      <c r="A12486" s="146"/>
      <c r="D12486" s="496"/>
    </row>
    <row r="12487" spans="1:4" x14ac:dyDescent="0.2">
      <c r="A12487" s="146"/>
      <c r="D12487" s="496"/>
    </row>
    <row r="12488" spans="1:4" x14ac:dyDescent="0.2">
      <c r="A12488" s="146"/>
      <c r="D12488" s="496"/>
    </row>
    <row r="12489" spans="1:4" x14ac:dyDescent="0.2">
      <c r="A12489" s="146"/>
      <c r="D12489" s="496"/>
    </row>
    <row r="12490" spans="1:4" x14ac:dyDescent="0.2">
      <c r="A12490" s="146"/>
      <c r="D12490" s="496"/>
    </row>
    <row r="12491" spans="1:4" x14ac:dyDescent="0.2">
      <c r="A12491" s="146"/>
      <c r="D12491" s="496"/>
    </row>
    <row r="12492" spans="1:4" x14ac:dyDescent="0.2">
      <c r="A12492" s="146"/>
      <c r="D12492" s="496"/>
    </row>
    <row r="12493" spans="1:4" x14ac:dyDescent="0.2">
      <c r="A12493" s="146"/>
      <c r="D12493" s="496"/>
    </row>
    <row r="12494" spans="1:4" x14ac:dyDescent="0.2">
      <c r="A12494" s="146"/>
      <c r="D12494" s="496"/>
    </row>
    <row r="12495" spans="1:4" x14ac:dyDescent="0.2">
      <c r="A12495" s="146"/>
      <c r="D12495" s="496"/>
    </row>
    <row r="12496" spans="1:4" x14ac:dyDescent="0.2">
      <c r="A12496" s="146"/>
      <c r="D12496" s="496"/>
    </row>
    <row r="12497" spans="1:4" x14ac:dyDescent="0.2">
      <c r="A12497" s="146"/>
      <c r="D12497" s="496"/>
    </row>
    <row r="12498" spans="1:4" x14ac:dyDescent="0.2">
      <c r="A12498" s="146"/>
      <c r="D12498" s="496"/>
    </row>
    <row r="12499" spans="1:4" x14ac:dyDescent="0.2">
      <c r="A12499" s="146"/>
      <c r="D12499" s="496"/>
    </row>
    <row r="12500" spans="1:4" x14ac:dyDescent="0.2">
      <c r="A12500" s="146"/>
      <c r="D12500" s="496"/>
    </row>
    <row r="12501" spans="1:4" x14ac:dyDescent="0.2">
      <c r="A12501" s="146"/>
      <c r="D12501" s="496"/>
    </row>
    <row r="12502" spans="1:4" x14ac:dyDescent="0.2">
      <c r="A12502" s="146"/>
      <c r="D12502" s="496"/>
    </row>
    <row r="12503" spans="1:4" x14ac:dyDescent="0.2">
      <c r="A12503" s="146"/>
      <c r="D12503" s="496"/>
    </row>
    <row r="12504" spans="1:4" x14ac:dyDescent="0.2">
      <c r="A12504" s="146"/>
      <c r="D12504" s="496"/>
    </row>
    <row r="12505" spans="1:4" x14ac:dyDescent="0.2">
      <c r="A12505" s="146"/>
      <c r="D12505" s="496"/>
    </row>
    <row r="12506" spans="1:4" x14ac:dyDescent="0.2">
      <c r="A12506" s="146"/>
      <c r="D12506" s="496"/>
    </row>
    <row r="12507" spans="1:4" x14ac:dyDescent="0.2">
      <c r="A12507" s="146"/>
      <c r="D12507" s="496"/>
    </row>
    <row r="12508" spans="1:4" x14ac:dyDescent="0.2">
      <c r="A12508" s="146"/>
      <c r="D12508" s="496"/>
    </row>
    <row r="12509" spans="1:4" x14ac:dyDescent="0.2">
      <c r="A12509" s="146"/>
      <c r="D12509" s="496"/>
    </row>
    <row r="12510" spans="1:4" x14ac:dyDescent="0.2">
      <c r="A12510" s="146"/>
      <c r="D12510" s="496"/>
    </row>
    <row r="12511" spans="1:4" x14ac:dyDescent="0.2">
      <c r="A12511" s="146"/>
      <c r="D12511" s="496"/>
    </row>
    <row r="12512" spans="1:4" x14ac:dyDescent="0.2">
      <c r="A12512" s="146"/>
      <c r="D12512" s="496"/>
    </row>
    <row r="12513" spans="1:4" x14ac:dyDescent="0.2">
      <c r="A12513" s="146"/>
      <c r="D12513" s="496"/>
    </row>
    <row r="12514" spans="1:4" x14ac:dyDescent="0.2">
      <c r="A12514" s="146"/>
      <c r="D12514" s="496"/>
    </row>
    <row r="12515" spans="1:4" x14ac:dyDescent="0.2">
      <c r="A12515" s="146"/>
      <c r="D12515" s="496"/>
    </row>
    <row r="12516" spans="1:4" x14ac:dyDescent="0.2">
      <c r="A12516" s="146"/>
      <c r="D12516" s="496"/>
    </row>
    <row r="12517" spans="1:4" x14ac:dyDescent="0.2">
      <c r="A12517" s="146"/>
      <c r="D12517" s="496"/>
    </row>
    <row r="12518" spans="1:4" x14ac:dyDescent="0.2">
      <c r="A12518" s="146"/>
      <c r="D12518" s="496"/>
    </row>
    <row r="12519" spans="1:4" x14ac:dyDescent="0.2">
      <c r="A12519" s="146"/>
      <c r="D12519" s="496"/>
    </row>
    <row r="12520" spans="1:4" x14ac:dyDescent="0.2">
      <c r="A12520" s="146"/>
      <c r="D12520" s="496"/>
    </row>
    <row r="12521" spans="1:4" x14ac:dyDescent="0.2">
      <c r="A12521" s="146"/>
      <c r="D12521" s="496"/>
    </row>
    <row r="12522" spans="1:4" x14ac:dyDescent="0.2">
      <c r="A12522" s="146"/>
      <c r="D12522" s="496"/>
    </row>
    <row r="12523" spans="1:4" x14ac:dyDescent="0.2">
      <c r="A12523" s="146"/>
      <c r="D12523" s="496"/>
    </row>
    <row r="12524" spans="1:4" x14ac:dyDescent="0.2">
      <c r="A12524" s="146"/>
      <c r="D12524" s="496"/>
    </row>
    <row r="12525" spans="1:4" x14ac:dyDescent="0.2">
      <c r="A12525" s="146"/>
      <c r="D12525" s="496"/>
    </row>
    <row r="12526" spans="1:4" x14ac:dyDescent="0.2">
      <c r="A12526" s="146"/>
      <c r="D12526" s="496"/>
    </row>
    <row r="12527" spans="1:4" x14ac:dyDescent="0.2">
      <c r="A12527" s="146"/>
      <c r="D12527" s="496"/>
    </row>
    <row r="12528" spans="1:4" x14ac:dyDescent="0.2">
      <c r="A12528" s="146"/>
      <c r="D12528" s="496"/>
    </row>
    <row r="12529" spans="1:4" x14ac:dyDescent="0.2">
      <c r="A12529" s="146"/>
      <c r="D12529" s="496"/>
    </row>
    <row r="12530" spans="1:4" x14ac:dyDescent="0.2">
      <c r="A12530" s="146"/>
      <c r="D12530" s="496"/>
    </row>
    <row r="12531" spans="1:4" x14ac:dyDescent="0.2">
      <c r="A12531" s="146"/>
      <c r="D12531" s="496"/>
    </row>
    <row r="12532" spans="1:4" x14ac:dyDescent="0.2">
      <c r="A12532" s="146"/>
      <c r="D12532" s="496"/>
    </row>
    <row r="12533" spans="1:4" x14ac:dyDescent="0.2">
      <c r="A12533" s="146"/>
      <c r="D12533" s="496"/>
    </row>
    <row r="12534" spans="1:4" x14ac:dyDescent="0.2">
      <c r="A12534" s="146"/>
      <c r="D12534" s="496"/>
    </row>
    <row r="12535" spans="1:4" x14ac:dyDescent="0.2">
      <c r="A12535" s="146"/>
      <c r="D12535" s="496"/>
    </row>
    <row r="12536" spans="1:4" x14ac:dyDescent="0.2">
      <c r="A12536" s="146"/>
      <c r="D12536" s="496"/>
    </row>
    <row r="12537" spans="1:4" x14ac:dyDescent="0.2">
      <c r="A12537" s="146"/>
      <c r="D12537" s="496"/>
    </row>
    <row r="12538" spans="1:4" x14ac:dyDescent="0.2">
      <c r="A12538" s="146"/>
      <c r="D12538" s="496"/>
    </row>
    <row r="12539" spans="1:4" x14ac:dyDescent="0.2">
      <c r="A12539" s="146"/>
      <c r="D12539" s="496"/>
    </row>
    <row r="12540" spans="1:4" x14ac:dyDescent="0.2">
      <c r="A12540" s="146"/>
      <c r="D12540" s="496"/>
    </row>
    <row r="12541" spans="1:4" x14ac:dyDescent="0.2">
      <c r="A12541" s="146"/>
      <c r="D12541" s="496"/>
    </row>
    <row r="12542" spans="1:4" x14ac:dyDescent="0.2">
      <c r="A12542" s="146"/>
      <c r="D12542" s="496"/>
    </row>
    <row r="12543" spans="1:4" x14ac:dyDescent="0.2">
      <c r="A12543" s="146"/>
      <c r="D12543" s="496"/>
    </row>
    <row r="12544" spans="1:4" x14ac:dyDescent="0.2">
      <c r="A12544" s="146"/>
      <c r="D12544" s="496"/>
    </row>
    <row r="12545" spans="1:4" x14ac:dyDescent="0.2">
      <c r="A12545" s="146"/>
      <c r="D12545" s="496"/>
    </row>
    <row r="12546" spans="1:4" x14ac:dyDescent="0.2">
      <c r="A12546" s="146"/>
      <c r="D12546" s="496"/>
    </row>
    <row r="12547" spans="1:4" x14ac:dyDescent="0.2">
      <c r="A12547" s="146"/>
      <c r="D12547" s="496"/>
    </row>
    <row r="12548" spans="1:4" x14ac:dyDescent="0.2">
      <c r="A12548" s="146"/>
      <c r="D12548" s="496"/>
    </row>
    <row r="12549" spans="1:4" x14ac:dyDescent="0.2">
      <c r="A12549" s="146"/>
      <c r="D12549" s="496"/>
    </row>
    <row r="12550" spans="1:4" x14ac:dyDescent="0.2">
      <c r="A12550" s="146"/>
      <c r="D12550" s="496"/>
    </row>
    <row r="12551" spans="1:4" x14ac:dyDescent="0.2">
      <c r="A12551" s="146"/>
      <c r="D12551" s="496"/>
    </row>
    <row r="12552" spans="1:4" x14ac:dyDescent="0.2">
      <c r="A12552" s="146"/>
      <c r="D12552" s="496"/>
    </row>
    <row r="12553" spans="1:4" x14ac:dyDescent="0.2">
      <c r="A12553" s="146"/>
      <c r="D12553" s="496"/>
    </row>
    <row r="12554" spans="1:4" x14ac:dyDescent="0.2">
      <c r="A12554" s="146"/>
      <c r="D12554" s="496"/>
    </row>
    <row r="12555" spans="1:4" x14ac:dyDescent="0.2">
      <c r="A12555" s="146"/>
      <c r="D12555" s="496"/>
    </row>
    <row r="12556" spans="1:4" x14ac:dyDescent="0.2">
      <c r="A12556" s="146"/>
      <c r="D12556" s="496"/>
    </row>
    <row r="12557" spans="1:4" x14ac:dyDescent="0.2">
      <c r="A12557" s="146"/>
      <c r="D12557" s="496"/>
    </row>
    <row r="12558" spans="1:4" x14ac:dyDescent="0.2">
      <c r="A12558" s="146"/>
      <c r="D12558" s="496"/>
    </row>
    <row r="12559" spans="1:4" x14ac:dyDescent="0.2">
      <c r="A12559" s="146"/>
      <c r="D12559" s="496"/>
    </row>
    <row r="12560" spans="1:4" x14ac:dyDescent="0.2">
      <c r="A12560" s="146"/>
      <c r="D12560" s="496"/>
    </row>
    <row r="12561" spans="1:4" x14ac:dyDescent="0.2">
      <c r="A12561" s="146"/>
      <c r="D12561" s="496"/>
    </row>
    <row r="12562" spans="1:4" x14ac:dyDescent="0.2">
      <c r="A12562" s="146"/>
      <c r="D12562" s="496"/>
    </row>
    <row r="12563" spans="1:4" x14ac:dyDescent="0.2">
      <c r="A12563" s="146"/>
      <c r="D12563" s="496"/>
    </row>
    <row r="12564" spans="1:4" x14ac:dyDescent="0.2">
      <c r="A12564" s="146"/>
      <c r="D12564" s="496"/>
    </row>
    <row r="12565" spans="1:4" x14ac:dyDescent="0.2">
      <c r="A12565" s="146"/>
      <c r="D12565" s="496"/>
    </row>
    <row r="12566" spans="1:4" x14ac:dyDescent="0.2">
      <c r="A12566" s="146"/>
      <c r="D12566" s="496"/>
    </row>
    <row r="12567" spans="1:4" x14ac:dyDescent="0.2">
      <c r="A12567" s="146"/>
      <c r="D12567" s="496"/>
    </row>
    <row r="12568" spans="1:4" x14ac:dyDescent="0.2">
      <c r="A12568" s="146"/>
      <c r="D12568" s="496"/>
    </row>
    <row r="12569" spans="1:4" x14ac:dyDescent="0.2">
      <c r="A12569" s="146"/>
      <c r="D12569" s="496"/>
    </row>
    <row r="12570" spans="1:4" x14ac:dyDescent="0.2">
      <c r="A12570" s="146"/>
      <c r="D12570" s="496"/>
    </row>
    <row r="12571" spans="1:4" x14ac:dyDescent="0.2">
      <c r="A12571" s="146"/>
      <c r="D12571" s="496"/>
    </row>
    <row r="12572" spans="1:4" x14ac:dyDescent="0.2">
      <c r="A12572" s="146"/>
      <c r="D12572" s="496"/>
    </row>
    <row r="12573" spans="1:4" x14ac:dyDescent="0.2">
      <c r="A12573" s="146"/>
      <c r="D12573" s="496"/>
    </row>
    <row r="12574" spans="1:4" x14ac:dyDescent="0.2">
      <c r="A12574" s="146"/>
      <c r="D12574" s="496"/>
    </row>
    <row r="12575" spans="1:4" x14ac:dyDescent="0.2">
      <c r="A12575" s="146"/>
      <c r="D12575" s="496"/>
    </row>
    <row r="12576" spans="1:4" x14ac:dyDescent="0.2">
      <c r="A12576" s="146"/>
      <c r="D12576" s="496"/>
    </row>
    <row r="12577" spans="1:4" x14ac:dyDescent="0.2">
      <c r="A12577" s="146"/>
      <c r="D12577" s="496"/>
    </row>
    <row r="12578" spans="1:4" x14ac:dyDescent="0.2">
      <c r="A12578" s="146"/>
      <c r="D12578" s="496"/>
    </row>
    <row r="12579" spans="1:4" x14ac:dyDescent="0.2">
      <c r="A12579" s="146"/>
      <c r="D12579" s="496"/>
    </row>
    <row r="12580" spans="1:4" x14ac:dyDescent="0.2">
      <c r="A12580" s="146"/>
      <c r="D12580" s="496"/>
    </row>
    <row r="12581" spans="1:4" x14ac:dyDescent="0.2">
      <c r="A12581" s="146"/>
      <c r="D12581" s="496"/>
    </row>
    <row r="12582" spans="1:4" x14ac:dyDescent="0.2">
      <c r="A12582" s="146"/>
      <c r="D12582" s="496"/>
    </row>
    <row r="12583" spans="1:4" x14ac:dyDescent="0.2">
      <c r="A12583" s="146"/>
      <c r="D12583" s="496"/>
    </row>
    <row r="12584" spans="1:4" x14ac:dyDescent="0.2">
      <c r="A12584" s="146"/>
      <c r="D12584" s="496"/>
    </row>
    <row r="12585" spans="1:4" x14ac:dyDescent="0.2">
      <c r="A12585" s="146"/>
      <c r="D12585" s="496"/>
    </row>
    <row r="12586" spans="1:4" x14ac:dyDescent="0.2">
      <c r="A12586" s="146"/>
      <c r="D12586" s="496"/>
    </row>
    <row r="12587" spans="1:4" x14ac:dyDescent="0.2">
      <c r="A12587" s="146"/>
      <c r="D12587" s="496"/>
    </row>
    <row r="12588" spans="1:4" x14ac:dyDescent="0.2">
      <c r="A12588" s="146"/>
      <c r="D12588" s="496"/>
    </row>
    <row r="12589" spans="1:4" x14ac:dyDescent="0.2">
      <c r="A12589" s="146"/>
      <c r="D12589" s="496"/>
    </row>
    <row r="12590" spans="1:4" x14ac:dyDescent="0.2">
      <c r="A12590" s="146"/>
      <c r="D12590" s="496"/>
    </row>
    <row r="12591" spans="1:4" x14ac:dyDescent="0.2">
      <c r="A12591" s="146"/>
      <c r="D12591" s="496"/>
    </row>
    <row r="12592" spans="1:4" x14ac:dyDescent="0.2">
      <c r="A12592" s="146"/>
      <c r="D12592" s="496"/>
    </row>
    <row r="12593" spans="1:4" x14ac:dyDescent="0.2">
      <c r="A12593" s="146"/>
      <c r="D12593" s="496"/>
    </row>
    <row r="12594" spans="1:4" x14ac:dyDescent="0.2">
      <c r="A12594" s="146"/>
      <c r="D12594" s="496"/>
    </row>
    <row r="12595" spans="1:4" x14ac:dyDescent="0.2">
      <c r="A12595" s="146"/>
      <c r="D12595" s="496"/>
    </row>
    <row r="12596" spans="1:4" x14ac:dyDescent="0.2">
      <c r="A12596" s="146"/>
      <c r="D12596" s="496"/>
    </row>
    <row r="12597" spans="1:4" x14ac:dyDescent="0.2">
      <c r="A12597" s="146"/>
      <c r="D12597" s="496"/>
    </row>
    <row r="12598" spans="1:4" x14ac:dyDescent="0.2">
      <c r="A12598" s="146"/>
      <c r="D12598" s="496"/>
    </row>
    <row r="12599" spans="1:4" x14ac:dyDescent="0.2">
      <c r="A12599" s="146"/>
      <c r="D12599" s="496"/>
    </row>
    <row r="12600" spans="1:4" x14ac:dyDescent="0.2">
      <c r="A12600" s="146"/>
      <c r="D12600" s="496"/>
    </row>
    <row r="12601" spans="1:4" x14ac:dyDescent="0.2">
      <c r="A12601" s="146"/>
      <c r="D12601" s="496"/>
    </row>
    <row r="12602" spans="1:4" x14ac:dyDescent="0.2">
      <c r="A12602" s="146"/>
      <c r="D12602" s="496"/>
    </row>
    <row r="12603" spans="1:4" x14ac:dyDescent="0.2">
      <c r="A12603" s="146"/>
      <c r="D12603" s="496"/>
    </row>
    <row r="12604" spans="1:4" x14ac:dyDescent="0.2">
      <c r="A12604" s="146"/>
      <c r="D12604" s="496"/>
    </row>
    <row r="12605" spans="1:4" x14ac:dyDescent="0.2">
      <c r="A12605" s="146"/>
      <c r="D12605" s="496"/>
    </row>
    <row r="12606" spans="1:4" x14ac:dyDescent="0.2">
      <c r="A12606" s="146"/>
      <c r="D12606" s="496"/>
    </row>
    <row r="12607" spans="1:4" x14ac:dyDescent="0.2">
      <c r="A12607" s="146"/>
      <c r="D12607" s="496"/>
    </row>
    <row r="12608" spans="1:4" x14ac:dyDescent="0.2">
      <c r="A12608" s="146"/>
      <c r="D12608" s="496"/>
    </row>
    <row r="12609" spans="1:4" x14ac:dyDescent="0.2">
      <c r="A12609" s="146"/>
      <c r="D12609" s="496"/>
    </row>
    <row r="12610" spans="1:4" x14ac:dyDescent="0.2">
      <c r="A12610" s="146"/>
      <c r="D12610" s="496"/>
    </row>
    <row r="12611" spans="1:4" x14ac:dyDescent="0.2">
      <c r="A12611" s="146"/>
      <c r="D12611" s="496"/>
    </row>
    <row r="12612" spans="1:4" x14ac:dyDescent="0.2">
      <c r="A12612" s="146"/>
      <c r="D12612" s="496"/>
    </row>
    <row r="12613" spans="1:4" x14ac:dyDescent="0.2">
      <c r="A12613" s="146"/>
      <c r="D12613" s="496"/>
    </row>
    <row r="12614" spans="1:4" x14ac:dyDescent="0.2">
      <c r="A12614" s="146"/>
      <c r="D12614" s="496"/>
    </row>
    <row r="12615" spans="1:4" x14ac:dyDescent="0.2">
      <c r="A12615" s="146"/>
      <c r="D12615" s="496"/>
    </row>
    <row r="12616" spans="1:4" x14ac:dyDescent="0.2">
      <c r="A12616" s="146"/>
      <c r="D12616" s="496"/>
    </row>
    <row r="12617" spans="1:4" x14ac:dyDescent="0.2">
      <c r="A12617" s="146"/>
      <c r="D12617" s="496"/>
    </row>
    <row r="12618" spans="1:4" x14ac:dyDescent="0.2">
      <c r="A12618" s="146"/>
      <c r="D12618" s="496"/>
    </row>
    <row r="12619" spans="1:4" x14ac:dyDescent="0.2">
      <c r="A12619" s="146"/>
      <c r="D12619" s="496"/>
    </row>
    <row r="12620" spans="1:4" x14ac:dyDescent="0.2">
      <c r="A12620" s="146"/>
      <c r="D12620" s="496"/>
    </row>
    <row r="12621" spans="1:4" x14ac:dyDescent="0.2">
      <c r="A12621" s="146"/>
      <c r="D12621" s="496"/>
    </row>
    <row r="12622" spans="1:4" x14ac:dyDescent="0.2">
      <c r="A12622" s="146"/>
      <c r="D12622" s="496"/>
    </row>
    <row r="12623" spans="1:4" x14ac:dyDescent="0.2">
      <c r="A12623" s="146"/>
      <c r="D12623" s="496"/>
    </row>
    <row r="12624" spans="1:4" x14ac:dyDescent="0.2">
      <c r="A12624" s="146"/>
      <c r="D12624" s="496"/>
    </row>
    <row r="12625" spans="1:4" x14ac:dyDescent="0.2">
      <c r="A12625" s="146"/>
      <c r="D12625" s="496"/>
    </row>
    <row r="12626" spans="1:4" x14ac:dyDescent="0.2">
      <c r="A12626" s="146"/>
      <c r="D12626" s="496"/>
    </row>
    <row r="12627" spans="1:4" x14ac:dyDescent="0.2">
      <c r="A12627" s="146"/>
      <c r="D12627" s="496"/>
    </row>
    <row r="12628" spans="1:4" x14ac:dyDescent="0.2">
      <c r="A12628" s="146"/>
      <c r="D12628" s="496"/>
    </row>
    <row r="12629" spans="1:4" x14ac:dyDescent="0.2">
      <c r="A12629" s="146"/>
      <c r="D12629" s="496"/>
    </row>
    <row r="12630" spans="1:4" x14ac:dyDescent="0.2">
      <c r="A12630" s="146"/>
      <c r="D12630" s="496"/>
    </row>
    <row r="12631" spans="1:4" x14ac:dyDescent="0.2">
      <c r="A12631" s="146"/>
      <c r="D12631" s="496"/>
    </row>
    <row r="12632" spans="1:4" x14ac:dyDescent="0.2">
      <c r="A12632" s="146"/>
      <c r="D12632" s="496"/>
    </row>
    <row r="12633" spans="1:4" x14ac:dyDescent="0.2">
      <c r="A12633" s="146"/>
      <c r="D12633" s="496"/>
    </row>
    <row r="12634" spans="1:4" x14ac:dyDescent="0.2">
      <c r="A12634" s="146"/>
      <c r="D12634" s="496"/>
    </row>
    <row r="12635" spans="1:4" x14ac:dyDescent="0.2">
      <c r="A12635" s="146"/>
      <c r="D12635" s="496"/>
    </row>
    <row r="12636" spans="1:4" x14ac:dyDescent="0.2">
      <c r="A12636" s="146"/>
      <c r="D12636" s="496"/>
    </row>
    <row r="12637" spans="1:4" x14ac:dyDescent="0.2">
      <c r="A12637" s="146"/>
      <c r="D12637" s="496"/>
    </row>
    <row r="12638" spans="1:4" x14ac:dyDescent="0.2">
      <c r="A12638" s="146"/>
      <c r="D12638" s="496"/>
    </row>
    <row r="12639" spans="1:4" x14ac:dyDescent="0.2">
      <c r="A12639" s="146"/>
      <c r="D12639" s="496"/>
    </row>
    <row r="12640" spans="1:4" x14ac:dyDescent="0.2">
      <c r="A12640" s="146"/>
      <c r="D12640" s="496"/>
    </row>
    <row r="12641" spans="1:4" x14ac:dyDescent="0.2">
      <c r="A12641" s="146"/>
      <c r="D12641" s="496"/>
    </row>
    <row r="12642" spans="1:4" x14ac:dyDescent="0.2">
      <c r="A12642" s="146"/>
      <c r="D12642" s="496"/>
    </row>
    <row r="12643" spans="1:4" x14ac:dyDescent="0.2">
      <c r="A12643" s="146"/>
      <c r="D12643" s="496"/>
    </row>
    <row r="12644" spans="1:4" x14ac:dyDescent="0.2">
      <c r="A12644" s="146"/>
      <c r="D12644" s="496"/>
    </row>
    <row r="12645" spans="1:4" x14ac:dyDescent="0.2">
      <c r="A12645" s="146"/>
      <c r="D12645" s="496"/>
    </row>
    <row r="12646" spans="1:4" x14ac:dyDescent="0.2">
      <c r="A12646" s="146"/>
      <c r="D12646" s="496"/>
    </row>
    <row r="12647" spans="1:4" x14ac:dyDescent="0.2">
      <c r="A12647" s="146"/>
      <c r="D12647" s="496"/>
    </row>
    <row r="12648" spans="1:4" x14ac:dyDescent="0.2">
      <c r="A12648" s="146"/>
      <c r="D12648" s="496"/>
    </row>
    <row r="12649" spans="1:4" x14ac:dyDescent="0.2">
      <c r="A12649" s="146"/>
      <c r="D12649" s="496"/>
    </row>
    <row r="12650" spans="1:4" x14ac:dyDescent="0.2">
      <c r="A12650" s="146"/>
      <c r="D12650" s="496"/>
    </row>
    <row r="12651" spans="1:4" x14ac:dyDescent="0.2">
      <c r="A12651" s="146"/>
      <c r="D12651" s="496"/>
    </row>
    <row r="12652" spans="1:4" x14ac:dyDescent="0.2">
      <c r="A12652" s="146"/>
      <c r="D12652" s="496"/>
    </row>
    <row r="12653" spans="1:4" x14ac:dyDescent="0.2">
      <c r="A12653" s="146"/>
      <c r="D12653" s="496"/>
    </row>
    <row r="12654" spans="1:4" x14ac:dyDescent="0.2">
      <c r="A12654" s="146"/>
      <c r="D12654" s="496"/>
    </row>
    <row r="12655" spans="1:4" x14ac:dyDescent="0.2">
      <c r="A12655" s="146"/>
      <c r="D12655" s="496"/>
    </row>
    <row r="12656" spans="1:4" x14ac:dyDescent="0.2">
      <c r="A12656" s="146"/>
      <c r="D12656" s="496"/>
    </row>
    <row r="12657" spans="1:4" x14ac:dyDescent="0.2">
      <c r="A12657" s="146"/>
      <c r="D12657" s="496"/>
    </row>
    <row r="12658" spans="1:4" x14ac:dyDescent="0.2">
      <c r="A12658" s="146"/>
      <c r="D12658" s="496"/>
    </row>
    <row r="12659" spans="1:4" x14ac:dyDescent="0.2">
      <c r="A12659" s="146"/>
      <c r="D12659" s="496"/>
    </row>
    <row r="12660" spans="1:4" x14ac:dyDescent="0.2">
      <c r="A12660" s="146"/>
      <c r="D12660" s="496"/>
    </row>
    <row r="12661" spans="1:4" x14ac:dyDescent="0.2">
      <c r="A12661" s="146"/>
      <c r="D12661" s="496"/>
    </row>
    <row r="12662" spans="1:4" x14ac:dyDescent="0.2">
      <c r="A12662" s="146"/>
      <c r="D12662" s="496"/>
    </row>
    <row r="12663" spans="1:4" x14ac:dyDescent="0.2">
      <c r="A12663" s="146"/>
      <c r="D12663" s="496"/>
    </row>
    <row r="12664" spans="1:4" x14ac:dyDescent="0.2">
      <c r="A12664" s="146"/>
      <c r="D12664" s="496"/>
    </row>
    <row r="12665" spans="1:4" x14ac:dyDescent="0.2">
      <c r="A12665" s="146"/>
      <c r="D12665" s="496"/>
    </row>
    <row r="12666" spans="1:4" x14ac:dyDescent="0.2">
      <c r="A12666" s="146"/>
      <c r="D12666" s="496"/>
    </row>
    <row r="12667" spans="1:4" x14ac:dyDescent="0.2">
      <c r="A12667" s="146"/>
      <c r="D12667" s="496"/>
    </row>
    <row r="12668" spans="1:4" x14ac:dyDescent="0.2">
      <c r="A12668" s="146"/>
      <c r="D12668" s="496"/>
    </row>
    <row r="12669" spans="1:4" x14ac:dyDescent="0.2">
      <c r="A12669" s="146"/>
      <c r="D12669" s="496"/>
    </row>
    <row r="12670" spans="1:4" x14ac:dyDescent="0.2">
      <c r="A12670" s="146"/>
      <c r="D12670" s="496"/>
    </row>
    <row r="12671" spans="1:4" x14ac:dyDescent="0.2">
      <c r="A12671" s="146"/>
      <c r="D12671" s="496"/>
    </row>
    <row r="12672" spans="1:4" x14ac:dyDescent="0.2">
      <c r="A12672" s="146"/>
      <c r="D12672" s="496"/>
    </row>
    <row r="12673" spans="1:4" x14ac:dyDescent="0.2">
      <c r="A12673" s="146"/>
      <c r="D12673" s="496"/>
    </row>
    <row r="12674" spans="1:4" x14ac:dyDescent="0.2">
      <c r="A12674" s="146"/>
      <c r="D12674" s="496"/>
    </row>
    <row r="12675" spans="1:4" x14ac:dyDescent="0.2">
      <c r="A12675" s="146"/>
      <c r="D12675" s="496"/>
    </row>
    <row r="12676" spans="1:4" x14ac:dyDescent="0.2">
      <c r="A12676" s="146"/>
      <c r="D12676" s="496"/>
    </row>
    <row r="12677" spans="1:4" x14ac:dyDescent="0.2">
      <c r="A12677" s="146"/>
      <c r="D12677" s="496"/>
    </row>
    <row r="12678" spans="1:4" x14ac:dyDescent="0.2">
      <c r="A12678" s="146"/>
      <c r="D12678" s="496"/>
    </row>
    <row r="12679" spans="1:4" x14ac:dyDescent="0.2">
      <c r="A12679" s="146"/>
      <c r="D12679" s="496"/>
    </row>
    <row r="12680" spans="1:4" x14ac:dyDescent="0.2">
      <c r="A12680" s="146"/>
      <c r="D12680" s="496"/>
    </row>
    <row r="12681" spans="1:4" x14ac:dyDescent="0.2">
      <c r="A12681" s="146"/>
      <c r="D12681" s="496"/>
    </row>
    <row r="12682" spans="1:4" x14ac:dyDescent="0.2">
      <c r="A12682" s="146"/>
      <c r="D12682" s="496"/>
    </row>
    <row r="12683" spans="1:4" x14ac:dyDescent="0.2">
      <c r="A12683" s="146"/>
      <c r="D12683" s="496"/>
    </row>
    <row r="12684" spans="1:4" x14ac:dyDescent="0.2">
      <c r="A12684" s="146"/>
      <c r="D12684" s="496"/>
    </row>
    <row r="12685" spans="1:4" x14ac:dyDescent="0.2">
      <c r="A12685" s="146"/>
      <c r="D12685" s="496"/>
    </row>
    <row r="12686" spans="1:4" x14ac:dyDescent="0.2">
      <c r="A12686" s="146"/>
      <c r="D12686" s="496"/>
    </row>
    <row r="12687" spans="1:4" x14ac:dyDescent="0.2">
      <c r="A12687" s="146"/>
      <c r="D12687" s="496"/>
    </row>
    <row r="12688" spans="1:4" x14ac:dyDescent="0.2">
      <c r="A12688" s="146"/>
      <c r="D12688" s="496"/>
    </row>
    <row r="12689" spans="1:4" x14ac:dyDescent="0.2">
      <c r="A12689" s="146"/>
      <c r="D12689" s="496"/>
    </row>
    <row r="12690" spans="1:4" x14ac:dyDescent="0.2">
      <c r="A12690" s="146"/>
      <c r="D12690" s="496"/>
    </row>
    <row r="12691" spans="1:4" x14ac:dyDescent="0.2">
      <c r="A12691" s="146"/>
      <c r="D12691" s="496"/>
    </row>
    <row r="12692" spans="1:4" x14ac:dyDescent="0.2">
      <c r="A12692" s="146"/>
      <c r="D12692" s="496"/>
    </row>
    <row r="12693" spans="1:4" x14ac:dyDescent="0.2">
      <c r="A12693" s="146"/>
      <c r="D12693" s="496"/>
    </row>
    <row r="12694" spans="1:4" x14ac:dyDescent="0.2">
      <c r="A12694" s="146"/>
      <c r="D12694" s="496"/>
    </row>
    <row r="12695" spans="1:4" x14ac:dyDescent="0.2">
      <c r="A12695" s="146"/>
      <c r="D12695" s="496"/>
    </row>
    <row r="12696" spans="1:4" x14ac:dyDescent="0.2">
      <c r="A12696" s="146"/>
      <c r="D12696" s="496"/>
    </row>
    <row r="12697" spans="1:4" x14ac:dyDescent="0.2">
      <c r="A12697" s="146"/>
      <c r="D12697" s="496"/>
    </row>
    <row r="12698" spans="1:4" x14ac:dyDescent="0.2">
      <c r="A12698" s="146"/>
      <c r="D12698" s="496"/>
    </row>
    <row r="12699" spans="1:4" x14ac:dyDescent="0.2">
      <c r="A12699" s="146"/>
      <c r="D12699" s="496"/>
    </row>
    <row r="12700" spans="1:4" x14ac:dyDescent="0.2">
      <c r="A12700" s="146"/>
      <c r="D12700" s="496"/>
    </row>
    <row r="12701" spans="1:4" x14ac:dyDescent="0.2">
      <c r="A12701" s="146"/>
      <c r="D12701" s="496"/>
    </row>
    <row r="12702" spans="1:4" x14ac:dyDescent="0.2">
      <c r="A12702" s="146"/>
      <c r="D12702" s="496"/>
    </row>
    <row r="12703" spans="1:4" x14ac:dyDescent="0.2">
      <c r="A12703" s="146"/>
      <c r="D12703" s="496"/>
    </row>
    <row r="12704" spans="1:4" x14ac:dyDescent="0.2">
      <c r="A12704" s="146"/>
      <c r="D12704" s="496"/>
    </row>
    <row r="12705" spans="1:4" x14ac:dyDescent="0.2">
      <c r="A12705" s="146"/>
      <c r="D12705" s="496"/>
    </row>
    <row r="12706" spans="1:4" x14ac:dyDescent="0.2">
      <c r="A12706" s="146"/>
      <c r="D12706" s="496"/>
    </row>
    <row r="12707" spans="1:4" x14ac:dyDescent="0.2">
      <c r="A12707" s="146"/>
      <c r="D12707" s="496"/>
    </row>
    <row r="12708" spans="1:4" x14ac:dyDescent="0.2">
      <c r="A12708" s="146"/>
      <c r="D12708" s="496"/>
    </row>
    <row r="12709" spans="1:4" x14ac:dyDescent="0.2">
      <c r="A12709" s="146"/>
      <c r="D12709" s="496"/>
    </row>
    <row r="12710" spans="1:4" x14ac:dyDescent="0.2">
      <c r="A12710" s="146"/>
      <c r="D12710" s="496"/>
    </row>
    <row r="12711" spans="1:4" x14ac:dyDescent="0.2">
      <c r="A12711" s="146"/>
      <c r="D12711" s="496"/>
    </row>
    <row r="12712" spans="1:4" x14ac:dyDescent="0.2">
      <c r="A12712" s="146"/>
      <c r="D12712" s="496"/>
    </row>
    <row r="12713" spans="1:4" x14ac:dyDescent="0.2">
      <c r="A12713" s="146"/>
      <c r="D12713" s="496"/>
    </row>
    <row r="12714" spans="1:4" x14ac:dyDescent="0.2">
      <c r="A12714" s="146"/>
      <c r="D12714" s="496"/>
    </row>
    <row r="12715" spans="1:4" x14ac:dyDescent="0.2">
      <c r="A12715" s="146"/>
      <c r="D12715" s="496"/>
    </row>
    <row r="12716" spans="1:4" x14ac:dyDescent="0.2">
      <c r="A12716" s="146"/>
      <c r="D12716" s="496"/>
    </row>
    <row r="12717" spans="1:4" x14ac:dyDescent="0.2">
      <c r="A12717" s="146"/>
      <c r="D12717" s="496"/>
    </row>
    <row r="12718" spans="1:4" x14ac:dyDescent="0.2">
      <c r="A12718" s="146"/>
      <c r="D12718" s="496"/>
    </row>
    <row r="12719" spans="1:4" x14ac:dyDescent="0.2">
      <c r="A12719" s="146"/>
      <c r="D12719" s="496"/>
    </row>
    <row r="12720" spans="1:4" x14ac:dyDescent="0.2">
      <c r="A12720" s="146"/>
      <c r="D12720" s="496"/>
    </row>
    <row r="12721" spans="1:4" x14ac:dyDescent="0.2">
      <c r="A12721" s="146"/>
      <c r="D12721" s="496"/>
    </row>
    <row r="12722" spans="1:4" x14ac:dyDescent="0.2">
      <c r="A12722" s="146"/>
      <c r="D12722" s="496"/>
    </row>
    <row r="12723" spans="1:4" x14ac:dyDescent="0.2">
      <c r="A12723" s="146"/>
      <c r="D12723" s="496"/>
    </row>
    <row r="12724" spans="1:4" x14ac:dyDescent="0.2">
      <c r="A12724" s="146"/>
      <c r="D12724" s="496"/>
    </row>
    <row r="12725" spans="1:4" x14ac:dyDescent="0.2">
      <c r="A12725" s="146"/>
      <c r="D12725" s="496"/>
    </row>
    <row r="12726" spans="1:4" x14ac:dyDescent="0.2">
      <c r="A12726" s="146"/>
      <c r="D12726" s="496"/>
    </row>
    <row r="12727" spans="1:4" x14ac:dyDescent="0.2">
      <c r="A12727" s="146"/>
      <c r="D12727" s="496"/>
    </row>
    <row r="12728" spans="1:4" x14ac:dyDescent="0.2">
      <c r="A12728" s="146"/>
      <c r="D12728" s="496"/>
    </row>
    <row r="12729" spans="1:4" x14ac:dyDescent="0.2">
      <c r="A12729" s="146"/>
      <c r="D12729" s="496"/>
    </row>
    <row r="12730" spans="1:4" x14ac:dyDescent="0.2">
      <c r="A12730" s="146"/>
      <c r="D12730" s="496"/>
    </row>
    <row r="12731" spans="1:4" x14ac:dyDescent="0.2">
      <c r="A12731" s="146"/>
      <c r="D12731" s="496"/>
    </row>
    <row r="12732" spans="1:4" x14ac:dyDescent="0.2">
      <c r="A12732" s="146"/>
      <c r="D12732" s="496"/>
    </row>
    <row r="12733" spans="1:4" x14ac:dyDescent="0.2">
      <c r="A12733" s="146"/>
      <c r="D12733" s="496"/>
    </row>
    <row r="12734" spans="1:4" x14ac:dyDescent="0.2">
      <c r="A12734" s="146"/>
      <c r="D12734" s="496"/>
    </row>
    <row r="12735" spans="1:4" x14ac:dyDescent="0.2">
      <c r="A12735" s="146"/>
      <c r="D12735" s="496"/>
    </row>
    <row r="12736" spans="1:4" x14ac:dyDescent="0.2">
      <c r="A12736" s="146"/>
      <c r="D12736" s="496"/>
    </row>
    <row r="12737" spans="1:4" x14ac:dyDescent="0.2">
      <c r="A12737" s="146"/>
      <c r="D12737" s="496"/>
    </row>
    <row r="12738" spans="1:4" x14ac:dyDescent="0.2">
      <c r="A12738" s="146"/>
      <c r="D12738" s="496"/>
    </row>
    <row r="12739" spans="1:4" x14ac:dyDescent="0.2">
      <c r="A12739" s="146"/>
      <c r="D12739" s="496"/>
    </row>
    <row r="12740" spans="1:4" x14ac:dyDescent="0.2">
      <c r="A12740" s="146"/>
      <c r="D12740" s="496"/>
    </row>
    <row r="12741" spans="1:4" x14ac:dyDescent="0.2">
      <c r="A12741" s="146"/>
      <c r="D12741" s="496"/>
    </row>
    <row r="12742" spans="1:4" x14ac:dyDescent="0.2">
      <c r="A12742" s="146"/>
      <c r="D12742" s="496"/>
    </row>
    <row r="12743" spans="1:4" x14ac:dyDescent="0.2">
      <c r="A12743" s="146"/>
      <c r="D12743" s="496"/>
    </row>
    <row r="12744" spans="1:4" x14ac:dyDescent="0.2">
      <c r="A12744" s="146"/>
      <c r="D12744" s="496"/>
    </row>
    <row r="12745" spans="1:4" x14ac:dyDescent="0.2">
      <c r="A12745" s="146"/>
      <c r="D12745" s="496"/>
    </row>
    <row r="12746" spans="1:4" x14ac:dyDescent="0.2">
      <c r="A12746" s="146"/>
      <c r="D12746" s="496"/>
    </row>
    <row r="12747" spans="1:4" x14ac:dyDescent="0.2">
      <c r="A12747" s="146"/>
      <c r="D12747" s="496"/>
    </row>
    <row r="12748" spans="1:4" x14ac:dyDescent="0.2">
      <c r="A12748" s="146"/>
      <c r="D12748" s="496"/>
    </row>
    <row r="12749" spans="1:4" x14ac:dyDescent="0.2">
      <c r="A12749" s="146"/>
      <c r="D12749" s="496"/>
    </row>
    <row r="12750" spans="1:4" x14ac:dyDescent="0.2">
      <c r="A12750" s="146"/>
      <c r="D12750" s="496"/>
    </row>
    <row r="12751" spans="1:4" x14ac:dyDescent="0.2">
      <c r="A12751" s="146"/>
      <c r="D12751" s="496"/>
    </row>
    <row r="12752" spans="1:4" x14ac:dyDescent="0.2">
      <c r="A12752" s="146"/>
      <c r="D12752" s="496"/>
    </row>
    <row r="12753" spans="1:4" x14ac:dyDescent="0.2">
      <c r="A12753" s="146"/>
      <c r="D12753" s="496"/>
    </row>
    <row r="12754" spans="1:4" x14ac:dyDescent="0.2">
      <c r="A12754" s="146"/>
      <c r="D12754" s="496"/>
    </row>
    <row r="12755" spans="1:4" x14ac:dyDescent="0.2">
      <c r="A12755" s="146"/>
      <c r="D12755" s="496"/>
    </row>
    <row r="12756" spans="1:4" x14ac:dyDescent="0.2">
      <c r="A12756" s="146"/>
      <c r="D12756" s="496"/>
    </row>
    <row r="12757" spans="1:4" x14ac:dyDescent="0.2">
      <c r="A12757" s="146"/>
      <c r="D12757" s="496"/>
    </row>
    <row r="12758" spans="1:4" x14ac:dyDescent="0.2">
      <c r="A12758" s="146"/>
      <c r="D12758" s="496"/>
    </row>
    <row r="12759" spans="1:4" x14ac:dyDescent="0.2">
      <c r="A12759" s="146"/>
      <c r="D12759" s="496"/>
    </row>
    <row r="12760" spans="1:4" x14ac:dyDescent="0.2">
      <c r="A12760" s="146"/>
      <c r="D12760" s="496"/>
    </row>
    <row r="12761" spans="1:4" x14ac:dyDescent="0.2">
      <c r="A12761" s="146"/>
      <c r="D12761" s="496"/>
    </row>
    <row r="12762" spans="1:4" x14ac:dyDescent="0.2">
      <c r="A12762" s="146"/>
      <c r="D12762" s="496"/>
    </row>
    <row r="12763" spans="1:4" x14ac:dyDescent="0.2">
      <c r="A12763" s="146"/>
      <c r="D12763" s="496"/>
    </row>
    <row r="12764" spans="1:4" x14ac:dyDescent="0.2">
      <c r="A12764" s="146"/>
      <c r="D12764" s="496"/>
    </row>
    <row r="12765" spans="1:4" x14ac:dyDescent="0.2">
      <c r="A12765" s="146"/>
      <c r="D12765" s="496"/>
    </row>
    <row r="12766" spans="1:4" x14ac:dyDescent="0.2">
      <c r="A12766" s="146"/>
      <c r="D12766" s="496"/>
    </row>
    <row r="12767" spans="1:4" x14ac:dyDescent="0.2">
      <c r="A12767" s="146"/>
      <c r="D12767" s="496"/>
    </row>
    <row r="12768" spans="1:4" x14ac:dyDescent="0.2">
      <c r="A12768" s="146"/>
      <c r="D12768" s="496"/>
    </row>
    <row r="12769" spans="1:4" x14ac:dyDescent="0.2">
      <c r="A12769" s="146"/>
      <c r="D12769" s="496"/>
    </row>
    <row r="12770" spans="1:4" x14ac:dyDescent="0.2">
      <c r="A12770" s="146"/>
      <c r="D12770" s="496"/>
    </row>
    <row r="12771" spans="1:4" x14ac:dyDescent="0.2">
      <c r="A12771" s="146"/>
      <c r="D12771" s="496"/>
    </row>
    <row r="12772" spans="1:4" x14ac:dyDescent="0.2">
      <c r="A12772" s="146"/>
      <c r="D12772" s="496"/>
    </row>
    <row r="12773" spans="1:4" x14ac:dyDescent="0.2">
      <c r="A12773" s="146"/>
      <c r="D12773" s="496"/>
    </row>
    <row r="12774" spans="1:4" x14ac:dyDescent="0.2">
      <c r="A12774" s="146"/>
      <c r="D12774" s="496"/>
    </row>
    <row r="12775" spans="1:4" x14ac:dyDescent="0.2">
      <c r="A12775" s="146"/>
      <c r="D12775" s="496"/>
    </row>
    <row r="12776" spans="1:4" x14ac:dyDescent="0.2">
      <c r="A12776" s="146"/>
      <c r="D12776" s="496"/>
    </row>
    <row r="12777" spans="1:4" x14ac:dyDescent="0.2">
      <c r="A12777" s="146"/>
      <c r="D12777" s="496"/>
    </row>
    <row r="12778" spans="1:4" x14ac:dyDescent="0.2">
      <c r="A12778" s="146"/>
      <c r="D12778" s="496"/>
    </row>
    <row r="12779" spans="1:4" x14ac:dyDescent="0.2">
      <c r="A12779" s="146"/>
      <c r="D12779" s="496"/>
    </row>
    <row r="12780" spans="1:4" x14ac:dyDescent="0.2">
      <c r="A12780" s="146"/>
      <c r="D12780" s="496"/>
    </row>
    <row r="12781" spans="1:4" x14ac:dyDescent="0.2">
      <c r="A12781" s="146"/>
      <c r="D12781" s="496"/>
    </row>
    <row r="12782" spans="1:4" x14ac:dyDescent="0.2">
      <c r="A12782" s="146"/>
      <c r="D12782" s="496"/>
    </row>
    <row r="12783" spans="1:4" x14ac:dyDescent="0.2">
      <c r="A12783" s="146"/>
      <c r="D12783" s="496"/>
    </row>
    <row r="12784" spans="1:4" x14ac:dyDescent="0.2">
      <c r="A12784" s="146"/>
      <c r="D12784" s="496"/>
    </row>
    <row r="12785" spans="1:4" x14ac:dyDescent="0.2">
      <c r="A12785" s="146"/>
      <c r="D12785" s="496"/>
    </row>
    <row r="12786" spans="1:4" x14ac:dyDescent="0.2">
      <c r="A12786" s="146"/>
      <c r="D12786" s="496"/>
    </row>
    <row r="12787" spans="1:4" x14ac:dyDescent="0.2">
      <c r="A12787" s="146"/>
      <c r="D12787" s="496"/>
    </row>
    <row r="12788" spans="1:4" x14ac:dyDescent="0.2">
      <c r="A12788" s="146"/>
      <c r="D12788" s="496"/>
    </row>
    <row r="12789" spans="1:4" x14ac:dyDescent="0.2">
      <c r="A12789" s="146"/>
      <c r="D12789" s="496"/>
    </row>
    <row r="12790" spans="1:4" x14ac:dyDescent="0.2">
      <c r="A12790" s="146"/>
      <c r="D12790" s="496"/>
    </row>
    <row r="12791" spans="1:4" x14ac:dyDescent="0.2">
      <c r="A12791" s="146"/>
      <c r="D12791" s="496"/>
    </row>
    <row r="12792" spans="1:4" x14ac:dyDescent="0.2">
      <c r="A12792" s="146"/>
      <c r="D12792" s="496"/>
    </row>
    <row r="12793" spans="1:4" x14ac:dyDescent="0.2">
      <c r="A12793" s="146"/>
      <c r="D12793" s="496"/>
    </row>
    <row r="12794" spans="1:4" x14ac:dyDescent="0.2">
      <c r="A12794" s="146"/>
      <c r="D12794" s="496"/>
    </row>
    <row r="12795" spans="1:4" x14ac:dyDescent="0.2">
      <c r="A12795" s="146"/>
      <c r="D12795" s="496"/>
    </row>
    <row r="12796" spans="1:4" x14ac:dyDescent="0.2">
      <c r="A12796" s="146"/>
      <c r="D12796" s="496"/>
    </row>
    <row r="12797" spans="1:4" x14ac:dyDescent="0.2">
      <c r="A12797" s="146"/>
      <c r="D12797" s="496"/>
    </row>
    <row r="12798" spans="1:4" x14ac:dyDescent="0.2">
      <c r="A12798" s="146"/>
      <c r="D12798" s="496"/>
    </row>
    <row r="12799" spans="1:4" x14ac:dyDescent="0.2">
      <c r="A12799" s="146"/>
      <c r="D12799" s="496"/>
    </row>
    <row r="12800" spans="1:4" x14ac:dyDescent="0.2">
      <c r="A12800" s="146"/>
      <c r="D12800" s="496"/>
    </row>
    <row r="12801" spans="1:4" x14ac:dyDescent="0.2">
      <c r="A12801" s="146"/>
      <c r="D12801" s="496"/>
    </row>
    <row r="12802" spans="1:4" x14ac:dyDescent="0.2">
      <c r="A12802" s="146"/>
      <c r="D12802" s="496"/>
    </row>
    <row r="12803" spans="1:4" x14ac:dyDescent="0.2">
      <c r="A12803" s="146"/>
      <c r="D12803" s="496"/>
    </row>
    <row r="12804" spans="1:4" x14ac:dyDescent="0.2">
      <c r="A12804" s="146"/>
      <c r="D12804" s="496"/>
    </row>
    <row r="12805" spans="1:4" x14ac:dyDescent="0.2">
      <c r="A12805" s="146"/>
      <c r="D12805" s="496"/>
    </row>
    <row r="12806" spans="1:4" x14ac:dyDescent="0.2">
      <c r="A12806" s="146"/>
      <c r="D12806" s="496"/>
    </row>
    <row r="12807" spans="1:4" x14ac:dyDescent="0.2">
      <c r="A12807" s="146"/>
      <c r="D12807" s="496"/>
    </row>
    <row r="12808" spans="1:4" x14ac:dyDescent="0.2">
      <c r="A12808" s="146"/>
      <c r="D12808" s="496"/>
    </row>
    <row r="12809" spans="1:4" x14ac:dyDescent="0.2">
      <c r="A12809" s="146"/>
      <c r="D12809" s="496"/>
    </row>
    <row r="12810" spans="1:4" x14ac:dyDescent="0.2">
      <c r="A12810" s="146"/>
      <c r="D12810" s="496"/>
    </row>
    <row r="12811" spans="1:4" x14ac:dyDescent="0.2">
      <c r="A12811" s="146"/>
      <c r="D12811" s="496"/>
    </row>
    <row r="12812" spans="1:4" x14ac:dyDescent="0.2">
      <c r="A12812" s="146"/>
      <c r="D12812" s="496"/>
    </row>
    <row r="12813" spans="1:4" x14ac:dyDescent="0.2">
      <c r="A12813" s="146"/>
      <c r="D12813" s="496"/>
    </row>
    <row r="12814" spans="1:4" x14ac:dyDescent="0.2">
      <c r="A12814" s="146"/>
      <c r="D12814" s="496"/>
    </row>
    <row r="12815" spans="1:4" x14ac:dyDescent="0.2">
      <c r="A12815" s="146"/>
      <c r="D12815" s="496"/>
    </row>
    <row r="12816" spans="1:4" x14ac:dyDescent="0.2">
      <c r="A12816" s="146"/>
      <c r="D12816" s="496"/>
    </row>
    <row r="12817" spans="1:4" x14ac:dyDescent="0.2">
      <c r="A12817" s="146"/>
      <c r="D12817" s="496"/>
    </row>
    <row r="12818" spans="1:4" x14ac:dyDescent="0.2">
      <c r="A12818" s="146"/>
      <c r="D12818" s="496"/>
    </row>
    <row r="12819" spans="1:4" x14ac:dyDescent="0.2">
      <c r="A12819" s="146"/>
      <c r="D12819" s="496"/>
    </row>
    <row r="12820" spans="1:4" x14ac:dyDescent="0.2">
      <c r="A12820" s="146"/>
      <c r="D12820" s="496"/>
    </row>
    <row r="12821" spans="1:4" x14ac:dyDescent="0.2">
      <c r="A12821" s="146"/>
      <c r="D12821" s="496"/>
    </row>
    <row r="12822" spans="1:4" x14ac:dyDescent="0.2">
      <c r="A12822" s="146"/>
      <c r="D12822" s="496"/>
    </row>
    <row r="12823" spans="1:4" x14ac:dyDescent="0.2">
      <c r="A12823" s="146"/>
      <c r="D12823" s="496"/>
    </row>
    <row r="12824" spans="1:4" x14ac:dyDescent="0.2">
      <c r="A12824" s="146"/>
      <c r="D12824" s="496"/>
    </row>
    <row r="12825" spans="1:4" x14ac:dyDescent="0.2">
      <c r="A12825" s="146"/>
      <c r="D12825" s="496"/>
    </row>
    <row r="12826" spans="1:4" x14ac:dyDescent="0.2">
      <c r="A12826" s="146"/>
      <c r="D12826" s="496"/>
    </row>
    <row r="12827" spans="1:4" x14ac:dyDescent="0.2">
      <c r="A12827" s="146"/>
      <c r="D12827" s="496"/>
    </row>
    <row r="12828" spans="1:4" x14ac:dyDescent="0.2">
      <c r="A12828" s="146"/>
      <c r="D12828" s="496"/>
    </row>
    <row r="12829" spans="1:4" x14ac:dyDescent="0.2">
      <c r="A12829" s="146"/>
      <c r="D12829" s="496"/>
    </row>
    <row r="12830" spans="1:4" x14ac:dyDescent="0.2">
      <c r="A12830" s="146"/>
      <c r="D12830" s="496"/>
    </row>
    <row r="12831" spans="1:4" x14ac:dyDescent="0.2">
      <c r="A12831" s="146"/>
      <c r="D12831" s="496"/>
    </row>
    <row r="12832" spans="1:4" x14ac:dyDescent="0.2">
      <c r="A12832" s="146"/>
      <c r="D12832" s="496"/>
    </row>
    <row r="12833" spans="1:4" x14ac:dyDescent="0.2">
      <c r="A12833" s="146"/>
      <c r="D12833" s="496"/>
    </row>
    <row r="12834" spans="1:4" x14ac:dyDescent="0.2">
      <c r="A12834" s="146"/>
      <c r="D12834" s="496"/>
    </row>
    <row r="12835" spans="1:4" x14ac:dyDescent="0.2">
      <c r="A12835" s="146"/>
      <c r="D12835" s="496"/>
    </row>
    <row r="12836" spans="1:4" x14ac:dyDescent="0.2">
      <c r="A12836" s="146"/>
      <c r="D12836" s="496"/>
    </row>
    <row r="12837" spans="1:4" x14ac:dyDescent="0.2">
      <c r="A12837" s="146"/>
      <c r="D12837" s="496"/>
    </row>
    <row r="12838" spans="1:4" x14ac:dyDescent="0.2">
      <c r="A12838" s="146"/>
      <c r="D12838" s="496"/>
    </row>
    <row r="12839" spans="1:4" x14ac:dyDescent="0.2">
      <c r="A12839" s="146"/>
      <c r="D12839" s="496"/>
    </row>
    <row r="12840" spans="1:4" x14ac:dyDescent="0.2">
      <c r="A12840" s="146"/>
      <c r="D12840" s="496"/>
    </row>
    <row r="12841" spans="1:4" x14ac:dyDescent="0.2">
      <c r="A12841" s="146"/>
      <c r="D12841" s="496"/>
    </row>
    <row r="12842" spans="1:4" x14ac:dyDescent="0.2">
      <c r="A12842" s="146"/>
      <c r="D12842" s="496"/>
    </row>
    <row r="12843" spans="1:4" x14ac:dyDescent="0.2">
      <c r="A12843" s="146"/>
      <c r="D12843" s="496"/>
    </row>
    <row r="12844" spans="1:4" x14ac:dyDescent="0.2">
      <c r="A12844" s="146"/>
      <c r="D12844" s="496"/>
    </row>
    <row r="12845" spans="1:4" x14ac:dyDescent="0.2">
      <c r="A12845" s="146"/>
      <c r="D12845" s="496"/>
    </row>
    <row r="12846" spans="1:4" x14ac:dyDescent="0.2">
      <c r="A12846" s="146"/>
      <c r="D12846" s="496"/>
    </row>
    <row r="12847" spans="1:4" x14ac:dyDescent="0.2">
      <c r="A12847" s="146"/>
      <c r="D12847" s="496"/>
    </row>
    <row r="12848" spans="1:4" x14ac:dyDescent="0.2">
      <c r="A12848" s="146"/>
      <c r="D12848" s="496"/>
    </row>
    <row r="12849" spans="1:4" x14ac:dyDescent="0.2">
      <c r="A12849" s="146"/>
      <c r="D12849" s="496"/>
    </row>
    <row r="12850" spans="1:4" x14ac:dyDescent="0.2">
      <c r="A12850" s="146"/>
      <c r="D12850" s="496"/>
    </row>
    <row r="12851" spans="1:4" x14ac:dyDescent="0.2">
      <c r="A12851" s="146"/>
      <c r="D12851" s="496"/>
    </row>
    <row r="12852" spans="1:4" x14ac:dyDescent="0.2">
      <c r="A12852" s="146"/>
      <c r="D12852" s="496"/>
    </row>
    <row r="12853" spans="1:4" x14ac:dyDescent="0.2">
      <c r="A12853" s="146"/>
      <c r="D12853" s="496"/>
    </row>
    <row r="12854" spans="1:4" x14ac:dyDescent="0.2">
      <c r="A12854" s="146"/>
      <c r="D12854" s="496"/>
    </row>
    <row r="12855" spans="1:4" x14ac:dyDescent="0.2">
      <c r="A12855" s="146"/>
      <c r="D12855" s="496"/>
    </row>
    <row r="12856" spans="1:4" x14ac:dyDescent="0.2">
      <c r="A12856" s="146"/>
      <c r="D12856" s="496"/>
    </row>
    <row r="12857" spans="1:4" x14ac:dyDescent="0.2">
      <c r="A12857" s="146"/>
      <c r="D12857" s="496"/>
    </row>
    <row r="12858" spans="1:4" x14ac:dyDescent="0.2">
      <c r="A12858" s="146"/>
      <c r="D12858" s="496"/>
    </row>
    <row r="12859" spans="1:4" x14ac:dyDescent="0.2">
      <c r="A12859" s="146"/>
      <c r="D12859" s="496"/>
    </row>
    <row r="12860" spans="1:4" x14ac:dyDescent="0.2">
      <c r="A12860" s="146"/>
      <c r="D12860" s="496"/>
    </row>
    <row r="12861" spans="1:4" x14ac:dyDescent="0.2">
      <c r="A12861" s="146"/>
      <c r="D12861" s="496"/>
    </row>
    <row r="12862" spans="1:4" x14ac:dyDescent="0.2">
      <c r="A12862" s="146"/>
      <c r="D12862" s="496"/>
    </row>
    <row r="12863" spans="1:4" x14ac:dyDescent="0.2">
      <c r="A12863" s="146"/>
      <c r="D12863" s="496"/>
    </row>
    <row r="12864" spans="1:4" x14ac:dyDescent="0.2">
      <c r="A12864" s="146"/>
      <c r="D12864" s="496"/>
    </row>
    <row r="12865" spans="1:4" x14ac:dyDescent="0.2">
      <c r="A12865" s="146"/>
      <c r="D12865" s="496"/>
    </row>
    <row r="12866" spans="1:4" x14ac:dyDescent="0.2">
      <c r="A12866" s="146"/>
      <c r="D12866" s="496"/>
    </row>
    <row r="12867" spans="1:4" x14ac:dyDescent="0.2">
      <c r="A12867" s="146"/>
      <c r="D12867" s="496"/>
    </row>
    <row r="12868" spans="1:4" x14ac:dyDescent="0.2">
      <c r="A12868" s="146"/>
      <c r="D12868" s="496"/>
    </row>
    <row r="12869" spans="1:4" x14ac:dyDescent="0.2">
      <c r="A12869" s="146"/>
      <c r="D12869" s="496"/>
    </row>
    <row r="12870" spans="1:4" x14ac:dyDescent="0.2">
      <c r="A12870" s="146"/>
      <c r="D12870" s="496"/>
    </row>
    <row r="12871" spans="1:4" x14ac:dyDescent="0.2">
      <c r="A12871" s="146"/>
      <c r="D12871" s="496"/>
    </row>
    <row r="12872" spans="1:4" x14ac:dyDescent="0.2">
      <c r="A12872" s="146"/>
      <c r="D12872" s="496"/>
    </row>
    <row r="12873" spans="1:4" x14ac:dyDescent="0.2">
      <c r="A12873" s="146"/>
      <c r="D12873" s="496"/>
    </row>
    <row r="12874" spans="1:4" x14ac:dyDescent="0.2">
      <c r="A12874" s="146"/>
      <c r="D12874" s="496"/>
    </row>
    <row r="12875" spans="1:4" x14ac:dyDescent="0.2">
      <c r="A12875" s="146"/>
      <c r="D12875" s="496"/>
    </row>
    <row r="12876" spans="1:4" x14ac:dyDescent="0.2">
      <c r="A12876" s="146"/>
      <c r="D12876" s="496"/>
    </row>
    <row r="12877" spans="1:4" x14ac:dyDescent="0.2">
      <c r="A12877" s="146"/>
      <c r="D12877" s="496"/>
    </row>
    <row r="12878" spans="1:4" x14ac:dyDescent="0.2">
      <c r="A12878" s="146"/>
      <c r="D12878" s="496"/>
    </row>
    <row r="12879" spans="1:4" x14ac:dyDescent="0.2">
      <c r="A12879" s="146"/>
      <c r="D12879" s="496"/>
    </row>
    <row r="12880" spans="1:4" x14ac:dyDescent="0.2">
      <c r="A12880" s="146"/>
      <c r="D12880" s="496"/>
    </row>
    <row r="12881" spans="1:4" x14ac:dyDescent="0.2">
      <c r="A12881" s="146"/>
      <c r="D12881" s="496"/>
    </row>
    <row r="12882" spans="1:4" x14ac:dyDescent="0.2">
      <c r="A12882" s="146"/>
      <c r="D12882" s="496"/>
    </row>
    <row r="12883" spans="1:4" x14ac:dyDescent="0.2">
      <c r="A12883" s="146"/>
      <c r="D12883" s="496"/>
    </row>
    <row r="12884" spans="1:4" x14ac:dyDescent="0.2">
      <c r="A12884" s="146"/>
      <c r="D12884" s="496"/>
    </row>
    <row r="12885" spans="1:4" x14ac:dyDescent="0.2">
      <c r="A12885" s="146"/>
      <c r="D12885" s="496"/>
    </row>
    <row r="12886" spans="1:4" x14ac:dyDescent="0.2">
      <c r="A12886" s="146"/>
      <c r="D12886" s="496"/>
    </row>
    <row r="12887" spans="1:4" x14ac:dyDescent="0.2">
      <c r="A12887" s="146"/>
      <c r="D12887" s="496"/>
    </row>
    <row r="12888" spans="1:4" x14ac:dyDescent="0.2">
      <c r="A12888" s="146"/>
      <c r="D12888" s="496"/>
    </row>
    <row r="12889" spans="1:4" x14ac:dyDescent="0.2">
      <c r="A12889" s="146"/>
      <c r="D12889" s="496"/>
    </row>
    <row r="12890" spans="1:4" x14ac:dyDescent="0.2">
      <c r="A12890" s="146"/>
      <c r="D12890" s="496"/>
    </row>
    <row r="12891" spans="1:4" x14ac:dyDescent="0.2">
      <c r="A12891" s="146"/>
      <c r="D12891" s="496"/>
    </row>
    <row r="12892" spans="1:4" x14ac:dyDescent="0.2">
      <c r="A12892" s="146"/>
      <c r="D12892" s="496"/>
    </row>
    <row r="12893" spans="1:4" x14ac:dyDescent="0.2">
      <c r="A12893" s="146"/>
      <c r="D12893" s="496"/>
    </row>
    <row r="12894" spans="1:4" x14ac:dyDescent="0.2">
      <c r="A12894" s="146"/>
      <c r="D12894" s="496"/>
    </row>
    <row r="12895" spans="1:4" x14ac:dyDescent="0.2">
      <c r="A12895" s="146"/>
      <c r="D12895" s="496"/>
    </row>
    <row r="12896" spans="1:4" x14ac:dyDescent="0.2">
      <c r="A12896" s="146"/>
      <c r="D12896" s="496"/>
    </row>
    <row r="12897" spans="1:4" x14ac:dyDescent="0.2">
      <c r="A12897" s="146"/>
      <c r="D12897" s="496"/>
    </row>
    <row r="12898" spans="1:4" x14ac:dyDescent="0.2">
      <c r="A12898" s="146"/>
      <c r="D12898" s="496"/>
    </row>
    <row r="12899" spans="1:4" x14ac:dyDescent="0.2">
      <c r="A12899" s="146"/>
      <c r="D12899" s="496"/>
    </row>
    <row r="12900" spans="1:4" x14ac:dyDescent="0.2">
      <c r="A12900" s="146"/>
      <c r="D12900" s="496"/>
    </row>
    <row r="12901" spans="1:4" x14ac:dyDescent="0.2">
      <c r="A12901" s="146"/>
      <c r="D12901" s="496"/>
    </row>
    <row r="12902" spans="1:4" x14ac:dyDescent="0.2">
      <c r="A12902" s="146"/>
      <c r="D12902" s="496"/>
    </row>
    <row r="12903" spans="1:4" x14ac:dyDescent="0.2">
      <c r="A12903" s="146"/>
      <c r="D12903" s="496"/>
    </row>
    <row r="12904" spans="1:4" x14ac:dyDescent="0.2">
      <c r="A12904" s="146"/>
      <c r="D12904" s="496"/>
    </row>
    <row r="12905" spans="1:4" x14ac:dyDescent="0.2">
      <c r="A12905" s="146"/>
      <c r="D12905" s="496"/>
    </row>
    <row r="12906" spans="1:4" x14ac:dyDescent="0.2">
      <c r="A12906" s="146"/>
      <c r="D12906" s="496"/>
    </row>
    <row r="12907" spans="1:4" x14ac:dyDescent="0.2">
      <c r="A12907" s="146"/>
      <c r="D12907" s="496"/>
    </row>
    <row r="12908" spans="1:4" x14ac:dyDescent="0.2">
      <c r="A12908" s="146"/>
      <c r="D12908" s="496"/>
    </row>
    <row r="12909" spans="1:4" x14ac:dyDescent="0.2">
      <c r="A12909" s="146"/>
      <c r="D12909" s="496"/>
    </row>
    <row r="12910" spans="1:4" x14ac:dyDescent="0.2">
      <c r="A12910" s="146"/>
      <c r="D12910" s="496"/>
    </row>
    <row r="12911" spans="1:4" x14ac:dyDescent="0.2">
      <c r="A12911" s="146"/>
      <c r="D12911" s="496"/>
    </row>
    <row r="12912" spans="1:4" x14ac:dyDescent="0.2">
      <c r="A12912" s="146"/>
      <c r="D12912" s="496"/>
    </row>
    <row r="12913" spans="1:4" x14ac:dyDescent="0.2">
      <c r="A12913" s="146"/>
      <c r="D12913" s="496"/>
    </row>
    <row r="12914" spans="1:4" x14ac:dyDescent="0.2">
      <c r="A12914" s="146"/>
      <c r="D12914" s="496"/>
    </row>
    <row r="12915" spans="1:4" x14ac:dyDescent="0.2">
      <c r="A12915" s="146"/>
      <c r="D12915" s="496"/>
    </row>
    <row r="12916" spans="1:4" x14ac:dyDescent="0.2">
      <c r="A12916" s="146"/>
      <c r="D12916" s="496"/>
    </row>
    <row r="12917" spans="1:4" x14ac:dyDescent="0.2">
      <c r="A12917" s="146"/>
      <c r="D12917" s="496"/>
    </row>
    <row r="12918" spans="1:4" x14ac:dyDescent="0.2">
      <c r="A12918" s="146"/>
      <c r="D12918" s="496"/>
    </row>
    <row r="12919" spans="1:4" x14ac:dyDescent="0.2">
      <c r="A12919" s="146"/>
      <c r="D12919" s="496"/>
    </row>
    <row r="12920" spans="1:4" x14ac:dyDescent="0.2">
      <c r="A12920" s="146"/>
      <c r="D12920" s="496"/>
    </row>
    <row r="12921" spans="1:4" x14ac:dyDescent="0.2">
      <c r="A12921" s="146"/>
      <c r="D12921" s="496"/>
    </row>
    <row r="12922" spans="1:4" x14ac:dyDescent="0.2">
      <c r="A12922" s="146"/>
      <c r="D12922" s="496"/>
    </row>
    <row r="12923" spans="1:4" x14ac:dyDescent="0.2">
      <c r="A12923" s="146"/>
      <c r="D12923" s="496"/>
    </row>
    <row r="12924" spans="1:4" x14ac:dyDescent="0.2">
      <c r="A12924" s="146"/>
      <c r="D12924" s="496"/>
    </row>
    <row r="12925" spans="1:4" x14ac:dyDescent="0.2">
      <c r="A12925" s="146"/>
      <c r="D12925" s="496"/>
    </row>
    <row r="12926" spans="1:4" x14ac:dyDescent="0.2">
      <c r="A12926" s="146"/>
      <c r="D12926" s="496"/>
    </row>
    <row r="12927" spans="1:4" x14ac:dyDescent="0.2">
      <c r="A12927" s="146"/>
      <c r="D12927" s="496"/>
    </row>
    <row r="12928" spans="1:4" x14ac:dyDescent="0.2">
      <c r="A12928" s="146"/>
      <c r="D12928" s="496"/>
    </row>
    <row r="12929" spans="1:4" x14ac:dyDescent="0.2">
      <c r="A12929" s="146"/>
      <c r="D12929" s="496"/>
    </row>
    <row r="12930" spans="1:4" x14ac:dyDescent="0.2">
      <c r="A12930" s="146"/>
      <c r="D12930" s="496"/>
    </row>
    <row r="12931" spans="1:4" x14ac:dyDescent="0.2">
      <c r="A12931" s="146"/>
      <c r="D12931" s="496"/>
    </row>
    <row r="12932" spans="1:4" x14ac:dyDescent="0.2">
      <c r="A12932" s="146"/>
      <c r="D12932" s="496"/>
    </row>
    <row r="12933" spans="1:4" x14ac:dyDescent="0.2">
      <c r="A12933" s="146"/>
      <c r="D12933" s="496"/>
    </row>
    <row r="12934" spans="1:4" x14ac:dyDescent="0.2">
      <c r="A12934" s="146"/>
      <c r="D12934" s="496"/>
    </row>
    <row r="12935" spans="1:4" x14ac:dyDescent="0.2">
      <c r="A12935" s="146"/>
      <c r="D12935" s="496"/>
    </row>
    <row r="12936" spans="1:4" x14ac:dyDescent="0.2">
      <c r="A12936" s="146"/>
      <c r="D12936" s="496"/>
    </row>
    <row r="12937" spans="1:4" x14ac:dyDescent="0.2">
      <c r="A12937" s="146"/>
      <c r="D12937" s="496"/>
    </row>
    <row r="12938" spans="1:4" x14ac:dyDescent="0.2">
      <c r="A12938" s="146"/>
      <c r="D12938" s="496"/>
    </row>
    <row r="12939" spans="1:4" x14ac:dyDescent="0.2">
      <c r="A12939" s="146"/>
      <c r="D12939" s="496"/>
    </row>
    <row r="12940" spans="1:4" x14ac:dyDescent="0.2">
      <c r="A12940" s="146"/>
      <c r="D12940" s="496"/>
    </row>
    <row r="12941" spans="1:4" x14ac:dyDescent="0.2">
      <c r="A12941" s="146"/>
      <c r="D12941" s="496"/>
    </row>
    <row r="12942" spans="1:4" x14ac:dyDescent="0.2">
      <c r="A12942" s="146"/>
      <c r="D12942" s="496"/>
    </row>
    <row r="12943" spans="1:4" x14ac:dyDescent="0.2">
      <c r="A12943" s="146"/>
      <c r="D12943" s="496"/>
    </row>
    <row r="12944" spans="1:4" x14ac:dyDescent="0.2">
      <c r="A12944" s="146"/>
      <c r="D12944" s="496"/>
    </row>
    <row r="12945" spans="1:4" x14ac:dyDescent="0.2">
      <c r="A12945" s="146"/>
      <c r="D12945" s="496"/>
    </row>
    <row r="12946" spans="1:4" x14ac:dyDescent="0.2">
      <c r="A12946" s="146"/>
      <c r="D12946" s="496"/>
    </row>
    <row r="12947" spans="1:4" x14ac:dyDescent="0.2">
      <c r="A12947" s="146"/>
      <c r="D12947" s="496"/>
    </row>
    <row r="12948" spans="1:4" x14ac:dyDescent="0.2">
      <c r="A12948" s="146"/>
      <c r="D12948" s="496"/>
    </row>
    <row r="12949" spans="1:4" x14ac:dyDescent="0.2">
      <c r="A12949" s="146"/>
      <c r="D12949" s="496"/>
    </row>
    <row r="12950" spans="1:4" x14ac:dyDescent="0.2">
      <c r="A12950" s="146"/>
      <c r="D12950" s="496"/>
    </row>
    <row r="12951" spans="1:4" x14ac:dyDescent="0.2">
      <c r="A12951" s="146"/>
      <c r="D12951" s="496"/>
    </row>
    <row r="12952" spans="1:4" x14ac:dyDescent="0.2">
      <c r="A12952" s="146"/>
      <c r="D12952" s="496"/>
    </row>
    <row r="12953" spans="1:4" x14ac:dyDescent="0.2">
      <c r="A12953" s="146"/>
      <c r="D12953" s="496"/>
    </row>
    <row r="12954" spans="1:4" x14ac:dyDescent="0.2">
      <c r="A12954" s="146"/>
      <c r="D12954" s="496"/>
    </row>
    <row r="12955" spans="1:4" x14ac:dyDescent="0.2">
      <c r="A12955" s="146"/>
      <c r="D12955" s="496"/>
    </row>
    <row r="12956" spans="1:4" x14ac:dyDescent="0.2">
      <c r="A12956" s="146"/>
      <c r="D12956" s="496"/>
    </row>
    <row r="12957" spans="1:4" x14ac:dyDescent="0.2">
      <c r="A12957" s="146"/>
      <c r="D12957" s="496"/>
    </row>
    <row r="12958" spans="1:4" x14ac:dyDescent="0.2">
      <c r="A12958" s="146"/>
      <c r="D12958" s="496"/>
    </row>
    <row r="12959" spans="1:4" x14ac:dyDescent="0.2">
      <c r="A12959" s="146"/>
      <c r="D12959" s="496"/>
    </row>
    <row r="12960" spans="1:4" x14ac:dyDescent="0.2">
      <c r="A12960" s="146"/>
      <c r="D12960" s="496"/>
    </row>
    <row r="12961" spans="1:4" x14ac:dyDescent="0.2">
      <c r="A12961" s="146"/>
      <c r="D12961" s="496"/>
    </row>
    <row r="12962" spans="1:4" x14ac:dyDescent="0.2">
      <c r="A12962" s="146"/>
      <c r="D12962" s="496"/>
    </row>
    <row r="12963" spans="1:4" x14ac:dyDescent="0.2">
      <c r="A12963" s="146"/>
      <c r="D12963" s="496"/>
    </row>
    <row r="12964" spans="1:4" x14ac:dyDescent="0.2">
      <c r="A12964" s="146"/>
      <c r="D12964" s="496"/>
    </row>
    <row r="12965" spans="1:4" x14ac:dyDescent="0.2">
      <c r="A12965" s="146"/>
      <c r="D12965" s="496"/>
    </row>
    <row r="12966" spans="1:4" x14ac:dyDescent="0.2">
      <c r="A12966" s="146"/>
      <c r="D12966" s="496"/>
    </row>
    <row r="12967" spans="1:4" x14ac:dyDescent="0.2">
      <c r="A12967" s="146"/>
      <c r="D12967" s="496"/>
    </row>
    <row r="12968" spans="1:4" x14ac:dyDescent="0.2">
      <c r="A12968" s="146"/>
      <c r="D12968" s="496"/>
    </row>
    <row r="12969" spans="1:4" x14ac:dyDescent="0.2">
      <c r="A12969" s="146"/>
      <c r="D12969" s="496"/>
    </row>
    <row r="12970" spans="1:4" x14ac:dyDescent="0.2">
      <c r="A12970" s="146"/>
      <c r="D12970" s="496"/>
    </row>
    <row r="12971" spans="1:4" x14ac:dyDescent="0.2">
      <c r="A12971" s="146"/>
      <c r="D12971" s="496"/>
    </row>
    <row r="12972" spans="1:4" x14ac:dyDescent="0.2">
      <c r="A12972" s="146"/>
      <c r="D12972" s="496"/>
    </row>
    <row r="12973" spans="1:4" x14ac:dyDescent="0.2">
      <c r="A12973" s="146"/>
      <c r="D12973" s="496"/>
    </row>
    <row r="12974" spans="1:4" x14ac:dyDescent="0.2">
      <c r="A12974" s="146"/>
      <c r="D12974" s="496"/>
    </row>
    <row r="12975" spans="1:4" x14ac:dyDescent="0.2">
      <c r="A12975" s="146"/>
      <c r="D12975" s="496"/>
    </row>
    <row r="12976" spans="1:4" x14ac:dyDescent="0.2">
      <c r="A12976" s="146"/>
      <c r="D12976" s="496"/>
    </row>
    <row r="12977" spans="1:4" x14ac:dyDescent="0.2">
      <c r="A12977" s="146"/>
      <c r="D12977" s="496"/>
    </row>
    <row r="12978" spans="1:4" x14ac:dyDescent="0.2">
      <c r="A12978" s="146"/>
      <c r="D12978" s="496"/>
    </row>
    <row r="12979" spans="1:4" x14ac:dyDescent="0.2">
      <c r="A12979" s="146"/>
      <c r="D12979" s="496"/>
    </row>
    <row r="12980" spans="1:4" x14ac:dyDescent="0.2">
      <c r="A12980" s="146"/>
      <c r="D12980" s="496"/>
    </row>
    <row r="12981" spans="1:4" x14ac:dyDescent="0.2">
      <c r="A12981" s="146"/>
      <c r="D12981" s="496"/>
    </row>
    <row r="12982" spans="1:4" x14ac:dyDescent="0.2">
      <c r="A12982" s="146"/>
      <c r="D12982" s="496"/>
    </row>
    <row r="12983" spans="1:4" x14ac:dyDescent="0.2">
      <c r="A12983" s="146"/>
      <c r="D12983" s="496"/>
    </row>
    <row r="12984" spans="1:4" x14ac:dyDescent="0.2">
      <c r="A12984" s="146"/>
      <c r="D12984" s="496"/>
    </row>
    <row r="12985" spans="1:4" x14ac:dyDescent="0.2">
      <c r="A12985" s="146"/>
      <c r="D12985" s="496"/>
    </row>
    <row r="12986" spans="1:4" x14ac:dyDescent="0.2">
      <c r="A12986" s="146"/>
      <c r="D12986" s="496"/>
    </row>
    <row r="12987" spans="1:4" x14ac:dyDescent="0.2">
      <c r="A12987" s="146"/>
      <c r="D12987" s="496"/>
    </row>
    <row r="12988" spans="1:4" x14ac:dyDescent="0.2">
      <c r="A12988" s="146"/>
      <c r="D12988" s="496"/>
    </row>
    <row r="12989" spans="1:4" x14ac:dyDescent="0.2">
      <c r="A12989" s="146"/>
      <c r="D12989" s="496"/>
    </row>
    <row r="12990" spans="1:4" x14ac:dyDescent="0.2">
      <c r="A12990" s="146"/>
      <c r="D12990" s="496"/>
    </row>
    <row r="12991" spans="1:4" x14ac:dyDescent="0.2">
      <c r="A12991" s="146"/>
      <c r="D12991" s="496"/>
    </row>
    <row r="12992" spans="1:4" x14ac:dyDescent="0.2">
      <c r="A12992" s="146"/>
      <c r="D12992" s="496"/>
    </row>
    <row r="12993" spans="1:4" x14ac:dyDescent="0.2">
      <c r="A12993" s="146"/>
      <c r="D12993" s="496"/>
    </row>
    <row r="12994" spans="1:4" x14ac:dyDescent="0.2">
      <c r="A12994" s="146"/>
      <c r="D12994" s="496"/>
    </row>
    <row r="12995" spans="1:4" x14ac:dyDescent="0.2">
      <c r="A12995" s="146"/>
      <c r="D12995" s="496"/>
    </row>
    <row r="12996" spans="1:4" x14ac:dyDescent="0.2">
      <c r="A12996" s="146"/>
      <c r="D12996" s="496"/>
    </row>
    <row r="12997" spans="1:4" x14ac:dyDescent="0.2">
      <c r="A12997" s="146"/>
      <c r="D12997" s="496"/>
    </row>
    <row r="12998" spans="1:4" x14ac:dyDescent="0.2">
      <c r="A12998" s="146"/>
      <c r="D12998" s="496"/>
    </row>
    <row r="12999" spans="1:4" x14ac:dyDescent="0.2">
      <c r="A12999" s="146"/>
      <c r="D12999" s="496"/>
    </row>
    <row r="13000" spans="1:4" x14ac:dyDescent="0.2">
      <c r="A13000" s="146"/>
      <c r="D13000" s="496"/>
    </row>
    <row r="13001" spans="1:4" x14ac:dyDescent="0.2">
      <c r="A13001" s="146"/>
      <c r="D13001" s="496"/>
    </row>
    <row r="13002" spans="1:4" x14ac:dyDescent="0.2">
      <c r="A13002" s="146"/>
      <c r="D13002" s="496"/>
    </row>
    <row r="13003" spans="1:4" x14ac:dyDescent="0.2">
      <c r="A13003" s="146"/>
      <c r="D13003" s="496"/>
    </row>
    <row r="13004" spans="1:4" x14ac:dyDescent="0.2">
      <c r="A13004" s="146"/>
      <c r="D13004" s="496"/>
    </row>
    <row r="13005" spans="1:4" x14ac:dyDescent="0.2">
      <c r="A13005" s="146"/>
      <c r="D13005" s="496"/>
    </row>
    <row r="13006" spans="1:4" x14ac:dyDescent="0.2">
      <c r="A13006" s="146"/>
      <c r="D13006" s="496"/>
    </row>
    <row r="13007" spans="1:4" x14ac:dyDescent="0.2">
      <c r="A13007" s="146"/>
      <c r="D13007" s="496"/>
    </row>
    <row r="13008" spans="1:4" x14ac:dyDescent="0.2">
      <c r="A13008" s="146"/>
      <c r="D13008" s="496"/>
    </row>
    <row r="13009" spans="1:4" x14ac:dyDescent="0.2">
      <c r="A13009" s="146"/>
      <c r="D13009" s="496"/>
    </row>
    <row r="13010" spans="1:4" x14ac:dyDescent="0.2">
      <c r="A13010" s="146"/>
      <c r="D13010" s="496"/>
    </row>
    <row r="13011" spans="1:4" x14ac:dyDescent="0.2">
      <c r="A13011" s="146"/>
      <c r="D13011" s="496"/>
    </row>
    <row r="13012" spans="1:4" x14ac:dyDescent="0.2">
      <c r="A13012" s="146"/>
      <c r="D13012" s="496"/>
    </row>
    <row r="13013" spans="1:4" x14ac:dyDescent="0.2">
      <c r="A13013" s="146"/>
      <c r="D13013" s="496"/>
    </row>
    <row r="13014" spans="1:4" x14ac:dyDescent="0.2">
      <c r="A13014" s="146"/>
      <c r="D13014" s="496"/>
    </row>
    <row r="13015" spans="1:4" x14ac:dyDescent="0.2">
      <c r="A13015" s="146"/>
      <c r="D13015" s="496"/>
    </row>
    <row r="13016" spans="1:4" x14ac:dyDescent="0.2">
      <c r="A13016" s="146"/>
      <c r="D13016" s="496"/>
    </row>
    <row r="13017" spans="1:4" x14ac:dyDescent="0.2">
      <c r="A13017" s="146"/>
      <c r="D13017" s="496"/>
    </row>
    <row r="13018" spans="1:4" x14ac:dyDescent="0.2">
      <c r="A13018" s="146"/>
      <c r="D13018" s="496"/>
    </row>
    <row r="13019" spans="1:4" x14ac:dyDescent="0.2">
      <c r="A13019" s="146"/>
      <c r="D13019" s="496"/>
    </row>
    <row r="13020" spans="1:4" x14ac:dyDescent="0.2">
      <c r="A13020" s="146"/>
      <c r="D13020" s="496"/>
    </row>
    <row r="13021" spans="1:4" x14ac:dyDescent="0.2">
      <c r="A13021" s="146"/>
      <c r="D13021" s="496"/>
    </row>
    <row r="13022" spans="1:4" x14ac:dyDescent="0.2">
      <c r="A13022" s="146"/>
      <c r="D13022" s="496"/>
    </row>
    <row r="13023" spans="1:4" x14ac:dyDescent="0.2">
      <c r="A13023" s="146"/>
      <c r="D13023" s="496"/>
    </row>
    <row r="13024" spans="1:4" x14ac:dyDescent="0.2">
      <c r="A13024" s="146"/>
      <c r="D13024" s="496"/>
    </row>
    <row r="13025" spans="1:4" x14ac:dyDescent="0.2">
      <c r="A13025" s="146"/>
      <c r="D13025" s="496"/>
    </row>
    <row r="13026" spans="1:4" x14ac:dyDescent="0.2">
      <c r="A13026" s="146"/>
      <c r="D13026" s="496"/>
    </row>
    <row r="13027" spans="1:4" x14ac:dyDescent="0.2">
      <c r="A13027" s="146"/>
      <c r="D13027" s="496"/>
    </row>
    <row r="13028" spans="1:4" x14ac:dyDescent="0.2">
      <c r="A13028" s="146"/>
      <c r="D13028" s="496"/>
    </row>
    <row r="13029" spans="1:4" x14ac:dyDescent="0.2">
      <c r="A13029" s="146"/>
      <c r="D13029" s="496"/>
    </row>
    <row r="13030" spans="1:4" x14ac:dyDescent="0.2">
      <c r="A13030" s="146"/>
      <c r="D13030" s="496"/>
    </row>
    <row r="13031" spans="1:4" x14ac:dyDescent="0.2">
      <c r="A13031" s="146"/>
      <c r="D13031" s="496"/>
    </row>
    <row r="13032" spans="1:4" x14ac:dyDescent="0.2">
      <c r="A13032" s="146"/>
      <c r="D13032" s="496"/>
    </row>
    <row r="13033" spans="1:4" x14ac:dyDescent="0.2">
      <c r="A13033" s="146"/>
      <c r="D13033" s="496"/>
    </row>
    <row r="13034" spans="1:4" x14ac:dyDescent="0.2">
      <c r="A13034" s="146"/>
      <c r="D13034" s="496"/>
    </row>
    <row r="13035" spans="1:4" x14ac:dyDescent="0.2">
      <c r="A13035" s="146"/>
      <c r="D13035" s="496"/>
    </row>
    <row r="13036" spans="1:4" x14ac:dyDescent="0.2">
      <c r="A13036" s="146"/>
      <c r="D13036" s="496"/>
    </row>
    <row r="13037" spans="1:4" x14ac:dyDescent="0.2">
      <c r="A13037" s="146"/>
      <c r="D13037" s="496"/>
    </row>
    <row r="13038" spans="1:4" x14ac:dyDescent="0.2">
      <c r="A13038" s="146"/>
      <c r="D13038" s="496"/>
    </row>
    <row r="13039" spans="1:4" x14ac:dyDescent="0.2">
      <c r="A13039" s="146"/>
      <c r="D13039" s="496"/>
    </row>
    <row r="13040" spans="1:4" x14ac:dyDescent="0.2">
      <c r="A13040" s="146"/>
      <c r="D13040" s="496"/>
    </row>
    <row r="13041" spans="1:4" x14ac:dyDescent="0.2">
      <c r="A13041" s="146"/>
      <c r="D13041" s="496"/>
    </row>
    <row r="13042" spans="1:4" x14ac:dyDescent="0.2">
      <c r="A13042" s="146"/>
      <c r="D13042" s="496"/>
    </row>
    <row r="13043" spans="1:4" x14ac:dyDescent="0.2">
      <c r="A13043" s="146"/>
      <c r="D13043" s="496"/>
    </row>
    <row r="13044" spans="1:4" x14ac:dyDescent="0.2">
      <c r="A13044" s="146"/>
      <c r="D13044" s="496"/>
    </row>
    <row r="13045" spans="1:4" x14ac:dyDescent="0.2">
      <c r="A13045" s="146"/>
      <c r="D13045" s="496"/>
    </row>
    <row r="13046" spans="1:4" x14ac:dyDescent="0.2">
      <c r="A13046" s="146"/>
      <c r="D13046" s="496"/>
    </row>
    <row r="13047" spans="1:4" x14ac:dyDescent="0.2">
      <c r="A13047" s="146"/>
      <c r="D13047" s="496"/>
    </row>
    <row r="13048" spans="1:4" x14ac:dyDescent="0.2">
      <c r="A13048" s="146"/>
      <c r="D13048" s="496"/>
    </row>
    <row r="13049" spans="1:4" x14ac:dyDescent="0.2">
      <c r="A13049" s="146"/>
      <c r="D13049" s="496"/>
    </row>
    <row r="13050" spans="1:4" x14ac:dyDescent="0.2">
      <c r="A13050" s="146"/>
      <c r="D13050" s="496"/>
    </row>
    <row r="13051" spans="1:4" x14ac:dyDescent="0.2">
      <c r="A13051" s="146"/>
      <c r="D13051" s="496"/>
    </row>
    <row r="13052" spans="1:4" x14ac:dyDescent="0.2">
      <c r="A13052" s="146"/>
      <c r="D13052" s="496"/>
    </row>
    <row r="13053" spans="1:4" x14ac:dyDescent="0.2">
      <c r="A13053" s="146"/>
      <c r="D13053" s="496"/>
    </row>
    <row r="13054" spans="1:4" x14ac:dyDescent="0.2">
      <c r="A13054" s="146"/>
      <c r="D13054" s="496"/>
    </row>
    <row r="13055" spans="1:4" x14ac:dyDescent="0.2">
      <c r="A13055" s="146"/>
      <c r="D13055" s="496"/>
    </row>
    <row r="13056" spans="1:4" x14ac:dyDescent="0.2">
      <c r="A13056" s="146"/>
      <c r="D13056" s="496"/>
    </row>
    <row r="13057" spans="1:4" x14ac:dyDescent="0.2">
      <c r="A13057" s="146"/>
      <c r="D13057" s="496"/>
    </row>
    <row r="13058" spans="1:4" x14ac:dyDescent="0.2">
      <c r="A13058" s="146"/>
      <c r="D13058" s="496"/>
    </row>
    <row r="13059" spans="1:4" x14ac:dyDescent="0.2">
      <c r="A13059" s="146"/>
      <c r="D13059" s="496"/>
    </row>
    <row r="13060" spans="1:4" x14ac:dyDescent="0.2">
      <c r="A13060" s="146"/>
      <c r="D13060" s="496"/>
    </row>
    <row r="13061" spans="1:4" x14ac:dyDescent="0.2">
      <c r="A13061" s="146"/>
      <c r="D13061" s="496"/>
    </row>
    <row r="13062" spans="1:4" x14ac:dyDescent="0.2">
      <c r="A13062" s="146"/>
      <c r="D13062" s="496"/>
    </row>
    <row r="13063" spans="1:4" x14ac:dyDescent="0.2">
      <c r="A13063" s="146"/>
      <c r="D13063" s="496"/>
    </row>
    <row r="13064" spans="1:4" x14ac:dyDescent="0.2">
      <c r="A13064" s="146"/>
      <c r="D13064" s="496"/>
    </row>
    <row r="13065" spans="1:4" x14ac:dyDescent="0.2">
      <c r="A13065" s="146"/>
      <c r="D13065" s="496"/>
    </row>
    <row r="13066" spans="1:4" x14ac:dyDescent="0.2">
      <c r="A13066" s="146"/>
      <c r="D13066" s="496"/>
    </row>
    <row r="13067" spans="1:4" x14ac:dyDescent="0.2">
      <c r="A13067" s="146"/>
      <c r="D13067" s="496"/>
    </row>
    <row r="13068" spans="1:4" x14ac:dyDescent="0.2">
      <c r="A13068" s="146"/>
      <c r="D13068" s="496"/>
    </row>
    <row r="13069" spans="1:4" x14ac:dyDescent="0.2">
      <c r="A13069" s="146"/>
      <c r="D13069" s="496"/>
    </row>
    <row r="13070" spans="1:4" x14ac:dyDescent="0.2">
      <c r="A13070" s="146"/>
      <c r="D13070" s="496"/>
    </row>
    <row r="13071" spans="1:4" x14ac:dyDescent="0.2">
      <c r="A13071" s="146"/>
      <c r="D13071" s="496"/>
    </row>
    <row r="13072" spans="1:4" x14ac:dyDescent="0.2">
      <c r="A13072" s="146"/>
      <c r="D13072" s="496"/>
    </row>
    <row r="13073" spans="1:4" x14ac:dyDescent="0.2">
      <c r="A13073" s="146"/>
      <c r="D13073" s="496"/>
    </row>
    <row r="13074" spans="1:4" x14ac:dyDescent="0.2">
      <c r="A13074" s="146"/>
      <c r="D13074" s="496"/>
    </row>
    <row r="13075" spans="1:4" x14ac:dyDescent="0.2">
      <c r="A13075" s="146"/>
      <c r="D13075" s="496"/>
    </row>
    <row r="13076" spans="1:4" x14ac:dyDescent="0.2">
      <c r="A13076" s="146"/>
      <c r="D13076" s="496"/>
    </row>
    <row r="13077" spans="1:4" x14ac:dyDescent="0.2">
      <c r="A13077" s="146"/>
      <c r="D13077" s="496"/>
    </row>
    <row r="13078" spans="1:4" x14ac:dyDescent="0.2">
      <c r="A13078" s="146"/>
      <c r="D13078" s="496"/>
    </row>
    <row r="13079" spans="1:4" x14ac:dyDescent="0.2">
      <c r="A13079" s="146"/>
      <c r="D13079" s="496"/>
    </row>
    <row r="13080" spans="1:4" x14ac:dyDescent="0.2">
      <c r="A13080" s="146"/>
      <c r="D13080" s="496"/>
    </row>
    <row r="13081" spans="1:4" x14ac:dyDescent="0.2">
      <c r="A13081" s="146"/>
      <c r="D13081" s="496"/>
    </row>
    <row r="13082" spans="1:4" x14ac:dyDescent="0.2">
      <c r="A13082" s="146"/>
      <c r="D13082" s="496"/>
    </row>
    <row r="13083" spans="1:4" x14ac:dyDescent="0.2">
      <c r="A13083" s="146"/>
      <c r="D13083" s="496"/>
    </row>
    <row r="13084" spans="1:4" x14ac:dyDescent="0.2">
      <c r="A13084" s="146"/>
      <c r="D13084" s="496"/>
    </row>
    <row r="13085" spans="1:4" x14ac:dyDescent="0.2">
      <c r="A13085" s="146"/>
      <c r="D13085" s="496"/>
    </row>
    <row r="13086" spans="1:4" x14ac:dyDescent="0.2">
      <c r="A13086" s="146"/>
      <c r="D13086" s="496"/>
    </row>
    <row r="13087" spans="1:4" x14ac:dyDescent="0.2">
      <c r="A13087" s="146"/>
      <c r="D13087" s="496"/>
    </row>
    <row r="13088" spans="1:4" x14ac:dyDescent="0.2">
      <c r="A13088" s="146"/>
      <c r="D13088" s="496"/>
    </row>
    <row r="13089" spans="1:4" x14ac:dyDescent="0.2">
      <c r="A13089" s="146"/>
      <c r="D13089" s="496"/>
    </row>
    <row r="13090" spans="1:4" x14ac:dyDescent="0.2">
      <c r="A13090" s="146"/>
      <c r="D13090" s="496"/>
    </row>
    <row r="13091" spans="1:4" x14ac:dyDescent="0.2">
      <c r="A13091" s="146"/>
      <c r="D13091" s="496"/>
    </row>
    <row r="13092" spans="1:4" x14ac:dyDescent="0.2">
      <c r="A13092" s="146"/>
      <c r="D13092" s="496"/>
    </row>
    <row r="13093" spans="1:4" x14ac:dyDescent="0.2">
      <c r="A13093" s="146"/>
      <c r="D13093" s="496"/>
    </row>
    <row r="13094" spans="1:4" x14ac:dyDescent="0.2">
      <c r="A13094" s="146"/>
      <c r="D13094" s="496"/>
    </row>
    <row r="13095" spans="1:4" x14ac:dyDescent="0.2">
      <c r="A13095" s="146"/>
      <c r="D13095" s="496"/>
    </row>
    <row r="13096" spans="1:4" x14ac:dyDescent="0.2">
      <c r="A13096" s="146"/>
      <c r="D13096" s="496"/>
    </row>
    <row r="13097" spans="1:4" x14ac:dyDescent="0.2">
      <c r="A13097" s="146"/>
      <c r="D13097" s="496"/>
    </row>
    <row r="13098" spans="1:4" x14ac:dyDescent="0.2">
      <c r="A13098" s="146"/>
      <c r="D13098" s="496"/>
    </row>
    <row r="13099" spans="1:4" x14ac:dyDescent="0.2">
      <c r="A13099" s="146"/>
      <c r="D13099" s="496"/>
    </row>
    <row r="13100" spans="1:4" x14ac:dyDescent="0.2">
      <c r="A13100" s="146"/>
      <c r="D13100" s="496"/>
    </row>
    <row r="13101" spans="1:4" x14ac:dyDescent="0.2">
      <c r="A13101" s="146"/>
      <c r="D13101" s="496"/>
    </row>
    <row r="13102" spans="1:4" x14ac:dyDescent="0.2">
      <c r="A13102" s="146"/>
      <c r="D13102" s="496"/>
    </row>
    <row r="13103" spans="1:4" x14ac:dyDescent="0.2">
      <c r="A13103" s="146"/>
      <c r="D13103" s="496"/>
    </row>
    <row r="13104" spans="1:4" x14ac:dyDescent="0.2">
      <c r="A13104" s="146"/>
      <c r="D13104" s="496"/>
    </row>
    <row r="13105" spans="1:4" x14ac:dyDescent="0.2">
      <c r="A13105" s="146"/>
      <c r="D13105" s="496"/>
    </row>
    <row r="13106" spans="1:4" x14ac:dyDescent="0.2">
      <c r="A13106" s="146"/>
      <c r="D13106" s="496"/>
    </row>
    <row r="13107" spans="1:4" x14ac:dyDescent="0.2">
      <c r="A13107" s="146"/>
      <c r="D13107" s="496"/>
    </row>
    <row r="13108" spans="1:4" x14ac:dyDescent="0.2">
      <c r="A13108" s="146"/>
      <c r="D13108" s="496"/>
    </row>
    <row r="13109" spans="1:4" x14ac:dyDescent="0.2">
      <c r="A13109" s="146"/>
      <c r="D13109" s="496"/>
    </row>
    <row r="13110" spans="1:4" x14ac:dyDescent="0.2">
      <c r="A13110" s="146"/>
      <c r="D13110" s="496"/>
    </row>
    <row r="13111" spans="1:4" x14ac:dyDescent="0.2">
      <c r="A13111" s="146"/>
      <c r="D13111" s="496"/>
    </row>
    <row r="13112" spans="1:4" x14ac:dyDescent="0.2">
      <c r="A13112" s="146"/>
      <c r="D13112" s="496"/>
    </row>
    <row r="13113" spans="1:4" x14ac:dyDescent="0.2">
      <c r="A13113" s="146"/>
      <c r="D13113" s="496"/>
    </row>
    <row r="13114" spans="1:4" x14ac:dyDescent="0.2">
      <c r="A13114" s="146"/>
      <c r="D13114" s="496"/>
    </row>
    <row r="13115" spans="1:4" x14ac:dyDescent="0.2">
      <c r="A13115" s="146"/>
      <c r="D13115" s="496"/>
    </row>
    <row r="13116" spans="1:4" x14ac:dyDescent="0.2">
      <c r="A13116" s="146"/>
      <c r="D13116" s="496"/>
    </row>
    <row r="13117" spans="1:4" x14ac:dyDescent="0.2">
      <c r="A13117" s="146"/>
      <c r="D13117" s="496"/>
    </row>
    <row r="13118" spans="1:4" x14ac:dyDescent="0.2">
      <c r="A13118" s="146"/>
      <c r="D13118" s="496"/>
    </row>
    <row r="13119" spans="1:4" x14ac:dyDescent="0.2">
      <c r="A13119" s="146"/>
      <c r="D13119" s="496"/>
    </row>
    <row r="13120" spans="1:4" x14ac:dyDescent="0.2">
      <c r="A13120" s="146"/>
      <c r="D13120" s="496"/>
    </row>
    <row r="13121" spans="1:4" x14ac:dyDescent="0.2">
      <c r="A13121" s="146"/>
      <c r="D13121" s="496"/>
    </row>
    <row r="13122" spans="1:4" x14ac:dyDescent="0.2">
      <c r="A13122" s="146"/>
      <c r="D13122" s="496"/>
    </row>
    <row r="13123" spans="1:4" x14ac:dyDescent="0.2">
      <c r="A13123" s="146"/>
      <c r="D13123" s="496"/>
    </row>
    <row r="13124" spans="1:4" x14ac:dyDescent="0.2">
      <c r="A13124" s="146"/>
      <c r="D13124" s="496"/>
    </row>
    <row r="13125" spans="1:4" x14ac:dyDescent="0.2">
      <c r="A13125" s="146"/>
      <c r="D13125" s="496"/>
    </row>
    <row r="13126" spans="1:4" x14ac:dyDescent="0.2">
      <c r="A13126" s="146"/>
      <c r="D13126" s="496"/>
    </row>
    <row r="13127" spans="1:4" x14ac:dyDescent="0.2">
      <c r="A13127" s="146"/>
      <c r="D13127" s="496"/>
    </row>
    <row r="13128" spans="1:4" x14ac:dyDescent="0.2">
      <c r="A13128" s="146"/>
      <c r="D13128" s="496"/>
    </row>
    <row r="13129" spans="1:4" x14ac:dyDescent="0.2">
      <c r="A13129" s="146"/>
      <c r="D13129" s="496"/>
    </row>
    <row r="13130" spans="1:4" x14ac:dyDescent="0.2">
      <c r="A13130" s="146"/>
      <c r="D13130" s="496"/>
    </row>
    <row r="13131" spans="1:4" x14ac:dyDescent="0.2">
      <c r="A13131" s="146"/>
      <c r="D13131" s="496"/>
    </row>
    <row r="13132" spans="1:4" x14ac:dyDescent="0.2">
      <c r="A13132" s="146"/>
      <c r="D13132" s="496"/>
    </row>
    <row r="13133" spans="1:4" x14ac:dyDescent="0.2">
      <c r="A13133" s="146"/>
      <c r="D13133" s="496"/>
    </row>
    <row r="13134" spans="1:4" x14ac:dyDescent="0.2">
      <c r="A13134" s="146"/>
      <c r="D13134" s="496"/>
    </row>
    <row r="13135" spans="1:4" x14ac:dyDescent="0.2">
      <c r="A13135" s="146"/>
      <c r="D13135" s="496"/>
    </row>
    <row r="13136" spans="1:4" x14ac:dyDescent="0.2">
      <c r="A13136" s="146"/>
      <c r="D13136" s="496"/>
    </row>
    <row r="13137" spans="1:4" x14ac:dyDescent="0.2">
      <c r="A13137" s="146"/>
      <c r="D13137" s="496"/>
    </row>
    <row r="13138" spans="1:4" x14ac:dyDescent="0.2">
      <c r="A13138" s="146"/>
      <c r="D13138" s="496"/>
    </row>
    <row r="13139" spans="1:4" x14ac:dyDescent="0.2">
      <c r="A13139" s="146"/>
      <c r="D13139" s="496"/>
    </row>
    <row r="13140" spans="1:4" x14ac:dyDescent="0.2">
      <c r="A13140" s="146"/>
      <c r="D13140" s="496"/>
    </row>
    <row r="13141" spans="1:4" x14ac:dyDescent="0.2">
      <c r="A13141" s="146"/>
      <c r="D13141" s="496"/>
    </row>
    <row r="13142" spans="1:4" x14ac:dyDescent="0.2">
      <c r="A13142" s="146"/>
      <c r="D13142" s="496"/>
    </row>
    <row r="13143" spans="1:4" x14ac:dyDescent="0.2">
      <c r="A13143" s="146"/>
      <c r="D13143" s="496"/>
    </row>
    <row r="13144" spans="1:4" x14ac:dyDescent="0.2">
      <c r="A13144" s="146"/>
      <c r="D13144" s="496"/>
    </row>
    <row r="13145" spans="1:4" x14ac:dyDescent="0.2">
      <c r="A13145" s="146"/>
      <c r="D13145" s="496"/>
    </row>
    <row r="13146" spans="1:4" x14ac:dyDescent="0.2">
      <c r="A13146" s="146"/>
      <c r="D13146" s="496"/>
    </row>
    <row r="13147" spans="1:4" x14ac:dyDescent="0.2">
      <c r="A13147" s="146"/>
      <c r="D13147" s="496"/>
    </row>
    <row r="13148" spans="1:4" x14ac:dyDescent="0.2">
      <c r="A13148" s="146"/>
      <c r="D13148" s="496"/>
    </row>
    <row r="13149" spans="1:4" x14ac:dyDescent="0.2">
      <c r="A13149" s="146"/>
      <c r="D13149" s="496"/>
    </row>
    <row r="13150" spans="1:4" x14ac:dyDescent="0.2">
      <c r="A13150" s="146"/>
      <c r="D13150" s="496"/>
    </row>
    <row r="13151" spans="1:4" x14ac:dyDescent="0.2">
      <c r="A13151" s="146"/>
      <c r="D13151" s="496"/>
    </row>
    <row r="13152" spans="1:4" x14ac:dyDescent="0.2">
      <c r="A13152" s="146"/>
      <c r="D13152" s="496"/>
    </row>
    <row r="13153" spans="1:4" x14ac:dyDescent="0.2">
      <c r="A13153" s="146"/>
      <c r="D13153" s="496"/>
    </row>
    <row r="13154" spans="1:4" x14ac:dyDescent="0.2">
      <c r="A13154" s="146"/>
      <c r="D13154" s="496"/>
    </row>
    <row r="13155" spans="1:4" x14ac:dyDescent="0.2">
      <c r="A13155" s="146"/>
      <c r="D13155" s="496"/>
    </row>
    <row r="13156" spans="1:4" x14ac:dyDescent="0.2">
      <c r="A13156" s="146"/>
      <c r="D13156" s="496"/>
    </row>
    <row r="13157" spans="1:4" x14ac:dyDescent="0.2">
      <c r="A13157" s="146"/>
      <c r="D13157" s="496"/>
    </row>
    <row r="13158" spans="1:4" x14ac:dyDescent="0.2">
      <c r="A13158" s="146"/>
      <c r="D13158" s="496"/>
    </row>
    <row r="13159" spans="1:4" x14ac:dyDescent="0.2">
      <c r="A13159" s="146"/>
      <c r="D13159" s="496"/>
    </row>
    <row r="13160" spans="1:4" x14ac:dyDescent="0.2">
      <c r="A13160" s="146"/>
      <c r="D13160" s="496"/>
    </row>
    <row r="13161" spans="1:4" x14ac:dyDescent="0.2">
      <c r="A13161" s="146"/>
      <c r="D13161" s="496"/>
    </row>
    <row r="13162" spans="1:4" x14ac:dyDescent="0.2">
      <c r="A13162" s="146"/>
      <c r="D13162" s="496"/>
    </row>
    <row r="13163" spans="1:4" x14ac:dyDescent="0.2">
      <c r="A13163" s="146"/>
      <c r="D13163" s="496"/>
    </row>
    <row r="13164" spans="1:4" x14ac:dyDescent="0.2">
      <c r="A13164" s="146"/>
      <c r="D13164" s="496"/>
    </row>
    <row r="13165" spans="1:4" x14ac:dyDescent="0.2">
      <c r="A13165" s="146"/>
      <c r="D13165" s="496"/>
    </row>
    <row r="13166" spans="1:4" x14ac:dyDescent="0.2">
      <c r="A13166" s="146"/>
      <c r="D13166" s="496"/>
    </row>
    <row r="13167" spans="1:4" x14ac:dyDescent="0.2">
      <c r="A13167" s="146"/>
      <c r="D13167" s="496"/>
    </row>
    <row r="13168" spans="1:4" x14ac:dyDescent="0.2">
      <c r="A13168" s="146"/>
      <c r="D13168" s="496"/>
    </row>
    <row r="13169" spans="1:4" x14ac:dyDescent="0.2">
      <c r="A13169" s="146"/>
      <c r="D13169" s="496"/>
    </row>
    <row r="13170" spans="1:4" x14ac:dyDescent="0.2">
      <c r="A13170" s="146"/>
      <c r="D13170" s="496"/>
    </row>
    <row r="13171" spans="1:4" x14ac:dyDescent="0.2">
      <c r="A13171" s="146"/>
      <c r="D13171" s="496"/>
    </row>
    <row r="13172" spans="1:4" x14ac:dyDescent="0.2">
      <c r="A13172" s="146"/>
      <c r="D13172" s="496"/>
    </row>
    <row r="13173" spans="1:4" x14ac:dyDescent="0.2">
      <c r="A13173" s="146"/>
      <c r="D13173" s="496"/>
    </row>
    <row r="13174" spans="1:4" x14ac:dyDescent="0.2">
      <c r="A13174" s="146"/>
      <c r="D13174" s="496"/>
    </row>
    <row r="13175" spans="1:4" x14ac:dyDescent="0.2">
      <c r="A13175" s="146"/>
      <c r="D13175" s="496"/>
    </row>
    <row r="13176" spans="1:4" x14ac:dyDescent="0.2">
      <c r="A13176" s="146"/>
      <c r="D13176" s="496"/>
    </row>
    <row r="13177" spans="1:4" x14ac:dyDescent="0.2">
      <c r="A13177" s="146"/>
      <c r="D13177" s="496"/>
    </row>
    <row r="13178" spans="1:4" x14ac:dyDescent="0.2">
      <c r="A13178" s="146"/>
      <c r="D13178" s="496"/>
    </row>
    <row r="13179" spans="1:4" x14ac:dyDescent="0.2">
      <c r="A13179" s="146"/>
      <c r="D13179" s="496"/>
    </row>
    <row r="13180" spans="1:4" x14ac:dyDescent="0.2">
      <c r="A13180" s="146"/>
      <c r="D13180" s="496"/>
    </row>
    <row r="13181" spans="1:4" x14ac:dyDescent="0.2">
      <c r="A13181" s="146"/>
      <c r="D13181" s="496"/>
    </row>
    <row r="13182" spans="1:4" x14ac:dyDescent="0.2">
      <c r="A13182" s="146"/>
      <c r="D13182" s="496"/>
    </row>
    <row r="13183" spans="1:4" x14ac:dyDescent="0.2">
      <c r="A13183" s="146"/>
      <c r="D13183" s="496"/>
    </row>
    <row r="13184" spans="1:4" x14ac:dyDescent="0.2">
      <c r="A13184" s="146"/>
      <c r="D13184" s="496"/>
    </row>
    <row r="13185" spans="1:4" x14ac:dyDescent="0.2">
      <c r="A13185" s="146"/>
      <c r="D13185" s="496"/>
    </row>
    <row r="13186" spans="1:4" x14ac:dyDescent="0.2">
      <c r="A13186" s="146"/>
      <c r="D13186" s="496"/>
    </row>
    <row r="13187" spans="1:4" x14ac:dyDescent="0.2">
      <c r="A13187" s="146"/>
      <c r="D13187" s="496"/>
    </row>
    <row r="13188" spans="1:4" x14ac:dyDescent="0.2">
      <c r="A13188" s="146"/>
      <c r="D13188" s="496"/>
    </row>
    <row r="13189" spans="1:4" x14ac:dyDescent="0.2">
      <c r="A13189" s="146"/>
      <c r="D13189" s="496"/>
    </row>
    <row r="13190" spans="1:4" x14ac:dyDescent="0.2">
      <c r="A13190" s="146"/>
      <c r="D13190" s="496"/>
    </row>
    <row r="13191" spans="1:4" x14ac:dyDescent="0.2">
      <c r="A13191" s="146"/>
      <c r="D13191" s="496"/>
    </row>
    <row r="13192" spans="1:4" x14ac:dyDescent="0.2">
      <c r="A13192" s="146"/>
      <c r="D13192" s="496"/>
    </row>
    <row r="13193" spans="1:4" x14ac:dyDescent="0.2">
      <c r="A13193" s="146"/>
      <c r="D13193" s="496"/>
    </row>
    <row r="13194" spans="1:4" x14ac:dyDescent="0.2">
      <c r="A13194" s="146"/>
      <c r="D13194" s="496"/>
    </row>
    <row r="13195" spans="1:4" x14ac:dyDescent="0.2">
      <c r="A13195" s="146"/>
      <c r="D13195" s="496"/>
    </row>
    <row r="13196" spans="1:4" x14ac:dyDescent="0.2">
      <c r="A13196" s="146"/>
      <c r="D13196" s="496"/>
    </row>
    <row r="13197" spans="1:4" x14ac:dyDescent="0.2">
      <c r="A13197" s="146"/>
      <c r="D13197" s="496"/>
    </row>
    <row r="13198" spans="1:4" x14ac:dyDescent="0.2">
      <c r="A13198" s="146"/>
      <c r="D13198" s="496"/>
    </row>
    <row r="13199" spans="1:4" x14ac:dyDescent="0.2">
      <c r="A13199" s="146"/>
      <c r="D13199" s="496"/>
    </row>
    <row r="13200" spans="1:4" x14ac:dyDescent="0.2">
      <c r="A13200" s="146"/>
      <c r="D13200" s="496"/>
    </row>
    <row r="13201" spans="1:4" x14ac:dyDescent="0.2">
      <c r="A13201" s="146"/>
      <c r="D13201" s="496"/>
    </row>
    <row r="13202" spans="1:4" x14ac:dyDescent="0.2">
      <c r="A13202" s="146"/>
      <c r="D13202" s="496"/>
    </row>
    <row r="13203" spans="1:4" x14ac:dyDescent="0.2">
      <c r="A13203" s="146"/>
      <c r="D13203" s="496"/>
    </row>
    <row r="13204" spans="1:4" x14ac:dyDescent="0.2">
      <c r="A13204" s="146"/>
      <c r="D13204" s="496"/>
    </row>
    <row r="13205" spans="1:4" x14ac:dyDescent="0.2">
      <c r="A13205" s="146"/>
      <c r="D13205" s="496"/>
    </row>
    <row r="13206" spans="1:4" x14ac:dyDescent="0.2">
      <c r="A13206" s="146"/>
      <c r="D13206" s="496"/>
    </row>
    <row r="13207" spans="1:4" x14ac:dyDescent="0.2">
      <c r="A13207" s="146"/>
      <c r="D13207" s="496"/>
    </row>
    <row r="13208" spans="1:4" x14ac:dyDescent="0.2">
      <c r="A13208" s="146"/>
      <c r="D13208" s="496"/>
    </row>
    <row r="13209" spans="1:4" x14ac:dyDescent="0.2">
      <c r="A13209" s="146"/>
      <c r="D13209" s="496"/>
    </row>
    <row r="13210" spans="1:4" x14ac:dyDescent="0.2">
      <c r="A13210" s="146"/>
      <c r="D13210" s="496"/>
    </row>
    <row r="13211" spans="1:4" x14ac:dyDescent="0.2">
      <c r="A13211" s="146"/>
      <c r="D13211" s="496"/>
    </row>
    <row r="13212" spans="1:4" x14ac:dyDescent="0.2">
      <c r="A13212" s="146"/>
      <c r="D13212" s="496"/>
    </row>
    <row r="13213" spans="1:4" x14ac:dyDescent="0.2">
      <c r="A13213" s="146"/>
      <c r="D13213" s="496"/>
    </row>
    <row r="13214" spans="1:4" x14ac:dyDescent="0.2">
      <c r="A13214" s="146"/>
      <c r="D13214" s="496"/>
    </row>
    <row r="13215" spans="1:4" x14ac:dyDescent="0.2">
      <c r="A13215" s="146"/>
      <c r="D13215" s="496"/>
    </row>
    <row r="13216" spans="1:4" x14ac:dyDescent="0.2">
      <c r="A13216" s="146"/>
      <c r="D13216" s="496"/>
    </row>
    <row r="13217" spans="1:4" x14ac:dyDescent="0.2">
      <c r="A13217" s="146"/>
      <c r="D13217" s="496"/>
    </row>
    <row r="13218" spans="1:4" x14ac:dyDescent="0.2">
      <c r="A13218" s="146"/>
      <c r="D13218" s="496"/>
    </row>
    <row r="13219" spans="1:4" x14ac:dyDescent="0.2">
      <c r="A13219" s="146"/>
      <c r="D13219" s="496"/>
    </row>
    <row r="13220" spans="1:4" x14ac:dyDescent="0.2">
      <c r="A13220" s="146"/>
      <c r="D13220" s="496"/>
    </row>
    <row r="13221" spans="1:4" x14ac:dyDescent="0.2">
      <c r="A13221" s="146"/>
      <c r="D13221" s="496"/>
    </row>
    <row r="13222" spans="1:4" x14ac:dyDescent="0.2">
      <c r="A13222" s="146"/>
      <c r="D13222" s="496"/>
    </row>
    <row r="13223" spans="1:4" x14ac:dyDescent="0.2">
      <c r="A13223" s="146"/>
      <c r="D13223" s="496"/>
    </row>
    <row r="13224" spans="1:4" x14ac:dyDescent="0.2">
      <c r="A13224" s="146"/>
      <c r="D13224" s="496"/>
    </row>
    <row r="13225" spans="1:4" x14ac:dyDescent="0.2">
      <c r="A13225" s="146"/>
      <c r="D13225" s="496"/>
    </row>
    <row r="13226" spans="1:4" x14ac:dyDescent="0.2">
      <c r="A13226" s="146"/>
      <c r="D13226" s="496"/>
    </row>
    <row r="13227" spans="1:4" x14ac:dyDescent="0.2">
      <c r="A13227" s="146"/>
      <c r="D13227" s="496"/>
    </row>
    <row r="13228" spans="1:4" x14ac:dyDescent="0.2">
      <c r="A13228" s="146"/>
      <c r="D13228" s="496"/>
    </row>
    <row r="13229" spans="1:4" x14ac:dyDescent="0.2">
      <c r="A13229" s="146"/>
      <c r="D13229" s="496"/>
    </row>
    <row r="13230" spans="1:4" x14ac:dyDescent="0.2">
      <c r="A13230" s="146"/>
      <c r="D13230" s="496"/>
    </row>
    <row r="13231" spans="1:4" x14ac:dyDescent="0.2">
      <c r="A13231" s="146"/>
      <c r="D13231" s="496"/>
    </row>
    <row r="13232" spans="1:4" x14ac:dyDescent="0.2">
      <c r="A13232" s="146"/>
      <c r="D13232" s="496"/>
    </row>
    <row r="13233" spans="1:4" x14ac:dyDescent="0.2">
      <c r="A13233" s="146"/>
      <c r="D13233" s="496"/>
    </row>
    <row r="13234" spans="1:4" x14ac:dyDescent="0.2">
      <c r="A13234" s="146"/>
      <c r="D13234" s="496"/>
    </row>
    <row r="13235" spans="1:4" x14ac:dyDescent="0.2">
      <c r="A13235" s="146"/>
      <c r="D13235" s="496"/>
    </row>
    <row r="13236" spans="1:4" x14ac:dyDescent="0.2">
      <c r="A13236" s="146"/>
      <c r="D13236" s="496"/>
    </row>
    <row r="13237" spans="1:4" x14ac:dyDescent="0.2">
      <c r="A13237" s="146"/>
      <c r="D13237" s="496"/>
    </row>
    <row r="13238" spans="1:4" x14ac:dyDescent="0.2">
      <c r="A13238" s="146"/>
      <c r="D13238" s="496"/>
    </row>
    <row r="13239" spans="1:4" x14ac:dyDescent="0.2">
      <c r="A13239" s="146"/>
      <c r="D13239" s="496"/>
    </row>
    <row r="13240" spans="1:4" x14ac:dyDescent="0.2">
      <c r="A13240" s="146"/>
      <c r="D13240" s="496"/>
    </row>
    <row r="13241" spans="1:4" x14ac:dyDescent="0.2">
      <c r="A13241" s="146"/>
      <c r="D13241" s="496"/>
    </row>
    <row r="13242" spans="1:4" x14ac:dyDescent="0.2">
      <c r="A13242" s="146"/>
      <c r="D13242" s="496"/>
    </row>
    <row r="13243" spans="1:4" x14ac:dyDescent="0.2">
      <c r="A13243" s="146"/>
      <c r="D13243" s="496"/>
    </row>
    <row r="13244" spans="1:4" x14ac:dyDescent="0.2">
      <c r="A13244" s="146"/>
      <c r="D13244" s="496"/>
    </row>
    <row r="13245" spans="1:4" x14ac:dyDescent="0.2">
      <c r="A13245" s="146"/>
      <c r="D13245" s="496"/>
    </row>
    <row r="13246" spans="1:4" x14ac:dyDescent="0.2">
      <c r="A13246" s="146"/>
      <c r="D13246" s="496"/>
    </row>
    <row r="13247" spans="1:4" x14ac:dyDescent="0.2">
      <c r="A13247" s="146"/>
      <c r="D13247" s="496"/>
    </row>
    <row r="13248" spans="1:4" x14ac:dyDescent="0.2">
      <c r="A13248" s="146"/>
      <c r="D13248" s="496"/>
    </row>
    <row r="13249" spans="1:4" x14ac:dyDescent="0.2">
      <c r="A13249" s="146"/>
      <c r="D13249" s="496"/>
    </row>
    <row r="13250" spans="1:4" x14ac:dyDescent="0.2">
      <c r="A13250" s="146"/>
      <c r="D13250" s="496"/>
    </row>
    <row r="13251" spans="1:4" x14ac:dyDescent="0.2">
      <c r="A13251" s="146"/>
      <c r="D13251" s="496"/>
    </row>
    <row r="13252" spans="1:4" x14ac:dyDescent="0.2">
      <c r="A13252" s="146"/>
      <c r="D13252" s="496"/>
    </row>
    <row r="13253" spans="1:4" x14ac:dyDescent="0.2">
      <c r="A13253" s="146"/>
      <c r="D13253" s="496"/>
    </row>
    <row r="13254" spans="1:4" x14ac:dyDescent="0.2">
      <c r="A13254" s="146"/>
      <c r="D13254" s="496"/>
    </row>
    <row r="13255" spans="1:4" x14ac:dyDescent="0.2">
      <c r="A13255" s="146"/>
      <c r="D13255" s="496"/>
    </row>
    <row r="13256" spans="1:4" x14ac:dyDescent="0.2">
      <c r="A13256" s="146"/>
      <c r="D13256" s="496"/>
    </row>
    <row r="13257" spans="1:4" x14ac:dyDescent="0.2">
      <c r="A13257" s="146"/>
      <c r="D13257" s="496"/>
    </row>
    <row r="13258" spans="1:4" x14ac:dyDescent="0.2">
      <c r="A13258" s="146"/>
      <c r="D13258" s="496"/>
    </row>
    <row r="13259" spans="1:4" x14ac:dyDescent="0.2">
      <c r="A13259" s="146"/>
      <c r="D13259" s="496"/>
    </row>
    <row r="13260" spans="1:4" x14ac:dyDescent="0.2">
      <c r="A13260" s="146"/>
      <c r="D13260" s="496"/>
    </row>
    <row r="13261" spans="1:4" x14ac:dyDescent="0.2">
      <c r="A13261" s="146"/>
      <c r="D13261" s="496"/>
    </row>
    <row r="13262" spans="1:4" x14ac:dyDescent="0.2">
      <c r="A13262" s="146"/>
      <c r="D13262" s="496"/>
    </row>
    <row r="13263" spans="1:4" x14ac:dyDescent="0.2">
      <c r="A13263" s="146"/>
      <c r="D13263" s="496"/>
    </row>
    <row r="13264" spans="1:4" x14ac:dyDescent="0.2">
      <c r="A13264" s="146"/>
      <c r="D13264" s="496"/>
    </row>
    <row r="13265" spans="1:4" x14ac:dyDescent="0.2">
      <c r="A13265" s="146"/>
      <c r="D13265" s="496"/>
    </row>
    <row r="13266" spans="1:4" x14ac:dyDescent="0.2">
      <c r="A13266" s="146"/>
      <c r="D13266" s="496"/>
    </row>
    <row r="13267" spans="1:4" x14ac:dyDescent="0.2">
      <c r="A13267" s="146"/>
      <c r="D13267" s="496"/>
    </row>
    <row r="13268" spans="1:4" x14ac:dyDescent="0.2">
      <c r="A13268" s="146"/>
      <c r="D13268" s="496"/>
    </row>
    <row r="13269" spans="1:4" x14ac:dyDescent="0.2">
      <c r="A13269" s="146"/>
      <c r="D13269" s="496"/>
    </row>
    <row r="13270" spans="1:4" x14ac:dyDescent="0.2">
      <c r="A13270" s="146"/>
      <c r="D13270" s="496"/>
    </row>
    <row r="13271" spans="1:4" x14ac:dyDescent="0.2">
      <c r="A13271" s="146"/>
      <c r="D13271" s="496"/>
    </row>
    <row r="13272" spans="1:4" x14ac:dyDescent="0.2">
      <c r="A13272" s="146"/>
      <c r="D13272" s="496"/>
    </row>
    <row r="13273" spans="1:4" x14ac:dyDescent="0.2">
      <c r="A13273" s="146"/>
      <c r="D13273" s="496"/>
    </row>
    <row r="13274" spans="1:4" x14ac:dyDescent="0.2">
      <c r="A13274" s="146"/>
      <c r="D13274" s="496"/>
    </row>
    <row r="13275" spans="1:4" x14ac:dyDescent="0.2">
      <c r="A13275" s="146"/>
      <c r="D13275" s="496"/>
    </row>
    <row r="13276" spans="1:4" x14ac:dyDescent="0.2">
      <c r="A13276" s="146"/>
      <c r="D13276" s="496"/>
    </row>
    <row r="13277" spans="1:4" x14ac:dyDescent="0.2">
      <c r="A13277" s="146"/>
      <c r="D13277" s="496"/>
    </row>
    <row r="13278" spans="1:4" x14ac:dyDescent="0.2">
      <c r="A13278" s="146"/>
      <c r="D13278" s="496"/>
    </row>
    <row r="13279" spans="1:4" x14ac:dyDescent="0.2">
      <c r="A13279" s="146"/>
      <c r="D13279" s="496"/>
    </row>
    <row r="13280" spans="1:4" x14ac:dyDescent="0.2">
      <c r="A13280" s="146"/>
      <c r="D13280" s="496"/>
    </row>
    <row r="13281" spans="1:4" x14ac:dyDescent="0.2">
      <c r="A13281" s="146"/>
      <c r="D13281" s="496"/>
    </row>
    <row r="13282" spans="1:4" x14ac:dyDescent="0.2">
      <c r="A13282" s="146"/>
      <c r="D13282" s="496"/>
    </row>
    <row r="13283" spans="1:4" x14ac:dyDescent="0.2">
      <c r="A13283" s="146"/>
      <c r="D13283" s="496"/>
    </row>
    <row r="13284" spans="1:4" x14ac:dyDescent="0.2">
      <c r="A13284" s="146"/>
      <c r="D13284" s="496"/>
    </row>
    <row r="13285" spans="1:4" x14ac:dyDescent="0.2">
      <c r="A13285" s="146"/>
      <c r="D13285" s="496"/>
    </row>
    <row r="13286" spans="1:4" x14ac:dyDescent="0.2">
      <c r="A13286" s="146"/>
      <c r="D13286" s="496"/>
    </row>
    <row r="13287" spans="1:4" x14ac:dyDescent="0.2">
      <c r="A13287" s="146"/>
      <c r="D13287" s="496"/>
    </row>
    <row r="13288" spans="1:4" x14ac:dyDescent="0.2">
      <c r="A13288" s="146"/>
      <c r="D13288" s="496"/>
    </row>
    <row r="13289" spans="1:4" x14ac:dyDescent="0.2">
      <c r="A13289" s="146"/>
      <c r="D13289" s="496"/>
    </row>
    <row r="13290" spans="1:4" x14ac:dyDescent="0.2">
      <c r="A13290" s="146"/>
      <c r="D13290" s="496"/>
    </row>
    <row r="13291" spans="1:4" x14ac:dyDescent="0.2">
      <c r="A13291" s="146"/>
      <c r="D13291" s="496"/>
    </row>
    <row r="13292" spans="1:4" x14ac:dyDescent="0.2">
      <c r="A13292" s="146"/>
      <c r="D13292" s="496"/>
    </row>
    <row r="13293" spans="1:4" x14ac:dyDescent="0.2">
      <c r="A13293" s="146"/>
      <c r="D13293" s="496"/>
    </row>
    <row r="13294" spans="1:4" x14ac:dyDescent="0.2">
      <c r="A13294" s="146"/>
      <c r="D13294" s="496"/>
    </row>
    <row r="13295" spans="1:4" x14ac:dyDescent="0.2">
      <c r="A13295" s="146"/>
      <c r="D13295" s="496"/>
    </row>
    <row r="13296" spans="1:4" x14ac:dyDescent="0.2">
      <c r="A13296" s="146"/>
      <c r="D13296" s="496"/>
    </row>
    <row r="13297" spans="1:4" x14ac:dyDescent="0.2">
      <c r="A13297" s="146"/>
      <c r="D13297" s="496"/>
    </row>
    <row r="13298" spans="1:4" x14ac:dyDescent="0.2">
      <c r="A13298" s="146"/>
      <c r="D13298" s="496"/>
    </row>
    <row r="13299" spans="1:4" x14ac:dyDescent="0.2">
      <c r="A13299" s="146"/>
      <c r="D13299" s="496"/>
    </row>
    <row r="13300" spans="1:4" x14ac:dyDescent="0.2">
      <c r="A13300" s="146"/>
      <c r="D13300" s="496"/>
    </row>
    <row r="13301" spans="1:4" x14ac:dyDescent="0.2">
      <c r="A13301" s="146"/>
      <c r="D13301" s="496"/>
    </row>
    <row r="13302" spans="1:4" x14ac:dyDescent="0.2">
      <c r="A13302" s="146"/>
      <c r="D13302" s="496"/>
    </row>
    <row r="13303" spans="1:4" x14ac:dyDescent="0.2">
      <c r="A13303" s="146"/>
      <c r="D13303" s="496"/>
    </row>
    <row r="13304" spans="1:4" x14ac:dyDescent="0.2">
      <c r="A13304" s="146"/>
      <c r="D13304" s="496"/>
    </row>
    <row r="13305" spans="1:4" x14ac:dyDescent="0.2">
      <c r="A13305" s="146"/>
      <c r="D13305" s="496"/>
    </row>
    <row r="13306" spans="1:4" x14ac:dyDescent="0.2">
      <c r="A13306" s="146"/>
      <c r="D13306" s="496"/>
    </row>
    <row r="13307" spans="1:4" x14ac:dyDescent="0.2">
      <c r="A13307" s="146"/>
      <c r="D13307" s="496"/>
    </row>
    <row r="13308" spans="1:4" x14ac:dyDescent="0.2">
      <c r="A13308" s="146"/>
      <c r="D13308" s="496"/>
    </row>
    <row r="13309" spans="1:4" x14ac:dyDescent="0.2">
      <c r="A13309" s="146"/>
      <c r="D13309" s="496"/>
    </row>
    <row r="13310" spans="1:4" x14ac:dyDescent="0.2">
      <c r="A13310" s="146"/>
      <c r="D13310" s="496"/>
    </row>
    <row r="13311" spans="1:4" x14ac:dyDescent="0.2">
      <c r="A13311" s="146"/>
      <c r="D13311" s="496"/>
    </row>
    <row r="13312" spans="1:4" x14ac:dyDescent="0.2">
      <c r="A13312" s="146"/>
      <c r="D13312" s="496"/>
    </row>
    <row r="13313" spans="1:4" x14ac:dyDescent="0.2">
      <c r="A13313" s="146"/>
      <c r="D13313" s="496"/>
    </row>
    <row r="13314" spans="1:4" x14ac:dyDescent="0.2">
      <c r="A13314" s="146"/>
      <c r="D13314" s="496"/>
    </row>
    <row r="13315" spans="1:4" x14ac:dyDescent="0.2">
      <c r="A13315" s="146"/>
      <c r="D13315" s="496"/>
    </row>
    <row r="13316" spans="1:4" x14ac:dyDescent="0.2">
      <c r="A13316" s="146"/>
      <c r="D13316" s="496"/>
    </row>
    <row r="13317" spans="1:4" x14ac:dyDescent="0.2">
      <c r="A13317" s="146"/>
      <c r="D13317" s="496"/>
    </row>
    <row r="13318" spans="1:4" x14ac:dyDescent="0.2">
      <c r="A13318" s="146"/>
      <c r="D13318" s="496"/>
    </row>
    <row r="13319" spans="1:4" x14ac:dyDescent="0.2">
      <c r="A13319" s="146"/>
      <c r="D13319" s="496"/>
    </row>
    <row r="13320" spans="1:4" x14ac:dyDescent="0.2">
      <c r="A13320" s="146"/>
      <c r="D13320" s="496"/>
    </row>
    <row r="13321" spans="1:4" x14ac:dyDescent="0.2">
      <c r="A13321" s="146"/>
      <c r="D13321" s="496"/>
    </row>
    <row r="13322" spans="1:4" x14ac:dyDescent="0.2">
      <c r="A13322" s="146"/>
      <c r="D13322" s="496"/>
    </row>
    <row r="13323" spans="1:4" x14ac:dyDescent="0.2">
      <c r="A13323" s="146"/>
      <c r="D13323" s="496"/>
    </row>
    <row r="13324" spans="1:4" x14ac:dyDescent="0.2">
      <c r="A13324" s="146"/>
      <c r="D13324" s="496"/>
    </row>
    <row r="13325" spans="1:4" x14ac:dyDescent="0.2">
      <c r="A13325" s="146"/>
      <c r="D13325" s="496"/>
    </row>
    <row r="13326" spans="1:4" x14ac:dyDescent="0.2">
      <c r="A13326" s="146"/>
      <c r="D13326" s="496"/>
    </row>
    <row r="13327" spans="1:4" x14ac:dyDescent="0.2">
      <c r="A13327" s="146"/>
      <c r="D13327" s="496"/>
    </row>
    <row r="13328" spans="1:4" x14ac:dyDescent="0.2">
      <c r="A13328" s="146"/>
      <c r="D13328" s="496"/>
    </row>
    <row r="13329" spans="1:4" x14ac:dyDescent="0.2">
      <c r="A13329" s="146"/>
      <c r="D13329" s="496"/>
    </row>
    <row r="13330" spans="1:4" x14ac:dyDescent="0.2">
      <c r="A13330" s="146"/>
      <c r="D13330" s="496"/>
    </row>
    <row r="13331" spans="1:4" x14ac:dyDescent="0.2">
      <c r="A13331" s="146"/>
      <c r="D13331" s="496"/>
    </row>
    <row r="13332" spans="1:4" x14ac:dyDescent="0.2">
      <c r="A13332" s="146"/>
      <c r="D13332" s="496"/>
    </row>
    <row r="13333" spans="1:4" x14ac:dyDescent="0.2">
      <c r="A13333" s="146"/>
      <c r="D13333" s="496"/>
    </row>
    <row r="13334" spans="1:4" x14ac:dyDescent="0.2">
      <c r="A13334" s="146"/>
      <c r="D13334" s="496"/>
    </row>
    <row r="13335" spans="1:4" x14ac:dyDescent="0.2">
      <c r="A13335" s="146"/>
      <c r="D13335" s="496"/>
    </row>
    <row r="13336" spans="1:4" x14ac:dyDescent="0.2">
      <c r="A13336" s="146"/>
      <c r="D13336" s="496"/>
    </row>
    <row r="13337" spans="1:4" x14ac:dyDescent="0.2">
      <c r="A13337" s="146"/>
      <c r="D13337" s="496"/>
    </row>
    <row r="13338" spans="1:4" x14ac:dyDescent="0.2">
      <c r="A13338" s="146"/>
      <c r="D13338" s="496"/>
    </row>
    <row r="13339" spans="1:4" x14ac:dyDescent="0.2">
      <c r="A13339" s="146"/>
      <c r="D13339" s="496"/>
    </row>
    <row r="13340" spans="1:4" x14ac:dyDescent="0.2">
      <c r="A13340" s="146"/>
      <c r="D13340" s="496"/>
    </row>
    <row r="13341" spans="1:4" x14ac:dyDescent="0.2">
      <c r="A13341" s="146"/>
      <c r="D13341" s="496"/>
    </row>
    <row r="13342" spans="1:4" x14ac:dyDescent="0.2">
      <c r="A13342" s="146"/>
      <c r="D13342" s="496"/>
    </row>
    <row r="13343" spans="1:4" x14ac:dyDescent="0.2">
      <c r="A13343" s="146"/>
      <c r="D13343" s="496"/>
    </row>
    <row r="13344" spans="1:4" x14ac:dyDescent="0.2">
      <c r="A13344" s="146"/>
      <c r="D13344" s="496"/>
    </row>
    <row r="13345" spans="1:4" x14ac:dyDescent="0.2">
      <c r="A13345" s="146"/>
      <c r="D13345" s="496"/>
    </row>
    <row r="13346" spans="1:4" x14ac:dyDescent="0.2">
      <c r="A13346" s="146"/>
      <c r="D13346" s="496"/>
    </row>
    <row r="13347" spans="1:4" x14ac:dyDescent="0.2">
      <c r="A13347" s="146"/>
      <c r="D13347" s="496"/>
    </row>
    <row r="13348" spans="1:4" x14ac:dyDescent="0.2">
      <c r="A13348" s="146"/>
      <c r="D13348" s="496"/>
    </row>
    <row r="13349" spans="1:4" x14ac:dyDescent="0.2">
      <c r="A13349" s="146"/>
      <c r="D13349" s="496"/>
    </row>
    <row r="13350" spans="1:4" x14ac:dyDescent="0.2">
      <c r="A13350" s="146"/>
      <c r="D13350" s="496"/>
    </row>
    <row r="13351" spans="1:4" x14ac:dyDescent="0.2">
      <c r="A13351" s="146"/>
      <c r="D13351" s="496"/>
    </row>
    <row r="13352" spans="1:4" x14ac:dyDescent="0.2">
      <c r="A13352" s="146"/>
      <c r="D13352" s="496"/>
    </row>
    <row r="13353" spans="1:4" x14ac:dyDescent="0.2">
      <c r="A13353" s="146"/>
      <c r="D13353" s="496"/>
    </row>
    <row r="13354" spans="1:4" x14ac:dyDescent="0.2">
      <c r="A13354" s="146"/>
      <c r="D13354" s="496"/>
    </row>
    <row r="13355" spans="1:4" x14ac:dyDescent="0.2">
      <c r="A13355" s="146"/>
      <c r="D13355" s="496"/>
    </row>
    <row r="13356" spans="1:4" x14ac:dyDescent="0.2">
      <c r="A13356" s="146"/>
      <c r="D13356" s="496"/>
    </row>
    <row r="13357" spans="1:4" x14ac:dyDescent="0.2">
      <c r="A13357" s="146"/>
      <c r="D13357" s="496"/>
    </row>
    <row r="13358" spans="1:4" x14ac:dyDescent="0.2">
      <c r="A13358" s="146"/>
      <c r="D13358" s="496"/>
    </row>
    <row r="13359" spans="1:4" x14ac:dyDescent="0.2">
      <c r="A13359" s="146"/>
      <c r="D13359" s="496"/>
    </row>
    <row r="13360" spans="1:4" x14ac:dyDescent="0.2">
      <c r="A13360" s="146"/>
      <c r="D13360" s="496"/>
    </row>
    <row r="13361" spans="1:4" x14ac:dyDescent="0.2">
      <c r="A13361" s="146"/>
      <c r="D13361" s="496"/>
    </row>
    <row r="13362" spans="1:4" x14ac:dyDescent="0.2">
      <c r="A13362" s="146"/>
      <c r="D13362" s="496"/>
    </row>
    <row r="13363" spans="1:4" x14ac:dyDescent="0.2">
      <c r="A13363" s="146"/>
      <c r="D13363" s="496"/>
    </row>
    <row r="13364" spans="1:4" x14ac:dyDescent="0.2">
      <c r="A13364" s="146"/>
      <c r="D13364" s="496"/>
    </row>
    <row r="13365" spans="1:4" x14ac:dyDescent="0.2">
      <c r="A13365" s="146"/>
      <c r="D13365" s="496"/>
    </row>
    <row r="13366" spans="1:4" x14ac:dyDescent="0.2">
      <c r="A13366" s="146"/>
      <c r="D13366" s="496"/>
    </row>
    <row r="13367" spans="1:4" x14ac:dyDescent="0.2">
      <c r="A13367" s="146"/>
      <c r="D13367" s="496"/>
    </row>
    <row r="13368" spans="1:4" x14ac:dyDescent="0.2">
      <c r="A13368" s="146"/>
      <c r="D13368" s="496"/>
    </row>
    <row r="13369" spans="1:4" x14ac:dyDescent="0.2">
      <c r="A13369" s="146"/>
      <c r="D13369" s="496"/>
    </row>
    <row r="13370" spans="1:4" x14ac:dyDescent="0.2">
      <c r="A13370" s="146"/>
      <c r="D13370" s="496"/>
    </row>
    <row r="13371" spans="1:4" x14ac:dyDescent="0.2">
      <c r="A13371" s="146"/>
      <c r="D13371" s="496"/>
    </row>
    <row r="13372" spans="1:4" x14ac:dyDescent="0.2">
      <c r="A13372" s="146"/>
      <c r="D13372" s="496"/>
    </row>
    <row r="13373" spans="1:4" x14ac:dyDescent="0.2">
      <c r="A13373" s="146"/>
      <c r="D13373" s="496"/>
    </row>
    <row r="13374" spans="1:4" x14ac:dyDescent="0.2">
      <c r="A13374" s="146"/>
      <c r="D13374" s="496"/>
    </row>
    <row r="13375" spans="1:4" x14ac:dyDescent="0.2">
      <c r="A13375" s="146"/>
      <c r="D13375" s="496"/>
    </row>
    <row r="13376" spans="1:4" x14ac:dyDescent="0.2">
      <c r="A13376" s="146"/>
      <c r="D13376" s="496"/>
    </row>
    <row r="13377" spans="1:4" x14ac:dyDescent="0.2">
      <c r="A13377" s="146"/>
      <c r="D13377" s="496"/>
    </row>
    <row r="13378" spans="1:4" x14ac:dyDescent="0.2">
      <c r="A13378" s="146"/>
      <c r="D13378" s="496"/>
    </row>
    <row r="13379" spans="1:4" x14ac:dyDescent="0.2">
      <c r="A13379" s="146"/>
      <c r="D13379" s="496"/>
    </row>
    <row r="13380" spans="1:4" x14ac:dyDescent="0.2">
      <c r="A13380" s="146"/>
      <c r="D13380" s="496"/>
    </row>
    <row r="13381" spans="1:4" x14ac:dyDescent="0.2">
      <c r="A13381" s="146"/>
      <c r="D13381" s="496"/>
    </row>
    <row r="13382" spans="1:4" x14ac:dyDescent="0.2">
      <c r="A13382" s="146"/>
      <c r="D13382" s="496"/>
    </row>
    <row r="13383" spans="1:4" x14ac:dyDescent="0.2">
      <c r="A13383" s="146"/>
      <c r="D13383" s="496"/>
    </row>
    <row r="13384" spans="1:4" x14ac:dyDescent="0.2">
      <c r="A13384" s="146"/>
      <c r="D13384" s="496"/>
    </row>
    <row r="13385" spans="1:4" x14ac:dyDescent="0.2">
      <c r="A13385" s="146"/>
      <c r="D13385" s="496"/>
    </row>
    <row r="13386" spans="1:4" x14ac:dyDescent="0.2">
      <c r="A13386" s="146"/>
      <c r="D13386" s="496"/>
    </row>
    <row r="13387" spans="1:4" x14ac:dyDescent="0.2">
      <c r="A13387" s="146"/>
      <c r="D13387" s="496"/>
    </row>
    <row r="13388" spans="1:4" x14ac:dyDescent="0.2">
      <c r="A13388" s="146"/>
      <c r="D13388" s="496"/>
    </row>
    <row r="13389" spans="1:4" x14ac:dyDescent="0.2">
      <c r="A13389" s="146"/>
      <c r="D13389" s="496"/>
    </row>
    <row r="13390" spans="1:4" x14ac:dyDescent="0.2">
      <c r="A13390" s="146"/>
      <c r="D13390" s="496"/>
    </row>
    <row r="13391" spans="1:4" x14ac:dyDescent="0.2">
      <c r="A13391" s="146"/>
      <c r="D13391" s="496"/>
    </row>
    <row r="13392" spans="1:4" x14ac:dyDescent="0.2">
      <c r="A13392" s="146"/>
      <c r="D13392" s="496"/>
    </row>
    <row r="13393" spans="1:4" x14ac:dyDescent="0.2">
      <c r="A13393" s="146"/>
      <c r="D13393" s="496"/>
    </row>
    <row r="13394" spans="1:4" x14ac:dyDescent="0.2">
      <c r="A13394" s="146"/>
      <c r="D13394" s="496"/>
    </row>
    <row r="13395" spans="1:4" x14ac:dyDescent="0.2">
      <c r="A13395" s="146"/>
      <c r="D13395" s="496"/>
    </row>
    <row r="13396" spans="1:4" x14ac:dyDescent="0.2">
      <c r="A13396" s="146"/>
      <c r="D13396" s="496"/>
    </row>
    <row r="13397" spans="1:4" x14ac:dyDescent="0.2">
      <c r="A13397" s="146"/>
      <c r="D13397" s="496"/>
    </row>
    <row r="13398" spans="1:4" x14ac:dyDescent="0.2">
      <c r="A13398" s="146"/>
      <c r="D13398" s="496"/>
    </row>
    <row r="13399" spans="1:4" x14ac:dyDescent="0.2">
      <c r="A13399" s="146"/>
      <c r="D13399" s="496"/>
    </row>
    <row r="13400" spans="1:4" x14ac:dyDescent="0.2">
      <c r="A13400" s="146"/>
      <c r="D13400" s="496"/>
    </row>
    <row r="13401" spans="1:4" x14ac:dyDescent="0.2">
      <c r="A13401" s="146"/>
      <c r="D13401" s="496"/>
    </row>
    <row r="13402" spans="1:4" x14ac:dyDescent="0.2">
      <c r="A13402" s="146"/>
      <c r="D13402" s="496"/>
    </row>
    <row r="13403" spans="1:4" x14ac:dyDescent="0.2">
      <c r="A13403" s="146"/>
      <c r="D13403" s="496"/>
    </row>
    <row r="13404" spans="1:4" x14ac:dyDescent="0.2">
      <c r="A13404" s="146"/>
      <c r="D13404" s="496"/>
    </row>
    <row r="13405" spans="1:4" x14ac:dyDescent="0.2">
      <c r="A13405" s="146"/>
      <c r="D13405" s="496"/>
    </row>
    <row r="13406" spans="1:4" x14ac:dyDescent="0.2">
      <c r="A13406" s="146"/>
      <c r="D13406" s="496"/>
    </row>
    <row r="13407" spans="1:4" x14ac:dyDescent="0.2">
      <c r="A13407" s="146"/>
      <c r="D13407" s="496"/>
    </row>
    <row r="13408" spans="1:4" x14ac:dyDescent="0.2">
      <c r="A13408" s="146"/>
      <c r="D13408" s="496"/>
    </row>
    <row r="13409" spans="1:4" x14ac:dyDescent="0.2">
      <c r="A13409" s="146"/>
      <c r="D13409" s="496"/>
    </row>
    <row r="13410" spans="1:4" x14ac:dyDescent="0.2">
      <c r="A13410" s="146"/>
      <c r="D13410" s="496"/>
    </row>
    <row r="13411" spans="1:4" x14ac:dyDescent="0.2">
      <c r="A13411" s="146"/>
      <c r="D13411" s="496"/>
    </row>
    <row r="13412" spans="1:4" x14ac:dyDescent="0.2">
      <c r="A13412" s="146"/>
      <c r="D13412" s="496"/>
    </row>
    <row r="13413" spans="1:4" x14ac:dyDescent="0.2">
      <c r="A13413" s="146"/>
      <c r="D13413" s="496"/>
    </row>
    <row r="13414" spans="1:4" x14ac:dyDescent="0.2">
      <c r="A13414" s="146"/>
      <c r="D13414" s="496"/>
    </row>
    <row r="13415" spans="1:4" x14ac:dyDescent="0.2">
      <c r="A13415" s="146"/>
      <c r="D13415" s="496"/>
    </row>
    <row r="13416" spans="1:4" x14ac:dyDescent="0.2">
      <c r="A13416" s="146"/>
      <c r="D13416" s="496"/>
    </row>
    <row r="13417" spans="1:4" x14ac:dyDescent="0.2">
      <c r="A13417" s="146"/>
      <c r="D13417" s="496"/>
    </row>
    <row r="13418" spans="1:4" x14ac:dyDescent="0.2">
      <c r="A13418" s="146"/>
      <c r="D13418" s="496"/>
    </row>
    <row r="13419" spans="1:4" x14ac:dyDescent="0.2">
      <c r="A13419" s="146"/>
      <c r="D13419" s="496"/>
    </row>
    <row r="13420" spans="1:4" x14ac:dyDescent="0.2">
      <c r="A13420" s="146"/>
      <c r="D13420" s="496"/>
    </row>
    <row r="13421" spans="1:4" x14ac:dyDescent="0.2">
      <c r="A13421" s="146"/>
      <c r="D13421" s="496"/>
    </row>
    <row r="13422" spans="1:4" x14ac:dyDescent="0.2">
      <c r="A13422" s="146"/>
      <c r="D13422" s="496"/>
    </row>
    <row r="13423" spans="1:4" x14ac:dyDescent="0.2">
      <c r="A13423" s="146"/>
      <c r="D13423" s="496"/>
    </row>
    <row r="13424" spans="1:4" x14ac:dyDescent="0.2">
      <c r="A13424" s="146"/>
      <c r="D13424" s="496"/>
    </row>
    <row r="13425" spans="1:4" x14ac:dyDescent="0.2">
      <c r="A13425" s="146"/>
      <c r="D13425" s="496"/>
    </row>
    <row r="13426" spans="1:4" x14ac:dyDescent="0.2">
      <c r="A13426" s="146"/>
      <c r="D13426" s="496"/>
    </row>
    <row r="13427" spans="1:4" x14ac:dyDescent="0.2">
      <c r="A13427" s="146"/>
      <c r="D13427" s="496"/>
    </row>
    <row r="13428" spans="1:4" x14ac:dyDescent="0.2">
      <c r="A13428" s="146"/>
      <c r="D13428" s="496"/>
    </row>
    <row r="13429" spans="1:4" x14ac:dyDescent="0.2">
      <c r="A13429" s="146"/>
      <c r="D13429" s="496"/>
    </row>
    <row r="13430" spans="1:4" x14ac:dyDescent="0.2">
      <c r="A13430" s="146"/>
      <c r="D13430" s="496"/>
    </row>
    <row r="13431" spans="1:4" x14ac:dyDescent="0.2">
      <c r="A13431" s="146"/>
      <c r="D13431" s="496"/>
    </row>
    <row r="13432" spans="1:4" x14ac:dyDescent="0.2">
      <c r="A13432" s="146"/>
      <c r="D13432" s="496"/>
    </row>
    <row r="13433" spans="1:4" x14ac:dyDescent="0.2">
      <c r="A13433" s="146"/>
      <c r="D13433" s="496"/>
    </row>
    <row r="13434" spans="1:4" x14ac:dyDescent="0.2">
      <c r="A13434" s="146"/>
      <c r="D13434" s="496"/>
    </row>
    <row r="13435" spans="1:4" x14ac:dyDescent="0.2">
      <c r="A13435" s="146"/>
      <c r="D13435" s="496"/>
    </row>
    <row r="13436" spans="1:4" x14ac:dyDescent="0.2">
      <c r="A13436" s="146"/>
      <c r="D13436" s="496"/>
    </row>
    <row r="13437" spans="1:4" x14ac:dyDescent="0.2">
      <c r="A13437" s="146"/>
      <c r="D13437" s="496"/>
    </row>
    <row r="13438" spans="1:4" x14ac:dyDescent="0.2">
      <c r="A13438" s="146"/>
      <c r="D13438" s="496"/>
    </row>
    <row r="13439" spans="1:4" x14ac:dyDescent="0.2">
      <c r="A13439" s="146"/>
      <c r="D13439" s="496"/>
    </row>
    <row r="13440" spans="1:4" x14ac:dyDescent="0.2">
      <c r="A13440" s="146"/>
      <c r="D13440" s="496"/>
    </row>
    <row r="13441" spans="1:4" x14ac:dyDescent="0.2">
      <c r="A13441" s="146"/>
      <c r="D13441" s="496"/>
    </row>
    <row r="13442" spans="1:4" x14ac:dyDescent="0.2">
      <c r="A13442" s="146"/>
      <c r="D13442" s="496"/>
    </row>
    <row r="13443" spans="1:4" x14ac:dyDescent="0.2">
      <c r="A13443" s="146"/>
      <c r="D13443" s="496"/>
    </row>
    <row r="13444" spans="1:4" x14ac:dyDescent="0.2">
      <c r="A13444" s="146"/>
      <c r="D13444" s="496"/>
    </row>
    <row r="13445" spans="1:4" x14ac:dyDescent="0.2">
      <c r="A13445" s="146"/>
      <c r="D13445" s="496"/>
    </row>
    <row r="13446" spans="1:4" x14ac:dyDescent="0.2">
      <c r="A13446" s="146"/>
      <c r="D13446" s="496"/>
    </row>
    <row r="13447" spans="1:4" x14ac:dyDescent="0.2">
      <c r="A13447" s="146"/>
      <c r="D13447" s="496"/>
    </row>
    <row r="13448" spans="1:4" x14ac:dyDescent="0.2">
      <c r="A13448" s="146"/>
      <c r="D13448" s="496"/>
    </row>
    <row r="13449" spans="1:4" x14ac:dyDescent="0.2">
      <c r="A13449" s="146"/>
      <c r="D13449" s="496"/>
    </row>
    <row r="13450" spans="1:4" x14ac:dyDescent="0.2">
      <c r="A13450" s="146"/>
      <c r="D13450" s="496"/>
    </row>
    <row r="13451" spans="1:4" x14ac:dyDescent="0.2">
      <c r="A13451" s="146"/>
      <c r="D13451" s="496"/>
    </row>
    <row r="13452" spans="1:4" x14ac:dyDescent="0.2">
      <c r="A13452" s="146"/>
      <c r="D13452" s="496"/>
    </row>
    <row r="13453" spans="1:4" x14ac:dyDescent="0.2">
      <c r="A13453" s="146"/>
      <c r="D13453" s="496"/>
    </row>
    <row r="13454" spans="1:4" x14ac:dyDescent="0.2">
      <c r="A13454" s="146"/>
      <c r="D13454" s="496"/>
    </row>
    <row r="13455" spans="1:4" x14ac:dyDescent="0.2">
      <c r="A13455" s="146"/>
      <c r="D13455" s="496"/>
    </row>
    <row r="13456" spans="1:4" x14ac:dyDescent="0.2">
      <c r="A13456" s="146"/>
      <c r="D13456" s="496"/>
    </row>
    <row r="13457" spans="1:4" x14ac:dyDescent="0.2">
      <c r="A13457" s="146"/>
      <c r="D13457" s="496"/>
    </row>
    <row r="13458" spans="1:4" x14ac:dyDescent="0.2">
      <c r="A13458" s="146"/>
      <c r="D13458" s="496"/>
    </row>
    <row r="13459" spans="1:4" x14ac:dyDescent="0.2">
      <c r="A13459" s="146"/>
      <c r="D13459" s="496"/>
    </row>
    <row r="13460" spans="1:4" x14ac:dyDescent="0.2">
      <c r="A13460" s="146"/>
      <c r="D13460" s="496"/>
    </row>
    <row r="13461" spans="1:4" x14ac:dyDescent="0.2">
      <c r="A13461" s="146"/>
      <c r="D13461" s="496"/>
    </row>
    <row r="13462" spans="1:4" x14ac:dyDescent="0.2">
      <c r="A13462" s="146"/>
      <c r="D13462" s="496"/>
    </row>
    <row r="13463" spans="1:4" x14ac:dyDescent="0.2">
      <c r="A13463" s="146"/>
      <c r="D13463" s="496"/>
    </row>
    <row r="13464" spans="1:4" x14ac:dyDescent="0.2">
      <c r="A13464" s="146"/>
      <c r="D13464" s="496"/>
    </row>
    <row r="13465" spans="1:4" x14ac:dyDescent="0.2">
      <c r="A13465" s="146"/>
      <c r="D13465" s="496"/>
    </row>
    <row r="13466" spans="1:4" x14ac:dyDescent="0.2">
      <c r="A13466" s="146"/>
      <c r="D13466" s="496"/>
    </row>
    <row r="13467" spans="1:4" x14ac:dyDescent="0.2">
      <c r="A13467" s="146"/>
      <c r="D13467" s="496"/>
    </row>
    <row r="13468" spans="1:4" x14ac:dyDescent="0.2">
      <c r="A13468" s="146"/>
      <c r="D13468" s="496"/>
    </row>
    <row r="13469" spans="1:4" x14ac:dyDescent="0.2">
      <c r="A13469" s="146"/>
      <c r="D13469" s="496"/>
    </row>
    <row r="13470" spans="1:4" x14ac:dyDescent="0.2">
      <c r="A13470" s="146"/>
      <c r="D13470" s="496"/>
    </row>
    <row r="13471" spans="1:4" x14ac:dyDescent="0.2">
      <c r="A13471" s="146"/>
      <c r="D13471" s="496"/>
    </row>
    <row r="13472" spans="1:4" x14ac:dyDescent="0.2">
      <c r="A13472" s="146"/>
      <c r="D13472" s="496"/>
    </row>
    <row r="13473" spans="1:4" x14ac:dyDescent="0.2">
      <c r="A13473" s="146"/>
      <c r="D13473" s="496"/>
    </row>
    <row r="13474" spans="1:4" x14ac:dyDescent="0.2">
      <c r="A13474" s="146"/>
      <c r="D13474" s="496"/>
    </row>
    <row r="13475" spans="1:4" x14ac:dyDescent="0.2">
      <c r="A13475" s="146"/>
      <c r="D13475" s="496"/>
    </row>
    <row r="13476" spans="1:4" x14ac:dyDescent="0.2">
      <c r="A13476" s="146"/>
      <c r="D13476" s="496"/>
    </row>
    <row r="13477" spans="1:4" x14ac:dyDescent="0.2">
      <c r="A13477" s="146"/>
      <c r="D13477" s="496"/>
    </row>
    <row r="13478" spans="1:4" x14ac:dyDescent="0.2">
      <c r="A13478" s="146"/>
      <c r="D13478" s="496"/>
    </row>
    <row r="13479" spans="1:4" x14ac:dyDescent="0.2">
      <c r="A13479" s="146"/>
      <c r="D13479" s="496"/>
    </row>
    <row r="13480" spans="1:4" x14ac:dyDescent="0.2">
      <c r="A13480" s="146"/>
      <c r="D13480" s="496"/>
    </row>
    <row r="13481" spans="1:4" x14ac:dyDescent="0.2">
      <c r="A13481" s="146"/>
      <c r="D13481" s="496"/>
    </row>
    <row r="13482" spans="1:4" x14ac:dyDescent="0.2">
      <c r="A13482" s="146"/>
      <c r="D13482" s="496"/>
    </row>
    <row r="13483" spans="1:4" x14ac:dyDescent="0.2">
      <c r="A13483" s="146"/>
      <c r="D13483" s="496"/>
    </row>
    <row r="13484" spans="1:4" x14ac:dyDescent="0.2">
      <c r="A13484" s="146"/>
      <c r="D13484" s="496"/>
    </row>
    <row r="13485" spans="1:4" x14ac:dyDescent="0.2">
      <c r="A13485" s="146"/>
      <c r="D13485" s="496"/>
    </row>
    <row r="13486" spans="1:4" x14ac:dyDescent="0.2">
      <c r="A13486" s="146"/>
      <c r="D13486" s="496"/>
    </row>
    <row r="13487" spans="1:4" x14ac:dyDescent="0.2">
      <c r="A13487" s="146"/>
      <c r="D13487" s="496"/>
    </row>
    <row r="13488" spans="1:4" x14ac:dyDescent="0.2">
      <c r="A13488" s="146"/>
      <c r="D13488" s="496"/>
    </row>
    <row r="13489" spans="1:4" x14ac:dyDescent="0.2">
      <c r="A13489" s="146"/>
      <c r="D13489" s="496"/>
    </row>
    <row r="13490" spans="1:4" x14ac:dyDescent="0.2">
      <c r="A13490" s="146"/>
      <c r="D13490" s="496"/>
    </row>
    <row r="13491" spans="1:4" x14ac:dyDescent="0.2">
      <c r="A13491" s="146"/>
      <c r="D13491" s="496"/>
    </row>
    <row r="13492" spans="1:4" x14ac:dyDescent="0.2">
      <c r="A13492" s="146"/>
      <c r="D13492" s="496"/>
    </row>
    <row r="13493" spans="1:4" x14ac:dyDescent="0.2">
      <c r="A13493" s="146"/>
      <c r="D13493" s="496"/>
    </row>
    <row r="13494" spans="1:4" x14ac:dyDescent="0.2">
      <c r="A13494" s="146"/>
      <c r="D13494" s="496"/>
    </row>
    <row r="13495" spans="1:4" x14ac:dyDescent="0.2">
      <c r="A13495" s="146"/>
      <c r="D13495" s="496"/>
    </row>
    <row r="13496" spans="1:4" x14ac:dyDescent="0.2">
      <c r="A13496" s="146"/>
      <c r="D13496" s="496"/>
    </row>
    <row r="13497" spans="1:4" x14ac:dyDescent="0.2">
      <c r="A13497" s="146"/>
      <c r="D13497" s="496"/>
    </row>
    <row r="13498" spans="1:4" x14ac:dyDescent="0.2">
      <c r="A13498" s="146"/>
      <c r="D13498" s="496"/>
    </row>
    <row r="13499" spans="1:4" x14ac:dyDescent="0.2">
      <c r="A13499" s="146"/>
      <c r="D13499" s="496"/>
    </row>
    <row r="13500" spans="1:4" x14ac:dyDescent="0.2">
      <c r="A13500" s="146"/>
      <c r="D13500" s="496"/>
    </row>
    <row r="13501" spans="1:4" x14ac:dyDescent="0.2">
      <c r="A13501" s="146"/>
      <c r="D13501" s="496"/>
    </row>
    <row r="13502" spans="1:4" x14ac:dyDescent="0.2">
      <c r="A13502" s="146"/>
      <c r="D13502" s="496"/>
    </row>
    <row r="13503" spans="1:4" x14ac:dyDescent="0.2">
      <c r="A13503" s="146"/>
      <c r="D13503" s="496"/>
    </row>
    <row r="13504" spans="1:4" x14ac:dyDescent="0.2">
      <c r="A13504" s="146"/>
      <c r="D13504" s="496"/>
    </row>
    <row r="13505" spans="1:4" x14ac:dyDescent="0.2">
      <c r="A13505" s="146"/>
      <c r="D13505" s="496"/>
    </row>
    <row r="13506" spans="1:4" x14ac:dyDescent="0.2">
      <c r="A13506" s="146"/>
      <c r="D13506" s="496"/>
    </row>
    <row r="13507" spans="1:4" x14ac:dyDescent="0.2">
      <c r="A13507" s="146"/>
      <c r="D13507" s="496"/>
    </row>
    <row r="13508" spans="1:4" x14ac:dyDescent="0.2">
      <c r="A13508" s="146"/>
      <c r="D13508" s="496"/>
    </row>
    <row r="13509" spans="1:4" x14ac:dyDescent="0.2">
      <c r="A13509" s="146"/>
      <c r="D13509" s="496"/>
    </row>
    <row r="13510" spans="1:4" x14ac:dyDescent="0.2">
      <c r="A13510" s="146"/>
      <c r="D13510" s="496"/>
    </row>
    <row r="13511" spans="1:4" x14ac:dyDescent="0.2">
      <c r="A13511" s="146"/>
      <c r="D13511" s="496"/>
    </row>
    <row r="13512" spans="1:4" x14ac:dyDescent="0.2">
      <c r="A13512" s="146"/>
      <c r="D13512" s="496"/>
    </row>
    <row r="13513" spans="1:4" x14ac:dyDescent="0.2">
      <c r="A13513" s="146"/>
      <c r="D13513" s="496"/>
    </row>
    <row r="13514" spans="1:4" x14ac:dyDescent="0.2">
      <c r="A13514" s="146"/>
      <c r="D13514" s="496"/>
    </row>
    <row r="13515" spans="1:4" x14ac:dyDescent="0.2">
      <c r="A13515" s="146"/>
      <c r="D13515" s="496"/>
    </row>
    <row r="13516" spans="1:4" x14ac:dyDescent="0.2">
      <c r="A13516" s="146"/>
      <c r="D13516" s="496"/>
    </row>
    <row r="13517" spans="1:4" x14ac:dyDescent="0.2">
      <c r="A13517" s="146"/>
      <c r="D13517" s="496"/>
    </row>
    <row r="13518" spans="1:4" x14ac:dyDescent="0.2">
      <c r="A13518" s="146"/>
      <c r="D13518" s="496"/>
    </row>
    <row r="13519" spans="1:4" x14ac:dyDescent="0.2">
      <c r="A13519" s="146"/>
      <c r="D13519" s="496"/>
    </row>
    <row r="13520" spans="1:4" x14ac:dyDescent="0.2">
      <c r="A13520" s="146"/>
      <c r="D13520" s="496"/>
    </row>
    <row r="13521" spans="1:4" x14ac:dyDescent="0.2">
      <c r="A13521" s="146"/>
      <c r="D13521" s="496"/>
    </row>
    <row r="13522" spans="1:4" x14ac:dyDescent="0.2">
      <c r="A13522" s="146"/>
      <c r="D13522" s="496"/>
    </row>
    <row r="13523" spans="1:4" x14ac:dyDescent="0.2">
      <c r="A13523" s="146"/>
      <c r="D13523" s="496"/>
    </row>
    <row r="13524" spans="1:4" x14ac:dyDescent="0.2">
      <c r="A13524" s="146"/>
      <c r="D13524" s="496"/>
    </row>
    <row r="13525" spans="1:4" x14ac:dyDescent="0.2">
      <c r="A13525" s="146"/>
      <c r="D13525" s="496"/>
    </row>
    <row r="13526" spans="1:4" x14ac:dyDescent="0.2">
      <c r="A13526" s="146"/>
      <c r="D13526" s="496"/>
    </row>
    <row r="13527" spans="1:4" x14ac:dyDescent="0.2">
      <c r="A13527" s="146"/>
      <c r="D13527" s="496"/>
    </row>
    <row r="13528" spans="1:4" x14ac:dyDescent="0.2">
      <c r="A13528" s="146"/>
      <c r="D13528" s="496"/>
    </row>
    <row r="13529" spans="1:4" x14ac:dyDescent="0.2">
      <c r="A13529" s="146"/>
      <c r="D13529" s="496"/>
    </row>
    <row r="13530" spans="1:4" x14ac:dyDescent="0.2">
      <c r="A13530" s="146"/>
      <c r="D13530" s="496"/>
    </row>
    <row r="13531" spans="1:4" x14ac:dyDescent="0.2">
      <c r="A13531" s="146"/>
      <c r="D13531" s="496"/>
    </row>
    <row r="13532" spans="1:4" x14ac:dyDescent="0.2">
      <c r="A13532" s="146"/>
      <c r="D13532" s="496"/>
    </row>
    <row r="13533" spans="1:4" x14ac:dyDescent="0.2">
      <c r="A13533" s="146"/>
      <c r="D13533" s="496"/>
    </row>
    <row r="13534" spans="1:4" x14ac:dyDescent="0.2">
      <c r="A13534" s="146"/>
      <c r="D13534" s="496"/>
    </row>
    <row r="13535" spans="1:4" x14ac:dyDescent="0.2">
      <c r="A13535" s="146"/>
      <c r="D13535" s="496"/>
    </row>
    <row r="13536" spans="1:4" x14ac:dyDescent="0.2">
      <c r="A13536" s="146"/>
      <c r="D13536" s="496"/>
    </row>
    <row r="13537" spans="1:4" x14ac:dyDescent="0.2">
      <c r="A13537" s="146"/>
      <c r="D13537" s="496"/>
    </row>
    <row r="13538" spans="1:4" x14ac:dyDescent="0.2">
      <c r="A13538" s="146"/>
      <c r="D13538" s="496"/>
    </row>
    <row r="13539" spans="1:4" x14ac:dyDescent="0.2">
      <c r="A13539" s="146"/>
      <c r="D13539" s="496"/>
    </row>
    <row r="13540" spans="1:4" x14ac:dyDescent="0.2">
      <c r="A13540" s="146"/>
      <c r="D13540" s="496"/>
    </row>
    <row r="13541" spans="1:4" x14ac:dyDescent="0.2">
      <c r="A13541" s="146"/>
      <c r="D13541" s="496"/>
    </row>
    <row r="13542" spans="1:4" x14ac:dyDescent="0.2">
      <c r="A13542" s="146"/>
      <c r="D13542" s="496"/>
    </row>
    <row r="13543" spans="1:4" x14ac:dyDescent="0.2">
      <c r="A13543" s="146"/>
      <c r="D13543" s="496"/>
    </row>
    <row r="13544" spans="1:4" x14ac:dyDescent="0.2">
      <c r="A13544" s="146"/>
      <c r="D13544" s="496"/>
    </row>
    <row r="13545" spans="1:4" x14ac:dyDescent="0.2">
      <c r="A13545" s="146"/>
      <c r="D13545" s="496"/>
    </row>
    <row r="13546" spans="1:4" x14ac:dyDescent="0.2">
      <c r="A13546" s="146"/>
      <c r="D13546" s="496"/>
    </row>
    <row r="13547" spans="1:4" x14ac:dyDescent="0.2">
      <c r="A13547" s="146"/>
      <c r="D13547" s="496"/>
    </row>
    <row r="13548" spans="1:4" x14ac:dyDescent="0.2">
      <c r="A13548" s="146"/>
      <c r="D13548" s="496"/>
    </row>
    <row r="13549" spans="1:4" x14ac:dyDescent="0.2">
      <c r="A13549" s="146"/>
      <c r="D13549" s="496"/>
    </row>
    <row r="13550" spans="1:4" x14ac:dyDescent="0.2">
      <c r="A13550" s="146"/>
      <c r="D13550" s="496"/>
    </row>
    <row r="13551" spans="1:4" x14ac:dyDescent="0.2">
      <c r="A13551" s="146"/>
      <c r="D13551" s="496"/>
    </row>
    <row r="13552" spans="1:4" x14ac:dyDescent="0.2">
      <c r="A13552" s="146"/>
      <c r="D13552" s="496"/>
    </row>
    <row r="13553" spans="1:4" x14ac:dyDescent="0.2">
      <c r="A13553" s="146"/>
      <c r="D13553" s="496"/>
    </row>
    <row r="13554" spans="1:4" x14ac:dyDescent="0.2">
      <c r="A13554" s="146"/>
      <c r="D13554" s="496"/>
    </row>
    <row r="13555" spans="1:4" x14ac:dyDescent="0.2">
      <c r="A13555" s="146"/>
      <c r="D13555" s="496"/>
    </row>
    <row r="13556" spans="1:4" x14ac:dyDescent="0.2">
      <c r="A13556" s="146"/>
      <c r="D13556" s="496"/>
    </row>
    <row r="13557" spans="1:4" x14ac:dyDescent="0.2">
      <c r="A13557" s="146"/>
      <c r="D13557" s="496"/>
    </row>
    <row r="13558" spans="1:4" x14ac:dyDescent="0.2">
      <c r="A13558" s="146"/>
      <c r="D13558" s="496"/>
    </row>
    <row r="13559" spans="1:4" x14ac:dyDescent="0.2">
      <c r="A13559" s="146"/>
      <c r="D13559" s="496"/>
    </row>
    <row r="13560" spans="1:4" x14ac:dyDescent="0.2">
      <c r="A13560" s="146"/>
      <c r="D13560" s="496"/>
    </row>
    <row r="13561" spans="1:4" x14ac:dyDescent="0.2">
      <c r="A13561" s="146"/>
      <c r="D13561" s="496"/>
    </row>
    <row r="13562" spans="1:4" x14ac:dyDescent="0.2">
      <c r="A13562" s="146"/>
      <c r="D13562" s="496"/>
    </row>
    <row r="13563" spans="1:4" x14ac:dyDescent="0.2">
      <c r="A13563" s="146"/>
      <c r="D13563" s="496"/>
    </row>
    <row r="13564" spans="1:4" x14ac:dyDescent="0.2">
      <c r="A13564" s="146"/>
      <c r="D13564" s="496"/>
    </row>
    <row r="13565" spans="1:4" x14ac:dyDescent="0.2">
      <c r="A13565" s="146"/>
      <c r="D13565" s="496"/>
    </row>
    <row r="13566" spans="1:4" x14ac:dyDescent="0.2">
      <c r="A13566" s="146"/>
      <c r="D13566" s="496"/>
    </row>
    <row r="13567" spans="1:4" x14ac:dyDescent="0.2">
      <c r="A13567" s="146"/>
      <c r="D13567" s="496"/>
    </row>
    <row r="13568" spans="1:4" x14ac:dyDescent="0.2">
      <c r="A13568" s="146"/>
      <c r="D13568" s="496"/>
    </row>
    <row r="13569" spans="1:4" x14ac:dyDescent="0.2">
      <c r="A13569" s="146"/>
      <c r="D13569" s="496"/>
    </row>
    <row r="13570" spans="1:4" x14ac:dyDescent="0.2">
      <c r="A13570" s="146"/>
      <c r="D13570" s="496"/>
    </row>
    <row r="13571" spans="1:4" x14ac:dyDescent="0.2">
      <c r="A13571" s="146"/>
      <c r="D13571" s="496"/>
    </row>
    <row r="13572" spans="1:4" x14ac:dyDescent="0.2">
      <c r="A13572" s="146"/>
      <c r="D13572" s="496"/>
    </row>
    <row r="13573" spans="1:4" x14ac:dyDescent="0.2">
      <c r="A13573" s="146"/>
      <c r="D13573" s="496"/>
    </row>
    <row r="13574" spans="1:4" x14ac:dyDescent="0.2">
      <c r="A13574" s="146"/>
      <c r="D13574" s="496"/>
    </row>
    <row r="13575" spans="1:4" x14ac:dyDescent="0.2">
      <c r="A13575" s="146"/>
      <c r="D13575" s="496"/>
    </row>
    <row r="13576" spans="1:4" x14ac:dyDescent="0.2">
      <c r="A13576" s="146"/>
      <c r="D13576" s="496"/>
    </row>
    <row r="13577" spans="1:4" x14ac:dyDescent="0.2">
      <c r="A13577" s="146"/>
      <c r="D13577" s="496"/>
    </row>
    <row r="13578" spans="1:4" x14ac:dyDescent="0.2">
      <c r="A13578" s="146"/>
      <c r="D13578" s="496"/>
    </row>
    <row r="13579" spans="1:4" x14ac:dyDescent="0.2">
      <c r="A13579" s="146"/>
      <c r="D13579" s="496"/>
    </row>
    <row r="13580" spans="1:4" x14ac:dyDescent="0.2">
      <c r="A13580" s="146"/>
      <c r="D13580" s="496"/>
    </row>
    <row r="13581" spans="1:4" x14ac:dyDescent="0.2">
      <c r="A13581" s="146"/>
      <c r="D13581" s="496"/>
    </row>
    <row r="13582" spans="1:4" x14ac:dyDescent="0.2">
      <c r="A13582" s="146"/>
      <c r="D13582" s="496"/>
    </row>
    <row r="13583" spans="1:4" x14ac:dyDescent="0.2">
      <c r="A13583" s="146"/>
      <c r="D13583" s="496"/>
    </row>
    <row r="13584" spans="1:4" x14ac:dyDescent="0.2">
      <c r="A13584" s="146"/>
      <c r="D13584" s="496"/>
    </row>
    <row r="13585" spans="1:4" x14ac:dyDescent="0.2">
      <c r="A13585" s="146"/>
      <c r="D13585" s="496"/>
    </row>
    <row r="13586" spans="1:4" x14ac:dyDescent="0.2">
      <c r="A13586" s="146"/>
      <c r="D13586" s="496"/>
    </row>
    <row r="13587" spans="1:4" x14ac:dyDescent="0.2">
      <c r="A13587" s="146"/>
      <c r="D13587" s="496"/>
    </row>
    <row r="13588" spans="1:4" x14ac:dyDescent="0.2">
      <c r="A13588" s="146"/>
      <c r="D13588" s="496"/>
    </row>
    <row r="13589" spans="1:4" x14ac:dyDescent="0.2">
      <c r="A13589" s="146"/>
      <c r="D13589" s="496"/>
    </row>
    <row r="13590" spans="1:4" x14ac:dyDescent="0.2">
      <c r="A13590" s="146"/>
      <c r="D13590" s="496"/>
    </row>
    <row r="13591" spans="1:4" x14ac:dyDescent="0.2">
      <c r="A13591" s="146"/>
      <c r="D13591" s="496"/>
    </row>
    <row r="13592" spans="1:4" x14ac:dyDescent="0.2">
      <c r="A13592" s="146"/>
      <c r="D13592" s="496"/>
    </row>
    <row r="13593" spans="1:4" x14ac:dyDescent="0.2">
      <c r="A13593" s="146"/>
      <c r="D13593" s="496"/>
    </row>
    <row r="13594" spans="1:4" x14ac:dyDescent="0.2">
      <c r="A13594" s="146"/>
      <c r="D13594" s="496"/>
    </row>
    <row r="13595" spans="1:4" x14ac:dyDescent="0.2">
      <c r="A13595" s="146"/>
      <c r="D13595" s="496"/>
    </row>
    <row r="13596" spans="1:4" x14ac:dyDescent="0.2">
      <c r="A13596" s="146"/>
      <c r="D13596" s="496"/>
    </row>
    <row r="13597" spans="1:4" x14ac:dyDescent="0.2">
      <c r="A13597" s="146"/>
      <c r="D13597" s="496"/>
    </row>
    <row r="13598" spans="1:4" x14ac:dyDescent="0.2">
      <c r="A13598" s="146"/>
      <c r="D13598" s="496"/>
    </row>
    <row r="13599" spans="1:4" x14ac:dyDescent="0.2">
      <c r="A13599" s="146"/>
      <c r="D13599" s="496"/>
    </row>
    <row r="13600" spans="1:4" x14ac:dyDescent="0.2">
      <c r="A13600" s="146"/>
      <c r="D13600" s="496"/>
    </row>
    <row r="13601" spans="1:4" x14ac:dyDescent="0.2">
      <c r="A13601" s="146"/>
      <c r="D13601" s="496"/>
    </row>
    <row r="13602" spans="1:4" x14ac:dyDescent="0.2">
      <c r="A13602" s="146"/>
      <c r="D13602" s="496"/>
    </row>
    <row r="13603" spans="1:4" x14ac:dyDescent="0.2">
      <c r="A13603" s="146"/>
      <c r="D13603" s="496"/>
    </row>
    <row r="13604" spans="1:4" x14ac:dyDescent="0.2">
      <c r="A13604" s="146"/>
      <c r="D13604" s="496"/>
    </row>
    <row r="13605" spans="1:4" x14ac:dyDescent="0.2">
      <c r="A13605" s="146"/>
      <c r="D13605" s="496"/>
    </row>
    <row r="13606" spans="1:4" x14ac:dyDescent="0.2">
      <c r="A13606" s="146"/>
      <c r="D13606" s="496"/>
    </row>
    <row r="13607" spans="1:4" x14ac:dyDescent="0.2">
      <c r="A13607" s="146"/>
      <c r="D13607" s="496"/>
    </row>
    <row r="13608" spans="1:4" x14ac:dyDescent="0.2">
      <c r="A13608" s="146"/>
      <c r="D13608" s="496"/>
    </row>
    <row r="13609" spans="1:4" x14ac:dyDescent="0.2">
      <c r="A13609" s="146"/>
      <c r="D13609" s="496"/>
    </row>
    <row r="13610" spans="1:4" x14ac:dyDescent="0.2">
      <c r="A13610" s="146"/>
      <c r="D13610" s="496"/>
    </row>
    <row r="13611" spans="1:4" x14ac:dyDescent="0.2">
      <c r="A13611" s="146"/>
      <c r="D13611" s="496"/>
    </row>
    <row r="13612" spans="1:4" x14ac:dyDescent="0.2">
      <c r="A13612" s="146"/>
      <c r="D13612" s="496"/>
    </row>
    <row r="13613" spans="1:4" x14ac:dyDescent="0.2">
      <c r="A13613" s="146"/>
      <c r="D13613" s="496"/>
    </row>
    <row r="13614" spans="1:4" x14ac:dyDescent="0.2">
      <c r="A13614" s="146"/>
      <c r="D13614" s="496"/>
    </row>
    <row r="13615" spans="1:4" x14ac:dyDescent="0.2">
      <c r="A13615" s="146"/>
      <c r="D13615" s="496"/>
    </row>
    <row r="13616" spans="1:4" x14ac:dyDescent="0.2">
      <c r="A13616" s="146"/>
      <c r="D13616" s="496"/>
    </row>
    <row r="13617" spans="1:4" x14ac:dyDescent="0.2">
      <c r="A13617" s="146"/>
      <c r="D13617" s="496"/>
    </row>
    <row r="13618" spans="1:4" x14ac:dyDescent="0.2">
      <c r="A13618" s="146"/>
      <c r="D13618" s="496"/>
    </row>
    <row r="13619" spans="1:4" x14ac:dyDescent="0.2">
      <c r="A13619" s="146"/>
      <c r="D13619" s="496"/>
    </row>
    <row r="13620" spans="1:4" x14ac:dyDescent="0.2">
      <c r="A13620" s="146"/>
      <c r="D13620" s="496"/>
    </row>
    <row r="13621" spans="1:4" x14ac:dyDescent="0.2">
      <c r="A13621" s="146"/>
      <c r="D13621" s="496"/>
    </row>
    <row r="13622" spans="1:4" x14ac:dyDescent="0.2">
      <c r="A13622" s="146"/>
      <c r="D13622" s="496"/>
    </row>
    <row r="13623" spans="1:4" x14ac:dyDescent="0.2">
      <c r="A13623" s="146"/>
      <c r="D13623" s="496"/>
    </row>
    <row r="13624" spans="1:4" x14ac:dyDescent="0.2">
      <c r="A13624" s="146"/>
      <c r="D13624" s="496"/>
    </row>
    <row r="13625" spans="1:4" x14ac:dyDescent="0.2">
      <c r="A13625" s="146"/>
      <c r="D13625" s="496"/>
    </row>
    <row r="13626" spans="1:4" x14ac:dyDescent="0.2">
      <c r="A13626" s="146"/>
      <c r="D13626" s="496"/>
    </row>
    <row r="13627" spans="1:4" x14ac:dyDescent="0.2">
      <c r="A13627" s="146"/>
      <c r="D13627" s="496"/>
    </row>
    <row r="13628" spans="1:4" x14ac:dyDescent="0.2">
      <c r="A13628" s="146"/>
      <c r="D13628" s="496"/>
    </row>
    <row r="13629" spans="1:4" x14ac:dyDescent="0.2">
      <c r="A13629" s="146"/>
      <c r="D13629" s="496"/>
    </row>
    <row r="13630" spans="1:4" x14ac:dyDescent="0.2">
      <c r="A13630" s="146"/>
      <c r="D13630" s="496"/>
    </row>
    <row r="13631" spans="1:4" x14ac:dyDescent="0.2">
      <c r="A13631" s="146"/>
      <c r="D13631" s="496"/>
    </row>
    <row r="13632" spans="1:4" x14ac:dyDescent="0.2">
      <c r="A13632" s="146"/>
      <c r="D13632" s="496"/>
    </row>
    <row r="13633" spans="1:4" x14ac:dyDescent="0.2">
      <c r="A13633" s="146"/>
      <c r="D13633" s="496"/>
    </row>
    <row r="13634" spans="1:4" x14ac:dyDescent="0.2">
      <c r="A13634" s="146"/>
      <c r="D13634" s="496"/>
    </row>
    <row r="13635" spans="1:4" x14ac:dyDescent="0.2">
      <c r="A13635" s="146"/>
      <c r="D13635" s="496"/>
    </row>
    <row r="13636" spans="1:4" x14ac:dyDescent="0.2">
      <c r="A13636" s="146"/>
      <c r="D13636" s="496"/>
    </row>
    <row r="13637" spans="1:4" x14ac:dyDescent="0.2">
      <c r="A13637" s="146"/>
      <c r="D13637" s="496"/>
    </row>
    <row r="13638" spans="1:4" x14ac:dyDescent="0.2">
      <c r="A13638" s="146"/>
      <c r="D13638" s="496"/>
    </row>
    <row r="13639" spans="1:4" x14ac:dyDescent="0.2">
      <c r="A13639" s="146"/>
      <c r="D13639" s="496"/>
    </row>
    <row r="13640" spans="1:4" x14ac:dyDescent="0.2">
      <c r="A13640" s="146"/>
      <c r="D13640" s="496"/>
    </row>
    <row r="13641" spans="1:4" x14ac:dyDescent="0.2">
      <c r="A13641" s="146"/>
      <c r="D13641" s="496"/>
    </row>
    <row r="13642" spans="1:4" x14ac:dyDescent="0.2">
      <c r="A13642" s="146"/>
      <c r="D13642" s="496"/>
    </row>
    <row r="13643" spans="1:4" x14ac:dyDescent="0.2">
      <c r="A13643" s="146"/>
      <c r="D13643" s="496"/>
    </row>
    <row r="13644" spans="1:4" x14ac:dyDescent="0.2">
      <c r="A13644" s="146"/>
      <c r="D13644" s="496"/>
    </row>
    <row r="13645" spans="1:4" x14ac:dyDescent="0.2">
      <c r="A13645" s="146"/>
      <c r="D13645" s="496"/>
    </row>
    <row r="13646" spans="1:4" x14ac:dyDescent="0.2">
      <c r="A13646" s="146"/>
      <c r="D13646" s="496"/>
    </row>
    <row r="13647" spans="1:4" x14ac:dyDescent="0.2">
      <c r="A13647" s="146"/>
      <c r="D13647" s="496"/>
    </row>
    <row r="13648" spans="1:4" x14ac:dyDescent="0.2">
      <c r="A13648" s="146"/>
      <c r="D13648" s="496"/>
    </row>
    <row r="13649" spans="1:4" x14ac:dyDescent="0.2">
      <c r="A13649" s="146"/>
      <c r="D13649" s="496"/>
    </row>
    <row r="13650" spans="1:4" x14ac:dyDescent="0.2">
      <c r="A13650" s="146"/>
      <c r="D13650" s="496"/>
    </row>
    <row r="13651" spans="1:4" x14ac:dyDescent="0.2">
      <c r="A13651" s="146"/>
      <c r="D13651" s="496"/>
    </row>
    <row r="13652" spans="1:4" x14ac:dyDescent="0.2">
      <c r="A13652" s="146"/>
      <c r="D13652" s="496"/>
    </row>
    <row r="13653" spans="1:4" x14ac:dyDescent="0.2">
      <c r="A13653" s="146"/>
      <c r="D13653" s="496"/>
    </row>
    <row r="13654" spans="1:4" x14ac:dyDescent="0.2">
      <c r="A13654" s="146"/>
      <c r="D13654" s="496"/>
    </row>
    <row r="13655" spans="1:4" x14ac:dyDescent="0.2">
      <c r="A13655" s="146"/>
      <c r="D13655" s="496"/>
    </row>
    <row r="13656" spans="1:4" x14ac:dyDescent="0.2">
      <c r="A13656" s="146"/>
      <c r="D13656" s="496"/>
    </row>
    <row r="13657" spans="1:4" x14ac:dyDescent="0.2">
      <c r="A13657" s="146"/>
      <c r="D13657" s="496"/>
    </row>
    <row r="13658" spans="1:4" x14ac:dyDescent="0.2">
      <c r="A13658" s="146"/>
      <c r="D13658" s="496"/>
    </row>
    <row r="13659" spans="1:4" x14ac:dyDescent="0.2">
      <c r="A13659" s="146"/>
      <c r="D13659" s="496"/>
    </row>
    <row r="13660" spans="1:4" x14ac:dyDescent="0.2">
      <c r="A13660" s="146"/>
      <c r="D13660" s="496"/>
    </row>
    <row r="13661" spans="1:4" x14ac:dyDescent="0.2">
      <c r="A13661" s="146"/>
      <c r="D13661" s="496"/>
    </row>
    <row r="13662" spans="1:4" x14ac:dyDescent="0.2">
      <c r="A13662" s="146"/>
      <c r="D13662" s="496"/>
    </row>
    <row r="13663" spans="1:4" x14ac:dyDescent="0.2">
      <c r="A13663" s="146"/>
      <c r="D13663" s="496"/>
    </row>
    <row r="13664" spans="1:4" x14ac:dyDescent="0.2">
      <c r="A13664" s="146"/>
      <c r="D13664" s="496"/>
    </row>
    <row r="13665" spans="1:4" x14ac:dyDescent="0.2">
      <c r="A13665" s="146"/>
      <c r="D13665" s="496"/>
    </row>
    <row r="13666" spans="1:4" x14ac:dyDescent="0.2">
      <c r="A13666" s="146"/>
      <c r="D13666" s="496"/>
    </row>
    <row r="13667" spans="1:4" x14ac:dyDescent="0.2">
      <c r="A13667" s="146"/>
      <c r="D13667" s="496"/>
    </row>
    <row r="13668" spans="1:4" x14ac:dyDescent="0.2">
      <c r="A13668" s="146"/>
      <c r="D13668" s="496"/>
    </row>
    <row r="13669" spans="1:4" x14ac:dyDescent="0.2">
      <c r="A13669" s="146"/>
      <c r="D13669" s="496"/>
    </row>
    <row r="13670" spans="1:4" x14ac:dyDescent="0.2">
      <c r="A13670" s="146"/>
      <c r="D13670" s="496"/>
    </row>
    <row r="13671" spans="1:4" x14ac:dyDescent="0.2">
      <c r="A13671" s="146"/>
      <c r="D13671" s="496"/>
    </row>
    <row r="13672" spans="1:4" x14ac:dyDescent="0.2">
      <c r="A13672" s="146"/>
      <c r="D13672" s="496"/>
    </row>
    <row r="13673" spans="1:4" x14ac:dyDescent="0.2">
      <c r="A13673" s="146"/>
      <c r="D13673" s="496"/>
    </row>
    <row r="13674" spans="1:4" x14ac:dyDescent="0.2">
      <c r="A13674" s="146"/>
      <c r="D13674" s="496"/>
    </row>
    <row r="13675" spans="1:4" x14ac:dyDescent="0.2">
      <c r="A13675" s="146"/>
      <c r="D13675" s="496"/>
    </row>
    <row r="13676" spans="1:4" x14ac:dyDescent="0.2">
      <c r="A13676" s="146"/>
      <c r="D13676" s="496"/>
    </row>
    <row r="13677" spans="1:4" x14ac:dyDescent="0.2">
      <c r="A13677" s="146"/>
      <c r="D13677" s="496"/>
    </row>
    <row r="13678" spans="1:4" x14ac:dyDescent="0.2">
      <c r="A13678" s="146"/>
      <c r="D13678" s="496"/>
    </row>
    <row r="13679" spans="1:4" x14ac:dyDescent="0.2">
      <c r="A13679" s="146"/>
      <c r="D13679" s="496"/>
    </row>
    <row r="13680" spans="1:4" x14ac:dyDescent="0.2">
      <c r="A13680" s="146"/>
      <c r="D13680" s="496"/>
    </row>
    <row r="13681" spans="1:4" x14ac:dyDescent="0.2">
      <c r="A13681" s="146"/>
      <c r="D13681" s="496"/>
    </row>
    <row r="13682" spans="1:4" x14ac:dyDescent="0.2">
      <c r="A13682" s="146"/>
      <c r="D13682" s="496"/>
    </row>
    <row r="13683" spans="1:4" x14ac:dyDescent="0.2">
      <c r="A13683" s="146"/>
      <c r="D13683" s="496"/>
    </row>
    <row r="13684" spans="1:4" x14ac:dyDescent="0.2">
      <c r="A13684" s="146"/>
      <c r="D13684" s="496"/>
    </row>
    <row r="13685" spans="1:4" x14ac:dyDescent="0.2">
      <c r="A13685" s="146"/>
      <c r="D13685" s="496"/>
    </row>
    <row r="13686" spans="1:4" x14ac:dyDescent="0.2">
      <c r="A13686" s="146"/>
      <c r="D13686" s="496"/>
    </row>
    <row r="13687" spans="1:4" x14ac:dyDescent="0.2">
      <c r="A13687" s="146"/>
      <c r="D13687" s="496"/>
    </row>
    <row r="13688" spans="1:4" x14ac:dyDescent="0.2">
      <c r="A13688" s="146"/>
      <c r="D13688" s="496"/>
    </row>
    <row r="13689" spans="1:4" x14ac:dyDescent="0.2">
      <c r="A13689" s="146"/>
      <c r="D13689" s="496"/>
    </row>
    <row r="13690" spans="1:4" x14ac:dyDescent="0.2">
      <c r="A13690" s="146"/>
      <c r="D13690" s="496"/>
    </row>
    <row r="13691" spans="1:4" x14ac:dyDescent="0.2">
      <c r="A13691" s="146"/>
      <c r="D13691" s="496"/>
    </row>
    <row r="13692" spans="1:4" x14ac:dyDescent="0.2">
      <c r="A13692" s="146"/>
      <c r="D13692" s="496"/>
    </row>
    <row r="13693" spans="1:4" x14ac:dyDescent="0.2">
      <c r="A13693" s="146"/>
      <c r="D13693" s="496"/>
    </row>
    <row r="13694" spans="1:4" x14ac:dyDescent="0.2">
      <c r="A13694" s="146"/>
      <c r="D13694" s="496"/>
    </row>
    <row r="13695" spans="1:4" x14ac:dyDescent="0.2">
      <c r="A13695" s="146"/>
      <c r="D13695" s="496"/>
    </row>
    <row r="13696" spans="1:4" x14ac:dyDescent="0.2">
      <c r="A13696" s="146"/>
      <c r="D13696" s="496"/>
    </row>
    <row r="13697" spans="1:4" x14ac:dyDescent="0.2">
      <c r="A13697" s="146"/>
      <c r="D13697" s="496"/>
    </row>
    <row r="13698" spans="1:4" x14ac:dyDescent="0.2">
      <c r="A13698" s="146"/>
      <c r="D13698" s="496"/>
    </row>
    <row r="13699" spans="1:4" x14ac:dyDescent="0.2">
      <c r="A13699" s="146"/>
      <c r="D13699" s="496"/>
    </row>
    <row r="13700" spans="1:4" x14ac:dyDescent="0.2">
      <c r="A13700" s="146"/>
      <c r="D13700" s="496"/>
    </row>
    <row r="13701" spans="1:4" x14ac:dyDescent="0.2">
      <c r="A13701" s="146"/>
      <c r="D13701" s="496"/>
    </row>
    <row r="13702" spans="1:4" x14ac:dyDescent="0.2">
      <c r="A13702" s="146"/>
      <c r="D13702" s="496"/>
    </row>
    <row r="13703" spans="1:4" x14ac:dyDescent="0.2">
      <c r="A13703" s="146"/>
      <c r="D13703" s="496"/>
    </row>
    <row r="13704" spans="1:4" x14ac:dyDescent="0.2">
      <c r="A13704" s="146"/>
      <c r="D13704" s="496"/>
    </row>
    <row r="13705" spans="1:4" x14ac:dyDescent="0.2">
      <c r="A13705" s="146"/>
      <c r="D13705" s="496"/>
    </row>
    <row r="13706" spans="1:4" x14ac:dyDescent="0.2">
      <c r="A13706" s="146"/>
      <c r="D13706" s="496"/>
    </row>
    <row r="13707" spans="1:4" x14ac:dyDescent="0.2">
      <c r="A13707" s="146"/>
      <c r="D13707" s="496"/>
    </row>
    <row r="13708" spans="1:4" x14ac:dyDescent="0.2">
      <c r="A13708" s="146"/>
      <c r="D13708" s="496"/>
    </row>
    <row r="13709" spans="1:4" x14ac:dyDescent="0.2">
      <c r="A13709" s="146"/>
      <c r="D13709" s="496"/>
    </row>
    <row r="13710" spans="1:4" x14ac:dyDescent="0.2">
      <c r="A13710" s="146"/>
      <c r="D13710" s="496"/>
    </row>
    <row r="13711" spans="1:4" x14ac:dyDescent="0.2">
      <c r="A13711" s="146"/>
      <c r="D13711" s="496"/>
    </row>
    <row r="13712" spans="1:4" x14ac:dyDescent="0.2">
      <c r="A13712" s="146"/>
      <c r="D13712" s="496"/>
    </row>
    <row r="13713" spans="1:4" x14ac:dyDescent="0.2">
      <c r="A13713" s="146"/>
      <c r="D13713" s="496"/>
    </row>
    <row r="13714" spans="1:4" x14ac:dyDescent="0.2">
      <c r="A13714" s="146"/>
      <c r="D13714" s="496"/>
    </row>
    <row r="13715" spans="1:4" x14ac:dyDescent="0.2">
      <c r="A13715" s="146"/>
      <c r="D13715" s="496"/>
    </row>
    <row r="13716" spans="1:4" x14ac:dyDescent="0.2">
      <c r="A13716" s="146"/>
      <c r="D13716" s="496"/>
    </row>
    <row r="13717" spans="1:4" x14ac:dyDescent="0.2">
      <c r="A13717" s="146"/>
      <c r="D13717" s="496"/>
    </row>
    <row r="13718" spans="1:4" x14ac:dyDescent="0.2">
      <c r="A13718" s="146"/>
      <c r="D13718" s="496"/>
    </row>
    <row r="13719" spans="1:4" x14ac:dyDescent="0.2">
      <c r="A13719" s="146"/>
      <c r="D13719" s="496"/>
    </row>
    <row r="13720" spans="1:4" x14ac:dyDescent="0.2">
      <c r="A13720" s="146"/>
      <c r="D13720" s="496"/>
    </row>
    <row r="13721" spans="1:4" x14ac:dyDescent="0.2">
      <c r="A13721" s="146"/>
      <c r="D13721" s="496"/>
    </row>
    <row r="13722" spans="1:4" x14ac:dyDescent="0.2">
      <c r="A13722" s="146"/>
      <c r="D13722" s="496"/>
    </row>
    <row r="13723" spans="1:4" x14ac:dyDescent="0.2">
      <c r="A13723" s="146"/>
      <c r="D13723" s="496"/>
    </row>
    <row r="13724" spans="1:4" x14ac:dyDescent="0.2">
      <c r="A13724" s="146"/>
      <c r="D13724" s="496"/>
    </row>
    <row r="13725" spans="1:4" x14ac:dyDescent="0.2">
      <c r="A13725" s="146"/>
      <c r="D13725" s="496"/>
    </row>
    <row r="13726" spans="1:4" x14ac:dyDescent="0.2">
      <c r="A13726" s="146"/>
      <c r="D13726" s="496"/>
    </row>
    <row r="13727" spans="1:4" x14ac:dyDescent="0.2">
      <c r="A13727" s="146"/>
      <c r="D13727" s="496"/>
    </row>
    <row r="13728" spans="1:4" x14ac:dyDescent="0.2">
      <c r="A13728" s="146"/>
      <c r="D13728" s="496"/>
    </row>
    <row r="13729" spans="1:4" x14ac:dyDescent="0.2">
      <c r="A13729" s="146"/>
      <c r="D13729" s="496"/>
    </row>
    <row r="13730" spans="1:4" x14ac:dyDescent="0.2">
      <c r="A13730" s="146"/>
      <c r="D13730" s="496"/>
    </row>
    <row r="13731" spans="1:4" x14ac:dyDescent="0.2">
      <c r="A13731" s="146"/>
      <c r="D13731" s="496"/>
    </row>
    <row r="13732" spans="1:4" x14ac:dyDescent="0.2">
      <c r="A13732" s="146"/>
      <c r="D13732" s="496"/>
    </row>
    <row r="13733" spans="1:4" x14ac:dyDescent="0.2">
      <c r="A13733" s="146"/>
      <c r="D13733" s="496"/>
    </row>
    <row r="13734" spans="1:4" x14ac:dyDescent="0.2">
      <c r="A13734" s="146"/>
      <c r="D13734" s="496"/>
    </row>
    <row r="13735" spans="1:4" x14ac:dyDescent="0.2">
      <c r="A13735" s="146"/>
      <c r="D13735" s="496"/>
    </row>
    <row r="13736" spans="1:4" x14ac:dyDescent="0.2">
      <c r="A13736" s="146"/>
      <c r="D13736" s="496"/>
    </row>
    <row r="13737" spans="1:4" x14ac:dyDescent="0.2">
      <c r="A13737" s="146"/>
      <c r="D13737" s="496"/>
    </row>
    <row r="13738" spans="1:4" x14ac:dyDescent="0.2">
      <c r="A13738" s="146"/>
      <c r="D13738" s="496"/>
    </row>
    <row r="13739" spans="1:4" x14ac:dyDescent="0.2">
      <c r="A13739" s="146"/>
      <c r="D13739" s="496"/>
    </row>
    <row r="13740" spans="1:4" x14ac:dyDescent="0.2">
      <c r="A13740" s="146"/>
      <c r="D13740" s="496"/>
    </row>
    <row r="13741" spans="1:4" x14ac:dyDescent="0.2">
      <c r="A13741" s="146"/>
      <c r="D13741" s="496"/>
    </row>
    <row r="13742" spans="1:4" x14ac:dyDescent="0.2">
      <c r="A13742" s="146"/>
      <c r="D13742" s="496"/>
    </row>
    <row r="13743" spans="1:4" x14ac:dyDescent="0.2">
      <c r="A13743" s="146"/>
      <c r="D13743" s="496"/>
    </row>
    <row r="13744" spans="1:4" x14ac:dyDescent="0.2">
      <c r="A13744" s="146"/>
      <c r="D13744" s="496"/>
    </row>
    <row r="13745" spans="1:4" x14ac:dyDescent="0.2">
      <c r="A13745" s="146"/>
      <c r="D13745" s="496"/>
    </row>
    <row r="13746" spans="1:4" x14ac:dyDescent="0.2">
      <c r="A13746" s="146"/>
      <c r="D13746" s="496"/>
    </row>
    <row r="13747" spans="1:4" x14ac:dyDescent="0.2">
      <c r="A13747" s="146"/>
      <c r="D13747" s="496"/>
    </row>
    <row r="13748" spans="1:4" x14ac:dyDescent="0.2">
      <c r="A13748" s="146"/>
      <c r="D13748" s="496"/>
    </row>
    <row r="13749" spans="1:4" x14ac:dyDescent="0.2">
      <c r="A13749" s="146"/>
      <c r="D13749" s="496"/>
    </row>
    <row r="13750" spans="1:4" x14ac:dyDescent="0.2">
      <c r="A13750" s="146"/>
      <c r="D13750" s="496"/>
    </row>
    <row r="13751" spans="1:4" x14ac:dyDescent="0.2">
      <c r="A13751" s="146"/>
      <c r="D13751" s="496"/>
    </row>
    <row r="13752" spans="1:4" x14ac:dyDescent="0.2">
      <c r="A13752" s="146"/>
      <c r="D13752" s="496"/>
    </row>
    <row r="13753" spans="1:4" x14ac:dyDescent="0.2">
      <c r="A13753" s="146"/>
      <c r="D13753" s="496"/>
    </row>
    <row r="13754" spans="1:4" x14ac:dyDescent="0.2">
      <c r="A13754" s="146"/>
      <c r="D13754" s="496"/>
    </row>
    <row r="13755" spans="1:4" x14ac:dyDescent="0.2">
      <c r="A13755" s="146"/>
      <c r="D13755" s="496"/>
    </row>
    <row r="13756" spans="1:4" x14ac:dyDescent="0.2">
      <c r="A13756" s="146"/>
      <c r="D13756" s="496"/>
    </row>
    <row r="13757" spans="1:4" x14ac:dyDescent="0.2">
      <c r="A13757" s="146"/>
      <c r="D13757" s="496"/>
    </row>
    <row r="13758" spans="1:4" x14ac:dyDescent="0.2">
      <c r="A13758" s="146"/>
      <c r="D13758" s="496"/>
    </row>
    <row r="13759" spans="1:4" x14ac:dyDescent="0.2">
      <c r="A13759" s="146"/>
      <c r="D13759" s="496"/>
    </row>
    <row r="13760" spans="1:4" x14ac:dyDescent="0.2">
      <c r="A13760" s="146"/>
      <c r="D13760" s="496"/>
    </row>
    <row r="13761" spans="1:4" x14ac:dyDescent="0.2">
      <c r="A13761" s="146"/>
      <c r="D13761" s="496"/>
    </row>
    <row r="13762" spans="1:4" x14ac:dyDescent="0.2">
      <c r="A13762" s="146"/>
      <c r="D13762" s="496"/>
    </row>
    <row r="13763" spans="1:4" x14ac:dyDescent="0.2">
      <c r="A13763" s="146"/>
      <c r="D13763" s="496"/>
    </row>
    <row r="13764" spans="1:4" x14ac:dyDescent="0.2">
      <c r="A13764" s="146"/>
      <c r="D13764" s="496"/>
    </row>
    <row r="13765" spans="1:4" x14ac:dyDescent="0.2">
      <c r="A13765" s="146"/>
      <c r="D13765" s="496"/>
    </row>
    <row r="13766" spans="1:4" x14ac:dyDescent="0.2">
      <c r="A13766" s="146"/>
      <c r="D13766" s="496"/>
    </row>
    <row r="13767" spans="1:4" x14ac:dyDescent="0.2">
      <c r="A13767" s="146"/>
      <c r="D13767" s="496"/>
    </row>
    <row r="13768" spans="1:4" x14ac:dyDescent="0.2">
      <c r="A13768" s="146"/>
      <c r="D13768" s="496"/>
    </row>
    <row r="13769" spans="1:4" x14ac:dyDescent="0.2">
      <c r="A13769" s="146"/>
      <c r="D13769" s="496"/>
    </row>
    <row r="13770" spans="1:4" x14ac:dyDescent="0.2">
      <c r="A13770" s="146"/>
      <c r="D13770" s="496"/>
    </row>
    <row r="13771" spans="1:4" x14ac:dyDescent="0.2">
      <c r="A13771" s="146"/>
      <c r="D13771" s="496"/>
    </row>
    <row r="13772" spans="1:4" x14ac:dyDescent="0.2">
      <c r="A13772" s="146"/>
      <c r="D13772" s="496"/>
    </row>
    <row r="13773" spans="1:4" x14ac:dyDescent="0.2">
      <c r="A13773" s="146"/>
      <c r="D13773" s="496"/>
    </row>
    <row r="13774" spans="1:4" x14ac:dyDescent="0.2">
      <c r="A13774" s="146"/>
      <c r="D13774" s="496"/>
    </row>
    <row r="13775" spans="1:4" x14ac:dyDescent="0.2">
      <c r="A13775" s="146"/>
      <c r="D13775" s="496"/>
    </row>
    <row r="13776" spans="1:4" x14ac:dyDescent="0.2">
      <c r="D13776" s="496"/>
    </row>
    <row r="13777" s="496" customFormat="1" x14ac:dyDescent="0.2"/>
    <row r="13778" s="496" customFormat="1" x14ac:dyDescent="0.2"/>
    <row r="13779" s="496" customFormat="1" x14ac:dyDescent="0.2"/>
    <row r="13780" s="496" customFormat="1" x14ac:dyDescent="0.2"/>
    <row r="13781" s="496" customFormat="1" x14ac:dyDescent="0.2"/>
    <row r="13782" s="496" customFormat="1" x14ac:dyDescent="0.2"/>
    <row r="13783" s="496" customFormat="1" x14ac:dyDescent="0.2"/>
    <row r="13784" s="496" customFormat="1" x14ac:dyDescent="0.2"/>
    <row r="13785" s="496" customFormat="1" x14ac:dyDescent="0.2"/>
    <row r="13786" s="496" customFormat="1" x14ac:dyDescent="0.2"/>
    <row r="13787" s="496" customFormat="1" x14ac:dyDescent="0.2"/>
    <row r="13788" s="496" customFormat="1" x14ac:dyDescent="0.2"/>
    <row r="13789" s="496" customFormat="1" x14ac:dyDescent="0.2"/>
    <row r="13790" s="496" customFormat="1" x14ac:dyDescent="0.2"/>
    <row r="13791" s="496" customFormat="1" x14ac:dyDescent="0.2"/>
    <row r="13792" s="496" customFormat="1" x14ac:dyDescent="0.2"/>
    <row r="13793" s="496" customFormat="1" x14ac:dyDescent="0.2"/>
    <row r="13794" s="496" customFormat="1" x14ac:dyDescent="0.2"/>
    <row r="13795" s="496" customFormat="1" x14ac:dyDescent="0.2"/>
    <row r="13796" s="496" customFormat="1" x14ac:dyDescent="0.2"/>
    <row r="13797" s="496" customFormat="1" x14ac:dyDescent="0.2"/>
    <row r="13798" s="496" customFormat="1" x14ac:dyDescent="0.2"/>
    <row r="13799" s="496" customFormat="1" x14ac:dyDescent="0.2"/>
    <row r="13800" s="496" customFormat="1" x14ac:dyDescent="0.2"/>
    <row r="13801" s="496" customFormat="1" x14ac:dyDescent="0.2"/>
    <row r="13802" s="496" customFormat="1" x14ac:dyDescent="0.2"/>
    <row r="13803" s="496" customFormat="1" x14ac:dyDescent="0.2"/>
    <row r="13804" s="496" customFormat="1" x14ac:dyDescent="0.2"/>
    <row r="13805" s="496" customFormat="1" x14ac:dyDescent="0.2"/>
    <row r="13806" s="496" customFormat="1" x14ac:dyDescent="0.2"/>
    <row r="13807" s="496" customFormat="1" x14ac:dyDescent="0.2"/>
    <row r="13808" s="496" customFormat="1" x14ac:dyDescent="0.2"/>
    <row r="13809" s="496" customFormat="1" x14ac:dyDescent="0.2"/>
    <row r="13810" s="496" customFormat="1" x14ac:dyDescent="0.2"/>
    <row r="13811" s="496" customFormat="1" x14ac:dyDescent="0.2"/>
    <row r="13812" s="496" customFormat="1" x14ac:dyDescent="0.2"/>
    <row r="13813" s="496" customFormat="1" x14ac:dyDescent="0.2"/>
    <row r="13814" s="496" customFormat="1" x14ac:dyDescent="0.2"/>
    <row r="13815" s="496" customFormat="1" x14ac:dyDescent="0.2"/>
    <row r="13816" s="496" customFormat="1" x14ac:dyDescent="0.2"/>
    <row r="13817" s="496" customFormat="1" x14ac:dyDescent="0.2"/>
    <row r="13818" s="496" customFormat="1" x14ac:dyDescent="0.2"/>
    <row r="13819" s="496" customFormat="1" x14ac:dyDescent="0.2"/>
    <row r="13820" s="496" customFormat="1" x14ac:dyDescent="0.2"/>
    <row r="13821" s="496" customFormat="1" x14ac:dyDescent="0.2"/>
    <row r="13822" s="496" customFormat="1" x14ac:dyDescent="0.2"/>
    <row r="13823" s="496" customFormat="1" x14ac:dyDescent="0.2"/>
    <row r="13824" s="496" customFormat="1" x14ac:dyDescent="0.2"/>
    <row r="13825" s="496" customFormat="1" x14ac:dyDescent="0.2"/>
    <row r="13826" s="496" customFormat="1" x14ac:dyDescent="0.2"/>
    <row r="13827" s="496" customFormat="1" x14ac:dyDescent="0.2"/>
    <row r="13828" s="496" customFormat="1" x14ac:dyDescent="0.2"/>
    <row r="13829" s="496" customFormat="1" x14ac:dyDescent="0.2"/>
    <row r="13830" s="496" customFormat="1" x14ac:dyDescent="0.2"/>
    <row r="13831" s="496" customFormat="1" x14ac:dyDescent="0.2"/>
    <row r="13832" s="496" customFormat="1" x14ac:dyDescent="0.2"/>
    <row r="13833" s="496" customFormat="1" x14ac:dyDescent="0.2"/>
    <row r="13834" s="496" customFormat="1" x14ac:dyDescent="0.2"/>
    <row r="13835" s="496" customFormat="1" x14ac:dyDescent="0.2"/>
    <row r="13836" s="496" customFormat="1" x14ac:dyDescent="0.2"/>
    <row r="13837" s="496" customFormat="1" x14ac:dyDescent="0.2"/>
    <row r="13838" s="496" customFormat="1" x14ac:dyDescent="0.2"/>
    <row r="13839" s="496" customFormat="1" x14ac:dyDescent="0.2"/>
    <row r="13840" s="496" customFormat="1" x14ac:dyDescent="0.2"/>
    <row r="13841" s="496" customFormat="1" x14ac:dyDescent="0.2"/>
    <row r="13842" s="496" customFormat="1" x14ac:dyDescent="0.2"/>
    <row r="13843" s="496" customFormat="1" x14ac:dyDescent="0.2"/>
    <row r="13844" s="496" customFormat="1" x14ac:dyDescent="0.2"/>
    <row r="13845" s="496" customFormat="1" x14ac:dyDescent="0.2"/>
    <row r="13846" s="496" customFormat="1" x14ac:dyDescent="0.2"/>
    <row r="13847" s="496" customFormat="1" x14ac:dyDescent="0.2"/>
    <row r="13848" s="496" customFormat="1" x14ac:dyDescent="0.2"/>
    <row r="13849" s="496" customFormat="1" x14ac:dyDescent="0.2"/>
    <row r="13850" s="496" customFormat="1" x14ac:dyDescent="0.2"/>
    <row r="13851" s="496" customFormat="1" x14ac:dyDescent="0.2"/>
    <row r="13852" s="496" customFormat="1" x14ac:dyDescent="0.2"/>
    <row r="13853" s="496" customFormat="1" x14ac:dyDescent="0.2"/>
    <row r="13854" s="496" customFormat="1" x14ac:dyDescent="0.2"/>
    <row r="13855" s="496" customFormat="1" x14ac:dyDescent="0.2"/>
    <row r="13856" s="496" customFormat="1" x14ac:dyDescent="0.2"/>
    <row r="13857" s="496" customFormat="1" x14ac:dyDescent="0.2"/>
    <row r="13858" s="496" customFormat="1" x14ac:dyDescent="0.2"/>
    <row r="13859" s="496" customFormat="1" x14ac:dyDescent="0.2"/>
    <row r="13860" s="496" customFormat="1" x14ac:dyDescent="0.2"/>
    <row r="13861" s="496" customFormat="1" x14ac:dyDescent="0.2"/>
    <row r="13862" s="496" customFormat="1" x14ac:dyDescent="0.2"/>
    <row r="13863" s="496" customFormat="1" x14ac:dyDescent="0.2"/>
    <row r="13864" s="496" customFormat="1" x14ac:dyDescent="0.2"/>
    <row r="13865" s="496" customFormat="1" x14ac:dyDescent="0.2"/>
    <row r="13866" s="496" customFormat="1" x14ac:dyDescent="0.2"/>
    <row r="13867" s="496" customFormat="1" x14ac:dyDescent="0.2"/>
    <row r="13868" s="496" customFormat="1" x14ac:dyDescent="0.2"/>
    <row r="13869" s="496" customFormat="1" x14ac:dyDescent="0.2"/>
    <row r="13870" s="496" customFormat="1" x14ac:dyDescent="0.2"/>
    <row r="13871" s="496" customFormat="1" x14ac:dyDescent="0.2"/>
    <row r="13872" s="496" customFormat="1" x14ac:dyDescent="0.2"/>
    <row r="13873" s="496" customFormat="1" x14ac:dyDescent="0.2"/>
    <row r="13874" s="496" customFormat="1" x14ac:dyDescent="0.2"/>
    <row r="13875" s="496" customFormat="1" x14ac:dyDescent="0.2"/>
    <row r="13876" s="496" customFormat="1" x14ac:dyDescent="0.2"/>
    <row r="13877" s="496" customFormat="1" x14ac:dyDescent="0.2"/>
    <row r="13878" s="496" customFormat="1" x14ac:dyDescent="0.2"/>
    <row r="13879" s="496" customFormat="1" x14ac:dyDescent="0.2"/>
    <row r="13880" s="496" customFormat="1" x14ac:dyDescent="0.2"/>
    <row r="13881" s="496" customFormat="1" x14ac:dyDescent="0.2"/>
    <row r="13882" s="496" customFormat="1" x14ac:dyDescent="0.2"/>
    <row r="13883" s="496" customFormat="1" x14ac:dyDescent="0.2"/>
    <row r="13884" s="496" customFormat="1" x14ac:dyDescent="0.2"/>
    <row r="13885" s="496" customFormat="1" x14ac:dyDescent="0.2"/>
    <row r="13886" s="496" customFormat="1" x14ac:dyDescent="0.2"/>
    <row r="13887" s="496" customFormat="1" x14ac:dyDescent="0.2"/>
    <row r="13888" s="496" customFormat="1" x14ac:dyDescent="0.2"/>
    <row r="13889" s="496" customFormat="1" x14ac:dyDescent="0.2"/>
    <row r="13890" s="496" customFormat="1" x14ac:dyDescent="0.2"/>
    <row r="13891" s="496" customFormat="1" x14ac:dyDescent="0.2"/>
    <row r="13892" s="496" customFormat="1" x14ac:dyDescent="0.2"/>
    <row r="13893" s="496" customFormat="1" x14ac:dyDescent="0.2"/>
    <row r="13894" s="496" customFormat="1" x14ac:dyDescent="0.2"/>
    <row r="13895" s="496" customFormat="1" x14ac:dyDescent="0.2"/>
    <row r="13896" s="496" customFormat="1" x14ac:dyDescent="0.2"/>
    <row r="13897" s="496" customFormat="1" x14ac:dyDescent="0.2"/>
    <row r="13898" s="496" customFormat="1" x14ac:dyDescent="0.2"/>
    <row r="13899" s="496" customFormat="1" x14ac:dyDescent="0.2"/>
    <row r="13900" s="496" customFormat="1" x14ac:dyDescent="0.2"/>
    <row r="13901" s="496" customFormat="1" x14ac:dyDescent="0.2"/>
    <row r="13902" s="496" customFormat="1" x14ac:dyDescent="0.2"/>
    <row r="13903" s="496" customFormat="1" x14ac:dyDescent="0.2"/>
    <row r="13904" s="496" customFormat="1" x14ac:dyDescent="0.2"/>
    <row r="13905" s="496" customFormat="1" x14ac:dyDescent="0.2"/>
    <row r="13906" s="496" customFormat="1" x14ac:dyDescent="0.2"/>
    <row r="13907" s="496" customFormat="1" x14ac:dyDescent="0.2"/>
    <row r="13908" s="496" customFormat="1" x14ac:dyDescent="0.2"/>
    <row r="13909" s="496" customFormat="1" x14ac:dyDescent="0.2"/>
    <row r="13910" s="496" customFormat="1" x14ac:dyDescent="0.2"/>
    <row r="13911" s="496" customFormat="1" x14ac:dyDescent="0.2"/>
    <row r="13912" s="496" customFormat="1" x14ac:dyDescent="0.2"/>
    <row r="13913" s="496" customFormat="1" x14ac:dyDescent="0.2"/>
    <row r="13914" s="496" customFormat="1" x14ac:dyDescent="0.2"/>
    <row r="13915" s="496" customFormat="1" x14ac:dyDescent="0.2"/>
    <row r="13916" s="496" customFormat="1" x14ac:dyDescent="0.2"/>
    <row r="13917" s="496" customFormat="1" x14ac:dyDescent="0.2"/>
    <row r="13918" s="496" customFormat="1" x14ac:dyDescent="0.2"/>
    <row r="13919" s="496" customFormat="1" x14ac:dyDescent="0.2"/>
    <row r="13920" s="496" customFormat="1" x14ac:dyDescent="0.2"/>
    <row r="13921" s="496" customFormat="1" x14ac:dyDescent="0.2"/>
    <row r="13922" s="496" customFormat="1" x14ac:dyDescent="0.2"/>
    <row r="13923" s="496" customFormat="1" x14ac:dyDescent="0.2"/>
    <row r="13924" s="496" customFormat="1" x14ac:dyDescent="0.2"/>
    <row r="13925" s="496" customFormat="1" x14ac:dyDescent="0.2"/>
    <row r="13926" s="496" customFormat="1" x14ac:dyDescent="0.2"/>
    <row r="13927" s="496" customFormat="1" x14ac:dyDescent="0.2"/>
    <row r="13928" s="496" customFormat="1" x14ac:dyDescent="0.2"/>
    <row r="13929" s="496" customFormat="1" x14ac:dyDescent="0.2"/>
    <row r="13930" s="496" customFormat="1" x14ac:dyDescent="0.2"/>
    <row r="13931" s="496" customFormat="1" x14ac:dyDescent="0.2"/>
    <row r="13932" s="496" customFormat="1" x14ac:dyDescent="0.2"/>
    <row r="13933" s="496" customFormat="1" x14ac:dyDescent="0.2"/>
    <row r="13934" s="496" customFormat="1" x14ac:dyDescent="0.2"/>
    <row r="13935" s="496" customFormat="1" x14ac:dyDescent="0.2"/>
    <row r="13936" s="496" customFormat="1" x14ac:dyDescent="0.2"/>
    <row r="13937" s="496" customFormat="1" x14ac:dyDescent="0.2"/>
    <row r="13938" s="496" customFormat="1" x14ac:dyDescent="0.2"/>
    <row r="13939" s="496" customFormat="1" x14ac:dyDescent="0.2"/>
    <row r="13940" s="496" customFormat="1" x14ac:dyDescent="0.2"/>
    <row r="13941" s="496" customFormat="1" x14ac:dyDescent="0.2"/>
    <row r="13942" s="496" customFormat="1" x14ac:dyDescent="0.2"/>
    <row r="13943" s="496" customFormat="1" x14ac:dyDescent="0.2"/>
    <row r="13944" s="496" customFormat="1" x14ac:dyDescent="0.2"/>
    <row r="13945" s="496" customFormat="1" x14ac:dyDescent="0.2"/>
    <row r="13946" s="496" customFormat="1" x14ac:dyDescent="0.2"/>
    <row r="13947" s="496" customFormat="1" x14ac:dyDescent="0.2"/>
    <row r="13948" s="496" customFormat="1" x14ac:dyDescent="0.2"/>
    <row r="13949" s="496" customFormat="1" x14ac:dyDescent="0.2"/>
    <row r="13950" s="496" customFormat="1" x14ac:dyDescent="0.2"/>
    <row r="13951" s="496" customFormat="1" x14ac:dyDescent="0.2"/>
    <row r="13952" s="496" customFormat="1" x14ac:dyDescent="0.2"/>
    <row r="13953" s="496" customFormat="1" x14ac:dyDescent="0.2"/>
    <row r="13954" s="496" customFormat="1" x14ac:dyDescent="0.2"/>
    <row r="13955" s="496" customFormat="1" x14ac:dyDescent="0.2"/>
    <row r="13956" s="496" customFormat="1" x14ac:dyDescent="0.2"/>
    <row r="13957" s="496" customFormat="1" x14ac:dyDescent="0.2"/>
    <row r="13958" s="496" customFormat="1" x14ac:dyDescent="0.2"/>
    <row r="13959" s="496" customFormat="1" x14ac:dyDescent="0.2"/>
    <row r="13960" s="496" customFormat="1" x14ac:dyDescent="0.2"/>
    <row r="13961" s="496" customFormat="1" x14ac:dyDescent="0.2"/>
    <row r="13962" s="496" customFormat="1" x14ac:dyDescent="0.2"/>
    <row r="13963" s="496" customFormat="1" x14ac:dyDescent="0.2"/>
    <row r="13964" s="496" customFormat="1" x14ac:dyDescent="0.2"/>
    <row r="13965" s="496" customFormat="1" x14ac:dyDescent="0.2"/>
    <row r="13966" s="496" customFormat="1" x14ac:dyDescent="0.2"/>
    <row r="13967" s="496" customFormat="1" x14ac:dyDescent="0.2"/>
    <row r="13968" s="496" customFormat="1" x14ac:dyDescent="0.2"/>
    <row r="13969" s="496" customFormat="1" x14ac:dyDescent="0.2"/>
    <row r="13970" s="496" customFormat="1" x14ac:dyDescent="0.2"/>
    <row r="13971" s="496" customFormat="1" x14ac:dyDescent="0.2"/>
    <row r="13972" s="496" customFormat="1" x14ac:dyDescent="0.2"/>
    <row r="13973" s="496" customFormat="1" x14ac:dyDescent="0.2"/>
    <row r="13974" s="496" customFormat="1" x14ac:dyDescent="0.2"/>
    <row r="13975" s="496" customFormat="1" x14ac:dyDescent="0.2"/>
    <row r="13976" s="496" customFormat="1" x14ac:dyDescent="0.2"/>
    <row r="13977" s="496" customFormat="1" x14ac:dyDescent="0.2"/>
    <row r="13978" s="496" customFormat="1" x14ac:dyDescent="0.2"/>
    <row r="13979" s="496" customFormat="1" x14ac:dyDescent="0.2"/>
    <row r="13980" s="496" customFormat="1" x14ac:dyDescent="0.2"/>
    <row r="13981" s="496" customFormat="1" x14ac:dyDescent="0.2"/>
    <row r="13982" s="496" customFormat="1" x14ac:dyDescent="0.2"/>
    <row r="13983" s="496" customFormat="1" x14ac:dyDescent="0.2"/>
    <row r="13984" s="496" customFormat="1" x14ac:dyDescent="0.2"/>
    <row r="13985" s="496" customFormat="1" x14ac:dyDescent="0.2"/>
    <row r="13986" s="496" customFormat="1" x14ac:dyDescent="0.2"/>
    <row r="13987" s="496" customFormat="1" x14ac:dyDescent="0.2"/>
    <row r="13988" s="496" customFormat="1" x14ac:dyDescent="0.2"/>
    <row r="13989" s="496" customFormat="1" x14ac:dyDescent="0.2"/>
    <row r="13990" s="496" customFormat="1" x14ac:dyDescent="0.2"/>
    <row r="13991" s="496" customFormat="1" x14ac:dyDescent="0.2"/>
    <row r="13992" s="496" customFormat="1" x14ac:dyDescent="0.2"/>
    <row r="13993" s="496" customFormat="1" x14ac:dyDescent="0.2"/>
    <row r="13994" s="496" customFormat="1" x14ac:dyDescent="0.2"/>
    <row r="13995" s="496" customFormat="1" x14ac:dyDescent="0.2"/>
    <row r="13996" s="496" customFormat="1" x14ac:dyDescent="0.2"/>
    <row r="13997" s="496" customFormat="1" x14ac:dyDescent="0.2"/>
    <row r="13998" s="496" customFormat="1" x14ac:dyDescent="0.2"/>
    <row r="13999" s="496" customFormat="1" x14ac:dyDescent="0.2"/>
    <row r="14000" s="496" customFormat="1" x14ac:dyDescent="0.2"/>
    <row r="14001" s="496" customFormat="1" x14ac:dyDescent="0.2"/>
    <row r="14002" s="496" customFormat="1" x14ac:dyDescent="0.2"/>
    <row r="14003" s="496" customFormat="1" x14ac:dyDescent="0.2"/>
    <row r="14004" s="496" customFormat="1" x14ac:dyDescent="0.2"/>
    <row r="14005" s="496" customFormat="1" x14ac:dyDescent="0.2"/>
    <row r="14006" s="496" customFormat="1" x14ac:dyDescent="0.2"/>
    <row r="14007" s="496" customFormat="1" x14ac:dyDescent="0.2"/>
    <row r="14008" s="496" customFormat="1" x14ac:dyDescent="0.2"/>
    <row r="14009" s="496" customFormat="1" x14ac:dyDescent="0.2"/>
    <row r="14010" s="496" customFormat="1" x14ac:dyDescent="0.2"/>
    <row r="14011" s="496" customFormat="1" x14ac:dyDescent="0.2"/>
    <row r="14012" s="496" customFormat="1" x14ac:dyDescent="0.2"/>
    <row r="14013" s="496" customFormat="1" x14ac:dyDescent="0.2"/>
    <row r="14014" s="496" customFormat="1" x14ac:dyDescent="0.2"/>
    <row r="14015" s="496" customFormat="1" x14ac:dyDescent="0.2"/>
    <row r="14016" s="496" customFormat="1" x14ac:dyDescent="0.2"/>
    <row r="14017" s="496" customFormat="1" x14ac:dyDescent="0.2"/>
    <row r="14018" s="496" customFormat="1" x14ac:dyDescent="0.2"/>
    <row r="14019" s="496" customFormat="1" x14ac:dyDescent="0.2"/>
    <row r="14020" s="496" customFormat="1" x14ac:dyDescent="0.2"/>
    <row r="14021" s="496" customFormat="1" x14ac:dyDescent="0.2"/>
    <row r="14022" s="496" customFormat="1" x14ac:dyDescent="0.2"/>
    <row r="14023" s="496" customFormat="1" x14ac:dyDescent="0.2"/>
    <row r="14024" s="496" customFormat="1" x14ac:dyDescent="0.2"/>
    <row r="14025" s="496" customFormat="1" x14ac:dyDescent="0.2"/>
    <row r="14026" s="496" customFormat="1" x14ac:dyDescent="0.2"/>
    <row r="14027" s="496" customFormat="1" x14ac:dyDescent="0.2"/>
    <row r="14028" s="496" customFormat="1" x14ac:dyDescent="0.2"/>
    <row r="14029" s="496" customFormat="1" x14ac:dyDescent="0.2"/>
    <row r="14030" s="496" customFormat="1" x14ac:dyDescent="0.2"/>
    <row r="14031" s="496" customFormat="1" x14ac:dyDescent="0.2"/>
    <row r="14032" s="496" customFormat="1" x14ac:dyDescent="0.2"/>
    <row r="14033" s="496" customFormat="1" x14ac:dyDescent="0.2"/>
    <row r="14034" s="496" customFormat="1" x14ac:dyDescent="0.2"/>
    <row r="14035" s="496" customFormat="1" x14ac:dyDescent="0.2"/>
    <row r="14036" s="496" customFormat="1" x14ac:dyDescent="0.2"/>
    <row r="14037" s="496" customFormat="1" x14ac:dyDescent="0.2"/>
    <row r="14038" s="496" customFormat="1" x14ac:dyDescent="0.2"/>
    <row r="14039" s="496" customFormat="1" x14ac:dyDescent="0.2"/>
    <row r="14040" s="496" customFormat="1" x14ac:dyDescent="0.2"/>
    <row r="14041" s="496" customFormat="1" x14ac:dyDescent="0.2"/>
    <row r="14042" s="496" customFormat="1" x14ac:dyDescent="0.2"/>
    <row r="14043" s="496" customFormat="1" x14ac:dyDescent="0.2"/>
    <row r="14044" s="496" customFormat="1" x14ac:dyDescent="0.2"/>
    <row r="14045" s="496" customFormat="1" x14ac:dyDescent="0.2"/>
    <row r="14046" s="496" customFormat="1" x14ac:dyDescent="0.2"/>
    <row r="14047" s="496" customFormat="1" x14ac:dyDescent="0.2"/>
    <row r="14048" s="496" customFormat="1" x14ac:dyDescent="0.2"/>
    <row r="14049" s="496" customFormat="1" x14ac:dyDescent="0.2"/>
    <row r="14050" s="496" customFormat="1" x14ac:dyDescent="0.2"/>
    <row r="14051" s="496" customFormat="1" x14ac:dyDescent="0.2"/>
    <row r="14052" s="496" customFormat="1" x14ac:dyDescent="0.2"/>
    <row r="14053" s="496" customFormat="1" x14ac:dyDescent="0.2"/>
    <row r="14054" s="496" customFormat="1" x14ac:dyDescent="0.2"/>
    <row r="14055" s="496" customFormat="1" x14ac:dyDescent="0.2"/>
    <row r="14056" s="496" customFormat="1" x14ac:dyDescent="0.2"/>
    <row r="14057" s="496" customFormat="1" x14ac:dyDescent="0.2"/>
    <row r="14058" s="496" customFormat="1" x14ac:dyDescent="0.2"/>
    <row r="14059" s="496" customFormat="1" x14ac:dyDescent="0.2"/>
    <row r="14060" s="496" customFormat="1" x14ac:dyDescent="0.2"/>
    <row r="14061" s="496" customFormat="1" x14ac:dyDescent="0.2"/>
    <row r="14062" s="496" customFormat="1" x14ac:dyDescent="0.2"/>
    <row r="14063" s="496" customFormat="1" x14ac:dyDescent="0.2"/>
    <row r="14064" s="496" customFormat="1" x14ac:dyDescent="0.2"/>
    <row r="14065" s="496" customFormat="1" x14ac:dyDescent="0.2"/>
    <row r="14066" s="496" customFormat="1" x14ac:dyDescent="0.2"/>
    <row r="14067" s="496" customFormat="1" x14ac:dyDescent="0.2"/>
    <row r="14068" s="496" customFormat="1" x14ac:dyDescent="0.2"/>
    <row r="14069" s="496" customFormat="1" x14ac:dyDescent="0.2"/>
    <row r="14070" s="496" customFormat="1" x14ac:dyDescent="0.2"/>
    <row r="14071" s="496" customFormat="1" x14ac:dyDescent="0.2"/>
    <row r="14072" s="496" customFormat="1" x14ac:dyDescent="0.2"/>
    <row r="14073" s="496" customFormat="1" x14ac:dyDescent="0.2"/>
    <row r="14074" s="496" customFormat="1" x14ac:dyDescent="0.2"/>
    <row r="14075" s="496" customFormat="1" x14ac:dyDescent="0.2"/>
    <row r="14076" s="496" customFormat="1" x14ac:dyDescent="0.2"/>
    <row r="14077" s="496" customFormat="1" x14ac:dyDescent="0.2"/>
    <row r="14078" s="496" customFormat="1" x14ac:dyDescent="0.2"/>
    <row r="14079" s="496" customFormat="1" x14ac:dyDescent="0.2"/>
    <row r="14080" s="496" customFormat="1" x14ac:dyDescent="0.2"/>
    <row r="14081" s="496" customFormat="1" x14ac:dyDescent="0.2"/>
    <row r="14082" s="496" customFormat="1" x14ac:dyDescent="0.2"/>
    <row r="14083" s="496" customFormat="1" x14ac:dyDescent="0.2"/>
    <row r="14084" s="496" customFormat="1" x14ac:dyDescent="0.2"/>
    <row r="14085" s="496" customFormat="1" x14ac:dyDescent="0.2"/>
    <row r="14086" s="496" customFormat="1" x14ac:dyDescent="0.2"/>
    <row r="14087" s="496" customFormat="1" x14ac:dyDescent="0.2"/>
    <row r="14088" s="496" customFormat="1" x14ac:dyDescent="0.2"/>
    <row r="14089" s="496" customFormat="1" x14ac:dyDescent="0.2"/>
    <row r="14090" s="496" customFormat="1" x14ac:dyDescent="0.2"/>
    <row r="14091" s="496" customFormat="1" x14ac:dyDescent="0.2"/>
    <row r="14092" s="496" customFormat="1" x14ac:dyDescent="0.2"/>
    <row r="14093" s="496" customFormat="1" x14ac:dyDescent="0.2"/>
    <row r="14094" s="496" customFormat="1" x14ac:dyDescent="0.2"/>
    <row r="14095" s="496" customFormat="1" x14ac:dyDescent="0.2"/>
    <row r="14096" s="496" customFormat="1" x14ac:dyDescent="0.2"/>
    <row r="14097" s="496" customFormat="1" x14ac:dyDescent="0.2"/>
    <row r="14098" s="496" customFormat="1" x14ac:dyDescent="0.2"/>
    <row r="14099" s="496" customFormat="1" x14ac:dyDescent="0.2"/>
    <row r="14100" s="496" customFormat="1" x14ac:dyDescent="0.2"/>
    <row r="14101" s="496" customFormat="1" x14ac:dyDescent="0.2"/>
    <row r="14102" s="496" customFormat="1" x14ac:dyDescent="0.2"/>
    <row r="14103" s="496" customFormat="1" x14ac:dyDescent="0.2"/>
    <row r="14104" s="496" customFormat="1" x14ac:dyDescent="0.2"/>
    <row r="14105" s="496" customFormat="1" x14ac:dyDescent="0.2"/>
    <row r="14106" s="496" customFormat="1" x14ac:dyDescent="0.2"/>
    <row r="14107" s="496" customFormat="1" x14ac:dyDescent="0.2"/>
    <row r="14108" s="496" customFormat="1" x14ac:dyDescent="0.2"/>
    <row r="14109" s="496" customFormat="1" x14ac:dyDescent="0.2"/>
    <row r="14110" s="496" customFormat="1" x14ac:dyDescent="0.2"/>
    <row r="14111" s="496" customFormat="1" x14ac:dyDescent="0.2"/>
    <row r="14112" s="496" customFormat="1" x14ac:dyDescent="0.2"/>
    <row r="14113" s="496" customFormat="1" x14ac:dyDescent="0.2"/>
    <row r="14114" s="496" customFormat="1" x14ac:dyDescent="0.2"/>
    <row r="14115" s="496" customFormat="1" x14ac:dyDescent="0.2"/>
    <row r="14116" s="496" customFormat="1" x14ac:dyDescent="0.2"/>
    <row r="14117" s="496" customFormat="1" x14ac:dyDescent="0.2"/>
    <row r="14118" s="496" customFormat="1" x14ac:dyDescent="0.2"/>
    <row r="14119" s="496" customFormat="1" x14ac:dyDescent="0.2"/>
    <row r="14120" s="496" customFormat="1" x14ac:dyDescent="0.2"/>
    <row r="14121" s="496" customFormat="1" x14ac:dyDescent="0.2"/>
    <row r="14122" s="496" customFormat="1" x14ac:dyDescent="0.2"/>
    <row r="14123" s="496" customFormat="1" x14ac:dyDescent="0.2"/>
    <row r="14124" s="496" customFormat="1" x14ac:dyDescent="0.2"/>
    <row r="14125" s="496" customFormat="1" x14ac:dyDescent="0.2"/>
    <row r="14126" s="496" customFormat="1" x14ac:dyDescent="0.2"/>
    <row r="14127" s="496" customFormat="1" x14ac:dyDescent="0.2"/>
    <row r="14128" s="496" customFormat="1" x14ac:dyDescent="0.2"/>
    <row r="14129" s="496" customFormat="1" x14ac:dyDescent="0.2"/>
    <row r="14130" s="496" customFormat="1" x14ac:dyDescent="0.2"/>
    <row r="14131" s="496" customFormat="1" x14ac:dyDescent="0.2"/>
    <row r="14132" s="496" customFormat="1" x14ac:dyDescent="0.2"/>
    <row r="14133" s="496" customFormat="1" x14ac:dyDescent="0.2"/>
    <row r="14134" s="496" customFormat="1" x14ac:dyDescent="0.2"/>
    <row r="14135" s="496" customFormat="1" x14ac:dyDescent="0.2"/>
    <row r="14136" s="496" customFormat="1" x14ac:dyDescent="0.2"/>
    <row r="14137" s="496" customFormat="1" x14ac:dyDescent="0.2"/>
    <row r="14138" s="496" customFormat="1" x14ac:dyDescent="0.2"/>
    <row r="14139" s="496" customFormat="1" x14ac:dyDescent="0.2"/>
    <row r="14140" s="496" customFormat="1" x14ac:dyDescent="0.2"/>
    <row r="14141" s="496" customFormat="1" x14ac:dyDescent="0.2"/>
    <row r="14142" s="496" customFormat="1" x14ac:dyDescent="0.2"/>
    <row r="14143" s="496" customFormat="1" x14ac:dyDescent="0.2"/>
    <row r="14144" s="496" customFormat="1" x14ac:dyDescent="0.2"/>
    <row r="14145" s="496" customFormat="1" x14ac:dyDescent="0.2"/>
    <row r="14146" s="496" customFormat="1" x14ac:dyDescent="0.2"/>
    <row r="14147" s="496" customFormat="1" x14ac:dyDescent="0.2"/>
    <row r="14148" s="496" customFormat="1" x14ac:dyDescent="0.2"/>
    <row r="14149" s="496" customFormat="1" x14ac:dyDescent="0.2"/>
    <row r="14150" s="496" customFormat="1" x14ac:dyDescent="0.2"/>
    <row r="14151" s="496" customFormat="1" x14ac:dyDescent="0.2"/>
    <row r="14152" s="496" customFormat="1" x14ac:dyDescent="0.2"/>
    <row r="14153" s="496" customFormat="1" x14ac:dyDescent="0.2"/>
    <row r="14154" s="496" customFormat="1" x14ac:dyDescent="0.2"/>
    <row r="14155" s="496" customFormat="1" x14ac:dyDescent="0.2"/>
    <row r="14156" s="496" customFormat="1" x14ac:dyDescent="0.2"/>
    <row r="14157" s="496" customFormat="1" x14ac:dyDescent="0.2"/>
    <row r="14158" s="496" customFormat="1" x14ac:dyDescent="0.2"/>
    <row r="14159" s="496" customFormat="1" x14ac:dyDescent="0.2"/>
    <row r="14160" s="496" customFormat="1" x14ac:dyDescent="0.2"/>
    <row r="14161" s="496" customFormat="1" x14ac:dyDescent="0.2"/>
    <row r="14162" s="496" customFormat="1" x14ac:dyDescent="0.2"/>
    <row r="14163" s="496" customFormat="1" x14ac:dyDescent="0.2"/>
    <row r="14164" s="496" customFormat="1" x14ac:dyDescent="0.2"/>
    <row r="14165" s="496" customFormat="1" x14ac:dyDescent="0.2"/>
    <row r="14166" s="496" customFormat="1" x14ac:dyDescent="0.2"/>
    <row r="14167" s="496" customFormat="1" x14ac:dyDescent="0.2"/>
    <row r="14168" s="496" customFormat="1" x14ac:dyDescent="0.2"/>
    <row r="14169" s="496" customFormat="1" x14ac:dyDescent="0.2"/>
    <row r="14170" s="496" customFormat="1" x14ac:dyDescent="0.2"/>
    <row r="14171" s="496" customFormat="1" x14ac:dyDescent="0.2"/>
    <row r="14172" s="496" customFormat="1" x14ac:dyDescent="0.2"/>
    <row r="14173" s="496" customFormat="1" x14ac:dyDescent="0.2"/>
    <row r="14174" s="496" customFormat="1" x14ac:dyDescent="0.2"/>
    <row r="14175" s="496" customFormat="1" x14ac:dyDescent="0.2"/>
    <row r="14176" s="496" customFormat="1" x14ac:dyDescent="0.2"/>
    <row r="14177" s="496" customFormat="1" x14ac:dyDescent="0.2"/>
    <row r="14178" s="496" customFormat="1" x14ac:dyDescent="0.2"/>
    <row r="14179" s="496" customFormat="1" x14ac:dyDescent="0.2"/>
    <row r="14180" s="496" customFormat="1" x14ac:dyDescent="0.2"/>
    <row r="14181" s="496" customFormat="1" x14ac:dyDescent="0.2"/>
    <row r="14182" s="496" customFormat="1" x14ac:dyDescent="0.2"/>
    <row r="14183" s="496" customFormat="1" x14ac:dyDescent="0.2"/>
    <row r="14184" s="496" customFormat="1" x14ac:dyDescent="0.2"/>
    <row r="14185" s="496" customFormat="1" x14ac:dyDescent="0.2"/>
    <row r="14186" s="496" customFormat="1" x14ac:dyDescent="0.2"/>
    <row r="14187" s="496" customFormat="1" x14ac:dyDescent="0.2"/>
    <row r="14188" s="496" customFormat="1" x14ac:dyDescent="0.2"/>
    <row r="14189" s="496" customFormat="1" x14ac:dyDescent="0.2"/>
    <row r="14190" s="496" customFormat="1" x14ac:dyDescent="0.2"/>
    <row r="14191" s="496" customFormat="1" x14ac:dyDescent="0.2"/>
    <row r="14192" s="496" customFormat="1" x14ac:dyDescent="0.2"/>
    <row r="14193" s="496" customFormat="1" x14ac:dyDescent="0.2"/>
    <row r="14194" s="496" customFormat="1" x14ac:dyDescent="0.2"/>
    <row r="14195" s="496" customFormat="1" x14ac:dyDescent="0.2"/>
    <row r="14196" s="496" customFormat="1" x14ac:dyDescent="0.2"/>
    <row r="14197" s="496" customFormat="1" x14ac:dyDescent="0.2"/>
    <row r="14198" s="496" customFormat="1" x14ac:dyDescent="0.2"/>
    <row r="14199" s="496" customFormat="1" x14ac:dyDescent="0.2"/>
    <row r="14200" s="496" customFormat="1" x14ac:dyDescent="0.2"/>
    <row r="14201" s="496" customFormat="1" x14ac:dyDescent="0.2"/>
    <row r="14202" s="496" customFormat="1" x14ac:dyDescent="0.2"/>
    <row r="14203" s="496" customFormat="1" x14ac:dyDescent="0.2"/>
    <row r="14204" s="496" customFormat="1" x14ac:dyDescent="0.2"/>
    <row r="14205" s="496" customFormat="1" x14ac:dyDescent="0.2"/>
    <row r="14206" s="496" customFormat="1" x14ac:dyDescent="0.2"/>
    <row r="14207" s="496" customFormat="1" x14ac:dyDescent="0.2"/>
    <row r="14208" s="496" customFormat="1" x14ac:dyDescent="0.2"/>
    <row r="14209" s="496" customFormat="1" x14ac:dyDescent="0.2"/>
    <row r="14210" s="496" customFormat="1" x14ac:dyDescent="0.2"/>
    <row r="14211" s="496" customFormat="1" x14ac:dyDescent="0.2"/>
    <row r="14212" s="496" customFormat="1" x14ac:dyDescent="0.2"/>
    <row r="14213" s="496" customFormat="1" x14ac:dyDescent="0.2"/>
    <row r="14214" s="496" customFormat="1" x14ac:dyDescent="0.2"/>
    <row r="14215" s="496" customFormat="1" x14ac:dyDescent="0.2"/>
    <row r="14216" s="496" customFormat="1" x14ac:dyDescent="0.2"/>
    <row r="14217" s="496" customFormat="1" x14ac:dyDescent="0.2"/>
    <row r="14218" s="496" customFormat="1" x14ac:dyDescent="0.2"/>
    <row r="14219" s="496" customFormat="1" x14ac:dyDescent="0.2"/>
    <row r="14220" s="496" customFormat="1" x14ac:dyDescent="0.2"/>
    <row r="14221" s="496" customFormat="1" x14ac:dyDescent="0.2"/>
    <row r="14222" s="496" customFormat="1" x14ac:dyDescent="0.2"/>
    <row r="14223" s="496" customFormat="1" x14ac:dyDescent="0.2"/>
    <row r="14224" s="496" customFormat="1" x14ac:dyDescent="0.2"/>
    <row r="14225" s="496" customFormat="1" x14ac:dyDescent="0.2"/>
    <row r="14226" s="496" customFormat="1" x14ac:dyDescent="0.2"/>
    <row r="14227" s="496" customFormat="1" x14ac:dyDescent="0.2"/>
    <row r="14228" s="496" customFormat="1" x14ac:dyDescent="0.2"/>
    <row r="14229" s="496" customFormat="1" x14ac:dyDescent="0.2"/>
    <row r="14230" s="496" customFormat="1" x14ac:dyDescent="0.2"/>
    <row r="14231" s="496" customFormat="1" x14ac:dyDescent="0.2"/>
    <row r="14232" s="496" customFormat="1" x14ac:dyDescent="0.2"/>
    <row r="14233" s="496" customFormat="1" x14ac:dyDescent="0.2"/>
    <row r="14234" s="496" customFormat="1" x14ac:dyDescent="0.2"/>
    <row r="14235" s="496" customFormat="1" x14ac:dyDescent="0.2"/>
    <row r="14236" s="496" customFormat="1" x14ac:dyDescent="0.2"/>
    <row r="14237" s="496" customFormat="1" x14ac:dyDescent="0.2"/>
    <row r="14238" s="496" customFormat="1" x14ac:dyDescent="0.2"/>
    <row r="14239" s="496" customFormat="1" x14ac:dyDescent="0.2"/>
    <row r="14240" s="496" customFormat="1" x14ac:dyDescent="0.2"/>
    <row r="14241" s="496" customFormat="1" x14ac:dyDescent="0.2"/>
    <row r="14242" s="496" customFormat="1" x14ac:dyDescent="0.2"/>
    <row r="14243" s="496" customFormat="1" x14ac:dyDescent="0.2"/>
    <row r="14244" s="496" customFormat="1" x14ac:dyDescent="0.2"/>
    <row r="14245" s="496" customFormat="1" x14ac:dyDescent="0.2"/>
    <row r="14246" s="496" customFormat="1" x14ac:dyDescent="0.2"/>
    <row r="14247" s="496" customFormat="1" x14ac:dyDescent="0.2"/>
    <row r="14248" s="496" customFormat="1" x14ac:dyDescent="0.2"/>
    <row r="14249" s="496" customFormat="1" x14ac:dyDescent="0.2"/>
    <row r="14250" s="496" customFormat="1" x14ac:dyDescent="0.2"/>
    <row r="14251" s="496" customFormat="1" x14ac:dyDescent="0.2"/>
    <row r="14252" s="496" customFormat="1" x14ac:dyDescent="0.2"/>
    <row r="14253" s="496" customFormat="1" x14ac:dyDescent="0.2"/>
    <row r="14254" s="496" customFormat="1" x14ac:dyDescent="0.2"/>
    <row r="14255" s="496" customFormat="1" x14ac:dyDescent="0.2"/>
    <row r="14256" s="496" customFormat="1" x14ac:dyDescent="0.2"/>
    <row r="14257" s="496" customFormat="1" x14ac:dyDescent="0.2"/>
    <row r="14258" s="496" customFormat="1" x14ac:dyDescent="0.2"/>
    <row r="14259" s="496" customFormat="1" x14ac:dyDescent="0.2"/>
    <row r="14260" s="496" customFormat="1" x14ac:dyDescent="0.2"/>
    <row r="14261" s="496" customFormat="1" x14ac:dyDescent="0.2"/>
    <row r="14262" s="496" customFormat="1" x14ac:dyDescent="0.2"/>
    <row r="14263" s="496" customFormat="1" x14ac:dyDescent="0.2"/>
    <row r="14264" s="496" customFormat="1" x14ac:dyDescent="0.2"/>
    <row r="14265" s="496" customFormat="1" x14ac:dyDescent="0.2"/>
    <row r="14266" s="496" customFormat="1" x14ac:dyDescent="0.2"/>
    <row r="14267" s="496" customFormat="1" x14ac:dyDescent="0.2"/>
    <row r="14268" s="496" customFormat="1" x14ac:dyDescent="0.2"/>
    <row r="14269" s="496" customFormat="1" x14ac:dyDescent="0.2"/>
    <row r="14270" s="496" customFormat="1" x14ac:dyDescent="0.2"/>
    <row r="14271" s="496" customFormat="1" x14ac:dyDescent="0.2"/>
    <row r="14272" s="496" customFormat="1" x14ac:dyDescent="0.2"/>
    <row r="14273" s="496" customFormat="1" x14ac:dyDescent="0.2"/>
    <row r="14274" s="496" customFormat="1" x14ac:dyDescent="0.2"/>
    <row r="14275" s="496" customFormat="1" x14ac:dyDescent="0.2"/>
    <row r="14276" s="496" customFormat="1" x14ac:dyDescent="0.2"/>
    <row r="14277" s="496" customFormat="1" x14ac:dyDescent="0.2"/>
    <row r="14278" s="496" customFormat="1" x14ac:dyDescent="0.2"/>
    <row r="14279" s="496" customFormat="1" x14ac:dyDescent="0.2"/>
    <row r="14280" s="496" customFormat="1" x14ac:dyDescent="0.2"/>
    <row r="14281" s="496" customFormat="1" x14ac:dyDescent="0.2"/>
    <row r="14282" s="496" customFormat="1" x14ac:dyDescent="0.2"/>
    <row r="14283" s="496" customFormat="1" x14ac:dyDescent="0.2"/>
    <row r="14284" s="496" customFormat="1" x14ac:dyDescent="0.2"/>
    <row r="14285" s="496" customFormat="1" x14ac:dyDescent="0.2"/>
    <row r="14286" s="496" customFormat="1" x14ac:dyDescent="0.2"/>
    <row r="14287" s="496" customFormat="1" x14ac:dyDescent="0.2"/>
    <row r="14288" s="496" customFormat="1" x14ac:dyDescent="0.2"/>
    <row r="14289" s="496" customFormat="1" x14ac:dyDescent="0.2"/>
    <row r="14290" s="496" customFormat="1" x14ac:dyDescent="0.2"/>
    <row r="14291" s="496" customFormat="1" x14ac:dyDescent="0.2"/>
    <row r="14292" s="496" customFormat="1" x14ac:dyDescent="0.2"/>
    <row r="14293" s="496" customFormat="1" x14ac:dyDescent="0.2"/>
    <row r="14294" s="496" customFormat="1" x14ac:dyDescent="0.2"/>
    <row r="14295" s="496" customFormat="1" x14ac:dyDescent="0.2"/>
    <row r="14296" s="496" customFormat="1" x14ac:dyDescent="0.2"/>
    <row r="14297" s="496" customFormat="1" x14ac:dyDescent="0.2"/>
    <row r="14298" s="496" customFormat="1" x14ac:dyDescent="0.2"/>
    <row r="14299" s="496" customFormat="1" x14ac:dyDescent="0.2"/>
    <row r="14300" s="496" customFormat="1" x14ac:dyDescent="0.2"/>
    <row r="14301" s="496" customFormat="1" x14ac:dyDescent="0.2"/>
    <row r="14302" s="496" customFormat="1" x14ac:dyDescent="0.2"/>
    <row r="14303" s="496" customFormat="1" x14ac:dyDescent="0.2"/>
    <row r="14304" s="496" customFormat="1" x14ac:dyDescent="0.2"/>
    <row r="14305" s="496" customFormat="1" x14ac:dyDescent="0.2"/>
    <row r="14306" s="496" customFormat="1" x14ac:dyDescent="0.2"/>
    <row r="14307" s="496" customFormat="1" x14ac:dyDescent="0.2"/>
    <row r="14308" s="496" customFormat="1" x14ac:dyDescent="0.2"/>
    <row r="14309" s="496" customFormat="1" x14ac:dyDescent="0.2"/>
    <row r="14310" s="496" customFormat="1" x14ac:dyDescent="0.2"/>
    <row r="14311" s="496" customFormat="1" x14ac:dyDescent="0.2"/>
    <row r="14312" s="496" customFormat="1" x14ac:dyDescent="0.2"/>
    <row r="14313" s="496" customFormat="1" x14ac:dyDescent="0.2"/>
    <row r="14314" s="496" customFormat="1" x14ac:dyDescent="0.2"/>
    <row r="14315" s="496" customFormat="1" x14ac:dyDescent="0.2"/>
    <row r="14316" s="496" customFormat="1" x14ac:dyDescent="0.2"/>
    <row r="14317" s="496" customFormat="1" x14ac:dyDescent="0.2"/>
    <row r="14318" s="496" customFormat="1" x14ac:dyDescent="0.2"/>
    <row r="14319" s="496" customFormat="1" x14ac:dyDescent="0.2"/>
    <row r="14320" s="496" customFormat="1" x14ac:dyDescent="0.2"/>
    <row r="14321" s="496" customFormat="1" x14ac:dyDescent="0.2"/>
    <row r="14322" s="496" customFormat="1" x14ac:dyDescent="0.2"/>
    <row r="14323" s="496" customFormat="1" x14ac:dyDescent="0.2"/>
    <row r="14324" s="496" customFormat="1" x14ac:dyDescent="0.2"/>
    <row r="14325" s="496" customFormat="1" x14ac:dyDescent="0.2"/>
    <row r="14326" s="496" customFormat="1" x14ac:dyDescent="0.2"/>
    <row r="14327" s="496" customFormat="1" x14ac:dyDescent="0.2"/>
    <row r="14328" s="496" customFormat="1" x14ac:dyDescent="0.2"/>
    <row r="14329" s="496" customFormat="1" x14ac:dyDescent="0.2"/>
    <row r="14330" s="496" customFormat="1" x14ac:dyDescent="0.2"/>
    <row r="14331" s="496" customFormat="1" x14ac:dyDescent="0.2"/>
    <row r="14332" s="496" customFormat="1" x14ac:dyDescent="0.2"/>
    <row r="14333" s="496" customFormat="1" x14ac:dyDescent="0.2"/>
    <row r="14334" s="496" customFormat="1" x14ac:dyDescent="0.2"/>
    <row r="14335" s="496" customFormat="1" x14ac:dyDescent="0.2"/>
    <row r="14336" s="496" customFormat="1" x14ac:dyDescent="0.2"/>
    <row r="14337" s="496" customFormat="1" x14ac:dyDescent="0.2"/>
    <row r="14338" s="496" customFormat="1" x14ac:dyDescent="0.2"/>
    <row r="14339" s="496" customFormat="1" x14ac:dyDescent="0.2"/>
    <row r="14340" s="496" customFormat="1" x14ac:dyDescent="0.2"/>
    <row r="14341" s="496" customFormat="1" x14ac:dyDescent="0.2"/>
    <row r="14342" s="496" customFormat="1" x14ac:dyDescent="0.2"/>
    <row r="14343" s="496" customFormat="1" x14ac:dyDescent="0.2"/>
    <row r="14344" s="496" customFormat="1" x14ac:dyDescent="0.2"/>
    <row r="14345" s="496" customFormat="1" x14ac:dyDescent="0.2"/>
    <row r="14346" s="496" customFormat="1" x14ac:dyDescent="0.2"/>
    <row r="14347" s="496" customFormat="1" x14ac:dyDescent="0.2"/>
    <row r="14348" s="496" customFormat="1" x14ac:dyDescent="0.2"/>
    <row r="14349" s="496" customFormat="1" x14ac:dyDescent="0.2"/>
    <row r="14350" s="496" customFormat="1" x14ac:dyDescent="0.2"/>
    <row r="14351" s="496" customFormat="1" x14ac:dyDescent="0.2"/>
    <row r="14352" s="496" customFormat="1" x14ac:dyDescent="0.2"/>
    <row r="14353" s="496" customFormat="1" x14ac:dyDescent="0.2"/>
    <row r="14354" s="496" customFormat="1" x14ac:dyDescent="0.2"/>
    <row r="14355" s="496" customFormat="1" x14ac:dyDescent="0.2"/>
    <row r="14356" s="496" customFormat="1" x14ac:dyDescent="0.2"/>
    <row r="14357" s="496" customFormat="1" x14ac:dyDescent="0.2"/>
    <row r="14358" s="496" customFormat="1" x14ac:dyDescent="0.2"/>
    <row r="14359" s="496" customFormat="1" x14ac:dyDescent="0.2"/>
    <row r="14360" s="496" customFormat="1" x14ac:dyDescent="0.2"/>
    <row r="14361" s="496" customFormat="1" x14ac:dyDescent="0.2"/>
    <row r="14362" s="496" customFormat="1" x14ac:dyDescent="0.2"/>
    <row r="14363" s="496" customFormat="1" x14ac:dyDescent="0.2"/>
    <row r="14364" s="496" customFormat="1" x14ac:dyDescent="0.2"/>
    <row r="14365" s="496" customFormat="1" x14ac:dyDescent="0.2"/>
    <row r="14366" s="496" customFormat="1" x14ac:dyDescent="0.2"/>
    <row r="14367" s="496" customFormat="1" x14ac:dyDescent="0.2"/>
    <row r="14368" s="496" customFormat="1" x14ac:dyDescent="0.2"/>
    <row r="14369" s="496" customFormat="1" x14ac:dyDescent="0.2"/>
    <row r="14370" s="496" customFormat="1" x14ac:dyDescent="0.2"/>
    <row r="14371" s="496" customFormat="1" x14ac:dyDescent="0.2"/>
    <row r="14372" s="496" customFormat="1" x14ac:dyDescent="0.2"/>
    <row r="14373" s="496" customFormat="1" x14ac:dyDescent="0.2"/>
    <row r="14374" s="496" customFormat="1" x14ac:dyDescent="0.2"/>
    <row r="14375" s="496" customFormat="1" x14ac:dyDescent="0.2"/>
    <row r="14376" s="496" customFormat="1" x14ac:dyDescent="0.2"/>
    <row r="14377" s="496" customFormat="1" x14ac:dyDescent="0.2"/>
    <row r="14378" s="496" customFormat="1" x14ac:dyDescent="0.2"/>
    <row r="14379" s="496" customFormat="1" x14ac:dyDescent="0.2"/>
    <row r="14380" s="496" customFormat="1" x14ac:dyDescent="0.2"/>
    <row r="14381" s="496" customFormat="1" x14ac:dyDescent="0.2"/>
    <row r="14382" s="496" customFormat="1" x14ac:dyDescent="0.2"/>
    <row r="14383" s="496" customFormat="1" x14ac:dyDescent="0.2"/>
    <row r="14384" s="496" customFormat="1" x14ac:dyDescent="0.2"/>
    <row r="14385" s="496" customFormat="1" x14ac:dyDescent="0.2"/>
    <row r="14386" s="496" customFormat="1" x14ac:dyDescent="0.2"/>
    <row r="14387" s="496" customFormat="1" x14ac:dyDescent="0.2"/>
    <row r="14388" s="496" customFormat="1" x14ac:dyDescent="0.2"/>
    <row r="14389" s="496" customFormat="1" x14ac:dyDescent="0.2"/>
    <row r="14390" s="496" customFormat="1" x14ac:dyDescent="0.2"/>
    <row r="14391" s="496" customFormat="1" x14ac:dyDescent="0.2"/>
    <row r="14392" s="496" customFormat="1" x14ac:dyDescent="0.2"/>
    <row r="14393" s="496" customFormat="1" x14ac:dyDescent="0.2"/>
    <row r="14394" s="496" customFormat="1" x14ac:dyDescent="0.2"/>
    <row r="14395" s="496" customFormat="1" x14ac:dyDescent="0.2"/>
    <row r="14396" s="496" customFormat="1" x14ac:dyDescent="0.2"/>
    <row r="14397" s="496" customFormat="1" x14ac:dyDescent="0.2"/>
    <row r="14398" s="496" customFormat="1" x14ac:dyDescent="0.2"/>
    <row r="14399" s="496" customFormat="1" x14ac:dyDescent="0.2"/>
    <row r="14400" s="496" customFormat="1" x14ac:dyDescent="0.2"/>
    <row r="14401" s="496" customFormat="1" x14ac:dyDescent="0.2"/>
    <row r="14402" s="496" customFormat="1" x14ac:dyDescent="0.2"/>
    <row r="14403" s="496" customFormat="1" x14ac:dyDescent="0.2"/>
    <row r="14404" s="496" customFormat="1" x14ac:dyDescent="0.2"/>
    <row r="14405" s="496" customFormat="1" x14ac:dyDescent="0.2"/>
    <row r="14406" s="496" customFormat="1" x14ac:dyDescent="0.2"/>
    <row r="14407" s="496" customFormat="1" x14ac:dyDescent="0.2"/>
    <row r="14408" s="496" customFormat="1" x14ac:dyDescent="0.2"/>
    <row r="14409" s="496" customFormat="1" x14ac:dyDescent="0.2"/>
    <row r="14410" s="496" customFormat="1" x14ac:dyDescent="0.2"/>
    <row r="14411" s="496" customFormat="1" x14ac:dyDescent="0.2"/>
    <row r="14412" s="496" customFormat="1" x14ac:dyDescent="0.2"/>
    <row r="14413" s="496" customFormat="1" x14ac:dyDescent="0.2"/>
    <row r="14414" s="496" customFormat="1" x14ac:dyDescent="0.2"/>
    <row r="14415" s="496" customFormat="1" x14ac:dyDescent="0.2"/>
    <row r="14416" s="496" customFormat="1" x14ac:dyDescent="0.2"/>
    <row r="14417" s="496" customFormat="1" x14ac:dyDescent="0.2"/>
    <row r="14418" s="496" customFormat="1" x14ac:dyDescent="0.2"/>
    <row r="14419" s="496" customFormat="1" x14ac:dyDescent="0.2"/>
    <row r="14420" s="496" customFormat="1" x14ac:dyDescent="0.2"/>
    <row r="14421" s="496" customFormat="1" x14ac:dyDescent="0.2"/>
    <row r="14422" s="496" customFormat="1" x14ac:dyDescent="0.2"/>
    <row r="14423" s="496" customFormat="1" x14ac:dyDescent="0.2"/>
    <row r="14424" s="496" customFormat="1" x14ac:dyDescent="0.2"/>
    <row r="14425" s="496" customFormat="1" x14ac:dyDescent="0.2"/>
    <row r="14426" s="496" customFormat="1" x14ac:dyDescent="0.2"/>
    <row r="14427" s="496" customFormat="1" x14ac:dyDescent="0.2"/>
    <row r="14428" s="496" customFormat="1" x14ac:dyDescent="0.2"/>
    <row r="14429" s="496" customFormat="1" x14ac:dyDescent="0.2"/>
    <row r="14430" s="496" customFormat="1" x14ac:dyDescent="0.2"/>
    <row r="14431" s="496" customFormat="1" x14ac:dyDescent="0.2"/>
    <row r="14432" s="496" customFormat="1" x14ac:dyDescent="0.2"/>
    <row r="14433" s="496" customFormat="1" x14ac:dyDescent="0.2"/>
    <row r="14434" s="496" customFormat="1" x14ac:dyDescent="0.2"/>
    <row r="14435" s="496" customFormat="1" x14ac:dyDescent="0.2"/>
    <row r="14436" s="496" customFormat="1" x14ac:dyDescent="0.2"/>
    <row r="14437" s="496" customFormat="1" x14ac:dyDescent="0.2"/>
    <row r="14438" s="496" customFormat="1" x14ac:dyDescent="0.2"/>
    <row r="14439" s="496" customFormat="1" x14ac:dyDescent="0.2"/>
    <row r="14440" s="496" customFormat="1" x14ac:dyDescent="0.2"/>
    <row r="14441" s="496" customFormat="1" x14ac:dyDescent="0.2"/>
    <row r="14442" s="496" customFormat="1" x14ac:dyDescent="0.2"/>
    <row r="14443" s="496" customFormat="1" x14ac:dyDescent="0.2"/>
    <row r="14444" s="496" customFormat="1" x14ac:dyDescent="0.2"/>
    <row r="14445" s="496" customFormat="1" x14ac:dyDescent="0.2"/>
    <row r="14446" s="496" customFormat="1" x14ac:dyDescent="0.2"/>
    <row r="14447" s="496" customFormat="1" x14ac:dyDescent="0.2"/>
    <row r="14448" s="496" customFormat="1" x14ac:dyDescent="0.2"/>
    <row r="14449" s="496" customFormat="1" x14ac:dyDescent="0.2"/>
    <row r="14450" s="496" customFormat="1" x14ac:dyDescent="0.2"/>
    <row r="14451" s="496" customFormat="1" x14ac:dyDescent="0.2"/>
    <row r="14452" s="496" customFormat="1" x14ac:dyDescent="0.2"/>
    <row r="14453" s="496" customFormat="1" x14ac:dyDescent="0.2"/>
    <row r="14454" s="496" customFormat="1" x14ac:dyDescent="0.2"/>
    <row r="14455" s="496" customFormat="1" x14ac:dyDescent="0.2"/>
    <row r="14456" s="496" customFormat="1" x14ac:dyDescent="0.2"/>
    <row r="14457" s="496" customFormat="1" x14ac:dyDescent="0.2"/>
    <row r="14458" s="496" customFormat="1" x14ac:dyDescent="0.2"/>
    <row r="14459" s="496" customFormat="1" x14ac:dyDescent="0.2"/>
    <row r="14460" s="496" customFormat="1" x14ac:dyDescent="0.2"/>
    <row r="14461" s="496" customFormat="1" x14ac:dyDescent="0.2"/>
    <row r="14462" s="496" customFormat="1" x14ac:dyDescent="0.2"/>
    <row r="14463" s="496" customFormat="1" x14ac:dyDescent="0.2"/>
    <row r="14464" s="496" customFormat="1" x14ac:dyDescent="0.2"/>
    <row r="14465" s="496" customFormat="1" x14ac:dyDescent="0.2"/>
    <row r="14466" s="496" customFormat="1" x14ac:dyDescent="0.2"/>
    <row r="14467" s="496" customFormat="1" x14ac:dyDescent="0.2"/>
    <row r="14468" s="496" customFormat="1" x14ac:dyDescent="0.2"/>
    <row r="14469" s="496" customFormat="1" x14ac:dyDescent="0.2"/>
    <row r="14470" s="496" customFormat="1" x14ac:dyDescent="0.2"/>
    <row r="14471" s="496" customFormat="1" x14ac:dyDescent="0.2"/>
    <row r="14472" s="496" customFormat="1" x14ac:dyDescent="0.2"/>
    <row r="14473" s="496" customFormat="1" x14ac:dyDescent="0.2"/>
    <row r="14474" s="496" customFormat="1" x14ac:dyDescent="0.2"/>
    <row r="14475" s="496" customFormat="1" x14ac:dyDescent="0.2"/>
    <row r="14476" s="496" customFormat="1" x14ac:dyDescent="0.2"/>
    <row r="14477" s="496" customFormat="1" x14ac:dyDescent="0.2"/>
    <row r="14478" s="496" customFormat="1" x14ac:dyDescent="0.2"/>
    <row r="14479" s="496" customFormat="1" x14ac:dyDescent="0.2"/>
    <row r="14480" s="496" customFormat="1" x14ac:dyDescent="0.2"/>
    <row r="14481" s="496" customFormat="1" x14ac:dyDescent="0.2"/>
    <row r="14482" s="496" customFormat="1" x14ac:dyDescent="0.2"/>
    <row r="14483" s="496" customFormat="1" x14ac:dyDescent="0.2"/>
    <row r="14484" s="496" customFormat="1" x14ac:dyDescent="0.2"/>
    <row r="14485" s="496" customFormat="1" x14ac:dyDescent="0.2"/>
    <row r="14486" s="496" customFormat="1" x14ac:dyDescent="0.2"/>
    <row r="14487" s="496" customFormat="1" x14ac:dyDescent="0.2"/>
    <row r="14488" s="496" customFormat="1" x14ac:dyDescent="0.2"/>
    <row r="14489" s="496" customFormat="1" x14ac:dyDescent="0.2"/>
    <row r="14490" s="496" customFormat="1" x14ac:dyDescent="0.2"/>
    <row r="14491" s="496" customFormat="1" x14ac:dyDescent="0.2"/>
    <row r="14492" s="496" customFormat="1" x14ac:dyDescent="0.2"/>
    <row r="14493" s="496" customFormat="1" x14ac:dyDescent="0.2"/>
    <row r="14494" s="496" customFormat="1" x14ac:dyDescent="0.2"/>
    <row r="14495" s="496" customFormat="1" x14ac:dyDescent="0.2"/>
    <row r="14496" s="496" customFormat="1" x14ac:dyDescent="0.2"/>
    <row r="14497" s="496" customFormat="1" x14ac:dyDescent="0.2"/>
    <row r="14498" s="496" customFormat="1" x14ac:dyDescent="0.2"/>
    <row r="14499" s="496" customFormat="1" x14ac:dyDescent="0.2"/>
    <row r="14500" s="496" customFormat="1" x14ac:dyDescent="0.2"/>
    <row r="14501" s="496" customFormat="1" x14ac:dyDescent="0.2"/>
    <row r="14502" s="496" customFormat="1" x14ac:dyDescent="0.2"/>
    <row r="14503" s="496" customFormat="1" x14ac:dyDescent="0.2"/>
    <row r="14504" s="496" customFormat="1" x14ac:dyDescent="0.2"/>
    <row r="14505" s="496" customFormat="1" x14ac:dyDescent="0.2"/>
    <row r="14506" s="496" customFormat="1" x14ac:dyDescent="0.2"/>
    <row r="14507" s="496" customFormat="1" x14ac:dyDescent="0.2"/>
    <row r="14508" s="496" customFormat="1" x14ac:dyDescent="0.2"/>
    <row r="14509" s="496" customFormat="1" x14ac:dyDescent="0.2"/>
    <row r="14510" s="496" customFormat="1" x14ac:dyDescent="0.2"/>
    <row r="14511" s="496" customFormat="1" x14ac:dyDescent="0.2"/>
    <row r="14512" s="496" customFormat="1" x14ac:dyDescent="0.2"/>
    <row r="14513" s="496" customFormat="1" x14ac:dyDescent="0.2"/>
    <row r="14514" s="496" customFormat="1" x14ac:dyDescent="0.2"/>
    <row r="14515" s="496" customFormat="1" x14ac:dyDescent="0.2"/>
    <row r="14516" s="496" customFormat="1" x14ac:dyDescent="0.2"/>
    <row r="14517" s="496" customFormat="1" x14ac:dyDescent="0.2"/>
    <row r="14518" s="496" customFormat="1" x14ac:dyDescent="0.2"/>
    <row r="14519" s="496" customFormat="1" x14ac:dyDescent="0.2"/>
    <row r="14520" s="496" customFormat="1" x14ac:dyDescent="0.2"/>
    <row r="14521" s="496" customFormat="1" x14ac:dyDescent="0.2"/>
    <row r="14522" s="496" customFormat="1" x14ac:dyDescent="0.2"/>
    <row r="14523" s="496" customFormat="1" x14ac:dyDescent="0.2"/>
    <row r="14524" s="496" customFormat="1" x14ac:dyDescent="0.2"/>
    <row r="14525" s="496" customFormat="1" x14ac:dyDescent="0.2"/>
    <row r="14526" s="496" customFormat="1" x14ac:dyDescent="0.2"/>
    <row r="14527" s="496" customFormat="1" x14ac:dyDescent="0.2"/>
    <row r="14528" s="496" customFormat="1" x14ac:dyDescent="0.2"/>
    <row r="14529" s="496" customFormat="1" x14ac:dyDescent="0.2"/>
    <row r="14530" s="496" customFormat="1" x14ac:dyDescent="0.2"/>
    <row r="14531" s="496" customFormat="1" x14ac:dyDescent="0.2"/>
    <row r="14532" s="496" customFormat="1" x14ac:dyDescent="0.2"/>
    <row r="14533" s="496" customFormat="1" x14ac:dyDescent="0.2"/>
    <row r="14534" s="496" customFormat="1" x14ac:dyDescent="0.2"/>
    <row r="14535" s="496" customFormat="1" x14ac:dyDescent="0.2"/>
    <row r="14536" s="496" customFormat="1" x14ac:dyDescent="0.2"/>
    <row r="14537" s="496" customFormat="1" x14ac:dyDescent="0.2"/>
    <row r="14538" s="496" customFormat="1" x14ac:dyDescent="0.2"/>
    <row r="14539" s="496" customFormat="1" x14ac:dyDescent="0.2"/>
    <row r="14540" s="496" customFormat="1" x14ac:dyDescent="0.2"/>
    <row r="14541" s="496" customFormat="1" x14ac:dyDescent="0.2"/>
    <row r="14542" s="496" customFormat="1" x14ac:dyDescent="0.2"/>
    <row r="14543" s="496" customFormat="1" x14ac:dyDescent="0.2"/>
    <row r="14544" s="496" customFormat="1" x14ac:dyDescent="0.2"/>
    <row r="14545" s="496" customFormat="1" x14ac:dyDescent="0.2"/>
    <row r="14546" s="496" customFormat="1" x14ac:dyDescent="0.2"/>
    <row r="14547" s="496" customFormat="1" x14ac:dyDescent="0.2"/>
    <row r="14548" s="496" customFormat="1" x14ac:dyDescent="0.2"/>
    <row r="14549" s="496" customFormat="1" x14ac:dyDescent="0.2"/>
    <row r="14550" s="496" customFormat="1" x14ac:dyDescent="0.2"/>
    <row r="14551" s="496" customFormat="1" x14ac:dyDescent="0.2"/>
    <row r="14552" s="496" customFormat="1" x14ac:dyDescent="0.2"/>
    <row r="14553" s="496" customFormat="1" x14ac:dyDescent="0.2"/>
    <row r="14554" s="496" customFormat="1" x14ac:dyDescent="0.2"/>
    <row r="14555" s="496" customFormat="1" x14ac:dyDescent="0.2"/>
    <row r="14556" s="496" customFormat="1" x14ac:dyDescent="0.2"/>
    <row r="14557" s="496" customFormat="1" x14ac:dyDescent="0.2"/>
    <row r="14558" s="496" customFormat="1" x14ac:dyDescent="0.2"/>
    <row r="14559" s="496" customFormat="1" x14ac:dyDescent="0.2"/>
    <row r="14560" s="496" customFormat="1" x14ac:dyDescent="0.2"/>
    <row r="14561" s="496" customFormat="1" x14ac:dyDescent="0.2"/>
    <row r="14562" s="496" customFormat="1" x14ac:dyDescent="0.2"/>
    <row r="14563" s="496" customFormat="1" x14ac:dyDescent="0.2"/>
    <row r="14564" s="496" customFormat="1" x14ac:dyDescent="0.2"/>
    <row r="14565" s="496" customFormat="1" x14ac:dyDescent="0.2"/>
    <row r="14566" s="496" customFormat="1" x14ac:dyDescent="0.2"/>
    <row r="14567" s="496" customFormat="1" x14ac:dyDescent="0.2"/>
    <row r="14568" s="496" customFormat="1" x14ac:dyDescent="0.2"/>
    <row r="14569" s="496" customFormat="1" x14ac:dyDescent="0.2"/>
    <row r="14570" s="496" customFormat="1" x14ac:dyDescent="0.2"/>
    <row r="14571" s="496" customFormat="1" x14ac:dyDescent="0.2"/>
    <row r="14572" s="496" customFormat="1" x14ac:dyDescent="0.2"/>
    <row r="14573" s="496" customFormat="1" x14ac:dyDescent="0.2"/>
    <row r="14574" s="496" customFormat="1" x14ac:dyDescent="0.2"/>
    <row r="14575" s="496" customFormat="1" x14ac:dyDescent="0.2"/>
    <row r="14576" s="496" customFormat="1" x14ac:dyDescent="0.2"/>
    <row r="14577" s="496" customFormat="1" x14ac:dyDescent="0.2"/>
    <row r="14578" s="496" customFormat="1" x14ac:dyDescent="0.2"/>
    <row r="14579" s="496" customFormat="1" x14ac:dyDescent="0.2"/>
    <row r="14580" s="496" customFormat="1" x14ac:dyDescent="0.2"/>
    <row r="14581" s="496" customFormat="1" x14ac:dyDescent="0.2"/>
    <row r="14582" s="496" customFormat="1" x14ac:dyDescent="0.2"/>
    <row r="14583" s="496" customFormat="1" x14ac:dyDescent="0.2"/>
    <row r="14584" s="496" customFormat="1" x14ac:dyDescent="0.2"/>
    <row r="14585" s="496" customFormat="1" x14ac:dyDescent="0.2"/>
    <row r="14586" s="496" customFormat="1" x14ac:dyDescent="0.2"/>
    <row r="14587" s="496" customFormat="1" x14ac:dyDescent="0.2"/>
    <row r="14588" s="496" customFormat="1" x14ac:dyDescent="0.2"/>
    <row r="14589" s="496" customFormat="1" x14ac:dyDescent="0.2"/>
    <row r="14590" s="496" customFormat="1" x14ac:dyDescent="0.2"/>
    <row r="14591" s="496" customFormat="1" x14ac:dyDescent="0.2"/>
    <row r="14592" s="496" customFormat="1" x14ac:dyDescent="0.2"/>
    <row r="14593" s="496" customFormat="1" x14ac:dyDescent="0.2"/>
    <row r="14594" s="496" customFormat="1" x14ac:dyDescent="0.2"/>
    <row r="14595" s="496" customFormat="1" x14ac:dyDescent="0.2"/>
    <row r="14596" s="496" customFormat="1" x14ac:dyDescent="0.2"/>
    <row r="14597" s="496" customFormat="1" x14ac:dyDescent="0.2"/>
    <row r="14598" s="496" customFormat="1" x14ac:dyDescent="0.2"/>
    <row r="14599" s="496" customFormat="1" x14ac:dyDescent="0.2"/>
    <row r="14600" s="496" customFormat="1" x14ac:dyDescent="0.2"/>
    <row r="14601" s="496" customFormat="1" x14ac:dyDescent="0.2"/>
    <row r="14602" s="496" customFormat="1" x14ac:dyDescent="0.2"/>
    <row r="14603" s="496" customFormat="1" x14ac:dyDescent="0.2"/>
    <row r="14604" s="496" customFormat="1" x14ac:dyDescent="0.2"/>
    <row r="14605" s="496" customFormat="1" x14ac:dyDescent="0.2"/>
    <row r="14606" s="496" customFormat="1" x14ac:dyDescent="0.2"/>
    <row r="14607" s="496" customFormat="1" x14ac:dyDescent="0.2"/>
    <row r="14608" s="496" customFormat="1" x14ac:dyDescent="0.2"/>
    <row r="14609" s="496" customFormat="1" x14ac:dyDescent="0.2"/>
    <row r="14610" s="496" customFormat="1" x14ac:dyDescent="0.2"/>
    <row r="14611" s="496" customFormat="1" x14ac:dyDescent="0.2"/>
    <row r="14612" s="496" customFormat="1" x14ac:dyDescent="0.2"/>
    <row r="14613" s="496" customFormat="1" x14ac:dyDescent="0.2"/>
    <row r="14614" s="496" customFormat="1" x14ac:dyDescent="0.2"/>
    <row r="14615" s="496" customFormat="1" x14ac:dyDescent="0.2"/>
    <row r="14616" s="496" customFormat="1" x14ac:dyDescent="0.2"/>
    <row r="14617" s="496" customFormat="1" x14ac:dyDescent="0.2"/>
    <row r="14618" s="496" customFormat="1" x14ac:dyDescent="0.2"/>
    <row r="14619" s="496" customFormat="1" x14ac:dyDescent="0.2"/>
    <row r="14620" s="496" customFormat="1" x14ac:dyDescent="0.2"/>
    <row r="14621" s="496" customFormat="1" x14ac:dyDescent="0.2"/>
    <row r="14622" s="496" customFormat="1" x14ac:dyDescent="0.2"/>
    <row r="14623" s="496" customFormat="1" x14ac:dyDescent="0.2"/>
    <row r="14624" s="496" customFormat="1" x14ac:dyDescent="0.2"/>
    <row r="14625" s="496" customFormat="1" x14ac:dyDescent="0.2"/>
    <row r="14626" s="496" customFormat="1" x14ac:dyDescent="0.2"/>
    <row r="14627" s="496" customFormat="1" x14ac:dyDescent="0.2"/>
    <row r="14628" s="496" customFormat="1" x14ac:dyDescent="0.2"/>
    <row r="14629" s="496" customFormat="1" x14ac:dyDescent="0.2"/>
    <row r="14630" s="496" customFormat="1" x14ac:dyDescent="0.2"/>
    <row r="14631" s="496" customFormat="1" x14ac:dyDescent="0.2"/>
    <row r="14632" s="496" customFormat="1" x14ac:dyDescent="0.2"/>
    <row r="14633" s="496" customFormat="1" x14ac:dyDescent="0.2"/>
    <row r="14634" s="496" customFormat="1" x14ac:dyDescent="0.2"/>
    <row r="14635" s="496" customFormat="1" x14ac:dyDescent="0.2"/>
    <row r="14636" s="496" customFormat="1" x14ac:dyDescent="0.2"/>
    <row r="14637" s="496" customFormat="1" x14ac:dyDescent="0.2"/>
    <row r="14638" s="496" customFormat="1" x14ac:dyDescent="0.2"/>
    <row r="14639" s="496" customFormat="1" x14ac:dyDescent="0.2"/>
    <row r="14640" s="496" customFormat="1" x14ac:dyDescent="0.2"/>
    <row r="14641" s="496" customFormat="1" x14ac:dyDescent="0.2"/>
    <row r="14642" s="496" customFormat="1" x14ac:dyDescent="0.2"/>
    <row r="14643" s="496" customFormat="1" x14ac:dyDescent="0.2"/>
    <row r="14644" s="496" customFormat="1" x14ac:dyDescent="0.2"/>
    <row r="14645" s="496" customFormat="1" x14ac:dyDescent="0.2"/>
    <row r="14646" s="496" customFormat="1" x14ac:dyDescent="0.2"/>
    <row r="14647" s="496" customFormat="1" x14ac:dyDescent="0.2"/>
    <row r="14648" s="496" customFormat="1" x14ac:dyDescent="0.2"/>
    <row r="14649" s="496" customFormat="1" x14ac:dyDescent="0.2"/>
    <row r="14650" s="496" customFormat="1" x14ac:dyDescent="0.2"/>
    <row r="14651" s="496" customFormat="1" x14ac:dyDescent="0.2"/>
    <row r="14652" s="496" customFormat="1" x14ac:dyDescent="0.2"/>
    <row r="14653" s="496" customFormat="1" x14ac:dyDescent="0.2"/>
    <row r="14654" s="496" customFormat="1" x14ac:dyDescent="0.2"/>
    <row r="14655" s="496" customFormat="1" x14ac:dyDescent="0.2"/>
    <row r="14656" s="496" customFormat="1" x14ac:dyDescent="0.2"/>
    <row r="14657" s="496" customFormat="1" x14ac:dyDescent="0.2"/>
    <row r="14658" s="496" customFormat="1" x14ac:dyDescent="0.2"/>
    <row r="14659" s="496" customFormat="1" x14ac:dyDescent="0.2"/>
    <row r="14660" s="496" customFormat="1" x14ac:dyDescent="0.2"/>
    <row r="14661" s="496" customFormat="1" x14ac:dyDescent="0.2"/>
    <row r="14662" s="496" customFormat="1" x14ac:dyDescent="0.2"/>
    <row r="14663" s="496" customFormat="1" x14ac:dyDescent="0.2"/>
    <row r="14664" s="496" customFormat="1" x14ac:dyDescent="0.2"/>
    <row r="14665" s="496" customFormat="1" x14ac:dyDescent="0.2"/>
    <row r="14666" s="496" customFormat="1" x14ac:dyDescent="0.2"/>
    <row r="14667" s="496" customFormat="1" x14ac:dyDescent="0.2"/>
    <row r="14668" s="496" customFormat="1" x14ac:dyDescent="0.2"/>
    <row r="14669" s="496" customFormat="1" x14ac:dyDescent="0.2"/>
    <row r="14670" s="496" customFormat="1" x14ac:dyDescent="0.2"/>
    <row r="14671" s="496" customFormat="1" x14ac:dyDescent="0.2"/>
    <row r="14672" s="496" customFormat="1" x14ac:dyDescent="0.2"/>
    <row r="14673" s="496" customFormat="1" x14ac:dyDescent="0.2"/>
    <row r="14674" s="496" customFormat="1" x14ac:dyDescent="0.2"/>
    <row r="14675" s="496" customFormat="1" x14ac:dyDescent="0.2"/>
    <row r="14676" s="496" customFormat="1" x14ac:dyDescent="0.2"/>
    <row r="14677" s="496" customFormat="1" x14ac:dyDescent="0.2"/>
    <row r="14678" s="496" customFormat="1" x14ac:dyDescent="0.2"/>
    <row r="14679" s="496" customFormat="1" x14ac:dyDescent="0.2"/>
    <row r="14680" s="496" customFormat="1" x14ac:dyDescent="0.2"/>
    <row r="14681" s="496" customFormat="1" x14ac:dyDescent="0.2"/>
    <row r="14682" s="496" customFormat="1" x14ac:dyDescent="0.2"/>
    <row r="14683" s="496" customFormat="1" x14ac:dyDescent="0.2"/>
    <row r="14684" s="496" customFormat="1" x14ac:dyDescent="0.2"/>
    <row r="14685" s="496" customFormat="1" x14ac:dyDescent="0.2"/>
    <row r="14686" s="496" customFormat="1" x14ac:dyDescent="0.2"/>
    <row r="14687" s="496" customFormat="1" x14ac:dyDescent="0.2"/>
    <row r="14688" s="496" customFormat="1" x14ac:dyDescent="0.2"/>
    <row r="14689" s="496" customFormat="1" x14ac:dyDescent="0.2"/>
    <row r="14690" s="496" customFormat="1" x14ac:dyDescent="0.2"/>
    <row r="14691" s="496" customFormat="1" x14ac:dyDescent="0.2"/>
    <row r="14692" s="496" customFormat="1" x14ac:dyDescent="0.2"/>
    <row r="14693" s="496" customFormat="1" x14ac:dyDescent="0.2"/>
    <row r="14694" s="496" customFormat="1" x14ac:dyDescent="0.2"/>
    <row r="14695" s="496" customFormat="1" x14ac:dyDescent="0.2"/>
    <row r="14696" s="496" customFormat="1" x14ac:dyDescent="0.2"/>
    <row r="14697" s="496" customFormat="1" x14ac:dyDescent="0.2"/>
    <row r="14698" s="496" customFormat="1" x14ac:dyDescent="0.2"/>
    <row r="14699" s="496" customFormat="1" x14ac:dyDescent="0.2"/>
    <row r="14700" s="496" customFormat="1" x14ac:dyDescent="0.2"/>
    <row r="14701" s="496" customFormat="1" x14ac:dyDescent="0.2"/>
    <row r="14702" s="496" customFormat="1" x14ac:dyDescent="0.2"/>
    <row r="14703" s="496" customFormat="1" x14ac:dyDescent="0.2"/>
    <row r="14704" s="496" customFormat="1" x14ac:dyDescent="0.2"/>
    <row r="14705" s="496" customFormat="1" x14ac:dyDescent="0.2"/>
    <row r="14706" s="496" customFormat="1" x14ac:dyDescent="0.2"/>
    <row r="14707" s="496" customFormat="1" x14ac:dyDescent="0.2"/>
    <row r="14708" s="496" customFormat="1" x14ac:dyDescent="0.2"/>
    <row r="14709" s="496" customFormat="1" x14ac:dyDescent="0.2"/>
    <row r="14710" s="496" customFormat="1" x14ac:dyDescent="0.2"/>
    <row r="14711" s="496" customFormat="1" x14ac:dyDescent="0.2"/>
    <row r="14712" s="496" customFormat="1" x14ac:dyDescent="0.2"/>
    <row r="14713" s="496" customFormat="1" x14ac:dyDescent="0.2"/>
    <row r="14714" s="496" customFormat="1" x14ac:dyDescent="0.2"/>
    <row r="14715" s="496" customFormat="1" x14ac:dyDescent="0.2"/>
    <row r="14716" s="496" customFormat="1" x14ac:dyDescent="0.2"/>
    <row r="14717" s="496" customFormat="1" x14ac:dyDescent="0.2"/>
    <row r="14718" s="496" customFormat="1" x14ac:dyDescent="0.2"/>
    <row r="14719" s="496" customFormat="1" x14ac:dyDescent="0.2"/>
    <row r="14720" s="496" customFormat="1" x14ac:dyDescent="0.2"/>
    <row r="14721" s="496" customFormat="1" x14ac:dyDescent="0.2"/>
    <row r="14722" s="496" customFormat="1" x14ac:dyDescent="0.2"/>
    <row r="14723" s="496" customFormat="1" x14ac:dyDescent="0.2"/>
    <row r="14724" s="496" customFormat="1" x14ac:dyDescent="0.2"/>
    <row r="14725" s="496" customFormat="1" x14ac:dyDescent="0.2"/>
    <row r="14726" s="496" customFormat="1" x14ac:dyDescent="0.2"/>
    <row r="14727" s="496" customFormat="1" x14ac:dyDescent="0.2"/>
    <row r="14728" s="496" customFormat="1" x14ac:dyDescent="0.2"/>
    <row r="14729" s="496" customFormat="1" x14ac:dyDescent="0.2"/>
    <row r="14730" s="496" customFormat="1" x14ac:dyDescent="0.2"/>
    <row r="14731" s="496" customFormat="1" x14ac:dyDescent="0.2"/>
    <row r="14732" s="496" customFormat="1" x14ac:dyDescent="0.2"/>
    <row r="14733" s="496" customFormat="1" x14ac:dyDescent="0.2"/>
    <row r="14734" s="496" customFormat="1" x14ac:dyDescent="0.2"/>
    <row r="14735" s="496" customFormat="1" x14ac:dyDescent="0.2"/>
    <row r="14736" s="496" customFormat="1" x14ac:dyDescent="0.2"/>
    <row r="14737" s="496" customFormat="1" x14ac:dyDescent="0.2"/>
    <row r="14738" s="496" customFormat="1" x14ac:dyDescent="0.2"/>
    <row r="14739" s="496" customFormat="1" x14ac:dyDescent="0.2"/>
    <row r="14740" s="496" customFormat="1" x14ac:dyDescent="0.2"/>
    <row r="14741" s="496" customFormat="1" x14ac:dyDescent="0.2"/>
    <row r="14742" s="496" customFormat="1" x14ac:dyDescent="0.2"/>
    <row r="14743" s="496" customFormat="1" x14ac:dyDescent="0.2"/>
    <row r="14744" s="496" customFormat="1" x14ac:dyDescent="0.2"/>
    <row r="14745" s="496" customFormat="1" x14ac:dyDescent="0.2"/>
    <row r="14746" s="496" customFormat="1" x14ac:dyDescent="0.2"/>
    <row r="14747" s="496" customFormat="1" x14ac:dyDescent="0.2"/>
    <row r="14748" s="496" customFormat="1" x14ac:dyDescent="0.2"/>
    <row r="14749" s="496" customFormat="1" x14ac:dyDescent="0.2"/>
    <row r="14750" s="496" customFormat="1" x14ac:dyDescent="0.2"/>
    <row r="14751" s="496" customFormat="1" x14ac:dyDescent="0.2"/>
    <row r="14752" s="496" customFormat="1" x14ac:dyDescent="0.2"/>
    <row r="14753" s="496" customFormat="1" x14ac:dyDescent="0.2"/>
    <row r="14754" s="496" customFormat="1" x14ac:dyDescent="0.2"/>
    <row r="14755" s="496" customFormat="1" x14ac:dyDescent="0.2"/>
    <row r="14756" s="496" customFormat="1" x14ac:dyDescent="0.2"/>
    <row r="14757" s="496" customFormat="1" x14ac:dyDescent="0.2"/>
    <row r="14758" s="496" customFormat="1" x14ac:dyDescent="0.2"/>
    <row r="14759" s="496" customFormat="1" x14ac:dyDescent="0.2"/>
    <row r="14760" s="496" customFormat="1" x14ac:dyDescent="0.2"/>
    <row r="14761" s="496" customFormat="1" x14ac:dyDescent="0.2"/>
    <row r="14762" s="496" customFormat="1" x14ac:dyDescent="0.2"/>
    <row r="14763" s="496" customFormat="1" x14ac:dyDescent="0.2"/>
    <row r="14764" s="496" customFormat="1" x14ac:dyDescent="0.2"/>
    <row r="14765" s="496" customFormat="1" x14ac:dyDescent="0.2"/>
    <row r="14766" s="496" customFormat="1" x14ac:dyDescent="0.2"/>
    <row r="14767" s="496" customFormat="1" x14ac:dyDescent="0.2"/>
    <row r="14768" s="496" customFormat="1" x14ac:dyDescent="0.2"/>
    <row r="14769" s="496" customFormat="1" x14ac:dyDescent="0.2"/>
    <row r="14770" s="496" customFormat="1" x14ac:dyDescent="0.2"/>
    <row r="14771" s="496" customFormat="1" x14ac:dyDescent="0.2"/>
    <row r="14772" s="496" customFormat="1" x14ac:dyDescent="0.2"/>
    <row r="14773" s="496" customFormat="1" x14ac:dyDescent="0.2"/>
    <row r="14774" s="496" customFormat="1" x14ac:dyDescent="0.2"/>
    <row r="14775" s="496" customFormat="1" x14ac:dyDescent="0.2"/>
    <row r="14776" s="496" customFormat="1" x14ac:dyDescent="0.2"/>
    <row r="14777" s="496" customFormat="1" x14ac:dyDescent="0.2"/>
    <row r="14778" s="496" customFormat="1" x14ac:dyDescent="0.2"/>
    <row r="14779" s="496" customFormat="1" x14ac:dyDescent="0.2"/>
    <row r="14780" s="496" customFormat="1" x14ac:dyDescent="0.2"/>
    <row r="14781" s="496" customFormat="1" x14ac:dyDescent="0.2"/>
    <row r="14782" s="496" customFormat="1" x14ac:dyDescent="0.2"/>
    <row r="14783" s="496" customFormat="1" x14ac:dyDescent="0.2"/>
    <row r="14784" s="496" customFormat="1" x14ac:dyDescent="0.2"/>
    <row r="14785" s="496" customFormat="1" x14ac:dyDescent="0.2"/>
    <row r="14786" s="496" customFormat="1" x14ac:dyDescent="0.2"/>
    <row r="14787" s="496" customFormat="1" x14ac:dyDescent="0.2"/>
    <row r="14788" s="496" customFormat="1" x14ac:dyDescent="0.2"/>
    <row r="14789" s="496" customFormat="1" x14ac:dyDescent="0.2"/>
    <row r="14790" s="496" customFormat="1" x14ac:dyDescent="0.2"/>
    <row r="14791" s="496" customFormat="1" x14ac:dyDescent="0.2"/>
    <row r="14792" s="496" customFormat="1" x14ac:dyDescent="0.2"/>
    <row r="14793" s="496" customFormat="1" x14ac:dyDescent="0.2"/>
    <row r="14794" s="496" customFormat="1" x14ac:dyDescent="0.2"/>
    <row r="14795" s="496" customFormat="1" x14ac:dyDescent="0.2"/>
    <row r="14796" s="496" customFormat="1" x14ac:dyDescent="0.2"/>
    <row r="14797" s="496" customFormat="1" x14ac:dyDescent="0.2"/>
    <row r="14798" s="496" customFormat="1" x14ac:dyDescent="0.2"/>
    <row r="14799" s="496" customFormat="1" x14ac:dyDescent="0.2"/>
    <row r="14800" s="496" customFormat="1" x14ac:dyDescent="0.2"/>
    <row r="14801" s="496" customFormat="1" x14ac:dyDescent="0.2"/>
    <row r="14802" s="496" customFormat="1" x14ac:dyDescent="0.2"/>
    <row r="14803" s="496" customFormat="1" x14ac:dyDescent="0.2"/>
    <row r="14804" s="496" customFormat="1" x14ac:dyDescent="0.2"/>
    <row r="14805" s="496" customFormat="1" x14ac:dyDescent="0.2"/>
    <row r="14806" s="496" customFormat="1" x14ac:dyDescent="0.2"/>
    <row r="14807" s="496" customFormat="1" x14ac:dyDescent="0.2"/>
    <row r="14808" s="496" customFormat="1" x14ac:dyDescent="0.2"/>
    <row r="14809" s="496" customFormat="1" x14ac:dyDescent="0.2"/>
    <row r="14810" s="496" customFormat="1" x14ac:dyDescent="0.2"/>
    <row r="14811" s="496" customFormat="1" x14ac:dyDescent="0.2"/>
    <row r="14812" s="496" customFormat="1" x14ac:dyDescent="0.2"/>
    <row r="14813" s="496" customFormat="1" x14ac:dyDescent="0.2"/>
    <row r="14814" s="496" customFormat="1" x14ac:dyDescent="0.2"/>
    <row r="14815" s="496" customFormat="1" x14ac:dyDescent="0.2"/>
    <row r="14816" s="496" customFormat="1" x14ac:dyDescent="0.2"/>
    <row r="14817" s="496" customFormat="1" x14ac:dyDescent="0.2"/>
    <row r="14818" s="496" customFormat="1" x14ac:dyDescent="0.2"/>
    <row r="14819" s="496" customFormat="1" x14ac:dyDescent="0.2"/>
    <row r="14820" s="496" customFormat="1" x14ac:dyDescent="0.2"/>
    <row r="14821" s="496" customFormat="1" x14ac:dyDescent="0.2"/>
    <row r="14822" s="496" customFormat="1" x14ac:dyDescent="0.2"/>
    <row r="14823" s="496" customFormat="1" x14ac:dyDescent="0.2"/>
    <row r="14824" s="496" customFormat="1" x14ac:dyDescent="0.2"/>
    <row r="14825" s="496" customFormat="1" x14ac:dyDescent="0.2"/>
    <row r="14826" s="496" customFormat="1" x14ac:dyDescent="0.2"/>
    <row r="14827" s="496" customFormat="1" x14ac:dyDescent="0.2"/>
    <row r="14828" s="496" customFormat="1" x14ac:dyDescent="0.2"/>
    <row r="14829" s="496" customFormat="1" x14ac:dyDescent="0.2"/>
    <row r="14830" s="496" customFormat="1" x14ac:dyDescent="0.2"/>
    <row r="14831" s="496" customFormat="1" x14ac:dyDescent="0.2"/>
    <row r="14832" s="496" customFormat="1" x14ac:dyDescent="0.2"/>
    <row r="14833" s="496" customFormat="1" x14ac:dyDescent="0.2"/>
    <row r="14834" s="496" customFormat="1" x14ac:dyDescent="0.2"/>
    <row r="14835" s="496" customFormat="1" x14ac:dyDescent="0.2"/>
    <row r="14836" s="496" customFormat="1" x14ac:dyDescent="0.2"/>
    <row r="14837" s="496" customFormat="1" x14ac:dyDescent="0.2"/>
    <row r="14838" s="496" customFormat="1" x14ac:dyDescent="0.2"/>
    <row r="14839" s="496" customFormat="1" x14ac:dyDescent="0.2"/>
    <row r="14840" s="496" customFormat="1" x14ac:dyDescent="0.2"/>
    <row r="14841" s="496" customFormat="1" x14ac:dyDescent="0.2"/>
    <row r="14842" s="496" customFormat="1" x14ac:dyDescent="0.2"/>
    <row r="14843" s="496" customFormat="1" x14ac:dyDescent="0.2"/>
    <row r="14844" s="496" customFormat="1" x14ac:dyDescent="0.2"/>
    <row r="14845" s="496" customFormat="1" x14ac:dyDescent="0.2"/>
    <row r="14846" s="496" customFormat="1" x14ac:dyDescent="0.2"/>
    <row r="14847" s="496" customFormat="1" x14ac:dyDescent="0.2"/>
    <row r="14848" s="496" customFormat="1" x14ac:dyDescent="0.2"/>
    <row r="14849" s="496" customFormat="1" x14ac:dyDescent="0.2"/>
    <row r="14850" s="496" customFormat="1" x14ac:dyDescent="0.2"/>
    <row r="14851" s="496" customFormat="1" x14ac:dyDescent="0.2"/>
    <row r="14852" s="496" customFormat="1" x14ac:dyDescent="0.2"/>
    <row r="14853" s="496" customFormat="1" x14ac:dyDescent="0.2"/>
    <row r="14854" s="496" customFormat="1" x14ac:dyDescent="0.2"/>
    <row r="14855" s="496" customFormat="1" x14ac:dyDescent="0.2"/>
    <row r="14856" s="496" customFormat="1" x14ac:dyDescent="0.2"/>
    <row r="14857" s="496" customFormat="1" x14ac:dyDescent="0.2"/>
    <row r="14858" s="496" customFormat="1" x14ac:dyDescent="0.2"/>
    <row r="14859" s="496" customFormat="1" x14ac:dyDescent="0.2"/>
    <row r="14860" s="496" customFormat="1" x14ac:dyDescent="0.2"/>
    <row r="14861" s="496" customFormat="1" x14ac:dyDescent="0.2"/>
    <row r="14862" s="496" customFormat="1" x14ac:dyDescent="0.2"/>
    <row r="14863" s="496" customFormat="1" x14ac:dyDescent="0.2"/>
    <row r="14864" s="496" customFormat="1" x14ac:dyDescent="0.2"/>
    <row r="14865" s="496" customFormat="1" x14ac:dyDescent="0.2"/>
    <row r="14866" s="496" customFormat="1" x14ac:dyDescent="0.2"/>
    <row r="14867" s="496" customFormat="1" x14ac:dyDescent="0.2"/>
    <row r="14868" s="496" customFormat="1" x14ac:dyDescent="0.2"/>
    <row r="14869" s="496" customFormat="1" x14ac:dyDescent="0.2"/>
    <row r="14870" s="496" customFormat="1" x14ac:dyDescent="0.2"/>
    <row r="14871" s="496" customFormat="1" x14ac:dyDescent="0.2"/>
    <row r="14872" s="496" customFormat="1" x14ac:dyDescent="0.2"/>
    <row r="14873" s="496" customFormat="1" x14ac:dyDescent="0.2"/>
    <row r="14874" s="496" customFormat="1" x14ac:dyDescent="0.2"/>
    <row r="14875" s="496" customFormat="1" x14ac:dyDescent="0.2"/>
    <row r="14876" s="496" customFormat="1" x14ac:dyDescent="0.2"/>
    <row r="14877" s="496" customFormat="1" x14ac:dyDescent="0.2"/>
    <row r="14878" s="496" customFormat="1" x14ac:dyDescent="0.2"/>
    <row r="14879" s="496" customFormat="1" x14ac:dyDescent="0.2"/>
    <row r="14880" s="496" customFormat="1" x14ac:dyDescent="0.2"/>
    <row r="14881" s="496" customFormat="1" x14ac:dyDescent="0.2"/>
    <row r="14882" s="496" customFormat="1" x14ac:dyDescent="0.2"/>
    <row r="14883" s="496" customFormat="1" x14ac:dyDescent="0.2"/>
    <row r="14884" s="496" customFormat="1" x14ac:dyDescent="0.2"/>
    <row r="14885" s="496" customFormat="1" x14ac:dyDescent="0.2"/>
    <row r="14886" s="496" customFormat="1" x14ac:dyDescent="0.2"/>
    <row r="14887" s="496" customFormat="1" x14ac:dyDescent="0.2"/>
    <row r="14888" s="496" customFormat="1" x14ac:dyDescent="0.2"/>
    <row r="14889" s="496" customFormat="1" x14ac:dyDescent="0.2"/>
    <row r="14890" s="496" customFormat="1" x14ac:dyDescent="0.2"/>
    <row r="14891" s="496" customFormat="1" x14ac:dyDescent="0.2"/>
    <row r="14892" s="496" customFormat="1" x14ac:dyDescent="0.2"/>
    <row r="14893" s="496" customFormat="1" x14ac:dyDescent="0.2"/>
    <row r="14894" s="496" customFormat="1" x14ac:dyDescent="0.2"/>
    <row r="14895" s="496" customFormat="1" x14ac:dyDescent="0.2"/>
    <row r="14896" s="496" customFormat="1" x14ac:dyDescent="0.2"/>
    <row r="14897" s="496" customFormat="1" x14ac:dyDescent="0.2"/>
    <row r="14898" s="496" customFormat="1" x14ac:dyDescent="0.2"/>
    <row r="14899" s="496" customFormat="1" x14ac:dyDescent="0.2"/>
    <row r="14900" s="496" customFormat="1" x14ac:dyDescent="0.2"/>
    <row r="14901" s="496" customFormat="1" x14ac:dyDescent="0.2"/>
    <row r="14902" s="496" customFormat="1" x14ac:dyDescent="0.2"/>
    <row r="14903" s="496" customFormat="1" x14ac:dyDescent="0.2"/>
    <row r="14904" s="496" customFormat="1" x14ac:dyDescent="0.2"/>
    <row r="14905" s="496" customFormat="1" x14ac:dyDescent="0.2"/>
    <row r="14906" s="496" customFormat="1" x14ac:dyDescent="0.2"/>
    <row r="14907" s="496" customFormat="1" x14ac:dyDescent="0.2"/>
    <row r="14908" s="496" customFormat="1" x14ac:dyDescent="0.2"/>
    <row r="14909" s="496" customFormat="1" x14ac:dyDescent="0.2"/>
    <row r="14910" s="496" customFormat="1" x14ac:dyDescent="0.2"/>
    <row r="14911" s="496" customFormat="1" x14ac:dyDescent="0.2"/>
    <row r="14912" s="496" customFormat="1" x14ac:dyDescent="0.2"/>
    <row r="14913" s="496" customFormat="1" x14ac:dyDescent="0.2"/>
    <row r="14914" s="496" customFormat="1" x14ac:dyDescent="0.2"/>
    <row r="14915" s="496" customFormat="1" x14ac:dyDescent="0.2"/>
    <row r="14916" s="496" customFormat="1" x14ac:dyDescent="0.2"/>
    <row r="14917" s="496" customFormat="1" x14ac:dyDescent="0.2"/>
    <row r="14918" s="496" customFormat="1" x14ac:dyDescent="0.2"/>
    <row r="14919" s="496" customFormat="1" x14ac:dyDescent="0.2"/>
    <row r="14920" s="496" customFormat="1" x14ac:dyDescent="0.2"/>
    <row r="14921" s="496" customFormat="1" x14ac:dyDescent="0.2"/>
    <row r="14922" s="496" customFormat="1" x14ac:dyDescent="0.2"/>
    <row r="14923" s="496" customFormat="1" x14ac:dyDescent="0.2"/>
    <row r="14924" s="496" customFormat="1" x14ac:dyDescent="0.2"/>
    <row r="14925" s="496" customFormat="1" x14ac:dyDescent="0.2"/>
    <row r="14926" s="496" customFormat="1" x14ac:dyDescent="0.2"/>
    <row r="14927" s="496" customFormat="1" x14ac:dyDescent="0.2"/>
    <row r="14928" s="496" customFormat="1" x14ac:dyDescent="0.2"/>
    <row r="14929" s="496" customFormat="1" x14ac:dyDescent="0.2"/>
    <row r="14930" s="496" customFormat="1" x14ac:dyDescent="0.2"/>
    <row r="14931" s="496" customFormat="1" x14ac:dyDescent="0.2"/>
    <row r="14932" s="496" customFormat="1" x14ac:dyDescent="0.2"/>
    <row r="14933" s="496" customFormat="1" x14ac:dyDescent="0.2"/>
    <row r="14934" s="496" customFormat="1" x14ac:dyDescent="0.2"/>
    <row r="14935" s="496" customFormat="1" x14ac:dyDescent="0.2"/>
    <row r="14936" s="496" customFormat="1" x14ac:dyDescent="0.2"/>
    <row r="14937" s="496" customFormat="1" x14ac:dyDescent="0.2"/>
    <row r="14938" s="496" customFormat="1" x14ac:dyDescent="0.2"/>
    <row r="14939" s="496" customFormat="1" x14ac:dyDescent="0.2"/>
    <row r="14940" s="496" customFormat="1" x14ac:dyDescent="0.2"/>
    <row r="14941" s="496" customFormat="1" x14ac:dyDescent="0.2"/>
    <row r="14942" s="496" customFormat="1" x14ac:dyDescent="0.2"/>
    <row r="14943" s="496" customFormat="1" x14ac:dyDescent="0.2"/>
    <row r="14944" s="496" customFormat="1" x14ac:dyDescent="0.2"/>
    <row r="14945" s="496" customFormat="1" x14ac:dyDescent="0.2"/>
    <row r="14946" s="496" customFormat="1" x14ac:dyDescent="0.2"/>
    <row r="14947" s="496" customFormat="1" x14ac:dyDescent="0.2"/>
    <row r="14948" s="496" customFormat="1" x14ac:dyDescent="0.2"/>
    <row r="14949" s="496" customFormat="1" x14ac:dyDescent="0.2"/>
    <row r="14950" s="496" customFormat="1" x14ac:dyDescent="0.2"/>
    <row r="14951" s="496" customFormat="1" x14ac:dyDescent="0.2"/>
    <row r="14952" s="496" customFormat="1" x14ac:dyDescent="0.2"/>
    <row r="14953" s="496" customFormat="1" x14ac:dyDescent="0.2"/>
    <row r="14954" s="496" customFormat="1" x14ac:dyDescent="0.2"/>
    <row r="14955" s="496" customFormat="1" x14ac:dyDescent="0.2"/>
    <row r="14956" s="496" customFormat="1" x14ac:dyDescent="0.2"/>
    <row r="14957" s="496" customFormat="1" x14ac:dyDescent="0.2"/>
    <row r="14958" s="496" customFormat="1" x14ac:dyDescent="0.2"/>
    <row r="14959" s="496" customFormat="1" x14ac:dyDescent="0.2"/>
    <row r="14960" s="496" customFormat="1" x14ac:dyDescent="0.2"/>
    <row r="14961" s="496" customFormat="1" x14ac:dyDescent="0.2"/>
    <row r="14962" s="496" customFormat="1" x14ac:dyDescent="0.2"/>
    <row r="14963" s="496" customFormat="1" x14ac:dyDescent="0.2"/>
    <row r="14964" s="496" customFormat="1" x14ac:dyDescent="0.2"/>
    <row r="14965" s="496" customFormat="1" x14ac:dyDescent="0.2"/>
    <row r="14966" s="496" customFormat="1" x14ac:dyDescent="0.2"/>
    <row r="14967" s="496" customFormat="1" x14ac:dyDescent="0.2"/>
    <row r="14968" s="496" customFormat="1" x14ac:dyDescent="0.2"/>
    <row r="14969" s="496" customFormat="1" x14ac:dyDescent="0.2"/>
    <row r="14970" s="496" customFormat="1" x14ac:dyDescent="0.2"/>
    <row r="14971" s="496" customFormat="1" x14ac:dyDescent="0.2"/>
    <row r="14972" s="496" customFormat="1" x14ac:dyDescent="0.2"/>
    <row r="14973" s="496" customFormat="1" x14ac:dyDescent="0.2"/>
    <row r="14974" s="496" customFormat="1" x14ac:dyDescent="0.2"/>
    <row r="14975" s="496" customFormat="1" x14ac:dyDescent="0.2"/>
    <row r="14976" s="496" customFormat="1" x14ac:dyDescent="0.2"/>
    <row r="14977" s="496" customFormat="1" x14ac:dyDescent="0.2"/>
    <row r="14978" s="496" customFormat="1" x14ac:dyDescent="0.2"/>
    <row r="14979" s="496" customFormat="1" x14ac:dyDescent="0.2"/>
    <row r="14980" s="496" customFormat="1" x14ac:dyDescent="0.2"/>
    <row r="14981" s="496" customFormat="1" x14ac:dyDescent="0.2"/>
    <row r="14982" s="496" customFormat="1" x14ac:dyDescent="0.2"/>
    <row r="14983" s="496" customFormat="1" x14ac:dyDescent="0.2"/>
    <row r="14984" s="496" customFormat="1" x14ac:dyDescent="0.2"/>
    <row r="14985" s="496" customFormat="1" x14ac:dyDescent="0.2"/>
    <row r="14986" s="496" customFormat="1" x14ac:dyDescent="0.2"/>
    <row r="14987" s="496" customFormat="1" x14ac:dyDescent="0.2"/>
    <row r="14988" s="496" customFormat="1" x14ac:dyDescent="0.2"/>
    <row r="14989" s="496" customFormat="1" x14ac:dyDescent="0.2"/>
    <row r="14990" s="496" customFormat="1" x14ac:dyDescent="0.2"/>
    <row r="14991" s="496" customFormat="1" x14ac:dyDescent="0.2"/>
    <row r="14992" s="496" customFormat="1" x14ac:dyDescent="0.2"/>
    <row r="14993" s="496" customFormat="1" x14ac:dyDescent="0.2"/>
    <row r="14994" s="496" customFormat="1" x14ac:dyDescent="0.2"/>
    <row r="14995" s="496" customFormat="1" x14ac:dyDescent="0.2"/>
    <row r="14996" s="496" customFormat="1" x14ac:dyDescent="0.2"/>
    <row r="14997" s="496" customFormat="1" x14ac:dyDescent="0.2"/>
    <row r="14998" s="496" customFormat="1" x14ac:dyDescent="0.2"/>
    <row r="14999" s="496" customFormat="1" x14ac:dyDescent="0.2"/>
    <row r="15000" s="496" customFormat="1" x14ac:dyDescent="0.2"/>
    <row r="15001" s="496" customFormat="1" x14ac:dyDescent="0.2"/>
    <row r="15002" s="496" customFormat="1" x14ac:dyDescent="0.2"/>
    <row r="15003" s="496" customFormat="1" x14ac:dyDescent="0.2"/>
    <row r="15004" s="496" customFormat="1" x14ac:dyDescent="0.2"/>
    <row r="15005" s="496" customFormat="1" x14ac:dyDescent="0.2"/>
    <row r="15006" s="496" customFormat="1" x14ac:dyDescent="0.2"/>
    <row r="15007" s="496" customFormat="1" x14ac:dyDescent="0.2"/>
    <row r="15008" s="496" customFormat="1" x14ac:dyDescent="0.2"/>
    <row r="15009" s="496" customFormat="1" x14ac:dyDescent="0.2"/>
    <row r="15010" s="496" customFormat="1" x14ac:dyDescent="0.2"/>
    <row r="15011" s="496" customFormat="1" x14ac:dyDescent="0.2"/>
    <row r="15012" s="496" customFormat="1" x14ac:dyDescent="0.2"/>
    <row r="15013" s="496" customFormat="1" x14ac:dyDescent="0.2"/>
    <row r="15014" s="496" customFormat="1" x14ac:dyDescent="0.2"/>
    <row r="15015" s="496" customFormat="1" x14ac:dyDescent="0.2"/>
    <row r="15016" s="496" customFormat="1" x14ac:dyDescent="0.2"/>
    <row r="15017" s="496" customFormat="1" x14ac:dyDescent="0.2"/>
    <row r="15018" s="496" customFormat="1" x14ac:dyDescent="0.2"/>
    <row r="15019" s="496" customFormat="1" x14ac:dyDescent="0.2"/>
    <row r="15020" s="496" customFormat="1" x14ac:dyDescent="0.2"/>
    <row r="15021" s="496" customFormat="1" x14ac:dyDescent="0.2"/>
    <row r="15022" s="496" customFormat="1" x14ac:dyDescent="0.2"/>
    <row r="15023" s="496" customFormat="1" x14ac:dyDescent="0.2"/>
    <row r="15024" s="496" customFormat="1" x14ac:dyDescent="0.2"/>
    <row r="15025" s="496" customFormat="1" x14ac:dyDescent="0.2"/>
    <row r="15026" s="496" customFormat="1" x14ac:dyDescent="0.2"/>
    <row r="15027" s="496" customFormat="1" x14ac:dyDescent="0.2"/>
    <row r="15028" s="496" customFormat="1" x14ac:dyDescent="0.2"/>
    <row r="15029" s="496" customFormat="1" x14ac:dyDescent="0.2"/>
    <row r="15030" s="496" customFormat="1" x14ac:dyDescent="0.2"/>
    <row r="15031" s="496" customFormat="1" x14ac:dyDescent="0.2"/>
    <row r="15032" s="496" customFormat="1" x14ac:dyDescent="0.2"/>
    <row r="15033" s="496" customFormat="1" x14ac:dyDescent="0.2"/>
    <row r="15034" s="496" customFormat="1" x14ac:dyDescent="0.2"/>
    <row r="15035" s="496" customFormat="1" x14ac:dyDescent="0.2"/>
    <row r="15036" s="496" customFormat="1" x14ac:dyDescent="0.2"/>
    <row r="15037" s="496" customFormat="1" x14ac:dyDescent="0.2"/>
    <row r="15038" s="496" customFormat="1" x14ac:dyDescent="0.2"/>
    <row r="15039" s="496" customFormat="1" x14ac:dyDescent="0.2"/>
    <row r="15040" s="496" customFormat="1" x14ac:dyDescent="0.2"/>
    <row r="15041" s="496" customFormat="1" x14ac:dyDescent="0.2"/>
    <row r="15042" s="496" customFormat="1" x14ac:dyDescent="0.2"/>
    <row r="15043" s="496" customFormat="1" x14ac:dyDescent="0.2"/>
    <row r="15044" s="496" customFormat="1" x14ac:dyDescent="0.2"/>
    <row r="15045" s="496" customFormat="1" x14ac:dyDescent="0.2"/>
    <row r="15046" s="496" customFormat="1" x14ac:dyDescent="0.2"/>
    <row r="15047" s="496" customFormat="1" x14ac:dyDescent="0.2"/>
    <row r="15048" s="496" customFormat="1" x14ac:dyDescent="0.2"/>
    <row r="15049" s="496" customFormat="1" x14ac:dyDescent="0.2"/>
    <row r="15050" s="496" customFormat="1" x14ac:dyDescent="0.2"/>
    <row r="15051" s="496" customFormat="1" x14ac:dyDescent="0.2"/>
    <row r="15052" s="496" customFormat="1" x14ac:dyDescent="0.2"/>
    <row r="15053" s="496" customFormat="1" x14ac:dyDescent="0.2"/>
    <row r="15054" s="496" customFormat="1" x14ac:dyDescent="0.2"/>
    <row r="15055" s="496" customFormat="1" x14ac:dyDescent="0.2"/>
    <row r="15056" s="496" customFormat="1" x14ac:dyDescent="0.2"/>
    <row r="15057" s="496" customFormat="1" x14ac:dyDescent="0.2"/>
    <row r="15058" s="496" customFormat="1" x14ac:dyDescent="0.2"/>
    <row r="15059" s="496" customFormat="1" x14ac:dyDescent="0.2"/>
    <row r="15060" s="496" customFormat="1" x14ac:dyDescent="0.2"/>
    <row r="15061" s="496" customFormat="1" x14ac:dyDescent="0.2"/>
    <row r="15062" s="496" customFormat="1" x14ac:dyDescent="0.2"/>
    <row r="15063" s="496" customFormat="1" x14ac:dyDescent="0.2"/>
    <row r="15064" s="496" customFormat="1" x14ac:dyDescent="0.2"/>
    <row r="15065" s="496" customFormat="1" x14ac:dyDescent="0.2"/>
    <row r="15066" s="496" customFormat="1" x14ac:dyDescent="0.2"/>
    <row r="15067" s="496" customFormat="1" x14ac:dyDescent="0.2"/>
    <row r="15068" s="496" customFormat="1" x14ac:dyDescent="0.2"/>
    <row r="15069" s="496" customFormat="1" x14ac:dyDescent="0.2"/>
    <row r="15070" s="496" customFormat="1" x14ac:dyDescent="0.2"/>
    <row r="15071" s="496" customFormat="1" x14ac:dyDescent="0.2"/>
    <row r="15072" s="496" customFormat="1" x14ac:dyDescent="0.2"/>
    <row r="15073" s="496" customFormat="1" x14ac:dyDescent="0.2"/>
    <row r="15074" s="496" customFormat="1" x14ac:dyDescent="0.2"/>
    <row r="15075" s="496" customFormat="1" x14ac:dyDescent="0.2"/>
    <row r="15076" s="496" customFormat="1" x14ac:dyDescent="0.2"/>
    <row r="15077" s="496" customFormat="1" x14ac:dyDescent="0.2"/>
    <row r="15078" s="496" customFormat="1" x14ac:dyDescent="0.2"/>
    <row r="15079" s="496" customFormat="1" x14ac:dyDescent="0.2"/>
    <row r="15080" s="496" customFormat="1" x14ac:dyDescent="0.2"/>
    <row r="15081" s="496" customFormat="1" x14ac:dyDescent="0.2"/>
    <row r="15082" s="496" customFormat="1" x14ac:dyDescent="0.2"/>
    <row r="15083" s="496" customFormat="1" x14ac:dyDescent="0.2"/>
    <row r="15084" s="496" customFormat="1" x14ac:dyDescent="0.2"/>
    <row r="15085" s="496" customFormat="1" x14ac:dyDescent="0.2"/>
    <row r="15086" s="496" customFormat="1" x14ac:dyDescent="0.2"/>
    <row r="15087" s="496" customFormat="1" x14ac:dyDescent="0.2"/>
    <row r="15088" s="496" customFormat="1" x14ac:dyDescent="0.2"/>
    <row r="15089" s="496" customFormat="1" x14ac:dyDescent="0.2"/>
    <row r="15090" s="496" customFormat="1" x14ac:dyDescent="0.2"/>
    <row r="15091" s="496" customFormat="1" x14ac:dyDescent="0.2"/>
    <row r="15092" s="496" customFormat="1" x14ac:dyDescent="0.2"/>
    <row r="15093" s="496" customFormat="1" x14ac:dyDescent="0.2"/>
    <row r="15094" s="496" customFormat="1" x14ac:dyDescent="0.2"/>
    <row r="15095" s="496" customFormat="1" x14ac:dyDescent="0.2"/>
    <row r="15096" s="496" customFormat="1" x14ac:dyDescent="0.2"/>
    <row r="15097" s="496" customFormat="1" x14ac:dyDescent="0.2"/>
    <row r="15098" s="496" customFormat="1" x14ac:dyDescent="0.2"/>
    <row r="15099" s="496" customFormat="1" x14ac:dyDescent="0.2"/>
    <row r="15100" s="496" customFormat="1" x14ac:dyDescent="0.2"/>
    <row r="15101" s="496" customFormat="1" x14ac:dyDescent="0.2"/>
    <row r="15102" s="496" customFormat="1" x14ac:dyDescent="0.2"/>
    <row r="15103" s="496" customFormat="1" x14ac:dyDescent="0.2"/>
    <row r="15104" s="496" customFormat="1" x14ac:dyDescent="0.2"/>
    <row r="15105" s="496" customFormat="1" x14ac:dyDescent="0.2"/>
    <row r="15106" s="496" customFormat="1" x14ac:dyDescent="0.2"/>
    <row r="15107" s="496" customFormat="1" x14ac:dyDescent="0.2"/>
    <row r="15108" s="496" customFormat="1" x14ac:dyDescent="0.2"/>
    <row r="15109" s="496" customFormat="1" x14ac:dyDescent="0.2"/>
    <row r="15110" s="496" customFormat="1" x14ac:dyDescent="0.2"/>
    <row r="15111" s="496" customFormat="1" x14ac:dyDescent="0.2"/>
    <row r="15112" s="496" customFormat="1" x14ac:dyDescent="0.2"/>
    <row r="15113" s="496" customFormat="1" x14ac:dyDescent="0.2"/>
    <row r="15114" s="496" customFormat="1" x14ac:dyDescent="0.2"/>
    <row r="15115" s="496" customFormat="1" x14ac:dyDescent="0.2"/>
    <row r="15116" s="496" customFormat="1" x14ac:dyDescent="0.2"/>
    <row r="15117" s="496" customFormat="1" x14ac:dyDescent="0.2"/>
    <row r="15118" s="496" customFormat="1" x14ac:dyDescent="0.2"/>
    <row r="15119" s="496" customFormat="1" x14ac:dyDescent="0.2"/>
    <row r="15120" s="496" customFormat="1" x14ac:dyDescent="0.2"/>
    <row r="15121" s="496" customFormat="1" x14ac:dyDescent="0.2"/>
    <row r="15122" s="496" customFormat="1" x14ac:dyDescent="0.2"/>
    <row r="15123" s="496" customFormat="1" x14ac:dyDescent="0.2"/>
    <row r="15124" s="496" customFormat="1" x14ac:dyDescent="0.2"/>
    <row r="15125" s="496" customFormat="1" x14ac:dyDescent="0.2"/>
    <row r="15126" s="496" customFormat="1" x14ac:dyDescent="0.2"/>
    <row r="15127" s="496" customFormat="1" x14ac:dyDescent="0.2"/>
    <row r="15128" s="496" customFormat="1" x14ac:dyDescent="0.2"/>
    <row r="15129" s="496" customFormat="1" x14ac:dyDescent="0.2"/>
    <row r="15130" s="496" customFormat="1" x14ac:dyDescent="0.2"/>
    <row r="15131" s="496" customFormat="1" x14ac:dyDescent="0.2"/>
    <row r="15132" s="496" customFormat="1" x14ac:dyDescent="0.2"/>
    <row r="15133" s="496" customFormat="1" x14ac:dyDescent="0.2"/>
    <row r="15134" s="496" customFormat="1" x14ac:dyDescent="0.2"/>
    <row r="15135" s="496" customFormat="1" x14ac:dyDescent="0.2"/>
    <row r="15136" s="496" customFormat="1" x14ac:dyDescent="0.2"/>
    <row r="15137" s="496" customFormat="1" x14ac:dyDescent="0.2"/>
    <row r="15138" s="496" customFormat="1" x14ac:dyDescent="0.2"/>
    <row r="15139" s="496" customFormat="1" x14ac:dyDescent="0.2"/>
    <row r="15140" s="496" customFormat="1" x14ac:dyDescent="0.2"/>
    <row r="15141" s="496" customFormat="1" x14ac:dyDescent="0.2"/>
    <row r="15142" s="496" customFormat="1" x14ac:dyDescent="0.2"/>
    <row r="15143" s="496" customFormat="1" x14ac:dyDescent="0.2"/>
    <row r="15144" s="496" customFormat="1" x14ac:dyDescent="0.2"/>
    <row r="15145" s="496" customFormat="1" x14ac:dyDescent="0.2"/>
    <row r="15146" s="496" customFormat="1" x14ac:dyDescent="0.2"/>
    <row r="15147" s="496" customFormat="1" x14ac:dyDescent="0.2"/>
    <row r="15148" s="496" customFormat="1" x14ac:dyDescent="0.2"/>
    <row r="15149" s="496" customFormat="1" x14ac:dyDescent="0.2"/>
    <row r="15150" s="496" customFormat="1" x14ac:dyDescent="0.2"/>
    <row r="15151" s="496" customFormat="1" x14ac:dyDescent="0.2"/>
    <row r="15152" s="496" customFormat="1" x14ac:dyDescent="0.2"/>
    <row r="15153" s="496" customFormat="1" x14ac:dyDescent="0.2"/>
    <row r="15154" s="496" customFormat="1" x14ac:dyDescent="0.2"/>
    <row r="15155" s="496" customFormat="1" x14ac:dyDescent="0.2"/>
    <row r="15156" s="496" customFormat="1" x14ac:dyDescent="0.2"/>
    <row r="15157" s="496" customFormat="1" x14ac:dyDescent="0.2"/>
    <row r="15158" s="496" customFormat="1" x14ac:dyDescent="0.2"/>
    <row r="15159" s="496" customFormat="1" x14ac:dyDescent="0.2"/>
    <row r="15160" s="496" customFormat="1" x14ac:dyDescent="0.2"/>
    <row r="15161" s="496" customFormat="1" x14ac:dyDescent="0.2"/>
    <row r="15162" s="496" customFormat="1" x14ac:dyDescent="0.2"/>
    <row r="15163" s="496" customFormat="1" x14ac:dyDescent="0.2"/>
    <row r="15164" s="496" customFormat="1" x14ac:dyDescent="0.2"/>
    <row r="15165" s="496" customFormat="1" x14ac:dyDescent="0.2"/>
    <row r="15166" s="496" customFormat="1" x14ac:dyDescent="0.2"/>
    <row r="15167" s="496" customFormat="1" x14ac:dyDescent="0.2"/>
    <row r="15168" s="496" customFormat="1" x14ac:dyDescent="0.2"/>
    <row r="15169" s="496" customFormat="1" x14ac:dyDescent="0.2"/>
    <row r="15170" s="496" customFormat="1" x14ac:dyDescent="0.2"/>
    <row r="15171" s="496" customFormat="1" x14ac:dyDescent="0.2"/>
    <row r="15172" s="496" customFormat="1" x14ac:dyDescent="0.2"/>
    <row r="15173" s="496" customFormat="1" x14ac:dyDescent="0.2"/>
    <row r="15174" s="496" customFormat="1" x14ac:dyDescent="0.2"/>
    <row r="15175" s="496" customFormat="1" x14ac:dyDescent="0.2"/>
    <row r="15176" s="496" customFormat="1" x14ac:dyDescent="0.2"/>
    <row r="15177" s="496" customFormat="1" x14ac:dyDescent="0.2"/>
    <row r="15178" s="496" customFormat="1" x14ac:dyDescent="0.2"/>
    <row r="15179" s="496" customFormat="1" x14ac:dyDescent="0.2"/>
    <row r="15180" s="496" customFormat="1" x14ac:dyDescent="0.2"/>
    <row r="15181" s="496" customFormat="1" x14ac:dyDescent="0.2"/>
    <row r="15182" s="496" customFormat="1" x14ac:dyDescent="0.2"/>
    <row r="15183" s="496" customFormat="1" x14ac:dyDescent="0.2"/>
    <row r="15184" s="496" customFormat="1" x14ac:dyDescent="0.2"/>
    <row r="15185" s="496" customFormat="1" x14ac:dyDescent="0.2"/>
    <row r="15186" s="496" customFormat="1" x14ac:dyDescent="0.2"/>
    <row r="15187" s="496" customFormat="1" x14ac:dyDescent="0.2"/>
    <row r="15188" s="496" customFormat="1" x14ac:dyDescent="0.2"/>
    <row r="15189" s="496" customFormat="1" x14ac:dyDescent="0.2"/>
    <row r="15190" s="496" customFormat="1" x14ac:dyDescent="0.2"/>
    <row r="15191" s="496" customFormat="1" x14ac:dyDescent="0.2"/>
    <row r="15192" s="496" customFormat="1" x14ac:dyDescent="0.2"/>
    <row r="15193" s="496" customFormat="1" x14ac:dyDescent="0.2"/>
    <row r="15194" s="496" customFormat="1" x14ac:dyDescent="0.2"/>
    <row r="15195" s="496" customFormat="1" x14ac:dyDescent="0.2"/>
    <row r="15196" s="496" customFormat="1" x14ac:dyDescent="0.2"/>
    <row r="15197" s="496" customFormat="1" x14ac:dyDescent="0.2"/>
    <row r="15198" s="496" customFormat="1" x14ac:dyDescent="0.2"/>
    <row r="15199" s="496" customFormat="1" x14ac:dyDescent="0.2"/>
    <row r="15200" s="496" customFormat="1" x14ac:dyDescent="0.2"/>
    <row r="15201" s="496" customFormat="1" x14ac:dyDescent="0.2"/>
    <row r="15202" s="496" customFormat="1" x14ac:dyDescent="0.2"/>
    <row r="15203" s="496" customFormat="1" x14ac:dyDescent="0.2"/>
    <row r="15204" s="496" customFormat="1" x14ac:dyDescent="0.2"/>
    <row r="15205" s="496" customFormat="1" x14ac:dyDescent="0.2"/>
    <row r="15206" s="496" customFormat="1" x14ac:dyDescent="0.2"/>
    <row r="15207" s="496" customFormat="1" x14ac:dyDescent="0.2"/>
    <row r="15208" s="496" customFormat="1" x14ac:dyDescent="0.2"/>
    <row r="15209" s="496" customFormat="1" x14ac:dyDescent="0.2"/>
    <row r="15210" s="496" customFormat="1" x14ac:dyDescent="0.2"/>
    <row r="15211" s="496" customFormat="1" x14ac:dyDescent="0.2"/>
    <row r="15212" s="496" customFormat="1" x14ac:dyDescent="0.2"/>
    <row r="15213" s="496" customFormat="1" x14ac:dyDescent="0.2"/>
    <row r="15214" s="496" customFormat="1" x14ac:dyDescent="0.2"/>
    <row r="15215" s="496" customFormat="1" x14ac:dyDescent="0.2"/>
    <row r="15216" s="496" customFormat="1" x14ac:dyDescent="0.2"/>
    <row r="15217" s="496" customFormat="1" x14ac:dyDescent="0.2"/>
    <row r="15218" s="496" customFormat="1" x14ac:dyDescent="0.2"/>
    <row r="15219" s="496" customFormat="1" x14ac:dyDescent="0.2"/>
    <row r="15220" s="496" customFormat="1" x14ac:dyDescent="0.2"/>
    <row r="15221" s="496" customFormat="1" x14ac:dyDescent="0.2"/>
    <row r="15222" s="496" customFormat="1" x14ac:dyDescent="0.2"/>
    <row r="15223" s="496" customFormat="1" x14ac:dyDescent="0.2"/>
    <row r="15224" s="496" customFormat="1" x14ac:dyDescent="0.2"/>
    <row r="15225" s="496" customFormat="1" x14ac:dyDescent="0.2"/>
    <row r="15226" s="496" customFormat="1" x14ac:dyDescent="0.2"/>
    <row r="15227" s="496" customFormat="1" x14ac:dyDescent="0.2"/>
    <row r="15228" s="496" customFormat="1" x14ac:dyDescent="0.2"/>
    <row r="15229" s="496" customFormat="1" x14ac:dyDescent="0.2"/>
    <row r="15230" s="496" customFormat="1" x14ac:dyDescent="0.2"/>
    <row r="15231" s="496" customFormat="1" x14ac:dyDescent="0.2"/>
    <row r="15232" s="496" customFormat="1" x14ac:dyDescent="0.2"/>
    <row r="15233" s="496" customFormat="1" x14ac:dyDescent="0.2"/>
    <row r="15234" s="496" customFormat="1" x14ac:dyDescent="0.2"/>
    <row r="15235" s="496" customFormat="1" x14ac:dyDescent="0.2"/>
    <row r="15236" s="496" customFormat="1" x14ac:dyDescent="0.2"/>
    <row r="15237" s="496" customFormat="1" x14ac:dyDescent="0.2"/>
    <row r="15238" s="496" customFormat="1" x14ac:dyDescent="0.2"/>
    <row r="15239" s="496" customFormat="1" x14ac:dyDescent="0.2"/>
    <row r="15240" s="496" customFormat="1" x14ac:dyDescent="0.2"/>
    <row r="15241" s="496" customFormat="1" x14ac:dyDescent="0.2"/>
    <row r="15242" s="496" customFormat="1" x14ac:dyDescent="0.2"/>
    <row r="15243" s="496" customFormat="1" x14ac:dyDescent="0.2"/>
    <row r="15244" s="496" customFormat="1" x14ac:dyDescent="0.2"/>
    <row r="15245" s="496" customFormat="1" x14ac:dyDescent="0.2"/>
    <row r="15246" s="496" customFormat="1" x14ac:dyDescent="0.2"/>
    <row r="15247" s="496" customFormat="1" x14ac:dyDescent="0.2"/>
    <row r="15248" s="496" customFormat="1" x14ac:dyDescent="0.2"/>
    <row r="15249" s="496" customFormat="1" x14ac:dyDescent="0.2"/>
    <row r="15250" s="496" customFormat="1" x14ac:dyDescent="0.2"/>
    <row r="15251" s="496" customFormat="1" x14ac:dyDescent="0.2"/>
    <row r="15252" s="496" customFormat="1" x14ac:dyDescent="0.2"/>
    <row r="15253" s="496" customFormat="1" x14ac:dyDescent="0.2"/>
    <row r="15254" s="496" customFormat="1" x14ac:dyDescent="0.2"/>
    <row r="15255" s="496" customFormat="1" x14ac:dyDescent="0.2"/>
    <row r="15256" s="496" customFormat="1" x14ac:dyDescent="0.2"/>
    <row r="15257" s="496" customFormat="1" x14ac:dyDescent="0.2"/>
    <row r="15258" s="496" customFormat="1" x14ac:dyDescent="0.2"/>
    <row r="15259" s="496" customFormat="1" x14ac:dyDescent="0.2"/>
    <row r="15260" s="496" customFormat="1" x14ac:dyDescent="0.2"/>
    <row r="15261" s="496" customFormat="1" x14ac:dyDescent="0.2"/>
    <row r="15262" s="496" customFormat="1" x14ac:dyDescent="0.2"/>
    <row r="15263" s="496" customFormat="1" x14ac:dyDescent="0.2"/>
    <row r="15264" s="496" customFormat="1" x14ac:dyDescent="0.2"/>
    <row r="15265" s="496" customFormat="1" x14ac:dyDescent="0.2"/>
    <row r="15266" s="496" customFormat="1" x14ac:dyDescent="0.2"/>
    <row r="15267" s="496" customFormat="1" x14ac:dyDescent="0.2"/>
    <row r="15268" s="496" customFormat="1" x14ac:dyDescent="0.2"/>
    <row r="15269" s="496" customFormat="1" x14ac:dyDescent="0.2"/>
    <row r="15270" s="496" customFormat="1" x14ac:dyDescent="0.2"/>
    <row r="15271" s="496" customFormat="1" x14ac:dyDescent="0.2"/>
    <row r="15272" s="496" customFormat="1" x14ac:dyDescent="0.2"/>
    <row r="15273" s="496" customFormat="1" x14ac:dyDescent="0.2"/>
    <row r="15274" s="496" customFormat="1" x14ac:dyDescent="0.2"/>
    <row r="15275" s="496" customFormat="1" x14ac:dyDescent="0.2"/>
    <row r="15276" s="496" customFormat="1" x14ac:dyDescent="0.2"/>
    <row r="15277" s="496" customFormat="1" x14ac:dyDescent="0.2"/>
    <row r="15278" s="496" customFormat="1" x14ac:dyDescent="0.2"/>
    <row r="15279" s="496" customFormat="1" x14ac:dyDescent="0.2"/>
    <row r="15280" s="496" customFormat="1" x14ac:dyDescent="0.2"/>
    <row r="15281" s="496" customFormat="1" x14ac:dyDescent="0.2"/>
    <row r="15282" s="496" customFormat="1" x14ac:dyDescent="0.2"/>
    <row r="15283" s="496" customFormat="1" x14ac:dyDescent="0.2"/>
    <row r="15284" s="496" customFormat="1" x14ac:dyDescent="0.2"/>
    <row r="15285" s="496" customFormat="1" x14ac:dyDescent="0.2"/>
    <row r="15286" s="496" customFormat="1" x14ac:dyDescent="0.2"/>
    <row r="15287" s="496" customFormat="1" x14ac:dyDescent="0.2"/>
    <row r="15288" s="496" customFormat="1" x14ac:dyDescent="0.2"/>
    <row r="15289" s="496" customFormat="1" x14ac:dyDescent="0.2"/>
    <row r="15290" s="496" customFormat="1" x14ac:dyDescent="0.2"/>
    <row r="15291" s="496" customFormat="1" x14ac:dyDescent="0.2"/>
    <row r="15292" s="496" customFormat="1" x14ac:dyDescent="0.2"/>
    <row r="15293" s="496" customFormat="1" x14ac:dyDescent="0.2"/>
    <row r="15294" s="496" customFormat="1" x14ac:dyDescent="0.2"/>
    <row r="15295" s="496" customFormat="1" x14ac:dyDescent="0.2"/>
    <row r="15296" s="496" customFormat="1" x14ac:dyDescent="0.2"/>
    <row r="15297" s="496" customFormat="1" x14ac:dyDescent="0.2"/>
    <row r="15298" s="496" customFormat="1" x14ac:dyDescent="0.2"/>
    <row r="15299" s="496" customFormat="1" x14ac:dyDescent="0.2"/>
    <row r="15300" s="496" customFormat="1" x14ac:dyDescent="0.2"/>
    <row r="15301" s="496" customFormat="1" x14ac:dyDescent="0.2"/>
    <row r="15302" s="496" customFormat="1" x14ac:dyDescent="0.2"/>
    <row r="15303" s="496" customFormat="1" x14ac:dyDescent="0.2"/>
    <row r="15304" s="496" customFormat="1" x14ac:dyDescent="0.2"/>
    <row r="15305" s="496" customFormat="1" x14ac:dyDescent="0.2"/>
    <row r="15306" s="496" customFormat="1" x14ac:dyDescent="0.2"/>
    <row r="15307" s="496" customFormat="1" x14ac:dyDescent="0.2"/>
    <row r="15308" s="496" customFormat="1" x14ac:dyDescent="0.2"/>
    <row r="15309" s="496" customFormat="1" x14ac:dyDescent="0.2"/>
    <row r="15310" s="496" customFormat="1" x14ac:dyDescent="0.2"/>
    <row r="15311" s="496" customFormat="1" x14ac:dyDescent="0.2"/>
    <row r="15312" s="496" customFormat="1" x14ac:dyDescent="0.2"/>
    <row r="15313" s="496" customFormat="1" x14ac:dyDescent="0.2"/>
    <row r="15314" s="496" customFormat="1" x14ac:dyDescent="0.2"/>
    <row r="15315" s="496" customFormat="1" x14ac:dyDescent="0.2"/>
    <row r="15316" s="496" customFormat="1" x14ac:dyDescent="0.2"/>
    <row r="15317" s="496" customFormat="1" x14ac:dyDescent="0.2"/>
    <row r="15318" s="496" customFormat="1" x14ac:dyDescent="0.2"/>
    <row r="15319" s="496" customFormat="1" x14ac:dyDescent="0.2"/>
    <row r="15320" s="496" customFormat="1" x14ac:dyDescent="0.2"/>
    <row r="15321" s="496" customFormat="1" x14ac:dyDescent="0.2"/>
    <row r="15322" s="496" customFormat="1" x14ac:dyDescent="0.2"/>
    <row r="15323" s="496" customFormat="1" x14ac:dyDescent="0.2"/>
    <row r="15324" s="496" customFormat="1" x14ac:dyDescent="0.2"/>
    <row r="15325" s="496" customFormat="1" x14ac:dyDescent="0.2"/>
    <row r="15326" s="496" customFormat="1" x14ac:dyDescent="0.2"/>
    <row r="15327" s="496" customFormat="1" x14ac:dyDescent="0.2"/>
    <row r="15328" s="496" customFormat="1" x14ac:dyDescent="0.2"/>
    <row r="15329" s="496" customFormat="1" x14ac:dyDescent="0.2"/>
    <row r="15330" s="496" customFormat="1" x14ac:dyDescent="0.2"/>
    <row r="15331" s="496" customFormat="1" x14ac:dyDescent="0.2"/>
    <row r="15332" s="496" customFormat="1" x14ac:dyDescent="0.2"/>
    <row r="15333" s="496" customFormat="1" x14ac:dyDescent="0.2"/>
    <row r="15334" s="496" customFormat="1" x14ac:dyDescent="0.2"/>
    <row r="15335" s="496" customFormat="1" x14ac:dyDescent="0.2"/>
    <row r="15336" s="496" customFormat="1" x14ac:dyDescent="0.2"/>
    <row r="15337" s="496" customFormat="1" x14ac:dyDescent="0.2"/>
    <row r="15338" s="496" customFormat="1" x14ac:dyDescent="0.2"/>
    <row r="15339" s="496" customFormat="1" x14ac:dyDescent="0.2"/>
    <row r="15340" s="496" customFormat="1" x14ac:dyDescent="0.2"/>
    <row r="15341" s="496" customFormat="1" x14ac:dyDescent="0.2"/>
    <row r="15342" s="496" customFormat="1" x14ac:dyDescent="0.2"/>
    <row r="15343" s="496" customFormat="1" x14ac:dyDescent="0.2"/>
    <row r="15344" s="496" customFormat="1" x14ac:dyDescent="0.2"/>
    <row r="15345" s="496" customFormat="1" x14ac:dyDescent="0.2"/>
    <row r="15346" s="496" customFormat="1" x14ac:dyDescent="0.2"/>
    <row r="15347" s="496" customFormat="1" x14ac:dyDescent="0.2"/>
    <row r="15348" s="496" customFormat="1" x14ac:dyDescent="0.2"/>
    <row r="15349" s="496" customFormat="1" x14ac:dyDescent="0.2"/>
    <row r="15350" s="496" customFormat="1" x14ac:dyDescent="0.2"/>
    <row r="15351" s="496" customFormat="1" x14ac:dyDescent="0.2"/>
    <row r="15352" s="496" customFormat="1" x14ac:dyDescent="0.2"/>
    <row r="15353" s="496" customFormat="1" x14ac:dyDescent="0.2"/>
    <row r="15354" s="496" customFormat="1" x14ac:dyDescent="0.2"/>
    <row r="15355" s="496" customFormat="1" x14ac:dyDescent="0.2"/>
    <row r="15356" s="496" customFormat="1" x14ac:dyDescent="0.2"/>
    <row r="15357" s="496" customFormat="1" x14ac:dyDescent="0.2"/>
    <row r="15358" s="496" customFormat="1" x14ac:dyDescent="0.2"/>
    <row r="15359" s="496" customFormat="1" x14ac:dyDescent="0.2"/>
    <row r="15360" s="496" customFormat="1" x14ac:dyDescent="0.2"/>
    <row r="15361" s="496" customFormat="1" x14ac:dyDescent="0.2"/>
    <row r="15362" s="496" customFormat="1" x14ac:dyDescent="0.2"/>
    <row r="15363" s="496" customFormat="1" x14ac:dyDescent="0.2"/>
    <row r="15364" s="496" customFormat="1" x14ac:dyDescent="0.2"/>
    <row r="15365" s="496" customFormat="1" x14ac:dyDescent="0.2"/>
    <row r="15366" s="496" customFormat="1" x14ac:dyDescent="0.2"/>
    <row r="15367" s="496" customFormat="1" x14ac:dyDescent="0.2"/>
    <row r="15368" s="496" customFormat="1" x14ac:dyDescent="0.2"/>
    <row r="15369" s="496" customFormat="1" x14ac:dyDescent="0.2"/>
    <row r="15370" s="496" customFormat="1" x14ac:dyDescent="0.2"/>
    <row r="15371" s="496" customFormat="1" x14ac:dyDescent="0.2"/>
    <row r="15372" s="496" customFormat="1" x14ac:dyDescent="0.2"/>
    <row r="15373" s="496" customFormat="1" x14ac:dyDescent="0.2"/>
    <row r="15374" s="496" customFormat="1" x14ac:dyDescent="0.2"/>
    <row r="15375" s="496" customFormat="1" x14ac:dyDescent="0.2"/>
    <row r="15376" s="496" customFormat="1" x14ac:dyDescent="0.2"/>
    <row r="15377" s="496" customFormat="1" x14ac:dyDescent="0.2"/>
    <row r="15378" s="496" customFormat="1" x14ac:dyDescent="0.2"/>
    <row r="15379" s="496" customFormat="1" x14ac:dyDescent="0.2"/>
    <row r="15380" s="496" customFormat="1" x14ac:dyDescent="0.2"/>
    <row r="15381" s="496" customFormat="1" x14ac:dyDescent="0.2"/>
    <row r="15382" s="496" customFormat="1" x14ac:dyDescent="0.2"/>
    <row r="15383" s="496" customFormat="1" x14ac:dyDescent="0.2"/>
    <row r="15384" s="496" customFormat="1" x14ac:dyDescent="0.2"/>
    <row r="15385" s="496" customFormat="1" x14ac:dyDescent="0.2"/>
    <row r="15386" s="496" customFormat="1" x14ac:dyDescent="0.2"/>
    <row r="15387" s="496" customFormat="1" x14ac:dyDescent="0.2"/>
    <row r="15388" s="496" customFormat="1" x14ac:dyDescent="0.2"/>
    <row r="15389" s="496" customFormat="1" x14ac:dyDescent="0.2"/>
    <row r="15390" s="496" customFormat="1" x14ac:dyDescent="0.2"/>
    <row r="15391" s="496" customFormat="1" x14ac:dyDescent="0.2"/>
    <row r="15392" s="496" customFormat="1" x14ac:dyDescent="0.2"/>
    <row r="15393" s="496" customFormat="1" x14ac:dyDescent="0.2"/>
    <row r="15394" s="496" customFormat="1" x14ac:dyDescent="0.2"/>
    <row r="15395" s="496" customFormat="1" x14ac:dyDescent="0.2"/>
    <row r="15396" s="496" customFormat="1" x14ac:dyDescent="0.2"/>
    <row r="15397" s="496" customFormat="1" x14ac:dyDescent="0.2"/>
    <row r="15398" s="496" customFormat="1" x14ac:dyDescent="0.2"/>
    <row r="15399" s="496" customFormat="1" x14ac:dyDescent="0.2"/>
    <row r="15400" s="496" customFormat="1" x14ac:dyDescent="0.2"/>
    <row r="15401" s="496" customFormat="1" x14ac:dyDescent="0.2"/>
    <row r="15402" s="496" customFormat="1" x14ac:dyDescent="0.2"/>
    <row r="15403" s="496" customFormat="1" x14ac:dyDescent="0.2"/>
    <row r="15404" s="496" customFormat="1" x14ac:dyDescent="0.2"/>
    <row r="15405" s="496" customFormat="1" x14ac:dyDescent="0.2"/>
    <row r="15406" s="496" customFormat="1" x14ac:dyDescent="0.2"/>
    <row r="15407" s="496" customFormat="1" x14ac:dyDescent="0.2"/>
    <row r="15408" s="496" customFormat="1" x14ac:dyDescent="0.2"/>
    <row r="15409" s="496" customFormat="1" x14ac:dyDescent="0.2"/>
    <row r="15410" s="496" customFormat="1" x14ac:dyDescent="0.2"/>
    <row r="15411" s="496" customFormat="1" x14ac:dyDescent="0.2"/>
    <row r="15412" s="496" customFormat="1" x14ac:dyDescent="0.2"/>
    <row r="15413" s="496" customFormat="1" x14ac:dyDescent="0.2"/>
    <row r="15414" s="496" customFormat="1" x14ac:dyDescent="0.2"/>
    <row r="15415" s="496" customFormat="1" x14ac:dyDescent="0.2"/>
    <row r="15416" s="496" customFormat="1" x14ac:dyDescent="0.2"/>
    <row r="15417" s="496" customFormat="1" x14ac:dyDescent="0.2"/>
    <row r="15418" s="496" customFormat="1" x14ac:dyDescent="0.2"/>
    <row r="15419" s="496" customFormat="1" x14ac:dyDescent="0.2"/>
    <row r="15420" s="496" customFormat="1" x14ac:dyDescent="0.2"/>
    <row r="15421" s="496" customFormat="1" x14ac:dyDescent="0.2"/>
    <row r="15422" s="496" customFormat="1" x14ac:dyDescent="0.2"/>
    <row r="15423" s="496" customFormat="1" x14ac:dyDescent="0.2"/>
    <row r="15424" s="496" customFormat="1" x14ac:dyDescent="0.2"/>
    <row r="15425" s="496" customFormat="1" x14ac:dyDescent="0.2"/>
    <row r="15426" s="496" customFormat="1" x14ac:dyDescent="0.2"/>
    <row r="15427" s="496" customFormat="1" x14ac:dyDescent="0.2"/>
    <row r="15428" s="496" customFormat="1" x14ac:dyDescent="0.2"/>
    <row r="15429" s="496" customFormat="1" x14ac:dyDescent="0.2"/>
    <row r="15430" s="496" customFormat="1" x14ac:dyDescent="0.2"/>
    <row r="15431" s="496" customFormat="1" x14ac:dyDescent="0.2"/>
    <row r="15432" s="496" customFormat="1" x14ac:dyDescent="0.2"/>
    <row r="15433" s="496" customFormat="1" x14ac:dyDescent="0.2"/>
    <row r="15434" s="496" customFormat="1" x14ac:dyDescent="0.2"/>
    <row r="15435" s="496" customFormat="1" x14ac:dyDescent="0.2"/>
    <row r="15436" s="496" customFormat="1" x14ac:dyDescent="0.2"/>
    <row r="15437" s="496" customFormat="1" x14ac:dyDescent="0.2"/>
    <row r="15438" s="496" customFormat="1" x14ac:dyDescent="0.2"/>
    <row r="15439" s="496" customFormat="1" x14ac:dyDescent="0.2"/>
    <row r="15440" s="496" customFormat="1" x14ac:dyDescent="0.2"/>
    <row r="15441" s="496" customFormat="1" x14ac:dyDescent="0.2"/>
    <row r="15442" s="496" customFormat="1" x14ac:dyDescent="0.2"/>
    <row r="15443" s="496" customFormat="1" x14ac:dyDescent="0.2"/>
    <row r="15444" s="496" customFormat="1" x14ac:dyDescent="0.2"/>
    <row r="15445" s="496" customFormat="1" x14ac:dyDescent="0.2"/>
    <row r="15446" s="496" customFormat="1" x14ac:dyDescent="0.2"/>
    <row r="15447" s="496" customFormat="1" x14ac:dyDescent="0.2"/>
    <row r="15448" s="496" customFormat="1" x14ac:dyDescent="0.2"/>
    <row r="15449" s="496" customFormat="1" x14ac:dyDescent="0.2"/>
    <row r="15450" s="496" customFormat="1" x14ac:dyDescent="0.2"/>
    <row r="15451" s="496" customFormat="1" x14ac:dyDescent="0.2"/>
    <row r="15452" s="496" customFormat="1" x14ac:dyDescent="0.2"/>
    <row r="15453" s="496" customFormat="1" x14ac:dyDescent="0.2"/>
    <row r="15454" s="496" customFormat="1" x14ac:dyDescent="0.2"/>
    <row r="15455" s="496" customFormat="1" x14ac:dyDescent="0.2"/>
    <row r="15456" s="496" customFormat="1" x14ac:dyDescent="0.2"/>
    <row r="15457" s="496" customFormat="1" x14ac:dyDescent="0.2"/>
    <row r="15458" s="496" customFormat="1" x14ac:dyDescent="0.2"/>
    <row r="15459" s="496" customFormat="1" x14ac:dyDescent="0.2"/>
    <row r="15460" s="496" customFormat="1" x14ac:dyDescent="0.2"/>
    <row r="15461" s="496" customFormat="1" x14ac:dyDescent="0.2"/>
    <row r="15462" s="496" customFormat="1" x14ac:dyDescent="0.2"/>
    <row r="15463" s="496" customFormat="1" x14ac:dyDescent="0.2"/>
    <row r="15464" s="496" customFormat="1" x14ac:dyDescent="0.2"/>
    <row r="15465" s="496" customFormat="1" x14ac:dyDescent="0.2"/>
    <row r="15466" s="496" customFormat="1" x14ac:dyDescent="0.2"/>
    <row r="15467" s="496" customFormat="1" x14ac:dyDescent="0.2"/>
    <row r="15468" s="496" customFormat="1" x14ac:dyDescent="0.2"/>
    <row r="15469" s="496" customFormat="1" x14ac:dyDescent="0.2"/>
    <row r="15470" s="496" customFormat="1" x14ac:dyDescent="0.2"/>
    <row r="15471" s="496" customFormat="1" x14ac:dyDescent="0.2"/>
    <row r="15472" s="496" customFormat="1" x14ac:dyDescent="0.2"/>
    <row r="15473" s="496" customFormat="1" x14ac:dyDescent="0.2"/>
    <row r="15474" s="496" customFormat="1" x14ac:dyDescent="0.2"/>
    <row r="15475" s="496" customFormat="1" x14ac:dyDescent="0.2"/>
    <row r="15476" s="496" customFormat="1" x14ac:dyDescent="0.2"/>
    <row r="15477" s="496" customFormat="1" x14ac:dyDescent="0.2"/>
    <row r="15478" s="496" customFormat="1" x14ac:dyDescent="0.2"/>
    <row r="15479" s="496" customFormat="1" x14ac:dyDescent="0.2"/>
    <row r="15480" s="496" customFormat="1" x14ac:dyDescent="0.2"/>
    <row r="15481" s="496" customFormat="1" x14ac:dyDescent="0.2"/>
    <row r="15482" s="496" customFormat="1" x14ac:dyDescent="0.2"/>
    <row r="15483" s="496" customFormat="1" x14ac:dyDescent="0.2"/>
    <row r="15484" s="496" customFormat="1" x14ac:dyDescent="0.2"/>
    <row r="15485" s="496" customFormat="1" x14ac:dyDescent="0.2"/>
    <row r="15486" s="496" customFormat="1" x14ac:dyDescent="0.2"/>
    <row r="15487" s="496" customFormat="1" x14ac:dyDescent="0.2"/>
    <row r="15488" s="496" customFormat="1" x14ac:dyDescent="0.2"/>
    <row r="15489" s="496" customFormat="1" x14ac:dyDescent="0.2"/>
    <row r="15490" s="496" customFormat="1" x14ac:dyDescent="0.2"/>
    <row r="15491" s="496" customFormat="1" x14ac:dyDescent="0.2"/>
    <row r="15492" s="496" customFormat="1" x14ac:dyDescent="0.2"/>
    <row r="15493" s="496" customFormat="1" x14ac:dyDescent="0.2"/>
    <row r="15494" s="496" customFormat="1" x14ac:dyDescent="0.2"/>
    <row r="15495" s="496" customFormat="1" x14ac:dyDescent="0.2"/>
    <row r="15496" s="496" customFormat="1" x14ac:dyDescent="0.2"/>
    <row r="15497" s="496" customFormat="1" x14ac:dyDescent="0.2"/>
    <row r="15498" s="496" customFormat="1" x14ac:dyDescent="0.2"/>
    <row r="15499" s="496" customFormat="1" x14ac:dyDescent="0.2"/>
    <row r="15500" s="496" customFormat="1" x14ac:dyDescent="0.2"/>
    <row r="15501" s="496" customFormat="1" x14ac:dyDescent="0.2"/>
    <row r="15502" s="496" customFormat="1" x14ac:dyDescent="0.2"/>
    <row r="15503" s="496" customFormat="1" x14ac:dyDescent="0.2"/>
    <row r="15504" s="496" customFormat="1" x14ac:dyDescent="0.2"/>
    <row r="15505" s="496" customFormat="1" x14ac:dyDescent="0.2"/>
    <row r="15506" s="496" customFormat="1" x14ac:dyDescent="0.2"/>
    <row r="15507" s="496" customFormat="1" x14ac:dyDescent="0.2"/>
    <row r="15508" s="496" customFormat="1" x14ac:dyDescent="0.2"/>
    <row r="15509" s="496" customFormat="1" x14ac:dyDescent="0.2"/>
    <row r="15510" s="496" customFormat="1" x14ac:dyDescent="0.2"/>
    <row r="15511" s="496" customFormat="1" x14ac:dyDescent="0.2"/>
    <row r="15512" s="496" customFormat="1" x14ac:dyDescent="0.2"/>
    <row r="15513" s="496" customFormat="1" x14ac:dyDescent="0.2"/>
    <row r="15514" s="496" customFormat="1" x14ac:dyDescent="0.2"/>
    <row r="15515" s="496" customFormat="1" x14ac:dyDescent="0.2"/>
    <row r="15516" s="496" customFormat="1" x14ac:dyDescent="0.2"/>
    <row r="15517" s="496" customFormat="1" x14ac:dyDescent="0.2"/>
    <row r="15518" s="496" customFormat="1" x14ac:dyDescent="0.2"/>
    <row r="15519" s="496" customFormat="1" x14ac:dyDescent="0.2"/>
    <row r="15520" s="496" customFormat="1" x14ac:dyDescent="0.2"/>
    <row r="15521" s="496" customFormat="1" x14ac:dyDescent="0.2"/>
    <row r="15522" s="496" customFormat="1" x14ac:dyDescent="0.2"/>
    <row r="15523" s="496" customFormat="1" x14ac:dyDescent="0.2"/>
    <row r="15524" s="496" customFormat="1" x14ac:dyDescent="0.2"/>
    <row r="15525" s="496" customFormat="1" x14ac:dyDescent="0.2"/>
    <row r="15526" s="496" customFormat="1" x14ac:dyDescent="0.2"/>
    <row r="15527" s="496" customFormat="1" x14ac:dyDescent="0.2"/>
    <row r="15528" s="496" customFormat="1" x14ac:dyDescent="0.2"/>
    <row r="15529" s="496" customFormat="1" x14ac:dyDescent="0.2"/>
    <row r="15530" s="496" customFormat="1" x14ac:dyDescent="0.2"/>
    <row r="15531" s="496" customFormat="1" x14ac:dyDescent="0.2"/>
    <row r="15532" s="496" customFormat="1" x14ac:dyDescent="0.2"/>
    <row r="15533" s="496" customFormat="1" x14ac:dyDescent="0.2"/>
    <row r="15534" s="496" customFormat="1" x14ac:dyDescent="0.2"/>
    <row r="15535" s="496" customFormat="1" x14ac:dyDescent="0.2"/>
    <row r="15536" s="496" customFormat="1" x14ac:dyDescent="0.2"/>
    <row r="15537" s="496" customFormat="1" x14ac:dyDescent="0.2"/>
    <row r="15538" s="496" customFormat="1" x14ac:dyDescent="0.2"/>
    <row r="15539" s="496" customFormat="1" x14ac:dyDescent="0.2"/>
    <row r="15540" s="496" customFormat="1" x14ac:dyDescent="0.2"/>
    <row r="15541" s="496" customFormat="1" x14ac:dyDescent="0.2"/>
    <row r="15542" s="496" customFormat="1" x14ac:dyDescent="0.2"/>
    <row r="15543" s="496" customFormat="1" x14ac:dyDescent="0.2"/>
    <row r="15544" s="496" customFormat="1" x14ac:dyDescent="0.2"/>
    <row r="15545" s="496" customFormat="1" x14ac:dyDescent="0.2"/>
    <row r="15546" s="496" customFormat="1" x14ac:dyDescent="0.2"/>
    <row r="15547" s="496" customFormat="1" x14ac:dyDescent="0.2"/>
    <row r="15548" s="496" customFormat="1" x14ac:dyDescent="0.2"/>
    <row r="15549" s="496" customFormat="1" x14ac:dyDescent="0.2"/>
    <row r="15550" s="496" customFormat="1" x14ac:dyDescent="0.2"/>
    <row r="15551" s="496" customFormat="1" x14ac:dyDescent="0.2"/>
    <row r="15552" s="496" customFormat="1" x14ac:dyDescent="0.2"/>
    <row r="15553" s="496" customFormat="1" x14ac:dyDescent="0.2"/>
    <row r="15554" s="496" customFormat="1" x14ac:dyDescent="0.2"/>
    <row r="15555" s="496" customFormat="1" x14ac:dyDescent="0.2"/>
    <row r="15556" s="496" customFormat="1" x14ac:dyDescent="0.2"/>
    <row r="15557" s="496" customFormat="1" x14ac:dyDescent="0.2"/>
    <row r="15558" s="496" customFormat="1" x14ac:dyDescent="0.2"/>
    <row r="15559" s="496" customFormat="1" x14ac:dyDescent="0.2"/>
    <row r="15560" s="496" customFormat="1" x14ac:dyDescent="0.2"/>
    <row r="15561" s="496" customFormat="1" x14ac:dyDescent="0.2"/>
    <row r="15562" s="496" customFormat="1" x14ac:dyDescent="0.2"/>
    <row r="15563" s="496" customFormat="1" x14ac:dyDescent="0.2"/>
    <row r="15564" s="496" customFormat="1" x14ac:dyDescent="0.2"/>
    <row r="15565" s="496" customFormat="1" x14ac:dyDescent="0.2"/>
    <row r="15566" s="496" customFormat="1" x14ac:dyDescent="0.2"/>
    <row r="15567" s="496" customFormat="1" x14ac:dyDescent="0.2"/>
    <row r="15568" s="496" customFormat="1" x14ac:dyDescent="0.2"/>
    <row r="15569" s="496" customFormat="1" x14ac:dyDescent="0.2"/>
    <row r="15570" s="496" customFormat="1" x14ac:dyDescent="0.2"/>
    <row r="15571" s="496" customFormat="1" x14ac:dyDescent="0.2"/>
    <row r="15572" s="496" customFormat="1" x14ac:dyDescent="0.2"/>
    <row r="15573" s="496" customFormat="1" x14ac:dyDescent="0.2"/>
    <row r="15574" s="496" customFormat="1" x14ac:dyDescent="0.2"/>
    <row r="15575" s="496" customFormat="1" x14ac:dyDescent="0.2"/>
    <row r="15576" s="496" customFormat="1" x14ac:dyDescent="0.2"/>
    <row r="15577" s="496" customFormat="1" x14ac:dyDescent="0.2"/>
    <row r="15578" s="496" customFormat="1" x14ac:dyDescent="0.2"/>
    <row r="15579" s="496" customFormat="1" x14ac:dyDescent="0.2"/>
    <row r="15580" s="496" customFormat="1" x14ac:dyDescent="0.2"/>
    <row r="15581" s="496" customFormat="1" x14ac:dyDescent="0.2"/>
    <row r="15582" s="496" customFormat="1" x14ac:dyDescent="0.2"/>
    <row r="15583" s="496" customFormat="1" x14ac:dyDescent="0.2"/>
    <row r="15584" s="496" customFormat="1" x14ac:dyDescent="0.2"/>
    <row r="15585" s="496" customFormat="1" x14ac:dyDescent="0.2"/>
    <row r="15586" s="496" customFormat="1" x14ac:dyDescent="0.2"/>
    <row r="15587" s="496" customFormat="1" x14ac:dyDescent="0.2"/>
    <row r="15588" s="496" customFormat="1" x14ac:dyDescent="0.2"/>
    <row r="15589" s="496" customFormat="1" x14ac:dyDescent="0.2"/>
    <row r="15590" s="496" customFormat="1" x14ac:dyDescent="0.2"/>
    <row r="15591" s="496" customFormat="1" x14ac:dyDescent="0.2"/>
    <row r="15592" s="496" customFormat="1" x14ac:dyDescent="0.2"/>
    <row r="15593" s="496" customFormat="1" x14ac:dyDescent="0.2"/>
    <row r="15594" s="496" customFormat="1" x14ac:dyDescent="0.2"/>
    <row r="15595" s="496" customFormat="1" x14ac:dyDescent="0.2"/>
    <row r="15596" s="496" customFormat="1" x14ac:dyDescent="0.2"/>
    <row r="15597" s="496" customFormat="1" x14ac:dyDescent="0.2"/>
    <row r="15598" s="496" customFormat="1" x14ac:dyDescent="0.2"/>
    <row r="15599" s="496" customFormat="1" x14ac:dyDescent="0.2"/>
    <row r="15600" s="496" customFormat="1" x14ac:dyDescent="0.2"/>
    <row r="15601" s="496" customFormat="1" x14ac:dyDescent="0.2"/>
    <row r="15602" s="496" customFormat="1" x14ac:dyDescent="0.2"/>
    <row r="15603" s="496" customFormat="1" x14ac:dyDescent="0.2"/>
    <row r="15604" s="496" customFormat="1" x14ac:dyDescent="0.2"/>
    <row r="15605" s="496" customFormat="1" x14ac:dyDescent="0.2"/>
    <row r="15606" s="496" customFormat="1" x14ac:dyDescent="0.2"/>
    <row r="15607" s="496" customFormat="1" x14ac:dyDescent="0.2"/>
    <row r="15608" s="496" customFormat="1" x14ac:dyDescent="0.2"/>
    <row r="15609" s="496" customFormat="1" x14ac:dyDescent="0.2"/>
    <row r="15610" s="496" customFormat="1" x14ac:dyDescent="0.2"/>
    <row r="15611" s="496" customFormat="1" x14ac:dyDescent="0.2"/>
    <row r="15612" s="496" customFormat="1" x14ac:dyDescent="0.2"/>
    <row r="15613" s="496" customFormat="1" x14ac:dyDescent="0.2"/>
    <row r="15614" s="496" customFormat="1" x14ac:dyDescent="0.2"/>
    <row r="15615" s="496" customFormat="1" x14ac:dyDescent="0.2"/>
    <row r="15616" s="496" customFormat="1" x14ac:dyDescent="0.2"/>
    <row r="15617" s="496" customFormat="1" x14ac:dyDescent="0.2"/>
    <row r="15618" s="496" customFormat="1" x14ac:dyDescent="0.2"/>
    <row r="15619" s="496" customFormat="1" x14ac:dyDescent="0.2"/>
    <row r="15620" s="496" customFormat="1" x14ac:dyDescent="0.2"/>
    <row r="15621" s="496" customFormat="1" x14ac:dyDescent="0.2"/>
    <row r="15622" s="496" customFormat="1" x14ac:dyDescent="0.2"/>
    <row r="15623" s="496" customFormat="1" x14ac:dyDescent="0.2"/>
    <row r="15624" s="496" customFormat="1" x14ac:dyDescent="0.2"/>
    <row r="15625" s="496" customFormat="1" x14ac:dyDescent="0.2"/>
    <row r="15626" s="496" customFormat="1" x14ac:dyDescent="0.2"/>
    <row r="15627" s="496" customFormat="1" x14ac:dyDescent="0.2"/>
    <row r="15628" s="496" customFormat="1" x14ac:dyDescent="0.2"/>
    <row r="15629" s="496" customFormat="1" x14ac:dyDescent="0.2"/>
    <row r="15630" s="496" customFormat="1" x14ac:dyDescent="0.2"/>
    <row r="15631" s="496" customFormat="1" x14ac:dyDescent="0.2"/>
    <row r="15632" s="496" customFormat="1" x14ac:dyDescent="0.2"/>
    <row r="15633" s="496" customFormat="1" x14ac:dyDescent="0.2"/>
    <row r="15634" s="496" customFormat="1" x14ac:dyDescent="0.2"/>
    <row r="15635" s="496" customFormat="1" x14ac:dyDescent="0.2"/>
    <row r="15636" s="496" customFormat="1" x14ac:dyDescent="0.2"/>
    <row r="15637" s="496" customFormat="1" x14ac:dyDescent="0.2"/>
    <row r="15638" s="496" customFormat="1" x14ac:dyDescent="0.2"/>
    <row r="15639" s="496" customFormat="1" x14ac:dyDescent="0.2"/>
    <row r="15640" s="496" customFormat="1" x14ac:dyDescent="0.2"/>
    <row r="15641" s="496" customFormat="1" x14ac:dyDescent="0.2"/>
    <row r="15642" s="496" customFormat="1" x14ac:dyDescent="0.2"/>
    <row r="15643" s="496" customFormat="1" x14ac:dyDescent="0.2"/>
    <row r="15644" s="496" customFormat="1" x14ac:dyDescent="0.2"/>
    <row r="15645" s="496" customFormat="1" x14ac:dyDescent="0.2"/>
    <row r="15646" s="496" customFormat="1" x14ac:dyDescent="0.2"/>
    <row r="15647" s="496" customFormat="1" x14ac:dyDescent="0.2"/>
    <row r="15648" s="496" customFormat="1" x14ac:dyDescent="0.2"/>
    <row r="15649" s="496" customFormat="1" x14ac:dyDescent="0.2"/>
    <row r="15650" s="496" customFormat="1" x14ac:dyDescent="0.2"/>
    <row r="15651" s="496" customFormat="1" x14ac:dyDescent="0.2"/>
    <row r="15652" s="496" customFormat="1" x14ac:dyDescent="0.2"/>
    <row r="15653" s="496" customFormat="1" x14ac:dyDescent="0.2"/>
    <row r="15654" s="496" customFormat="1" x14ac:dyDescent="0.2"/>
    <row r="15655" s="496" customFormat="1" x14ac:dyDescent="0.2"/>
    <row r="15656" s="496" customFormat="1" x14ac:dyDescent="0.2"/>
    <row r="15657" s="496" customFormat="1" x14ac:dyDescent="0.2"/>
    <row r="15658" s="496" customFormat="1" x14ac:dyDescent="0.2"/>
    <row r="15659" s="496" customFormat="1" x14ac:dyDescent="0.2"/>
    <row r="15660" s="496" customFormat="1" x14ac:dyDescent="0.2"/>
    <row r="15661" s="496" customFormat="1" x14ac:dyDescent="0.2"/>
    <row r="15662" s="496" customFormat="1" x14ac:dyDescent="0.2"/>
    <row r="15663" s="496" customFormat="1" x14ac:dyDescent="0.2"/>
    <row r="15664" s="496" customFormat="1" x14ac:dyDescent="0.2"/>
    <row r="15665" s="496" customFormat="1" x14ac:dyDescent="0.2"/>
    <row r="15666" s="496" customFormat="1" x14ac:dyDescent="0.2"/>
    <row r="15667" s="496" customFormat="1" x14ac:dyDescent="0.2"/>
    <row r="15668" s="496" customFormat="1" x14ac:dyDescent="0.2"/>
    <row r="15669" s="496" customFormat="1" x14ac:dyDescent="0.2"/>
    <row r="15670" s="496" customFormat="1" x14ac:dyDescent="0.2"/>
    <row r="15671" s="496" customFormat="1" x14ac:dyDescent="0.2"/>
    <row r="15672" s="496" customFormat="1" x14ac:dyDescent="0.2"/>
    <row r="15673" s="496" customFormat="1" x14ac:dyDescent="0.2"/>
    <row r="15674" s="496" customFormat="1" x14ac:dyDescent="0.2"/>
    <row r="15675" s="496" customFormat="1" x14ac:dyDescent="0.2"/>
    <row r="15676" s="496" customFormat="1" x14ac:dyDescent="0.2"/>
    <row r="15677" s="496" customFormat="1" x14ac:dyDescent="0.2"/>
    <row r="15678" s="496" customFormat="1" x14ac:dyDescent="0.2"/>
    <row r="15679" s="496" customFormat="1" x14ac:dyDescent="0.2"/>
    <row r="15680" s="496" customFormat="1" x14ac:dyDescent="0.2"/>
    <row r="15681" s="496" customFormat="1" x14ac:dyDescent="0.2"/>
    <row r="15682" s="496" customFormat="1" x14ac:dyDescent="0.2"/>
    <row r="15683" s="496" customFormat="1" x14ac:dyDescent="0.2"/>
    <row r="15684" s="496" customFormat="1" x14ac:dyDescent="0.2"/>
    <row r="15685" s="496" customFormat="1" x14ac:dyDescent="0.2"/>
    <row r="15686" s="496" customFormat="1" x14ac:dyDescent="0.2"/>
    <row r="15687" s="496" customFormat="1" x14ac:dyDescent="0.2"/>
    <row r="15688" s="496" customFormat="1" x14ac:dyDescent="0.2"/>
    <row r="15689" s="496" customFormat="1" x14ac:dyDescent="0.2"/>
    <row r="15690" s="496" customFormat="1" x14ac:dyDescent="0.2"/>
    <row r="15691" s="496" customFormat="1" x14ac:dyDescent="0.2"/>
    <row r="15692" s="496" customFormat="1" x14ac:dyDescent="0.2"/>
    <row r="15693" s="496" customFormat="1" x14ac:dyDescent="0.2"/>
    <row r="15694" s="496" customFormat="1" x14ac:dyDescent="0.2"/>
    <row r="15695" s="496" customFormat="1" x14ac:dyDescent="0.2"/>
    <row r="15696" s="496" customFormat="1" x14ac:dyDescent="0.2"/>
    <row r="15697" s="496" customFormat="1" x14ac:dyDescent="0.2"/>
    <row r="15698" s="496" customFormat="1" x14ac:dyDescent="0.2"/>
    <row r="15699" s="496" customFormat="1" x14ac:dyDescent="0.2"/>
    <row r="15700" s="496" customFormat="1" x14ac:dyDescent="0.2"/>
    <row r="15701" s="496" customFormat="1" x14ac:dyDescent="0.2"/>
    <row r="15702" s="496" customFormat="1" x14ac:dyDescent="0.2"/>
    <row r="15703" s="496" customFormat="1" x14ac:dyDescent="0.2"/>
    <row r="15704" s="496" customFormat="1" x14ac:dyDescent="0.2"/>
    <row r="15705" s="496" customFormat="1" x14ac:dyDescent="0.2"/>
    <row r="15706" s="496" customFormat="1" x14ac:dyDescent="0.2"/>
    <row r="15707" s="496" customFormat="1" x14ac:dyDescent="0.2"/>
    <row r="15708" s="496" customFormat="1" x14ac:dyDescent="0.2"/>
    <row r="15709" s="496" customFormat="1" x14ac:dyDescent="0.2"/>
    <row r="15710" s="496" customFormat="1" x14ac:dyDescent="0.2"/>
    <row r="15711" s="496" customFormat="1" x14ac:dyDescent="0.2"/>
    <row r="15712" s="496" customFormat="1" x14ac:dyDescent="0.2"/>
    <row r="15713" s="496" customFormat="1" x14ac:dyDescent="0.2"/>
    <row r="15714" s="496" customFormat="1" x14ac:dyDescent="0.2"/>
    <row r="15715" s="496" customFormat="1" x14ac:dyDescent="0.2"/>
    <row r="15716" s="496" customFormat="1" x14ac:dyDescent="0.2"/>
    <row r="15717" s="496" customFormat="1" x14ac:dyDescent="0.2"/>
    <row r="15718" s="496" customFormat="1" x14ac:dyDescent="0.2"/>
    <row r="15719" s="496" customFormat="1" x14ac:dyDescent="0.2"/>
    <row r="15720" s="496" customFormat="1" x14ac:dyDescent="0.2"/>
    <row r="15721" s="496" customFormat="1" x14ac:dyDescent="0.2"/>
    <row r="15722" s="496" customFormat="1" x14ac:dyDescent="0.2"/>
    <row r="15723" s="496" customFormat="1" x14ac:dyDescent="0.2"/>
    <row r="15724" s="496" customFormat="1" x14ac:dyDescent="0.2"/>
    <row r="15725" s="496" customFormat="1" x14ac:dyDescent="0.2"/>
    <row r="15726" s="496" customFormat="1" x14ac:dyDescent="0.2"/>
    <row r="15727" s="496" customFormat="1" x14ac:dyDescent="0.2"/>
    <row r="15728" s="496" customFormat="1" x14ac:dyDescent="0.2"/>
    <row r="15729" s="496" customFormat="1" x14ac:dyDescent="0.2"/>
    <row r="15730" s="496" customFormat="1" x14ac:dyDescent="0.2"/>
    <row r="15731" s="496" customFormat="1" x14ac:dyDescent="0.2"/>
    <row r="15732" s="496" customFormat="1" x14ac:dyDescent="0.2"/>
    <row r="15733" s="496" customFormat="1" x14ac:dyDescent="0.2"/>
    <row r="15734" s="496" customFormat="1" x14ac:dyDescent="0.2"/>
    <row r="15735" s="496" customFormat="1" x14ac:dyDescent="0.2"/>
    <row r="15736" s="496" customFormat="1" x14ac:dyDescent="0.2"/>
    <row r="15737" s="496" customFormat="1" x14ac:dyDescent="0.2"/>
    <row r="15738" s="496" customFormat="1" x14ac:dyDescent="0.2"/>
    <row r="15739" s="496" customFormat="1" x14ac:dyDescent="0.2"/>
    <row r="15740" s="496" customFormat="1" x14ac:dyDescent="0.2"/>
    <row r="15741" s="496" customFormat="1" x14ac:dyDescent="0.2"/>
    <row r="15742" s="496" customFormat="1" x14ac:dyDescent="0.2"/>
    <row r="15743" s="496" customFormat="1" x14ac:dyDescent="0.2"/>
    <row r="15744" s="496" customFormat="1" x14ac:dyDescent="0.2"/>
    <row r="15745" s="496" customFormat="1" x14ac:dyDescent="0.2"/>
    <row r="15746" s="496" customFormat="1" x14ac:dyDescent="0.2"/>
    <row r="15747" s="496" customFormat="1" x14ac:dyDescent="0.2"/>
    <row r="15748" s="496" customFormat="1" x14ac:dyDescent="0.2"/>
    <row r="15749" s="496" customFormat="1" x14ac:dyDescent="0.2"/>
    <row r="15750" s="496" customFormat="1" x14ac:dyDescent="0.2"/>
    <row r="15751" s="496" customFormat="1" x14ac:dyDescent="0.2"/>
    <row r="15752" s="496" customFormat="1" x14ac:dyDescent="0.2"/>
    <row r="15753" s="496" customFormat="1" x14ac:dyDescent="0.2"/>
    <row r="15754" s="496" customFormat="1" x14ac:dyDescent="0.2"/>
    <row r="15755" s="496" customFormat="1" x14ac:dyDescent="0.2"/>
    <row r="15756" s="496" customFormat="1" x14ac:dyDescent="0.2"/>
    <row r="15757" s="496" customFormat="1" x14ac:dyDescent="0.2"/>
    <row r="15758" s="496" customFormat="1" x14ac:dyDescent="0.2"/>
    <row r="15759" s="496" customFormat="1" x14ac:dyDescent="0.2"/>
    <row r="15760" s="496" customFormat="1" x14ac:dyDescent="0.2"/>
    <row r="15761" s="496" customFormat="1" x14ac:dyDescent="0.2"/>
    <row r="15762" s="496" customFormat="1" x14ac:dyDescent="0.2"/>
    <row r="15763" s="496" customFormat="1" x14ac:dyDescent="0.2"/>
    <row r="15764" s="496" customFormat="1" x14ac:dyDescent="0.2"/>
    <row r="15765" s="496" customFormat="1" x14ac:dyDescent="0.2"/>
    <row r="15766" s="496" customFormat="1" x14ac:dyDescent="0.2"/>
    <row r="15767" s="496" customFormat="1" x14ac:dyDescent="0.2"/>
    <row r="15768" s="496" customFormat="1" x14ac:dyDescent="0.2"/>
    <row r="15769" s="496" customFormat="1" x14ac:dyDescent="0.2"/>
    <row r="15770" s="496" customFormat="1" x14ac:dyDescent="0.2"/>
    <row r="15771" s="496" customFormat="1" x14ac:dyDescent="0.2"/>
    <row r="15772" s="496" customFormat="1" x14ac:dyDescent="0.2"/>
    <row r="15773" s="496" customFormat="1" x14ac:dyDescent="0.2"/>
    <row r="15774" s="496" customFormat="1" x14ac:dyDescent="0.2"/>
    <row r="15775" s="496" customFormat="1" x14ac:dyDescent="0.2"/>
    <row r="15776" s="496" customFormat="1" x14ac:dyDescent="0.2"/>
    <row r="15777" s="496" customFormat="1" x14ac:dyDescent="0.2"/>
    <row r="15778" s="496" customFormat="1" x14ac:dyDescent="0.2"/>
    <row r="15779" s="496" customFormat="1" x14ac:dyDescent="0.2"/>
    <row r="15780" s="496" customFormat="1" x14ac:dyDescent="0.2"/>
    <row r="15781" s="496" customFormat="1" x14ac:dyDescent="0.2"/>
    <row r="15782" s="496" customFormat="1" x14ac:dyDescent="0.2"/>
    <row r="15783" s="496" customFormat="1" x14ac:dyDescent="0.2"/>
    <row r="15784" s="496" customFormat="1" x14ac:dyDescent="0.2"/>
    <row r="15785" s="496" customFormat="1" x14ac:dyDescent="0.2"/>
    <row r="15786" s="496" customFormat="1" x14ac:dyDescent="0.2"/>
    <row r="15787" s="496" customFormat="1" x14ac:dyDescent="0.2"/>
    <row r="15788" s="496" customFormat="1" x14ac:dyDescent="0.2"/>
    <row r="15789" s="496" customFormat="1" x14ac:dyDescent="0.2"/>
    <row r="15790" s="496" customFormat="1" x14ac:dyDescent="0.2"/>
    <row r="15791" s="496" customFormat="1" x14ac:dyDescent="0.2"/>
    <row r="15792" s="496" customFormat="1" x14ac:dyDescent="0.2"/>
    <row r="15793" s="496" customFormat="1" x14ac:dyDescent="0.2"/>
    <row r="15794" s="496" customFormat="1" x14ac:dyDescent="0.2"/>
    <row r="15795" s="496" customFormat="1" x14ac:dyDescent="0.2"/>
    <row r="15796" s="496" customFormat="1" x14ac:dyDescent="0.2"/>
    <row r="15797" s="496" customFormat="1" x14ac:dyDescent="0.2"/>
    <row r="15798" s="496" customFormat="1" x14ac:dyDescent="0.2"/>
    <row r="15799" s="496" customFormat="1" x14ac:dyDescent="0.2"/>
    <row r="15800" s="496" customFormat="1" x14ac:dyDescent="0.2"/>
    <row r="15801" s="496" customFormat="1" x14ac:dyDescent="0.2"/>
    <row r="15802" s="496" customFormat="1" x14ac:dyDescent="0.2"/>
    <row r="15803" s="496" customFormat="1" x14ac:dyDescent="0.2"/>
    <row r="15804" s="496" customFormat="1" x14ac:dyDescent="0.2"/>
    <row r="15805" s="496" customFormat="1" x14ac:dyDescent="0.2"/>
    <row r="15806" s="496" customFormat="1" x14ac:dyDescent="0.2"/>
    <row r="15807" s="496" customFormat="1" x14ac:dyDescent="0.2"/>
    <row r="15808" s="496" customFormat="1" x14ac:dyDescent="0.2"/>
    <row r="15809" s="496" customFormat="1" x14ac:dyDescent="0.2"/>
    <row r="15810" s="496" customFormat="1" x14ac:dyDescent="0.2"/>
    <row r="15811" s="496" customFormat="1" x14ac:dyDescent="0.2"/>
    <row r="15812" s="496" customFormat="1" x14ac:dyDescent="0.2"/>
    <row r="15813" s="496" customFormat="1" x14ac:dyDescent="0.2"/>
    <row r="15814" s="496" customFormat="1" x14ac:dyDescent="0.2"/>
    <row r="15815" s="496" customFormat="1" x14ac:dyDescent="0.2"/>
    <row r="15816" s="496" customFormat="1" x14ac:dyDescent="0.2"/>
    <row r="15817" s="496" customFormat="1" x14ac:dyDescent="0.2"/>
    <row r="15818" s="496" customFormat="1" x14ac:dyDescent="0.2"/>
    <row r="15819" s="496" customFormat="1" x14ac:dyDescent="0.2"/>
    <row r="15820" s="496" customFormat="1" x14ac:dyDescent="0.2"/>
    <row r="15821" s="496" customFormat="1" x14ac:dyDescent="0.2"/>
    <row r="15822" s="496" customFormat="1" x14ac:dyDescent="0.2"/>
    <row r="15823" s="496" customFormat="1" x14ac:dyDescent="0.2"/>
    <row r="15824" s="496" customFormat="1" x14ac:dyDescent="0.2"/>
    <row r="15825" s="496" customFormat="1" x14ac:dyDescent="0.2"/>
    <row r="15826" s="496" customFormat="1" x14ac:dyDescent="0.2"/>
    <row r="15827" s="496" customFormat="1" x14ac:dyDescent="0.2"/>
    <row r="15828" s="496" customFormat="1" x14ac:dyDescent="0.2"/>
    <row r="15829" s="496" customFormat="1" x14ac:dyDescent="0.2"/>
    <row r="15830" s="496" customFormat="1" x14ac:dyDescent="0.2"/>
    <row r="15831" s="496" customFormat="1" x14ac:dyDescent="0.2"/>
    <row r="15832" s="496" customFormat="1" x14ac:dyDescent="0.2"/>
    <row r="15833" s="496" customFormat="1" x14ac:dyDescent="0.2"/>
    <row r="15834" s="496" customFormat="1" x14ac:dyDescent="0.2"/>
    <row r="15835" s="496" customFormat="1" x14ac:dyDescent="0.2"/>
    <row r="15836" s="496" customFormat="1" x14ac:dyDescent="0.2"/>
    <row r="15837" s="496" customFormat="1" x14ac:dyDescent="0.2"/>
    <row r="15838" s="496" customFormat="1" x14ac:dyDescent="0.2"/>
    <row r="15839" s="496" customFormat="1" x14ac:dyDescent="0.2"/>
    <row r="15840" s="496" customFormat="1" x14ac:dyDescent="0.2"/>
    <row r="15841" s="496" customFormat="1" x14ac:dyDescent="0.2"/>
    <row r="15842" s="496" customFormat="1" x14ac:dyDescent="0.2"/>
    <row r="15843" s="496" customFormat="1" x14ac:dyDescent="0.2"/>
    <row r="15844" s="496" customFormat="1" x14ac:dyDescent="0.2"/>
    <row r="15845" s="496" customFormat="1" x14ac:dyDescent="0.2"/>
    <row r="15846" s="496" customFormat="1" x14ac:dyDescent="0.2"/>
    <row r="15847" s="496" customFormat="1" x14ac:dyDescent="0.2"/>
    <row r="15848" s="496" customFormat="1" x14ac:dyDescent="0.2"/>
    <row r="15849" s="496" customFormat="1" x14ac:dyDescent="0.2"/>
    <row r="15850" s="496" customFormat="1" x14ac:dyDescent="0.2"/>
    <row r="15851" s="496" customFormat="1" x14ac:dyDescent="0.2"/>
    <row r="15852" s="496" customFormat="1" x14ac:dyDescent="0.2"/>
    <row r="15853" s="496" customFormat="1" x14ac:dyDescent="0.2"/>
    <row r="15854" s="496" customFormat="1" x14ac:dyDescent="0.2"/>
    <row r="15855" s="496" customFormat="1" x14ac:dyDescent="0.2"/>
    <row r="15856" s="496" customFormat="1" x14ac:dyDescent="0.2"/>
    <row r="15857" s="496" customFormat="1" x14ac:dyDescent="0.2"/>
    <row r="15858" s="496" customFormat="1" x14ac:dyDescent="0.2"/>
    <row r="15859" s="496" customFormat="1" x14ac:dyDescent="0.2"/>
    <row r="15860" s="496" customFormat="1" x14ac:dyDescent="0.2"/>
    <row r="15861" s="496" customFormat="1" x14ac:dyDescent="0.2"/>
    <row r="15862" s="496" customFormat="1" x14ac:dyDescent="0.2"/>
    <row r="15863" s="496" customFormat="1" x14ac:dyDescent="0.2"/>
    <row r="15864" s="496" customFormat="1" x14ac:dyDescent="0.2"/>
    <row r="15865" s="496" customFormat="1" x14ac:dyDescent="0.2"/>
    <row r="15866" s="496" customFormat="1" x14ac:dyDescent="0.2"/>
    <row r="15867" s="496" customFormat="1" x14ac:dyDescent="0.2"/>
    <row r="15868" s="496" customFormat="1" x14ac:dyDescent="0.2"/>
    <row r="15869" s="496" customFormat="1" x14ac:dyDescent="0.2"/>
    <row r="15870" s="496" customFormat="1" x14ac:dyDescent="0.2"/>
    <row r="15871" s="496" customFormat="1" x14ac:dyDescent="0.2"/>
    <row r="15872" s="496" customFormat="1" x14ac:dyDescent="0.2"/>
    <row r="15873" s="496" customFormat="1" x14ac:dyDescent="0.2"/>
    <row r="15874" s="496" customFormat="1" x14ac:dyDescent="0.2"/>
    <row r="15875" s="496" customFormat="1" x14ac:dyDescent="0.2"/>
    <row r="15876" s="496" customFormat="1" x14ac:dyDescent="0.2"/>
    <row r="15877" s="496" customFormat="1" x14ac:dyDescent="0.2"/>
    <row r="15878" s="496" customFormat="1" x14ac:dyDescent="0.2"/>
    <row r="15879" s="496" customFormat="1" x14ac:dyDescent="0.2"/>
    <row r="15880" s="496" customFormat="1" x14ac:dyDescent="0.2"/>
    <row r="15881" s="496" customFormat="1" x14ac:dyDescent="0.2"/>
    <row r="15882" s="496" customFormat="1" x14ac:dyDescent="0.2"/>
    <row r="15883" s="496" customFormat="1" x14ac:dyDescent="0.2"/>
    <row r="15884" s="496" customFormat="1" x14ac:dyDescent="0.2"/>
    <row r="15885" s="496" customFormat="1" x14ac:dyDescent="0.2"/>
    <row r="15886" s="496" customFormat="1" x14ac:dyDescent="0.2"/>
    <row r="15887" s="496" customFormat="1" x14ac:dyDescent="0.2"/>
    <row r="15888" s="496" customFormat="1" x14ac:dyDescent="0.2"/>
    <row r="15889" s="496" customFormat="1" x14ac:dyDescent="0.2"/>
    <row r="15890" s="496" customFormat="1" x14ac:dyDescent="0.2"/>
    <row r="15891" s="496" customFormat="1" x14ac:dyDescent="0.2"/>
    <row r="15892" s="496" customFormat="1" x14ac:dyDescent="0.2"/>
    <row r="15893" s="496" customFormat="1" x14ac:dyDescent="0.2"/>
    <row r="15894" s="496" customFormat="1" x14ac:dyDescent="0.2"/>
    <row r="15895" s="496" customFormat="1" x14ac:dyDescent="0.2"/>
    <row r="15896" s="496" customFormat="1" x14ac:dyDescent="0.2"/>
    <row r="15897" s="496" customFormat="1" x14ac:dyDescent="0.2"/>
    <row r="15898" s="496" customFormat="1" x14ac:dyDescent="0.2"/>
    <row r="15899" s="496" customFormat="1" x14ac:dyDescent="0.2"/>
    <row r="15900" s="496" customFormat="1" x14ac:dyDescent="0.2"/>
    <row r="15901" s="496" customFormat="1" x14ac:dyDescent="0.2"/>
    <row r="15902" s="496" customFormat="1" x14ac:dyDescent="0.2"/>
    <row r="15903" s="496" customFormat="1" x14ac:dyDescent="0.2"/>
    <row r="15904" s="496" customFormat="1" x14ac:dyDescent="0.2"/>
    <row r="15905" s="496" customFormat="1" x14ac:dyDescent="0.2"/>
    <row r="15906" s="496" customFormat="1" x14ac:dyDescent="0.2"/>
    <row r="15907" s="496" customFormat="1" x14ac:dyDescent="0.2"/>
    <row r="15908" s="496" customFormat="1" x14ac:dyDescent="0.2"/>
    <row r="15909" s="496" customFormat="1" x14ac:dyDescent="0.2"/>
    <row r="15910" s="496" customFormat="1" x14ac:dyDescent="0.2"/>
    <row r="15911" s="496" customFormat="1" x14ac:dyDescent="0.2"/>
    <row r="15912" s="496" customFormat="1" x14ac:dyDescent="0.2"/>
    <row r="15913" s="496" customFormat="1" x14ac:dyDescent="0.2"/>
    <row r="15914" s="496" customFormat="1" x14ac:dyDescent="0.2"/>
    <row r="15915" s="496" customFormat="1" x14ac:dyDescent="0.2"/>
    <row r="15916" s="496" customFormat="1" x14ac:dyDescent="0.2"/>
    <row r="15917" s="496" customFormat="1" x14ac:dyDescent="0.2"/>
    <row r="15918" s="496" customFormat="1" x14ac:dyDescent="0.2"/>
    <row r="15919" s="496" customFormat="1" x14ac:dyDescent="0.2"/>
    <row r="15920" s="496" customFormat="1" x14ac:dyDescent="0.2"/>
    <row r="15921" s="496" customFormat="1" x14ac:dyDescent="0.2"/>
    <row r="15922" s="496" customFormat="1" x14ac:dyDescent="0.2"/>
    <row r="15923" s="496" customFormat="1" x14ac:dyDescent="0.2"/>
    <row r="15924" s="496" customFormat="1" x14ac:dyDescent="0.2"/>
    <row r="15925" s="496" customFormat="1" x14ac:dyDescent="0.2"/>
    <row r="15926" s="496" customFormat="1" x14ac:dyDescent="0.2"/>
    <row r="15927" s="496" customFormat="1" x14ac:dyDescent="0.2"/>
    <row r="15928" s="496" customFormat="1" x14ac:dyDescent="0.2"/>
    <row r="15929" s="496" customFormat="1" x14ac:dyDescent="0.2"/>
    <row r="15930" s="496" customFormat="1" x14ac:dyDescent="0.2"/>
    <row r="15931" s="496" customFormat="1" x14ac:dyDescent="0.2"/>
    <row r="15932" s="496" customFormat="1" x14ac:dyDescent="0.2"/>
    <row r="15933" s="496" customFormat="1" x14ac:dyDescent="0.2"/>
    <row r="15934" s="496" customFormat="1" x14ac:dyDescent="0.2"/>
    <row r="15935" s="496" customFormat="1" x14ac:dyDescent="0.2"/>
    <row r="15936" s="496" customFormat="1" x14ac:dyDescent="0.2"/>
    <row r="15937" s="496" customFormat="1" x14ac:dyDescent="0.2"/>
    <row r="15938" s="496" customFormat="1" x14ac:dyDescent="0.2"/>
    <row r="15939" s="496" customFormat="1" x14ac:dyDescent="0.2"/>
    <row r="15940" s="496" customFormat="1" x14ac:dyDescent="0.2"/>
    <row r="15941" s="496" customFormat="1" x14ac:dyDescent="0.2"/>
    <row r="15942" s="496" customFormat="1" x14ac:dyDescent="0.2"/>
    <row r="15943" s="496" customFormat="1" x14ac:dyDescent="0.2"/>
    <row r="15944" s="496" customFormat="1" x14ac:dyDescent="0.2"/>
    <row r="15945" s="496" customFormat="1" x14ac:dyDescent="0.2"/>
    <row r="15946" s="496" customFormat="1" x14ac:dyDescent="0.2"/>
    <row r="15947" s="496" customFormat="1" x14ac:dyDescent="0.2"/>
    <row r="15948" s="496" customFormat="1" x14ac:dyDescent="0.2"/>
    <row r="15949" s="496" customFormat="1" x14ac:dyDescent="0.2"/>
    <row r="15950" s="496" customFormat="1" x14ac:dyDescent="0.2"/>
    <row r="15951" s="496" customFormat="1" x14ac:dyDescent="0.2"/>
    <row r="15952" s="496" customFormat="1" x14ac:dyDescent="0.2"/>
    <row r="15953" s="496" customFormat="1" x14ac:dyDescent="0.2"/>
    <row r="15954" s="496" customFormat="1" x14ac:dyDescent="0.2"/>
    <row r="15955" s="496" customFormat="1" x14ac:dyDescent="0.2"/>
    <row r="15956" s="496" customFormat="1" x14ac:dyDescent="0.2"/>
    <row r="15957" s="496" customFormat="1" x14ac:dyDescent="0.2"/>
    <row r="15958" s="496" customFormat="1" x14ac:dyDescent="0.2"/>
    <row r="15959" s="496" customFormat="1" x14ac:dyDescent="0.2"/>
    <row r="15960" s="496" customFormat="1" x14ac:dyDescent="0.2"/>
    <row r="15961" s="496" customFormat="1" x14ac:dyDescent="0.2"/>
    <row r="15962" s="496" customFormat="1" x14ac:dyDescent="0.2"/>
    <row r="15963" s="496" customFormat="1" x14ac:dyDescent="0.2"/>
    <row r="15964" s="496" customFormat="1" x14ac:dyDescent="0.2"/>
    <row r="15965" s="496" customFormat="1" x14ac:dyDescent="0.2"/>
    <row r="15966" s="496" customFormat="1" x14ac:dyDescent="0.2"/>
    <row r="15967" s="496" customFormat="1" x14ac:dyDescent="0.2"/>
    <row r="15968" s="496" customFormat="1" x14ac:dyDescent="0.2"/>
    <row r="15969" s="496" customFormat="1" x14ac:dyDescent="0.2"/>
    <row r="15970" s="496" customFormat="1" x14ac:dyDescent="0.2"/>
    <row r="15971" s="496" customFormat="1" x14ac:dyDescent="0.2"/>
    <row r="15972" s="496" customFormat="1" x14ac:dyDescent="0.2"/>
    <row r="15973" s="496" customFormat="1" x14ac:dyDescent="0.2"/>
    <row r="15974" s="496" customFormat="1" x14ac:dyDescent="0.2"/>
    <row r="15975" s="496" customFormat="1" x14ac:dyDescent="0.2"/>
    <row r="15976" s="496" customFormat="1" x14ac:dyDescent="0.2"/>
    <row r="15977" s="496" customFormat="1" x14ac:dyDescent="0.2"/>
    <row r="15978" s="496" customFormat="1" x14ac:dyDescent="0.2"/>
    <row r="15979" s="496" customFormat="1" x14ac:dyDescent="0.2"/>
    <row r="15980" s="496" customFormat="1" x14ac:dyDescent="0.2"/>
    <row r="15981" s="496" customFormat="1" x14ac:dyDescent="0.2"/>
    <row r="15982" s="496" customFormat="1" x14ac:dyDescent="0.2"/>
    <row r="15983" s="496" customFormat="1" x14ac:dyDescent="0.2"/>
    <row r="15984" s="496" customFormat="1" x14ac:dyDescent="0.2"/>
    <row r="15985" s="496" customFormat="1" x14ac:dyDescent="0.2"/>
    <row r="15986" s="496" customFormat="1" x14ac:dyDescent="0.2"/>
    <row r="15987" s="496" customFormat="1" x14ac:dyDescent="0.2"/>
    <row r="15988" s="496" customFormat="1" x14ac:dyDescent="0.2"/>
    <row r="15989" s="496" customFormat="1" x14ac:dyDescent="0.2"/>
    <row r="15990" s="496" customFormat="1" x14ac:dyDescent="0.2"/>
    <row r="15991" s="496" customFormat="1" x14ac:dyDescent="0.2"/>
    <row r="15992" s="496" customFormat="1" x14ac:dyDescent="0.2"/>
    <row r="15993" s="496" customFormat="1" x14ac:dyDescent="0.2"/>
    <row r="15994" s="496" customFormat="1" x14ac:dyDescent="0.2"/>
    <row r="15995" s="496" customFormat="1" x14ac:dyDescent="0.2"/>
    <row r="15996" s="496" customFormat="1" x14ac:dyDescent="0.2"/>
    <row r="15997" s="496" customFormat="1" x14ac:dyDescent="0.2"/>
    <row r="15998" s="496" customFormat="1" x14ac:dyDescent="0.2"/>
    <row r="15999" s="496" customFormat="1" x14ac:dyDescent="0.2"/>
    <row r="16000" s="496" customFormat="1" x14ac:dyDescent="0.2"/>
    <row r="16001" s="496" customFormat="1" x14ac:dyDescent="0.2"/>
    <row r="16002" s="496" customFormat="1" x14ac:dyDescent="0.2"/>
    <row r="16003" s="496" customFormat="1" x14ac:dyDescent="0.2"/>
    <row r="16004" s="496" customFormat="1" x14ac:dyDescent="0.2"/>
    <row r="16005" s="496" customFormat="1" x14ac:dyDescent="0.2"/>
    <row r="16006" s="496" customFormat="1" x14ac:dyDescent="0.2"/>
    <row r="16007" s="496" customFormat="1" x14ac:dyDescent="0.2"/>
    <row r="16008" s="496" customFormat="1" x14ac:dyDescent="0.2"/>
    <row r="16009" s="496" customFormat="1" x14ac:dyDescent="0.2"/>
    <row r="16010" s="496" customFormat="1" x14ac:dyDescent="0.2"/>
    <row r="16011" s="496" customFormat="1" x14ac:dyDescent="0.2"/>
    <row r="16012" s="496" customFormat="1" x14ac:dyDescent="0.2"/>
    <row r="16013" s="496" customFormat="1" x14ac:dyDescent="0.2"/>
    <row r="16014" s="496" customFormat="1" x14ac:dyDescent="0.2"/>
    <row r="16015" s="496" customFormat="1" x14ac:dyDescent="0.2"/>
    <row r="16016" s="496" customFormat="1" x14ac:dyDescent="0.2"/>
    <row r="16017" s="496" customFormat="1" x14ac:dyDescent="0.2"/>
    <row r="16018" s="496" customFormat="1" x14ac:dyDescent="0.2"/>
    <row r="16019" s="496" customFormat="1" x14ac:dyDescent="0.2"/>
    <row r="16020" s="496" customFormat="1" x14ac:dyDescent="0.2"/>
    <row r="16021" s="496" customFormat="1" x14ac:dyDescent="0.2"/>
    <row r="16022" s="496" customFormat="1" x14ac:dyDescent="0.2"/>
    <row r="16023" s="496" customFormat="1" x14ac:dyDescent="0.2"/>
    <row r="16024" s="496" customFormat="1" x14ac:dyDescent="0.2"/>
    <row r="16025" s="496" customFormat="1" x14ac:dyDescent="0.2"/>
    <row r="16026" s="496" customFormat="1" x14ac:dyDescent="0.2"/>
    <row r="16027" s="496" customFormat="1" x14ac:dyDescent="0.2"/>
    <row r="16028" s="496" customFormat="1" x14ac:dyDescent="0.2"/>
    <row r="16029" s="496" customFormat="1" x14ac:dyDescent="0.2"/>
    <row r="16030" s="496" customFormat="1" x14ac:dyDescent="0.2"/>
    <row r="16031" s="496" customFormat="1" x14ac:dyDescent="0.2"/>
    <row r="16032" s="496" customFormat="1" x14ac:dyDescent="0.2"/>
    <row r="16033" s="496" customFormat="1" x14ac:dyDescent="0.2"/>
    <row r="16034" s="496" customFormat="1" x14ac:dyDescent="0.2"/>
    <row r="16035" s="496" customFormat="1" x14ac:dyDescent="0.2"/>
    <row r="16036" s="496" customFormat="1" x14ac:dyDescent="0.2"/>
    <row r="16037" s="496" customFormat="1" x14ac:dyDescent="0.2"/>
    <row r="16038" s="496" customFormat="1" x14ac:dyDescent="0.2"/>
    <row r="16039" s="496" customFormat="1" x14ac:dyDescent="0.2"/>
    <row r="16040" s="496" customFormat="1" x14ac:dyDescent="0.2"/>
    <row r="16041" s="496" customFormat="1" x14ac:dyDescent="0.2"/>
    <row r="16042" s="496" customFormat="1" x14ac:dyDescent="0.2"/>
    <row r="16043" s="496" customFormat="1" x14ac:dyDescent="0.2"/>
    <row r="16044" s="496" customFormat="1" x14ac:dyDescent="0.2"/>
    <row r="16045" s="496" customFormat="1" x14ac:dyDescent="0.2"/>
    <row r="16046" s="496" customFormat="1" x14ac:dyDescent="0.2"/>
    <row r="16047" s="496" customFormat="1" x14ac:dyDescent="0.2"/>
    <row r="16048" s="496" customFormat="1" x14ac:dyDescent="0.2"/>
    <row r="16049" s="496" customFormat="1" x14ac:dyDescent="0.2"/>
    <row r="16050" s="496" customFormat="1" x14ac:dyDescent="0.2"/>
    <row r="16051" s="496" customFormat="1" x14ac:dyDescent="0.2"/>
    <row r="16052" s="496" customFormat="1" x14ac:dyDescent="0.2"/>
    <row r="16053" s="496" customFormat="1" x14ac:dyDescent="0.2"/>
    <row r="16054" s="496" customFormat="1" x14ac:dyDescent="0.2"/>
    <row r="16055" s="496" customFormat="1" x14ac:dyDescent="0.2"/>
    <row r="16056" s="496" customFormat="1" x14ac:dyDescent="0.2"/>
    <row r="16057" s="496" customFormat="1" x14ac:dyDescent="0.2"/>
    <row r="16058" s="496" customFormat="1" x14ac:dyDescent="0.2"/>
    <row r="16059" s="496" customFormat="1" x14ac:dyDescent="0.2"/>
    <row r="16060" s="496" customFormat="1" x14ac:dyDescent="0.2"/>
    <row r="16061" s="496" customFormat="1" x14ac:dyDescent="0.2"/>
    <row r="16062" s="496" customFormat="1" x14ac:dyDescent="0.2"/>
    <row r="16063" s="496" customFormat="1" x14ac:dyDescent="0.2"/>
    <row r="16064" s="496" customFormat="1" x14ac:dyDescent="0.2"/>
    <row r="16065" s="496" customFormat="1" x14ac:dyDescent="0.2"/>
    <row r="16066" s="496" customFormat="1" x14ac:dyDescent="0.2"/>
    <row r="16067" s="496" customFormat="1" x14ac:dyDescent="0.2"/>
    <row r="16068" s="496" customFormat="1" x14ac:dyDescent="0.2"/>
    <row r="16069" s="496" customFormat="1" x14ac:dyDescent="0.2"/>
    <row r="16070" s="496" customFormat="1" x14ac:dyDescent="0.2"/>
    <row r="16071" s="496" customFormat="1" x14ac:dyDescent="0.2"/>
    <row r="16072" s="496" customFormat="1" x14ac:dyDescent="0.2"/>
    <row r="16073" s="496" customFormat="1" x14ac:dyDescent="0.2"/>
    <row r="16074" s="496" customFormat="1" x14ac:dyDescent="0.2"/>
    <row r="16075" s="496" customFormat="1" x14ac:dyDescent="0.2"/>
    <row r="16076" s="496" customFormat="1" x14ac:dyDescent="0.2"/>
    <row r="16077" s="496" customFormat="1" x14ac:dyDescent="0.2"/>
    <row r="16078" s="496" customFormat="1" x14ac:dyDescent="0.2"/>
    <row r="16079" s="496" customFormat="1" x14ac:dyDescent="0.2"/>
    <row r="16080" s="496" customFormat="1" x14ac:dyDescent="0.2"/>
    <row r="16081" s="496" customFormat="1" x14ac:dyDescent="0.2"/>
    <row r="16082" s="496" customFormat="1" x14ac:dyDescent="0.2"/>
    <row r="16083" s="496" customFormat="1" x14ac:dyDescent="0.2"/>
    <row r="16084" s="496" customFormat="1" x14ac:dyDescent="0.2"/>
    <row r="16085" s="496" customFormat="1" x14ac:dyDescent="0.2"/>
    <row r="16086" s="496" customFormat="1" x14ac:dyDescent="0.2"/>
    <row r="16087" s="496" customFormat="1" x14ac:dyDescent="0.2"/>
    <row r="16088" s="496" customFormat="1" x14ac:dyDescent="0.2"/>
    <row r="16089" s="496" customFormat="1" x14ac:dyDescent="0.2"/>
    <row r="16090" s="496" customFormat="1" x14ac:dyDescent="0.2"/>
    <row r="16091" s="496" customFormat="1" x14ac:dyDescent="0.2"/>
    <row r="16092" s="496" customFormat="1" x14ac:dyDescent="0.2"/>
    <row r="16093" s="496" customFormat="1" x14ac:dyDescent="0.2"/>
    <row r="16094" s="496" customFormat="1" x14ac:dyDescent="0.2"/>
    <row r="16095" s="496" customFormat="1" x14ac:dyDescent="0.2"/>
    <row r="16096" s="496" customFormat="1" x14ac:dyDescent="0.2"/>
    <row r="16097" s="496" customFormat="1" x14ac:dyDescent="0.2"/>
    <row r="16098" s="496" customFormat="1" x14ac:dyDescent="0.2"/>
    <row r="16099" s="496" customFormat="1" x14ac:dyDescent="0.2"/>
    <row r="16100" s="496" customFormat="1" x14ac:dyDescent="0.2"/>
    <row r="16101" s="496" customFormat="1" x14ac:dyDescent="0.2"/>
    <row r="16102" s="496" customFormat="1" x14ac:dyDescent="0.2"/>
    <row r="16103" s="496" customFormat="1" x14ac:dyDescent="0.2"/>
    <row r="16104" s="496" customFormat="1" x14ac:dyDescent="0.2"/>
    <row r="16105" s="496" customFormat="1" x14ac:dyDescent="0.2"/>
    <row r="16106" s="496" customFormat="1" x14ac:dyDescent="0.2"/>
    <row r="16107" s="496" customFormat="1" x14ac:dyDescent="0.2"/>
    <row r="16108" s="496" customFormat="1" x14ac:dyDescent="0.2"/>
    <row r="16109" s="496" customFormat="1" x14ac:dyDescent="0.2"/>
    <row r="16110" s="496" customFormat="1" x14ac:dyDescent="0.2"/>
    <row r="16111" s="496" customFormat="1" x14ac:dyDescent="0.2"/>
    <row r="16112" s="496" customFormat="1" x14ac:dyDescent="0.2"/>
    <row r="16113" s="496" customFormat="1" x14ac:dyDescent="0.2"/>
    <row r="16114" s="496" customFormat="1" x14ac:dyDescent="0.2"/>
    <row r="16115" s="496" customFormat="1" x14ac:dyDescent="0.2"/>
    <row r="16116" s="496" customFormat="1" x14ac:dyDescent="0.2"/>
    <row r="16117" s="496" customFormat="1" x14ac:dyDescent="0.2"/>
    <row r="16118" s="496" customFormat="1" x14ac:dyDescent="0.2"/>
    <row r="16119" s="496" customFormat="1" x14ac:dyDescent="0.2"/>
    <row r="16120" s="496" customFormat="1" x14ac:dyDescent="0.2"/>
    <row r="16121" s="496" customFormat="1" x14ac:dyDescent="0.2"/>
    <row r="16122" s="496" customFormat="1" x14ac:dyDescent="0.2"/>
    <row r="16123" s="496" customFormat="1" x14ac:dyDescent="0.2"/>
    <row r="16124" s="496" customFormat="1" x14ac:dyDescent="0.2"/>
    <row r="16125" s="496" customFormat="1" x14ac:dyDescent="0.2"/>
    <row r="16126" s="496" customFormat="1" x14ac:dyDescent="0.2"/>
    <row r="16127" s="496" customFormat="1" x14ac:dyDescent="0.2"/>
    <row r="16128" s="496" customFormat="1" x14ac:dyDescent="0.2"/>
    <row r="16129" s="496" customFormat="1" x14ac:dyDescent="0.2"/>
    <row r="16130" s="496" customFormat="1" x14ac:dyDescent="0.2"/>
    <row r="16131" s="496" customFormat="1" x14ac:dyDescent="0.2"/>
    <row r="16132" s="496" customFormat="1" x14ac:dyDescent="0.2"/>
    <row r="16133" s="496" customFormat="1" x14ac:dyDescent="0.2"/>
    <row r="16134" s="496" customFormat="1" x14ac:dyDescent="0.2"/>
    <row r="16135" s="496" customFormat="1" x14ac:dyDescent="0.2"/>
    <row r="16136" s="496" customFormat="1" x14ac:dyDescent="0.2"/>
    <row r="16137" s="496" customFormat="1" x14ac:dyDescent="0.2"/>
    <row r="16138" s="496" customFormat="1" x14ac:dyDescent="0.2"/>
    <row r="16139" s="496" customFormat="1" x14ac:dyDescent="0.2"/>
    <row r="16140" s="496" customFormat="1" x14ac:dyDescent="0.2"/>
    <row r="16141" s="496" customFormat="1" x14ac:dyDescent="0.2"/>
    <row r="16142" s="496" customFormat="1" x14ac:dyDescent="0.2"/>
    <row r="16143" s="496" customFormat="1" x14ac:dyDescent="0.2"/>
    <row r="16144" s="496" customFormat="1" x14ac:dyDescent="0.2"/>
    <row r="16145" s="496" customFormat="1" x14ac:dyDescent="0.2"/>
    <row r="16146" s="496" customFormat="1" x14ac:dyDescent="0.2"/>
    <row r="16147" s="496" customFormat="1" x14ac:dyDescent="0.2"/>
    <row r="16148" s="496" customFormat="1" x14ac:dyDescent="0.2"/>
    <row r="16149" s="496" customFormat="1" x14ac:dyDescent="0.2"/>
    <row r="16150" s="496" customFormat="1" x14ac:dyDescent="0.2"/>
    <row r="16151" s="496" customFormat="1" x14ac:dyDescent="0.2"/>
    <row r="16152" s="496" customFormat="1" x14ac:dyDescent="0.2"/>
    <row r="16153" s="496" customFormat="1" x14ac:dyDescent="0.2"/>
    <row r="16154" s="496" customFormat="1" x14ac:dyDescent="0.2"/>
    <row r="16155" s="496" customFormat="1" x14ac:dyDescent="0.2"/>
    <row r="16156" s="496" customFormat="1" x14ac:dyDescent="0.2"/>
    <row r="16157" s="496" customFormat="1" x14ac:dyDescent="0.2"/>
    <row r="16158" s="496" customFormat="1" x14ac:dyDescent="0.2"/>
    <row r="16159" s="496" customFormat="1" x14ac:dyDescent="0.2"/>
    <row r="16160" s="496" customFormat="1" x14ac:dyDescent="0.2"/>
    <row r="16161" s="496" customFormat="1" x14ac:dyDescent="0.2"/>
    <row r="16162" s="496" customFormat="1" x14ac:dyDescent="0.2"/>
    <row r="16163" s="496" customFormat="1" x14ac:dyDescent="0.2"/>
    <row r="16164" s="496" customFormat="1" x14ac:dyDescent="0.2"/>
    <row r="16165" s="496" customFormat="1" x14ac:dyDescent="0.2"/>
    <row r="16166" s="496" customFormat="1" x14ac:dyDescent="0.2"/>
    <row r="16167" s="496" customFormat="1" x14ac:dyDescent="0.2"/>
    <row r="16168" s="496" customFormat="1" x14ac:dyDescent="0.2"/>
    <row r="16169" s="496" customFormat="1" x14ac:dyDescent="0.2"/>
    <row r="16170" s="496" customFormat="1" x14ac:dyDescent="0.2"/>
    <row r="16171" s="496" customFormat="1" x14ac:dyDescent="0.2"/>
    <row r="16172" s="496" customFormat="1" x14ac:dyDescent="0.2"/>
    <row r="16173" s="496" customFormat="1" x14ac:dyDescent="0.2"/>
    <row r="16174" s="496" customFormat="1" x14ac:dyDescent="0.2"/>
    <row r="16175" s="496" customFormat="1" x14ac:dyDescent="0.2"/>
    <row r="16176" s="496" customFormat="1" x14ac:dyDescent="0.2"/>
    <row r="16177" s="496" customFormat="1" x14ac:dyDescent="0.2"/>
    <row r="16178" s="496" customFormat="1" x14ac:dyDescent="0.2"/>
    <row r="16179" s="496" customFormat="1" x14ac:dyDescent="0.2"/>
    <row r="16180" s="496" customFormat="1" x14ac:dyDescent="0.2"/>
    <row r="16181" s="496" customFormat="1" x14ac:dyDescent="0.2"/>
    <row r="16182" s="496" customFormat="1" x14ac:dyDescent="0.2"/>
    <row r="16183" s="496" customFormat="1" x14ac:dyDescent="0.2"/>
    <row r="16184" s="496" customFormat="1" x14ac:dyDescent="0.2"/>
    <row r="16185" s="496" customFormat="1" x14ac:dyDescent="0.2"/>
    <row r="16186" s="496" customFormat="1" x14ac:dyDescent="0.2"/>
    <row r="16187" s="496" customFormat="1" x14ac:dyDescent="0.2"/>
    <row r="16188" s="496" customFormat="1" x14ac:dyDescent="0.2"/>
    <row r="16189" s="496" customFormat="1" x14ac:dyDescent="0.2"/>
    <row r="16190" s="496" customFormat="1" x14ac:dyDescent="0.2"/>
    <row r="16191" s="496" customFormat="1" x14ac:dyDescent="0.2"/>
    <row r="16192" s="496" customFormat="1" x14ac:dyDescent="0.2"/>
    <row r="16193" s="496" customFormat="1" x14ac:dyDescent="0.2"/>
    <row r="16194" s="496" customFormat="1" x14ac:dyDescent="0.2"/>
    <row r="16195" s="496" customFormat="1" x14ac:dyDescent="0.2"/>
    <row r="16196" s="496" customFormat="1" x14ac:dyDescent="0.2"/>
    <row r="16197" s="496" customFormat="1" x14ac:dyDescent="0.2"/>
    <row r="16198" s="496" customFormat="1" x14ac:dyDescent="0.2"/>
    <row r="16199" s="496" customFormat="1" x14ac:dyDescent="0.2"/>
    <row r="16200" s="496" customFormat="1" x14ac:dyDescent="0.2"/>
    <row r="16201" s="496" customFormat="1" x14ac:dyDescent="0.2"/>
    <row r="16202" s="496" customFormat="1" x14ac:dyDescent="0.2"/>
    <row r="16203" s="496" customFormat="1" x14ac:dyDescent="0.2"/>
    <row r="16204" s="496" customFormat="1" x14ac:dyDescent="0.2"/>
    <row r="16205" s="496" customFormat="1" x14ac:dyDescent="0.2"/>
    <row r="16206" s="496" customFormat="1" x14ac:dyDescent="0.2"/>
    <row r="16207" s="496" customFormat="1" x14ac:dyDescent="0.2"/>
    <row r="16208" s="496" customFormat="1" x14ac:dyDescent="0.2"/>
    <row r="16209" s="496" customFormat="1" x14ac:dyDescent="0.2"/>
    <row r="16210" s="496" customFormat="1" x14ac:dyDescent="0.2"/>
    <row r="16211" s="496" customFormat="1" x14ac:dyDescent="0.2"/>
    <row r="16212" s="496" customFormat="1" x14ac:dyDescent="0.2"/>
    <row r="16213" s="496" customFormat="1" x14ac:dyDescent="0.2"/>
    <row r="16214" s="496" customFormat="1" x14ac:dyDescent="0.2"/>
    <row r="16215" s="496" customFormat="1" x14ac:dyDescent="0.2"/>
    <row r="16216" s="496" customFormat="1" x14ac:dyDescent="0.2"/>
    <row r="16217" s="496" customFormat="1" x14ac:dyDescent="0.2"/>
    <row r="16218" s="496" customFormat="1" x14ac:dyDescent="0.2"/>
    <row r="16219" s="496" customFormat="1" x14ac:dyDescent="0.2"/>
    <row r="16220" s="496" customFormat="1" x14ac:dyDescent="0.2"/>
    <row r="16221" s="496" customFormat="1" x14ac:dyDescent="0.2"/>
    <row r="16222" s="496" customFormat="1" x14ac:dyDescent="0.2"/>
    <row r="16223" s="496" customFormat="1" x14ac:dyDescent="0.2"/>
    <row r="16224" s="496" customFormat="1" x14ac:dyDescent="0.2"/>
    <row r="16225" s="496" customFormat="1" x14ac:dyDescent="0.2"/>
    <row r="16226" s="496" customFormat="1" x14ac:dyDescent="0.2"/>
    <row r="16227" s="496" customFormat="1" x14ac:dyDescent="0.2"/>
    <row r="16228" s="496" customFormat="1" x14ac:dyDescent="0.2"/>
    <row r="16229" s="496" customFormat="1" x14ac:dyDescent="0.2"/>
    <row r="16230" s="496" customFormat="1" x14ac:dyDescent="0.2"/>
    <row r="16231" s="496" customFormat="1" x14ac:dyDescent="0.2"/>
    <row r="16232" s="496" customFormat="1" x14ac:dyDescent="0.2"/>
    <row r="16233" s="496" customFormat="1" x14ac:dyDescent="0.2"/>
    <row r="16234" s="496" customFormat="1" x14ac:dyDescent="0.2"/>
    <row r="16235" s="496" customFormat="1" x14ac:dyDescent="0.2"/>
    <row r="16236" s="496" customFormat="1" x14ac:dyDescent="0.2"/>
    <row r="16237" s="496" customFormat="1" x14ac:dyDescent="0.2"/>
    <row r="16238" s="496" customFormat="1" x14ac:dyDescent="0.2"/>
    <row r="16239" s="496" customFormat="1" x14ac:dyDescent="0.2"/>
    <row r="16240" s="496" customFormat="1" x14ac:dyDescent="0.2"/>
    <row r="16241" s="496" customFormat="1" x14ac:dyDescent="0.2"/>
    <row r="16242" s="496" customFormat="1" x14ac:dyDescent="0.2"/>
    <row r="16243" s="496" customFormat="1" x14ac:dyDescent="0.2"/>
    <row r="16244" s="496" customFormat="1" x14ac:dyDescent="0.2"/>
    <row r="16245" s="496" customFormat="1" x14ac:dyDescent="0.2"/>
    <row r="16246" s="496" customFormat="1" x14ac:dyDescent="0.2"/>
    <row r="16247" s="496" customFormat="1" x14ac:dyDescent="0.2"/>
    <row r="16248" s="496" customFormat="1" x14ac:dyDescent="0.2"/>
    <row r="16249" s="496" customFormat="1" x14ac:dyDescent="0.2"/>
    <row r="16250" s="496" customFormat="1" x14ac:dyDescent="0.2"/>
    <row r="16251" s="496" customFormat="1" x14ac:dyDescent="0.2"/>
    <row r="16252" s="496" customFormat="1" x14ac:dyDescent="0.2"/>
    <row r="16253" s="496" customFormat="1" x14ac:dyDescent="0.2"/>
    <row r="16254" s="496" customFormat="1" x14ac:dyDescent="0.2"/>
    <row r="16255" s="496" customFormat="1" x14ac:dyDescent="0.2"/>
    <row r="16256" s="496" customFormat="1" x14ac:dyDescent="0.2"/>
    <row r="16257" s="496" customFormat="1" x14ac:dyDescent="0.2"/>
    <row r="16258" s="496" customFormat="1" x14ac:dyDescent="0.2"/>
    <row r="16259" s="496" customFormat="1" x14ac:dyDescent="0.2"/>
    <row r="16260" s="496" customFormat="1" x14ac:dyDescent="0.2"/>
    <row r="16261" s="496" customFormat="1" x14ac:dyDescent="0.2"/>
    <row r="16262" s="496" customFormat="1" x14ac:dyDescent="0.2"/>
    <row r="16263" s="496" customFormat="1" x14ac:dyDescent="0.2"/>
    <row r="16264" s="496" customFormat="1" x14ac:dyDescent="0.2"/>
    <row r="16265" s="496" customFormat="1" x14ac:dyDescent="0.2"/>
    <row r="16266" s="496" customFormat="1" x14ac:dyDescent="0.2"/>
    <row r="16267" s="496" customFormat="1" x14ac:dyDescent="0.2"/>
    <row r="16268" s="496" customFormat="1" x14ac:dyDescent="0.2"/>
    <row r="16269" s="496" customFormat="1" x14ac:dyDescent="0.2"/>
    <row r="16270" s="496" customFormat="1" x14ac:dyDescent="0.2"/>
    <row r="16271" s="496" customFormat="1" x14ac:dyDescent="0.2"/>
    <row r="16272" s="496" customFormat="1" x14ac:dyDescent="0.2"/>
    <row r="16273" s="496" customFormat="1" x14ac:dyDescent="0.2"/>
    <row r="16274" s="496" customFormat="1" x14ac:dyDescent="0.2"/>
    <row r="16275" s="496" customFormat="1" x14ac:dyDescent="0.2"/>
    <row r="16276" s="496" customFormat="1" x14ac:dyDescent="0.2"/>
    <row r="16277" s="496" customFormat="1" x14ac:dyDescent="0.2"/>
    <row r="16278" s="496" customFormat="1" x14ac:dyDescent="0.2"/>
    <row r="16279" s="496" customFormat="1" x14ac:dyDescent="0.2"/>
    <row r="16280" s="496" customFormat="1" x14ac:dyDescent="0.2"/>
    <row r="16281" s="496" customFormat="1" x14ac:dyDescent="0.2"/>
    <row r="16282" s="496" customFormat="1" x14ac:dyDescent="0.2"/>
    <row r="16283" s="496" customFormat="1" x14ac:dyDescent="0.2"/>
    <row r="16284" s="496" customFormat="1" x14ac:dyDescent="0.2"/>
    <row r="16285" s="496" customFormat="1" x14ac:dyDescent="0.2"/>
    <row r="16286" s="496" customFormat="1" x14ac:dyDescent="0.2"/>
    <row r="16287" s="496" customFormat="1" x14ac:dyDescent="0.2"/>
    <row r="16288" s="496" customFormat="1" x14ac:dyDescent="0.2"/>
    <row r="16289" s="496" customFormat="1" x14ac:dyDescent="0.2"/>
    <row r="16290" s="496" customFormat="1" x14ac:dyDescent="0.2"/>
    <row r="16291" s="496" customFormat="1" x14ac:dyDescent="0.2"/>
    <row r="16292" s="496" customFormat="1" x14ac:dyDescent="0.2"/>
    <row r="16293" s="496" customFormat="1" x14ac:dyDescent="0.2"/>
    <row r="16294" s="496" customFormat="1" x14ac:dyDescent="0.2"/>
    <row r="16295" s="496" customFormat="1" x14ac:dyDescent="0.2"/>
    <row r="16296" s="496" customFormat="1" x14ac:dyDescent="0.2"/>
    <row r="16297" s="496" customFormat="1" x14ac:dyDescent="0.2"/>
    <row r="16298" s="496" customFormat="1" x14ac:dyDescent="0.2"/>
    <row r="16299" s="496" customFormat="1" x14ac:dyDescent="0.2"/>
    <row r="16300" s="496" customFormat="1" x14ac:dyDescent="0.2"/>
    <row r="16301" s="496" customFormat="1" x14ac:dyDescent="0.2"/>
    <row r="16302" s="496" customFormat="1" x14ac:dyDescent="0.2"/>
    <row r="16303" s="496" customFormat="1" x14ac:dyDescent="0.2"/>
    <row r="16304" s="496" customFormat="1" x14ac:dyDescent="0.2"/>
    <row r="16305" s="496" customFormat="1" x14ac:dyDescent="0.2"/>
    <row r="16306" s="496" customFormat="1" x14ac:dyDescent="0.2"/>
    <row r="16307" s="496" customFormat="1" x14ac:dyDescent="0.2"/>
    <row r="16308" s="496" customFormat="1" x14ac:dyDescent="0.2"/>
    <row r="16309" s="496" customFormat="1" x14ac:dyDescent="0.2"/>
    <row r="16310" s="496" customFormat="1" x14ac:dyDescent="0.2"/>
    <row r="16311" s="496" customFormat="1" x14ac:dyDescent="0.2"/>
    <row r="16312" s="496" customFormat="1" x14ac:dyDescent="0.2"/>
    <row r="16313" s="496" customFormat="1" x14ac:dyDescent="0.2"/>
    <row r="16314" s="496" customFormat="1" x14ac:dyDescent="0.2"/>
    <row r="16315" s="496" customFormat="1" x14ac:dyDescent="0.2"/>
    <row r="16316" s="496" customFormat="1" x14ac:dyDescent="0.2"/>
    <row r="16317" s="496" customFormat="1" x14ac:dyDescent="0.2"/>
    <row r="16318" s="496" customFormat="1" x14ac:dyDescent="0.2"/>
    <row r="16319" s="496" customFormat="1" x14ac:dyDescent="0.2"/>
    <row r="16320" s="496" customFormat="1" x14ac:dyDescent="0.2"/>
    <row r="16321" s="496" customFormat="1" x14ac:dyDescent="0.2"/>
    <row r="16322" s="496" customFormat="1" x14ac:dyDescent="0.2"/>
    <row r="16323" s="496" customFormat="1" x14ac:dyDescent="0.2"/>
    <row r="16324" s="496" customFormat="1" x14ac:dyDescent="0.2"/>
    <row r="16325" s="496" customFormat="1" x14ac:dyDescent="0.2"/>
    <row r="16326" s="496" customFormat="1" x14ac:dyDescent="0.2"/>
    <row r="16327" s="496" customFormat="1" x14ac:dyDescent="0.2"/>
    <row r="16328" s="496" customFormat="1" x14ac:dyDescent="0.2"/>
    <row r="16329" s="496" customFormat="1" x14ac:dyDescent="0.2"/>
    <row r="16330" s="496" customFormat="1" x14ac:dyDescent="0.2"/>
    <row r="16331" s="496" customFormat="1" x14ac:dyDescent="0.2"/>
    <row r="16332" s="496" customFormat="1" x14ac:dyDescent="0.2"/>
    <row r="16333" s="496" customFormat="1" x14ac:dyDescent="0.2"/>
    <row r="16334" s="496" customFormat="1" x14ac:dyDescent="0.2"/>
    <row r="16335" s="496" customFormat="1" x14ac:dyDescent="0.2"/>
    <row r="16336" s="496" customFormat="1" x14ac:dyDescent="0.2"/>
    <row r="16337" s="496" customFormat="1" x14ac:dyDescent="0.2"/>
    <row r="16338" s="496" customFormat="1" x14ac:dyDescent="0.2"/>
    <row r="16339" s="496" customFormat="1" x14ac:dyDescent="0.2"/>
    <row r="16340" s="496" customFormat="1" x14ac:dyDescent="0.2"/>
    <row r="16341" s="496" customFormat="1" x14ac:dyDescent="0.2"/>
    <row r="16342" s="496" customFormat="1" x14ac:dyDescent="0.2"/>
    <row r="16343" s="496" customFormat="1" x14ac:dyDescent="0.2"/>
    <row r="16344" s="496" customFormat="1" x14ac:dyDescent="0.2"/>
    <row r="16345" s="496" customFormat="1" x14ac:dyDescent="0.2"/>
    <row r="16346" s="496" customFormat="1" x14ac:dyDescent="0.2"/>
    <row r="16347" s="496" customFormat="1" x14ac:dyDescent="0.2"/>
    <row r="16348" s="496" customFormat="1" x14ac:dyDescent="0.2"/>
    <row r="16349" s="496" customFormat="1" x14ac:dyDescent="0.2"/>
    <row r="16350" s="496" customFormat="1" x14ac:dyDescent="0.2"/>
    <row r="16351" s="496" customFormat="1" x14ac:dyDescent="0.2"/>
    <row r="16352" s="496" customFormat="1" x14ac:dyDescent="0.2"/>
    <row r="16353" s="496" customFormat="1" x14ac:dyDescent="0.2"/>
    <row r="16354" s="496" customFormat="1" x14ac:dyDescent="0.2"/>
    <row r="16355" s="496" customFormat="1" x14ac:dyDescent="0.2"/>
    <row r="16356" s="496" customFormat="1" x14ac:dyDescent="0.2"/>
    <row r="16357" s="496" customFormat="1" x14ac:dyDescent="0.2"/>
    <row r="16358" s="496" customFormat="1" x14ac:dyDescent="0.2"/>
    <row r="16359" s="496" customFormat="1" x14ac:dyDescent="0.2"/>
    <row r="16360" s="496" customFormat="1" x14ac:dyDescent="0.2"/>
    <row r="16361" s="496" customFormat="1" x14ac:dyDescent="0.2"/>
    <row r="16362" s="496" customFormat="1" x14ac:dyDescent="0.2"/>
    <row r="16363" s="496" customFormat="1" x14ac:dyDescent="0.2"/>
    <row r="16364" s="496" customFormat="1" x14ac:dyDescent="0.2"/>
    <row r="16365" s="496" customFormat="1" x14ac:dyDescent="0.2"/>
    <row r="16366" s="496" customFormat="1" x14ac:dyDescent="0.2"/>
    <row r="16367" s="496" customFormat="1" x14ac:dyDescent="0.2"/>
    <row r="16368" s="496" customFormat="1" x14ac:dyDescent="0.2"/>
    <row r="16369" s="496" customFormat="1" x14ac:dyDescent="0.2"/>
    <row r="16370" s="496" customFormat="1" x14ac:dyDescent="0.2"/>
    <row r="16371" s="496" customFormat="1" x14ac:dyDescent="0.2"/>
    <row r="16372" s="496" customFormat="1" x14ac:dyDescent="0.2"/>
    <row r="16373" s="496" customFormat="1" x14ac:dyDescent="0.2"/>
    <row r="16374" s="496" customFormat="1" x14ac:dyDescent="0.2"/>
    <row r="16375" s="496" customFormat="1" x14ac:dyDescent="0.2"/>
    <row r="16376" s="496" customFormat="1" x14ac:dyDescent="0.2"/>
    <row r="16377" s="496" customFormat="1" x14ac:dyDescent="0.2"/>
    <row r="16378" s="496" customFormat="1" x14ac:dyDescent="0.2"/>
    <row r="16379" s="496" customFormat="1" x14ac:dyDescent="0.2"/>
    <row r="16380" s="496" customFormat="1" x14ac:dyDescent="0.2"/>
    <row r="16381" s="496" customFormat="1" x14ac:dyDescent="0.2"/>
    <row r="16382" s="496" customFormat="1" x14ac:dyDescent="0.2"/>
    <row r="16383" s="496" customFormat="1" x14ac:dyDescent="0.2"/>
    <row r="16384" s="496" customFormat="1" x14ac:dyDescent="0.2"/>
    <row r="16385" s="496" customFormat="1" x14ac:dyDescent="0.2"/>
    <row r="16386" s="496" customFormat="1" x14ac:dyDescent="0.2"/>
    <row r="16387" s="496" customFormat="1" x14ac:dyDescent="0.2"/>
    <row r="16388" s="496" customFormat="1" x14ac:dyDescent="0.2"/>
    <row r="16389" s="496" customFormat="1" x14ac:dyDescent="0.2"/>
    <row r="16390" s="496" customFormat="1" x14ac:dyDescent="0.2"/>
    <row r="16391" s="496" customFormat="1" x14ac:dyDescent="0.2"/>
    <row r="16392" s="496" customFormat="1" x14ac:dyDescent="0.2"/>
    <row r="16393" s="496" customFormat="1" x14ac:dyDescent="0.2"/>
    <row r="16394" s="496" customFormat="1" x14ac:dyDescent="0.2"/>
    <row r="16395" s="496" customFormat="1" x14ac:dyDescent="0.2"/>
    <row r="16396" s="496" customFormat="1" x14ac:dyDescent="0.2"/>
    <row r="16397" s="496" customFormat="1" x14ac:dyDescent="0.2"/>
    <row r="16398" s="496" customFormat="1" x14ac:dyDescent="0.2"/>
    <row r="16399" s="496" customFormat="1" x14ac:dyDescent="0.2"/>
    <row r="16400" s="496" customFormat="1" x14ac:dyDescent="0.2"/>
    <row r="16401" s="496" customFormat="1" x14ac:dyDescent="0.2"/>
    <row r="16402" s="496" customFormat="1" x14ac:dyDescent="0.2"/>
    <row r="16403" s="496" customFormat="1" x14ac:dyDescent="0.2"/>
    <row r="16404" s="496" customFormat="1" x14ac:dyDescent="0.2"/>
    <row r="16405" s="496" customFormat="1" x14ac:dyDescent="0.2"/>
    <row r="16406" s="496" customFormat="1" x14ac:dyDescent="0.2"/>
    <row r="16407" s="496" customFormat="1" x14ac:dyDescent="0.2"/>
    <row r="16408" s="496" customFormat="1" x14ac:dyDescent="0.2"/>
    <row r="16409" s="496" customFormat="1" x14ac:dyDescent="0.2"/>
    <row r="16410" s="496" customFormat="1" x14ac:dyDescent="0.2"/>
    <row r="16411" s="496" customFormat="1" x14ac:dyDescent="0.2"/>
    <row r="16412" s="496" customFormat="1" x14ac:dyDescent="0.2"/>
    <row r="16413" s="496" customFormat="1" x14ac:dyDescent="0.2"/>
    <row r="16414" s="496" customFormat="1" x14ac:dyDescent="0.2"/>
    <row r="16415" s="496" customFormat="1" x14ac:dyDescent="0.2"/>
    <row r="16416" s="496" customFormat="1" x14ac:dyDescent="0.2"/>
    <row r="16417" s="496" customFormat="1" x14ac:dyDescent="0.2"/>
    <row r="16418" s="496" customFormat="1" x14ac:dyDescent="0.2"/>
    <row r="16419" s="496" customFormat="1" x14ac:dyDescent="0.2"/>
    <row r="16420" s="496" customFormat="1" x14ac:dyDescent="0.2"/>
    <row r="16421" s="496" customFormat="1" x14ac:dyDescent="0.2"/>
    <row r="16422" s="496" customFormat="1" x14ac:dyDescent="0.2"/>
    <row r="16423" s="496" customFormat="1" x14ac:dyDescent="0.2"/>
    <row r="16424" s="496" customFormat="1" x14ac:dyDescent="0.2"/>
    <row r="16425" s="496" customFormat="1" x14ac:dyDescent="0.2"/>
    <row r="16426" s="496" customFormat="1" x14ac:dyDescent="0.2"/>
    <row r="16427" s="496" customFormat="1" x14ac:dyDescent="0.2"/>
    <row r="16428" s="496" customFormat="1" x14ac:dyDescent="0.2"/>
    <row r="16429" s="496" customFormat="1" x14ac:dyDescent="0.2"/>
    <row r="16430" s="496" customFormat="1" x14ac:dyDescent="0.2"/>
    <row r="16431" s="496" customFormat="1" x14ac:dyDescent="0.2"/>
    <row r="16432" s="496" customFormat="1" x14ac:dyDescent="0.2"/>
    <row r="16433" s="496" customFormat="1" x14ac:dyDescent="0.2"/>
    <row r="16434" s="496" customFormat="1" x14ac:dyDescent="0.2"/>
    <row r="16435" s="496" customFormat="1" x14ac:dyDescent="0.2"/>
    <row r="16436" s="496" customFormat="1" x14ac:dyDescent="0.2"/>
    <row r="16437" s="496" customFormat="1" x14ac:dyDescent="0.2"/>
    <row r="16438" s="496" customFormat="1" x14ac:dyDescent="0.2"/>
    <row r="16439" s="496" customFormat="1" x14ac:dyDescent="0.2"/>
    <row r="16440" s="496" customFormat="1" x14ac:dyDescent="0.2"/>
    <row r="16441" s="496" customFormat="1" x14ac:dyDescent="0.2"/>
    <row r="16442" s="496" customFormat="1" x14ac:dyDescent="0.2"/>
    <row r="16443" s="496" customFormat="1" x14ac:dyDescent="0.2"/>
    <row r="16444" s="496" customFormat="1" x14ac:dyDescent="0.2"/>
    <row r="16445" s="496" customFormat="1" x14ac:dyDescent="0.2"/>
    <row r="16446" s="496" customFormat="1" x14ac:dyDescent="0.2"/>
    <row r="16447" s="496" customFormat="1" x14ac:dyDescent="0.2"/>
    <row r="16448" s="496" customFormat="1" x14ac:dyDescent="0.2"/>
    <row r="16449" s="496" customFormat="1" x14ac:dyDescent="0.2"/>
    <row r="16450" s="496" customFormat="1" x14ac:dyDescent="0.2"/>
    <row r="16451" s="496" customFormat="1" x14ac:dyDescent="0.2"/>
    <row r="16452" s="496" customFormat="1" x14ac:dyDescent="0.2"/>
    <row r="16453" s="496" customFormat="1" x14ac:dyDescent="0.2"/>
    <row r="16454" s="496" customFormat="1" x14ac:dyDescent="0.2"/>
    <row r="16455" s="496" customFormat="1" x14ac:dyDescent="0.2"/>
    <row r="16456" s="496" customFormat="1" x14ac:dyDescent="0.2"/>
    <row r="16457" s="496" customFormat="1" x14ac:dyDescent="0.2"/>
    <row r="16458" s="496" customFormat="1" x14ac:dyDescent="0.2"/>
    <row r="16459" s="496" customFormat="1" x14ac:dyDescent="0.2"/>
    <row r="16460" s="496" customFormat="1" x14ac:dyDescent="0.2"/>
    <row r="16461" s="496" customFormat="1" x14ac:dyDescent="0.2"/>
    <row r="16462" s="496" customFormat="1" x14ac:dyDescent="0.2"/>
    <row r="16463" s="496" customFormat="1" x14ac:dyDescent="0.2"/>
    <row r="16464" s="496" customFormat="1" x14ac:dyDescent="0.2"/>
    <row r="16465" s="496" customFormat="1" x14ac:dyDescent="0.2"/>
    <row r="16466" s="496" customFormat="1" x14ac:dyDescent="0.2"/>
    <row r="16467" s="496" customFormat="1" x14ac:dyDescent="0.2"/>
    <row r="16468" s="496" customFormat="1" x14ac:dyDescent="0.2"/>
    <row r="16469" s="496" customFormat="1" x14ac:dyDescent="0.2"/>
    <row r="16470" s="496" customFormat="1" x14ac:dyDescent="0.2"/>
    <row r="16471" s="496" customFormat="1" x14ac:dyDescent="0.2"/>
    <row r="16472" s="496" customFormat="1" x14ac:dyDescent="0.2"/>
    <row r="16473" s="496" customFormat="1" x14ac:dyDescent="0.2"/>
    <row r="16474" s="496" customFormat="1" x14ac:dyDescent="0.2"/>
    <row r="16475" s="496" customFormat="1" x14ac:dyDescent="0.2"/>
    <row r="16476" s="496" customFormat="1" x14ac:dyDescent="0.2"/>
    <row r="16477" s="496" customFormat="1" x14ac:dyDescent="0.2"/>
    <row r="16478" s="496" customFormat="1" x14ac:dyDescent="0.2"/>
    <row r="16479" s="496" customFormat="1" x14ac:dyDescent="0.2"/>
    <row r="16480" s="496" customFormat="1" x14ac:dyDescent="0.2"/>
    <row r="16481" s="496" customFormat="1" x14ac:dyDescent="0.2"/>
    <row r="16482" s="496" customFormat="1" x14ac:dyDescent="0.2"/>
    <row r="16483" s="496" customFormat="1" x14ac:dyDescent="0.2"/>
    <row r="16484" s="496" customFormat="1" x14ac:dyDescent="0.2"/>
    <row r="16485" s="496" customFormat="1" x14ac:dyDescent="0.2"/>
    <row r="16486" s="496" customFormat="1" x14ac:dyDescent="0.2"/>
    <row r="16487" s="496" customFormat="1" x14ac:dyDescent="0.2"/>
    <row r="16488" s="496" customFormat="1" x14ac:dyDescent="0.2"/>
    <row r="16489" s="496" customFormat="1" x14ac:dyDescent="0.2"/>
    <row r="16490" s="496" customFormat="1" x14ac:dyDescent="0.2"/>
    <row r="16491" s="496" customFormat="1" x14ac:dyDescent="0.2"/>
    <row r="16492" s="496" customFormat="1" x14ac:dyDescent="0.2"/>
    <row r="16493" s="496" customFormat="1" x14ac:dyDescent="0.2"/>
    <row r="16494" s="496" customFormat="1" x14ac:dyDescent="0.2"/>
    <row r="16495" s="496" customFormat="1" x14ac:dyDescent="0.2"/>
    <row r="16496" s="496" customFormat="1" x14ac:dyDescent="0.2"/>
    <row r="16497" s="496" customFormat="1" x14ac:dyDescent="0.2"/>
    <row r="16498" s="496" customFormat="1" x14ac:dyDescent="0.2"/>
    <row r="16499" s="496" customFormat="1" x14ac:dyDescent="0.2"/>
    <row r="16500" s="496" customFormat="1" x14ac:dyDescent="0.2"/>
    <row r="16501" s="496" customFormat="1" x14ac:dyDescent="0.2"/>
    <row r="16502" s="496" customFormat="1" x14ac:dyDescent="0.2"/>
    <row r="16503" s="496" customFormat="1" x14ac:dyDescent="0.2"/>
    <row r="16504" s="496" customFormat="1" x14ac:dyDescent="0.2"/>
    <row r="16505" s="496" customFormat="1" x14ac:dyDescent="0.2"/>
    <row r="16506" s="496" customFormat="1" x14ac:dyDescent="0.2"/>
    <row r="16507" s="496" customFormat="1" x14ac:dyDescent="0.2"/>
    <row r="16508" s="496" customFormat="1" x14ac:dyDescent="0.2"/>
    <row r="16509" s="496" customFormat="1" x14ac:dyDescent="0.2"/>
    <row r="16510" s="496" customFormat="1" x14ac:dyDescent="0.2"/>
    <row r="16511" s="496" customFormat="1" x14ac:dyDescent="0.2"/>
    <row r="16512" s="496" customFormat="1" x14ac:dyDescent="0.2"/>
    <row r="16513" s="496" customFormat="1" x14ac:dyDescent="0.2"/>
    <row r="16514" s="496" customFormat="1" x14ac:dyDescent="0.2"/>
    <row r="16515" s="496" customFormat="1" x14ac:dyDescent="0.2"/>
    <row r="16516" s="496" customFormat="1" x14ac:dyDescent="0.2"/>
    <row r="16517" s="496" customFormat="1" x14ac:dyDescent="0.2"/>
    <row r="16518" s="496" customFormat="1" x14ac:dyDescent="0.2"/>
    <row r="16519" s="496" customFormat="1" x14ac:dyDescent="0.2"/>
    <row r="16520" s="496" customFormat="1" x14ac:dyDescent="0.2"/>
    <row r="16521" s="496" customFormat="1" x14ac:dyDescent="0.2"/>
    <row r="16522" s="496" customFormat="1" x14ac:dyDescent="0.2"/>
    <row r="16523" s="496" customFormat="1" x14ac:dyDescent="0.2"/>
    <row r="16524" s="496" customFormat="1" x14ac:dyDescent="0.2"/>
    <row r="16525" s="496" customFormat="1" x14ac:dyDescent="0.2"/>
    <row r="16526" s="496" customFormat="1" x14ac:dyDescent="0.2"/>
    <row r="16527" s="496" customFormat="1" x14ac:dyDescent="0.2"/>
    <row r="16528" s="496" customFormat="1" x14ac:dyDescent="0.2"/>
    <row r="16529" s="496" customFormat="1" x14ac:dyDescent="0.2"/>
    <row r="16530" s="496" customFormat="1" x14ac:dyDescent="0.2"/>
    <row r="16531" s="496" customFormat="1" x14ac:dyDescent="0.2"/>
    <row r="16532" s="496" customFormat="1" x14ac:dyDescent="0.2"/>
    <row r="16533" s="496" customFormat="1" x14ac:dyDescent="0.2"/>
    <row r="16534" s="496" customFormat="1" x14ac:dyDescent="0.2"/>
    <row r="16535" s="496" customFormat="1" x14ac:dyDescent="0.2"/>
    <row r="16536" s="496" customFormat="1" x14ac:dyDescent="0.2"/>
    <row r="16537" s="496" customFormat="1" x14ac:dyDescent="0.2"/>
    <row r="16538" s="496" customFormat="1" x14ac:dyDescent="0.2"/>
    <row r="16539" s="496" customFormat="1" x14ac:dyDescent="0.2"/>
    <row r="16540" s="496" customFormat="1" x14ac:dyDescent="0.2"/>
    <row r="16541" s="496" customFormat="1" x14ac:dyDescent="0.2"/>
    <row r="16542" s="496" customFormat="1" x14ac:dyDescent="0.2"/>
    <row r="16543" s="496" customFormat="1" x14ac:dyDescent="0.2"/>
    <row r="16544" s="496" customFormat="1" x14ac:dyDescent="0.2"/>
    <row r="16545" s="496" customFormat="1" x14ac:dyDescent="0.2"/>
    <row r="16546" s="496" customFormat="1" x14ac:dyDescent="0.2"/>
    <row r="16547" s="496" customFormat="1" x14ac:dyDescent="0.2"/>
    <row r="16548" s="496" customFormat="1" x14ac:dyDescent="0.2"/>
    <row r="16549" s="496" customFormat="1" x14ac:dyDescent="0.2"/>
    <row r="16550" s="496" customFormat="1" x14ac:dyDescent="0.2"/>
    <row r="16551" s="496" customFormat="1" x14ac:dyDescent="0.2"/>
    <row r="16552" s="496" customFormat="1" x14ac:dyDescent="0.2"/>
    <row r="16553" s="496" customFormat="1" x14ac:dyDescent="0.2"/>
    <row r="16554" s="496" customFormat="1" x14ac:dyDescent="0.2"/>
    <row r="16555" s="496" customFormat="1" x14ac:dyDescent="0.2"/>
    <row r="16556" s="496" customFormat="1" x14ac:dyDescent="0.2"/>
    <row r="16557" s="496" customFormat="1" x14ac:dyDescent="0.2"/>
    <row r="16558" s="496" customFormat="1" x14ac:dyDescent="0.2"/>
    <row r="16559" s="496" customFormat="1" x14ac:dyDescent="0.2"/>
    <row r="16560" s="496" customFormat="1" x14ac:dyDescent="0.2"/>
    <row r="16561" s="496" customFormat="1" x14ac:dyDescent="0.2"/>
    <row r="16562" s="496" customFormat="1" x14ac:dyDescent="0.2"/>
    <row r="16563" s="496" customFormat="1" x14ac:dyDescent="0.2"/>
    <row r="16564" s="496" customFormat="1" x14ac:dyDescent="0.2"/>
    <row r="16565" s="496" customFormat="1" x14ac:dyDescent="0.2"/>
    <row r="16566" s="496" customFormat="1" x14ac:dyDescent="0.2"/>
    <row r="16567" s="496" customFormat="1" x14ac:dyDescent="0.2"/>
    <row r="16568" s="496" customFormat="1" x14ac:dyDescent="0.2"/>
    <row r="16569" s="496" customFormat="1" x14ac:dyDescent="0.2"/>
    <row r="16570" s="496" customFormat="1" x14ac:dyDescent="0.2"/>
    <row r="16571" s="496" customFormat="1" x14ac:dyDescent="0.2"/>
    <row r="16572" s="496" customFormat="1" x14ac:dyDescent="0.2"/>
    <row r="16573" s="496" customFormat="1" x14ac:dyDescent="0.2"/>
    <row r="16574" s="496" customFormat="1" x14ac:dyDescent="0.2"/>
    <row r="16575" s="496" customFormat="1" x14ac:dyDescent="0.2"/>
    <row r="16576" s="496" customFormat="1" x14ac:dyDescent="0.2"/>
    <row r="16577" s="496" customFormat="1" x14ac:dyDescent="0.2"/>
    <row r="16578" s="496" customFormat="1" x14ac:dyDescent="0.2"/>
    <row r="16579" s="496" customFormat="1" x14ac:dyDescent="0.2"/>
    <row r="16580" s="496" customFormat="1" x14ac:dyDescent="0.2"/>
    <row r="16581" s="496" customFormat="1" x14ac:dyDescent="0.2"/>
    <row r="16582" s="496" customFormat="1" x14ac:dyDescent="0.2"/>
    <row r="16583" s="496" customFormat="1" x14ac:dyDescent="0.2"/>
    <row r="16584" s="496" customFormat="1" x14ac:dyDescent="0.2"/>
    <row r="16585" s="496" customFormat="1" x14ac:dyDescent="0.2"/>
    <row r="16586" s="496" customFormat="1" x14ac:dyDescent="0.2"/>
    <row r="16587" s="496" customFormat="1" x14ac:dyDescent="0.2"/>
    <row r="16588" s="496" customFormat="1" x14ac:dyDescent="0.2"/>
    <row r="16589" s="496" customFormat="1" x14ac:dyDescent="0.2"/>
    <row r="16590" s="496" customFormat="1" x14ac:dyDescent="0.2"/>
    <row r="16591" s="496" customFormat="1" x14ac:dyDescent="0.2"/>
    <row r="16592" s="496" customFormat="1" x14ac:dyDescent="0.2"/>
    <row r="16593" s="496" customFormat="1" x14ac:dyDescent="0.2"/>
    <row r="16594" s="496" customFormat="1" x14ac:dyDescent="0.2"/>
    <row r="16595" s="496" customFormat="1" x14ac:dyDescent="0.2"/>
    <row r="16596" s="496" customFormat="1" x14ac:dyDescent="0.2"/>
    <row r="16597" s="496" customFormat="1" x14ac:dyDescent="0.2"/>
    <row r="16598" s="496" customFormat="1" x14ac:dyDescent="0.2"/>
    <row r="16599" s="496" customFormat="1" x14ac:dyDescent="0.2"/>
    <row r="16600" s="496" customFormat="1" x14ac:dyDescent="0.2"/>
    <row r="16601" s="496" customFormat="1" x14ac:dyDescent="0.2"/>
    <row r="16602" s="496" customFormat="1" x14ac:dyDescent="0.2"/>
    <row r="16603" s="496" customFormat="1" x14ac:dyDescent="0.2"/>
    <row r="16604" s="496" customFormat="1" x14ac:dyDescent="0.2"/>
    <row r="16605" s="496" customFormat="1" x14ac:dyDescent="0.2"/>
    <row r="16606" s="496" customFormat="1" x14ac:dyDescent="0.2"/>
    <row r="16607" s="496" customFormat="1" x14ac:dyDescent="0.2"/>
    <row r="16608" s="496" customFormat="1" x14ac:dyDescent="0.2"/>
    <row r="16609" s="496" customFormat="1" x14ac:dyDescent="0.2"/>
    <row r="16610" s="496" customFormat="1" x14ac:dyDescent="0.2"/>
    <row r="16611" s="496" customFormat="1" x14ac:dyDescent="0.2"/>
    <row r="16612" s="496" customFormat="1" x14ac:dyDescent="0.2"/>
    <row r="16613" s="496" customFormat="1" x14ac:dyDescent="0.2"/>
    <row r="16614" s="496" customFormat="1" x14ac:dyDescent="0.2"/>
    <row r="16615" s="496" customFormat="1" x14ac:dyDescent="0.2"/>
    <row r="16616" s="496" customFormat="1" x14ac:dyDescent="0.2"/>
    <row r="16617" s="496" customFormat="1" x14ac:dyDescent="0.2"/>
    <row r="16618" s="496" customFormat="1" x14ac:dyDescent="0.2"/>
    <row r="16619" s="496" customFormat="1" x14ac:dyDescent="0.2"/>
    <row r="16620" s="496" customFormat="1" x14ac:dyDescent="0.2"/>
    <row r="16621" s="496" customFormat="1" x14ac:dyDescent="0.2"/>
    <row r="16622" s="496" customFormat="1" x14ac:dyDescent="0.2"/>
    <row r="16623" s="496" customFormat="1" x14ac:dyDescent="0.2"/>
    <row r="16624" s="496" customFormat="1" x14ac:dyDescent="0.2"/>
    <row r="16625" s="496" customFormat="1" x14ac:dyDescent="0.2"/>
    <row r="16626" s="496" customFormat="1" x14ac:dyDescent="0.2"/>
    <row r="16627" s="496" customFormat="1" x14ac:dyDescent="0.2"/>
    <row r="16628" s="496" customFormat="1" x14ac:dyDescent="0.2"/>
    <row r="16629" s="496" customFormat="1" x14ac:dyDescent="0.2"/>
    <row r="16630" s="496" customFormat="1" x14ac:dyDescent="0.2"/>
    <row r="16631" s="496" customFormat="1" x14ac:dyDescent="0.2"/>
    <row r="16632" s="496" customFormat="1" x14ac:dyDescent="0.2"/>
    <row r="16633" s="496" customFormat="1" x14ac:dyDescent="0.2"/>
    <row r="16634" s="496" customFormat="1" x14ac:dyDescent="0.2"/>
    <row r="16635" s="496" customFormat="1" x14ac:dyDescent="0.2"/>
    <row r="16636" s="496" customFormat="1" x14ac:dyDescent="0.2"/>
    <row r="16637" s="496" customFormat="1" x14ac:dyDescent="0.2"/>
    <row r="16638" s="496" customFormat="1" x14ac:dyDescent="0.2"/>
    <row r="16639" s="496" customFormat="1" x14ac:dyDescent="0.2"/>
    <row r="16640" s="496" customFormat="1" x14ac:dyDescent="0.2"/>
    <row r="16641" s="496" customFormat="1" x14ac:dyDescent="0.2"/>
    <row r="16642" s="496" customFormat="1" x14ac:dyDescent="0.2"/>
    <row r="16643" s="496" customFormat="1" x14ac:dyDescent="0.2"/>
    <row r="16644" s="496" customFormat="1" x14ac:dyDescent="0.2"/>
    <row r="16645" s="496" customFormat="1" x14ac:dyDescent="0.2"/>
    <row r="16646" s="496" customFormat="1" x14ac:dyDescent="0.2"/>
    <row r="16647" s="496" customFormat="1" x14ac:dyDescent="0.2"/>
    <row r="16648" s="496" customFormat="1" x14ac:dyDescent="0.2"/>
    <row r="16649" s="496" customFormat="1" x14ac:dyDescent="0.2"/>
    <row r="16650" s="496" customFormat="1" x14ac:dyDescent="0.2"/>
    <row r="16651" s="496" customFormat="1" x14ac:dyDescent="0.2"/>
    <row r="16652" s="496" customFormat="1" x14ac:dyDescent="0.2"/>
    <row r="16653" s="496" customFormat="1" x14ac:dyDescent="0.2"/>
    <row r="16654" s="496" customFormat="1" x14ac:dyDescent="0.2"/>
    <row r="16655" s="496" customFormat="1" x14ac:dyDescent="0.2"/>
    <row r="16656" s="496" customFormat="1" x14ac:dyDescent="0.2"/>
    <row r="16657" s="496" customFormat="1" x14ac:dyDescent="0.2"/>
    <row r="16658" s="496" customFormat="1" x14ac:dyDescent="0.2"/>
    <row r="16659" s="496" customFormat="1" x14ac:dyDescent="0.2"/>
    <row r="16660" s="496" customFormat="1" x14ac:dyDescent="0.2"/>
    <row r="16661" s="496" customFormat="1" x14ac:dyDescent="0.2"/>
    <row r="16662" s="496" customFormat="1" x14ac:dyDescent="0.2"/>
    <row r="16663" s="496" customFormat="1" x14ac:dyDescent="0.2"/>
    <row r="16664" s="496" customFormat="1" x14ac:dyDescent="0.2"/>
    <row r="16665" s="496" customFormat="1" x14ac:dyDescent="0.2"/>
    <row r="16666" s="496" customFormat="1" x14ac:dyDescent="0.2"/>
    <row r="16667" s="496" customFormat="1" x14ac:dyDescent="0.2"/>
    <row r="16668" s="496" customFormat="1" x14ac:dyDescent="0.2"/>
    <row r="16669" s="496" customFormat="1" x14ac:dyDescent="0.2"/>
    <row r="16670" s="496" customFormat="1" x14ac:dyDescent="0.2"/>
    <row r="16671" s="496" customFormat="1" x14ac:dyDescent="0.2"/>
    <row r="16672" s="496" customFormat="1" x14ac:dyDescent="0.2"/>
    <row r="16673" s="496" customFormat="1" x14ac:dyDescent="0.2"/>
    <row r="16674" s="496" customFormat="1" x14ac:dyDescent="0.2"/>
    <row r="16675" s="496" customFormat="1" x14ac:dyDescent="0.2"/>
    <row r="16676" s="496" customFormat="1" x14ac:dyDescent="0.2"/>
    <row r="16677" s="496" customFormat="1" x14ac:dyDescent="0.2"/>
    <row r="16678" s="496" customFormat="1" x14ac:dyDescent="0.2"/>
    <row r="16679" s="496" customFormat="1" x14ac:dyDescent="0.2"/>
    <row r="16680" s="496" customFormat="1" x14ac:dyDescent="0.2"/>
    <row r="16681" s="496" customFormat="1" x14ac:dyDescent="0.2"/>
    <row r="16682" s="496" customFormat="1" x14ac:dyDescent="0.2"/>
    <row r="16683" s="496" customFormat="1" x14ac:dyDescent="0.2"/>
    <row r="16684" s="496" customFormat="1" x14ac:dyDescent="0.2"/>
    <row r="16685" s="496" customFormat="1" x14ac:dyDescent="0.2"/>
    <row r="16686" s="496" customFormat="1" x14ac:dyDescent="0.2"/>
    <row r="16687" s="496" customFormat="1" x14ac:dyDescent="0.2"/>
    <row r="16688" s="496" customFormat="1" x14ac:dyDescent="0.2"/>
    <row r="16689" s="496" customFormat="1" x14ac:dyDescent="0.2"/>
    <row r="16690" s="496" customFormat="1" x14ac:dyDescent="0.2"/>
    <row r="16691" s="496" customFormat="1" x14ac:dyDescent="0.2"/>
    <row r="16692" s="496" customFormat="1" x14ac:dyDescent="0.2"/>
    <row r="16693" s="496" customFormat="1" x14ac:dyDescent="0.2"/>
    <row r="16694" s="496" customFormat="1" x14ac:dyDescent="0.2"/>
    <row r="16695" s="496" customFormat="1" x14ac:dyDescent="0.2"/>
    <row r="16696" s="496" customFormat="1" x14ac:dyDescent="0.2"/>
    <row r="16697" s="496" customFormat="1" x14ac:dyDescent="0.2"/>
    <row r="16698" s="496" customFormat="1" x14ac:dyDescent="0.2"/>
    <row r="16699" s="496" customFormat="1" x14ac:dyDescent="0.2"/>
    <row r="16700" s="496" customFormat="1" x14ac:dyDescent="0.2"/>
    <row r="16701" s="496" customFormat="1" x14ac:dyDescent="0.2"/>
    <row r="16702" s="496" customFormat="1" x14ac:dyDescent="0.2"/>
    <row r="16703" s="496" customFormat="1" x14ac:dyDescent="0.2"/>
    <row r="16704" s="496" customFormat="1" x14ac:dyDescent="0.2"/>
    <row r="16705" s="496" customFormat="1" x14ac:dyDescent="0.2"/>
    <row r="16706" s="496" customFormat="1" x14ac:dyDescent="0.2"/>
    <row r="16707" s="496" customFormat="1" x14ac:dyDescent="0.2"/>
    <row r="16708" s="496" customFormat="1" x14ac:dyDescent="0.2"/>
    <row r="16709" s="496" customFormat="1" x14ac:dyDescent="0.2"/>
    <row r="16710" s="496" customFormat="1" x14ac:dyDescent="0.2"/>
    <row r="16711" s="496" customFormat="1" x14ac:dyDescent="0.2"/>
    <row r="16712" s="496" customFormat="1" x14ac:dyDescent="0.2"/>
    <row r="16713" s="496" customFormat="1" x14ac:dyDescent="0.2"/>
    <row r="16714" s="496" customFormat="1" x14ac:dyDescent="0.2"/>
    <row r="16715" s="496" customFormat="1" x14ac:dyDescent="0.2"/>
    <row r="16716" s="496" customFormat="1" x14ac:dyDescent="0.2"/>
    <row r="16717" s="496" customFormat="1" x14ac:dyDescent="0.2"/>
    <row r="16718" s="496" customFormat="1" x14ac:dyDescent="0.2"/>
    <row r="16719" s="496" customFormat="1" x14ac:dyDescent="0.2"/>
    <row r="16720" s="496" customFormat="1" x14ac:dyDescent="0.2"/>
    <row r="16721" s="496" customFormat="1" x14ac:dyDescent="0.2"/>
    <row r="16722" s="496" customFormat="1" x14ac:dyDescent="0.2"/>
    <row r="16723" s="496" customFormat="1" x14ac:dyDescent="0.2"/>
    <row r="16724" s="496" customFormat="1" x14ac:dyDescent="0.2"/>
    <row r="16725" s="496" customFormat="1" x14ac:dyDescent="0.2"/>
    <row r="16726" s="496" customFormat="1" x14ac:dyDescent="0.2"/>
    <row r="16727" s="496" customFormat="1" x14ac:dyDescent="0.2"/>
    <row r="16728" s="496" customFormat="1" x14ac:dyDescent="0.2"/>
    <row r="16729" s="496" customFormat="1" x14ac:dyDescent="0.2"/>
    <row r="16730" s="496" customFormat="1" x14ac:dyDescent="0.2"/>
    <row r="16731" s="496" customFormat="1" x14ac:dyDescent="0.2"/>
    <row r="16732" s="496" customFormat="1" x14ac:dyDescent="0.2"/>
    <row r="16733" s="496" customFormat="1" x14ac:dyDescent="0.2"/>
    <row r="16734" s="496" customFormat="1" x14ac:dyDescent="0.2"/>
    <row r="16735" s="496" customFormat="1" x14ac:dyDescent="0.2"/>
    <row r="16736" s="496" customFormat="1" x14ac:dyDescent="0.2"/>
    <row r="16737" s="496" customFormat="1" x14ac:dyDescent="0.2"/>
    <row r="16738" s="496" customFormat="1" x14ac:dyDescent="0.2"/>
    <row r="16739" s="496" customFormat="1" x14ac:dyDescent="0.2"/>
    <row r="16740" s="496" customFormat="1" x14ac:dyDescent="0.2"/>
    <row r="16741" s="496" customFormat="1" x14ac:dyDescent="0.2"/>
    <row r="16742" s="496" customFormat="1" x14ac:dyDescent="0.2"/>
    <row r="16743" s="496" customFormat="1" x14ac:dyDescent="0.2"/>
    <row r="16744" s="496" customFormat="1" x14ac:dyDescent="0.2"/>
    <row r="16745" s="496" customFormat="1" x14ac:dyDescent="0.2"/>
    <row r="16746" s="496" customFormat="1" x14ac:dyDescent="0.2"/>
    <row r="16747" s="496" customFormat="1" x14ac:dyDescent="0.2"/>
    <row r="16748" s="496" customFormat="1" x14ac:dyDescent="0.2"/>
    <row r="16749" s="496" customFormat="1" x14ac:dyDescent="0.2"/>
    <row r="16750" s="496" customFormat="1" x14ac:dyDescent="0.2"/>
    <row r="16751" s="496" customFormat="1" x14ac:dyDescent="0.2"/>
    <row r="16752" s="496" customFormat="1" x14ac:dyDescent="0.2"/>
    <row r="16753" s="496" customFormat="1" x14ac:dyDescent="0.2"/>
    <row r="16754" s="496" customFormat="1" x14ac:dyDescent="0.2"/>
    <row r="16755" s="496" customFormat="1" x14ac:dyDescent="0.2"/>
    <row r="16756" s="496" customFormat="1" x14ac:dyDescent="0.2"/>
    <row r="16757" s="496" customFormat="1" x14ac:dyDescent="0.2"/>
    <row r="16758" s="496" customFormat="1" x14ac:dyDescent="0.2"/>
    <row r="16759" s="496" customFormat="1" x14ac:dyDescent="0.2"/>
    <row r="16760" s="496" customFormat="1" x14ac:dyDescent="0.2"/>
    <row r="16761" s="496" customFormat="1" x14ac:dyDescent="0.2"/>
    <row r="16762" s="496" customFormat="1" x14ac:dyDescent="0.2"/>
    <row r="16763" s="496" customFormat="1" x14ac:dyDescent="0.2"/>
    <row r="16764" s="496" customFormat="1" x14ac:dyDescent="0.2"/>
    <row r="16765" s="496" customFormat="1" x14ac:dyDescent="0.2"/>
    <row r="16766" s="496" customFormat="1" x14ac:dyDescent="0.2"/>
    <row r="16767" s="496" customFormat="1" x14ac:dyDescent="0.2"/>
    <row r="16768" s="496" customFormat="1" x14ac:dyDescent="0.2"/>
    <row r="16769" s="496" customFormat="1" x14ac:dyDescent="0.2"/>
    <row r="16770" s="496" customFormat="1" x14ac:dyDescent="0.2"/>
    <row r="16771" s="496" customFormat="1" x14ac:dyDescent="0.2"/>
    <row r="16772" s="496" customFormat="1" x14ac:dyDescent="0.2"/>
    <row r="16773" s="496" customFormat="1" x14ac:dyDescent="0.2"/>
    <row r="16774" s="496" customFormat="1" x14ac:dyDescent="0.2"/>
    <row r="16775" s="496" customFormat="1" x14ac:dyDescent="0.2"/>
    <row r="16776" s="496" customFormat="1" x14ac:dyDescent="0.2"/>
    <row r="16777" s="496" customFormat="1" x14ac:dyDescent="0.2"/>
    <row r="16778" s="496" customFormat="1" x14ac:dyDescent="0.2"/>
    <row r="16779" s="496" customFormat="1" x14ac:dyDescent="0.2"/>
    <row r="16780" s="496" customFormat="1" x14ac:dyDescent="0.2"/>
    <row r="16781" s="496" customFormat="1" x14ac:dyDescent="0.2"/>
    <row r="16782" s="496" customFormat="1" x14ac:dyDescent="0.2"/>
    <row r="16783" s="496" customFormat="1" x14ac:dyDescent="0.2"/>
    <row r="16784" s="496" customFormat="1" x14ac:dyDescent="0.2"/>
    <row r="16785" s="496" customFormat="1" x14ac:dyDescent="0.2"/>
    <row r="16786" s="496" customFormat="1" x14ac:dyDescent="0.2"/>
    <row r="16787" s="496" customFormat="1" x14ac:dyDescent="0.2"/>
    <row r="16788" s="496" customFormat="1" x14ac:dyDescent="0.2"/>
    <row r="16789" s="496" customFormat="1" x14ac:dyDescent="0.2"/>
    <row r="16790" s="496" customFormat="1" x14ac:dyDescent="0.2"/>
    <row r="16791" s="496" customFormat="1" x14ac:dyDescent="0.2"/>
    <row r="16792" s="496" customFormat="1" x14ac:dyDescent="0.2"/>
    <row r="16793" s="496" customFormat="1" x14ac:dyDescent="0.2"/>
    <row r="16794" s="496" customFormat="1" x14ac:dyDescent="0.2"/>
    <row r="16795" s="496" customFormat="1" x14ac:dyDescent="0.2"/>
    <row r="16796" s="496" customFormat="1" x14ac:dyDescent="0.2"/>
    <row r="16797" s="496" customFormat="1" x14ac:dyDescent="0.2"/>
    <row r="16798" s="496" customFormat="1" x14ac:dyDescent="0.2"/>
    <row r="16799" s="496" customFormat="1" x14ac:dyDescent="0.2"/>
    <row r="16800" s="496" customFormat="1" x14ac:dyDescent="0.2"/>
    <row r="16801" s="496" customFormat="1" x14ac:dyDescent="0.2"/>
    <row r="16802" s="496" customFormat="1" x14ac:dyDescent="0.2"/>
    <row r="16803" s="496" customFormat="1" x14ac:dyDescent="0.2"/>
    <row r="16804" s="496" customFormat="1" x14ac:dyDescent="0.2"/>
    <row r="16805" s="496" customFormat="1" x14ac:dyDescent="0.2"/>
    <row r="16806" s="496" customFormat="1" x14ac:dyDescent="0.2"/>
    <row r="16807" s="496" customFormat="1" x14ac:dyDescent="0.2"/>
    <row r="16808" s="496" customFormat="1" x14ac:dyDescent="0.2"/>
    <row r="16809" s="496" customFormat="1" x14ac:dyDescent="0.2"/>
    <row r="16810" s="496" customFormat="1" x14ac:dyDescent="0.2"/>
    <row r="16811" s="496" customFormat="1" x14ac:dyDescent="0.2"/>
    <row r="16812" s="496" customFormat="1" x14ac:dyDescent="0.2"/>
    <row r="16813" s="496" customFormat="1" x14ac:dyDescent="0.2"/>
    <row r="16814" s="496" customFormat="1" x14ac:dyDescent="0.2"/>
    <row r="16815" s="496" customFormat="1" x14ac:dyDescent="0.2"/>
    <row r="16816" s="496" customFormat="1" x14ac:dyDescent="0.2"/>
    <row r="16817" s="496" customFormat="1" x14ac:dyDescent="0.2"/>
    <row r="16818" s="496" customFormat="1" x14ac:dyDescent="0.2"/>
    <row r="16819" s="496" customFormat="1" x14ac:dyDescent="0.2"/>
    <row r="16820" s="496" customFormat="1" x14ac:dyDescent="0.2"/>
    <row r="16821" s="496" customFormat="1" x14ac:dyDescent="0.2"/>
    <row r="16822" s="496" customFormat="1" x14ac:dyDescent="0.2"/>
    <row r="16823" s="496" customFormat="1" x14ac:dyDescent="0.2"/>
    <row r="16824" s="496" customFormat="1" x14ac:dyDescent="0.2"/>
    <row r="16825" s="496" customFormat="1" x14ac:dyDescent="0.2"/>
    <row r="16826" s="496" customFormat="1" x14ac:dyDescent="0.2"/>
    <row r="16827" s="496" customFormat="1" x14ac:dyDescent="0.2"/>
    <row r="16828" s="496" customFormat="1" x14ac:dyDescent="0.2"/>
    <row r="16829" s="496" customFormat="1" x14ac:dyDescent="0.2"/>
    <row r="16830" s="496" customFormat="1" x14ac:dyDescent="0.2"/>
    <row r="16831" s="496" customFormat="1" x14ac:dyDescent="0.2"/>
    <row r="16832" s="496" customFormat="1" x14ac:dyDescent="0.2"/>
    <row r="16833" s="496" customFormat="1" x14ac:dyDescent="0.2"/>
    <row r="16834" s="496" customFormat="1" x14ac:dyDescent="0.2"/>
    <row r="16835" s="496" customFormat="1" x14ac:dyDescent="0.2"/>
    <row r="16836" s="496" customFormat="1" x14ac:dyDescent="0.2"/>
    <row r="16837" s="496" customFormat="1" x14ac:dyDescent="0.2"/>
    <row r="16838" s="496" customFormat="1" x14ac:dyDescent="0.2"/>
    <row r="16839" s="496" customFormat="1" x14ac:dyDescent="0.2"/>
    <row r="16840" s="496" customFormat="1" x14ac:dyDescent="0.2"/>
    <row r="16841" s="496" customFormat="1" x14ac:dyDescent="0.2"/>
    <row r="16842" s="496" customFormat="1" x14ac:dyDescent="0.2"/>
    <row r="16843" s="496" customFormat="1" x14ac:dyDescent="0.2"/>
    <row r="16844" s="496" customFormat="1" x14ac:dyDescent="0.2"/>
    <row r="16845" s="496" customFormat="1" x14ac:dyDescent="0.2"/>
    <row r="16846" s="496" customFormat="1" x14ac:dyDescent="0.2"/>
    <row r="16847" s="496" customFormat="1" x14ac:dyDescent="0.2"/>
    <row r="16848" s="496" customFormat="1" x14ac:dyDescent="0.2"/>
    <row r="16849" s="496" customFormat="1" x14ac:dyDescent="0.2"/>
    <row r="16850" s="496" customFormat="1" x14ac:dyDescent="0.2"/>
    <row r="16851" s="496" customFormat="1" x14ac:dyDescent="0.2"/>
    <row r="16852" s="496" customFormat="1" x14ac:dyDescent="0.2"/>
    <row r="16853" s="496" customFormat="1" x14ac:dyDescent="0.2"/>
    <row r="16854" s="496" customFormat="1" x14ac:dyDescent="0.2"/>
    <row r="16855" s="496" customFormat="1" x14ac:dyDescent="0.2"/>
    <row r="16856" s="496" customFormat="1" x14ac:dyDescent="0.2"/>
    <row r="16857" s="496" customFormat="1" x14ac:dyDescent="0.2"/>
    <row r="16858" s="496" customFormat="1" x14ac:dyDescent="0.2"/>
    <row r="16859" s="496" customFormat="1" x14ac:dyDescent="0.2"/>
    <row r="16860" s="496" customFormat="1" x14ac:dyDescent="0.2"/>
    <row r="16861" s="496" customFormat="1" x14ac:dyDescent="0.2"/>
    <row r="16862" s="496" customFormat="1" x14ac:dyDescent="0.2"/>
    <row r="16863" s="496" customFormat="1" x14ac:dyDescent="0.2"/>
    <row r="16864" s="496" customFormat="1" x14ac:dyDescent="0.2"/>
    <row r="16865" s="496" customFormat="1" x14ac:dyDescent="0.2"/>
    <row r="16866" s="496" customFormat="1" x14ac:dyDescent="0.2"/>
    <row r="16867" s="496" customFormat="1" x14ac:dyDescent="0.2"/>
    <row r="16868" s="496" customFormat="1" x14ac:dyDescent="0.2"/>
    <row r="16869" s="496" customFormat="1" x14ac:dyDescent="0.2"/>
    <row r="16870" s="496" customFormat="1" x14ac:dyDescent="0.2"/>
    <row r="16871" s="496" customFormat="1" x14ac:dyDescent="0.2"/>
    <row r="16872" s="496" customFormat="1" x14ac:dyDescent="0.2"/>
    <row r="16873" s="496" customFormat="1" x14ac:dyDescent="0.2"/>
    <row r="16874" s="496" customFormat="1" x14ac:dyDescent="0.2"/>
    <row r="16875" s="496" customFormat="1" x14ac:dyDescent="0.2"/>
    <row r="16876" s="496" customFormat="1" x14ac:dyDescent="0.2"/>
    <row r="16877" s="496" customFormat="1" x14ac:dyDescent="0.2"/>
    <row r="16878" s="496" customFormat="1" x14ac:dyDescent="0.2"/>
    <row r="16879" s="496" customFormat="1" x14ac:dyDescent="0.2"/>
    <row r="16880" s="496" customFormat="1" x14ac:dyDescent="0.2"/>
    <row r="16881" s="496" customFormat="1" x14ac:dyDescent="0.2"/>
    <row r="16882" s="496" customFormat="1" x14ac:dyDescent="0.2"/>
    <row r="16883" s="496" customFormat="1" x14ac:dyDescent="0.2"/>
    <row r="16884" s="496" customFormat="1" x14ac:dyDescent="0.2"/>
    <row r="16885" s="496" customFormat="1" x14ac:dyDescent="0.2"/>
    <row r="16886" s="496" customFormat="1" x14ac:dyDescent="0.2"/>
    <row r="16887" s="496" customFormat="1" x14ac:dyDescent="0.2"/>
    <row r="16888" s="496" customFormat="1" x14ac:dyDescent="0.2"/>
    <row r="16889" s="496" customFormat="1" x14ac:dyDescent="0.2"/>
    <row r="16890" s="496" customFormat="1" x14ac:dyDescent="0.2"/>
    <row r="16891" s="496" customFormat="1" x14ac:dyDescent="0.2"/>
    <row r="16892" s="496" customFormat="1" x14ac:dyDescent="0.2"/>
    <row r="16893" s="496" customFormat="1" x14ac:dyDescent="0.2"/>
    <row r="16894" s="496" customFormat="1" x14ac:dyDescent="0.2"/>
    <row r="16895" s="496" customFormat="1" x14ac:dyDescent="0.2"/>
    <row r="16896" s="496" customFormat="1" x14ac:dyDescent="0.2"/>
    <row r="16897" s="496" customFormat="1" x14ac:dyDescent="0.2"/>
    <row r="16898" s="496" customFormat="1" x14ac:dyDescent="0.2"/>
    <row r="16899" s="496" customFormat="1" x14ac:dyDescent="0.2"/>
    <row r="16900" s="496" customFormat="1" x14ac:dyDescent="0.2"/>
    <row r="16901" s="496" customFormat="1" x14ac:dyDescent="0.2"/>
    <row r="16902" s="496" customFormat="1" x14ac:dyDescent="0.2"/>
    <row r="16903" s="496" customFormat="1" x14ac:dyDescent="0.2"/>
    <row r="16904" s="496" customFormat="1" x14ac:dyDescent="0.2"/>
    <row r="16905" s="496" customFormat="1" x14ac:dyDescent="0.2"/>
    <row r="16906" s="496" customFormat="1" x14ac:dyDescent="0.2"/>
    <row r="16907" s="496" customFormat="1" x14ac:dyDescent="0.2"/>
    <row r="16908" s="496" customFormat="1" x14ac:dyDescent="0.2"/>
    <row r="16909" s="496" customFormat="1" x14ac:dyDescent="0.2"/>
    <row r="16910" s="496" customFormat="1" x14ac:dyDescent="0.2"/>
    <row r="16911" s="496" customFormat="1" x14ac:dyDescent="0.2"/>
    <row r="16912" s="496" customFormat="1" x14ac:dyDescent="0.2"/>
    <row r="16913" s="496" customFormat="1" x14ac:dyDescent="0.2"/>
    <row r="16914" s="496" customFormat="1" x14ac:dyDescent="0.2"/>
    <row r="16915" s="496" customFormat="1" x14ac:dyDescent="0.2"/>
    <row r="16916" s="496" customFormat="1" x14ac:dyDescent="0.2"/>
    <row r="16917" s="496" customFormat="1" x14ac:dyDescent="0.2"/>
    <row r="16918" s="496" customFormat="1" x14ac:dyDescent="0.2"/>
    <row r="16919" s="496" customFormat="1" x14ac:dyDescent="0.2"/>
    <row r="16920" s="496" customFormat="1" x14ac:dyDescent="0.2"/>
    <row r="16921" s="496" customFormat="1" x14ac:dyDescent="0.2"/>
    <row r="16922" s="496" customFormat="1" x14ac:dyDescent="0.2"/>
    <row r="16923" s="496" customFormat="1" x14ac:dyDescent="0.2"/>
    <row r="16924" s="496" customFormat="1" x14ac:dyDescent="0.2"/>
    <row r="16925" s="496" customFormat="1" x14ac:dyDescent="0.2"/>
    <row r="16926" s="496" customFormat="1" x14ac:dyDescent="0.2"/>
    <row r="16927" s="496" customFormat="1" x14ac:dyDescent="0.2"/>
    <row r="16928" s="496" customFormat="1" x14ac:dyDescent="0.2"/>
    <row r="16929" s="496" customFormat="1" x14ac:dyDescent="0.2"/>
    <row r="16930" s="496" customFormat="1" x14ac:dyDescent="0.2"/>
    <row r="16931" s="496" customFormat="1" x14ac:dyDescent="0.2"/>
    <row r="16932" s="496" customFormat="1" x14ac:dyDescent="0.2"/>
    <row r="16933" s="496" customFormat="1" x14ac:dyDescent="0.2"/>
    <row r="16934" s="496" customFormat="1" x14ac:dyDescent="0.2"/>
    <row r="16935" s="496" customFormat="1" x14ac:dyDescent="0.2"/>
    <row r="16936" s="496" customFormat="1" x14ac:dyDescent="0.2"/>
    <row r="16937" s="496" customFormat="1" x14ac:dyDescent="0.2"/>
    <row r="16938" s="496" customFormat="1" x14ac:dyDescent="0.2"/>
    <row r="16939" s="496" customFormat="1" x14ac:dyDescent="0.2"/>
    <row r="16940" s="496" customFormat="1" x14ac:dyDescent="0.2"/>
    <row r="16941" s="496" customFormat="1" x14ac:dyDescent="0.2"/>
    <row r="16942" s="496" customFormat="1" x14ac:dyDescent="0.2"/>
    <row r="16943" s="496" customFormat="1" x14ac:dyDescent="0.2"/>
    <row r="16944" s="496" customFormat="1" x14ac:dyDescent="0.2"/>
    <row r="16945" s="496" customFormat="1" x14ac:dyDescent="0.2"/>
    <row r="16946" s="496" customFormat="1" x14ac:dyDescent="0.2"/>
    <row r="16947" s="496" customFormat="1" x14ac:dyDescent="0.2"/>
    <row r="16948" s="496" customFormat="1" x14ac:dyDescent="0.2"/>
    <row r="16949" s="496" customFormat="1" x14ac:dyDescent="0.2"/>
    <row r="16950" s="496" customFormat="1" x14ac:dyDescent="0.2"/>
    <row r="16951" s="496" customFormat="1" x14ac:dyDescent="0.2"/>
    <row r="16952" s="496" customFormat="1" x14ac:dyDescent="0.2"/>
    <row r="16953" s="496" customFormat="1" x14ac:dyDescent="0.2"/>
    <row r="16954" s="496" customFormat="1" x14ac:dyDescent="0.2"/>
    <row r="16955" s="496" customFormat="1" x14ac:dyDescent="0.2"/>
    <row r="16956" s="496" customFormat="1" x14ac:dyDescent="0.2"/>
    <row r="16957" s="496" customFormat="1" x14ac:dyDescent="0.2"/>
    <row r="16958" s="496" customFormat="1" x14ac:dyDescent="0.2"/>
    <row r="16959" s="496" customFormat="1" x14ac:dyDescent="0.2"/>
    <row r="16960" s="496" customFormat="1" x14ac:dyDescent="0.2"/>
    <row r="16961" s="496" customFormat="1" x14ac:dyDescent="0.2"/>
    <row r="16962" s="496" customFormat="1" x14ac:dyDescent="0.2"/>
    <row r="16963" s="496" customFormat="1" x14ac:dyDescent="0.2"/>
    <row r="16964" s="496" customFormat="1" x14ac:dyDescent="0.2"/>
    <row r="16965" s="496" customFormat="1" x14ac:dyDescent="0.2"/>
    <row r="16966" s="496" customFormat="1" x14ac:dyDescent="0.2"/>
    <row r="16967" s="496" customFormat="1" x14ac:dyDescent="0.2"/>
    <row r="16968" s="496" customFormat="1" x14ac:dyDescent="0.2"/>
    <row r="16969" s="496" customFormat="1" x14ac:dyDescent="0.2"/>
    <row r="16970" s="496" customFormat="1" x14ac:dyDescent="0.2"/>
    <row r="16971" s="496" customFormat="1" x14ac:dyDescent="0.2"/>
    <row r="16972" s="496" customFormat="1" x14ac:dyDescent="0.2"/>
    <row r="16973" s="496" customFormat="1" x14ac:dyDescent="0.2"/>
    <row r="16974" s="496" customFormat="1" x14ac:dyDescent="0.2"/>
    <row r="16975" s="496" customFormat="1" x14ac:dyDescent="0.2"/>
    <row r="16976" s="496" customFormat="1" x14ac:dyDescent="0.2"/>
    <row r="16977" s="496" customFormat="1" x14ac:dyDescent="0.2"/>
    <row r="16978" s="496" customFormat="1" x14ac:dyDescent="0.2"/>
    <row r="16979" s="496" customFormat="1" x14ac:dyDescent="0.2"/>
    <row r="16980" s="496" customFormat="1" x14ac:dyDescent="0.2"/>
    <row r="16981" s="496" customFormat="1" x14ac:dyDescent="0.2"/>
    <row r="16982" s="496" customFormat="1" x14ac:dyDescent="0.2"/>
    <row r="16983" s="496" customFormat="1" x14ac:dyDescent="0.2"/>
    <row r="16984" s="496" customFormat="1" x14ac:dyDescent="0.2"/>
    <row r="16985" s="496" customFormat="1" x14ac:dyDescent="0.2"/>
    <row r="16986" s="496" customFormat="1" x14ac:dyDescent="0.2"/>
    <row r="16987" s="496" customFormat="1" x14ac:dyDescent="0.2"/>
    <row r="16988" s="496" customFormat="1" x14ac:dyDescent="0.2"/>
    <row r="16989" s="496" customFormat="1" x14ac:dyDescent="0.2"/>
    <row r="16990" s="496" customFormat="1" x14ac:dyDescent="0.2"/>
    <row r="16991" s="496" customFormat="1" x14ac:dyDescent="0.2"/>
    <row r="16992" s="496" customFormat="1" x14ac:dyDescent="0.2"/>
    <row r="16993" s="496" customFormat="1" x14ac:dyDescent="0.2"/>
    <row r="16994" s="496" customFormat="1" x14ac:dyDescent="0.2"/>
    <row r="16995" s="496" customFormat="1" x14ac:dyDescent="0.2"/>
    <row r="16996" s="496" customFormat="1" x14ac:dyDescent="0.2"/>
    <row r="16997" s="496" customFormat="1" x14ac:dyDescent="0.2"/>
    <row r="16998" s="496" customFormat="1" x14ac:dyDescent="0.2"/>
    <row r="16999" s="496" customFormat="1" x14ac:dyDescent="0.2"/>
    <row r="17000" s="496" customFormat="1" x14ac:dyDescent="0.2"/>
    <row r="17001" s="496" customFormat="1" x14ac:dyDescent="0.2"/>
    <row r="17002" s="496" customFormat="1" x14ac:dyDescent="0.2"/>
    <row r="17003" s="496" customFormat="1" x14ac:dyDescent="0.2"/>
    <row r="17004" s="496" customFormat="1" x14ac:dyDescent="0.2"/>
    <row r="17005" s="496" customFormat="1" x14ac:dyDescent="0.2"/>
    <row r="17006" s="496" customFormat="1" x14ac:dyDescent="0.2"/>
    <row r="17007" s="496" customFormat="1" x14ac:dyDescent="0.2"/>
    <row r="17008" s="496" customFormat="1" x14ac:dyDescent="0.2"/>
    <row r="17009" s="496" customFormat="1" x14ac:dyDescent="0.2"/>
    <row r="17010" s="496" customFormat="1" x14ac:dyDescent="0.2"/>
    <row r="17011" s="496" customFormat="1" x14ac:dyDescent="0.2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14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8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9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Props1.xml><?xml version="1.0" encoding="utf-8"?>
<ds:datastoreItem xmlns:ds="http://schemas.openxmlformats.org/officeDocument/2006/customXml" ds:itemID="{7211EA1C-B5AB-49B5-B706-A1DDA78C2526}">
  <ds:schemaRefs/>
</ds:datastoreItem>
</file>

<file path=customXml/itemProps10.xml><?xml version="1.0" encoding="utf-8"?>
<ds:datastoreItem xmlns:ds="http://schemas.openxmlformats.org/officeDocument/2006/customXml" ds:itemID="{FCCF10C1-0790-4C30-A29F-A398BD4392DE}">
  <ds:schemaRefs/>
</ds:datastoreItem>
</file>

<file path=customXml/itemProps11.xml><?xml version="1.0" encoding="utf-8"?>
<ds:datastoreItem xmlns:ds="http://schemas.openxmlformats.org/officeDocument/2006/customXml" ds:itemID="{DCF0A24A-EE87-487C-8F84-CADE1F4FAFDD}">
  <ds:schemaRefs/>
</ds:datastoreItem>
</file>

<file path=customXml/itemProps12.xml><?xml version="1.0" encoding="utf-8"?>
<ds:datastoreItem xmlns:ds="http://schemas.openxmlformats.org/officeDocument/2006/customXml" ds:itemID="{1E79C55C-3DF4-4A62-A58D-BF50894FA67C}">
  <ds:schemaRefs/>
</ds:datastoreItem>
</file>

<file path=customXml/itemProps13.xml><?xml version="1.0" encoding="utf-8"?>
<ds:datastoreItem xmlns:ds="http://schemas.openxmlformats.org/officeDocument/2006/customXml" ds:itemID="{9813A414-233D-4DE5-800B-06BA5366F3BB}">
  <ds:schemaRefs/>
</ds:datastoreItem>
</file>

<file path=customXml/itemProps14.xml><?xml version="1.0" encoding="utf-8"?>
<ds:datastoreItem xmlns:ds="http://schemas.openxmlformats.org/officeDocument/2006/customXml" ds:itemID="{7BB98525-AC73-4553-861E-702A9BDB9F60}">
  <ds:schemaRefs/>
</ds:datastoreItem>
</file>

<file path=customXml/itemProps15.xml><?xml version="1.0" encoding="utf-8"?>
<ds:datastoreItem xmlns:ds="http://schemas.openxmlformats.org/officeDocument/2006/customXml" ds:itemID="{6EA321FE-81DE-4E9F-B785-103BD7313AF4}">
  <ds:schemaRefs/>
</ds:datastoreItem>
</file>

<file path=customXml/itemProps16.xml><?xml version="1.0" encoding="utf-8"?>
<ds:datastoreItem xmlns:ds="http://schemas.openxmlformats.org/officeDocument/2006/customXml" ds:itemID="{69289496-B43C-4DD4-9A48-124C030433C7}">
  <ds:schemaRefs/>
</ds:datastoreItem>
</file>

<file path=customXml/itemProps17.xml><?xml version="1.0" encoding="utf-8"?>
<ds:datastoreItem xmlns:ds="http://schemas.openxmlformats.org/officeDocument/2006/customXml" ds:itemID="{178D6A2A-B321-450C-9A09-809CA7BA3375}">
  <ds:schemaRefs/>
</ds:datastoreItem>
</file>

<file path=customXml/itemProps18.xml><?xml version="1.0" encoding="utf-8"?>
<ds:datastoreItem xmlns:ds="http://schemas.openxmlformats.org/officeDocument/2006/customXml" ds:itemID="{CFBBA170-B46A-4F6C-B5A3-7F174A4CD145}">
  <ds:schemaRefs/>
</ds:datastoreItem>
</file>

<file path=customXml/itemProps2.xml><?xml version="1.0" encoding="utf-8"?>
<ds:datastoreItem xmlns:ds="http://schemas.openxmlformats.org/officeDocument/2006/customXml" ds:itemID="{0A14321F-FFEC-4D53-A011-60FE6A64C17A}">
  <ds:schemaRefs/>
</ds:datastoreItem>
</file>

<file path=customXml/itemProps3.xml><?xml version="1.0" encoding="utf-8"?>
<ds:datastoreItem xmlns:ds="http://schemas.openxmlformats.org/officeDocument/2006/customXml" ds:itemID="{76DDFF66-56D2-4B4B-A77A-5991AB458C64}">
  <ds:schemaRefs/>
</ds:datastoreItem>
</file>

<file path=customXml/itemProps4.xml><?xml version="1.0" encoding="utf-8"?>
<ds:datastoreItem xmlns:ds="http://schemas.openxmlformats.org/officeDocument/2006/customXml" ds:itemID="{E0ACD490-C02F-42AE-99BA-EDECFD300BCB}">
  <ds:schemaRefs/>
</ds:datastoreItem>
</file>

<file path=customXml/itemProps5.xml><?xml version="1.0" encoding="utf-8"?>
<ds:datastoreItem xmlns:ds="http://schemas.openxmlformats.org/officeDocument/2006/customXml" ds:itemID="{ED37E685-FCA6-4C9F-B4A4-C39FD214F000}">
  <ds:schemaRefs/>
</ds:datastoreItem>
</file>

<file path=customXml/itemProps6.xml><?xml version="1.0" encoding="utf-8"?>
<ds:datastoreItem xmlns:ds="http://schemas.openxmlformats.org/officeDocument/2006/customXml" ds:itemID="{5B666AB3-FAB7-4100-8C3F-E4DF26ECD4D4}">
  <ds:schemaRefs/>
</ds:datastoreItem>
</file>

<file path=customXml/itemProps7.xml><?xml version="1.0" encoding="utf-8"?>
<ds:datastoreItem xmlns:ds="http://schemas.openxmlformats.org/officeDocument/2006/customXml" ds:itemID="{3C502304-90FF-451C-BF08-481ABD8EDBFB}">
  <ds:schemaRefs/>
</ds:datastoreItem>
</file>

<file path=customXml/itemProps8.xml><?xml version="1.0" encoding="utf-8"?>
<ds:datastoreItem xmlns:ds="http://schemas.openxmlformats.org/officeDocument/2006/customXml" ds:itemID="{29D0C5E3-04E9-45DE-99DE-718415182B7C}">
  <ds:schemaRefs/>
</ds:datastoreItem>
</file>

<file path=customXml/itemProps9.xml><?xml version="1.0" encoding="utf-8"?>
<ds:datastoreItem xmlns:ds="http://schemas.openxmlformats.org/officeDocument/2006/customXml" ds:itemID="{58DFB9C7-D467-4EB0-8BB1-0EABCB8C54E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New Tables 1-12</vt:lpstr>
      <vt:lpstr>Old 1-12</vt:lpstr>
      <vt:lpstr>Pivot Table for 1-11</vt:lpstr>
      <vt:lpstr>Pivot Table for 12</vt:lpstr>
      <vt:lpstr>Pivot Table for Trends</vt:lpstr>
      <vt:lpstr>Degree data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jmarks</dc:creator>
  <cp:lastModifiedBy>Susan Lounsbury</cp:lastModifiedBy>
  <cp:lastPrinted>2013-01-22T14:34:38Z</cp:lastPrinted>
  <dcterms:created xsi:type="dcterms:W3CDTF">1999-02-24T13:58:47Z</dcterms:created>
  <dcterms:modified xsi:type="dcterms:W3CDTF">2014-03-19T18:24:21Z</dcterms:modified>
</cp:coreProperties>
</file>